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anteproyecto PAAAPS 2024\"/>
    </mc:Choice>
  </mc:AlternateContent>
  <bookViews>
    <workbookView xWindow="0" yWindow="0" windowWidth="14370" windowHeight="12360" activeTab="3"/>
  </bookViews>
  <sheets>
    <sheet name="PAA SUBSIDIO 2024" sheetId="9" r:id="rId1"/>
    <sheet name="PAA PROGRAMAS SOCIALES 2024" sheetId="11" r:id="rId2"/>
    <sheet name="PAA RECURSO FEDERAL 2024" sheetId="12" r:id="rId3"/>
    <sheet name="INGRESOS PROPIOS" sheetId="13" r:id="rId4"/>
    <sheet name="PARA ENTREGA DEL PAA" sheetId="3" state="hidden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1169" i="11" l="1"/>
  <c r="AF144" i="12" l="1"/>
  <c r="AH139" i="12"/>
  <c r="AB139" i="12"/>
  <c r="AH138" i="12"/>
  <c r="R138" i="12"/>
  <c r="AI138" i="12" s="1"/>
  <c r="I138" i="12"/>
  <c r="X137" i="12"/>
  <c r="X139" i="12" s="1"/>
  <c r="R137" i="12"/>
  <c r="AI137" i="12" s="1"/>
  <c r="I137" i="12"/>
  <c r="AH136" i="12"/>
  <c r="AF136" i="12"/>
  <c r="R136" i="12"/>
  <c r="AI136" i="12" s="1"/>
  <c r="J136" i="12"/>
  <c r="AB135" i="12"/>
  <c r="I135" i="12"/>
  <c r="R135" i="12" s="1"/>
  <c r="AI135" i="12" s="1"/>
  <c r="R134" i="12"/>
  <c r="AI134" i="12" s="1"/>
  <c r="Q134" i="12"/>
  <c r="I134" i="12"/>
  <c r="I133" i="12"/>
  <c r="AD133" i="12" s="1"/>
  <c r="J132" i="12"/>
  <c r="J129" i="12" s="1"/>
  <c r="AI127" i="12"/>
  <c r="AI126" i="12" s="1"/>
  <c r="J127" i="12"/>
  <c r="J126" i="12" s="1"/>
  <c r="J120" i="12"/>
  <c r="I120" i="12" s="1"/>
  <c r="AF116" i="12"/>
  <c r="AB116" i="12"/>
  <c r="J116" i="12"/>
  <c r="I116" i="12"/>
  <c r="R116" i="12" s="1"/>
  <c r="AI116" i="12" s="1"/>
  <c r="AI115" i="12" s="1"/>
  <c r="J115" i="12"/>
  <c r="AI112" i="12"/>
  <c r="AI111" i="12" s="1"/>
  <c r="V112" i="12"/>
  <c r="J112" i="12"/>
  <c r="J111" i="12" s="1"/>
  <c r="AI108" i="12"/>
  <c r="Z108" i="12"/>
  <c r="R108" i="12"/>
  <c r="I108" i="12"/>
  <c r="I107" i="12"/>
  <c r="R107" i="12" s="1"/>
  <c r="I106" i="12"/>
  <c r="Z106" i="12" s="1"/>
  <c r="AI105" i="12"/>
  <c r="I105" i="12"/>
  <c r="AI104" i="12"/>
  <c r="I104" i="12"/>
  <c r="AI103" i="12"/>
  <c r="I103" i="12"/>
  <c r="I102" i="12"/>
  <c r="R102" i="12" s="1"/>
  <c r="AI102" i="12" s="1"/>
  <c r="J101" i="12"/>
  <c r="I101" i="12" s="1"/>
  <c r="R101" i="12" s="1"/>
  <c r="AI101" i="12" s="1"/>
  <c r="J98" i="12"/>
  <c r="I98" i="12"/>
  <c r="T98" i="12" s="1"/>
  <c r="V97" i="12"/>
  <c r="T97" i="12"/>
  <c r="R97" i="12"/>
  <c r="AI97" i="12" s="1"/>
  <c r="J97" i="12"/>
  <c r="J96" i="12"/>
  <c r="J95" i="12" s="1"/>
  <c r="I96" i="12"/>
  <c r="V96" i="12" s="1"/>
  <c r="Z91" i="12"/>
  <c r="R91" i="12"/>
  <c r="AI91" i="12" s="1"/>
  <c r="AI90" i="12" s="1"/>
  <c r="I91" i="12"/>
  <c r="J90" i="12"/>
  <c r="AI87" i="12"/>
  <c r="AI84" i="12"/>
  <c r="I84" i="12"/>
  <c r="AI83" i="12"/>
  <c r="J83" i="12"/>
  <c r="AI78" i="12"/>
  <c r="AI77" i="12" s="1"/>
  <c r="R78" i="12"/>
  <c r="J78" i="12"/>
  <c r="J77" i="12"/>
  <c r="I75" i="12"/>
  <c r="AD75" i="12" s="1"/>
  <c r="J74" i="12"/>
  <c r="R72" i="12"/>
  <c r="AI72" i="12" s="1"/>
  <c r="AI71" i="12" s="1"/>
  <c r="I72" i="12"/>
  <c r="J71" i="12"/>
  <c r="I69" i="12"/>
  <c r="R69" i="12" s="1"/>
  <c r="AI69" i="12" s="1"/>
  <c r="I68" i="12"/>
  <c r="R68" i="12" s="1"/>
  <c r="AI68" i="12" s="1"/>
  <c r="R67" i="12"/>
  <c r="AI67" i="12" s="1"/>
  <c r="AI66" i="12" s="1"/>
  <c r="J67" i="12"/>
  <c r="J66" i="12" s="1"/>
  <c r="D67" i="12"/>
  <c r="J62" i="12"/>
  <c r="J61" i="12" s="1"/>
  <c r="I62" i="12"/>
  <c r="AD62" i="12" s="1"/>
  <c r="J57" i="12"/>
  <c r="I57" i="12" s="1"/>
  <c r="J56" i="12"/>
  <c r="J52" i="12"/>
  <c r="J51" i="12" s="1"/>
  <c r="I52" i="12"/>
  <c r="R52" i="12" s="1"/>
  <c r="AI52" i="12" s="1"/>
  <c r="AI51" i="12" s="1"/>
  <c r="AI48" i="12"/>
  <c r="AD48" i="12"/>
  <c r="R48" i="12"/>
  <c r="D48" i="12"/>
  <c r="J48" i="12" s="1"/>
  <c r="AD47" i="12"/>
  <c r="R47" i="12"/>
  <c r="AI47" i="12" s="1"/>
  <c r="D47" i="12"/>
  <c r="J47" i="12" s="1"/>
  <c r="AD46" i="12"/>
  <c r="R46" i="12"/>
  <c r="AI46" i="12" s="1"/>
  <c r="J46" i="12"/>
  <c r="D46" i="12"/>
  <c r="AD45" i="12"/>
  <c r="R45" i="12"/>
  <c r="AI45" i="12" s="1"/>
  <c r="D45" i="12"/>
  <c r="J45" i="12" s="1"/>
  <c r="AI44" i="12"/>
  <c r="AD44" i="12"/>
  <c r="AB44" i="12"/>
  <c r="R44" i="12"/>
  <c r="J44" i="12"/>
  <c r="D44" i="12"/>
  <c r="AI43" i="12"/>
  <c r="AD43" i="12"/>
  <c r="R43" i="12"/>
  <c r="D43" i="12"/>
  <c r="J43" i="12" s="1"/>
  <c r="AD42" i="12"/>
  <c r="R42" i="12"/>
  <c r="AI42" i="12" s="1"/>
  <c r="D42" i="12"/>
  <c r="J42" i="12" s="1"/>
  <c r="AI41" i="12"/>
  <c r="AD41" i="12"/>
  <c r="R41" i="12"/>
  <c r="D41" i="12"/>
  <c r="J41" i="12" s="1"/>
  <c r="AD40" i="12"/>
  <c r="R40" i="12"/>
  <c r="AI40" i="12" s="1"/>
  <c r="D40" i="12"/>
  <c r="J40" i="12" s="1"/>
  <c r="AD39" i="12"/>
  <c r="R39" i="12"/>
  <c r="AI39" i="12" s="1"/>
  <c r="J39" i="12"/>
  <c r="D39" i="12"/>
  <c r="AD38" i="12"/>
  <c r="R38" i="12"/>
  <c r="AI38" i="12" s="1"/>
  <c r="D38" i="12"/>
  <c r="J38" i="12" s="1"/>
  <c r="AD37" i="12"/>
  <c r="AI37" i="12" s="1"/>
  <c r="R37" i="12"/>
  <c r="D37" i="12"/>
  <c r="J37" i="12" s="1"/>
  <c r="AI36" i="12"/>
  <c r="AD36" i="12"/>
  <c r="R36" i="12"/>
  <c r="D36" i="12"/>
  <c r="J36" i="12" s="1"/>
  <c r="AD35" i="12"/>
  <c r="Z35" i="12"/>
  <c r="R35" i="12"/>
  <c r="AI35" i="12" s="1"/>
  <c r="D35" i="12"/>
  <c r="J35" i="12" s="1"/>
  <c r="AI34" i="12"/>
  <c r="AD34" i="12"/>
  <c r="R34" i="12"/>
  <c r="D34" i="12"/>
  <c r="J34" i="12" s="1"/>
  <c r="AD31" i="12"/>
  <c r="R31" i="12"/>
  <c r="AI31" i="12" s="1"/>
  <c r="D31" i="12"/>
  <c r="J31" i="12" s="1"/>
  <c r="AI30" i="12"/>
  <c r="AD30" i="12"/>
  <c r="R30" i="12"/>
  <c r="D30" i="12"/>
  <c r="J30" i="12" s="1"/>
  <c r="AD29" i="12"/>
  <c r="R29" i="12"/>
  <c r="AI29" i="12" s="1"/>
  <c r="D29" i="12"/>
  <c r="J29" i="12" s="1"/>
  <c r="R28" i="12"/>
  <c r="AI28" i="12" s="1"/>
  <c r="J28" i="12"/>
  <c r="D28" i="12"/>
  <c r="AI27" i="12"/>
  <c r="R27" i="12"/>
  <c r="D27" i="12"/>
  <c r="J27" i="12" s="1"/>
  <c r="AD26" i="12"/>
  <c r="R26" i="12"/>
  <c r="AI26" i="12" s="1"/>
  <c r="J26" i="12"/>
  <c r="D26" i="12"/>
  <c r="AD25" i="12"/>
  <c r="R25" i="12"/>
  <c r="AI25" i="12" s="1"/>
  <c r="J25" i="12"/>
  <c r="D25" i="12"/>
  <c r="AD24" i="12"/>
  <c r="R24" i="12"/>
  <c r="AI24" i="12" s="1"/>
  <c r="D24" i="12"/>
  <c r="J24" i="12" s="1"/>
  <c r="AI23" i="12"/>
  <c r="AD23" i="12"/>
  <c r="R23" i="12"/>
  <c r="J23" i="12"/>
  <c r="D23" i="12"/>
  <c r="AI22" i="12"/>
  <c r="AD22" i="12"/>
  <c r="R22" i="12"/>
  <c r="D22" i="12"/>
  <c r="J22" i="12" s="1"/>
  <c r="AD21" i="12"/>
  <c r="R21" i="12"/>
  <c r="AI21" i="12" s="1"/>
  <c r="D21" i="12"/>
  <c r="J21" i="12" s="1"/>
  <c r="AI20" i="12"/>
  <c r="J20" i="12"/>
  <c r="D20" i="12"/>
  <c r="AI19" i="12"/>
  <c r="D19" i="12"/>
  <c r="J19" i="12" s="1"/>
  <c r="AI18" i="12"/>
  <c r="D18" i="12"/>
  <c r="J18" i="12" s="1"/>
  <c r="AI17" i="12"/>
  <c r="R17" i="12"/>
  <c r="D17" i="12"/>
  <c r="J17" i="12" s="1"/>
  <c r="AI16" i="12"/>
  <c r="AD16" i="12"/>
  <c r="R16" i="12"/>
  <c r="D16" i="12"/>
  <c r="J16" i="12" s="1"/>
  <c r="AD15" i="12"/>
  <c r="R15" i="12"/>
  <c r="AI15" i="12" s="1"/>
  <c r="J15" i="12"/>
  <c r="D15" i="12"/>
  <c r="AD14" i="12"/>
  <c r="R14" i="12"/>
  <c r="AI14" i="12" s="1"/>
  <c r="J14" i="12"/>
  <c r="D14" i="12"/>
  <c r="R13" i="12"/>
  <c r="AI13" i="12" s="1"/>
  <c r="D13" i="12"/>
  <c r="J13" i="12" s="1"/>
  <c r="R12" i="12"/>
  <c r="AI12" i="12" s="1"/>
  <c r="D12" i="12"/>
  <c r="J12" i="12" s="1"/>
  <c r="AD11" i="12"/>
  <c r="AI11" i="12" s="1"/>
  <c r="R11" i="12"/>
  <c r="D11" i="12"/>
  <c r="J11" i="12" s="1"/>
  <c r="J10" i="12" l="1"/>
  <c r="Z139" i="12"/>
  <c r="AI107" i="12"/>
  <c r="AF120" i="12"/>
  <c r="AF139" i="12" s="1"/>
  <c r="R120" i="12"/>
  <c r="AI120" i="12" s="1"/>
  <c r="AI119" i="12" s="1"/>
  <c r="AI33" i="12"/>
  <c r="AI10" i="12"/>
  <c r="AD57" i="12"/>
  <c r="R57" i="12"/>
  <c r="AI57" i="12" s="1"/>
  <c r="AI56" i="12" s="1"/>
  <c r="J33" i="12"/>
  <c r="R133" i="12"/>
  <c r="AI133" i="12" s="1"/>
  <c r="AI132" i="12" s="1"/>
  <c r="AI129" i="12" s="1"/>
  <c r="R75" i="12"/>
  <c r="AI75" i="12" s="1"/>
  <c r="AI74" i="12" s="1"/>
  <c r="R98" i="12"/>
  <c r="R96" i="12"/>
  <c r="Z107" i="12"/>
  <c r="T96" i="12"/>
  <c r="T139" i="12" s="1"/>
  <c r="V98" i="12"/>
  <c r="V139" i="12" s="1"/>
  <c r="AD107" i="12"/>
  <c r="J100" i="12"/>
  <c r="J80" i="12" s="1"/>
  <c r="R62" i="12"/>
  <c r="AI62" i="12" s="1"/>
  <c r="AI61" i="12" s="1"/>
  <c r="AD139" i="12"/>
  <c r="R106" i="12"/>
  <c r="AI106" i="12" s="1"/>
  <c r="AI100" i="12" s="1"/>
  <c r="J119" i="12"/>
  <c r="J139" i="12" l="1"/>
  <c r="R139" i="12"/>
  <c r="AI96" i="12"/>
  <c r="J8" i="12"/>
  <c r="AI8" i="12"/>
  <c r="AI98" i="12"/>
  <c r="AI95" i="12" l="1"/>
  <c r="AI80" i="12" s="1"/>
  <c r="AI139" i="12" s="1"/>
  <c r="AM4371" i="9" l="1"/>
  <c r="AN4371" i="9" s="1"/>
  <c r="AF4371" i="9"/>
  <c r="AB4371" i="9"/>
  <c r="AK4371" i="9" s="1"/>
  <c r="AL4371" i="9" s="1"/>
  <c r="V4371" i="9"/>
  <c r="R4371" i="9"/>
  <c r="I4371" i="9"/>
  <c r="K4371" i="9" s="1"/>
  <c r="L4371" i="9" s="1"/>
  <c r="AF4370" i="9"/>
  <c r="AE4370" i="9"/>
  <c r="AB4370" i="9"/>
  <c r="AA4370" i="9"/>
  <c r="V4370" i="9"/>
  <c r="U4370" i="9"/>
  <c r="R4370" i="9"/>
  <c r="Q4370" i="9"/>
  <c r="I4370" i="9"/>
  <c r="K4370" i="9" s="1"/>
  <c r="L4370" i="9" s="1"/>
  <c r="AF4369" i="9"/>
  <c r="AE4369" i="9"/>
  <c r="AB4369" i="9"/>
  <c r="AA4369" i="9"/>
  <c r="V4369" i="9"/>
  <c r="U4369" i="9"/>
  <c r="R4369" i="9"/>
  <c r="AK4369" i="9" s="1"/>
  <c r="AL4369" i="9" s="1"/>
  <c r="Q4369" i="9"/>
  <c r="I4369" i="9"/>
  <c r="K4369" i="9" s="1"/>
  <c r="L4369" i="9" s="1"/>
  <c r="AF4368" i="9"/>
  <c r="AE4368" i="9"/>
  <c r="AB4368" i="9"/>
  <c r="AA4368" i="9"/>
  <c r="V4368" i="9"/>
  <c r="U4368" i="9"/>
  <c r="R4368" i="9"/>
  <c r="Q4368" i="9"/>
  <c r="K4368" i="9"/>
  <c r="L4368" i="9" s="1"/>
  <c r="AO4367" i="9"/>
  <c r="AF4367" i="9"/>
  <c r="AE4367" i="9"/>
  <c r="AB4367" i="9"/>
  <c r="AA4367" i="9"/>
  <c r="V4367" i="9"/>
  <c r="U4367" i="9"/>
  <c r="R4367" i="9"/>
  <c r="Q4367" i="9"/>
  <c r="AM4367" i="9" s="1"/>
  <c r="AN4367" i="9" s="1"/>
  <c r="K4367" i="9"/>
  <c r="L4367" i="9" s="1"/>
  <c r="AN4366" i="9"/>
  <c r="AM4366" i="9"/>
  <c r="AF4366" i="9"/>
  <c r="AB4366" i="9"/>
  <c r="V4366" i="9"/>
  <c r="R4366" i="9"/>
  <c r="I4366" i="9"/>
  <c r="K4366" i="9" s="1"/>
  <c r="L4366" i="9" s="1"/>
  <c r="AO4365" i="9"/>
  <c r="AF4365" i="9"/>
  <c r="AE4365" i="9"/>
  <c r="AB4365" i="9"/>
  <c r="AA4365" i="9"/>
  <c r="V4365" i="9"/>
  <c r="U4365" i="9"/>
  <c r="R4365" i="9"/>
  <c r="Q4365" i="9"/>
  <c r="K4365" i="9"/>
  <c r="L4365" i="9" s="1"/>
  <c r="AM4364" i="9"/>
  <c r="AN4364" i="9" s="1"/>
  <c r="AF4364" i="9"/>
  <c r="AK4364" i="9" s="1"/>
  <c r="AL4364" i="9" s="1"/>
  <c r="AB4364" i="9"/>
  <c r="V4364" i="9"/>
  <c r="R4364" i="9"/>
  <c r="K4364" i="9"/>
  <c r="L4364" i="9" s="1"/>
  <c r="AM4363" i="9"/>
  <c r="AN4363" i="9" s="1"/>
  <c r="AF4363" i="9"/>
  <c r="AB4363" i="9"/>
  <c r="V4363" i="9"/>
  <c r="AK4363" i="9" s="1"/>
  <c r="AL4363" i="9" s="1"/>
  <c r="R4363" i="9"/>
  <c r="I4363" i="9"/>
  <c r="K4363" i="9" s="1"/>
  <c r="L4363" i="9" s="1"/>
  <c r="AM4362" i="9"/>
  <c r="AN4362" i="9" s="1"/>
  <c r="AF4362" i="9"/>
  <c r="AB4362" i="9"/>
  <c r="V4362" i="9"/>
  <c r="R4362" i="9"/>
  <c r="I4362" i="9"/>
  <c r="K4362" i="9" s="1"/>
  <c r="L4362" i="9" s="1"/>
  <c r="AO4361" i="9"/>
  <c r="AF4361" i="9"/>
  <c r="AE4361" i="9"/>
  <c r="AB4361" i="9"/>
  <c r="AA4361" i="9"/>
  <c r="V4361" i="9"/>
  <c r="U4361" i="9"/>
  <c r="R4361" i="9"/>
  <c r="AK4361" i="9" s="1"/>
  <c r="AL4361" i="9" s="1"/>
  <c r="Q4361" i="9"/>
  <c r="L4361" i="9"/>
  <c r="AF4360" i="9"/>
  <c r="AE4360" i="9"/>
  <c r="AB4360" i="9"/>
  <c r="AA4360" i="9"/>
  <c r="V4360" i="9"/>
  <c r="U4360" i="9"/>
  <c r="R4360" i="9"/>
  <c r="Q4360" i="9"/>
  <c r="L4360" i="9"/>
  <c r="AM4359" i="9"/>
  <c r="AN4359" i="9" s="1"/>
  <c r="AF4359" i="9"/>
  <c r="AB4359" i="9"/>
  <c r="AK4359" i="9" s="1"/>
  <c r="AL4359" i="9" s="1"/>
  <c r="V4359" i="9"/>
  <c r="R4359" i="9"/>
  <c r="K4359" i="9"/>
  <c r="AN4358" i="9"/>
  <c r="AM4358" i="9"/>
  <c r="AF4358" i="9"/>
  <c r="AB4358" i="9"/>
  <c r="V4358" i="9"/>
  <c r="R4358" i="9"/>
  <c r="AK4358" i="9" s="1"/>
  <c r="AL4358" i="9" s="1"/>
  <c r="K4358" i="9"/>
  <c r="AM4357" i="9"/>
  <c r="AN4357" i="9" s="1"/>
  <c r="AF4357" i="9"/>
  <c r="AB4357" i="9"/>
  <c r="V4357" i="9"/>
  <c r="R4357" i="9"/>
  <c r="I4357" i="9"/>
  <c r="K4357" i="9" s="1"/>
  <c r="L4357" i="9" s="1"/>
  <c r="AO4356" i="9"/>
  <c r="AF4356" i="9"/>
  <c r="AE4356" i="9"/>
  <c r="AB4356" i="9"/>
  <c r="AA4356" i="9"/>
  <c r="V4356" i="9"/>
  <c r="U4356" i="9"/>
  <c r="R4356" i="9"/>
  <c r="Q4356" i="9"/>
  <c r="K4356" i="9"/>
  <c r="L4356" i="9" s="1"/>
  <c r="AF4355" i="9"/>
  <c r="AE4355" i="9"/>
  <c r="AB4355" i="9"/>
  <c r="AA4355" i="9"/>
  <c r="AM4355" i="9" s="1"/>
  <c r="AN4355" i="9" s="1"/>
  <c r="V4355" i="9"/>
  <c r="U4355" i="9"/>
  <c r="R4355" i="9"/>
  <c r="Q4355" i="9"/>
  <c r="K4355" i="9"/>
  <c r="L4355" i="9" s="1"/>
  <c r="AF4354" i="9"/>
  <c r="AE4354" i="9"/>
  <c r="AB4354" i="9"/>
  <c r="AA4354" i="9"/>
  <c r="V4354" i="9"/>
  <c r="U4354" i="9"/>
  <c r="R4354" i="9"/>
  <c r="Q4354" i="9"/>
  <c r="AM4354" i="9" s="1"/>
  <c r="AN4354" i="9" s="1"/>
  <c r="K4354" i="9"/>
  <c r="L4354" i="9" s="1"/>
  <c r="AM4353" i="9"/>
  <c r="AN4353" i="9" s="1"/>
  <c r="AF4353" i="9"/>
  <c r="AB4353" i="9"/>
  <c r="V4353" i="9"/>
  <c r="R4353" i="9"/>
  <c r="K4353" i="9"/>
  <c r="L4353" i="9" s="1"/>
  <c r="I4353" i="9"/>
  <c r="AO4352" i="9"/>
  <c r="AF4352" i="9"/>
  <c r="AE4352" i="9"/>
  <c r="AB4352" i="9"/>
  <c r="AA4352" i="9"/>
  <c r="V4352" i="9"/>
  <c r="U4352" i="9"/>
  <c r="R4352" i="9"/>
  <c r="Q4352" i="9"/>
  <c r="K4352" i="9"/>
  <c r="L4352" i="9" s="1"/>
  <c r="AK4351" i="9"/>
  <c r="AL4351" i="9" s="1"/>
  <c r="AF4351" i="9"/>
  <c r="AE4351" i="9"/>
  <c r="AB4351" i="9"/>
  <c r="AA4351" i="9"/>
  <c r="V4351" i="9"/>
  <c r="U4351" i="9"/>
  <c r="R4351" i="9"/>
  <c r="Q4351" i="9"/>
  <c r="K4351" i="9"/>
  <c r="L4351" i="9" s="1"/>
  <c r="AM4350" i="9"/>
  <c r="AN4350" i="9" s="1"/>
  <c r="AF4350" i="9"/>
  <c r="AB4350" i="9"/>
  <c r="V4350" i="9"/>
  <c r="R4350" i="9"/>
  <c r="K4350" i="9"/>
  <c r="AM4349" i="9"/>
  <c r="AN4349" i="9" s="1"/>
  <c r="AF4349" i="9"/>
  <c r="AB4349" i="9"/>
  <c r="V4349" i="9"/>
  <c r="R4349" i="9"/>
  <c r="K4349" i="9"/>
  <c r="L4349" i="9" s="1"/>
  <c r="AM4348" i="9"/>
  <c r="AN4348" i="9" s="1"/>
  <c r="AF4348" i="9"/>
  <c r="AB4348" i="9"/>
  <c r="V4348" i="9"/>
  <c r="R4348" i="9"/>
  <c r="I4348" i="9"/>
  <c r="K4348" i="9" s="1"/>
  <c r="L4348" i="9" s="1"/>
  <c r="AN4347" i="9"/>
  <c r="AM4347" i="9"/>
  <c r="AF4347" i="9"/>
  <c r="AB4347" i="9"/>
  <c r="V4347" i="9"/>
  <c r="R4347" i="9"/>
  <c r="AK4347" i="9" s="1"/>
  <c r="AL4347" i="9" s="1"/>
  <c r="I4347" i="9"/>
  <c r="K4347" i="9" s="1"/>
  <c r="L4347" i="9" s="1"/>
  <c r="AN4346" i="9"/>
  <c r="AM4346" i="9"/>
  <c r="AF4346" i="9"/>
  <c r="AB4346" i="9"/>
  <c r="V4346" i="9"/>
  <c r="R4346" i="9"/>
  <c r="AK4346" i="9" s="1"/>
  <c r="AL4346" i="9" s="1"/>
  <c r="I4346" i="9"/>
  <c r="K4346" i="9" s="1"/>
  <c r="L4346" i="9" s="1"/>
  <c r="AO4345" i="9"/>
  <c r="AF4345" i="9"/>
  <c r="AE4345" i="9"/>
  <c r="AM4345" i="9" s="1"/>
  <c r="AN4345" i="9" s="1"/>
  <c r="AB4345" i="9"/>
  <c r="AA4345" i="9"/>
  <c r="V4345" i="9"/>
  <c r="U4345" i="9"/>
  <c r="R4345" i="9"/>
  <c r="Q4345" i="9"/>
  <c r="K4345" i="9"/>
  <c r="L4345" i="9" s="1"/>
  <c r="AF4344" i="9"/>
  <c r="AE4344" i="9"/>
  <c r="AB4344" i="9"/>
  <c r="AA4344" i="9"/>
  <c r="V4344" i="9"/>
  <c r="U4344" i="9"/>
  <c r="R4344" i="9"/>
  <c r="Q4344" i="9"/>
  <c r="K4344" i="9"/>
  <c r="L4344" i="9" s="1"/>
  <c r="AM4343" i="9"/>
  <c r="J4343" i="9"/>
  <c r="D4343" i="9"/>
  <c r="AN4343" i="9" s="1"/>
  <c r="AF4342" i="9"/>
  <c r="AE4342" i="9"/>
  <c r="AB4342" i="9"/>
  <c r="AA4342" i="9"/>
  <c r="V4342" i="9"/>
  <c r="U4342" i="9"/>
  <c r="R4342" i="9"/>
  <c r="Q4342" i="9"/>
  <c r="K4342" i="9"/>
  <c r="L4342" i="9" s="1"/>
  <c r="AF4341" i="9"/>
  <c r="AE4341" i="9"/>
  <c r="AB4341" i="9"/>
  <c r="AK4341" i="9" s="1"/>
  <c r="AL4341" i="9" s="1"/>
  <c r="AA4341" i="9"/>
  <c r="V4341" i="9"/>
  <c r="U4341" i="9"/>
  <c r="R4341" i="9"/>
  <c r="Q4341" i="9"/>
  <c r="K4341" i="9"/>
  <c r="L4341" i="9" s="1"/>
  <c r="AF4340" i="9"/>
  <c r="AE4340" i="9"/>
  <c r="AB4340" i="9"/>
  <c r="AA4340" i="9"/>
  <c r="V4340" i="9"/>
  <c r="U4340" i="9"/>
  <c r="R4340" i="9"/>
  <c r="Q4340" i="9"/>
  <c r="K4340" i="9"/>
  <c r="L4340" i="9" s="1"/>
  <c r="AN4339" i="9"/>
  <c r="AM4339" i="9"/>
  <c r="AF4339" i="9"/>
  <c r="AB4339" i="9"/>
  <c r="V4339" i="9"/>
  <c r="R4339" i="9"/>
  <c r="L4339" i="9"/>
  <c r="I4339" i="9"/>
  <c r="K4339" i="9" s="1"/>
  <c r="AO4338" i="9"/>
  <c r="AF4338" i="9"/>
  <c r="AE4338" i="9"/>
  <c r="AB4338" i="9"/>
  <c r="AA4338" i="9"/>
  <c r="V4338" i="9"/>
  <c r="AK4338" i="9" s="1"/>
  <c r="AL4338" i="9" s="1"/>
  <c r="U4338" i="9"/>
  <c r="R4338" i="9"/>
  <c r="Q4338" i="9"/>
  <c r="AM4338" i="9" s="1"/>
  <c r="AN4338" i="9" s="1"/>
  <c r="K4338" i="9"/>
  <c r="L4338" i="9" s="1"/>
  <c r="AF4337" i="9"/>
  <c r="AE4337" i="9"/>
  <c r="AB4337" i="9"/>
  <c r="AA4337" i="9"/>
  <c r="V4337" i="9"/>
  <c r="U4337" i="9"/>
  <c r="R4337" i="9"/>
  <c r="Q4337" i="9"/>
  <c r="K4337" i="9"/>
  <c r="L4337" i="9" s="1"/>
  <c r="AM4336" i="9"/>
  <c r="AN4336" i="9" s="1"/>
  <c r="AF4336" i="9"/>
  <c r="AK4336" i="9" s="1"/>
  <c r="AL4336" i="9" s="1"/>
  <c r="AB4336" i="9"/>
  <c r="V4336" i="9"/>
  <c r="R4336" i="9"/>
  <c r="I4336" i="9"/>
  <c r="K4336" i="9" s="1"/>
  <c r="L4336" i="9" s="1"/>
  <c r="AM4335" i="9"/>
  <c r="AN4335" i="9" s="1"/>
  <c r="AF4335" i="9"/>
  <c r="AB4335" i="9"/>
  <c r="V4335" i="9"/>
  <c r="R4335" i="9"/>
  <c r="I4335" i="9"/>
  <c r="K4335" i="9" s="1"/>
  <c r="L4335" i="9" s="1"/>
  <c r="AN4334" i="9"/>
  <c r="AM4334" i="9"/>
  <c r="AF4334" i="9"/>
  <c r="AB4334" i="9"/>
  <c r="V4334" i="9"/>
  <c r="AK4334" i="9" s="1"/>
  <c r="AL4334" i="9" s="1"/>
  <c r="R4334" i="9"/>
  <c r="I4334" i="9"/>
  <c r="K4334" i="9" s="1"/>
  <c r="L4334" i="9" s="1"/>
  <c r="AM4333" i="9"/>
  <c r="AN4333" i="9" s="1"/>
  <c r="AF4333" i="9"/>
  <c r="AB4333" i="9"/>
  <c r="V4333" i="9"/>
  <c r="R4333" i="9"/>
  <c r="AK4333" i="9" s="1"/>
  <c r="AL4333" i="9" s="1"/>
  <c r="I4333" i="9"/>
  <c r="K4333" i="9" s="1"/>
  <c r="L4333" i="9" s="1"/>
  <c r="AM4332" i="9"/>
  <c r="AN4332" i="9" s="1"/>
  <c r="AF4332" i="9"/>
  <c r="AB4332" i="9"/>
  <c r="V4332" i="9"/>
  <c r="R4332" i="9"/>
  <c r="I4332" i="9"/>
  <c r="K4332" i="9" s="1"/>
  <c r="L4332" i="9" s="1"/>
  <c r="AM4331" i="9"/>
  <c r="AN4331" i="9" s="1"/>
  <c r="AK4331" i="9"/>
  <c r="AL4331" i="9" s="1"/>
  <c r="AF4331" i="9"/>
  <c r="AB4331" i="9"/>
  <c r="V4331" i="9"/>
  <c r="R4331" i="9"/>
  <c r="I4331" i="9"/>
  <c r="K4331" i="9" s="1"/>
  <c r="L4331" i="9" s="1"/>
  <c r="AO4330" i="9"/>
  <c r="AF4330" i="9"/>
  <c r="AE4330" i="9"/>
  <c r="AB4330" i="9"/>
  <c r="AK4330" i="9" s="1"/>
  <c r="AL4330" i="9" s="1"/>
  <c r="AA4330" i="9"/>
  <c r="V4330" i="9"/>
  <c r="U4330" i="9"/>
  <c r="R4330" i="9"/>
  <c r="Q4330" i="9"/>
  <c r="K4330" i="9"/>
  <c r="L4330" i="9" s="1"/>
  <c r="AF4329" i="9"/>
  <c r="AE4329" i="9"/>
  <c r="AB4329" i="9"/>
  <c r="AA4329" i="9"/>
  <c r="V4329" i="9"/>
  <c r="U4329" i="9"/>
  <c r="R4329" i="9"/>
  <c r="Q4329" i="9"/>
  <c r="K4329" i="9"/>
  <c r="L4329" i="9" s="1"/>
  <c r="AF4328" i="9"/>
  <c r="AE4328" i="9"/>
  <c r="AB4328" i="9"/>
  <c r="AA4328" i="9"/>
  <c r="V4328" i="9"/>
  <c r="U4328" i="9"/>
  <c r="R4328" i="9"/>
  <c r="Q4328" i="9"/>
  <c r="AM4328" i="9" s="1"/>
  <c r="AN4328" i="9" s="1"/>
  <c r="K4328" i="9"/>
  <c r="L4328" i="9" s="1"/>
  <c r="AM4327" i="9"/>
  <c r="AN4327" i="9" s="1"/>
  <c r="AF4327" i="9"/>
  <c r="AB4327" i="9"/>
  <c r="V4327" i="9"/>
  <c r="AK4327" i="9" s="1"/>
  <c r="AL4327" i="9" s="1"/>
  <c r="R4327" i="9"/>
  <c r="L4327" i="9"/>
  <c r="K4327" i="9"/>
  <c r="I4327" i="9"/>
  <c r="AN4326" i="9"/>
  <c r="AM4326" i="9"/>
  <c r="AF4326" i="9"/>
  <c r="AK4326" i="9" s="1"/>
  <c r="AL4326" i="9" s="1"/>
  <c r="AB4326" i="9"/>
  <c r="V4326" i="9"/>
  <c r="R4326" i="9"/>
  <c r="I4326" i="9"/>
  <c r="K4326" i="9" s="1"/>
  <c r="L4326" i="9" s="1"/>
  <c r="AO4325" i="9"/>
  <c r="AF4325" i="9"/>
  <c r="AE4325" i="9"/>
  <c r="AB4325" i="9"/>
  <c r="AA4325" i="9"/>
  <c r="V4325" i="9"/>
  <c r="U4325" i="9"/>
  <c r="R4325" i="9"/>
  <c r="Q4325" i="9"/>
  <c r="L4325" i="9"/>
  <c r="K4325" i="9"/>
  <c r="AF4324" i="9"/>
  <c r="AE4324" i="9"/>
  <c r="AB4324" i="9"/>
  <c r="AA4324" i="9"/>
  <c r="AM4324" i="9" s="1"/>
  <c r="AN4324" i="9" s="1"/>
  <c r="V4324" i="9"/>
  <c r="U4324" i="9"/>
  <c r="R4324" i="9"/>
  <c r="Q4324" i="9"/>
  <c r="K4324" i="9"/>
  <c r="L4324" i="9" s="1"/>
  <c r="AM4323" i="9"/>
  <c r="AN4323" i="9" s="1"/>
  <c r="AF4323" i="9"/>
  <c r="AB4323" i="9"/>
  <c r="V4323" i="9"/>
  <c r="R4323" i="9"/>
  <c r="L4323" i="9"/>
  <c r="K4323" i="9"/>
  <c r="I4323" i="9"/>
  <c r="AO4322" i="9"/>
  <c r="AF4322" i="9"/>
  <c r="AE4322" i="9"/>
  <c r="AB4322" i="9"/>
  <c r="AA4322" i="9"/>
  <c r="V4322" i="9"/>
  <c r="U4322" i="9"/>
  <c r="R4322" i="9"/>
  <c r="Q4322" i="9"/>
  <c r="L4322" i="9"/>
  <c r="K4322" i="9"/>
  <c r="AK4321" i="9"/>
  <c r="AL4321" i="9" s="1"/>
  <c r="AF4321" i="9"/>
  <c r="AE4321" i="9"/>
  <c r="AB4321" i="9"/>
  <c r="AA4321" i="9"/>
  <c r="V4321" i="9"/>
  <c r="U4321" i="9"/>
  <c r="R4321" i="9"/>
  <c r="Q4321" i="9"/>
  <c r="K4321" i="9"/>
  <c r="L4321" i="9" s="1"/>
  <c r="AM4320" i="9"/>
  <c r="AN4320" i="9" s="1"/>
  <c r="AF4320" i="9"/>
  <c r="AB4320" i="9"/>
  <c r="V4320" i="9"/>
  <c r="R4320" i="9"/>
  <c r="I4320" i="9"/>
  <c r="K4320" i="9" s="1"/>
  <c r="L4320" i="9" s="1"/>
  <c r="AM4319" i="9"/>
  <c r="J4319" i="9"/>
  <c r="D4319" i="9"/>
  <c r="AM4318" i="9"/>
  <c r="J4318" i="9"/>
  <c r="AF4318" i="9" s="1"/>
  <c r="D4318" i="9"/>
  <c r="AM4317" i="9"/>
  <c r="J4317" i="9"/>
  <c r="I4317" i="9"/>
  <c r="D4317" i="9"/>
  <c r="AF4316" i="9"/>
  <c r="AE4316" i="9"/>
  <c r="AB4316" i="9"/>
  <c r="AA4316" i="9"/>
  <c r="V4316" i="9"/>
  <c r="U4316" i="9"/>
  <c r="R4316" i="9"/>
  <c r="AK4316" i="9" s="1"/>
  <c r="AL4316" i="9" s="1"/>
  <c r="Q4316" i="9"/>
  <c r="K4316" i="9"/>
  <c r="L4316" i="9" s="1"/>
  <c r="AF4315" i="9"/>
  <c r="AE4315" i="9"/>
  <c r="AB4315" i="9"/>
  <c r="AA4315" i="9"/>
  <c r="V4315" i="9"/>
  <c r="U4315" i="9"/>
  <c r="R4315" i="9"/>
  <c r="Q4315" i="9"/>
  <c r="K4315" i="9"/>
  <c r="L4315" i="9" s="1"/>
  <c r="AM4314" i="9"/>
  <c r="AN4314" i="9" s="1"/>
  <c r="AF4314" i="9"/>
  <c r="AE4314" i="9"/>
  <c r="AB4314" i="9"/>
  <c r="AA4314" i="9"/>
  <c r="V4314" i="9"/>
  <c r="U4314" i="9"/>
  <c r="R4314" i="9"/>
  <c r="Q4314" i="9"/>
  <c r="K4314" i="9"/>
  <c r="L4314" i="9" s="1"/>
  <c r="AM4313" i="9"/>
  <c r="AN4313" i="9" s="1"/>
  <c r="AF4313" i="9"/>
  <c r="AB4313" i="9"/>
  <c r="AK4313" i="9" s="1"/>
  <c r="AL4313" i="9" s="1"/>
  <c r="V4313" i="9"/>
  <c r="R4313" i="9"/>
  <c r="I4313" i="9"/>
  <c r="K4313" i="9" s="1"/>
  <c r="L4313" i="9" s="1"/>
  <c r="AN4312" i="9"/>
  <c r="AM4312" i="9"/>
  <c r="AF4312" i="9"/>
  <c r="AB4312" i="9"/>
  <c r="V4312" i="9"/>
  <c r="R4312" i="9"/>
  <c r="K4312" i="9"/>
  <c r="L4312" i="9" s="1"/>
  <c r="I4312" i="9"/>
  <c r="AM4311" i="9"/>
  <c r="AF4311" i="9"/>
  <c r="AB4311" i="9"/>
  <c r="V4311" i="9"/>
  <c r="J4311" i="9"/>
  <c r="R4311" i="9" s="1"/>
  <c r="D4311" i="9"/>
  <c r="AN4310" i="9"/>
  <c r="AM4310" i="9"/>
  <c r="AF4310" i="9"/>
  <c r="AB4310" i="9"/>
  <c r="V4310" i="9"/>
  <c r="R4310" i="9"/>
  <c r="L4310" i="9"/>
  <c r="K4310" i="9"/>
  <c r="I4310" i="9"/>
  <c r="AM4309" i="9"/>
  <c r="AN4309" i="9" s="1"/>
  <c r="AF4309" i="9"/>
  <c r="AB4309" i="9"/>
  <c r="V4309" i="9"/>
  <c r="R4309" i="9"/>
  <c r="I4309" i="9"/>
  <c r="K4309" i="9" s="1"/>
  <c r="L4309" i="9" s="1"/>
  <c r="AM4308" i="9"/>
  <c r="AN4308" i="9" s="1"/>
  <c r="AF4308" i="9"/>
  <c r="AB4308" i="9"/>
  <c r="V4308" i="9"/>
  <c r="R4308" i="9"/>
  <c r="I4308" i="9"/>
  <c r="K4308" i="9" s="1"/>
  <c r="L4308" i="9" s="1"/>
  <c r="AM4307" i="9"/>
  <c r="J4307" i="9"/>
  <c r="I4307" i="9" s="1"/>
  <c r="D4307" i="9"/>
  <c r="AN4307" i="9" s="1"/>
  <c r="AM4306" i="9"/>
  <c r="AB4306" i="9"/>
  <c r="V4306" i="9"/>
  <c r="R4306" i="9"/>
  <c r="J4306" i="9"/>
  <c r="D4306" i="9"/>
  <c r="AN4306" i="9" s="1"/>
  <c r="AM4305" i="9"/>
  <c r="R4305" i="9"/>
  <c r="J4305" i="9"/>
  <c r="AF4305" i="9" s="1"/>
  <c r="D4305" i="9"/>
  <c r="AM4304" i="9"/>
  <c r="R4304" i="9"/>
  <c r="J4304" i="9"/>
  <c r="AF4304" i="9" s="1"/>
  <c r="D4304" i="9"/>
  <c r="AM4303" i="9"/>
  <c r="J4303" i="9"/>
  <c r="D4303" i="9"/>
  <c r="AM4302" i="9"/>
  <c r="AF4302" i="9"/>
  <c r="J4302" i="9"/>
  <c r="D4302" i="9"/>
  <c r="AN4302" i="9" s="1"/>
  <c r="AM4301" i="9"/>
  <c r="AN4301" i="9" s="1"/>
  <c r="AK4301" i="9"/>
  <c r="AF4301" i="9"/>
  <c r="AB4301" i="9"/>
  <c r="V4301" i="9"/>
  <c r="R4301" i="9"/>
  <c r="J4301" i="9"/>
  <c r="I4301" i="9" s="1"/>
  <c r="K4301" i="9" s="1"/>
  <c r="L4301" i="9" s="1"/>
  <c r="AM4300" i="9"/>
  <c r="J4300" i="9"/>
  <c r="D4300" i="9"/>
  <c r="I4300" i="9" s="1"/>
  <c r="K4300" i="9" s="1"/>
  <c r="L4300" i="9" s="1"/>
  <c r="AF4299" i="9"/>
  <c r="AE4299" i="9"/>
  <c r="AB4299" i="9"/>
  <c r="AA4299" i="9"/>
  <c r="V4299" i="9"/>
  <c r="U4299" i="9"/>
  <c r="R4299" i="9"/>
  <c r="Q4299" i="9"/>
  <c r="AM4299" i="9" s="1"/>
  <c r="AN4299" i="9" s="1"/>
  <c r="I4299" i="9"/>
  <c r="K4299" i="9" s="1"/>
  <c r="L4299" i="9" s="1"/>
  <c r="AM4298" i="9"/>
  <c r="AB4298" i="9"/>
  <c r="J4298" i="9"/>
  <c r="D4298" i="9"/>
  <c r="AF4297" i="9"/>
  <c r="AE4297" i="9"/>
  <c r="AB4297" i="9"/>
  <c r="AA4297" i="9"/>
  <c r="V4297" i="9"/>
  <c r="U4297" i="9"/>
  <c r="R4297" i="9"/>
  <c r="AK4297" i="9" s="1"/>
  <c r="AL4297" i="9" s="1"/>
  <c r="Q4297" i="9"/>
  <c r="AM4297" i="9" s="1"/>
  <c r="AN4297" i="9" s="1"/>
  <c r="L4297" i="9"/>
  <c r="K4297" i="9"/>
  <c r="AM4296" i="9"/>
  <c r="AN4296" i="9" s="1"/>
  <c r="AF4296" i="9"/>
  <c r="AB4296" i="9"/>
  <c r="V4296" i="9"/>
  <c r="R4296" i="9"/>
  <c r="I4296" i="9"/>
  <c r="K4296" i="9" s="1"/>
  <c r="L4296" i="9" s="1"/>
  <c r="AO4295" i="9"/>
  <c r="AM4295" i="9"/>
  <c r="AN4295" i="9" s="1"/>
  <c r="AF4295" i="9"/>
  <c r="AE4295" i="9"/>
  <c r="AB4295" i="9"/>
  <c r="AA4295" i="9"/>
  <c r="V4295" i="9"/>
  <c r="U4295" i="9"/>
  <c r="R4295" i="9"/>
  <c r="Q4295" i="9"/>
  <c r="K4295" i="9"/>
  <c r="L4295" i="9" s="1"/>
  <c r="AM4294" i="9"/>
  <c r="AN4294" i="9" s="1"/>
  <c r="AF4294" i="9"/>
  <c r="AB4294" i="9"/>
  <c r="AK4294" i="9" s="1"/>
  <c r="AL4294" i="9" s="1"/>
  <c r="V4294" i="9"/>
  <c r="R4294" i="9"/>
  <c r="I4294" i="9"/>
  <c r="K4294" i="9" s="1"/>
  <c r="L4294" i="9" s="1"/>
  <c r="AN4293" i="9"/>
  <c r="AM4293" i="9"/>
  <c r="AF4293" i="9"/>
  <c r="AB4293" i="9"/>
  <c r="V4293" i="9"/>
  <c r="R4293" i="9"/>
  <c r="I4293" i="9"/>
  <c r="K4293" i="9" s="1"/>
  <c r="L4293" i="9" s="1"/>
  <c r="AM4292" i="9"/>
  <c r="AN4292" i="9" s="1"/>
  <c r="AF4292" i="9"/>
  <c r="AE4292" i="9"/>
  <c r="AB4292" i="9"/>
  <c r="AA4292" i="9"/>
  <c r="V4292" i="9"/>
  <c r="U4292" i="9"/>
  <c r="R4292" i="9"/>
  <c r="Q4292" i="9"/>
  <c r="I4292" i="9"/>
  <c r="K4292" i="9" s="1"/>
  <c r="L4292" i="9" s="1"/>
  <c r="AO4291" i="9"/>
  <c r="AF4291" i="9"/>
  <c r="AE4291" i="9"/>
  <c r="AB4291" i="9"/>
  <c r="AA4291" i="9"/>
  <c r="V4291" i="9"/>
  <c r="AK4291" i="9" s="1"/>
  <c r="AL4291" i="9" s="1"/>
  <c r="U4291" i="9"/>
  <c r="R4291" i="9"/>
  <c r="Q4291" i="9"/>
  <c r="AM4291" i="9" s="1"/>
  <c r="AN4291" i="9" s="1"/>
  <c r="K4291" i="9"/>
  <c r="L4291" i="9" s="1"/>
  <c r="AM4290" i="9"/>
  <c r="AN4290" i="9" s="1"/>
  <c r="AF4290" i="9"/>
  <c r="AB4290" i="9"/>
  <c r="V4290" i="9"/>
  <c r="R4290" i="9"/>
  <c r="I4290" i="9"/>
  <c r="K4290" i="9" s="1"/>
  <c r="L4290" i="9" s="1"/>
  <c r="AN4289" i="9"/>
  <c r="AM4289" i="9"/>
  <c r="AF4289" i="9"/>
  <c r="AB4289" i="9"/>
  <c r="V4289" i="9"/>
  <c r="R4289" i="9"/>
  <c r="I4289" i="9"/>
  <c r="K4289" i="9" s="1"/>
  <c r="L4289" i="9" s="1"/>
  <c r="AM4288" i="9"/>
  <c r="AN4288" i="9" s="1"/>
  <c r="AF4288" i="9"/>
  <c r="AB4288" i="9"/>
  <c r="V4288" i="9"/>
  <c r="AK4288" i="9" s="1"/>
  <c r="AL4288" i="9" s="1"/>
  <c r="R4288" i="9"/>
  <c r="K4288" i="9"/>
  <c r="L4288" i="9" s="1"/>
  <c r="I4288" i="9"/>
  <c r="AM4287" i="9"/>
  <c r="J4287" i="9"/>
  <c r="D4287" i="9"/>
  <c r="AF4286" i="9"/>
  <c r="AE4286" i="9"/>
  <c r="AB4286" i="9"/>
  <c r="AA4286" i="9"/>
  <c r="V4286" i="9"/>
  <c r="U4286" i="9"/>
  <c r="R4286" i="9"/>
  <c r="Q4286" i="9"/>
  <c r="AM4286" i="9" s="1"/>
  <c r="AN4286" i="9" s="1"/>
  <c r="K4286" i="9"/>
  <c r="L4286" i="9" s="1"/>
  <c r="AF4285" i="9"/>
  <c r="AE4285" i="9"/>
  <c r="AB4285" i="9"/>
  <c r="AA4285" i="9"/>
  <c r="V4285" i="9"/>
  <c r="U4285" i="9"/>
  <c r="R4285" i="9"/>
  <c r="Q4285" i="9"/>
  <c r="AM4285" i="9" s="1"/>
  <c r="AN4285" i="9" s="1"/>
  <c r="K4285" i="9"/>
  <c r="L4285" i="9" s="1"/>
  <c r="AN4284" i="9"/>
  <c r="AM4284" i="9"/>
  <c r="AF4284" i="9"/>
  <c r="AK4284" i="9" s="1"/>
  <c r="AL4284" i="9" s="1"/>
  <c r="AB4284" i="9"/>
  <c r="V4284" i="9"/>
  <c r="R4284" i="9"/>
  <c r="K4284" i="9"/>
  <c r="L4284" i="9" s="1"/>
  <c r="I4284" i="9"/>
  <c r="AO4283" i="9"/>
  <c r="AF4283" i="9"/>
  <c r="AE4283" i="9"/>
  <c r="AB4283" i="9"/>
  <c r="AA4283" i="9"/>
  <c r="V4283" i="9"/>
  <c r="U4283" i="9"/>
  <c r="R4283" i="9"/>
  <c r="Q4283" i="9"/>
  <c r="K4283" i="9"/>
  <c r="L4283" i="9" s="1"/>
  <c r="AF4282" i="9"/>
  <c r="AE4282" i="9"/>
  <c r="AB4282" i="9"/>
  <c r="AA4282" i="9"/>
  <c r="V4282" i="9"/>
  <c r="U4282" i="9"/>
  <c r="R4282" i="9"/>
  <c r="Q4282" i="9"/>
  <c r="K4282" i="9"/>
  <c r="L4282" i="9" s="1"/>
  <c r="AM4281" i="9"/>
  <c r="AN4281" i="9" s="1"/>
  <c r="AF4281" i="9"/>
  <c r="AB4281" i="9"/>
  <c r="V4281" i="9"/>
  <c r="R4281" i="9"/>
  <c r="I4281" i="9"/>
  <c r="K4281" i="9" s="1"/>
  <c r="L4281" i="9" s="1"/>
  <c r="AM4280" i="9"/>
  <c r="AN4280" i="9" s="1"/>
  <c r="AF4280" i="9"/>
  <c r="AB4280" i="9"/>
  <c r="V4280" i="9"/>
  <c r="R4280" i="9"/>
  <c r="K4280" i="9"/>
  <c r="L4280" i="9" s="1"/>
  <c r="I4280" i="9"/>
  <c r="AM4279" i="9"/>
  <c r="AN4279" i="9" s="1"/>
  <c r="AF4279" i="9"/>
  <c r="AB4279" i="9"/>
  <c r="V4279" i="9"/>
  <c r="R4279" i="9"/>
  <c r="L4279" i="9"/>
  <c r="I4279" i="9"/>
  <c r="K4279" i="9" s="1"/>
  <c r="AN4278" i="9"/>
  <c r="AM4278" i="9"/>
  <c r="AF4278" i="9"/>
  <c r="AB4278" i="9"/>
  <c r="V4278" i="9"/>
  <c r="R4278" i="9"/>
  <c r="K4278" i="9"/>
  <c r="L4278" i="9" s="1"/>
  <c r="I4278" i="9"/>
  <c r="AN4277" i="9"/>
  <c r="AM4277" i="9"/>
  <c r="J4277" i="9"/>
  <c r="AM4276" i="9"/>
  <c r="AN4276" i="9" s="1"/>
  <c r="AF4276" i="9"/>
  <c r="AB4276" i="9"/>
  <c r="V4276" i="9"/>
  <c r="R4276" i="9"/>
  <c r="AK4276" i="9" s="1"/>
  <c r="AL4276" i="9" s="1"/>
  <c r="L4276" i="9"/>
  <c r="I4276" i="9"/>
  <c r="K4276" i="9" s="1"/>
  <c r="AM4275" i="9"/>
  <c r="AN4275" i="9" s="1"/>
  <c r="AF4275" i="9"/>
  <c r="AB4275" i="9"/>
  <c r="V4275" i="9"/>
  <c r="R4275" i="9"/>
  <c r="I4275" i="9"/>
  <c r="K4275" i="9" s="1"/>
  <c r="L4275" i="9" s="1"/>
  <c r="AN4274" i="9"/>
  <c r="AM4274" i="9"/>
  <c r="AF4274" i="9"/>
  <c r="AB4274" i="9"/>
  <c r="V4274" i="9"/>
  <c r="AK4274" i="9" s="1"/>
  <c r="AL4274" i="9" s="1"/>
  <c r="R4274" i="9"/>
  <c r="I4274" i="9"/>
  <c r="K4274" i="9" s="1"/>
  <c r="L4274" i="9" s="1"/>
  <c r="AM4273" i="9"/>
  <c r="AN4273" i="9" s="1"/>
  <c r="AF4273" i="9"/>
  <c r="AB4273" i="9"/>
  <c r="V4273" i="9"/>
  <c r="R4273" i="9"/>
  <c r="I4273" i="9"/>
  <c r="K4273" i="9" s="1"/>
  <c r="L4273" i="9" s="1"/>
  <c r="AM4272" i="9"/>
  <c r="AF4272" i="9"/>
  <c r="AB4272" i="9"/>
  <c r="V4272" i="9"/>
  <c r="R4272" i="9"/>
  <c r="J4272" i="9"/>
  <c r="D4272" i="9"/>
  <c r="AN4272" i="9" s="1"/>
  <c r="AM4271" i="9"/>
  <c r="AN4271" i="9" s="1"/>
  <c r="AF4271" i="9"/>
  <c r="AB4271" i="9"/>
  <c r="V4271" i="9"/>
  <c r="R4271" i="9"/>
  <c r="I4271" i="9"/>
  <c r="K4271" i="9" s="1"/>
  <c r="L4271" i="9" s="1"/>
  <c r="AM4270" i="9"/>
  <c r="AN4270" i="9" s="1"/>
  <c r="AF4270" i="9"/>
  <c r="AB4270" i="9"/>
  <c r="V4270" i="9"/>
  <c r="R4270" i="9"/>
  <c r="I4270" i="9"/>
  <c r="K4270" i="9" s="1"/>
  <c r="L4270" i="9" s="1"/>
  <c r="AM4269" i="9"/>
  <c r="AN4269" i="9" s="1"/>
  <c r="AF4269" i="9"/>
  <c r="AB4269" i="9"/>
  <c r="V4269" i="9"/>
  <c r="R4269" i="9"/>
  <c r="AK4269" i="9" s="1"/>
  <c r="AL4269" i="9" s="1"/>
  <c r="L4269" i="9"/>
  <c r="K4269" i="9"/>
  <c r="I4269" i="9"/>
  <c r="AM4268" i="9"/>
  <c r="AN4268" i="9" s="1"/>
  <c r="AF4268" i="9"/>
  <c r="AB4268" i="9"/>
  <c r="V4268" i="9"/>
  <c r="AK4268" i="9" s="1"/>
  <c r="AL4268" i="9" s="1"/>
  <c r="R4268" i="9"/>
  <c r="K4268" i="9"/>
  <c r="L4268" i="9" s="1"/>
  <c r="I4268" i="9"/>
  <c r="AM4267" i="9"/>
  <c r="AN4267" i="9" s="1"/>
  <c r="AK4267" i="9"/>
  <c r="AL4267" i="9" s="1"/>
  <c r="AF4267" i="9"/>
  <c r="AB4267" i="9"/>
  <c r="V4267" i="9"/>
  <c r="R4267" i="9"/>
  <c r="I4267" i="9"/>
  <c r="K4267" i="9" s="1"/>
  <c r="L4267" i="9" s="1"/>
  <c r="AN4266" i="9"/>
  <c r="AM4266" i="9"/>
  <c r="AF4266" i="9"/>
  <c r="AB4266" i="9"/>
  <c r="V4266" i="9"/>
  <c r="R4266" i="9"/>
  <c r="L4266" i="9"/>
  <c r="K4266" i="9"/>
  <c r="I4266" i="9"/>
  <c r="AM4265" i="9"/>
  <c r="AN4265" i="9" s="1"/>
  <c r="AF4265" i="9"/>
  <c r="AB4265" i="9"/>
  <c r="V4265" i="9"/>
  <c r="R4265" i="9"/>
  <c r="I4265" i="9"/>
  <c r="K4265" i="9" s="1"/>
  <c r="L4265" i="9" s="1"/>
  <c r="AM4264" i="9"/>
  <c r="AN4264" i="9" s="1"/>
  <c r="AF4264" i="9"/>
  <c r="AB4264" i="9"/>
  <c r="V4264" i="9"/>
  <c r="R4264" i="9"/>
  <c r="I4264" i="9"/>
  <c r="K4264" i="9" s="1"/>
  <c r="L4264" i="9" s="1"/>
  <c r="AM4263" i="9"/>
  <c r="AN4263" i="9" s="1"/>
  <c r="AF4263" i="9"/>
  <c r="AB4263" i="9"/>
  <c r="V4263" i="9"/>
  <c r="R4263" i="9"/>
  <c r="AK4263" i="9" s="1"/>
  <c r="AL4263" i="9" s="1"/>
  <c r="K4263" i="9"/>
  <c r="L4263" i="9" s="1"/>
  <c r="I4263" i="9"/>
  <c r="AN4262" i="9"/>
  <c r="AM4262" i="9"/>
  <c r="AF4262" i="9"/>
  <c r="AB4262" i="9"/>
  <c r="V4262" i="9"/>
  <c r="AK4262" i="9" s="1"/>
  <c r="AL4262" i="9" s="1"/>
  <c r="R4262" i="9"/>
  <c r="I4262" i="9"/>
  <c r="K4262" i="9" s="1"/>
  <c r="L4262" i="9" s="1"/>
  <c r="AM4261" i="9"/>
  <c r="AN4261" i="9" s="1"/>
  <c r="AF4261" i="9"/>
  <c r="AB4261" i="9"/>
  <c r="V4261" i="9"/>
  <c r="R4261" i="9"/>
  <c r="I4261" i="9"/>
  <c r="K4261" i="9" s="1"/>
  <c r="L4261" i="9" s="1"/>
  <c r="AM4260" i="9"/>
  <c r="AN4260" i="9" s="1"/>
  <c r="AF4260" i="9"/>
  <c r="AB4260" i="9"/>
  <c r="V4260" i="9"/>
  <c r="R4260" i="9"/>
  <c r="I4260" i="9"/>
  <c r="K4260" i="9" s="1"/>
  <c r="L4260" i="9" s="1"/>
  <c r="AF4259" i="9"/>
  <c r="AB4259" i="9"/>
  <c r="AA4259" i="9"/>
  <c r="Q4259" i="9"/>
  <c r="J4259" i="9"/>
  <c r="R4259" i="9" s="1"/>
  <c r="I4259" i="9"/>
  <c r="D4259" i="9"/>
  <c r="AE4259" i="9" s="1"/>
  <c r="AA4258" i="9"/>
  <c r="U4258" i="9"/>
  <c r="Q4258" i="9"/>
  <c r="J4258" i="9"/>
  <c r="D4258" i="9"/>
  <c r="AE4258" i="9" s="1"/>
  <c r="AM4257" i="9"/>
  <c r="AN4257" i="9" s="1"/>
  <c r="AF4257" i="9"/>
  <c r="AB4257" i="9"/>
  <c r="V4257" i="9"/>
  <c r="R4257" i="9"/>
  <c r="AK4257" i="9" s="1"/>
  <c r="AL4257" i="9" s="1"/>
  <c r="K4257" i="9"/>
  <c r="L4257" i="9" s="1"/>
  <c r="I4257" i="9"/>
  <c r="AM4256" i="9"/>
  <c r="AN4256" i="9" s="1"/>
  <c r="AF4256" i="9"/>
  <c r="AK4256" i="9" s="1"/>
  <c r="AL4256" i="9" s="1"/>
  <c r="AB4256" i="9"/>
  <c r="V4256" i="9"/>
  <c r="R4256" i="9"/>
  <c r="I4256" i="9"/>
  <c r="K4256" i="9" s="1"/>
  <c r="L4256" i="9" s="1"/>
  <c r="AM4255" i="9"/>
  <c r="AB4255" i="9"/>
  <c r="J4255" i="9"/>
  <c r="D4255" i="9"/>
  <c r="AN4255" i="9" s="1"/>
  <c r="AM4254" i="9"/>
  <c r="J4254" i="9"/>
  <c r="D4254" i="9"/>
  <c r="AM4253" i="9"/>
  <c r="J4253" i="9"/>
  <c r="D4253" i="9"/>
  <c r="AM4252" i="9"/>
  <c r="AF4252" i="9"/>
  <c r="AB4252" i="9"/>
  <c r="J4252" i="9"/>
  <c r="V4252" i="9" s="1"/>
  <c r="D4252" i="9"/>
  <c r="AM4251" i="9"/>
  <c r="R4251" i="9"/>
  <c r="J4251" i="9"/>
  <c r="D4251" i="9"/>
  <c r="AN4250" i="9"/>
  <c r="AM4250" i="9"/>
  <c r="V4250" i="9"/>
  <c r="J4250" i="9"/>
  <c r="I4250" i="9" s="1"/>
  <c r="K4250" i="9" s="1"/>
  <c r="D4250" i="9"/>
  <c r="AM4249" i="9"/>
  <c r="AB4249" i="9"/>
  <c r="J4249" i="9"/>
  <c r="D4249" i="9"/>
  <c r="AN4249" i="9" s="1"/>
  <c r="AM4248" i="9"/>
  <c r="AF4248" i="9"/>
  <c r="J4248" i="9"/>
  <c r="D4248" i="9"/>
  <c r="AN4248" i="9" s="1"/>
  <c r="AM4247" i="9"/>
  <c r="V4247" i="9"/>
  <c r="R4247" i="9"/>
  <c r="J4247" i="9"/>
  <c r="AF4247" i="9" s="1"/>
  <c r="D4247" i="9"/>
  <c r="AM4246" i="9"/>
  <c r="J4246" i="9"/>
  <c r="D4246" i="9"/>
  <c r="AN4246" i="9" s="1"/>
  <c r="AF4245" i="9"/>
  <c r="AK4245" i="9" s="1"/>
  <c r="AL4245" i="9" s="1"/>
  <c r="AE4245" i="9"/>
  <c r="AB4245" i="9"/>
  <c r="AA4245" i="9"/>
  <c r="V4245" i="9"/>
  <c r="U4245" i="9"/>
  <c r="R4245" i="9"/>
  <c r="Q4245" i="9"/>
  <c r="K4245" i="9"/>
  <c r="L4245" i="9" s="1"/>
  <c r="AM4244" i="9"/>
  <c r="AN4244" i="9" s="1"/>
  <c r="AF4244" i="9"/>
  <c r="AB4244" i="9"/>
  <c r="AK4244" i="9" s="1"/>
  <c r="AL4244" i="9" s="1"/>
  <c r="V4244" i="9"/>
  <c r="R4244" i="9"/>
  <c r="K4244" i="9"/>
  <c r="AM4243" i="9"/>
  <c r="AN4243" i="9" s="1"/>
  <c r="AF4243" i="9"/>
  <c r="AB4243" i="9"/>
  <c r="V4243" i="9"/>
  <c r="R4243" i="9"/>
  <c r="K4243" i="9"/>
  <c r="L4243" i="9" s="1"/>
  <c r="I4243" i="9"/>
  <c r="AM4242" i="9"/>
  <c r="AN4242" i="9" s="1"/>
  <c r="AF4242" i="9"/>
  <c r="AB4242" i="9"/>
  <c r="V4242" i="9"/>
  <c r="R4242" i="9"/>
  <c r="I4242" i="9"/>
  <c r="K4242" i="9" s="1"/>
  <c r="L4242" i="9" s="1"/>
  <c r="AN4241" i="9"/>
  <c r="AM4241" i="9"/>
  <c r="AF4241" i="9"/>
  <c r="AB4241" i="9"/>
  <c r="V4241" i="9"/>
  <c r="R4241" i="9"/>
  <c r="I4241" i="9"/>
  <c r="K4241" i="9" s="1"/>
  <c r="L4241" i="9" s="1"/>
  <c r="AM4240" i="9"/>
  <c r="AN4240" i="9" s="1"/>
  <c r="AF4240" i="9"/>
  <c r="AB4240" i="9"/>
  <c r="V4240" i="9"/>
  <c r="R4240" i="9"/>
  <c r="I4240" i="9"/>
  <c r="K4240" i="9" s="1"/>
  <c r="L4240" i="9" s="1"/>
  <c r="AF4239" i="9"/>
  <c r="AE4239" i="9"/>
  <c r="AB4239" i="9"/>
  <c r="AA4239" i="9"/>
  <c r="V4239" i="9"/>
  <c r="U4239" i="9"/>
  <c r="R4239" i="9"/>
  <c r="Q4239" i="9"/>
  <c r="I4239" i="9"/>
  <c r="K4239" i="9" s="1"/>
  <c r="L4239" i="9" s="1"/>
  <c r="AM4238" i="9"/>
  <c r="AN4238" i="9" s="1"/>
  <c r="AF4238" i="9"/>
  <c r="AB4238" i="9"/>
  <c r="V4238" i="9"/>
  <c r="R4238" i="9"/>
  <c r="I4238" i="9"/>
  <c r="K4238" i="9" s="1"/>
  <c r="L4238" i="9" s="1"/>
  <c r="AN4237" i="9"/>
  <c r="AM4237" i="9"/>
  <c r="AF4237" i="9"/>
  <c r="AB4237" i="9"/>
  <c r="V4237" i="9"/>
  <c r="R4237" i="9"/>
  <c r="AK4237" i="9" s="1"/>
  <c r="AL4237" i="9" s="1"/>
  <c r="L4237" i="9"/>
  <c r="K4237" i="9"/>
  <c r="I4237" i="9"/>
  <c r="AM4236" i="9"/>
  <c r="AN4236" i="9" s="1"/>
  <c r="AF4236" i="9"/>
  <c r="AB4236" i="9"/>
  <c r="V4236" i="9"/>
  <c r="R4236" i="9"/>
  <c r="I4236" i="9"/>
  <c r="K4236" i="9" s="1"/>
  <c r="L4236" i="9" s="1"/>
  <c r="AM4235" i="9"/>
  <c r="AN4235" i="9" s="1"/>
  <c r="AF4235" i="9"/>
  <c r="AB4235" i="9"/>
  <c r="AK4235" i="9" s="1"/>
  <c r="AL4235" i="9" s="1"/>
  <c r="V4235" i="9"/>
  <c r="R4235" i="9"/>
  <c r="I4235" i="9"/>
  <c r="K4235" i="9" s="1"/>
  <c r="L4235" i="9" s="1"/>
  <c r="AM4234" i="9"/>
  <c r="AN4234" i="9" s="1"/>
  <c r="AF4234" i="9"/>
  <c r="AB4234" i="9"/>
  <c r="V4234" i="9"/>
  <c r="R4234" i="9"/>
  <c r="I4234" i="9"/>
  <c r="K4234" i="9" s="1"/>
  <c r="L4234" i="9" s="1"/>
  <c r="AM4233" i="9"/>
  <c r="AN4233" i="9" s="1"/>
  <c r="AF4233" i="9"/>
  <c r="AB4233" i="9"/>
  <c r="V4233" i="9"/>
  <c r="R4233" i="9"/>
  <c r="I4233" i="9"/>
  <c r="K4233" i="9" s="1"/>
  <c r="L4233" i="9" s="1"/>
  <c r="J4232" i="9"/>
  <c r="V4232" i="9" s="1"/>
  <c r="D4232" i="9"/>
  <c r="AN4231" i="9"/>
  <c r="AM4231" i="9"/>
  <c r="AF4231" i="9"/>
  <c r="AB4231" i="9"/>
  <c r="V4231" i="9"/>
  <c r="R4231" i="9"/>
  <c r="L4231" i="9"/>
  <c r="K4231" i="9"/>
  <c r="I4231" i="9"/>
  <c r="AM4230" i="9"/>
  <c r="AN4230" i="9" s="1"/>
  <c r="AK4230" i="9"/>
  <c r="AL4230" i="9" s="1"/>
  <c r="AF4230" i="9"/>
  <c r="AB4230" i="9"/>
  <c r="V4230" i="9"/>
  <c r="R4230" i="9"/>
  <c r="I4230" i="9"/>
  <c r="K4230" i="9" s="1"/>
  <c r="L4230" i="9" s="1"/>
  <c r="AM4229" i="9"/>
  <c r="AN4229" i="9" s="1"/>
  <c r="AF4229" i="9"/>
  <c r="AB4229" i="9"/>
  <c r="V4229" i="9"/>
  <c r="R4229" i="9"/>
  <c r="I4229" i="9"/>
  <c r="K4229" i="9" s="1"/>
  <c r="L4229" i="9" s="1"/>
  <c r="AN4228" i="9"/>
  <c r="AM4228" i="9"/>
  <c r="AF4228" i="9"/>
  <c r="AB4228" i="9"/>
  <c r="V4228" i="9"/>
  <c r="R4228" i="9"/>
  <c r="I4228" i="9"/>
  <c r="K4228" i="9" s="1"/>
  <c r="L4228" i="9" s="1"/>
  <c r="AN4227" i="9"/>
  <c r="AM4227" i="9"/>
  <c r="AF4227" i="9"/>
  <c r="AB4227" i="9"/>
  <c r="V4227" i="9"/>
  <c r="R4227" i="9"/>
  <c r="I4227" i="9"/>
  <c r="K4227" i="9" s="1"/>
  <c r="L4227" i="9" s="1"/>
  <c r="AM4226" i="9"/>
  <c r="AN4226" i="9" s="1"/>
  <c r="AF4226" i="9"/>
  <c r="AB4226" i="9"/>
  <c r="V4226" i="9"/>
  <c r="R4226" i="9"/>
  <c r="I4226" i="9"/>
  <c r="K4226" i="9" s="1"/>
  <c r="L4226" i="9" s="1"/>
  <c r="AN4225" i="9"/>
  <c r="AF4225" i="9"/>
  <c r="AK4225" i="9" s="1"/>
  <c r="AL4225" i="9" s="1"/>
  <c r="AE4225" i="9"/>
  <c r="AM4225" i="9" s="1"/>
  <c r="AB4225" i="9"/>
  <c r="AA4225" i="9"/>
  <c r="V4225" i="9"/>
  <c r="U4225" i="9"/>
  <c r="R4225" i="9"/>
  <c r="Q4225" i="9"/>
  <c r="I4225" i="9"/>
  <c r="K4225" i="9" s="1"/>
  <c r="L4225" i="9" s="1"/>
  <c r="AN4224" i="9"/>
  <c r="AM4224" i="9"/>
  <c r="AB4224" i="9"/>
  <c r="J4224" i="9"/>
  <c r="I4224" i="9" s="1"/>
  <c r="D4224" i="9"/>
  <c r="AF4223" i="9"/>
  <c r="AE4223" i="9"/>
  <c r="AB4223" i="9"/>
  <c r="AA4223" i="9"/>
  <c r="V4223" i="9"/>
  <c r="U4223" i="9"/>
  <c r="R4223" i="9"/>
  <c r="Q4223" i="9"/>
  <c r="K4223" i="9"/>
  <c r="L4223" i="9" s="1"/>
  <c r="I4223" i="9"/>
  <c r="AM4222" i="9"/>
  <c r="AN4222" i="9" s="1"/>
  <c r="AF4222" i="9"/>
  <c r="AB4222" i="9"/>
  <c r="V4222" i="9"/>
  <c r="R4222" i="9"/>
  <c r="AK4222" i="9" s="1"/>
  <c r="AL4222" i="9" s="1"/>
  <c r="I4222" i="9"/>
  <c r="K4222" i="9" s="1"/>
  <c r="L4222" i="9" s="1"/>
  <c r="AF4221" i="9"/>
  <c r="AE4221" i="9"/>
  <c r="AB4221" i="9"/>
  <c r="AA4221" i="9"/>
  <c r="V4221" i="9"/>
  <c r="U4221" i="9"/>
  <c r="R4221" i="9"/>
  <c r="AK4221" i="9" s="1"/>
  <c r="AL4221" i="9" s="1"/>
  <c r="Q4221" i="9"/>
  <c r="I4221" i="9"/>
  <c r="K4221" i="9" s="1"/>
  <c r="L4221" i="9" s="1"/>
  <c r="AN4220" i="9"/>
  <c r="AM4220" i="9"/>
  <c r="AF4220" i="9"/>
  <c r="AB4220" i="9"/>
  <c r="V4220" i="9"/>
  <c r="R4220" i="9"/>
  <c r="L4220" i="9"/>
  <c r="K4220" i="9"/>
  <c r="I4220" i="9"/>
  <c r="AM4219" i="9"/>
  <c r="J4219" i="9"/>
  <c r="D4219" i="9"/>
  <c r="AM4218" i="9"/>
  <c r="AN4218" i="9" s="1"/>
  <c r="AF4218" i="9"/>
  <c r="AB4218" i="9"/>
  <c r="J4218" i="9"/>
  <c r="V4218" i="9" s="1"/>
  <c r="I4218" i="9"/>
  <c r="D4218" i="9"/>
  <c r="AM4217" i="9"/>
  <c r="J4217" i="9"/>
  <c r="R4217" i="9" s="1"/>
  <c r="D4217" i="9"/>
  <c r="AM4216" i="9"/>
  <c r="AF4216" i="9"/>
  <c r="AB4216" i="9"/>
  <c r="J4216" i="9"/>
  <c r="V4216" i="9" s="1"/>
  <c r="I4216" i="9"/>
  <c r="K4216" i="9" s="1"/>
  <c r="D4216" i="9"/>
  <c r="AM4215" i="9"/>
  <c r="J4215" i="9"/>
  <c r="D4215" i="9"/>
  <c r="AM4214" i="9"/>
  <c r="J4214" i="9"/>
  <c r="AF4214" i="9" s="1"/>
  <c r="D4214" i="9"/>
  <c r="AM4213" i="9"/>
  <c r="AN4213" i="9" s="1"/>
  <c r="AF4213" i="9"/>
  <c r="AB4213" i="9"/>
  <c r="V4213" i="9"/>
  <c r="R4213" i="9"/>
  <c r="L4213" i="9"/>
  <c r="K4213" i="9"/>
  <c r="AM4212" i="9"/>
  <c r="AN4212" i="9" s="1"/>
  <c r="AF4212" i="9"/>
  <c r="AB4212" i="9"/>
  <c r="V4212" i="9"/>
  <c r="R4212" i="9"/>
  <c r="AK4212" i="9" s="1"/>
  <c r="AL4212" i="9" s="1"/>
  <c r="I4212" i="9"/>
  <c r="K4212" i="9" s="1"/>
  <c r="L4212" i="9" s="1"/>
  <c r="AM4211" i="9"/>
  <c r="AF4211" i="9"/>
  <c r="AB4211" i="9"/>
  <c r="J4211" i="9"/>
  <c r="I4211" i="9" s="1"/>
  <c r="D4211" i="9"/>
  <c r="AM4210" i="9"/>
  <c r="V4210" i="9"/>
  <c r="R4210" i="9"/>
  <c r="J4210" i="9"/>
  <c r="I4210" i="9" s="1"/>
  <c r="D4210" i="9"/>
  <c r="AM4209" i="9"/>
  <c r="AN4209" i="9" s="1"/>
  <c r="AF4209" i="9"/>
  <c r="AB4209" i="9"/>
  <c r="V4209" i="9"/>
  <c r="R4209" i="9"/>
  <c r="K4209" i="9"/>
  <c r="L4209" i="9" s="1"/>
  <c r="I4209" i="9"/>
  <c r="AM4208" i="9"/>
  <c r="AN4208" i="9" s="1"/>
  <c r="AF4208" i="9"/>
  <c r="AK4208" i="9" s="1"/>
  <c r="AB4208" i="9"/>
  <c r="V4208" i="9"/>
  <c r="J4208" i="9"/>
  <c r="R4208" i="9" s="1"/>
  <c r="D4208" i="9"/>
  <c r="AM4207" i="9"/>
  <c r="AF4207" i="9"/>
  <c r="AB4207" i="9"/>
  <c r="V4207" i="9"/>
  <c r="J4207" i="9"/>
  <c r="R4207" i="9" s="1"/>
  <c r="D4207" i="9"/>
  <c r="AN4207" i="9" s="1"/>
  <c r="AM4206" i="9"/>
  <c r="AF4206" i="9"/>
  <c r="AB4206" i="9"/>
  <c r="V4206" i="9"/>
  <c r="R4206" i="9"/>
  <c r="J4206" i="9"/>
  <c r="D4206" i="9"/>
  <c r="AM4205" i="9"/>
  <c r="J4205" i="9"/>
  <c r="I4205" i="9"/>
  <c r="D4205" i="9"/>
  <c r="AM4204" i="9"/>
  <c r="J4204" i="9"/>
  <c r="R4204" i="9" s="1"/>
  <c r="D4204" i="9"/>
  <c r="AM4203" i="9"/>
  <c r="AF4203" i="9"/>
  <c r="AB4203" i="9"/>
  <c r="V4203" i="9"/>
  <c r="J4203" i="9"/>
  <c r="I4203" i="9" s="1"/>
  <c r="D4203" i="9"/>
  <c r="AM4202" i="9"/>
  <c r="AF4202" i="9"/>
  <c r="AB4202" i="9"/>
  <c r="V4202" i="9"/>
  <c r="J4202" i="9"/>
  <c r="R4202" i="9" s="1"/>
  <c r="D4202" i="9"/>
  <c r="AM4201" i="9"/>
  <c r="AK4201" i="9"/>
  <c r="AL4201" i="9" s="1"/>
  <c r="AF4201" i="9"/>
  <c r="AB4201" i="9"/>
  <c r="R4201" i="9"/>
  <c r="J4201" i="9"/>
  <c r="V4201" i="9" s="1"/>
  <c r="D4201" i="9"/>
  <c r="AM4200" i="9"/>
  <c r="V4200" i="9"/>
  <c r="R4200" i="9"/>
  <c r="J4200" i="9"/>
  <c r="D4200" i="9"/>
  <c r="AF4199" i="9"/>
  <c r="AE4199" i="9"/>
  <c r="AB4199" i="9"/>
  <c r="AA4199" i="9"/>
  <c r="V4199" i="9"/>
  <c r="U4199" i="9"/>
  <c r="R4199" i="9"/>
  <c r="Q4199" i="9"/>
  <c r="AM4199" i="9" s="1"/>
  <c r="AN4199" i="9" s="1"/>
  <c r="K4199" i="9"/>
  <c r="L4199" i="9" s="1"/>
  <c r="AN4198" i="9"/>
  <c r="AM4198" i="9"/>
  <c r="AF4198" i="9"/>
  <c r="AB4198" i="9"/>
  <c r="V4198" i="9"/>
  <c r="R4198" i="9"/>
  <c r="I4198" i="9"/>
  <c r="K4198" i="9" s="1"/>
  <c r="L4198" i="9" s="1"/>
  <c r="AO4197" i="9"/>
  <c r="AF4197" i="9"/>
  <c r="AE4197" i="9"/>
  <c r="AB4197" i="9"/>
  <c r="AK4197" i="9" s="1"/>
  <c r="AL4197" i="9" s="1"/>
  <c r="AA4197" i="9"/>
  <c r="V4197" i="9"/>
  <c r="U4197" i="9"/>
  <c r="R4197" i="9"/>
  <c r="Q4197" i="9"/>
  <c r="L4197" i="9"/>
  <c r="K4197" i="9"/>
  <c r="AM4196" i="9"/>
  <c r="AN4196" i="9" s="1"/>
  <c r="AF4196" i="9"/>
  <c r="AB4196" i="9"/>
  <c r="V4196" i="9"/>
  <c r="R4196" i="9"/>
  <c r="I4196" i="9"/>
  <c r="K4196" i="9" s="1"/>
  <c r="L4196" i="9" s="1"/>
  <c r="AO4195" i="9"/>
  <c r="AF4195" i="9"/>
  <c r="AE4195" i="9"/>
  <c r="AB4195" i="9"/>
  <c r="AA4195" i="9"/>
  <c r="V4195" i="9"/>
  <c r="U4195" i="9"/>
  <c r="AM4195" i="9" s="1"/>
  <c r="AN4195" i="9" s="1"/>
  <c r="R4195" i="9"/>
  <c r="Q4195" i="9"/>
  <c r="K4195" i="9"/>
  <c r="L4195" i="9" s="1"/>
  <c r="AM4193" i="9"/>
  <c r="AN4193" i="9" s="1"/>
  <c r="AF4193" i="9"/>
  <c r="AB4193" i="9"/>
  <c r="V4193" i="9"/>
  <c r="R4193" i="9"/>
  <c r="I4193" i="9"/>
  <c r="K4193" i="9" s="1"/>
  <c r="L4193" i="9" s="1"/>
  <c r="AM4192" i="9"/>
  <c r="AN4192" i="9" s="1"/>
  <c r="AF4192" i="9"/>
  <c r="AB4192" i="9"/>
  <c r="V4192" i="9"/>
  <c r="R4192" i="9"/>
  <c r="K4192" i="9"/>
  <c r="L4192" i="9" s="1"/>
  <c r="I4192" i="9"/>
  <c r="AO4191" i="9"/>
  <c r="AF4191" i="9"/>
  <c r="AE4191" i="9"/>
  <c r="AB4191" i="9"/>
  <c r="AA4191" i="9"/>
  <c r="V4191" i="9"/>
  <c r="AK4191" i="9" s="1"/>
  <c r="AL4191" i="9" s="1"/>
  <c r="U4191" i="9"/>
  <c r="R4191" i="9"/>
  <c r="Q4191" i="9"/>
  <c r="K4191" i="9"/>
  <c r="L4191" i="9" s="1"/>
  <c r="AF4190" i="9"/>
  <c r="AE4190" i="9"/>
  <c r="AB4190" i="9"/>
  <c r="AA4190" i="9"/>
  <c r="V4190" i="9"/>
  <c r="U4190" i="9"/>
  <c r="R4190" i="9"/>
  <c r="Q4190" i="9"/>
  <c r="K4190" i="9"/>
  <c r="L4190" i="9" s="1"/>
  <c r="AF4189" i="9"/>
  <c r="AE4189" i="9"/>
  <c r="AB4189" i="9"/>
  <c r="AA4189" i="9"/>
  <c r="V4189" i="9"/>
  <c r="U4189" i="9"/>
  <c r="R4189" i="9"/>
  <c r="Q4189" i="9"/>
  <c r="K4189" i="9"/>
  <c r="L4189" i="9" s="1"/>
  <c r="AF4188" i="9"/>
  <c r="AE4188" i="9"/>
  <c r="AB4188" i="9"/>
  <c r="AA4188" i="9"/>
  <c r="V4188" i="9"/>
  <c r="U4188" i="9"/>
  <c r="R4188" i="9"/>
  <c r="Q4188" i="9"/>
  <c r="K4188" i="9"/>
  <c r="L4188" i="9" s="1"/>
  <c r="AF4187" i="9"/>
  <c r="AE4187" i="9"/>
  <c r="AB4187" i="9"/>
  <c r="AA4187" i="9"/>
  <c r="V4187" i="9"/>
  <c r="U4187" i="9"/>
  <c r="R4187" i="9"/>
  <c r="Q4187" i="9"/>
  <c r="I4187" i="9"/>
  <c r="K4187" i="9" s="1"/>
  <c r="L4187" i="9" s="1"/>
  <c r="AO4186" i="9"/>
  <c r="AK4186" i="9"/>
  <c r="AL4186" i="9" s="1"/>
  <c r="AF4186" i="9"/>
  <c r="AE4186" i="9"/>
  <c r="AB4186" i="9"/>
  <c r="AA4186" i="9"/>
  <c r="V4186" i="9"/>
  <c r="U4186" i="9"/>
  <c r="R4186" i="9"/>
  <c r="Q4186" i="9"/>
  <c r="AM4186" i="9" s="1"/>
  <c r="AN4186" i="9" s="1"/>
  <c r="K4186" i="9"/>
  <c r="L4186" i="9" s="1"/>
  <c r="AF4185" i="9"/>
  <c r="AE4185" i="9"/>
  <c r="AB4185" i="9"/>
  <c r="AA4185" i="9"/>
  <c r="V4185" i="9"/>
  <c r="U4185" i="9"/>
  <c r="R4185" i="9"/>
  <c r="Q4185" i="9"/>
  <c r="K4185" i="9"/>
  <c r="L4185" i="9" s="1"/>
  <c r="AF4184" i="9"/>
  <c r="AE4184" i="9"/>
  <c r="AB4184" i="9"/>
  <c r="AA4184" i="9"/>
  <c r="V4184" i="9"/>
  <c r="AK4184" i="9" s="1"/>
  <c r="AL4184" i="9" s="1"/>
  <c r="U4184" i="9"/>
  <c r="R4184" i="9"/>
  <c r="Q4184" i="9"/>
  <c r="K4184" i="9"/>
  <c r="L4184" i="9" s="1"/>
  <c r="AF4183" i="9"/>
  <c r="AE4183" i="9"/>
  <c r="AB4183" i="9"/>
  <c r="AA4183" i="9"/>
  <c r="V4183" i="9"/>
  <c r="U4183" i="9"/>
  <c r="R4183" i="9"/>
  <c r="Q4183" i="9"/>
  <c r="L4183" i="9"/>
  <c r="K4183" i="9"/>
  <c r="AF4182" i="9"/>
  <c r="AE4182" i="9"/>
  <c r="AB4182" i="9"/>
  <c r="AA4182" i="9"/>
  <c r="V4182" i="9"/>
  <c r="U4182" i="9"/>
  <c r="R4182" i="9"/>
  <c r="Q4182" i="9"/>
  <c r="K4182" i="9"/>
  <c r="L4182" i="9" s="1"/>
  <c r="AF4181" i="9"/>
  <c r="AK4181" i="9" s="1"/>
  <c r="AL4181" i="9" s="1"/>
  <c r="AE4181" i="9"/>
  <c r="AB4181" i="9"/>
  <c r="AA4181" i="9"/>
  <c r="V4181" i="9"/>
  <c r="U4181" i="9"/>
  <c r="R4181" i="9"/>
  <c r="Q4181" i="9"/>
  <c r="L4181" i="9"/>
  <c r="K4181" i="9"/>
  <c r="AF4180" i="9"/>
  <c r="AE4180" i="9"/>
  <c r="AB4180" i="9"/>
  <c r="AK4180" i="9" s="1"/>
  <c r="AL4180" i="9" s="1"/>
  <c r="AA4180" i="9"/>
  <c r="V4180" i="9"/>
  <c r="U4180" i="9"/>
  <c r="R4180" i="9"/>
  <c r="Q4180" i="9"/>
  <c r="K4180" i="9"/>
  <c r="L4180" i="9" s="1"/>
  <c r="AF4179" i="9"/>
  <c r="AE4179" i="9"/>
  <c r="AB4179" i="9"/>
  <c r="AA4179" i="9"/>
  <c r="V4179" i="9"/>
  <c r="U4179" i="9"/>
  <c r="R4179" i="9"/>
  <c r="Q4179" i="9"/>
  <c r="K4179" i="9"/>
  <c r="L4179" i="9" s="1"/>
  <c r="AM4178" i="9"/>
  <c r="AN4178" i="9" s="1"/>
  <c r="AF4178" i="9"/>
  <c r="AB4178" i="9"/>
  <c r="V4178" i="9"/>
  <c r="R4178" i="9"/>
  <c r="I4178" i="9"/>
  <c r="K4178" i="9" s="1"/>
  <c r="L4178" i="9" s="1"/>
  <c r="AN4177" i="9"/>
  <c r="AM4177" i="9"/>
  <c r="AF4177" i="9"/>
  <c r="AB4177" i="9"/>
  <c r="V4177" i="9"/>
  <c r="R4177" i="9"/>
  <c r="AK4177" i="9" s="1"/>
  <c r="AL4177" i="9" s="1"/>
  <c r="I4177" i="9"/>
  <c r="K4177" i="9" s="1"/>
  <c r="L4177" i="9" s="1"/>
  <c r="AM4176" i="9"/>
  <c r="AN4176" i="9" s="1"/>
  <c r="AF4176" i="9"/>
  <c r="AB4176" i="9"/>
  <c r="V4176" i="9"/>
  <c r="R4176" i="9"/>
  <c r="AK4176" i="9" s="1"/>
  <c r="AL4176" i="9" s="1"/>
  <c r="I4176" i="9"/>
  <c r="K4176" i="9" s="1"/>
  <c r="L4176" i="9" s="1"/>
  <c r="AM4175" i="9"/>
  <c r="AN4175" i="9" s="1"/>
  <c r="AF4175" i="9"/>
  <c r="AB4175" i="9"/>
  <c r="V4175" i="9"/>
  <c r="R4175" i="9"/>
  <c r="I4175" i="9"/>
  <c r="K4175" i="9" s="1"/>
  <c r="L4175" i="9" s="1"/>
  <c r="AM4174" i="9"/>
  <c r="AN4174" i="9" s="1"/>
  <c r="AF4174" i="9"/>
  <c r="AB4174" i="9"/>
  <c r="V4174" i="9"/>
  <c r="R4174" i="9"/>
  <c r="I4174" i="9"/>
  <c r="K4174" i="9" s="1"/>
  <c r="L4174" i="9" s="1"/>
  <c r="AM4173" i="9"/>
  <c r="AN4173" i="9" s="1"/>
  <c r="AF4173" i="9"/>
  <c r="AB4173" i="9"/>
  <c r="V4173" i="9"/>
  <c r="R4173" i="9"/>
  <c r="L4173" i="9"/>
  <c r="K4173" i="9"/>
  <c r="I4173" i="9"/>
  <c r="AF4172" i="9"/>
  <c r="AE4172" i="9"/>
  <c r="AB4172" i="9"/>
  <c r="AA4172" i="9"/>
  <c r="V4172" i="9"/>
  <c r="U4172" i="9"/>
  <c r="R4172" i="9"/>
  <c r="Q4172" i="9"/>
  <c r="I4172" i="9"/>
  <c r="K4172" i="9" s="1"/>
  <c r="L4172" i="9" s="1"/>
  <c r="AF4171" i="9"/>
  <c r="AE4171" i="9"/>
  <c r="AB4171" i="9"/>
  <c r="AA4171" i="9"/>
  <c r="V4171" i="9"/>
  <c r="U4171" i="9"/>
  <c r="R4171" i="9"/>
  <c r="Q4171" i="9"/>
  <c r="I4171" i="9"/>
  <c r="K4171" i="9" s="1"/>
  <c r="L4171" i="9" s="1"/>
  <c r="AF4170" i="9"/>
  <c r="AE4170" i="9"/>
  <c r="AB4170" i="9"/>
  <c r="AA4170" i="9"/>
  <c r="V4170" i="9"/>
  <c r="U4170" i="9"/>
  <c r="R4170" i="9"/>
  <c r="Q4170" i="9"/>
  <c r="K4170" i="9"/>
  <c r="L4170" i="9" s="1"/>
  <c r="I4170" i="9"/>
  <c r="AF4169" i="9"/>
  <c r="AE4169" i="9"/>
  <c r="AB4169" i="9"/>
  <c r="AA4169" i="9"/>
  <c r="V4169" i="9"/>
  <c r="U4169" i="9"/>
  <c r="R4169" i="9"/>
  <c r="Q4169" i="9"/>
  <c r="I4169" i="9"/>
  <c r="K4169" i="9" s="1"/>
  <c r="L4169" i="9" s="1"/>
  <c r="AF4168" i="9"/>
  <c r="AE4168" i="9"/>
  <c r="AB4168" i="9"/>
  <c r="AA4168" i="9"/>
  <c r="V4168" i="9"/>
  <c r="U4168" i="9"/>
  <c r="R4168" i="9"/>
  <c r="Q4168" i="9"/>
  <c r="I4168" i="9"/>
  <c r="K4168" i="9" s="1"/>
  <c r="L4168" i="9" s="1"/>
  <c r="AM4167" i="9"/>
  <c r="AN4167" i="9" s="1"/>
  <c r="AF4167" i="9"/>
  <c r="AB4167" i="9"/>
  <c r="V4167" i="9"/>
  <c r="R4167" i="9"/>
  <c r="I4167" i="9"/>
  <c r="K4167" i="9" s="1"/>
  <c r="L4167" i="9" s="1"/>
  <c r="AM4166" i="9"/>
  <c r="AN4166" i="9" s="1"/>
  <c r="AF4166" i="9"/>
  <c r="AB4166" i="9"/>
  <c r="V4166" i="9"/>
  <c r="R4166" i="9"/>
  <c r="I4166" i="9"/>
  <c r="K4166" i="9" s="1"/>
  <c r="L4166" i="9" s="1"/>
  <c r="AF4165" i="9"/>
  <c r="AE4165" i="9"/>
  <c r="AB4165" i="9"/>
  <c r="AA4165" i="9"/>
  <c r="V4165" i="9"/>
  <c r="U4165" i="9"/>
  <c r="R4165" i="9"/>
  <c r="Q4165" i="9"/>
  <c r="I4165" i="9"/>
  <c r="K4165" i="9" s="1"/>
  <c r="L4165" i="9" s="1"/>
  <c r="AF4164" i="9"/>
  <c r="AE4164" i="9"/>
  <c r="AB4164" i="9"/>
  <c r="AA4164" i="9"/>
  <c r="V4164" i="9"/>
  <c r="U4164" i="9"/>
  <c r="R4164" i="9"/>
  <c r="AK4164" i="9" s="1"/>
  <c r="AL4164" i="9" s="1"/>
  <c r="Q4164" i="9"/>
  <c r="AM4164" i="9" s="1"/>
  <c r="AN4164" i="9" s="1"/>
  <c r="I4164" i="9"/>
  <c r="K4164" i="9" s="1"/>
  <c r="L4164" i="9" s="1"/>
  <c r="AF4163" i="9"/>
  <c r="AE4163" i="9"/>
  <c r="AB4163" i="9"/>
  <c r="AA4163" i="9"/>
  <c r="V4163" i="9"/>
  <c r="U4163" i="9"/>
  <c r="R4163" i="9"/>
  <c r="AK4163" i="9" s="1"/>
  <c r="AL4163" i="9" s="1"/>
  <c r="Q4163" i="9"/>
  <c r="I4163" i="9"/>
  <c r="K4163" i="9" s="1"/>
  <c r="L4163" i="9" s="1"/>
  <c r="AF4162" i="9"/>
  <c r="AE4162" i="9"/>
  <c r="AB4162" i="9"/>
  <c r="AA4162" i="9"/>
  <c r="V4162" i="9"/>
  <c r="U4162" i="9"/>
  <c r="R4162" i="9"/>
  <c r="Q4162" i="9"/>
  <c r="I4162" i="9"/>
  <c r="K4162" i="9" s="1"/>
  <c r="L4162" i="9" s="1"/>
  <c r="AM4161" i="9"/>
  <c r="AN4161" i="9" s="1"/>
  <c r="AF4161" i="9"/>
  <c r="AB4161" i="9"/>
  <c r="V4161" i="9"/>
  <c r="R4161" i="9"/>
  <c r="I4161" i="9"/>
  <c r="K4161" i="9" s="1"/>
  <c r="L4161" i="9" s="1"/>
  <c r="AM4160" i="9"/>
  <c r="AN4160" i="9" s="1"/>
  <c r="AF4160" i="9"/>
  <c r="AB4160" i="9"/>
  <c r="V4160" i="9"/>
  <c r="R4160" i="9"/>
  <c r="AK4160" i="9" s="1"/>
  <c r="AL4160" i="9" s="1"/>
  <c r="K4160" i="9"/>
  <c r="L4160" i="9" s="1"/>
  <c r="I4160" i="9"/>
  <c r="AM4159" i="9"/>
  <c r="AN4159" i="9" s="1"/>
  <c r="AF4159" i="9"/>
  <c r="AB4159" i="9"/>
  <c r="V4159" i="9"/>
  <c r="R4159" i="9"/>
  <c r="L4159" i="9"/>
  <c r="K4159" i="9"/>
  <c r="I4159" i="9"/>
  <c r="AM4158" i="9"/>
  <c r="AN4158" i="9" s="1"/>
  <c r="AF4158" i="9"/>
  <c r="AB4158" i="9"/>
  <c r="V4158" i="9"/>
  <c r="R4158" i="9"/>
  <c r="I4158" i="9"/>
  <c r="K4158" i="9" s="1"/>
  <c r="L4158" i="9" s="1"/>
  <c r="AM4157" i="9"/>
  <c r="AN4157" i="9" s="1"/>
  <c r="AF4157" i="9"/>
  <c r="AB4157" i="9"/>
  <c r="V4157" i="9"/>
  <c r="R4157" i="9"/>
  <c r="I4157" i="9"/>
  <c r="K4157" i="9" s="1"/>
  <c r="L4157" i="9" s="1"/>
  <c r="AN4156" i="9"/>
  <c r="AM4156" i="9"/>
  <c r="AF4156" i="9"/>
  <c r="AB4156" i="9"/>
  <c r="V4156" i="9"/>
  <c r="R4156" i="9"/>
  <c r="K4156" i="9"/>
  <c r="L4156" i="9" s="1"/>
  <c r="I4156" i="9"/>
  <c r="AM4155" i="9"/>
  <c r="AN4155" i="9" s="1"/>
  <c r="AK4155" i="9"/>
  <c r="AL4155" i="9" s="1"/>
  <c r="AF4155" i="9"/>
  <c r="AB4155" i="9"/>
  <c r="V4155" i="9"/>
  <c r="R4155" i="9"/>
  <c r="I4155" i="9"/>
  <c r="K4155" i="9" s="1"/>
  <c r="L4155" i="9" s="1"/>
  <c r="AM4154" i="9"/>
  <c r="AN4154" i="9" s="1"/>
  <c r="AF4154" i="9"/>
  <c r="AB4154" i="9"/>
  <c r="V4154" i="9"/>
  <c r="R4154" i="9"/>
  <c r="L4154" i="9"/>
  <c r="K4154" i="9"/>
  <c r="I4154" i="9"/>
  <c r="AN4153" i="9"/>
  <c r="AM4153" i="9"/>
  <c r="AF4153" i="9"/>
  <c r="AB4153" i="9"/>
  <c r="V4153" i="9"/>
  <c r="R4153" i="9"/>
  <c r="K4153" i="9"/>
  <c r="L4153" i="9" s="1"/>
  <c r="I4153" i="9"/>
  <c r="AM4152" i="9"/>
  <c r="AN4152" i="9" s="1"/>
  <c r="AK4152" i="9"/>
  <c r="AL4152" i="9" s="1"/>
  <c r="AF4152" i="9"/>
  <c r="AB4152" i="9"/>
  <c r="V4152" i="9"/>
  <c r="R4152" i="9"/>
  <c r="I4152" i="9"/>
  <c r="K4152" i="9" s="1"/>
  <c r="L4152" i="9" s="1"/>
  <c r="AM4151" i="9"/>
  <c r="AN4151" i="9" s="1"/>
  <c r="AF4151" i="9"/>
  <c r="AB4151" i="9"/>
  <c r="V4151" i="9"/>
  <c r="R4151" i="9"/>
  <c r="I4151" i="9"/>
  <c r="K4151" i="9" s="1"/>
  <c r="L4151" i="9" s="1"/>
  <c r="AM4150" i="9"/>
  <c r="AN4150" i="9" s="1"/>
  <c r="AF4150" i="9"/>
  <c r="AB4150" i="9"/>
  <c r="V4150" i="9"/>
  <c r="R4150" i="9"/>
  <c r="I4150" i="9"/>
  <c r="K4150" i="9" s="1"/>
  <c r="L4150" i="9" s="1"/>
  <c r="AM4149" i="9"/>
  <c r="AN4149" i="9" s="1"/>
  <c r="AF4149" i="9"/>
  <c r="AB4149" i="9"/>
  <c r="V4149" i="9"/>
  <c r="R4149" i="9"/>
  <c r="K4149" i="9"/>
  <c r="L4149" i="9" s="1"/>
  <c r="I4149" i="9"/>
  <c r="AN4148" i="9"/>
  <c r="AM4148" i="9"/>
  <c r="AF4148" i="9"/>
  <c r="AB4148" i="9"/>
  <c r="V4148" i="9"/>
  <c r="R4148" i="9"/>
  <c r="K4148" i="9"/>
  <c r="L4148" i="9" s="1"/>
  <c r="I4148" i="9"/>
  <c r="AM4147" i="9"/>
  <c r="AN4147" i="9" s="1"/>
  <c r="AF4147" i="9"/>
  <c r="AB4147" i="9"/>
  <c r="V4147" i="9"/>
  <c r="R4147" i="9"/>
  <c r="I4147" i="9"/>
  <c r="K4147" i="9" s="1"/>
  <c r="L4147" i="9" s="1"/>
  <c r="AM4146" i="9"/>
  <c r="AN4146" i="9" s="1"/>
  <c r="AF4146" i="9"/>
  <c r="AB4146" i="9"/>
  <c r="V4146" i="9"/>
  <c r="R4146" i="9"/>
  <c r="AK4146" i="9" s="1"/>
  <c r="AL4146" i="9" s="1"/>
  <c r="I4146" i="9"/>
  <c r="K4146" i="9" s="1"/>
  <c r="L4146" i="9" s="1"/>
  <c r="AM4145" i="9"/>
  <c r="AN4145" i="9" s="1"/>
  <c r="AF4145" i="9"/>
  <c r="AB4145" i="9"/>
  <c r="V4145" i="9"/>
  <c r="R4145" i="9"/>
  <c r="I4145" i="9"/>
  <c r="K4145" i="9" s="1"/>
  <c r="L4145" i="9" s="1"/>
  <c r="AM4144" i="9"/>
  <c r="AN4144" i="9" s="1"/>
  <c r="AF4144" i="9"/>
  <c r="AB4144" i="9"/>
  <c r="V4144" i="9"/>
  <c r="R4144" i="9"/>
  <c r="AK4144" i="9" s="1"/>
  <c r="AL4144" i="9" s="1"/>
  <c r="I4144" i="9"/>
  <c r="K4144" i="9" s="1"/>
  <c r="L4144" i="9" s="1"/>
  <c r="AN4143" i="9"/>
  <c r="AM4143" i="9"/>
  <c r="AF4143" i="9"/>
  <c r="AB4143" i="9"/>
  <c r="V4143" i="9"/>
  <c r="R4143" i="9"/>
  <c r="AK4143" i="9" s="1"/>
  <c r="AL4143" i="9" s="1"/>
  <c r="I4143" i="9"/>
  <c r="K4143" i="9" s="1"/>
  <c r="L4143" i="9" s="1"/>
  <c r="AM4142" i="9"/>
  <c r="AN4142" i="9" s="1"/>
  <c r="AF4142" i="9"/>
  <c r="AB4142" i="9"/>
  <c r="V4142" i="9"/>
  <c r="R4142" i="9"/>
  <c r="K4142" i="9"/>
  <c r="L4142" i="9" s="1"/>
  <c r="I4142" i="9"/>
  <c r="AF4141" i="9"/>
  <c r="AE4141" i="9"/>
  <c r="AB4141" i="9"/>
  <c r="AA4141" i="9"/>
  <c r="V4141" i="9"/>
  <c r="U4141" i="9"/>
  <c r="R4141" i="9"/>
  <c r="AK4141" i="9" s="1"/>
  <c r="AL4141" i="9" s="1"/>
  <c r="Q4141" i="9"/>
  <c r="AM4141" i="9" s="1"/>
  <c r="AN4141" i="9" s="1"/>
  <c r="K4141" i="9"/>
  <c r="L4141" i="9" s="1"/>
  <c r="I4141" i="9"/>
  <c r="AF4140" i="9"/>
  <c r="AE4140" i="9"/>
  <c r="AB4140" i="9"/>
  <c r="AA4140" i="9"/>
  <c r="V4140" i="9"/>
  <c r="U4140" i="9"/>
  <c r="R4140" i="9"/>
  <c r="AK4140" i="9" s="1"/>
  <c r="AL4140" i="9" s="1"/>
  <c r="Q4140" i="9"/>
  <c r="K4140" i="9"/>
  <c r="L4140" i="9" s="1"/>
  <c r="I4140" i="9"/>
  <c r="AF4139" i="9"/>
  <c r="AE4139" i="9"/>
  <c r="AB4139" i="9"/>
  <c r="AA4139" i="9"/>
  <c r="V4139" i="9"/>
  <c r="U4139" i="9"/>
  <c r="R4139" i="9"/>
  <c r="Q4139" i="9"/>
  <c r="K4139" i="9"/>
  <c r="L4139" i="9" s="1"/>
  <c r="I4139" i="9"/>
  <c r="AM4138" i="9"/>
  <c r="AN4138" i="9" s="1"/>
  <c r="AF4138" i="9"/>
  <c r="AB4138" i="9"/>
  <c r="V4138" i="9"/>
  <c r="R4138" i="9"/>
  <c r="I4138" i="9"/>
  <c r="K4138" i="9" s="1"/>
  <c r="L4138" i="9" s="1"/>
  <c r="AM4137" i="9"/>
  <c r="AN4137" i="9" s="1"/>
  <c r="AF4137" i="9"/>
  <c r="AB4137" i="9"/>
  <c r="V4137" i="9"/>
  <c r="R4137" i="9"/>
  <c r="I4137" i="9"/>
  <c r="K4137" i="9" s="1"/>
  <c r="L4137" i="9" s="1"/>
  <c r="AM4136" i="9"/>
  <c r="AN4136" i="9" s="1"/>
  <c r="AF4136" i="9"/>
  <c r="AB4136" i="9"/>
  <c r="V4136" i="9"/>
  <c r="R4136" i="9"/>
  <c r="K4136" i="9"/>
  <c r="L4136" i="9" s="1"/>
  <c r="I4136" i="9"/>
  <c r="AM4135" i="9"/>
  <c r="AN4135" i="9" s="1"/>
  <c r="AF4135" i="9"/>
  <c r="AB4135" i="9"/>
  <c r="V4135" i="9"/>
  <c r="R4135" i="9"/>
  <c r="I4135" i="9"/>
  <c r="K4135" i="9" s="1"/>
  <c r="L4135" i="9" s="1"/>
  <c r="AM4134" i="9"/>
  <c r="AN4134" i="9" s="1"/>
  <c r="AF4134" i="9"/>
  <c r="AB4134" i="9"/>
  <c r="V4134" i="9"/>
  <c r="R4134" i="9"/>
  <c r="K4134" i="9"/>
  <c r="L4134" i="9" s="1"/>
  <c r="I4134" i="9"/>
  <c r="AF4133" i="9"/>
  <c r="AE4133" i="9"/>
  <c r="AB4133" i="9"/>
  <c r="AA4133" i="9"/>
  <c r="V4133" i="9"/>
  <c r="U4133" i="9"/>
  <c r="R4133" i="9"/>
  <c r="Q4133" i="9"/>
  <c r="AM4133" i="9" s="1"/>
  <c r="AN4133" i="9" s="1"/>
  <c r="I4133" i="9"/>
  <c r="K4133" i="9" s="1"/>
  <c r="L4133" i="9" s="1"/>
  <c r="AN4132" i="9"/>
  <c r="AM4132" i="9"/>
  <c r="AF4132" i="9"/>
  <c r="AB4132" i="9"/>
  <c r="V4132" i="9"/>
  <c r="R4132" i="9"/>
  <c r="AK4132" i="9" s="1"/>
  <c r="AL4132" i="9" s="1"/>
  <c r="K4132" i="9"/>
  <c r="L4132" i="9" s="1"/>
  <c r="I4132" i="9"/>
  <c r="AM4131" i="9"/>
  <c r="AN4131" i="9" s="1"/>
  <c r="AF4131" i="9"/>
  <c r="AB4131" i="9"/>
  <c r="V4131" i="9"/>
  <c r="R4131" i="9"/>
  <c r="I4131" i="9"/>
  <c r="K4131" i="9" s="1"/>
  <c r="L4131" i="9" s="1"/>
  <c r="AM4130" i="9"/>
  <c r="AN4130" i="9" s="1"/>
  <c r="AF4130" i="9"/>
  <c r="AB4130" i="9"/>
  <c r="V4130" i="9"/>
  <c r="R4130" i="9"/>
  <c r="I4130" i="9"/>
  <c r="K4130" i="9" s="1"/>
  <c r="L4130" i="9" s="1"/>
  <c r="AF4129" i="9"/>
  <c r="AE4129" i="9"/>
  <c r="AB4129" i="9"/>
  <c r="AA4129" i="9"/>
  <c r="V4129" i="9"/>
  <c r="U4129" i="9"/>
  <c r="R4129" i="9"/>
  <c r="Q4129" i="9"/>
  <c r="K4129" i="9"/>
  <c r="L4129" i="9" s="1"/>
  <c r="I4129" i="9"/>
  <c r="AM4128" i="9"/>
  <c r="AN4128" i="9" s="1"/>
  <c r="AF4128" i="9"/>
  <c r="AB4128" i="9"/>
  <c r="V4128" i="9"/>
  <c r="R4128" i="9"/>
  <c r="K4128" i="9"/>
  <c r="L4128" i="9" s="1"/>
  <c r="I4128" i="9"/>
  <c r="AM4127" i="9"/>
  <c r="AN4127" i="9" s="1"/>
  <c r="AF4127" i="9"/>
  <c r="AB4127" i="9"/>
  <c r="V4127" i="9"/>
  <c r="R4127" i="9"/>
  <c r="AK4127" i="9" s="1"/>
  <c r="AL4127" i="9" s="1"/>
  <c r="I4127" i="9"/>
  <c r="K4127" i="9" s="1"/>
  <c r="L4127" i="9" s="1"/>
  <c r="AN4126" i="9"/>
  <c r="AM4126" i="9"/>
  <c r="AF4126" i="9"/>
  <c r="AB4126" i="9"/>
  <c r="V4126" i="9"/>
  <c r="R4126" i="9"/>
  <c r="L4126" i="9"/>
  <c r="K4126" i="9"/>
  <c r="I4126" i="9"/>
  <c r="AN4125" i="9"/>
  <c r="AM4125" i="9"/>
  <c r="AF4125" i="9"/>
  <c r="AB4125" i="9"/>
  <c r="V4125" i="9"/>
  <c r="R4125" i="9"/>
  <c r="I4125" i="9"/>
  <c r="K4125" i="9" s="1"/>
  <c r="L4125" i="9" s="1"/>
  <c r="AN4124" i="9"/>
  <c r="AM4124" i="9"/>
  <c r="AF4124" i="9"/>
  <c r="AB4124" i="9"/>
  <c r="V4124" i="9"/>
  <c r="R4124" i="9"/>
  <c r="I4124" i="9"/>
  <c r="K4124" i="9" s="1"/>
  <c r="L4124" i="9" s="1"/>
  <c r="AF4123" i="9"/>
  <c r="AE4123" i="9"/>
  <c r="AB4123" i="9"/>
  <c r="AA4123" i="9"/>
  <c r="V4123" i="9"/>
  <c r="U4123" i="9"/>
  <c r="R4123" i="9"/>
  <c r="Q4123" i="9"/>
  <c r="AM4123" i="9" s="1"/>
  <c r="AN4123" i="9" s="1"/>
  <c r="I4123" i="9"/>
  <c r="K4123" i="9" s="1"/>
  <c r="L4123" i="9" s="1"/>
  <c r="AN4122" i="9"/>
  <c r="AM4122" i="9"/>
  <c r="AF4122" i="9"/>
  <c r="AB4122" i="9"/>
  <c r="V4122" i="9"/>
  <c r="R4122" i="9"/>
  <c r="I4122" i="9"/>
  <c r="K4122" i="9" s="1"/>
  <c r="L4122" i="9" s="1"/>
  <c r="AN4121" i="9"/>
  <c r="AM4121" i="9"/>
  <c r="AF4121" i="9"/>
  <c r="AB4121" i="9"/>
  <c r="V4121" i="9"/>
  <c r="R4121" i="9"/>
  <c r="I4121" i="9"/>
  <c r="K4121" i="9" s="1"/>
  <c r="L4121" i="9" s="1"/>
  <c r="AM4120" i="9"/>
  <c r="AN4120" i="9" s="1"/>
  <c r="AF4120" i="9"/>
  <c r="AB4120" i="9"/>
  <c r="V4120" i="9"/>
  <c r="R4120" i="9"/>
  <c r="I4120" i="9"/>
  <c r="K4120" i="9" s="1"/>
  <c r="L4120" i="9" s="1"/>
  <c r="AA4119" i="9"/>
  <c r="U4119" i="9"/>
  <c r="Q4119" i="9"/>
  <c r="J4119" i="9"/>
  <c r="AO4118" i="9" s="1"/>
  <c r="AP4186" i="9" s="1"/>
  <c r="D4119" i="9"/>
  <c r="AE4119" i="9" s="1"/>
  <c r="AF4118" i="9"/>
  <c r="AE4118" i="9"/>
  <c r="AB4118" i="9"/>
  <c r="AA4118" i="9"/>
  <c r="V4118" i="9"/>
  <c r="U4118" i="9"/>
  <c r="R4118" i="9"/>
  <c r="Q4118" i="9"/>
  <c r="K4118" i="9"/>
  <c r="L4118" i="9" s="1"/>
  <c r="AF4117" i="9"/>
  <c r="AE4117" i="9"/>
  <c r="AB4117" i="9"/>
  <c r="AA4117" i="9"/>
  <c r="V4117" i="9"/>
  <c r="U4117" i="9"/>
  <c r="R4117" i="9"/>
  <c r="Q4117" i="9"/>
  <c r="AM4117" i="9" s="1"/>
  <c r="AN4117" i="9" s="1"/>
  <c r="K4117" i="9"/>
  <c r="L4117" i="9" s="1"/>
  <c r="AF4116" i="9"/>
  <c r="AE4116" i="9"/>
  <c r="AB4116" i="9"/>
  <c r="AA4116" i="9"/>
  <c r="V4116" i="9"/>
  <c r="U4116" i="9"/>
  <c r="R4116" i="9"/>
  <c r="Q4116" i="9"/>
  <c r="L4116" i="9"/>
  <c r="K4116" i="9"/>
  <c r="AF4115" i="9"/>
  <c r="AE4115" i="9"/>
  <c r="AB4115" i="9"/>
  <c r="AA4115" i="9"/>
  <c r="V4115" i="9"/>
  <c r="U4115" i="9"/>
  <c r="R4115" i="9"/>
  <c r="Q4115" i="9"/>
  <c r="K4115" i="9"/>
  <c r="L4115" i="9" s="1"/>
  <c r="AF4114" i="9"/>
  <c r="AE4114" i="9"/>
  <c r="AB4114" i="9"/>
  <c r="AA4114" i="9"/>
  <c r="V4114" i="9"/>
  <c r="U4114" i="9"/>
  <c r="R4114" i="9"/>
  <c r="Q4114" i="9"/>
  <c r="L4114" i="9"/>
  <c r="K4114" i="9"/>
  <c r="AF4113" i="9"/>
  <c r="AE4113" i="9"/>
  <c r="AB4113" i="9"/>
  <c r="AA4113" i="9"/>
  <c r="V4113" i="9"/>
  <c r="U4113" i="9"/>
  <c r="R4113" i="9"/>
  <c r="Q4113" i="9"/>
  <c r="K4113" i="9"/>
  <c r="L4113" i="9" s="1"/>
  <c r="AF4112" i="9"/>
  <c r="AE4112" i="9"/>
  <c r="AB4112" i="9"/>
  <c r="AA4112" i="9"/>
  <c r="V4112" i="9"/>
  <c r="U4112" i="9"/>
  <c r="R4112" i="9"/>
  <c r="Q4112" i="9"/>
  <c r="K4112" i="9"/>
  <c r="L4112" i="9" s="1"/>
  <c r="AF4111" i="9"/>
  <c r="AE4111" i="9"/>
  <c r="AB4111" i="9"/>
  <c r="AA4111" i="9"/>
  <c r="V4111" i="9"/>
  <c r="U4111" i="9"/>
  <c r="R4111" i="9"/>
  <c r="Q4111" i="9"/>
  <c r="K4111" i="9"/>
  <c r="L4111" i="9" s="1"/>
  <c r="AK4110" i="9"/>
  <c r="AL4110" i="9" s="1"/>
  <c r="AF4110" i="9"/>
  <c r="AE4110" i="9"/>
  <c r="AB4110" i="9"/>
  <c r="AA4110" i="9"/>
  <c r="V4110" i="9"/>
  <c r="U4110" i="9"/>
  <c r="R4110" i="9"/>
  <c r="Q4110" i="9"/>
  <c r="L4110" i="9"/>
  <c r="K4110" i="9"/>
  <c r="AF4109" i="9"/>
  <c r="AE4109" i="9"/>
  <c r="AB4109" i="9"/>
  <c r="AA4109" i="9"/>
  <c r="V4109" i="9"/>
  <c r="U4109" i="9"/>
  <c r="R4109" i="9"/>
  <c r="Q4109" i="9"/>
  <c r="K4109" i="9"/>
  <c r="L4109" i="9" s="1"/>
  <c r="AF4108" i="9"/>
  <c r="AE4108" i="9"/>
  <c r="AB4108" i="9"/>
  <c r="AA4108" i="9"/>
  <c r="V4108" i="9"/>
  <c r="U4108" i="9"/>
  <c r="R4108" i="9"/>
  <c r="Q4108" i="9"/>
  <c r="AM4108" i="9" s="1"/>
  <c r="AN4108" i="9" s="1"/>
  <c r="L4108" i="9"/>
  <c r="K4108" i="9"/>
  <c r="AF4107" i="9"/>
  <c r="AE4107" i="9"/>
  <c r="AB4107" i="9"/>
  <c r="AA4107" i="9"/>
  <c r="V4107" i="9"/>
  <c r="U4107" i="9"/>
  <c r="R4107" i="9"/>
  <c r="AK4107" i="9" s="1"/>
  <c r="AL4107" i="9" s="1"/>
  <c r="Q4107" i="9"/>
  <c r="K4107" i="9"/>
  <c r="L4107" i="9" s="1"/>
  <c r="AF4106" i="9"/>
  <c r="AE4106" i="9"/>
  <c r="AB4106" i="9"/>
  <c r="AA4106" i="9"/>
  <c r="V4106" i="9"/>
  <c r="U4106" i="9"/>
  <c r="R4106" i="9"/>
  <c r="Q4106" i="9"/>
  <c r="K4106" i="9"/>
  <c r="L4106" i="9" s="1"/>
  <c r="AF4105" i="9"/>
  <c r="AE4105" i="9"/>
  <c r="AB4105" i="9"/>
  <c r="AA4105" i="9"/>
  <c r="V4105" i="9"/>
  <c r="U4105" i="9"/>
  <c r="R4105" i="9"/>
  <c r="Q4105" i="9"/>
  <c r="K4105" i="9"/>
  <c r="L4105" i="9" s="1"/>
  <c r="AF4104" i="9"/>
  <c r="AE4104" i="9"/>
  <c r="AB4104" i="9"/>
  <c r="AA4104" i="9"/>
  <c r="V4104" i="9"/>
  <c r="U4104" i="9"/>
  <c r="R4104" i="9"/>
  <c r="Q4104" i="9"/>
  <c r="L4104" i="9"/>
  <c r="K4104" i="9"/>
  <c r="AF4103" i="9"/>
  <c r="AE4103" i="9"/>
  <c r="AB4103" i="9"/>
  <c r="AA4103" i="9"/>
  <c r="V4103" i="9"/>
  <c r="AK4103" i="9" s="1"/>
  <c r="AL4103" i="9" s="1"/>
  <c r="U4103" i="9"/>
  <c r="R4103" i="9"/>
  <c r="Q4103" i="9"/>
  <c r="K4103" i="9"/>
  <c r="L4103" i="9" s="1"/>
  <c r="AF4102" i="9"/>
  <c r="AE4102" i="9"/>
  <c r="AB4102" i="9"/>
  <c r="AA4102" i="9"/>
  <c r="V4102" i="9"/>
  <c r="U4102" i="9"/>
  <c r="R4102" i="9"/>
  <c r="Q4102" i="9"/>
  <c r="K4102" i="9"/>
  <c r="L4102" i="9" s="1"/>
  <c r="AF4101" i="9"/>
  <c r="AE4101" i="9"/>
  <c r="AB4101" i="9"/>
  <c r="AA4101" i="9"/>
  <c r="V4101" i="9"/>
  <c r="U4101" i="9"/>
  <c r="R4101" i="9"/>
  <c r="Q4101" i="9"/>
  <c r="AM4101" i="9" s="1"/>
  <c r="AN4101" i="9" s="1"/>
  <c r="K4101" i="9"/>
  <c r="L4101" i="9" s="1"/>
  <c r="AF4100" i="9"/>
  <c r="AE4100" i="9"/>
  <c r="AM4100" i="9" s="1"/>
  <c r="AN4100" i="9" s="1"/>
  <c r="AB4100" i="9"/>
  <c r="AA4100" i="9"/>
  <c r="V4100" i="9"/>
  <c r="U4100" i="9"/>
  <c r="R4100" i="9"/>
  <c r="Q4100" i="9"/>
  <c r="K4100" i="9"/>
  <c r="L4100" i="9" s="1"/>
  <c r="AF4099" i="9"/>
  <c r="AE4099" i="9"/>
  <c r="AM4099" i="9" s="1"/>
  <c r="AN4099" i="9" s="1"/>
  <c r="AB4099" i="9"/>
  <c r="AA4099" i="9"/>
  <c r="V4099" i="9"/>
  <c r="U4099" i="9"/>
  <c r="R4099" i="9"/>
  <c r="Q4099" i="9"/>
  <c r="K4099" i="9"/>
  <c r="L4099" i="9" s="1"/>
  <c r="AF4098" i="9"/>
  <c r="AE4098" i="9"/>
  <c r="AB4098" i="9"/>
  <c r="AA4098" i="9"/>
  <c r="V4098" i="9"/>
  <c r="U4098" i="9"/>
  <c r="R4098" i="9"/>
  <c r="Q4098" i="9"/>
  <c r="L4098" i="9"/>
  <c r="K4098" i="9"/>
  <c r="AF4097" i="9"/>
  <c r="AE4097" i="9"/>
  <c r="AB4097" i="9"/>
  <c r="AA4097" i="9"/>
  <c r="V4097" i="9"/>
  <c r="U4097" i="9"/>
  <c r="AM4097" i="9" s="1"/>
  <c r="AN4097" i="9" s="1"/>
  <c r="R4097" i="9"/>
  <c r="AK4097" i="9" s="1"/>
  <c r="AL4097" i="9" s="1"/>
  <c r="Q4097" i="9"/>
  <c r="L4097" i="9"/>
  <c r="K4097" i="9"/>
  <c r="AF4096" i="9"/>
  <c r="AE4096" i="9"/>
  <c r="AB4096" i="9"/>
  <c r="AA4096" i="9"/>
  <c r="V4096" i="9"/>
  <c r="U4096" i="9"/>
  <c r="R4096" i="9"/>
  <c r="Q4096" i="9"/>
  <c r="AM4096" i="9" s="1"/>
  <c r="AN4096" i="9" s="1"/>
  <c r="L4096" i="9"/>
  <c r="K4096" i="9"/>
  <c r="AF4095" i="9"/>
  <c r="AE4095" i="9"/>
  <c r="AB4095" i="9"/>
  <c r="AA4095" i="9"/>
  <c r="V4095" i="9"/>
  <c r="U4095" i="9"/>
  <c r="R4095" i="9"/>
  <c r="Q4095" i="9"/>
  <c r="K4095" i="9"/>
  <c r="L4095" i="9" s="1"/>
  <c r="AF4094" i="9"/>
  <c r="AE4094" i="9"/>
  <c r="AB4094" i="9"/>
  <c r="AA4094" i="9"/>
  <c r="V4094" i="9"/>
  <c r="U4094" i="9"/>
  <c r="R4094" i="9"/>
  <c r="Q4094" i="9"/>
  <c r="K4094" i="9"/>
  <c r="L4094" i="9" s="1"/>
  <c r="AF4093" i="9"/>
  <c r="AE4093" i="9"/>
  <c r="AB4093" i="9"/>
  <c r="AA4093" i="9"/>
  <c r="V4093" i="9"/>
  <c r="U4093" i="9"/>
  <c r="R4093" i="9"/>
  <c r="Q4093" i="9"/>
  <c r="K4093" i="9"/>
  <c r="L4093" i="9" s="1"/>
  <c r="AF4092" i="9"/>
  <c r="AE4092" i="9"/>
  <c r="AB4092" i="9"/>
  <c r="AA4092" i="9"/>
  <c r="V4092" i="9"/>
  <c r="U4092" i="9"/>
  <c r="AM4092" i="9" s="1"/>
  <c r="AN4092" i="9" s="1"/>
  <c r="R4092" i="9"/>
  <c r="Q4092" i="9"/>
  <c r="K4092" i="9"/>
  <c r="L4092" i="9" s="1"/>
  <c r="AF4091" i="9"/>
  <c r="AE4091" i="9"/>
  <c r="AB4091" i="9"/>
  <c r="AA4091" i="9"/>
  <c r="V4091" i="9"/>
  <c r="U4091" i="9"/>
  <c r="R4091" i="9"/>
  <c r="Q4091" i="9"/>
  <c r="K4091" i="9"/>
  <c r="L4091" i="9" s="1"/>
  <c r="AF4090" i="9"/>
  <c r="AE4090" i="9"/>
  <c r="AB4090" i="9"/>
  <c r="AA4090" i="9"/>
  <c r="V4090" i="9"/>
  <c r="U4090" i="9"/>
  <c r="R4090" i="9"/>
  <c r="Q4090" i="9"/>
  <c r="K4090" i="9"/>
  <c r="L4090" i="9" s="1"/>
  <c r="AF4089" i="9"/>
  <c r="AE4089" i="9"/>
  <c r="AB4089" i="9"/>
  <c r="AA4089" i="9"/>
  <c r="V4089" i="9"/>
  <c r="U4089" i="9"/>
  <c r="R4089" i="9"/>
  <c r="Q4089" i="9"/>
  <c r="L4089" i="9"/>
  <c r="K4089" i="9"/>
  <c r="AF4088" i="9"/>
  <c r="AE4088" i="9"/>
  <c r="AB4088" i="9"/>
  <c r="AA4088" i="9"/>
  <c r="V4088" i="9"/>
  <c r="U4088" i="9"/>
  <c r="R4088" i="9"/>
  <c r="Q4088" i="9"/>
  <c r="K4088" i="9"/>
  <c r="L4088" i="9" s="1"/>
  <c r="AF4087" i="9"/>
  <c r="AE4087" i="9"/>
  <c r="AB4087" i="9"/>
  <c r="AA4087" i="9"/>
  <c r="V4087" i="9"/>
  <c r="U4087" i="9"/>
  <c r="R4087" i="9"/>
  <c r="Q4087" i="9"/>
  <c r="AM4087" i="9" s="1"/>
  <c r="AN4087" i="9" s="1"/>
  <c r="L4087" i="9"/>
  <c r="K4087" i="9"/>
  <c r="AF4086" i="9"/>
  <c r="AE4086" i="9"/>
  <c r="AB4086" i="9"/>
  <c r="AA4086" i="9"/>
  <c r="V4086" i="9"/>
  <c r="U4086" i="9"/>
  <c r="R4086" i="9"/>
  <c r="AK4086" i="9" s="1"/>
  <c r="AL4086" i="9" s="1"/>
  <c r="Q4086" i="9"/>
  <c r="K4086" i="9"/>
  <c r="L4086" i="9" s="1"/>
  <c r="AF4085" i="9"/>
  <c r="AE4085" i="9"/>
  <c r="AB4085" i="9"/>
  <c r="AA4085" i="9"/>
  <c r="V4085" i="9"/>
  <c r="AK4085" i="9" s="1"/>
  <c r="AL4085" i="9" s="1"/>
  <c r="U4085" i="9"/>
  <c r="R4085" i="9"/>
  <c r="Q4085" i="9"/>
  <c r="K4085" i="9"/>
  <c r="L4085" i="9" s="1"/>
  <c r="AM4084" i="9"/>
  <c r="AN4084" i="9" s="1"/>
  <c r="AK4084" i="9"/>
  <c r="AL4084" i="9" s="1"/>
  <c r="AF4084" i="9"/>
  <c r="AE4084" i="9"/>
  <c r="AB4084" i="9"/>
  <c r="AA4084" i="9"/>
  <c r="V4084" i="9"/>
  <c r="U4084" i="9"/>
  <c r="R4084" i="9"/>
  <c r="Q4084" i="9"/>
  <c r="L4084" i="9"/>
  <c r="K4084" i="9"/>
  <c r="AM4083" i="9"/>
  <c r="AN4083" i="9" s="1"/>
  <c r="AL4083" i="9"/>
  <c r="AF4083" i="9"/>
  <c r="AK4083" i="9" s="1"/>
  <c r="AE4083" i="9"/>
  <c r="AB4083" i="9"/>
  <c r="AA4083" i="9"/>
  <c r="V4083" i="9"/>
  <c r="U4083" i="9"/>
  <c r="R4083" i="9"/>
  <c r="Q4083" i="9"/>
  <c r="K4083" i="9"/>
  <c r="L4083" i="9" s="1"/>
  <c r="AM4082" i="9"/>
  <c r="AN4082" i="9" s="1"/>
  <c r="AF4082" i="9"/>
  <c r="AE4082" i="9"/>
  <c r="AB4082" i="9"/>
  <c r="AA4082" i="9"/>
  <c r="V4082" i="9"/>
  <c r="U4082" i="9"/>
  <c r="R4082" i="9"/>
  <c r="Q4082" i="9"/>
  <c r="K4082" i="9"/>
  <c r="L4082" i="9" s="1"/>
  <c r="AF4081" i="9"/>
  <c r="AE4081" i="9"/>
  <c r="AB4081" i="9"/>
  <c r="AA4081" i="9"/>
  <c r="V4081" i="9"/>
  <c r="U4081" i="9"/>
  <c r="R4081" i="9"/>
  <c r="Q4081" i="9"/>
  <c r="L4081" i="9"/>
  <c r="K4081" i="9"/>
  <c r="AF4080" i="9"/>
  <c r="AE4080" i="9"/>
  <c r="AB4080" i="9"/>
  <c r="AA4080" i="9"/>
  <c r="V4080" i="9"/>
  <c r="U4080" i="9"/>
  <c r="R4080" i="9"/>
  <c r="Q4080" i="9"/>
  <c r="K4080" i="9"/>
  <c r="L4080" i="9" s="1"/>
  <c r="AF4079" i="9"/>
  <c r="AE4079" i="9"/>
  <c r="AB4079" i="9"/>
  <c r="AA4079" i="9"/>
  <c r="V4079" i="9"/>
  <c r="U4079" i="9"/>
  <c r="R4079" i="9"/>
  <c r="Q4079" i="9"/>
  <c r="L4079" i="9"/>
  <c r="K4079" i="9"/>
  <c r="AF4078" i="9"/>
  <c r="AE4078" i="9"/>
  <c r="AB4078" i="9"/>
  <c r="AA4078" i="9"/>
  <c r="V4078" i="9"/>
  <c r="U4078" i="9"/>
  <c r="R4078" i="9"/>
  <c r="Q4078" i="9"/>
  <c r="K4078" i="9"/>
  <c r="L4078" i="9" s="1"/>
  <c r="AF4077" i="9"/>
  <c r="AE4077" i="9"/>
  <c r="AB4077" i="9"/>
  <c r="AA4077" i="9"/>
  <c r="V4077" i="9"/>
  <c r="U4077" i="9"/>
  <c r="R4077" i="9"/>
  <c r="Q4077" i="9"/>
  <c r="L4077" i="9"/>
  <c r="K4077" i="9"/>
  <c r="AF4076" i="9"/>
  <c r="AE4076" i="9"/>
  <c r="AB4076" i="9"/>
  <c r="AA4076" i="9"/>
  <c r="V4076" i="9"/>
  <c r="U4076" i="9"/>
  <c r="R4076" i="9"/>
  <c r="Q4076" i="9"/>
  <c r="L4076" i="9"/>
  <c r="K4076" i="9"/>
  <c r="AF4075" i="9"/>
  <c r="AE4075" i="9"/>
  <c r="AB4075" i="9"/>
  <c r="AA4075" i="9"/>
  <c r="V4075" i="9"/>
  <c r="U4075" i="9"/>
  <c r="R4075" i="9"/>
  <c r="Q4075" i="9"/>
  <c r="AM4075" i="9" s="1"/>
  <c r="AN4075" i="9" s="1"/>
  <c r="L4075" i="9"/>
  <c r="K4075" i="9"/>
  <c r="AF4074" i="9"/>
  <c r="AE4074" i="9"/>
  <c r="AB4074" i="9"/>
  <c r="AA4074" i="9"/>
  <c r="V4074" i="9"/>
  <c r="U4074" i="9"/>
  <c r="AM4074" i="9" s="1"/>
  <c r="AN4074" i="9" s="1"/>
  <c r="R4074" i="9"/>
  <c r="Q4074" i="9"/>
  <c r="K4074" i="9"/>
  <c r="L4074" i="9" s="1"/>
  <c r="AF4073" i="9"/>
  <c r="AE4073" i="9"/>
  <c r="AB4073" i="9"/>
  <c r="AA4073" i="9"/>
  <c r="V4073" i="9"/>
  <c r="U4073" i="9"/>
  <c r="R4073" i="9"/>
  <c r="Q4073" i="9"/>
  <c r="L4073" i="9"/>
  <c r="K4073" i="9"/>
  <c r="AF4072" i="9"/>
  <c r="AE4072" i="9"/>
  <c r="AB4072" i="9"/>
  <c r="AA4072" i="9"/>
  <c r="V4072" i="9"/>
  <c r="U4072" i="9"/>
  <c r="R4072" i="9"/>
  <c r="Q4072" i="9"/>
  <c r="K4072" i="9"/>
  <c r="L4072" i="9" s="1"/>
  <c r="AF4071" i="9"/>
  <c r="AE4071" i="9"/>
  <c r="AB4071" i="9"/>
  <c r="AA4071" i="9"/>
  <c r="V4071" i="9"/>
  <c r="U4071" i="9"/>
  <c r="R4071" i="9"/>
  <c r="Q4071" i="9"/>
  <c r="K4071" i="9"/>
  <c r="L4071" i="9" s="1"/>
  <c r="AF4070" i="9"/>
  <c r="AE4070" i="9"/>
  <c r="AB4070" i="9"/>
  <c r="AA4070" i="9"/>
  <c r="V4070" i="9"/>
  <c r="U4070" i="9"/>
  <c r="R4070" i="9"/>
  <c r="Q4070" i="9"/>
  <c r="K4070" i="9"/>
  <c r="L4070" i="9" s="1"/>
  <c r="AF4069" i="9"/>
  <c r="AE4069" i="9"/>
  <c r="AB4069" i="9"/>
  <c r="AA4069" i="9"/>
  <c r="V4069" i="9"/>
  <c r="U4069" i="9"/>
  <c r="R4069" i="9"/>
  <c r="AK4069" i="9" s="1"/>
  <c r="AL4069" i="9" s="1"/>
  <c r="Q4069" i="9"/>
  <c r="L4069" i="9"/>
  <c r="K4069" i="9"/>
  <c r="AF4068" i="9"/>
  <c r="AE4068" i="9"/>
  <c r="AB4068" i="9"/>
  <c r="AA4068" i="9"/>
  <c r="V4068" i="9"/>
  <c r="U4068" i="9"/>
  <c r="R4068" i="9"/>
  <c r="Q4068" i="9"/>
  <c r="AM4068" i="9" s="1"/>
  <c r="AN4068" i="9" s="1"/>
  <c r="K4068" i="9"/>
  <c r="L4068" i="9" s="1"/>
  <c r="AM4067" i="9"/>
  <c r="AN4067" i="9" s="1"/>
  <c r="AF4067" i="9"/>
  <c r="AE4067" i="9"/>
  <c r="AB4067" i="9"/>
  <c r="AA4067" i="9"/>
  <c r="V4067" i="9"/>
  <c r="U4067" i="9"/>
  <c r="R4067" i="9"/>
  <c r="Q4067" i="9"/>
  <c r="K4067" i="9"/>
  <c r="L4067" i="9" s="1"/>
  <c r="AF4066" i="9"/>
  <c r="AE4066" i="9"/>
  <c r="AB4066" i="9"/>
  <c r="AA4066" i="9"/>
  <c r="V4066" i="9"/>
  <c r="U4066" i="9"/>
  <c r="R4066" i="9"/>
  <c r="Q4066" i="9"/>
  <c r="L4066" i="9"/>
  <c r="K4066" i="9"/>
  <c r="AF4065" i="9"/>
  <c r="AE4065" i="9"/>
  <c r="AB4065" i="9"/>
  <c r="AA4065" i="9"/>
  <c r="V4065" i="9"/>
  <c r="U4065" i="9"/>
  <c r="R4065" i="9"/>
  <c r="Q4065" i="9"/>
  <c r="K4065" i="9"/>
  <c r="L4065" i="9" s="1"/>
  <c r="AF4064" i="9"/>
  <c r="AE4064" i="9"/>
  <c r="AB4064" i="9"/>
  <c r="AA4064" i="9"/>
  <c r="V4064" i="9"/>
  <c r="U4064" i="9"/>
  <c r="R4064" i="9"/>
  <c r="Q4064" i="9"/>
  <c r="L4064" i="9"/>
  <c r="K4064" i="9"/>
  <c r="AF4063" i="9"/>
  <c r="AE4063" i="9"/>
  <c r="AB4063" i="9"/>
  <c r="AA4063" i="9"/>
  <c r="V4063" i="9"/>
  <c r="U4063" i="9"/>
  <c r="R4063" i="9"/>
  <c r="Q4063" i="9"/>
  <c r="L4063" i="9"/>
  <c r="K4063" i="9"/>
  <c r="AF4062" i="9"/>
  <c r="AE4062" i="9"/>
  <c r="AB4062" i="9"/>
  <c r="AK4062" i="9" s="1"/>
  <c r="AL4062" i="9" s="1"/>
  <c r="AA4062" i="9"/>
  <c r="V4062" i="9"/>
  <c r="U4062" i="9"/>
  <c r="R4062" i="9"/>
  <c r="Q4062" i="9"/>
  <c r="L4062" i="9"/>
  <c r="K4062" i="9"/>
  <c r="AF4061" i="9"/>
  <c r="AE4061" i="9"/>
  <c r="AB4061" i="9"/>
  <c r="AA4061" i="9"/>
  <c r="V4061" i="9"/>
  <c r="U4061" i="9"/>
  <c r="R4061" i="9"/>
  <c r="AK4061" i="9" s="1"/>
  <c r="AL4061" i="9" s="1"/>
  <c r="Q4061" i="9"/>
  <c r="K4061" i="9"/>
  <c r="L4061" i="9" s="1"/>
  <c r="AF4060" i="9"/>
  <c r="AE4060" i="9"/>
  <c r="AB4060" i="9"/>
  <c r="AA4060" i="9"/>
  <c r="V4060" i="9"/>
  <c r="U4060" i="9"/>
  <c r="AM4060" i="9" s="1"/>
  <c r="AN4060" i="9" s="1"/>
  <c r="R4060" i="9"/>
  <c r="Q4060" i="9"/>
  <c r="K4060" i="9"/>
  <c r="L4060" i="9" s="1"/>
  <c r="AF4059" i="9"/>
  <c r="AE4059" i="9"/>
  <c r="AB4059" i="9"/>
  <c r="AA4059" i="9"/>
  <c r="V4059" i="9"/>
  <c r="U4059" i="9"/>
  <c r="R4059" i="9"/>
  <c r="Q4059" i="9"/>
  <c r="L4059" i="9"/>
  <c r="K4059" i="9"/>
  <c r="AF4058" i="9"/>
  <c r="AE4058" i="9"/>
  <c r="AB4058" i="9"/>
  <c r="AA4058" i="9"/>
  <c r="V4058" i="9"/>
  <c r="U4058" i="9"/>
  <c r="R4058" i="9"/>
  <c r="Q4058" i="9"/>
  <c r="K4058" i="9"/>
  <c r="L4058" i="9" s="1"/>
  <c r="AF4057" i="9"/>
  <c r="AE4057" i="9"/>
  <c r="AB4057" i="9"/>
  <c r="AA4057" i="9"/>
  <c r="V4057" i="9"/>
  <c r="U4057" i="9"/>
  <c r="R4057" i="9"/>
  <c r="Q4057" i="9"/>
  <c r="L4057" i="9"/>
  <c r="K4057" i="9"/>
  <c r="AF4056" i="9"/>
  <c r="AE4056" i="9"/>
  <c r="AB4056" i="9"/>
  <c r="AA4056" i="9"/>
  <c r="V4056" i="9"/>
  <c r="U4056" i="9"/>
  <c r="R4056" i="9"/>
  <c r="Q4056" i="9"/>
  <c r="K4056" i="9"/>
  <c r="L4056" i="9" s="1"/>
  <c r="AF4055" i="9"/>
  <c r="AE4055" i="9"/>
  <c r="AM4055" i="9" s="1"/>
  <c r="AN4055" i="9" s="1"/>
  <c r="AB4055" i="9"/>
  <c r="AA4055" i="9"/>
  <c r="V4055" i="9"/>
  <c r="U4055" i="9"/>
  <c r="R4055" i="9"/>
  <c r="Q4055" i="9"/>
  <c r="K4055" i="9"/>
  <c r="L4055" i="9" s="1"/>
  <c r="AF4054" i="9"/>
  <c r="AE4054" i="9"/>
  <c r="AB4054" i="9"/>
  <c r="AA4054" i="9"/>
  <c r="V4054" i="9"/>
  <c r="U4054" i="9"/>
  <c r="R4054" i="9"/>
  <c r="Q4054" i="9"/>
  <c r="K4054" i="9"/>
  <c r="L4054" i="9" s="1"/>
  <c r="AK4053" i="9"/>
  <c r="AL4053" i="9" s="1"/>
  <c r="AF4053" i="9"/>
  <c r="AE4053" i="9"/>
  <c r="AB4053" i="9"/>
  <c r="AA4053" i="9"/>
  <c r="V4053" i="9"/>
  <c r="U4053" i="9"/>
  <c r="R4053" i="9"/>
  <c r="Q4053" i="9"/>
  <c r="K4053" i="9"/>
  <c r="L4053" i="9" s="1"/>
  <c r="AF4052" i="9"/>
  <c r="AE4052" i="9"/>
  <c r="AB4052" i="9"/>
  <c r="AA4052" i="9"/>
  <c r="V4052" i="9"/>
  <c r="U4052" i="9"/>
  <c r="R4052" i="9"/>
  <c r="Q4052" i="9"/>
  <c r="L4052" i="9"/>
  <c r="K4052" i="9"/>
  <c r="AF4051" i="9"/>
  <c r="AE4051" i="9"/>
  <c r="AB4051" i="9"/>
  <c r="AA4051" i="9"/>
  <c r="V4051" i="9"/>
  <c r="U4051" i="9"/>
  <c r="R4051" i="9"/>
  <c r="Q4051" i="9"/>
  <c r="L4051" i="9"/>
  <c r="K4051" i="9"/>
  <c r="AF4050" i="9"/>
  <c r="AE4050" i="9"/>
  <c r="AB4050" i="9"/>
  <c r="AA4050" i="9"/>
  <c r="V4050" i="9"/>
  <c r="U4050" i="9"/>
  <c r="R4050" i="9"/>
  <c r="Q4050" i="9"/>
  <c r="K4050" i="9"/>
  <c r="L4050" i="9" s="1"/>
  <c r="AF4049" i="9"/>
  <c r="AE4049" i="9"/>
  <c r="AB4049" i="9"/>
  <c r="AA4049" i="9"/>
  <c r="V4049" i="9"/>
  <c r="U4049" i="9"/>
  <c r="R4049" i="9"/>
  <c r="Q4049" i="9"/>
  <c r="K4049" i="9"/>
  <c r="L4049" i="9" s="1"/>
  <c r="AF4048" i="9"/>
  <c r="AE4048" i="9"/>
  <c r="AB4048" i="9"/>
  <c r="AK4048" i="9" s="1"/>
  <c r="AL4048" i="9" s="1"/>
  <c r="AA4048" i="9"/>
  <c r="V4048" i="9"/>
  <c r="U4048" i="9"/>
  <c r="AM4048" i="9" s="1"/>
  <c r="AN4048" i="9" s="1"/>
  <c r="R4048" i="9"/>
  <c r="Q4048" i="9"/>
  <c r="K4048" i="9"/>
  <c r="L4048" i="9" s="1"/>
  <c r="AF4047" i="9"/>
  <c r="AE4047" i="9"/>
  <c r="AB4047" i="9"/>
  <c r="AA4047" i="9"/>
  <c r="V4047" i="9"/>
  <c r="U4047" i="9"/>
  <c r="R4047" i="9"/>
  <c r="Q4047" i="9"/>
  <c r="K4047" i="9"/>
  <c r="L4047" i="9" s="1"/>
  <c r="AF4046" i="9"/>
  <c r="AE4046" i="9"/>
  <c r="AB4046" i="9"/>
  <c r="AA4046" i="9"/>
  <c r="V4046" i="9"/>
  <c r="U4046" i="9"/>
  <c r="R4046" i="9"/>
  <c r="Q4046" i="9"/>
  <c r="L4046" i="9"/>
  <c r="K4046" i="9"/>
  <c r="AF4045" i="9"/>
  <c r="AK4045" i="9" s="1"/>
  <c r="AL4045" i="9" s="1"/>
  <c r="AE4045" i="9"/>
  <c r="AB4045" i="9"/>
  <c r="AA4045" i="9"/>
  <c r="V4045" i="9"/>
  <c r="U4045" i="9"/>
  <c r="R4045" i="9"/>
  <c r="Q4045" i="9"/>
  <c r="AM4045" i="9" s="1"/>
  <c r="AN4045" i="9" s="1"/>
  <c r="L4045" i="9"/>
  <c r="K4045" i="9"/>
  <c r="AM4044" i="9"/>
  <c r="AN4044" i="9" s="1"/>
  <c r="AF4044" i="9"/>
  <c r="AE4044" i="9"/>
  <c r="AB4044" i="9"/>
  <c r="AK4044" i="9" s="1"/>
  <c r="AL4044" i="9" s="1"/>
  <c r="AA4044" i="9"/>
  <c r="V4044" i="9"/>
  <c r="U4044" i="9"/>
  <c r="R4044" i="9"/>
  <c r="Q4044" i="9"/>
  <c r="L4044" i="9"/>
  <c r="K4044" i="9"/>
  <c r="AF4043" i="9"/>
  <c r="AE4043" i="9"/>
  <c r="AB4043" i="9"/>
  <c r="AA4043" i="9"/>
  <c r="V4043" i="9"/>
  <c r="U4043" i="9"/>
  <c r="R4043" i="9"/>
  <c r="Q4043" i="9"/>
  <c r="K4043" i="9"/>
  <c r="L4043" i="9" s="1"/>
  <c r="AF4042" i="9"/>
  <c r="AE4042" i="9"/>
  <c r="AB4042" i="9"/>
  <c r="AA4042" i="9"/>
  <c r="V4042" i="9"/>
  <c r="AK4042" i="9" s="1"/>
  <c r="AL4042" i="9" s="1"/>
  <c r="U4042" i="9"/>
  <c r="R4042" i="9"/>
  <c r="Q4042" i="9"/>
  <c r="L4042" i="9"/>
  <c r="K4042" i="9"/>
  <c r="AF4041" i="9"/>
  <c r="AE4041" i="9"/>
  <c r="AB4041" i="9"/>
  <c r="AA4041" i="9"/>
  <c r="V4041" i="9"/>
  <c r="U4041" i="9"/>
  <c r="R4041" i="9"/>
  <c r="Q4041" i="9"/>
  <c r="K4041" i="9"/>
  <c r="L4041" i="9" s="1"/>
  <c r="AF4040" i="9"/>
  <c r="AE4040" i="9"/>
  <c r="AB4040" i="9"/>
  <c r="AA4040" i="9"/>
  <c r="V4040" i="9"/>
  <c r="U4040" i="9"/>
  <c r="R4040" i="9"/>
  <c r="Q4040" i="9"/>
  <c r="L4040" i="9"/>
  <c r="K4040" i="9"/>
  <c r="AF4039" i="9"/>
  <c r="AE4039" i="9"/>
  <c r="AB4039" i="9"/>
  <c r="AA4039" i="9"/>
  <c r="V4039" i="9"/>
  <c r="U4039" i="9"/>
  <c r="R4039" i="9"/>
  <c r="Q4039" i="9"/>
  <c r="L4039" i="9"/>
  <c r="K4039" i="9"/>
  <c r="AF4038" i="9"/>
  <c r="AE4038" i="9"/>
  <c r="AB4038" i="9"/>
  <c r="AA4038" i="9"/>
  <c r="V4038" i="9"/>
  <c r="U4038" i="9"/>
  <c r="R4038" i="9"/>
  <c r="Q4038" i="9"/>
  <c r="K4038" i="9"/>
  <c r="L4038" i="9" s="1"/>
  <c r="AF4037" i="9"/>
  <c r="AE4037" i="9"/>
  <c r="AB4037" i="9"/>
  <c r="AA4037" i="9"/>
  <c r="V4037" i="9"/>
  <c r="U4037" i="9"/>
  <c r="R4037" i="9"/>
  <c r="Q4037" i="9"/>
  <c r="K4037" i="9"/>
  <c r="L4037" i="9" s="1"/>
  <c r="AF4036" i="9"/>
  <c r="AE4036" i="9"/>
  <c r="AB4036" i="9"/>
  <c r="AA4036" i="9"/>
  <c r="AM4036" i="9" s="1"/>
  <c r="AN4036" i="9" s="1"/>
  <c r="V4036" i="9"/>
  <c r="U4036" i="9"/>
  <c r="R4036" i="9"/>
  <c r="Q4036" i="9"/>
  <c r="L4036" i="9"/>
  <c r="K4036" i="9"/>
  <c r="AF4035" i="9"/>
  <c r="AE4035" i="9"/>
  <c r="AB4035" i="9"/>
  <c r="AA4035" i="9"/>
  <c r="V4035" i="9"/>
  <c r="U4035" i="9"/>
  <c r="R4035" i="9"/>
  <c r="Q4035" i="9"/>
  <c r="K4035" i="9"/>
  <c r="L4035" i="9" s="1"/>
  <c r="AF4034" i="9"/>
  <c r="AE4034" i="9"/>
  <c r="AB4034" i="9"/>
  <c r="AA4034" i="9"/>
  <c r="V4034" i="9"/>
  <c r="U4034" i="9"/>
  <c r="R4034" i="9"/>
  <c r="Q4034" i="9"/>
  <c r="AM4034" i="9" s="1"/>
  <c r="AN4034" i="9" s="1"/>
  <c r="K4034" i="9"/>
  <c r="L4034" i="9" s="1"/>
  <c r="AF4033" i="9"/>
  <c r="AE4033" i="9"/>
  <c r="AB4033" i="9"/>
  <c r="AA4033" i="9"/>
  <c r="V4033" i="9"/>
  <c r="U4033" i="9"/>
  <c r="R4033" i="9"/>
  <c r="Q4033" i="9"/>
  <c r="K4033" i="9"/>
  <c r="L4033" i="9" s="1"/>
  <c r="AF4032" i="9"/>
  <c r="AE4032" i="9"/>
  <c r="AB4032" i="9"/>
  <c r="AA4032" i="9"/>
  <c r="V4032" i="9"/>
  <c r="U4032" i="9"/>
  <c r="R4032" i="9"/>
  <c r="Q4032" i="9"/>
  <c r="K4032" i="9"/>
  <c r="L4032" i="9" s="1"/>
  <c r="AF4031" i="9"/>
  <c r="AE4031" i="9"/>
  <c r="AB4031" i="9"/>
  <c r="AA4031" i="9"/>
  <c r="V4031" i="9"/>
  <c r="U4031" i="9"/>
  <c r="R4031" i="9"/>
  <c r="Q4031" i="9"/>
  <c r="K4031" i="9"/>
  <c r="L4031" i="9" s="1"/>
  <c r="AF4030" i="9"/>
  <c r="AE4030" i="9"/>
  <c r="AB4030" i="9"/>
  <c r="AA4030" i="9"/>
  <c r="V4030" i="9"/>
  <c r="AK4030" i="9" s="1"/>
  <c r="AL4030" i="9" s="1"/>
  <c r="U4030" i="9"/>
  <c r="R4030" i="9"/>
  <c r="Q4030" i="9"/>
  <c r="L4030" i="9"/>
  <c r="K4030" i="9"/>
  <c r="AF4029" i="9"/>
  <c r="AE4029" i="9"/>
  <c r="AB4029" i="9"/>
  <c r="AA4029" i="9"/>
  <c r="V4029" i="9"/>
  <c r="U4029" i="9"/>
  <c r="R4029" i="9"/>
  <c r="Q4029" i="9"/>
  <c r="AM4029" i="9" s="1"/>
  <c r="AN4029" i="9" s="1"/>
  <c r="K4029" i="9"/>
  <c r="L4029" i="9" s="1"/>
  <c r="AF4028" i="9"/>
  <c r="AE4028" i="9"/>
  <c r="AB4028" i="9"/>
  <c r="AA4028" i="9"/>
  <c r="V4028" i="9"/>
  <c r="U4028" i="9"/>
  <c r="R4028" i="9"/>
  <c r="Q4028" i="9"/>
  <c r="L4028" i="9"/>
  <c r="K4028" i="9"/>
  <c r="AF4027" i="9"/>
  <c r="AE4027" i="9"/>
  <c r="AB4027" i="9"/>
  <c r="AA4027" i="9"/>
  <c r="V4027" i="9"/>
  <c r="U4027" i="9"/>
  <c r="R4027" i="9"/>
  <c r="AK4027" i="9" s="1"/>
  <c r="AL4027" i="9" s="1"/>
  <c r="Q4027" i="9"/>
  <c r="K4027" i="9"/>
  <c r="L4027" i="9" s="1"/>
  <c r="AF4026" i="9"/>
  <c r="AK4026" i="9" s="1"/>
  <c r="AL4026" i="9" s="1"/>
  <c r="AE4026" i="9"/>
  <c r="AB4026" i="9"/>
  <c r="AA4026" i="9"/>
  <c r="V4026" i="9"/>
  <c r="U4026" i="9"/>
  <c r="R4026" i="9"/>
  <c r="Q4026" i="9"/>
  <c r="L4026" i="9"/>
  <c r="K4026" i="9"/>
  <c r="AF4025" i="9"/>
  <c r="AK4025" i="9" s="1"/>
  <c r="AL4025" i="9" s="1"/>
  <c r="AE4025" i="9"/>
  <c r="AB4025" i="9"/>
  <c r="AA4025" i="9"/>
  <c r="V4025" i="9"/>
  <c r="U4025" i="9"/>
  <c r="R4025" i="9"/>
  <c r="Q4025" i="9"/>
  <c r="K4025" i="9"/>
  <c r="L4025" i="9" s="1"/>
  <c r="AF4024" i="9"/>
  <c r="AE4024" i="9"/>
  <c r="AB4024" i="9"/>
  <c r="AA4024" i="9"/>
  <c r="V4024" i="9"/>
  <c r="U4024" i="9"/>
  <c r="R4024" i="9"/>
  <c r="AK4024" i="9" s="1"/>
  <c r="AL4024" i="9" s="1"/>
  <c r="Q4024" i="9"/>
  <c r="K4024" i="9"/>
  <c r="L4024" i="9" s="1"/>
  <c r="AF4023" i="9"/>
  <c r="AE4023" i="9"/>
  <c r="AB4023" i="9"/>
  <c r="AA4023" i="9"/>
  <c r="V4023" i="9"/>
  <c r="U4023" i="9"/>
  <c r="R4023" i="9"/>
  <c r="Q4023" i="9"/>
  <c r="L4023" i="9"/>
  <c r="K4023" i="9"/>
  <c r="AF4022" i="9"/>
  <c r="AE4022" i="9"/>
  <c r="AB4022" i="9"/>
  <c r="AA4022" i="9"/>
  <c r="V4022" i="9"/>
  <c r="U4022" i="9"/>
  <c r="R4022" i="9"/>
  <c r="Q4022" i="9"/>
  <c r="L4022" i="9"/>
  <c r="K4022" i="9"/>
  <c r="AF4021" i="9"/>
  <c r="AE4021" i="9"/>
  <c r="AB4021" i="9"/>
  <c r="AA4021" i="9"/>
  <c r="V4021" i="9"/>
  <c r="U4021" i="9"/>
  <c r="R4021" i="9"/>
  <c r="Q4021" i="9"/>
  <c r="L4021" i="9"/>
  <c r="K4021" i="9"/>
  <c r="AF4020" i="9"/>
  <c r="AE4020" i="9"/>
  <c r="AB4020" i="9"/>
  <c r="AA4020" i="9"/>
  <c r="V4020" i="9"/>
  <c r="U4020" i="9"/>
  <c r="AM4020" i="9" s="1"/>
  <c r="AN4020" i="9" s="1"/>
  <c r="R4020" i="9"/>
  <c r="Q4020" i="9"/>
  <c r="L4020" i="9"/>
  <c r="K4020" i="9"/>
  <c r="AF4019" i="9"/>
  <c r="AE4019" i="9"/>
  <c r="AB4019" i="9"/>
  <c r="AA4019" i="9"/>
  <c r="V4019" i="9"/>
  <c r="U4019" i="9"/>
  <c r="R4019" i="9"/>
  <c r="Q4019" i="9"/>
  <c r="K4019" i="9"/>
  <c r="L4019" i="9" s="1"/>
  <c r="AF4018" i="9"/>
  <c r="AE4018" i="9"/>
  <c r="AB4018" i="9"/>
  <c r="AA4018" i="9"/>
  <c r="V4018" i="9"/>
  <c r="U4018" i="9"/>
  <c r="R4018" i="9"/>
  <c r="Q4018" i="9"/>
  <c r="K4018" i="9"/>
  <c r="L4018" i="9" s="1"/>
  <c r="AF4017" i="9"/>
  <c r="AE4017" i="9"/>
  <c r="AB4017" i="9"/>
  <c r="AA4017" i="9"/>
  <c r="V4017" i="9"/>
  <c r="U4017" i="9"/>
  <c r="R4017" i="9"/>
  <c r="Q4017" i="9"/>
  <c r="K4017" i="9"/>
  <c r="L4017" i="9" s="1"/>
  <c r="AF4016" i="9"/>
  <c r="AE4016" i="9"/>
  <c r="AB4016" i="9"/>
  <c r="AA4016" i="9"/>
  <c r="AM4016" i="9" s="1"/>
  <c r="AN4016" i="9" s="1"/>
  <c r="V4016" i="9"/>
  <c r="U4016" i="9"/>
  <c r="R4016" i="9"/>
  <c r="AK4016" i="9" s="1"/>
  <c r="AL4016" i="9" s="1"/>
  <c r="Q4016" i="9"/>
  <c r="L4016" i="9"/>
  <c r="K4016" i="9"/>
  <c r="AF4015" i="9"/>
  <c r="AE4015" i="9"/>
  <c r="AB4015" i="9"/>
  <c r="AA4015" i="9"/>
  <c r="V4015" i="9"/>
  <c r="U4015" i="9"/>
  <c r="R4015" i="9"/>
  <c r="Q4015" i="9"/>
  <c r="L4015" i="9"/>
  <c r="K4015" i="9"/>
  <c r="AF4014" i="9"/>
  <c r="AE4014" i="9"/>
  <c r="AB4014" i="9"/>
  <c r="AA4014" i="9"/>
  <c r="V4014" i="9"/>
  <c r="U4014" i="9"/>
  <c r="R4014" i="9"/>
  <c r="Q4014" i="9"/>
  <c r="K4014" i="9"/>
  <c r="L4014" i="9" s="1"/>
  <c r="AF4013" i="9"/>
  <c r="AE4013" i="9"/>
  <c r="AB4013" i="9"/>
  <c r="AA4013" i="9"/>
  <c r="V4013" i="9"/>
  <c r="AK4013" i="9" s="1"/>
  <c r="AL4013" i="9" s="1"/>
  <c r="U4013" i="9"/>
  <c r="R4013" i="9"/>
  <c r="Q4013" i="9"/>
  <c r="K4013" i="9"/>
  <c r="L4013" i="9" s="1"/>
  <c r="AM4012" i="9"/>
  <c r="AN4012" i="9" s="1"/>
  <c r="J4012" i="9"/>
  <c r="D4012" i="9"/>
  <c r="AK4011" i="9"/>
  <c r="AL4011" i="9" s="1"/>
  <c r="AF4011" i="9"/>
  <c r="AE4011" i="9"/>
  <c r="AB4011" i="9"/>
  <c r="AA4011" i="9"/>
  <c r="V4011" i="9"/>
  <c r="U4011" i="9"/>
  <c r="R4011" i="9"/>
  <c r="Q4011" i="9"/>
  <c r="K4011" i="9"/>
  <c r="L4011" i="9" s="1"/>
  <c r="AF4010" i="9"/>
  <c r="AE4010" i="9"/>
  <c r="AM4010" i="9" s="1"/>
  <c r="AN4010" i="9" s="1"/>
  <c r="AB4010" i="9"/>
  <c r="AK4010" i="9" s="1"/>
  <c r="AL4010" i="9" s="1"/>
  <c r="AA4010" i="9"/>
  <c r="V4010" i="9"/>
  <c r="U4010" i="9"/>
  <c r="R4010" i="9"/>
  <c r="Q4010" i="9"/>
  <c r="L4010" i="9"/>
  <c r="K4010" i="9"/>
  <c r="AF4009" i="9"/>
  <c r="AE4009" i="9"/>
  <c r="AM4009" i="9" s="1"/>
  <c r="AN4009" i="9" s="1"/>
  <c r="AB4009" i="9"/>
  <c r="AA4009" i="9"/>
  <c r="V4009" i="9"/>
  <c r="U4009" i="9"/>
  <c r="R4009" i="9"/>
  <c r="Q4009" i="9"/>
  <c r="K4009" i="9"/>
  <c r="L4009" i="9" s="1"/>
  <c r="AF4008" i="9"/>
  <c r="AE4008" i="9"/>
  <c r="AB4008" i="9"/>
  <c r="AA4008" i="9"/>
  <c r="V4008" i="9"/>
  <c r="U4008" i="9"/>
  <c r="R4008" i="9"/>
  <c r="Q4008" i="9"/>
  <c r="K4008" i="9"/>
  <c r="L4008" i="9" s="1"/>
  <c r="AF4007" i="9"/>
  <c r="AE4007" i="9"/>
  <c r="AB4007" i="9"/>
  <c r="AA4007" i="9"/>
  <c r="V4007" i="9"/>
  <c r="U4007" i="9"/>
  <c r="R4007" i="9"/>
  <c r="Q4007" i="9"/>
  <c r="L4007" i="9"/>
  <c r="K4007" i="9"/>
  <c r="AM4006" i="9"/>
  <c r="AN4006" i="9" s="1"/>
  <c r="AF4006" i="9"/>
  <c r="AB4006" i="9"/>
  <c r="V4006" i="9"/>
  <c r="R4006" i="9"/>
  <c r="L4006" i="9"/>
  <c r="K4006" i="9"/>
  <c r="AO4005" i="9"/>
  <c r="AF4005" i="9"/>
  <c r="AE4005" i="9"/>
  <c r="AB4005" i="9"/>
  <c r="AA4005" i="9"/>
  <c r="V4005" i="9"/>
  <c r="U4005" i="9"/>
  <c r="R4005" i="9"/>
  <c r="Q4005" i="9"/>
  <c r="L4005" i="9"/>
  <c r="K4005" i="9"/>
  <c r="AF4004" i="9"/>
  <c r="AE4004" i="9"/>
  <c r="AB4004" i="9"/>
  <c r="AA4004" i="9"/>
  <c r="V4004" i="9"/>
  <c r="U4004" i="9"/>
  <c r="R4004" i="9"/>
  <c r="Q4004" i="9"/>
  <c r="K4004" i="9"/>
  <c r="L4004" i="9" s="1"/>
  <c r="AF4003" i="9"/>
  <c r="AE4003" i="9"/>
  <c r="AB4003" i="9"/>
  <c r="AA4003" i="9"/>
  <c r="V4003" i="9"/>
  <c r="U4003" i="9"/>
  <c r="R4003" i="9"/>
  <c r="Q4003" i="9"/>
  <c r="K4003" i="9"/>
  <c r="L4003" i="9" s="1"/>
  <c r="AF4002" i="9"/>
  <c r="AE4002" i="9"/>
  <c r="AB4002" i="9"/>
  <c r="AA4002" i="9"/>
  <c r="V4002" i="9"/>
  <c r="U4002" i="9"/>
  <c r="R4002" i="9"/>
  <c r="Q4002" i="9"/>
  <c r="L4002" i="9"/>
  <c r="K4002" i="9"/>
  <c r="AF4001" i="9"/>
  <c r="AE4001" i="9"/>
  <c r="AB4001" i="9"/>
  <c r="AA4001" i="9"/>
  <c r="V4001" i="9"/>
  <c r="U4001" i="9"/>
  <c r="R4001" i="9"/>
  <c r="Q4001" i="9"/>
  <c r="K4001" i="9"/>
  <c r="L4001" i="9" s="1"/>
  <c r="AF4000" i="9"/>
  <c r="AK4000" i="9" s="1"/>
  <c r="AL4000" i="9" s="1"/>
  <c r="AE4000" i="9"/>
  <c r="AB4000" i="9"/>
  <c r="AA4000" i="9"/>
  <c r="V4000" i="9"/>
  <c r="U4000" i="9"/>
  <c r="R4000" i="9"/>
  <c r="Q4000" i="9"/>
  <c r="K4000" i="9"/>
  <c r="L4000" i="9" s="1"/>
  <c r="AF3999" i="9"/>
  <c r="AE3999" i="9"/>
  <c r="AB3999" i="9"/>
  <c r="AK3999" i="9" s="1"/>
  <c r="AL3999" i="9" s="1"/>
  <c r="AA3999" i="9"/>
  <c r="V3999" i="9"/>
  <c r="U3999" i="9"/>
  <c r="R3999" i="9"/>
  <c r="Q3999" i="9"/>
  <c r="K3999" i="9"/>
  <c r="L3999" i="9" s="1"/>
  <c r="AF3998" i="9"/>
  <c r="AE3998" i="9"/>
  <c r="AB3998" i="9"/>
  <c r="AA3998" i="9"/>
  <c r="V3998" i="9"/>
  <c r="U3998" i="9"/>
  <c r="R3998" i="9"/>
  <c r="Q3998" i="9"/>
  <c r="L3998" i="9"/>
  <c r="K3998" i="9"/>
  <c r="AF3997" i="9"/>
  <c r="AE3997" i="9"/>
  <c r="AB3997" i="9"/>
  <c r="AA3997" i="9"/>
  <c r="V3997" i="9"/>
  <c r="U3997" i="9"/>
  <c r="R3997" i="9"/>
  <c r="Q3997" i="9"/>
  <c r="AM3997" i="9" s="1"/>
  <c r="AN3997" i="9" s="1"/>
  <c r="K3997" i="9"/>
  <c r="L3997" i="9" s="1"/>
  <c r="AF3996" i="9"/>
  <c r="AE3996" i="9"/>
  <c r="AB3996" i="9"/>
  <c r="AA3996" i="9"/>
  <c r="V3996" i="9"/>
  <c r="U3996" i="9"/>
  <c r="R3996" i="9"/>
  <c r="Q3996" i="9"/>
  <c r="L3996" i="9"/>
  <c r="K3996" i="9"/>
  <c r="AF3995" i="9"/>
  <c r="AK3995" i="9" s="1"/>
  <c r="AL3995" i="9" s="1"/>
  <c r="AE3995" i="9"/>
  <c r="AB3995" i="9"/>
  <c r="AA3995" i="9"/>
  <c r="V3995" i="9"/>
  <c r="U3995" i="9"/>
  <c r="R3995" i="9"/>
  <c r="Q3995" i="9"/>
  <c r="K3995" i="9"/>
  <c r="L3995" i="9" s="1"/>
  <c r="AF3994" i="9"/>
  <c r="AE3994" i="9"/>
  <c r="AB3994" i="9"/>
  <c r="AK3994" i="9" s="1"/>
  <c r="AL3994" i="9" s="1"/>
  <c r="AA3994" i="9"/>
  <c r="V3994" i="9"/>
  <c r="U3994" i="9"/>
  <c r="R3994" i="9"/>
  <c r="Q3994" i="9"/>
  <c r="K3994" i="9"/>
  <c r="L3994" i="9" s="1"/>
  <c r="AF3993" i="9"/>
  <c r="AE3993" i="9"/>
  <c r="AB3993" i="9"/>
  <c r="AA3993" i="9"/>
  <c r="V3993" i="9"/>
  <c r="U3993" i="9"/>
  <c r="R3993" i="9"/>
  <c r="Q3993" i="9"/>
  <c r="K3993" i="9"/>
  <c r="L3993" i="9" s="1"/>
  <c r="AM3992" i="9"/>
  <c r="AN3992" i="9" s="1"/>
  <c r="AF3992" i="9"/>
  <c r="AK3992" i="9" s="1"/>
  <c r="AL3992" i="9" s="1"/>
  <c r="AB3992" i="9"/>
  <c r="V3992" i="9"/>
  <c r="R3992" i="9"/>
  <c r="I3992" i="9"/>
  <c r="K3992" i="9" s="1"/>
  <c r="L3992" i="9" s="1"/>
  <c r="AM3991" i="9"/>
  <c r="AF3991" i="9"/>
  <c r="AB3991" i="9"/>
  <c r="J3991" i="9"/>
  <c r="V3991" i="9" s="1"/>
  <c r="D3991" i="9"/>
  <c r="AO3990" i="9"/>
  <c r="AF3990" i="9"/>
  <c r="AE3990" i="9"/>
  <c r="AB3990" i="9"/>
  <c r="AA3990" i="9"/>
  <c r="V3990" i="9"/>
  <c r="U3990" i="9"/>
  <c r="R3990" i="9"/>
  <c r="Q3990" i="9"/>
  <c r="K3990" i="9"/>
  <c r="L3990" i="9" s="1"/>
  <c r="AF3989" i="9"/>
  <c r="AE3989" i="9"/>
  <c r="AB3989" i="9"/>
  <c r="AA3989" i="9"/>
  <c r="V3989" i="9"/>
  <c r="U3989" i="9"/>
  <c r="R3989" i="9"/>
  <c r="Q3989" i="9"/>
  <c r="K3989" i="9"/>
  <c r="L3989" i="9" s="1"/>
  <c r="AF3988" i="9"/>
  <c r="AE3988" i="9"/>
  <c r="AB3988" i="9"/>
  <c r="AA3988" i="9"/>
  <c r="V3988" i="9"/>
  <c r="U3988" i="9"/>
  <c r="R3988" i="9"/>
  <c r="Q3988" i="9"/>
  <c r="K3988" i="9"/>
  <c r="L3988" i="9" s="1"/>
  <c r="AF3987" i="9"/>
  <c r="AE3987" i="9"/>
  <c r="AB3987" i="9"/>
  <c r="AA3987" i="9"/>
  <c r="V3987" i="9"/>
  <c r="AK3987" i="9" s="1"/>
  <c r="AL3987" i="9" s="1"/>
  <c r="U3987" i="9"/>
  <c r="R3987" i="9"/>
  <c r="Q3987" i="9"/>
  <c r="K3987" i="9"/>
  <c r="L3987" i="9" s="1"/>
  <c r="AF3986" i="9"/>
  <c r="AE3986" i="9"/>
  <c r="AB3986" i="9"/>
  <c r="AA3986" i="9"/>
  <c r="V3986" i="9"/>
  <c r="U3986" i="9"/>
  <c r="R3986" i="9"/>
  <c r="Q3986" i="9"/>
  <c r="AM3986" i="9" s="1"/>
  <c r="AN3986" i="9" s="1"/>
  <c r="K3986" i="9"/>
  <c r="L3986" i="9" s="1"/>
  <c r="AF3985" i="9"/>
  <c r="AE3985" i="9"/>
  <c r="AB3985" i="9"/>
  <c r="AA3985" i="9"/>
  <c r="V3985" i="9"/>
  <c r="U3985" i="9"/>
  <c r="R3985" i="9"/>
  <c r="Q3985" i="9"/>
  <c r="K3985" i="9"/>
  <c r="L3985" i="9" s="1"/>
  <c r="AF3984" i="9"/>
  <c r="AE3984" i="9"/>
  <c r="AB3984" i="9"/>
  <c r="AA3984" i="9"/>
  <c r="V3984" i="9"/>
  <c r="U3984" i="9"/>
  <c r="R3984" i="9"/>
  <c r="Q3984" i="9"/>
  <c r="K3984" i="9"/>
  <c r="L3984" i="9" s="1"/>
  <c r="AF3983" i="9"/>
  <c r="AE3983" i="9"/>
  <c r="AB3983" i="9"/>
  <c r="AA3983" i="9"/>
  <c r="V3983" i="9"/>
  <c r="U3983" i="9"/>
  <c r="R3983" i="9"/>
  <c r="Q3983" i="9"/>
  <c r="L3983" i="9"/>
  <c r="K3983" i="9"/>
  <c r="AF3982" i="9"/>
  <c r="AE3982" i="9"/>
  <c r="AB3982" i="9"/>
  <c r="AA3982" i="9"/>
  <c r="V3982" i="9"/>
  <c r="U3982" i="9"/>
  <c r="R3982" i="9"/>
  <c r="Q3982" i="9"/>
  <c r="K3982" i="9"/>
  <c r="L3982" i="9" s="1"/>
  <c r="AF3981" i="9"/>
  <c r="AE3981" i="9"/>
  <c r="AB3981" i="9"/>
  <c r="AK3981" i="9" s="1"/>
  <c r="AL3981" i="9" s="1"/>
  <c r="AA3981" i="9"/>
  <c r="V3981" i="9"/>
  <c r="U3981" i="9"/>
  <c r="R3981" i="9"/>
  <c r="Q3981" i="9"/>
  <c r="L3981" i="9"/>
  <c r="K3981" i="9"/>
  <c r="AF3980" i="9"/>
  <c r="AE3980" i="9"/>
  <c r="AM3980" i="9" s="1"/>
  <c r="AN3980" i="9" s="1"/>
  <c r="AB3980" i="9"/>
  <c r="AA3980" i="9"/>
  <c r="V3980" i="9"/>
  <c r="U3980" i="9"/>
  <c r="R3980" i="9"/>
  <c r="Q3980" i="9"/>
  <c r="K3980" i="9"/>
  <c r="L3980" i="9" s="1"/>
  <c r="AF3979" i="9"/>
  <c r="AE3979" i="9"/>
  <c r="AB3979" i="9"/>
  <c r="AK3979" i="9" s="1"/>
  <c r="AL3979" i="9" s="1"/>
  <c r="AA3979" i="9"/>
  <c r="V3979" i="9"/>
  <c r="U3979" i="9"/>
  <c r="R3979" i="9"/>
  <c r="Q3979" i="9"/>
  <c r="K3979" i="9"/>
  <c r="L3979" i="9" s="1"/>
  <c r="AF3978" i="9"/>
  <c r="AE3978" i="9"/>
  <c r="AB3978" i="9"/>
  <c r="AA3978" i="9"/>
  <c r="V3978" i="9"/>
  <c r="U3978" i="9"/>
  <c r="R3978" i="9"/>
  <c r="Q3978" i="9"/>
  <c r="K3978" i="9"/>
  <c r="L3978" i="9" s="1"/>
  <c r="AF3977" i="9"/>
  <c r="AE3977" i="9"/>
  <c r="AB3977" i="9"/>
  <c r="AA3977" i="9"/>
  <c r="V3977" i="9"/>
  <c r="U3977" i="9"/>
  <c r="R3977" i="9"/>
  <c r="Q3977" i="9"/>
  <c r="AM3977" i="9" s="1"/>
  <c r="AN3977" i="9" s="1"/>
  <c r="K3977" i="9"/>
  <c r="L3977" i="9" s="1"/>
  <c r="AF3976" i="9"/>
  <c r="AE3976" i="9"/>
  <c r="AB3976" i="9"/>
  <c r="AA3976" i="9"/>
  <c r="V3976" i="9"/>
  <c r="U3976" i="9"/>
  <c r="R3976" i="9"/>
  <c r="Q3976" i="9"/>
  <c r="K3976" i="9"/>
  <c r="L3976" i="9" s="1"/>
  <c r="AF3975" i="9"/>
  <c r="AE3975" i="9"/>
  <c r="AB3975" i="9"/>
  <c r="AA3975" i="9"/>
  <c r="V3975" i="9"/>
  <c r="U3975" i="9"/>
  <c r="R3975" i="9"/>
  <c r="Q3975" i="9"/>
  <c r="K3975" i="9"/>
  <c r="L3975" i="9" s="1"/>
  <c r="AF3974" i="9"/>
  <c r="AE3974" i="9"/>
  <c r="AB3974" i="9"/>
  <c r="AA3974" i="9"/>
  <c r="V3974" i="9"/>
  <c r="U3974" i="9"/>
  <c r="R3974" i="9"/>
  <c r="Q3974" i="9"/>
  <c r="K3974" i="9"/>
  <c r="L3974" i="9" s="1"/>
  <c r="AM3973" i="9"/>
  <c r="AN3973" i="9" s="1"/>
  <c r="AF3973" i="9"/>
  <c r="AB3973" i="9"/>
  <c r="V3973" i="9"/>
  <c r="R3973" i="9"/>
  <c r="I3973" i="9"/>
  <c r="K3973" i="9" s="1"/>
  <c r="L3973" i="9" s="1"/>
  <c r="AN3972" i="9"/>
  <c r="AM3972" i="9"/>
  <c r="AF3972" i="9"/>
  <c r="AB3972" i="9"/>
  <c r="V3972" i="9"/>
  <c r="R3972" i="9"/>
  <c r="I3972" i="9"/>
  <c r="K3972" i="9" s="1"/>
  <c r="L3972" i="9" s="1"/>
  <c r="AN3971" i="9"/>
  <c r="AM3971" i="9"/>
  <c r="AF3971" i="9"/>
  <c r="AB3971" i="9"/>
  <c r="V3971" i="9"/>
  <c r="R3971" i="9"/>
  <c r="K3971" i="9"/>
  <c r="L3971" i="9" s="1"/>
  <c r="I3971" i="9"/>
  <c r="AM3970" i="9"/>
  <c r="AN3970" i="9" s="1"/>
  <c r="AF3970" i="9"/>
  <c r="AE3970" i="9"/>
  <c r="AB3970" i="9"/>
  <c r="AA3970" i="9"/>
  <c r="V3970" i="9"/>
  <c r="U3970" i="9"/>
  <c r="R3970" i="9"/>
  <c r="Q3970" i="9"/>
  <c r="I3970" i="9"/>
  <c r="K3970" i="9" s="1"/>
  <c r="L3970" i="9" s="1"/>
  <c r="AM3969" i="9"/>
  <c r="AN3969" i="9" s="1"/>
  <c r="AF3969" i="9"/>
  <c r="AB3969" i="9"/>
  <c r="AK3969" i="9" s="1"/>
  <c r="AL3969" i="9" s="1"/>
  <c r="V3969" i="9"/>
  <c r="R3969" i="9"/>
  <c r="I3969" i="9"/>
  <c r="K3969" i="9" s="1"/>
  <c r="L3969" i="9" s="1"/>
  <c r="AM3968" i="9"/>
  <c r="AN3968" i="9" s="1"/>
  <c r="AF3968" i="9"/>
  <c r="AB3968" i="9"/>
  <c r="V3968" i="9"/>
  <c r="R3968" i="9"/>
  <c r="L3968" i="9"/>
  <c r="I3968" i="9"/>
  <c r="K3968" i="9" s="1"/>
  <c r="AK3967" i="9"/>
  <c r="AL3967" i="9" s="1"/>
  <c r="AF3967" i="9"/>
  <c r="AE3967" i="9"/>
  <c r="AB3967" i="9"/>
  <c r="AA3967" i="9"/>
  <c r="V3967" i="9"/>
  <c r="U3967" i="9"/>
  <c r="R3967" i="9"/>
  <c r="Q3967" i="9"/>
  <c r="K3967" i="9"/>
  <c r="L3967" i="9" s="1"/>
  <c r="I3967" i="9"/>
  <c r="AF3966" i="9"/>
  <c r="AE3966" i="9"/>
  <c r="AB3966" i="9"/>
  <c r="AA3966" i="9"/>
  <c r="V3966" i="9"/>
  <c r="U3966" i="9"/>
  <c r="R3966" i="9"/>
  <c r="Q3966" i="9"/>
  <c r="I3966" i="9"/>
  <c r="K3966" i="9" s="1"/>
  <c r="L3966" i="9" s="1"/>
  <c r="AO3965" i="9"/>
  <c r="AF3965" i="9"/>
  <c r="AE3965" i="9"/>
  <c r="AB3965" i="9"/>
  <c r="AA3965" i="9"/>
  <c r="V3965" i="9"/>
  <c r="U3965" i="9"/>
  <c r="R3965" i="9"/>
  <c r="Q3965" i="9"/>
  <c r="L3965" i="9"/>
  <c r="K3965" i="9"/>
  <c r="AF3964" i="9"/>
  <c r="AE3964" i="9"/>
  <c r="AB3964" i="9"/>
  <c r="AA3964" i="9"/>
  <c r="V3964" i="9"/>
  <c r="AK3964" i="9" s="1"/>
  <c r="AL3964" i="9" s="1"/>
  <c r="U3964" i="9"/>
  <c r="R3964" i="9"/>
  <c r="Q3964" i="9"/>
  <c r="L3964" i="9"/>
  <c r="K3964" i="9"/>
  <c r="AF3963" i="9"/>
  <c r="AE3963" i="9"/>
  <c r="AB3963" i="9"/>
  <c r="AA3963" i="9"/>
  <c r="V3963" i="9"/>
  <c r="U3963" i="9"/>
  <c r="R3963" i="9"/>
  <c r="AK3963" i="9" s="1"/>
  <c r="AL3963" i="9" s="1"/>
  <c r="Q3963" i="9"/>
  <c r="K3963" i="9"/>
  <c r="L3963" i="9" s="1"/>
  <c r="AK3962" i="9"/>
  <c r="AL3962" i="9" s="1"/>
  <c r="AF3962" i="9"/>
  <c r="AE3962" i="9"/>
  <c r="AB3962" i="9"/>
  <c r="AA3962" i="9"/>
  <c r="V3962" i="9"/>
  <c r="U3962" i="9"/>
  <c r="R3962" i="9"/>
  <c r="Q3962" i="9"/>
  <c r="K3962" i="9"/>
  <c r="L3962" i="9" s="1"/>
  <c r="AF3961" i="9"/>
  <c r="AE3961" i="9"/>
  <c r="AB3961" i="9"/>
  <c r="AA3961" i="9"/>
  <c r="V3961" i="9"/>
  <c r="U3961" i="9"/>
  <c r="R3961" i="9"/>
  <c r="Q3961" i="9"/>
  <c r="K3961" i="9"/>
  <c r="L3961" i="9" s="1"/>
  <c r="AF3960" i="9"/>
  <c r="AE3960" i="9"/>
  <c r="AB3960" i="9"/>
  <c r="AA3960" i="9"/>
  <c r="V3960" i="9"/>
  <c r="U3960" i="9"/>
  <c r="R3960" i="9"/>
  <c r="Q3960" i="9"/>
  <c r="K3960" i="9"/>
  <c r="L3960" i="9" s="1"/>
  <c r="AM3959" i="9"/>
  <c r="V3959" i="9"/>
  <c r="J3959" i="9"/>
  <c r="AF3959" i="9" s="1"/>
  <c r="D3959" i="9"/>
  <c r="AM3958" i="9"/>
  <c r="AN3958" i="9" s="1"/>
  <c r="AF3958" i="9"/>
  <c r="AE3958" i="9"/>
  <c r="AB3958" i="9"/>
  <c r="AA3958" i="9"/>
  <c r="V3958" i="9"/>
  <c r="U3958" i="9"/>
  <c r="R3958" i="9"/>
  <c r="Q3958" i="9"/>
  <c r="K3958" i="9"/>
  <c r="L3958" i="9" s="1"/>
  <c r="AF3957" i="9"/>
  <c r="AE3957" i="9"/>
  <c r="AB3957" i="9"/>
  <c r="AA3957" i="9"/>
  <c r="V3957" i="9"/>
  <c r="U3957" i="9"/>
  <c r="R3957" i="9"/>
  <c r="Q3957" i="9"/>
  <c r="L3957" i="9"/>
  <c r="K3957" i="9"/>
  <c r="AF3956" i="9"/>
  <c r="AE3956" i="9"/>
  <c r="AB3956" i="9"/>
  <c r="AA3956" i="9"/>
  <c r="V3956" i="9"/>
  <c r="U3956" i="9"/>
  <c r="R3956" i="9"/>
  <c r="Q3956" i="9"/>
  <c r="K3956" i="9"/>
  <c r="L3956" i="9" s="1"/>
  <c r="AF3955" i="9"/>
  <c r="AE3955" i="9"/>
  <c r="AB3955" i="9"/>
  <c r="AA3955" i="9"/>
  <c r="V3955" i="9"/>
  <c r="U3955" i="9"/>
  <c r="R3955" i="9"/>
  <c r="Q3955" i="9"/>
  <c r="L3955" i="9"/>
  <c r="K3955" i="9"/>
  <c r="AF3954" i="9"/>
  <c r="AE3954" i="9"/>
  <c r="AB3954" i="9"/>
  <c r="AA3954" i="9"/>
  <c r="V3954" i="9"/>
  <c r="U3954" i="9"/>
  <c r="R3954" i="9"/>
  <c r="Q3954" i="9"/>
  <c r="K3954" i="9"/>
  <c r="L3954" i="9" s="1"/>
  <c r="AF3953" i="9"/>
  <c r="AE3953" i="9"/>
  <c r="AB3953" i="9"/>
  <c r="AA3953" i="9"/>
  <c r="V3953" i="9"/>
  <c r="U3953" i="9"/>
  <c r="R3953" i="9"/>
  <c r="Q3953" i="9"/>
  <c r="K3953" i="9"/>
  <c r="L3953" i="9" s="1"/>
  <c r="AF3952" i="9"/>
  <c r="AE3952" i="9"/>
  <c r="AM3952" i="9" s="1"/>
  <c r="AN3952" i="9" s="1"/>
  <c r="AB3952" i="9"/>
  <c r="AK3952" i="9" s="1"/>
  <c r="AL3952" i="9" s="1"/>
  <c r="AA3952" i="9"/>
  <c r="V3952" i="9"/>
  <c r="U3952" i="9"/>
  <c r="R3952" i="9"/>
  <c r="Q3952" i="9"/>
  <c r="K3952" i="9"/>
  <c r="L3952" i="9" s="1"/>
  <c r="AF3951" i="9"/>
  <c r="AE3951" i="9"/>
  <c r="AB3951" i="9"/>
  <c r="AA3951" i="9"/>
  <c r="V3951" i="9"/>
  <c r="U3951" i="9"/>
  <c r="R3951" i="9"/>
  <c r="Q3951" i="9"/>
  <c r="K3951" i="9"/>
  <c r="L3951" i="9" s="1"/>
  <c r="AF3950" i="9"/>
  <c r="AE3950" i="9"/>
  <c r="AB3950" i="9"/>
  <c r="AA3950" i="9"/>
  <c r="V3950" i="9"/>
  <c r="U3950" i="9"/>
  <c r="R3950" i="9"/>
  <c r="Q3950" i="9"/>
  <c r="L3950" i="9"/>
  <c r="K3950" i="9"/>
  <c r="AF3949" i="9"/>
  <c r="AE3949" i="9"/>
  <c r="AB3949" i="9"/>
  <c r="AA3949" i="9"/>
  <c r="V3949" i="9"/>
  <c r="U3949" i="9"/>
  <c r="R3949" i="9"/>
  <c r="Q3949" i="9"/>
  <c r="K3949" i="9"/>
  <c r="L3949" i="9" s="1"/>
  <c r="AM3948" i="9"/>
  <c r="AF3948" i="9"/>
  <c r="AB3948" i="9"/>
  <c r="V3948" i="9"/>
  <c r="J3948" i="9"/>
  <c r="D3948" i="9"/>
  <c r="AO3947" i="9"/>
  <c r="AF3947" i="9"/>
  <c r="AE3947" i="9"/>
  <c r="AB3947" i="9"/>
  <c r="AA3947" i="9"/>
  <c r="V3947" i="9"/>
  <c r="U3947" i="9"/>
  <c r="R3947" i="9"/>
  <c r="Q3947" i="9"/>
  <c r="L3947" i="9"/>
  <c r="K3947" i="9"/>
  <c r="AF3946" i="9"/>
  <c r="AE3946" i="9"/>
  <c r="AB3946" i="9"/>
  <c r="AA3946" i="9"/>
  <c r="V3946" i="9"/>
  <c r="U3946" i="9"/>
  <c r="R3946" i="9"/>
  <c r="Q3946" i="9"/>
  <c r="L3946" i="9"/>
  <c r="K3946" i="9"/>
  <c r="AF3945" i="9"/>
  <c r="AE3945" i="9"/>
  <c r="AB3945" i="9"/>
  <c r="AA3945" i="9"/>
  <c r="V3945" i="9"/>
  <c r="U3945" i="9"/>
  <c r="R3945" i="9"/>
  <c r="Q3945" i="9"/>
  <c r="K3945" i="9"/>
  <c r="AM3944" i="9"/>
  <c r="AN3944" i="9" s="1"/>
  <c r="AF3944" i="9"/>
  <c r="AK3944" i="9" s="1"/>
  <c r="AL3944" i="9" s="1"/>
  <c r="AB3944" i="9"/>
  <c r="V3944" i="9"/>
  <c r="R3944" i="9"/>
  <c r="K3944" i="9"/>
  <c r="AN3943" i="9"/>
  <c r="AM3943" i="9"/>
  <c r="AF3943" i="9"/>
  <c r="AB3943" i="9"/>
  <c r="V3943" i="9"/>
  <c r="R3943" i="9"/>
  <c r="K3943" i="9"/>
  <c r="AM3942" i="9"/>
  <c r="AN3942" i="9" s="1"/>
  <c r="AF3942" i="9"/>
  <c r="AK3942" i="9" s="1"/>
  <c r="AL3942" i="9" s="1"/>
  <c r="AB3942" i="9"/>
  <c r="V3942" i="9"/>
  <c r="R3942" i="9"/>
  <c r="K3942" i="9"/>
  <c r="AM3941" i="9"/>
  <c r="AN3941" i="9" s="1"/>
  <c r="AF3941" i="9"/>
  <c r="AB3941" i="9"/>
  <c r="V3941" i="9"/>
  <c r="R3941" i="9"/>
  <c r="I3941" i="9"/>
  <c r="K3941" i="9" s="1"/>
  <c r="L3941" i="9" s="1"/>
  <c r="AM3940" i="9"/>
  <c r="AN3940" i="9" s="1"/>
  <c r="J3940" i="9"/>
  <c r="I3940" i="9" s="1"/>
  <c r="K3940" i="9" s="1"/>
  <c r="L3940" i="9" s="1"/>
  <c r="D3940" i="9"/>
  <c r="AM3939" i="9"/>
  <c r="AN3939" i="9" s="1"/>
  <c r="AF3939" i="9"/>
  <c r="AE3939" i="9"/>
  <c r="AB3939" i="9"/>
  <c r="AA3939" i="9"/>
  <c r="V3939" i="9"/>
  <c r="U3939" i="9"/>
  <c r="R3939" i="9"/>
  <c r="Q3939" i="9"/>
  <c r="L3939" i="9"/>
  <c r="K3939" i="9"/>
  <c r="AF3938" i="9"/>
  <c r="AE3938" i="9"/>
  <c r="AB3938" i="9"/>
  <c r="AA3938" i="9"/>
  <c r="V3938" i="9"/>
  <c r="U3938" i="9"/>
  <c r="R3938" i="9"/>
  <c r="Q3938" i="9"/>
  <c r="L3938" i="9"/>
  <c r="K3938" i="9"/>
  <c r="AF3937" i="9"/>
  <c r="AE3937" i="9"/>
  <c r="AB3937" i="9"/>
  <c r="AA3937" i="9"/>
  <c r="V3937" i="9"/>
  <c r="U3937" i="9"/>
  <c r="R3937" i="9"/>
  <c r="Q3937" i="9"/>
  <c r="K3937" i="9"/>
  <c r="L3937" i="9" s="1"/>
  <c r="AF3936" i="9"/>
  <c r="AE3936" i="9"/>
  <c r="AB3936" i="9"/>
  <c r="AA3936" i="9"/>
  <c r="V3936" i="9"/>
  <c r="U3936" i="9"/>
  <c r="R3936" i="9"/>
  <c r="Q3936" i="9"/>
  <c r="K3936" i="9"/>
  <c r="L3936" i="9" s="1"/>
  <c r="AF3935" i="9"/>
  <c r="AE3935" i="9"/>
  <c r="AB3935" i="9"/>
  <c r="AA3935" i="9"/>
  <c r="AM3935" i="9" s="1"/>
  <c r="AN3935" i="9" s="1"/>
  <c r="V3935" i="9"/>
  <c r="U3935" i="9"/>
  <c r="R3935" i="9"/>
  <c r="Q3935" i="9"/>
  <c r="K3935" i="9"/>
  <c r="L3935" i="9" s="1"/>
  <c r="AF3934" i="9"/>
  <c r="AE3934" i="9"/>
  <c r="AB3934" i="9"/>
  <c r="AA3934" i="9"/>
  <c r="V3934" i="9"/>
  <c r="U3934" i="9"/>
  <c r="R3934" i="9"/>
  <c r="Q3934" i="9"/>
  <c r="K3934" i="9"/>
  <c r="L3934" i="9" s="1"/>
  <c r="AN3933" i="9"/>
  <c r="AM3933" i="9"/>
  <c r="AF3933" i="9"/>
  <c r="AB3933" i="9"/>
  <c r="V3933" i="9"/>
  <c r="R3933" i="9"/>
  <c r="K3933" i="9"/>
  <c r="L3933" i="9" s="1"/>
  <c r="I3933" i="9"/>
  <c r="AO3932" i="9"/>
  <c r="AF3932" i="9"/>
  <c r="AE3932" i="9"/>
  <c r="AB3932" i="9"/>
  <c r="AA3932" i="9"/>
  <c r="V3932" i="9"/>
  <c r="AK3932" i="9" s="1"/>
  <c r="AL3932" i="9" s="1"/>
  <c r="U3932" i="9"/>
  <c r="R3932" i="9"/>
  <c r="Q3932" i="9"/>
  <c r="K3932" i="9"/>
  <c r="L3932" i="9" s="1"/>
  <c r="AF3931" i="9"/>
  <c r="AE3931" i="9"/>
  <c r="AB3931" i="9"/>
  <c r="AA3931" i="9"/>
  <c r="V3931" i="9"/>
  <c r="U3931" i="9"/>
  <c r="R3931" i="9"/>
  <c r="Q3931" i="9"/>
  <c r="K3931" i="9"/>
  <c r="L3931" i="9" s="1"/>
  <c r="AM3930" i="9"/>
  <c r="AK3930" i="9"/>
  <c r="AL3930" i="9" s="1"/>
  <c r="K3930" i="9"/>
  <c r="AN3929" i="9"/>
  <c r="AM3929" i="9"/>
  <c r="J3929" i="9"/>
  <c r="D3929" i="9"/>
  <c r="AN3928" i="9"/>
  <c r="AM3928" i="9"/>
  <c r="AF3928" i="9"/>
  <c r="AB3928" i="9"/>
  <c r="J3928" i="9"/>
  <c r="I3928" i="9" s="1"/>
  <c r="D3928" i="9"/>
  <c r="AF3927" i="9"/>
  <c r="AE3927" i="9"/>
  <c r="AB3927" i="9"/>
  <c r="AA3927" i="9"/>
  <c r="V3927" i="9"/>
  <c r="U3927" i="9"/>
  <c r="R3927" i="9"/>
  <c r="Q3927" i="9"/>
  <c r="K3927" i="9"/>
  <c r="L3927" i="9" s="1"/>
  <c r="AF3926" i="9"/>
  <c r="AE3926" i="9"/>
  <c r="AB3926" i="9"/>
  <c r="AA3926" i="9"/>
  <c r="V3926" i="9"/>
  <c r="U3926" i="9"/>
  <c r="R3926" i="9"/>
  <c r="AK3926" i="9" s="1"/>
  <c r="AL3926" i="9" s="1"/>
  <c r="Q3926" i="9"/>
  <c r="K3926" i="9"/>
  <c r="L3926" i="9" s="1"/>
  <c r="AF3925" i="9"/>
  <c r="AE3925" i="9"/>
  <c r="AA3925" i="9"/>
  <c r="R3925" i="9"/>
  <c r="J3925" i="9"/>
  <c r="V3925" i="9" s="1"/>
  <c r="D3925" i="9"/>
  <c r="AO3924" i="9"/>
  <c r="AF3924" i="9"/>
  <c r="AE3924" i="9"/>
  <c r="AB3924" i="9"/>
  <c r="AA3924" i="9"/>
  <c r="V3924" i="9"/>
  <c r="U3924" i="9"/>
  <c r="R3924" i="9"/>
  <c r="Q3924" i="9"/>
  <c r="K3924" i="9"/>
  <c r="L3924" i="9" s="1"/>
  <c r="AF3923" i="9"/>
  <c r="AE3923" i="9"/>
  <c r="AB3923" i="9"/>
  <c r="AA3923" i="9"/>
  <c r="V3923" i="9"/>
  <c r="U3923" i="9"/>
  <c r="R3923" i="9"/>
  <c r="Q3923" i="9"/>
  <c r="K3923" i="9"/>
  <c r="L3923" i="9" s="1"/>
  <c r="AF3922" i="9"/>
  <c r="AE3922" i="9"/>
  <c r="AB3922" i="9"/>
  <c r="AA3922" i="9"/>
  <c r="V3922" i="9"/>
  <c r="U3922" i="9"/>
  <c r="R3922" i="9"/>
  <c r="Q3922" i="9"/>
  <c r="K3922" i="9"/>
  <c r="L3922" i="9" s="1"/>
  <c r="AF3921" i="9"/>
  <c r="AE3921" i="9"/>
  <c r="AB3921" i="9"/>
  <c r="AA3921" i="9"/>
  <c r="V3921" i="9"/>
  <c r="U3921" i="9"/>
  <c r="R3921" i="9"/>
  <c r="Q3921" i="9"/>
  <c r="K3921" i="9"/>
  <c r="L3921" i="9" s="1"/>
  <c r="AF3920" i="9"/>
  <c r="AE3920" i="9"/>
  <c r="AB3920" i="9"/>
  <c r="AA3920" i="9"/>
  <c r="V3920" i="9"/>
  <c r="U3920" i="9"/>
  <c r="R3920" i="9"/>
  <c r="Q3920" i="9"/>
  <c r="K3920" i="9"/>
  <c r="L3920" i="9" s="1"/>
  <c r="AF3919" i="9"/>
  <c r="AE3919" i="9"/>
  <c r="AB3919" i="9"/>
  <c r="AA3919" i="9"/>
  <c r="V3919" i="9"/>
  <c r="U3919" i="9"/>
  <c r="R3919" i="9"/>
  <c r="Q3919" i="9"/>
  <c r="L3919" i="9"/>
  <c r="K3919" i="9"/>
  <c r="AF3918" i="9"/>
  <c r="AE3918" i="9"/>
  <c r="AB3918" i="9"/>
  <c r="AA3918" i="9"/>
  <c r="V3918" i="9"/>
  <c r="U3918" i="9"/>
  <c r="R3918" i="9"/>
  <c r="Q3918" i="9"/>
  <c r="L3918" i="9"/>
  <c r="K3918" i="9"/>
  <c r="AF3917" i="9"/>
  <c r="AE3917" i="9"/>
  <c r="AB3917" i="9"/>
  <c r="AA3917" i="9"/>
  <c r="V3917" i="9"/>
  <c r="U3917" i="9"/>
  <c r="R3917" i="9"/>
  <c r="Q3917" i="9"/>
  <c r="I3917" i="9"/>
  <c r="K3917" i="9" s="1"/>
  <c r="L3917" i="9" s="1"/>
  <c r="AO3916" i="9"/>
  <c r="AF3916" i="9"/>
  <c r="AE3916" i="9"/>
  <c r="AB3916" i="9"/>
  <c r="AA3916" i="9"/>
  <c r="V3916" i="9"/>
  <c r="U3916" i="9"/>
  <c r="R3916" i="9"/>
  <c r="Q3916" i="9"/>
  <c r="L3916" i="9"/>
  <c r="K3916" i="9"/>
  <c r="AF3915" i="9"/>
  <c r="AE3915" i="9"/>
  <c r="AB3915" i="9"/>
  <c r="AA3915" i="9"/>
  <c r="V3915" i="9"/>
  <c r="U3915" i="9"/>
  <c r="R3915" i="9"/>
  <c r="Q3915" i="9"/>
  <c r="K3915" i="9"/>
  <c r="L3915" i="9" s="1"/>
  <c r="AF3914" i="9"/>
  <c r="AE3914" i="9"/>
  <c r="AB3914" i="9"/>
  <c r="AA3914" i="9"/>
  <c r="V3914" i="9"/>
  <c r="U3914" i="9"/>
  <c r="R3914" i="9"/>
  <c r="Q3914" i="9"/>
  <c r="K3914" i="9"/>
  <c r="L3914" i="9" s="1"/>
  <c r="AF3913" i="9"/>
  <c r="AE3913" i="9"/>
  <c r="AB3913" i="9"/>
  <c r="AA3913" i="9"/>
  <c r="V3913" i="9"/>
  <c r="U3913" i="9"/>
  <c r="R3913" i="9"/>
  <c r="Q3913" i="9"/>
  <c r="K3913" i="9"/>
  <c r="L3913" i="9" s="1"/>
  <c r="AF3912" i="9"/>
  <c r="AE3912" i="9"/>
  <c r="AB3912" i="9"/>
  <c r="AA3912" i="9"/>
  <c r="V3912" i="9"/>
  <c r="U3912" i="9"/>
  <c r="R3912" i="9"/>
  <c r="Q3912" i="9"/>
  <c r="L3912" i="9"/>
  <c r="K3912" i="9"/>
  <c r="AF3911" i="9"/>
  <c r="AE3911" i="9"/>
  <c r="AB3911" i="9"/>
  <c r="AA3911" i="9"/>
  <c r="V3911" i="9"/>
  <c r="U3911" i="9"/>
  <c r="R3911" i="9"/>
  <c r="Q3911" i="9"/>
  <c r="K3911" i="9"/>
  <c r="L3911" i="9" s="1"/>
  <c r="AF3910" i="9"/>
  <c r="AE3910" i="9"/>
  <c r="AB3910" i="9"/>
  <c r="AA3910" i="9"/>
  <c r="V3910" i="9"/>
  <c r="U3910" i="9"/>
  <c r="R3910" i="9"/>
  <c r="AK3910" i="9" s="1"/>
  <c r="AL3910" i="9" s="1"/>
  <c r="Q3910" i="9"/>
  <c r="L3910" i="9"/>
  <c r="K3910" i="9"/>
  <c r="AF3909" i="9"/>
  <c r="AE3909" i="9"/>
  <c r="AB3909" i="9"/>
  <c r="AA3909" i="9"/>
  <c r="V3909" i="9"/>
  <c r="U3909" i="9"/>
  <c r="R3909" i="9"/>
  <c r="Q3909" i="9"/>
  <c r="K3909" i="9"/>
  <c r="L3909" i="9" s="1"/>
  <c r="AM3908" i="9"/>
  <c r="AN3908" i="9" s="1"/>
  <c r="AF3908" i="9"/>
  <c r="AK3908" i="9" s="1"/>
  <c r="AL3908" i="9" s="1"/>
  <c r="AE3908" i="9"/>
  <c r="AB3908" i="9"/>
  <c r="AA3908" i="9"/>
  <c r="V3908" i="9"/>
  <c r="U3908" i="9"/>
  <c r="R3908" i="9"/>
  <c r="Q3908" i="9"/>
  <c r="K3908" i="9"/>
  <c r="L3908" i="9" s="1"/>
  <c r="AM3907" i="9"/>
  <c r="AN3907" i="9" s="1"/>
  <c r="AF3907" i="9"/>
  <c r="AE3907" i="9"/>
  <c r="AB3907" i="9"/>
  <c r="AK3907" i="9" s="1"/>
  <c r="AL3907" i="9" s="1"/>
  <c r="AA3907" i="9"/>
  <c r="V3907" i="9"/>
  <c r="U3907" i="9"/>
  <c r="R3907" i="9"/>
  <c r="Q3907" i="9"/>
  <c r="K3907" i="9"/>
  <c r="L3907" i="9" s="1"/>
  <c r="AM3906" i="9"/>
  <c r="AN3906" i="9" s="1"/>
  <c r="AF3906" i="9"/>
  <c r="AE3906" i="9"/>
  <c r="AB3906" i="9"/>
  <c r="AA3906" i="9"/>
  <c r="V3906" i="9"/>
  <c r="U3906" i="9"/>
  <c r="R3906" i="9"/>
  <c r="Q3906" i="9"/>
  <c r="K3906" i="9"/>
  <c r="L3906" i="9" s="1"/>
  <c r="AF3905" i="9"/>
  <c r="AE3905" i="9"/>
  <c r="AB3905" i="9"/>
  <c r="AA3905" i="9"/>
  <c r="V3905" i="9"/>
  <c r="U3905" i="9"/>
  <c r="R3905" i="9"/>
  <c r="Q3905" i="9"/>
  <c r="K3905" i="9"/>
  <c r="L3905" i="9" s="1"/>
  <c r="I3905" i="9"/>
  <c r="AF3904" i="9"/>
  <c r="AE3904" i="9"/>
  <c r="AB3904" i="9"/>
  <c r="AA3904" i="9"/>
  <c r="V3904" i="9"/>
  <c r="U3904" i="9"/>
  <c r="R3904" i="9"/>
  <c r="Q3904" i="9"/>
  <c r="I3904" i="9"/>
  <c r="K3904" i="9" s="1"/>
  <c r="L3904" i="9" s="1"/>
  <c r="AO3903" i="9"/>
  <c r="AF3903" i="9"/>
  <c r="AE3903" i="9"/>
  <c r="AB3903" i="9"/>
  <c r="AA3903" i="9"/>
  <c r="V3903" i="9"/>
  <c r="U3903" i="9"/>
  <c r="R3903" i="9"/>
  <c r="Q3903" i="9"/>
  <c r="K3903" i="9"/>
  <c r="L3903" i="9" s="1"/>
  <c r="AF3902" i="9"/>
  <c r="AE3902" i="9"/>
  <c r="AB3902" i="9"/>
  <c r="AA3902" i="9"/>
  <c r="V3902" i="9"/>
  <c r="U3902" i="9"/>
  <c r="R3902" i="9"/>
  <c r="Q3902" i="9"/>
  <c r="K3902" i="9"/>
  <c r="L3902" i="9" s="1"/>
  <c r="AM3901" i="9"/>
  <c r="AN3901" i="9" s="1"/>
  <c r="AF3901" i="9"/>
  <c r="AB3901" i="9"/>
  <c r="V3901" i="9"/>
  <c r="R3901" i="9"/>
  <c r="I3901" i="9"/>
  <c r="K3901" i="9" s="1"/>
  <c r="L3901" i="9" s="1"/>
  <c r="AM3900" i="9"/>
  <c r="AN3900" i="9" s="1"/>
  <c r="AF3900" i="9"/>
  <c r="AB3900" i="9"/>
  <c r="V3900" i="9"/>
  <c r="R3900" i="9"/>
  <c r="I3900" i="9"/>
  <c r="K3900" i="9" s="1"/>
  <c r="L3900" i="9" s="1"/>
  <c r="AM3899" i="9"/>
  <c r="AN3899" i="9" s="1"/>
  <c r="AF3899" i="9"/>
  <c r="AB3899" i="9"/>
  <c r="V3899" i="9"/>
  <c r="R3899" i="9"/>
  <c r="AK3899" i="9" s="1"/>
  <c r="AL3899" i="9" s="1"/>
  <c r="I3899" i="9"/>
  <c r="K3899" i="9" s="1"/>
  <c r="L3899" i="9" s="1"/>
  <c r="AN3898" i="9"/>
  <c r="AM3898" i="9"/>
  <c r="AF3898" i="9"/>
  <c r="AB3898" i="9"/>
  <c r="V3898" i="9"/>
  <c r="R3898" i="9"/>
  <c r="I3898" i="9"/>
  <c r="K3898" i="9" s="1"/>
  <c r="L3898" i="9" s="1"/>
  <c r="AM3897" i="9"/>
  <c r="AN3897" i="9" s="1"/>
  <c r="AF3897" i="9"/>
  <c r="AB3897" i="9"/>
  <c r="V3897" i="9"/>
  <c r="R3897" i="9"/>
  <c r="K3897" i="9"/>
  <c r="L3897" i="9" s="1"/>
  <c r="I3897" i="9"/>
  <c r="AM3896" i="9"/>
  <c r="AN3896" i="9" s="1"/>
  <c r="AK3896" i="9"/>
  <c r="AL3896" i="9" s="1"/>
  <c r="AF3896" i="9"/>
  <c r="AB3896" i="9"/>
  <c r="V3896" i="9"/>
  <c r="R3896" i="9"/>
  <c r="I3896" i="9"/>
  <c r="K3896" i="9" s="1"/>
  <c r="L3896" i="9" s="1"/>
  <c r="AM3895" i="9"/>
  <c r="AN3895" i="9" s="1"/>
  <c r="AF3895" i="9"/>
  <c r="AB3895" i="9"/>
  <c r="V3895" i="9"/>
  <c r="R3895" i="9"/>
  <c r="K3895" i="9"/>
  <c r="L3895" i="9" s="1"/>
  <c r="I3895" i="9"/>
  <c r="AM3894" i="9"/>
  <c r="AN3894" i="9" s="1"/>
  <c r="AF3894" i="9"/>
  <c r="AB3894" i="9"/>
  <c r="V3894" i="9"/>
  <c r="R3894" i="9"/>
  <c r="I3894" i="9"/>
  <c r="K3894" i="9" s="1"/>
  <c r="L3894" i="9" s="1"/>
  <c r="AM3893" i="9"/>
  <c r="AN3893" i="9" s="1"/>
  <c r="AF3893" i="9"/>
  <c r="AB3893" i="9"/>
  <c r="V3893" i="9"/>
  <c r="R3893" i="9"/>
  <c r="I3893" i="9"/>
  <c r="K3893" i="9" s="1"/>
  <c r="L3893" i="9" s="1"/>
  <c r="AF3892" i="9"/>
  <c r="AE3892" i="9"/>
  <c r="AB3892" i="9"/>
  <c r="AA3892" i="9"/>
  <c r="V3892" i="9"/>
  <c r="U3892" i="9"/>
  <c r="R3892" i="9"/>
  <c r="Q3892" i="9"/>
  <c r="L3892" i="9"/>
  <c r="I3892" i="9"/>
  <c r="K3892" i="9" s="1"/>
  <c r="AO3891" i="9"/>
  <c r="AF3891" i="9"/>
  <c r="AE3891" i="9"/>
  <c r="AB3891" i="9"/>
  <c r="AA3891" i="9"/>
  <c r="V3891" i="9"/>
  <c r="U3891" i="9"/>
  <c r="R3891" i="9"/>
  <c r="Q3891" i="9"/>
  <c r="K3891" i="9"/>
  <c r="L3891" i="9" s="1"/>
  <c r="AF3890" i="9"/>
  <c r="AE3890" i="9"/>
  <c r="AB3890" i="9"/>
  <c r="AA3890" i="9"/>
  <c r="V3890" i="9"/>
  <c r="U3890" i="9"/>
  <c r="R3890" i="9"/>
  <c r="Q3890" i="9"/>
  <c r="AM3890" i="9" s="1"/>
  <c r="AN3890" i="9" s="1"/>
  <c r="K3890" i="9"/>
  <c r="L3890" i="9" s="1"/>
  <c r="AF3889" i="9"/>
  <c r="AE3889" i="9"/>
  <c r="AB3889" i="9"/>
  <c r="AA3889" i="9"/>
  <c r="V3889" i="9"/>
  <c r="U3889" i="9"/>
  <c r="R3889" i="9"/>
  <c r="AK3889" i="9" s="1"/>
  <c r="AL3889" i="9" s="1"/>
  <c r="Q3889" i="9"/>
  <c r="K3889" i="9"/>
  <c r="L3889" i="9" s="1"/>
  <c r="AM3888" i="9"/>
  <c r="J3888" i="9"/>
  <c r="D3888" i="9"/>
  <c r="AF3887" i="9"/>
  <c r="AE3887" i="9"/>
  <c r="AB3887" i="9"/>
  <c r="AA3887" i="9"/>
  <c r="V3887" i="9"/>
  <c r="U3887" i="9"/>
  <c r="R3887" i="9"/>
  <c r="Q3887" i="9"/>
  <c r="K3887" i="9"/>
  <c r="L3887" i="9" s="1"/>
  <c r="AF3886" i="9"/>
  <c r="AE3886" i="9"/>
  <c r="AB3886" i="9"/>
  <c r="AA3886" i="9"/>
  <c r="V3886" i="9"/>
  <c r="U3886" i="9"/>
  <c r="R3886" i="9"/>
  <c r="AK3886" i="9" s="1"/>
  <c r="AL3886" i="9" s="1"/>
  <c r="Q3886" i="9"/>
  <c r="K3886" i="9"/>
  <c r="L3886" i="9" s="1"/>
  <c r="AF3885" i="9"/>
  <c r="AE3885" i="9"/>
  <c r="AB3885" i="9"/>
  <c r="AA3885" i="9"/>
  <c r="V3885" i="9"/>
  <c r="U3885" i="9"/>
  <c r="R3885" i="9"/>
  <c r="Q3885" i="9"/>
  <c r="K3885" i="9"/>
  <c r="L3885" i="9" s="1"/>
  <c r="I3885" i="9"/>
  <c r="AO3884" i="9"/>
  <c r="AF3884" i="9"/>
  <c r="AE3884" i="9"/>
  <c r="AB3884" i="9"/>
  <c r="AA3884" i="9"/>
  <c r="V3884" i="9"/>
  <c r="U3884" i="9"/>
  <c r="AM3884" i="9" s="1"/>
  <c r="AN3884" i="9" s="1"/>
  <c r="R3884" i="9"/>
  <c r="Q3884" i="9"/>
  <c r="K3884" i="9"/>
  <c r="L3884" i="9" s="1"/>
  <c r="AM3883" i="9"/>
  <c r="AN3883" i="9" s="1"/>
  <c r="AF3883" i="9"/>
  <c r="AB3883" i="9"/>
  <c r="V3883" i="9"/>
  <c r="R3883" i="9"/>
  <c r="I3883" i="9"/>
  <c r="K3883" i="9" s="1"/>
  <c r="L3883" i="9" s="1"/>
  <c r="AM3882" i="9"/>
  <c r="R3882" i="9"/>
  <c r="J3882" i="9"/>
  <c r="AO3881" i="9" s="1"/>
  <c r="D3882" i="9"/>
  <c r="AN3882" i="9" s="1"/>
  <c r="AF3881" i="9"/>
  <c r="AE3881" i="9"/>
  <c r="AB3881" i="9"/>
  <c r="AA3881" i="9"/>
  <c r="V3881" i="9"/>
  <c r="U3881" i="9"/>
  <c r="R3881" i="9"/>
  <c r="AK3881" i="9" s="1"/>
  <c r="AL3881" i="9" s="1"/>
  <c r="Q3881" i="9"/>
  <c r="K3881" i="9"/>
  <c r="L3881" i="9" s="1"/>
  <c r="AF3880" i="9"/>
  <c r="AE3880" i="9"/>
  <c r="AB3880" i="9"/>
  <c r="AA3880" i="9"/>
  <c r="V3880" i="9"/>
  <c r="U3880" i="9"/>
  <c r="R3880" i="9"/>
  <c r="Q3880" i="9"/>
  <c r="K3880" i="9"/>
  <c r="L3880" i="9" s="1"/>
  <c r="AF3879" i="9"/>
  <c r="AE3879" i="9"/>
  <c r="AB3879" i="9"/>
  <c r="AA3879" i="9"/>
  <c r="V3879" i="9"/>
  <c r="U3879" i="9"/>
  <c r="R3879" i="9"/>
  <c r="Q3879" i="9"/>
  <c r="AM3879" i="9" s="1"/>
  <c r="AN3879" i="9" s="1"/>
  <c r="K3879" i="9"/>
  <c r="L3879" i="9" s="1"/>
  <c r="AL3878" i="9"/>
  <c r="AF3878" i="9"/>
  <c r="AE3878" i="9"/>
  <c r="AB3878" i="9"/>
  <c r="AA3878" i="9"/>
  <c r="V3878" i="9"/>
  <c r="U3878" i="9"/>
  <c r="R3878" i="9"/>
  <c r="AK3878" i="9" s="1"/>
  <c r="Q3878" i="9"/>
  <c r="AM3878" i="9" s="1"/>
  <c r="AN3878" i="9" s="1"/>
  <c r="K3878" i="9"/>
  <c r="L3878" i="9" s="1"/>
  <c r="AM3877" i="9"/>
  <c r="AN3877" i="9" s="1"/>
  <c r="AF3877" i="9"/>
  <c r="AB3877" i="9"/>
  <c r="V3877" i="9"/>
  <c r="R3877" i="9"/>
  <c r="I3877" i="9"/>
  <c r="K3877" i="9" s="1"/>
  <c r="L3877" i="9" s="1"/>
  <c r="AM3876" i="9"/>
  <c r="AN3876" i="9" s="1"/>
  <c r="AF3876" i="9"/>
  <c r="AB3876" i="9"/>
  <c r="V3876" i="9"/>
  <c r="R3876" i="9"/>
  <c r="I3876" i="9"/>
  <c r="K3876" i="9" s="1"/>
  <c r="L3876" i="9" s="1"/>
  <c r="AM3875" i="9"/>
  <c r="AN3875" i="9" s="1"/>
  <c r="AF3875" i="9"/>
  <c r="AB3875" i="9"/>
  <c r="AK3875" i="9" s="1"/>
  <c r="AL3875" i="9" s="1"/>
  <c r="V3875" i="9"/>
  <c r="R3875" i="9"/>
  <c r="K3875" i="9"/>
  <c r="L3875" i="9" s="1"/>
  <c r="I3875" i="9"/>
  <c r="AN3874" i="9"/>
  <c r="AM3874" i="9"/>
  <c r="AF3874" i="9"/>
  <c r="AB3874" i="9"/>
  <c r="V3874" i="9"/>
  <c r="R3874" i="9"/>
  <c r="I3874" i="9"/>
  <c r="K3874" i="9" s="1"/>
  <c r="L3874" i="9" s="1"/>
  <c r="AM3873" i="9"/>
  <c r="AN3873" i="9" s="1"/>
  <c r="AF3873" i="9"/>
  <c r="AB3873" i="9"/>
  <c r="V3873" i="9"/>
  <c r="R3873" i="9"/>
  <c r="AK3873" i="9" s="1"/>
  <c r="AL3873" i="9" s="1"/>
  <c r="K3873" i="9"/>
  <c r="L3873" i="9" s="1"/>
  <c r="I3873" i="9"/>
  <c r="AM3872" i="9"/>
  <c r="AN3872" i="9" s="1"/>
  <c r="AF3872" i="9"/>
  <c r="AB3872" i="9"/>
  <c r="V3872" i="9"/>
  <c r="R3872" i="9"/>
  <c r="I3872" i="9"/>
  <c r="K3872" i="9" s="1"/>
  <c r="L3872" i="9" s="1"/>
  <c r="AM3871" i="9"/>
  <c r="AN3871" i="9" s="1"/>
  <c r="AF3871" i="9"/>
  <c r="AB3871" i="9"/>
  <c r="V3871" i="9"/>
  <c r="R3871" i="9"/>
  <c r="I3871" i="9"/>
  <c r="K3871" i="9" s="1"/>
  <c r="L3871" i="9" s="1"/>
  <c r="AN3870" i="9"/>
  <c r="AM3870" i="9"/>
  <c r="AF3870" i="9"/>
  <c r="AB3870" i="9"/>
  <c r="V3870" i="9"/>
  <c r="R3870" i="9"/>
  <c r="AK3870" i="9" s="1"/>
  <c r="AL3870" i="9" s="1"/>
  <c r="I3870" i="9"/>
  <c r="K3870" i="9" s="1"/>
  <c r="L3870" i="9" s="1"/>
  <c r="AM3869" i="9"/>
  <c r="AN3869" i="9" s="1"/>
  <c r="AK3869" i="9"/>
  <c r="AL3869" i="9" s="1"/>
  <c r="AF3869" i="9"/>
  <c r="AB3869" i="9"/>
  <c r="V3869" i="9"/>
  <c r="R3869" i="9"/>
  <c r="I3869" i="9"/>
  <c r="K3869" i="9" s="1"/>
  <c r="L3869" i="9" s="1"/>
  <c r="AM3868" i="9"/>
  <c r="AN3868" i="9" s="1"/>
  <c r="AF3868" i="9"/>
  <c r="AB3868" i="9"/>
  <c r="V3868" i="9"/>
  <c r="R3868" i="9"/>
  <c r="K3868" i="9"/>
  <c r="L3868" i="9" s="1"/>
  <c r="I3868" i="9"/>
  <c r="AN3867" i="9"/>
  <c r="AM3867" i="9"/>
  <c r="AF3867" i="9"/>
  <c r="AB3867" i="9"/>
  <c r="V3867" i="9"/>
  <c r="AK3867" i="9" s="1"/>
  <c r="AL3867" i="9" s="1"/>
  <c r="R3867" i="9"/>
  <c r="I3867" i="9"/>
  <c r="K3867" i="9" s="1"/>
  <c r="L3867" i="9" s="1"/>
  <c r="AN3866" i="9"/>
  <c r="AM3866" i="9"/>
  <c r="AF3866" i="9"/>
  <c r="AB3866" i="9"/>
  <c r="V3866" i="9"/>
  <c r="R3866" i="9"/>
  <c r="I3866" i="9"/>
  <c r="K3866" i="9" s="1"/>
  <c r="L3866" i="9" s="1"/>
  <c r="AM3865" i="9"/>
  <c r="AN3865" i="9" s="1"/>
  <c r="AF3865" i="9"/>
  <c r="AB3865" i="9"/>
  <c r="V3865" i="9"/>
  <c r="R3865" i="9"/>
  <c r="K3865" i="9"/>
  <c r="L3865" i="9" s="1"/>
  <c r="I3865" i="9"/>
  <c r="AF3864" i="9"/>
  <c r="AE3864" i="9"/>
  <c r="AB3864" i="9"/>
  <c r="AA3864" i="9"/>
  <c r="V3864" i="9"/>
  <c r="U3864" i="9"/>
  <c r="R3864" i="9"/>
  <c r="Q3864" i="9"/>
  <c r="AM3864" i="9" s="1"/>
  <c r="AN3864" i="9" s="1"/>
  <c r="K3864" i="9"/>
  <c r="L3864" i="9" s="1"/>
  <c r="I3864" i="9"/>
  <c r="AN3863" i="9"/>
  <c r="AM3863" i="9"/>
  <c r="AF3863" i="9"/>
  <c r="AB3863" i="9"/>
  <c r="V3863" i="9"/>
  <c r="R3863" i="9"/>
  <c r="L3863" i="9"/>
  <c r="I3863" i="9"/>
  <c r="K3863" i="9" s="1"/>
  <c r="AM3862" i="9"/>
  <c r="AN3862" i="9" s="1"/>
  <c r="AF3862" i="9"/>
  <c r="AB3862" i="9"/>
  <c r="V3862" i="9"/>
  <c r="R3862" i="9"/>
  <c r="I3862" i="9"/>
  <c r="K3862" i="9" s="1"/>
  <c r="L3862" i="9" s="1"/>
  <c r="AM3861" i="9"/>
  <c r="AN3861" i="9" s="1"/>
  <c r="AF3861" i="9"/>
  <c r="AB3861" i="9"/>
  <c r="V3861" i="9"/>
  <c r="R3861" i="9"/>
  <c r="I3861" i="9"/>
  <c r="K3861" i="9" s="1"/>
  <c r="L3861" i="9" s="1"/>
  <c r="AO3860" i="9"/>
  <c r="AM3860" i="9"/>
  <c r="AN3860" i="9" s="1"/>
  <c r="AF3860" i="9"/>
  <c r="AE3860" i="9"/>
  <c r="AB3860" i="9"/>
  <c r="AA3860" i="9"/>
  <c r="V3860" i="9"/>
  <c r="U3860" i="9"/>
  <c r="R3860" i="9"/>
  <c r="AK3860" i="9" s="1"/>
  <c r="AL3860" i="9" s="1"/>
  <c r="Q3860" i="9"/>
  <c r="K3860" i="9"/>
  <c r="L3860" i="9" s="1"/>
  <c r="AF3859" i="9"/>
  <c r="AE3859" i="9"/>
  <c r="AB3859" i="9"/>
  <c r="AA3859" i="9"/>
  <c r="V3859" i="9"/>
  <c r="U3859" i="9"/>
  <c r="R3859" i="9"/>
  <c r="Q3859" i="9"/>
  <c r="AM3859" i="9" s="1"/>
  <c r="AN3859" i="9" s="1"/>
  <c r="K3859" i="9"/>
  <c r="L3859" i="9" s="1"/>
  <c r="AF3858" i="9"/>
  <c r="AE3858" i="9"/>
  <c r="AB3858" i="9"/>
  <c r="AA3858" i="9"/>
  <c r="V3858" i="9"/>
  <c r="U3858" i="9"/>
  <c r="R3858" i="9"/>
  <c r="Q3858" i="9"/>
  <c r="K3858" i="9"/>
  <c r="L3858" i="9" s="1"/>
  <c r="AM3857" i="9"/>
  <c r="AN3857" i="9" s="1"/>
  <c r="AF3857" i="9"/>
  <c r="AE3857" i="9"/>
  <c r="AB3857" i="9"/>
  <c r="AA3857" i="9"/>
  <c r="V3857" i="9"/>
  <c r="U3857" i="9"/>
  <c r="R3857" i="9"/>
  <c r="Q3857" i="9"/>
  <c r="K3857" i="9"/>
  <c r="L3857" i="9" s="1"/>
  <c r="AF3856" i="9"/>
  <c r="AE3856" i="9"/>
  <c r="AB3856" i="9"/>
  <c r="AA3856" i="9"/>
  <c r="V3856" i="9"/>
  <c r="U3856" i="9"/>
  <c r="R3856" i="9"/>
  <c r="Q3856" i="9"/>
  <c r="K3856" i="9"/>
  <c r="AM3855" i="9"/>
  <c r="AF3855" i="9"/>
  <c r="R3855" i="9"/>
  <c r="K3855" i="9"/>
  <c r="L3855" i="9" s="1"/>
  <c r="AM3854" i="9"/>
  <c r="R3854" i="9"/>
  <c r="AK3854" i="9" s="1"/>
  <c r="AL3854" i="9" s="1"/>
  <c r="K3854" i="9"/>
  <c r="L3854" i="9" s="1"/>
  <c r="AM3853" i="9"/>
  <c r="AB3853" i="9"/>
  <c r="R3853" i="9"/>
  <c r="K3853" i="9"/>
  <c r="L3853" i="9" s="1"/>
  <c r="AM3852" i="9"/>
  <c r="V3852" i="9"/>
  <c r="R3852" i="9"/>
  <c r="K3852" i="9"/>
  <c r="L3852" i="9" s="1"/>
  <c r="AM3851" i="9"/>
  <c r="R3851" i="9"/>
  <c r="AK3851" i="9" s="1"/>
  <c r="AL3851" i="9" s="1"/>
  <c r="K3851" i="9"/>
  <c r="L3851" i="9" s="1"/>
  <c r="AM3850" i="9"/>
  <c r="AN3850" i="9" s="1"/>
  <c r="AF3850" i="9"/>
  <c r="R3850" i="9"/>
  <c r="K3850" i="9"/>
  <c r="L3850" i="9" s="1"/>
  <c r="AM3849" i="9"/>
  <c r="AN3849" i="9" s="1"/>
  <c r="AF3849" i="9"/>
  <c r="R3849" i="9"/>
  <c r="K3849" i="9"/>
  <c r="L3849" i="9" s="1"/>
  <c r="AM3848" i="9"/>
  <c r="AN3848" i="9" s="1"/>
  <c r="AF3848" i="9"/>
  <c r="AB3848" i="9"/>
  <c r="V3848" i="9"/>
  <c r="R3848" i="9"/>
  <c r="K3848" i="9"/>
  <c r="L3848" i="9" s="1"/>
  <c r="I3848" i="9"/>
  <c r="AN3847" i="9"/>
  <c r="AM3847" i="9"/>
  <c r="AF3847" i="9"/>
  <c r="AB3847" i="9"/>
  <c r="V3847" i="9"/>
  <c r="R3847" i="9"/>
  <c r="I3847" i="9"/>
  <c r="K3847" i="9" s="1"/>
  <c r="L3847" i="9" s="1"/>
  <c r="AM3846" i="9"/>
  <c r="AN3846" i="9" s="1"/>
  <c r="AF3846" i="9"/>
  <c r="AB3846" i="9"/>
  <c r="V3846" i="9"/>
  <c r="R3846" i="9"/>
  <c r="I3846" i="9"/>
  <c r="K3846" i="9" s="1"/>
  <c r="L3846" i="9" s="1"/>
  <c r="AF3845" i="9"/>
  <c r="AK3845" i="9" s="1"/>
  <c r="AL3845" i="9" s="1"/>
  <c r="AE3845" i="9"/>
  <c r="AB3845" i="9"/>
  <c r="AA3845" i="9"/>
  <c r="V3845" i="9"/>
  <c r="U3845" i="9"/>
  <c r="R3845" i="9"/>
  <c r="Q3845" i="9"/>
  <c r="I3845" i="9"/>
  <c r="K3845" i="9" s="1"/>
  <c r="L3845" i="9" s="1"/>
  <c r="AO3844" i="9"/>
  <c r="AF3844" i="9"/>
  <c r="AE3844" i="9"/>
  <c r="AB3844" i="9"/>
  <c r="AA3844" i="9"/>
  <c r="V3844" i="9"/>
  <c r="U3844" i="9"/>
  <c r="R3844" i="9"/>
  <c r="Q3844" i="9"/>
  <c r="K3844" i="9"/>
  <c r="L3844" i="9" s="1"/>
  <c r="AF3843" i="9"/>
  <c r="AE3843" i="9"/>
  <c r="AB3843" i="9"/>
  <c r="AA3843" i="9"/>
  <c r="V3843" i="9"/>
  <c r="U3843" i="9"/>
  <c r="R3843" i="9"/>
  <c r="Q3843" i="9"/>
  <c r="K3843" i="9"/>
  <c r="L3843" i="9" s="1"/>
  <c r="AM3842" i="9"/>
  <c r="AN3842" i="9" s="1"/>
  <c r="AF3842" i="9"/>
  <c r="AB3842" i="9"/>
  <c r="V3842" i="9"/>
  <c r="R3842" i="9"/>
  <c r="I3842" i="9"/>
  <c r="K3842" i="9" s="1"/>
  <c r="L3842" i="9" s="1"/>
  <c r="AM3841" i="9"/>
  <c r="AN3841" i="9" s="1"/>
  <c r="AF3841" i="9"/>
  <c r="AB3841" i="9"/>
  <c r="V3841" i="9"/>
  <c r="R3841" i="9"/>
  <c r="I3841" i="9"/>
  <c r="K3841" i="9" s="1"/>
  <c r="L3841" i="9" s="1"/>
  <c r="AN3840" i="9"/>
  <c r="AM3840" i="9"/>
  <c r="AF3840" i="9"/>
  <c r="AB3840" i="9"/>
  <c r="V3840" i="9"/>
  <c r="R3840" i="9"/>
  <c r="K3840" i="9"/>
  <c r="L3840" i="9" s="1"/>
  <c r="I3840" i="9"/>
  <c r="AO3839" i="9"/>
  <c r="AF3839" i="9"/>
  <c r="AE3839" i="9"/>
  <c r="AB3839" i="9"/>
  <c r="AA3839" i="9"/>
  <c r="V3839" i="9"/>
  <c r="U3839" i="9"/>
  <c r="R3839" i="9"/>
  <c r="Q3839" i="9"/>
  <c r="K3839" i="9"/>
  <c r="L3839" i="9" s="1"/>
  <c r="AF3838" i="9"/>
  <c r="AE3838" i="9"/>
  <c r="AB3838" i="9"/>
  <c r="AA3838" i="9"/>
  <c r="V3838" i="9"/>
  <c r="U3838" i="9"/>
  <c r="R3838" i="9"/>
  <c r="Q3838" i="9"/>
  <c r="K3838" i="9"/>
  <c r="L3838" i="9" s="1"/>
  <c r="AF3837" i="9"/>
  <c r="AE3837" i="9"/>
  <c r="AB3837" i="9"/>
  <c r="AA3837" i="9"/>
  <c r="V3837" i="9"/>
  <c r="U3837" i="9"/>
  <c r="R3837" i="9"/>
  <c r="Q3837" i="9"/>
  <c r="I3837" i="9"/>
  <c r="K3837" i="9" s="1"/>
  <c r="L3837" i="9" s="1"/>
  <c r="AM3836" i="9"/>
  <c r="R3836" i="9"/>
  <c r="J3836" i="9"/>
  <c r="D3836" i="9"/>
  <c r="AM3835" i="9"/>
  <c r="V3835" i="9"/>
  <c r="J3835" i="9"/>
  <c r="D3835" i="9"/>
  <c r="AM3834" i="9"/>
  <c r="AF3834" i="9"/>
  <c r="AB3834" i="9"/>
  <c r="V3834" i="9"/>
  <c r="J3834" i="9"/>
  <c r="R3834" i="9" s="1"/>
  <c r="D3834" i="9"/>
  <c r="AM3833" i="9"/>
  <c r="AN3833" i="9" s="1"/>
  <c r="AF3833" i="9"/>
  <c r="AB3833" i="9"/>
  <c r="V3833" i="9"/>
  <c r="R3833" i="9"/>
  <c r="I3833" i="9"/>
  <c r="K3833" i="9" s="1"/>
  <c r="L3833" i="9" s="1"/>
  <c r="AF3832" i="9"/>
  <c r="AE3832" i="9"/>
  <c r="AB3832" i="9"/>
  <c r="AA3832" i="9"/>
  <c r="V3832" i="9"/>
  <c r="U3832" i="9"/>
  <c r="R3832" i="9"/>
  <c r="Q3832" i="9"/>
  <c r="AM3832" i="9" s="1"/>
  <c r="AN3832" i="9" s="1"/>
  <c r="K3832" i="9"/>
  <c r="L3832" i="9" s="1"/>
  <c r="AF3831" i="9"/>
  <c r="AE3831" i="9"/>
  <c r="AB3831" i="9"/>
  <c r="AA3831" i="9"/>
  <c r="V3831" i="9"/>
  <c r="U3831" i="9"/>
  <c r="R3831" i="9"/>
  <c r="Q3831" i="9"/>
  <c r="K3831" i="9"/>
  <c r="L3831" i="9" s="1"/>
  <c r="AN3830" i="9"/>
  <c r="AM3830" i="9"/>
  <c r="AF3830" i="9"/>
  <c r="AB3830" i="9"/>
  <c r="V3830" i="9"/>
  <c r="R3830" i="9"/>
  <c r="I3830" i="9"/>
  <c r="K3830" i="9" s="1"/>
  <c r="L3830" i="9" s="1"/>
  <c r="AM3829" i="9"/>
  <c r="AN3829" i="9" s="1"/>
  <c r="AF3829" i="9"/>
  <c r="AB3829" i="9"/>
  <c r="V3829" i="9"/>
  <c r="R3829" i="9"/>
  <c r="I3829" i="9"/>
  <c r="K3829" i="9" s="1"/>
  <c r="L3829" i="9" s="1"/>
  <c r="AM3828" i="9"/>
  <c r="AN3828" i="9" s="1"/>
  <c r="AF3828" i="9"/>
  <c r="AB3828" i="9"/>
  <c r="AK3828" i="9" s="1"/>
  <c r="AL3828" i="9" s="1"/>
  <c r="V3828" i="9"/>
  <c r="R3828" i="9"/>
  <c r="I3828" i="9"/>
  <c r="K3828" i="9" s="1"/>
  <c r="L3828" i="9" s="1"/>
  <c r="AF3827" i="9"/>
  <c r="AE3827" i="9"/>
  <c r="AB3827" i="9"/>
  <c r="AA3827" i="9"/>
  <c r="V3827" i="9"/>
  <c r="U3827" i="9"/>
  <c r="R3827" i="9"/>
  <c r="Q3827" i="9"/>
  <c r="I3827" i="9"/>
  <c r="K3827" i="9" s="1"/>
  <c r="L3827" i="9" s="1"/>
  <c r="AO3826" i="9"/>
  <c r="AF3826" i="9"/>
  <c r="AE3826" i="9"/>
  <c r="AB3826" i="9"/>
  <c r="AA3826" i="9"/>
  <c r="V3826" i="9"/>
  <c r="U3826" i="9"/>
  <c r="R3826" i="9"/>
  <c r="Q3826" i="9"/>
  <c r="L3826" i="9"/>
  <c r="K3826" i="9"/>
  <c r="AF3825" i="9"/>
  <c r="AE3825" i="9"/>
  <c r="AB3825" i="9"/>
  <c r="AA3825" i="9"/>
  <c r="V3825" i="9"/>
  <c r="U3825" i="9"/>
  <c r="AM3825" i="9" s="1"/>
  <c r="AN3825" i="9" s="1"/>
  <c r="R3825" i="9"/>
  <c r="Q3825" i="9"/>
  <c r="L3825" i="9"/>
  <c r="K3825" i="9"/>
  <c r="AN3824" i="9"/>
  <c r="AM3824" i="9"/>
  <c r="AF3824" i="9"/>
  <c r="AB3824" i="9"/>
  <c r="V3824" i="9"/>
  <c r="R3824" i="9"/>
  <c r="I3824" i="9"/>
  <c r="K3824" i="9" s="1"/>
  <c r="L3824" i="9" s="1"/>
  <c r="AM3823" i="9"/>
  <c r="AN3823" i="9" s="1"/>
  <c r="AL3823" i="9"/>
  <c r="AF3823" i="9"/>
  <c r="AB3823" i="9"/>
  <c r="V3823" i="9"/>
  <c r="AK3823" i="9" s="1"/>
  <c r="R3823" i="9"/>
  <c r="K3823" i="9"/>
  <c r="L3823" i="9" s="1"/>
  <c r="I3823" i="9"/>
  <c r="AM3822" i="9"/>
  <c r="AN3822" i="9" s="1"/>
  <c r="AF3822" i="9"/>
  <c r="AB3822" i="9"/>
  <c r="V3822" i="9"/>
  <c r="R3822" i="9"/>
  <c r="I3822" i="9"/>
  <c r="K3822" i="9" s="1"/>
  <c r="L3822" i="9" s="1"/>
  <c r="AM3821" i="9"/>
  <c r="AN3821" i="9" s="1"/>
  <c r="AF3821" i="9"/>
  <c r="AB3821" i="9"/>
  <c r="V3821" i="9"/>
  <c r="AK3821" i="9" s="1"/>
  <c r="AL3821" i="9" s="1"/>
  <c r="R3821" i="9"/>
  <c r="K3821" i="9"/>
  <c r="L3821" i="9" s="1"/>
  <c r="I3821" i="9"/>
  <c r="AM3820" i="9"/>
  <c r="AN3820" i="9" s="1"/>
  <c r="AF3820" i="9"/>
  <c r="AB3820" i="9"/>
  <c r="V3820" i="9"/>
  <c r="R3820" i="9"/>
  <c r="I3820" i="9"/>
  <c r="K3820" i="9" s="1"/>
  <c r="L3820" i="9" s="1"/>
  <c r="AM3819" i="9"/>
  <c r="AN3819" i="9" s="1"/>
  <c r="AF3819" i="9"/>
  <c r="AB3819" i="9"/>
  <c r="V3819" i="9"/>
  <c r="R3819" i="9"/>
  <c r="I3819" i="9"/>
  <c r="K3819" i="9" s="1"/>
  <c r="L3819" i="9" s="1"/>
  <c r="AM3818" i="9"/>
  <c r="AN3818" i="9" s="1"/>
  <c r="AF3818" i="9"/>
  <c r="AB3818" i="9"/>
  <c r="V3818" i="9"/>
  <c r="R3818" i="9"/>
  <c r="I3818" i="9"/>
  <c r="K3818" i="9" s="1"/>
  <c r="L3818" i="9" s="1"/>
  <c r="AM3817" i="9"/>
  <c r="AN3817" i="9" s="1"/>
  <c r="AF3817" i="9"/>
  <c r="AB3817" i="9"/>
  <c r="V3817" i="9"/>
  <c r="R3817" i="9"/>
  <c r="I3817" i="9"/>
  <c r="K3817" i="9" s="1"/>
  <c r="L3817" i="9" s="1"/>
  <c r="AM3816" i="9"/>
  <c r="AN3816" i="9" s="1"/>
  <c r="AF3816" i="9"/>
  <c r="AB3816" i="9"/>
  <c r="V3816" i="9"/>
  <c r="R3816" i="9"/>
  <c r="I3816" i="9"/>
  <c r="K3816" i="9" s="1"/>
  <c r="L3816" i="9" s="1"/>
  <c r="AM3815" i="9"/>
  <c r="AN3815" i="9" s="1"/>
  <c r="AK3815" i="9"/>
  <c r="AL3815" i="9" s="1"/>
  <c r="AF3815" i="9"/>
  <c r="AB3815" i="9"/>
  <c r="V3815" i="9"/>
  <c r="R3815" i="9"/>
  <c r="L3815" i="9"/>
  <c r="K3815" i="9"/>
  <c r="I3815" i="9"/>
  <c r="AN3814" i="9"/>
  <c r="AM3814" i="9"/>
  <c r="AF3814" i="9"/>
  <c r="AB3814" i="9"/>
  <c r="V3814" i="9"/>
  <c r="R3814" i="9"/>
  <c r="I3814" i="9"/>
  <c r="K3814" i="9" s="1"/>
  <c r="L3814" i="9" s="1"/>
  <c r="AN3813" i="9"/>
  <c r="AM3813" i="9"/>
  <c r="AF3813" i="9"/>
  <c r="AB3813" i="9"/>
  <c r="V3813" i="9"/>
  <c r="R3813" i="9"/>
  <c r="AK3813" i="9" s="1"/>
  <c r="AL3813" i="9" s="1"/>
  <c r="I3813" i="9"/>
  <c r="K3813" i="9" s="1"/>
  <c r="L3813" i="9" s="1"/>
  <c r="AM3812" i="9"/>
  <c r="AN3812" i="9" s="1"/>
  <c r="AF3812" i="9"/>
  <c r="AB3812" i="9"/>
  <c r="V3812" i="9"/>
  <c r="R3812" i="9"/>
  <c r="I3812" i="9"/>
  <c r="K3812" i="9" s="1"/>
  <c r="L3812" i="9" s="1"/>
  <c r="AN3811" i="9"/>
  <c r="AM3811" i="9"/>
  <c r="AF3811" i="9"/>
  <c r="AB3811" i="9"/>
  <c r="AK3811" i="9" s="1"/>
  <c r="AL3811" i="9" s="1"/>
  <c r="V3811" i="9"/>
  <c r="R3811" i="9"/>
  <c r="I3811" i="9"/>
  <c r="K3811" i="9" s="1"/>
  <c r="L3811" i="9" s="1"/>
  <c r="AM3810" i="9"/>
  <c r="AN3810" i="9" s="1"/>
  <c r="AF3810" i="9"/>
  <c r="AE3810" i="9"/>
  <c r="AB3810" i="9"/>
  <c r="AA3810" i="9"/>
  <c r="V3810" i="9"/>
  <c r="U3810" i="9"/>
  <c r="R3810" i="9"/>
  <c r="AK3810" i="9" s="1"/>
  <c r="AL3810" i="9" s="1"/>
  <c r="Q3810" i="9"/>
  <c r="K3810" i="9"/>
  <c r="L3810" i="9" s="1"/>
  <c r="I3810" i="9"/>
  <c r="AM3809" i="9"/>
  <c r="AN3809" i="9" s="1"/>
  <c r="AL3809" i="9"/>
  <c r="AK3809" i="9"/>
  <c r="AF3809" i="9"/>
  <c r="AB3809" i="9"/>
  <c r="V3809" i="9"/>
  <c r="R3809" i="9"/>
  <c r="I3809" i="9"/>
  <c r="K3809" i="9" s="1"/>
  <c r="L3809" i="9" s="1"/>
  <c r="AN3808" i="9"/>
  <c r="AM3808" i="9"/>
  <c r="AF3808" i="9"/>
  <c r="AB3808" i="9"/>
  <c r="V3808" i="9"/>
  <c r="R3808" i="9"/>
  <c r="I3808" i="9"/>
  <c r="K3808" i="9" s="1"/>
  <c r="L3808" i="9" s="1"/>
  <c r="AM3807" i="9"/>
  <c r="AN3807" i="9" s="1"/>
  <c r="AF3807" i="9"/>
  <c r="AB3807" i="9"/>
  <c r="V3807" i="9"/>
  <c r="R3807" i="9"/>
  <c r="K3807" i="9"/>
  <c r="L3807" i="9" s="1"/>
  <c r="I3807" i="9"/>
  <c r="AN3806" i="9"/>
  <c r="AM3806" i="9"/>
  <c r="AF3806" i="9"/>
  <c r="AB3806" i="9"/>
  <c r="V3806" i="9"/>
  <c r="R3806" i="9"/>
  <c r="I3806" i="9"/>
  <c r="K3806" i="9" s="1"/>
  <c r="L3806" i="9" s="1"/>
  <c r="AM3805" i="9"/>
  <c r="AN3805" i="9" s="1"/>
  <c r="AF3805" i="9"/>
  <c r="AB3805" i="9"/>
  <c r="V3805" i="9"/>
  <c r="R3805" i="9"/>
  <c r="K3805" i="9"/>
  <c r="L3805" i="9" s="1"/>
  <c r="I3805" i="9"/>
  <c r="AN3804" i="9"/>
  <c r="AM3804" i="9"/>
  <c r="AK3804" i="9"/>
  <c r="AL3804" i="9" s="1"/>
  <c r="AF3804" i="9"/>
  <c r="AB3804" i="9"/>
  <c r="V3804" i="9"/>
  <c r="R3804" i="9"/>
  <c r="I3804" i="9"/>
  <c r="K3804" i="9" s="1"/>
  <c r="L3804" i="9" s="1"/>
  <c r="AN3803" i="9"/>
  <c r="AM3803" i="9"/>
  <c r="AF3803" i="9"/>
  <c r="AB3803" i="9"/>
  <c r="V3803" i="9"/>
  <c r="R3803" i="9"/>
  <c r="L3803" i="9"/>
  <c r="I3803" i="9"/>
  <c r="K3803" i="9" s="1"/>
  <c r="AF3802" i="9"/>
  <c r="AE3802" i="9"/>
  <c r="AB3802" i="9"/>
  <c r="AA3802" i="9"/>
  <c r="V3802" i="9"/>
  <c r="U3802" i="9"/>
  <c r="R3802" i="9"/>
  <c r="Q3802" i="9"/>
  <c r="K3802" i="9"/>
  <c r="L3802" i="9" s="1"/>
  <c r="I3802" i="9"/>
  <c r="AF3801" i="9"/>
  <c r="AE3801" i="9"/>
  <c r="AB3801" i="9"/>
  <c r="AA3801" i="9"/>
  <c r="V3801" i="9"/>
  <c r="U3801" i="9"/>
  <c r="R3801" i="9"/>
  <c r="Q3801" i="9"/>
  <c r="I3801" i="9"/>
  <c r="K3801" i="9" s="1"/>
  <c r="L3801" i="9" s="1"/>
  <c r="AM3800" i="9"/>
  <c r="AN3800" i="9" s="1"/>
  <c r="AL3800" i="9"/>
  <c r="AK3800" i="9"/>
  <c r="AF3800" i="9"/>
  <c r="AB3800" i="9"/>
  <c r="V3800" i="9"/>
  <c r="R3800" i="9"/>
  <c r="I3800" i="9"/>
  <c r="K3800" i="9" s="1"/>
  <c r="L3800" i="9" s="1"/>
  <c r="AM3799" i="9"/>
  <c r="AN3799" i="9" s="1"/>
  <c r="AF3799" i="9"/>
  <c r="AB3799" i="9"/>
  <c r="V3799" i="9"/>
  <c r="R3799" i="9"/>
  <c r="L3799" i="9"/>
  <c r="K3799" i="9"/>
  <c r="I3799" i="9"/>
  <c r="AM3798" i="9"/>
  <c r="AN3798" i="9" s="1"/>
  <c r="AF3798" i="9"/>
  <c r="AB3798" i="9"/>
  <c r="V3798" i="9"/>
  <c r="AK3798" i="9" s="1"/>
  <c r="AL3798" i="9" s="1"/>
  <c r="R3798" i="9"/>
  <c r="L3798" i="9"/>
  <c r="K3798" i="9"/>
  <c r="I3798" i="9"/>
  <c r="AM3797" i="9"/>
  <c r="AN3797" i="9" s="1"/>
  <c r="AF3797" i="9"/>
  <c r="AB3797" i="9"/>
  <c r="V3797" i="9"/>
  <c r="R3797" i="9"/>
  <c r="I3797" i="9"/>
  <c r="K3797" i="9" s="1"/>
  <c r="L3797" i="9" s="1"/>
  <c r="AF3796" i="9"/>
  <c r="AE3796" i="9"/>
  <c r="AB3796" i="9"/>
  <c r="AA3796" i="9"/>
  <c r="V3796" i="9"/>
  <c r="U3796" i="9"/>
  <c r="R3796" i="9"/>
  <c r="Q3796" i="9"/>
  <c r="I3796" i="9"/>
  <c r="K3796" i="9" s="1"/>
  <c r="L3796" i="9" s="1"/>
  <c r="AM3795" i="9"/>
  <c r="AN3795" i="9" s="1"/>
  <c r="AF3795" i="9"/>
  <c r="AB3795" i="9"/>
  <c r="V3795" i="9"/>
  <c r="R3795" i="9"/>
  <c r="AK3795" i="9" s="1"/>
  <c r="AL3795" i="9" s="1"/>
  <c r="K3795" i="9"/>
  <c r="L3795" i="9" s="1"/>
  <c r="I3795" i="9"/>
  <c r="AN3794" i="9"/>
  <c r="AM3794" i="9"/>
  <c r="AF3794" i="9"/>
  <c r="AB3794" i="9"/>
  <c r="V3794" i="9"/>
  <c r="R3794" i="9"/>
  <c r="K3794" i="9"/>
  <c r="L3794" i="9" s="1"/>
  <c r="I3794" i="9"/>
  <c r="AM3793" i="9"/>
  <c r="AN3793" i="9" s="1"/>
  <c r="AF3793" i="9"/>
  <c r="AB3793" i="9"/>
  <c r="V3793" i="9"/>
  <c r="R3793" i="9"/>
  <c r="I3793" i="9"/>
  <c r="K3793" i="9" s="1"/>
  <c r="L3793" i="9" s="1"/>
  <c r="AN3792" i="9"/>
  <c r="AM3792" i="9"/>
  <c r="AF3792" i="9"/>
  <c r="AB3792" i="9"/>
  <c r="V3792" i="9"/>
  <c r="AK3792" i="9" s="1"/>
  <c r="AL3792" i="9" s="1"/>
  <c r="R3792" i="9"/>
  <c r="I3792" i="9"/>
  <c r="K3792" i="9" s="1"/>
  <c r="L3792" i="9" s="1"/>
  <c r="AM3791" i="9"/>
  <c r="AN3791" i="9" s="1"/>
  <c r="AF3791" i="9"/>
  <c r="AB3791" i="9"/>
  <c r="V3791" i="9"/>
  <c r="R3791" i="9"/>
  <c r="AK3791" i="9" s="1"/>
  <c r="AL3791" i="9" s="1"/>
  <c r="K3791" i="9"/>
  <c r="L3791" i="9" s="1"/>
  <c r="I3791" i="9"/>
  <c r="AM3790" i="9"/>
  <c r="AN3790" i="9" s="1"/>
  <c r="AF3790" i="9"/>
  <c r="AB3790" i="9"/>
  <c r="V3790" i="9"/>
  <c r="R3790" i="9"/>
  <c r="K3790" i="9"/>
  <c r="L3790" i="9" s="1"/>
  <c r="I3790" i="9"/>
  <c r="AN3789" i="9"/>
  <c r="AM3789" i="9"/>
  <c r="AF3789" i="9"/>
  <c r="AB3789" i="9"/>
  <c r="V3789" i="9"/>
  <c r="R3789" i="9"/>
  <c r="AK3789" i="9" s="1"/>
  <c r="AL3789" i="9" s="1"/>
  <c r="I3789" i="9"/>
  <c r="K3789" i="9" s="1"/>
  <c r="L3789" i="9" s="1"/>
  <c r="AO3788" i="9"/>
  <c r="AF3788" i="9"/>
  <c r="AE3788" i="9"/>
  <c r="AB3788" i="9"/>
  <c r="AA3788" i="9"/>
  <c r="V3788" i="9"/>
  <c r="U3788" i="9"/>
  <c r="AM3788" i="9" s="1"/>
  <c r="AN3788" i="9" s="1"/>
  <c r="R3788" i="9"/>
  <c r="Q3788" i="9"/>
  <c r="L3788" i="9"/>
  <c r="K3788" i="9"/>
  <c r="AM3787" i="9"/>
  <c r="AN3787" i="9" s="1"/>
  <c r="AF3787" i="9"/>
  <c r="AB3787" i="9"/>
  <c r="V3787" i="9"/>
  <c r="R3787" i="9"/>
  <c r="I3787" i="9"/>
  <c r="K3787" i="9" s="1"/>
  <c r="L3787" i="9" s="1"/>
  <c r="AM3786" i="9"/>
  <c r="AN3786" i="9" s="1"/>
  <c r="AF3786" i="9"/>
  <c r="AB3786" i="9"/>
  <c r="V3786" i="9"/>
  <c r="R3786" i="9"/>
  <c r="K3786" i="9"/>
  <c r="L3786" i="9" s="1"/>
  <c r="I3786" i="9"/>
  <c r="AN3785" i="9"/>
  <c r="AM3785" i="9"/>
  <c r="AF3785" i="9"/>
  <c r="AB3785" i="9"/>
  <c r="AK3785" i="9" s="1"/>
  <c r="AL3785" i="9" s="1"/>
  <c r="V3785" i="9"/>
  <c r="R3785" i="9"/>
  <c r="I3785" i="9"/>
  <c r="K3785" i="9" s="1"/>
  <c r="L3785" i="9" s="1"/>
  <c r="AM3784" i="9"/>
  <c r="AN3784" i="9" s="1"/>
  <c r="AF3784" i="9"/>
  <c r="AB3784" i="9"/>
  <c r="V3784" i="9"/>
  <c r="R3784" i="9"/>
  <c r="L3784" i="9"/>
  <c r="I3784" i="9"/>
  <c r="K3784" i="9" s="1"/>
  <c r="AM3783" i="9"/>
  <c r="AN3783" i="9" s="1"/>
  <c r="AF3783" i="9"/>
  <c r="AB3783" i="9"/>
  <c r="V3783" i="9"/>
  <c r="R3783" i="9"/>
  <c r="K3783" i="9"/>
  <c r="L3783" i="9" s="1"/>
  <c r="I3783" i="9"/>
  <c r="AM3782" i="9"/>
  <c r="AN3782" i="9" s="1"/>
  <c r="AF3782" i="9"/>
  <c r="AB3782" i="9"/>
  <c r="V3782" i="9"/>
  <c r="R3782" i="9"/>
  <c r="I3782" i="9"/>
  <c r="K3782" i="9" s="1"/>
  <c r="L3782" i="9" s="1"/>
  <c r="AM3781" i="9"/>
  <c r="AN3781" i="9" s="1"/>
  <c r="AF3781" i="9"/>
  <c r="AB3781" i="9"/>
  <c r="V3781" i="9"/>
  <c r="R3781" i="9"/>
  <c r="AK3781" i="9" s="1"/>
  <c r="AL3781" i="9" s="1"/>
  <c r="I3781" i="9"/>
  <c r="K3781" i="9" s="1"/>
  <c r="L3781" i="9" s="1"/>
  <c r="AO3780" i="9"/>
  <c r="AF3780" i="9"/>
  <c r="AE3780" i="9"/>
  <c r="AB3780" i="9"/>
  <c r="AA3780" i="9"/>
  <c r="V3780" i="9"/>
  <c r="U3780" i="9"/>
  <c r="R3780" i="9"/>
  <c r="Q3780" i="9"/>
  <c r="L3780" i="9"/>
  <c r="K3780" i="9"/>
  <c r="AF3779" i="9"/>
  <c r="AE3779" i="9"/>
  <c r="AB3779" i="9"/>
  <c r="AA3779" i="9"/>
  <c r="V3779" i="9"/>
  <c r="U3779" i="9"/>
  <c r="R3779" i="9"/>
  <c r="AK3779" i="9" s="1"/>
  <c r="AL3779" i="9" s="1"/>
  <c r="Q3779" i="9"/>
  <c r="K3779" i="9"/>
  <c r="L3779" i="9" s="1"/>
  <c r="AF3778" i="9"/>
  <c r="AE3778" i="9"/>
  <c r="AB3778" i="9"/>
  <c r="AA3778" i="9"/>
  <c r="V3778" i="9"/>
  <c r="U3778" i="9"/>
  <c r="R3778" i="9"/>
  <c r="Q3778" i="9"/>
  <c r="K3778" i="9"/>
  <c r="L3778" i="9" s="1"/>
  <c r="AF3777" i="9"/>
  <c r="AE3777" i="9"/>
  <c r="AB3777" i="9"/>
  <c r="AA3777" i="9"/>
  <c r="V3777" i="9"/>
  <c r="U3777" i="9"/>
  <c r="R3777" i="9"/>
  <c r="Q3777" i="9"/>
  <c r="K3777" i="9"/>
  <c r="L3777" i="9" s="1"/>
  <c r="AF3776" i="9"/>
  <c r="AE3776" i="9"/>
  <c r="AB3776" i="9"/>
  <c r="AA3776" i="9"/>
  <c r="V3776" i="9"/>
  <c r="U3776" i="9"/>
  <c r="R3776" i="9"/>
  <c r="Q3776" i="9"/>
  <c r="K3776" i="9"/>
  <c r="L3776" i="9" s="1"/>
  <c r="AF3775" i="9"/>
  <c r="AE3775" i="9"/>
  <c r="AB3775" i="9"/>
  <c r="AA3775" i="9"/>
  <c r="V3775" i="9"/>
  <c r="U3775" i="9"/>
  <c r="R3775" i="9"/>
  <c r="Q3775" i="9"/>
  <c r="L3775" i="9"/>
  <c r="K3775" i="9"/>
  <c r="AF3774" i="9"/>
  <c r="AE3774" i="9"/>
  <c r="AB3774" i="9"/>
  <c r="AA3774" i="9"/>
  <c r="V3774" i="9"/>
  <c r="U3774" i="9"/>
  <c r="R3774" i="9"/>
  <c r="AK3774" i="9" s="1"/>
  <c r="AL3774" i="9" s="1"/>
  <c r="Q3774" i="9"/>
  <c r="K3774" i="9"/>
  <c r="L3774" i="9" s="1"/>
  <c r="AF3773" i="9"/>
  <c r="AE3773" i="9"/>
  <c r="AB3773" i="9"/>
  <c r="AA3773" i="9"/>
  <c r="V3773" i="9"/>
  <c r="U3773" i="9"/>
  <c r="R3773" i="9"/>
  <c r="Q3773" i="9"/>
  <c r="K3773" i="9"/>
  <c r="L3773" i="9" s="1"/>
  <c r="AF3772" i="9"/>
  <c r="AE3772" i="9"/>
  <c r="AB3772" i="9"/>
  <c r="AA3772" i="9"/>
  <c r="V3772" i="9"/>
  <c r="U3772" i="9"/>
  <c r="R3772" i="9"/>
  <c r="Q3772" i="9"/>
  <c r="AM3772" i="9" s="1"/>
  <c r="AN3772" i="9" s="1"/>
  <c r="K3772" i="9"/>
  <c r="L3772" i="9" s="1"/>
  <c r="AF3771" i="9"/>
  <c r="AE3771" i="9"/>
  <c r="AB3771" i="9"/>
  <c r="AA3771" i="9"/>
  <c r="V3771" i="9"/>
  <c r="U3771" i="9"/>
  <c r="R3771" i="9"/>
  <c r="Q3771" i="9"/>
  <c r="K3771" i="9"/>
  <c r="L3771" i="9" s="1"/>
  <c r="AF3770" i="9"/>
  <c r="AE3770" i="9"/>
  <c r="AB3770" i="9"/>
  <c r="AA3770" i="9"/>
  <c r="V3770" i="9"/>
  <c r="U3770" i="9"/>
  <c r="R3770" i="9"/>
  <c r="Q3770" i="9"/>
  <c r="K3770" i="9"/>
  <c r="L3770" i="9" s="1"/>
  <c r="AF3769" i="9"/>
  <c r="AE3769" i="9"/>
  <c r="AB3769" i="9"/>
  <c r="AA3769" i="9"/>
  <c r="V3769" i="9"/>
  <c r="U3769" i="9"/>
  <c r="R3769" i="9"/>
  <c r="AK3769" i="9" s="1"/>
  <c r="AL3769" i="9" s="1"/>
  <c r="Q3769" i="9"/>
  <c r="K3769" i="9"/>
  <c r="L3769" i="9" s="1"/>
  <c r="AF3768" i="9"/>
  <c r="AE3768" i="9"/>
  <c r="AB3768" i="9"/>
  <c r="AA3768" i="9"/>
  <c r="V3768" i="9"/>
  <c r="U3768" i="9"/>
  <c r="R3768" i="9"/>
  <c r="Q3768" i="9"/>
  <c r="K3768" i="9"/>
  <c r="L3768" i="9" s="1"/>
  <c r="AF3767" i="9"/>
  <c r="AE3767" i="9"/>
  <c r="AB3767" i="9"/>
  <c r="AA3767" i="9"/>
  <c r="V3767" i="9"/>
  <c r="U3767" i="9"/>
  <c r="R3767" i="9"/>
  <c r="AK3767" i="9" s="1"/>
  <c r="AL3767" i="9" s="1"/>
  <c r="Q3767" i="9"/>
  <c r="L3767" i="9"/>
  <c r="K3767" i="9"/>
  <c r="AM3766" i="9"/>
  <c r="AN3766" i="9" s="1"/>
  <c r="AF3766" i="9"/>
  <c r="AE3766" i="9"/>
  <c r="AB3766" i="9"/>
  <c r="AA3766" i="9"/>
  <c r="V3766" i="9"/>
  <c r="U3766" i="9"/>
  <c r="R3766" i="9"/>
  <c r="Q3766" i="9"/>
  <c r="K3766" i="9"/>
  <c r="L3766" i="9" s="1"/>
  <c r="AN3765" i="9"/>
  <c r="AM3765" i="9"/>
  <c r="AK3765" i="9"/>
  <c r="AL3765" i="9" s="1"/>
  <c r="L3765" i="9"/>
  <c r="K3765" i="9"/>
  <c r="AN3764" i="9"/>
  <c r="AM3764" i="9"/>
  <c r="AF3764" i="9"/>
  <c r="AB3764" i="9"/>
  <c r="V3764" i="9"/>
  <c r="R3764" i="9"/>
  <c r="I3764" i="9"/>
  <c r="K3764" i="9" s="1"/>
  <c r="L3764" i="9" s="1"/>
  <c r="AN3763" i="9"/>
  <c r="AM3763" i="9"/>
  <c r="AF3763" i="9"/>
  <c r="AB3763" i="9"/>
  <c r="V3763" i="9"/>
  <c r="R3763" i="9"/>
  <c r="I3763" i="9"/>
  <c r="K3763" i="9" s="1"/>
  <c r="L3763" i="9" s="1"/>
  <c r="AO3762" i="9"/>
  <c r="AF3762" i="9"/>
  <c r="AE3762" i="9"/>
  <c r="AB3762" i="9"/>
  <c r="AA3762" i="9"/>
  <c r="V3762" i="9"/>
  <c r="U3762" i="9"/>
  <c r="R3762" i="9"/>
  <c r="Q3762" i="9"/>
  <c r="L3762" i="9"/>
  <c r="K3762" i="9"/>
  <c r="AF3761" i="9"/>
  <c r="AE3761" i="9"/>
  <c r="AB3761" i="9"/>
  <c r="AA3761" i="9"/>
  <c r="V3761" i="9"/>
  <c r="U3761" i="9"/>
  <c r="R3761" i="9"/>
  <c r="Q3761" i="9"/>
  <c r="K3761" i="9"/>
  <c r="L3761" i="9" s="1"/>
  <c r="AF3760" i="9"/>
  <c r="AE3760" i="9"/>
  <c r="AB3760" i="9"/>
  <c r="AA3760" i="9"/>
  <c r="V3760" i="9"/>
  <c r="U3760" i="9"/>
  <c r="R3760" i="9"/>
  <c r="Q3760" i="9"/>
  <c r="K3760" i="9"/>
  <c r="L3760" i="9" s="1"/>
  <c r="AF3759" i="9"/>
  <c r="AE3759" i="9"/>
  <c r="AB3759" i="9"/>
  <c r="AA3759" i="9"/>
  <c r="V3759" i="9"/>
  <c r="U3759" i="9"/>
  <c r="R3759" i="9"/>
  <c r="Q3759" i="9"/>
  <c r="AM3759" i="9" s="1"/>
  <c r="AN3759" i="9" s="1"/>
  <c r="L3759" i="9"/>
  <c r="K3759" i="9"/>
  <c r="AF3758" i="9"/>
  <c r="AE3758" i="9"/>
  <c r="AB3758" i="9"/>
  <c r="AA3758" i="9"/>
  <c r="V3758" i="9"/>
  <c r="U3758" i="9"/>
  <c r="R3758" i="9"/>
  <c r="Q3758" i="9"/>
  <c r="K3758" i="9"/>
  <c r="L3758" i="9" s="1"/>
  <c r="AF3757" i="9"/>
  <c r="AE3757" i="9"/>
  <c r="AB3757" i="9"/>
  <c r="AA3757" i="9"/>
  <c r="V3757" i="9"/>
  <c r="U3757" i="9"/>
  <c r="R3757" i="9"/>
  <c r="Q3757" i="9"/>
  <c r="L3757" i="9"/>
  <c r="K3757" i="9"/>
  <c r="AF3756" i="9"/>
  <c r="AE3756" i="9"/>
  <c r="AB3756" i="9"/>
  <c r="AA3756" i="9"/>
  <c r="V3756" i="9"/>
  <c r="U3756" i="9"/>
  <c r="R3756" i="9"/>
  <c r="Q3756" i="9"/>
  <c r="AM3756" i="9" s="1"/>
  <c r="AN3756" i="9" s="1"/>
  <c r="L3756" i="9"/>
  <c r="K3756" i="9"/>
  <c r="AF3755" i="9"/>
  <c r="AE3755" i="9"/>
  <c r="AB3755" i="9"/>
  <c r="AA3755" i="9"/>
  <c r="V3755" i="9"/>
  <c r="U3755" i="9"/>
  <c r="R3755" i="9"/>
  <c r="Q3755" i="9"/>
  <c r="K3755" i="9"/>
  <c r="L3755" i="9" s="1"/>
  <c r="AF3754" i="9"/>
  <c r="AE3754" i="9"/>
  <c r="AB3754" i="9"/>
  <c r="AA3754" i="9"/>
  <c r="V3754" i="9"/>
  <c r="U3754" i="9"/>
  <c r="R3754" i="9"/>
  <c r="Q3754" i="9"/>
  <c r="K3754" i="9"/>
  <c r="L3754" i="9" s="1"/>
  <c r="AF3753" i="9"/>
  <c r="AE3753" i="9"/>
  <c r="AB3753" i="9"/>
  <c r="AA3753" i="9"/>
  <c r="V3753" i="9"/>
  <c r="U3753" i="9"/>
  <c r="R3753" i="9"/>
  <c r="Q3753" i="9"/>
  <c r="K3753" i="9"/>
  <c r="L3753" i="9" s="1"/>
  <c r="AF3752" i="9"/>
  <c r="AE3752" i="9"/>
  <c r="AB3752" i="9"/>
  <c r="AA3752" i="9"/>
  <c r="V3752" i="9"/>
  <c r="U3752" i="9"/>
  <c r="R3752" i="9"/>
  <c r="Q3752" i="9"/>
  <c r="L3752" i="9"/>
  <c r="K3752" i="9"/>
  <c r="AF3751" i="9"/>
  <c r="AE3751" i="9"/>
  <c r="AB3751" i="9"/>
  <c r="AA3751" i="9"/>
  <c r="V3751" i="9"/>
  <c r="U3751" i="9"/>
  <c r="R3751" i="9"/>
  <c r="Q3751" i="9"/>
  <c r="AM3751" i="9" s="1"/>
  <c r="AN3751" i="9" s="1"/>
  <c r="K3751" i="9"/>
  <c r="L3751" i="9" s="1"/>
  <c r="AF3750" i="9"/>
  <c r="AE3750" i="9"/>
  <c r="AB3750" i="9"/>
  <c r="AA3750" i="9"/>
  <c r="V3750" i="9"/>
  <c r="U3750" i="9"/>
  <c r="R3750" i="9"/>
  <c r="Q3750" i="9"/>
  <c r="AM3750" i="9" s="1"/>
  <c r="AN3750" i="9" s="1"/>
  <c r="K3750" i="9"/>
  <c r="L3750" i="9" s="1"/>
  <c r="AF3749" i="9"/>
  <c r="AE3749" i="9"/>
  <c r="AB3749" i="9"/>
  <c r="AA3749" i="9"/>
  <c r="V3749" i="9"/>
  <c r="U3749" i="9"/>
  <c r="R3749" i="9"/>
  <c r="Q3749" i="9"/>
  <c r="K3749" i="9"/>
  <c r="L3749" i="9" s="1"/>
  <c r="AF3748" i="9"/>
  <c r="AE3748" i="9"/>
  <c r="AB3748" i="9"/>
  <c r="AA3748" i="9"/>
  <c r="V3748" i="9"/>
  <c r="U3748" i="9"/>
  <c r="R3748" i="9"/>
  <c r="Q3748" i="9"/>
  <c r="K3748" i="9"/>
  <c r="L3748" i="9" s="1"/>
  <c r="AF3747" i="9"/>
  <c r="AE3747" i="9"/>
  <c r="AB3747" i="9"/>
  <c r="AA3747" i="9"/>
  <c r="V3747" i="9"/>
  <c r="U3747" i="9"/>
  <c r="R3747" i="9"/>
  <c r="Q3747" i="9"/>
  <c r="AM3747" i="9" s="1"/>
  <c r="AN3747" i="9" s="1"/>
  <c r="K3747" i="9"/>
  <c r="L3747" i="9" s="1"/>
  <c r="AF3746" i="9"/>
  <c r="AE3746" i="9"/>
  <c r="AB3746" i="9"/>
  <c r="AA3746" i="9"/>
  <c r="V3746" i="9"/>
  <c r="U3746" i="9"/>
  <c r="R3746" i="9"/>
  <c r="Q3746" i="9"/>
  <c r="K3746" i="9"/>
  <c r="L3746" i="9" s="1"/>
  <c r="AF3745" i="9"/>
  <c r="AE3745" i="9"/>
  <c r="AB3745" i="9"/>
  <c r="AA3745" i="9"/>
  <c r="V3745" i="9"/>
  <c r="U3745" i="9"/>
  <c r="R3745" i="9"/>
  <c r="Q3745" i="9"/>
  <c r="K3745" i="9"/>
  <c r="L3745" i="9" s="1"/>
  <c r="AF3744" i="9"/>
  <c r="AE3744" i="9"/>
  <c r="AB3744" i="9"/>
  <c r="AA3744" i="9"/>
  <c r="V3744" i="9"/>
  <c r="U3744" i="9"/>
  <c r="R3744" i="9"/>
  <c r="Q3744" i="9"/>
  <c r="L3744" i="9"/>
  <c r="K3744" i="9"/>
  <c r="AF3743" i="9"/>
  <c r="AE3743" i="9"/>
  <c r="AB3743" i="9"/>
  <c r="AA3743" i="9"/>
  <c r="V3743" i="9"/>
  <c r="U3743" i="9"/>
  <c r="R3743" i="9"/>
  <c r="Q3743" i="9"/>
  <c r="K3743" i="9"/>
  <c r="L3743" i="9" s="1"/>
  <c r="AF3742" i="9"/>
  <c r="AE3742" i="9"/>
  <c r="AB3742" i="9"/>
  <c r="AA3742" i="9"/>
  <c r="V3742" i="9"/>
  <c r="U3742" i="9"/>
  <c r="R3742" i="9"/>
  <c r="Q3742" i="9"/>
  <c r="K3742" i="9"/>
  <c r="L3742" i="9" s="1"/>
  <c r="AF3741" i="9"/>
  <c r="AE3741" i="9"/>
  <c r="AB3741" i="9"/>
  <c r="AA3741" i="9"/>
  <c r="V3741" i="9"/>
  <c r="U3741" i="9"/>
  <c r="R3741" i="9"/>
  <c r="Q3741" i="9"/>
  <c r="K3741" i="9"/>
  <c r="L3741" i="9" s="1"/>
  <c r="AF3740" i="9"/>
  <c r="AE3740" i="9"/>
  <c r="AB3740" i="9"/>
  <c r="AA3740" i="9"/>
  <c r="V3740" i="9"/>
  <c r="U3740" i="9"/>
  <c r="R3740" i="9"/>
  <c r="Q3740" i="9"/>
  <c r="AM3740" i="9" s="1"/>
  <c r="AN3740" i="9" s="1"/>
  <c r="K3740" i="9"/>
  <c r="L3740" i="9" s="1"/>
  <c r="AF3739" i="9"/>
  <c r="AK3739" i="9" s="1"/>
  <c r="AL3739" i="9" s="1"/>
  <c r="AE3739" i="9"/>
  <c r="AB3739" i="9"/>
  <c r="AA3739" i="9"/>
  <c r="V3739" i="9"/>
  <c r="U3739" i="9"/>
  <c r="R3739" i="9"/>
  <c r="Q3739" i="9"/>
  <c r="AM3739" i="9" s="1"/>
  <c r="AN3739" i="9" s="1"/>
  <c r="I3739" i="9"/>
  <c r="K3739" i="9" s="1"/>
  <c r="L3739" i="9" s="1"/>
  <c r="AO3738" i="9"/>
  <c r="AF3738" i="9"/>
  <c r="AK3738" i="9" s="1"/>
  <c r="AL3738" i="9" s="1"/>
  <c r="AE3738" i="9"/>
  <c r="AB3738" i="9"/>
  <c r="AA3738" i="9"/>
  <c r="V3738" i="9"/>
  <c r="U3738" i="9"/>
  <c r="R3738" i="9"/>
  <c r="Q3738" i="9"/>
  <c r="K3738" i="9"/>
  <c r="L3738" i="9" s="1"/>
  <c r="AM3737" i="9"/>
  <c r="AN3737" i="9" s="1"/>
  <c r="AF3737" i="9"/>
  <c r="AE3737" i="9"/>
  <c r="AB3737" i="9"/>
  <c r="AA3737" i="9"/>
  <c r="V3737" i="9"/>
  <c r="U3737" i="9"/>
  <c r="R3737" i="9"/>
  <c r="Q3737" i="9"/>
  <c r="K3737" i="9"/>
  <c r="L3737" i="9" s="1"/>
  <c r="J3736" i="9"/>
  <c r="D3736" i="9"/>
  <c r="AF3735" i="9"/>
  <c r="AE3735" i="9"/>
  <c r="AB3735" i="9"/>
  <c r="AA3735" i="9"/>
  <c r="V3735" i="9"/>
  <c r="U3735" i="9"/>
  <c r="R3735" i="9"/>
  <c r="Q3735" i="9"/>
  <c r="L3735" i="9"/>
  <c r="K3735" i="9"/>
  <c r="AF3734" i="9"/>
  <c r="AE3734" i="9"/>
  <c r="AB3734" i="9"/>
  <c r="AA3734" i="9"/>
  <c r="V3734" i="9"/>
  <c r="U3734" i="9"/>
  <c r="R3734" i="9"/>
  <c r="Q3734" i="9"/>
  <c r="L3734" i="9"/>
  <c r="K3734" i="9"/>
  <c r="AF3733" i="9"/>
  <c r="AE3733" i="9"/>
  <c r="AB3733" i="9"/>
  <c r="AA3733" i="9"/>
  <c r="V3733" i="9"/>
  <c r="U3733" i="9"/>
  <c r="R3733" i="9"/>
  <c r="Q3733" i="9"/>
  <c r="K3733" i="9"/>
  <c r="L3733" i="9" s="1"/>
  <c r="AF3732" i="9"/>
  <c r="AE3732" i="9"/>
  <c r="AB3732" i="9"/>
  <c r="AA3732" i="9"/>
  <c r="V3732" i="9"/>
  <c r="U3732" i="9"/>
  <c r="R3732" i="9"/>
  <c r="Q3732" i="9"/>
  <c r="K3732" i="9"/>
  <c r="L3732" i="9" s="1"/>
  <c r="AF3731" i="9"/>
  <c r="AE3731" i="9"/>
  <c r="AB3731" i="9"/>
  <c r="AA3731" i="9"/>
  <c r="V3731" i="9"/>
  <c r="U3731" i="9"/>
  <c r="R3731" i="9"/>
  <c r="Q3731" i="9"/>
  <c r="K3731" i="9"/>
  <c r="L3731" i="9" s="1"/>
  <c r="AM3730" i="9"/>
  <c r="AN3730" i="9" s="1"/>
  <c r="AF3730" i="9"/>
  <c r="AE3730" i="9"/>
  <c r="AB3730" i="9"/>
  <c r="AA3730" i="9"/>
  <c r="V3730" i="9"/>
  <c r="U3730" i="9"/>
  <c r="R3730" i="9"/>
  <c r="Q3730" i="9"/>
  <c r="K3730" i="9"/>
  <c r="L3730" i="9" s="1"/>
  <c r="AF3729" i="9"/>
  <c r="AE3729" i="9"/>
  <c r="AB3729" i="9"/>
  <c r="AA3729" i="9"/>
  <c r="V3729" i="9"/>
  <c r="U3729" i="9"/>
  <c r="R3729" i="9"/>
  <c r="Q3729" i="9"/>
  <c r="K3729" i="9"/>
  <c r="L3729" i="9" s="1"/>
  <c r="AF3728" i="9"/>
  <c r="AE3728" i="9"/>
  <c r="AB3728" i="9"/>
  <c r="AA3728" i="9"/>
  <c r="V3728" i="9"/>
  <c r="U3728" i="9"/>
  <c r="R3728" i="9"/>
  <c r="Q3728" i="9"/>
  <c r="K3728" i="9"/>
  <c r="L3728" i="9" s="1"/>
  <c r="AF3727" i="9"/>
  <c r="AE3727" i="9"/>
  <c r="AB3727" i="9"/>
  <c r="AA3727" i="9"/>
  <c r="V3727" i="9"/>
  <c r="U3727" i="9"/>
  <c r="R3727" i="9"/>
  <c r="Q3727" i="9"/>
  <c r="L3727" i="9"/>
  <c r="K3727" i="9"/>
  <c r="AF3726" i="9"/>
  <c r="AE3726" i="9"/>
  <c r="AB3726" i="9"/>
  <c r="AA3726" i="9"/>
  <c r="V3726" i="9"/>
  <c r="U3726" i="9"/>
  <c r="R3726" i="9"/>
  <c r="Q3726" i="9"/>
  <c r="K3726" i="9"/>
  <c r="L3726" i="9" s="1"/>
  <c r="AF3725" i="9"/>
  <c r="AE3725" i="9"/>
  <c r="AB3725" i="9"/>
  <c r="AA3725" i="9"/>
  <c r="V3725" i="9"/>
  <c r="U3725" i="9"/>
  <c r="R3725" i="9"/>
  <c r="Q3725" i="9"/>
  <c r="K3725" i="9"/>
  <c r="L3725" i="9" s="1"/>
  <c r="AF3724" i="9"/>
  <c r="AE3724" i="9"/>
  <c r="AB3724" i="9"/>
  <c r="AA3724" i="9"/>
  <c r="V3724" i="9"/>
  <c r="U3724" i="9"/>
  <c r="AM3724" i="9" s="1"/>
  <c r="AN3724" i="9" s="1"/>
  <c r="R3724" i="9"/>
  <c r="Q3724" i="9"/>
  <c r="K3724" i="9"/>
  <c r="L3724" i="9" s="1"/>
  <c r="AF3723" i="9"/>
  <c r="AE3723" i="9"/>
  <c r="AB3723" i="9"/>
  <c r="AA3723" i="9"/>
  <c r="V3723" i="9"/>
  <c r="U3723" i="9"/>
  <c r="R3723" i="9"/>
  <c r="Q3723" i="9"/>
  <c r="K3723" i="9"/>
  <c r="L3723" i="9" s="1"/>
  <c r="AK3722" i="9"/>
  <c r="AL3722" i="9" s="1"/>
  <c r="AF3722" i="9"/>
  <c r="AE3722" i="9"/>
  <c r="AB3722" i="9"/>
  <c r="AA3722" i="9"/>
  <c r="V3722" i="9"/>
  <c r="U3722" i="9"/>
  <c r="R3722" i="9"/>
  <c r="Q3722" i="9"/>
  <c r="L3722" i="9"/>
  <c r="K3722" i="9"/>
  <c r="AF3721" i="9"/>
  <c r="AK3721" i="9" s="1"/>
  <c r="AL3721" i="9" s="1"/>
  <c r="AE3721" i="9"/>
  <c r="AM3721" i="9" s="1"/>
  <c r="AN3721" i="9" s="1"/>
  <c r="AB3721" i="9"/>
  <c r="AA3721" i="9"/>
  <c r="V3721" i="9"/>
  <c r="U3721" i="9"/>
  <c r="R3721" i="9"/>
  <c r="Q3721" i="9"/>
  <c r="K3721" i="9"/>
  <c r="L3721" i="9" s="1"/>
  <c r="AF3720" i="9"/>
  <c r="AK3720" i="9" s="1"/>
  <c r="AL3720" i="9" s="1"/>
  <c r="AE3720" i="9"/>
  <c r="AB3720" i="9"/>
  <c r="AA3720" i="9"/>
  <c r="V3720" i="9"/>
  <c r="U3720" i="9"/>
  <c r="R3720" i="9"/>
  <c r="Q3720" i="9"/>
  <c r="K3720" i="9"/>
  <c r="L3720" i="9" s="1"/>
  <c r="AM3719" i="9"/>
  <c r="AN3719" i="9" s="1"/>
  <c r="AF3719" i="9"/>
  <c r="AB3719" i="9"/>
  <c r="V3719" i="9"/>
  <c r="R3719" i="9"/>
  <c r="K3719" i="9"/>
  <c r="AM3718" i="9"/>
  <c r="AN3718" i="9" s="1"/>
  <c r="AF3718" i="9"/>
  <c r="AB3718" i="9"/>
  <c r="V3718" i="9"/>
  <c r="R3718" i="9"/>
  <c r="K3718" i="9"/>
  <c r="AM3717" i="9"/>
  <c r="AN3717" i="9" s="1"/>
  <c r="AF3717" i="9"/>
  <c r="AB3717" i="9"/>
  <c r="V3717" i="9"/>
  <c r="R3717" i="9"/>
  <c r="K3717" i="9"/>
  <c r="AM3716" i="9"/>
  <c r="AN3716" i="9" s="1"/>
  <c r="AF3716" i="9"/>
  <c r="AB3716" i="9"/>
  <c r="V3716" i="9"/>
  <c r="R3716" i="9"/>
  <c r="I3716" i="9"/>
  <c r="K3716" i="9" s="1"/>
  <c r="L3716" i="9" s="1"/>
  <c r="AF3715" i="9"/>
  <c r="AE3715" i="9"/>
  <c r="AB3715" i="9"/>
  <c r="AK3715" i="9" s="1"/>
  <c r="AL3715" i="9" s="1"/>
  <c r="AA3715" i="9"/>
  <c r="V3715" i="9"/>
  <c r="U3715" i="9"/>
  <c r="R3715" i="9"/>
  <c r="Q3715" i="9"/>
  <c r="K3715" i="9"/>
  <c r="L3715" i="9" s="1"/>
  <c r="I3715" i="9"/>
  <c r="AF3714" i="9"/>
  <c r="AE3714" i="9"/>
  <c r="AB3714" i="9"/>
  <c r="AA3714" i="9"/>
  <c r="V3714" i="9"/>
  <c r="U3714" i="9"/>
  <c r="R3714" i="9"/>
  <c r="Q3714" i="9"/>
  <c r="I3714" i="9"/>
  <c r="K3714" i="9" s="1"/>
  <c r="L3714" i="9" s="1"/>
  <c r="AM3713" i="9"/>
  <c r="AN3713" i="9" s="1"/>
  <c r="AF3713" i="9"/>
  <c r="AB3713" i="9"/>
  <c r="V3713" i="9"/>
  <c r="R3713" i="9"/>
  <c r="AK3713" i="9" s="1"/>
  <c r="AL3713" i="9" s="1"/>
  <c r="I3713" i="9"/>
  <c r="K3713" i="9" s="1"/>
  <c r="L3713" i="9" s="1"/>
  <c r="AM3712" i="9"/>
  <c r="AN3712" i="9" s="1"/>
  <c r="AF3712" i="9"/>
  <c r="AB3712" i="9"/>
  <c r="V3712" i="9"/>
  <c r="R3712" i="9"/>
  <c r="I3712" i="9"/>
  <c r="K3712" i="9" s="1"/>
  <c r="L3712" i="9" s="1"/>
  <c r="AM3711" i="9"/>
  <c r="AN3711" i="9" s="1"/>
  <c r="AF3711" i="9"/>
  <c r="AB3711" i="9"/>
  <c r="V3711" i="9"/>
  <c r="R3711" i="9"/>
  <c r="AK3711" i="9" s="1"/>
  <c r="AL3711" i="9" s="1"/>
  <c r="I3711" i="9"/>
  <c r="K3711" i="9" s="1"/>
  <c r="L3711" i="9" s="1"/>
  <c r="AM3710" i="9"/>
  <c r="AN3710" i="9" s="1"/>
  <c r="AF3710" i="9"/>
  <c r="AB3710" i="9"/>
  <c r="V3710" i="9"/>
  <c r="R3710" i="9"/>
  <c r="K3710" i="9"/>
  <c r="L3710" i="9" s="1"/>
  <c r="I3710" i="9"/>
  <c r="AN3709" i="9"/>
  <c r="AM3709" i="9"/>
  <c r="AF3709" i="9"/>
  <c r="AB3709" i="9"/>
  <c r="V3709" i="9"/>
  <c r="R3709" i="9"/>
  <c r="I3709" i="9"/>
  <c r="K3709" i="9" s="1"/>
  <c r="L3709" i="9" s="1"/>
  <c r="AE3708" i="9"/>
  <c r="Q3708" i="9"/>
  <c r="J3708" i="9"/>
  <c r="D3708" i="9"/>
  <c r="AM3707" i="9"/>
  <c r="AN3707" i="9" s="1"/>
  <c r="AF3707" i="9"/>
  <c r="AB3707" i="9"/>
  <c r="V3707" i="9"/>
  <c r="R3707" i="9"/>
  <c r="I3707" i="9"/>
  <c r="K3707" i="9" s="1"/>
  <c r="L3707" i="9" s="1"/>
  <c r="AM3706" i="9"/>
  <c r="AN3706" i="9" s="1"/>
  <c r="AF3706" i="9"/>
  <c r="AB3706" i="9"/>
  <c r="V3706" i="9"/>
  <c r="R3706" i="9"/>
  <c r="I3706" i="9"/>
  <c r="K3706" i="9" s="1"/>
  <c r="L3706" i="9" s="1"/>
  <c r="AM3705" i="9"/>
  <c r="AN3705" i="9" s="1"/>
  <c r="AF3705" i="9"/>
  <c r="AB3705" i="9"/>
  <c r="V3705" i="9"/>
  <c r="R3705" i="9"/>
  <c r="I3705" i="9"/>
  <c r="K3705" i="9" s="1"/>
  <c r="L3705" i="9" s="1"/>
  <c r="AN3704" i="9"/>
  <c r="AM3704" i="9"/>
  <c r="AK3704" i="9"/>
  <c r="AL3704" i="9" s="1"/>
  <c r="AF3704" i="9"/>
  <c r="AB3704" i="9"/>
  <c r="V3704" i="9"/>
  <c r="R3704" i="9"/>
  <c r="I3704" i="9"/>
  <c r="K3704" i="9" s="1"/>
  <c r="L3704" i="9" s="1"/>
  <c r="AF3703" i="9"/>
  <c r="AE3703" i="9"/>
  <c r="AB3703" i="9"/>
  <c r="AA3703" i="9"/>
  <c r="V3703" i="9"/>
  <c r="U3703" i="9"/>
  <c r="R3703" i="9"/>
  <c r="AK3703" i="9" s="1"/>
  <c r="AL3703" i="9" s="1"/>
  <c r="Q3703" i="9"/>
  <c r="I3703" i="9"/>
  <c r="K3703" i="9" s="1"/>
  <c r="L3703" i="9" s="1"/>
  <c r="AF3702" i="9"/>
  <c r="AE3702" i="9"/>
  <c r="AB3702" i="9"/>
  <c r="AA3702" i="9"/>
  <c r="V3702" i="9"/>
  <c r="U3702" i="9"/>
  <c r="R3702" i="9"/>
  <c r="Q3702" i="9"/>
  <c r="I3702" i="9"/>
  <c r="K3702" i="9" s="1"/>
  <c r="L3702" i="9" s="1"/>
  <c r="AM3701" i="9"/>
  <c r="AN3701" i="9" s="1"/>
  <c r="AF3701" i="9"/>
  <c r="AB3701" i="9"/>
  <c r="V3701" i="9"/>
  <c r="R3701" i="9"/>
  <c r="AK3701" i="9" s="1"/>
  <c r="AL3701" i="9" s="1"/>
  <c r="I3701" i="9"/>
  <c r="K3701" i="9" s="1"/>
  <c r="L3701" i="9" s="1"/>
  <c r="AF3700" i="9"/>
  <c r="AE3700" i="9"/>
  <c r="AB3700" i="9"/>
  <c r="AA3700" i="9"/>
  <c r="V3700" i="9"/>
  <c r="U3700" i="9"/>
  <c r="R3700" i="9"/>
  <c r="Q3700" i="9"/>
  <c r="L3700" i="9"/>
  <c r="I3700" i="9"/>
  <c r="K3700" i="9" s="1"/>
  <c r="AF3699" i="9"/>
  <c r="AE3699" i="9"/>
  <c r="AB3699" i="9"/>
  <c r="AA3699" i="9"/>
  <c r="V3699" i="9"/>
  <c r="U3699" i="9"/>
  <c r="R3699" i="9"/>
  <c r="Q3699" i="9"/>
  <c r="L3699" i="9"/>
  <c r="I3699" i="9"/>
  <c r="K3699" i="9" s="1"/>
  <c r="AM3698" i="9"/>
  <c r="AN3698" i="9" s="1"/>
  <c r="AF3698" i="9"/>
  <c r="AB3698" i="9"/>
  <c r="V3698" i="9"/>
  <c r="R3698" i="9"/>
  <c r="K3698" i="9"/>
  <c r="L3698" i="9" s="1"/>
  <c r="I3698" i="9"/>
  <c r="AF3697" i="9"/>
  <c r="AE3697" i="9"/>
  <c r="AB3697" i="9"/>
  <c r="AA3697" i="9"/>
  <c r="V3697" i="9"/>
  <c r="U3697" i="9"/>
  <c r="R3697" i="9"/>
  <c r="Q3697" i="9"/>
  <c r="I3697" i="9"/>
  <c r="K3697" i="9" s="1"/>
  <c r="L3697" i="9" s="1"/>
  <c r="AF3696" i="9"/>
  <c r="AE3696" i="9"/>
  <c r="AB3696" i="9"/>
  <c r="AA3696" i="9"/>
  <c r="V3696" i="9"/>
  <c r="U3696" i="9"/>
  <c r="R3696" i="9"/>
  <c r="Q3696" i="9"/>
  <c r="I3696" i="9"/>
  <c r="K3696" i="9" s="1"/>
  <c r="L3696" i="9" s="1"/>
  <c r="AF3695" i="9"/>
  <c r="AK3695" i="9" s="1"/>
  <c r="AL3695" i="9" s="1"/>
  <c r="AE3695" i="9"/>
  <c r="AB3695" i="9"/>
  <c r="AA3695" i="9"/>
  <c r="V3695" i="9"/>
  <c r="U3695" i="9"/>
  <c r="R3695" i="9"/>
  <c r="Q3695" i="9"/>
  <c r="K3695" i="9"/>
  <c r="L3695" i="9" s="1"/>
  <c r="AM3694" i="9"/>
  <c r="AN3694" i="9" s="1"/>
  <c r="AF3694" i="9"/>
  <c r="AB3694" i="9"/>
  <c r="V3694" i="9"/>
  <c r="R3694" i="9"/>
  <c r="K3694" i="9"/>
  <c r="L3694" i="9" s="1"/>
  <c r="AO3693" i="9"/>
  <c r="AF3693" i="9"/>
  <c r="AE3693" i="9"/>
  <c r="AB3693" i="9"/>
  <c r="AA3693" i="9"/>
  <c r="V3693" i="9"/>
  <c r="U3693" i="9"/>
  <c r="R3693" i="9"/>
  <c r="Q3693" i="9"/>
  <c r="K3693" i="9"/>
  <c r="L3693" i="9" s="1"/>
  <c r="AN3692" i="9"/>
  <c r="AM3692" i="9"/>
  <c r="AF3692" i="9"/>
  <c r="AB3692" i="9"/>
  <c r="V3692" i="9"/>
  <c r="R3692" i="9"/>
  <c r="K3692" i="9"/>
  <c r="L3692" i="9" s="1"/>
  <c r="I3692" i="9"/>
  <c r="AM3691" i="9"/>
  <c r="V3691" i="9"/>
  <c r="J3691" i="9"/>
  <c r="AO3686" i="9" s="1"/>
  <c r="D3691" i="9"/>
  <c r="AN3691" i="9" s="1"/>
  <c r="AN3690" i="9"/>
  <c r="AM3690" i="9"/>
  <c r="AF3690" i="9"/>
  <c r="AB3690" i="9"/>
  <c r="V3690" i="9"/>
  <c r="R3690" i="9"/>
  <c r="K3690" i="9"/>
  <c r="L3690" i="9" s="1"/>
  <c r="I3690" i="9"/>
  <c r="AM3689" i="9"/>
  <c r="AN3689" i="9" s="1"/>
  <c r="AF3689" i="9"/>
  <c r="AB3689" i="9"/>
  <c r="V3689" i="9"/>
  <c r="R3689" i="9"/>
  <c r="I3689" i="9"/>
  <c r="K3689" i="9" s="1"/>
  <c r="L3689" i="9" s="1"/>
  <c r="AM3688" i="9"/>
  <c r="AN3688" i="9" s="1"/>
  <c r="AF3688" i="9"/>
  <c r="AB3688" i="9"/>
  <c r="V3688" i="9"/>
  <c r="R3688" i="9"/>
  <c r="L3688" i="9"/>
  <c r="I3688" i="9"/>
  <c r="K3688" i="9" s="1"/>
  <c r="AF3687" i="9"/>
  <c r="AE3687" i="9"/>
  <c r="AB3687" i="9"/>
  <c r="AA3687" i="9"/>
  <c r="V3687" i="9"/>
  <c r="U3687" i="9"/>
  <c r="R3687" i="9"/>
  <c r="Q3687" i="9"/>
  <c r="I3687" i="9"/>
  <c r="K3687" i="9" s="1"/>
  <c r="L3687" i="9" s="1"/>
  <c r="AF3686" i="9"/>
  <c r="AE3686" i="9"/>
  <c r="AB3686" i="9"/>
  <c r="AA3686" i="9"/>
  <c r="V3686" i="9"/>
  <c r="U3686" i="9"/>
  <c r="R3686" i="9"/>
  <c r="Q3686" i="9"/>
  <c r="K3686" i="9"/>
  <c r="L3686" i="9" s="1"/>
  <c r="AF3685" i="9"/>
  <c r="AE3685" i="9"/>
  <c r="AB3685" i="9"/>
  <c r="AA3685" i="9"/>
  <c r="V3685" i="9"/>
  <c r="U3685" i="9"/>
  <c r="R3685" i="9"/>
  <c r="Q3685" i="9"/>
  <c r="K3685" i="9"/>
  <c r="L3685" i="9" s="1"/>
  <c r="AF3684" i="9"/>
  <c r="AE3684" i="9"/>
  <c r="AB3684" i="9"/>
  <c r="AA3684" i="9"/>
  <c r="V3684" i="9"/>
  <c r="U3684" i="9"/>
  <c r="R3684" i="9"/>
  <c r="AK3684" i="9" s="1"/>
  <c r="AL3684" i="9" s="1"/>
  <c r="Q3684" i="9"/>
  <c r="L3684" i="9"/>
  <c r="K3684" i="9"/>
  <c r="AF3683" i="9"/>
  <c r="AE3683" i="9"/>
  <c r="AB3683" i="9"/>
  <c r="AA3683" i="9"/>
  <c r="V3683" i="9"/>
  <c r="U3683" i="9"/>
  <c r="R3683" i="9"/>
  <c r="Q3683" i="9"/>
  <c r="K3683" i="9"/>
  <c r="L3683" i="9" s="1"/>
  <c r="AM3682" i="9"/>
  <c r="AN3682" i="9" s="1"/>
  <c r="AF3682" i="9"/>
  <c r="AB3682" i="9"/>
  <c r="V3682" i="9"/>
  <c r="R3682" i="9"/>
  <c r="AK3682" i="9" s="1"/>
  <c r="AL3682" i="9" s="1"/>
  <c r="K3682" i="9"/>
  <c r="L3682" i="9" s="1"/>
  <c r="AO3681" i="9"/>
  <c r="AF3681" i="9"/>
  <c r="AE3681" i="9"/>
  <c r="AB3681" i="9"/>
  <c r="AA3681" i="9"/>
  <c r="V3681" i="9"/>
  <c r="AK3681" i="9" s="1"/>
  <c r="AL3681" i="9" s="1"/>
  <c r="U3681" i="9"/>
  <c r="R3681" i="9"/>
  <c r="Q3681" i="9"/>
  <c r="L3681" i="9"/>
  <c r="K3681" i="9"/>
  <c r="AF3680" i="9"/>
  <c r="AE3680" i="9"/>
  <c r="AB3680" i="9"/>
  <c r="AA3680" i="9"/>
  <c r="V3680" i="9"/>
  <c r="U3680" i="9"/>
  <c r="R3680" i="9"/>
  <c r="AK3680" i="9" s="1"/>
  <c r="AL3680" i="9" s="1"/>
  <c r="Q3680" i="9"/>
  <c r="K3680" i="9"/>
  <c r="L3680" i="9" s="1"/>
  <c r="AF3679" i="9"/>
  <c r="AE3679" i="9"/>
  <c r="AB3679" i="9"/>
  <c r="AA3679" i="9"/>
  <c r="V3679" i="9"/>
  <c r="U3679" i="9"/>
  <c r="R3679" i="9"/>
  <c r="Q3679" i="9"/>
  <c r="I3679" i="9"/>
  <c r="K3679" i="9" s="1"/>
  <c r="L3679" i="9" s="1"/>
  <c r="AM3678" i="9"/>
  <c r="AN3678" i="9" s="1"/>
  <c r="AF3678" i="9"/>
  <c r="AB3678" i="9"/>
  <c r="V3678" i="9"/>
  <c r="R3678" i="9"/>
  <c r="I3678" i="9"/>
  <c r="K3678" i="9" s="1"/>
  <c r="L3678" i="9" s="1"/>
  <c r="AM3677" i="9"/>
  <c r="J3677" i="9"/>
  <c r="D3677" i="9"/>
  <c r="AM3676" i="9"/>
  <c r="AN3676" i="9" s="1"/>
  <c r="AF3676" i="9"/>
  <c r="AB3676" i="9"/>
  <c r="V3676" i="9"/>
  <c r="R3676" i="9"/>
  <c r="K3676" i="9"/>
  <c r="L3676" i="9" s="1"/>
  <c r="I3676" i="9"/>
  <c r="AM3675" i="9"/>
  <c r="AN3675" i="9" s="1"/>
  <c r="AF3675" i="9"/>
  <c r="AB3675" i="9"/>
  <c r="V3675" i="9"/>
  <c r="R3675" i="9"/>
  <c r="I3675" i="9"/>
  <c r="K3675" i="9" s="1"/>
  <c r="L3675" i="9" s="1"/>
  <c r="AM3674" i="9"/>
  <c r="AN3674" i="9" s="1"/>
  <c r="AF3674" i="9"/>
  <c r="AB3674" i="9"/>
  <c r="V3674" i="9"/>
  <c r="R3674" i="9"/>
  <c r="AK3674" i="9" s="1"/>
  <c r="AL3674" i="9" s="1"/>
  <c r="I3674" i="9"/>
  <c r="K3674" i="9" s="1"/>
  <c r="L3674" i="9" s="1"/>
  <c r="AK3673" i="9"/>
  <c r="AL3673" i="9" s="1"/>
  <c r="AF3673" i="9"/>
  <c r="AE3673" i="9"/>
  <c r="AB3673" i="9"/>
  <c r="AA3673" i="9"/>
  <c r="AM3673" i="9" s="1"/>
  <c r="AN3673" i="9" s="1"/>
  <c r="V3673" i="9"/>
  <c r="U3673" i="9"/>
  <c r="R3673" i="9"/>
  <c r="Q3673" i="9"/>
  <c r="L3673" i="9"/>
  <c r="K3673" i="9"/>
  <c r="AF3672" i="9"/>
  <c r="AE3672" i="9"/>
  <c r="AB3672" i="9"/>
  <c r="AA3672" i="9"/>
  <c r="V3672" i="9"/>
  <c r="U3672" i="9"/>
  <c r="R3672" i="9"/>
  <c r="Q3672" i="9"/>
  <c r="K3672" i="9"/>
  <c r="L3672" i="9" s="1"/>
  <c r="AF3671" i="9"/>
  <c r="AE3671" i="9"/>
  <c r="AB3671" i="9"/>
  <c r="AA3671" i="9"/>
  <c r="V3671" i="9"/>
  <c r="U3671" i="9"/>
  <c r="R3671" i="9"/>
  <c r="Q3671" i="9"/>
  <c r="L3671" i="9"/>
  <c r="K3671" i="9"/>
  <c r="AF3670" i="9"/>
  <c r="AE3670" i="9"/>
  <c r="AB3670" i="9"/>
  <c r="AA3670" i="9"/>
  <c r="V3670" i="9"/>
  <c r="U3670" i="9"/>
  <c r="R3670" i="9"/>
  <c r="Q3670" i="9"/>
  <c r="K3670" i="9"/>
  <c r="L3670" i="9" s="1"/>
  <c r="AF3669" i="9"/>
  <c r="AE3669" i="9"/>
  <c r="AB3669" i="9"/>
  <c r="AA3669" i="9"/>
  <c r="V3669" i="9"/>
  <c r="U3669" i="9"/>
  <c r="R3669" i="9"/>
  <c r="Q3669" i="9"/>
  <c r="L3669" i="9"/>
  <c r="K3669" i="9"/>
  <c r="AF3668" i="9"/>
  <c r="AE3668" i="9"/>
  <c r="AB3668" i="9"/>
  <c r="AA3668" i="9"/>
  <c r="V3668" i="9"/>
  <c r="U3668" i="9"/>
  <c r="R3668" i="9"/>
  <c r="AK3668" i="9" s="1"/>
  <c r="AL3668" i="9" s="1"/>
  <c r="Q3668" i="9"/>
  <c r="K3668" i="9"/>
  <c r="L3668" i="9" s="1"/>
  <c r="AN3667" i="9"/>
  <c r="AM3667" i="9"/>
  <c r="J3667" i="9"/>
  <c r="R3667" i="9" s="1"/>
  <c r="D3667" i="9"/>
  <c r="AM3666" i="9"/>
  <c r="J3666" i="9"/>
  <c r="D3666" i="9"/>
  <c r="AM3665" i="9"/>
  <c r="AN3665" i="9" s="1"/>
  <c r="AF3665" i="9"/>
  <c r="AB3665" i="9"/>
  <c r="V3665" i="9"/>
  <c r="R3665" i="9"/>
  <c r="K3665" i="9"/>
  <c r="L3665" i="9" s="1"/>
  <c r="I3665" i="9"/>
  <c r="AF3664" i="9"/>
  <c r="AE3664" i="9"/>
  <c r="AB3664" i="9"/>
  <c r="AA3664" i="9"/>
  <c r="V3664" i="9"/>
  <c r="U3664" i="9"/>
  <c r="R3664" i="9"/>
  <c r="Q3664" i="9"/>
  <c r="L3664" i="9"/>
  <c r="K3664" i="9"/>
  <c r="AF3663" i="9"/>
  <c r="AE3663" i="9"/>
  <c r="AB3663" i="9"/>
  <c r="AA3663" i="9"/>
  <c r="V3663" i="9"/>
  <c r="U3663" i="9"/>
  <c r="R3663" i="9"/>
  <c r="Q3663" i="9"/>
  <c r="K3663" i="9"/>
  <c r="L3663" i="9" s="1"/>
  <c r="AF3662" i="9"/>
  <c r="AE3662" i="9"/>
  <c r="AB3662" i="9"/>
  <c r="AA3662" i="9"/>
  <c r="V3662" i="9"/>
  <c r="U3662" i="9"/>
  <c r="R3662" i="9"/>
  <c r="Q3662" i="9"/>
  <c r="K3662" i="9"/>
  <c r="L3662" i="9" s="1"/>
  <c r="AF3661" i="9"/>
  <c r="AE3661" i="9"/>
  <c r="AB3661" i="9"/>
  <c r="AA3661" i="9"/>
  <c r="V3661" i="9"/>
  <c r="U3661" i="9"/>
  <c r="R3661" i="9"/>
  <c r="Q3661" i="9"/>
  <c r="L3661" i="9"/>
  <c r="K3661" i="9"/>
  <c r="AF3660" i="9"/>
  <c r="AE3660" i="9"/>
  <c r="AB3660" i="9"/>
  <c r="AA3660" i="9"/>
  <c r="V3660" i="9"/>
  <c r="U3660" i="9"/>
  <c r="R3660" i="9"/>
  <c r="Q3660" i="9"/>
  <c r="K3660" i="9"/>
  <c r="L3660" i="9" s="1"/>
  <c r="AF3659" i="9"/>
  <c r="AE3659" i="9"/>
  <c r="AB3659" i="9"/>
  <c r="AA3659" i="9"/>
  <c r="V3659" i="9"/>
  <c r="U3659" i="9"/>
  <c r="R3659" i="9"/>
  <c r="Q3659" i="9"/>
  <c r="K3659" i="9"/>
  <c r="L3659" i="9" s="1"/>
  <c r="AN3658" i="9"/>
  <c r="AM3658" i="9"/>
  <c r="AF3658" i="9"/>
  <c r="AB3658" i="9"/>
  <c r="V3658" i="9"/>
  <c r="R3658" i="9"/>
  <c r="I3658" i="9"/>
  <c r="K3658" i="9" s="1"/>
  <c r="L3658" i="9" s="1"/>
  <c r="AO3657" i="9"/>
  <c r="AF3657" i="9"/>
  <c r="AE3657" i="9"/>
  <c r="AB3657" i="9"/>
  <c r="AA3657" i="9"/>
  <c r="V3657" i="9"/>
  <c r="U3657" i="9"/>
  <c r="R3657" i="9"/>
  <c r="AK3657" i="9" s="1"/>
  <c r="AL3657" i="9" s="1"/>
  <c r="Q3657" i="9"/>
  <c r="AM3657" i="9" s="1"/>
  <c r="AN3657" i="9" s="1"/>
  <c r="K3657" i="9"/>
  <c r="L3657" i="9" s="1"/>
  <c r="AN3656" i="9"/>
  <c r="AM3656" i="9"/>
  <c r="AF3656" i="9"/>
  <c r="AB3656" i="9"/>
  <c r="V3656" i="9"/>
  <c r="R3656" i="9"/>
  <c r="K3656" i="9"/>
  <c r="L3656" i="9" s="1"/>
  <c r="I3656" i="9"/>
  <c r="AM3655" i="9"/>
  <c r="AN3655" i="9" s="1"/>
  <c r="AF3655" i="9"/>
  <c r="AB3655" i="9"/>
  <c r="V3655" i="9"/>
  <c r="R3655" i="9"/>
  <c r="I3655" i="9"/>
  <c r="K3655" i="9" s="1"/>
  <c r="L3655" i="9" s="1"/>
  <c r="AN3654" i="9"/>
  <c r="AM3654" i="9"/>
  <c r="AF3654" i="9"/>
  <c r="AB3654" i="9"/>
  <c r="V3654" i="9"/>
  <c r="R3654" i="9"/>
  <c r="K3654" i="9"/>
  <c r="L3654" i="9" s="1"/>
  <c r="I3654" i="9"/>
  <c r="AM3653" i="9"/>
  <c r="AN3653" i="9" s="1"/>
  <c r="AF3653" i="9"/>
  <c r="J3653" i="9"/>
  <c r="AO3652" i="9" s="1"/>
  <c r="AF3652" i="9"/>
  <c r="AE3652" i="9"/>
  <c r="AB3652" i="9"/>
  <c r="AA3652" i="9"/>
  <c r="V3652" i="9"/>
  <c r="U3652" i="9"/>
  <c r="R3652" i="9"/>
  <c r="Q3652" i="9"/>
  <c r="K3652" i="9"/>
  <c r="L3652" i="9" s="1"/>
  <c r="AM3651" i="9"/>
  <c r="AN3651" i="9" s="1"/>
  <c r="AF3651" i="9"/>
  <c r="AK3651" i="9" s="1"/>
  <c r="AL3651" i="9" s="1"/>
  <c r="AB3651" i="9"/>
  <c r="V3651" i="9"/>
  <c r="R3651" i="9"/>
  <c r="I3651" i="9"/>
  <c r="K3651" i="9" s="1"/>
  <c r="L3651" i="9" s="1"/>
  <c r="AM3650" i="9"/>
  <c r="AN3650" i="9" s="1"/>
  <c r="AF3650" i="9"/>
  <c r="AB3650" i="9"/>
  <c r="V3650" i="9"/>
  <c r="R3650" i="9"/>
  <c r="I3650" i="9"/>
  <c r="K3650" i="9" s="1"/>
  <c r="L3650" i="9" s="1"/>
  <c r="AO3649" i="9"/>
  <c r="AF3649" i="9"/>
  <c r="AE3649" i="9"/>
  <c r="AB3649" i="9"/>
  <c r="AA3649" i="9"/>
  <c r="V3649" i="9"/>
  <c r="U3649" i="9"/>
  <c r="R3649" i="9"/>
  <c r="Q3649" i="9"/>
  <c r="K3649" i="9"/>
  <c r="L3649" i="9" s="1"/>
  <c r="AF3648" i="9"/>
  <c r="AE3648" i="9"/>
  <c r="AB3648" i="9"/>
  <c r="AA3648" i="9"/>
  <c r="V3648" i="9"/>
  <c r="U3648" i="9"/>
  <c r="R3648" i="9"/>
  <c r="Q3648" i="9"/>
  <c r="K3648" i="9"/>
  <c r="L3648" i="9" s="1"/>
  <c r="AF3647" i="9"/>
  <c r="AE3647" i="9"/>
  <c r="AB3647" i="9"/>
  <c r="AA3647" i="9"/>
  <c r="V3647" i="9"/>
  <c r="U3647" i="9"/>
  <c r="R3647" i="9"/>
  <c r="Q3647" i="9"/>
  <c r="K3647" i="9"/>
  <c r="L3647" i="9" s="1"/>
  <c r="AF3646" i="9"/>
  <c r="AE3646" i="9"/>
  <c r="AM3646" i="9" s="1"/>
  <c r="AN3646" i="9" s="1"/>
  <c r="AB3646" i="9"/>
  <c r="AA3646" i="9"/>
  <c r="V3646" i="9"/>
  <c r="U3646" i="9"/>
  <c r="R3646" i="9"/>
  <c r="Q3646" i="9"/>
  <c r="I3646" i="9"/>
  <c r="K3646" i="9" s="1"/>
  <c r="L3646" i="9" s="1"/>
  <c r="AF3645" i="9"/>
  <c r="AE3645" i="9"/>
  <c r="AB3645" i="9"/>
  <c r="AA3645" i="9"/>
  <c r="V3645" i="9"/>
  <c r="U3645" i="9"/>
  <c r="R3645" i="9"/>
  <c r="Q3645" i="9"/>
  <c r="K3645" i="9"/>
  <c r="L3645" i="9" s="1"/>
  <c r="I3645" i="9"/>
  <c r="AO3644" i="9"/>
  <c r="AF3644" i="9"/>
  <c r="AE3644" i="9"/>
  <c r="AB3644" i="9"/>
  <c r="AA3644" i="9"/>
  <c r="V3644" i="9"/>
  <c r="U3644" i="9"/>
  <c r="R3644" i="9"/>
  <c r="Q3644" i="9"/>
  <c r="L3644" i="9"/>
  <c r="K3644" i="9"/>
  <c r="AF3643" i="9"/>
  <c r="AE3643" i="9"/>
  <c r="AB3643" i="9"/>
  <c r="AA3643" i="9"/>
  <c r="V3643" i="9"/>
  <c r="U3643" i="9"/>
  <c r="R3643" i="9"/>
  <c r="Q3643" i="9"/>
  <c r="K3643" i="9"/>
  <c r="L3643" i="9" s="1"/>
  <c r="AF3642" i="9"/>
  <c r="AE3642" i="9"/>
  <c r="AB3642" i="9"/>
  <c r="AA3642" i="9"/>
  <c r="V3642" i="9"/>
  <c r="U3642" i="9"/>
  <c r="R3642" i="9"/>
  <c r="Q3642" i="9"/>
  <c r="L3642" i="9"/>
  <c r="K3642" i="9"/>
  <c r="AF3641" i="9"/>
  <c r="AE3641" i="9"/>
  <c r="AB3641" i="9"/>
  <c r="AA3641" i="9"/>
  <c r="V3641" i="9"/>
  <c r="U3641" i="9"/>
  <c r="R3641" i="9"/>
  <c r="Q3641" i="9"/>
  <c r="K3641" i="9"/>
  <c r="L3641" i="9" s="1"/>
  <c r="AF3640" i="9"/>
  <c r="AE3640" i="9"/>
  <c r="AB3640" i="9"/>
  <c r="AA3640" i="9"/>
  <c r="V3640" i="9"/>
  <c r="AK3640" i="9" s="1"/>
  <c r="AL3640" i="9" s="1"/>
  <c r="U3640" i="9"/>
  <c r="R3640" i="9"/>
  <c r="Q3640" i="9"/>
  <c r="K3640" i="9"/>
  <c r="L3640" i="9" s="1"/>
  <c r="AF3639" i="9"/>
  <c r="AE3639" i="9"/>
  <c r="AB3639" i="9"/>
  <c r="AA3639" i="9"/>
  <c r="V3639" i="9"/>
  <c r="U3639" i="9"/>
  <c r="R3639" i="9"/>
  <c r="Q3639" i="9"/>
  <c r="AM3639" i="9" s="1"/>
  <c r="AN3639" i="9" s="1"/>
  <c r="I3639" i="9"/>
  <c r="K3639" i="9" s="1"/>
  <c r="L3639" i="9" s="1"/>
  <c r="AF3638" i="9"/>
  <c r="AE3638" i="9"/>
  <c r="AB3638" i="9"/>
  <c r="AA3638" i="9"/>
  <c r="V3638" i="9"/>
  <c r="U3638" i="9"/>
  <c r="R3638" i="9"/>
  <c r="AK3638" i="9" s="1"/>
  <c r="AL3638" i="9" s="1"/>
  <c r="Q3638" i="9"/>
  <c r="AM3638" i="9" s="1"/>
  <c r="AN3638" i="9" s="1"/>
  <c r="L3638" i="9"/>
  <c r="I3638" i="9"/>
  <c r="K3638" i="9" s="1"/>
  <c r="AN3637" i="9"/>
  <c r="AM3637" i="9"/>
  <c r="AF3637" i="9"/>
  <c r="AB3637" i="9"/>
  <c r="AK3637" i="9" s="1"/>
  <c r="AL3637" i="9" s="1"/>
  <c r="V3637" i="9"/>
  <c r="R3637" i="9"/>
  <c r="I3637" i="9"/>
  <c r="K3637" i="9" s="1"/>
  <c r="L3637" i="9" s="1"/>
  <c r="AM3636" i="9"/>
  <c r="AN3636" i="9" s="1"/>
  <c r="AF3636" i="9"/>
  <c r="AE3636" i="9"/>
  <c r="AB3636" i="9"/>
  <c r="AA3636" i="9"/>
  <c r="V3636" i="9"/>
  <c r="U3636" i="9"/>
  <c r="R3636" i="9"/>
  <c r="Q3636" i="9"/>
  <c r="L3636" i="9"/>
  <c r="K3636" i="9"/>
  <c r="AO3635" i="9"/>
  <c r="AM3635" i="9"/>
  <c r="AN3635" i="9" s="1"/>
  <c r="AF3635" i="9"/>
  <c r="AE3635" i="9"/>
  <c r="AB3635" i="9"/>
  <c r="AA3635" i="9"/>
  <c r="V3635" i="9"/>
  <c r="U3635" i="9"/>
  <c r="R3635" i="9"/>
  <c r="Q3635" i="9"/>
  <c r="L3635" i="9"/>
  <c r="K3635" i="9"/>
  <c r="AF3634" i="9"/>
  <c r="AE3634" i="9"/>
  <c r="AB3634" i="9"/>
  <c r="AA3634" i="9"/>
  <c r="V3634" i="9"/>
  <c r="U3634" i="9"/>
  <c r="R3634" i="9"/>
  <c r="Q3634" i="9"/>
  <c r="K3634" i="9"/>
  <c r="L3634" i="9" s="1"/>
  <c r="AF3633" i="9"/>
  <c r="AE3633" i="9"/>
  <c r="AB3633" i="9"/>
  <c r="AA3633" i="9"/>
  <c r="V3633" i="9"/>
  <c r="U3633" i="9"/>
  <c r="R3633" i="9"/>
  <c r="Q3633" i="9"/>
  <c r="L3633" i="9"/>
  <c r="K3633" i="9"/>
  <c r="AF3632" i="9"/>
  <c r="AE3632" i="9"/>
  <c r="AB3632" i="9"/>
  <c r="AA3632" i="9"/>
  <c r="V3632" i="9"/>
  <c r="U3632" i="9"/>
  <c r="R3632" i="9"/>
  <c r="Q3632" i="9"/>
  <c r="K3632" i="9"/>
  <c r="L3632" i="9" s="1"/>
  <c r="AF3631" i="9"/>
  <c r="AE3631" i="9"/>
  <c r="AB3631" i="9"/>
  <c r="AA3631" i="9"/>
  <c r="V3631" i="9"/>
  <c r="U3631" i="9"/>
  <c r="R3631" i="9"/>
  <c r="Q3631" i="9"/>
  <c r="K3631" i="9"/>
  <c r="L3631" i="9" s="1"/>
  <c r="AF3630" i="9"/>
  <c r="AE3630" i="9"/>
  <c r="AB3630" i="9"/>
  <c r="AA3630" i="9"/>
  <c r="V3630" i="9"/>
  <c r="AK3630" i="9" s="1"/>
  <c r="AL3630" i="9" s="1"/>
  <c r="U3630" i="9"/>
  <c r="R3630" i="9"/>
  <c r="Q3630" i="9"/>
  <c r="L3630" i="9"/>
  <c r="K3630" i="9"/>
  <c r="AF3629" i="9"/>
  <c r="AE3629" i="9"/>
  <c r="AB3629" i="9"/>
  <c r="AA3629" i="9"/>
  <c r="V3629" i="9"/>
  <c r="U3629" i="9"/>
  <c r="R3629" i="9"/>
  <c r="Q3629" i="9"/>
  <c r="K3629" i="9"/>
  <c r="L3629" i="9" s="1"/>
  <c r="AF3628" i="9"/>
  <c r="AE3628" i="9"/>
  <c r="AB3628" i="9"/>
  <c r="AA3628" i="9"/>
  <c r="V3628" i="9"/>
  <c r="U3628" i="9"/>
  <c r="R3628" i="9"/>
  <c r="Q3628" i="9"/>
  <c r="L3628" i="9"/>
  <c r="K3628" i="9"/>
  <c r="AF3627" i="9"/>
  <c r="AE3627" i="9"/>
  <c r="AB3627" i="9"/>
  <c r="AA3627" i="9"/>
  <c r="AM3627" i="9" s="1"/>
  <c r="AN3627" i="9" s="1"/>
  <c r="V3627" i="9"/>
  <c r="U3627" i="9"/>
  <c r="R3627" i="9"/>
  <c r="Q3627" i="9"/>
  <c r="K3627" i="9"/>
  <c r="L3627" i="9" s="1"/>
  <c r="AF3626" i="9"/>
  <c r="AE3626" i="9"/>
  <c r="AB3626" i="9"/>
  <c r="AA3626" i="9"/>
  <c r="V3626" i="9"/>
  <c r="U3626" i="9"/>
  <c r="R3626" i="9"/>
  <c r="Q3626" i="9"/>
  <c r="K3626" i="9"/>
  <c r="L3626" i="9" s="1"/>
  <c r="AF3625" i="9"/>
  <c r="AE3625" i="9"/>
  <c r="AB3625" i="9"/>
  <c r="AA3625" i="9"/>
  <c r="AM3625" i="9" s="1"/>
  <c r="AN3625" i="9" s="1"/>
  <c r="V3625" i="9"/>
  <c r="U3625" i="9"/>
  <c r="R3625" i="9"/>
  <c r="Q3625" i="9"/>
  <c r="K3625" i="9"/>
  <c r="L3625" i="9" s="1"/>
  <c r="AF3624" i="9"/>
  <c r="AE3624" i="9"/>
  <c r="AB3624" i="9"/>
  <c r="AA3624" i="9"/>
  <c r="V3624" i="9"/>
  <c r="U3624" i="9"/>
  <c r="R3624" i="9"/>
  <c r="Q3624" i="9"/>
  <c r="K3624" i="9"/>
  <c r="L3624" i="9" s="1"/>
  <c r="AF3623" i="9"/>
  <c r="AE3623" i="9"/>
  <c r="AB3623" i="9"/>
  <c r="AA3623" i="9"/>
  <c r="V3623" i="9"/>
  <c r="U3623" i="9"/>
  <c r="R3623" i="9"/>
  <c r="Q3623" i="9"/>
  <c r="L3623" i="9"/>
  <c r="K3623" i="9"/>
  <c r="AM3622" i="9"/>
  <c r="AN3622" i="9" s="1"/>
  <c r="AF3622" i="9"/>
  <c r="AB3622" i="9"/>
  <c r="V3622" i="9"/>
  <c r="R3622" i="9"/>
  <c r="K3622" i="9"/>
  <c r="I3622" i="9"/>
  <c r="AM3621" i="9"/>
  <c r="AF3621" i="9"/>
  <c r="V3621" i="9"/>
  <c r="J3621" i="9"/>
  <c r="D3621" i="9"/>
  <c r="AF3620" i="9"/>
  <c r="AE3620" i="9"/>
  <c r="AB3620" i="9"/>
  <c r="AA3620" i="9"/>
  <c r="V3620" i="9"/>
  <c r="U3620" i="9"/>
  <c r="R3620" i="9"/>
  <c r="Q3620" i="9"/>
  <c r="L3620" i="9"/>
  <c r="K3620" i="9"/>
  <c r="AF3619" i="9"/>
  <c r="AE3619" i="9"/>
  <c r="AB3619" i="9"/>
  <c r="AA3619" i="9"/>
  <c r="V3619" i="9"/>
  <c r="U3619" i="9"/>
  <c r="R3619" i="9"/>
  <c r="AK3619" i="9" s="1"/>
  <c r="AL3619" i="9" s="1"/>
  <c r="Q3619" i="9"/>
  <c r="AM3619" i="9" s="1"/>
  <c r="AN3619" i="9" s="1"/>
  <c r="K3619" i="9"/>
  <c r="L3619" i="9" s="1"/>
  <c r="AF3618" i="9"/>
  <c r="AE3618" i="9"/>
  <c r="AB3618" i="9"/>
  <c r="AA3618" i="9"/>
  <c r="V3618" i="9"/>
  <c r="U3618" i="9"/>
  <c r="R3618" i="9"/>
  <c r="AK3618" i="9" s="1"/>
  <c r="AL3618" i="9" s="1"/>
  <c r="Q3618" i="9"/>
  <c r="AM3618" i="9" s="1"/>
  <c r="AN3618" i="9" s="1"/>
  <c r="K3618" i="9"/>
  <c r="L3618" i="9" s="1"/>
  <c r="AM3617" i="9"/>
  <c r="AF3617" i="9"/>
  <c r="J3617" i="9"/>
  <c r="D3617" i="9"/>
  <c r="AF3616" i="9"/>
  <c r="AE3616" i="9"/>
  <c r="AB3616" i="9"/>
  <c r="AA3616" i="9"/>
  <c r="V3616" i="9"/>
  <c r="U3616" i="9"/>
  <c r="R3616" i="9"/>
  <c r="AK3616" i="9" s="1"/>
  <c r="AL3616" i="9" s="1"/>
  <c r="Q3616" i="9"/>
  <c r="L3616" i="9"/>
  <c r="K3616" i="9"/>
  <c r="AF3615" i="9"/>
  <c r="AE3615" i="9"/>
  <c r="AB3615" i="9"/>
  <c r="AA3615" i="9"/>
  <c r="V3615" i="9"/>
  <c r="U3615" i="9"/>
  <c r="AM3615" i="9" s="1"/>
  <c r="AN3615" i="9" s="1"/>
  <c r="R3615" i="9"/>
  <c r="Q3615" i="9"/>
  <c r="K3615" i="9"/>
  <c r="L3615" i="9" s="1"/>
  <c r="AF3614" i="9"/>
  <c r="AE3614" i="9"/>
  <c r="AB3614" i="9"/>
  <c r="AA3614" i="9"/>
  <c r="V3614" i="9"/>
  <c r="U3614" i="9"/>
  <c r="R3614" i="9"/>
  <c r="AK3614" i="9" s="1"/>
  <c r="AL3614" i="9" s="1"/>
  <c r="Q3614" i="9"/>
  <c r="K3614" i="9"/>
  <c r="L3614" i="9" s="1"/>
  <c r="AF3613" i="9"/>
  <c r="AE3613" i="9"/>
  <c r="AB3613" i="9"/>
  <c r="AA3613" i="9"/>
  <c r="V3613" i="9"/>
  <c r="U3613" i="9"/>
  <c r="R3613" i="9"/>
  <c r="Q3613" i="9"/>
  <c r="AM3613" i="9" s="1"/>
  <c r="AN3613" i="9" s="1"/>
  <c r="K3613" i="9"/>
  <c r="L3613" i="9" s="1"/>
  <c r="AF3612" i="9"/>
  <c r="AE3612" i="9"/>
  <c r="AB3612" i="9"/>
  <c r="AA3612" i="9"/>
  <c r="V3612" i="9"/>
  <c r="U3612" i="9"/>
  <c r="R3612" i="9"/>
  <c r="Q3612" i="9"/>
  <c r="K3612" i="9"/>
  <c r="L3612" i="9" s="1"/>
  <c r="AF3611" i="9"/>
  <c r="AE3611" i="9"/>
  <c r="AB3611" i="9"/>
  <c r="AA3611" i="9"/>
  <c r="V3611" i="9"/>
  <c r="U3611" i="9"/>
  <c r="R3611" i="9"/>
  <c r="Q3611" i="9"/>
  <c r="K3611" i="9"/>
  <c r="L3611" i="9" s="1"/>
  <c r="AF3610" i="9"/>
  <c r="AE3610" i="9"/>
  <c r="AB3610" i="9"/>
  <c r="AA3610" i="9"/>
  <c r="V3610" i="9"/>
  <c r="U3610" i="9"/>
  <c r="R3610" i="9"/>
  <c r="Q3610" i="9"/>
  <c r="K3610" i="9"/>
  <c r="L3610" i="9" s="1"/>
  <c r="AF3609" i="9"/>
  <c r="AE3609" i="9"/>
  <c r="AB3609" i="9"/>
  <c r="AA3609" i="9"/>
  <c r="V3609" i="9"/>
  <c r="U3609" i="9"/>
  <c r="R3609" i="9"/>
  <c r="Q3609" i="9"/>
  <c r="K3609" i="9"/>
  <c r="L3609" i="9" s="1"/>
  <c r="AF3608" i="9"/>
  <c r="AE3608" i="9"/>
  <c r="AB3608" i="9"/>
  <c r="AA3608" i="9"/>
  <c r="V3608" i="9"/>
  <c r="U3608" i="9"/>
  <c r="R3608" i="9"/>
  <c r="Q3608" i="9"/>
  <c r="K3608" i="9"/>
  <c r="L3608" i="9" s="1"/>
  <c r="AF3607" i="9"/>
  <c r="AE3607" i="9"/>
  <c r="AM3607" i="9" s="1"/>
  <c r="AN3607" i="9" s="1"/>
  <c r="AB3607" i="9"/>
  <c r="AA3607" i="9"/>
  <c r="V3607" i="9"/>
  <c r="U3607" i="9"/>
  <c r="R3607" i="9"/>
  <c r="Q3607" i="9"/>
  <c r="L3607" i="9"/>
  <c r="K3607" i="9"/>
  <c r="AF3606" i="9"/>
  <c r="AE3606" i="9"/>
  <c r="AB3606" i="9"/>
  <c r="AK3606" i="9" s="1"/>
  <c r="AL3606" i="9" s="1"/>
  <c r="AA3606" i="9"/>
  <c r="V3606" i="9"/>
  <c r="U3606" i="9"/>
  <c r="R3606" i="9"/>
  <c r="Q3606" i="9"/>
  <c r="K3606" i="9"/>
  <c r="L3606" i="9" s="1"/>
  <c r="AF3605" i="9"/>
  <c r="AE3605" i="9"/>
  <c r="AB3605" i="9"/>
  <c r="AA3605" i="9"/>
  <c r="V3605" i="9"/>
  <c r="U3605" i="9"/>
  <c r="R3605" i="9"/>
  <c r="Q3605" i="9"/>
  <c r="K3605" i="9"/>
  <c r="L3605" i="9" s="1"/>
  <c r="AF3604" i="9"/>
  <c r="AE3604" i="9"/>
  <c r="AB3604" i="9"/>
  <c r="AA3604" i="9"/>
  <c r="V3604" i="9"/>
  <c r="U3604" i="9"/>
  <c r="R3604" i="9"/>
  <c r="Q3604" i="9"/>
  <c r="L3604" i="9"/>
  <c r="K3604" i="9"/>
  <c r="AF3603" i="9"/>
  <c r="AE3603" i="9"/>
  <c r="AB3603" i="9"/>
  <c r="AA3603" i="9"/>
  <c r="V3603" i="9"/>
  <c r="U3603" i="9"/>
  <c r="R3603" i="9"/>
  <c r="Q3603" i="9"/>
  <c r="K3603" i="9"/>
  <c r="L3603" i="9" s="1"/>
  <c r="AF3602" i="9"/>
  <c r="AE3602" i="9"/>
  <c r="AB3602" i="9"/>
  <c r="AA3602" i="9"/>
  <c r="V3602" i="9"/>
  <c r="AK3602" i="9" s="1"/>
  <c r="AL3602" i="9" s="1"/>
  <c r="U3602" i="9"/>
  <c r="R3602" i="9"/>
  <c r="Q3602" i="9"/>
  <c r="K3602" i="9"/>
  <c r="L3602" i="9" s="1"/>
  <c r="AN3601" i="9"/>
  <c r="AM3601" i="9"/>
  <c r="AF3601" i="9"/>
  <c r="AB3601" i="9"/>
  <c r="V3601" i="9"/>
  <c r="R3601" i="9"/>
  <c r="I3601" i="9"/>
  <c r="K3601" i="9" s="1"/>
  <c r="L3601" i="9" s="1"/>
  <c r="AM3600" i="9"/>
  <c r="R3600" i="9"/>
  <c r="J3600" i="9"/>
  <c r="AO3599" i="9" s="1"/>
  <c r="D3600" i="9"/>
  <c r="AF3599" i="9"/>
  <c r="AE3599" i="9"/>
  <c r="AB3599" i="9"/>
  <c r="AA3599" i="9"/>
  <c r="V3599" i="9"/>
  <c r="U3599" i="9"/>
  <c r="R3599" i="9"/>
  <c r="Q3599" i="9"/>
  <c r="AM3599" i="9" s="1"/>
  <c r="AN3599" i="9" s="1"/>
  <c r="K3599" i="9"/>
  <c r="L3599" i="9" s="1"/>
  <c r="AF3598" i="9"/>
  <c r="AE3598" i="9"/>
  <c r="AB3598" i="9"/>
  <c r="AA3598" i="9"/>
  <c r="V3598" i="9"/>
  <c r="U3598" i="9"/>
  <c r="R3598" i="9"/>
  <c r="Q3598" i="9"/>
  <c r="K3598" i="9"/>
  <c r="L3598" i="9" s="1"/>
  <c r="AE3597" i="9"/>
  <c r="AB3597" i="9"/>
  <c r="V3597" i="9"/>
  <c r="R3597" i="9"/>
  <c r="J3597" i="9"/>
  <c r="AF3597" i="9" s="1"/>
  <c r="D3597" i="9"/>
  <c r="AM3596" i="9"/>
  <c r="AN3596" i="9" s="1"/>
  <c r="R3596" i="9"/>
  <c r="J3596" i="9"/>
  <c r="AB3596" i="9" s="1"/>
  <c r="D3596" i="9"/>
  <c r="AF3595" i="9"/>
  <c r="AE3595" i="9"/>
  <c r="AB3595" i="9"/>
  <c r="AA3595" i="9"/>
  <c r="V3595" i="9"/>
  <c r="U3595" i="9"/>
  <c r="R3595" i="9"/>
  <c r="Q3595" i="9"/>
  <c r="K3595" i="9"/>
  <c r="L3595" i="9" s="1"/>
  <c r="AF3594" i="9"/>
  <c r="AE3594" i="9"/>
  <c r="AB3594" i="9"/>
  <c r="AA3594" i="9"/>
  <c r="V3594" i="9"/>
  <c r="U3594" i="9"/>
  <c r="R3594" i="9"/>
  <c r="Q3594" i="9"/>
  <c r="K3594" i="9"/>
  <c r="L3594" i="9" s="1"/>
  <c r="AF3593" i="9"/>
  <c r="AE3593" i="9"/>
  <c r="AB3593" i="9"/>
  <c r="AA3593" i="9"/>
  <c r="AM3593" i="9" s="1"/>
  <c r="AN3593" i="9" s="1"/>
  <c r="V3593" i="9"/>
  <c r="U3593" i="9"/>
  <c r="R3593" i="9"/>
  <c r="Q3593" i="9"/>
  <c r="K3593" i="9"/>
  <c r="L3593" i="9" s="1"/>
  <c r="AF3592" i="9"/>
  <c r="AE3592" i="9"/>
  <c r="AB3592" i="9"/>
  <c r="AA3592" i="9"/>
  <c r="V3592" i="9"/>
  <c r="U3592" i="9"/>
  <c r="R3592" i="9"/>
  <c r="Q3592" i="9"/>
  <c r="L3592" i="9"/>
  <c r="K3592" i="9"/>
  <c r="AK3591" i="9"/>
  <c r="AL3591" i="9" s="1"/>
  <c r="AF3591" i="9"/>
  <c r="AE3591" i="9"/>
  <c r="AB3591" i="9"/>
  <c r="AA3591" i="9"/>
  <c r="V3591" i="9"/>
  <c r="U3591" i="9"/>
  <c r="R3591" i="9"/>
  <c r="Q3591" i="9"/>
  <c r="K3591" i="9"/>
  <c r="L3591" i="9" s="1"/>
  <c r="AK3590" i="9"/>
  <c r="AL3590" i="9" s="1"/>
  <c r="AF3590" i="9"/>
  <c r="AE3590" i="9"/>
  <c r="AB3590" i="9"/>
  <c r="AA3590" i="9"/>
  <c r="V3590" i="9"/>
  <c r="U3590" i="9"/>
  <c r="R3590" i="9"/>
  <c r="Q3590" i="9"/>
  <c r="AM3590" i="9" s="1"/>
  <c r="AN3590" i="9" s="1"/>
  <c r="K3590" i="9"/>
  <c r="L3590" i="9" s="1"/>
  <c r="AF3589" i="9"/>
  <c r="AE3589" i="9"/>
  <c r="AM3589" i="9" s="1"/>
  <c r="AN3589" i="9" s="1"/>
  <c r="AB3589" i="9"/>
  <c r="AA3589" i="9"/>
  <c r="V3589" i="9"/>
  <c r="U3589" i="9"/>
  <c r="R3589" i="9"/>
  <c r="Q3589" i="9"/>
  <c r="K3589" i="9"/>
  <c r="L3589" i="9" s="1"/>
  <c r="AF3588" i="9"/>
  <c r="AE3588" i="9"/>
  <c r="AB3588" i="9"/>
  <c r="AA3588" i="9"/>
  <c r="V3588" i="9"/>
  <c r="U3588" i="9"/>
  <c r="R3588" i="9"/>
  <c r="Q3588" i="9"/>
  <c r="K3588" i="9"/>
  <c r="L3588" i="9" s="1"/>
  <c r="AM3587" i="9"/>
  <c r="J3587" i="9"/>
  <c r="V3587" i="9" s="1"/>
  <c r="D3587" i="9"/>
  <c r="AN3587" i="9" s="1"/>
  <c r="AF3586" i="9"/>
  <c r="AE3586" i="9"/>
  <c r="AB3586" i="9"/>
  <c r="AK3586" i="9" s="1"/>
  <c r="AL3586" i="9" s="1"/>
  <c r="AA3586" i="9"/>
  <c r="V3586" i="9"/>
  <c r="U3586" i="9"/>
  <c r="R3586" i="9"/>
  <c r="Q3586" i="9"/>
  <c r="K3586" i="9"/>
  <c r="L3586" i="9" s="1"/>
  <c r="AF3585" i="9"/>
  <c r="AE3585" i="9"/>
  <c r="AB3585" i="9"/>
  <c r="AA3585" i="9"/>
  <c r="V3585" i="9"/>
  <c r="U3585" i="9"/>
  <c r="R3585" i="9"/>
  <c r="Q3585" i="9"/>
  <c r="K3585" i="9"/>
  <c r="L3585" i="9" s="1"/>
  <c r="AF3584" i="9"/>
  <c r="AE3584" i="9"/>
  <c r="AB3584" i="9"/>
  <c r="AA3584" i="9"/>
  <c r="V3584" i="9"/>
  <c r="U3584" i="9"/>
  <c r="R3584" i="9"/>
  <c r="AK3584" i="9" s="1"/>
  <c r="AL3584" i="9" s="1"/>
  <c r="Q3584" i="9"/>
  <c r="AM3584" i="9" s="1"/>
  <c r="AN3584" i="9" s="1"/>
  <c r="L3584" i="9"/>
  <c r="K3584" i="9"/>
  <c r="AM3583" i="9"/>
  <c r="AB3583" i="9"/>
  <c r="V3583" i="9"/>
  <c r="J3583" i="9"/>
  <c r="I3583" i="9"/>
  <c r="D3583" i="9"/>
  <c r="AO3582" i="9"/>
  <c r="AF3582" i="9"/>
  <c r="AE3582" i="9"/>
  <c r="AB3582" i="9"/>
  <c r="AA3582" i="9"/>
  <c r="V3582" i="9"/>
  <c r="U3582" i="9"/>
  <c r="R3582" i="9"/>
  <c r="Q3582" i="9"/>
  <c r="K3582" i="9"/>
  <c r="L3582" i="9" s="1"/>
  <c r="AF3581" i="9"/>
  <c r="AE3581" i="9"/>
  <c r="AB3581" i="9"/>
  <c r="AA3581" i="9"/>
  <c r="V3581" i="9"/>
  <c r="U3581" i="9"/>
  <c r="R3581" i="9"/>
  <c r="Q3581" i="9"/>
  <c r="K3581" i="9"/>
  <c r="L3581" i="9" s="1"/>
  <c r="AF3580" i="9"/>
  <c r="AE3580" i="9"/>
  <c r="AB3580" i="9"/>
  <c r="AA3580" i="9"/>
  <c r="V3580" i="9"/>
  <c r="U3580" i="9"/>
  <c r="R3580" i="9"/>
  <c r="AK3580" i="9" s="1"/>
  <c r="AL3580" i="9" s="1"/>
  <c r="Q3580" i="9"/>
  <c r="L3580" i="9"/>
  <c r="K3580" i="9"/>
  <c r="AM3579" i="9"/>
  <c r="J3579" i="9"/>
  <c r="AO3578" i="9" s="1"/>
  <c r="D3579" i="9"/>
  <c r="AF3578" i="9"/>
  <c r="AE3578" i="9"/>
  <c r="AB3578" i="9"/>
  <c r="AA3578" i="9"/>
  <c r="AM3578" i="9" s="1"/>
  <c r="AN3578" i="9" s="1"/>
  <c r="V3578" i="9"/>
  <c r="U3578" i="9"/>
  <c r="R3578" i="9"/>
  <c r="Q3578" i="9"/>
  <c r="K3578" i="9"/>
  <c r="L3578" i="9" s="1"/>
  <c r="AF3577" i="9"/>
  <c r="AE3577" i="9"/>
  <c r="AB3577" i="9"/>
  <c r="AA3577" i="9"/>
  <c r="V3577" i="9"/>
  <c r="U3577" i="9"/>
  <c r="R3577" i="9"/>
  <c r="Q3577" i="9"/>
  <c r="K3577" i="9"/>
  <c r="L3577" i="9" s="1"/>
  <c r="AA3576" i="9"/>
  <c r="V3576" i="9"/>
  <c r="R3576" i="9"/>
  <c r="Q3576" i="9"/>
  <c r="J3576" i="9"/>
  <c r="D3576" i="9"/>
  <c r="AE3576" i="9" s="1"/>
  <c r="AM3575" i="9"/>
  <c r="AF3575" i="9"/>
  <c r="AB3575" i="9"/>
  <c r="R3575" i="9"/>
  <c r="J3575" i="9"/>
  <c r="D3575" i="9"/>
  <c r="I3575" i="9" s="1"/>
  <c r="AF3574" i="9"/>
  <c r="AE3574" i="9"/>
  <c r="AB3574" i="9"/>
  <c r="AA3574" i="9"/>
  <c r="V3574" i="9"/>
  <c r="U3574" i="9"/>
  <c r="R3574" i="9"/>
  <c r="Q3574" i="9"/>
  <c r="K3574" i="9"/>
  <c r="L3574" i="9" s="1"/>
  <c r="AF3573" i="9"/>
  <c r="AE3573" i="9"/>
  <c r="AB3573" i="9"/>
  <c r="AA3573" i="9"/>
  <c r="V3573" i="9"/>
  <c r="U3573" i="9"/>
  <c r="R3573" i="9"/>
  <c r="Q3573" i="9"/>
  <c r="K3573" i="9"/>
  <c r="L3573" i="9" s="1"/>
  <c r="AF3572" i="9"/>
  <c r="AE3572" i="9"/>
  <c r="AB3572" i="9"/>
  <c r="AA3572" i="9"/>
  <c r="V3572" i="9"/>
  <c r="U3572" i="9"/>
  <c r="R3572" i="9"/>
  <c r="Q3572" i="9"/>
  <c r="K3572" i="9"/>
  <c r="L3572" i="9" s="1"/>
  <c r="AE3571" i="9"/>
  <c r="U3571" i="9"/>
  <c r="J3571" i="9"/>
  <c r="I3571" i="9" s="1"/>
  <c r="D3571" i="9"/>
  <c r="AA3571" i="9" s="1"/>
  <c r="AF3570" i="9"/>
  <c r="AE3570" i="9"/>
  <c r="AB3570" i="9"/>
  <c r="AA3570" i="9"/>
  <c r="V3570" i="9"/>
  <c r="U3570" i="9"/>
  <c r="R3570" i="9"/>
  <c r="Q3570" i="9"/>
  <c r="K3570" i="9"/>
  <c r="L3570" i="9" s="1"/>
  <c r="AF3569" i="9"/>
  <c r="AE3569" i="9"/>
  <c r="AB3569" i="9"/>
  <c r="AA3569" i="9"/>
  <c r="V3569" i="9"/>
  <c r="U3569" i="9"/>
  <c r="R3569" i="9"/>
  <c r="AK3569" i="9" s="1"/>
  <c r="AL3569" i="9" s="1"/>
  <c r="Q3569" i="9"/>
  <c r="AM3569" i="9" s="1"/>
  <c r="AN3569" i="9" s="1"/>
  <c r="K3569" i="9"/>
  <c r="L3569" i="9" s="1"/>
  <c r="AF3568" i="9"/>
  <c r="AE3568" i="9"/>
  <c r="AB3568" i="9"/>
  <c r="AA3568" i="9"/>
  <c r="V3568" i="9"/>
  <c r="U3568" i="9"/>
  <c r="R3568" i="9"/>
  <c r="Q3568" i="9"/>
  <c r="L3568" i="9"/>
  <c r="K3568" i="9"/>
  <c r="AF3567" i="9"/>
  <c r="AE3567" i="9"/>
  <c r="AB3567" i="9"/>
  <c r="AA3567" i="9"/>
  <c r="V3567" i="9"/>
  <c r="U3567" i="9"/>
  <c r="R3567" i="9"/>
  <c r="AK3567" i="9" s="1"/>
  <c r="AL3567" i="9" s="1"/>
  <c r="Q3567" i="9"/>
  <c r="L3567" i="9"/>
  <c r="K3567" i="9"/>
  <c r="AF3566" i="9"/>
  <c r="AE3566" i="9"/>
  <c r="AB3566" i="9"/>
  <c r="AA3566" i="9"/>
  <c r="V3566" i="9"/>
  <c r="U3566" i="9"/>
  <c r="AM3566" i="9" s="1"/>
  <c r="AN3566" i="9" s="1"/>
  <c r="R3566" i="9"/>
  <c r="Q3566" i="9"/>
  <c r="K3566" i="9"/>
  <c r="L3566" i="9" s="1"/>
  <c r="AN3565" i="9"/>
  <c r="AM3565" i="9"/>
  <c r="AF3565" i="9"/>
  <c r="AB3565" i="9"/>
  <c r="V3565" i="9"/>
  <c r="R3565" i="9"/>
  <c r="L3565" i="9"/>
  <c r="I3565" i="9"/>
  <c r="K3565" i="9" s="1"/>
  <c r="AO3564" i="9"/>
  <c r="AF3564" i="9"/>
  <c r="AE3564" i="9"/>
  <c r="AB3564" i="9"/>
  <c r="AA3564" i="9"/>
  <c r="V3564" i="9"/>
  <c r="U3564" i="9"/>
  <c r="R3564" i="9"/>
  <c r="Q3564" i="9"/>
  <c r="L3564" i="9"/>
  <c r="K3564" i="9"/>
  <c r="AF3563" i="9"/>
  <c r="AE3563" i="9"/>
  <c r="AB3563" i="9"/>
  <c r="AA3563" i="9"/>
  <c r="V3563" i="9"/>
  <c r="U3563" i="9"/>
  <c r="R3563" i="9"/>
  <c r="Q3563" i="9"/>
  <c r="L3563" i="9"/>
  <c r="K3563" i="9"/>
  <c r="AF3562" i="9"/>
  <c r="AE3562" i="9"/>
  <c r="AB3562" i="9"/>
  <c r="AA3562" i="9"/>
  <c r="V3562" i="9"/>
  <c r="U3562" i="9"/>
  <c r="R3562" i="9"/>
  <c r="AK3562" i="9" s="1"/>
  <c r="AL3562" i="9" s="1"/>
  <c r="Q3562" i="9"/>
  <c r="K3562" i="9"/>
  <c r="L3562" i="9" s="1"/>
  <c r="AF3561" i="9"/>
  <c r="AE3561" i="9"/>
  <c r="AB3561" i="9"/>
  <c r="AA3561" i="9"/>
  <c r="V3561" i="9"/>
  <c r="U3561" i="9"/>
  <c r="R3561" i="9"/>
  <c r="AK3561" i="9" s="1"/>
  <c r="AL3561" i="9" s="1"/>
  <c r="Q3561" i="9"/>
  <c r="AM3561" i="9" s="1"/>
  <c r="AN3561" i="9" s="1"/>
  <c r="L3561" i="9"/>
  <c r="K3561" i="9"/>
  <c r="AF3560" i="9"/>
  <c r="AE3560" i="9"/>
  <c r="AB3560" i="9"/>
  <c r="AA3560" i="9"/>
  <c r="V3560" i="9"/>
  <c r="U3560" i="9"/>
  <c r="R3560" i="9"/>
  <c r="Q3560" i="9"/>
  <c r="K3560" i="9"/>
  <c r="L3560" i="9" s="1"/>
  <c r="AF3559" i="9"/>
  <c r="AE3559" i="9"/>
  <c r="AB3559" i="9"/>
  <c r="AA3559" i="9"/>
  <c r="V3559" i="9"/>
  <c r="U3559" i="9"/>
  <c r="R3559" i="9"/>
  <c r="Q3559" i="9"/>
  <c r="K3559" i="9"/>
  <c r="L3559" i="9" s="1"/>
  <c r="AF3558" i="9"/>
  <c r="AE3558" i="9"/>
  <c r="AB3558" i="9"/>
  <c r="AA3558" i="9"/>
  <c r="V3558" i="9"/>
  <c r="U3558" i="9"/>
  <c r="R3558" i="9"/>
  <c r="AK3558" i="9" s="1"/>
  <c r="AL3558" i="9" s="1"/>
  <c r="Q3558" i="9"/>
  <c r="L3558" i="9"/>
  <c r="K3558" i="9"/>
  <c r="AF3557" i="9"/>
  <c r="AE3557" i="9"/>
  <c r="AB3557" i="9"/>
  <c r="AA3557" i="9"/>
  <c r="V3557" i="9"/>
  <c r="U3557" i="9"/>
  <c r="R3557" i="9"/>
  <c r="Q3557" i="9"/>
  <c r="L3557" i="9"/>
  <c r="K3557" i="9"/>
  <c r="AF3556" i="9"/>
  <c r="AE3556" i="9"/>
  <c r="AB3556" i="9"/>
  <c r="AA3556" i="9"/>
  <c r="V3556" i="9"/>
  <c r="U3556" i="9"/>
  <c r="R3556" i="9"/>
  <c r="AK3556" i="9" s="1"/>
  <c r="AL3556" i="9" s="1"/>
  <c r="Q3556" i="9"/>
  <c r="K3556" i="9"/>
  <c r="L3556" i="9" s="1"/>
  <c r="AF3555" i="9"/>
  <c r="AE3555" i="9"/>
  <c r="AB3555" i="9"/>
  <c r="AA3555" i="9"/>
  <c r="V3555" i="9"/>
  <c r="U3555" i="9"/>
  <c r="R3555" i="9"/>
  <c r="Q3555" i="9"/>
  <c r="K3555" i="9"/>
  <c r="L3555" i="9" s="1"/>
  <c r="AK3554" i="9"/>
  <c r="AL3554" i="9" s="1"/>
  <c r="AF3554" i="9"/>
  <c r="AE3554" i="9"/>
  <c r="AB3554" i="9"/>
  <c r="AA3554" i="9"/>
  <c r="V3554" i="9"/>
  <c r="U3554" i="9"/>
  <c r="R3554" i="9"/>
  <c r="Q3554" i="9"/>
  <c r="K3554" i="9"/>
  <c r="L3554" i="9" s="1"/>
  <c r="AF3553" i="9"/>
  <c r="AE3553" i="9"/>
  <c r="AB3553" i="9"/>
  <c r="AA3553" i="9"/>
  <c r="AM3553" i="9" s="1"/>
  <c r="AN3553" i="9" s="1"/>
  <c r="V3553" i="9"/>
  <c r="U3553" i="9"/>
  <c r="R3553" i="9"/>
  <c r="Q3553" i="9"/>
  <c r="K3553" i="9"/>
  <c r="L3553" i="9" s="1"/>
  <c r="AM3552" i="9"/>
  <c r="AN3552" i="9" s="1"/>
  <c r="AF3552" i="9"/>
  <c r="AB3552" i="9"/>
  <c r="V3552" i="9"/>
  <c r="R3552" i="9"/>
  <c r="K3552" i="9"/>
  <c r="L3552" i="9" s="1"/>
  <c r="I3552" i="9"/>
  <c r="AF3551" i="9"/>
  <c r="AE3551" i="9"/>
  <c r="AB3551" i="9"/>
  <c r="AA3551" i="9"/>
  <c r="V3551" i="9"/>
  <c r="U3551" i="9"/>
  <c r="R3551" i="9"/>
  <c r="Q3551" i="9"/>
  <c r="I3551" i="9"/>
  <c r="K3551" i="9" s="1"/>
  <c r="L3551" i="9" s="1"/>
  <c r="AN3550" i="9"/>
  <c r="AM3550" i="9"/>
  <c r="AF3550" i="9"/>
  <c r="AB3550" i="9"/>
  <c r="V3550" i="9"/>
  <c r="R3550" i="9"/>
  <c r="I3550" i="9"/>
  <c r="K3550" i="9" s="1"/>
  <c r="L3550" i="9" s="1"/>
  <c r="AF3549" i="9"/>
  <c r="AE3549" i="9"/>
  <c r="AB3549" i="9"/>
  <c r="AA3549" i="9"/>
  <c r="AM3549" i="9" s="1"/>
  <c r="AN3549" i="9" s="1"/>
  <c r="V3549" i="9"/>
  <c r="U3549" i="9"/>
  <c r="R3549" i="9"/>
  <c r="Q3549" i="9"/>
  <c r="K3549" i="9"/>
  <c r="L3549" i="9" s="1"/>
  <c r="I3549" i="9"/>
  <c r="AM3548" i="9"/>
  <c r="AN3548" i="9" s="1"/>
  <c r="AF3548" i="9"/>
  <c r="AB3548" i="9"/>
  <c r="V3548" i="9"/>
  <c r="R3548" i="9"/>
  <c r="I3548" i="9"/>
  <c r="K3548" i="9" s="1"/>
  <c r="L3548" i="9" s="1"/>
  <c r="AF3547" i="9"/>
  <c r="AE3547" i="9"/>
  <c r="AB3547" i="9"/>
  <c r="AA3547" i="9"/>
  <c r="V3547" i="9"/>
  <c r="U3547" i="9"/>
  <c r="R3547" i="9"/>
  <c r="Q3547" i="9"/>
  <c r="AM3547" i="9" s="1"/>
  <c r="AN3547" i="9" s="1"/>
  <c r="I3547" i="9"/>
  <c r="K3547" i="9" s="1"/>
  <c r="L3547" i="9" s="1"/>
  <c r="AO3546" i="9"/>
  <c r="AF3546" i="9"/>
  <c r="AE3546" i="9"/>
  <c r="AB3546" i="9"/>
  <c r="AA3546" i="9"/>
  <c r="V3546" i="9"/>
  <c r="U3546" i="9"/>
  <c r="R3546" i="9"/>
  <c r="Q3546" i="9"/>
  <c r="K3546" i="9"/>
  <c r="L3546" i="9" s="1"/>
  <c r="AF3545" i="9"/>
  <c r="AE3545" i="9"/>
  <c r="AB3545" i="9"/>
  <c r="AA3545" i="9"/>
  <c r="V3545" i="9"/>
  <c r="U3545" i="9"/>
  <c r="AM3545" i="9" s="1"/>
  <c r="AN3545" i="9" s="1"/>
  <c r="R3545" i="9"/>
  <c r="Q3545" i="9"/>
  <c r="K3545" i="9"/>
  <c r="L3545" i="9" s="1"/>
  <c r="AF3544" i="9"/>
  <c r="AE3544" i="9"/>
  <c r="AB3544" i="9"/>
  <c r="AA3544" i="9"/>
  <c r="V3544" i="9"/>
  <c r="U3544" i="9"/>
  <c r="R3544" i="9"/>
  <c r="AK3544" i="9" s="1"/>
  <c r="AL3544" i="9" s="1"/>
  <c r="Q3544" i="9"/>
  <c r="K3544" i="9"/>
  <c r="L3544" i="9" s="1"/>
  <c r="AF3543" i="9"/>
  <c r="AE3543" i="9"/>
  <c r="AB3543" i="9"/>
  <c r="AA3543" i="9"/>
  <c r="V3543" i="9"/>
  <c r="U3543" i="9"/>
  <c r="R3543" i="9"/>
  <c r="AK3543" i="9" s="1"/>
  <c r="AL3543" i="9" s="1"/>
  <c r="Q3543" i="9"/>
  <c r="AM3543" i="9" s="1"/>
  <c r="AN3543" i="9" s="1"/>
  <c r="K3543" i="9"/>
  <c r="L3543" i="9" s="1"/>
  <c r="AM3542" i="9"/>
  <c r="AN3542" i="9" s="1"/>
  <c r="AL3542" i="9"/>
  <c r="AF3542" i="9"/>
  <c r="AE3542" i="9"/>
  <c r="AB3542" i="9"/>
  <c r="AA3542" i="9"/>
  <c r="V3542" i="9"/>
  <c r="U3542" i="9"/>
  <c r="R3542" i="9"/>
  <c r="AK3542" i="9" s="1"/>
  <c r="Q3542" i="9"/>
  <c r="K3542" i="9"/>
  <c r="L3542" i="9" s="1"/>
  <c r="AM3541" i="9"/>
  <c r="AN3541" i="9" s="1"/>
  <c r="AL3541" i="9"/>
  <c r="AF3541" i="9"/>
  <c r="AE3541" i="9"/>
  <c r="AB3541" i="9"/>
  <c r="AA3541" i="9"/>
  <c r="V3541" i="9"/>
  <c r="U3541" i="9"/>
  <c r="R3541" i="9"/>
  <c r="AK3541" i="9" s="1"/>
  <c r="Q3541" i="9"/>
  <c r="L3541" i="9"/>
  <c r="K3541" i="9"/>
  <c r="AN3540" i="9"/>
  <c r="AF3540" i="9"/>
  <c r="AE3540" i="9"/>
  <c r="AB3540" i="9"/>
  <c r="AA3540" i="9"/>
  <c r="V3540" i="9"/>
  <c r="U3540" i="9"/>
  <c r="R3540" i="9"/>
  <c r="Q3540" i="9"/>
  <c r="AM3540" i="9" s="1"/>
  <c r="K3540" i="9"/>
  <c r="L3540" i="9" s="1"/>
  <c r="AF3539" i="9"/>
  <c r="AE3539" i="9"/>
  <c r="AB3539" i="9"/>
  <c r="AA3539" i="9"/>
  <c r="V3539" i="9"/>
  <c r="U3539" i="9"/>
  <c r="AM3539" i="9" s="1"/>
  <c r="AN3539" i="9" s="1"/>
  <c r="R3539" i="9"/>
  <c r="Q3539" i="9"/>
  <c r="L3539" i="9"/>
  <c r="K3539" i="9"/>
  <c r="AF3538" i="9"/>
  <c r="AE3538" i="9"/>
  <c r="AB3538" i="9"/>
  <c r="AA3538" i="9"/>
  <c r="V3538" i="9"/>
  <c r="U3538" i="9"/>
  <c r="R3538" i="9"/>
  <c r="Q3538" i="9"/>
  <c r="K3538" i="9"/>
  <c r="L3538" i="9" s="1"/>
  <c r="AF3537" i="9"/>
  <c r="AE3537" i="9"/>
  <c r="AB3537" i="9"/>
  <c r="AA3537" i="9"/>
  <c r="V3537" i="9"/>
  <c r="U3537" i="9"/>
  <c r="R3537" i="9"/>
  <c r="Q3537" i="9"/>
  <c r="K3537" i="9"/>
  <c r="L3537" i="9" s="1"/>
  <c r="AF3536" i="9"/>
  <c r="AE3536" i="9"/>
  <c r="AB3536" i="9"/>
  <c r="AA3536" i="9"/>
  <c r="V3536" i="9"/>
  <c r="U3536" i="9"/>
  <c r="R3536" i="9"/>
  <c r="Q3536" i="9"/>
  <c r="K3536" i="9"/>
  <c r="L3536" i="9" s="1"/>
  <c r="AN3535" i="9"/>
  <c r="AM3535" i="9"/>
  <c r="AF3535" i="9"/>
  <c r="AB3535" i="9"/>
  <c r="V3535" i="9"/>
  <c r="R3535" i="9"/>
  <c r="I3535" i="9"/>
  <c r="K3535" i="9" s="1"/>
  <c r="L3535" i="9" s="1"/>
  <c r="AM3534" i="9"/>
  <c r="AN3534" i="9" s="1"/>
  <c r="AF3534" i="9"/>
  <c r="AB3534" i="9"/>
  <c r="V3534" i="9"/>
  <c r="R3534" i="9"/>
  <c r="I3534" i="9"/>
  <c r="K3534" i="9" s="1"/>
  <c r="L3534" i="9" s="1"/>
  <c r="AM3533" i="9"/>
  <c r="AN3533" i="9" s="1"/>
  <c r="AF3533" i="9"/>
  <c r="AB3533" i="9"/>
  <c r="V3533" i="9"/>
  <c r="R3533" i="9"/>
  <c r="AK3533" i="9" s="1"/>
  <c r="AL3533" i="9" s="1"/>
  <c r="I3533" i="9"/>
  <c r="K3533" i="9" s="1"/>
  <c r="L3533" i="9" s="1"/>
  <c r="AF3532" i="9"/>
  <c r="AE3532" i="9"/>
  <c r="AB3532" i="9"/>
  <c r="AA3532" i="9"/>
  <c r="V3532" i="9"/>
  <c r="U3532" i="9"/>
  <c r="R3532" i="9"/>
  <c r="Q3532" i="9"/>
  <c r="K3532" i="9"/>
  <c r="L3532" i="9" s="1"/>
  <c r="AO3531" i="9"/>
  <c r="AF3531" i="9"/>
  <c r="AE3531" i="9"/>
  <c r="AB3531" i="9"/>
  <c r="AA3531" i="9"/>
  <c r="V3531" i="9"/>
  <c r="U3531" i="9"/>
  <c r="AM3531" i="9" s="1"/>
  <c r="AN3531" i="9" s="1"/>
  <c r="R3531" i="9"/>
  <c r="Q3531" i="9"/>
  <c r="L3531" i="9"/>
  <c r="K3531" i="9"/>
  <c r="AF3530" i="9"/>
  <c r="AE3530" i="9"/>
  <c r="AB3530" i="9"/>
  <c r="AA3530" i="9"/>
  <c r="V3530" i="9"/>
  <c r="U3530" i="9"/>
  <c r="R3530" i="9"/>
  <c r="Q3530" i="9"/>
  <c r="L3530" i="9"/>
  <c r="K3530" i="9"/>
  <c r="AF3529" i="9"/>
  <c r="AE3529" i="9"/>
  <c r="AB3529" i="9"/>
  <c r="AA3529" i="9"/>
  <c r="V3529" i="9"/>
  <c r="U3529" i="9"/>
  <c r="AM3529" i="9" s="1"/>
  <c r="AN3529" i="9" s="1"/>
  <c r="R3529" i="9"/>
  <c r="AK3529" i="9" s="1"/>
  <c r="AL3529" i="9" s="1"/>
  <c r="Q3529" i="9"/>
  <c r="L3529" i="9"/>
  <c r="K3529" i="9"/>
  <c r="AF3528" i="9"/>
  <c r="AE3528" i="9"/>
  <c r="AB3528" i="9"/>
  <c r="AA3528" i="9"/>
  <c r="V3528" i="9"/>
  <c r="U3528" i="9"/>
  <c r="R3528" i="9"/>
  <c r="Q3528" i="9"/>
  <c r="AM3528" i="9" s="1"/>
  <c r="AN3528" i="9" s="1"/>
  <c r="L3528" i="9"/>
  <c r="K3528" i="9"/>
  <c r="AN3527" i="9"/>
  <c r="AM3527" i="9"/>
  <c r="AF3527" i="9"/>
  <c r="AB3527" i="9"/>
  <c r="V3527" i="9"/>
  <c r="R3527" i="9"/>
  <c r="L3527" i="9"/>
  <c r="K3527" i="9"/>
  <c r="AA3526" i="9"/>
  <c r="Q3526" i="9"/>
  <c r="J3526" i="9"/>
  <c r="D3526" i="9"/>
  <c r="AM3525" i="9"/>
  <c r="AN3525" i="9" s="1"/>
  <c r="AF3525" i="9"/>
  <c r="AB3525" i="9"/>
  <c r="V3525" i="9"/>
  <c r="R3525" i="9"/>
  <c r="I3525" i="9"/>
  <c r="K3525" i="9" s="1"/>
  <c r="L3525" i="9" s="1"/>
  <c r="AM3524" i="9"/>
  <c r="AN3524" i="9" s="1"/>
  <c r="AF3524" i="9"/>
  <c r="AB3524" i="9"/>
  <c r="V3524" i="9"/>
  <c r="R3524" i="9"/>
  <c r="L3524" i="9"/>
  <c r="K3524" i="9"/>
  <c r="I3524" i="9"/>
  <c r="AF3523" i="9"/>
  <c r="AE3523" i="9"/>
  <c r="AB3523" i="9"/>
  <c r="AA3523" i="9"/>
  <c r="V3523" i="9"/>
  <c r="U3523" i="9"/>
  <c r="R3523" i="9"/>
  <c r="AK3523" i="9" s="1"/>
  <c r="AL3523" i="9" s="1"/>
  <c r="Q3523" i="9"/>
  <c r="K3523" i="9"/>
  <c r="L3523" i="9" s="1"/>
  <c r="AN3522" i="9"/>
  <c r="AM3522" i="9"/>
  <c r="AF3522" i="9"/>
  <c r="AB3522" i="9"/>
  <c r="V3522" i="9"/>
  <c r="R3522" i="9"/>
  <c r="I3522" i="9"/>
  <c r="K3522" i="9" s="1"/>
  <c r="L3522" i="9" s="1"/>
  <c r="AO3521" i="9"/>
  <c r="AF3521" i="9"/>
  <c r="AE3521" i="9"/>
  <c r="AB3521" i="9"/>
  <c r="AA3521" i="9"/>
  <c r="V3521" i="9"/>
  <c r="U3521" i="9"/>
  <c r="R3521" i="9"/>
  <c r="Q3521" i="9"/>
  <c r="K3521" i="9"/>
  <c r="L3521" i="9" s="1"/>
  <c r="AF3520" i="9"/>
  <c r="AE3520" i="9"/>
  <c r="AB3520" i="9"/>
  <c r="AA3520" i="9"/>
  <c r="V3520" i="9"/>
  <c r="U3520" i="9"/>
  <c r="R3520" i="9"/>
  <c r="Q3520" i="9"/>
  <c r="L3520" i="9"/>
  <c r="K3520" i="9"/>
  <c r="AF3519" i="9"/>
  <c r="AE3519" i="9"/>
  <c r="AB3519" i="9"/>
  <c r="AA3519" i="9"/>
  <c r="V3519" i="9"/>
  <c r="U3519" i="9"/>
  <c r="R3519" i="9"/>
  <c r="Q3519" i="9"/>
  <c r="K3519" i="9"/>
  <c r="L3519" i="9" s="1"/>
  <c r="AF3518" i="9"/>
  <c r="AE3518" i="9"/>
  <c r="AB3518" i="9"/>
  <c r="AK3518" i="9" s="1"/>
  <c r="AL3518" i="9" s="1"/>
  <c r="AA3518" i="9"/>
  <c r="V3518" i="9"/>
  <c r="U3518" i="9"/>
  <c r="R3518" i="9"/>
  <c r="Q3518" i="9"/>
  <c r="AM3518" i="9" s="1"/>
  <c r="AN3518" i="9" s="1"/>
  <c r="L3518" i="9"/>
  <c r="K3518" i="9"/>
  <c r="AF3517" i="9"/>
  <c r="AE3517" i="9"/>
  <c r="AB3517" i="9"/>
  <c r="AA3517" i="9"/>
  <c r="V3517" i="9"/>
  <c r="U3517" i="9"/>
  <c r="R3517" i="9"/>
  <c r="Q3517" i="9"/>
  <c r="L3517" i="9"/>
  <c r="K3517" i="9"/>
  <c r="AF3516" i="9"/>
  <c r="AE3516" i="9"/>
  <c r="AB3516" i="9"/>
  <c r="AA3516" i="9"/>
  <c r="V3516" i="9"/>
  <c r="U3516" i="9"/>
  <c r="R3516" i="9"/>
  <c r="Q3516" i="9"/>
  <c r="K3516" i="9"/>
  <c r="L3516" i="9" s="1"/>
  <c r="AM3515" i="9"/>
  <c r="AF3515" i="9"/>
  <c r="V3515" i="9"/>
  <c r="R3515" i="9"/>
  <c r="J3515" i="9"/>
  <c r="D3515" i="9"/>
  <c r="AO3514" i="9"/>
  <c r="AF3514" i="9"/>
  <c r="AE3514" i="9"/>
  <c r="AB3514" i="9"/>
  <c r="AA3514" i="9"/>
  <c r="V3514" i="9"/>
  <c r="U3514" i="9"/>
  <c r="R3514" i="9"/>
  <c r="Q3514" i="9"/>
  <c r="L3514" i="9"/>
  <c r="K3514" i="9"/>
  <c r="AM3513" i="9"/>
  <c r="AN3513" i="9" s="1"/>
  <c r="AF3513" i="9"/>
  <c r="AE3513" i="9"/>
  <c r="AB3513" i="9"/>
  <c r="AA3513" i="9"/>
  <c r="V3513" i="9"/>
  <c r="U3513" i="9"/>
  <c r="R3513" i="9"/>
  <c r="Q3513" i="9"/>
  <c r="K3513" i="9"/>
  <c r="L3513" i="9" s="1"/>
  <c r="AF3512" i="9"/>
  <c r="AE3512" i="9"/>
  <c r="AB3512" i="9"/>
  <c r="AA3512" i="9"/>
  <c r="V3512" i="9"/>
  <c r="U3512" i="9"/>
  <c r="R3512" i="9"/>
  <c r="Q3512" i="9"/>
  <c r="AM3512" i="9" s="1"/>
  <c r="AN3512" i="9" s="1"/>
  <c r="K3512" i="9"/>
  <c r="L3512" i="9" s="1"/>
  <c r="AF3511" i="9"/>
  <c r="AE3511" i="9"/>
  <c r="AB3511" i="9"/>
  <c r="AA3511" i="9"/>
  <c r="V3511" i="9"/>
  <c r="U3511" i="9"/>
  <c r="R3511" i="9"/>
  <c r="Q3511" i="9"/>
  <c r="L3511" i="9"/>
  <c r="K3511" i="9"/>
  <c r="AF3510" i="9"/>
  <c r="AE3510" i="9"/>
  <c r="AB3510" i="9"/>
  <c r="AA3510" i="9"/>
  <c r="V3510" i="9"/>
  <c r="U3510" i="9"/>
  <c r="R3510" i="9"/>
  <c r="Q3510" i="9"/>
  <c r="AM3510" i="9" s="1"/>
  <c r="AN3510" i="9" s="1"/>
  <c r="L3510" i="9"/>
  <c r="K3510" i="9"/>
  <c r="AN3509" i="9"/>
  <c r="AM3509" i="9"/>
  <c r="AF3509" i="9"/>
  <c r="AB3509" i="9"/>
  <c r="V3509" i="9"/>
  <c r="R3509" i="9"/>
  <c r="L3509" i="9"/>
  <c r="K3509" i="9"/>
  <c r="AO3508" i="9"/>
  <c r="AN3508" i="9"/>
  <c r="AF3508" i="9"/>
  <c r="AE3508" i="9"/>
  <c r="AB3508" i="9"/>
  <c r="AA3508" i="9"/>
  <c r="V3508" i="9"/>
  <c r="U3508" i="9"/>
  <c r="R3508" i="9"/>
  <c r="AK3508" i="9" s="1"/>
  <c r="AL3508" i="9" s="1"/>
  <c r="Q3508" i="9"/>
  <c r="AM3508" i="9" s="1"/>
  <c r="L3508" i="9"/>
  <c r="K3508" i="9"/>
  <c r="AF3507" i="9"/>
  <c r="AE3507" i="9"/>
  <c r="AB3507" i="9"/>
  <c r="AA3507" i="9"/>
  <c r="V3507" i="9"/>
  <c r="U3507" i="9"/>
  <c r="R3507" i="9"/>
  <c r="Q3507" i="9"/>
  <c r="K3507" i="9"/>
  <c r="L3507" i="9" s="1"/>
  <c r="AM3506" i="9"/>
  <c r="AN3506" i="9" s="1"/>
  <c r="R3506" i="9"/>
  <c r="AK3506" i="9" s="1"/>
  <c r="AL3506" i="9" s="1"/>
  <c r="K3506" i="9"/>
  <c r="L3506" i="9" s="1"/>
  <c r="AN3505" i="9"/>
  <c r="AM3505" i="9"/>
  <c r="AK3505" i="9"/>
  <c r="AL3505" i="9" s="1"/>
  <c r="R3505" i="9"/>
  <c r="K3505" i="9"/>
  <c r="L3505" i="9" s="1"/>
  <c r="AO3504" i="9"/>
  <c r="AF3504" i="9"/>
  <c r="AE3504" i="9"/>
  <c r="AB3504" i="9"/>
  <c r="AA3504" i="9"/>
  <c r="V3504" i="9"/>
  <c r="U3504" i="9"/>
  <c r="R3504" i="9"/>
  <c r="Q3504" i="9"/>
  <c r="L3504" i="9"/>
  <c r="K3504" i="9"/>
  <c r="AF3503" i="9"/>
  <c r="AE3503" i="9"/>
  <c r="AB3503" i="9"/>
  <c r="AK3503" i="9" s="1"/>
  <c r="AL3503" i="9" s="1"/>
  <c r="AA3503" i="9"/>
  <c r="V3503" i="9"/>
  <c r="U3503" i="9"/>
  <c r="R3503" i="9"/>
  <c r="Q3503" i="9"/>
  <c r="K3503" i="9"/>
  <c r="L3503" i="9" s="1"/>
  <c r="AF3502" i="9"/>
  <c r="AE3502" i="9"/>
  <c r="AB3502" i="9"/>
  <c r="AA3502" i="9"/>
  <c r="V3502" i="9"/>
  <c r="U3502" i="9"/>
  <c r="R3502" i="9"/>
  <c r="Q3502" i="9"/>
  <c r="K3502" i="9"/>
  <c r="L3502" i="9" s="1"/>
  <c r="AF3501" i="9"/>
  <c r="AE3501" i="9"/>
  <c r="AB3501" i="9"/>
  <c r="AA3501" i="9"/>
  <c r="V3501" i="9"/>
  <c r="U3501" i="9"/>
  <c r="R3501" i="9"/>
  <c r="Q3501" i="9"/>
  <c r="L3501" i="9"/>
  <c r="K3501" i="9"/>
  <c r="AF3500" i="9"/>
  <c r="AE3500" i="9"/>
  <c r="AB3500" i="9"/>
  <c r="AK3500" i="9" s="1"/>
  <c r="AL3500" i="9" s="1"/>
  <c r="AA3500" i="9"/>
  <c r="V3500" i="9"/>
  <c r="U3500" i="9"/>
  <c r="R3500" i="9"/>
  <c r="Q3500" i="9"/>
  <c r="K3500" i="9"/>
  <c r="L3500" i="9" s="1"/>
  <c r="AN3499" i="9"/>
  <c r="AM3499" i="9"/>
  <c r="AF3499" i="9"/>
  <c r="AB3499" i="9"/>
  <c r="V3499" i="9"/>
  <c r="R3499" i="9"/>
  <c r="AK3499" i="9" s="1"/>
  <c r="AL3499" i="9" s="1"/>
  <c r="I3499" i="9"/>
  <c r="K3499" i="9" s="1"/>
  <c r="L3499" i="9" s="1"/>
  <c r="AM3498" i="9"/>
  <c r="AN3498" i="9" s="1"/>
  <c r="AF3498" i="9"/>
  <c r="AB3498" i="9"/>
  <c r="V3498" i="9"/>
  <c r="R3498" i="9"/>
  <c r="K3498" i="9"/>
  <c r="L3498" i="9" s="1"/>
  <c r="I3498" i="9"/>
  <c r="AM3497" i="9"/>
  <c r="AN3497" i="9" s="1"/>
  <c r="AF3497" i="9"/>
  <c r="AB3497" i="9"/>
  <c r="V3497" i="9"/>
  <c r="R3497" i="9"/>
  <c r="I3497" i="9"/>
  <c r="K3497" i="9" s="1"/>
  <c r="L3497" i="9" s="1"/>
  <c r="AM3496" i="9"/>
  <c r="AN3496" i="9" s="1"/>
  <c r="AF3496" i="9"/>
  <c r="AB3496" i="9"/>
  <c r="V3496" i="9"/>
  <c r="R3496" i="9"/>
  <c r="K3496" i="9"/>
  <c r="L3496" i="9" s="1"/>
  <c r="I3496" i="9"/>
  <c r="AM3495" i="9"/>
  <c r="AN3495" i="9" s="1"/>
  <c r="AF3495" i="9"/>
  <c r="AB3495" i="9"/>
  <c r="V3495" i="9"/>
  <c r="R3495" i="9"/>
  <c r="L3495" i="9"/>
  <c r="K3495" i="9"/>
  <c r="I3495" i="9"/>
  <c r="AM3494" i="9"/>
  <c r="AN3494" i="9" s="1"/>
  <c r="AF3494" i="9"/>
  <c r="AB3494" i="9"/>
  <c r="V3494" i="9"/>
  <c r="AK3494" i="9" s="1"/>
  <c r="AL3494" i="9" s="1"/>
  <c r="R3494" i="9"/>
  <c r="I3494" i="9"/>
  <c r="K3494" i="9" s="1"/>
  <c r="L3494" i="9" s="1"/>
  <c r="AM3493" i="9"/>
  <c r="AN3493" i="9" s="1"/>
  <c r="AF3493" i="9"/>
  <c r="AB3493" i="9"/>
  <c r="V3493" i="9"/>
  <c r="R3493" i="9"/>
  <c r="L3493" i="9"/>
  <c r="I3493" i="9"/>
  <c r="K3493" i="9" s="1"/>
  <c r="AM3492" i="9"/>
  <c r="AN3492" i="9" s="1"/>
  <c r="AF3492" i="9"/>
  <c r="AB3492" i="9"/>
  <c r="V3492" i="9"/>
  <c r="R3492" i="9"/>
  <c r="L3492" i="9"/>
  <c r="I3492" i="9"/>
  <c r="K3492" i="9" s="1"/>
  <c r="AN3491" i="9"/>
  <c r="AM3491" i="9"/>
  <c r="AF3491" i="9"/>
  <c r="AB3491" i="9"/>
  <c r="V3491" i="9"/>
  <c r="R3491" i="9"/>
  <c r="K3491" i="9"/>
  <c r="L3491" i="9" s="1"/>
  <c r="I3491" i="9"/>
  <c r="AN3490" i="9"/>
  <c r="AM3490" i="9"/>
  <c r="AF3490" i="9"/>
  <c r="AB3490" i="9"/>
  <c r="V3490" i="9"/>
  <c r="R3490" i="9"/>
  <c r="I3490" i="9"/>
  <c r="K3490" i="9" s="1"/>
  <c r="L3490" i="9" s="1"/>
  <c r="AM3489" i="9"/>
  <c r="AN3489" i="9" s="1"/>
  <c r="AF3489" i="9"/>
  <c r="AB3489" i="9"/>
  <c r="V3489" i="9"/>
  <c r="AK3489" i="9" s="1"/>
  <c r="AL3489" i="9" s="1"/>
  <c r="R3489" i="9"/>
  <c r="I3489" i="9"/>
  <c r="K3489" i="9" s="1"/>
  <c r="L3489" i="9" s="1"/>
  <c r="AM3488" i="9"/>
  <c r="AN3488" i="9" s="1"/>
  <c r="AF3488" i="9"/>
  <c r="AB3488" i="9"/>
  <c r="V3488" i="9"/>
  <c r="AK3488" i="9" s="1"/>
  <c r="AL3488" i="9" s="1"/>
  <c r="R3488" i="9"/>
  <c r="I3488" i="9"/>
  <c r="K3488" i="9" s="1"/>
  <c r="L3488" i="9" s="1"/>
  <c r="AN3487" i="9"/>
  <c r="AM3487" i="9"/>
  <c r="AF3487" i="9"/>
  <c r="AB3487" i="9"/>
  <c r="V3487" i="9"/>
  <c r="R3487" i="9"/>
  <c r="I3487" i="9"/>
  <c r="K3487" i="9" s="1"/>
  <c r="L3487" i="9" s="1"/>
  <c r="AM3486" i="9"/>
  <c r="AN3486" i="9" s="1"/>
  <c r="AF3486" i="9"/>
  <c r="AB3486" i="9"/>
  <c r="V3486" i="9"/>
  <c r="R3486" i="9"/>
  <c r="L3486" i="9"/>
  <c r="K3486" i="9"/>
  <c r="I3486" i="9"/>
  <c r="AN3485" i="9"/>
  <c r="AM3485" i="9"/>
  <c r="AF3485" i="9"/>
  <c r="AB3485" i="9"/>
  <c r="V3485" i="9"/>
  <c r="R3485" i="9"/>
  <c r="AK3485" i="9" s="1"/>
  <c r="AL3485" i="9" s="1"/>
  <c r="I3485" i="9"/>
  <c r="K3485" i="9" s="1"/>
  <c r="L3485" i="9" s="1"/>
  <c r="AM3484" i="9"/>
  <c r="AN3484" i="9" s="1"/>
  <c r="AF3484" i="9"/>
  <c r="AB3484" i="9"/>
  <c r="V3484" i="9"/>
  <c r="R3484" i="9"/>
  <c r="L3484" i="9"/>
  <c r="I3484" i="9"/>
  <c r="K3484" i="9" s="1"/>
  <c r="AM3483" i="9"/>
  <c r="AN3483" i="9" s="1"/>
  <c r="AF3483" i="9"/>
  <c r="AB3483" i="9"/>
  <c r="V3483" i="9"/>
  <c r="R3483" i="9"/>
  <c r="I3483" i="9"/>
  <c r="K3483" i="9" s="1"/>
  <c r="L3483" i="9" s="1"/>
  <c r="AM3482" i="9"/>
  <c r="AN3482" i="9" s="1"/>
  <c r="AF3482" i="9"/>
  <c r="AB3482" i="9"/>
  <c r="V3482" i="9"/>
  <c r="R3482" i="9"/>
  <c r="L3482" i="9"/>
  <c r="I3482" i="9"/>
  <c r="K3482" i="9" s="1"/>
  <c r="AM3481" i="9"/>
  <c r="AN3481" i="9" s="1"/>
  <c r="AF3481" i="9"/>
  <c r="AB3481" i="9"/>
  <c r="V3481" i="9"/>
  <c r="R3481" i="9"/>
  <c r="K3481" i="9"/>
  <c r="L3481" i="9" s="1"/>
  <c r="I3481" i="9"/>
  <c r="AN3480" i="9"/>
  <c r="AM3480" i="9"/>
  <c r="AF3480" i="9"/>
  <c r="AB3480" i="9"/>
  <c r="AK3480" i="9" s="1"/>
  <c r="AL3480" i="9" s="1"/>
  <c r="V3480" i="9"/>
  <c r="R3480" i="9"/>
  <c r="I3480" i="9"/>
  <c r="K3480" i="9" s="1"/>
  <c r="L3480" i="9" s="1"/>
  <c r="AM3479" i="9"/>
  <c r="AN3479" i="9" s="1"/>
  <c r="AF3479" i="9"/>
  <c r="AB3479" i="9"/>
  <c r="AK3479" i="9" s="1"/>
  <c r="AL3479" i="9" s="1"/>
  <c r="V3479" i="9"/>
  <c r="R3479" i="9"/>
  <c r="I3479" i="9"/>
  <c r="K3479" i="9" s="1"/>
  <c r="L3479" i="9" s="1"/>
  <c r="AM3478" i="9"/>
  <c r="AN3478" i="9" s="1"/>
  <c r="AF3478" i="9"/>
  <c r="AB3478" i="9"/>
  <c r="V3478" i="9"/>
  <c r="R3478" i="9"/>
  <c r="I3478" i="9"/>
  <c r="K3478" i="9" s="1"/>
  <c r="L3478" i="9" s="1"/>
  <c r="AM3477" i="9"/>
  <c r="AN3477" i="9" s="1"/>
  <c r="AF3477" i="9"/>
  <c r="AB3477" i="9"/>
  <c r="V3477" i="9"/>
  <c r="R3477" i="9"/>
  <c r="I3477" i="9"/>
  <c r="K3477" i="9" s="1"/>
  <c r="L3477" i="9" s="1"/>
  <c r="AM3476" i="9"/>
  <c r="AN3476" i="9" s="1"/>
  <c r="AF3476" i="9"/>
  <c r="AB3476" i="9"/>
  <c r="V3476" i="9"/>
  <c r="R3476" i="9"/>
  <c r="K3476" i="9"/>
  <c r="L3476" i="9" s="1"/>
  <c r="I3476" i="9"/>
  <c r="AN3475" i="9"/>
  <c r="AM3475" i="9"/>
  <c r="AF3475" i="9"/>
  <c r="AB3475" i="9"/>
  <c r="V3475" i="9"/>
  <c r="R3475" i="9"/>
  <c r="I3475" i="9"/>
  <c r="K3475" i="9" s="1"/>
  <c r="L3475" i="9" s="1"/>
  <c r="AM3474" i="9"/>
  <c r="AN3474" i="9" s="1"/>
  <c r="AF3474" i="9"/>
  <c r="AB3474" i="9"/>
  <c r="V3474" i="9"/>
  <c r="R3474" i="9"/>
  <c r="K3474" i="9"/>
  <c r="L3474" i="9" s="1"/>
  <c r="I3474" i="9"/>
  <c r="AN3473" i="9"/>
  <c r="AM3473" i="9"/>
  <c r="AF3473" i="9"/>
  <c r="AB3473" i="9"/>
  <c r="V3473" i="9"/>
  <c r="R3473" i="9"/>
  <c r="I3473" i="9"/>
  <c r="K3473" i="9" s="1"/>
  <c r="L3473" i="9" s="1"/>
  <c r="AM3472" i="9"/>
  <c r="AN3472" i="9" s="1"/>
  <c r="AF3472" i="9"/>
  <c r="AB3472" i="9"/>
  <c r="V3472" i="9"/>
  <c r="R3472" i="9"/>
  <c r="I3472" i="9"/>
  <c r="K3472" i="9" s="1"/>
  <c r="L3472" i="9" s="1"/>
  <c r="AM3471" i="9"/>
  <c r="AN3471" i="9" s="1"/>
  <c r="AF3471" i="9"/>
  <c r="AB3471" i="9"/>
  <c r="V3471" i="9"/>
  <c r="R3471" i="9"/>
  <c r="I3471" i="9"/>
  <c r="K3471" i="9" s="1"/>
  <c r="L3471" i="9" s="1"/>
  <c r="AM3470" i="9"/>
  <c r="AN3470" i="9" s="1"/>
  <c r="J3470" i="9"/>
  <c r="D3470" i="9"/>
  <c r="AM3469" i="9"/>
  <c r="AN3469" i="9" s="1"/>
  <c r="AF3469" i="9"/>
  <c r="AB3469" i="9"/>
  <c r="V3469" i="9"/>
  <c r="R3469" i="9"/>
  <c r="L3469" i="9"/>
  <c r="K3469" i="9"/>
  <c r="I3469" i="9"/>
  <c r="AN3468" i="9"/>
  <c r="AM3468" i="9"/>
  <c r="AF3468" i="9"/>
  <c r="AB3468" i="9"/>
  <c r="V3468" i="9"/>
  <c r="R3468" i="9"/>
  <c r="AK3468" i="9" s="1"/>
  <c r="AL3468" i="9" s="1"/>
  <c r="K3468" i="9"/>
  <c r="L3468" i="9" s="1"/>
  <c r="I3468" i="9"/>
  <c r="AM3467" i="9"/>
  <c r="AN3467" i="9" s="1"/>
  <c r="AF3467" i="9"/>
  <c r="AB3467" i="9"/>
  <c r="V3467" i="9"/>
  <c r="R3467" i="9"/>
  <c r="K3467" i="9"/>
  <c r="L3467" i="9" s="1"/>
  <c r="I3467" i="9"/>
  <c r="AM3466" i="9"/>
  <c r="AN3466" i="9" s="1"/>
  <c r="AF3466" i="9"/>
  <c r="AB3466" i="9"/>
  <c r="V3466" i="9"/>
  <c r="R3466" i="9"/>
  <c r="K3466" i="9"/>
  <c r="L3466" i="9" s="1"/>
  <c r="I3466" i="9"/>
  <c r="AN3465" i="9"/>
  <c r="AM3465" i="9"/>
  <c r="AF3465" i="9"/>
  <c r="AB3465" i="9"/>
  <c r="V3465" i="9"/>
  <c r="R3465" i="9"/>
  <c r="I3465" i="9"/>
  <c r="K3465" i="9" s="1"/>
  <c r="L3465" i="9" s="1"/>
  <c r="AM3464" i="9"/>
  <c r="AN3464" i="9" s="1"/>
  <c r="AF3464" i="9"/>
  <c r="AB3464" i="9"/>
  <c r="V3464" i="9"/>
  <c r="R3464" i="9"/>
  <c r="I3464" i="9"/>
  <c r="K3464" i="9" s="1"/>
  <c r="L3464" i="9" s="1"/>
  <c r="AM3463" i="9"/>
  <c r="AN3463" i="9" s="1"/>
  <c r="AF3463" i="9"/>
  <c r="AB3463" i="9"/>
  <c r="V3463" i="9"/>
  <c r="R3463" i="9"/>
  <c r="I3463" i="9"/>
  <c r="K3463" i="9" s="1"/>
  <c r="L3463" i="9" s="1"/>
  <c r="AM3462" i="9"/>
  <c r="AN3462" i="9" s="1"/>
  <c r="AF3462" i="9"/>
  <c r="AB3462" i="9"/>
  <c r="V3462" i="9"/>
  <c r="R3462" i="9"/>
  <c r="K3462" i="9"/>
  <c r="L3462" i="9" s="1"/>
  <c r="I3462" i="9"/>
  <c r="AM3461" i="9"/>
  <c r="AN3461" i="9" s="1"/>
  <c r="AF3461" i="9"/>
  <c r="AB3461" i="9"/>
  <c r="V3461" i="9"/>
  <c r="R3461" i="9"/>
  <c r="K3461" i="9"/>
  <c r="L3461" i="9" s="1"/>
  <c r="I3461" i="9"/>
  <c r="AM3460" i="9"/>
  <c r="J3460" i="9"/>
  <c r="V3460" i="9" s="1"/>
  <c r="D3460" i="9"/>
  <c r="I3460" i="9" s="1"/>
  <c r="K3460" i="9" s="1"/>
  <c r="L3460" i="9" s="1"/>
  <c r="AM3459" i="9"/>
  <c r="J3459" i="9"/>
  <c r="D3459" i="9"/>
  <c r="AM3458" i="9"/>
  <c r="AN3458" i="9" s="1"/>
  <c r="AF3458" i="9"/>
  <c r="AB3458" i="9"/>
  <c r="V3458" i="9"/>
  <c r="R3458" i="9"/>
  <c r="I3458" i="9"/>
  <c r="K3458" i="9" s="1"/>
  <c r="L3458" i="9" s="1"/>
  <c r="AM3457" i="9"/>
  <c r="AN3457" i="9" s="1"/>
  <c r="AF3457" i="9"/>
  <c r="AB3457" i="9"/>
  <c r="V3457" i="9"/>
  <c r="R3457" i="9"/>
  <c r="K3457" i="9"/>
  <c r="L3457" i="9" s="1"/>
  <c r="I3457" i="9"/>
  <c r="AM3456" i="9"/>
  <c r="AN3456" i="9" s="1"/>
  <c r="AF3456" i="9"/>
  <c r="AB3456" i="9"/>
  <c r="V3456" i="9"/>
  <c r="R3456" i="9"/>
  <c r="AK3456" i="9" s="1"/>
  <c r="AL3456" i="9" s="1"/>
  <c r="I3456" i="9"/>
  <c r="K3456" i="9" s="1"/>
  <c r="L3456" i="9" s="1"/>
  <c r="AM3455" i="9"/>
  <c r="AN3455" i="9" s="1"/>
  <c r="AF3455" i="9"/>
  <c r="AB3455" i="9"/>
  <c r="V3455" i="9"/>
  <c r="R3455" i="9"/>
  <c r="I3455" i="9"/>
  <c r="K3455" i="9" s="1"/>
  <c r="L3455" i="9" s="1"/>
  <c r="AN3454" i="9"/>
  <c r="AM3454" i="9"/>
  <c r="AF3454" i="9"/>
  <c r="AB3454" i="9"/>
  <c r="V3454" i="9"/>
  <c r="R3454" i="9"/>
  <c r="K3454" i="9"/>
  <c r="L3454" i="9" s="1"/>
  <c r="I3454" i="9"/>
  <c r="Q3453" i="9"/>
  <c r="J3453" i="9"/>
  <c r="D3453" i="9"/>
  <c r="U3453" i="9" s="1"/>
  <c r="AM3452" i="9"/>
  <c r="AN3452" i="9" s="1"/>
  <c r="AF3452" i="9"/>
  <c r="AB3452" i="9"/>
  <c r="V3452" i="9"/>
  <c r="R3452" i="9"/>
  <c r="K3452" i="9"/>
  <c r="L3452" i="9" s="1"/>
  <c r="I3452" i="9"/>
  <c r="AN3451" i="9"/>
  <c r="AM3451" i="9"/>
  <c r="AF3451" i="9"/>
  <c r="AB3451" i="9"/>
  <c r="V3451" i="9"/>
  <c r="R3451" i="9"/>
  <c r="I3451" i="9"/>
  <c r="K3451" i="9" s="1"/>
  <c r="L3451" i="9" s="1"/>
  <c r="AM3450" i="9"/>
  <c r="AN3450" i="9" s="1"/>
  <c r="AF3450" i="9"/>
  <c r="AE3450" i="9"/>
  <c r="AB3450" i="9"/>
  <c r="AA3450" i="9"/>
  <c r="V3450" i="9"/>
  <c r="U3450" i="9"/>
  <c r="R3450" i="9"/>
  <c r="Q3450" i="9"/>
  <c r="I3450" i="9"/>
  <c r="K3450" i="9" s="1"/>
  <c r="L3450" i="9" s="1"/>
  <c r="AM3449" i="9"/>
  <c r="J3449" i="9"/>
  <c r="I3449" i="9" s="1"/>
  <c r="D3449" i="9"/>
  <c r="AN3448" i="9"/>
  <c r="AM3448" i="9"/>
  <c r="V3448" i="9"/>
  <c r="J3448" i="9"/>
  <c r="I3448" i="9" s="1"/>
  <c r="K3448" i="9" s="1"/>
  <c r="D3448" i="9"/>
  <c r="AN3447" i="9"/>
  <c r="AM3447" i="9"/>
  <c r="J3447" i="9"/>
  <c r="I3447" i="9" s="1"/>
  <c r="K3447" i="9" s="1"/>
  <c r="AN3446" i="9"/>
  <c r="AM3446" i="9"/>
  <c r="J3446" i="9"/>
  <c r="AF3446" i="9" s="1"/>
  <c r="D3446" i="9"/>
  <c r="AF3445" i="9"/>
  <c r="J3445" i="9"/>
  <c r="V3445" i="9" s="1"/>
  <c r="D3445" i="9"/>
  <c r="AE3445" i="9" s="1"/>
  <c r="AM3444" i="9"/>
  <c r="AB3444" i="9"/>
  <c r="V3444" i="9"/>
  <c r="R3444" i="9"/>
  <c r="J3444" i="9"/>
  <c r="D3444" i="9"/>
  <c r="AM3443" i="9"/>
  <c r="J3443" i="9"/>
  <c r="D3443" i="9"/>
  <c r="AM3442" i="9"/>
  <c r="AF3442" i="9"/>
  <c r="AB3442" i="9"/>
  <c r="R3442" i="9"/>
  <c r="AK3442" i="9" s="1"/>
  <c r="AL3442" i="9" s="1"/>
  <c r="J3442" i="9"/>
  <c r="V3442" i="9" s="1"/>
  <c r="D3442" i="9"/>
  <c r="AM3441" i="9"/>
  <c r="AF3441" i="9"/>
  <c r="AB3441" i="9"/>
  <c r="V3441" i="9"/>
  <c r="R3441" i="9"/>
  <c r="J3441" i="9"/>
  <c r="I3441" i="9"/>
  <c r="K3441" i="9" s="1"/>
  <c r="L3441" i="9" s="1"/>
  <c r="D3441" i="9"/>
  <c r="AF3440" i="9"/>
  <c r="AK3440" i="9" s="1"/>
  <c r="AL3440" i="9" s="1"/>
  <c r="AE3440" i="9"/>
  <c r="AB3440" i="9"/>
  <c r="AA3440" i="9"/>
  <c r="V3440" i="9"/>
  <c r="U3440" i="9"/>
  <c r="R3440" i="9"/>
  <c r="Q3440" i="9"/>
  <c r="K3440" i="9"/>
  <c r="L3440" i="9" s="1"/>
  <c r="AF3439" i="9"/>
  <c r="AK3439" i="9" s="1"/>
  <c r="AL3439" i="9" s="1"/>
  <c r="AE3439" i="9"/>
  <c r="AM3439" i="9" s="1"/>
  <c r="AN3439" i="9" s="1"/>
  <c r="AB3439" i="9"/>
  <c r="AA3439" i="9"/>
  <c r="V3439" i="9"/>
  <c r="U3439" i="9"/>
  <c r="R3439" i="9"/>
  <c r="Q3439" i="9"/>
  <c r="K3439" i="9"/>
  <c r="L3439" i="9" s="1"/>
  <c r="AF3438" i="9"/>
  <c r="AE3438" i="9"/>
  <c r="AB3438" i="9"/>
  <c r="AA3438" i="9"/>
  <c r="V3438" i="9"/>
  <c r="U3438" i="9"/>
  <c r="R3438" i="9"/>
  <c r="Q3438" i="9"/>
  <c r="K3438" i="9"/>
  <c r="L3438" i="9" s="1"/>
  <c r="AF3437" i="9"/>
  <c r="AE3437" i="9"/>
  <c r="AB3437" i="9"/>
  <c r="AA3437" i="9"/>
  <c r="V3437" i="9"/>
  <c r="U3437" i="9"/>
  <c r="R3437" i="9"/>
  <c r="Q3437" i="9"/>
  <c r="L3437" i="9"/>
  <c r="K3437" i="9"/>
  <c r="AF3436" i="9"/>
  <c r="AE3436" i="9"/>
  <c r="AB3436" i="9"/>
  <c r="AA3436" i="9"/>
  <c r="V3436" i="9"/>
  <c r="U3436" i="9"/>
  <c r="R3436" i="9"/>
  <c r="AK3436" i="9" s="1"/>
  <c r="AL3436" i="9" s="1"/>
  <c r="Q3436" i="9"/>
  <c r="K3436" i="9"/>
  <c r="L3436" i="9" s="1"/>
  <c r="AF3435" i="9"/>
  <c r="AE3435" i="9"/>
  <c r="AB3435" i="9"/>
  <c r="AA3435" i="9"/>
  <c r="V3435" i="9"/>
  <c r="U3435" i="9"/>
  <c r="R3435" i="9"/>
  <c r="Q3435" i="9"/>
  <c r="L3435" i="9"/>
  <c r="K3435" i="9"/>
  <c r="AN3434" i="9"/>
  <c r="AM3434" i="9"/>
  <c r="AF3434" i="9"/>
  <c r="AB3434" i="9"/>
  <c r="V3434" i="9"/>
  <c r="AK3434" i="9" s="1"/>
  <c r="AL3434" i="9" s="1"/>
  <c r="R3434" i="9"/>
  <c r="I3434" i="9"/>
  <c r="K3434" i="9" s="1"/>
  <c r="L3434" i="9" s="1"/>
  <c r="AN3433" i="9"/>
  <c r="AM3433" i="9"/>
  <c r="AF3433" i="9"/>
  <c r="AB3433" i="9"/>
  <c r="V3433" i="9"/>
  <c r="R3433" i="9"/>
  <c r="L3433" i="9"/>
  <c r="I3433" i="9"/>
  <c r="K3433" i="9" s="1"/>
  <c r="AM3432" i="9"/>
  <c r="AN3432" i="9" s="1"/>
  <c r="AF3432" i="9"/>
  <c r="AB3432" i="9"/>
  <c r="V3432" i="9"/>
  <c r="R3432" i="9"/>
  <c r="K3432" i="9"/>
  <c r="L3432" i="9" s="1"/>
  <c r="I3432" i="9"/>
  <c r="AN3431" i="9"/>
  <c r="AM3431" i="9"/>
  <c r="AF3431" i="9"/>
  <c r="AB3431" i="9"/>
  <c r="V3431" i="9"/>
  <c r="R3431" i="9"/>
  <c r="AK3431" i="9" s="1"/>
  <c r="AL3431" i="9" s="1"/>
  <c r="I3431" i="9"/>
  <c r="K3431" i="9" s="1"/>
  <c r="L3431" i="9" s="1"/>
  <c r="AM3430" i="9"/>
  <c r="AN3430" i="9" s="1"/>
  <c r="AF3430" i="9"/>
  <c r="AB3430" i="9"/>
  <c r="V3430" i="9"/>
  <c r="R3430" i="9"/>
  <c r="K3430" i="9"/>
  <c r="L3430" i="9" s="1"/>
  <c r="I3430" i="9"/>
  <c r="AN3429" i="9"/>
  <c r="AM3429" i="9"/>
  <c r="AF3429" i="9"/>
  <c r="AB3429" i="9"/>
  <c r="V3429" i="9"/>
  <c r="AK3429" i="9" s="1"/>
  <c r="AL3429" i="9" s="1"/>
  <c r="R3429" i="9"/>
  <c r="L3429" i="9"/>
  <c r="I3429" i="9"/>
  <c r="K3429" i="9" s="1"/>
  <c r="AN3428" i="9"/>
  <c r="AM3428" i="9"/>
  <c r="AF3428" i="9"/>
  <c r="AB3428" i="9"/>
  <c r="V3428" i="9"/>
  <c r="R3428" i="9"/>
  <c r="I3428" i="9"/>
  <c r="K3428" i="9" s="1"/>
  <c r="L3428" i="9" s="1"/>
  <c r="AM3427" i="9"/>
  <c r="AN3427" i="9" s="1"/>
  <c r="AF3427" i="9"/>
  <c r="AB3427" i="9"/>
  <c r="V3427" i="9"/>
  <c r="R3427" i="9"/>
  <c r="L3427" i="9"/>
  <c r="K3427" i="9"/>
  <c r="I3427" i="9"/>
  <c r="AM3426" i="9"/>
  <c r="AN3426" i="9" s="1"/>
  <c r="AF3426" i="9"/>
  <c r="AB3426" i="9"/>
  <c r="V3426" i="9"/>
  <c r="R3426" i="9"/>
  <c r="AK3426" i="9" s="1"/>
  <c r="AL3426" i="9" s="1"/>
  <c r="I3426" i="9"/>
  <c r="K3426" i="9" s="1"/>
  <c r="L3426" i="9" s="1"/>
  <c r="AM3425" i="9"/>
  <c r="AN3425" i="9" s="1"/>
  <c r="AF3425" i="9"/>
  <c r="AB3425" i="9"/>
  <c r="V3425" i="9"/>
  <c r="R3425" i="9"/>
  <c r="K3425" i="9"/>
  <c r="L3425" i="9" s="1"/>
  <c r="I3425" i="9"/>
  <c r="AN3424" i="9"/>
  <c r="AM3424" i="9"/>
  <c r="AF3424" i="9"/>
  <c r="AB3424" i="9"/>
  <c r="V3424" i="9"/>
  <c r="R3424" i="9"/>
  <c r="AK3424" i="9" s="1"/>
  <c r="AL3424" i="9" s="1"/>
  <c r="I3424" i="9"/>
  <c r="K3424" i="9" s="1"/>
  <c r="L3424" i="9" s="1"/>
  <c r="AN3423" i="9"/>
  <c r="AM3423" i="9"/>
  <c r="AF3423" i="9"/>
  <c r="AB3423" i="9"/>
  <c r="V3423" i="9"/>
  <c r="AK3423" i="9" s="1"/>
  <c r="AL3423" i="9" s="1"/>
  <c r="R3423" i="9"/>
  <c r="I3423" i="9"/>
  <c r="K3423" i="9" s="1"/>
  <c r="L3423" i="9" s="1"/>
  <c r="AM3422" i="9"/>
  <c r="AN3422" i="9" s="1"/>
  <c r="AF3422" i="9"/>
  <c r="AB3422" i="9"/>
  <c r="V3422" i="9"/>
  <c r="R3422" i="9"/>
  <c r="K3422" i="9"/>
  <c r="L3422" i="9" s="1"/>
  <c r="I3422" i="9"/>
  <c r="AM3421" i="9"/>
  <c r="AN3421" i="9" s="1"/>
  <c r="AF3421" i="9"/>
  <c r="AB3421" i="9"/>
  <c r="V3421" i="9"/>
  <c r="R3421" i="9"/>
  <c r="AK3421" i="9" s="1"/>
  <c r="AL3421" i="9" s="1"/>
  <c r="I3421" i="9"/>
  <c r="K3421" i="9" s="1"/>
  <c r="L3421" i="9" s="1"/>
  <c r="AN3420" i="9"/>
  <c r="AM3420" i="9"/>
  <c r="AF3420" i="9"/>
  <c r="AB3420" i="9"/>
  <c r="V3420" i="9"/>
  <c r="R3420" i="9"/>
  <c r="I3420" i="9"/>
  <c r="K3420" i="9" s="1"/>
  <c r="L3420" i="9" s="1"/>
  <c r="AM3419" i="9"/>
  <c r="AN3419" i="9" s="1"/>
  <c r="AF3419" i="9"/>
  <c r="AB3419" i="9"/>
  <c r="V3419" i="9"/>
  <c r="R3419" i="9"/>
  <c r="I3419" i="9"/>
  <c r="K3419" i="9" s="1"/>
  <c r="L3419" i="9" s="1"/>
  <c r="AM3418" i="9"/>
  <c r="AN3418" i="9" s="1"/>
  <c r="AF3418" i="9"/>
  <c r="AB3418" i="9"/>
  <c r="V3418" i="9"/>
  <c r="R3418" i="9"/>
  <c r="AK3418" i="9" s="1"/>
  <c r="AL3418" i="9" s="1"/>
  <c r="I3418" i="9"/>
  <c r="K3418" i="9" s="1"/>
  <c r="L3418" i="9" s="1"/>
  <c r="AN3417" i="9"/>
  <c r="AM3417" i="9"/>
  <c r="AF3417" i="9"/>
  <c r="AK3417" i="9" s="1"/>
  <c r="AL3417" i="9" s="1"/>
  <c r="AB3417" i="9"/>
  <c r="V3417" i="9"/>
  <c r="R3417" i="9"/>
  <c r="I3417" i="9"/>
  <c r="K3417" i="9" s="1"/>
  <c r="L3417" i="9" s="1"/>
  <c r="AN3416" i="9"/>
  <c r="AM3416" i="9"/>
  <c r="AF3416" i="9"/>
  <c r="AB3416" i="9"/>
  <c r="V3416" i="9"/>
  <c r="R3416" i="9"/>
  <c r="K3416" i="9"/>
  <c r="L3416" i="9" s="1"/>
  <c r="I3416" i="9"/>
  <c r="AN3415" i="9"/>
  <c r="AM3415" i="9"/>
  <c r="AF3415" i="9"/>
  <c r="AB3415" i="9"/>
  <c r="V3415" i="9"/>
  <c r="R3415" i="9"/>
  <c r="I3415" i="9"/>
  <c r="K3415" i="9" s="1"/>
  <c r="L3415" i="9" s="1"/>
  <c r="AM3414" i="9"/>
  <c r="AN3414" i="9" s="1"/>
  <c r="AF3414" i="9"/>
  <c r="AB3414" i="9"/>
  <c r="V3414" i="9"/>
  <c r="R3414" i="9"/>
  <c r="I3414" i="9"/>
  <c r="K3414" i="9" s="1"/>
  <c r="L3414" i="9" s="1"/>
  <c r="AM3413" i="9"/>
  <c r="AN3413" i="9" s="1"/>
  <c r="AF3413" i="9"/>
  <c r="AB3413" i="9"/>
  <c r="V3413" i="9"/>
  <c r="R3413" i="9"/>
  <c r="K3413" i="9"/>
  <c r="L3413" i="9" s="1"/>
  <c r="I3413" i="9"/>
  <c r="AM3412" i="9"/>
  <c r="AN3412" i="9" s="1"/>
  <c r="AF3412" i="9"/>
  <c r="AB3412" i="9"/>
  <c r="V3412" i="9"/>
  <c r="R3412" i="9"/>
  <c r="AK3412" i="9" s="1"/>
  <c r="AL3412" i="9" s="1"/>
  <c r="I3412" i="9"/>
  <c r="K3412" i="9" s="1"/>
  <c r="L3412" i="9" s="1"/>
  <c r="AN3411" i="9"/>
  <c r="AM3411" i="9"/>
  <c r="AF3411" i="9"/>
  <c r="AB3411" i="9"/>
  <c r="V3411" i="9"/>
  <c r="R3411" i="9"/>
  <c r="I3411" i="9"/>
  <c r="K3411" i="9" s="1"/>
  <c r="L3411" i="9" s="1"/>
  <c r="AN3410" i="9"/>
  <c r="AM3410" i="9"/>
  <c r="AF3410" i="9"/>
  <c r="AB3410" i="9"/>
  <c r="V3410" i="9"/>
  <c r="R3410" i="9"/>
  <c r="K3410" i="9"/>
  <c r="L3410" i="9" s="1"/>
  <c r="I3410" i="9"/>
  <c r="AN3409" i="9"/>
  <c r="AM3409" i="9"/>
  <c r="AF3409" i="9"/>
  <c r="AB3409" i="9"/>
  <c r="V3409" i="9"/>
  <c r="R3409" i="9"/>
  <c r="L3409" i="9"/>
  <c r="I3409" i="9"/>
  <c r="K3409" i="9" s="1"/>
  <c r="AM3408" i="9"/>
  <c r="AN3408" i="9" s="1"/>
  <c r="AF3408" i="9"/>
  <c r="AB3408" i="9"/>
  <c r="V3408" i="9"/>
  <c r="R3408" i="9"/>
  <c r="K3408" i="9"/>
  <c r="L3408" i="9" s="1"/>
  <c r="I3408" i="9"/>
  <c r="AF3407" i="9"/>
  <c r="AE3407" i="9"/>
  <c r="AB3407" i="9"/>
  <c r="AA3407" i="9"/>
  <c r="V3407" i="9"/>
  <c r="U3407" i="9"/>
  <c r="R3407" i="9"/>
  <c r="Q3407" i="9"/>
  <c r="K3407" i="9"/>
  <c r="L3407" i="9" s="1"/>
  <c r="I3407" i="9"/>
  <c r="AF3406" i="9"/>
  <c r="AE3406" i="9"/>
  <c r="AB3406" i="9"/>
  <c r="AA3406" i="9"/>
  <c r="V3406" i="9"/>
  <c r="U3406" i="9"/>
  <c r="R3406" i="9"/>
  <c r="AK3406" i="9" s="1"/>
  <c r="AL3406" i="9" s="1"/>
  <c r="Q3406" i="9"/>
  <c r="I3406" i="9"/>
  <c r="K3406" i="9" s="1"/>
  <c r="L3406" i="9" s="1"/>
  <c r="AN3405" i="9"/>
  <c r="AM3405" i="9"/>
  <c r="AF3405" i="9"/>
  <c r="AB3405" i="9"/>
  <c r="V3405" i="9"/>
  <c r="R3405" i="9"/>
  <c r="AK3405" i="9" s="1"/>
  <c r="AL3405" i="9" s="1"/>
  <c r="I3405" i="9"/>
  <c r="K3405" i="9" s="1"/>
  <c r="L3405" i="9" s="1"/>
  <c r="AM3404" i="9"/>
  <c r="AN3404" i="9" s="1"/>
  <c r="AF3404" i="9"/>
  <c r="AB3404" i="9"/>
  <c r="V3404" i="9"/>
  <c r="R3404" i="9"/>
  <c r="L3404" i="9"/>
  <c r="I3404" i="9"/>
  <c r="K3404" i="9" s="1"/>
  <c r="AF3403" i="9"/>
  <c r="AE3403" i="9"/>
  <c r="AB3403" i="9"/>
  <c r="AA3403" i="9"/>
  <c r="V3403" i="9"/>
  <c r="U3403" i="9"/>
  <c r="R3403" i="9"/>
  <c r="Q3403" i="9"/>
  <c r="I3403" i="9"/>
  <c r="K3403" i="9" s="1"/>
  <c r="L3403" i="9" s="1"/>
  <c r="AM3402" i="9"/>
  <c r="AN3402" i="9" s="1"/>
  <c r="AF3402" i="9"/>
  <c r="AB3402" i="9"/>
  <c r="V3402" i="9"/>
  <c r="R3402" i="9"/>
  <c r="I3402" i="9"/>
  <c r="K3402" i="9" s="1"/>
  <c r="L3402" i="9" s="1"/>
  <c r="AF3401" i="9"/>
  <c r="AE3401" i="9"/>
  <c r="AB3401" i="9"/>
  <c r="AA3401" i="9"/>
  <c r="V3401" i="9"/>
  <c r="U3401" i="9"/>
  <c r="R3401" i="9"/>
  <c r="Q3401" i="9"/>
  <c r="L3401" i="9"/>
  <c r="K3401" i="9"/>
  <c r="AO3400" i="9"/>
  <c r="AF3400" i="9"/>
  <c r="AE3400" i="9"/>
  <c r="AB3400" i="9"/>
  <c r="AA3400" i="9"/>
  <c r="V3400" i="9"/>
  <c r="U3400" i="9"/>
  <c r="R3400" i="9"/>
  <c r="Q3400" i="9"/>
  <c r="L3400" i="9"/>
  <c r="K3400" i="9"/>
  <c r="AF3399" i="9"/>
  <c r="AE3399" i="9"/>
  <c r="AB3399" i="9"/>
  <c r="AA3399" i="9"/>
  <c r="V3399" i="9"/>
  <c r="U3399" i="9"/>
  <c r="R3399" i="9"/>
  <c r="Q3399" i="9"/>
  <c r="K3399" i="9"/>
  <c r="L3399" i="9" s="1"/>
  <c r="AN3398" i="9"/>
  <c r="AM3398" i="9"/>
  <c r="AF3398" i="9"/>
  <c r="AB3398" i="9"/>
  <c r="AK3398" i="9" s="1"/>
  <c r="AL3398" i="9" s="1"/>
  <c r="V3398" i="9"/>
  <c r="R3398" i="9"/>
  <c r="L3398" i="9"/>
  <c r="I3398" i="9"/>
  <c r="K3398" i="9" s="1"/>
  <c r="AM3397" i="9"/>
  <c r="AN3397" i="9" s="1"/>
  <c r="AF3397" i="9"/>
  <c r="AB3397" i="9"/>
  <c r="V3397" i="9"/>
  <c r="R3397" i="9"/>
  <c r="I3397" i="9"/>
  <c r="K3397" i="9" s="1"/>
  <c r="L3397" i="9" s="1"/>
  <c r="AM3396" i="9"/>
  <c r="AN3396" i="9" s="1"/>
  <c r="AF3396" i="9"/>
  <c r="AB3396" i="9"/>
  <c r="V3396" i="9"/>
  <c r="R3396" i="9"/>
  <c r="I3396" i="9"/>
  <c r="K3396" i="9" s="1"/>
  <c r="L3396" i="9" s="1"/>
  <c r="AM3395" i="9"/>
  <c r="AN3395" i="9" s="1"/>
  <c r="AF3395" i="9"/>
  <c r="AB3395" i="9"/>
  <c r="V3395" i="9"/>
  <c r="R3395" i="9"/>
  <c r="I3395" i="9"/>
  <c r="K3395" i="9" s="1"/>
  <c r="L3395" i="9" s="1"/>
  <c r="AL3394" i="9"/>
  <c r="AF3394" i="9"/>
  <c r="AE3394" i="9"/>
  <c r="AB3394" i="9"/>
  <c r="AK3394" i="9" s="1"/>
  <c r="AA3394" i="9"/>
  <c r="V3394" i="9"/>
  <c r="U3394" i="9"/>
  <c r="R3394" i="9"/>
  <c r="Q3394" i="9"/>
  <c r="L3394" i="9"/>
  <c r="I3394" i="9"/>
  <c r="K3394" i="9" s="1"/>
  <c r="AN3393" i="9"/>
  <c r="AM3393" i="9"/>
  <c r="AF3393" i="9"/>
  <c r="AB3393" i="9"/>
  <c r="V3393" i="9"/>
  <c r="R3393" i="9"/>
  <c r="L3393" i="9"/>
  <c r="K3393" i="9"/>
  <c r="I3393" i="9"/>
  <c r="AN3392" i="9"/>
  <c r="AM3392" i="9"/>
  <c r="AF3392" i="9"/>
  <c r="AK3392" i="9" s="1"/>
  <c r="AL3392" i="9" s="1"/>
  <c r="AB3392" i="9"/>
  <c r="V3392" i="9"/>
  <c r="R3392" i="9"/>
  <c r="K3392" i="9"/>
  <c r="L3392" i="9" s="1"/>
  <c r="I3392" i="9"/>
  <c r="AM3391" i="9"/>
  <c r="AN3391" i="9" s="1"/>
  <c r="AL3391" i="9"/>
  <c r="AF3391" i="9"/>
  <c r="AK3391" i="9" s="1"/>
  <c r="AB3391" i="9"/>
  <c r="V3391" i="9"/>
  <c r="R3391" i="9"/>
  <c r="I3391" i="9"/>
  <c r="K3391" i="9" s="1"/>
  <c r="L3391" i="9" s="1"/>
  <c r="AM3390" i="9"/>
  <c r="AN3390" i="9" s="1"/>
  <c r="AF3390" i="9"/>
  <c r="AB3390" i="9"/>
  <c r="V3390" i="9"/>
  <c r="R3390" i="9"/>
  <c r="K3390" i="9"/>
  <c r="L3390" i="9" s="1"/>
  <c r="I3390" i="9"/>
  <c r="AM3389" i="9"/>
  <c r="AN3389" i="9" s="1"/>
  <c r="AF3389" i="9"/>
  <c r="AB3389" i="9"/>
  <c r="V3389" i="9"/>
  <c r="R3389" i="9"/>
  <c r="L3389" i="9"/>
  <c r="I3389" i="9"/>
  <c r="K3389" i="9" s="1"/>
  <c r="AM3388" i="9"/>
  <c r="AN3388" i="9" s="1"/>
  <c r="AF3388" i="9"/>
  <c r="AB3388" i="9"/>
  <c r="V3388" i="9"/>
  <c r="R3388" i="9"/>
  <c r="L3388" i="9"/>
  <c r="I3388" i="9"/>
  <c r="K3388" i="9" s="1"/>
  <c r="AN3387" i="9"/>
  <c r="AM3387" i="9"/>
  <c r="AK3387" i="9"/>
  <c r="AL3387" i="9" s="1"/>
  <c r="AF3387" i="9"/>
  <c r="AB3387" i="9"/>
  <c r="V3387" i="9"/>
  <c r="R3387" i="9"/>
  <c r="K3387" i="9"/>
  <c r="L3387" i="9" s="1"/>
  <c r="I3387" i="9"/>
  <c r="AM3386" i="9"/>
  <c r="AN3386" i="9" s="1"/>
  <c r="AF3386" i="9"/>
  <c r="AB3386" i="9"/>
  <c r="V3386" i="9"/>
  <c r="R3386" i="9"/>
  <c r="I3386" i="9"/>
  <c r="K3386" i="9" s="1"/>
  <c r="L3386" i="9" s="1"/>
  <c r="AF3385" i="9"/>
  <c r="AA3385" i="9"/>
  <c r="V3385" i="9"/>
  <c r="U3385" i="9"/>
  <c r="R3385" i="9"/>
  <c r="J3385" i="9"/>
  <c r="D3385" i="9"/>
  <c r="AM3384" i="9"/>
  <c r="AN3384" i="9" s="1"/>
  <c r="AF3384" i="9"/>
  <c r="AB3384" i="9"/>
  <c r="V3384" i="9"/>
  <c r="R3384" i="9"/>
  <c r="I3384" i="9"/>
  <c r="K3384" i="9" s="1"/>
  <c r="L3384" i="9" s="1"/>
  <c r="AM3383" i="9"/>
  <c r="AN3383" i="9" s="1"/>
  <c r="AF3383" i="9"/>
  <c r="AB3383" i="9"/>
  <c r="V3383" i="9"/>
  <c r="R3383" i="9"/>
  <c r="I3383" i="9"/>
  <c r="K3383" i="9" s="1"/>
  <c r="L3383" i="9" s="1"/>
  <c r="AM3382" i="9"/>
  <c r="AN3382" i="9" s="1"/>
  <c r="AF3382" i="9"/>
  <c r="AB3382" i="9"/>
  <c r="V3382" i="9"/>
  <c r="R3382" i="9"/>
  <c r="K3382" i="9"/>
  <c r="L3382" i="9" s="1"/>
  <c r="I3382" i="9"/>
  <c r="AN3381" i="9"/>
  <c r="AM3381" i="9"/>
  <c r="AF3381" i="9"/>
  <c r="AB3381" i="9"/>
  <c r="V3381" i="9"/>
  <c r="R3381" i="9"/>
  <c r="I3381" i="9"/>
  <c r="K3381" i="9" s="1"/>
  <c r="L3381" i="9" s="1"/>
  <c r="AM3380" i="9"/>
  <c r="AN3380" i="9" s="1"/>
  <c r="AF3380" i="9"/>
  <c r="AB3380" i="9"/>
  <c r="V3380" i="9"/>
  <c r="R3380" i="9"/>
  <c r="I3380" i="9"/>
  <c r="K3380" i="9" s="1"/>
  <c r="L3380" i="9" s="1"/>
  <c r="AN3379" i="9"/>
  <c r="AM3379" i="9"/>
  <c r="AF3379" i="9"/>
  <c r="AB3379" i="9"/>
  <c r="V3379" i="9"/>
  <c r="R3379" i="9"/>
  <c r="I3379" i="9"/>
  <c r="K3379" i="9" s="1"/>
  <c r="L3379" i="9" s="1"/>
  <c r="AM3378" i="9"/>
  <c r="AN3378" i="9" s="1"/>
  <c r="AF3378" i="9"/>
  <c r="AB3378" i="9"/>
  <c r="V3378" i="9"/>
  <c r="R3378" i="9"/>
  <c r="I3378" i="9"/>
  <c r="K3378" i="9" s="1"/>
  <c r="L3378" i="9" s="1"/>
  <c r="AM3377" i="9"/>
  <c r="AN3377" i="9" s="1"/>
  <c r="AF3377" i="9"/>
  <c r="AB3377" i="9"/>
  <c r="V3377" i="9"/>
  <c r="R3377" i="9"/>
  <c r="I3377" i="9"/>
  <c r="K3377" i="9" s="1"/>
  <c r="L3377" i="9" s="1"/>
  <c r="AN3376" i="9"/>
  <c r="AM3376" i="9"/>
  <c r="AF3376" i="9"/>
  <c r="AB3376" i="9"/>
  <c r="V3376" i="9"/>
  <c r="R3376" i="9"/>
  <c r="I3376" i="9"/>
  <c r="K3376" i="9" s="1"/>
  <c r="L3376" i="9" s="1"/>
  <c r="AM3375" i="9"/>
  <c r="AN3375" i="9" s="1"/>
  <c r="AF3375" i="9"/>
  <c r="AB3375" i="9"/>
  <c r="V3375" i="9"/>
  <c r="AK3375" i="9" s="1"/>
  <c r="AL3375" i="9" s="1"/>
  <c r="R3375" i="9"/>
  <c r="I3375" i="9"/>
  <c r="K3375" i="9" s="1"/>
  <c r="L3375" i="9" s="1"/>
  <c r="AM3374" i="9"/>
  <c r="AN3374" i="9" s="1"/>
  <c r="AK3374" i="9"/>
  <c r="AL3374" i="9" s="1"/>
  <c r="AF3374" i="9"/>
  <c r="AB3374" i="9"/>
  <c r="V3374" i="9"/>
  <c r="R3374" i="9"/>
  <c r="I3374" i="9"/>
  <c r="K3374" i="9" s="1"/>
  <c r="L3374" i="9" s="1"/>
  <c r="AF3373" i="9"/>
  <c r="AE3373" i="9"/>
  <c r="AB3373" i="9"/>
  <c r="AA3373" i="9"/>
  <c r="V3373" i="9"/>
  <c r="U3373" i="9"/>
  <c r="R3373" i="9"/>
  <c r="Q3373" i="9"/>
  <c r="K3373" i="9"/>
  <c r="L3373" i="9" s="1"/>
  <c r="I3373" i="9"/>
  <c r="AM3372" i="9"/>
  <c r="AN3372" i="9" s="1"/>
  <c r="AF3372" i="9"/>
  <c r="AB3372" i="9"/>
  <c r="V3372" i="9"/>
  <c r="R3372" i="9"/>
  <c r="L3372" i="9"/>
  <c r="I3372" i="9"/>
  <c r="K3372" i="9" s="1"/>
  <c r="AM3371" i="9"/>
  <c r="J3371" i="9"/>
  <c r="D3371" i="9"/>
  <c r="AM3370" i="9"/>
  <c r="J3370" i="9"/>
  <c r="D3370" i="9"/>
  <c r="AM3369" i="9"/>
  <c r="AF3369" i="9"/>
  <c r="R3369" i="9"/>
  <c r="J3369" i="9"/>
  <c r="D3369" i="9"/>
  <c r="AF3368" i="9"/>
  <c r="AE3368" i="9"/>
  <c r="AB3368" i="9"/>
  <c r="AA3368" i="9"/>
  <c r="V3368" i="9"/>
  <c r="U3368" i="9"/>
  <c r="R3368" i="9"/>
  <c r="Q3368" i="9"/>
  <c r="L3368" i="9"/>
  <c r="K3368" i="9"/>
  <c r="AF3367" i="9"/>
  <c r="AE3367" i="9"/>
  <c r="AB3367" i="9"/>
  <c r="AA3367" i="9"/>
  <c r="V3367" i="9"/>
  <c r="U3367" i="9"/>
  <c r="R3367" i="9"/>
  <c r="AK3367" i="9" s="1"/>
  <c r="AL3367" i="9" s="1"/>
  <c r="Q3367" i="9"/>
  <c r="L3367" i="9"/>
  <c r="K3367" i="9"/>
  <c r="AF3366" i="9"/>
  <c r="AE3366" i="9"/>
  <c r="AB3366" i="9"/>
  <c r="AA3366" i="9"/>
  <c r="V3366" i="9"/>
  <c r="U3366" i="9"/>
  <c r="R3366" i="9"/>
  <c r="AK3366" i="9" s="1"/>
  <c r="AL3366" i="9" s="1"/>
  <c r="Q3366" i="9"/>
  <c r="L3366" i="9"/>
  <c r="K3366" i="9"/>
  <c r="AE3365" i="9"/>
  <c r="AA3365" i="9"/>
  <c r="U3365" i="9"/>
  <c r="Q3365" i="9"/>
  <c r="K3365" i="9"/>
  <c r="J3365" i="9"/>
  <c r="AF3364" i="9"/>
  <c r="AE3364" i="9"/>
  <c r="AB3364" i="9"/>
  <c r="AA3364" i="9"/>
  <c r="AM3364" i="9" s="1"/>
  <c r="AN3364" i="9" s="1"/>
  <c r="V3364" i="9"/>
  <c r="U3364" i="9"/>
  <c r="R3364" i="9"/>
  <c r="Q3364" i="9"/>
  <c r="K3364" i="9"/>
  <c r="L3364" i="9" s="1"/>
  <c r="AF3363" i="9"/>
  <c r="AE3363" i="9"/>
  <c r="AM3363" i="9" s="1"/>
  <c r="AN3363" i="9" s="1"/>
  <c r="AB3363" i="9"/>
  <c r="AA3363" i="9"/>
  <c r="V3363" i="9"/>
  <c r="U3363" i="9"/>
  <c r="R3363" i="9"/>
  <c r="Q3363" i="9"/>
  <c r="L3363" i="9"/>
  <c r="K3363" i="9"/>
  <c r="AF3362" i="9"/>
  <c r="AE3362" i="9"/>
  <c r="AB3362" i="9"/>
  <c r="AA3362" i="9"/>
  <c r="AM3362" i="9" s="1"/>
  <c r="AN3362" i="9" s="1"/>
  <c r="V3362" i="9"/>
  <c r="U3362" i="9"/>
  <c r="R3362" i="9"/>
  <c r="Q3362" i="9"/>
  <c r="K3362" i="9"/>
  <c r="L3362" i="9" s="1"/>
  <c r="AF3361" i="9"/>
  <c r="AE3361" i="9"/>
  <c r="AB3361" i="9"/>
  <c r="AA3361" i="9"/>
  <c r="V3361" i="9"/>
  <c r="U3361" i="9"/>
  <c r="R3361" i="9"/>
  <c r="Q3361" i="9"/>
  <c r="K3361" i="9"/>
  <c r="L3361" i="9" s="1"/>
  <c r="AN3360" i="9"/>
  <c r="AM3360" i="9"/>
  <c r="AF3360" i="9"/>
  <c r="AB3360" i="9"/>
  <c r="V3360" i="9"/>
  <c r="R3360" i="9"/>
  <c r="I3360" i="9"/>
  <c r="K3360" i="9" s="1"/>
  <c r="L3360" i="9" s="1"/>
  <c r="AM3359" i="9"/>
  <c r="AN3359" i="9" s="1"/>
  <c r="AF3359" i="9"/>
  <c r="AB3359" i="9"/>
  <c r="V3359" i="9"/>
  <c r="AK3359" i="9" s="1"/>
  <c r="AL3359" i="9" s="1"/>
  <c r="R3359" i="9"/>
  <c r="L3359" i="9"/>
  <c r="I3359" i="9"/>
  <c r="K3359" i="9" s="1"/>
  <c r="AO3358" i="9"/>
  <c r="AF3358" i="9"/>
  <c r="AE3358" i="9"/>
  <c r="AB3358" i="9"/>
  <c r="AA3358" i="9"/>
  <c r="V3358" i="9"/>
  <c r="U3358" i="9"/>
  <c r="R3358" i="9"/>
  <c r="Q3358" i="9"/>
  <c r="K3358" i="9"/>
  <c r="L3358" i="9" s="1"/>
  <c r="AF3357" i="9"/>
  <c r="AE3357" i="9"/>
  <c r="AB3357" i="9"/>
  <c r="AA3357" i="9"/>
  <c r="V3357" i="9"/>
  <c r="U3357" i="9"/>
  <c r="R3357" i="9"/>
  <c r="Q3357" i="9"/>
  <c r="AM3357" i="9" s="1"/>
  <c r="AN3357" i="9" s="1"/>
  <c r="K3357" i="9"/>
  <c r="L3357" i="9" s="1"/>
  <c r="AF3356" i="9"/>
  <c r="AE3356" i="9"/>
  <c r="AB3356" i="9"/>
  <c r="AA3356" i="9"/>
  <c r="V3356" i="9"/>
  <c r="U3356" i="9"/>
  <c r="R3356" i="9"/>
  <c r="Q3356" i="9"/>
  <c r="AM3356" i="9" s="1"/>
  <c r="AN3356" i="9" s="1"/>
  <c r="K3356" i="9"/>
  <c r="L3356" i="9" s="1"/>
  <c r="AF3355" i="9"/>
  <c r="AE3355" i="9"/>
  <c r="AB3355" i="9"/>
  <c r="AA3355" i="9"/>
  <c r="V3355" i="9"/>
  <c r="U3355" i="9"/>
  <c r="R3355" i="9"/>
  <c r="Q3355" i="9"/>
  <c r="L3355" i="9"/>
  <c r="K3355" i="9"/>
  <c r="AF3354" i="9"/>
  <c r="AE3354" i="9"/>
  <c r="AB3354" i="9"/>
  <c r="AA3354" i="9"/>
  <c r="V3354" i="9"/>
  <c r="U3354" i="9"/>
  <c r="R3354" i="9"/>
  <c r="Q3354" i="9"/>
  <c r="L3354" i="9"/>
  <c r="K3354" i="9"/>
  <c r="AF3353" i="9"/>
  <c r="AE3353" i="9"/>
  <c r="AB3353" i="9"/>
  <c r="AA3353" i="9"/>
  <c r="V3353" i="9"/>
  <c r="U3353" i="9"/>
  <c r="R3353" i="9"/>
  <c r="Q3353" i="9"/>
  <c r="K3353" i="9"/>
  <c r="L3353" i="9" s="1"/>
  <c r="AF3352" i="9"/>
  <c r="AE3352" i="9"/>
  <c r="AB3352" i="9"/>
  <c r="AA3352" i="9"/>
  <c r="V3352" i="9"/>
  <c r="AK3352" i="9" s="1"/>
  <c r="AL3352" i="9" s="1"/>
  <c r="U3352" i="9"/>
  <c r="R3352" i="9"/>
  <c r="Q3352" i="9"/>
  <c r="K3352" i="9"/>
  <c r="L3352" i="9" s="1"/>
  <c r="AF3351" i="9"/>
  <c r="AE3351" i="9"/>
  <c r="AM3351" i="9" s="1"/>
  <c r="AN3351" i="9" s="1"/>
  <c r="AB3351" i="9"/>
  <c r="AA3351" i="9"/>
  <c r="U3351" i="9"/>
  <c r="Q3351" i="9"/>
  <c r="K3351" i="9"/>
  <c r="J3351" i="9"/>
  <c r="AF3350" i="9"/>
  <c r="AK3350" i="9" s="1"/>
  <c r="AL3350" i="9" s="1"/>
  <c r="AE3350" i="9"/>
  <c r="AB3350" i="9"/>
  <c r="AA3350" i="9"/>
  <c r="V3350" i="9"/>
  <c r="U3350" i="9"/>
  <c r="R3350" i="9"/>
  <c r="Q3350" i="9"/>
  <c r="L3350" i="9"/>
  <c r="K3350" i="9"/>
  <c r="AF3349" i="9"/>
  <c r="AE3349" i="9"/>
  <c r="AB3349" i="9"/>
  <c r="AA3349" i="9"/>
  <c r="V3349" i="9"/>
  <c r="U3349" i="9"/>
  <c r="R3349" i="9"/>
  <c r="Q3349" i="9"/>
  <c r="AM3349" i="9" s="1"/>
  <c r="AN3349" i="9" s="1"/>
  <c r="K3349" i="9"/>
  <c r="L3349" i="9" s="1"/>
  <c r="AF3348" i="9"/>
  <c r="AK3348" i="9" s="1"/>
  <c r="AL3348" i="9" s="1"/>
  <c r="AE3348" i="9"/>
  <c r="AB3348" i="9"/>
  <c r="AA3348" i="9"/>
  <c r="V3348" i="9"/>
  <c r="U3348" i="9"/>
  <c r="R3348" i="9"/>
  <c r="Q3348" i="9"/>
  <c r="K3348" i="9"/>
  <c r="L3348" i="9" s="1"/>
  <c r="AM3347" i="9"/>
  <c r="AN3347" i="9" s="1"/>
  <c r="AK3347" i="9"/>
  <c r="AL3347" i="9" s="1"/>
  <c r="K3347" i="9"/>
  <c r="L3347" i="9" s="1"/>
  <c r="AM3346" i="9"/>
  <c r="AN3346" i="9" s="1"/>
  <c r="AL3346" i="9"/>
  <c r="AK3346" i="9"/>
  <c r="K3346" i="9"/>
  <c r="L3346" i="9" s="1"/>
  <c r="AM3345" i="9"/>
  <c r="AN3345" i="9" s="1"/>
  <c r="AL3345" i="9"/>
  <c r="AK3345" i="9"/>
  <c r="K3345" i="9"/>
  <c r="L3345" i="9" s="1"/>
  <c r="AM3344" i="9"/>
  <c r="AN3344" i="9" s="1"/>
  <c r="AK3344" i="9"/>
  <c r="AL3344" i="9" s="1"/>
  <c r="K3344" i="9"/>
  <c r="L3344" i="9" s="1"/>
  <c r="AM3343" i="9"/>
  <c r="AN3343" i="9" s="1"/>
  <c r="AF3343" i="9"/>
  <c r="AB3343" i="9"/>
  <c r="V3343" i="9"/>
  <c r="R3343" i="9"/>
  <c r="I3343" i="9"/>
  <c r="K3343" i="9" s="1"/>
  <c r="L3343" i="9" s="1"/>
  <c r="AN3342" i="9"/>
  <c r="AM3342" i="9"/>
  <c r="AF3342" i="9"/>
  <c r="AB3342" i="9"/>
  <c r="V3342" i="9"/>
  <c r="R3342" i="9"/>
  <c r="I3342" i="9"/>
  <c r="K3342" i="9" s="1"/>
  <c r="L3342" i="9" s="1"/>
  <c r="AM3341" i="9"/>
  <c r="AN3341" i="9" s="1"/>
  <c r="AF3341" i="9"/>
  <c r="AB3341" i="9"/>
  <c r="V3341" i="9"/>
  <c r="R3341" i="9"/>
  <c r="I3341" i="9"/>
  <c r="K3341" i="9" s="1"/>
  <c r="L3341" i="9" s="1"/>
  <c r="AN3340" i="9"/>
  <c r="AM3340" i="9"/>
  <c r="AF3340" i="9"/>
  <c r="AB3340" i="9"/>
  <c r="V3340" i="9"/>
  <c r="R3340" i="9"/>
  <c r="K3340" i="9"/>
  <c r="L3340" i="9" s="1"/>
  <c r="I3340" i="9"/>
  <c r="AM3339" i="9"/>
  <c r="AN3339" i="9" s="1"/>
  <c r="AF3339" i="9"/>
  <c r="AB3339" i="9"/>
  <c r="AK3339" i="9" s="1"/>
  <c r="AL3339" i="9" s="1"/>
  <c r="V3339" i="9"/>
  <c r="R3339" i="9"/>
  <c r="K3339" i="9"/>
  <c r="L3339" i="9" s="1"/>
  <c r="I3339" i="9"/>
  <c r="AN3338" i="9"/>
  <c r="AM3338" i="9"/>
  <c r="AF3338" i="9"/>
  <c r="AB3338" i="9"/>
  <c r="V3338" i="9"/>
  <c r="R3338" i="9"/>
  <c r="I3338" i="9"/>
  <c r="K3338" i="9" s="1"/>
  <c r="L3338" i="9" s="1"/>
  <c r="AM3337" i="9"/>
  <c r="AN3337" i="9" s="1"/>
  <c r="AF3337" i="9"/>
  <c r="AB3337" i="9"/>
  <c r="V3337" i="9"/>
  <c r="R3337" i="9"/>
  <c r="L3337" i="9"/>
  <c r="I3337" i="9"/>
  <c r="K3337" i="9" s="1"/>
  <c r="AM3336" i="9"/>
  <c r="AN3336" i="9" s="1"/>
  <c r="AF3336" i="9"/>
  <c r="AB3336" i="9"/>
  <c r="V3336" i="9"/>
  <c r="R3336" i="9"/>
  <c r="L3336" i="9"/>
  <c r="K3336" i="9"/>
  <c r="I3336" i="9"/>
  <c r="AN3335" i="9"/>
  <c r="AM3335" i="9"/>
  <c r="AF3335" i="9"/>
  <c r="AB3335" i="9"/>
  <c r="V3335" i="9"/>
  <c r="R3335" i="9"/>
  <c r="AK3335" i="9" s="1"/>
  <c r="AL3335" i="9" s="1"/>
  <c r="I3335" i="9"/>
  <c r="K3335" i="9" s="1"/>
  <c r="L3335" i="9" s="1"/>
  <c r="AM3334" i="9"/>
  <c r="AN3334" i="9" s="1"/>
  <c r="AK3334" i="9"/>
  <c r="AL3334" i="9" s="1"/>
  <c r="AF3334" i="9"/>
  <c r="AB3334" i="9"/>
  <c r="V3334" i="9"/>
  <c r="R3334" i="9"/>
  <c r="I3334" i="9"/>
  <c r="K3334" i="9" s="1"/>
  <c r="L3334" i="9" s="1"/>
  <c r="AM3333" i="9"/>
  <c r="AN3333" i="9" s="1"/>
  <c r="AF3333" i="9"/>
  <c r="AB3333" i="9"/>
  <c r="AK3333" i="9" s="1"/>
  <c r="AL3333" i="9" s="1"/>
  <c r="V3333" i="9"/>
  <c r="R3333" i="9"/>
  <c r="K3333" i="9"/>
  <c r="L3333" i="9" s="1"/>
  <c r="I3333" i="9"/>
  <c r="AM3332" i="9"/>
  <c r="AN3332" i="9" s="1"/>
  <c r="AF3332" i="9"/>
  <c r="AB3332" i="9"/>
  <c r="V3332" i="9"/>
  <c r="R3332" i="9"/>
  <c r="I3332" i="9"/>
  <c r="K3332" i="9" s="1"/>
  <c r="L3332" i="9" s="1"/>
  <c r="AM3331" i="9"/>
  <c r="AN3331" i="9" s="1"/>
  <c r="AF3331" i="9"/>
  <c r="AB3331" i="9"/>
  <c r="V3331" i="9"/>
  <c r="R3331" i="9"/>
  <c r="K3331" i="9"/>
  <c r="L3331" i="9" s="1"/>
  <c r="I3331" i="9"/>
  <c r="AM3330" i="9"/>
  <c r="AN3330" i="9" s="1"/>
  <c r="AF3330" i="9"/>
  <c r="AB3330" i="9"/>
  <c r="V3330" i="9"/>
  <c r="R3330" i="9"/>
  <c r="I3330" i="9"/>
  <c r="K3330" i="9" s="1"/>
  <c r="L3330" i="9" s="1"/>
  <c r="AM3329" i="9"/>
  <c r="AN3329" i="9" s="1"/>
  <c r="AF3329" i="9"/>
  <c r="AK3329" i="9" s="1"/>
  <c r="AL3329" i="9" s="1"/>
  <c r="AB3329" i="9"/>
  <c r="V3329" i="9"/>
  <c r="R3329" i="9"/>
  <c r="I3329" i="9"/>
  <c r="K3329" i="9" s="1"/>
  <c r="L3329" i="9" s="1"/>
  <c r="AN3328" i="9"/>
  <c r="AM3328" i="9"/>
  <c r="AF3328" i="9"/>
  <c r="AB3328" i="9"/>
  <c r="V3328" i="9"/>
  <c r="R3328" i="9"/>
  <c r="I3328" i="9"/>
  <c r="K3328" i="9" s="1"/>
  <c r="L3328" i="9" s="1"/>
  <c r="AM3327" i="9"/>
  <c r="AN3327" i="9" s="1"/>
  <c r="AF3327" i="9"/>
  <c r="AB3327" i="9"/>
  <c r="V3327" i="9"/>
  <c r="R3327" i="9"/>
  <c r="I3327" i="9"/>
  <c r="K3327" i="9" s="1"/>
  <c r="L3327" i="9" s="1"/>
  <c r="AM3326" i="9"/>
  <c r="AN3326" i="9" s="1"/>
  <c r="AF3326" i="9"/>
  <c r="AB3326" i="9"/>
  <c r="V3326" i="9"/>
  <c r="R3326" i="9"/>
  <c r="AK3326" i="9" s="1"/>
  <c r="AL3326" i="9" s="1"/>
  <c r="I3326" i="9"/>
  <c r="K3326" i="9" s="1"/>
  <c r="L3326" i="9" s="1"/>
  <c r="AN3325" i="9"/>
  <c r="AM3325" i="9"/>
  <c r="AF3325" i="9"/>
  <c r="AB3325" i="9"/>
  <c r="V3325" i="9"/>
  <c r="R3325" i="9"/>
  <c r="AK3325" i="9" s="1"/>
  <c r="AL3325" i="9" s="1"/>
  <c r="I3325" i="9"/>
  <c r="K3325" i="9" s="1"/>
  <c r="L3325" i="9" s="1"/>
  <c r="AM3324" i="9"/>
  <c r="AN3324" i="9" s="1"/>
  <c r="V3324" i="9"/>
  <c r="J3324" i="9"/>
  <c r="D3324" i="9"/>
  <c r="AM3323" i="9"/>
  <c r="AN3323" i="9" s="1"/>
  <c r="J3323" i="9"/>
  <c r="I3323" i="9" s="1"/>
  <c r="D3323" i="9"/>
  <c r="AM3322" i="9"/>
  <c r="AN3322" i="9" s="1"/>
  <c r="AF3322" i="9"/>
  <c r="AB3322" i="9"/>
  <c r="V3322" i="9"/>
  <c r="R3322" i="9"/>
  <c r="I3322" i="9"/>
  <c r="K3322" i="9" s="1"/>
  <c r="L3322" i="9" s="1"/>
  <c r="AM3321" i="9"/>
  <c r="AN3321" i="9" s="1"/>
  <c r="AF3321" i="9"/>
  <c r="AB3321" i="9"/>
  <c r="V3321" i="9"/>
  <c r="R3321" i="9"/>
  <c r="AK3321" i="9" s="1"/>
  <c r="AL3321" i="9" s="1"/>
  <c r="I3321" i="9"/>
  <c r="K3321" i="9" s="1"/>
  <c r="L3321" i="9" s="1"/>
  <c r="AM3320" i="9"/>
  <c r="AN3320" i="9" s="1"/>
  <c r="AF3320" i="9"/>
  <c r="AB3320" i="9"/>
  <c r="V3320" i="9"/>
  <c r="R3320" i="9"/>
  <c r="I3320" i="9"/>
  <c r="K3320" i="9" s="1"/>
  <c r="L3320" i="9" s="1"/>
  <c r="AM3319" i="9"/>
  <c r="AN3319" i="9" s="1"/>
  <c r="AF3319" i="9"/>
  <c r="AB3319" i="9"/>
  <c r="AK3319" i="9" s="1"/>
  <c r="AL3319" i="9" s="1"/>
  <c r="V3319" i="9"/>
  <c r="R3319" i="9"/>
  <c r="I3319" i="9"/>
  <c r="K3319" i="9" s="1"/>
  <c r="L3319" i="9" s="1"/>
  <c r="AN3318" i="9"/>
  <c r="AM3318" i="9"/>
  <c r="AF3318" i="9"/>
  <c r="AB3318" i="9"/>
  <c r="V3318" i="9"/>
  <c r="R3318" i="9"/>
  <c r="L3318" i="9"/>
  <c r="I3318" i="9"/>
  <c r="K3318" i="9" s="1"/>
  <c r="AN3317" i="9"/>
  <c r="AM3317" i="9"/>
  <c r="AF3317" i="9"/>
  <c r="AB3317" i="9"/>
  <c r="V3317" i="9"/>
  <c r="R3317" i="9"/>
  <c r="K3317" i="9"/>
  <c r="L3317" i="9" s="1"/>
  <c r="I3317" i="9"/>
  <c r="AN3316" i="9"/>
  <c r="AM3316" i="9"/>
  <c r="AF3316" i="9"/>
  <c r="AB3316" i="9"/>
  <c r="V3316" i="9"/>
  <c r="R3316" i="9"/>
  <c r="I3316" i="9"/>
  <c r="K3316" i="9" s="1"/>
  <c r="L3316" i="9" s="1"/>
  <c r="AM3315" i="9"/>
  <c r="AN3315" i="9" s="1"/>
  <c r="AF3315" i="9"/>
  <c r="AB3315" i="9"/>
  <c r="V3315" i="9"/>
  <c r="R3315" i="9"/>
  <c r="L3315" i="9"/>
  <c r="K3315" i="9"/>
  <c r="I3315" i="9"/>
  <c r="AN3314" i="9"/>
  <c r="AM3314" i="9"/>
  <c r="AF3314" i="9"/>
  <c r="AB3314" i="9"/>
  <c r="V3314" i="9"/>
  <c r="R3314" i="9"/>
  <c r="I3314" i="9"/>
  <c r="K3314" i="9" s="1"/>
  <c r="L3314" i="9" s="1"/>
  <c r="AM3313" i="9"/>
  <c r="AN3313" i="9" s="1"/>
  <c r="AF3313" i="9"/>
  <c r="AB3313" i="9"/>
  <c r="V3313" i="9"/>
  <c r="R3313" i="9"/>
  <c r="I3313" i="9"/>
  <c r="K3313" i="9" s="1"/>
  <c r="L3313" i="9" s="1"/>
  <c r="AM3312" i="9"/>
  <c r="AN3312" i="9" s="1"/>
  <c r="AF3312" i="9"/>
  <c r="AB3312" i="9"/>
  <c r="V3312" i="9"/>
  <c r="R3312" i="9"/>
  <c r="K3312" i="9"/>
  <c r="L3312" i="9" s="1"/>
  <c r="I3312" i="9"/>
  <c r="AM3311" i="9"/>
  <c r="AN3311" i="9" s="1"/>
  <c r="AF3311" i="9"/>
  <c r="AB3311" i="9"/>
  <c r="V3311" i="9"/>
  <c r="R3311" i="9"/>
  <c r="AK3311" i="9" s="1"/>
  <c r="AL3311" i="9" s="1"/>
  <c r="I3311" i="9"/>
  <c r="K3311" i="9" s="1"/>
  <c r="L3311" i="9" s="1"/>
  <c r="AM3310" i="9"/>
  <c r="AN3310" i="9" s="1"/>
  <c r="AF3310" i="9"/>
  <c r="AB3310" i="9"/>
  <c r="V3310" i="9"/>
  <c r="R3310" i="9"/>
  <c r="AK3310" i="9" s="1"/>
  <c r="AL3310" i="9" s="1"/>
  <c r="I3310" i="9"/>
  <c r="K3310" i="9" s="1"/>
  <c r="L3310" i="9" s="1"/>
  <c r="AN3309" i="9"/>
  <c r="AM3309" i="9"/>
  <c r="AF3309" i="9"/>
  <c r="AB3309" i="9"/>
  <c r="V3309" i="9"/>
  <c r="R3309" i="9"/>
  <c r="K3309" i="9"/>
  <c r="L3309" i="9" s="1"/>
  <c r="I3309" i="9"/>
  <c r="AN3308" i="9"/>
  <c r="AM3308" i="9"/>
  <c r="AF3308" i="9"/>
  <c r="AB3308" i="9"/>
  <c r="V3308" i="9"/>
  <c r="R3308" i="9"/>
  <c r="I3308" i="9"/>
  <c r="K3308" i="9" s="1"/>
  <c r="L3308" i="9" s="1"/>
  <c r="AM3307" i="9"/>
  <c r="AN3307" i="9" s="1"/>
  <c r="AF3307" i="9"/>
  <c r="AB3307" i="9"/>
  <c r="V3307" i="9"/>
  <c r="R3307" i="9"/>
  <c r="K3307" i="9"/>
  <c r="L3307" i="9" s="1"/>
  <c r="I3307" i="9"/>
  <c r="AN3306" i="9"/>
  <c r="AM3306" i="9"/>
  <c r="AF3306" i="9"/>
  <c r="AB3306" i="9"/>
  <c r="V3306" i="9"/>
  <c r="R3306" i="9"/>
  <c r="I3306" i="9"/>
  <c r="K3306" i="9" s="1"/>
  <c r="L3306" i="9" s="1"/>
  <c r="AM3305" i="9"/>
  <c r="AN3305" i="9" s="1"/>
  <c r="AF3305" i="9"/>
  <c r="AB3305" i="9"/>
  <c r="V3305" i="9"/>
  <c r="R3305" i="9"/>
  <c r="L3305" i="9"/>
  <c r="I3305" i="9"/>
  <c r="K3305" i="9" s="1"/>
  <c r="AM3304" i="9"/>
  <c r="AN3304" i="9" s="1"/>
  <c r="AF3304" i="9"/>
  <c r="AB3304" i="9"/>
  <c r="V3304" i="9"/>
  <c r="R3304" i="9"/>
  <c r="I3304" i="9"/>
  <c r="K3304" i="9" s="1"/>
  <c r="L3304" i="9" s="1"/>
  <c r="AM3303" i="9"/>
  <c r="AN3303" i="9" s="1"/>
  <c r="AF3303" i="9"/>
  <c r="AB3303" i="9"/>
  <c r="V3303" i="9"/>
  <c r="R3303" i="9"/>
  <c r="I3303" i="9"/>
  <c r="K3303" i="9" s="1"/>
  <c r="L3303" i="9" s="1"/>
  <c r="AN3302" i="9"/>
  <c r="AM3302" i="9"/>
  <c r="AF3302" i="9"/>
  <c r="AB3302" i="9"/>
  <c r="V3302" i="9"/>
  <c r="R3302" i="9"/>
  <c r="I3302" i="9"/>
  <c r="K3302" i="9" s="1"/>
  <c r="L3302" i="9" s="1"/>
  <c r="AM3301" i="9"/>
  <c r="AN3301" i="9" s="1"/>
  <c r="AF3301" i="9"/>
  <c r="AB3301" i="9"/>
  <c r="V3301" i="9"/>
  <c r="R3301" i="9"/>
  <c r="I3301" i="9"/>
  <c r="K3301" i="9" s="1"/>
  <c r="L3301" i="9" s="1"/>
  <c r="AM3300" i="9"/>
  <c r="AN3300" i="9" s="1"/>
  <c r="AF3300" i="9"/>
  <c r="AB3300" i="9"/>
  <c r="V3300" i="9"/>
  <c r="R3300" i="9"/>
  <c r="K3300" i="9"/>
  <c r="L3300" i="9" s="1"/>
  <c r="I3300" i="9"/>
  <c r="AN3299" i="9"/>
  <c r="AM3299" i="9"/>
  <c r="AF3299" i="9"/>
  <c r="AB3299" i="9"/>
  <c r="V3299" i="9"/>
  <c r="R3299" i="9"/>
  <c r="I3299" i="9"/>
  <c r="K3299" i="9" s="1"/>
  <c r="L3299" i="9" s="1"/>
  <c r="AM3298" i="9"/>
  <c r="AN3298" i="9" s="1"/>
  <c r="AL3298" i="9"/>
  <c r="AK3298" i="9"/>
  <c r="AF3298" i="9"/>
  <c r="AB3298" i="9"/>
  <c r="V3298" i="9"/>
  <c r="R3298" i="9"/>
  <c r="I3298" i="9"/>
  <c r="K3298" i="9" s="1"/>
  <c r="L3298" i="9" s="1"/>
  <c r="AM3297" i="9"/>
  <c r="AN3297" i="9" s="1"/>
  <c r="AF3297" i="9"/>
  <c r="AB3297" i="9"/>
  <c r="AK3297" i="9" s="1"/>
  <c r="AL3297" i="9" s="1"/>
  <c r="V3297" i="9"/>
  <c r="R3297" i="9"/>
  <c r="K3297" i="9"/>
  <c r="L3297" i="9" s="1"/>
  <c r="I3297" i="9"/>
  <c r="AM3296" i="9"/>
  <c r="AN3296" i="9" s="1"/>
  <c r="AF3296" i="9"/>
  <c r="AB3296" i="9"/>
  <c r="V3296" i="9"/>
  <c r="R3296" i="9"/>
  <c r="I3296" i="9"/>
  <c r="K3296" i="9" s="1"/>
  <c r="L3296" i="9" s="1"/>
  <c r="AM3295" i="9"/>
  <c r="AF3295" i="9"/>
  <c r="J3295" i="9"/>
  <c r="D3295" i="9"/>
  <c r="AM3294" i="9"/>
  <c r="AF3294" i="9"/>
  <c r="J3294" i="9"/>
  <c r="D3294" i="9"/>
  <c r="AF3293" i="9"/>
  <c r="AE3293" i="9"/>
  <c r="AB3293" i="9"/>
  <c r="AA3293" i="9"/>
  <c r="V3293" i="9"/>
  <c r="AK3293" i="9" s="1"/>
  <c r="AL3293" i="9" s="1"/>
  <c r="U3293" i="9"/>
  <c r="R3293" i="9"/>
  <c r="Q3293" i="9"/>
  <c r="AM3293" i="9" s="1"/>
  <c r="AN3293" i="9" s="1"/>
  <c r="K3293" i="9"/>
  <c r="L3293" i="9" s="1"/>
  <c r="AF3292" i="9"/>
  <c r="AE3292" i="9"/>
  <c r="AB3292" i="9"/>
  <c r="AA3292" i="9"/>
  <c r="V3292" i="9"/>
  <c r="U3292" i="9"/>
  <c r="R3292" i="9"/>
  <c r="Q3292" i="9"/>
  <c r="L3292" i="9"/>
  <c r="K3292" i="9"/>
  <c r="AF3291" i="9"/>
  <c r="AE3291" i="9"/>
  <c r="AB3291" i="9"/>
  <c r="AA3291" i="9"/>
  <c r="V3291" i="9"/>
  <c r="U3291" i="9"/>
  <c r="R3291" i="9"/>
  <c r="Q3291" i="9"/>
  <c r="K3291" i="9"/>
  <c r="L3291" i="9" s="1"/>
  <c r="AF3290" i="9"/>
  <c r="AE3290" i="9"/>
  <c r="AB3290" i="9"/>
  <c r="AA3290" i="9"/>
  <c r="V3290" i="9"/>
  <c r="U3290" i="9"/>
  <c r="R3290" i="9"/>
  <c r="Q3290" i="9"/>
  <c r="AM3290" i="9" s="1"/>
  <c r="AN3290" i="9" s="1"/>
  <c r="K3290" i="9"/>
  <c r="L3290" i="9" s="1"/>
  <c r="AF3289" i="9"/>
  <c r="AE3289" i="9"/>
  <c r="AB3289" i="9"/>
  <c r="AA3289" i="9"/>
  <c r="V3289" i="9"/>
  <c r="AK3289" i="9" s="1"/>
  <c r="AL3289" i="9" s="1"/>
  <c r="U3289" i="9"/>
  <c r="R3289" i="9"/>
  <c r="Q3289" i="9"/>
  <c r="K3289" i="9"/>
  <c r="L3289" i="9" s="1"/>
  <c r="AF3288" i="9"/>
  <c r="AE3288" i="9"/>
  <c r="AB3288" i="9"/>
  <c r="AA3288" i="9"/>
  <c r="V3288" i="9"/>
  <c r="U3288" i="9"/>
  <c r="R3288" i="9"/>
  <c r="Q3288" i="9"/>
  <c r="L3288" i="9"/>
  <c r="K3288" i="9"/>
  <c r="AL3287" i="9"/>
  <c r="AF3287" i="9"/>
  <c r="AE3287" i="9"/>
  <c r="AB3287" i="9"/>
  <c r="AK3287" i="9" s="1"/>
  <c r="AA3287" i="9"/>
  <c r="V3287" i="9"/>
  <c r="U3287" i="9"/>
  <c r="AM3287" i="9" s="1"/>
  <c r="AN3287" i="9" s="1"/>
  <c r="R3287" i="9"/>
  <c r="Q3287" i="9"/>
  <c r="K3287" i="9"/>
  <c r="L3287" i="9" s="1"/>
  <c r="AF3286" i="9"/>
  <c r="AE3286" i="9"/>
  <c r="AB3286" i="9"/>
  <c r="AA3286" i="9"/>
  <c r="V3286" i="9"/>
  <c r="U3286" i="9"/>
  <c r="R3286" i="9"/>
  <c r="Q3286" i="9"/>
  <c r="L3286" i="9"/>
  <c r="K3286" i="9"/>
  <c r="AF3285" i="9"/>
  <c r="AE3285" i="9"/>
  <c r="AB3285" i="9"/>
  <c r="AA3285" i="9"/>
  <c r="V3285" i="9"/>
  <c r="U3285" i="9"/>
  <c r="R3285" i="9"/>
  <c r="Q3285" i="9"/>
  <c r="L3285" i="9"/>
  <c r="K3285" i="9"/>
  <c r="AF3284" i="9"/>
  <c r="AE3284" i="9"/>
  <c r="AB3284" i="9"/>
  <c r="AA3284" i="9"/>
  <c r="V3284" i="9"/>
  <c r="U3284" i="9"/>
  <c r="R3284" i="9"/>
  <c r="Q3284" i="9"/>
  <c r="K3284" i="9"/>
  <c r="L3284" i="9" s="1"/>
  <c r="AF3283" i="9"/>
  <c r="AE3283" i="9"/>
  <c r="AB3283" i="9"/>
  <c r="AA3283" i="9"/>
  <c r="V3283" i="9"/>
  <c r="U3283" i="9"/>
  <c r="R3283" i="9"/>
  <c r="Q3283" i="9"/>
  <c r="K3283" i="9"/>
  <c r="L3283" i="9" s="1"/>
  <c r="AF3282" i="9"/>
  <c r="AE3282" i="9"/>
  <c r="AM3282" i="9" s="1"/>
  <c r="AN3282" i="9" s="1"/>
  <c r="AB3282" i="9"/>
  <c r="AK3282" i="9" s="1"/>
  <c r="AL3282" i="9" s="1"/>
  <c r="AA3282" i="9"/>
  <c r="V3282" i="9"/>
  <c r="U3282" i="9"/>
  <c r="R3282" i="9"/>
  <c r="Q3282" i="9"/>
  <c r="K3282" i="9"/>
  <c r="L3282" i="9" s="1"/>
  <c r="AF3281" i="9"/>
  <c r="AE3281" i="9"/>
  <c r="AB3281" i="9"/>
  <c r="AA3281" i="9"/>
  <c r="V3281" i="9"/>
  <c r="U3281" i="9"/>
  <c r="R3281" i="9"/>
  <c r="Q3281" i="9"/>
  <c r="K3281" i="9"/>
  <c r="L3281" i="9" s="1"/>
  <c r="AF3280" i="9"/>
  <c r="AE3280" i="9"/>
  <c r="AB3280" i="9"/>
  <c r="AA3280" i="9"/>
  <c r="V3280" i="9"/>
  <c r="U3280" i="9"/>
  <c r="R3280" i="9"/>
  <c r="Q3280" i="9"/>
  <c r="L3280" i="9"/>
  <c r="K3280" i="9"/>
  <c r="AF3279" i="9"/>
  <c r="AE3279" i="9"/>
  <c r="AB3279" i="9"/>
  <c r="AA3279" i="9"/>
  <c r="V3279" i="9"/>
  <c r="U3279" i="9"/>
  <c r="R3279" i="9"/>
  <c r="Q3279" i="9"/>
  <c r="AM3279" i="9" s="1"/>
  <c r="AN3279" i="9" s="1"/>
  <c r="L3279" i="9"/>
  <c r="K3279" i="9"/>
  <c r="AN3278" i="9"/>
  <c r="AM3278" i="9"/>
  <c r="AF3278" i="9"/>
  <c r="AB3278" i="9"/>
  <c r="V3278" i="9"/>
  <c r="R3278" i="9"/>
  <c r="AK3278" i="9" s="1"/>
  <c r="AL3278" i="9" s="1"/>
  <c r="K3278" i="9"/>
  <c r="L3278" i="9" s="1"/>
  <c r="I3278" i="9"/>
  <c r="AM3277" i="9"/>
  <c r="AN3277" i="9" s="1"/>
  <c r="AF3277" i="9"/>
  <c r="AB3277" i="9"/>
  <c r="V3277" i="9"/>
  <c r="R3277" i="9"/>
  <c r="K3277" i="9"/>
  <c r="L3277" i="9" s="1"/>
  <c r="I3277" i="9"/>
  <c r="AM3276" i="9"/>
  <c r="AN3276" i="9" s="1"/>
  <c r="AF3276" i="9"/>
  <c r="AB3276" i="9"/>
  <c r="V3276" i="9"/>
  <c r="R3276" i="9"/>
  <c r="K3276" i="9"/>
  <c r="L3276" i="9" s="1"/>
  <c r="I3276" i="9"/>
  <c r="AN3275" i="9"/>
  <c r="AM3275" i="9"/>
  <c r="AF3275" i="9"/>
  <c r="AB3275" i="9"/>
  <c r="V3275" i="9"/>
  <c r="R3275" i="9"/>
  <c r="AK3275" i="9" s="1"/>
  <c r="AL3275" i="9" s="1"/>
  <c r="I3275" i="9"/>
  <c r="K3275" i="9" s="1"/>
  <c r="L3275" i="9" s="1"/>
  <c r="AM3274" i="9"/>
  <c r="AN3274" i="9" s="1"/>
  <c r="AF3274" i="9"/>
  <c r="AB3274" i="9"/>
  <c r="V3274" i="9"/>
  <c r="R3274" i="9"/>
  <c r="K3274" i="9"/>
  <c r="L3274" i="9" s="1"/>
  <c r="I3274" i="9"/>
  <c r="AM3273" i="9"/>
  <c r="AN3273" i="9" s="1"/>
  <c r="AK3273" i="9"/>
  <c r="AL3273" i="9" s="1"/>
  <c r="AF3273" i="9"/>
  <c r="AB3273" i="9"/>
  <c r="V3273" i="9"/>
  <c r="R3273" i="9"/>
  <c r="K3273" i="9"/>
  <c r="L3273" i="9" s="1"/>
  <c r="I3273" i="9"/>
  <c r="AM3272" i="9"/>
  <c r="AN3272" i="9" s="1"/>
  <c r="AL3272" i="9"/>
  <c r="AF3272" i="9"/>
  <c r="AB3272" i="9"/>
  <c r="V3272" i="9"/>
  <c r="R3272" i="9"/>
  <c r="AK3272" i="9" s="1"/>
  <c r="I3272" i="9"/>
  <c r="K3272" i="9" s="1"/>
  <c r="L3272" i="9" s="1"/>
  <c r="AF3271" i="9"/>
  <c r="AE3271" i="9"/>
  <c r="AB3271" i="9"/>
  <c r="AA3271" i="9"/>
  <c r="V3271" i="9"/>
  <c r="AK3271" i="9" s="1"/>
  <c r="AL3271" i="9" s="1"/>
  <c r="U3271" i="9"/>
  <c r="R3271" i="9"/>
  <c r="Q3271" i="9"/>
  <c r="I3271" i="9"/>
  <c r="K3271" i="9" s="1"/>
  <c r="L3271" i="9" s="1"/>
  <c r="AN3270" i="9"/>
  <c r="AM3270" i="9"/>
  <c r="AF3270" i="9"/>
  <c r="AB3270" i="9"/>
  <c r="V3270" i="9"/>
  <c r="R3270" i="9"/>
  <c r="I3270" i="9"/>
  <c r="K3270" i="9" s="1"/>
  <c r="L3270" i="9" s="1"/>
  <c r="AM3269" i="9"/>
  <c r="AN3269" i="9" s="1"/>
  <c r="AF3269" i="9"/>
  <c r="AK3269" i="9" s="1"/>
  <c r="AL3269" i="9" s="1"/>
  <c r="AB3269" i="9"/>
  <c r="V3269" i="9"/>
  <c r="R3269" i="9"/>
  <c r="I3269" i="9"/>
  <c r="K3269" i="9" s="1"/>
  <c r="L3269" i="9" s="1"/>
  <c r="AM3268" i="9"/>
  <c r="AN3268" i="9" s="1"/>
  <c r="AF3268" i="9"/>
  <c r="AB3268" i="9"/>
  <c r="V3268" i="9"/>
  <c r="R3268" i="9"/>
  <c r="I3268" i="9"/>
  <c r="K3268" i="9" s="1"/>
  <c r="L3268" i="9" s="1"/>
  <c r="AM3267" i="9"/>
  <c r="AN3267" i="9" s="1"/>
  <c r="AF3267" i="9"/>
  <c r="AB3267" i="9"/>
  <c r="AK3267" i="9" s="1"/>
  <c r="AL3267" i="9" s="1"/>
  <c r="V3267" i="9"/>
  <c r="R3267" i="9"/>
  <c r="I3267" i="9"/>
  <c r="K3267" i="9" s="1"/>
  <c r="L3267" i="9" s="1"/>
  <c r="AN3266" i="9"/>
  <c r="AM3266" i="9"/>
  <c r="AF3266" i="9"/>
  <c r="AB3266" i="9"/>
  <c r="V3266" i="9"/>
  <c r="AK3266" i="9" s="1"/>
  <c r="AL3266" i="9" s="1"/>
  <c r="R3266" i="9"/>
  <c r="I3266" i="9"/>
  <c r="K3266" i="9" s="1"/>
  <c r="L3266" i="9" s="1"/>
  <c r="AM3265" i="9"/>
  <c r="AN3265" i="9" s="1"/>
  <c r="AF3265" i="9"/>
  <c r="AB3265" i="9"/>
  <c r="V3265" i="9"/>
  <c r="R3265" i="9"/>
  <c r="K3265" i="9"/>
  <c r="L3265" i="9" s="1"/>
  <c r="I3265" i="9"/>
  <c r="AM3264" i="9"/>
  <c r="AN3264" i="9" s="1"/>
  <c r="AF3264" i="9"/>
  <c r="AB3264" i="9"/>
  <c r="V3264" i="9"/>
  <c r="R3264" i="9"/>
  <c r="I3264" i="9"/>
  <c r="K3264" i="9" s="1"/>
  <c r="L3264" i="9" s="1"/>
  <c r="AM3263" i="9"/>
  <c r="AN3263" i="9" s="1"/>
  <c r="AF3263" i="9"/>
  <c r="AB3263" i="9"/>
  <c r="V3263" i="9"/>
  <c r="R3263" i="9"/>
  <c r="I3263" i="9"/>
  <c r="K3263" i="9" s="1"/>
  <c r="L3263" i="9" s="1"/>
  <c r="AF3262" i="9"/>
  <c r="AE3262" i="9"/>
  <c r="AB3262" i="9"/>
  <c r="AA3262" i="9"/>
  <c r="V3262" i="9"/>
  <c r="U3262" i="9"/>
  <c r="R3262" i="9"/>
  <c r="Q3262" i="9"/>
  <c r="I3262" i="9"/>
  <c r="K3262" i="9" s="1"/>
  <c r="L3262" i="9" s="1"/>
  <c r="AF3261" i="9"/>
  <c r="AE3261" i="9"/>
  <c r="AB3261" i="9"/>
  <c r="AA3261" i="9"/>
  <c r="V3261" i="9"/>
  <c r="U3261" i="9"/>
  <c r="R3261" i="9"/>
  <c r="Q3261" i="9"/>
  <c r="I3261" i="9"/>
  <c r="K3261" i="9" s="1"/>
  <c r="L3261" i="9" s="1"/>
  <c r="AF3260" i="9"/>
  <c r="AE3260" i="9"/>
  <c r="AB3260" i="9"/>
  <c r="AA3260" i="9"/>
  <c r="V3260" i="9"/>
  <c r="U3260" i="9"/>
  <c r="R3260" i="9"/>
  <c r="Q3260" i="9"/>
  <c r="I3260" i="9"/>
  <c r="K3260" i="9" s="1"/>
  <c r="L3260" i="9" s="1"/>
  <c r="AM3259" i="9"/>
  <c r="AN3259" i="9" s="1"/>
  <c r="AF3259" i="9"/>
  <c r="AE3259" i="9"/>
  <c r="AB3259" i="9"/>
  <c r="AA3259" i="9"/>
  <c r="V3259" i="9"/>
  <c r="U3259" i="9"/>
  <c r="R3259" i="9"/>
  <c r="Q3259" i="9"/>
  <c r="K3259" i="9"/>
  <c r="L3259" i="9" s="1"/>
  <c r="I3259" i="9"/>
  <c r="AO3258" i="9"/>
  <c r="AF3258" i="9"/>
  <c r="AE3258" i="9"/>
  <c r="AB3258" i="9"/>
  <c r="AA3258" i="9"/>
  <c r="V3258" i="9"/>
  <c r="U3258" i="9"/>
  <c r="R3258" i="9"/>
  <c r="Q3258" i="9"/>
  <c r="K3258" i="9"/>
  <c r="L3258" i="9" s="1"/>
  <c r="AF3257" i="9"/>
  <c r="AE3257" i="9"/>
  <c r="AB3257" i="9"/>
  <c r="AA3257" i="9"/>
  <c r="V3257" i="9"/>
  <c r="U3257" i="9"/>
  <c r="R3257" i="9"/>
  <c r="Q3257" i="9"/>
  <c r="K3257" i="9"/>
  <c r="L3257" i="9" s="1"/>
  <c r="AF3256" i="9"/>
  <c r="AE3256" i="9"/>
  <c r="AB3256" i="9"/>
  <c r="AA3256" i="9"/>
  <c r="V3256" i="9"/>
  <c r="U3256" i="9"/>
  <c r="R3256" i="9"/>
  <c r="AK3256" i="9" s="1"/>
  <c r="AL3256" i="9" s="1"/>
  <c r="Q3256" i="9"/>
  <c r="L3256" i="9"/>
  <c r="K3256" i="9"/>
  <c r="AF3255" i="9"/>
  <c r="AE3255" i="9"/>
  <c r="AB3255" i="9"/>
  <c r="AA3255" i="9"/>
  <c r="V3255" i="9"/>
  <c r="U3255" i="9"/>
  <c r="AM3255" i="9" s="1"/>
  <c r="AN3255" i="9" s="1"/>
  <c r="R3255" i="9"/>
  <c r="AK3255" i="9" s="1"/>
  <c r="AL3255" i="9" s="1"/>
  <c r="Q3255" i="9"/>
  <c r="K3255" i="9"/>
  <c r="L3255" i="9" s="1"/>
  <c r="AF3254" i="9"/>
  <c r="AE3254" i="9"/>
  <c r="AB3254" i="9"/>
  <c r="AA3254" i="9"/>
  <c r="V3254" i="9"/>
  <c r="U3254" i="9"/>
  <c r="R3254" i="9"/>
  <c r="Q3254" i="9"/>
  <c r="AM3254" i="9" s="1"/>
  <c r="AN3254" i="9" s="1"/>
  <c r="L3254" i="9"/>
  <c r="K3254" i="9"/>
  <c r="AF3253" i="9"/>
  <c r="AE3253" i="9"/>
  <c r="AB3253" i="9"/>
  <c r="AA3253" i="9"/>
  <c r="V3253" i="9"/>
  <c r="U3253" i="9"/>
  <c r="R3253" i="9"/>
  <c r="Q3253" i="9"/>
  <c r="K3253" i="9"/>
  <c r="L3253" i="9" s="1"/>
  <c r="AM3252" i="9"/>
  <c r="AN3252" i="9" s="1"/>
  <c r="AF3252" i="9"/>
  <c r="AB3252" i="9"/>
  <c r="V3252" i="9"/>
  <c r="R3252" i="9"/>
  <c r="K3252" i="9"/>
  <c r="L3252" i="9" s="1"/>
  <c r="I3252" i="9"/>
  <c r="AN3251" i="9"/>
  <c r="AM3251" i="9"/>
  <c r="AF3251" i="9"/>
  <c r="AB3251" i="9"/>
  <c r="V3251" i="9"/>
  <c r="R3251" i="9"/>
  <c r="I3251" i="9"/>
  <c r="K3251" i="9" s="1"/>
  <c r="L3251" i="9" s="1"/>
  <c r="AM3250" i="9"/>
  <c r="AN3250" i="9" s="1"/>
  <c r="AF3250" i="9"/>
  <c r="AB3250" i="9"/>
  <c r="V3250" i="9"/>
  <c r="R3250" i="9"/>
  <c r="I3250" i="9"/>
  <c r="K3250" i="9" s="1"/>
  <c r="L3250" i="9" s="1"/>
  <c r="AM3249" i="9"/>
  <c r="AN3249" i="9" s="1"/>
  <c r="AF3249" i="9"/>
  <c r="AB3249" i="9"/>
  <c r="V3249" i="9"/>
  <c r="R3249" i="9"/>
  <c r="AK3249" i="9" s="1"/>
  <c r="AL3249" i="9" s="1"/>
  <c r="K3249" i="9"/>
  <c r="L3249" i="9" s="1"/>
  <c r="I3249" i="9"/>
  <c r="AM3248" i="9"/>
  <c r="AN3248" i="9" s="1"/>
  <c r="AF3248" i="9"/>
  <c r="AB3248" i="9"/>
  <c r="V3248" i="9"/>
  <c r="R3248" i="9"/>
  <c r="I3248" i="9"/>
  <c r="K3248" i="9" s="1"/>
  <c r="L3248" i="9" s="1"/>
  <c r="AM3247" i="9"/>
  <c r="AN3247" i="9" s="1"/>
  <c r="AF3247" i="9"/>
  <c r="AB3247" i="9"/>
  <c r="V3247" i="9"/>
  <c r="AK3247" i="9" s="1"/>
  <c r="AL3247" i="9" s="1"/>
  <c r="R3247" i="9"/>
  <c r="I3247" i="9"/>
  <c r="K3247" i="9" s="1"/>
  <c r="L3247" i="9" s="1"/>
  <c r="AF3246" i="9"/>
  <c r="AE3246" i="9"/>
  <c r="AB3246" i="9"/>
  <c r="AA3246" i="9"/>
  <c r="V3246" i="9"/>
  <c r="U3246" i="9"/>
  <c r="R3246" i="9"/>
  <c r="AK3246" i="9" s="1"/>
  <c r="AL3246" i="9" s="1"/>
  <c r="Q3246" i="9"/>
  <c r="K3246" i="9"/>
  <c r="L3246" i="9" s="1"/>
  <c r="AO3245" i="9"/>
  <c r="AF3245" i="9"/>
  <c r="AE3245" i="9"/>
  <c r="AB3245" i="9"/>
  <c r="AA3245" i="9"/>
  <c r="V3245" i="9"/>
  <c r="U3245" i="9"/>
  <c r="R3245" i="9"/>
  <c r="Q3245" i="9"/>
  <c r="L3245" i="9"/>
  <c r="K3245" i="9"/>
  <c r="AF3244" i="9"/>
  <c r="AE3244" i="9"/>
  <c r="AB3244" i="9"/>
  <c r="AA3244" i="9"/>
  <c r="V3244" i="9"/>
  <c r="U3244" i="9"/>
  <c r="R3244" i="9"/>
  <c r="Q3244" i="9"/>
  <c r="K3244" i="9"/>
  <c r="L3244" i="9" s="1"/>
  <c r="AF3243" i="9"/>
  <c r="AE3243" i="9"/>
  <c r="AB3243" i="9"/>
  <c r="AA3243" i="9"/>
  <c r="V3243" i="9"/>
  <c r="U3243" i="9"/>
  <c r="R3243" i="9"/>
  <c r="Q3243" i="9"/>
  <c r="K3243" i="9"/>
  <c r="L3243" i="9" s="1"/>
  <c r="AF3242" i="9"/>
  <c r="AE3242" i="9"/>
  <c r="AB3242" i="9"/>
  <c r="AA3242" i="9"/>
  <c r="V3242" i="9"/>
  <c r="U3242" i="9"/>
  <c r="R3242" i="9"/>
  <c r="Q3242" i="9"/>
  <c r="K3242" i="9"/>
  <c r="L3242" i="9" s="1"/>
  <c r="AF3241" i="9"/>
  <c r="AE3241" i="9"/>
  <c r="AB3241" i="9"/>
  <c r="AA3241" i="9"/>
  <c r="V3241" i="9"/>
  <c r="U3241" i="9"/>
  <c r="R3241" i="9"/>
  <c r="Q3241" i="9"/>
  <c r="K3241" i="9"/>
  <c r="L3241" i="9" s="1"/>
  <c r="AF3240" i="9"/>
  <c r="AE3240" i="9"/>
  <c r="AB3240" i="9"/>
  <c r="AA3240" i="9"/>
  <c r="V3240" i="9"/>
  <c r="AK3240" i="9" s="1"/>
  <c r="AL3240" i="9" s="1"/>
  <c r="U3240" i="9"/>
  <c r="R3240" i="9"/>
  <c r="Q3240" i="9"/>
  <c r="L3240" i="9"/>
  <c r="K3240" i="9"/>
  <c r="AF3239" i="9"/>
  <c r="AE3239" i="9"/>
  <c r="AB3239" i="9"/>
  <c r="AA3239" i="9"/>
  <c r="V3239" i="9"/>
  <c r="U3239" i="9"/>
  <c r="R3239" i="9"/>
  <c r="Q3239" i="9"/>
  <c r="K3239" i="9"/>
  <c r="L3239" i="9" s="1"/>
  <c r="AF3238" i="9"/>
  <c r="AE3238" i="9"/>
  <c r="AB3238" i="9"/>
  <c r="AA3238" i="9"/>
  <c r="V3238" i="9"/>
  <c r="U3238" i="9"/>
  <c r="R3238" i="9"/>
  <c r="Q3238" i="9"/>
  <c r="K3238" i="9"/>
  <c r="L3238" i="9" s="1"/>
  <c r="AF3237" i="9"/>
  <c r="AE3237" i="9"/>
  <c r="AB3237" i="9"/>
  <c r="AA3237" i="9"/>
  <c r="V3237" i="9"/>
  <c r="U3237" i="9"/>
  <c r="R3237" i="9"/>
  <c r="Q3237" i="9"/>
  <c r="K3237" i="9"/>
  <c r="L3237" i="9" s="1"/>
  <c r="AF3236" i="9"/>
  <c r="AE3236" i="9"/>
  <c r="AB3236" i="9"/>
  <c r="AA3236" i="9"/>
  <c r="AM3236" i="9" s="1"/>
  <c r="AN3236" i="9" s="1"/>
  <c r="V3236" i="9"/>
  <c r="U3236" i="9"/>
  <c r="R3236" i="9"/>
  <c r="AK3236" i="9" s="1"/>
  <c r="AL3236" i="9" s="1"/>
  <c r="Q3236" i="9"/>
  <c r="L3236" i="9"/>
  <c r="K3236" i="9"/>
  <c r="AF3235" i="9"/>
  <c r="AE3235" i="9"/>
  <c r="AB3235" i="9"/>
  <c r="AA3235" i="9"/>
  <c r="V3235" i="9"/>
  <c r="AK3235" i="9" s="1"/>
  <c r="AL3235" i="9" s="1"/>
  <c r="U3235" i="9"/>
  <c r="R3235" i="9"/>
  <c r="Q3235" i="9"/>
  <c r="K3235" i="9"/>
  <c r="L3235" i="9" s="1"/>
  <c r="AN3234" i="9"/>
  <c r="AM3234" i="9"/>
  <c r="AF3234" i="9"/>
  <c r="AB3234" i="9"/>
  <c r="V3234" i="9"/>
  <c r="R3234" i="9"/>
  <c r="I3234" i="9"/>
  <c r="K3234" i="9" s="1"/>
  <c r="L3234" i="9" s="1"/>
  <c r="AO3233" i="9"/>
  <c r="AM3233" i="9"/>
  <c r="AN3233" i="9" s="1"/>
  <c r="AF3233" i="9"/>
  <c r="AE3233" i="9"/>
  <c r="AB3233" i="9"/>
  <c r="AA3233" i="9"/>
  <c r="V3233" i="9"/>
  <c r="AK3233" i="9" s="1"/>
  <c r="AL3233" i="9" s="1"/>
  <c r="U3233" i="9"/>
  <c r="R3233" i="9"/>
  <c r="Q3233" i="9"/>
  <c r="K3233" i="9"/>
  <c r="L3233" i="9" s="1"/>
  <c r="AF3232" i="9"/>
  <c r="AE3232" i="9"/>
  <c r="AB3232" i="9"/>
  <c r="AA3232" i="9"/>
  <c r="V3232" i="9"/>
  <c r="U3232" i="9"/>
  <c r="R3232" i="9"/>
  <c r="Q3232" i="9"/>
  <c r="I3232" i="9"/>
  <c r="K3232" i="9" s="1"/>
  <c r="L3232" i="9" s="1"/>
  <c r="AO3231" i="9"/>
  <c r="AF3231" i="9"/>
  <c r="AE3231" i="9"/>
  <c r="AB3231" i="9"/>
  <c r="AA3231" i="9"/>
  <c r="V3231" i="9"/>
  <c r="U3231" i="9"/>
  <c r="R3231" i="9"/>
  <c r="Q3231" i="9"/>
  <c r="L3231" i="9"/>
  <c r="K3231" i="9"/>
  <c r="AF3230" i="9"/>
  <c r="AE3230" i="9"/>
  <c r="AB3230" i="9"/>
  <c r="AA3230" i="9"/>
  <c r="V3230" i="9"/>
  <c r="U3230" i="9"/>
  <c r="R3230" i="9"/>
  <c r="Q3230" i="9"/>
  <c r="L3230" i="9"/>
  <c r="K3230" i="9"/>
  <c r="AF3229" i="9"/>
  <c r="AE3229" i="9"/>
  <c r="AB3229" i="9"/>
  <c r="AA3229" i="9"/>
  <c r="V3229" i="9"/>
  <c r="U3229" i="9"/>
  <c r="R3229" i="9"/>
  <c r="Q3229" i="9"/>
  <c r="K3229" i="9"/>
  <c r="L3229" i="9" s="1"/>
  <c r="AM3228" i="9"/>
  <c r="AN3228" i="9" s="1"/>
  <c r="AF3228" i="9"/>
  <c r="AB3228" i="9"/>
  <c r="V3228" i="9"/>
  <c r="R3228" i="9"/>
  <c r="I3228" i="9"/>
  <c r="K3228" i="9" s="1"/>
  <c r="L3228" i="9" s="1"/>
  <c r="AM3227" i="9"/>
  <c r="J3227" i="9"/>
  <c r="R3227" i="9" s="1"/>
  <c r="D3227" i="9"/>
  <c r="AM3226" i="9"/>
  <c r="AF3226" i="9"/>
  <c r="AB3226" i="9"/>
  <c r="V3226" i="9"/>
  <c r="J3226" i="9"/>
  <c r="R3226" i="9" s="1"/>
  <c r="D3226" i="9"/>
  <c r="AN3226" i="9" s="1"/>
  <c r="AN3225" i="9"/>
  <c r="AM3225" i="9"/>
  <c r="AF3225" i="9"/>
  <c r="AB3225" i="9"/>
  <c r="V3225" i="9"/>
  <c r="R3225" i="9"/>
  <c r="I3225" i="9"/>
  <c r="K3225" i="9" s="1"/>
  <c r="L3225" i="9" s="1"/>
  <c r="AM3224" i="9"/>
  <c r="AN3224" i="9" s="1"/>
  <c r="AF3224" i="9"/>
  <c r="AB3224" i="9"/>
  <c r="V3224" i="9"/>
  <c r="R3224" i="9"/>
  <c r="L3224" i="9"/>
  <c r="I3224" i="9"/>
  <c r="K3224" i="9" s="1"/>
  <c r="AN3223" i="9"/>
  <c r="AM3223" i="9"/>
  <c r="AK3223" i="9"/>
  <c r="AL3223" i="9" s="1"/>
  <c r="AF3223" i="9"/>
  <c r="AB3223" i="9"/>
  <c r="V3223" i="9"/>
  <c r="R3223" i="9"/>
  <c r="I3223" i="9"/>
  <c r="K3223" i="9" s="1"/>
  <c r="L3223" i="9" s="1"/>
  <c r="AM3222" i="9"/>
  <c r="AN3222" i="9" s="1"/>
  <c r="AF3222" i="9"/>
  <c r="AB3222" i="9"/>
  <c r="V3222" i="9"/>
  <c r="R3222" i="9"/>
  <c r="I3222" i="9"/>
  <c r="K3222" i="9" s="1"/>
  <c r="L3222" i="9" s="1"/>
  <c r="AM3221" i="9"/>
  <c r="AN3221" i="9" s="1"/>
  <c r="AF3221" i="9"/>
  <c r="AB3221" i="9"/>
  <c r="V3221" i="9"/>
  <c r="R3221" i="9"/>
  <c r="I3221" i="9"/>
  <c r="K3221" i="9" s="1"/>
  <c r="L3221" i="9" s="1"/>
  <c r="AN3220" i="9"/>
  <c r="AM3220" i="9"/>
  <c r="AF3220" i="9"/>
  <c r="AB3220" i="9"/>
  <c r="V3220" i="9"/>
  <c r="R3220" i="9"/>
  <c r="L3220" i="9"/>
  <c r="I3220" i="9"/>
  <c r="K3220" i="9" s="1"/>
  <c r="AM3219" i="9"/>
  <c r="AN3219" i="9" s="1"/>
  <c r="AF3219" i="9"/>
  <c r="AB3219" i="9"/>
  <c r="V3219" i="9"/>
  <c r="R3219" i="9"/>
  <c r="K3219" i="9"/>
  <c r="L3219" i="9" s="1"/>
  <c r="I3219" i="9"/>
  <c r="AO3218" i="9"/>
  <c r="AF3218" i="9"/>
  <c r="AE3218" i="9"/>
  <c r="AB3218" i="9"/>
  <c r="AA3218" i="9"/>
  <c r="V3218" i="9"/>
  <c r="U3218" i="9"/>
  <c r="AM3218" i="9" s="1"/>
  <c r="AN3218" i="9" s="1"/>
  <c r="R3218" i="9"/>
  <c r="Q3218" i="9"/>
  <c r="K3218" i="9"/>
  <c r="L3218" i="9" s="1"/>
  <c r="AF3217" i="9"/>
  <c r="AE3217" i="9"/>
  <c r="AB3217" i="9"/>
  <c r="AA3217" i="9"/>
  <c r="V3217" i="9"/>
  <c r="U3217" i="9"/>
  <c r="R3217" i="9"/>
  <c r="Q3217" i="9"/>
  <c r="L3217" i="9"/>
  <c r="K3217" i="9"/>
  <c r="AF3216" i="9"/>
  <c r="AE3216" i="9"/>
  <c r="AB3216" i="9"/>
  <c r="AA3216" i="9"/>
  <c r="V3216" i="9"/>
  <c r="U3216" i="9"/>
  <c r="R3216" i="9"/>
  <c r="Q3216" i="9"/>
  <c r="L3216" i="9"/>
  <c r="K3216" i="9"/>
  <c r="AN3215" i="9"/>
  <c r="AM3215" i="9"/>
  <c r="AF3215" i="9"/>
  <c r="AB3215" i="9"/>
  <c r="AK3215" i="9" s="1"/>
  <c r="AL3215" i="9" s="1"/>
  <c r="V3215" i="9"/>
  <c r="R3215" i="9"/>
  <c r="I3215" i="9"/>
  <c r="K3215" i="9" s="1"/>
  <c r="L3215" i="9" s="1"/>
  <c r="AO3214" i="9"/>
  <c r="AF3214" i="9"/>
  <c r="AE3214" i="9"/>
  <c r="AB3214" i="9"/>
  <c r="AA3214" i="9"/>
  <c r="V3214" i="9"/>
  <c r="AK3214" i="9" s="1"/>
  <c r="AL3214" i="9" s="1"/>
  <c r="U3214" i="9"/>
  <c r="R3214" i="9"/>
  <c r="Q3214" i="9"/>
  <c r="K3214" i="9"/>
  <c r="L3214" i="9" s="1"/>
  <c r="AF3213" i="9"/>
  <c r="AE3213" i="9"/>
  <c r="AB3213" i="9"/>
  <c r="AA3213" i="9"/>
  <c r="V3213" i="9"/>
  <c r="U3213" i="9"/>
  <c r="R3213" i="9"/>
  <c r="Q3213" i="9"/>
  <c r="K3213" i="9"/>
  <c r="L3213" i="9" s="1"/>
  <c r="AM3212" i="9"/>
  <c r="AN3212" i="9" s="1"/>
  <c r="AF3212" i="9"/>
  <c r="AB3212" i="9"/>
  <c r="V3212" i="9"/>
  <c r="R3212" i="9"/>
  <c r="I3212" i="9"/>
  <c r="K3212" i="9" s="1"/>
  <c r="L3212" i="9" s="1"/>
  <c r="AN3211" i="9"/>
  <c r="AM3211" i="9"/>
  <c r="AF3211" i="9"/>
  <c r="AB3211" i="9"/>
  <c r="V3211" i="9"/>
  <c r="R3211" i="9"/>
  <c r="K3211" i="9"/>
  <c r="L3211" i="9" s="1"/>
  <c r="I3211" i="9"/>
  <c r="AM3210" i="9"/>
  <c r="AN3210" i="9" s="1"/>
  <c r="AF3210" i="9"/>
  <c r="AB3210" i="9"/>
  <c r="V3210" i="9"/>
  <c r="R3210" i="9"/>
  <c r="I3210" i="9"/>
  <c r="K3210" i="9" s="1"/>
  <c r="L3210" i="9" s="1"/>
  <c r="AF3209" i="9"/>
  <c r="AE3209" i="9"/>
  <c r="AB3209" i="9"/>
  <c r="AA3209" i="9"/>
  <c r="V3209" i="9"/>
  <c r="U3209" i="9"/>
  <c r="R3209" i="9"/>
  <c r="Q3209" i="9"/>
  <c r="I3209" i="9"/>
  <c r="K3209" i="9" s="1"/>
  <c r="L3209" i="9" s="1"/>
  <c r="AF3208" i="9"/>
  <c r="AE3208" i="9"/>
  <c r="AB3208" i="9"/>
  <c r="AA3208" i="9"/>
  <c r="V3208" i="9"/>
  <c r="AK3208" i="9" s="1"/>
  <c r="AL3208" i="9" s="1"/>
  <c r="U3208" i="9"/>
  <c r="R3208" i="9"/>
  <c r="Q3208" i="9"/>
  <c r="I3208" i="9"/>
  <c r="K3208" i="9" s="1"/>
  <c r="L3208" i="9" s="1"/>
  <c r="AF3207" i="9"/>
  <c r="AE3207" i="9"/>
  <c r="AB3207" i="9"/>
  <c r="AA3207" i="9"/>
  <c r="V3207" i="9"/>
  <c r="U3207" i="9"/>
  <c r="AM3207" i="9" s="1"/>
  <c r="AN3207" i="9" s="1"/>
  <c r="R3207" i="9"/>
  <c r="Q3207" i="9"/>
  <c r="I3207" i="9"/>
  <c r="K3207" i="9" s="1"/>
  <c r="L3207" i="9" s="1"/>
  <c r="AM3206" i="9"/>
  <c r="AN3206" i="9" s="1"/>
  <c r="AF3206" i="9"/>
  <c r="AB3206" i="9"/>
  <c r="V3206" i="9"/>
  <c r="R3206" i="9"/>
  <c r="I3206" i="9"/>
  <c r="K3206" i="9" s="1"/>
  <c r="L3206" i="9" s="1"/>
  <c r="AF3205" i="9"/>
  <c r="AE3205" i="9"/>
  <c r="AB3205" i="9"/>
  <c r="AA3205" i="9"/>
  <c r="V3205" i="9"/>
  <c r="U3205" i="9"/>
  <c r="R3205" i="9"/>
  <c r="Q3205" i="9"/>
  <c r="I3205" i="9"/>
  <c r="K3205" i="9" s="1"/>
  <c r="L3205" i="9" s="1"/>
  <c r="AF3204" i="9"/>
  <c r="AE3204" i="9"/>
  <c r="AM3204" i="9" s="1"/>
  <c r="AN3204" i="9" s="1"/>
  <c r="AB3204" i="9"/>
  <c r="AA3204" i="9"/>
  <c r="V3204" i="9"/>
  <c r="U3204" i="9"/>
  <c r="R3204" i="9"/>
  <c r="AK3204" i="9" s="1"/>
  <c r="AL3204" i="9" s="1"/>
  <c r="Q3204" i="9"/>
  <c r="K3204" i="9"/>
  <c r="L3204" i="9" s="1"/>
  <c r="I3204" i="9"/>
  <c r="AM3203" i="9"/>
  <c r="AN3203" i="9" s="1"/>
  <c r="AF3203" i="9"/>
  <c r="AB3203" i="9"/>
  <c r="V3203" i="9"/>
  <c r="R3203" i="9"/>
  <c r="I3203" i="9"/>
  <c r="K3203" i="9" s="1"/>
  <c r="L3203" i="9" s="1"/>
  <c r="AM3202" i="9"/>
  <c r="AN3202" i="9" s="1"/>
  <c r="AF3202" i="9"/>
  <c r="AB3202" i="9"/>
  <c r="V3202" i="9"/>
  <c r="R3202" i="9"/>
  <c r="I3202" i="9"/>
  <c r="K3202" i="9" s="1"/>
  <c r="L3202" i="9" s="1"/>
  <c r="AF3201" i="9"/>
  <c r="AE3201" i="9"/>
  <c r="AB3201" i="9"/>
  <c r="AA3201" i="9"/>
  <c r="V3201" i="9"/>
  <c r="U3201" i="9"/>
  <c r="R3201" i="9"/>
  <c r="Q3201" i="9"/>
  <c r="I3201" i="9"/>
  <c r="K3201" i="9" s="1"/>
  <c r="L3201" i="9" s="1"/>
  <c r="AM3200" i="9"/>
  <c r="AN3200" i="9" s="1"/>
  <c r="AF3200" i="9"/>
  <c r="AB3200" i="9"/>
  <c r="V3200" i="9"/>
  <c r="R3200" i="9"/>
  <c r="I3200" i="9"/>
  <c r="K3200" i="9" s="1"/>
  <c r="L3200" i="9" s="1"/>
  <c r="AF3199" i="9"/>
  <c r="AE3199" i="9"/>
  <c r="AB3199" i="9"/>
  <c r="AA3199" i="9"/>
  <c r="V3199" i="9"/>
  <c r="U3199" i="9"/>
  <c r="R3199" i="9"/>
  <c r="Q3199" i="9"/>
  <c r="I3199" i="9"/>
  <c r="K3199" i="9" s="1"/>
  <c r="L3199" i="9" s="1"/>
  <c r="AF3198" i="9"/>
  <c r="AE3198" i="9"/>
  <c r="AB3198" i="9"/>
  <c r="AA3198" i="9"/>
  <c r="V3198" i="9"/>
  <c r="U3198" i="9"/>
  <c r="R3198" i="9"/>
  <c r="Q3198" i="9"/>
  <c r="I3198" i="9"/>
  <c r="K3198" i="9" s="1"/>
  <c r="L3198" i="9" s="1"/>
  <c r="AM3197" i="9"/>
  <c r="AN3197" i="9" s="1"/>
  <c r="AF3197" i="9"/>
  <c r="AB3197" i="9"/>
  <c r="V3197" i="9"/>
  <c r="R3197" i="9"/>
  <c r="I3197" i="9"/>
  <c r="K3197" i="9" s="1"/>
  <c r="L3197" i="9" s="1"/>
  <c r="AN3196" i="9"/>
  <c r="AM3196" i="9"/>
  <c r="AF3196" i="9"/>
  <c r="AB3196" i="9"/>
  <c r="V3196" i="9"/>
  <c r="R3196" i="9"/>
  <c r="I3196" i="9"/>
  <c r="K3196" i="9" s="1"/>
  <c r="L3196" i="9" s="1"/>
  <c r="AM3195" i="9"/>
  <c r="AN3195" i="9" s="1"/>
  <c r="AF3195" i="9"/>
  <c r="AB3195" i="9"/>
  <c r="V3195" i="9"/>
  <c r="R3195" i="9"/>
  <c r="I3195" i="9"/>
  <c r="K3195" i="9" s="1"/>
  <c r="L3195" i="9" s="1"/>
  <c r="AM3194" i="9"/>
  <c r="AN3194" i="9" s="1"/>
  <c r="AF3194" i="9"/>
  <c r="AB3194" i="9"/>
  <c r="V3194" i="9"/>
  <c r="R3194" i="9"/>
  <c r="K3194" i="9"/>
  <c r="L3194" i="9" s="1"/>
  <c r="I3194" i="9"/>
  <c r="AM3193" i="9"/>
  <c r="AN3193" i="9" s="1"/>
  <c r="AF3193" i="9"/>
  <c r="AB3193" i="9"/>
  <c r="V3193" i="9"/>
  <c r="R3193" i="9"/>
  <c r="AK3193" i="9" s="1"/>
  <c r="AL3193" i="9" s="1"/>
  <c r="I3193" i="9"/>
  <c r="K3193" i="9" s="1"/>
  <c r="L3193" i="9" s="1"/>
  <c r="AM3192" i="9"/>
  <c r="AN3192" i="9" s="1"/>
  <c r="AF3192" i="9"/>
  <c r="AB3192" i="9"/>
  <c r="V3192" i="9"/>
  <c r="R3192" i="9"/>
  <c r="L3192" i="9"/>
  <c r="K3192" i="9"/>
  <c r="I3192" i="9"/>
  <c r="AM3191" i="9"/>
  <c r="AN3191" i="9" s="1"/>
  <c r="AF3191" i="9"/>
  <c r="AB3191" i="9"/>
  <c r="V3191" i="9"/>
  <c r="R3191" i="9"/>
  <c r="I3191" i="9"/>
  <c r="K3191" i="9" s="1"/>
  <c r="L3191" i="9" s="1"/>
  <c r="AM3190" i="9"/>
  <c r="AN3190" i="9" s="1"/>
  <c r="AK3190" i="9"/>
  <c r="AL3190" i="9" s="1"/>
  <c r="AF3190" i="9"/>
  <c r="AB3190" i="9"/>
  <c r="V3190" i="9"/>
  <c r="R3190" i="9"/>
  <c r="I3190" i="9"/>
  <c r="K3190" i="9" s="1"/>
  <c r="L3190" i="9" s="1"/>
  <c r="AM3189" i="9"/>
  <c r="AN3189" i="9" s="1"/>
  <c r="AF3189" i="9"/>
  <c r="AB3189" i="9"/>
  <c r="V3189" i="9"/>
  <c r="R3189" i="9"/>
  <c r="I3189" i="9"/>
  <c r="K3189" i="9" s="1"/>
  <c r="L3189" i="9" s="1"/>
  <c r="AM3188" i="9"/>
  <c r="AN3188" i="9" s="1"/>
  <c r="AF3188" i="9"/>
  <c r="AB3188" i="9"/>
  <c r="V3188" i="9"/>
  <c r="R3188" i="9"/>
  <c r="AK3188" i="9" s="1"/>
  <c r="AL3188" i="9" s="1"/>
  <c r="I3188" i="9"/>
  <c r="K3188" i="9" s="1"/>
  <c r="L3188" i="9" s="1"/>
  <c r="AF3187" i="9"/>
  <c r="AE3187" i="9"/>
  <c r="AB3187" i="9"/>
  <c r="AA3187" i="9"/>
  <c r="V3187" i="9"/>
  <c r="U3187" i="9"/>
  <c r="R3187" i="9"/>
  <c r="Q3187" i="9"/>
  <c r="I3187" i="9"/>
  <c r="K3187" i="9" s="1"/>
  <c r="L3187" i="9" s="1"/>
  <c r="AF3186" i="9"/>
  <c r="AE3186" i="9"/>
  <c r="AB3186" i="9"/>
  <c r="AA3186" i="9"/>
  <c r="V3186" i="9"/>
  <c r="U3186" i="9"/>
  <c r="R3186" i="9"/>
  <c r="Q3186" i="9"/>
  <c r="I3186" i="9"/>
  <c r="K3186" i="9" s="1"/>
  <c r="L3186" i="9" s="1"/>
  <c r="AF3185" i="9"/>
  <c r="AE3185" i="9"/>
  <c r="AB3185" i="9"/>
  <c r="AA3185" i="9"/>
  <c r="V3185" i="9"/>
  <c r="U3185" i="9"/>
  <c r="R3185" i="9"/>
  <c r="Q3185" i="9"/>
  <c r="I3185" i="9"/>
  <c r="K3185" i="9" s="1"/>
  <c r="L3185" i="9" s="1"/>
  <c r="AF3184" i="9"/>
  <c r="AE3184" i="9"/>
  <c r="AB3184" i="9"/>
  <c r="AA3184" i="9"/>
  <c r="V3184" i="9"/>
  <c r="U3184" i="9"/>
  <c r="R3184" i="9"/>
  <c r="AK3184" i="9" s="1"/>
  <c r="AL3184" i="9" s="1"/>
  <c r="Q3184" i="9"/>
  <c r="L3184" i="9"/>
  <c r="I3184" i="9"/>
  <c r="K3184" i="9" s="1"/>
  <c r="AM3183" i="9"/>
  <c r="AN3183" i="9" s="1"/>
  <c r="AF3183" i="9"/>
  <c r="AB3183" i="9"/>
  <c r="V3183" i="9"/>
  <c r="R3183" i="9"/>
  <c r="I3183" i="9"/>
  <c r="K3183" i="9" s="1"/>
  <c r="L3183" i="9" s="1"/>
  <c r="AM3182" i="9"/>
  <c r="AN3182" i="9" s="1"/>
  <c r="AF3182" i="9"/>
  <c r="AB3182" i="9"/>
  <c r="V3182" i="9"/>
  <c r="R3182" i="9"/>
  <c r="I3182" i="9"/>
  <c r="K3182" i="9" s="1"/>
  <c r="L3182" i="9" s="1"/>
  <c r="AO3181" i="9"/>
  <c r="AF3181" i="9"/>
  <c r="AE3181" i="9"/>
  <c r="AB3181" i="9"/>
  <c r="AA3181" i="9"/>
  <c r="V3181" i="9"/>
  <c r="U3181" i="9"/>
  <c r="R3181" i="9"/>
  <c r="AK3181" i="9" s="1"/>
  <c r="AL3181" i="9" s="1"/>
  <c r="Q3181" i="9"/>
  <c r="K3181" i="9"/>
  <c r="L3181" i="9" s="1"/>
  <c r="AM3180" i="9"/>
  <c r="AN3180" i="9" s="1"/>
  <c r="AF3180" i="9"/>
  <c r="AB3180" i="9"/>
  <c r="V3180" i="9"/>
  <c r="R3180" i="9"/>
  <c r="AK3180" i="9" s="1"/>
  <c r="AL3180" i="9" s="1"/>
  <c r="L3180" i="9"/>
  <c r="I3180" i="9"/>
  <c r="K3180" i="9" s="1"/>
  <c r="AO3179" i="9"/>
  <c r="AK3179" i="9"/>
  <c r="AL3179" i="9" s="1"/>
  <c r="AF3179" i="9"/>
  <c r="AE3179" i="9"/>
  <c r="AB3179" i="9"/>
  <c r="AA3179" i="9"/>
  <c r="V3179" i="9"/>
  <c r="U3179" i="9"/>
  <c r="R3179" i="9"/>
  <c r="Q3179" i="9"/>
  <c r="AM3179" i="9" s="1"/>
  <c r="AN3179" i="9" s="1"/>
  <c r="L3179" i="9"/>
  <c r="K3179" i="9"/>
  <c r="AF3178" i="9"/>
  <c r="AE3178" i="9"/>
  <c r="AB3178" i="9"/>
  <c r="AA3178" i="9"/>
  <c r="V3178" i="9"/>
  <c r="AK3178" i="9" s="1"/>
  <c r="AL3178" i="9" s="1"/>
  <c r="U3178" i="9"/>
  <c r="R3178" i="9"/>
  <c r="Q3178" i="9"/>
  <c r="K3178" i="9"/>
  <c r="L3178" i="9" s="1"/>
  <c r="AF3177" i="9"/>
  <c r="AE3177" i="9"/>
  <c r="AB3177" i="9"/>
  <c r="AA3177" i="9"/>
  <c r="V3177" i="9"/>
  <c r="U3177" i="9"/>
  <c r="R3177" i="9"/>
  <c r="Q3177" i="9"/>
  <c r="K3177" i="9"/>
  <c r="L3177" i="9" s="1"/>
  <c r="AF3176" i="9"/>
  <c r="AE3176" i="9"/>
  <c r="AB3176" i="9"/>
  <c r="AA3176" i="9"/>
  <c r="V3176" i="9"/>
  <c r="U3176" i="9"/>
  <c r="R3176" i="9"/>
  <c r="Q3176" i="9"/>
  <c r="K3176" i="9"/>
  <c r="L3176" i="9" s="1"/>
  <c r="AF3175" i="9"/>
  <c r="AE3175" i="9"/>
  <c r="AB3175" i="9"/>
  <c r="AA3175" i="9"/>
  <c r="V3175" i="9"/>
  <c r="U3175" i="9"/>
  <c r="R3175" i="9"/>
  <c r="Q3175" i="9"/>
  <c r="K3175" i="9"/>
  <c r="L3175" i="9" s="1"/>
  <c r="AM3174" i="9"/>
  <c r="AN3174" i="9" s="1"/>
  <c r="AF3174" i="9"/>
  <c r="AB3174" i="9"/>
  <c r="V3174" i="9"/>
  <c r="R3174" i="9"/>
  <c r="K3174" i="9"/>
  <c r="L3174" i="9" s="1"/>
  <c r="I3174" i="9"/>
  <c r="AO3173" i="9"/>
  <c r="AF3173" i="9"/>
  <c r="AE3173" i="9"/>
  <c r="AB3173" i="9"/>
  <c r="AA3173" i="9"/>
  <c r="V3173" i="9"/>
  <c r="U3173" i="9"/>
  <c r="AM3173" i="9" s="1"/>
  <c r="AN3173" i="9" s="1"/>
  <c r="R3173" i="9"/>
  <c r="AK3173" i="9" s="1"/>
  <c r="AL3173" i="9" s="1"/>
  <c r="Q3173" i="9"/>
  <c r="K3173" i="9"/>
  <c r="L3173" i="9" s="1"/>
  <c r="AF3172" i="9"/>
  <c r="AE3172" i="9"/>
  <c r="AB3172" i="9"/>
  <c r="AA3172" i="9"/>
  <c r="AM3172" i="9" s="1"/>
  <c r="AN3172" i="9" s="1"/>
  <c r="V3172" i="9"/>
  <c r="U3172" i="9"/>
  <c r="R3172" i="9"/>
  <c r="Q3172" i="9"/>
  <c r="K3172" i="9"/>
  <c r="L3172" i="9" s="1"/>
  <c r="AF3171" i="9"/>
  <c r="AE3171" i="9"/>
  <c r="AB3171" i="9"/>
  <c r="AA3171" i="9"/>
  <c r="V3171" i="9"/>
  <c r="U3171" i="9"/>
  <c r="R3171" i="9"/>
  <c r="AK3171" i="9" s="1"/>
  <c r="AL3171" i="9" s="1"/>
  <c r="Q3171" i="9"/>
  <c r="K3171" i="9"/>
  <c r="L3171" i="9" s="1"/>
  <c r="AF3170" i="9"/>
  <c r="AE3170" i="9"/>
  <c r="AB3170" i="9"/>
  <c r="AK3170" i="9" s="1"/>
  <c r="AL3170" i="9" s="1"/>
  <c r="AA3170" i="9"/>
  <c r="V3170" i="9"/>
  <c r="U3170" i="9"/>
  <c r="R3170" i="9"/>
  <c r="Q3170" i="9"/>
  <c r="K3170" i="9"/>
  <c r="L3170" i="9" s="1"/>
  <c r="AF3169" i="9"/>
  <c r="AE3169" i="9"/>
  <c r="AB3169" i="9"/>
  <c r="AA3169" i="9"/>
  <c r="V3169" i="9"/>
  <c r="U3169" i="9"/>
  <c r="R3169" i="9"/>
  <c r="Q3169" i="9"/>
  <c r="K3169" i="9"/>
  <c r="L3169" i="9" s="1"/>
  <c r="AF3168" i="9"/>
  <c r="AE3168" i="9"/>
  <c r="AB3168" i="9"/>
  <c r="AA3168" i="9"/>
  <c r="V3168" i="9"/>
  <c r="U3168" i="9"/>
  <c r="R3168" i="9"/>
  <c r="Q3168" i="9"/>
  <c r="K3168" i="9"/>
  <c r="L3168" i="9" s="1"/>
  <c r="AF3167" i="9"/>
  <c r="AE3167" i="9"/>
  <c r="AB3167" i="9"/>
  <c r="AA3167" i="9"/>
  <c r="V3167" i="9"/>
  <c r="U3167" i="9"/>
  <c r="AM3167" i="9" s="1"/>
  <c r="AN3167" i="9" s="1"/>
  <c r="R3167" i="9"/>
  <c r="AK3167" i="9" s="1"/>
  <c r="AL3167" i="9" s="1"/>
  <c r="Q3167" i="9"/>
  <c r="K3167" i="9"/>
  <c r="L3167" i="9" s="1"/>
  <c r="AF3166" i="9"/>
  <c r="AE3166" i="9"/>
  <c r="AB3166" i="9"/>
  <c r="AA3166" i="9"/>
  <c r="V3166" i="9"/>
  <c r="U3166" i="9"/>
  <c r="R3166" i="9"/>
  <c r="Q3166" i="9"/>
  <c r="AM3166" i="9" s="1"/>
  <c r="AN3166" i="9" s="1"/>
  <c r="K3166" i="9"/>
  <c r="L3166" i="9" s="1"/>
  <c r="AF3165" i="9"/>
  <c r="AE3165" i="9"/>
  <c r="AB3165" i="9"/>
  <c r="AA3165" i="9"/>
  <c r="V3165" i="9"/>
  <c r="U3165" i="9"/>
  <c r="R3165" i="9"/>
  <c r="Q3165" i="9"/>
  <c r="K3165" i="9"/>
  <c r="L3165" i="9" s="1"/>
  <c r="I3165" i="9"/>
  <c r="AF3164" i="9"/>
  <c r="AE3164" i="9"/>
  <c r="AB3164" i="9"/>
  <c r="AA3164" i="9"/>
  <c r="V3164" i="9"/>
  <c r="U3164" i="9"/>
  <c r="R3164" i="9"/>
  <c r="Q3164" i="9"/>
  <c r="I3164" i="9"/>
  <c r="K3164" i="9" s="1"/>
  <c r="L3164" i="9" s="1"/>
  <c r="AM3163" i="9"/>
  <c r="AN3163" i="9" s="1"/>
  <c r="AF3163" i="9"/>
  <c r="AB3163" i="9"/>
  <c r="V3163" i="9"/>
  <c r="R3163" i="9"/>
  <c r="K3163" i="9"/>
  <c r="L3163" i="9" s="1"/>
  <c r="I3163" i="9"/>
  <c r="AM3162" i="9"/>
  <c r="AN3162" i="9" s="1"/>
  <c r="AF3162" i="9"/>
  <c r="AB3162" i="9"/>
  <c r="V3162" i="9"/>
  <c r="R3162" i="9"/>
  <c r="I3162" i="9"/>
  <c r="K3162" i="9" s="1"/>
  <c r="L3162" i="9" s="1"/>
  <c r="AF3161" i="9"/>
  <c r="AE3161" i="9"/>
  <c r="AB3161" i="9"/>
  <c r="AA3161" i="9"/>
  <c r="V3161" i="9"/>
  <c r="U3161" i="9"/>
  <c r="R3161" i="9"/>
  <c r="Q3161" i="9"/>
  <c r="I3161" i="9"/>
  <c r="K3161" i="9" s="1"/>
  <c r="L3161" i="9" s="1"/>
  <c r="AM3160" i="9"/>
  <c r="AN3160" i="9" s="1"/>
  <c r="AF3160" i="9"/>
  <c r="AB3160" i="9"/>
  <c r="V3160" i="9"/>
  <c r="R3160" i="9"/>
  <c r="I3160" i="9"/>
  <c r="K3160" i="9" s="1"/>
  <c r="L3160" i="9" s="1"/>
  <c r="AN3159" i="9"/>
  <c r="AM3159" i="9"/>
  <c r="AF3159" i="9"/>
  <c r="AB3159" i="9"/>
  <c r="V3159" i="9"/>
  <c r="R3159" i="9"/>
  <c r="K3159" i="9"/>
  <c r="L3159" i="9" s="1"/>
  <c r="I3159" i="9"/>
  <c r="AN3158" i="9"/>
  <c r="AM3158" i="9"/>
  <c r="AB3158" i="9"/>
  <c r="V3158" i="9"/>
  <c r="J3158" i="9"/>
  <c r="AF3158" i="9" s="1"/>
  <c r="AE3157" i="9"/>
  <c r="AA3157" i="9"/>
  <c r="U3157" i="9"/>
  <c r="Q3157" i="9"/>
  <c r="J3157" i="9"/>
  <c r="I3157" i="9" s="1"/>
  <c r="K3157" i="9" s="1"/>
  <c r="L3157" i="9" s="1"/>
  <c r="AM3156" i="9"/>
  <c r="AN3156" i="9" s="1"/>
  <c r="AB3156" i="9"/>
  <c r="V3156" i="9"/>
  <c r="J3156" i="9"/>
  <c r="R3156" i="9" s="1"/>
  <c r="I3156" i="9"/>
  <c r="D3156" i="9"/>
  <c r="AM3155" i="9"/>
  <c r="AN3155" i="9" s="1"/>
  <c r="AB3155" i="9"/>
  <c r="J3155" i="9"/>
  <c r="R3155" i="9" s="1"/>
  <c r="I3155" i="9"/>
  <c r="D3155" i="9"/>
  <c r="AF3154" i="9"/>
  <c r="AE3154" i="9"/>
  <c r="AB3154" i="9"/>
  <c r="AA3154" i="9"/>
  <c r="V3154" i="9"/>
  <c r="U3154" i="9"/>
  <c r="R3154" i="9"/>
  <c r="Q3154" i="9"/>
  <c r="K3154" i="9"/>
  <c r="L3154" i="9" s="1"/>
  <c r="AF3153" i="9"/>
  <c r="AE3153" i="9"/>
  <c r="AB3153" i="9"/>
  <c r="AA3153" i="9"/>
  <c r="V3153" i="9"/>
  <c r="U3153" i="9"/>
  <c r="R3153" i="9"/>
  <c r="Q3153" i="9"/>
  <c r="K3153" i="9"/>
  <c r="L3153" i="9" s="1"/>
  <c r="AF3152" i="9"/>
  <c r="AE3152" i="9"/>
  <c r="AB3152" i="9"/>
  <c r="AA3152" i="9"/>
  <c r="V3152" i="9"/>
  <c r="U3152" i="9"/>
  <c r="R3152" i="9"/>
  <c r="Q3152" i="9"/>
  <c r="K3152" i="9"/>
  <c r="L3152" i="9" s="1"/>
  <c r="AM3151" i="9"/>
  <c r="AN3151" i="9" s="1"/>
  <c r="AB3151" i="9"/>
  <c r="V3151" i="9"/>
  <c r="J3151" i="9"/>
  <c r="AF3150" i="9"/>
  <c r="AE3150" i="9"/>
  <c r="AB3150" i="9"/>
  <c r="AA3150" i="9"/>
  <c r="V3150" i="9"/>
  <c r="U3150" i="9"/>
  <c r="R3150" i="9"/>
  <c r="Q3150" i="9"/>
  <c r="AM3150" i="9" s="1"/>
  <c r="AN3150" i="9" s="1"/>
  <c r="K3150" i="9"/>
  <c r="L3150" i="9" s="1"/>
  <c r="AF3149" i="9"/>
  <c r="AE3149" i="9"/>
  <c r="AB3149" i="9"/>
  <c r="AA3149" i="9"/>
  <c r="V3149" i="9"/>
  <c r="U3149" i="9"/>
  <c r="R3149" i="9"/>
  <c r="Q3149" i="9"/>
  <c r="K3149" i="9"/>
  <c r="L3149" i="9" s="1"/>
  <c r="AM3148" i="9"/>
  <c r="AN3148" i="9" s="1"/>
  <c r="AF3148" i="9"/>
  <c r="AB3148" i="9"/>
  <c r="V3148" i="9"/>
  <c r="R3148" i="9"/>
  <c r="AK3148" i="9" s="1"/>
  <c r="AL3148" i="9" s="1"/>
  <c r="I3148" i="9"/>
  <c r="K3148" i="9" s="1"/>
  <c r="L3148" i="9" s="1"/>
  <c r="AM3147" i="9"/>
  <c r="AN3147" i="9" s="1"/>
  <c r="AF3147" i="9"/>
  <c r="AB3147" i="9"/>
  <c r="V3147" i="9"/>
  <c r="R3147" i="9"/>
  <c r="I3147" i="9"/>
  <c r="K3147" i="9" s="1"/>
  <c r="L3147" i="9" s="1"/>
  <c r="AM3146" i="9"/>
  <c r="AN3146" i="9" s="1"/>
  <c r="AF3146" i="9"/>
  <c r="AB3146" i="9"/>
  <c r="V3146" i="9"/>
  <c r="R3146" i="9"/>
  <c r="I3146" i="9"/>
  <c r="K3146" i="9" s="1"/>
  <c r="L3146" i="9" s="1"/>
  <c r="AN3145" i="9"/>
  <c r="AM3145" i="9"/>
  <c r="AF3145" i="9"/>
  <c r="AB3145" i="9"/>
  <c r="V3145" i="9"/>
  <c r="R3145" i="9"/>
  <c r="I3145" i="9"/>
  <c r="K3145" i="9" s="1"/>
  <c r="L3145" i="9" s="1"/>
  <c r="AM3144" i="9"/>
  <c r="AN3144" i="9" s="1"/>
  <c r="AF3144" i="9"/>
  <c r="AB3144" i="9"/>
  <c r="V3144" i="9"/>
  <c r="R3144" i="9"/>
  <c r="I3144" i="9"/>
  <c r="K3144" i="9" s="1"/>
  <c r="L3144" i="9" s="1"/>
  <c r="AM3143" i="9"/>
  <c r="AN3143" i="9" s="1"/>
  <c r="AF3143" i="9"/>
  <c r="AB3143" i="9"/>
  <c r="AK3143" i="9" s="1"/>
  <c r="AL3143" i="9" s="1"/>
  <c r="V3143" i="9"/>
  <c r="R3143" i="9"/>
  <c r="I3143" i="9"/>
  <c r="K3143" i="9" s="1"/>
  <c r="L3143" i="9" s="1"/>
  <c r="AM3142" i="9"/>
  <c r="AN3142" i="9" s="1"/>
  <c r="AF3142" i="9"/>
  <c r="AB3142" i="9"/>
  <c r="V3142" i="9"/>
  <c r="AK3142" i="9" s="1"/>
  <c r="AL3142" i="9" s="1"/>
  <c r="R3142" i="9"/>
  <c r="I3142" i="9"/>
  <c r="K3142" i="9" s="1"/>
  <c r="L3142" i="9" s="1"/>
  <c r="AM3141" i="9"/>
  <c r="AN3141" i="9" s="1"/>
  <c r="AF3141" i="9"/>
  <c r="AB3141" i="9"/>
  <c r="V3141" i="9"/>
  <c r="R3141" i="9"/>
  <c r="I3141" i="9"/>
  <c r="K3141" i="9" s="1"/>
  <c r="L3141" i="9" s="1"/>
  <c r="AM3140" i="9"/>
  <c r="AK3140" i="9"/>
  <c r="AL3140" i="9" s="1"/>
  <c r="AF3140" i="9"/>
  <c r="AB3140" i="9"/>
  <c r="V3140" i="9"/>
  <c r="R3140" i="9"/>
  <c r="I3140" i="9"/>
  <c r="K3140" i="9" s="1"/>
  <c r="L3140" i="9" s="1"/>
  <c r="D3140" i="9"/>
  <c r="AN3140" i="9" s="1"/>
  <c r="AM3139" i="9"/>
  <c r="AN3139" i="9" s="1"/>
  <c r="AF3139" i="9"/>
  <c r="AB3139" i="9"/>
  <c r="AK3139" i="9" s="1"/>
  <c r="AL3139" i="9" s="1"/>
  <c r="V3139" i="9"/>
  <c r="R3139" i="9"/>
  <c r="I3139" i="9"/>
  <c r="K3139" i="9" s="1"/>
  <c r="L3139" i="9" s="1"/>
  <c r="AF3138" i="9"/>
  <c r="AE3138" i="9"/>
  <c r="AB3138" i="9"/>
  <c r="AA3138" i="9"/>
  <c r="V3138" i="9"/>
  <c r="U3138" i="9"/>
  <c r="R3138" i="9"/>
  <c r="Q3138" i="9"/>
  <c r="K3138" i="9"/>
  <c r="L3138" i="9" s="1"/>
  <c r="I3138" i="9"/>
  <c r="AF3137" i="9"/>
  <c r="AE3137" i="9"/>
  <c r="AB3137" i="9"/>
  <c r="AA3137" i="9"/>
  <c r="V3137" i="9"/>
  <c r="U3137" i="9"/>
  <c r="R3137" i="9"/>
  <c r="Q3137" i="9"/>
  <c r="K3137" i="9"/>
  <c r="L3137" i="9" s="1"/>
  <c r="I3137" i="9"/>
  <c r="AN3136" i="9"/>
  <c r="AM3136" i="9"/>
  <c r="AF3136" i="9"/>
  <c r="AB3136" i="9"/>
  <c r="V3136" i="9"/>
  <c r="R3136" i="9"/>
  <c r="AK3136" i="9" s="1"/>
  <c r="AL3136" i="9" s="1"/>
  <c r="K3136" i="9"/>
  <c r="L3136" i="9" s="1"/>
  <c r="I3136" i="9"/>
  <c r="V3135" i="9"/>
  <c r="J3135" i="9"/>
  <c r="D3135" i="9"/>
  <c r="Q3135" i="9" s="1"/>
  <c r="AM3134" i="9"/>
  <c r="AB3134" i="9"/>
  <c r="J3134" i="9"/>
  <c r="I3134" i="9"/>
  <c r="K3134" i="9" s="1"/>
  <c r="L3134" i="9" s="1"/>
  <c r="D3134" i="9"/>
  <c r="AM3133" i="9"/>
  <c r="J3133" i="9"/>
  <c r="D3133" i="9"/>
  <c r="AF3132" i="9"/>
  <c r="AE3132" i="9"/>
  <c r="AB3132" i="9"/>
  <c r="AA3132" i="9"/>
  <c r="AM3132" i="9" s="1"/>
  <c r="AN3132" i="9" s="1"/>
  <c r="V3132" i="9"/>
  <c r="U3132" i="9"/>
  <c r="R3132" i="9"/>
  <c r="Q3132" i="9"/>
  <c r="I3132" i="9"/>
  <c r="K3132" i="9" s="1"/>
  <c r="L3132" i="9" s="1"/>
  <c r="AF3131" i="9"/>
  <c r="AK3131" i="9" s="1"/>
  <c r="AL3131" i="9" s="1"/>
  <c r="AE3131" i="9"/>
  <c r="AB3131" i="9"/>
  <c r="AA3131" i="9"/>
  <c r="V3131" i="9"/>
  <c r="U3131" i="9"/>
  <c r="R3131" i="9"/>
  <c r="Q3131" i="9"/>
  <c r="AM3131" i="9" s="1"/>
  <c r="AN3131" i="9" s="1"/>
  <c r="I3131" i="9"/>
  <c r="K3131" i="9" s="1"/>
  <c r="L3131" i="9" s="1"/>
  <c r="AE3130" i="9"/>
  <c r="J3130" i="9"/>
  <c r="D3130" i="9"/>
  <c r="AM3129" i="9"/>
  <c r="J3129" i="9"/>
  <c r="D3129" i="9"/>
  <c r="AF3128" i="9"/>
  <c r="AK3128" i="9" s="1"/>
  <c r="AB3128" i="9"/>
  <c r="V3128" i="9"/>
  <c r="R3128" i="9"/>
  <c r="J3128" i="9"/>
  <c r="D3128" i="9"/>
  <c r="AA3128" i="9" s="1"/>
  <c r="J3127" i="9"/>
  <c r="D3127" i="9"/>
  <c r="AF3126" i="9"/>
  <c r="AE3126" i="9"/>
  <c r="AB3126" i="9"/>
  <c r="AK3126" i="9" s="1"/>
  <c r="AL3126" i="9" s="1"/>
  <c r="AA3126" i="9"/>
  <c r="V3126" i="9"/>
  <c r="U3126" i="9"/>
  <c r="R3126" i="9"/>
  <c r="Q3126" i="9"/>
  <c r="I3126" i="9"/>
  <c r="K3126" i="9" s="1"/>
  <c r="L3126" i="9" s="1"/>
  <c r="AF3125" i="9"/>
  <c r="AE3125" i="9"/>
  <c r="AB3125" i="9"/>
  <c r="AA3125" i="9"/>
  <c r="V3125" i="9"/>
  <c r="U3125" i="9"/>
  <c r="R3125" i="9"/>
  <c r="Q3125" i="9"/>
  <c r="I3125" i="9"/>
  <c r="K3125" i="9" s="1"/>
  <c r="L3125" i="9" s="1"/>
  <c r="AF3124" i="9"/>
  <c r="AE3124" i="9"/>
  <c r="AB3124" i="9"/>
  <c r="AA3124" i="9"/>
  <c r="V3124" i="9"/>
  <c r="U3124" i="9"/>
  <c r="R3124" i="9"/>
  <c r="Q3124" i="9"/>
  <c r="AM3124" i="9" s="1"/>
  <c r="AN3124" i="9" s="1"/>
  <c r="K3124" i="9"/>
  <c r="L3124" i="9" s="1"/>
  <c r="AF3123" i="9"/>
  <c r="AE3123" i="9"/>
  <c r="AB3123" i="9"/>
  <c r="AA3123" i="9"/>
  <c r="V3123" i="9"/>
  <c r="U3123" i="9"/>
  <c r="R3123" i="9"/>
  <c r="Q3123" i="9"/>
  <c r="K3123" i="9"/>
  <c r="L3123" i="9" s="1"/>
  <c r="AF3122" i="9"/>
  <c r="AE3122" i="9"/>
  <c r="AB3122" i="9"/>
  <c r="AA3122" i="9"/>
  <c r="V3122" i="9"/>
  <c r="U3122" i="9"/>
  <c r="R3122" i="9"/>
  <c r="Q3122" i="9"/>
  <c r="K3122" i="9"/>
  <c r="L3122" i="9" s="1"/>
  <c r="AF3121" i="9"/>
  <c r="AE3121" i="9"/>
  <c r="AB3121" i="9"/>
  <c r="AA3121" i="9"/>
  <c r="V3121" i="9"/>
  <c r="U3121" i="9"/>
  <c r="R3121" i="9"/>
  <c r="Q3121" i="9"/>
  <c r="K3121" i="9"/>
  <c r="L3121" i="9" s="1"/>
  <c r="AF3120" i="9"/>
  <c r="AE3120" i="9"/>
  <c r="AB3120" i="9"/>
  <c r="AA3120" i="9"/>
  <c r="V3120" i="9"/>
  <c r="U3120" i="9"/>
  <c r="R3120" i="9"/>
  <c r="AK3120" i="9" s="1"/>
  <c r="AL3120" i="9" s="1"/>
  <c r="Q3120" i="9"/>
  <c r="I3120" i="9"/>
  <c r="K3120" i="9" s="1"/>
  <c r="L3120" i="9" s="1"/>
  <c r="AF3119" i="9"/>
  <c r="AE3119" i="9"/>
  <c r="AB3119" i="9"/>
  <c r="AA3119" i="9"/>
  <c r="V3119" i="9"/>
  <c r="U3119" i="9"/>
  <c r="R3119" i="9"/>
  <c r="Q3119" i="9"/>
  <c r="I3119" i="9"/>
  <c r="K3119" i="9" s="1"/>
  <c r="L3119" i="9" s="1"/>
  <c r="AF3118" i="9"/>
  <c r="AE3118" i="9"/>
  <c r="AB3118" i="9"/>
  <c r="AA3118" i="9"/>
  <c r="V3118" i="9"/>
  <c r="U3118" i="9"/>
  <c r="R3118" i="9"/>
  <c r="Q3118" i="9"/>
  <c r="K3118" i="9"/>
  <c r="L3118" i="9" s="1"/>
  <c r="AO3117" i="9"/>
  <c r="AF3117" i="9"/>
  <c r="AE3117" i="9"/>
  <c r="AM3117" i="9" s="1"/>
  <c r="AN3117" i="9" s="1"/>
  <c r="AB3117" i="9"/>
  <c r="AA3117" i="9"/>
  <c r="V3117" i="9"/>
  <c r="U3117" i="9"/>
  <c r="R3117" i="9"/>
  <c r="Q3117" i="9"/>
  <c r="K3117" i="9"/>
  <c r="L3117" i="9" s="1"/>
  <c r="AF3116" i="9"/>
  <c r="AE3116" i="9"/>
  <c r="AB3116" i="9"/>
  <c r="AA3116" i="9"/>
  <c r="V3116" i="9"/>
  <c r="U3116" i="9"/>
  <c r="R3116" i="9"/>
  <c r="Q3116" i="9"/>
  <c r="AM3116" i="9" s="1"/>
  <c r="AN3116" i="9" s="1"/>
  <c r="K3116" i="9"/>
  <c r="L3116" i="9" s="1"/>
  <c r="AF3115" i="9"/>
  <c r="AE3115" i="9"/>
  <c r="AB3115" i="9"/>
  <c r="AA3115" i="9"/>
  <c r="V3115" i="9"/>
  <c r="U3115" i="9"/>
  <c r="R3115" i="9"/>
  <c r="Q3115" i="9"/>
  <c r="K3115" i="9"/>
  <c r="L3115" i="9" s="1"/>
  <c r="AF3114" i="9"/>
  <c r="AE3114" i="9"/>
  <c r="AB3114" i="9"/>
  <c r="AA3114" i="9"/>
  <c r="V3114" i="9"/>
  <c r="U3114" i="9"/>
  <c r="R3114" i="9"/>
  <c r="Q3114" i="9"/>
  <c r="K3114" i="9"/>
  <c r="L3114" i="9" s="1"/>
  <c r="AM3113" i="9"/>
  <c r="AN3113" i="9" s="1"/>
  <c r="AK3113" i="9"/>
  <c r="AL3113" i="9" s="1"/>
  <c r="AF3113" i="9"/>
  <c r="AE3113" i="9"/>
  <c r="AB3113" i="9"/>
  <c r="AA3113" i="9"/>
  <c r="V3113" i="9"/>
  <c r="U3113" i="9"/>
  <c r="R3113" i="9"/>
  <c r="Q3113" i="9"/>
  <c r="K3113" i="9"/>
  <c r="L3113" i="9" s="1"/>
  <c r="AN3112" i="9"/>
  <c r="AM3112" i="9"/>
  <c r="AK3112" i="9"/>
  <c r="AL3112" i="9" s="1"/>
  <c r="AF3112" i="9"/>
  <c r="AB3112" i="9"/>
  <c r="V3112" i="9"/>
  <c r="R3112" i="9"/>
  <c r="I3112" i="9"/>
  <c r="K3112" i="9" s="1"/>
  <c r="L3112" i="9" s="1"/>
  <c r="AN3111" i="9"/>
  <c r="AM3111" i="9"/>
  <c r="AF3111" i="9"/>
  <c r="AB3111" i="9"/>
  <c r="V3111" i="9"/>
  <c r="AK3111" i="9" s="1"/>
  <c r="AL3111" i="9" s="1"/>
  <c r="R3111" i="9"/>
  <c r="K3111" i="9"/>
  <c r="L3111" i="9" s="1"/>
  <c r="I3111" i="9"/>
  <c r="AM3110" i="9"/>
  <c r="AN3110" i="9" s="1"/>
  <c r="AF3110" i="9"/>
  <c r="AB3110" i="9"/>
  <c r="AK3110" i="9" s="1"/>
  <c r="AL3110" i="9" s="1"/>
  <c r="V3110" i="9"/>
  <c r="R3110" i="9"/>
  <c r="I3110" i="9"/>
  <c r="K3110" i="9" s="1"/>
  <c r="L3110" i="9" s="1"/>
  <c r="AM3109" i="9"/>
  <c r="AN3109" i="9" s="1"/>
  <c r="AF3109" i="9"/>
  <c r="AB3109" i="9"/>
  <c r="V3109" i="9"/>
  <c r="R3109" i="9"/>
  <c r="I3109" i="9"/>
  <c r="K3109" i="9" s="1"/>
  <c r="L3109" i="9" s="1"/>
  <c r="AM3108" i="9"/>
  <c r="AN3108" i="9" s="1"/>
  <c r="AL3108" i="9"/>
  <c r="AF3108" i="9"/>
  <c r="AB3108" i="9"/>
  <c r="V3108" i="9"/>
  <c r="R3108" i="9"/>
  <c r="AK3108" i="9" s="1"/>
  <c r="I3108" i="9"/>
  <c r="K3108" i="9" s="1"/>
  <c r="L3108" i="9" s="1"/>
  <c r="AM3107" i="9"/>
  <c r="AN3107" i="9" s="1"/>
  <c r="AF3107" i="9"/>
  <c r="AB3107" i="9"/>
  <c r="V3107" i="9"/>
  <c r="R3107" i="9"/>
  <c r="I3107" i="9"/>
  <c r="K3107" i="9" s="1"/>
  <c r="L3107" i="9" s="1"/>
  <c r="AM3106" i="9"/>
  <c r="AN3106" i="9" s="1"/>
  <c r="AF3106" i="9"/>
  <c r="AB3106" i="9"/>
  <c r="V3106" i="9"/>
  <c r="R3106" i="9"/>
  <c r="K3106" i="9"/>
  <c r="L3106" i="9" s="1"/>
  <c r="I3106" i="9"/>
  <c r="AN3105" i="9"/>
  <c r="AM3105" i="9"/>
  <c r="AF3105" i="9"/>
  <c r="AB3105" i="9"/>
  <c r="V3105" i="9"/>
  <c r="R3105" i="9"/>
  <c r="L3105" i="9"/>
  <c r="I3105" i="9"/>
  <c r="K3105" i="9" s="1"/>
  <c r="AM3104" i="9"/>
  <c r="AN3104" i="9" s="1"/>
  <c r="AF3104" i="9"/>
  <c r="AB3104" i="9"/>
  <c r="V3104" i="9"/>
  <c r="R3104" i="9"/>
  <c r="I3104" i="9"/>
  <c r="K3104" i="9" s="1"/>
  <c r="L3104" i="9" s="1"/>
  <c r="AN3103" i="9"/>
  <c r="AM3103" i="9"/>
  <c r="AF3103" i="9"/>
  <c r="AB3103" i="9"/>
  <c r="V3103" i="9"/>
  <c r="R3103" i="9"/>
  <c r="I3103" i="9"/>
  <c r="K3103" i="9" s="1"/>
  <c r="L3103" i="9" s="1"/>
  <c r="AM3102" i="9"/>
  <c r="AN3102" i="9" s="1"/>
  <c r="AF3102" i="9"/>
  <c r="AB3102" i="9"/>
  <c r="V3102" i="9"/>
  <c r="R3102" i="9"/>
  <c r="I3102" i="9"/>
  <c r="K3102" i="9" s="1"/>
  <c r="L3102" i="9" s="1"/>
  <c r="AN3101" i="9"/>
  <c r="AM3101" i="9"/>
  <c r="AF3101" i="9"/>
  <c r="AB3101" i="9"/>
  <c r="V3101" i="9"/>
  <c r="R3101" i="9"/>
  <c r="AK3101" i="9" s="1"/>
  <c r="AL3101" i="9" s="1"/>
  <c r="I3101" i="9"/>
  <c r="K3101" i="9" s="1"/>
  <c r="L3101" i="9" s="1"/>
  <c r="AM3100" i="9"/>
  <c r="AN3100" i="9" s="1"/>
  <c r="AF3100" i="9"/>
  <c r="AB3100" i="9"/>
  <c r="V3100" i="9"/>
  <c r="R3100" i="9"/>
  <c r="AK3100" i="9" s="1"/>
  <c r="AL3100" i="9" s="1"/>
  <c r="I3100" i="9"/>
  <c r="K3100" i="9" s="1"/>
  <c r="L3100" i="9" s="1"/>
  <c r="AN3099" i="9"/>
  <c r="AM3099" i="9"/>
  <c r="AF3099" i="9"/>
  <c r="AB3099" i="9"/>
  <c r="AK3099" i="9" s="1"/>
  <c r="AL3099" i="9" s="1"/>
  <c r="V3099" i="9"/>
  <c r="R3099" i="9"/>
  <c r="K3099" i="9"/>
  <c r="L3099" i="9" s="1"/>
  <c r="I3099" i="9"/>
  <c r="AM3098" i="9"/>
  <c r="AN3098" i="9" s="1"/>
  <c r="AF3098" i="9"/>
  <c r="AK3098" i="9" s="1"/>
  <c r="AL3098" i="9" s="1"/>
  <c r="AB3098" i="9"/>
  <c r="V3098" i="9"/>
  <c r="R3098" i="9"/>
  <c r="I3098" i="9"/>
  <c r="K3098" i="9" s="1"/>
  <c r="L3098" i="9" s="1"/>
  <c r="AM3097" i="9"/>
  <c r="AN3097" i="9" s="1"/>
  <c r="AF3097" i="9"/>
  <c r="AK3097" i="9" s="1"/>
  <c r="AL3097" i="9" s="1"/>
  <c r="AB3097" i="9"/>
  <c r="V3097" i="9"/>
  <c r="R3097" i="9"/>
  <c r="I3097" i="9"/>
  <c r="K3097" i="9" s="1"/>
  <c r="L3097" i="9" s="1"/>
  <c r="AM3096" i="9"/>
  <c r="AN3096" i="9" s="1"/>
  <c r="AF3096" i="9"/>
  <c r="AB3096" i="9"/>
  <c r="V3096" i="9"/>
  <c r="R3096" i="9"/>
  <c r="AK3096" i="9" s="1"/>
  <c r="AL3096" i="9" s="1"/>
  <c r="I3096" i="9"/>
  <c r="K3096" i="9" s="1"/>
  <c r="L3096" i="9" s="1"/>
  <c r="AM3095" i="9"/>
  <c r="AN3095" i="9" s="1"/>
  <c r="AF3095" i="9"/>
  <c r="AB3095" i="9"/>
  <c r="V3095" i="9"/>
  <c r="R3095" i="9"/>
  <c r="L3095" i="9"/>
  <c r="I3095" i="9"/>
  <c r="K3095" i="9" s="1"/>
  <c r="AM3094" i="9"/>
  <c r="AN3094" i="9" s="1"/>
  <c r="AF3094" i="9"/>
  <c r="AB3094" i="9"/>
  <c r="V3094" i="9"/>
  <c r="R3094" i="9"/>
  <c r="AK3094" i="9" s="1"/>
  <c r="AL3094" i="9" s="1"/>
  <c r="K3094" i="9"/>
  <c r="L3094" i="9" s="1"/>
  <c r="I3094" i="9"/>
  <c r="AM3093" i="9"/>
  <c r="AN3093" i="9" s="1"/>
  <c r="AF3093" i="9"/>
  <c r="AB3093" i="9"/>
  <c r="V3093" i="9"/>
  <c r="R3093" i="9"/>
  <c r="I3093" i="9"/>
  <c r="K3093" i="9" s="1"/>
  <c r="L3093" i="9" s="1"/>
  <c r="AM3092" i="9"/>
  <c r="AN3092" i="9" s="1"/>
  <c r="AF3092" i="9"/>
  <c r="AB3092" i="9"/>
  <c r="V3092" i="9"/>
  <c r="R3092" i="9"/>
  <c r="I3092" i="9"/>
  <c r="K3092" i="9" s="1"/>
  <c r="L3092" i="9" s="1"/>
  <c r="AM3091" i="9"/>
  <c r="AN3091" i="9" s="1"/>
  <c r="AF3091" i="9"/>
  <c r="AB3091" i="9"/>
  <c r="V3091" i="9"/>
  <c r="R3091" i="9"/>
  <c r="I3091" i="9"/>
  <c r="K3091" i="9" s="1"/>
  <c r="L3091" i="9" s="1"/>
  <c r="AM3090" i="9"/>
  <c r="AN3090" i="9" s="1"/>
  <c r="AF3090" i="9"/>
  <c r="AB3090" i="9"/>
  <c r="V3090" i="9"/>
  <c r="AK3090" i="9" s="1"/>
  <c r="AL3090" i="9" s="1"/>
  <c r="R3090" i="9"/>
  <c r="I3090" i="9"/>
  <c r="K3090" i="9" s="1"/>
  <c r="L3090" i="9" s="1"/>
  <c r="AM3089" i="9"/>
  <c r="AN3089" i="9" s="1"/>
  <c r="AF3089" i="9"/>
  <c r="AB3089" i="9"/>
  <c r="V3089" i="9"/>
  <c r="R3089" i="9"/>
  <c r="I3089" i="9"/>
  <c r="K3089" i="9" s="1"/>
  <c r="L3089" i="9" s="1"/>
  <c r="AN3088" i="9"/>
  <c r="AM3088" i="9"/>
  <c r="AF3088" i="9"/>
  <c r="AB3088" i="9"/>
  <c r="V3088" i="9"/>
  <c r="AK3088" i="9" s="1"/>
  <c r="AL3088" i="9" s="1"/>
  <c r="R3088" i="9"/>
  <c r="I3088" i="9"/>
  <c r="K3088" i="9" s="1"/>
  <c r="L3088" i="9" s="1"/>
  <c r="AM3087" i="9"/>
  <c r="AN3087" i="9" s="1"/>
  <c r="AF3087" i="9"/>
  <c r="AB3087" i="9"/>
  <c r="V3087" i="9"/>
  <c r="R3087" i="9"/>
  <c r="I3087" i="9"/>
  <c r="K3087" i="9" s="1"/>
  <c r="L3087" i="9" s="1"/>
  <c r="AM3086" i="9"/>
  <c r="AN3086" i="9" s="1"/>
  <c r="AK3086" i="9"/>
  <c r="AL3086" i="9" s="1"/>
  <c r="AF3086" i="9"/>
  <c r="AB3086" i="9"/>
  <c r="V3086" i="9"/>
  <c r="R3086" i="9"/>
  <c r="I3086" i="9"/>
  <c r="K3086" i="9" s="1"/>
  <c r="L3086" i="9" s="1"/>
  <c r="AM3085" i="9"/>
  <c r="AN3085" i="9" s="1"/>
  <c r="AF3085" i="9"/>
  <c r="AB3085" i="9"/>
  <c r="V3085" i="9"/>
  <c r="R3085" i="9"/>
  <c r="I3085" i="9"/>
  <c r="K3085" i="9" s="1"/>
  <c r="L3085" i="9" s="1"/>
  <c r="AN3084" i="9"/>
  <c r="AM3084" i="9"/>
  <c r="AF3084" i="9"/>
  <c r="AB3084" i="9"/>
  <c r="V3084" i="9"/>
  <c r="R3084" i="9"/>
  <c r="AK3084" i="9" s="1"/>
  <c r="AL3084" i="9" s="1"/>
  <c r="K3084" i="9"/>
  <c r="L3084" i="9" s="1"/>
  <c r="I3084" i="9"/>
  <c r="AM3083" i="9"/>
  <c r="AN3083" i="9" s="1"/>
  <c r="AF3083" i="9"/>
  <c r="AB3083" i="9"/>
  <c r="V3083" i="9"/>
  <c r="R3083" i="9"/>
  <c r="I3083" i="9"/>
  <c r="K3083" i="9" s="1"/>
  <c r="L3083" i="9" s="1"/>
  <c r="AM3082" i="9"/>
  <c r="AN3082" i="9" s="1"/>
  <c r="AF3082" i="9"/>
  <c r="AB3082" i="9"/>
  <c r="V3082" i="9"/>
  <c r="R3082" i="9"/>
  <c r="I3082" i="9"/>
  <c r="K3082" i="9" s="1"/>
  <c r="L3082" i="9" s="1"/>
  <c r="AN3081" i="9"/>
  <c r="AM3081" i="9"/>
  <c r="AF3081" i="9"/>
  <c r="AB3081" i="9"/>
  <c r="V3081" i="9"/>
  <c r="R3081" i="9"/>
  <c r="I3081" i="9"/>
  <c r="K3081" i="9" s="1"/>
  <c r="L3081" i="9" s="1"/>
  <c r="AM3080" i="9"/>
  <c r="AN3080" i="9" s="1"/>
  <c r="AF3080" i="9"/>
  <c r="AB3080" i="9"/>
  <c r="V3080" i="9"/>
  <c r="R3080" i="9"/>
  <c r="I3080" i="9"/>
  <c r="K3080" i="9" s="1"/>
  <c r="L3080" i="9" s="1"/>
  <c r="AN3079" i="9"/>
  <c r="AM3079" i="9"/>
  <c r="AF3079" i="9"/>
  <c r="AB3079" i="9"/>
  <c r="V3079" i="9"/>
  <c r="R3079" i="9"/>
  <c r="I3079" i="9"/>
  <c r="K3079" i="9" s="1"/>
  <c r="L3079" i="9" s="1"/>
  <c r="AM3078" i="9"/>
  <c r="AN3078" i="9" s="1"/>
  <c r="AF3078" i="9"/>
  <c r="AB3078" i="9"/>
  <c r="V3078" i="9"/>
  <c r="R3078" i="9"/>
  <c r="I3078" i="9"/>
  <c r="K3078" i="9" s="1"/>
  <c r="L3078" i="9" s="1"/>
  <c r="AM3077" i="9"/>
  <c r="AN3077" i="9" s="1"/>
  <c r="AF3077" i="9"/>
  <c r="AB3077" i="9"/>
  <c r="V3077" i="9"/>
  <c r="R3077" i="9"/>
  <c r="AK3077" i="9" s="1"/>
  <c r="AL3077" i="9" s="1"/>
  <c r="I3077" i="9"/>
  <c r="K3077" i="9" s="1"/>
  <c r="L3077" i="9" s="1"/>
  <c r="AM3076" i="9"/>
  <c r="AN3076" i="9" s="1"/>
  <c r="AF3076" i="9"/>
  <c r="AB3076" i="9"/>
  <c r="AK3076" i="9" s="1"/>
  <c r="AL3076" i="9" s="1"/>
  <c r="V3076" i="9"/>
  <c r="R3076" i="9"/>
  <c r="I3076" i="9"/>
  <c r="K3076" i="9" s="1"/>
  <c r="L3076" i="9" s="1"/>
  <c r="AM3075" i="9"/>
  <c r="AN3075" i="9" s="1"/>
  <c r="AF3075" i="9"/>
  <c r="AB3075" i="9"/>
  <c r="V3075" i="9"/>
  <c r="R3075" i="9"/>
  <c r="I3075" i="9"/>
  <c r="K3075" i="9" s="1"/>
  <c r="L3075" i="9" s="1"/>
  <c r="AM3074" i="9"/>
  <c r="AN3074" i="9" s="1"/>
  <c r="AF3074" i="9"/>
  <c r="AB3074" i="9"/>
  <c r="V3074" i="9"/>
  <c r="R3074" i="9"/>
  <c r="K3074" i="9"/>
  <c r="L3074" i="9" s="1"/>
  <c r="I3074" i="9"/>
  <c r="AM3073" i="9"/>
  <c r="AN3073" i="9" s="1"/>
  <c r="AF3073" i="9"/>
  <c r="AB3073" i="9"/>
  <c r="V3073" i="9"/>
  <c r="R3073" i="9"/>
  <c r="AK3073" i="9" s="1"/>
  <c r="AL3073" i="9" s="1"/>
  <c r="L3073" i="9"/>
  <c r="I3073" i="9"/>
  <c r="K3073" i="9" s="1"/>
  <c r="AM3072" i="9"/>
  <c r="AN3072" i="9" s="1"/>
  <c r="AF3072" i="9"/>
  <c r="AB3072" i="9"/>
  <c r="V3072" i="9"/>
  <c r="R3072" i="9"/>
  <c r="I3072" i="9"/>
  <c r="K3072" i="9" s="1"/>
  <c r="L3072" i="9" s="1"/>
  <c r="AM3071" i="9"/>
  <c r="AN3071" i="9" s="1"/>
  <c r="AF3071" i="9"/>
  <c r="AK3071" i="9" s="1"/>
  <c r="AL3071" i="9" s="1"/>
  <c r="AB3071" i="9"/>
  <c r="V3071" i="9"/>
  <c r="R3071" i="9"/>
  <c r="I3071" i="9"/>
  <c r="K3071" i="9" s="1"/>
  <c r="L3071" i="9" s="1"/>
  <c r="AM3070" i="9"/>
  <c r="AN3070" i="9" s="1"/>
  <c r="AF3070" i="9"/>
  <c r="AB3070" i="9"/>
  <c r="V3070" i="9"/>
  <c r="R3070" i="9"/>
  <c r="L3070" i="9"/>
  <c r="I3070" i="9"/>
  <c r="K3070" i="9" s="1"/>
  <c r="AM3069" i="9"/>
  <c r="AN3069" i="9" s="1"/>
  <c r="AF3069" i="9"/>
  <c r="AB3069" i="9"/>
  <c r="V3069" i="9"/>
  <c r="R3069" i="9"/>
  <c r="AK3069" i="9" s="1"/>
  <c r="AL3069" i="9" s="1"/>
  <c r="K3069" i="9"/>
  <c r="L3069" i="9" s="1"/>
  <c r="I3069" i="9"/>
  <c r="AM3068" i="9"/>
  <c r="AN3068" i="9" s="1"/>
  <c r="AF3068" i="9"/>
  <c r="AB3068" i="9"/>
  <c r="V3068" i="9"/>
  <c r="R3068" i="9"/>
  <c r="I3068" i="9"/>
  <c r="K3068" i="9" s="1"/>
  <c r="L3068" i="9" s="1"/>
  <c r="AM3067" i="9"/>
  <c r="AN3067" i="9" s="1"/>
  <c r="AF3067" i="9"/>
  <c r="AB3067" i="9"/>
  <c r="V3067" i="9"/>
  <c r="R3067" i="9"/>
  <c r="I3067" i="9"/>
  <c r="K3067" i="9" s="1"/>
  <c r="L3067" i="9" s="1"/>
  <c r="AM3066" i="9"/>
  <c r="AN3066" i="9" s="1"/>
  <c r="AF3066" i="9"/>
  <c r="AB3066" i="9"/>
  <c r="V3066" i="9"/>
  <c r="R3066" i="9"/>
  <c r="I3066" i="9"/>
  <c r="K3066" i="9" s="1"/>
  <c r="L3066" i="9" s="1"/>
  <c r="AM3065" i="9"/>
  <c r="AN3065" i="9" s="1"/>
  <c r="AK3065" i="9"/>
  <c r="AL3065" i="9" s="1"/>
  <c r="AF3065" i="9"/>
  <c r="AB3065" i="9"/>
  <c r="V3065" i="9"/>
  <c r="R3065" i="9"/>
  <c r="I3065" i="9"/>
  <c r="K3065" i="9" s="1"/>
  <c r="L3065" i="9" s="1"/>
  <c r="AM3064" i="9"/>
  <c r="AN3064" i="9" s="1"/>
  <c r="AF3064" i="9"/>
  <c r="AB3064" i="9"/>
  <c r="V3064" i="9"/>
  <c r="R3064" i="9"/>
  <c r="AK3064" i="9" s="1"/>
  <c r="AL3064" i="9" s="1"/>
  <c r="L3064" i="9"/>
  <c r="I3064" i="9"/>
  <c r="K3064" i="9" s="1"/>
  <c r="AM3063" i="9"/>
  <c r="AN3063" i="9" s="1"/>
  <c r="AF3063" i="9"/>
  <c r="AB3063" i="9"/>
  <c r="V3063" i="9"/>
  <c r="R3063" i="9"/>
  <c r="K3063" i="9"/>
  <c r="L3063" i="9" s="1"/>
  <c r="I3063" i="9"/>
  <c r="AM3062" i="9"/>
  <c r="AN3062" i="9" s="1"/>
  <c r="AF3062" i="9"/>
  <c r="AB3062" i="9"/>
  <c r="V3062" i="9"/>
  <c r="AK3062" i="9" s="1"/>
  <c r="AL3062" i="9" s="1"/>
  <c r="R3062" i="9"/>
  <c r="I3062" i="9"/>
  <c r="K3062" i="9" s="1"/>
  <c r="L3062" i="9" s="1"/>
  <c r="AM3061" i="9"/>
  <c r="AN3061" i="9" s="1"/>
  <c r="AF3061" i="9"/>
  <c r="AB3061" i="9"/>
  <c r="V3061" i="9"/>
  <c r="R3061" i="9"/>
  <c r="I3061" i="9"/>
  <c r="K3061" i="9" s="1"/>
  <c r="L3061" i="9" s="1"/>
  <c r="AM3060" i="9"/>
  <c r="AN3060" i="9" s="1"/>
  <c r="AF3060" i="9"/>
  <c r="AB3060" i="9"/>
  <c r="V3060" i="9"/>
  <c r="R3060" i="9"/>
  <c r="I3060" i="9"/>
  <c r="K3060" i="9" s="1"/>
  <c r="L3060" i="9" s="1"/>
  <c r="AM3059" i="9"/>
  <c r="AN3059" i="9" s="1"/>
  <c r="AF3059" i="9"/>
  <c r="AB3059" i="9"/>
  <c r="V3059" i="9"/>
  <c r="R3059" i="9"/>
  <c r="I3059" i="9"/>
  <c r="K3059" i="9" s="1"/>
  <c r="L3059" i="9" s="1"/>
  <c r="AM3058" i="9"/>
  <c r="AN3058" i="9" s="1"/>
  <c r="AF3058" i="9"/>
  <c r="AB3058" i="9"/>
  <c r="V3058" i="9"/>
  <c r="R3058" i="9"/>
  <c r="I3058" i="9"/>
  <c r="K3058" i="9" s="1"/>
  <c r="L3058" i="9" s="1"/>
  <c r="AM3057" i="9"/>
  <c r="AN3057" i="9" s="1"/>
  <c r="AF3057" i="9"/>
  <c r="AB3057" i="9"/>
  <c r="V3057" i="9"/>
  <c r="R3057" i="9"/>
  <c r="I3057" i="9"/>
  <c r="K3057" i="9" s="1"/>
  <c r="L3057" i="9" s="1"/>
  <c r="AM3056" i="9"/>
  <c r="AN3056" i="9" s="1"/>
  <c r="AF3056" i="9"/>
  <c r="AB3056" i="9"/>
  <c r="V3056" i="9"/>
  <c r="AK3056" i="9" s="1"/>
  <c r="AL3056" i="9" s="1"/>
  <c r="R3056" i="9"/>
  <c r="I3056" i="9"/>
  <c r="K3056" i="9" s="1"/>
  <c r="L3056" i="9" s="1"/>
  <c r="AM3055" i="9"/>
  <c r="AN3055" i="9" s="1"/>
  <c r="AF3055" i="9"/>
  <c r="AB3055" i="9"/>
  <c r="V3055" i="9"/>
  <c r="R3055" i="9"/>
  <c r="I3055" i="9"/>
  <c r="K3055" i="9" s="1"/>
  <c r="L3055" i="9" s="1"/>
  <c r="AN3054" i="9"/>
  <c r="AM3054" i="9"/>
  <c r="AF3054" i="9"/>
  <c r="AB3054" i="9"/>
  <c r="V3054" i="9"/>
  <c r="R3054" i="9"/>
  <c r="K3054" i="9"/>
  <c r="L3054" i="9" s="1"/>
  <c r="I3054" i="9"/>
  <c r="AM3053" i="9"/>
  <c r="AN3053" i="9" s="1"/>
  <c r="AF3053" i="9"/>
  <c r="AB3053" i="9"/>
  <c r="V3053" i="9"/>
  <c r="R3053" i="9"/>
  <c r="I3053" i="9"/>
  <c r="K3053" i="9" s="1"/>
  <c r="L3053" i="9" s="1"/>
  <c r="AM3052" i="9"/>
  <c r="AN3052" i="9" s="1"/>
  <c r="AF3052" i="9"/>
  <c r="AB3052" i="9"/>
  <c r="V3052" i="9"/>
  <c r="R3052" i="9"/>
  <c r="I3052" i="9"/>
  <c r="K3052" i="9" s="1"/>
  <c r="L3052" i="9" s="1"/>
  <c r="AM3051" i="9"/>
  <c r="AN3051" i="9" s="1"/>
  <c r="AF3051" i="9"/>
  <c r="AB3051" i="9"/>
  <c r="AK3051" i="9" s="1"/>
  <c r="AL3051" i="9" s="1"/>
  <c r="V3051" i="9"/>
  <c r="R3051" i="9"/>
  <c r="K3051" i="9"/>
  <c r="L3051" i="9" s="1"/>
  <c r="I3051" i="9"/>
  <c r="AM3050" i="9"/>
  <c r="AN3050" i="9" s="1"/>
  <c r="AF3050" i="9"/>
  <c r="AB3050" i="9"/>
  <c r="V3050" i="9"/>
  <c r="R3050" i="9"/>
  <c r="I3050" i="9"/>
  <c r="K3050" i="9" s="1"/>
  <c r="L3050" i="9" s="1"/>
  <c r="AM3049" i="9"/>
  <c r="AN3049" i="9" s="1"/>
  <c r="AF3049" i="9"/>
  <c r="AB3049" i="9"/>
  <c r="V3049" i="9"/>
  <c r="R3049" i="9"/>
  <c r="I3049" i="9"/>
  <c r="K3049" i="9" s="1"/>
  <c r="L3049" i="9" s="1"/>
  <c r="AN3048" i="9"/>
  <c r="AM3048" i="9"/>
  <c r="AF3048" i="9"/>
  <c r="AB3048" i="9"/>
  <c r="V3048" i="9"/>
  <c r="AK3048" i="9" s="1"/>
  <c r="AL3048" i="9" s="1"/>
  <c r="R3048" i="9"/>
  <c r="K3048" i="9"/>
  <c r="L3048" i="9" s="1"/>
  <c r="I3048" i="9"/>
  <c r="AM3047" i="9"/>
  <c r="AN3047" i="9" s="1"/>
  <c r="AF3047" i="9"/>
  <c r="AB3047" i="9"/>
  <c r="V3047" i="9"/>
  <c r="R3047" i="9"/>
  <c r="I3047" i="9"/>
  <c r="K3047" i="9" s="1"/>
  <c r="L3047" i="9" s="1"/>
  <c r="AM3046" i="9"/>
  <c r="AN3046" i="9" s="1"/>
  <c r="AF3046" i="9"/>
  <c r="AB3046" i="9"/>
  <c r="V3046" i="9"/>
  <c r="R3046" i="9"/>
  <c r="I3046" i="9"/>
  <c r="K3046" i="9" s="1"/>
  <c r="L3046" i="9" s="1"/>
  <c r="AM3045" i="9"/>
  <c r="AN3045" i="9" s="1"/>
  <c r="AF3045" i="9"/>
  <c r="AB3045" i="9"/>
  <c r="AK3045" i="9" s="1"/>
  <c r="AL3045" i="9" s="1"/>
  <c r="V3045" i="9"/>
  <c r="R3045" i="9"/>
  <c r="K3045" i="9"/>
  <c r="L3045" i="9" s="1"/>
  <c r="I3045" i="9"/>
  <c r="AM3044" i="9"/>
  <c r="AN3044" i="9" s="1"/>
  <c r="AF3044" i="9"/>
  <c r="AB3044" i="9"/>
  <c r="V3044" i="9"/>
  <c r="R3044" i="9"/>
  <c r="AK3044" i="9" s="1"/>
  <c r="AL3044" i="9" s="1"/>
  <c r="I3044" i="9"/>
  <c r="K3044" i="9" s="1"/>
  <c r="L3044" i="9" s="1"/>
  <c r="AM3043" i="9"/>
  <c r="AN3043" i="9" s="1"/>
  <c r="AF3043" i="9"/>
  <c r="AB3043" i="9"/>
  <c r="V3043" i="9"/>
  <c r="R3043" i="9"/>
  <c r="L3043" i="9"/>
  <c r="I3043" i="9"/>
  <c r="K3043" i="9" s="1"/>
  <c r="AM3042" i="9"/>
  <c r="AN3042" i="9" s="1"/>
  <c r="AF3042" i="9"/>
  <c r="AB3042" i="9"/>
  <c r="V3042" i="9"/>
  <c r="R3042" i="9"/>
  <c r="K3042" i="9"/>
  <c r="L3042" i="9" s="1"/>
  <c r="I3042" i="9"/>
  <c r="AM3041" i="9"/>
  <c r="AN3041" i="9" s="1"/>
  <c r="AF3041" i="9"/>
  <c r="AB3041" i="9"/>
  <c r="V3041" i="9"/>
  <c r="R3041" i="9"/>
  <c r="I3041" i="9"/>
  <c r="K3041" i="9" s="1"/>
  <c r="L3041" i="9" s="1"/>
  <c r="AM3040" i="9"/>
  <c r="AN3040" i="9" s="1"/>
  <c r="AF3040" i="9"/>
  <c r="AB3040" i="9"/>
  <c r="V3040" i="9"/>
  <c r="R3040" i="9"/>
  <c r="I3040" i="9"/>
  <c r="K3040" i="9" s="1"/>
  <c r="L3040" i="9" s="1"/>
  <c r="AN3039" i="9"/>
  <c r="AM3039" i="9"/>
  <c r="AF3039" i="9"/>
  <c r="AB3039" i="9"/>
  <c r="V3039" i="9"/>
  <c r="R3039" i="9"/>
  <c r="I3039" i="9"/>
  <c r="K3039" i="9" s="1"/>
  <c r="L3039" i="9" s="1"/>
  <c r="AM3038" i="9"/>
  <c r="AN3038" i="9" s="1"/>
  <c r="AF3038" i="9"/>
  <c r="AB3038" i="9"/>
  <c r="V3038" i="9"/>
  <c r="R3038" i="9"/>
  <c r="AK3038" i="9" s="1"/>
  <c r="AL3038" i="9" s="1"/>
  <c r="I3038" i="9"/>
  <c r="K3038" i="9" s="1"/>
  <c r="L3038" i="9" s="1"/>
  <c r="AM3037" i="9"/>
  <c r="AN3037" i="9" s="1"/>
  <c r="AF3037" i="9"/>
  <c r="AB3037" i="9"/>
  <c r="V3037" i="9"/>
  <c r="R3037" i="9"/>
  <c r="I3037" i="9"/>
  <c r="K3037" i="9" s="1"/>
  <c r="L3037" i="9" s="1"/>
  <c r="AN3036" i="9"/>
  <c r="AM3036" i="9"/>
  <c r="AF3036" i="9"/>
  <c r="AB3036" i="9"/>
  <c r="V3036" i="9"/>
  <c r="R3036" i="9"/>
  <c r="L3036" i="9"/>
  <c r="I3036" i="9"/>
  <c r="K3036" i="9" s="1"/>
  <c r="AN3035" i="9"/>
  <c r="AM3035" i="9"/>
  <c r="AF3035" i="9"/>
  <c r="AB3035" i="9"/>
  <c r="V3035" i="9"/>
  <c r="R3035" i="9"/>
  <c r="I3035" i="9"/>
  <c r="K3035" i="9" s="1"/>
  <c r="L3035" i="9" s="1"/>
  <c r="AM3034" i="9"/>
  <c r="AN3034" i="9" s="1"/>
  <c r="AF3034" i="9"/>
  <c r="AB3034" i="9"/>
  <c r="V3034" i="9"/>
  <c r="R3034" i="9"/>
  <c r="I3034" i="9"/>
  <c r="K3034" i="9" s="1"/>
  <c r="L3034" i="9" s="1"/>
  <c r="AN3033" i="9"/>
  <c r="AM3033" i="9"/>
  <c r="AF3033" i="9"/>
  <c r="AB3033" i="9"/>
  <c r="V3033" i="9"/>
  <c r="R3033" i="9"/>
  <c r="K3033" i="9"/>
  <c r="L3033" i="9" s="1"/>
  <c r="I3033" i="9"/>
  <c r="AM3032" i="9"/>
  <c r="AN3032" i="9" s="1"/>
  <c r="AF3032" i="9"/>
  <c r="AB3032" i="9"/>
  <c r="V3032" i="9"/>
  <c r="R3032" i="9"/>
  <c r="I3032" i="9"/>
  <c r="K3032" i="9" s="1"/>
  <c r="L3032" i="9" s="1"/>
  <c r="AN3031" i="9"/>
  <c r="AM3031" i="9"/>
  <c r="AF3031" i="9"/>
  <c r="AB3031" i="9"/>
  <c r="V3031" i="9"/>
  <c r="R3031" i="9"/>
  <c r="I3031" i="9"/>
  <c r="K3031" i="9" s="1"/>
  <c r="L3031" i="9" s="1"/>
  <c r="AN3030" i="9"/>
  <c r="AM3030" i="9"/>
  <c r="AK3030" i="9"/>
  <c r="AL3030" i="9" s="1"/>
  <c r="AF3030" i="9"/>
  <c r="AB3030" i="9"/>
  <c r="V3030" i="9"/>
  <c r="R3030" i="9"/>
  <c r="I3030" i="9"/>
  <c r="K3030" i="9" s="1"/>
  <c r="L3030" i="9" s="1"/>
  <c r="AM3029" i="9"/>
  <c r="AN3029" i="9" s="1"/>
  <c r="AF3029" i="9"/>
  <c r="AB3029" i="9"/>
  <c r="V3029" i="9"/>
  <c r="R3029" i="9"/>
  <c r="I3029" i="9"/>
  <c r="K3029" i="9" s="1"/>
  <c r="L3029" i="9" s="1"/>
  <c r="AM3028" i="9"/>
  <c r="AN3028" i="9" s="1"/>
  <c r="AF3028" i="9"/>
  <c r="AB3028" i="9"/>
  <c r="V3028" i="9"/>
  <c r="R3028" i="9"/>
  <c r="AK3028" i="9" s="1"/>
  <c r="AL3028" i="9" s="1"/>
  <c r="L3028" i="9"/>
  <c r="I3028" i="9"/>
  <c r="K3028" i="9" s="1"/>
  <c r="AM3027" i="9"/>
  <c r="AN3027" i="9" s="1"/>
  <c r="AF3027" i="9"/>
  <c r="AB3027" i="9"/>
  <c r="V3027" i="9"/>
  <c r="AK3027" i="9" s="1"/>
  <c r="AL3027" i="9" s="1"/>
  <c r="R3027" i="9"/>
  <c r="L3027" i="9"/>
  <c r="K3027" i="9"/>
  <c r="I3027" i="9"/>
  <c r="AM3026" i="9"/>
  <c r="AN3026" i="9" s="1"/>
  <c r="AF3026" i="9"/>
  <c r="AB3026" i="9"/>
  <c r="V3026" i="9"/>
  <c r="R3026" i="9"/>
  <c r="I3026" i="9"/>
  <c r="K3026" i="9" s="1"/>
  <c r="L3026" i="9" s="1"/>
  <c r="AM3025" i="9"/>
  <c r="AN3025" i="9" s="1"/>
  <c r="AF3025" i="9"/>
  <c r="AB3025" i="9"/>
  <c r="V3025" i="9"/>
  <c r="R3025" i="9"/>
  <c r="I3025" i="9"/>
  <c r="K3025" i="9" s="1"/>
  <c r="L3025" i="9" s="1"/>
  <c r="AN3024" i="9"/>
  <c r="AM3024" i="9"/>
  <c r="AF3024" i="9"/>
  <c r="AB3024" i="9"/>
  <c r="V3024" i="9"/>
  <c r="R3024" i="9"/>
  <c r="I3024" i="9"/>
  <c r="K3024" i="9" s="1"/>
  <c r="L3024" i="9" s="1"/>
  <c r="AM3023" i="9"/>
  <c r="AN3023" i="9" s="1"/>
  <c r="AF3023" i="9"/>
  <c r="AB3023" i="9"/>
  <c r="V3023" i="9"/>
  <c r="R3023" i="9"/>
  <c r="K3023" i="9"/>
  <c r="L3023" i="9" s="1"/>
  <c r="I3023" i="9"/>
  <c r="AM3022" i="9"/>
  <c r="AN3022" i="9" s="1"/>
  <c r="AF3022" i="9"/>
  <c r="AB3022" i="9"/>
  <c r="V3022" i="9"/>
  <c r="R3022" i="9"/>
  <c r="K3022" i="9"/>
  <c r="L3022" i="9" s="1"/>
  <c r="I3022" i="9"/>
  <c r="AM3021" i="9"/>
  <c r="AN3021" i="9" s="1"/>
  <c r="AF3021" i="9"/>
  <c r="AB3021" i="9"/>
  <c r="V3021" i="9"/>
  <c r="R3021" i="9"/>
  <c r="I3021" i="9"/>
  <c r="K3021" i="9" s="1"/>
  <c r="L3021" i="9" s="1"/>
  <c r="AN3020" i="9"/>
  <c r="AM3020" i="9"/>
  <c r="AF3020" i="9"/>
  <c r="AB3020" i="9"/>
  <c r="V3020" i="9"/>
  <c r="R3020" i="9"/>
  <c r="AK3020" i="9" s="1"/>
  <c r="AL3020" i="9" s="1"/>
  <c r="I3020" i="9"/>
  <c r="K3020" i="9" s="1"/>
  <c r="L3020" i="9" s="1"/>
  <c r="AM3019" i="9"/>
  <c r="AN3019" i="9" s="1"/>
  <c r="AF3019" i="9"/>
  <c r="AB3019" i="9"/>
  <c r="V3019" i="9"/>
  <c r="R3019" i="9"/>
  <c r="I3019" i="9"/>
  <c r="K3019" i="9" s="1"/>
  <c r="L3019" i="9" s="1"/>
  <c r="AN3018" i="9"/>
  <c r="AM3018" i="9"/>
  <c r="AF3018" i="9"/>
  <c r="AB3018" i="9"/>
  <c r="V3018" i="9"/>
  <c r="R3018" i="9"/>
  <c r="K3018" i="9"/>
  <c r="L3018" i="9" s="1"/>
  <c r="I3018" i="9"/>
  <c r="AM3017" i="9"/>
  <c r="AN3017" i="9" s="1"/>
  <c r="AF3017" i="9"/>
  <c r="AB3017" i="9"/>
  <c r="V3017" i="9"/>
  <c r="R3017" i="9"/>
  <c r="I3017" i="9"/>
  <c r="K3017" i="9" s="1"/>
  <c r="L3017" i="9" s="1"/>
  <c r="AM3016" i="9"/>
  <c r="AN3016" i="9" s="1"/>
  <c r="AF3016" i="9"/>
  <c r="AB3016" i="9"/>
  <c r="V3016" i="9"/>
  <c r="R3016" i="9"/>
  <c r="I3016" i="9"/>
  <c r="K3016" i="9" s="1"/>
  <c r="L3016" i="9" s="1"/>
  <c r="AM3015" i="9"/>
  <c r="AN3015" i="9" s="1"/>
  <c r="AF3015" i="9"/>
  <c r="AB3015" i="9"/>
  <c r="V3015" i="9"/>
  <c r="R3015" i="9"/>
  <c r="I3015" i="9"/>
  <c r="K3015" i="9" s="1"/>
  <c r="L3015" i="9" s="1"/>
  <c r="AM3014" i="9"/>
  <c r="AN3014" i="9" s="1"/>
  <c r="AF3014" i="9"/>
  <c r="AB3014" i="9"/>
  <c r="V3014" i="9"/>
  <c r="R3014" i="9"/>
  <c r="I3014" i="9"/>
  <c r="K3014" i="9" s="1"/>
  <c r="L3014" i="9" s="1"/>
  <c r="AM3013" i="9"/>
  <c r="AN3013" i="9" s="1"/>
  <c r="AF3013" i="9"/>
  <c r="AB3013" i="9"/>
  <c r="V3013" i="9"/>
  <c r="R3013" i="9"/>
  <c r="I3013" i="9"/>
  <c r="K3013" i="9" s="1"/>
  <c r="L3013" i="9" s="1"/>
  <c r="AM3012" i="9"/>
  <c r="AN3012" i="9" s="1"/>
  <c r="AF3012" i="9"/>
  <c r="AB3012" i="9"/>
  <c r="V3012" i="9"/>
  <c r="R3012" i="9"/>
  <c r="I3012" i="9"/>
  <c r="K3012" i="9" s="1"/>
  <c r="L3012" i="9" s="1"/>
  <c r="AM3011" i="9"/>
  <c r="AN3011" i="9" s="1"/>
  <c r="AF3011" i="9"/>
  <c r="AB3011" i="9"/>
  <c r="V3011" i="9"/>
  <c r="R3011" i="9"/>
  <c r="AK3011" i="9" s="1"/>
  <c r="AL3011" i="9" s="1"/>
  <c r="I3011" i="9"/>
  <c r="K3011" i="9" s="1"/>
  <c r="L3011" i="9" s="1"/>
  <c r="AN3010" i="9"/>
  <c r="AM3010" i="9"/>
  <c r="AF3010" i="9"/>
  <c r="AB3010" i="9"/>
  <c r="V3010" i="9"/>
  <c r="R3010" i="9"/>
  <c r="I3010" i="9"/>
  <c r="K3010" i="9" s="1"/>
  <c r="L3010" i="9" s="1"/>
  <c r="AM3009" i="9"/>
  <c r="AN3009" i="9" s="1"/>
  <c r="AF3009" i="9"/>
  <c r="AB3009" i="9"/>
  <c r="V3009" i="9"/>
  <c r="R3009" i="9"/>
  <c r="AK3009" i="9" s="1"/>
  <c r="AL3009" i="9" s="1"/>
  <c r="I3009" i="9"/>
  <c r="K3009" i="9" s="1"/>
  <c r="L3009" i="9" s="1"/>
  <c r="AM3008" i="9"/>
  <c r="AN3008" i="9" s="1"/>
  <c r="AF3008" i="9"/>
  <c r="AB3008" i="9"/>
  <c r="V3008" i="9"/>
  <c r="R3008" i="9"/>
  <c r="K3008" i="9"/>
  <c r="L3008" i="9" s="1"/>
  <c r="I3008" i="9"/>
  <c r="AM3007" i="9"/>
  <c r="AN3007" i="9" s="1"/>
  <c r="AF3007" i="9"/>
  <c r="AB3007" i="9"/>
  <c r="V3007" i="9"/>
  <c r="R3007" i="9"/>
  <c r="I3007" i="9"/>
  <c r="K3007" i="9" s="1"/>
  <c r="L3007" i="9" s="1"/>
  <c r="AM3006" i="9"/>
  <c r="AN3006" i="9" s="1"/>
  <c r="AK3006" i="9"/>
  <c r="AL3006" i="9" s="1"/>
  <c r="AF3006" i="9"/>
  <c r="AB3006" i="9"/>
  <c r="V3006" i="9"/>
  <c r="R3006" i="9"/>
  <c r="I3006" i="9"/>
  <c r="K3006" i="9" s="1"/>
  <c r="L3006" i="9" s="1"/>
  <c r="AN3005" i="9"/>
  <c r="AM3005" i="9"/>
  <c r="AF3005" i="9"/>
  <c r="AB3005" i="9"/>
  <c r="AK3005" i="9" s="1"/>
  <c r="AL3005" i="9" s="1"/>
  <c r="V3005" i="9"/>
  <c r="R3005" i="9"/>
  <c r="K3005" i="9"/>
  <c r="L3005" i="9" s="1"/>
  <c r="I3005" i="9"/>
  <c r="AM3004" i="9"/>
  <c r="AN3004" i="9" s="1"/>
  <c r="AF3004" i="9"/>
  <c r="AB3004" i="9"/>
  <c r="V3004" i="9"/>
  <c r="R3004" i="9"/>
  <c r="I3004" i="9"/>
  <c r="K3004" i="9" s="1"/>
  <c r="L3004" i="9" s="1"/>
  <c r="AM3003" i="9"/>
  <c r="AN3003" i="9" s="1"/>
  <c r="AF3003" i="9"/>
  <c r="AB3003" i="9"/>
  <c r="V3003" i="9"/>
  <c r="R3003" i="9"/>
  <c r="AK3003" i="9" s="1"/>
  <c r="AL3003" i="9" s="1"/>
  <c r="I3003" i="9"/>
  <c r="K3003" i="9" s="1"/>
  <c r="L3003" i="9" s="1"/>
  <c r="AM3002" i="9"/>
  <c r="AN3002" i="9" s="1"/>
  <c r="AF3002" i="9"/>
  <c r="AB3002" i="9"/>
  <c r="V3002" i="9"/>
  <c r="R3002" i="9"/>
  <c r="L3002" i="9"/>
  <c r="I3002" i="9"/>
  <c r="K3002" i="9" s="1"/>
  <c r="AM3001" i="9"/>
  <c r="AN3001" i="9" s="1"/>
  <c r="AF3001" i="9"/>
  <c r="AB3001" i="9"/>
  <c r="V3001" i="9"/>
  <c r="AK3001" i="9" s="1"/>
  <c r="AL3001" i="9" s="1"/>
  <c r="R3001" i="9"/>
  <c r="K3001" i="9"/>
  <c r="L3001" i="9" s="1"/>
  <c r="I3001" i="9"/>
  <c r="AM3000" i="9"/>
  <c r="AN3000" i="9" s="1"/>
  <c r="AF3000" i="9"/>
  <c r="AB3000" i="9"/>
  <c r="V3000" i="9"/>
  <c r="R3000" i="9"/>
  <c r="I3000" i="9"/>
  <c r="K3000" i="9" s="1"/>
  <c r="L3000" i="9" s="1"/>
  <c r="AM2999" i="9"/>
  <c r="AN2999" i="9" s="1"/>
  <c r="AF2999" i="9"/>
  <c r="AB2999" i="9"/>
  <c r="V2999" i="9"/>
  <c r="R2999" i="9"/>
  <c r="I2999" i="9"/>
  <c r="K2999" i="9" s="1"/>
  <c r="L2999" i="9" s="1"/>
  <c r="AN2998" i="9"/>
  <c r="AM2998" i="9"/>
  <c r="AF2998" i="9"/>
  <c r="AB2998" i="9"/>
  <c r="V2998" i="9"/>
  <c r="AK2998" i="9" s="1"/>
  <c r="AL2998" i="9" s="1"/>
  <c r="R2998" i="9"/>
  <c r="I2998" i="9"/>
  <c r="K2998" i="9" s="1"/>
  <c r="L2998" i="9" s="1"/>
  <c r="AM2997" i="9"/>
  <c r="AN2997" i="9" s="1"/>
  <c r="AF2997" i="9"/>
  <c r="AB2997" i="9"/>
  <c r="V2997" i="9"/>
  <c r="R2997" i="9"/>
  <c r="I2997" i="9"/>
  <c r="K2997" i="9" s="1"/>
  <c r="L2997" i="9" s="1"/>
  <c r="AM2996" i="9"/>
  <c r="AN2996" i="9" s="1"/>
  <c r="AF2996" i="9"/>
  <c r="AB2996" i="9"/>
  <c r="V2996" i="9"/>
  <c r="R2996" i="9"/>
  <c r="I2996" i="9"/>
  <c r="K2996" i="9" s="1"/>
  <c r="L2996" i="9" s="1"/>
  <c r="AM2995" i="9"/>
  <c r="AN2995" i="9" s="1"/>
  <c r="AF2995" i="9"/>
  <c r="AB2995" i="9"/>
  <c r="V2995" i="9"/>
  <c r="R2995" i="9"/>
  <c r="I2995" i="9"/>
  <c r="K2995" i="9" s="1"/>
  <c r="L2995" i="9" s="1"/>
  <c r="AM2994" i="9"/>
  <c r="AN2994" i="9" s="1"/>
  <c r="AF2994" i="9"/>
  <c r="AB2994" i="9"/>
  <c r="V2994" i="9"/>
  <c r="R2994" i="9"/>
  <c r="I2994" i="9"/>
  <c r="K2994" i="9" s="1"/>
  <c r="L2994" i="9" s="1"/>
  <c r="AM2993" i="9"/>
  <c r="AN2993" i="9" s="1"/>
  <c r="AF2993" i="9"/>
  <c r="AB2993" i="9"/>
  <c r="V2993" i="9"/>
  <c r="R2993" i="9"/>
  <c r="I2993" i="9"/>
  <c r="K2993" i="9" s="1"/>
  <c r="L2993" i="9" s="1"/>
  <c r="AN2992" i="9"/>
  <c r="AM2992" i="9"/>
  <c r="AF2992" i="9"/>
  <c r="AB2992" i="9"/>
  <c r="V2992" i="9"/>
  <c r="AK2992" i="9" s="1"/>
  <c r="AL2992" i="9" s="1"/>
  <c r="R2992" i="9"/>
  <c r="K2992" i="9"/>
  <c r="L2992" i="9" s="1"/>
  <c r="I2992" i="9"/>
  <c r="AM2991" i="9"/>
  <c r="AN2991" i="9" s="1"/>
  <c r="AF2991" i="9"/>
  <c r="AB2991" i="9"/>
  <c r="V2991" i="9"/>
  <c r="R2991" i="9"/>
  <c r="I2991" i="9"/>
  <c r="K2991" i="9" s="1"/>
  <c r="L2991" i="9" s="1"/>
  <c r="AM2990" i="9"/>
  <c r="AN2990" i="9" s="1"/>
  <c r="AF2990" i="9"/>
  <c r="AB2990" i="9"/>
  <c r="V2990" i="9"/>
  <c r="AK2990" i="9" s="1"/>
  <c r="AL2990" i="9" s="1"/>
  <c r="R2990" i="9"/>
  <c r="I2990" i="9"/>
  <c r="K2990" i="9" s="1"/>
  <c r="L2990" i="9" s="1"/>
  <c r="AM2989" i="9"/>
  <c r="AN2989" i="9" s="1"/>
  <c r="AF2989" i="9"/>
  <c r="AB2989" i="9"/>
  <c r="V2989" i="9"/>
  <c r="R2989" i="9"/>
  <c r="K2989" i="9"/>
  <c r="L2989" i="9" s="1"/>
  <c r="I2989" i="9"/>
  <c r="AM2988" i="9"/>
  <c r="AN2988" i="9" s="1"/>
  <c r="AF2988" i="9"/>
  <c r="AB2988" i="9"/>
  <c r="V2988" i="9"/>
  <c r="R2988" i="9"/>
  <c r="K2988" i="9"/>
  <c r="L2988" i="9" s="1"/>
  <c r="I2988" i="9"/>
  <c r="AM2987" i="9"/>
  <c r="AN2987" i="9" s="1"/>
  <c r="AF2987" i="9"/>
  <c r="AB2987" i="9"/>
  <c r="V2987" i="9"/>
  <c r="R2987" i="9"/>
  <c r="I2987" i="9"/>
  <c r="K2987" i="9" s="1"/>
  <c r="L2987" i="9" s="1"/>
  <c r="AM2986" i="9"/>
  <c r="AN2986" i="9" s="1"/>
  <c r="AF2986" i="9"/>
  <c r="AB2986" i="9"/>
  <c r="V2986" i="9"/>
  <c r="R2986" i="9"/>
  <c r="AK2986" i="9" s="1"/>
  <c r="AL2986" i="9" s="1"/>
  <c r="L2986" i="9"/>
  <c r="K2986" i="9"/>
  <c r="I2986" i="9"/>
  <c r="AM2985" i="9"/>
  <c r="AN2985" i="9" s="1"/>
  <c r="AF2985" i="9"/>
  <c r="AB2985" i="9"/>
  <c r="V2985" i="9"/>
  <c r="R2985" i="9"/>
  <c r="I2985" i="9"/>
  <c r="K2985" i="9" s="1"/>
  <c r="L2985" i="9" s="1"/>
  <c r="AM2984" i="9"/>
  <c r="AN2984" i="9" s="1"/>
  <c r="AF2984" i="9"/>
  <c r="AB2984" i="9"/>
  <c r="V2984" i="9"/>
  <c r="R2984" i="9"/>
  <c r="I2984" i="9"/>
  <c r="K2984" i="9" s="1"/>
  <c r="L2984" i="9" s="1"/>
  <c r="AN2983" i="9"/>
  <c r="AM2983" i="9"/>
  <c r="AF2983" i="9"/>
  <c r="AB2983" i="9"/>
  <c r="V2983" i="9"/>
  <c r="R2983" i="9"/>
  <c r="L2983" i="9"/>
  <c r="I2983" i="9"/>
  <c r="K2983" i="9" s="1"/>
  <c r="AN2982" i="9"/>
  <c r="AM2982" i="9"/>
  <c r="AF2982" i="9"/>
  <c r="AB2982" i="9"/>
  <c r="V2982" i="9"/>
  <c r="R2982" i="9"/>
  <c r="I2982" i="9"/>
  <c r="K2982" i="9" s="1"/>
  <c r="L2982" i="9" s="1"/>
  <c r="AM2981" i="9"/>
  <c r="AN2981" i="9" s="1"/>
  <c r="AK2981" i="9"/>
  <c r="AL2981" i="9" s="1"/>
  <c r="AF2981" i="9"/>
  <c r="AB2981" i="9"/>
  <c r="V2981" i="9"/>
  <c r="R2981" i="9"/>
  <c r="I2981" i="9"/>
  <c r="K2981" i="9" s="1"/>
  <c r="L2981" i="9" s="1"/>
  <c r="AM2980" i="9"/>
  <c r="AN2980" i="9" s="1"/>
  <c r="AK2980" i="9"/>
  <c r="AL2980" i="9" s="1"/>
  <c r="AF2980" i="9"/>
  <c r="AB2980" i="9"/>
  <c r="V2980" i="9"/>
  <c r="R2980" i="9"/>
  <c r="I2980" i="9"/>
  <c r="K2980" i="9" s="1"/>
  <c r="L2980" i="9" s="1"/>
  <c r="AN2979" i="9"/>
  <c r="AM2979" i="9"/>
  <c r="AF2979" i="9"/>
  <c r="AB2979" i="9"/>
  <c r="V2979" i="9"/>
  <c r="R2979" i="9"/>
  <c r="I2979" i="9"/>
  <c r="K2979" i="9" s="1"/>
  <c r="L2979" i="9" s="1"/>
  <c r="AM2978" i="9"/>
  <c r="AN2978" i="9" s="1"/>
  <c r="AF2978" i="9"/>
  <c r="AB2978" i="9"/>
  <c r="V2978" i="9"/>
  <c r="R2978" i="9"/>
  <c r="AK2978" i="9" s="1"/>
  <c r="AL2978" i="9" s="1"/>
  <c r="L2978" i="9"/>
  <c r="I2978" i="9"/>
  <c r="K2978" i="9" s="1"/>
  <c r="AM2977" i="9"/>
  <c r="AN2977" i="9" s="1"/>
  <c r="AF2977" i="9"/>
  <c r="AB2977" i="9"/>
  <c r="V2977" i="9"/>
  <c r="R2977" i="9"/>
  <c r="I2977" i="9"/>
  <c r="K2977" i="9" s="1"/>
  <c r="L2977" i="9" s="1"/>
  <c r="AM2976" i="9"/>
  <c r="AN2976" i="9" s="1"/>
  <c r="AF2976" i="9"/>
  <c r="AB2976" i="9"/>
  <c r="V2976" i="9"/>
  <c r="R2976" i="9"/>
  <c r="I2976" i="9"/>
  <c r="K2976" i="9" s="1"/>
  <c r="L2976" i="9" s="1"/>
  <c r="AM2975" i="9"/>
  <c r="AN2975" i="9" s="1"/>
  <c r="AF2975" i="9"/>
  <c r="AB2975" i="9"/>
  <c r="V2975" i="9"/>
  <c r="R2975" i="9"/>
  <c r="I2975" i="9"/>
  <c r="K2975" i="9" s="1"/>
  <c r="L2975" i="9" s="1"/>
  <c r="AM2974" i="9"/>
  <c r="AN2974" i="9" s="1"/>
  <c r="AF2974" i="9"/>
  <c r="AB2974" i="9"/>
  <c r="V2974" i="9"/>
  <c r="R2974" i="9"/>
  <c r="AK2974" i="9" s="1"/>
  <c r="AL2974" i="9" s="1"/>
  <c r="I2974" i="9"/>
  <c r="K2974" i="9" s="1"/>
  <c r="L2974" i="9" s="1"/>
  <c r="AM2973" i="9"/>
  <c r="AN2973" i="9" s="1"/>
  <c r="AK2973" i="9"/>
  <c r="AL2973" i="9" s="1"/>
  <c r="AF2973" i="9"/>
  <c r="AB2973" i="9"/>
  <c r="V2973" i="9"/>
  <c r="R2973" i="9"/>
  <c r="I2973" i="9"/>
  <c r="K2973" i="9" s="1"/>
  <c r="L2973" i="9" s="1"/>
  <c r="AM2972" i="9"/>
  <c r="AN2972" i="9" s="1"/>
  <c r="AF2972" i="9"/>
  <c r="AB2972" i="9"/>
  <c r="V2972" i="9"/>
  <c r="R2972" i="9"/>
  <c r="I2972" i="9"/>
  <c r="K2972" i="9" s="1"/>
  <c r="L2972" i="9" s="1"/>
  <c r="AM2971" i="9"/>
  <c r="AN2971" i="9" s="1"/>
  <c r="AF2971" i="9"/>
  <c r="AB2971" i="9"/>
  <c r="V2971" i="9"/>
  <c r="AK2971" i="9" s="1"/>
  <c r="AL2971" i="9" s="1"/>
  <c r="R2971" i="9"/>
  <c r="I2971" i="9"/>
  <c r="K2971" i="9" s="1"/>
  <c r="L2971" i="9" s="1"/>
  <c r="AM2970" i="9"/>
  <c r="AN2970" i="9" s="1"/>
  <c r="AF2970" i="9"/>
  <c r="AB2970" i="9"/>
  <c r="V2970" i="9"/>
  <c r="R2970" i="9"/>
  <c r="I2970" i="9"/>
  <c r="K2970" i="9" s="1"/>
  <c r="L2970" i="9" s="1"/>
  <c r="AN2969" i="9"/>
  <c r="AM2969" i="9"/>
  <c r="AF2969" i="9"/>
  <c r="AB2969" i="9"/>
  <c r="V2969" i="9"/>
  <c r="AK2969" i="9" s="1"/>
  <c r="AL2969" i="9" s="1"/>
  <c r="R2969" i="9"/>
  <c r="K2969" i="9"/>
  <c r="L2969" i="9" s="1"/>
  <c r="I2969" i="9"/>
  <c r="AM2968" i="9"/>
  <c r="AN2968" i="9" s="1"/>
  <c r="AF2968" i="9"/>
  <c r="AB2968" i="9"/>
  <c r="V2968" i="9"/>
  <c r="R2968" i="9"/>
  <c r="I2968" i="9"/>
  <c r="K2968" i="9" s="1"/>
  <c r="L2968" i="9" s="1"/>
  <c r="AM2967" i="9"/>
  <c r="AN2967" i="9" s="1"/>
  <c r="AF2967" i="9"/>
  <c r="AB2967" i="9"/>
  <c r="V2967" i="9"/>
  <c r="R2967" i="9"/>
  <c r="I2967" i="9"/>
  <c r="K2967" i="9" s="1"/>
  <c r="L2967" i="9" s="1"/>
  <c r="AM2966" i="9"/>
  <c r="AN2966" i="9" s="1"/>
  <c r="AF2966" i="9"/>
  <c r="AB2966" i="9"/>
  <c r="V2966" i="9"/>
  <c r="R2966" i="9"/>
  <c r="I2966" i="9"/>
  <c r="K2966" i="9" s="1"/>
  <c r="L2966" i="9" s="1"/>
  <c r="AN2965" i="9"/>
  <c r="AM2965" i="9"/>
  <c r="AF2965" i="9"/>
  <c r="AB2965" i="9"/>
  <c r="V2965" i="9"/>
  <c r="R2965" i="9"/>
  <c r="K2965" i="9"/>
  <c r="L2965" i="9" s="1"/>
  <c r="I2965" i="9"/>
  <c r="AM2964" i="9"/>
  <c r="AN2964" i="9" s="1"/>
  <c r="AF2964" i="9"/>
  <c r="AB2964" i="9"/>
  <c r="V2964" i="9"/>
  <c r="AK2964" i="9" s="1"/>
  <c r="AL2964" i="9" s="1"/>
  <c r="R2964" i="9"/>
  <c r="I2964" i="9"/>
  <c r="K2964" i="9" s="1"/>
  <c r="L2964" i="9" s="1"/>
  <c r="AM2963" i="9"/>
  <c r="AN2963" i="9" s="1"/>
  <c r="AF2963" i="9"/>
  <c r="AK2963" i="9" s="1"/>
  <c r="AL2963" i="9" s="1"/>
  <c r="AB2963" i="9"/>
  <c r="V2963" i="9"/>
  <c r="R2963" i="9"/>
  <c r="I2963" i="9"/>
  <c r="K2963" i="9" s="1"/>
  <c r="L2963" i="9" s="1"/>
  <c r="AM2962" i="9"/>
  <c r="AN2962" i="9" s="1"/>
  <c r="AF2962" i="9"/>
  <c r="AB2962" i="9"/>
  <c r="V2962" i="9"/>
  <c r="R2962" i="9"/>
  <c r="I2962" i="9"/>
  <c r="K2962" i="9" s="1"/>
  <c r="L2962" i="9" s="1"/>
  <c r="AM2961" i="9"/>
  <c r="AN2961" i="9" s="1"/>
  <c r="AF2961" i="9"/>
  <c r="AB2961" i="9"/>
  <c r="V2961" i="9"/>
  <c r="R2961" i="9"/>
  <c r="K2961" i="9"/>
  <c r="L2961" i="9" s="1"/>
  <c r="I2961" i="9"/>
  <c r="AM2960" i="9"/>
  <c r="AN2960" i="9" s="1"/>
  <c r="AF2960" i="9"/>
  <c r="AB2960" i="9"/>
  <c r="V2960" i="9"/>
  <c r="R2960" i="9"/>
  <c r="I2960" i="9"/>
  <c r="K2960" i="9" s="1"/>
  <c r="L2960" i="9" s="1"/>
  <c r="AM2959" i="9"/>
  <c r="AN2959" i="9" s="1"/>
  <c r="AF2959" i="9"/>
  <c r="AB2959" i="9"/>
  <c r="V2959" i="9"/>
  <c r="AK2959" i="9" s="1"/>
  <c r="AL2959" i="9" s="1"/>
  <c r="R2959" i="9"/>
  <c r="I2959" i="9"/>
  <c r="K2959" i="9" s="1"/>
  <c r="L2959" i="9" s="1"/>
  <c r="AM2958" i="9"/>
  <c r="AN2958" i="9" s="1"/>
  <c r="AF2958" i="9"/>
  <c r="AB2958" i="9"/>
  <c r="V2958" i="9"/>
  <c r="R2958" i="9"/>
  <c r="I2958" i="9"/>
  <c r="K2958" i="9" s="1"/>
  <c r="L2958" i="9" s="1"/>
  <c r="AN2957" i="9"/>
  <c r="AM2957" i="9"/>
  <c r="AF2957" i="9"/>
  <c r="AB2957" i="9"/>
  <c r="V2957" i="9"/>
  <c r="R2957" i="9"/>
  <c r="I2957" i="9"/>
  <c r="K2957" i="9" s="1"/>
  <c r="L2957" i="9" s="1"/>
  <c r="AN2956" i="9"/>
  <c r="AM2956" i="9"/>
  <c r="AF2956" i="9"/>
  <c r="AB2956" i="9"/>
  <c r="V2956" i="9"/>
  <c r="R2956" i="9"/>
  <c r="K2956" i="9"/>
  <c r="L2956" i="9" s="1"/>
  <c r="I2956" i="9"/>
  <c r="AM2955" i="9"/>
  <c r="AN2955" i="9" s="1"/>
  <c r="AF2955" i="9"/>
  <c r="AB2955" i="9"/>
  <c r="V2955" i="9"/>
  <c r="R2955" i="9"/>
  <c r="I2955" i="9"/>
  <c r="K2955" i="9" s="1"/>
  <c r="L2955" i="9" s="1"/>
  <c r="AM2954" i="9"/>
  <c r="AN2954" i="9" s="1"/>
  <c r="AF2954" i="9"/>
  <c r="AK2954" i="9" s="1"/>
  <c r="AL2954" i="9" s="1"/>
  <c r="AB2954" i="9"/>
  <c r="V2954" i="9"/>
  <c r="R2954" i="9"/>
  <c r="I2954" i="9"/>
  <c r="K2954" i="9" s="1"/>
  <c r="L2954" i="9" s="1"/>
  <c r="AM2953" i="9"/>
  <c r="AN2953" i="9" s="1"/>
  <c r="AF2953" i="9"/>
  <c r="AB2953" i="9"/>
  <c r="V2953" i="9"/>
  <c r="R2953" i="9"/>
  <c r="K2953" i="9"/>
  <c r="L2953" i="9" s="1"/>
  <c r="I2953" i="9"/>
  <c r="AM2952" i="9"/>
  <c r="AN2952" i="9" s="1"/>
  <c r="AF2952" i="9"/>
  <c r="AB2952" i="9"/>
  <c r="V2952" i="9"/>
  <c r="R2952" i="9"/>
  <c r="AK2952" i="9" s="1"/>
  <c r="AL2952" i="9" s="1"/>
  <c r="I2952" i="9"/>
  <c r="K2952" i="9" s="1"/>
  <c r="L2952" i="9" s="1"/>
  <c r="AM2951" i="9"/>
  <c r="AN2951" i="9" s="1"/>
  <c r="AF2951" i="9"/>
  <c r="AB2951" i="9"/>
  <c r="V2951" i="9"/>
  <c r="R2951" i="9"/>
  <c r="K2951" i="9"/>
  <c r="L2951" i="9" s="1"/>
  <c r="I2951" i="9"/>
  <c r="AM2950" i="9"/>
  <c r="AN2950" i="9" s="1"/>
  <c r="AF2950" i="9"/>
  <c r="AB2950" i="9"/>
  <c r="V2950" i="9"/>
  <c r="R2950" i="9"/>
  <c r="I2950" i="9"/>
  <c r="K2950" i="9" s="1"/>
  <c r="L2950" i="9" s="1"/>
  <c r="AM2949" i="9"/>
  <c r="AN2949" i="9" s="1"/>
  <c r="AF2949" i="9"/>
  <c r="AB2949" i="9"/>
  <c r="V2949" i="9"/>
  <c r="R2949" i="9"/>
  <c r="I2949" i="9"/>
  <c r="K2949" i="9" s="1"/>
  <c r="L2949" i="9" s="1"/>
  <c r="AN2948" i="9"/>
  <c r="AM2948" i="9"/>
  <c r="AF2948" i="9"/>
  <c r="AB2948" i="9"/>
  <c r="V2948" i="9"/>
  <c r="R2948" i="9"/>
  <c r="AK2948" i="9" s="1"/>
  <c r="AL2948" i="9" s="1"/>
  <c r="I2948" i="9"/>
  <c r="K2948" i="9" s="1"/>
  <c r="L2948" i="9" s="1"/>
  <c r="AM2947" i="9"/>
  <c r="AN2947" i="9" s="1"/>
  <c r="AF2947" i="9"/>
  <c r="AB2947" i="9"/>
  <c r="V2947" i="9"/>
  <c r="AK2947" i="9" s="1"/>
  <c r="AL2947" i="9" s="1"/>
  <c r="R2947" i="9"/>
  <c r="I2947" i="9"/>
  <c r="K2947" i="9" s="1"/>
  <c r="L2947" i="9" s="1"/>
  <c r="AN2946" i="9"/>
  <c r="AM2946" i="9"/>
  <c r="AF2946" i="9"/>
  <c r="AB2946" i="9"/>
  <c r="V2946" i="9"/>
  <c r="AK2946" i="9" s="1"/>
  <c r="AL2946" i="9" s="1"/>
  <c r="R2946" i="9"/>
  <c r="I2946" i="9"/>
  <c r="K2946" i="9" s="1"/>
  <c r="L2946" i="9" s="1"/>
  <c r="AM2945" i="9"/>
  <c r="AN2945" i="9" s="1"/>
  <c r="AF2945" i="9"/>
  <c r="AB2945" i="9"/>
  <c r="V2945" i="9"/>
  <c r="R2945" i="9"/>
  <c r="I2945" i="9"/>
  <c r="K2945" i="9" s="1"/>
  <c r="L2945" i="9" s="1"/>
  <c r="AM2944" i="9"/>
  <c r="AN2944" i="9" s="1"/>
  <c r="AF2944" i="9"/>
  <c r="AB2944" i="9"/>
  <c r="V2944" i="9"/>
  <c r="R2944" i="9"/>
  <c r="I2944" i="9"/>
  <c r="K2944" i="9" s="1"/>
  <c r="L2944" i="9" s="1"/>
  <c r="AN2943" i="9"/>
  <c r="AM2943" i="9"/>
  <c r="AF2943" i="9"/>
  <c r="AB2943" i="9"/>
  <c r="V2943" i="9"/>
  <c r="R2943" i="9"/>
  <c r="K2943" i="9"/>
  <c r="L2943" i="9" s="1"/>
  <c r="I2943" i="9"/>
  <c r="AM2942" i="9"/>
  <c r="AN2942" i="9" s="1"/>
  <c r="AF2942" i="9"/>
  <c r="AB2942" i="9"/>
  <c r="V2942" i="9"/>
  <c r="R2942" i="9"/>
  <c r="AK2942" i="9" s="1"/>
  <c r="AL2942" i="9" s="1"/>
  <c r="I2942" i="9"/>
  <c r="K2942" i="9" s="1"/>
  <c r="L2942" i="9" s="1"/>
  <c r="AN2941" i="9"/>
  <c r="AM2941" i="9"/>
  <c r="AF2941" i="9"/>
  <c r="AB2941" i="9"/>
  <c r="V2941" i="9"/>
  <c r="R2941" i="9"/>
  <c r="K2941" i="9"/>
  <c r="L2941" i="9" s="1"/>
  <c r="I2941" i="9"/>
  <c r="AM2940" i="9"/>
  <c r="AN2940" i="9" s="1"/>
  <c r="AF2940" i="9"/>
  <c r="AB2940" i="9"/>
  <c r="V2940" i="9"/>
  <c r="R2940" i="9"/>
  <c r="L2940" i="9"/>
  <c r="I2940" i="9"/>
  <c r="K2940" i="9" s="1"/>
  <c r="AM2939" i="9"/>
  <c r="AN2939" i="9" s="1"/>
  <c r="AF2939" i="9"/>
  <c r="AB2939" i="9"/>
  <c r="V2939" i="9"/>
  <c r="AK2939" i="9" s="1"/>
  <c r="AL2939" i="9" s="1"/>
  <c r="R2939" i="9"/>
  <c r="I2939" i="9"/>
  <c r="K2939" i="9" s="1"/>
  <c r="L2939" i="9" s="1"/>
  <c r="AN2938" i="9"/>
  <c r="AM2938" i="9"/>
  <c r="AF2938" i="9"/>
  <c r="AB2938" i="9"/>
  <c r="V2938" i="9"/>
  <c r="R2938" i="9"/>
  <c r="I2938" i="9"/>
  <c r="K2938" i="9" s="1"/>
  <c r="L2938" i="9" s="1"/>
  <c r="AM2937" i="9"/>
  <c r="AN2937" i="9" s="1"/>
  <c r="AF2937" i="9"/>
  <c r="AB2937" i="9"/>
  <c r="V2937" i="9"/>
  <c r="R2937" i="9"/>
  <c r="I2937" i="9"/>
  <c r="K2937" i="9" s="1"/>
  <c r="L2937" i="9" s="1"/>
  <c r="AM2936" i="9"/>
  <c r="AN2936" i="9" s="1"/>
  <c r="AF2936" i="9"/>
  <c r="AB2936" i="9"/>
  <c r="V2936" i="9"/>
  <c r="R2936" i="9"/>
  <c r="I2936" i="9"/>
  <c r="K2936" i="9" s="1"/>
  <c r="L2936" i="9" s="1"/>
  <c r="AM2935" i="9"/>
  <c r="AN2935" i="9" s="1"/>
  <c r="AF2935" i="9"/>
  <c r="AB2935" i="9"/>
  <c r="V2935" i="9"/>
  <c r="R2935" i="9"/>
  <c r="K2935" i="9"/>
  <c r="L2935" i="9" s="1"/>
  <c r="I2935" i="9"/>
  <c r="AM2934" i="9"/>
  <c r="AN2934" i="9" s="1"/>
  <c r="AF2934" i="9"/>
  <c r="AB2934" i="9"/>
  <c r="V2934" i="9"/>
  <c r="R2934" i="9"/>
  <c r="L2934" i="9"/>
  <c r="I2934" i="9"/>
  <c r="K2934" i="9" s="1"/>
  <c r="AM2933" i="9"/>
  <c r="AN2933" i="9" s="1"/>
  <c r="AF2933" i="9"/>
  <c r="AB2933" i="9"/>
  <c r="V2933" i="9"/>
  <c r="R2933" i="9"/>
  <c r="I2933" i="9"/>
  <c r="K2933" i="9" s="1"/>
  <c r="L2933" i="9" s="1"/>
  <c r="AM2932" i="9"/>
  <c r="AN2932" i="9" s="1"/>
  <c r="AF2932" i="9"/>
  <c r="AB2932" i="9"/>
  <c r="V2932" i="9"/>
  <c r="R2932" i="9"/>
  <c r="I2932" i="9"/>
  <c r="K2932" i="9" s="1"/>
  <c r="L2932" i="9" s="1"/>
  <c r="AN2931" i="9"/>
  <c r="AM2931" i="9"/>
  <c r="AF2931" i="9"/>
  <c r="AB2931" i="9"/>
  <c r="V2931" i="9"/>
  <c r="R2931" i="9"/>
  <c r="K2931" i="9"/>
  <c r="L2931" i="9" s="1"/>
  <c r="I2931" i="9"/>
  <c r="AM2930" i="9"/>
  <c r="AN2930" i="9" s="1"/>
  <c r="AK2930" i="9"/>
  <c r="AL2930" i="9" s="1"/>
  <c r="AF2930" i="9"/>
  <c r="AB2930" i="9"/>
  <c r="V2930" i="9"/>
  <c r="R2930" i="9"/>
  <c r="I2930" i="9"/>
  <c r="K2930" i="9" s="1"/>
  <c r="L2930" i="9" s="1"/>
  <c r="AN2929" i="9"/>
  <c r="AM2929" i="9"/>
  <c r="AF2929" i="9"/>
  <c r="AB2929" i="9"/>
  <c r="V2929" i="9"/>
  <c r="R2929" i="9"/>
  <c r="K2929" i="9"/>
  <c r="L2929" i="9" s="1"/>
  <c r="I2929" i="9"/>
  <c r="AM2928" i="9"/>
  <c r="AN2928" i="9" s="1"/>
  <c r="AF2928" i="9"/>
  <c r="AB2928" i="9"/>
  <c r="V2928" i="9"/>
  <c r="AK2928" i="9" s="1"/>
  <c r="AL2928" i="9" s="1"/>
  <c r="R2928" i="9"/>
  <c r="I2928" i="9"/>
  <c r="K2928" i="9" s="1"/>
  <c r="L2928" i="9" s="1"/>
  <c r="AM2927" i="9"/>
  <c r="AN2927" i="9" s="1"/>
  <c r="AF2927" i="9"/>
  <c r="AB2927" i="9"/>
  <c r="V2927" i="9"/>
  <c r="AK2927" i="9" s="1"/>
  <c r="AL2927" i="9" s="1"/>
  <c r="R2927" i="9"/>
  <c r="K2927" i="9"/>
  <c r="L2927" i="9" s="1"/>
  <c r="I2927" i="9"/>
  <c r="AN2926" i="9"/>
  <c r="AM2926" i="9"/>
  <c r="AF2926" i="9"/>
  <c r="AB2926" i="9"/>
  <c r="V2926" i="9"/>
  <c r="R2926" i="9"/>
  <c r="L2926" i="9"/>
  <c r="K2926" i="9"/>
  <c r="I2926" i="9"/>
  <c r="AM2925" i="9"/>
  <c r="AN2925" i="9" s="1"/>
  <c r="AF2925" i="9"/>
  <c r="AB2925" i="9"/>
  <c r="V2925" i="9"/>
  <c r="AK2925" i="9" s="1"/>
  <c r="AL2925" i="9" s="1"/>
  <c r="R2925" i="9"/>
  <c r="K2925" i="9"/>
  <c r="L2925" i="9" s="1"/>
  <c r="I2925" i="9"/>
  <c r="AN2924" i="9"/>
  <c r="AM2924" i="9"/>
  <c r="AF2924" i="9"/>
  <c r="AB2924" i="9"/>
  <c r="V2924" i="9"/>
  <c r="R2924" i="9"/>
  <c r="L2924" i="9"/>
  <c r="I2924" i="9"/>
  <c r="K2924" i="9" s="1"/>
  <c r="AN2923" i="9"/>
  <c r="AM2923" i="9"/>
  <c r="AF2923" i="9"/>
  <c r="AB2923" i="9"/>
  <c r="V2923" i="9"/>
  <c r="R2923" i="9"/>
  <c r="K2923" i="9"/>
  <c r="L2923" i="9" s="1"/>
  <c r="I2923" i="9"/>
  <c r="AM2922" i="9"/>
  <c r="AN2922" i="9" s="1"/>
  <c r="AF2922" i="9"/>
  <c r="AB2922" i="9"/>
  <c r="AK2922" i="9" s="1"/>
  <c r="AL2922" i="9" s="1"/>
  <c r="V2922" i="9"/>
  <c r="R2922" i="9"/>
  <c r="I2922" i="9"/>
  <c r="K2922" i="9" s="1"/>
  <c r="L2922" i="9" s="1"/>
  <c r="AM2921" i="9"/>
  <c r="AN2921" i="9" s="1"/>
  <c r="AF2921" i="9"/>
  <c r="AK2921" i="9" s="1"/>
  <c r="AL2921" i="9" s="1"/>
  <c r="AB2921" i="9"/>
  <c r="V2921" i="9"/>
  <c r="R2921" i="9"/>
  <c r="I2921" i="9"/>
  <c r="K2921" i="9" s="1"/>
  <c r="L2921" i="9" s="1"/>
  <c r="AM2920" i="9"/>
  <c r="AN2920" i="9" s="1"/>
  <c r="AF2920" i="9"/>
  <c r="AB2920" i="9"/>
  <c r="V2920" i="9"/>
  <c r="R2920" i="9"/>
  <c r="I2920" i="9"/>
  <c r="K2920" i="9" s="1"/>
  <c r="L2920" i="9" s="1"/>
  <c r="AN2919" i="9"/>
  <c r="AM2919" i="9"/>
  <c r="AF2919" i="9"/>
  <c r="AB2919" i="9"/>
  <c r="V2919" i="9"/>
  <c r="R2919" i="9"/>
  <c r="I2919" i="9"/>
  <c r="K2919" i="9" s="1"/>
  <c r="L2919" i="9" s="1"/>
  <c r="AN2918" i="9"/>
  <c r="AM2918" i="9"/>
  <c r="AF2918" i="9"/>
  <c r="AB2918" i="9"/>
  <c r="V2918" i="9"/>
  <c r="R2918" i="9"/>
  <c r="AK2918" i="9" s="1"/>
  <c r="AL2918" i="9" s="1"/>
  <c r="I2918" i="9"/>
  <c r="K2918" i="9" s="1"/>
  <c r="L2918" i="9" s="1"/>
  <c r="AM2917" i="9"/>
  <c r="AN2917" i="9" s="1"/>
  <c r="AF2917" i="9"/>
  <c r="AB2917" i="9"/>
  <c r="V2917" i="9"/>
  <c r="R2917" i="9"/>
  <c r="L2917" i="9"/>
  <c r="K2917" i="9"/>
  <c r="I2917" i="9"/>
  <c r="AM2916" i="9"/>
  <c r="AN2916" i="9" s="1"/>
  <c r="AF2916" i="9"/>
  <c r="AB2916" i="9"/>
  <c r="V2916" i="9"/>
  <c r="R2916" i="9"/>
  <c r="I2916" i="9"/>
  <c r="K2916" i="9" s="1"/>
  <c r="L2916" i="9" s="1"/>
  <c r="AM2915" i="9"/>
  <c r="AN2915" i="9" s="1"/>
  <c r="AF2915" i="9"/>
  <c r="AB2915" i="9"/>
  <c r="V2915" i="9"/>
  <c r="R2915" i="9"/>
  <c r="I2915" i="9"/>
  <c r="K2915" i="9" s="1"/>
  <c r="L2915" i="9" s="1"/>
  <c r="AM2914" i="9"/>
  <c r="AN2914" i="9" s="1"/>
  <c r="AL2914" i="9"/>
  <c r="AF2914" i="9"/>
  <c r="AB2914" i="9"/>
  <c r="V2914" i="9"/>
  <c r="AK2914" i="9" s="1"/>
  <c r="R2914" i="9"/>
  <c r="K2914" i="9"/>
  <c r="L2914" i="9" s="1"/>
  <c r="I2914" i="9"/>
  <c r="AM2913" i="9"/>
  <c r="AN2913" i="9" s="1"/>
  <c r="AF2913" i="9"/>
  <c r="AB2913" i="9"/>
  <c r="V2913" i="9"/>
  <c r="R2913" i="9"/>
  <c r="I2913" i="9"/>
  <c r="K2913" i="9" s="1"/>
  <c r="L2913" i="9" s="1"/>
  <c r="AM2912" i="9"/>
  <c r="AN2912" i="9" s="1"/>
  <c r="AF2912" i="9"/>
  <c r="AB2912" i="9"/>
  <c r="V2912" i="9"/>
  <c r="R2912" i="9"/>
  <c r="I2912" i="9"/>
  <c r="K2912" i="9" s="1"/>
  <c r="L2912" i="9" s="1"/>
  <c r="AM2911" i="9"/>
  <c r="AN2911" i="9" s="1"/>
  <c r="AF2911" i="9"/>
  <c r="AB2911" i="9"/>
  <c r="V2911" i="9"/>
  <c r="R2911" i="9"/>
  <c r="I2911" i="9"/>
  <c r="K2911" i="9" s="1"/>
  <c r="L2911" i="9" s="1"/>
  <c r="AM2910" i="9"/>
  <c r="AN2910" i="9" s="1"/>
  <c r="AF2910" i="9"/>
  <c r="AB2910" i="9"/>
  <c r="V2910" i="9"/>
  <c r="R2910" i="9"/>
  <c r="K2910" i="9"/>
  <c r="L2910" i="9" s="1"/>
  <c r="I2910" i="9"/>
  <c r="AM2909" i="9"/>
  <c r="AN2909" i="9" s="1"/>
  <c r="AF2909" i="9"/>
  <c r="AK2909" i="9" s="1"/>
  <c r="AL2909" i="9" s="1"/>
  <c r="AB2909" i="9"/>
  <c r="V2909" i="9"/>
  <c r="R2909" i="9"/>
  <c r="I2909" i="9"/>
  <c r="K2909" i="9" s="1"/>
  <c r="L2909" i="9" s="1"/>
  <c r="AM2908" i="9"/>
  <c r="AN2908" i="9" s="1"/>
  <c r="AF2908" i="9"/>
  <c r="AB2908" i="9"/>
  <c r="V2908" i="9"/>
  <c r="AK2908" i="9" s="1"/>
  <c r="AL2908" i="9" s="1"/>
  <c r="R2908" i="9"/>
  <c r="I2908" i="9"/>
  <c r="K2908" i="9" s="1"/>
  <c r="L2908" i="9" s="1"/>
  <c r="AN2907" i="9"/>
  <c r="AM2907" i="9"/>
  <c r="AF2907" i="9"/>
  <c r="AB2907" i="9"/>
  <c r="V2907" i="9"/>
  <c r="R2907" i="9"/>
  <c r="I2907" i="9"/>
  <c r="K2907" i="9" s="1"/>
  <c r="L2907" i="9" s="1"/>
  <c r="AM2906" i="9"/>
  <c r="AN2906" i="9" s="1"/>
  <c r="AF2906" i="9"/>
  <c r="AB2906" i="9"/>
  <c r="V2906" i="9"/>
  <c r="R2906" i="9"/>
  <c r="AK2906" i="9" s="1"/>
  <c r="AL2906" i="9" s="1"/>
  <c r="L2906" i="9"/>
  <c r="I2906" i="9"/>
  <c r="K2906" i="9" s="1"/>
  <c r="AM2905" i="9"/>
  <c r="AN2905" i="9" s="1"/>
  <c r="AF2905" i="9"/>
  <c r="AB2905" i="9"/>
  <c r="AK2905" i="9" s="1"/>
  <c r="AL2905" i="9" s="1"/>
  <c r="V2905" i="9"/>
  <c r="R2905" i="9"/>
  <c r="K2905" i="9"/>
  <c r="L2905" i="9" s="1"/>
  <c r="I2905" i="9"/>
  <c r="AM2904" i="9"/>
  <c r="AN2904" i="9" s="1"/>
  <c r="AF2904" i="9"/>
  <c r="AK2904" i="9" s="1"/>
  <c r="AL2904" i="9" s="1"/>
  <c r="AB2904" i="9"/>
  <c r="V2904" i="9"/>
  <c r="R2904" i="9"/>
  <c r="I2904" i="9"/>
  <c r="K2904" i="9" s="1"/>
  <c r="L2904" i="9" s="1"/>
  <c r="AM2903" i="9"/>
  <c r="AN2903" i="9" s="1"/>
  <c r="AF2903" i="9"/>
  <c r="AB2903" i="9"/>
  <c r="V2903" i="9"/>
  <c r="R2903" i="9"/>
  <c r="I2903" i="9"/>
  <c r="K2903" i="9" s="1"/>
  <c r="L2903" i="9" s="1"/>
  <c r="AM2902" i="9"/>
  <c r="AN2902" i="9" s="1"/>
  <c r="AF2902" i="9"/>
  <c r="AB2902" i="9"/>
  <c r="V2902" i="9"/>
  <c r="R2902" i="9"/>
  <c r="I2902" i="9"/>
  <c r="K2902" i="9" s="1"/>
  <c r="L2902" i="9" s="1"/>
  <c r="AM2901" i="9"/>
  <c r="AN2901" i="9" s="1"/>
  <c r="AF2901" i="9"/>
  <c r="AB2901" i="9"/>
  <c r="V2901" i="9"/>
  <c r="R2901" i="9"/>
  <c r="AK2901" i="9" s="1"/>
  <c r="AL2901" i="9" s="1"/>
  <c r="K2901" i="9"/>
  <c r="L2901" i="9" s="1"/>
  <c r="I2901" i="9"/>
  <c r="AF2900" i="9"/>
  <c r="AE2900" i="9"/>
  <c r="AB2900" i="9"/>
  <c r="AA2900" i="9"/>
  <c r="V2900" i="9"/>
  <c r="U2900" i="9"/>
  <c r="R2900" i="9"/>
  <c r="Q2900" i="9"/>
  <c r="I2900" i="9"/>
  <c r="K2900" i="9" s="1"/>
  <c r="L2900" i="9" s="1"/>
  <c r="AF2899" i="9"/>
  <c r="AK2899" i="9" s="1"/>
  <c r="AL2899" i="9" s="1"/>
  <c r="AE2899" i="9"/>
  <c r="AB2899" i="9"/>
  <c r="AA2899" i="9"/>
  <c r="V2899" i="9"/>
  <c r="U2899" i="9"/>
  <c r="R2899" i="9"/>
  <c r="Q2899" i="9"/>
  <c r="I2899" i="9"/>
  <c r="K2899" i="9" s="1"/>
  <c r="L2899" i="9" s="1"/>
  <c r="AM2898" i="9"/>
  <c r="AN2898" i="9" s="1"/>
  <c r="AF2898" i="9"/>
  <c r="AB2898" i="9"/>
  <c r="V2898" i="9"/>
  <c r="R2898" i="9"/>
  <c r="I2898" i="9"/>
  <c r="K2898" i="9" s="1"/>
  <c r="L2898" i="9" s="1"/>
  <c r="AM2897" i="9"/>
  <c r="AN2897" i="9" s="1"/>
  <c r="AF2897" i="9"/>
  <c r="AB2897" i="9"/>
  <c r="V2897" i="9"/>
  <c r="R2897" i="9"/>
  <c r="I2897" i="9"/>
  <c r="K2897" i="9" s="1"/>
  <c r="L2897" i="9" s="1"/>
  <c r="AM2896" i="9"/>
  <c r="AN2896" i="9" s="1"/>
  <c r="AF2896" i="9"/>
  <c r="AB2896" i="9"/>
  <c r="V2896" i="9"/>
  <c r="R2896" i="9"/>
  <c r="I2896" i="9"/>
  <c r="K2896" i="9" s="1"/>
  <c r="L2896" i="9" s="1"/>
  <c r="AM2895" i="9"/>
  <c r="AN2895" i="9" s="1"/>
  <c r="AF2895" i="9"/>
  <c r="AB2895" i="9"/>
  <c r="V2895" i="9"/>
  <c r="R2895" i="9"/>
  <c r="I2895" i="9"/>
  <c r="K2895" i="9" s="1"/>
  <c r="L2895" i="9" s="1"/>
  <c r="AN2894" i="9"/>
  <c r="AM2894" i="9"/>
  <c r="AF2894" i="9"/>
  <c r="AB2894" i="9"/>
  <c r="V2894" i="9"/>
  <c r="R2894" i="9"/>
  <c r="I2894" i="9"/>
  <c r="K2894" i="9" s="1"/>
  <c r="L2894" i="9" s="1"/>
  <c r="AM2893" i="9"/>
  <c r="AN2893" i="9" s="1"/>
  <c r="AF2893" i="9"/>
  <c r="AB2893" i="9"/>
  <c r="V2893" i="9"/>
  <c r="R2893" i="9"/>
  <c r="AK2893" i="9" s="1"/>
  <c r="AL2893" i="9" s="1"/>
  <c r="K2893" i="9"/>
  <c r="L2893" i="9" s="1"/>
  <c r="I2893" i="9"/>
  <c r="AM2892" i="9"/>
  <c r="AN2892" i="9" s="1"/>
  <c r="AF2892" i="9"/>
  <c r="AB2892" i="9"/>
  <c r="V2892" i="9"/>
  <c r="R2892" i="9"/>
  <c r="I2892" i="9"/>
  <c r="K2892" i="9" s="1"/>
  <c r="L2892" i="9" s="1"/>
  <c r="AM2891" i="9"/>
  <c r="AN2891" i="9" s="1"/>
  <c r="AF2891" i="9"/>
  <c r="AB2891" i="9"/>
  <c r="V2891" i="9"/>
  <c r="R2891" i="9"/>
  <c r="I2891" i="9"/>
  <c r="K2891" i="9" s="1"/>
  <c r="L2891" i="9" s="1"/>
  <c r="AM2890" i="9"/>
  <c r="AN2890" i="9" s="1"/>
  <c r="AF2890" i="9"/>
  <c r="AB2890" i="9"/>
  <c r="V2890" i="9"/>
  <c r="R2890" i="9"/>
  <c r="I2890" i="9"/>
  <c r="K2890" i="9" s="1"/>
  <c r="L2890" i="9" s="1"/>
  <c r="AM2889" i="9"/>
  <c r="AN2889" i="9" s="1"/>
  <c r="AF2889" i="9"/>
  <c r="AB2889" i="9"/>
  <c r="V2889" i="9"/>
  <c r="R2889" i="9"/>
  <c r="K2889" i="9"/>
  <c r="L2889" i="9" s="1"/>
  <c r="I2889" i="9"/>
  <c r="AM2888" i="9"/>
  <c r="AN2888" i="9" s="1"/>
  <c r="AF2888" i="9"/>
  <c r="AB2888" i="9"/>
  <c r="V2888" i="9"/>
  <c r="R2888" i="9"/>
  <c r="K2888" i="9"/>
  <c r="L2888" i="9" s="1"/>
  <c r="I2888" i="9"/>
  <c r="AM2887" i="9"/>
  <c r="AN2887" i="9" s="1"/>
  <c r="AF2887" i="9"/>
  <c r="AB2887" i="9"/>
  <c r="V2887" i="9"/>
  <c r="R2887" i="9"/>
  <c r="I2887" i="9"/>
  <c r="K2887" i="9" s="1"/>
  <c r="L2887" i="9" s="1"/>
  <c r="AM2886" i="9"/>
  <c r="AN2886" i="9" s="1"/>
  <c r="AF2886" i="9"/>
  <c r="AB2886" i="9"/>
  <c r="V2886" i="9"/>
  <c r="R2886" i="9"/>
  <c r="I2886" i="9"/>
  <c r="K2886" i="9" s="1"/>
  <c r="L2886" i="9" s="1"/>
  <c r="AM2885" i="9"/>
  <c r="AN2885" i="9" s="1"/>
  <c r="AF2885" i="9"/>
  <c r="AB2885" i="9"/>
  <c r="V2885" i="9"/>
  <c r="AK2885" i="9" s="1"/>
  <c r="AL2885" i="9" s="1"/>
  <c r="R2885" i="9"/>
  <c r="I2885" i="9"/>
  <c r="K2885" i="9" s="1"/>
  <c r="L2885" i="9" s="1"/>
  <c r="AM2884" i="9"/>
  <c r="AN2884" i="9" s="1"/>
  <c r="AF2884" i="9"/>
  <c r="AB2884" i="9"/>
  <c r="V2884" i="9"/>
  <c r="AK2884" i="9" s="1"/>
  <c r="AL2884" i="9" s="1"/>
  <c r="R2884" i="9"/>
  <c r="I2884" i="9"/>
  <c r="K2884" i="9" s="1"/>
  <c r="L2884" i="9" s="1"/>
  <c r="AM2883" i="9"/>
  <c r="AN2883" i="9" s="1"/>
  <c r="AF2883" i="9"/>
  <c r="AB2883" i="9"/>
  <c r="V2883" i="9"/>
  <c r="R2883" i="9"/>
  <c r="K2883" i="9"/>
  <c r="L2883" i="9" s="1"/>
  <c r="I2883" i="9"/>
  <c r="AN2882" i="9"/>
  <c r="AM2882" i="9"/>
  <c r="AF2882" i="9"/>
  <c r="AB2882" i="9"/>
  <c r="V2882" i="9"/>
  <c r="R2882" i="9"/>
  <c r="I2882" i="9"/>
  <c r="K2882" i="9" s="1"/>
  <c r="L2882" i="9" s="1"/>
  <c r="AM2881" i="9"/>
  <c r="AN2881" i="9" s="1"/>
  <c r="AF2881" i="9"/>
  <c r="AB2881" i="9"/>
  <c r="V2881" i="9"/>
  <c r="R2881" i="9"/>
  <c r="I2881" i="9"/>
  <c r="K2881" i="9" s="1"/>
  <c r="L2881" i="9" s="1"/>
  <c r="AM2880" i="9"/>
  <c r="AN2880" i="9" s="1"/>
  <c r="AF2880" i="9"/>
  <c r="AB2880" i="9"/>
  <c r="V2880" i="9"/>
  <c r="R2880" i="9"/>
  <c r="I2880" i="9"/>
  <c r="K2880" i="9" s="1"/>
  <c r="L2880" i="9" s="1"/>
  <c r="AM2879" i="9"/>
  <c r="AN2879" i="9" s="1"/>
  <c r="AF2879" i="9"/>
  <c r="AB2879" i="9"/>
  <c r="V2879" i="9"/>
  <c r="R2879" i="9"/>
  <c r="I2879" i="9"/>
  <c r="K2879" i="9" s="1"/>
  <c r="L2879" i="9" s="1"/>
  <c r="AM2878" i="9"/>
  <c r="AN2878" i="9" s="1"/>
  <c r="AF2878" i="9"/>
  <c r="AB2878" i="9"/>
  <c r="V2878" i="9"/>
  <c r="R2878" i="9"/>
  <c r="I2878" i="9"/>
  <c r="K2878" i="9" s="1"/>
  <c r="L2878" i="9" s="1"/>
  <c r="AM2877" i="9"/>
  <c r="AN2877" i="9" s="1"/>
  <c r="AF2877" i="9"/>
  <c r="AB2877" i="9"/>
  <c r="V2877" i="9"/>
  <c r="R2877" i="9"/>
  <c r="I2877" i="9"/>
  <c r="K2877" i="9" s="1"/>
  <c r="L2877" i="9" s="1"/>
  <c r="AM2876" i="9"/>
  <c r="AN2876" i="9" s="1"/>
  <c r="AF2876" i="9"/>
  <c r="AB2876" i="9"/>
  <c r="V2876" i="9"/>
  <c r="R2876" i="9"/>
  <c r="I2876" i="9"/>
  <c r="K2876" i="9" s="1"/>
  <c r="L2876" i="9" s="1"/>
  <c r="AM2875" i="9"/>
  <c r="AN2875" i="9" s="1"/>
  <c r="AF2875" i="9"/>
  <c r="AB2875" i="9"/>
  <c r="V2875" i="9"/>
  <c r="R2875" i="9"/>
  <c r="I2875" i="9"/>
  <c r="K2875" i="9" s="1"/>
  <c r="L2875" i="9" s="1"/>
  <c r="AN2874" i="9"/>
  <c r="AM2874" i="9"/>
  <c r="AF2874" i="9"/>
  <c r="AB2874" i="9"/>
  <c r="V2874" i="9"/>
  <c r="R2874" i="9"/>
  <c r="I2874" i="9"/>
  <c r="K2874" i="9" s="1"/>
  <c r="L2874" i="9" s="1"/>
  <c r="AM2873" i="9"/>
  <c r="AN2873" i="9" s="1"/>
  <c r="AF2873" i="9"/>
  <c r="AB2873" i="9"/>
  <c r="V2873" i="9"/>
  <c r="R2873" i="9"/>
  <c r="I2873" i="9"/>
  <c r="K2873" i="9" s="1"/>
  <c r="L2873" i="9" s="1"/>
  <c r="AM2872" i="9"/>
  <c r="AN2872" i="9" s="1"/>
  <c r="AK2872" i="9"/>
  <c r="AL2872" i="9" s="1"/>
  <c r="AF2872" i="9"/>
  <c r="AB2872" i="9"/>
  <c r="V2872" i="9"/>
  <c r="R2872" i="9"/>
  <c r="K2872" i="9"/>
  <c r="L2872" i="9" s="1"/>
  <c r="I2872" i="9"/>
  <c r="AM2871" i="9"/>
  <c r="AN2871" i="9" s="1"/>
  <c r="AF2871" i="9"/>
  <c r="AB2871" i="9"/>
  <c r="V2871" i="9"/>
  <c r="R2871" i="9"/>
  <c r="I2871" i="9"/>
  <c r="K2871" i="9" s="1"/>
  <c r="L2871" i="9" s="1"/>
  <c r="AF2870" i="9"/>
  <c r="AE2870" i="9"/>
  <c r="AB2870" i="9"/>
  <c r="AA2870" i="9"/>
  <c r="V2870" i="9"/>
  <c r="U2870" i="9"/>
  <c r="R2870" i="9"/>
  <c r="Q2870" i="9"/>
  <c r="I2870" i="9"/>
  <c r="K2870" i="9" s="1"/>
  <c r="L2870" i="9" s="1"/>
  <c r="AM2869" i="9"/>
  <c r="AN2869" i="9" s="1"/>
  <c r="AF2869" i="9"/>
  <c r="AB2869" i="9"/>
  <c r="V2869" i="9"/>
  <c r="R2869" i="9"/>
  <c r="AK2869" i="9" s="1"/>
  <c r="AL2869" i="9" s="1"/>
  <c r="I2869" i="9"/>
  <c r="K2869" i="9" s="1"/>
  <c r="L2869" i="9" s="1"/>
  <c r="AM2868" i="9"/>
  <c r="AN2868" i="9" s="1"/>
  <c r="AF2868" i="9"/>
  <c r="AB2868" i="9"/>
  <c r="V2868" i="9"/>
  <c r="R2868" i="9"/>
  <c r="I2868" i="9"/>
  <c r="K2868" i="9" s="1"/>
  <c r="L2868" i="9" s="1"/>
  <c r="AM2867" i="9"/>
  <c r="AN2867" i="9" s="1"/>
  <c r="AF2867" i="9"/>
  <c r="AB2867" i="9"/>
  <c r="V2867" i="9"/>
  <c r="R2867" i="9"/>
  <c r="I2867" i="9"/>
  <c r="K2867" i="9" s="1"/>
  <c r="L2867" i="9" s="1"/>
  <c r="AM2866" i="9"/>
  <c r="AN2866" i="9" s="1"/>
  <c r="AF2866" i="9"/>
  <c r="AB2866" i="9"/>
  <c r="V2866" i="9"/>
  <c r="R2866" i="9"/>
  <c r="K2866" i="9"/>
  <c r="L2866" i="9" s="1"/>
  <c r="I2866" i="9"/>
  <c r="AM2865" i="9"/>
  <c r="AN2865" i="9" s="1"/>
  <c r="AF2865" i="9"/>
  <c r="AB2865" i="9"/>
  <c r="V2865" i="9"/>
  <c r="R2865" i="9"/>
  <c r="I2865" i="9"/>
  <c r="K2865" i="9" s="1"/>
  <c r="L2865" i="9" s="1"/>
  <c r="AN2864" i="9"/>
  <c r="AM2864" i="9"/>
  <c r="AF2864" i="9"/>
  <c r="AB2864" i="9"/>
  <c r="V2864" i="9"/>
  <c r="R2864" i="9"/>
  <c r="I2864" i="9"/>
  <c r="K2864" i="9" s="1"/>
  <c r="L2864" i="9" s="1"/>
  <c r="AM2863" i="9"/>
  <c r="AN2863" i="9" s="1"/>
  <c r="AF2863" i="9"/>
  <c r="AB2863" i="9"/>
  <c r="V2863" i="9"/>
  <c r="R2863" i="9"/>
  <c r="AK2863" i="9" s="1"/>
  <c r="AL2863" i="9" s="1"/>
  <c r="I2863" i="9"/>
  <c r="K2863" i="9" s="1"/>
  <c r="L2863" i="9" s="1"/>
  <c r="AM2862" i="9"/>
  <c r="AN2862" i="9" s="1"/>
  <c r="AF2862" i="9"/>
  <c r="AB2862" i="9"/>
  <c r="V2862" i="9"/>
  <c r="R2862" i="9"/>
  <c r="I2862" i="9"/>
  <c r="K2862" i="9" s="1"/>
  <c r="L2862" i="9" s="1"/>
  <c r="AM2861" i="9"/>
  <c r="AN2861" i="9" s="1"/>
  <c r="AF2861" i="9"/>
  <c r="AB2861" i="9"/>
  <c r="V2861" i="9"/>
  <c r="R2861" i="9"/>
  <c r="L2861" i="9"/>
  <c r="I2861" i="9"/>
  <c r="K2861" i="9" s="1"/>
  <c r="AM2860" i="9"/>
  <c r="AN2860" i="9" s="1"/>
  <c r="AF2860" i="9"/>
  <c r="AB2860" i="9"/>
  <c r="V2860" i="9"/>
  <c r="R2860" i="9"/>
  <c r="K2860" i="9"/>
  <c r="L2860" i="9" s="1"/>
  <c r="I2860" i="9"/>
  <c r="AM2859" i="9"/>
  <c r="AN2859" i="9" s="1"/>
  <c r="AF2859" i="9"/>
  <c r="AB2859" i="9"/>
  <c r="V2859" i="9"/>
  <c r="R2859" i="9"/>
  <c r="I2859" i="9"/>
  <c r="K2859" i="9" s="1"/>
  <c r="L2859" i="9" s="1"/>
  <c r="AM2858" i="9"/>
  <c r="AN2858" i="9" s="1"/>
  <c r="AF2858" i="9"/>
  <c r="AB2858" i="9"/>
  <c r="V2858" i="9"/>
  <c r="R2858" i="9"/>
  <c r="I2858" i="9"/>
  <c r="K2858" i="9" s="1"/>
  <c r="L2858" i="9" s="1"/>
  <c r="AN2857" i="9"/>
  <c r="AM2857" i="9"/>
  <c r="AF2857" i="9"/>
  <c r="AB2857" i="9"/>
  <c r="V2857" i="9"/>
  <c r="R2857" i="9"/>
  <c r="I2857" i="9"/>
  <c r="K2857" i="9" s="1"/>
  <c r="L2857" i="9" s="1"/>
  <c r="AF2856" i="9"/>
  <c r="AK2856" i="9" s="1"/>
  <c r="AL2856" i="9" s="1"/>
  <c r="AE2856" i="9"/>
  <c r="AB2856" i="9"/>
  <c r="AA2856" i="9"/>
  <c r="V2856" i="9"/>
  <c r="U2856" i="9"/>
  <c r="AM2856" i="9" s="1"/>
  <c r="AN2856" i="9" s="1"/>
  <c r="R2856" i="9"/>
  <c r="Q2856" i="9"/>
  <c r="I2856" i="9"/>
  <c r="K2856" i="9" s="1"/>
  <c r="L2856" i="9" s="1"/>
  <c r="AM2855" i="9"/>
  <c r="AN2855" i="9" s="1"/>
  <c r="AF2855" i="9"/>
  <c r="AB2855" i="9"/>
  <c r="V2855" i="9"/>
  <c r="R2855" i="9"/>
  <c r="AK2855" i="9" s="1"/>
  <c r="AL2855" i="9" s="1"/>
  <c r="I2855" i="9"/>
  <c r="K2855" i="9" s="1"/>
  <c r="L2855" i="9" s="1"/>
  <c r="AM2854" i="9"/>
  <c r="AN2854" i="9" s="1"/>
  <c r="AF2854" i="9"/>
  <c r="AB2854" i="9"/>
  <c r="V2854" i="9"/>
  <c r="R2854" i="9"/>
  <c r="AK2854" i="9" s="1"/>
  <c r="AL2854" i="9" s="1"/>
  <c r="I2854" i="9"/>
  <c r="K2854" i="9" s="1"/>
  <c r="L2854" i="9" s="1"/>
  <c r="AM2853" i="9"/>
  <c r="AN2853" i="9" s="1"/>
  <c r="AF2853" i="9"/>
  <c r="AB2853" i="9"/>
  <c r="V2853" i="9"/>
  <c r="R2853" i="9"/>
  <c r="K2853" i="9"/>
  <c r="L2853" i="9" s="1"/>
  <c r="I2853" i="9"/>
  <c r="AM2852" i="9"/>
  <c r="AN2852" i="9" s="1"/>
  <c r="AF2852" i="9"/>
  <c r="AB2852" i="9"/>
  <c r="V2852" i="9"/>
  <c r="AK2852" i="9" s="1"/>
  <c r="AL2852" i="9" s="1"/>
  <c r="R2852" i="9"/>
  <c r="I2852" i="9"/>
  <c r="K2852" i="9" s="1"/>
  <c r="L2852" i="9" s="1"/>
  <c r="AM2851" i="9"/>
  <c r="AN2851" i="9" s="1"/>
  <c r="AF2851" i="9"/>
  <c r="AB2851" i="9"/>
  <c r="V2851" i="9"/>
  <c r="R2851" i="9"/>
  <c r="I2851" i="9"/>
  <c r="K2851" i="9" s="1"/>
  <c r="L2851" i="9" s="1"/>
  <c r="AN2850" i="9"/>
  <c r="AM2850" i="9"/>
  <c r="AF2850" i="9"/>
  <c r="AB2850" i="9"/>
  <c r="V2850" i="9"/>
  <c r="R2850" i="9"/>
  <c r="K2850" i="9"/>
  <c r="L2850" i="9" s="1"/>
  <c r="I2850" i="9"/>
  <c r="AM2849" i="9"/>
  <c r="AN2849" i="9" s="1"/>
  <c r="AF2849" i="9"/>
  <c r="AB2849" i="9"/>
  <c r="AK2849" i="9" s="1"/>
  <c r="AL2849" i="9" s="1"/>
  <c r="V2849" i="9"/>
  <c r="R2849" i="9"/>
  <c r="I2849" i="9"/>
  <c r="K2849" i="9" s="1"/>
  <c r="L2849" i="9" s="1"/>
  <c r="AM2848" i="9"/>
  <c r="AN2848" i="9" s="1"/>
  <c r="AF2848" i="9"/>
  <c r="AB2848" i="9"/>
  <c r="V2848" i="9"/>
  <c r="R2848" i="9"/>
  <c r="AK2848" i="9" s="1"/>
  <c r="AL2848" i="9" s="1"/>
  <c r="I2848" i="9"/>
  <c r="K2848" i="9" s="1"/>
  <c r="L2848" i="9" s="1"/>
  <c r="AM2847" i="9"/>
  <c r="AN2847" i="9" s="1"/>
  <c r="AF2847" i="9"/>
  <c r="AB2847" i="9"/>
  <c r="V2847" i="9"/>
  <c r="R2847" i="9"/>
  <c r="I2847" i="9"/>
  <c r="K2847" i="9" s="1"/>
  <c r="L2847" i="9" s="1"/>
  <c r="AM2846" i="9"/>
  <c r="AN2846" i="9" s="1"/>
  <c r="AF2846" i="9"/>
  <c r="AB2846" i="9"/>
  <c r="V2846" i="9"/>
  <c r="R2846" i="9"/>
  <c r="AK2846" i="9" s="1"/>
  <c r="AL2846" i="9" s="1"/>
  <c r="I2846" i="9"/>
  <c r="K2846" i="9" s="1"/>
  <c r="L2846" i="9" s="1"/>
  <c r="AM2845" i="9"/>
  <c r="AN2845" i="9" s="1"/>
  <c r="AF2845" i="9"/>
  <c r="AB2845" i="9"/>
  <c r="V2845" i="9"/>
  <c r="R2845" i="9"/>
  <c r="AK2845" i="9" s="1"/>
  <c r="AL2845" i="9" s="1"/>
  <c r="I2845" i="9"/>
  <c r="K2845" i="9" s="1"/>
  <c r="L2845" i="9" s="1"/>
  <c r="AM2844" i="9"/>
  <c r="AN2844" i="9" s="1"/>
  <c r="AF2844" i="9"/>
  <c r="AB2844" i="9"/>
  <c r="V2844" i="9"/>
  <c r="R2844" i="9"/>
  <c r="K2844" i="9"/>
  <c r="L2844" i="9" s="1"/>
  <c r="I2844" i="9"/>
  <c r="AM2843" i="9"/>
  <c r="AN2843" i="9" s="1"/>
  <c r="AF2843" i="9"/>
  <c r="AB2843" i="9"/>
  <c r="V2843" i="9"/>
  <c r="AK2843" i="9" s="1"/>
  <c r="AL2843" i="9" s="1"/>
  <c r="R2843" i="9"/>
  <c r="I2843" i="9"/>
  <c r="K2843" i="9" s="1"/>
  <c r="L2843" i="9" s="1"/>
  <c r="AN2842" i="9"/>
  <c r="AM2842" i="9"/>
  <c r="AK2842" i="9"/>
  <c r="AL2842" i="9" s="1"/>
  <c r="AF2842" i="9"/>
  <c r="AB2842" i="9"/>
  <c r="V2842" i="9"/>
  <c r="R2842" i="9"/>
  <c r="I2842" i="9"/>
  <c r="K2842" i="9" s="1"/>
  <c r="L2842" i="9" s="1"/>
  <c r="AF2841" i="9"/>
  <c r="AE2841" i="9"/>
  <c r="AB2841" i="9"/>
  <c r="AA2841" i="9"/>
  <c r="V2841" i="9"/>
  <c r="U2841" i="9"/>
  <c r="R2841" i="9"/>
  <c r="Q2841" i="9"/>
  <c r="I2841" i="9"/>
  <c r="K2841" i="9" s="1"/>
  <c r="L2841" i="9" s="1"/>
  <c r="AM2840" i="9"/>
  <c r="AN2840" i="9" s="1"/>
  <c r="AF2840" i="9"/>
  <c r="AB2840" i="9"/>
  <c r="V2840" i="9"/>
  <c r="R2840" i="9"/>
  <c r="I2840" i="9"/>
  <c r="K2840" i="9" s="1"/>
  <c r="L2840" i="9" s="1"/>
  <c r="AN2839" i="9"/>
  <c r="AM2839" i="9"/>
  <c r="AF2839" i="9"/>
  <c r="AB2839" i="9"/>
  <c r="V2839" i="9"/>
  <c r="R2839" i="9"/>
  <c r="I2839" i="9"/>
  <c r="K2839" i="9" s="1"/>
  <c r="L2839" i="9" s="1"/>
  <c r="AM2838" i="9"/>
  <c r="AN2838" i="9" s="1"/>
  <c r="AF2838" i="9"/>
  <c r="AB2838" i="9"/>
  <c r="V2838" i="9"/>
  <c r="R2838" i="9"/>
  <c r="I2838" i="9"/>
  <c r="K2838" i="9" s="1"/>
  <c r="L2838" i="9" s="1"/>
  <c r="AM2837" i="9"/>
  <c r="AN2837" i="9" s="1"/>
  <c r="AF2837" i="9"/>
  <c r="AB2837" i="9"/>
  <c r="V2837" i="9"/>
  <c r="R2837" i="9"/>
  <c r="AK2837" i="9" s="1"/>
  <c r="AL2837" i="9" s="1"/>
  <c r="K2837" i="9"/>
  <c r="L2837" i="9" s="1"/>
  <c r="I2837" i="9"/>
  <c r="AF2836" i="9"/>
  <c r="AE2836" i="9"/>
  <c r="AB2836" i="9"/>
  <c r="AA2836" i="9"/>
  <c r="V2836" i="9"/>
  <c r="U2836" i="9"/>
  <c r="R2836" i="9"/>
  <c r="AK2836" i="9" s="1"/>
  <c r="AL2836" i="9" s="1"/>
  <c r="Q2836" i="9"/>
  <c r="AM2836" i="9" s="1"/>
  <c r="AN2836" i="9" s="1"/>
  <c r="L2836" i="9"/>
  <c r="I2836" i="9"/>
  <c r="K2836" i="9" s="1"/>
  <c r="AM2835" i="9"/>
  <c r="AN2835" i="9" s="1"/>
  <c r="AF2835" i="9"/>
  <c r="AB2835" i="9"/>
  <c r="V2835" i="9"/>
  <c r="R2835" i="9"/>
  <c r="I2835" i="9"/>
  <c r="K2835" i="9" s="1"/>
  <c r="L2835" i="9" s="1"/>
  <c r="AM2834" i="9"/>
  <c r="AN2834" i="9" s="1"/>
  <c r="AF2834" i="9"/>
  <c r="AB2834" i="9"/>
  <c r="V2834" i="9"/>
  <c r="R2834" i="9"/>
  <c r="I2834" i="9"/>
  <c r="K2834" i="9" s="1"/>
  <c r="L2834" i="9" s="1"/>
  <c r="AM2833" i="9"/>
  <c r="AN2833" i="9" s="1"/>
  <c r="AF2833" i="9"/>
  <c r="AB2833" i="9"/>
  <c r="V2833" i="9"/>
  <c r="R2833" i="9"/>
  <c r="I2833" i="9"/>
  <c r="K2833" i="9" s="1"/>
  <c r="L2833" i="9" s="1"/>
  <c r="AF2832" i="9"/>
  <c r="AE2832" i="9"/>
  <c r="AB2832" i="9"/>
  <c r="AA2832" i="9"/>
  <c r="V2832" i="9"/>
  <c r="U2832" i="9"/>
  <c r="R2832" i="9"/>
  <c r="Q2832" i="9"/>
  <c r="I2832" i="9"/>
  <c r="K2832" i="9" s="1"/>
  <c r="L2832" i="9" s="1"/>
  <c r="AF2831" i="9"/>
  <c r="AE2831" i="9"/>
  <c r="AB2831" i="9"/>
  <c r="AA2831" i="9"/>
  <c r="V2831" i="9"/>
  <c r="U2831" i="9"/>
  <c r="R2831" i="9"/>
  <c r="Q2831" i="9"/>
  <c r="K2831" i="9"/>
  <c r="L2831" i="9" s="1"/>
  <c r="I2831" i="9"/>
  <c r="AF2830" i="9"/>
  <c r="AE2830" i="9"/>
  <c r="AB2830" i="9"/>
  <c r="AA2830" i="9"/>
  <c r="V2830" i="9"/>
  <c r="U2830" i="9"/>
  <c r="R2830" i="9"/>
  <c r="Q2830" i="9"/>
  <c r="K2830" i="9"/>
  <c r="L2830" i="9" s="1"/>
  <c r="I2830" i="9"/>
  <c r="AF2829" i="9"/>
  <c r="AE2829" i="9"/>
  <c r="AB2829" i="9"/>
  <c r="AA2829" i="9"/>
  <c r="V2829" i="9"/>
  <c r="U2829" i="9"/>
  <c r="R2829" i="9"/>
  <c r="Q2829" i="9"/>
  <c r="I2829" i="9"/>
  <c r="K2829" i="9" s="1"/>
  <c r="L2829" i="9" s="1"/>
  <c r="AM2828" i="9"/>
  <c r="AN2828" i="9" s="1"/>
  <c r="AF2828" i="9"/>
  <c r="AB2828" i="9"/>
  <c r="V2828" i="9"/>
  <c r="R2828" i="9"/>
  <c r="L2828" i="9"/>
  <c r="I2828" i="9"/>
  <c r="K2828" i="9" s="1"/>
  <c r="AM2827" i="9"/>
  <c r="AN2827" i="9" s="1"/>
  <c r="AF2827" i="9"/>
  <c r="AB2827" i="9"/>
  <c r="V2827" i="9"/>
  <c r="R2827" i="9"/>
  <c r="I2827" i="9"/>
  <c r="K2827" i="9" s="1"/>
  <c r="L2827" i="9" s="1"/>
  <c r="AF2826" i="9"/>
  <c r="AE2826" i="9"/>
  <c r="AB2826" i="9"/>
  <c r="AA2826" i="9"/>
  <c r="V2826" i="9"/>
  <c r="U2826" i="9"/>
  <c r="R2826" i="9"/>
  <c r="Q2826" i="9"/>
  <c r="L2826" i="9"/>
  <c r="I2826" i="9"/>
  <c r="K2826" i="9" s="1"/>
  <c r="AM2825" i="9"/>
  <c r="AN2825" i="9" s="1"/>
  <c r="AF2825" i="9"/>
  <c r="AB2825" i="9"/>
  <c r="V2825" i="9"/>
  <c r="R2825" i="9"/>
  <c r="I2825" i="9"/>
  <c r="K2825" i="9" s="1"/>
  <c r="L2825" i="9" s="1"/>
  <c r="AM2824" i="9"/>
  <c r="AN2824" i="9" s="1"/>
  <c r="AF2824" i="9"/>
  <c r="AB2824" i="9"/>
  <c r="V2824" i="9"/>
  <c r="R2824" i="9"/>
  <c r="I2824" i="9"/>
  <c r="K2824" i="9" s="1"/>
  <c r="L2824" i="9" s="1"/>
  <c r="AF2823" i="9"/>
  <c r="AE2823" i="9"/>
  <c r="AB2823" i="9"/>
  <c r="AA2823" i="9"/>
  <c r="V2823" i="9"/>
  <c r="U2823" i="9"/>
  <c r="R2823" i="9"/>
  <c r="AK2823" i="9" s="1"/>
  <c r="AL2823" i="9" s="1"/>
  <c r="Q2823" i="9"/>
  <c r="I2823" i="9"/>
  <c r="K2823" i="9" s="1"/>
  <c r="L2823" i="9" s="1"/>
  <c r="AN2822" i="9"/>
  <c r="AM2822" i="9"/>
  <c r="AF2822" i="9"/>
  <c r="AB2822" i="9"/>
  <c r="V2822" i="9"/>
  <c r="R2822" i="9"/>
  <c r="AK2822" i="9" s="1"/>
  <c r="AL2822" i="9" s="1"/>
  <c r="K2822" i="9"/>
  <c r="L2822" i="9" s="1"/>
  <c r="I2822" i="9"/>
  <c r="AM2821" i="9"/>
  <c r="AN2821" i="9" s="1"/>
  <c r="AF2821" i="9"/>
  <c r="AB2821" i="9"/>
  <c r="V2821" i="9"/>
  <c r="R2821" i="9"/>
  <c r="I2821" i="9"/>
  <c r="K2821" i="9" s="1"/>
  <c r="L2821" i="9" s="1"/>
  <c r="AM2820" i="9"/>
  <c r="AN2820" i="9" s="1"/>
  <c r="AF2820" i="9"/>
  <c r="AB2820" i="9"/>
  <c r="V2820" i="9"/>
  <c r="R2820" i="9"/>
  <c r="I2820" i="9"/>
  <c r="K2820" i="9" s="1"/>
  <c r="L2820" i="9" s="1"/>
  <c r="AM2819" i="9"/>
  <c r="AN2819" i="9" s="1"/>
  <c r="AF2819" i="9"/>
  <c r="AB2819" i="9"/>
  <c r="V2819" i="9"/>
  <c r="R2819" i="9"/>
  <c r="I2819" i="9"/>
  <c r="K2819" i="9" s="1"/>
  <c r="L2819" i="9" s="1"/>
  <c r="AM2818" i="9"/>
  <c r="AN2818" i="9" s="1"/>
  <c r="AF2818" i="9"/>
  <c r="AB2818" i="9"/>
  <c r="V2818" i="9"/>
  <c r="R2818" i="9"/>
  <c r="AK2818" i="9" s="1"/>
  <c r="AL2818" i="9" s="1"/>
  <c r="I2818" i="9"/>
  <c r="K2818" i="9" s="1"/>
  <c r="L2818" i="9" s="1"/>
  <c r="AM2817" i="9"/>
  <c r="AN2817" i="9" s="1"/>
  <c r="AF2817" i="9"/>
  <c r="AB2817" i="9"/>
  <c r="V2817" i="9"/>
  <c r="R2817" i="9"/>
  <c r="I2817" i="9"/>
  <c r="K2817" i="9" s="1"/>
  <c r="L2817" i="9" s="1"/>
  <c r="AM2816" i="9"/>
  <c r="AN2816" i="9" s="1"/>
  <c r="AK2816" i="9"/>
  <c r="AL2816" i="9" s="1"/>
  <c r="AF2816" i="9"/>
  <c r="AB2816" i="9"/>
  <c r="V2816" i="9"/>
  <c r="R2816" i="9"/>
  <c r="I2816" i="9"/>
  <c r="K2816" i="9" s="1"/>
  <c r="L2816" i="9" s="1"/>
  <c r="AM2815" i="9"/>
  <c r="AN2815" i="9" s="1"/>
  <c r="AF2815" i="9"/>
  <c r="AB2815" i="9"/>
  <c r="V2815" i="9"/>
  <c r="R2815" i="9"/>
  <c r="I2815" i="9"/>
  <c r="K2815" i="9" s="1"/>
  <c r="L2815" i="9" s="1"/>
  <c r="AM2814" i="9"/>
  <c r="AN2814" i="9" s="1"/>
  <c r="AF2814" i="9"/>
  <c r="AB2814" i="9"/>
  <c r="V2814" i="9"/>
  <c r="R2814" i="9"/>
  <c r="I2814" i="9"/>
  <c r="K2814" i="9" s="1"/>
  <c r="L2814" i="9" s="1"/>
  <c r="AM2813" i="9"/>
  <c r="AN2813" i="9" s="1"/>
  <c r="AF2813" i="9"/>
  <c r="AB2813" i="9"/>
  <c r="V2813" i="9"/>
  <c r="R2813" i="9"/>
  <c r="I2813" i="9"/>
  <c r="K2813" i="9" s="1"/>
  <c r="L2813" i="9" s="1"/>
  <c r="AM2812" i="9"/>
  <c r="AN2812" i="9" s="1"/>
  <c r="AF2812" i="9"/>
  <c r="AB2812" i="9"/>
  <c r="V2812" i="9"/>
  <c r="R2812" i="9"/>
  <c r="AK2812" i="9" s="1"/>
  <c r="AL2812" i="9" s="1"/>
  <c r="I2812" i="9"/>
  <c r="K2812" i="9" s="1"/>
  <c r="L2812" i="9" s="1"/>
  <c r="AM2811" i="9"/>
  <c r="AN2811" i="9" s="1"/>
  <c r="AF2811" i="9"/>
  <c r="AK2811" i="9" s="1"/>
  <c r="AL2811" i="9" s="1"/>
  <c r="AB2811" i="9"/>
  <c r="V2811" i="9"/>
  <c r="R2811" i="9"/>
  <c r="L2811" i="9"/>
  <c r="I2811" i="9"/>
  <c r="K2811" i="9" s="1"/>
  <c r="AM2810" i="9"/>
  <c r="AN2810" i="9" s="1"/>
  <c r="AF2810" i="9"/>
  <c r="AB2810" i="9"/>
  <c r="V2810" i="9"/>
  <c r="R2810" i="9"/>
  <c r="K2810" i="9"/>
  <c r="L2810" i="9" s="1"/>
  <c r="I2810" i="9"/>
  <c r="AN2809" i="9"/>
  <c r="AM2809" i="9"/>
  <c r="AF2809" i="9"/>
  <c r="AB2809" i="9"/>
  <c r="V2809" i="9"/>
  <c r="R2809" i="9"/>
  <c r="I2809" i="9"/>
  <c r="K2809" i="9" s="1"/>
  <c r="L2809" i="9" s="1"/>
  <c r="AM2808" i="9"/>
  <c r="AN2808" i="9" s="1"/>
  <c r="AF2808" i="9"/>
  <c r="AB2808" i="9"/>
  <c r="V2808" i="9"/>
  <c r="R2808" i="9"/>
  <c r="I2808" i="9"/>
  <c r="K2808" i="9" s="1"/>
  <c r="L2808" i="9" s="1"/>
  <c r="AM2807" i="9"/>
  <c r="AN2807" i="9" s="1"/>
  <c r="AF2807" i="9"/>
  <c r="AB2807" i="9"/>
  <c r="V2807" i="9"/>
  <c r="R2807" i="9"/>
  <c r="AK2807" i="9" s="1"/>
  <c r="AL2807" i="9" s="1"/>
  <c r="L2807" i="9"/>
  <c r="I2807" i="9"/>
  <c r="K2807" i="9" s="1"/>
  <c r="AM2806" i="9"/>
  <c r="AN2806" i="9" s="1"/>
  <c r="AF2806" i="9"/>
  <c r="AB2806" i="9"/>
  <c r="V2806" i="9"/>
  <c r="R2806" i="9"/>
  <c r="I2806" i="9"/>
  <c r="K2806" i="9" s="1"/>
  <c r="L2806" i="9" s="1"/>
  <c r="AM2805" i="9"/>
  <c r="AN2805" i="9" s="1"/>
  <c r="AF2805" i="9"/>
  <c r="AB2805" i="9"/>
  <c r="V2805" i="9"/>
  <c r="R2805" i="9"/>
  <c r="K2805" i="9"/>
  <c r="L2805" i="9" s="1"/>
  <c r="I2805" i="9"/>
  <c r="AN2804" i="9"/>
  <c r="AM2804" i="9"/>
  <c r="AF2804" i="9"/>
  <c r="AB2804" i="9"/>
  <c r="V2804" i="9"/>
  <c r="R2804" i="9"/>
  <c r="AK2804" i="9" s="1"/>
  <c r="AL2804" i="9" s="1"/>
  <c r="K2804" i="9"/>
  <c r="L2804" i="9" s="1"/>
  <c r="I2804" i="9"/>
  <c r="AN2803" i="9"/>
  <c r="AM2803" i="9"/>
  <c r="AF2803" i="9"/>
  <c r="AB2803" i="9"/>
  <c r="V2803" i="9"/>
  <c r="R2803" i="9"/>
  <c r="I2803" i="9"/>
  <c r="K2803" i="9" s="1"/>
  <c r="L2803" i="9" s="1"/>
  <c r="AM2802" i="9"/>
  <c r="AN2802" i="9" s="1"/>
  <c r="AF2802" i="9"/>
  <c r="AB2802" i="9"/>
  <c r="V2802" i="9"/>
  <c r="R2802" i="9"/>
  <c r="I2802" i="9"/>
  <c r="K2802" i="9" s="1"/>
  <c r="L2802" i="9" s="1"/>
  <c r="AM2801" i="9"/>
  <c r="AN2801" i="9" s="1"/>
  <c r="AF2801" i="9"/>
  <c r="AB2801" i="9"/>
  <c r="V2801" i="9"/>
  <c r="AK2801" i="9" s="1"/>
  <c r="AL2801" i="9" s="1"/>
  <c r="R2801" i="9"/>
  <c r="I2801" i="9"/>
  <c r="K2801" i="9" s="1"/>
  <c r="L2801" i="9" s="1"/>
  <c r="AN2800" i="9"/>
  <c r="AM2800" i="9"/>
  <c r="AF2800" i="9"/>
  <c r="AB2800" i="9"/>
  <c r="V2800" i="9"/>
  <c r="R2800" i="9"/>
  <c r="I2800" i="9"/>
  <c r="K2800" i="9" s="1"/>
  <c r="L2800" i="9" s="1"/>
  <c r="AM2799" i="9"/>
  <c r="AN2799" i="9" s="1"/>
  <c r="AK2799" i="9"/>
  <c r="AL2799" i="9" s="1"/>
  <c r="AF2799" i="9"/>
  <c r="AB2799" i="9"/>
  <c r="V2799" i="9"/>
  <c r="R2799" i="9"/>
  <c r="I2799" i="9"/>
  <c r="K2799" i="9" s="1"/>
  <c r="L2799" i="9" s="1"/>
  <c r="AM2798" i="9"/>
  <c r="AN2798" i="9" s="1"/>
  <c r="AF2798" i="9"/>
  <c r="AB2798" i="9"/>
  <c r="V2798" i="9"/>
  <c r="R2798" i="9"/>
  <c r="K2798" i="9"/>
  <c r="L2798" i="9" s="1"/>
  <c r="I2798" i="9"/>
  <c r="AM2797" i="9"/>
  <c r="AN2797" i="9" s="1"/>
  <c r="AF2797" i="9"/>
  <c r="AE2797" i="9"/>
  <c r="AB2797" i="9"/>
  <c r="AA2797" i="9"/>
  <c r="V2797" i="9"/>
  <c r="U2797" i="9"/>
  <c r="R2797" i="9"/>
  <c r="Q2797" i="9"/>
  <c r="L2797" i="9"/>
  <c r="K2797" i="9"/>
  <c r="I2797" i="9"/>
  <c r="AM2796" i="9"/>
  <c r="AN2796" i="9" s="1"/>
  <c r="AF2796" i="9"/>
  <c r="AB2796" i="9"/>
  <c r="V2796" i="9"/>
  <c r="R2796" i="9"/>
  <c r="I2796" i="9"/>
  <c r="K2796" i="9" s="1"/>
  <c r="L2796" i="9" s="1"/>
  <c r="AM2795" i="9"/>
  <c r="AN2795" i="9" s="1"/>
  <c r="AF2795" i="9"/>
  <c r="AB2795" i="9"/>
  <c r="V2795" i="9"/>
  <c r="R2795" i="9"/>
  <c r="I2795" i="9"/>
  <c r="K2795" i="9" s="1"/>
  <c r="L2795" i="9" s="1"/>
  <c r="AN2794" i="9"/>
  <c r="AM2794" i="9"/>
  <c r="AF2794" i="9"/>
  <c r="AK2794" i="9" s="1"/>
  <c r="AL2794" i="9" s="1"/>
  <c r="AB2794" i="9"/>
  <c r="V2794" i="9"/>
  <c r="R2794" i="9"/>
  <c r="I2794" i="9"/>
  <c r="K2794" i="9" s="1"/>
  <c r="L2794" i="9" s="1"/>
  <c r="AM2793" i="9"/>
  <c r="AN2793" i="9" s="1"/>
  <c r="AF2793" i="9"/>
  <c r="AE2793" i="9"/>
  <c r="AB2793" i="9"/>
  <c r="AK2793" i="9" s="1"/>
  <c r="AL2793" i="9" s="1"/>
  <c r="AA2793" i="9"/>
  <c r="V2793" i="9"/>
  <c r="U2793" i="9"/>
  <c r="R2793" i="9"/>
  <c r="Q2793" i="9"/>
  <c r="I2793" i="9"/>
  <c r="K2793" i="9" s="1"/>
  <c r="L2793" i="9" s="1"/>
  <c r="AN2792" i="9"/>
  <c r="AM2792" i="9"/>
  <c r="AF2792" i="9"/>
  <c r="AB2792" i="9"/>
  <c r="V2792" i="9"/>
  <c r="AK2792" i="9" s="1"/>
  <c r="AL2792" i="9" s="1"/>
  <c r="R2792" i="9"/>
  <c r="K2792" i="9"/>
  <c r="L2792" i="9" s="1"/>
  <c r="I2792" i="9"/>
  <c r="AM2791" i="9"/>
  <c r="AN2791" i="9" s="1"/>
  <c r="AF2791" i="9"/>
  <c r="AB2791" i="9"/>
  <c r="V2791" i="9"/>
  <c r="R2791" i="9"/>
  <c r="AK2791" i="9" s="1"/>
  <c r="AL2791" i="9" s="1"/>
  <c r="I2791" i="9"/>
  <c r="K2791" i="9" s="1"/>
  <c r="L2791" i="9" s="1"/>
  <c r="AM2790" i="9"/>
  <c r="AN2790" i="9" s="1"/>
  <c r="AF2790" i="9"/>
  <c r="AB2790" i="9"/>
  <c r="V2790" i="9"/>
  <c r="R2790" i="9"/>
  <c r="AK2790" i="9" s="1"/>
  <c r="AL2790" i="9" s="1"/>
  <c r="K2790" i="9"/>
  <c r="L2790" i="9" s="1"/>
  <c r="I2790" i="9"/>
  <c r="AF2789" i="9"/>
  <c r="AE2789" i="9"/>
  <c r="AB2789" i="9"/>
  <c r="AA2789" i="9"/>
  <c r="V2789" i="9"/>
  <c r="U2789" i="9"/>
  <c r="R2789" i="9"/>
  <c r="Q2789" i="9"/>
  <c r="AM2789" i="9" s="1"/>
  <c r="AN2789" i="9" s="1"/>
  <c r="K2789" i="9"/>
  <c r="L2789" i="9" s="1"/>
  <c r="I2789" i="9"/>
  <c r="AM2788" i="9"/>
  <c r="AN2788" i="9" s="1"/>
  <c r="AF2788" i="9"/>
  <c r="AB2788" i="9"/>
  <c r="V2788" i="9"/>
  <c r="AK2788" i="9" s="1"/>
  <c r="AL2788" i="9" s="1"/>
  <c r="R2788" i="9"/>
  <c r="I2788" i="9"/>
  <c r="K2788" i="9" s="1"/>
  <c r="L2788" i="9" s="1"/>
  <c r="AM2787" i="9"/>
  <c r="AN2787" i="9" s="1"/>
  <c r="AF2787" i="9"/>
  <c r="AB2787" i="9"/>
  <c r="V2787" i="9"/>
  <c r="R2787" i="9"/>
  <c r="I2787" i="9"/>
  <c r="K2787" i="9" s="1"/>
  <c r="L2787" i="9" s="1"/>
  <c r="AN2786" i="9"/>
  <c r="AM2786" i="9"/>
  <c r="AF2786" i="9"/>
  <c r="AK2786" i="9" s="1"/>
  <c r="AL2786" i="9" s="1"/>
  <c r="AB2786" i="9"/>
  <c r="V2786" i="9"/>
  <c r="R2786" i="9"/>
  <c r="I2786" i="9"/>
  <c r="K2786" i="9" s="1"/>
  <c r="L2786" i="9" s="1"/>
  <c r="AM2785" i="9"/>
  <c r="AN2785" i="9" s="1"/>
  <c r="AF2785" i="9"/>
  <c r="AB2785" i="9"/>
  <c r="V2785" i="9"/>
  <c r="R2785" i="9"/>
  <c r="I2785" i="9"/>
  <c r="K2785" i="9" s="1"/>
  <c r="L2785" i="9" s="1"/>
  <c r="AM2784" i="9"/>
  <c r="AN2784" i="9" s="1"/>
  <c r="AF2784" i="9"/>
  <c r="AB2784" i="9"/>
  <c r="V2784" i="9"/>
  <c r="R2784" i="9"/>
  <c r="I2784" i="9"/>
  <c r="K2784" i="9" s="1"/>
  <c r="L2784" i="9" s="1"/>
  <c r="AN2783" i="9"/>
  <c r="AM2783" i="9"/>
  <c r="AF2783" i="9"/>
  <c r="AB2783" i="9"/>
  <c r="V2783" i="9"/>
  <c r="R2783" i="9"/>
  <c r="K2783" i="9"/>
  <c r="L2783" i="9" s="1"/>
  <c r="I2783" i="9"/>
  <c r="AM2782" i="9"/>
  <c r="AN2782" i="9" s="1"/>
  <c r="AF2782" i="9"/>
  <c r="AB2782" i="9"/>
  <c r="V2782" i="9"/>
  <c r="R2782" i="9"/>
  <c r="L2782" i="9"/>
  <c r="K2782" i="9"/>
  <c r="I2782" i="9"/>
  <c r="AM2781" i="9"/>
  <c r="AN2781" i="9" s="1"/>
  <c r="AF2781" i="9"/>
  <c r="AB2781" i="9"/>
  <c r="V2781" i="9"/>
  <c r="R2781" i="9"/>
  <c r="AK2781" i="9" s="1"/>
  <c r="AL2781" i="9" s="1"/>
  <c r="K2781" i="9"/>
  <c r="L2781" i="9" s="1"/>
  <c r="I2781" i="9"/>
  <c r="AM2780" i="9"/>
  <c r="AN2780" i="9" s="1"/>
  <c r="AK2780" i="9"/>
  <c r="AL2780" i="9" s="1"/>
  <c r="AF2780" i="9"/>
  <c r="AB2780" i="9"/>
  <c r="V2780" i="9"/>
  <c r="R2780" i="9"/>
  <c r="I2780" i="9"/>
  <c r="K2780" i="9" s="1"/>
  <c r="L2780" i="9" s="1"/>
  <c r="AM2779" i="9"/>
  <c r="AN2779" i="9" s="1"/>
  <c r="AF2779" i="9"/>
  <c r="AB2779" i="9"/>
  <c r="V2779" i="9"/>
  <c r="R2779" i="9"/>
  <c r="I2779" i="9"/>
  <c r="K2779" i="9" s="1"/>
  <c r="L2779" i="9" s="1"/>
  <c r="AM2778" i="9"/>
  <c r="AN2778" i="9" s="1"/>
  <c r="AF2778" i="9"/>
  <c r="AB2778" i="9"/>
  <c r="V2778" i="9"/>
  <c r="R2778" i="9"/>
  <c r="L2778" i="9"/>
  <c r="I2778" i="9"/>
  <c r="K2778" i="9" s="1"/>
  <c r="AM2777" i="9"/>
  <c r="AN2777" i="9" s="1"/>
  <c r="AF2777" i="9"/>
  <c r="AB2777" i="9"/>
  <c r="V2777" i="9"/>
  <c r="R2777" i="9"/>
  <c r="I2777" i="9"/>
  <c r="K2777" i="9" s="1"/>
  <c r="L2777" i="9" s="1"/>
  <c r="AM2776" i="9"/>
  <c r="AN2776" i="9" s="1"/>
  <c r="AK2776" i="9"/>
  <c r="AL2776" i="9" s="1"/>
  <c r="AF2776" i="9"/>
  <c r="AB2776" i="9"/>
  <c r="V2776" i="9"/>
  <c r="R2776" i="9"/>
  <c r="K2776" i="9"/>
  <c r="L2776" i="9" s="1"/>
  <c r="I2776" i="9"/>
  <c r="AM2775" i="9"/>
  <c r="AN2775" i="9" s="1"/>
  <c r="AF2775" i="9"/>
  <c r="AB2775" i="9"/>
  <c r="V2775" i="9"/>
  <c r="R2775" i="9"/>
  <c r="I2775" i="9"/>
  <c r="K2775" i="9" s="1"/>
  <c r="L2775" i="9" s="1"/>
  <c r="AM2774" i="9"/>
  <c r="AN2774" i="9" s="1"/>
  <c r="AF2774" i="9"/>
  <c r="AB2774" i="9"/>
  <c r="V2774" i="9"/>
  <c r="AK2774" i="9" s="1"/>
  <c r="AL2774" i="9" s="1"/>
  <c r="R2774" i="9"/>
  <c r="I2774" i="9"/>
  <c r="K2774" i="9" s="1"/>
  <c r="L2774" i="9" s="1"/>
  <c r="AM2773" i="9"/>
  <c r="AN2773" i="9" s="1"/>
  <c r="AF2773" i="9"/>
  <c r="AB2773" i="9"/>
  <c r="V2773" i="9"/>
  <c r="R2773" i="9"/>
  <c r="I2773" i="9"/>
  <c r="K2773" i="9" s="1"/>
  <c r="L2773" i="9" s="1"/>
  <c r="AM2772" i="9"/>
  <c r="AN2772" i="9" s="1"/>
  <c r="AF2772" i="9"/>
  <c r="AB2772" i="9"/>
  <c r="V2772" i="9"/>
  <c r="R2772" i="9"/>
  <c r="I2772" i="9"/>
  <c r="K2772" i="9" s="1"/>
  <c r="L2772" i="9" s="1"/>
  <c r="AM2771" i="9"/>
  <c r="AN2771" i="9" s="1"/>
  <c r="AF2771" i="9"/>
  <c r="AB2771" i="9"/>
  <c r="V2771" i="9"/>
  <c r="R2771" i="9"/>
  <c r="K2771" i="9"/>
  <c r="L2771" i="9" s="1"/>
  <c r="I2771" i="9"/>
  <c r="AM2770" i="9"/>
  <c r="AN2770" i="9" s="1"/>
  <c r="AF2770" i="9"/>
  <c r="AB2770" i="9"/>
  <c r="V2770" i="9"/>
  <c r="R2770" i="9"/>
  <c r="I2770" i="9"/>
  <c r="K2770" i="9" s="1"/>
  <c r="L2770" i="9" s="1"/>
  <c r="AM2769" i="9"/>
  <c r="AN2769" i="9" s="1"/>
  <c r="AF2769" i="9"/>
  <c r="AB2769" i="9"/>
  <c r="V2769" i="9"/>
  <c r="R2769" i="9"/>
  <c r="I2769" i="9"/>
  <c r="K2769" i="9" s="1"/>
  <c r="L2769" i="9" s="1"/>
  <c r="AM2768" i="9"/>
  <c r="AN2768" i="9" s="1"/>
  <c r="AF2768" i="9"/>
  <c r="AB2768" i="9"/>
  <c r="V2768" i="9"/>
  <c r="AK2768" i="9" s="1"/>
  <c r="AL2768" i="9" s="1"/>
  <c r="R2768" i="9"/>
  <c r="I2768" i="9"/>
  <c r="K2768" i="9" s="1"/>
  <c r="L2768" i="9" s="1"/>
  <c r="AM2767" i="9"/>
  <c r="AN2767" i="9" s="1"/>
  <c r="AF2767" i="9"/>
  <c r="AB2767" i="9"/>
  <c r="V2767" i="9"/>
  <c r="R2767" i="9"/>
  <c r="AK2767" i="9" s="1"/>
  <c r="AL2767" i="9" s="1"/>
  <c r="I2767" i="9"/>
  <c r="K2767" i="9" s="1"/>
  <c r="L2767" i="9" s="1"/>
  <c r="AM2766" i="9"/>
  <c r="AN2766" i="9" s="1"/>
  <c r="AF2766" i="9"/>
  <c r="AB2766" i="9"/>
  <c r="V2766" i="9"/>
  <c r="R2766" i="9"/>
  <c r="AK2766" i="9" s="1"/>
  <c r="AL2766" i="9" s="1"/>
  <c r="I2766" i="9"/>
  <c r="K2766" i="9" s="1"/>
  <c r="L2766" i="9" s="1"/>
  <c r="AN2765" i="9"/>
  <c r="AM2765" i="9"/>
  <c r="AF2765" i="9"/>
  <c r="AB2765" i="9"/>
  <c r="V2765" i="9"/>
  <c r="AK2765" i="9" s="1"/>
  <c r="AL2765" i="9" s="1"/>
  <c r="R2765" i="9"/>
  <c r="K2765" i="9"/>
  <c r="L2765" i="9" s="1"/>
  <c r="I2765" i="9"/>
  <c r="AM2764" i="9"/>
  <c r="AN2764" i="9" s="1"/>
  <c r="AL2764" i="9"/>
  <c r="AF2764" i="9"/>
  <c r="AB2764" i="9"/>
  <c r="V2764" i="9"/>
  <c r="R2764" i="9"/>
  <c r="AK2764" i="9" s="1"/>
  <c r="I2764" i="9"/>
  <c r="K2764" i="9" s="1"/>
  <c r="L2764" i="9" s="1"/>
  <c r="AM2763" i="9"/>
  <c r="AN2763" i="9" s="1"/>
  <c r="AF2763" i="9"/>
  <c r="AK2763" i="9" s="1"/>
  <c r="AL2763" i="9" s="1"/>
  <c r="AB2763" i="9"/>
  <c r="V2763" i="9"/>
  <c r="R2763" i="9"/>
  <c r="I2763" i="9"/>
  <c r="K2763" i="9" s="1"/>
  <c r="L2763" i="9" s="1"/>
  <c r="AM2762" i="9"/>
  <c r="AN2762" i="9" s="1"/>
  <c r="AF2762" i="9"/>
  <c r="AB2762" i="9"/>
  <c r="V2762" i="9"/>
  <c r="R2762" i="9"/>
  <c r="K2762" i="9"/>
  <c r="L2762" i="9" s="1"/>
  <c r="I2762" i="9"/>
  <c r="AM2761" i="9"/>
  <c r="AN2761" i="9" s="1"/>
  <c r="AF2761" i="9"/>
  <c r="AB2761" i="9"/>
  <c r="V2761" i="9"/>
  <c r="R2761" i="9"/>
  <c r="I2761" i="9"/>
  <c r="K2761" i="9" s="1"/>
  <c r="L2761" i="9" s="1"/>
  <c r="AM2760" i="9"/>
  <c r="AN2760" i="9" s="1"/>
  <c r="AF2760" i="9"/>
  <c r="AB2760" i="9"/>
  <c r="V2760" i="9"/>
  <c r="R2760" i="9"/>
  <c r="I2760" i="9"/>
  <c r="K2760" i="9" s="1"/>
  <c r="L2760" i="9" s="1"/>
  <c r="AN2759" i="9"/>
  <c r="AM2759" i="9"/>
  <c r="AF2759" i="9"/>
  <c r="AB2759" i="9"/>
  <c r="V2759" i="9"/>
  <c r="R2759" i="9"/>
  <c r="AK2759" i="9" s="1"/>
  <c r="AL2759" i="9" s="1"/>
  <c r="L2759" i="9"/>
  <c r="K2759" i="9"/>
  <c r="I2759" i="9"/>
  <c r="AM2758" i="9"/>
  <c r="AN2758" i="9" s="1"/>
  <c r="AF2758" i="9"/>
  <c r="AB2758" i="9"/>
  <c r="V2758" i="9"/>
  <c r="R2758" i="9"/>
  <c r="K2758" i="9"/>
  <c r="L2758" i="9" s="1"/>
  <c r="I2758" i="9"/>
  <c r="AM2757" i="9"/>
  <c r="AN2757" i="9" s="1"/>
  <c r="AF2757" i="9"/>
  <c r="AB2757" i="9"/>
  <c r="V2757" i="9"/>
  <c r="R2757" i="9"/>
  <c r="I2757" i="9"/>
  <c r="K2757" i="9" s="1"/>
  <c r="L2757" i="9" s="1"/>
  <c r="AM2756" i="9"/>
  <c r="AN2756" i="9" s="1"/>
  <c r="AF2756" i="9"/>
  <c r="AB2756" i="9"/>
  <c r="V2756" i="9"/>
  <c r="R2756" i="9"/>
  <c r="AK2756" i="9" s="1"/>
  <c r="AL2756" i="9" s="1"/>
  <c r="I2756" i="9"/>
  <c r="K2756" i="9" s="1"/>
  <c r="L2756" i="9" s="1"/>
  <c r="AM2755" i="9"/>
  <c r="AN2755" i="9" s="1"/>
  <c r="AF2755" i="9"/>
  <c r="AB2755" i="9"/>
  <c r="V2755" i="9"/>
  <c r="R2755" i="9"/>
  <c r="K2755" i="9"/>
  <c r="L2755" i="9" s="1"/>
  <c r="I2755" i="9"/>
  <c r="AM2754" i="9"/>
  <c r="AN2754" i="9" s="1"/>
  <c r="AF2754" i="9"/>
  <c r="AB2754" i="9"/>
  <c r="V2754" i="9"/>
  <c r="R2754" i="9"/>
  <c r="L2754" i="9"/>
  <c r="I2754" i="9"/>
  <c r="K2754" i="9" s="1"/>
  <c r="AN2753" i="9"/>
  <c r="AM2753" i="9"/>
  <c r="AF2753" i="9"/>
  <c r="AB2753" i="9"/>
  <c r="V2753" i="9"/>
  <c r="R2753" i="9"/>
  <c r="K2753" i="9"/>
  <c r="L2753" i="9" s="1"/>
  <c r="I2753" i="9"/>
  <c r="AM2752" i="9"/>
  <c r="AN2752" i="9" s="1"/>
  <c r="AF2752" i="9"/>
  <c r="AE2752" i="9"/>
  <c r="AB2752" i="9"/>
  <c r="AA2752" i="9"/>
  <c r="V2752" i="9"/>
  <c r="U2752" i="9"/>
  <c r="R2752" i="9"/>
  <c r="AK2752" i="9" s="1"/>
  <c r="AL2752" i="9" s="1"/>
  <c r="Q2752" i="9"/>
  <c r="K2752" i="9"/>
  <c r="L2752" i="9" s="1"/>
  <c r="I2752" i="9"/>
  <c r="AF2751" i="9"/>
  <c r="AE2751" i="9"/>
  <c r="AB2751" i="9"/>
  <c r="AA2751" i="9"/>
  <c r="V2751" i="9"/>
  <c r="U2751" i="9"/>
  <c r="R2751" i="9"/>
  <c r="Q2751" i="9"/>
  <c r="K2751" i="9"/>
  <c r="L2751" i="9" s="1"/>
  <c r="I2751" i="9"/>
  <c r="AF2750" i="9"/>
  <c r="AE2750" i="9"/>
  <c r="AB2750" i="9"/>
  <c r="AA2750" i="9"/>
  <c r="V2750" i="9"/>
  <c r="U2750" i="9"/>
  <c r="R2750" i="9"/>
  <c r="AK2750" i="9" s="1"/>
  <c r="AL2750" i="9" s="1"/>
  <c r="Q2750" i="9"/>
  <c r="I2750" i="9"/>
  <c r="K2750" i="9" s="1"/>
  <c r="L2750" i="9" s="1"/>
  <c r="AM2749" i="9"/>
  <c r="AN2749" i="9" s="1"/>
  <c r="AF2749" i="9"/>
  <c r="AB2749" i="9"/>
  <c r="AK2749" i="9" s="1"/>
  <c r="AL2749" i="9" s="1"/>
  <c r="V2749" i="9"/>
  <c r="R2749" i="9"/>
  <c r="I2749" i="9"/>
  <c r="K2749" i="9" s="1"/>
  <c r="L2749" i="9" s="1"/>
  <c r="AM2748" i="9"/>
  <c r="AN2748" i="9" s="1"/>
  <c r="AF2748" i="9"/>
  <c r="AB2748" i="9"/>
  <c r="V2748" i="9"/>
  <c r="R2748" i="9"/>
  <c r="AK2748" i="9" s="1"/>
  <c r="AL2748" i="9" s="1"/>
  <c r="I2748" i="9"/>
  <c r="K2748" i="9" s="1"/>
  <c r="L2748" i="9" s="1"/>
  <c r="AF2747" i="9"/>
  <c r="AE2747" i="9"/>
  <c r="AB2747" i="9"/>
  <c r="AA2747" i="9"/>
  <c r="V2747" i="9"/>
  <c r="U2747" i="9"/>
  <c r="R2747" i="9"/>
  <c r="AK2747" i="9" s="1"/>
  <c r="AL2747" i="9" s="1"/>
  <c r="Q2747" i="9"/>
  <c r="I2747" i="9"/>
  <c r="K2747" i="9" s="1"/>
  <c r="L2747" i="9" s="1"/>
  <c r="AM2746" i="9"/>
  <c r="AN2746" i="9" s="1"/>
  <c r="AF2746" i="9"/>
  <c r="AB2746" i="9"/>
  <c r="V2746" i="9"/>
  <c r="R2746" i="9"/>
  <c r="I2746" i="9"/>
  <c r="K2746" i="9" s="1"/>
  <c r="L2746" i="9" s="1"/>
  <c r="AF2745" i="9"/>
  <c r="AE2745" i="9"/>
  <c r="AB2745" i="9"/>
  <c r="AA2745" i="9"/>
  <c r="V2745" i="9"/>
  <c r="U2745" i="9"/>
  <c r="R2745" i="9"/>
  <c r="Q2745" i="9"/>
  <c r="I2745" i="9"/>
  <c r="K2745" i="9" s="1"/>
  <c r="L2745" i="9" s="1"/>
  <c r="AM2744" i="9"/>
  <c r="AN2744" i="9" s="1"/>
  <c r="AF2744" i="9"/>
  <c r="AB2744" i="9"/>
  <c r="V2744" i="9"/>
  <c r="R2744" i="9"/>
  <c r="I2744" i="9"/>
  <c r="K2744" i="9" s="1"/>
  <c r="L2744" i="9" s="1"/>
  <c r="AF2743" i="9"/>
  <c r="AE2743" i="9"/>
  <c r="AB2743" i="9"/>
  <c r="AA2743" i="9"/>
  <c r="V2743" i="9"/>
  <c r="U2743" i="9"/>
  <c r="R2743" i="9"/>
  <c r="Q2743" i="9"/>
  <c r="AM2743" i="9" s="1"/>
  <c r="AN2743" i="9" s="1"/>
  <c r="I2743" i="9"/>
  <c r="K2743" i="9" s="1"/>
  <c r="L2743" i="9" s="1"/>
  <c r="AF2742" i="9"/>
  <c r="AE2742" i="9"/>
  <c r="AB2742" i="9"/>
  <c r="AA2742" i="9"/>
  <c r="V2742" i="9"/>
  <c r="U2742" i="9"/>
  <c r="R2742" i="9"/>
  <c r="Q2742" i="9"/>
  <c r="I2742" i="9"/>
  <c r="K2742" i="9" s="1"/>
  <c r="L2742" i="9" s="1"/>
  <c r="AF2741" i="9"/>
  <c r="AE2741" i="9"/>
  <c r="AB2741" i="9"/>
  <c r="AA2741" i="9"/>
  <c r="V2741" i="9"/>
  <c r="U2741" i="9"/>
  <c r="R2741" i="9"/>
  <c r="Q2741" i="9"/>
  <c r="I2741" i="9"/>
  <c r="K2741" i="9" s="1"/>
  <c r="L2741" i="9" s="1"/>
  <c r="AF2740" i="9"/>
  <c r="AE2740" i="9"/>
  <c r="AB2740" i="9"/>
  <c r="AA2740" i="9"/>
  <c r="V2740" i="9"/>
  <c r="U2740" i="9"/>
  <c r="R2740" i="9"/>
  <c r="Q2740" i="9"/>
  <c r="AM2740" i="9" s="1"/>
  <c r="AN2740" i="9" s="1"/>
  <c r="I2740" i="9"/>
  <c r="K2740" i="9" s="1"/>
  <c r="L2740" i="9" s="1"/>
  <c r="AM2739" i="9"/>
  <c r="AN2739" i="9" s="1"/>
  <c r="AF2739" i="9"/>
  <c r="AB2739" i="9"/>
  <c r="V2739" i="9"/>
  <c r="R2739" i="9"/>
  <c r="AK2739" i="9" s="1"/>
  <c r="AL2739" i="9" s="1"/>
  <c r="I2739" i="9"/>
  <c r="K2739" i="9" s="1"/>
  <c r="L2739" i="9" s="1"/>
  <c r="AM2738" i="9"/>
  <c r="AN2738" i="9" s="1"/>
  <c r="AF2738" i="9"/>
  <c r="AB2738" i="9"/>
  <c r="V2738" i="9"/>
  <c r="R2738" i="9"/>
  <c r="I2738" i="9"/>
  <c r="K2738" i="9" s="1"/>
  <c r="L2738" i="9" s="1"/>
  <c r="AM2737" i="9"/>
  <c r="AN2737" i="9" s="1"/>
  <c r="AF2737" i="9"/>
  <c r="AB2737" i="9"/>
  <c r="V2737" i="9"/>
  <c r="R2737" i="9"/>
  <c r="I2737" i="9"/>
  <c r="K2737" i="9" s="1"/>
  <c r="L2737" i="9" s="1"/>
  <c r="AM2736" i="9"/>
  <c r="AN2736" i="9" s="1"/>
  <c r="AF2736" i="9"/>
  <c r="AB2736" i="9"/>
  <c r="V2736" i="9"/>
  <c r="R2736" i="9"/>
  <c r="I2736" i="9"/>
  <c r="K2736" i="9" s="1"/>
  <c r="L2736" i="9" s="1"/>
  <c r="AN2735" i="9"/>
  <c r="AM2735" i="9"/>
  <c r="AF2735" i="9"/>
  <c r="AB2735" i="9"/>
  <c r="V2735" i="9"/>
  <c r="R2735" i="9"/>
  <c r="AK2735" i="9" s="1"/>
  <c r="AL2735" i="9" s="1"/>
  <c r="I2735" i="9"/>
  <c r="K2735" i="9" s="1"/>
  <c r="L2735" i="9" s="1"/>
  <c r="AN2734" i="9"/>
  <c r="AM2734" i="9"/>
  <c r="AF2734" i="9"/>
  <c r="AB2734" i="9"/>
  <c r="V2734" i="9"/>
  <c r="R2734" i="9"/>
  <c r="AK2734" i="9" s="1"/>
  <c r="AL2734" i="9" s="1"/>
  <c r="K2734" i="9"/>
  <c r="L2734" i="9" s="1"/>
  <c r="I2734" i="9"/>
  <c r="AF2733" i="9"/>
  <c r="AE2733" i="9"/>
  <c r="AB2733" i="9"/>
  <c r="AA2733" i="9"/>
  <c r="V2733" i="9"/>
  <c r="U2733" i="9"/>
  <c r="R2733" i="9"/>
  <c r="Q2733" i="9"/>
  <c r="I2733" i="9"/>
  <c r="K2733" i="9" s="1"/>
  <c r="L2733" i="9" s="1"/>
  <c r="AK2732" i="9"/>
  <c r="AL2732" i="9" s="1"/>
  <c r="AF2732" i="9"/>
  <c r="AE2732" i="9"/>
  <c r="AB2732" i="9"/>
  <c r="AA2732" i="9"/>
  <c r="V2732" i="9"/>
  <c r="U2732" i="9"/>
  <c r="R2732" i="9"/>
  <c r="Q2732" i="9"/>
  <c r="I2732" i="9"/>
  <c r="K2732" i="9" s="1"/>
  <c r="L2732" i="9" s="1"/>
  <c r="AF2731" i="9"/>
  <c r="AE2731" i="9"/>
  <c r="AB2731" i="9"/>
  <c r="AA2731" i="9"/>
  <c r="V2731" i="9"/>
  <c r="U2731" i="9"/>
  <c r="R2731" i="9"/>
  <c r="Q2731" i="9"/>
  <c r="AM2731" i="9" s="1"/>
  <c r="AN2731" i="9" s="1"/>
  <c r="I2731" i="9"/>
  <c r="K2731" i="9" s="1"/>
  <c r="L2731" i="9" s="1"/>
  <c r="AM2730" i="9"/>
  <c r="AN2730" i="9" s="1"/>
  <c r="AF2730" i="9"/>
  <c r="AB2730" i="9"/>
  <c r="V2730" i="9"/>
  <c r="R2730" i="9"/>
  <c r="I2730" i="9"/>
  <c r="K2730" i="9" s="1"/>
  <c r="L2730" i="9" s="1"/>
  <c r="AM2729" i="9"/>
  <c r="AN2729" i="9" s="1"/>
  <c r="AF2729" i="9"/>
  <c r="AB2729" i="9"/>
  <c r="V2729" i="9"/>
  <c r="AK2729" i="9" s="1"/>
  <c r="AL2729" i="9" s="1"/>
  <c r="R2729" i="9"/>
  <c r="I2729" i="9"/>
  <c r="K2729" i="9" s="1"/>
  <c r="L2729" i="9" s="1"/>
  <c r="AN2728" i="9"/>
  <c r="AM2728" i="9"/>
  <c r="AF2728" i="9"/>
  <c r="AB2728" i="9"/>
  <c r="V2728" i="9"/>
  <c r="R2728" i="9"/>
  <c r="I2728" i="9"/>
  <c r="K2728" i="9" s="1"/>
  <c r="L2728" i="9" s="1"/>
  <c r="AM2727" i="9"/>
  <c r="AN2727" i="9" s="1"/>
  <c r="AF2727" i="9"/>
  <c r="AB2727" i="9"/>
  <c r="V2727" i="9"/>
  <c r="R2727" i="9"/>
  <c r="L2727" i="9"/>
  <c r="I2727" i="9"/>
  <c r="K2727" i="9" s="1"/>
  <c r="AM2726" i="9"/>
  <c r="AN2726" i="9" s="1"/>
  <c r="AF2726" i="9"/>
  <c r="AB2726" i="9"/>
  <c r="V2726" i="9"/>
  <c r="R2726" i="9"/>
  <c r="AK2726" i="9" s="1"/>
  <c r="AL2726" i="9" s="1"/>
  <c r="L2726" i="9"/>
  <c r="K2726" i="9"/>
  <c r="I2726" i="9"/>
  <c r="AM2725" i="9"/>
  <c r="AN2725" i="9" s="1"/>
  <c r="AK2725" i="9"/>
  <c r="AL2725" i="9" s="1"/>
  <c r="AF2725" i="9"/>
  <c r="AB2725" i="9"/>
  <c r="V2725" i="9"/>
  <c r="R2725" i="9"/>
  <c r="I2725" i="9"/>
  <c r="K2725" i="9" s="1"/>
  <c r="L2725" i="9" s="1"/>
  <c r="AM2724" i="9"/>
  <c r="AN2724" i="9" s="1"/>
  <c r="AF2724" i="9"/>
  <c r="AB2724" i="9"/>
  <c r="V2724" i="9"/>
  <c r="R2724" i="9"/>
  <c r="K2724" i="9"/>
  <c r="L2724" i="9" s="1"/>
  <c r="I2724" i="9"/>
  <c r="AN2723" i="9"/>
  <c r="AM2723" i="9"/>
  <c r="AF2723" i="9"/>
  <c r="AB2723" i="9"/>
  <c r="V2723" i="9"/>
  <c r="R2723" i="9"/>
  <c r="I2723" i="9"/>
  <c r="K2723" i="9" s="1"/>
  <c r="L2723" i="9" s="1"/>
  <c r="AM2722" i="9"/>
  <c r="AN2722" i="9" s="1"/>
  <c r="AF2722" i="9"/>
  <c r="AB2722" i="9"/>
  <c r="V2722" i="9"/>
  <c r="R2722" i="9"/>
  <c r="I2722" i="9"/>
  <c r="K2722" i="9" s="1"/>
  <c r="L2722" i="9" s="1"/>
  <c r="AM2721" i="9"/>
  <c r="AN2721" i="9" s="1"/>
  <c r="AF2721" i="9"/>
  <c r="AB2721" i="9"/>
  <c r="V2721" i="9"/>
  <c r="R2721" i="9"/>
  <c r="I2721" i="9"/>
  <c r="K2721" i="9" s="1"/>
  <c r="L2721" i="9" s="1"/>
  <c r="AM2720" i="9"/>
  <c r="AN2720" i="9" s="1"/>
  <c r="AF2720" i="9"/>
  <c r="AB2720" i="9"/>
  <c r="V2720" i="9"/>
  <c r="R2720" i="9"/>
  <c r="I2720" i="9"/>
  <c r="K2720" i="9" s="1"/>
  <c r="L2720" i="9" s="1"/>
  <c r="AN2719" i="9"/>
  <c r="AM2719" i="9"/>
  <c r="AF2719" i="9"/>
  <c r="AB2719" i="9"/>
  <c r="V2719" i="9"/>
  <c r="R2719" i="9"/>
  <c r="I2719" i="9"/>
  <c r="K2719" i="9" s="1"/>
  <c r="L2719" i="9" s="1"/>
  <c r="AN2718" i="9"/>
  <c r="AM2718" i="9"/>
  <c r="AF2718" i="9"/>
  <c r="AB2718" i="9"/>
  <c r="V2718" i="9"/>
  <c r="R2718" i="9"/>
  <c r="I2718" i="9"/>
  <c r="K2718" i="9" s="1"/>
  <c r="L2718" i="9" s="1"/>
  <c r="AN2717" i="9"/>
  <c r="AM2717" i="9"/>
  <c r="AF2717" i="9"/>
  <c r="AB2717" i="9"/>
  <c r="V2717" i="9"/>
  <c r="R2717" i="9"/>
  <c r="I2717" i="9"/>
  <c r="K2717" i="9" s="1"/>
  <c r="L2717" i="9" s="1"/>
  <c r="AM2716" i="9"/>
  <c r="AN2716" i="9" s="1"/>
  <c r="AF2716" i="9"/>
  <c r="AB2716" i="9"/>
  <c r="V2716" i="9"/>
  <c r="R2716" i="9"/>
  <c r="I2716" i="9"/>
  <c r="K2716" i="9" s="1"/>
  <c r="L2716" i="9" s="1"/>
  <c r="AM2715" i="9"/>
  <c r="AN2715" i="9" s="1"/>
  <c r="AF2715" i="9"/>
  <c r="AB2715" i="9"/>
  <c r="V2715" i="9"/>
  <c r="R2715" i="9"/>
  <c r="I2715" i="9"/>
  <c r="K2715" i="9" s="1"/>
  <c r="L2715" i="9" s="1"/>
  <c r="AM2714" i="9"/>
  <c r="AN2714" i="9" s="1"/>
  <c r="AF2714" i="9"/>
  <c r="AB2714" i="9"/>
  <c r="V2714" i="9"/>
  <c r="R2714" i="9"/>
  <c r="I2714" i="9"/>
  <c r="K2714" i="9" s="1"/>
  <c r="L2714" i="9" s="1"/>
  <c r="AN2713" i="9"/>
  <c r="AM2713" i="9"/>
  <c r="AF2713" i="9"/>
  <c r="AB2713" i="9"/>
  <c r="V2713" i="9"/>
  <c r="R2713" i="9"/>
  <c r="I2713" i="9"/>
  <c r="K2713" i="9" s="1"/>
  <c r="L2713" i="9" s="1"/>
  <c r="AM2712" i="9"/>
  <c r="AN2712" i="9" s="1"/>
  <c r="AF2712" i="9"/>
  <c r="AB2712" i="9"/>
  <c r="V2712" i="9"/>
  <c r="R2712" i="9"/>
  <c r="K2712" i="9"/>
  <c r="L2712" i="9" s="1"/>
  <c r="I2712" i="9"/>
  <c r="AN2711" i="9"/>
  <c r="AM2711" i="9"/>
  <c r="AF2711" i="9"/>
  <c r="AB2711" i="9"/>
  <c r="V2711" i="9"/>
  <c r="R2711" i="9"/>
  <c r="I2711" i="9"/>
  <c r="K2711" i="9" s="1"/>
  <c r="L2711" i="9" s="1"/>
  <c r="AN2710" i="9"/>
  <c r="AM2710" i="9"/>
  <c r="AF2710" i="9"/>
  <c r="AB2710" i="9"/>
  <c r="V2710" i="9"/>
  <c r="R2710" i="9"/>
  <c r="I2710" i="9"/>
  <c r="K2710" i="9" s="1"/>
  <c r="L2710" i="9" s="1"/>
  <c r="AM2709" i="9"/>
  <c r="AN2709" i="9" s="1"/>
  <c r="AF2709" i="9"/>
  <c r="AB2709" i="9"/>
  <c r="V2709" i="9"/>
  <c r="R2709" i="9"/>
  <c r="I2709" i="9"/>
  <c r="K2709" i="9" s="1"/>
  <c r="L2709" i="9" s="1"/>
  <c r="AN2708" i="9"/>
  <c r="AM2708" i="9"/>
  <c r="AF2708" i="9"/>
  <c r="AB2708" i="9"/>
  <c r="V2708" i="9"/>
  <c r="R2708" i="9"/>
  <c r="I2708" i="9"/>
  <c r="K2708" i="9" s="1"/>
  <c r="L2708" i="9" s="1"/>
  <c r="AM2707" i="9"/>
  <c r="AN2707" i="9" s="1"/>
  <c r="AK2707" i="9"/>
  <c r="AL2707" i="9" s="1"/>
  <c r="AF2707" i="9"/>
  <c r="AB2707" i="9"/>
  <c r="V2707" i="9"/>
  <c r="R2707" i="9"/>
  <c r="I2707" i="9"/>
  <c r="K2707" i="9" s="1"/>
  <c r="L2707" i="9" s="1"/>
  <c r="AM2706" i="9"/>
  <c r="AN2706" i="9" s="1"/>
  <c r="AF2706" i="9"/>
  <c r="AB2706" i="9"/>
  <c r="V2706" i="9"/>
  <c r="R2706" i="9"/>
  <c r="I2706" i="9"/>
  <c r="K2706" i="9" s="1"/>
  <c r="L2706" i="9" s="1"/>
  <c r="AM2705" i="9"/>
  <c r="AN2705" i="9" s="1"/>
  <c r="AF2705" i="9"/>
  <c r="AB2705" i="9"/>
  <c r="V2705" i="9"/>
  <c r="R2705" i="9"/>
  <c r="I2705" i="9"/>
  <c r="K2705" i="9" s="1"/>
  <c r="L2705" i="9" s="1"/>
  <c r="AF2704" i="9"/>
  <c r="AE2704" i="9"/>
  <c r="AB2704" i="9"/>
  <c r="AA2704" i="9"/>
  <c r="V2704" i="9"/>
  <c r="U2704" i="9"/>
  <c r="R2704" i="9"/>
  <c r="Q2704" i="9"/>
  <c r="I2704" i="9"/>
  <c r="K2704" i="9" s="1"/>
  <c r="L2704" i="9" s="1"/>
  <c r="AM2703" i="9"/>
  <c r="AN2703" i="9" s="1"/>
  <c r="AF2703" i="9"/>
  <c r="AB2703" i="9"/>
  <c r="V2703" i="9"/>
  <c r="R2703" i="9"/>
  <c r="K2703" i="9"/>
  <c r="L2703" i="9" s="1"/>
  <c r="I2703" i="9"/>
  <c r="AN2702" i="9"/>
  <c r="AM2702" i="9"/>
  <c r="AF2702" i="9"/>
  <c r="AB2702" i="9"/>
  <c r="V2702" i="9"/>
  <c r="R2702" i="9"/>
  <c r="I2702" i="9"/>
  <c r="K2702" i="9" s="1"/>
  <c r="L2702" i="9" s="1"/>
  <c r="AK2701" i="9"/>
  <c r="AL2701" i="9" s="1"/>
  <c r="AF2701" i="9"/>
  <c r="AE2701" i="9"/>
  <c r="AB2701" i="9"/>
  <c r="AA2701" i="9"/>
  <c r="V2701" i="9"/>
  <c r="U2701" i="9"/>
  <c r="AM2701" i="9" s="1"/>
  <c r="AN2701" i="9" s="1"/>
  <c r="R2701" i="9"/>
  <c r="Q2701" i="9"/>
  <c r="I2701" i="9"/>
  <c r="K2701" i="9" s="1"/>
  <c r="L2701" i="9" s="1"/>
  <c r="AM2700" i="9"/>
  <c r="AN2700" i="9" s="1"/>
  <c r="AF2700" i="9"/>
  <c r="AB2700" i="9"/>
  <c r="V2700" i="9"/>
  <c r="R2700" i="9"/>
  <c r="I2700" i="9"/>
  <c r="K2700" i="9" s="1"/>
  <c r="L2700" i="9" s="1"/>
  <c r="AM2699" i="9"/>
  <c r="AN2699" i="9" s="1"/>
  <c r="AF2699" i="9"/>
  <c r="AB2699" i="9"/>
  <c r="V2699" i="9"/>
  <c r="R2699" i="9"/>
  <c r="K2699" i="9"/>
  <c r="L2699" i="9" s="1"/>
  <c r="I2699" i="9"/>
  <c r="AF2698" i="9"/>
  <c r="AE2698" i="9"/>
  <c r="AB2698" i="9"/>
  <c r="AA2698" i="9"/>
  <c r="V2698" i="9"/>
  <c r="U2698" i="9"/>
  <c r="R2698" i="9"/>
  <c r="Q2698" i="9"/>
  <c r="I2698" i="9"/>
  <c r="K2698" i="9" s="1"/>
  <c r="L2698" i="9" s="1"/>
  <c r="AM2697" i="9"/>
  <c r="AN2697" i="9" s="1"/>
  <c r="AF2697" i="9"/>
  <c r="AB2697" i="9"/>
  <c r="V2697" i="9"/>
  <c r="R2697" i="9"/>
  <c r="I2697" i="9"/>
  <c r="K2697" i="9" s="1"/>
  <c r="L2697" i="9" s="1"/>
  <c r="AM2696" i="9"/>
  <c r="AN2696" i="9" s="1"/>
  <c r="AF2696" i="9"/>
  <c r="AB2696" i="9"/>
  <c r="V2696" i="9"/>
  <c r="R2696" i="9"/>
  <c r="K2696" i="9"/>
  <c r="L2696" i="9" s="1"/>
  <c r="I2696" i="9"/>
  <c r="AM2695" i="9"/>
  <c r="AN2695" i="9" s="1"/>
  <c r="AF2695" i="9"/>
  <c r="AB2695" i="9"/>
  <c r="V2695" i="9"/>
  <c r="R2695" i="9"/>
  <c r="L2695" i="9"/>
  <c r="I2695" i="9"/>
  <c r="K2695" i="9" s="1"/>
  <c r="AF2694" i="9"/>
  <c r="AE2694" i="9"/>
  <c r="AM2694" i="9" s="1"/>
  <c r="AN2694" i="9" s="1"/>
  <c r="AB2694" i="9"/>
  <c r="AA2694" i="9"/>
  <c r="V2694" i="9"/>
  <c r="AK2694" i="9" s="1"/>
  <c r="AL2694" i="9" s="1"/>
  <c r="U2694" i="9"/>
  <c r="R2694" i="9"/>
  <c r="Q2694" i="9"/>
  <c r="K2694" i="9"/>
  <c r="L2694" i="9" s="1"/>
  <c r="I2694" i="9"/>
  <c r="AM2693" i="9"/>
  <c r="AN2693" i="9" s="1"/>
  <c r="AF2693" i="9"/>
  <c r="AB2693" i="9"/>
  <c r="V2693" i="9"/>
  <c r="R2693" i="9"/>
  <c r="K2693" i="9"/>
  <c r="L2693" i="9" s="1"/>
  <c r="I2693" i="9"/>
  <c r="AN2692" i="9"/>
  <c r="AM2692" i="9"/>
  <c r="AF2692" i="9"/>
  <c r="AB2692" i="9"/>
  <c r="V2692" i="9"/>
  <c r="R2692" i="9"/>
  <c r="I2692" i="9"/>
  <c r="K2692" i="9" s="1"/>
  <c r="L2692" i="9" s="1"/>
  <c r="AM2691" i="9"/>
  <c r="AN2691" i="9" s="1"/>
  <c r="AF2691" i="9"/>
  <c r="AB2691" i="9"/>
  <c r="V2691" i="9"/>
  <c r="R2691" i="9"/>
  <c r="K2691" i="9"/>
  <c r="L2691" i="9" s="1"/>
  <c r="I2691" i="9"/>
  <c r="AN2690" i="9"/>
  <c r="AM2690" i="9"/>
  <c r="AF2690" i="9"/>
  <c r="AB2690" i="9"/>
  <c r="V2690" i="9"/>
  <c r="R2690" i="9"/>
  <c r="I2690" i="9"/>
  <c r="K2690" i="9" s="1"/>
  <c r="L2690" i="9" s="1"/>
  <c r="AK2689" i="9"/>
  <c r="AL2689" i="9" s="1"/>
  <c r="AF2689" i="9"/>
  <c r="AE2689" i="9"/>
  <c r="AB2689" i="9"/>
  <c r="AA2689" i="9"/>
  <c r="V2689" i="9"/>
  <c r="U2689" i="9"/>
  <c r="R2689" i="9"/>
  <c r="Q2689" i="9"/>
  <c r="AM2689" i="9" s="1"/>
  <c r="AN2689" i="9" s="1"/>
  <c r="K2689" i="9"/>
  <c r="L2689" i="9" s="1"/>
  <c r="I2689" i="9"/>
  <c r="AM2688" i="9"/>
  <c r="AN2688" i="9" s="1"/>
  <c r="AF2688" i="9"/>
  <c r="AB2688" i="9"/>
  <c r="V2688" i="9"/>
  <c r="R2688" i="9"/>
  <c r="L2688" i="9"/>
  <c r="I2688" i="9"/>
  <c r="K2688" i="9" s="1"/>
  <c r="AM2687" i="9"/>
  <c r="AN2687" i="9" s="1"/>
  <c r="AF2687" i="9"/>
  <c r="AB2687" i="9"/>
  <c r="V2687" i="9"/>
  <c r="R2687" i="9"/>
  <c r="I2687" i="9"/>
  <c r="K2687" i="9" s="1"/>
  <c r="L2687" i="9" s="1"/>
  <c r="AM2686" i="9"/>
  <c r="AN2686" i="9" s="1"/>
  <c r="AF2686" i="9"/>
  <c r="AB2686" i="9"/>
  <c r="V2686" i="9"/>
  <c r="R2686" i="9"/>
  <c r="I2686" i="9"/>
  <c r="K2686" i="9" s="1"/>
  <c r="L2686" i="9" s="1"/>
  <c r="AM2685" i="9"/>
  <c r="AN2685" i="9" s="1"/>
  <c r="AK2685" i="9"/>
  <c r="AL2685" i="9" s="1"/>
  <c r="AF2685" i="9"/>
  <c r="AB2685" i="9"/>
  <c r="V2685" i="9"/>
  <c r="R2685" i="9"/>
  <c r="K2685" i="9"/>
  <c r="L2685" i="9" s="1"/>
  <c r="I2685" i="9"/>
  <c r="AM2684" i="9"/>
  <c r="AN2684" i="9" s="1"/>
  <c r="AF2684" i="9"/>
  <c r="AB2684" i="9"/>
  <c r="V2684" i="9"/>
  <c r="R2684" i="9"/>
  <c r="I2684" i="9"/>
  <c r="K2684" i="9" s="1"/>
  <c r="L2684" i="9" s="1"/>
  <c r="AN2683" i="9"/>
  <c r="AM2683" i="9"/>
  <c r="AF2683" i="9"/>
  <c r="AB2683" i="9"/>
  <c r="V2683" i="9"/>
  <c r="AK2683" i="9" s="1"/>
  <c r="AL2683" i="9" s="1"/>
  <c r="R2683" i="9"/>
  <c r="L2683" i="9"/>
  <c r="I2683" i="9"/>
  <c r="K2683" i="9" s="1"/>
  <c r="AO2682" i="9"/>
  <c r="AF2682" i="9"/>
  <c r="AK2682" i="9" s="1"/>
  <c r="AL2682" i="9" s="1"/>
  <c r="AE2682" i="9"/>
  <c r="AB2682" i="9"/>
  <c r="AA2682" i="9"/>
  <c r="V2682" i="9"/>
  <c r="U2682" i="9"/>
  <c r="R2682" i="9"/>
  <c r="Q2682" i="9"/>
  <c r="AM2682" i="9" s="1"/>
  <c r="AN2682" i="9" s="1"/>
  <c r="K2682" i="9"/>
  <c r="L2682" i="9" s="1"/>
  <c r="AK2681" i="9"/>
  <c r="AL2681" i="9" s="1"/>
  <c r="AF2681" i="9"/>
  <c r="AE2681" i="9"/>
  <c r="AB2681" i="9"/>
  <c r="AA2681" i="9"/>
  <c r="V2681" i="9"/>
  <c r="U2681" i="9"/>
  <c r="R2681" i="9"/>
  <c r="Q2681" i="9"/>
  <c r="K2681" i="9"/>
  <c r="L2681" i="9" s="1"/>
  <c r="AN2680" i="9"/>
  <c r="AM2680" i="9"/>
  <c r="AF2680" i="9"/>
  <c r="AB2680" i="9"/>
  <c r="V2680" i="9"/>
  <c r="R2680" i="9"/>
  <c r="K2680" i="9"/>
  <c r="L2680" i="9" s="1"/>
  <c r="I2680" i="9"/>
  <c r="AN2679" i="9"/>
  <c r="AM2679" i="9"/>
  <c r="AF2679" i="9"/>
  <c r="AB2679" i="9"/>
  <c r="V2679" i="9"/>
  <c r="R2679" i="9"/>
  <c r="I2679" i="9"/>
  <c r="K2679" i="9" s="1"/>
  <c r="L2679" i="9" s="1"/>
  <c r="AO2678" i="9"/>
  <c r="AF2678" i="9"/>
  <c r="AE2678" i="9"/>
  <c r="AB2678" i="9"/>
  <c r="AA2678" i="9"/>
  <c r="V2678" i="9"/>
  <c r="U2678" i="9"/>
  <c r="R2678" i="9"/>
  <c r="Q2678" i="9"/>
  <c r="K2678" i="9"/>
  <c r="L2678" i="9" s="1"/>
  <c r="AF2677" i="9"/>
  <c r="AE2677" i="9"/>
  <c r="AB2677" i="9"/>
  <c r="AA2677" i="9"/>
  <c r="V2677" i="9"/>
  <c r="U2677" i="9"/>
  <c r="R2677" i="9"/>
  <c r="Q2677" i="9"/>
  <c r="K2677" i="9"/>
  <c r="L2677" i="9" s="1"/>
  <c r="AF2676" i="9"/>
  <c r="AE2676" i="9"/>
  <c r="AB2676" i="9"/>
  <c r="AA2676" i="9"/>
  <c r="V2676" i="9"/>
  <c r="U2676" i="9"/>
  <c r="R2676" i="9"/>
  <c r="Q2676" i="9"/>
  <c r="K2676" i="9"/>
  <c r="L2676" i="9" s="1"/>
  <c r="AF2675" i="9"/>
  <c r="AE2675" i="9"/>
  <c r="AB2675" i="9"/>
  <c r="AA2675" i="9"/>
  <c r="V2675" i="9"/>
  <c r="U2675" i="9"/>
  <c r="R2675" i="9"/>
  <c r="Q2675" i="9"/>
  <c r="K2675" i="9"/>
  <c r="L2675" i="9" s="1"/>
  <c r="I2675" i="9"/>
  <c r="AF2674" i="9"/>
  <c r="AE2674" i="9"/>
  <c r="AB2674" i="9"/>
  <c r="AA2674" i="9"/>
  <c r="V2674" i="9"/>
  <c r="U2674" i="9"/>
  <c r="R2674" i="9"/>
  <c r="AK2674" i="9" s="1"/>
  <c r="AL2674" i="9" s="1"/>
  <c r="Q2674" i="9"/>
  <c r="I2674" i="9"/>
  <c r="K2674" i="9" s="1"/>
  <c r="L2674" i="9" s="1"/>
  <c r="AF2673" i="9"/>
  <c r="AE2673" i="9"/>
  <c r="AB2673" i="9"/>
  <c r="AK2673" i="9" s="1"/>
  <c r="AL2673" i="9" s="1"/>
  <c r="AA2673" i="9"/>
  <c r="V2673" i="9"/>
  <c r="U2673" i="9"/>
  <c r="R2673" i="9"/>
  <c r="Q2673" i="9"/>
  <c r="AM2673" i="9" s="1"/>
  <c r="AN2673" i="9" s="1"/>
  <c r="L2673" i="9"/>
  <c r="K2673" i="9"/>
  <c r="I2673" i="9"/>
  <c r="AF2672" i="9"/>
  <c r="AE2672" i="9"/>
  <c r="AB2672" i="9"/>
  <c r="AA2672" i="9"/>
  <c r="V2672" i="9"/>
  <c r="U2672" i="9"/>
  <c r="R2672" i="9"/>
  <c r="Q2672" i="9"/>
  <c r="I2672" i="9"/>
  <c r="K2672" i="9" s="1"/>
  <c r="L2672" i="9" s="1"/>
  <c r="AF2671" i="9"/>
  <c r="AE2671" i="9"/>
  <c r="AB2671" i="9"/>
  <c r="AA2671" i="9"/>
  <c r="V2671" i="9"/>
  <c r="U2671" i="9"/>
  <c r="R2671" i="9"/>
  <c r="Q2671" i="9"/>
  <c r="K2671" i="9"/>
  <c r="L2671" i="9" s="1"/>
  <c r="I2671" i="9"/>
  <c r="AF2670" i="9"/>
  <c r="AE2670" i="9"/>
  <c r="AB2670" i="9"/>
  <c r="AA2670" i="9"/>
  <c r="V2670" i="9"/>
  <c r="U2670" i="9"/>
  <c r="R2670" i="9"/>
  <c r="Q2670" i="9"/>
  <c r="L2670" i="9"/>
  <c r="I2670" i="9"/>
  <c r="K2670" i="9" s="1"/>
  <c r="AF2669" i="9"/>
  <c r="AE2669" i="9"/>
  <c r="AB2669" i="9"/>
  <c r="AA2669" i="9"/>
  <c r="V2669" i="9"/>
  <c r="U2669" i="9"/>
  <c r="R2669" i="9"/>
  <c r="Q2669" i="9"/>
  <c r="I2669" i="9"/>
  <c r="K2669" i="9" s="1"/>
  <c r="L2669" i="9" s="1"/>
  <c r="AF2668" i="9"/>
  <c r="AE2668" i="9"/>
  <c r="AB2668" i="9"/>
  <c r="AA2668" i="9"/>
  <c r="V2668" i="9"/>
  <c r="U2668" i="9"/>
  <c r="R2668" i="9"/>
  <c r="Q2668" i="9"/>
  <c r="I2668" i="9"/>
  <c r="K2668" i="9" s="1"/>
  <c r="L2668" i="9" s="1"/>
  <c r="AF2667" i="9"/>
  <c r="AE2667" i="9"/>
  <c r="AB2667" i="9"/>
  <c r="AA2667" i="9"/>
  <c r="V2667" i="9"/>
  <c r="AK2667" i="9" s="1"/>
  <c r="AL2667" i="9" s="1"/>
  <c r="U2667" i="9"/>
  <c r="R2667" i="9"/>
  <c r="Q2667" i="9"/>
  <c r="I2667" i="9"/>
  <c r="K2667" i="9" s="1"/>
  <c r="L2667" i="9" s="1"/>
  <c r="AF2666" i="9"/>
  <c r="AE2666" i="9"/>
  <c r="AB2666" i="9"/>
  <c r="AA2666" i="9"/>
  <c r="V2666" i="9"/>
  <c r="U2666" i="9"/>
  <c r="R2666" i="9"/>
  <c r="Q2666" i="9"/>
  <c r="I2666" i="9"/>
  <c r="K2666" i="9" s="1"/>
  <c r="L2666" i="9" s="1"/>
  <c r="AM2665" i="9"/>
  <c r="AN2665" i="9" s="1"/>
  <c r="AF2665" i="9"/>
  <c r="AE2665" i="9"/>
  <c r="AB2665" i="9"/>
  <c r="AA2665" i="9"/>
  <c r="V2665" i="9"/>
  <c r="U2665" i="9"/>
  <c r="R2665" i="9"/>
  <c r="AK2665" i="9" s="1"/>
  <c r="AL2665" i="9" s="1"/>
  <c r="Q2665" i="9"/>
  <c r="I2665" i="9"/>
  <c r="K2665" i="9" s="1"/>
  <c r="L2665" i="9" s="1"/>
  <c r="AF2664" i="9"/>
  <c r="AE2664" i="9"/>
  <c r="AB2664" i="9"/>
  <c r="AA2664" i="9"/>
  <c r="V2664" i="9"/>
  <c r="U2664" i="9"/>
  <c r="R2664" i="9"/>
  <c r="Q2664" i="9"/>
  <c r="K2664" i="9"/>
  <c r="L2664" i="9" s="1"/>
  <c r="I2664" i="9"/>
  <c r="AF2663" i="9"/>
  <c r="AE2663" i="9"/>
  <c r="AB2663" i="9"/>
  <c r="AA2663" i="9"/>
  <c r="V2663" i="9"/>
  <c r="U2663" i="9"/>
  <c r="R2663" i="9"/>
  <c r="Q2663" i="9"/>
  <c r="I2663" i="9"/>
  <c r="K2663" i="9" s="1"/>
  <c r="L2663" i="9" s="1"/>
  <c r="AF2662" i="9"/>
  <c r="AE2662" i="9"/>
  <c r="AB2662" i="9"/>
  <c r="AA2662" i="9"/>
  <c r="V2662" i="9"/>
  <c r="U2662" i="9"/>
  <c r="R2662" i="9"/>
  <c r="Q2662" i="9"/>
  <c r="L2662" i="9"/>
  <c r="K2662" i="9"/>
  <c r="I2662" i="9"/>
  <c r="AF2661" i="9"/>
  <c r="AE2661" i="9"/>
  <c r="AB2661" i="9"/>
  <c r="AA2661" i="9"/>
  <c r="V2661" i="9"/>
  <c r="AK2661" i="9" s="1"/>
  <c r="AL2661" i="9" s="1"/>
  <c r="U2661" i="9"/>
  <c r="R2661" i="9"/>
  <c r="Q2661" i="9"/>
  <c r="I2661" i="9"/>
  <c r="K2661" i="9" s="1"/>
  <c r="L2661" i="9" s="1"/>
  <c r="AF2660" i="9"/>
  <c r="AE2660" i="9"/>
  <c r="AB2660" i="9"/>
  <c r="AA2660" i="9"/>
  <c r="V2660" i="9"/>
  <c r="U2660" i="9"/>
  <c r="R2660" i="9"/>
  <c r="Q2660" i="9"/>
  <c r="AM2660" i="9" s="1"/>
  <c r="AN2660" i="9" s="1"/>
  <c r="I2660" i="9"/>
  <c r="K2660" i="9" s="1"/>
  <c r="L2660" i="9" s="1"/>
  <c r="AF2659" i="9"/>
  <c r="AE2659" i="9"/>
  <c r="AB2659" i="9"/>
  <c r="AA2659" i="9"/>
  <c r="AM2659" i="9" s="1"/>
  <c r="AN2659" i="9" s="1"/>
  <c r="V2659" i="9"/>
  <c r="U2659" i="9"/>
  <c r="R2659" i="9"/>
  <c r="Q2659" i="9"/>
  <c r="I2659" i="9"/>
  <c r="K2659" i="9" s="1"/>
  <c r="L2659" i="9" s="1"/>
  <c r="AF2658" i="9"/>
  <c r="AE2658" i="9"/>
  <c r="AB2658" i="9"/>
  <c r="AA2658" i="9"/>
  <c r="V2658" i="9"/>
  <c r="U2658" i="9"/>
  <c r="R2658" i="9"/>
  <c r="Q2658" i="9"/>
  <c r="I2658" i="9"/>
  <c r="K2658" i="9" s="1"/>
  <c r="L2658" i="9" s="1"/>
  <c r="AF2657" i="9"/>
  <c r="AE2657" i="9"/>
  <c r="AB2657" i="9"/>
  <c r="AA2657" i="9"/>
  <c r="V2657" i="9"/>
  <c r="AK2657" i="9" s="1"/>
  <c r="AL2657" i="9" s="1"/>
  <c r="U2657" i="9"/>
  <c r="R2657" i="9"/>
  <c r="Q2657" i="9"/>
  <c r="I2657" i="9"/>
  <c r="K2657" i="9" s="1"/>
  <c r="L2657" i="9" s="1"/>
  <c r="AF2656" i="9"/>
  <c r="AE2656" i="9"/>
  <c r="AB2656" i="9"/>
  <c r="AA2656" i="9"/>
  <c r="V2656" i="9"/>
  <c r="U2656" i="9"/>
  <c r="R2656" i="9"/>
  <c r="Q2656" i="9"/>
  <c r="K2656" i="9"/>
  <c r="L2656" i="9" s="1"/>
  <c r="I2656" i="9"/>
  <c r="AF2655" i="9"/>
  <c r="AE2655" i="9"/>
  <c r="AB2655" i="9"/>
  <c r="AA2655" i="9"/>
  <c r="V2655" i="9"/>
  <c r="U2655" i="9"/>
  <c r="R2655" i="9"/>
  <c r="AK2655" i="9" s="1"/>
  <c r="AL2655" i="9" s="1"/>
  <c r="Q2655" i="9"/>
  <c r="AM2655" i="9" s="1"/>
  <c r="AN2655" i="9" s="1"/>
  <c r="I2655" i="9"/>
  <c r="K2655" i="9" s="1"/>
  <c r="L2655" i="9" s="1"/>
  <c r="AO2654" i="9"/>
  <c r="AF2654" i="9"/>
  <c r="AE2654" i="9"/>
  <c r="AB2654" i="9"/>
  <c r="AA2654" i="9"/>
  <c r="V2654" i="9"/>
  <c r="U2654" i="9"/>
  <c r="R2654" i="9"/>
  <c r="Q2654" i="9"/>
  <c r="K2654" i="9"/>
  <c r="L2654" i="9" s="1"/>
  <c r="AF2653" i="9"/>
  <c r="AE2653" i="9"/>
  <c r="AB2653" i="9"/>
  <c r="AA2653" i="9"/>
  <c r="V2653" i="9"/>
  <c r="U2653" i="9"/>
  <c r="R2653" i="9"/>
  <c r="Q2653" i="9"/>
  <c r="L2653" i="9"/>
  <c r="K2653" i="9"/>
  <c r="AN2652" i="9"/>
  <c r="AM2652" i="9"/>
  <c r="AF2652" i="9"/>
  <c r="AB2652" i="9"/>
  <c r="V2652" i="9"/>
  <c r="R2652" i="9"/>
  <c r="K2652" i="9"/>
  <c r="L2652" i="9" s="1"/>
  <c r="I2652" i="9"/>
  <c r="AM2651" i="9"/>
  <c r="AN2651" i="9" s="1"/>
  <c r="AF2651" i="9"/>
  <c r="AB2651" i="9"/>
  <c r="V2651" i="9"/>
  <c r="R2651" i="9"/>
  <c r="AK2651" i="9" s="1"/>
  <c r="AL2651" i="9" s="1"/>
  <c r="K2651" i="9"/>
  <c r="L2651" i="9" s="1"/>
  <c r="I2651" i="9"/>
  <c r="AM2650" i="9"/>
  <c r="AN2650" i="9" s="1"/>
  <c r="AF2650" i="9"/>
  <c r="AB2650" i="9"/>
  <c r="V2650" i="9"/>
  <c r="R2650" i="9"/>
  <c r="I2650" i="9"/>
  <c r="K2650" i="9" s="1"/>
  <c r="L2650" i="9" s="1"/>
  <c r="AM2649" i="9"/>
  <c r="AN2649" i="9" s="1"/>
  <c r="AF2649" i="9"/>
  <c r="AB2649" i="9"/>
  <c r="V2649" i="9"/>
  <c r="R2649" i="9"/>
  <c r="I2649" i="9"/>
  <c r="K2649" i="9" s="1"/>
  <c r="L2649" i="9" s="1"/>
  <c r="AM2648" i="9"/>
  <c r="AN2648" i="9" s="1"/>
  <c r="AF2648" i="9"/>
  <c r="AB2648" i="9"/>
  <c r="V2648" i="9"/>
  <c r="R2648" i="9"/>
  <c r="I2648" i="9"/>
  <c r="K2648" i="9" s="1"/>
  <c r="L2648" i="9" s="1"/>
  <c r="AM2647" i="9"/>
  <c r="AN2647" i="9" s="1"/>
  <c r="AF2647" i="9"/>
  <c r="AB2647" i="9"/>
  <c r="V2647" i="9"/>
  <c r="R2647" i="9"/>
  <c r="I2647" i="9"/>
  <c r="K2647" i="9" s="1"/>
  <c r="L2647" i="9" s="1"/>
  <c r="AN2646" i="9"/>
  <c r="AM2646" i="9"/>
  <c r="AF2646" i="9"/>
  <c r="AB2646" i="9"/>
  <c r="AK2646" i="9" s="1"/>
  <c r="AL2646" i="9" s="1"/>
  <c r="V2646" i="9"/>
  <c r="R2646" i="9"/>
  <c r="K2646" i="9"/>
  <c r="L2646" i="9" s="1"/>
  <c r="I2646" i="9"/>
  <c r="AN2645" i="9"/>
  <c r="AM2645" i="9"/>
  <c r="AF2645" i="9"/>
  <c r="AB2645" i="9"/>
  <c r="V2645" i="9"/>
  <c r="R2645" i="9"/>
  <c r="I2645" i="9"/>
  <c r="K2645" i="9" s="1"/>
  <c r="L2645" i="9" s="1"/>
  <c r="AM2644" i="9"/>
  <c r="AN2644" i="9" s="1"/>
  <c r="AF2644" i="9"/>
  <c r="AB2644" i="9"/>
  <c r="V2644" i="9"/>
  <c r="R2644" i="9"/>
  <c r="L2644" i="9"/>
  <c r="I2644" i="9"/>
  <c r="K2644" i="9" s="1"/>
  <c r="AN2643" i="9"/>
  <c r="AM2643" i="9"/>
  <c r="AF2643" i="9"/>
  <c r="AB2643" i="9"/>
  <c r="V2643" i="9"/>
  <c r="R2643" i="9"/>
  <c r="K2643" i="9"/>
  <c r="L2643" i="9" s="1"/>
  <c r="I2643" i="9"/>
  <c r="AM2642" i="9"/>
  <c r="AN2642" i="9" s="1"/>
  <c r="AF2642" i="9"/>
  <c r="AB2642" i="9"/>
  <c r="V2642" i="9"/>
  <c r="R2642" i="9"/>
  <c r="K2642" i="9"/>
  <c r="L2642" i="9" s="1"/>
  <c r="I2642" i="9"/>
  <c r="AM2641" i="9"/>
  <c r="AN2641" i="9" s="1"/>
  <c r="AF2641" i="9"/>
  <c r="AB2641" i="9"/>
  <c r="V2641" i="9"/>
  <c r="R2641" i="9"/>
  <c r="K2641" i="9"/>
  <c r="L2641" i="9" s="1"/>
  <c r="I2641" i="9"/>
  <c r="AN2640" i="9"/>
  <c r="AM2640" i="9"/>
  <c r="AF2640" i="9"/>
  <c r="AB2640" i="9"/>
  <c r="V2640" i="9"/>
  <c r="R2640" i="9"/>
  <c r="I2640" i="9"/>
  <c r="K2640" i="9" s="1"/>
  <c r="L2640" i="9" s="1"/>
  <c r="AN2639" i="9"/>
  <c r="AM2639" i="9"/>
  <c r="AF2639" i="9"/>
  <c r="AB2639" i="9"/>
  <c r="V2639" i="9"/>
  <c r="R2639" i="9"/>
  <c r="I2639" i="9"/>
  <c r="K2639" i="9" s="1"/>
  <c r="L2639" i="9" s="1"/>
  <c r="AM2638" i="9"/>
  <c r="AN2638" i="9" s="1"/>
  <c r="AF2638" i="9"/>
  <c r="AB2638" i="9"/>
  <c r="V2638" i="9"/>
  <c r="R2638" i="9"/>
  <c r="AK2638" i="9" s="1"/>
  <c r="AL2638" i="9" s="1"/>
  <c r="I2638" i="9"/>
  <c r="K2638" i="9" s="1"/>
  <c r="L2638" i="9" s="1"/>
  <c r="AM2637" i="9"/>
  <c r="AN2637" i="9" s="1"/>
  <c r="AF2637" i="9"/>
  <c r="AB2637" i="9"/>
  <c r="V2637" i="9"/>
  <c r="AK2637" i="9" s="1"/>
  <c r="AL2637" i="9" s="1"/>
  <c r="R2637" i="9"/>
  <c r="K2637" i="9"/>
  <c r="L2637" i="9" s="1"/>
  <c r="I2637" i="9"/>
  <c r="AN2636" i="9"/>
  <c r="AM2636" i="9"/>
  <c r="AF2636" i="9"/>
  <c r="AB2636" i="9"/>
  <c r="V2636" i="9"/>
  <c r="R2636" i="9"/>
  <c r="I2636" i="9"/>
  <c r="K2636" i="9" s="1"/>
  <c r="L2636" i="9" s="1"/>
  <c r="AM2635" i="9"/>
  <c r="AN2635" i="9" s="1"/>
  <c r="AF2635" i="9"/>
  <c r="AB2635" i="9"/>
  <c r="V2635" i="9"/>
  <c r="R2635" i="9"/>
  <c r="L2635" i="9"/>
  <c r="I2635" i="9"/>
  <c r="K2635" i="9" s="1"/>
  <c r="AM2634" i="9"/>
  <c r="AN2634" i="9" s="1"/>
  <c r="AF2634" i="9"/>
  <c r="AB2634" i="9"/>
  <c r="V2634" i="9"/>
  <c r="R2634" i="9"/>
  <c r="K2634" i="9"/>
  <c r="L2634" i="9" s="1"/>
  <c r="I2634" i="9"/>
  <c r="AN2633" i="9"/>
  <c r="AM2633" i="9"/>
  <c r="AF2633" i="9"/>
  <c r="AB2633" i="9"/>
  <c r="V2633" i="9"/>
  <c r="R2633" i="9"/>
  <c r="I2633" i="9"/>
  <c r="K2633" i="9" s="1"/>
  <c r="L2633" i="9" s="1"/>
  <c r="AM2632" i="9"/>
  <c r="AN2632" i="9" s="1"/>
  <c r="AF2632" i="9"/>
  <c r="AB2632" i="9"/>
  <c r="V2632" i="9"/>
  <c r="R2632" i="9"/>
  <c r="I2632" i="9"/>
  <c r="K2632" i="9" s="1"/>
  <c r="L2632" i="9" s="1"/>
  <c r="AN2631" i="9"/>
  <c r="AM2631" i="9"/>
  <c r="AF2631" i="9"/>
  <c r="AB2631" i="9"/>
  <c r="V2631" i="9"/>
  <c r="R2631" i="9"/>
  <c r="I2631" i="9"/>
  <c r="K2631" i="9" s="1"/>
  <c r="L2631" i="9" s="1"/>
  <c r="AM2630" i="9"/>
  <c r="AN2630" i="9" s="1"/>
  <c r="AF2630" i="9"/>
  <c r="AB2630" i="9"/>
  <c r="AK2630" i="9" s="1"/>
  <c r="AL2630" i="9" s="1"/>
  <c r="V2630" i="9"/>
  <c r="R2630" i="9"/>
  <c r="I2630" i="9"/>
  <c r="K2630" i="9" s="1"/>
  <c r="L2630" i="9" s="1"/>
  <c r="AN2629" i="9"/>
  <c r="AM2629" i="9"/>
  <c r="AF2629" i="9"/>
  <c r="AB2629" i="9"/>
  <c r="V2629" i="9"/>
  <c r="R2629" i="9"/>
  <c r="K2629" i="9"/>
  <c r="L2629" i="9" s="1"/>
  <c r="I2629" i="9"/>
  <c r="AM2628" i="9"/>
  <c r="AN2628" i="9" s="1"/>
  <c r="AF2628" i="9"/>
  <c r="AB2628" i="9"/>
  <c r="V2628" i="9"/>
  <c r="R2628" i="9"/>
  <c r="I2628" i="9"/>
  <c r="K2628" i="9" s="1"/>
  <c r="L2628" i="9" s="1"/>
  <c r="AN2627" i="9"/>
  <c r="AM2627" i="9"/>
  <c r="AF2627" i="9"/>
  <c r="AB2627" i="9"/>
  <c r="AK2627" i="9" s="1"/>
  <c r="AL2627" i="9" s="1"/>
  <c r="V2627" i="9"/>
  <c r="R2627" i="9"/>
  <c r="K2627" i="9"/>
  <c r="L2627" i="9" s="1"/>
  <c r="I2627" i="9"/>
  <c r="AN2626" i="9"/>
  <c r="AM2626" i="9"/>
  <c r="AF2626" i="9"/>
  <c r="AB2626" i="9"/>
  <c r="AK2626" i="9" s="1"/>
  <c r="AL2626" i="9" s="1"/>
  <c r="V2626" i="9"/>
  <c r="R2626" i="9"/>
  <c r="I2626" i="9"/>
  <c r="K2626" i="9" s="1"/>
  <c r="L2626" i="9" s="1"/>
  <c r="AM2625" i="9"/>
  <c r="AN2625" i="9" s="1"/>
  <c r="AF2625" i="9"/>
  <c r="AB2625" i="9"/>
  <c r="V2625" i="9"/>
  <c r="R2625" i="9"/>
  <c r="I2625" i="9"/>
  <c r="K2625" i="9" s="1"/>
  <c r="L2625" i="9" s="1"/>
  <c r="AM2624" i="9"/>
  <c r="AN2624" i="9" s="1"/>
  <c r="AF2624" i="9"/>
  <c r="AB2624" i="9"/>
  <c r="V2624" i="9"/>
  <c r="R2624" i="9"/>
  <c r="K2624" i="9"/>
  <c r="L2624" i="9" s="1"/>
  <c r="I2624" i="9"/>
  <c r="AN2623" i="9"/>
  <c r="AM2623" i="9"/>
  <c r="AF2623" i="9"/>
  <c r="AB2623" i="9"/>
  <c r="V2623" i="9"/>
  <c r="R2623" i="9"/>
  <c r="I2623" i="9"/>
  <c r="K2623" i="9" s="1"/>
  <c r="L2623" i="9" s="1"/>
  <c r="AN2622" i="9"/>
  <c r="AM2622" i="9"/>
  <c r="AF2622" i="9"/>
  <c r="AB2622" i="9"/>
  <c r="V2622" i="9"/>
  <c r="R2622" i="9"/>
  <c r="K2622" i="9"/>
  <c r="L2622" i="9" s="1"/>
  <c r="I2622" i="9"/>
  <c r="AM2621" i="9"/>
  <c r="AN2621" i="9" s="1"/>
  <c r="AF2621" i="9"/>
  <c r="AB2621" i="9"/>
  <c r="V2621" i="9"/>
  <c r="R2621" i="9"/>
  <c r="AK2621" i="9" s="1"/>
  <c r="AL2621" i="9" s="1"/>
  <c r="I2621" i="9"/>
  <c r="K2621" i="9" s="1"/>
  <c r="L2621" i="9" s="1"/>
  <c r="AM2620" i="9"/>
  <c r="AN2620" i="9" s="1"/>
  <c r="AF2620" i="9"/>
  <c r="AB2620" i="9"/>
  <c r="V2620" i="9"/>
  <c r="R2620" i="9"/>
  <c r="AK2620" i="9" s="1"/>
  <c r="AL2620" i="9" s="1"/>
  <c r="I2620" i="9"/>
  <c r="K2620" i="9" s="1"/>
  <c r="L2620" i="9" s="1"/>
  <c r="AN2619" i="9"/>
  <c r="AM2619" i="9"/>
  <c r="AF2619" i="9"/>
  <c r="AB2619" i="9"/>
  <c r="V2619" i="9"/>
  <c r="R2619" i="9"/>
  <c r="L2619" i="9"/>
  <c r="I2619" i="9"/>
  <c r="K2619" i="9" s="1"/>
  <c r="AN2618" i="9"/>
  <c r="AM2618" i="9"/>
  <c r="AF2618" i="9"/>
  <c r="AB2618" i="9"/>
  <c r="V2618" i="9"/>
  <c r="R2618" i="9"/>
  <c r="K2618" i="9"/>
  <c r="L2618" i="9" s="1"/>
  <c r="I2618" i="9"/>
  <c r="AM2617" i="9"/>
  <c r="AN2617" i="9" s="1"/>
  <c r="AF2617" i="9"/>
  <c r="AB2617" i="9"/>
  <c r="V2617" i="9"/>
  <c r="R2617" i="9"/>
  <c r="I2617" i="9"/>
  <c r="K2617" i="9" s="1"/>
  <c r="L2617" i="9" s="1"/>
  <c r="AN2616" i="9"/>
  <c r="AM2616" i="9"/>
  <c r="AK2616" i="9"/>
  <c r="AL2616" i="9" s="1"/>
  <c r="AF2616" i="9"/>
  <c r="AB2616" i="9"/>
  <c r="V2616" i="9"/>
  <c r="R2616" i="9"/>
  <c r="K2616" i="9"/>
  <c r="L2616" i="9" s="1"/>
  <c r="I2616" i="9"/>
  <c r="AM2615" i="9"/>
  <c r="AN2615" i="9" s="1"/>
  <c r="AF2615" i="9"/>
  <c r="AB2615" i="9"/>
  <c r="V2615" i="9"/>
  <c r="R2615" i="9"/>
  <c r="L2615" i="9"/>
  <c r="I2615" i="9"/>
  <c r="K2615" i="9" s="1"/>
  <c r="AM2614" i="9"/>
  <c r="AN2614" i="9" s="1"/>
  <c r="AF2614" i="9"/>
  <c r="AB2614" i="9"/>
  <c r="V2614" i="9"/>
  <c r="R2614" i="9"/>
  <c r="I2614" i="9"/>
  <c r="K2614" i="9" s="1"/>
  <c r="L2614" i="9" s="1"/>
  <c r="AM2613" i="9"/>
  <c r="AN2613" i="9" s="1"/>
  <c r="AF2613" i="9"/>
  <c r="AB2613" i="9"/>
  <c r="V2613" i="9"/>
  <c r="R2613" i="9"/>
  <c r="I2613" i="9"/>
  <c r="K2613" i="9" s="1"/>
  <c r="L2613" i="9" s="1"/>
  <c r="AN2612" i="9"/>
  <c r="AM2612" i="9"/>
  <c r="AF2612" i="9"/>
  <c r="AB2612" i="9"/>
  <c r="AK2612" i="9" s="1"/>
  <c r="AL2612" i="9" s="1"/>
  <c r="V2612" i="9"/>
  <c r="R2612" i="9"/>
  <c r="I2612" i="9"/>
  <c r="K2612" i="9" s="1"/>
  <c r="L2612" i="9" s="1"/>
  <c r="AM2611" i="9"/>
  <c r="AN2611" i="9" s="1"/>
  <c r="AF2611" i="9"/>
  <c r="AB2611" i="9"/>
  <c r="V2611" i="9"/>
  <c r="R2611" i="9"/>
  <c r="AK2611" i="9" s="1"/>
  <c r="AL2611" i="9" s="1"/>
  <c r="I2611" i="9"/>
  <c r="K2611" i="9" s="1"/>
  <c r="L2611" i="9" s="1"/>
  <c r="AM2610" i="9"/>
  <c r="AN2610" i="9" s="1"/>
  <c r="AF2610" i="9"/>
  <c r="AB2610" i="9"/>
  <c r="V2610" i="9"/>
  <c r="R2610" i="9"/>
  <c r="I2610" i="9"/>
  <c r="K2610" i="9" s="1"/>
  <c r="L2610" i="9" s="1"/>
  <c r="AM2609" i="9"/>
  <c r="AN2609" i="9" s="1"/>
  <c r="AF2609" i="9"/>
  <c r="AB2609" i="9"/>
  <c r="V2609" i="9"/>
  <c r="R2609" i="9"/>
  <c r="K2609" i="9"/>
  <c r="L2609" i="9" s="1"/>
  <c r="I2609" i="9"/>
  <c r="AM2608" i="9"/>
  <c r="AN2608" i="9" s="1"/>
  <c r="AF2608" i="9"/>
  <c r="AB2608" i="9"/>
  <c r="V2608" i="9"/>
  <c r="R2608" i="9"/>
  <c r="I2608" i="9"/>
  <c r="K2608" i="9" s="1"/>
  <c r="L2608" i="9" s="1"/>
  <c r="AN2607" i="9"/>
  <c r="AM2607" i="9"/>
  <c r="AF2607" i="9"/>
  <c r="AB2607" i="9"/>
  <c r="V2607" i="9"/>
  <c r="R2607" i="9"/>
  <c r="I2607" i="9"/>
  <c r="K2607" i="9" s="1"/>
  <c r="L2607" i="9" s="1"/>
  <c r="AK2606" i="9"/>
  <c r="AL2606" i="9" s="1"/>
  <c r="AF2606" i="9"/>
  <c r="AE2606" i="9"/>
  <c r="AB2606" i="9"/>
  <c r="AA2606" i="9"/>
  <c r="V2606" i="9"/>
  <c r="U2606" i="9"/>
  <c r="R2606" i="9"/>
  <c r="Q2606" i="9"/>
  <c r="L2606" i="9"/>
  <c r="K2606" i="9"/>
  <c r="I2606" i="9"/>
  <c r="AF2605" i="9"/>
  <c r="AE2605" i="9"/>
  <c r="AB2605" i="9"/>
  <c r="AA2605" i="9"/>
  <c r="V2605" i="9"/>
  <c r="U2605" i="9"/>
  <c r="R2605" i="9"/>
  <c r="Q2605" i="9"/>
  <c r="L2605" i="9"/>
  <c r="I2605" i="9"/>
  <c r="K2605" i="9" s="1"/>
  <c r="AF2604" i="9"/>
  <c r="AE2604" i="9"/>
  <c r="AB2604" i="9"/>
  <c r="AA2604" i="9"/>
  <c r="V2604" i="9"/>
  <c r="U2604" i="9"/>
  <c r="R2604" i="9"/>
  <c r="AK2604" i="9" s="1"/>
  <c r="AL2604" i="9" s="1"/>
  <c r="Q2604" i="9"/>
  <c r="I2604" i="9"/>
  <c r="K2604" i="9" s="1"/>
  <c r="L2604" i="9" s="1"/>
  <c r="AF2603" i="9"/>
  <c r="AE2603" i="9"/>
  <c r="AB2603" i="9"/>
  <c r="AA2603" i="9"/>
  <c r="V2603" i="9"/>
  <c r="U2603" i="9"/>
  <c r="R2603" i="9"/>
  <c r="Q2603" i="9"/>
  <c r="K2603" i="9"/>
  <c r="L2603" i="9" s="1"/>
  <c r="I2603" i="9"/>
  <c r="AF2602" i="9"/>
  <c r="AE2602" i="9"/>
  <c r="AB2602" i="9"/>
  <c r="AA2602" i="9"/>
  <c r="V2602" i="9"/>
  <c r="U2602" i="9"/>
  <c r="R2602" i="9"/>
  <c r="Q2602" i="9"/>
  <c r="I2602" i="9"/>
  <c r="K2602" i="9" s="1"/>
  <c r="L2602" i="9" s="1"/>
  <c r="AF2601" i="9"/>
  <c r="AE2601" i="9"/>
  <c r="AB2601" i="9"/>
  <c r="AA2601" i="9"/>
  <c r="V2601" i="9"/>
  <c r="U2601" i="9"/>
  <c r="R2601" i="9"/>
  <c r="Q2601" i="9"/>
  <c r="I2601" i="9"/>
  <c r="K2601" i="9" s="1"/>
  <c r="L2601" i="9" s="1"/>
  <c r="AF2600" i="9"/>
  <c r="AE2600" i="9"/>
  <c r="AM2600" i="9" s="1"/>
  <c r="AN2600" i="9" s="1"/>
  <c r="AB2600" i="9"/>
  <c r="AA2600" i="9"/>
  <c r="V2600" i="9"/>
  <c r="U2600" i="9"/>
  <c r="R2600" i="9"/>
  <c r="AK2600" i="9" s="1"/>
  <c r="AL2600" i="9" s="1"/>
  <c r="Q2600" i="9"/>
  <c r="K2600" i="9"/>
  <c r="L2600" i="9" s="1"/>
  <c r="I2600" i="9"/>
  <c r="AF2599" i="9"/>
  <c r="AE2599" i="9"/>
  <c r="AB2599" i="9"/>
  <c r="AA2599" i="9"/>
  <c r="AM2599" i="9" s="1"/>
  <c r="AN2599" i="9" s="1"/>
  <c r="V2599" i="9"/>
  <c r="U2599" i="9"/>
  <c r="R2599" i="9"/>
  <c r="Q2599" i="9"/>
  <c r="I2599" i="9"/>
  <c r="K2599" i="9" s="1"/>
  <c r="L2599" i="9" s="1"/>
  <c r="AF2598" i="9"/>
  <c r="AE2598" i="9"/>
  <c r="AB2598" i="9"/>
  <c r="AA2598" i="9"/>
  <c r="V2598" i="9"/>
  <c r="U2598" i="9"/>
  <c r="R2598" i="9"/>
  <c r="Q2598" i="9"/>
  <c r="I2598" i="9"/>
  <c r="K2598" i="9" s="1"/>
  <c r="L2598" i="9" s="1"/>
  <c r="AF2597" i="9"/>
  <c r="AE2597" i="9"/>
  <c r="AB2597" i="9"/>
  <c r="AA2597" i="9"/>
  <c r="V2597" i="9"/>
  <c r="U2597" i="9"/>
  <c r="AM2597" i="9" s="1"/>
  <c r="AN2597" i="9" s="1"/>
  <c r="R2597" i="9"/>
  <c r="Q2597" i="9"/>
  <c r="I2597" i="9"/>
  <c r="K2597" i="9" s="1"/>
  <c r="L2597" i="9" s="1"/>
  <c r="AF2596" i="9"/>
  <c r="AE2596" i="9"/>
  <c r="AB2596" i="9"/>
  <c r="AA2596" i="9"/>
  <c r="V2596" i="9"/>
  <c r="U2596" i="9"/>
  <c r="R2596" i="9"/>
  <c r="Q2596" i="9"/>
  <c r="I2596" i="9"/>
  <c r="K2596" i="9" s="1"/>
  <c r="L2596" i="9" s="1"/>
  <c r="AN2595" i="9"/>
  <c r="AM2595" i="9"/>
  <c r="AF2595" i="9"/>
  <c r="AB2595" i="9"/>
  <c r="V2595" i="9"/>
  <c r="R2595" i="9"/>
  <c r="I2595" i="9"/>
  <c r="K2595" i="9" s="1"/>
  <c r="L2595" i="9" s="1"/>
  <c r="AF2594" i="9"/>
  <c r="AE2594" i="9"/>
  <c r="AB2594" i="9"/>
  <c r="AA2594" i="9"/>
  <c r="V2594" i="9"/>
  <c r="AK2594" i="9" s="1"/>
  <c r="AL2594" i="9" s="1"/>
  <c r="U2594" i="9"/>
  <c r="R2594" i="9"/>
  <c r="Q2594" i="9"/>
  <c r="I2594" i="9"/>
  <c r="K2594" i="9" s="1"/>
  <c r="L2594" i="9" s="1"/>
  <c r="AF2593" i="9"/>
  <c r="AE2593" i="9"/>
  <c r="AB2593" i="9"/>
  <c r="AA2593" i="9"/>
  <c r="V2593" i="9"/>
  <c r="U2593" i="9"/>
  <c r="R2593" i="9"/>
  <c r="Q2593" i="9"/>
  <c r="I2593" i="9"/>
  <c r="K2593" i="9" s="1"/>
  <c r="L2593" i="9" s="1"/>
  <c r="AF2592" i="9"/>
  <c r="AE2592" i="9"/>
  <c r="AB2592" i="9"/>
  <c r="AA2592" i="9"/>
  <c r="V2592" i="9"/>
  <c r="U2592" i="9"/>
  <c r="R2592" i="9"/>
  <c r="Q2592" i="9"/>
  <c r="I2592" i="9"/>
  <c r="K2592" i="9" s="1"/>
  <c r="L2592" i="9" s="1"/>
  <c r="AF2591" i="9"/>
  <c r="AE2591" i="9"/>
  <c r="AB2591" i="9"/>
  <c r="AA2591" i="9"/>
  <c r="AM2591" i="9" s="1"/>
  <c r="AN2591" i="9" s="1"/>
  <c r="V2591" i="9"/>
  <c r="U2591" i="9"/>
  <c r="R2591" i="9"/>
  <c r="Q2591" i="9"/>
  <c r="I2591" i="9"/>
  <c r="K2591" i="9" s="1"/>
  <c r="L2591" i="9" s="1"/>
  <c r="AK2590" i="9"/>
  <c r="AL2590" i="9" s="1"/>
  <c r="AF2590" i="9"/>
  <c r="AE2590" i="9"/>
  <c r="AB2590" i="9"/>
  <c r="AA2590" i="9"/>
  <c r="V2590" i="9"/>
  <c r="U2590" i="9"/>
  <c r="R2590" i="9"/>
  <c r="Q2590" i="9"/>
  <c r="L2590" i="9"/>
  <c r="I2590" i="9"/>
  <c r="K2590" i="9" s="1"/>
  <c r="AF2589" i="9"/>
  <c r="AE2589" i="9"/>
  <c r="AB2589" i="9"/>
  <c r="AA2589" i="9"/>
  <c r="V2589" i="9"/>
  <c r="U2589" i="9"/>
  <c r="R2589" i="9"/>
  <c r="Q2589" i="9"/>
  <c r="I2589" i="9"/>
  <c r="K2589" i="9" s="1"/>
  <c r="L2589" i="9" s="1"/>
  <c r="AF2588" i="9"/>
  <c r="AE2588" i="9"/>
  <c r="AB2588" i="9"/>
  <c r="AA2588" i="9"/>
  <c r="V2588" i="9"/>
  <c r="U2588" i="9"/>
  <c r="R2588" i="9"/>
  <c r="Q2588" i="9"/>
  <c r="K2588" i="9"/>
  <c r="L2588" i="9" s="1"/>
  <c r="I2588" i="9"/>
  <c r="AF2587" i="9"/>
  <c r="AE2587" i="9"/>
  <c r="AB2587" i="9"/>
  <c r="AA2587" i="9"/>
  <c r="AM2587" i="9" s="1"/>
  <c r="AN2587" i="9" s="1"/>
  <c r="V2587" i="9"/>
  <c r="U2587" i="9"/>
  <c r="R2587" i="9"/>
  <c r="Q2587" i="9"/>
  <c r="I2587" i="9"/>
  <c r="K2587" i="9" s="1"/>
  <c r="L2587" i="9" s="1"/>
  <c r="AM2586" i="9"/>
  <c r="AN2586" i="9" s="1"/>
  <c r="AF2586" i="9"/>
  <c r="AB2586" i="9"/>
  <c r="AK2586" i="9" s="1"/>
  <c r="AL2586" i="9" s="1"/>
  <c r="V2586" i="9"/>
  <c r="R2586" i="9"/>
  <c r="I2586" i="9"/>
  <c r="K2586" i="9" s="1"/>
  <c r="L2586" i="9" s="1"/>
  <c r="AF2585" i="9"/>
  <c r="AE2585" i="9"/>
  <c r="AB2585" i="9"/>
  <c r="AA2585" i="9"/>
  <c r="V2585" i="9"/>
  <c r="U2585" i="9"/>
  <c r="R2585" i="9"/>
  <c r="Q2585" i="9"/>
  <c r="K2585" i="9"/>
  <c r="L2585" i="9" s="1"/>
  <c r="I2585" i="9"/>
  <c r="AF2584" i="9"/>
  <c r="AE2584" i="9"/>
  <c r="AB2584" i="9"/>
  <c r="AA2584" i="9"/>
  <c r="V2584" i="9"/>
  <c r="U2584" i="9"/>
  <c r="R2584" i="9"/>
  <c r="AK2584" i="9" s="1"/>
  <c r="AL2584" i="9" s="1"/>
  <c r="Q2584" i="9"/>
  <c r="K2584" i="9"/>
  <c r="L2584" i="9" s="1"/>
  <c r="I2584" i="9"/>
  <c r="AM2583" i="9"/>
  <c r="AN2583" i="9" s="1"/>
  <c r="AF2583" i="9"/>
  <c r="AB2583" i="9"/>
  <c r="V2583" i="9"/>
  <c r="R2583" i="9"/>
  <c r="I2583" i="9"/>
  <c r="K2583" i="9" s="1"/>
  <c r="L2583" i="9" s="1"/>
  <c r="AM2582" i="9"/>
  <c r="AN2582" i="9" s="1"/>
  <c r="AF2582" i="9"/>
  <c r="AB2582" i="9"/>
  <c r="V2582" i="9"/>
  <c r="R2582" i="9"/>
  <c r="K2582" i="9"/>
  <c r="L2582" i="9" s="1"/>
  <c r="I2582" i="9"/>
  <c r="AN2581" i="9"/>
  <c r="AM2581" i="9"/>
  <c r="AF2581" i="9"/>
  <c r="AB2581" i="9"/>
  <c r="V2581" i="9"/>
  <c r="R2581" i="9"/>
  <c r="L2581" i="9"/>
  <c r="I2581" i="9"/>
  <c r="K2581" i="9" s="1"/>
  <c r="AM2580" i="9"/>
  <c r="AN2580" i="9" s="1"/>
  <c r="AF2580" i="9"/>
  <c r="AB2580" i="9"/>
  <c r="V2580" i="9"/>
  <c r="R2580" i="9"/>
  <c r="AK2580" i="9" s="1"/>
  <c r="AL2580" i="9" s="1"/>
  <c r="K2580" i="9"/>
  <c r="L2580" i="9" s="1"/>
  <c r="I2580" i="9"/>
  <c r="AM2579" i="9"/>
  <c r="AN2579" i="9" s="1"/>
  <c r="AF2579" i="9"/>
  <c r="AB2579" i="9"/>
  <c r="V2579" i="9"/>
  <c r="R2579" i="9"/>
  <c r="I2579" i="9"/>
  <c r="K2579" i="9" s="1"/>
  <c r="L2579" i="9" s="1"/>
  <c r="AF2578" i="9"/>
  <c r="AE2578" i="9"/>
  <c r="AB2578" i="9"/>
  <c r="AA2578" i="9"/>
  <c r="V2578" i="9"/>
  <c r="U2578" i="9"/>
  <c r="R2578" i="9"/>
  <c r="Q2578" i="9"/>
  <c r="I2578" i="9"/>
  <c r="K2578" i="9" s="1"/>
  <c r="L2578" i="9" s="1"/>
  <c r="AF2577" i="9"/>
  <c r="AE2577" i="9"/>
  <c r="AB2577" i="9"/>
  <c r="AA2577" i="9"/>
  <c r="V2577" i="9"/>
  <c r="U2577" i="9"/>
  <c r="R2577" i="9"/>
  <c r="Q2577" i="9"/>
  <c r="I2577" i="9"/>
  <c r="K2577" i="9" s="1"/>
  <c r="L2577" i="9" s="1"/>
  <c r="AF2576" i="9"/>
  <c r="AE2576" i="9"/>
  <c r="AB2576" i="9"/>
  <c r="AA2576" i="9"/>
  <c r="V2576" i="9"/>
  <c r="U2576" i="9"/>
  <c r="R2576" i="9"/>
  <c r="AK2576" i="9" s="1"/>
  <c r="AL2576" i="9" s="1"/>
  <c r="Q2576" i="9"/>
  <c r="I2576" i="9"/>
  <c r="K2576" i="9" s="1"/>
  <c r="L2576" i="9" s="1"/>
  <c r="AF2575" i="9"/>
  <c r="AE2575" i="9"/>
  <c r="AB2575" i="9"/>
  <c r="AA2575" i="9"/>
  <c r="V2575" i="9"/>
  <c r="U2575" i="9"/>
  <c r="R2575" i="9"/>
  <c r="Q2575" i="9"/>
  <c r="I2575" i="9"/>
  <c r="K2575" i="9" s="1"/>
  <c r="L2575" i="9" s="1"/>
  <c r="AF2574" i="9"/>
  <c r="AE2574" i="9"/>
  <c r="AB2574" i="9"/>
  <c r="AA2574" i="9"/>
  <c r="V2574" i="9"/>
  <c r="U2574" i="9"/>
  <c r="R2574" i="9"/>
  <c r="Q2574" i="9"/>
  <c r="I2574" i="9"/>
  <c r="K2574" i="9" s="1"/>
  <c r="L2574" i="9" s="1"/>
  <c r="AM2573" i="9"/>
  <c r="AN2573" i="9" s="1"/>
  <c r="AF2573" i="9"/>
  <c r="AB2573" i="9"/>
  <c r="V2573" i="9"/>
  <c r="R2573" i="9"/>
  <c r="K2573" i="9"/>
  <c r="L2573" i="9" s="1"/>
  <c r="I2573" i="9"/>
  <c r="AF2572" i="9"/>
  <c r="AE2572" i="9"/>
  <c r="AB2572" i="9"/>
  <c r="AA2572" i="9"/>
  <c r="V2572" i="9"/>
  <c r="U2572" i="9"/>
  <c r="AM2572" i="9" s="1"/>
  <c r="AN2572" i="9" s="1"/>
  <c r="R2572" i="9"/>
  <c r="AK2572" i="9" s="1"/>
  <c r="AL2572" i="9" s="1"/>
  <c r="Q2572" i="9"/>
  <c r="I2572" i="9"/>
  <c r="K2572" i="9" s="1"/>
  <c r="L2572" i="9" s="1"/>
  <c r="AF2571" i="9"/>
  <c r="AE2571" i="9"/>
  <c r="AB2571" i="9"/>
  <c r="AA2571" i="9"/>
  <c r="V2571" i="9"/>
  <c r="U2571" i="9"/>
  <c r="R2571" i="9"/>
  <c r="Q2571" i="9"/>
  <c r="L2571" i="9"/>
  <c r="I2571" i="9"/>
  <c r="K2571" i="9" s="1"/>
  <c r="AF2570" i="9"/>
  <c r="AE2570" i="9"/>
  <c r="AB2570" i="9"/>
  <c r="AA2570" i="9"/>
  <c r="V2570" i="9"/>
  <c r="AK2570" i="9" s="1"/>
  <c r="AL2570" i="9" s="1"/>
  <c r="U2570" i="9"/>
  <c r="R2570" i="9"/>
  <c r="Q2570" i="9"/>
  <c r="I2570" i="9"/>
  <c r="K2570" i="9" s="1"/>
  <c r="L2570" i="9" s="1"/>
  <c r="AF2569" i="9"/>
  <c r="AE2569" i="9"/>
  <c r="AB2569" i="9"/>
  <c r="AA2569" i="9"/>
  <c r="V2569" i="9"/>
  <c r="U2569" i="9"/>
  <c r="R2569" i="9"/>
  <c r="Q2569" i="9"/>
  <c r="L2569" i="9"/>
  <c r="I2569" i="9"/>
  <c r="K2569" i="9" s="1"/>
  <c r="AF2568" i="9"/>
  <c r="AE2568" i="9"/>
  <c r="AB2568" i="9"/>
  <c r="AA2568" i="9"/>
  <c r="V2568" i="9"/>
  <c r="U2568" i="9"/>
  <c r="R2568" i="9"/>
  <c r="Q2568" i="9"/>
  <c r="K2568" i="9"/>
  <c r="L2568" i="9" s="1"/>
  <c r="I2568" i="9"/>
  <c r="AN2567" i="9"/>
  <c r="AM2567" i="9"/>
  <c r="AF2567" i="9"/>
  <c r="AB2567" i="9"/>
  <c r="V2567" i="9"/>
  <c r="R2567" i="9"/>
  <c r="I2567" i="9"/>
  <c r="K2567" i="9" s="1"/>
  <c r="L2567" i="9" s="1"/>
  <c r="AF2566" i="9"/>
  <c r="AE2566" i="9"/>
  <c r="AB2566" i="9"/>
  <c r="AA2566" i="9"/>
  <c r="V2566" i="9"/>
  <c r="U2566" i="9"/>
  <c r="R2566" i="9"/>
  <c r="AK2566" i="9" s="1"/>
  <c r="AL2566" i="9" s="1"/>
  <c r="Q2566" i="9"/>
  <c r="K2566" i="9"/>
  <c r="L2566" i="9" s="1"/>
  <c r="I2566" i="9"/>
  <c r="AF2565" i="9"/>
  <c r="AE2565" i="9"/>
  <c r="AB2565" i="9"/>
  <c r="AA2565" i="9"/>
  <c r="V2565" i="9"/>
  <c r="U2565" i="9"/>
  <c r="R2565" i="9"/>
  <c r="AK2565" i="9" s="1"/>
  <c r="AL2565" i="9" s="1"/>
  <c r="Q2565" i="9"/>
  <c r="I2565" i="9"/>
  <c r="K2565" i="9" s="1"/>
  <c r="L2565" i="9" s="1"/>
  <c r="AF2564" i="9"/>
  <c r="AE2564" i="9"/>
  <c r="AB2564" i="9"/>
  <c r="AA2564" i="9"/>
  <c r="V2564" i="9"/>
  <c r="U2564" i="9"/>
  <c r="AM2564" i="9" s="1"/>
  <c r="AN2564" i="9" s="1"/>
  <c r="R2564" i="9"/>
  <c r="Q2564" i="9"/>
  <c r="I2564" i="9"/>
  <c r="K2564" i="9" s="1"/>
  <c r="L2564" i="9" s="1"/>
  <c r="AM2563" i="9"/>
  <c r="AN2563" i="9" s="1"/>
  <c r="AF2563" i="9"/>
  <c r="AE2563" i="9"/>
  <c r="AB2563" i="9"/>
  <c r="AA2563" i="9"/>
  <c r="V2563" i="9"/>
  <c r="U2563" i="9"/>
  <c r="R2563" i="9"/>
  <c r="Q2563" i="9"/>
  <c r="K2563" i="9"/>
  <c r="L2563" i="9" s="1"/>
  <c r="I2563" i="9"/>
  <c r="AF2562" i="9"/>
  <c r="AK2562" i="9" s="1"/>
  <c r="AL2562" i="9" s="1"/>
  <c r="AE2562" i="9"/>
  <c r="AB2562" i="9"/>
  <c r="AA2562" i="9"/>
  <c r="V2562" i="9"/>
  <c r="U2562" i="9"/>
  <c r="R2562" i="9"/>
  <c r="Q2562" i="9"/>
  <c r="I2562" i="9"/>
  <c r="K2562" i="9" s="1"/>
  <c r="L2562" i="9" s="1"/>
  <c r="AF2561" i="9"/>
  <c r="AE2561" i="9"/>
  <c r="AB2561" i="9"/>
  <c r="AA2561" i="9"/>
  <c r="V2561" i="9"/>
  <c r="U2561" i="9"/>
  <c r="R2561" i="9"/>
  <c r="Q2561" i="9"/>
  <c r="I2561" i="9"/>
  <c r="K2561" i="9" s="1"/>
  <c r="L2561" i="9" s="1"/>
  <c r="AM2560" i="9"/>
  <c r="AN2560" i="9" s="1"/>
  <c r="AF2560" i="9"/>
  <c r="AB2560" i="9"/>
  <c r="AK2560" i="9" s="1"/>
  <c r="AL2560" i="9" s="1"/>
  <c r="V2560" i="9"/>
  <c r="R2560" i="9"/>
  <c r="I2560" i="9"/>
  <c r="K2560" i="9" s="1"/>
  <c r="L2560" i="9" s="1"/>
  <c r="AM2559" i="9"/>
  <c r="AN2559" i="9" s="1"/>
  <c r="AF2559" i="9"/>
  <c r="AB2559" i="9"/>
  <c r="V2559" i="9"/>
  <c r="R2559" i="9"/>
  <c r="I2559" i="9"/>
  <c r="K2559" i="9" s="1"/>
  <c r="L2559" i="9" s="1"/>
  <c r="AM2558" i="9"/>
  <c r="AN2558" i="9" s="1"/>
  <c r="AF2558" i="9"/>
  <c r="AB2558" i="9"/>
  <c r="V2558" i="9"/>
  <c r="R2558" i="9"/>
  <c r="K2558" i="9"/>
  <c r="L2558" i="9" s="1"/>
  <c r="I2558" i="9"/>
  <c r="AM2557" i="9"/>
  <c r="AN2557" i="9" s="1"/>
  <c r="AF2557" i="9"/>
  <c r="AB2557" i="9"/>
  <c r="V2557" i="9"/>
  <c r="R2557" i="9"/>
  <c r="I2557" i="9"/>
  <c r="K2557" i="9" s="1"/>
  <c r="L2557" i="9" s="1"/>
  <c r="AM2556" i="9"/>
  <c r="AN2556" i="9" s="1"/>
  <c r="AF2556" i="9"/>
  <c r="AB2556" i="9"/>
  <c r="V2556" i="9"/>
  <c r="R2556" i="9"/>
  <c r="I2556" i="9"/>
  <c r="K2556" i="9" s="1"/>
  <c r="L2556" i="9" s="1"/>
  <c r="AN2555" i="9"/>
  <c r="AM2555" i="9"/>
  <c r="AF2555" i="9"/>
  <c r="AB2555" i="9"/>
  <c r="AK2555" i="9" s="1"/>
  <c r="AL2555" i="9" s="1"/>
  <c r="V2555" i="9"/>
  <c r="R2555" i="9"/>
  <c r="K2555" i="9"/>
  <c r="L2555" i="9" s="1"/>
  <c r="I2555" i="9"/>
  <c r="AF2554" i="9"/>
  <c r="AE2554" i="9"/>
  <c r="AB2554" i="9"/>
  <c r="AA2554" i="9"/>
  <c r="V2554" i="9"/>
  <c r="U2554" i="9"/>
  <c r="R2554" i="9"/>
  <c r="Q2554" i="9"/>
  <c r="K2554" i="9"/>
  <c r="L2554" i="9" s="1"/>
  <c r="I2554" i="9"/>
  <c r="AF2553" i="9"/>
  <c r="AE2553" i="9"/>
  <c r="AB2553" i="9"/>
  <c r="AA2553" i="9"/>
  <c r="V2553" i="9"/>
  <c r="U2553" i="9"/>
  <c r="R2553" i="9"/>
  <c r="Q2553" i="9"/>
  <c r="AM2553" i="9" s="1"/>
  <c r="AN2553" i="9" s="1"/>
  <c r="K2553" i="9"/>
  <c r="L2553" i="9" s="1"/>
  <c r="I2553" i="9"/>
  <c r="AF2552" i="9"/>
  <c r="AE2552" i="9"/>
  <c r="AB2552" i="9"/>
  <c r="AA2552" i="9"/>
  <c r="V2552" i="9"/>
  <c r="U2552" i="9"/>
  <c r="R2552" i="9"/>
  <c r="Q2552" i="9"/>
  <c r="I2552" i="9"/>
  <c r="K2552" i="9" s="1"/>
  <c r="L2552" i="9" s="1"/>
  <c r="AF2551" i="9"/>
  <c r="AE2551" i="9"/>
  <c r="AB2551" i="9"/>
  <c r="AA2551" i="9"/>
  <c r="V2551" i="9"/>
  <c r="U2551" i="9"/>
  <c r="R2551" i="9"/>
  <c r="Q2551" i="9"/>
  <c r="K2551" i="9"/>
  <c r="L2551" i="9" s="1"/>
  <c r="I2551" i="9"/>
  <c r="AF2550" i="9"/>
  <c r="AE2550" i="9"/>
  <c r="AB2550" i="9"/>
  <c r="AA2550" i="9"/>
  <c r="V2550" i="9"/>
  <c r="U2550" i="9"/>
  <c r="R2550" i="9"/>
  <c r="Q2550" i="9"/>
  <c r="K2550" i="9"/>
  <c r="L2550" i="9" s="1"/>
  <c r="I2550" i="9"/>
  <c r="AF2549" i="9"/>
  <c r="AE2549" i="9"/>
  <c r="AB2549" i="9"/>
  <c r="AA2549" i="9"/>
  <c r="V2549" i="9"/>
  <c r="U2549" i="9"/>
  <c r="R2549" i="9"/>
  <c r="Q2549" i="9"/>
  <c r="I2549" i="9"/>
  <c r="K2549" i="9" s="1"/>
  <c r="L2549" i="9" s="1"/>
  <c r="AF2548" i="9"/>
  <c r="AE2548" i="9"/>
  <c r="AB2548" i="9"/>
  <c r="AA2548" i="9"/>
  <c r="V2548" i="9"/>
  <c r="U2548" i="9"/>
  <c r="R2548" i="9"/>
  <c r="Q2548" i="9"/>
  <c r="I2548" i="9"/>
  <c r="K2548" i="9" s="1"/>
  <c r="L2548" i="9" s="1"/>
  <c r="AF2547" i="9"/>
  <c r="AE2547" i="9"/>
  <c r="AB2547" i="9"/>
  <c r="AA2547" i="9"/>
  <c r="V2547" i="9"/>
  <c r="U2547" i="9"/>
  <c r="R2547" i="9"/>
  <c r="Q2547" i="9"/>
  <c r="I2547" i="9"/>
  <c r="K2547" i="9" s="1"/>
  <c r="L2547" i="9" s="1"/>
  <c r="AF2546" i="9"/>
  <c r="AE2546" i="9"/>
  <c r="AB2546" i="9"/>
  <c r="AA2546" i="9"/>
  <c r="V2546" i="9"/>
  <c r="AK2546" i="9" s="1"/>
  <c r="AL2546" i="9" s="1"/>
  <c r="U2546" i="9"/>
  <c r="R2546" i="9"/>
  <c r="Q2546" i="9"/>
  <c r="K2546" i="9"/>
  <c r="L2546" i="9" s="1"/>
  <c r="I2546" i="9"/>
  <c r="AF2545" i="9"/>
  <c r="AE2545" i="9"/>
  <c r="AB2545" i="9"/>
  <c r="AA2545" i="9"/>
  <c r="V2545" i="9"/>
  <c r="U2545" i="9"/>
  <c r="AM2545" i="9" s="1"/>
  <c r="AN2545" i="9" s="1"/>
  <c r="R2545" i="9"/>
  <c r="AK2545" i="9" s="1"/>
  <c r="AL2545" i="9" s="1"/>
  <c r="Q2545" i="9"/>
  <c r="I2545" i="9"/>
  <c r="K2545" i="9" s="1"/>
  <c r="L2545" i="9" s="1"/>
  <c r="AF2544" i="9"/>
  <c r="AE2544" i="9"/>
  <c r="AB2544" i="9"/>
  <c r="AA2544" i="9"/>
  <c r="V2544" i="9"/>
  <c r="U2544" i="9"/>
  <c r="R2544" i="9"/>
  <c r="Q2544" i="9"/>
  <c r="K2544" i="9"/>
  <c r="L2544" i="9" s="1"/>
  <c r="I2544" i="9"/>
  <c r="AF2543" i="9"/>
  <c r="AE2543" i="9"/>
  <c r="AB2543" i="9"/>
  <c r="AA2543" i="9"/>
  <c r="V2543" i="9"/>
  <c r="U2543" i="9"/>
  <c r="R2543" i="9"/>
  <c r="Q2543" i="9"/>
  <c r="I2543" i="9"/>
  <c r="K2543" i="9" s="1"/>
  <c r="L2543" i="9" s="1"/>
  <c r="AF2542" i="9"/>
  <c r="AE2542" i="9"/>
  <c r="AB2542" i="9"/>
  <c r="AA2542" i="9"/>
  <c r="V2542" i="9"/>
  <c r="U2542" i="9"/>
  <c r="R2542" i="9"/>
  <c r="AK2542" i="9" s="1"/>
  <c r="AL2542" i="9" s="1"/>
  <c r="Q2542" i="9"/>
  <c r="K2542" i="9"/>
  <c r="L2542" i="9" s="1"/>
  <c r="I2542" i="9"/>
  <c r="AM2541" i="9"/>
  <c r="AN2541" i="9" s="1"/>
  <c r="AK2541" i="9"/>
  <c r="AL2541" i="9" s="1"/>
  <c r="AF2541" i="9"/>
  <c r="AB2541" i="9"/>
  <c r="V2541" i="9"/>
  <c r="R2541" i="9"/>
  <c r="I2541" i="9"/>
  <c r="K2541" i="9" s="1"/>
  <c r="L2541" i="9" s="1"/>
  <c r="AM2540" i="9"/>
  <c r="AN2540" i="9" s="1"/>
  <c r="AF2540" i="9"/>
  <c r="AB2540" i="9"/>
  <c r="AK2540" i="9" s="1"/>
  <c r="AL2540" i="9" s="1"/>
  <c r="V2540" i="9"/>
  <c r="R2540" i="9"/>
  <c r="I2540" i="9"/>
  <c r="K2540" i="9" s="1"/>
  <c r="L2540" i="9" s="1"/>
  <c r="AN2539" i="9"/>
  <c r="AM2539" i="9"/>
  <c r="AF2539" i="9"/>
  <c r="AB2539" i="9"/>
  <c r="V2539" i="9"/>
  <c r="R2539" i="9"/>
  <c r="K2539" i="9"/>
  <c r="L2539" i="9" s="1"/>
  <c r="I2539" i="9"/>
  <c r="AN2538" i="9"/>
  <c r="AM2538" i="9"/>
  <c r="AF2538" i="9"/>
  <c r="AB2538" i="9"/>
  <c r="AK2538" i="9" s="1"/>
  <c r="AL2538" i="9" s="1"/>
  <c r="V2538" i="9"/>
  <c r="R2538" i="9"/>
  <c r="I2538" i="9"/>
  <c r="K2538" i="9" s="1"/>
  <c r="L2538" i="9" s="1"/>
  <c r="AM2537" i="9"/>
  <c r="AN2537" i="9" s="1"/>
  <c r="AF2537" i="9"/>
  <c r="AB2537" i="9"/>
  <c r="V2537" i="9"/>
  <c r="R2537" i="9"/>
  <c r="I2537" i="9"/>
  <c r="K2537" i="9" s="1"/>
  <c r="L2537" i="9" s="1"/>
  <c r="AM2536" i="9"/>
  <c r="AN2536" i="9" s="1"/>
  <c r="AF2536" i="9"/>
  <c r="AB2536" i="9"/>
  <c r="V2536" i="9"/>
  <c r="R2536" i="9"/>
  <c r="I2536" i="9"/>
  <c r="K2536" i="9" s="1"/>
  <c r="L2536" i="9" s="1"/>
  <c r="AN2535" i="9"/>
  <c r="AM2535" i="9"/>
  <c r="AF2535" i="9"/>
  <c r="AB2535" i="9"/>
  <c r="V2535" i="9"/>
  <c r="R2535" i="9"/>
  <c r="AK2535" i="9" s="1"/>
  <c r="AL2535" i="9" s="1"/>
  <c r="I2535" i="9"/>
  <c r="K2535" i="9" s="1"/>
  <c r="L2535" i="9" s="1"/>
  <c r="AM2534" i="9"/>
  <c r="AN2534" i="9" s="1"/>
  <c r="AF2534" i="9"/>
  <c r="AK2534" i="9" s="1"/>
  <c r="AL2534" i="9" s="1"/>
  <c r="AB2534" i="9"/>
  <c r="V2534" i="9"/>
  <c r="R2534" i="9"/>
  <c r="I2534" i="9"/>
  <c r="K2534" i="9" s="1"/>
  <c r="L2534" i="9" s="1"/>
  <c r="AN2533" i="9"/>
  <c r="AM2533" i="9"/>
  <c r="AF2533" i="9"/>
  <c r="AB2533" i="9"/>
  <c r="V2533" i="9"/>
  <c r="R2533" i="9"/>
  <c r="I2533" i="9"/>
  <c r="K2533" i="9" s="1"/>
  <c r="L2533" i="9" s="1"/>
  <c r="AM2532" i="9"/>
  <c r="AN2532" i="9" s="1"/>
  <c r="AF2532" i="9"/>
  <c r="AB2532" i="9"/>
  <c r="V2532" i="9"/>
  <c r="R2532" i="9"/>
  <c r="K2532" i="9"/>
  <c r="L2532" i="9" s="1"/>
  <c r="I2532" i="9"/>
  <c r="AM2531" i="9"/>
  <c r="AN2531" i="9" s="1"/>
  <c r="AF2531" i="9"/>
  <c r="AB2531" i="9"/>
  <c r="V2531" i="9"/>
  <c r="R2531" i="9"/>
  <c r="I2531" i="9"/>
  <c r="K2531" i="9" s="1"/>
  <c r="L2531" i="9" s="1"/>
  <c r="AM2530" i="9"/>
  <c r="AN2530" i="9" s="1"/>
  <c r="AF2530" i="9"/>
  <c r="AB2530" i="9"/>
  <c r="V2530" i="9"/>
  <c r="R2530" i="9"/>
  <c r="K2530" i="9"/>
  <c r="L2530" i="9" s="1"/>
  <c r="I2530" i="9"/>
  <c r="AM2529" i="9"/>
  <c r="AN2529" i="9" s="1"/>
  <c r="AF2529" i="9"/>
  <c r="AB2529" i="9"/>
  <c r="V2529" i="9"/>
  <c r="R2529" i="9"/>
  <c r="I2529" i="9"/>
  <c r="K2529" i="9" s="1"/>
  <c r="L2529" i="9" s="1"/>
  <c r="AM2528" i="9"/>
  <c r="AN2528" i="9" s="1"/>
  <c r="AF2528" i="9"/>
  <c r="AB2528" i="9"/>
  <c r="V2528" i="9"/>
  <c r="R2528" i="9"/>
  <c r="I2528" i="9"/>
  <c r="K2528" i="9" s="1"/>
  <c r="L2528" i="9" s="1"/>
  <c r="AN2527" i="9"/>
  <c r="AM2527" i="9"/>
  <c r="AF2527" i="9"/>
  <c r="AB2527" i="9"/>
  <c r="V2527" i="9"/>
  <c r="R2527" i="9"/>
  <c r="K2527" i="9"/>
  <c r="L2527" i="9" s="1"/>
  <c r="I2527" i="9"/>
  <c r="AM2526" i="9"/>
  <c r="AN2526" i="9" s="1"/>
  <c r="AF2526" i="9"/>
  <c r="AB2526" i="9"/>
  <c r="V2526" i="9"/>
  <c r="AK2526" i="9" s="1"/>
  <c r="AL2526" i="9" s="1"/>
  <c r="R2526" i="9"/>
  <c r="I2526" i="9"/>
  <c r="K2526" i="9" s="1"/>
  <c r="L2526" i="9" s="1"/>
  <c r="AM2525" i="9"/>
  <c r="AN2525" i="9" s="1"/>
  <c r="AF2525" i="9"/>
  <c r="AB2525" i="9"/>
  <c r="V2525" i="9"/>
  <c r="R2525" i="9"/>
  <c r="K2525" i="9"/>
  <c r="L2525" i="9" s="1"/>
  <c r="I2525" i="9"/>
  <c r="AM2524" i="9"/>
  <c r="AN2524" i="9" s="1"/>
  <c r="AF2524" i="9"/>
  <c r="AB2524" i="9"/>
  <c r="V2524" i="9"/>
  <c r="R2524" i="9"/>
  <c r="I2524" i="9"/>
  <c r="K2524" i="9" s="1"/>
  <c r="L2524" i="9" s="1"/>
  <c r="AM2523" i="9"/>
  <c r="AN2523" i="9" s="1"/>
  <c r="AF2523" i="9"/>
  <c r="AB2523" i="9"/>
  <c r="V2523" i="9"/>
  <c r="R2523" i="9"/>
  <c r="I2523" i="9"/>
  <c r="K2523" i="9" s="1"/>
  <c r="L2523" i="9" s="1"/>
  <c r="AM2522" i="9"/>
  <c r="AN2522" i="9" s="1"/>
  <c r="AF2522" i="9"/>
  <c r="AB2522" i="9"/>
  <c r="V2522" i="9"/>
  <c r="R2522" i="9"/>
  <c r="L2522" i="9"/>
  <c r="I2522" i="9"/>
  <c r="K2522" i="9" s="1"/>
  <c r="AM2521" i="9"/>
  <c r="AN2521" i="9" s="1"/>
  <c r="AF2521" i="9"/>
  <c r="AB2521" i="9"/>
  <c r="V2521" i="9"/>
  <c r="R2521" i="9"/>
  <c r="K2521" i="9"/>
  <c r="L2521" i="9" s="1"/>
  <c r="I2521" i="9"/>
  <c r="AM2520" i="9"/>
  <c r="AN2520" i="9" s="1"/>
  <c r="AF2520" i="9"/>
  <c r="AB2520" i="9"/>
  <c r="V2520" i="9"/>
  <c r="R2520" i="9"/>
  <c r="I2520" i="9"/>
  <c r="K2520" i="9" s="1"/>
  <c r="L2520" i="9" s="1"/>
  <c r="AN2519" i="9"/>
  <c r="AM2519" i="9"/>
  <c r="AF2519" i="9"/>
  <c r="AB2519" i="9"/>
  <c r="V2519" i="9"/>
  <c r="R2519" i="9"/>
  <c r="L2519" i="9"/>
  <c r="I2519" i="9"/>
  <c r="K2519" i="9" s="1"/>
  <c r="AF2518" i="9"/>
  <c r="AE2518" i="9"/>
  <c r="AB2518" i="9"/>
  <c r="AA2518" i="9"/>
  <c r="V2518" i="9"/>
  <c r="U2518" i="9"/>
  <c r="R2518" i="9"/>
  <c r="Q2518" i="9"/>
  <c r="I2518" i="9"/>
  <c r="K2518" i="9" s="1"/>
  <c r="L2518" i="9" s="1"/>
  <c r="AM2517" i="9"/>
  <c r="AN2517" i="9" s="1"/>
  <c r="AF2517" i="9"/>
  <c r="AB2517" i="9"/>
  <c r="V2517" i="9"/>
  <c r="R2517" i="9"/>
  <c r="AK2517" i="9" s="1"/>
  <c r="AL2517" i="9" s="1"/>
  <c r="I2517" i="9"/>
  <c r="K2517" i="9" s="1"/>
  <c r="L2517" i="9" s="1"/>
  <c r="AF2516" i="9"/>
  <c r="AE2516" i="9"/>
  <c r="AB2516" i="9"/>
  <c r="AA2516" i="9"/>
  <c r="V2516" i="9"/>
  <c r="U2516" i="9"/>
  <c r="R2516" i="9"/>
  <c r="Q2516" i="9"/>
  <c r="L2516" i="9"/>
  <c r="K2516" i="9"/>
  <c r="I2516" i="9"/>
  <c r="AN2515" i="9"/>
  <c r="AM2515" i="9"/>
  <c r="AF2515" i="9"/>
  <c r="AB2515" i="9"/>
  <c r="V2515" i="9"/>
  <c r="R2515" i="9"/>
  <c r="I2515" i="9"/>
  <c r="K2515" i="9" s="1"/>
  <c r="L2515" i="9" s="1"/>
  <c r="AM2514" i="9"/>
  <c r="AN2514" i="9" s="1"/>
  <c r="AF2514" i="9"/>
  <c r="AB2514" i="9"/>
  <c r="V2514" i="9"/>
  <c r="R2514" i="9"/>
  <c r="AK2514" i="9" s="1"/>
  <c r="AL2514" i="9" s="1"/>
  <c r="I2514" i="9"/>
  <c r="K2514" i="9" s="1"/>
  <c r="L2514" i="9" s="1"/>
  <c r="AM2513" i="9"/>
  <c r="AN2513" i="9" s="1"/>
  <c r="AF2513" i="9"/>
  <c r="AB2513" i="9"/>
  <c r="V2513" i="9"/>
  <c r="R2513" i="9"/>
  <c r="I2513" i="9"/>
  <c r="K2513" i="9" s="1"/>
  <c r="L2513" i="9" s="1"/>
  <c r="AF2512" i="9"/>
  <c r="AE2512" i="9"/>
  <c r="AB2512" i="9"/>
  <c r="AA2512" i="9"/>
  <c r="V2512" i="9"/>
  <c r="U2512" i="9"/>
  <c r="R2512" i="9"/>
  <c r="Q2512" i="9"/>
  <c r="I2512" i="9"/>
  <c r="K2512" i="9" s="1"/>
  <c r="L2512" i="9" s="1"/>
  <c r="AM2511" i="9"/>
  <c r="AN2511" i="9" s="1"/>
  <c r="AF2511" i="9"/>
  <c r="AB2511" i="9"/>
  <c r="V2511" i="9"/>
  <c r="R2511" i="9"/>
  <c r="AK2511" i="9" s="1"/>
  <c r="AL2511" i="9" s="1"/>
  <c r="K2511" i="9"/>
  <c r="L2511" i="9" s="1"/>
  <c r="I2511" i="9"/>
  <c r="AN2510" i="9"/>
  <c r="AM2510" i="9"/>
  <c r="AF2510" i="9"/>
  <c r="AB2510" i="9"/>
  <c r="V2510" i="9"/>
  <c r="R2510" i="9"/>
  <c r="I2510" i="9"/>
  <c r="K2510" i="9" s="1"/>
  <c r="L2510" i="9" s="1"/>
  <c r="AM2509" i="9"/>
  <c r="AN2509" i="9" s="1"/>
  <c r="AF2509" i="9"/>
  <c r="AB2509" i="9"/>
  <c r="V2509" i="9"/>
  <c r="R2509" i="9"/>
  <c r="I2509" i="9"/>
  <c r="K2509" i="9" s="1"/>
  <c r="L2509" i="9" s="1"/>
  <c r="AM2508" i="9"/>
  <c r="AN2508" i="9" s="1"/>
  <c r="AF2508" i="9"/>
  <c r="AB2508" i="9"/>
  <c r="V2508" i="9"/>
  <c r="R2508" i="9"/>
  <c r="K2508" i="9"/>
  <c r="L2508" i="9" s="1"/>
  <c r="I2508" i="9"/>
  <c r="AM2507" i="9"/>
  <c r="AN2507" i="9" s="1"/>
  <c r="AF2507" i="9"/>
  <c r="AB2507" i="9"/>
  <c r="V2507" i="9"/>
  <c r="R2507" i="9"/>
  <c r="I2507" i="9"/>
  <c r="K2507" i="9" s="1"/>
  <c r="L2507" i="9" s="1"/>
  <c r="AN2506" i="9"/>
  <c r="AM2506" i="9"/>
  <c r="AF2506" i="9"/>
  <c r="AB2506" i="9"/>
  <c r="V2506" i="9"/>
  <c r="R2506" i="9"/>
  <c r="I2506" i="9"/>
  <c r="K2506" i="9" s="1"/>
  <c r="L2506" i="9" s="1"/>
  <c r="AM2505" i="9"/>
  <c r="AN2505" i="9" s="1"/>
  <c r="AF2505" i="9"/>
  <c r="AB2505" i="9"/>
  <c r="V2505" i="9"/>
  <c r="R2505" i="9"/>
  <c r="AK2505" i="9" s="1"/>
  <c r="AL2505" i="9" s="1"/>
  <c r="I2505" i="9"/>
  <c r="K2505" i="9" s="1"/>
  <c r="L2505" i="9" s="1"/>
  <c r="AM2504" i="9"/>
  <c r="AN2504" i="9" s="1"/>
  <c r="AF2504" i="9"/>
  <c r="AB2504" i="9"/>
  <c r="V2504" i="9"/>
  <c r="R2504" i="9"/>
  <c r="AK2504" i="9" s="1"/>
  <c r="AL2504" i="9" s="1"/>
  <c r="I2504" i="9"/>
  <c r="K2504" i="9" s="1"/>
  <c r="L2504" i="9" s="1"/>
  <c r="AN2503" i="9"/>
  <c r="AM2503" i="9"/>
  <c r="AF2503" i="9"/>
  <c r="AB2503" i="9"/>
  <c r="V2503" i="9"/>
  <c r="R2503" i="9"/>
  <c r="I2503" i="9"/>
  <c r="K2503" i="9" s="1"/>
  <c r="L2503" i="9" s="1"/>
  <c r="AM2502" i="9"/>
  <c r="AN2502" i="9" s="1"/>
  <c r="AF2502" i="9"/>
  <c r="AB2502" i="9"/>
  <c r="V2502" i="9"/>
  <c r="R2502" i="9"/>
  <c r="AK2502" i="9" s="1"/>
  <c r="AL2502" i="9" s="1"/>
  <c r="I2502" i="9"/>
  <c r="K2502" i="9" s="1"/>
  <c r="L2502" i="9" s="1"/>
  <c r="AM2501" i="9"/>
  <c r="AN2501" i="9" s="1"/>
  <c r="AF2501" i="9"/>
  <c r="AB2501" i="9"/>
  <c r="V2501" i="9"/>
  <c r="R2501" i="9"/>
  <c r="L2501" i="9"/>
  <c r="I2501" i="9"/>
  <c r="K2501" i="9" s="1"/>
  <c r="AM2500" i="9"/>
  <c r="AN2500" i="9" s="1"/>
  <c r="AF2500" i="9"/>
  <c r="AB2500" i="9"/>
  <c r="V2500" i="9"/>
  <c r="R2500" i="9"/>
  <c r="I2500" i="9"/>
  <c r="K2500" i="9" s="1"/>
  <c r="L2500" i="9" s="1"/>
  <c r="AM2499" i="9"/>
  <c r="AN2499" i="9" s="1"/>
  <c r="AF2499" i="9"/>
  <c r="AB2499" i="9"/>
  <c r="V2499" i="9"/>
  <c r="R2499" i="9"/>
  <c r="I2499" i="9"/>
  <c r="K2499" i="9" s="1"/>
  <c r="L2499" i="9" s="1"/>
  <c r="AM2498" i="9"/>
  <c r="AN2498" i="9" s="1"/>
  <c r="AF2498" i="9"/>
  <c r="AB2498" i="9"/>
  <c r="V2498" i="9"/>
  <c r="R2498" i="9"/>
  <c r="I2498" i="9"/>
  <c r="K2498" i="9" s="1"/>
  <c r="L2498" i="9" s="1"/>
  <c r="AN2497" i="9"/>
  <c r="AM2497" i="9"/>
  <c r="AF2497" i="9"/>
  <c r="AB2497" i="9"/>
  <c r="V2497" i="9"/>
  <c r="R2497" i="9"/>
  <c r="AK2497" i="9" s="1"/>
  <c r="AL2497" i="9" s="1"/>
  <c r="I2497" i="9"/>
  <c r="K2497" i="9" s="1"/>
  <c r="L2497" i="9" s="1"/>
  <c r="AN2496" i="9"/>
  <c r="AM2496" i="9"/>
  <c r="AF2496" i="9"/>
  <c r="AB2496" i="9"/>
  <c r="V2496" i="9"/>
  <c r="R2496" i="9"/>
  <c r="I2496" i="9"/>
  <c r="K2496" i="9" s="1"/>
  <c r="L2496" i="9" s="1"/>
  <c r="AM2495" i="9"/>
  <c r="AN2495" i="9" s="1"/>
  <c r="AF2495" i="9"/>
  <c r="AB2495" i="9"/>
  <c r="V2495" i="9"/>
  <c r="R2495" i="9"/>
  <c r="L2495" i="9"/>
  <c r="I2495" i="9"/>
  <c r="K2495" i="9" s="1"/>
  <c r="AF2494" i="9"/>
  <c r="AE2494" i="9"/>
  <c r="AB2494" i="9"/>
  <c r="AA2494" i="9"/>
  <c r="V2494" i="9"/>
  <c r="AK2494" i="9" s="1"/>
  <c r="AL2494" i="9" s="1"/>
  <c r="U2494" i="9"/>
  <c r="R2494" i="9"/>
  <c r="Q2494" i="9"/>
  <c r="K2494" i="9"/>
  <c r="L2494" i="9" s="1"/>
  <c r="I2494" i="9"/>
  <c r="AM2493" i="9"/>
  <c r="AN2493" i="9" s="1"/>
  <c r="AF2493" i="9"/>
  <c r="AB2493" i="9"/>
  <c r="V2493" i="9"/>
  <c r="R2493" i="9"/>
  <c r="I2493" i="9"/>
  <c r="K2493" i="9" s="1"/>
  <c r="L2493" i="9" s="1"/>
  <c r="AM2492" i="9"/>
  <c r="AN2492" i="9" s="1"/>
  <c r="AF2492" i="9"/>
  <c r="AB2492" i="9"/>
  <c r="V2492" i="9"/>
  <c r="R2492" i="9"/>
  <c r="AK2492" i="9" s="1"/>
  <c r="AL2492" i="9" s="1"/>
  <c r="I2492" i="9"/>
  <c r="K2492" i="9" s="1"/>
  <c r="L2492" i="9" s="1"/>
  <c r="AF2491" i="9"/>
  <c r="AE2491" i="9"/>
  <c r="AB2491" i="9"/>
  <c r="AA2491" i="9"/>
  <c r="V2491" i="9"/>
  <c r="U2491" i="9"/>
  <c r="R2491" i="9"/>
  <c r="Q2491" i="9"/>
  <c r="I2491" i="9"/>
  <c r="K2491" i="9" s="1"/>
  <c r="L2491" i="9" s="1"/>
  <c r="AM2490" i="9"/>
  <c r="AN2490" i="9" s="1"/>
  <c r="AF2490" i="9"/>
  <c r="AB2490" i="9"/>
  <c r="V2490" i="9"/>
  <c r="R2490" i="9"/>
  <c r="I2490" i="9"/>
  <c r="K2490" i="9" s="1"/>
  <c r="L2490" i="9" s="1"/>
  <c r="AM2489" i="9"/>
  <c r="AN2489" i="9" s="1"/>
  <c r="AF2489" i="9"/>
  <c r="AB2489" i="9"/>
  <c r="V2489" i="9"/>
  <c r="R2489" i="9"/>
  <c r="I2489" i="9"/>
  <c r="K2489" i="9" s="1"/>
  <c r="L2489" i="9" s="1"/>
  <c r="AM2488" i="9"/>
  <c r="AN2488" i="9" s="1"/>
  <c r="AF2488" i="9"/>
  <c r="AB2488" i="9"/>
  <c r="V2488" i="9"/>
  <c r="R2488" i="9"/>
  <c r="I2488" i="9"/>
  <c r="K2488" i="9" s="1"/>
  <c r="L2488" i="9" s="1"/>
  <c r="AN2487" i="9"/>
  <c r="AM2487" i="9"/>
  <c r="AK2487" i="9"/>
  <c r="AL2487" i="9" s="1"/>
  <c r="AF2487" i="9"/>
  <c r="AB2487" i="9"/>
  <c r="V2487" i="9"/>
  <c r="R2487" i="9"/>
  <c r="I2487" i="9"/>
  <c r="K2487" i="9" s="1"/>
  <c r="L2487" i="9" s="1"/>
  <c r="AM2486" i="9"/>
  <c r="AN2486" i="9" s="1"/>
  <c r="AF2486" i="9"/>
  <c r="AB2486" i="9"/>
  <c r="V2486" i="9"/>
  <c r="R2486" i="9"/>
  <c r="K2486" i="9"/>
  <c r="L2486" i="9" s="1"/>
  <c r="I2486" i="9"/>
  <c r="AN2485" i="9"/>
  <c r="AM2485" i="9"/>
  <c r="AF2485" i="9"/>
  <c r="AB2485" i="9"/>
  <c r="V2485" i="9"/>
  <c r="R2485" i="9"/>
  <c r="AK2485" i="9" s="1"/>
  <c r="AL2485" i="9" s="1"/>
  <c r="K2485" i="9"/>
  <c r="L2485" i="9" s="1"/>
  <c r="I2485" i="9"/>
  <c r="AM2484" i="9"/>
  <c r="AN2484" i="9" s="1"/>
  <c r="AF2484" i="9"/>
  <c r="AB2484" i="9"/>
  <c r="V2484" i="9"/>
  <c r="R2484" i="9"/>
  <c r="L2484" i="9"/>
  <c r="K2484" i="9"/>
  <c r="I2484" i="9"/>
  <c r="AN2483" i="9"/>
  <c r="AM2483" i="9"/>
  <c r="AF2483" i="9"/>
  <c r="AB2483" i="9"/>
  <c r="V2483" i="9"/>
  <c r="R2483" i="9"/>
  <c r="I2483" i="9"/>
  <c r="K2483" i="9" s="1"/>
  <c r="L2483" i="9" s="1"/>
  <c r="AN2482" i="9"/>
  <c r="AM2482" i="9"/>
  <c r="AF2482" i="9"/>
  <c r="AB2482" i="9"/>
  <c r="V2482" i="9"/>
  <c r="R2482" i="9"/>
  <c r="I2482" i="9"/>
  <c r="K2482" i="9" s="1"/>
  <c r="L2482" i="9" s="1"/>
  <c r="AM2481" i="9"/>
  <c r="AN2481" i="9" s="1"/>
  <c r="AF2481" i="9"/>
  <c r="AB2481" i="9"/>
  <c r="V2481" i="9"/>
  <c r="R2481" i="9"/>
  <c r="I2481" i="9"/>
  <c r="K2481" i="9" s="1"/>
  <c r="L2481" i="9" s="1"/>
  <c r="AF2480" i="9"/>
  <c r="AE2480" i="9"/>
  <c r="AB2480" i="9"/>
  <c r="AA2480" i="9"/>
  <c r="V2480" i="9"/>
  <c r="U2480" i="9"/>
  <c r="R2480" i="9"/>
  <c r="Q2480" i="9"/>
  <c r="I2480" i="9"/>
  <c r="K2480" i="9" s="1"/>
  <c r="L2480" i="9" s="1"/>
  <c r="AF2479" i="9"/>
  <c r="AE2479" i="9"/>
  <c r="AB2479" i="9"/>
  <c r="AA2479" i="9"/>
  <c r="V2479" i="9"/>
  <c r="U2479" i="9"/>
  <c r="R2479" i="9"/>
  <c r="Q2479" i="9"/>
  <c r="L2479" i="9"/>
  <c r="I2479" i="9"/>
  <c r="K2479" i="9" s="1"/>
  <c r="AM2478" i="9"/>
  <c r="AN2478" i="9" s="1"/>
  <c r="AF2478" i="9"/>
  <c r="AB2478" i="9"/>
  <c r="V2478" i="9"/>
  <c r="R2478" i="9"/>
  <c r="I2478" i="9"/>
  <c r="K2478" i="9" s="1"/>
  <c r="L2478" i="9" s="1"/>
  <c r="AM2477" i="9"/>
  <c r="AN2477" i="9" s="1"/>
  <c r="AF2477" i="9"/>
  <c r="AB2477" i="9"/>
  <c r="V2477" i="9"/>
  <c r="R2477" i="9"/>
  <c r="I2477" i="9"/>
  <c r="K2477" i="9" s="1"/>
  <c r="L2477" i="9" s="1"/>
  <c r="AM2476" i="9"/>
  <c r="AN2476" i="9" s="1"/>
  <c r="AF2476" i="9"/>
  <c r="AB2476" i="9"/>
  <c r="V2476" i="9"/>
  <c r="R2476" i="9"/>
  <c r="K2476" i="9"/>
  <c r="L2476" i="9" s="1"/>
  <c r="I2476" i="9"/>
  <c r="AM2475" i="9"/>
  <c r="AN2475" i="9" s="1"/>
  <c r="AF2475" i="9"/>
  <c r="AB2475" i="9"/>
  <c r="V2475" i="9"/>
  <c r="R2475" i="9"/>
  <c r="I2475" i="9"/>
  <c r="K2475" i="9" s="1"/>
  <c r="L2475" i="9" s="1"/>
  <c r="AM2474" i="9"/>
  <c r="AN2474" i="9" s="1"/>
  <c r="AF2474" i="9"/>
  <c r="AB2474" i="9"/>
  <c r="V2474" i="9"/>
  <c r="R2474" i="9"/>
  <c r="K2474" i="9"/>
  <c r="L2474" i="9" s="1"/>
  <c r="I2474" i="9"/>
  <c r="AF2473" i="9"/>
  <c r="AE2473" i="9"/>
  <c r="AB2473" i="9"/>
  <c r="AA2473" i="9"/>
  <c r="V2473" i="9"/>
  <c r="U2473" i="9"/>
  <c r="R2473" i="9"/>
  <c r="Q2473" i="9"/>
  <c r="I2473" i="9"/>
  <c r="K2473" i="9" s="1"/>
  <c r="L2473" i="9" s="1"/>
  <c r="AF2472" i="9"/>
  <c r="AE2472" i="9"/>
  <c r="AB2472" i="9"/>
  <c r="AA2472" i="9"/>
  <c r="V2472" i="9"/>
  <c r="U2472" i="9"/>
  <c r="R2472" i="9"/>
  <c r="Q2472" i="9"/>
  <c r="I2472" i="9"/>
  <c r="K2472" i="9" s="1"/>
  <c r="L2472" i="9" s="1"/>
  <c r="AM2471" i="9"/>
  <c r="AN2471" i="9" s="1"/>
  <c r="AF2471" i="9"/>
  <c r="AB2471" i="9"/>
  <c r="V2471" i="9"/>
  <c r="R2471" i="9"/>
  <c r="I2471" i="9"/>
  <c r="K2471" i="9" s="1"/>
  <c r="L2471" i="9" s="1"/>
  <c r="AM2470" i="9"/>
  <c r="AN2470" i="9" s="1"/>
  <c r="AF2470" i="9"/>
  <c r="AB2470" i="9"/>
  <c r="V2470" i="9"/>
  <c r="R2470" i="9"/>
  <c r="K2470" i="9"/>
  <c r="L2470" i="9" s="1"/>
  <c r="I2470" i="9"/>
  <c r="AM2469" i="9"/>
  <c r="AN2469" i="9" s="1"/>
  <c r="AF2469" i="9"/>
  <c r="AB2469" i="9"/>
  <c r="V2469" i="9"/>
  <c r="R2469" i="9"/>
  <c r="I2469" i="9"/>
  <c r="K2469" i="9" s="1"/>
  <c r="L2469" i="9" s="1"/>
  <c r="AN2468" i="9"/>
  <c r="AM2468" i="9"/>
  <c r="AF2468" i="9"/>
  <c r="AB2468" i="9"/>
  <c r="V2468" i="9"/>
  <c r="R2468" i="9"/>
  <c r="I2468" i="9"/>
  <c r="K2468" i="9" s="1"/>
  <c r="L2468" i="9" s="1"/>
  <c r="AM2467" i="9"/>
  <c r="AN2467" i="9" s="1"/>
  <c r="AF2467" i="9"/>
  <c r="AB2467" i="9"/>
  <c r="V2467" i="9"/>
  <c r="R2467" i="9"/>
  <c r="K2467" i="9"/>
  <c r="L2467" i="9" s="1"/>
  <c r="I2467" i="9"/>
  <c r="AF2466" i="9"/>
  <c r="AE2466" i="9"/>
  <c r="AB2466" i="9"/>
  <c r="AA2466" i="9"/>
  <c r="V2466" i="9"/>
  <c r="U2466" i="9"/>
  <c r="R2466" i="9"/>
  <c r="Q2466" i="9"/>
  <c r="K2466" i="9"/>
  <c r="L2466" i="9" s="1"/>
  <c r="I2466" i="9"/>
  <c r="AM2465" i="9"/>
  <c r="AN2465" i="9" s="1"/>
  <c r="AF2465" i="9"/>
  <c r="AB2465" i="9"/>
  <c r="V2465" i="9"/>
  <c r="R2465" i="9"/>
  <c r="I2465" i="9"/>
  <c r="K2465" i="9" s="1"/>
  <c r="L2465" i="9" s="1"/>
  <c r="AN2464" i="9"/>
  <c r="AM2464" i="9"/>
  <c r="AF2464" i="9"/>
  <c r="AB2464" i="9"/>
  <c r="V2464" i="9"/>
  <c r="R2464" i="9"/>
  <c r="I2464" i="9"/>
  <c r="K2464" i="9" s="1"/>
  <c r="L2464" i="9" s="1"/>
  <c r="AM2463" i="9"/>
  <c r="AN2463" i="9" s="1"/>
  <c r="AF2463" i="9"/>
  <c r="AB2463" i="9"/>
  <c r="V2463" i="9"/>
  <c r="R2463" i="9"/>
  <c r="L2463" i="9"/>
  <c r="I2463" i="9"/>
  <c r="K2463" i="9" s="1"/>
  <c r="AM2462" i="9"/>
  <c r="AN2462" i="9" s="1"/>
  <c r="AF2462" i="9"/>
  <c r="AB2462" i="9"/>
  <c r="V2462" i="9"/>
  <c r="R2462" i="9"/>
  <c r="K2462" i="9"/>
  <c r="L2462" i="9" s="1"/>
  <c r="I2462" i="9"/>
  <c r="AM2461" i="9"/>
  <c r="AN2461" i="9" s="1"/>
  <c r="AF2461" i="9"/>
  <c r="AK2461" i="9" s="1"/>
  <c r="AL2461" i="9" s="1"/>
  <c r="AB2461" i="9"/>
  <c r="V2461" i="9"/>
  <c r="R2461" i="9"/>
  <c r="K2461" i="9"/>
  <c r="L2461" i="9" s="1"/>
  <c r="I2461" i="9"/>
  <c r="AN2460" i="9"/>
  <c r="AM2460" i="9"/>
  <c r="AF2460" i="9"/>
  <c r="AB2460" i="9"/>
  <c r="V2460" i="9"/>
  <c r="R2460" i="9"/>
  <c r="I2460" i="9"/>
  <c r="K2460" i="9" s="1"/>
  <c r="L2460" i="9" s="1"/>
  <c r="AM2459" i="9"/>
  <c r="AN2459" i="9" s="1"/>
  <c r="AF2459" i="9"/>
  <c r="AB2459" i="9"/>
  <c r="V2459" i="9"/>
  <c r="R2459" i="9"/>
  <c r="I2459" i="9"/>
  <c r="K2459" i="9" s="1"/>
  <c r="L2459" i="9" s="1"/>
  <c r="AM2458" i="9"/>
  <c r="AN2458" i="9" s="1"/>
  <c r="AF2458" i="9"/>
  <c r="AB2458" i="9"/>
  <c r="V2458" i="9"/>
  <c r="AK2458" i="9" s="1"/>
  <c r="AL2458" i="9" s="1"/>
  <c r="R2458" i="9"/>
  <c r="I2458" i="9"/>
  <c r="K2458" i="9" s="1"/>
  <c r="L2458" i="9" s="1"/>
  <c r="AM2457" i="9"/>
  <c r="AN2457" i="9" s="1"/>
  <c r="AF2457" i="9"/>
  <c r="AB2457" i="9"/>
  <c r="V2457" i="9"/>
  <c r="R2457" i="9"/>
  <c r="I2457" i="9"/>
  <c r="K2457" i="9" s="1"/>
  <c r="L2457" i="9" s="1"/>
  <c r="AF2456" i="9"/>
  <c r="AE2456" i="9"/>
  <c r="AB2456" i="9"/>
  <c r="AA2456" i="9"/>
  <c r="V2456" i="9"/>
  <c r="U2456" i="9"/>
  <c r="R2456" i="9"/>
  <c r="Q2456" i="9"/>
  <c r="K2456" i="9"/>
  <c r="L2456" i="9" s="1"/>
  <c r="I2456" i="9"/>
  <c r="AF2455" i="9"/>
  <c r="AE2455" i="9"/>
  <c r="AB2455" i="9"/>
  <c r="AA2455" i="9"/>
  <c r="V2455" i="9"/>
  <c r="U2455" i="9"/>
  <c r="R2455" i="9"/>
  <c r="Q2455" i="9"/>
  <c r="I2455" i="9"/>
  <c r="K2455" i="9" s="1"/>
  <c r="L2455" i="9" s="1"/>
  <c r="AM2454" i="9"/>
  <c r="AN2454" i="9" s="1"/>
  <c r="AF2454" i="9"/>
  <c r="AB2454" i="9"/>
  <c r="V2454" i="9"/>
  <c r="R2454" i="9"/>
  <c r="I2454" i="9"/>
  <c r="K2454" i="9" s="1"/>
  <c r="L2454" i="9" s="1"/>
  <c r="AM2453" i="9"/>
  <c r="AN2453" i="9" s="1"/>
  <c r="AF2453" i="9"/>
  <c r="AB2453" i="9"/>
  <c r="V2453" i="9"/>
  <c r="R2453" i="9"/>
  <c r="I2453" i="9"/>
  <c r="K2453" i="9" s="1"/>
  <c r="L2453" i="9" s="1"/>
  <c r="AM2452" i="9"/>
  <c r="AN2452" i="9" s="1"/>
  <c r="AF2452" i="9"/>
  <c r="AB2452" i="9"/>
  <c r="V2452" i="9"/>
  <c r="R2452" i="9"/>
  <c r="I2452" i="9"/>
  <c r="K2452" i="9" s="1"/>
  <c r="L2452" i="9" s="1"/>
  <c r="AM2451" i="9"/>
  <c r="AN2451" i="9" s="1"/>
  <c r="AF2451" i="9"/>
  <c r="AB2451" i="9"/>
  <c r="AK2451" i="9" s="1"/>
  <c r="AL2451" i="9" s="1"/>
  <c r="V2451" i="9"/>
  <c r="R2451" i="9"/>
  <c r="K2451" i="9"/>
  <c r="L2451" i="9" s="1"/>
  <c r="I2451" i="9"/>
  <c r="AM2450" i="9"/>
  <c r="AN2450" i="9" s="1"/>
  <c r="AF2450" i="9"/>
  <c r="AB2450" i="9"/>
  <c r="V2450" i="9"/>
  <c r="R2450" i="9"/>
  <c r="I2450" i="9"/>
  <c r="K2450" i="9" s="1"/>
  <c r="L2450" i="9" s="1"/>
  <c r="AM2449" i="9"/>
  <c r="AN2449" i="9" s="1"/>
  <c r="AK2449" i="9"/>
  <c r="AL2449" i="9" s="1"/>
  <c r="AF2449" i="9"/>
  <c r="AB2449" i="9"/>
  <c r="V2449" i="9"/>
  <c r="R2449" i="9"/>
  <c r="I2449" i="9"/>
  <c r="K2449" i="9" s="1"/>
  <c r="L2449" i="9" s="1"/>
  <c r="AM2448" i="9"/>
  <c r="AN2448" i="9" s="1"/>
  <c r="AF2448" i="9"/>
  <c r="AB2448" i="9"/>
  <c r="V2448" i="9"/>
  <c r="R2448" i="9"/>
  <c r="AK2448" i="9" s="1"/>
  <c r="AL2448" i="9" s="1"/>
  <c r="I2448" i="9"/>
  <c r="K2448" i="9" s="1"/>
  <c r="L2448" i="9" s="1"/>
  <c r="AN2447" i="9"/>
  <c r="AM2447" i="9"/>
  <c r="AF2447" i="9"/>
  <c r="AB2447" i="9"/>
  <c r="V2447" i="9"/>
  <c r="R2447" i="9"/>
  <c r="AK2447" i="9" s="1"/>
  <c r="AL2447" i="9" s="1"/>
  <c r="K2447" i="9"/>
  <c r="L2447" i="9" s="1"/>
  <c r="I2447" i="9"/>
  <c r="AM2446" i="9"/>
  <c r="AN2446" i="9" s="1"/>
  <c r="AF2446" i="9"/>
  <c r="AB2446" i="9"/>
  <c r="V2446" i="9"/>
  <c r="R2446" i="9"/>
  <c r="K2446" i="9"/>
  <c r="L2446" i="9" s="1"/>
  <c r="I2446" i="9"/>
  <c r="AM2445" i="9"/>
  <c r="AN2445" i="9" s="1"/>
  <c r="AF2445" i="9"/>
  <c r="AB2445" i="9"/>
  <c r="V2445" i="9"/>
  <c r="R2445" i="9"/>
  <c r="I2445" i="9"/>
  <c r="K2445" i="9" s="1"/>
  <c r="L2445" i="9" s="1"/>
  <c r="AM2444" i="9"/>
  <c r="AN2444" i="9" s="1"/>
  <c r="AF2444" i="9"/>
  <c r="AB2444" i="9"/>
  <c r="V2444" i="9"/>
  <c r="R2444" i="9"/>
  <c r="I2444" i="9"/>
  <c r="K2444" i="9" s="1"/>
  <c r="L2444" i="9" s="1"/>
  <c r="AM2443" i="9"/>
  <c r="AN2443" i="9" s="1"/>
  <c r="AF2443" i="9"/>
  <c r="AB2443" i="9"/>
  <c r="V2443" i="9"/>
  <c r="R2443" i="9"/>
  <c r="I2443" i="9"/>
  <c r="K2443" i="9" s="1"/>
  <c r="L2443" i="9" s="1"/>
  <c r="AN2442" i="9"/>
  <c r="AM2442" i="9"/>
  <c r="AF2442" i="9"/>
  <c r="AB2442" i="9"/>
  <c r="V2442" i="9"/>
  <c r="R2442" i="9"/>
  <c r="K2442" i="9"/>
  <c r="L2442" i="9" s="1"/>
  <c r="I2442" i="9"/>
  <c r="AN2441" i="9"/>
  <c r="AM2441" i="9"/>
  <c r="AF2441" i="9"/>
  <c r="AB2441" i="9"/>
  <c r="V2441" i="9"/>
  <c r="R2441" i="9"/>
  <c r="I2441" i="9"/>
  <c r="K2441" i="9" s="1"/>
  <c r="L2441" i="9" s="1"/>
  <c r="AF2440" i="9"/>
  <c r="AE2440" i="9"/>
  <c r="AB2440" i="9"/>
  <c r="AA2440" i="9"/>
  <c r="V2440" i="9"/>
  <c r="AK2440" i="9" s="1"/>
  <c r="AL2440" i="9" s="1"/>
  <c r="U2440" i="9"/>
  <c r="R2440" i="9"/>
  <c r="Q2440" i="9"/>
  <c r="AM2440" i="9" s="1"/>
  <c r="AN2440" i="9" s="1"/>
  <c r="K2440" i="9"/>
  <c r="L2440" i="9" s="1"/>
  <c r="I2440" i="9"/>
  <c r="AM2439" i="9"/>
  <c r="AN2439" i="9" s="1"/>
  <c r="AF2439" i="9"/>
  <c r="AB2439" i="9"/>
  <c r="V2439" i="9"/>
  <c r="R2439" i="9"/>
  <c r="AK2439" i="9" s="1"/>
  <c r="AL2439" i="9" s="1"/>
  <c r="K2439" i="9"/>
  <c r="L2439" i="9" s="1"/>
  <c r="I2439" i="9"/>
  <c r="AM2438" i="9"/>
  <c r="AN2438" i="9" s="1"/>
  <c r="AF2438" i="9"/>
  <c r="AB2438" i="9"/>
  <c r="V2438" i="9"/>
  <c r="R2438" i="9"/>
  <c r="I2438" i="9"/>
  <c r="K2438" i="9" s="1"/>
  <c r="L2438" i="9" s="1"/>
  <c r="AM2437" i="9"/>
  <c r="AN2437" i="9" s="1"/>
  <c r="AF2437" i="9"/>
  <c r="AB2437" i="9"/>
  <c r="V2437" i="9"/>
  <c r="R2437" i="9"/>
  <c r="I2437" i="9"/>
  <c r="K2437" i="9" s="1"/>
  <c r="L2437" i="9" s="1"/>
  <c r="AM2436" i="9"/>
  <c r="AN2436" i="9" s="1"/>
  <c r="AF2436" i="9"/>
  <c r="AB2436" i="9"/>
  <c r="V2436" i="9"/>
  <c r="R2436" i="9"/>
  <c r="AK2436" i="9" s="1"/>
  <c r="AL2436" i="9" s="1"/>
  <c r="K2436" i="9"/>
  <c r="L2436" i="9" s="1"/>
  <c r="I2436" i="9"/>
  <c r="AN2435" i="9"/>
  <c r="AM2435" i="9"/>
  <c r="AF2435" i="9"/>
  <c r="AB2435" i="9"/>
  <c r="V2435" i="9"/>
  <c r="R2435" i="9"/>
  <c r="I2435" i="9"/>
  <c r="K2435" i="9" s="1"/>
  <c r="L2435" i="9" s="1"/>
  <c r="AM2434" i="9"/>
  <c r="AN2434" i="9" s="1"/>
  <c r="AF2434" i="9"/>
  <c r="AB2434" i="9"/>
  <c r="V2434" i="9"/>
  <c r="R2434" i="9"/>
  <c r="I2434" i="9"/>
  <c r="K2434" i="9" s="1"/>
  <c r="L2434" i="9" s="1"/>
  <c r="AN2433" i="9"/>
  <c r="AM2433" i="9"/>
  <c r="AK2433" i="9"/>
  <c r="AL2433" i="9" s="1"/>
  <c r="AF2433" i="9"/>
  <c r="AB2433" i="9"/>
  <c r="V2433" i="9"/>
  <c r="R2433" i="9"/>
  <c r="I2433" i="9"/>
  <c r="K2433" i="9" s="1"/>
  <c r="L2433" i="9" s="1"/>
  <c r="AM2432" i="9"/>
  <c r="AN2432" i="9" s="1"/>
  <c r="AF2432" i="9"/>
  <c r="AB2432" i="9"/>
  <c r="V2432" i="9"/>
  <c r="R2432" i="9"/>
  <c r="I2432" i="9"/>
  <c r="K2432" i="9" s="1"/>
  <c r="L2432" i="9" s="1"/>
  <c r="AN2431" i="9"/>
  <c r="AM2431" i="9"/>
  <c r="AF2431" i="9"/>
  <c r="AB2431" i="9"/>
  <c r="V2431" i="9"/>
  <c r="R2431" i="9"/>
  <c r="I2431" i="9"/>
  <c r="K2431" i="9" s="1"/>
  <c r="L2431" i="9" s="1"/>
  <c r="AM2430" i="9"/>
  <c r="AN2430" i="9" s="1"/>
  <c r="AF2430" i="9"/>
  <c r="AB2430" i="9"/>
  <c r="V2430" i="9"/>
  <c r="R2430" i="9"/>
  <c r="K2430" i="9"/>
  <c r="L2430" i="9" s="1"/>
  <c r="I2430" i="9"/>
  <c r="AM2429" i="9"/>
  <c r="AN2429" i="9" s="1"/>
  <c r="AF2429" i="9"/>
  <c r="AB2429" i="9"/>
  <c r="V2429" i="9"/>
  <c r="R2429" i="9"/>
  <c r="I2429" i="9"/>
  <c r="K2429" i="9" s="1"/>
  <c r="L2429" i="9" s="1"/>
  <c r="AM2428" i="9"/>
  <c r="AN2428" i="9" s="1"/>
  <c r="AF2428" i="9"/>
  <c r="AB2428" i="9"/>
  <c r="V2428" i="9"/>
  <c r="R2428" i="9"/>
  <c r="AK2428" i="9" s="1"/>
  <c r="AL2428" i="9" s="1"/>
  <c r="I2428" i="9"/>
  <c r="K2428" i="9" s="1"/>
  <c r="L2428" i="9" s="1"/>
  <c r="AM2427" i="9"/>
  <c r="AN2427" i="9" s="1"/>
  <c r="AK2427" i="9"/>
  <c r="AL2427" i="9" s="1"/>
  <c r="AF2427" i="9"/>
  <c r="AB2427" i="9"/>
  <c r="V2427" i="9"/>
  <c r="R2427" i="9"/>
  <c r="I2427" i="9"/>
  <c r="K2427" i="9" s="1"/>
  <c r="L2427" i="9" s="1"/>
  <c r="AM2426" i="9"/>
  <c r="AN2426" i="9" s="1"/>
  <c r="AF2426" i="9"/>
  <c r="AB2426" i="9"/>
  <c r="V2426" i="9"/>
  <c r="R2426" i="9"/>
  <c r="I2426" i="9"/>
  <c r="K2426" i="9" s="1"/>
  <c r="L2426" i="9" s="1"/>
  <c r="AO2425" i="9"/>
  <c r="AF2425" i="9"/>
  <c r="AE2425" i="9"/>
  <c r="AB2425" i="9"/>
  <c r="AA2425" i="9"/>
  <c r="V2425" i="9"/>
  <c r="U2425" i="9"/>
  <c r="R2425" i="9"/>
  <c r="Q2425" i="9"/>
  <c r="K2425" i="9"/>
  <c r="L2425" i="9" s="1"/>
  <c r="AF2424" i="9"/>
  <c r="AE2424" i="9"/>
  <c r="AB2424" i="9"/>
  <c r="AA2424" i="9"/>
  <c r="V2424" i="9"/>
  <c r="U2424" i="9"/>
  <c r="R2424" i="9"/>
  <c r="Q2424" i="9"/>
  <c r="L2424" i="9"/>
  <c r="K2424" i="9"/>
  <c r="AF2423" i="9"/>
  <c r="AE2423" i="9"/>
  <c r="AB2423" i="9"/>
  <c r="AA2423" i="9"/>
  <c r="V2423" i="9"/>
  <c r="U2423" i="9"/>
  <c r="R2423" i="9"/>
  <c r="Q2423" i="9"/>
  <c r="K2423" i="9"/>
  <c r="L2423" i="9" s="1"/>
  <c r="AM2422" i="9"/>
  <c r="AN2422" i="9" s="1"/>
  <c r="AF2422" i="9"/>
  <c r="AB2422" i="9"/>
  <c r="V2422" i="9"/>
  <c r="R2422" i="9"/>
  <c r="I2422" i="9"/>
  <c r="K2422" i="9" s="1"/>
  <c r="L2422" i="9" s="1"/>
  <c r="AM2421" i="9"/>
  <c r="AN2421" i="9" s="1"/>
  <c r="AF2421" i="9"/>
  <c r="AB2421" i="9"/>
  <c r="V2421" i="9"/>
  <c r="R2421" i="9"/>
  <c r="K2421" i="9"/>
  <c r="L2421" i="9" s="1"/>
  <c r="I2421" i="9"/>
  <c r="AM2420" i="9"/>
  <c r="AN2420" i="9" s="1"/>
  <c r="AF2420" i="9"/>
  <c r="AB2420" i="9"/>
  <c r="V2420" i="9"/>
  <c r="R2420" i="9"/>
  <c r="K2420" i="9"/>
  <c r="L2420" i="9" s="1"/>
  <c r="I2420" i="9"/>
  <c r="AM2419" i="9"/>
  <c r="AN2419" i="9" s="1"/>
  <c r="AF2419" i="9"/>
  <c r="AB2419" i="9"/>
  <c r="V2419" i="9"/>
  <c r="R2419" i="9"/>
  <c r="I2419" i="9"/>
  <c r="K2419" i="9" s="1"/>
  <c r="L2419" i="9" s="1"/>
  <c r="J2418" i="9"/>
  <c r="D2418" i="9"/>
  <c r="AM2417" i="9"/>
  <c r="AF2417" i="9"/>
  <c r="AB2417" i="9"/>
  <c r="V2417" i="9"/>
  <c r="R2417" i="9"/>
  <c r="J2417" i="9"/>
  <c r="I2417" i="9"/>
  <c r="K2417" i="9" s="1"/>
  <c r="D2417" i="9"/>
  <c r="AF2416" i="9"/>
  <c r="AE2416" i="9"/>
  <c r="AB2416" i="9"/>
  <c r="AA2416" i="9"/>
  <c r="V2416" i="9"/>
  <c r="U2416" i="9"/>
  <c r="R2416" i="9"/>
  <c r="Q2416" i="9"/>
  <c r="L2416" i="9"/>
  <c r="K2416" i="9"/>
  <c r="AF2415" i="9"/>
  <c r="AE2415" i="9"/>
  <c r="AB2415" i="9"/>
  <c r="AA2415" i="9"/>
  <c r="V2415" i="9"/>
  <c r="U2415" i="9"/>
  <c r="R2415" i="9"/>
  <c r="Q2415" i="9"/>
  <c r="L2415" i="9"/>
  <c r="K2415" i="9"/>
  <c r="AF2414" i="9"/>
  <c r="AE2414" i="9"/>
  <c r="AB2414" i="9"/>
  <c r="AA2414" i="9"/>
  <c r="V2414" i="9"/>
  <c r="AK2414" i="9" s="1"/>
  <c r="AL2414" i="9" s="1"/>
  <c r="U2414" i="9"/>
  <c r="R2414" i="9"/>
  <c r="Q2414" i="9"/>
  <c r="K2414" i="9"/>
  <c r="L2414" i="9" s="1"/>
  <c r="AM2413" i="9"/>
  <c r="AN2413" i="9" s="1"/>
  <c r="AF2413" i="9"/>
  <c r="AB2413" i="9"/>
  <c r="V2413" i="9"/>
  <c r="R2413" i="9"/>
  <c r="I2413" i="9"/>
  <c r="K2413" i="9" s="1"/>
  <c r="L2413" i="9" s="1"/>
  <c r="AF2412" i="9"/>
  <c r="AE2412" i="9"/>
  <c r="AB2412" i="9"/>
  <c r="AA2412" i="9"/>
  <c r="V2412" i="9"/>
  <c r="U2412" i="9"/>
  <c r="R2412" i="9"/>
  <c r="Q2412" i="9"/>
  <c r="L2412" i="9"/>
  <c r="I2412" i="9"/>
  <c r="K2412" i="9" s="1"/>
  <c r="AN2411" i="9"/>
  <c r="AM2411" i="9"/>
  <c r="AF2411" i="9"/>
  <c r="AB2411" i="9"/>
  <c r="V2411" i="9"/>
  <c r="R2411" i="9"/>
  <c r="I2411" i="9"/>
  <c r="K2411" i="9" s="1"/>
  <c r="L2411" i="9" s="1"/>
  <c r="AF2410" i="9"/>
  <c r="AE2410" i="9"/>
  <c r="AB2410" i="9"/>
  <c r="AK2410" i="9" s="1"/>
  <c r="AL2410" i="9" s="1"/>
  <c r="AA2410" i="9"/>
  <c r="V2410" i="9"/>
  <c r="U2410" i="9"/>
  <c r="AM2410" i="9" s="1"/>
  <c r="AN2410" i="9" s="1"/>
  <c r="R2410" i="9"/>
  <c r="Q2410" i="9"/>
  <c r="K2410" i="9"/>
  <c r="L2410" i="9" s="1"/>
  <c r="I2410" i="9"/>
  <c r="AF2409" i="9"/>
  <c r="AE2409" i="9"/>
  <c r="AB2409" i="9"/>
  <c r="AA2409" i="9"/>
  <c r="V2409" i="9"/>
  <c r="U2409" i="9"/>
  <c r="R2409" i="9"/>
  <c r="Q2409" i="9"/>
  <c r="AM2409" i="9" s="1"/>
  <c r="AN2409" i="9" s="1"/>
  <c r="I2409" i="9"/>
  <c r="K2409" i="9" s="1"/>
  <c r="L2409" i="9" s="1"/>
  <c r="AF2408" i="9"/>
  <c r="AE2408" i="9"/>
  <c r="AM2408" i="9" s="1"/>
  <c r="AN2408" i="9" s="1"/>
  <c r="AB2408" i="9"/>
  <c r="AA2408" i="9"/>
  <c r="V2408" i="9"/>
  <c r="U2408" i="9"/>
  <c r="R2408" i="9"/>
  <c r="Q2408" i="9"/>
  <c r="K2408" i="9"/>
  <c r="L2408" i="9" s="1"/>
  <c r="I2408" i="9"/>
  <c r="AM2407" i="9"/>
  <c r="J2407" i="9"/>
  <c r="D2407" i="9"/>
  <c r="AM2406" i="9"/>
  <c r="J2406" i="9"/>
  <c r="D2406" i="9"/>
  <c r="AF2405" i="9"/>
  <c r="AE2405" i="9"/>
  <c r="AB2405" i="9"/>
  <c r="AA2405" i="9"/>
  <c r="V2405" i="9"/>
  <c r="U2405" i="9"/>
  <c r="AM2405" i="9" s="1"/>
  <c r="AN2405" i="9" s="1"/>
  <c r="R2405" i="9"/>
  <c r="Q2405" i="9"/>
  <c r="K2405" i="9"/>
  <c r="L2405" i="9" s="1"/>
  <c r="AM2404" i="9"/>
  <c r="AN2404" i="9" s="1"/>
  <c r="AF2404" i="9"/>
  <c r="AB2404" i="9"/>
  <c r="V2404" i="9"/>
  <c r="R2404" i="9"/>
  <c r="I2404" i="9"/>
  <c r="K2404" i="9" s="1"/>
  <c r="L2404" i="9" s="1"/>
  <c r="AO2403" i="9"/>
  <c r="AK2403" i="9"/>
  <c r="AL2403" i="9" s="1"/>
  <c r="AF2403" i="9"/>
  <c r="AE2403" i="9"/>
  <c r="AB2403" i="9"/>
  <c r="AA2403" i="9"/>
  <c r="V2403" i="9"/>
  <c r="U2403" i="9"/>
  <c r="R2403" i="9"/>
  <c r="Q2403" i="9"/>
  <c r="AM2403" i="9" s="1"/>
  <c r="AN2403" i="9" s="1"/>
  <c r="K2403" i="9"/>
  <c r="L2403" i="9" s="1"/>
  <c r="AF2402" i="9"/>
  <c r="AE2402" i="9"/>
  <c r="AB2402" i="9"/>
  <c r="AA2402" i="9"/>
  <c r="V2402" i="9"/>
  <c r="U2402" i="9"/>
  <c r="R2402" i="9"/>
  <c r="Q2402" i="9"/>
  <c r="K2402" i="9"/>
  <c r="L2402" i="9" s="1"/>
  <c r="AM2401" i="9"/>
  <c r="AN2401" i="9" s="1"/>
  <c r="AF2401" i="9"/>
  <c r="AB2401" i="9"/>
  <c r="V2401" i="9"/>
  <c r="R2401" i="9"/>
  <c r="AK2401" i="9" s="1"/>
  <c r="AL2401" i="9" s="1"/>
  <c r="K2401" i="9"/>
  <c r="L2401" i="9" s="1"/>
  <c r="I2401" i="9"/>
  <c r="AN2400" i="9"/>
  <c r="AM2400" i="9"/>
  <c r="AF2400" i="9"/>
  <c r="AB2400" i="9"/>
  <c r="V2400" i="9"/>
  <c r="R2400" i="9"/>
  <c r="I2400" i="9"/>
  <c r="K2400" i="9" s="1"/>
  <c r="L2400" i="9" s="1"/>
  <c r="AM2399" i="9"/>
  <c r="AN2399" i="9" s="1"/>
  <c r="AF2399" i="9"/>
  <c r="AB2399" i="9"/>
  <c r="V2399" i="9"/>
  <c r="R2399" i="9"/>
  <c r="I2399" i="9"/>
  <c r="K2399" i="9" s="1"/>
  <c r="L2399" i="9" s="1"/>
  <c r="AM2398" i="9"/>
  <c r="AN2398" i="9" s="1"/>
  <c r="AF2398" i="9"/>
  <c r="AB2398" i="9"/>
  <c r="V2398" i="9"/>
  <c r="R2398" i="9"/>
  <c r="I2398" i="9"/>
  <c r="K2398" i="9" s="1"/>
  <c r="L2398" i="9" s="1"/>
  <c r="AM2397" i="9"/>
  <c r="AN2397" i="9" s="1"/>
  <c r="AK2397" i="9"/>
  <c r="AL2397" i="9" s="1"/>
  <c r="AF2397" i="9"/>
  <c r="AB2397" i="9"/>
  <c r="V2397" i="9"/>
  <c r="R2397" i="9"/>
  <c r="I2397" i="9"/>
  <c r="K2397" i="9" s="1"/>
  <c r="L2397" i="9" s="1"/>
  <c r="AM2396" i="9"/>
  <c r="AN2396" i="9" s="1"/>
  <c r="AF2396" i="9"/>
  <c r="AB2396" i="9"/>
  <c r="V2396" i="9"/>
  <c r="R2396" i="9"/>
  <c r="I2396" i="9"/>
  <c r="K2396" i="9" s="1"/>
  <c r="L2396" i="9" s="1"/>
  <c r="AN2395" i="9"/>
  <c r="AM2395" i="9"/>
  <c r="AF2395" i="9"/>
  <c r="AB2395" i="9"/>
  <c r="V2395" i="9"/>
  <c r="AK2395" i="9" s="1"/>
  <c r="AL2395" i="9" s="1"/>
  <c r="R2395" i="9"/>
  <c r="I2395" i="9"/>
  <c r="K2395" i="9" s="1"/>
  <c r="L2395" i="9" s="1"/>
  <c r="AM2394" i="9"/>
  <c r="AN2394" i="9" s="1"/>
  <c r="AF2394" i="9"/>
  <c r="AB2394" i="9"/>
  <c r="V2394" i="9"/>
  <c r="R2394" i="9"/>
  <c r="I2394" i="9"/>
  <c r="K2394" i="9" s="1"/>
  <c r="L2394" i="9" s="1"/>
  <c r="AM2393" i="9"/>
  <c r="AN2393" i="9" s="1"/>
  <c r="AF2393" i="9"/>
  <c r="AB2393" i="9"/>
  <c r="V2393" i="9"/>
  <c r="R2393" i="9"/>
  <c r="K2393" i="9"/>
  <c r="L2393" i="9" s="1"/>
  <c r="I2393" i="9"/>
  <c r="AM2392" i="9"/>
  <c r="AN2392" i="9" s="1"/>
  <c r="AF2392" i="9"/>
  <c r="AB2392" i="9"/>
  <c r="V2392" i="9"/>
  <c r="R2392" i="9"/>
  <c r="K2392" i="9"/>
  <c r="L2392" i="9" s="1"/>
  <c r="I2392" i="9"/>
  <c r="AM2391" i="9"/>
  <c r="AN2391" i="9" s="1"/>
  <c r="AF2391" i="9"/>
  <c r="AB2391" i="9"/>
  <c r="V2391" i="9"/>
  <c r="R2391" i="9"/>
  <c r="I2391" i="9"/>
  <c r="K2391" i="9" s="1"/>
  <c r="L2391" i="9" s="1"/>
  <c r="AM2390" i="9"/>
  <c r="AN2390" i="9" s="1"/>
  <c r="AF2390" i="9"/>
  <c r="AB2390" i="9"/>
  <c r="V2390" i="9"/>
  <c r="R2390" i="9"/>
  <c r="I2390" i="9"/>
  <c r="K2390" i="9" s="1"/>
  <c r="L2390" i="9" s="1"/>
  <c r="AM2389" i="9"/>
  <c r="AN2389" i="9" s="1"/>
  <c r="AF2389" i="9"/>
  <c r="AB2389" i="9"/>
  <c r="V2389" i="9"/>
  <c r="R2389" i="9"/>
  <c r="I2389" i="9"/>
  <c r="K2389" i="9" s="1"/>
  <c r="L2389" i="9" s="1"/>
  <c r="AN2388" i="9"/>
  <c r="AM2388" i="9"/>
  <c r="AF2388" i="9"/>
  <c r="AB2388" i="9"/>
  <c r="V2388" i="9"/>
  <c r="R2388" i="9"/>
  <c r="I2388" i="9"/>
  <c r="K2388" i="9" s="1"/>
  <c r="L2388" i="9" s="1"/>
  <c r="AM2387" i="9"/>
  <c r="AN2387" i="9" s="1"/>
  <c r="AF2387" i="9"/>
  <c r="AB2387" i="9"/>
  <c r="V2387" i="9"/>
  <c r="R2387" i="9"/>
  <c r="L2387" i="9"/>
  <c r="K2387" i="9"/>
  <c r="I2387" i="9"/>
  <c r="AN2386" i="9"/>
  <c r="AM2386" i="9"/>
  <c r="AF2386" i="9"/>
  <c r="AB2386" i="9"/>
  <c r="V2386" i="9"/>
  <c r="R2386" i="9"/>
  <c r="I2386" i="9"/>
  <c r="K2386" i="9" s="1"/>
  <c r="L2386" i="9" s="1"/>
  <c r="AM2385" i="9"/>
  <c r="AN2385" i="9" s="1"/>
  <c r="AF2385" i="9"/>
  <c r="AB2385" i="9"/>
  <c r="V2385" i="9"/>
  <c r="R2385" i="9"/>
  <c r="L2385" i="9"/>
  <c r="I2385" i="9"/>
  <c r="K2385" i="9" s="1"/>
  <c r="AM2384" i="9"/>
  <c r="AN2384" i="9" s="1"/>
  <c r="AF2384" i="9"/>
  <c r="AB2384" i="9"/>
  <c r="V2384" i="9"/>
  <c r="R2384" i="9"/>
  <c r="AK2384" i="9" s="1"/>
  <c r="AL2384" i="9" s="1"/>
  <c r="L2384" i="9"/>
  <c r="K2384" i="9"/>
  <c r="I2384" i="9"/>
  <c r="AF2383" i="9"/>
  <c r="AE2383" i="9"/>
  <c r="AB2383" i="9"/>
  <c r="AK2383" i="9" s="1"/>
  <c r="AL2383" i="9" s="1"/>
  <c r="AA2383" i="9"/>
  <c r="V2383" i="9"/>
  <c r="U2383" i="9"/>
  <c r="R2383" i="9"/>
  <c r="Q2383" i="9"/>
  <c r="K2383" i="9"/>
  <c r="L2383" i="9" s="1"/>
  <c r="I2383" i="9"/>
  <c r="AM2382" i="9"/>
  <c r="AN2382" i="9" s="1"/>
  <c r="AF2382" i="9"/>
  <c r="AB2382" i="9"/>
  <c r="V2382" i="9"/>
  <c r="R2382" i="9"/>
  <c r="I2382" i="9"/>
  <c r="K2382" i="9" s="1"/>
  <c r="L2382" i="9" s="1"/>
  <c r="AM2381" i="9"/>
  <c r="AN2381" i="9" s="1"/>
  <c r="AF2381" i="9"/>
  <c r="AB2381" i="9"/>
  <c r="V2381" i="9"/>
  <c r="R2381" i="9"/>
  <c r="I2381" i="9"/>
  <c r="K2381" i="9" s="1"/>
  <c r="L2381" i="9" s="1"/>
  <c r="AM2380" i="9"/>
  <c r="AN2380" i="9" s="1"/>
  <c r="AF2380" i="9"/>
  <c r="AB2380" i="9"/>
  <c r="V2380" i="9"/>
  <c r="AK2380" i="9" s="1"/>
  <c r="AL2380" i="9" s="1"/>
  <c r="R2380" i="9"/>
  <c r="K2380" i="9"/>
  <c r="L2380" i="9" s="1"/>
  <c r="I2380" i="9"/>
  <c r="AM2379" i="9"/>
  <c r="AN2379" i="9" s="1"/>
  <c r="AF2379" i="9"/>
  <c r="AB2379" i="9"/>
  <c r="V2379" i="9"/>
  <c r="R2379" i="9"/>
  <c r="I2379" i="9"/>
  <c r="K2379" i="9" s="1"/>
  <c r="L2379" i="9" s="1"/>
  <c r="AM2378" i="9"/>
  <c r="AN2378" i="9" s="1"/>
  <c r="AF2378" i="9"/>
  <c r="AB2378" i="9"/>
  <c r="V2378" i="9"/>
  <c r="R2378" i="9"/>
  <c r="L2378" i="9"/>
  <c r="I2378" i="9"/>
  <c r="K2378" i="9" s="1"/>
  <c r="AN2377" i="9"/>
  <c r="AM2377" i="9"/>
  <c r="AF2377" i="9"/>
  <c r="AB2377" i="9"/>
  <c r="V2377" i="9"/>
  <c r="R2377" i="9"/>
  <c r="L2377" i="9"/>
  <c r="I2377" i="9"/>
  <c r="K2377" i="9" s="1"/>
  <c r="AM2376" i="9"/>
  <c r="AF2376" i="9"/>
  <c r="AB2376" i="9"/>
  <c r="V2376" i="9"/>
  <c r="R2376" i="9"/>
  <c r="J2376" i="9"/>
  <c r="D2376" i="9"/>
  <c r="AM2375" i="9"/>
  <c r="AN2375" i="9" s="1"/>
  <c r="AF2375" i="9"/>
  <c r="AE2375" i="9"/>
  <c r="AB2375" i="9"/>
  <c r="AA2375" i="9"/>
  <c r="V2375" i="9"/>
  <c r="U2375" i="9"/>
  <c r="R2375" i="9"/>
  <c r="Q2375" i="9"/>
  <c r="I2375" i="9"/>
  <c r="K2375" i="9" s="1"/>
  <c r="L2375" i="9" s="1"/>
  <c r="AN2374" i="9"/>
  <c r="AM2374" i="9"/>
  <c r="AF2374" i="9"/>
  <c r="AB2374" i="9"/>
  <c r="V2374" i="9"/>
  <c r="AK2374" i="9" s="1"/>
  <c r="AL2374" i="9" s="1"/>
  <c r="R2374" i="9"/>
  <c r="I2374" i="9"/>
  <c r="K2374" i="9" s="1"/>
  <c r="L2374" i="9" s="1"/>
  <c r="AM2373" i="9"/>
  <c r="AN2373" i="9" s="1"/>
  <c r="AF2373" i="9"/>
  <c r="AB2373" i="9"/>
  <c r="V2373" i="9"/>
  <c r="R2373" i="9"/>
  <c r="AK2373" i="9" s="1"/>
  <c r="AL2373" i="9" s="1"/>
  <c r="I2373" i="9"/>
  <c r="K2373" i="9" s="1"/>
  <c r="L2373" i="9" s="1"/>
  <c r="AM2372" i="9"/>
  <c r="AN2372" i="9" s="1"/>
  <c r="AF2372" i="9"/>
  <c r="AB2372" i="9"/>
  <c r="V2372" i="9"/>
  <c r="R2372" i="9"/>
  <c r="I2372" i="9"/>
  <c r="K2372" i="9" s="1"/>
  <c r="L2372" i="9" s="1"/>
  <c r="AM2371" i="9"/>
  <c r="AN2371" i="9" s="1"/>
  <c r="AF2371" i="9"/>
  <c r="AB2371" i="9"/>
  <c r="V2371" i="9"/>
  <c r="R2371" i="9"/>
  <c r="AK2371" i="9" s="1"/>
  <c r="AL2371" i="9" s="1"/>
  <c r="I2371" i="9"/>
  <c r="K2371" i="9" s="1"/>
  <c r="L2371" i="9" s="1"/>
  <c r="AN2370" i="9"/>
  <c r="AM2370" i="9"/>
  <c r="AF2370" i="9"/>
  <c r="AB2370" i="9"/>
  <c r="AK2370" i="9" s="1"/>
  <c r="AL2370" i="9" s="1"/>
  <c r="V2370" i="9"/>
  <c r="R2370" i="9"/>
  <c r="I2370" i="9"/>
  <c r="K2370" i="9" s="1"/>
  <c r="L2370" i="9" s="1"/>
  <c r="AM2369" i="9"/>
  <c r="AN2369" i="9" s="1"/>
  <c r="AF2369" i="9"/>
  <c r="AB2369" i="9"/>
  <c r="V2369" i="9"/>
  <c r="R2369" i="9"/>
  <c r="AK2369" i="9" s="1"/>
  <c r="AL2369" i="9" s="1"/>
  <c r="I2369" i="9"/>
  <c r="K2369" i="9" s="1"/>
  <c r="L2369" i="9" s="1"/>
  <c r="AN2368" i="9"/>
  <c r="AM2368" i="9"/>
  <c r="AF2368" i="9"/>
  <c r="AB2368" i="9"/>
  <c r="V2368" i="9"/>
  <c r="R2368" i="9"/>
  <c r="I2368" i="9"/>
  <c r="K2368" i="9" s="1"/>
  <c r="L2368" i="9" s="1"/>
  <c r="AM2367" i="9"/>
  <c r="AN2367" i="9" s="1"/>
  <c r="AF2367" i="9"/>
  <c r="AB2367" i="9"/>
  <c r="V2367" i="9"/>
  <c r="R2367" i="9"/>
  <c r="I2367" i="9"/>
  <c r="K2367" i="9" s="1"/>
  <c r="L2367" i="9" s="1"/>
  <c r="AN2366" i="9"/>
  <c r="AM2366" i="9"/>
  <c r="AF2366" i="9"/>
  <c r="AB2366" i="9"/>
  <c r="V2366" i="9"/>
  <c r="R2366" i="9"/>
  <c r="I2366" i="9"/>
  <c r="K2366" i="9" s="1"/>
  <c r="L2366" i="9" s="1"/>
  <c r="AM2365" i="9"/>
  <c r="AN2365" i="9" s="1"/>
  <c r="AF2365" i="9"/>
  <c r="AB2365" i="9"/>
  <c r="V2365" i="9"/>
  <c r="R2365" i="9"/>
  <c r="L2365" i="9"/>
  <c r="I2365" i="9"/>
  <c r="K2365" i="9" s="1"/>
  <c r="AM2364" i="9"/>
  <c r="AN2364" i="9" s="1"/>
  <c r="AF2364" i="9"/>
  <c r="AB2364" i="9"/>
  <c r="V2364" i="9"/>
  <c r="R2364" i="9"/>
  <c r="I2364" i="9"/>
  <c r="K2364" i="9" s="1"/>
  <c r="L2364" i="9" s="1"/>
  <c r="AM2363" i="9"/>
  <c r="AN2363" i="9" s="1"/>
  <c r="AF2363" i="9"/>
  <c r="AB2363" i="9"/>
  <c r="V2363" i="9"/>
  <c r="R2363" i="9"/>
  <c r="AK2363" i="9" s="1"/>
  <c r="AL2363" i="9" s="1"/>
  <c r="I2363" i="9"/>
  <c r="K2363" i="9" s="1"/>
  <c r="L2363" i="9" s="1"/>
  <c r="AM2362" i="9"/>
  <c r="AN2362" i="9" s="1"/>
  <c r="AF2362" i="9"/>
  <c r="AB2362" i="9"/>
  <c r="V2362" i="9"/>
  <c r="R2362" i="9"/>
  <c r="K2362" i="9"/>
  <c r="L2362" i="9" s="1"/>
  <c r="I2362" i="9"/>
  <c r="AM2361" i="9"/>
  <c r="AN2361" i="9" s="1"/>
  <c r="AF2361" i="9"/>
  <c r="AB2361" i="9"/>
  <c r="V2361" i="9"/>
  <c r="R2361" i="9"/>
  <c r="I2361" i="9"/>
  <c r="K2361" i="9" s="1"/>
  <c r="L2361" i="9" s="1"/>
  <c r="AN2360" i="9"/>
  <c r="AM2360" i="9"/>
  <c r="AF2360" i="9"/>
  <c r="AB2360" i="9"/>
  <c r="V2360" i="9"/>
  <c r="R2360" i="9"/>
  <c r="I2360" i="9"/>
  <c r="K2360" i="9" s="1"/>
  <c r="L2360" i="9" s="1"/>
  <c r="AF2359" i="9"/>
  <c r="V2359" i="9"/>
  <c r="J2359" i="9"/>
  <c r="AO2356" i="9" s="1"/>
  <c r="D2359" i="9"/>
  <c r="AN2358" i="9"/>
  <c r="AM2358" i="9"/>
  <c r="AF2358" i="9"/>
  <c r="R2358" i="9"/>
  <c r="K2358" i="9"/>
  <c r="J2358" i="9"/>
  <c r="AB2358" i="9" s="1"/>
  <c r="D2358" i="9"/>
  <c r="I2358" i="9" s="1"/>
  <c r="AN2357" i="9"/>
  <c r="AM2357" i="9"/>
  <c r="AF2357" i="9"/>
  <c r="AB2357" i="9"/>
  <c r="V2357" i="9"/>
  <c r="R2357" i="9"/>
  <c r="I2357" i="9"/>
  <c r="K2357" i="9" s="1"/>
  <c r="L2357" i="9" s="1"/>
  <c r="AF2356" i="9"/>
  <c r="AE2356" i="9"/>
  <c r="AB2356" i="9"/>
  <c r="AA2356" i="9"/>
  <c r="V2356" i="9"/>
  <c r="AK2356" i="9" s="1"/>
  <c r="AL2356" i="9" s="1"/>
  <c r="U2356" i="9"/>
  <c r="R2356" i="9"/>
  <c r="Q2356" i="9"/>
  <c r="K2356" i="9"/>
  <c r="L2356" i="9" s="1"/>
  <c r="AF2355" i="9"/>
  <c r="AE2355" i="9"/>
  <c r="AB2355" i="9"/>
  <c r="AA2355" i="9"/>
  <c r="V2355" i="9"/>
  <c r="U2355" i="9"/>
  <c r="R2355" i="9"/>
  <c r="Q2355" i="9"/>
  <c r="K2355" i="9"/>
  <c r="L2355" i="9" s="1"/>
  <c r="AF2354" i="9"/>
  <c r="AE2354" i="9"/>
  <c r="AB2354" i="9"/>
  <c r="AA2354" i="9"/>
  <c r="V2354" i="9"/>
  <c r="U2354" i="9"/>
  <c r="R2354" i="9"/>
  <c r="Q2354" i="9"/>
  <c r="AM2354" i="9" s="1"/>
  <c r="AN2354" i="9" s="1"/>
  <c r="K2354" i="9"/>
  <c r="L2354" i="9" s="1"/>
  <c r="AF2353" i="9"/>
  <c r="AE2353" i="9"/>
  <c r="AB2353" i="9"/>
  <c r="AA2353" i="9"/>
  <c r="V2353" i="9"/>
  <c r="U2353" i="9"/>
  <c r="R2353" i="9"/>
  <c r="AK2353" i="9" s="1"/>
  <c r="AL2353" i="9" s="1"/>
  <c r="Q2353" i="9"/>
  <c r="K2353" i="9"/>
  <c r="L2353" i="9" s="1"/>
  <c r="AF2352" i="9"/>
  <c r="AE2352" i="9"/>
  <c r="AB2352" i="9"/>
  <c r="AA2352" i="9"/>
  <c r="V2352" i="9"/>
  <c r="U2352" i="9"/>
  <c r="R2352" i="9"/>
  <c r="Q2352" i="9"/>
  <c r="K2352" i="9"/>
  <c r="L2352" i="9" s="1"/>
  <c r="AF2351" i="9"/>
  <c r="AE2351" i="9"/>
  <c r="AB2351" i="9"/>
  <c r="AA2351" i="9"/>
  <c r="V2351" i="9"/>
  <c r="U2351" i="9"/>
  <c r="R2351" i="9"/>
  <c r="Q2351" i="9"/>
  <c r="K2351" i="9"/>
  <c r="L2351" i="9" s="1"/>
  <c r="AM2350" i="9"/>
  <c r="AN2350" i="9" s="1"/>
  <c r="AK2350" i="9"/>
  <c r="AL2350" i="9" s="1"/>
  <c r="I2350" i="9"/>
  <c r="K2350" i="9" s="1"/>
  <c r="L2350" i="9" s="1"/>
  <c r="AM2349" i="9"/>
  <c r="AN2349" i="9" s="1"/>
  <c r="AK2349" i="9"/>
  <c r="AL2349" i="9" s="1"/>
  <c r="K2349" i="9"/>
  <c r="L2349" i="9" s="1"/>
  <c r="I2349" i="9"/>
  <c r="AM2348" i="9"/>
  <c r="AN2348" i="9" s="1"/>
  <c r="AK2348" i="9"/>
  <c r="AL2348" i="9" s="1"/>
  <c r="K2348" i="9"/>
  <c r="L2348" i="9" s="1"/>
  <c r="I2348" i="9"/>
  <c r="AN2347" i="9"/>
  <c r="AM2347" i="9"/>
  <c r="AL2347" i="9"/>
  <c r="AK2347" i="9"/>
  <c r="L2347" i="9"/>
  <c r="I2347" i="9"/>
  <c r="K2347" i="9" s="1"/>
  <c r="AM2346" i="9"/>
  <c r="AN2346" i="9" s="1"/>
  <c r="AK2346" i="9"/>
  <c r="AL2346" i="9" s="1"/>
  <c r="I2346" i="9"/>
  <c r="K2346" i="9" s="1"/>
  <c r="L2346" i="9" s="1"/>
  <c r="AM2345" i="9"/>
  <c r="AN2345" i="9" s="1"/>
  <c r="AK2345" i="9"/>
  <c r="AL2345" i="9" s="1"/>
  <c r="I2345" i="9"/>
  <c r="K2345" i="9" s="1"/>
  <c r="L2345" i="9" s="1"/>
  <c r="AM2344" i="9"/>
  <c r="AN2344" i="9" s="1"/>
  <c r="AK2344" i="9"/>
  <c r="AL2344" i="9" s="1"/>
  <c r="K2344" i="9"/>
  <c r="L2344" i="9" s="1"/>
  <c r="I2344" i="9"/>
  <c r="AM2343" i="9"/>
  <c r="AN2343" i="9" s="1"/>
  <c r="AF2343" i="9"/>
  <c r="AB2343" i="9"/>
  <c r="V2343" i="9"/>
  <c r="R2343" i="9"/>
  <c r="I2343" i="9"/>
  <c r="K2343" i="9" s="1"/>
  <c r="L2343" i="9" s="1"/>
  <c r="AM2342" i="9"/>
  <c r="AN2342" i="9" s="1"/>
  <c r="AF2342" i="9"/>
  <c r="AB2342" i="9"/>
  <c r="V2342" i="9"/>
  <c r="R2342" i="9"/>
  <c r="I2342" i="9"/>
  <c r="K2342" i="9" s="1"/>
  <c r="L2342" i="9" s="1"/>
  <c r="AM2341" i="9"/>
  <c r="AF2341" i="9"/>
  <c r="J2341" i="9"/>
  <c r="I2341" i="9" s="1"/>
  <c r="K2341" i="9" s="1"/>
  <c r="L2341" i="9" s="1"/>
  <c r="D2341" i="9"/>
  <c r="AM2340" i="9"/>
  <c r="AN2340" i="9" s="1"/>
  <c r="AL2340" i="9"/>
  <c r="AK2340" i="9"/>
  <c r="I2340" i="9"/>
  <c r="K2340" i="9" s="1"/>
  <c r="L2340" i="9" s="1"/>
  <c r="AM2339" i="9"/>
  <c r="AN2339" i="9" s="1"/>
  <c r="AK2339" i="9"/>
  <c r="AL2339" i="9" s="1"/>
  <c r="K2339" i="9"/>
  <c r="L2339" i="9" s="1"/>
  <c r="I2339" i="9"/>
  <c r="AN2338" i="9"/>
  <c r="AM2338" i="9"/>
  <c r="AK2338" i="9"/>
  <c r="AL2338" i="9" s="1"/>
  <c r="I2338" i="9"/>
  <c r="K2338" i="9" s="1"/>
  <c r="L2338" i="9" s="1"/>
  <c r="AM2337" i="9"/>
  <c r="AN2337" i="9" s="1"/>
  <c r="AL2337" i="9"/>
  <c r="AK2337" i="9"/>
  <c r="I2337" i="9"/>
  <c r="K2337" i="9" s="1"/>
  <c r="L2337" i="9" s="1"/>
  <c r="AM2336" i="9"/>
  <c r="AN2336" i="9" s="1"/>
  <c r="AF2336" i="9"/>
  <c r="AB2336" i="9"/>
  <c r="V2336" i="9"/>
  <c r="R2336" i="9"/>
  <c r="L2336" i="9"/>
  <c r="I2336" i="9"/>
  <c r="K2336" i="9" s="1"/>
  <c r="AF2335" i="9"/>
  <c r="AE2335" i="9"/>
  <c r="AA2335" i="9"/>
  <c r="Q2335" i="9"/>
  <c r="J2335" i="9"/>
  <c r="D2335" i="9"/>
  <c r="U2335" i="9" s="1"/>
  <c r="Q2334" i="9"/>
  <c r="J2334" i="9"/>
  <c r="I2334" i="9" s="1"/>
  <c r="D2334" i="9"/>
  <c r="AF2333" i="9"/>
  <c r="AE2333" i="9"/>
  <c r="AB2333" i="9"/>
  <c r="AA2333" i="9"/>
  <c r="V2333" i="9"/>
  <c r="U2333" i="9"/>
  <c r="R2333" i="9"/>
  <c r="Q2333" i="9"/>
  <c r="K2333" i="9"/>
  <c r="L2333" i="9" s="1"/>
  <c r="AF2332" i="9"/>
  <c r="AE2332" i="9"/>
  <c r="AB2332" i="9"/>
  <c r="AA2332" i="9"/>
  <c r="V2332" i="9"/>
  <c r="U2332" i="9"/>
  <c r="R2332" i="9"/>
  <c r="Q2332" i="9"/>
  <c r="K2332" i="9"/>
  <c r="L2332" i="9" s="1"/>
  <c r="AM2331" i="9"/>
  <c r="AN2331" i="9" s="1"/>
  <c r="AK2331" i="9"/>
  <c r="AL2331" i="9" s="1"/>
  <c r="I2331" i="9"/>
  <c r="K2331" i="9" s="1"/>
  <c r="L2331" i="9" s="1"/>
  <c r="AM2330" i="9"/>
  <c r="AN2330" i="9" s="1"/>
  <c r="AK2330" i="9"/>
  <c r="AL2330" i="9" s="1"/>
  <c r="I2330" i="9"/>
  <c r="K2330" i="9" s="1"/>
  <c r="L2330" i="9" s="1"/>
  <c r="AN2329" i="9"/>
  <c r="AM2329" i="9"/>
  <c r="AK2329" i="9"/>
  <c r="AL2329" i="9" s="1"/>
  <c r="AF2329" i="9"/>
  <c r="AB2329" i="9"/>
  <c r="V2329" i="9"/>
  <c r="R2329" i="9"/>
  <c r="L2329" i="9"/>
  <c r="I2329" i="9"/>
  <c r="K2329" i="9" s="1"/>
  <c r="AM2328" i="9"/>
  <c r="AN2328" i="9" s="1"/>
  <c r="AF2328" i="9"/>
  <c r="AB2328" i="9"/>
  <c r="V2328" i="9"/>
  <c r="R2328" i="9"/>
  <c r="K2328" i="9"/>
  <c r="L2328" i="9" s="1"/>
  <c r="I2328" i="9"/>
  <c r="AM2327" i="9"/>
  <c r="AN2327" i="9" s="1"/>
  <c r="AK2327" i="9"/>
  <c r="AL2327" i="9" s="1"/>
  <c r="I2327" i="9"/>
  <c r="K2327" i="9" s="1"/>
  <c r="L2327" i="9" s="1"/>
  <c r="AM2326" i="9"/>
  <c r="AN2326" i="9" s="1"/>
  <c r="AK2326" i="9"/>
  <c r="AL2326" i="9" s="1"/>
  <c r="K2326" i="9"/>
  <c r="L2326" i="9" s="1"/>
  <c r="I2326" i="9"/>
  <c r="AM2325" i="9"/>
  <c r="AN2325" i="9" s="1"/>
  <c r="AK2325" i="9"/>
  <c r="AL2325" i="9" s="1"/>
  <c r="I2325" i="9"/>
  <c r="K2325" i="9" s="1"/>
  <c r="L2325" i="9" s="1"/>
  <c r="AM2324" i="9"/>
  <c r="AN2324" i="9" s="1"/>
  <c r="AK2324" i="9"/>
  <c r="AL2324" i="9" s="1"/>
  <c r="I2324" i="9"/>
  <c r="K2324" i="9" s="1"/>
  <c r="L2324" i="9" s="1"/>
  <c r="AM2323" i="9"/>
  <c r="AN2323" i="9" s="1"/>
  <c r="AL2323" i="9"/>
  <c r="AK2323" i="9"/>
  <c r="I2323" i="9"/>
  <c r="K2323" i="9" s="1"/>
  <c r="L2323" i="9" s="1"/>
  <c r="AN2322" i="9"/>
  <c r="AM2322" i="9"/>
  <c r="AK2322" i="9"/>
  <c r="AL2322" i="9" s="1"/>
  <c r="K2322" i="9"/>
  <c r="L2322" i="9" s="1"/>
  <c r="I2322" i="9"/>
  <c r="AM2321" i="9"/>
  <c r="AN2321" i="9" s="1"/>
  <c r="AL2321" i="9"/>
  <c r="AK2321" i="9"/>
  <c r="I2321" i="9"/>
  <c r="K2321" i="9" s="1"/>
  <c r="L2321" i="9" s="1"/>
  <c r="AN2320" i="9"/>
  <c r="AM2320" i="9"/>
  <c r="AK2320" i="9"/>
  <c r="AL2320" i="9" s="1"/>
  <c r="L2320" i="9"/>
  <c r="I2320" i="9"/>
  <c r="K2320" i="9" s="1"/>
  <c r="AN2319" i="9"/>
  <c r="AM2319" i="9"/>
  <c r="AK2319" i="9"/>
  <c r="AL2319" i="9" s="1"/>
  <c r="I2319" i="9"/>
  <c r="K2319" i="9" s="1"/>
  <c r="L2319" i="9" s="1"/>
  <c r="AM2318" i="9"/>
  <c r="AN2318" i="9" s="1"/>
  <c r="AL2318" i="9"/>
  <c r="AK2318" i="9"/>
  <c r="AF2318" i="9"/>
  <c r="AB2318" i="9"/>
  <c r="V2318" i="9"/>
  <c r="R2318" i="9"/>
  <c r="L2318" i="9"/>
  <c r="I2318" i="9"/>
  <c r="K2318" i="9" s="1"/>
  <c r="AF2317" i="9"/>
  <c r="AE2317" i="9"/>
  <c r="AB2317" i="9"/>
  <c r="AA2317" i="9"/>
  <c r="V2317" i="9"/>
  <c r="U2317" i="9"/>
  <c r="R2317" i="9"/>
  <c r="Q2317" i="9"/>
  <c r="I2317" i="9"/>
  <c r="K2317" i="9" s="1"/>
  <c r="L2317" i="9" s="1"/>
  <c r="AF2316" i="9"/>
  <c r="AE2316" i="9"/>
  <c r="AB2316" i="9"/>
  <c r="AA2316" i="9"/>
  <c r="V2316" i="9"/>
  <c r="U2316" i="9"/>
  <c r="R2316" i="9"/>
  <c r="Q2316" i="9"/>
  <c r="I2316" i="9"/>
  <c r="K2316" i="9" s="1"/>
  <c r="L2316" i="9" s="1"/>
  <c r="AF2315" i="9"/>
  <c r="AE2315" i="9"/>
  <c r="AB2315" i="9"/>
  <c r="AA2315" i="9"/>
  <c r="V2315" i="9"/>
  <c r="U2315" i="9"/>
  <c r="R2315" i="9"/>
  <c r="AK2315" i="9" s="1"/>
  <c r="AL2315" i="9" s="1"/>
  <c r="Q2315" i="9"/>
  <c r="I2315" i="9"/>
  <c r="K2315" i="9" s="1"/>
  <c r="L2315" i="9" s="1"/>
  <c r="AN2314" i="9"/>
  <c r="AM2314" i="9"/>
  <c r="AF2314" i="9"/>
  <c r="AB2314" i="9"/>
  <c r="AK2314" i="9" s="1"/>
  <c r="AL2314" i="9" s="1"/>
  <c r="V2314" i="9"/>
  <c r="R2314" i="9"/>
  <c r="K2314" i="9"/>
  <c r="L2314" i="9" s="1"/>
  <c r="I2314" i="9"/>
  <c r="AF2313" i="9"/>
  <c r="AE2313" i="9"/>
  <c r="AB2313" i="9"/>
  <c r="AA2313" i="9"/>
  <c r="V2313" i="9"/>
  <c r="U2313" i="9"/>
  <c r="R2313" i="9"/>
  <c r="Q2313" i="9"/>
  <c r="K2313" i="9"/>
  <c r="L2313" i="9" s="1"/>
  <c r="I2313" i="9"/>
  <c r="AM2312" i="9"/>
  <c r="AN2312" i="9" s="1"/>
  <c r="AF2312" i="9"/>
  <c r="AB2312" i="9"/>
  <c r="V2312" i="9"/>
  <c r="R2312" i="9"/>
  <c r="K2312" i="9"/>
  <c r="L2312" i="9" s="1"/>
  <c r="I2312" i="9"/>
  <c r="AN2311" i="9"/>
  <c r="AM2311" i="9"/>
  <c r="AF2311" i="9"/>
  <c r="AB2311" i="9"/>
  <c r="V2311" i="9"/>
  <c r="R2311" i="9"/>
  <c r="I2311" i="9"/>
  <c r="K2311" i="9" s="1"/>
  <c r="L2311" i="9" s="1"/>
  <c r="AM2310" i="9"/>
  <c r="AN2310" i="9" s="1"/>
  <c r="AF2310" i="9"/>
  <c r="AB2310" i="9"/>
  <c r="V2310" i="9"/>
  <c r="R2310" i="9"/>
  <c r="K2310" i="9"/>
  <c r="L2310" i="9" s="1"/>
  <c r="I2310" i="9"/>
  <c r="AM2309" i="9"/>
  <c r="AN2309" i="9" s="1"/>
  <c r="AF2309" i="9"/>
  <c r="AK2309" i="9" s="1"/>
  <c r="AL2309" i="9" s="1"/>
  <c r="AB2309" i="9"/>
  <c r="V2309" i="9"/>
  <c r="R2309" i="9"/>
  <c r="I2309" i="9"/>
  <c r="K2309" i="9" s="1"/>
  <c r="L2309" i="9" s="1"/>
  <c r="AM2308" i="9"/>
  <c r="AN2308" i="9" s="1"/>
  <c r="AF2308" i="9"/>
  <c r="AB2308" i="9"/>
  <c r="V2308" i="9"/>
  <c r="R2308" i="9"/>
  <c r="AK2308" i="9" s="1"/>
  <c r="AL2308" i="9" s="1"/>
  <c r="L2308" i="9"/>
  <c r="K2308" i="9"/>
  <c r="I2308" i="9"/>
  <c r="AN2307" i="9"/>
  <c r="AM2307" i="9"/>
  <c r="AK2307" i="9"/>
  <c r="AL2307" i="9" s="1"/>
  <c r="I2307" i="9"/>
  <c r="K2307" i="9" s="1"/>
  <c r="L2307" i="9" s="1"/>
  <c r="AM2306" i="9"/>
  <c r="AN2306" i="9" s="1"/>
  <c r="AK2306" i="9"/>
  <c r="AL2306" i="9" s="1"/>
  <c r="I2306" i="9"/>
  <c r="K2306" i="9" s="1"/>
  <c r="L2306" i="9" s="1"/>
  <c r="AM2305" i="9"/>
  <c r="AN2305" i="9" s="1"/>
  <c r="AL2305" i="9"/>
  <c r="AK2305" i="9"/>
  <c r="I2305" i="9"/>
  <c r="K2305" i="9" s="1"/>
  <c r="L2305" i="9" s="1"/>
  <c r="AM2304" i="9"/>
  <c r="AN2304" i="9" s="1"/>
  <c r="AK2304" i="9"/>
  <c r="AL2304" i="9" s="1"/>
  <c r="I2304" i="9"/>
  <c r="K2304" i="9" s="1"/>
  <c r="L2304" i="9" s="1"/>
  <c r="AN2303" i="9"/>
  <c r="AM2303" i="9"/>
  <c r="AL2303" i="9"/>
  <c r="AK2303" i="9"/>
  <c r="I2303" i="9"/>
  <c r="K2303" i="9" s="1"/>
  <c r="L2303" i="9" s="1"/>
  <c r="AM2302" i="9"/>
  <c r="AN2302" i="9" s="1"/>
  <c r="AF2302" i="9"/>
  <c r="AB2302" i="9"/>
  <c r="V2302" i="9"/>
  <c r="AK2302" i="9" s="1"/>
  <c r="AL2302" i="9" s="1"/>
  <c r="R2302" i="9"/>
  <c r="I2302" i="9"/>
  <c r="K2302" i="9" s="1"/>
  <c r="L2302" i="9" s="1"/>
  <c r="AN2301" i="9"/>
  <c r="AM2301" i="9"/>
  <c r="AL2301" i="9"/>
  <c r="AK2301" i="9"/>
  <c r="I2301" i="9"/>
  <c r="K2301" i="9" s="1"/>
  <c r="L2301" i="9" s="1"/>
  <c r="AM2300" i="9"/>
  <c r="AN2300" i="9" s="1"/>
  <c r="AK2300" i="9"/>
  <c r="AL2300" i="9" s="1"/>
  <c r="I2300" i="9"/>
  <c r="K2300" i="9" s="1"/>
  <c r="L2300" i="9" s="1"/>
  <c r="AN2299" i="9"/>
  <c r="AM2299" i="9"/>
  <c r="AF2299" i="9"/>
  <c r="AB2299" i="9"/>
  <c r="V2299" i="9"/>
  <c r="R2299" i="9"/>
  <c r="I2299" i="9"/>
  <c r="K2299" i="9" s="1"/>
  <c r="L2299" i="9" s="1"/>
  <c r="AM2298" i="9"/>
  <c r="AN2298" i="9" s="1"/>
  <c r="AF2298" i="9"/>
  <c r="AB2298" i="9"/>
  <c r="V2298" i="9"/>
  <c r="R2298" i="9"/>
  <c r="K2298" i="9"/>
  <c r="L2298" i="9" s="1"/>
  <c r="I2298" i="9"/>
  <c r="AN2297" i="9"/>
  <c r="AM2297" i="9"/>
  <c r="AF2297" i="9"/>
  <c r="AB2297" i="9"/>
  <c r="V2297" i="9"/>
  <c r="R2297" i="9"/>
  <c r="I2297" i="9"/>
  <c r="K2297" i="9" s="1"/>
  <c r="L2297" i="9" s="1"/>
  <c r="AN2296" i="9"/>
  <c r="AM2296" i="9"/>
  <c r="AK2296" i="9"/>
  <c r="AL2296" i="9" s="1"/>
  <c r="K2296" i="9"/>
  <c r="L2296" i="9" s="1"/>
  <c r="I2296" i="9"/>
  <c r="AM2295" i="9"/>
  <c r="AB2295" i="9"/>
  <c r="V2295" i="9"/>
  <c r="K2295" i="9"/>
  <c r="J2295" i="9"/>
  <c r="I2295" i="9" s="1"/>
  <c r="D2295" i="9"/>
  <c r="AN2295" i="9" s="1"/>
  <c r="AN2294" i="9"/>
  <c r="AM2294" i="9"/>
  <c r="R2294" i="9"/>
  <c r="J2294" i="9"/>
  <c r="D2294" i="9"/>
  <c r="AM2293" i="9"/>
  <c r="J2293" i="9"/>
  <c r="D2293" i="9"/>
  <c r="AM2292" i="9"/>
  <c r="AF2292" i="9"/>
  <c r="AB2292" i="9"/>
  <c r="R2292" i="9"/>
  <c r="K2292" i="9"/>
  <c r="L2292" i="9" s="1"/>
  <c r="J2292" i="9"/>
  <c r="V2292" i="9" s="1"/>
  <c r="I2292" i="9"/>
  <c r="D2292" i="9"/>
  <c r="AF2291" i="9"/>
  <c r="AE2291" i="9"/>
  <c r="AB2291" i="9"/>
  <c r="AA2291" i="9"/>
  <c r="V2291" i="9"/>
  <c r="AK2291" i="9" s="1"/>
  <c r="AL2291" i="9" s="1"/>
  <c r="U2291" i="9"/>
  <c r="R2291" i="9"/>
  <c r="Q2291" i="9"/>
  <c r="K2291" i="9"/>
  <c r="L2291" i="9" s="1"/>
  <c r="AF2290" i="9"/>
  <c r="AE2290" i="9"/>
  <c r="AB2290" i="9"/>
  <c r="AK2290" i="9" s="1"/>
  <c r="AL2290" i="9" s="1"/>
  <c r="AA2290" i="9"/>
  <c r="V2290" i="9"/>
  <c r="U2290" i="9"/>
  <c r="R2290" i="9"/>
  <c r="Q2290" i="9"/>
  <c r="I2290" i="9"/>
  <c r="K2290" i="9" s="1"/>
  <c r="L2290" i="9" s="1"/>
  <c r="AF2289" i="9"/>
  <c r="AK2289" i="9" s="1"/>
  <c r="AL2289" i="9" s="1"/>
  <c r="AE2289" i="9"/>
  <c r="AB2289" i="9"/>
  <c r="AA2289" i="9"/>
  <c r="V2289" i="9"/>
  <c r="U2289" i="9"/>
  <c r="R2289" i="9"/>
  <c r="Q2289" i="9"/>
  <c r="AM2289" i="9" s="1"/>
  <c r="AN2289" i="9" s="1"/>
  <c r="I2289" i="9"/>
  <c r="K2289" i="9" s="1"/>
  <c r="L2289" i="9" s="1"/>
  <c r="AO2288" i="9"/>
  <c r="AF2288" i="9"/>
  <c r="AE2288" i="9"/>
  <c r="AB2288" i="9"/>
  <c r="AA2288" i="9"/>
  <c r="V2288" i="9"/>
  <c r="U2288" i="9"/>
  <c r="R2288" i="9"/>
  <c r="Q2288" i="9"/>
  <c r="K2288" i="9"/>
  <c r="L2288" i="9" s="1"/>
  <c r="AF2287" i="9"/>
  <c r="AK2287" i="9" s="1"/>
  <c r="AL2287" i="9" s="1"/>
  <c r="AE2287" i="9"/>
  <c r="AB2287" i="9"/>
  <c r="AA2287" i="9"/>
  <c r="V2287" i="9"/>
  <c r="U2287" i="9"/>
  <c r="R2287" i="9"/>
  <c r="Q2287" i="9"/>
  <c r="L2287" i="9"/>
  <c r="K2287" i="9"/>
  <c r="AF2286" i="9"/>
  <c r="AE2286" i="9"/>
  <c r="AB2286" i="9"/>
  <c r="AA2286" i="9"/>
  <c r="V2286" i="9"/>
  <c r="U2286" i="9"/>
  <c r="R2286" i="9"/>
  <c r="Q2286" i="9"/>
  <c r="K2286" i="9"/>
  <c r="L2286" i="9" s="1"/>
  <c r="AM2285" i="9"/>
  <c r="AN2285" i="9" s="1"/>
  <c r="AK2285" i="9"/>
  <c r="AL2285" i="9" s="1"/>
  <c r="I2285" i="9"/>
  <c r="K2285" i="9" s="1"/>
  <c r="L2285" i="9" s="1"/>
  <c r="AM2284" i="9"/>
  <c r="AN2284" i="9" s="1"/>
  <c r="AK2284" i="9"/>
  <c r="AL2284" i="9" s="1"/>
  <c r="I2284" i="9"/>
  <c r="K2284" i="9" s="1"/>
  <c r="L2284" i="9" s="1"/>
  <c r="AM2283" i="9"/>
  <c r="AN2283" i="9" s="1"/>
  <c r="AK2283" i="9"/>
  <c r="AL2283" i="9" s="1"/>
  <c r="I2283" i="9"/>
  <c r="K2283" i="9" s="1"/>
  <c r="L2283" i="9" s="1"/>
  <c r="AN2282" i="9"/>
  <c r="AM2282" i="9"/>
  <c r="AL2282" i="9"/>
  <c r="AK2282" i="9"/>
  <c r="I2282" i="9"/>
  <c r="K2282" i="9" s="1"/>
  <c r="L2282" i="9" s="1"/>
  <c r="AO2281" i="9"/>
  <c r="AF2281" i="9"/>
  <c r="AE2281" i="9"/>
  <c r="AB2281" i="9"/>
  <c r="AA2281" i="9"/>
  <c r="V2281" i="9"/>
  <c r="U2281" i="9"/>
  <c r="R2281" i="9"/>
  <c r="Q2281" i="9"/>
  <c r="L2281" i="9"/>
  <c r="K2281" i="9"/>
  <c r="AF2280" i="9"/>
  <c r="AE2280" i="9"/>
  <c r="AB2280" i="9"/>
  <c r="AA2280" i="9"/>
  <c r="V2280" i="9"/>
  <c r="AK2280" i="9" s="1"/>
  <c r="AL2280" i="9" s="1"/>
  <c r="U2280" i="9"/>
  <c r="R2280" i="9"/>
  <c r="Q2280" i="9"/>
  <c r="I2280" i="9"/>
  <c r="K2280" i="9" s="1"/>
  <c r="L2280" i="9" s="1"/>
  <c r="AO2279" i="9"/>
  <c r="AF2279" i="9"/>
  <c r="AE2279" i="9"/>
  <c r="AB2279" i="9"/>
  <c r="AA2279" i="9"/>
  <c r="V2279" i="9"/>
  <c r="U2279" i="9"/>
  <c r="R2279" i="9"/>
  <c r="AK2279" i="9" s="1"/>
  <c r="AL2279" i="9" s="1"/>
  <c r="Q2279" i="9"/>
  <c r="K2279" i="9"/>
  <c r="L2279" i="9" s="1"/>
  <c r="AF2278" i="9"/>
  <c r="AE2278" i="9"/>
  <c r="AB2278" i="9"/>
  <c r="AA2278" i="9"/>
  <c r="V2278" i="9"/>
  <c r="U2278" i="9"/>
  <c r="R2278" i="9"/>
  <c r="AK2278" i="9" s="1"/>
  <c r="AL2278" i="9" s="1"/>
  <c r="Q2278" i="9"/>
  <c r="AM2278" i="9" s="1"/>
  <c r="AN2278" i="9" s="1"/>
  <c r="L2278" i="9"/>
  <c r="K2278" i="9"/>
  <c r="AF2277" i="9"/>
  <c r="AE2277" i="9"/>
  <c r="AB2277" i="9"/>
  <c r="AK2277" i="9" s="1"/>
  <c r="AL2277" i="9" s="1"/>
  <c r="AA2277" i="9"/>
  <c r="V2277" i="9"/>
  <c r="U2277" i="9"/>
  <c r="R2277" i="9"/>
  <c r="Q2277" i="9"/>
  <c r="AM2277" i="9" s="1"/>
  <c r="AN2277" i="9" s="1"/>
  <c r="K2277" i="9"/>
  <c r="L2277" i="9" s="1"/>
  <c r="AM2276" i="9"/>
  <c r="AN2276" i="9" s="1"/>
  <c r="AK2276" i="9"/>
  <c r="AL2276" i="9" s="1"/>
  <c r="L2276" i="9"/>
  <c r="I2276" i="9"/>
  <c r="K2276" i="9" s="1"/>
  <c r="AM2275" i="9"/>
  <c r="AN2275" i="9" s="1"/>
  <c r="AK2275" i="9"/>
  <c r="AL2275" i="9" s="1"/>
  <c r="K2275" i="9"/>
  <c r="L2275" i="9" s="1"/>
  <c r="I2275" i="9"/>
  <c r="AM2274" i="9"/>
  <c r="AN2274" i="9" s="1"/>
  <c r="AF2274" i="9"/>
  <c r="AB2274" i="9"/>
  <c r="V2274" i="9"/>
  <c r="R2274" i="9"/>
  <c r="L2274" i="9"/>
  <c r="K2274" i="9"/>
  <c r="I2274" i="9"/>
  <c r="AM2273" i="9"/>
  <c r="AN2273" i="9" s="1"/>
  <c r="AK2273" i="9"/>
  <c r="AL2273" i="9" s="1"/>
  <c r="I2273" i="9"/>
  <c r="K2273" i="9" s="1"/>
  <c r="L2273" i="9" s="1"/>
  <c r="AN2272" i="9"/>
  <c r="AM2272" i="9"/>
  <c r="AF2272" i="9"/>
  <c r="AB2272" i="9"/>
  <c r="V2272" i="9"/>
  <c r="R2272" i="9"/>
  <c r="I2272" i="9"/>
  <c r="K2272" i="9" s="1"/>
  <c r="L2272" i="9" s="1"/>
  <c r="AM2271" i="9"/>
  <c r="AN2271" i="9" s="1"/>
  <c r="AF2271" i="9"/>
  <c r="AB2271" i="9"/>
  <c r="V2271" i="9"/>
  <c r="R2271" i="9"/>
  <c r="AK2271" i="9" s="1"/>
  <c r="AL2271" i="9" s="1"/>
  <c r="I2271" i="9"/>
  <c r="K2271" i="9" s="1"/>
  <c r="L2271" i="9" s="1"/>
  <c r="AM2270" i="9"/>
  <c r="AN2270" i="9" s="1"/>
  <c r="AL2270" i="9"/>
  <c r="AK2270" i="9"/>
  <c r="L2270" i="9"/>
  <c r="I2270" i="9"/>
  <c r="K2270" i="9" s="1"/>
  <c r="AM2269" i="9"/>
  <c r="AB2269" i="9"/>
  <c r="R2269" i="9"/>
  <c r="J2269" i="9"/>
  <c r="AF2269" i="9" s="1"/>
  <c r="D2269" i="9"/>
  <c r="AN2269" i="9" s="1"/>
  <c r="AM2268" i="9"/>
  <c r="AN2268" i="9" s="1"/>
  <c r="AK2268" i="9"/>
  <c r="AL2268" i="9" s="1"/>
  <c r="L2268" i="9"/>
  <c r="I2268" i="9"/>
  <c r="K2268" i="9" s="1"/>
  <c r="AM2267" i="9"/>
  <c r="AN2267" i="9" s="1"/>
  <c r="AK2267" i="9"/>
  <c r="AL2267" i="9" s="1"/>
  <c r="I2267" i="9"/>
  <c r="K2267" i="9" s="1"/>
  <c r="L2267" i="9" s="1"/>
  <c r="AM2266" i="9"/>
  <c r="AN2266" i="9" s="1"/>
  <c r="AL2266" i="9"/>
  <c r="AK2266" i="9"/>
  <c r="I2266" i="9"/>
  <c r="K2266" i="9" s="1"/>
  <c r="L2266" i="9" s="1"/>
  <c r="AF2265" i="9"/>
  <c r="AE2265" i="9"/>
  <c r="AB2265" i="9"/>
  <c r="AA2265" i="9"/>
  <c r="V2265" i="9"/>
  <c r="U2265" i="9"/>
  <c r="R2265" i="9"/>
  <c r="Q2265" i="9"/>
  <c r="L2265" i="9"/>
  <c r="K2265" i="9"/>
  <c r="AF2264" i="9"/>
  <c r="AE2264" i="9"/>
  <c r="AB2264" i="9"/>
  <c r="AA2264" i="9"/>
  <c r="V2264" i="9"/>
  <c r="U2264" i="9"/>
  <c r="AM2264" i="9" s="1"/>
  <c r="AN2264" i="9" s="1"/>
  <c r="R2264" i="9"/>
  <c r="Q2264" i="9"/>
  <c r="K2264" i="9"/>
  <c r="L2264" i="9" s="1"/>
  <c r="AF2263" i="9"/>
  <c r="AE2263" i="9"/>
  <c r="AB2263" i="9"/>
  <c r="AA2263" i="9"/>
  <c r="V2263" i="9"/>
  <c r="U2263" i="9"/>
  <c r="R2263" i="9"/>
  <c r="Q2263" i="9"/>
  <c r="AM2263" i="9" s="1"/>
  <c r="AN2263" i="9" s="1"/>
  <c r="K2263" i="9"/>
  <c r="L2263" i="9" s="1"/>
  <c r="AM2262" i="9"/>
  <c r="AN2262" i="9" s="1"/>
  <c r="AL2262" i="9"/>
  <c r="AK2262" i="9"/>
  <c r="J2262" i="9"/>
  <c r="I2262" i="9" s="1"/>
  <c r="K2262" i="9" s="1"/>
  <c r="L2262" i="9" s="1"/>
  <c r="D2262" i="9"/>
  <c r="AM2261" i="9"/>
  <c r="AK2261" i="9"/>
  <c r="J2261" i="9"/>
  <c r="AL2261" i="9" s="1"/>
  <c r="D2261" i="9"/>
  <c r="AF2260" i="9"/>
  <c r="AE2260" i="9"/>
  <c r="AB2260" i="9"/>
  <c r="AA2260" i="9"/>
  <c r="V2260" i="9"/>
  <c r="U2260" i="9"/>
  <c r="R2260" i="9"/>
  <c r="Q2260" i="9"/>
  <c r="L2260" i="9"/>
  <c r="K2260" i="9"/>
  <c r="AM2259" i="9"/>
  <c r="AN2259" i="9" s="1"/>
  <c r="AL2259" i="9"/>
  <c r="AK2259" i="9"/>
  <c r="K2259" i="9"/>
  <c r="L2259" i="9" s="1"/>
  <c r="I2259" i="9"/>
  <c r="AM2258" i="9"/>
  <c r="AN2258" i="9" s="1"/>
  <c r="AK2258" i="9"/>
  <c r="AL2258" i="9" s="1"/>
  <c r="K2258" i="9"/>
  <c r="L2258" i="9" s="1"/>
  <c r="I2258" i="9"/>
  <c r="AM2257" i="9"/>
  <c r="AN2257" i="9" s="1"/>
  <c r="AK2257" i="9"/>
  <c r="AL2257" i="9" s="1"/>
  <c r="I2257" i="9"/>
  <c r="K2257" i="9" s="1"/>
  <c r="L2257" i="9" s="1"/>
  <c r="AM2256" i="9"/>
  <c r="AN2256" i="9" s="1"/>
  <c r="AK2256" i="9"/>
  <c r="AL2256" i="9" s="1"/>
  <c r="I2256" i="9"/>
  <c r="K2256" i="9" s="1"/>
  <c r="L2256" i="9" s="1"/>
  <c r="AM2255" i="9"/>
  <c r="AN2255" i="9" s="1"/>
  <c r="AL2255" i="9"/>
  <c r="AK2255" i="9"/>
  <c r="I2255" i="9"/>
  <c r="K2255" i="9" s="1"/>
  <c r="L2255" i="9" s="1"/>
  <c r="AM2254" i="9"/>
  <c r="AN2254" i="9" s="1"/>
  <c r="AF2254" i="9"/>
  <c r="AB2254" i="9"/>
  <c r="V2254" i="9"/>
  <c r="R2254" i="9"/>
  <c r="I2254" i="9"/>
  <c r="K2254" i="9" s="1"/>
  <c r="L2254" i="9" s="1"/>
  <c r="AM2253" i="9"/>
  <c r="AN2253" i="9" s="1"/>
  <c r="AK2253" i="9"/>
  <c r="AL2253" i="9" s="1"/>
  <c r="I2253" i="9"/>
  <c r="K2253" i="9" s="1"/>
  <c r="L2253" i="9" s="1"/>
  <c r="AM2252" i="9"/>
  <c r="AN2252" i="9" s="1"/>
  <c r="AL2252" i="9"/>
  <c r="AK2252" i="9"/>
  <c r="I2252" i="9"/>
  <c r="K2252" i="9" s="1"/>
  <c r="L2252" i="9" s="1"/>
  <c r="AM2251" i="9"/>
  <c r="AN2251" i="9" s="1"/>
  <c r="AL2251" i="9"/>
  <c r="AK2251" i="9"/>
  <c r="K2251" i="9"/>
  <c r="L2251" i="9" s="1"/>
  <c r="I2251" i="9"/>
  <c r="AF2250" i="9"/>
  <c r="AE2250" i="9"/>
  <c r="AB2250" i="9"/>
  <c r="AA2250" i="9"/>
  <c r="V2250" i="9"/>
  <c r="U2250" i="9"/>
  <c r="R2250" i="9"/>
  <c r="Q2250" i="9"/>
  <c r="I2250" i="9"/>
  <c r="K2250" i="9" s="1"/>
  <c r="L2250" i="9" s="1"/>
  <c r="AF2249" i="9"/>
  <c r="AE2249" i="9"/>
  <c r="AB2249" i="9"/>
  <c r="AA2249" i="9"/>
  <c r="V2249" i="9"/>
  <c r="U2249" i="9"/>
  <c r="R2249" i="9"/>
  <c r="Q2249" i="9"/>
  <c r="I2249" i="9"/>
  <c r="K2249" i="9" s="1"/>
  <c r="L2249" i="9" s="1"/>
  <c r="AM2248" i="9"/>
  <c r="AN2248" i="9" s="1"/>
  <c r="AF2248" i="9"/>
  <c r="AB2248" i="9"/>
  <c r="V2248" i="9"/>
  <c r="R2248" i="9"/>
  <c r="K2248" i="9"/>
  <c r="L2248" i="9" s="1"/>
  <c r="I2248" i="9"/>
  <c r="AO2247" i="9"/>
  <c r="AF2247" i="9"/>
  <c r="AE2247" i="9"/>
  <c r="AB2247" i="9"/>
  <c r="AA2247" i="9"/>
  <c r="V2247" i="9"/>
  <c r="U2247" i="9"/>
  <c r="R2247" i="9"/>
  <c r="Q2247" i="9"/>
  <c r="AM2247" i="9" s="1"/>
  <c r="AN2247" i="9" s="1"/>
  <c r="L2247" i="9"/>
  <c r="K2247" i="9"/>
  <c r="AM2245" i="9"/>
  <c r="AN2245" i="9" s="1"/>
  <c r="AL2245" i="9"/>
  <c r="AK2245" i="9"/>
  <c r="I2245" i="9"/>
  <c r="K2245" i="9" s="1"/>
  <c r="L2245" i="9" s="1"/>
  <c r="AN2244" i="9"/>
  <c r="AM2244" i="9"/>
  <c r="AK2244" i="9"/>
  <c r="AL2244" i="9" s="1"/>
  <c r="I2244" i="9"/>
  <c r="K2244" i="9" s="1"/>
  <c r="L2244" i="9" s="1"/>
  <c r="AM2243" i="9"/>
  <c r="AN2243" i="9" s="1"/>
  <c r="AL2243" i="9"/>
  <c r="AK2243" i="9"/>
  <c r="K2243" i="9"/>
  <c r="L2243" i="9" s="1"/>
  <c r="I2243" i="9"/>
  <c r="AM2242" i="9"/>
  <c r="AN2242" i="9" s="1"/>
  <c r="AK2242" i="9"/>
  <c r="AL2242" i="9" s="1"/>
  <c r="I2242" i="9"/>
  <c r="K2242" i="9" s="1"/>
  <c r="L2242" i="9" s="1"/>
  <c r="AN2241" i="9"/>
  <c r="AM2241" i="9"/>
  <c r="AK2241" i="9"/>
  <c r="AL2241" i="9" s="1"/>
  <c r="I2241" i="9"/>
  <c r="K2241" i="9" s="1"/>
  <c r="L2241" i="9" s="1"/>
  <c r="AM2240" i="9"/>
  <c r="AN2240" i="9" s="1"/>
  <c r="AK2240" i="9"/>
  <c r="AL2240" i="9" s="1"/>
  <c r="L2240" i="9"/>
  <c r="K2240" i="9"/>
  <c r="I2240" i="9"/>
  <c r="AM2239" i="9"/>
  <c r="AN2239" i="9" s="1"/>
  <c r="AK2239" i="9"/>
  <c r="AL2239" i="9" s="1"/>
  <c r="I2239" i="9"/>
  <c r="K2239" i="9" s="1"/>
  <c r="L2239" i="9" s="1"/>
  <c r="AM2238" i="9"/>
  <c r="AN2238" i="9" s="1"/>
  <c r="AK2238" i="9"/>
  <c r="AL2238" i="9" s="1"/>
  <c r="L2238" i="9"/>
  <c r="K2238" i="9"/>
  <c r="I2238" i="9"/>
  <c r="AM2237" i="9"/>
  <c r="AN2237" i="9" s="1"/>
  <c r="AK2237" i="9"/>
  <c r="AL2237" i="9" s="1"/>
  <c r="K2237" i="9"/>
  <c r="L2237" i="9" s="1"/>
  <c r="I2237" i="9"/>
  <c r="AN2236" i="9"/>
  <c r="AM2236" i="9"/>
  <c r="AF2236" i="9"/>
  <c r="AB2236" i="9"/>
  <c r="V2236" i="9"/>
  <c r="R2236" i="9"/>
  <c r="AK2236" i="9" s="1"/>
  <c r="AL2236" i="9" s="1"/>
  <c r="I2236" i="9"/>
  <c r="K2236" i="9" s="1"/>
  <c r="L2236" i="9" s="1"/>
  <c r="AM2235" i="9"/>
  <c r="AN2235" i="9" s="1"/>
  <c r="AK2235" i="9"/>
  <c r="AL2235" i="9" s="1"/>
  <c r="L2235" i="9"/>
  <c r="K2235" i="9"/>
  <c r="I2235" i="9"/>
  <c r="AN2234" i="9"/>
  <c r="AM2234" i="9"/>
  <c r="AF2234" i="9"/>
  <c r="AB2234" i="9"/>
  <c r="V2234" i="9"/>
  <c r="R2234" i="9"/>
  <c r="AK2234" i="9" s="1"/>
  <c r="AL2234" i="9" s="1"/>
  <c r="K2234" i="9"/>
  <c r="L2234" i="9" s="1"/>
  <c r="I2234" i="9"/>
  <c r="AM2233" i="9"/>
  <c r="AN2233" i="9" s="1"/>
  <c r="AF2233" i="9"/>
  <c r="AK2233" i="9" s="1"/>
  <c r="AL2233" i="9" s="1"/>
  <c r="AB2233" i="9"/>
  <c r="V2233" i="9"/>
  <c r="R2233" i="9"/>
  <c r="I2233" i="9"/>
  <c r="K2233" i="9" s="1"/>
  <c r="L2233" i="9" s="1"/>
  <c r="AM2232" i="9"/>
  <c r="AN2232" i="9" s="1"/>
  <c r="AK2232" i="9"/>
  <c r="AL2232" i="9" s="1"/>
  <c r="L2232" i="9"/>
  <c r="K2232" i="9"/>
  <c r="I2232" i="9"/>
  <c r="AM2231" i="9"/>
  <c r="AN2231" i="9" s="1"/>
  <c r="AK2231" i="9"/>
  <c r="AL2231" i="9" s="1"/>
  <c r="K2231" i="9"/>
  <c r="L2231" i="9" s="1"/>
  <c r="I2231" i="9"/>
  <c r="AM2230" i="9"/>
  <c r="AN2230" i="9" s="1"/>
  <c r="AK2230" i="9"/>
  <c r="AL2230" i="9" s="1"/>
  <c r="I2230" i="9"/>
  <c r="K2230" i="9" s="1"/>
  <c r="L2230" i="9" s="1"/>
  <c r="AM2229" i="9"/>
  <c r="AN2229" i="9" s="1"/>
  <c r="AF2229" i="9"/>
  <c r="AB2229" i="9"/>
  <c r="V2229" i="9"/>
  <c r="R2229" i="9"/>
  <c r="I2229" i="9"/>
  <c r="K2229" i="9" s="1"/>
  <c r="L2229" i="9" s="1"/>
  <c r="AM2228" i="9"/>
  <c r="AN2228" i="9" s="1"/>
  <c r="AF2228" i="9"/>
  <c r="AB2228" i="9"/>
  <c r="V2228" i="9"/>
  <c r="R2228" i="9"/>
  <c r="I2228" i="9"/>
  <c r="K2228" i="9" s="1"/>
  <c r="L2228" i="9" s="1"/>
  <c r="AN2227" i="9"/>
  <c r="AM2227" i="9"/>
  <c r="AF2227" i="9"/>
  <c r="AB2227" i="9"/>
  <c r="AK2227" i="9" s="1"/>
  <c r="AL2227" i="9" s="1"/>
  <c r="V2227" i="9"/>
  <c r="R2227" i="9"/>
  <c r="I2227" i="9"/>
  <c r="K2227" i="9" s="1"/>
  <c r="L2227" i="9" s="1"/>
  <c r="AF2226" i="9"/>
  <c r="AK2226" i="9" s="1"/>
  <c r="AL2226" i="9" s="1"/>
  <c r="AE2226" i="9"/>
  <c r="AB2226" i="9"/>
  <c r="AA2226" i="9"/>
  <c r="V2226" i="9"/>
  <c r="U2226" i="9"/>
  <c r="R2226" i="9"/>
  <c r="Q2226" i="9"/>
  <c r="I2226" i="9"/>
  <c r="K2226" i="9" s="1"/>
  <c r="L2226" i="9" s="1"/>
  <c r="AO2225" i="9"/>
  <c r="AF2225" i="9"/>
  <c r="AE2225" i="9"/>
  <c r="AB2225" i="9"/>
  <c r="AA2225" i="9"/>
  <c r="V2225" i="9"/>
  <c r="U2225" i="9"/>
  <c r="R2225" i="9"/>
  <c r="Q2225" i="9"/>
  <c r="L2225" i="9"/>
  <c r="K2225" i="9"/>
  <c r="AF2223" i="9"/>
  <c r="AE2223" i="9"/>
  <c r="AB2223" i="9"/>
  <c r="AA2223" i="9"/>
  <c r="V2223" i="9"/>
  <c r="U2223" i="9"/>
  <c r="R2223" i="9"/>
  <c r="Q2223" i="9"/>
  <c r="L2223" i="9"/>
  <c r="K2223" i="9"/>
  <c r="AF2222" i="9"/>
  <c r="AE2222" i="9"/>
  <c r="AB2222" i="9"/>
  <c r="AA2222" i="9"/>
  <c r="AM2222" i="9" s="1"/>
  <c r="AN2222" i="9" s="1"/>
  <c r="V2222" i="9"/>
  <c r="U2222" i="9"/>
  <c r="R2222" i="9"/>
  <c r="Q2222" i="9"/>
  <c r="K2222" i="9"/>
  <c r="L2222" i="9" s="1"/>
  <c r="AF2221" i="9"/>
  <c r="AE2221" i="9"/>
  <c r="AB2221" i="9"/>
  <c r="AA2221" i="9"/>
  <c r="V2221" i="9"/>
  <c r="U2221" i="9"/>
  <c r="R2221" i="9"/>
  <c r="Q2221" i="9"/>
  <c r="K2221" i="9"/>
  <c r="L2221" i="9" s="1"/>
  <c r="AM2220" i="9"/>
  <c r="AK2220" i="9"/>
  <c r="J2220" i="9"/>
  <c r="D2220" i="9"/>
  <c r="AM2219" i="9"/>
  <c r="AK2219" i="9"/>
  <c r="J2219" i="9"/>
  <c r="I2219" i="9" s="1"/>
  <c r="K2219" i="9" s="1"/>
  <c r="D2219" i="9"/>
  <c r="AM2218" i="9"/>
  <c r="AL2218" i="9"/>
  <c r="AK2218" i="9"/>
  <c r="J2218" i="9"/>
  <c r="D2218" i="9"/>
  <c r="I2218" i="9" s="1"/>
  <c r="AF2217" i="9"/>
  <c r="AE2217" i="9"/>
  <c r="AB2217" i="9"/>
  <c r="AA2217" i="9"/>
  <c r="V2217" i="9"/>
  <c r="U2217" i="9"/>
  <c r="R2217" i="9"/>
  <c r="Q2217" i="9"/>
  <c r="K2217" i="9"/>
  <c r="L2217" i="9" s="1"/>
  <c r="AF2216" i="9"/>
  <c r="AE2216" i="9"/>
  <c r="AB2216" i="9"/>
  <c r="AA2216" i="9"/>
  <c r="V2216" i="9"/>
  <c r="U2216" i="9"/>
  <c r="R2216" i="9"/>
  <c r="Q2216" i="9"/>
  <c r="K2216" i="9"/>
  <c r="L2216" i="9" s="1"/>
  <c r="AM2215" i="9"/>
  <c r="AN2215" i="9" s="1"/>
  <c r="AK2215" i="9"/>
  <c r="AL2215" i="9" s="1"/>
  <c r="AF2215" i="9"/>
  <c r="AE2215" i="9"/>
  <c r="AB2215" i="9"/>
  <c r="AA2215" i="9"/>
  <c r="V2215" i="9"/>
  <c r="U2215" i="9"/>
  <c r="R2215" i="9"/>
  <c r="Q2215" i="9"/>
  <c r="K2215" i="9"/>
  <c r="L2215" i="9" s="1"/>
  <c r="AN2214" i="9"/>
  <c r="AM2214" i="9"/>
  <c r="AL2214" i="9"/>
  <c r="AK2214" i="9"/>
  <c r="I2214" i="9"/>
  <c r="K2214" i="9" s="1"/>
  <c r="L2214" i="9" s="1"/>
  <c r="AM2213" i="9"/>
  <c r="AN2213" i="9" s="1"/>
  <c r="AK2213" i="9"/>
  <c r="AL2213" i="9" s="1"/>
  <c r="I2213" i="9"/>
  <c r="K2213" i="9" s="1"/>
  <c r="L2213" i="9" s="1"/>
  <c r="AN2212" i="9"/>
  <c r="AM2212" i="9"/>
  <c r="AK2212" i="9"/>
  <c r="AL2212" i="9" s="1"/>
  <c r="I2212" i="9"/>
  <c r="K2212" i="9" s="1"/>
  <c r="L2212" i="9" s="1"/>
  <c r="AM2211" i="9"/>
  <c r="AN2211" i="9" s="1"/>
  <c r="AL2211" i="9"/>
  <c r="AK2211" i="9"/>
  <c r="I2211" i="9"/>
  <c r="K2211" i="9" s="1"/>
  <c r="L2211" i="9" s="1"/>
  <c r="AN2210" i="9"/>
  <c r="AM2210" i="9"/>
  <c r="AL2210" i="9"/>
  <c r="AK2210" i="9"/>
  <c r="I2210" i="9"/>
  <c r="K2210" i="9" s="1"/>
  <c r="L2210" i="9" s="1"/>
  <c r="AN2209" i="9"/>
  <c r="AM2209" i="9"/>
  <c r="AK2209" i="9"/>
  <c r="AL2209" i="9" s="1"/>
  <c r="I2209" i="9"/>
  <c r="K2209" i="9" s="1"/>
  <c r="L2209" i="9" s="1"/>
  <c r="AM2208" i="9"/>
  <c r="AN2208" i="9" s="1"/>
  <c r="AK2208" i="9"/>
  <c r="AL2208" i="9" s="1"/>
  <c r="I2208" i="9"/>
  <c r="K2208" i="9" s="1"/>
  <c r="L2208" i="9" s="1"/>
  <c r="AN2207" i="9"/>
  <c r="AM2207" i="9"/>
  <c r="AF2207" i="9"/>
  <c r="AB2207" i="9"/>
  <c r="V2207" i="9"/>
  <c r="R2207" i="9"/>
  <c r="I2207" i="9"/>
  <c r="K2207" i="9" s="1"/>
  <c r="L2207" i="9" s="1"/>
  <c r="AM2206" i="9"/>
  <c r="AN2206" i="9" s="1"/>
  <c r="AK2206" i="9"/>
  <c r="AL2206" i="9" s="1"/>
  <c r="I2206" i="9"/>
  <c r="K2206" i="9" s="1"/>
  <c r="L2206" i="9" s="1"/>
  <c r="AM2205" i="9"/>
  <c r="AN2205" i="9" s="1"/>
  <c r="AK2205" i="9"/>
  <c r="AL2205" i="9" s="1"/>
  <c r="I2205" i="9"/>
  <c r="K2205" i="9" s="1"/>
  <c r="L2205" i="9" s="1"/>
  <c r="AM2204" i="9"/>
  <c r="AN2204" i="9" s="1"/>
  <c r="AK2204" i="9"/>
  <c r="AL2204" i="9" s="1"/>
  <c r="I2204" i="9"/>
  <c r="K2204" i="9" s="1"/>
  <c r="L2204" i="9" s="1"/>
  <c r="AM2203" i="9"/>
  <c r="AN2203" i="9" s="1"/>
  <c r="AK2203" i="9"/>
  <c r="AL2203" i="9" s="1"/>
  <c r="K2203" i="9"/>
  <c r="L2203" i="9" s="1"/>
  <c r="I2203" i="9"/>
  <c r="AM2202" i="9"/>
  <c r="AN2202" i="9" s="1"/>
  <c r="AK2202" i="9"/>
  <c r="AL2202" i="9" s="1"/>
  <c r="L2202" i="9"/>
  <c r="I2202" i="9"/>
  <c r="K2202" i="9" s="1"/>
  <c r="AM2201" i="9"/>
  <c r="AN2201" i="9" s="1"/>
  <c r="AL2201" i="9"/>
  <c r="AK2201" i="9"/>
  <c r="I2201" i="9"/>
  <c r="K2201" i="9" s="1"/>
  <c r="L2201" i="9" s="1"/>
  <c r="AF2200" i="9"/>
  <c r="AE2200" i="9"/>
  <c r="AB2200" i="9"/>
  <c r="AA2200" i="9"/>
  <c r="V2200" i="9"/>
  <c r="U2200" i="9"/>
  <c r="R2200" i="9"/>
  <c r="Q2200" i="9"/>
  <c r="K2200" i="9"/>
  <c r="L2200" i="9" s="1"/>
  <c r="I2200" i="9"/>
  <c r="AM2199" i="9"/>
  <c r="AN2199" i="9" s="1"/>
  <c r="AK2199" i="9"/>
  <c r="AL2199" i="9" s="1"/>
  <c r="I2199" i="9"/>
  <c r="K2199" i="9" s="1"/>
  <c r="L2199" i="9" s="1"/>
  <c r="AM2198" i="9"/>
  <c r="AN2198" i="9" s="1"/>
  <c r="AF2198" i="9"/>
  <c r="AB2198" i="9"/>
  <c r="V2198" i="9"/>
  <c r="R2198" i="9"/>
  <c r="I2198" i="9"/>
  <c r="K2198" i="9" s="1"/>
  <c r="L2198" i="9" s="1"/>
  <c r="AM2197" i="9"/>
  <c r="AN2197" i="9" s="1"/>
  <c r="AF2197" i="9"/>
  <c r="AB2197" i="9"/>
  <c r="V2197" i="9"/>
  <c r="R2197" i="9"/>
  <c r="I2197" i="9"/>
  <c r="K2197" i="9" s="1"/>
  <c r="L2197" i="9" s="1"/>
  <c r="AM2196" i="9"/>
  <c r="AN2196" i="9" s="1"/>
  <c r="AF2196" i="9"/>
  <c r="AB2196" i="9"/>
  <c r="V2196" i="9"/>
  <c r="R2196" i="9"/>
  <c r="I2196" i="9"/>
  <c r="K2196" i="9" s="1"/>
  <c r="L2196" i="9" s="1"/>
  <c r="AM2195" i="9"/>
  <c r="AN2195" i="9" s="1"/>
  <c r="AF2195" i="9"/>
  <c r="AE2195" i="9"/>
  <c r="AB2195" i="9"/>
  <c r="AA2195" i="9"/>
  <c r="V2195" i="9"/>
  <c r="U2195" i="9"/>
  <c r="R2195" i="9"/>
  <c r="Q2195" i="9"/>
  <c r="I2195" i="9"/>
  <c r="K2195" i="9" s="1"/>
  <c r="L2195" i="9" s="1"/>
  <c r="AM2194" i="9"/>
  <c r="AN2194" i="9" s="1"/>
  <c r="AK2194" i="9"/>
  <c r="AL2194" i="9" s="1"/>
  <c r="I2194" i="9"/>
  <c r="K2194" i="9" s="1"/>
  <c r="L2194" i="9" s="1"/>
  <c r="AF2193" i="9"/>
  <c r="AE2193" i="9"/>
  <c r="AM2193" i="9" s="1"/>
  <c r="AN2193" i="9" s="1"/>
  <c r="AB2193" i="9"/>
  <c r="AA2193" i="9"/>
  <c r="V2193" i="9"/>
  <c r="U2193" i="9"/>
  <c r="R2193" i="9"/>
  <c r="Q2193" i="9"/>
  <c r="L2193" i="9"/>
  <c r="I2193" i="9"/>
  <c r="K2193" i="9" s="1"/>
  <c r="AM2192" i="9"/>
  <c r="AN2192" i="9" s="1"/>
  <c r="AK2192" i="9"/>
  <c r="AL2192" i="9" s="1"/>
  <c r="I2192" i="9"/>
  <c r="K2192" i="9" s="1"/>
  <c r="L2192" i="9" s="1"/>
  <c r="AM2191" i="9"/>
  <c r="AN2191" i="9" s="1"/>
  <c r="AF2191" i="9"/>
  <c r="AB2191" i="9"/>
  <c r="V2191" i="9"/>
  <c r="R2191" i="9"/>
  <c r="L2191" i="9"/>
  <c r="K2191" i="9"/>
  <c r="I2191" i="9"/>
  <c r="AN2190" i="9"/>
  <c r="AM2190" i="9"/>
  <c r="AK2190" i="9"/>
  <c r="AL2190" i="9" s="1"/>
  <c r="I2190" i="9"/>
  <c r="K2190" i="9" s="1"/>
  <c r="L2190" i="9" s="1"/>
  <c r="AM2189" i="9"/>
  <c r="AN2189" i="9" s="1"/>
  <c r="AK2189" i="9"/>
  <c r="AL2189" i="9" s="1"/>
  <c r="I2189" i="9"/>
  <c r="K2189" i="9" s="1"/>
  <c r="L2189" i="9" s="1"/>
  <c r="AF2188" i="9"/>
  <c r="AE2188" i="9"/>
  <c r="AB2188" i="9"/>
  <c r="AA2188" i="9"/>
  <c r="V2188" i="9"/>
  <c r="U2188" i="9"/>
  <c r="R2188" i="9"/>
  <c r="Q2188" i="9"/>
  <c r="K2188" i="9"/>
  <c r="L2188" i="9" s="1"/>
  <c r="AM2187" i="9"/>
  <c r="AN2187" i="9" s="1"/>
  <c r="AF2187" i="9"/>
  <c r="AB2187" i="9"/>
  <c r="V2187" i="9"/>
  <c r="R2187" i="9"/>
  <c r="I2187" i="9"/>
  <c r="K2187" i="9" s="1"/>
  <c r="L2187" i="9" s="1"/>
  <c r="AM2186" i="9"/>
  <c r="AN2186" i="9" s="1"/>
  <c r="AF2186" i="9"/>
  <c r="AB2186" i="9"/>
  <c r="V2186" i="9"/>
  <c r="R2186" i="9"/>
  <c r="I2186" i="9"/>
  <c r="K2186" i="9" s="1"/>
  <c r="L2186" i="9" s="1"/>
  <c r="AN2185" i="9"/>
  <c r="AM2185" i="9"/>
  <c r="AL2185" i="9"/>
  <c r="AK2185" i="9"/>
  <c r="I2185" i="9"/>
  <c r="K2185" i="9" s="1"/>
  <c r="L2185" i="9" s="1"/>
  <c r="AN2184" i="9"/>
  <c r="AM2184" i="9"/>
  <c r="AF2184" i="9"/>
  <c r="AB2184" i="9"/>
  <c r="V2184" i="9"/>
  <c r="R2184" i="9"/>
  <c r="K2184" i="9"/>
  <c r="L2184" i="9" s="1"/>
  <c r="I2184" i="9"/>
  <c r="AN2183" i="9"/>
  <c r="AM2183" i="9"/>
  <c r="AF2183" i="9"/>
  <c r="AB2183" i="9"/>
  <c r="V2183" i="9"/>
  <c r="R2183" i="9"/>
  <c r="I2183" i="9"/>
  <c r="K2183" i="9" s="1"/>
  <c r="L2183" i="9" s="1"/>
  <c r="AM2182" i="9"/>
  <c r="AN2182" i="9" s="1"/>
  <c r="AF2182" i="9"/>
  <c r="AB2182" i="9"/>
  <c r="V2182" i="9"/>
  <c r="R2182" i="9"/>
  <c r="K2182" i="9"/>
  <c r="L2182" i="9" s="1"/>
  <c r="I2182" i="9"/>
  <c r="AN2181" i="9"/>
  <c r="AM2181" i="9"/>
  <c r="AK2181" i="9"/>
  <c r="AL2181" i="9" s="1"/>
  <c r="I2181" i="9"/>
  <c r="K2181" i="9" s="1"/>
  <c r="L2181" i="9" s="1"/>
  <c r="AM2180" i="9"/>
  <c r="AF2180" i="9"/>
  <c r="V2180" i="9"/>
  <c r="J2180" i="9"/>
  <c r="R2180" i="9" s="1"/>
  <c r="D2180" i="9"/>
  <c r="AM2179" i="9"/>
  <c r="AN2179" i="9" s="1"/>
  <c r="AK2179" i="9"/>
  <c r="AL2179" i="9" s="1"/>
  <c r="L2179" i="9"/>
  <c r="K2179" i="9"/>
  <c r="I2179" i="9"/>
  <c r="AM2178" i="9"/>
  <c r="AN2178" i="9" s="1"/>
  <c r="AK2178" i="9"/>
  <c r="AL2178" i="9" s="1"/>
  <c r="I2178" i="9"/>
  <c r="K2178" i="9" s="1"/>
  <c r="L2178" i="9" s="1"/>
  <c r="AM2177" i="9"/>
  <c r="AN2177" i="9" s="1"/>
  <c r="AK2177" i="9"/>
  <c r="AL2177" i="9" s="1"/>
  <c r="I2177" i="9"/>
  <c r="K2177" i="9" s="1"/>
  <c r="L2177" i="9" s="1"/>
  <c r="AM2176" i="9"/>
  <c r="R2176" i="9"/>
  <c r="J2176" i="9"/>
  <c r="V2176" i="9" s="1"/>
  <c r="D2176" i="9"/>
  <c r="AM2175" i="9"/>
  <c r="AN2175" i="9" s="1"/>
  <c r="AF2175" i="9"/>
  <c r="AB2175" i="9"/>
  <c r="V2175" i="9"/>
  <c r="R2175" i="9"/>
  <c r="L2175" i="9"/>
  <c r="I2175" i="9"/>
  <c r="K2175" i="9" s="1"/>
  <c r="AF2174" i="9"/>
  <c r="AB2174" i="9"/>
  <c r="V2174" i="9"/>
  <c r="R2174" i="9"/>
  <c r="AK2174" i="9" s="1"/>
  <c r="J2174" i="9"/>
  <c r="I2174" i="9"/>
  <c r="K2174" i="9" s="1"/>
  <c r="L2174" i="9" s="1"/>
  <c r="D2174" i="9"/>
  <c r="Q2174" i="9" s="1"/>
  <c r="AM2173" i="9"/>
  <c r="AN2173" i="9" s="1"/>
  <c r="AL2173" i="9"/>
  <c r="AK2173" i="9"/>
  <c r="I2173" i="9"/>
  <c r="K2173" i="9" s="1"/>
  <c r="L2173" i="9" s="1"/>
  <c r="AM2172" i="9"/>
  <c r="AN2172" i="9" s="1"/>
  <c r="AK2172" i="9"/>
  <c r="AL2172" i="9" s="1"/>
  <c r="I2172" i="9"/>
  <c r="K2172" i="9" s="1"/>
  <c r="L2172" i="9" s="1"/>
  <c r="AM2171" i="9"/>
  <c r="AN2171" i="9" s="1"/>
  <c r="AF2171" i="9"/>
  <c r="AB2171" i="9"/>
  <c r="V2171" i="9"/>
  <c r="R2171" i="9"/>
  <c r="I2171" i="9"/>
  <c r="K2171" i="9" s="1"/>
  <c r="L2171" i="9" s="1"/>
  <c r="AM2170" i="9"/>
  <c r="AN2170" i="9" s="1"/>
  <c r="AF2170" i="9"/>
  <c r="AB2170" i="9"/>
  <c r="V2170" i="9"/>
  <c r="R2170" i="9"/>
  <c r="I2170" i="9"/>
  <c r="K2170" i="9" s="1"/>
  <c r="L2170" i="9" s="1"/>
  <c r="AM2169" i="9"/>
  <c r="AN2169" i="9" s="1"/>
  <c r="AF2169" i="9"/>
  <c r="AB2169" i="9"/>
  <c r="V2169" i="9"/>
  <c r="R2169" i="9"/>
  <c r="L2169" i="9"/>
  <c r="I2169" i="9"/>
  <c r="K2169" i="9" s="1"/>
  <c r="AM2168" i="9"/>
  <c r="AN2168" i="9" s="1"/>
  <c r="AK2168" i="9"/>
  <c r="AL2168" i="9" s="1"/>
  <c r="I2168" i="9"/>
  <c r="K2168" i="9" s="1"/>
  <c r="L2168" i="9" s="1"/>
  <c r="AM2167" i="9"/>
  <c r="AN2167" i="9" s="1"/>
  <c r="AF2167" i="9"/>
  <c r="AB2167" i="9"/>
  <c r="V2167" i="9"/>
  <c r="R2167" i="9"/>
  <c r="K2167" i="9"/>
  <c r="L2167" i="9" s="1"/>
  <c r="I2167" i="9"/>
  <c r="AM2166" i="9"/>
  <c r="AN2166" i="9" s="1"/>
  <c r="AF2166" i="9"/>
  <c r="AB2166" i="9"/>
  <c r="V2166" i="9"/>
  <c r="R2166" i="9"/>
  <c r="I2166" i="9"/>
  <c r="K2166" i="9" s="1"/>
  <c r="L2166" i="9" s="1"/>
  <c r="AM2165" i="9"/>
  <c r="AN2165" i="9" s="1"/>
  <c r="AF2165" i="9"/>
  <c r="AB2165" i="9"/>
  <c r="V2165" i="9"/>
  <c r="R2165" i="9"/>
  <c r="I2165" i="9"/>
  <c r="K2165" i="9" s="1"/>
  <c r="L2165" i="9" s="1"/>
  <c r="AN2164" i="9"/>
  <c r="AM2164" i="9"/>
  <c r="AF2164" i="9"/>
  <c r="AB2164" i="9"/>
  <c r="V2164" i="9"/>
  <c r="R2164" i="9"/>
  <c r="K2164" i="9"/>
  <c r="L2164" i="9" s="1"/>
  <c r="I2164" i="9"/>
  <c r="U2163" i="9"/>
  <c r="Q2163" i="9"/>
  <c r="J2163" i="9"/>
  <c r="D2163" i="9"/>
  <c r="AA2163" i="9" s="1"/>
  <c r="AM2162" i="9"/>
  <c r="AN2162" i="9" s="1"/>
  <c r="AF2162" i="9"/>
  <c r="AB2162" i="9"/>
  <c r="V2162" i="9"/>
  <c r="R2162" i="9"/>
  <c r="AK2162" i="9" s="1"/>
  <c r="AL2162" i="9" s="1"/>
  <c r="I2162" i="9"/>
  <c r="K2162" i="9" s="1"/>
  <c r="L2162" i="9" s="1"/>
  <c r="AM2161" i="9"/>
  <c r="AN2161" i="9" s="1"/>
  <c r="AF2161" i="9"/>
  <c r="AB2161" i="9"/>
  <c r="V2161" i="9"/>
  <c r="R2161" i="9"/>
  <c r="I2161" i="9"/>
  <c r="K2161" i="9" s="1"/>
  <c r="L2161" i="9" s="1"/>
  <c r="AM2160" i="9"/>
  <c r="J2160" i="9"/>
  <c r="D2160" i="9"/>
  <c r="AM2159" i="9"/>
  <c r="AN2159" i="9" s="1"/>
  <c r="AK2159" i="9"/>
  <c r="AL2159" i="9" s="1"/>
  <c r="I2159" i="9"/>
  <c r="K2159" i="9" s="1"/>
  <c r="L2159" i="9" s="1"/>
  <c r="AM2158" i="9"/>
  <c r="AK2158" i="9"/>
  <c r="J2158" i="9"/>
  <c r="D2158" i="9"/>
  <c r="AN2158" i="9" s="1"/>
  <c r="AM2157" i="9"/>
  <c r="AN2157" i="9" s="1"/>
  <c r="AK2157" i="9"/>
  <c r="AL2157" i="9" s="1"/>
  <c r="L2157" i="9"/>
  <c r="I2157" i="9"/>
  <c r="K2157" i="9" s="1"/>
  <c r="AM2156" i="9"/>
  <c r="AK2156" i="9"/>
  <c r="J2156" i="9"/>
  <c r="D2156" i="9"/>
  <c r="AM2155" i="9"/>
  <c r="AN2155" i="9" s="1"/>
  <c r="AK2155" i="9"/>
  <c r="AL2155" i="9" s="1"/>
  <c r="I2155" i="9"/>
  <c r="K2155" i="9" s="1"/>
  <c r="L2155" i="9" s="1"/>
  <c r="AM2154" i="9"/>
  <c r="AK2154" i="9"/>
  <c r="L2154" i="9"/>
  <c r="J2154" i="9"/>
  <c r="I2154" i="9" s="1"/>
  <c r="K2154" i="9" s="1"/>
  <c r="D2154" i="9"/>
  <c r="AN2153" i="9"/>
  <c r="AM2153" i="9"/>
  <c r="AF2153" i="9"/>
  <c r="AB2153" i="9"/>
  <c r="V2153" i="9"/>
  <c r="J2153" i="9"/>
  <c r="R2153" i="9" s="1"/>
  <c r="AM2152" i="9"/>
  <c r="AN2152" i="9" s="1"/>
  <c r="J2152" i="9"/>
  <c r="AM2151" i="9"/>
  <c r="AK2151" i="9"/>
  <c r="J2151" i="9"/>
  <c r="D2151" i="9"/>
  <c r="AM2150" i="9"/>
  <c r="AN2150" i="9" s="1"/>
  <c r="AF2150" i="9"/>
  <c r="AB2150" i="9"/>
  <c r="V2150" i="9"/>
  <c r="R2150" i="9"/>
  <c r="AK2150" i="9" s="1"/>
  <c r="AL2150" i="9" s="1"/>
  <c r="I2150" i="9"/>
  <c r="K2150" i="9" s="1"/>
  <c r="L2150" i="9" s="1"/>
  <c r="AM2149" i="9"/>
  <c r="AN2149" i="9" s="1"/>
  <c r="AL2149" i="9"/>
  <c r="AF2149" i="9"/>
  <c r="AB2149" i="9"/>
  <c r="V2149" i="9"/>
  <c r="AK2149" i="9" s="1"/>
  <c r="R2149" i="9"/>
  <c r="I2149" i="9"/>
  <c r="K2149" i="9" s="1"/>
  <c r="L2149" i="9" s="1"/>
  <c r="AM2148" i="9"/>
  <c r="AN2148" i="9" s="1"/>
  <c r="AF2148" i="9"/>
  <c r="AB2148" i="9"/>
  <c r="V2148" i="9"/>
  <c r="R2148" i="9"/>
  <c r="K2148" i="9"/>
  <c r="L2148" i="9" s="1"/>
  <c r="I2148" i="9"/>
  <c r="AM2147" i="9"/>
  <c r="AN2147" i="9" s="1"/>
  <c r="AK2147" i="9"/>
  <c r="AL2147" i="9" s="1"/>
  <c r="AF2147" i="9"/>
  <c r="AB2147" i="9"/>
  <c r="V2147" i="9"/>
  <c r="R2147" i="9"/>
  <c r="I2147" i="9"/>
  <c r="K2147" i="9" s="1"/>
  <c r="L2147" i="9" s="1"/>
  <c r="AM2146" i="9"/>
  <c r="AN2146" i="9" s="1"/>
  <c r="AL2146" i="9"/>
  <c r="AK2146" i="9"/>
  <c r="L2146" i="9"/>
  <c r="I2146" i="9"/>
  <c r="K2146" i="9" s="1"/>
  <c r="AM2145" i="9"/>
  <c r="AN2145" i="9" s="1"/>
  <c r="AF2145" i="9"/>
  <c r="AB2145" i="9"/>
  <c r="V2145" i="9"/>
  <c r="R2145" i="9"/>
  <c r="I2145" i="9"/>
  <c r="K2145" i="9" s="1"/>
  <c r="L2145" i="9" s="1"/>
  <c r="AK2144" i="9"/>
  <c r="AL2144" i="9" s="1"/>
  <c r="AF2144" i="9"/>
  <c r="AE2144" i="9"/>
  <c r="AB2144" i="9"/>
  <c r="AA2144" i="9"/>
  <c r="AM2144" i="9" s="1"/>
  <c r="AN2144" i="9" s="1"/>
  <c r="V2144" i="9"/>
  <c r="U2144" i="9"/>
  <c r="R2144" i="9"/>
  <c r="Q2144" i="9"/>
  <c r="I2144" i="9"/>
  <c r="K2144" i="9" s="1"/>
  <c r="L2144" i="9" s="1"/>
  <c r="AM2143" i="9"/>
  <c r="AN2143" i="9" s="1"/>
  <c r="AK2143" i="9"/>
  <c r="AL2143" i="9" s="1"/>
  <c r="I2143" i="9"/>
  <c r="K2143" i="9" s="1"/>
  <c r="L2143" i="9" s="1"/>
  <c r="AF2142" i="9"/>
  <c r="AK2142" i="9" s="1"/>
  <c r="AL2142" i="9" s="1"/>
  <c r="AE2142" i="9"/>
  <c r="AB2142" i="9"/>
  <c r="AA2142" i="9"/>
  <c r="V2142" i="9"/>
  <c r="U2142" i="9"/>
  <c r="R2142" i="9"/>
  <c r="Q2142" i="9"/>
  <c r="I2142" i="9"/>
  <c r="K2142" i="9" s="1"/>
  <c r="L2142" i="9" s="1"/>
  <c r="AM2141" i="9"/>
  <c r="AN2141" i="9" s="1"/>
  <c r="AF2141" i="9"/>
  <c r="AB2141" i="9"/>
  <c r="V2141" i="9"/>
  <c r="R2141" i="9"/>
  <c r="I2141" i="9"/>
  <c r="K2141" i="9" s="1"/>
  <c r="L2141" i="9" s="1"/>
  <c r="AF2140" i="9"/>
  <c r="AE2140" i="9"/>
  <c r="AB2140" i="9"/>
  <c r="AA2140" i="9"/>
  <c r="V2140" i="9"/>
  <c r="U2140" i="9"/>
  <c r="R2140" i="9"/>
  <c r="AK2140" i="9" s="1"/>
  <c r="AL2140" i="9" s="1"/>
  <c r="Q2140" i="9"/>
  <c r="K2140" i="9"/>
  <c r="L2140" i="9" s="1"/>
  <c r="AF2139" i="9"/>
  <c r="AE2139" i="9"/>
  <c r="AB2139" i="9"/>
  <c r="AA2139" i="9"/>
  <c r="V2139" i="9"/>
  <c r="U2139" i="9"/>
  <c r="R2139" i="9"/>
  <c r="Q2139" i="9"/>
  <c r="K2139" i="9"/>
  <c r="L2139" i="9" s="1"/>
  <c r="AF2138" i="9"/>
  <c r="AE2138" i="9"/>
  <c r="AB2138" i="9"/>
  <c r="AA2138" i="9"/>
  <c r="V2138" i="9"/>
  <c r="U2138" i="9"/>
  <c r="R2138" i="9"/>
  <c r="Q2138" i="9"/>
  <c r="K2138" i="9"/>
  <c r="L2138" i="9" s="1"/>
  <c r="AF2137" i="9"/>
  <c r="AE2137" i="9"/>
  <c r="AB2137" i="9"/>
  <c r="AA2137" i="9"/>
  <c r="V2137" i="9"/>
  <c r="U2137" i="9"/>
  <c r="R2137" i="9"/>
  <c r="Q2137" i="9"/>
  <c r="K2137" i="9"/>
  <c r="L2137" i="9" s="1"/>
  <c r="AF2136" i="9"/>
  <c r="AE2136" i="9"/>
  <c r="AB2136" i="9"/>
  <c r="AA2136" i="9"/>
  <c r="V2136" i="9"/>
  <c r="U2136" i="9"/>
  <c r="R2136" i="9"/>
  <c r="Q2136" i="9"/>
  <c r="K2136" i="9"/>
  <c r="L2136" i="9" s="1"/>
  <c r="AF2135" i="9"/>
  <c r="AE2135" i="9"/>
  <c r="AB2135" i="9"/>
  <c r="AA2135" i="9"/>
  <c r="V2135" i="9"/>
  <c r="U2135" i="9"/>
  <c r="R2135" i="9"/>
  <c r="Q2135" i="9"/>
  <c r="K2135" i="9"/>
  <c r="L2135" i="9" s="1"/>
  <c r="AF2134" i="9"/>
  <c r="AE2134" i="9"/>
  <c r="AB2134" i="9"/>
  <c r="AA2134" i="9"/>
  <c r="V2134" i="9"/>
  <c r="U2134" i="9"/>
  <c r="R2134" i="9"/>
  <c r="Q2134" i="9"/>
  <c r="K2134" i="9"/>
  <c r="L2134" i="9" s="1"/>
  <c r="AF2133" i="9"/>
  <c r="AE2133" i="9"/>
  <c r="AB2133" i="9"/>
  <c r="AA2133" i="9"/>
  <c r="V2133" i="9"/>
  <c r="U2133" i="9"/>
  <c r="R2133" i="9"/>
  <c r="Q2133" i="9"/>
  <c r="L2133" i="9"/>
  <c r="K2133" i="9"/>
  <c r="AF2132" i="9"/>
  <c r="AE2132" i="9"/>
  <c r="AB2132" i="9"/>
  <c r="AA2132" i="9"/>
  <c r="V2132" i="9"/>
  <c r="U2132" i="9"/>
  <c r="R2132" i="9"/>
  <c r="Q2132" i="9"/>
  <c r="K2132" i="9"/>
  <c r="L2132" i="9" s="1"/>
  <c r="AN2131" i="9"/>
  <c r="AM2131" i="9"/>
  <c r="AF2131" i="9"/>
  <c r="AE2131" i="9"/>
  <c r="AB2131" i="9"/>
  <c r="AA2131" i="9"/>
  <c r="V2131" i="9"/>
  <c r="U2131" i="9"/>
  <c r="R2131" i="9"/>
  <c r="Q2131" i="9"/>
  <c r="K2131" i="9"/>
  <c r="L2131" i="9" s="1"/>
  <c r="AM2130" i="9"/>
  <c r="AN2130" i="9" s="1"/>
  <c r="J2130" i="9"/>
  <c r="D2130" i="9"/>
  <c r="AK2129" i="9"/>
  <c r="AL2129" i="9" s="1"/>
  <c r="AF2129" i="9"/>
  <c r="AE2129" i="9"/>
  <c r="AB2129" i="9"/>
  <c r="AA2129" i="9"/>
  <c r="V2129" i="9"/>
  <c r="U2129" i="9"/>
  <c r="R2129" i="9"/>
  <c r="Q2129" i="9"/>
  <c r="AM2129" i="9" s="1"/>
  <c r="AN2129" i="9" s="1"/>
  <c r="K2129" i="9"/>
  <c r="L2129" i="9" s="1"/>
  <c r="AM2127" i="9"/>
  <c r="AN2127" i="9" s="1"/>
  <c r="AL2127" i="9"/>
  <c r="AK2127" i="9"/>
  <c r="I2127" i="9"/>
  <c r="K2127" i="9" s="1"/>
  <c r="L2127" i="9" s="1"/>
  <c r="AN2126" i="9"/>
  <c r="AM2126" i="9"/>
  <c r="AK2126" i="9"/>
  <c r="AL2126" i="9" s="1"/>
  <c r="K2126" i="9"/>
  <c r="L2126" i="9" s="1"/>
  <c r="I2126" i="9"/>
  <c r="AM2125" i="9"/>
  <c r="AN2125" i="9" s="1"/>
  <c r="AL2125" i="9"/>
  <c r="AK2125" i="9"/>
  <c r="I2125" i="9"/>
  <c r="K2125" i="9" s="1"/>
  <c r="L2125" i="9" s="1"/>
  <c r="AM2124" i="9"/>
  <c r="AB2124" i="9"/>
  <c r="J2124" i="9"/>
  <c r="D2124" i="9"/>
  <c r="AA2123" i="9"/>
  <c r="J2123" i="9"/>
  <c r="D2123" i="9"/>
  <c r="AF2122" i="9"/>
  <c r="AE2122" i="9"/>
  <c r="AB2122" i="9"/>
  <c r="AA2122" i="9"/>
  <c r="V2122" i="9"/>
  <c r="U2122" i="9"/>
  <c r="R2122" i="9"/>
  <c r="Q2122" i="9"/>
  <c r="K2122" i="9"/>
  <c r="L2122" i="9" s="1"/>
  <c r="AF2121" i="9"/>
  <c r="AE2121" i="9"/>
  <c r="AB2121" i="9"/>
  <c r="AA2121" i="9"/>
  <c r="V2121" i="9"/>
  <c r="U2121" i="9"/>
  <c r="R2121" i="9"/>
  <c r="AK2121" i="9" s="1"/>
  <c r="AL2121" i="9" s="1"/>
  <c r="Q2121" i="9"/>
  <c r="AM2121" i="9" s="1"/>
  <c r="AN2121" i="9" s="1"/>
  <c r="L2121" i="9"/>
  <c r="K2121" i="9"/>
  <c r="AN2119" i="9"/>
  <c r="AM2119" i="9"/>
  <c r="AF2119" i="9"/>
  <c r="AB2119" i="9"/>
  <c r="V2119" i="9"/>
  <c r="R2119" i="9"/>
  <c r="I2119" i="9"/>
  <c r="K2119" i="9" s="1"/>
  <c r="L2119" i="9" s="1"/>
  <c r="AM2118" i="9"/>
  <c r="AN2118" i="9" s="1"/>
  <c r="AK2118" i="9"/>
  <c r="AL2118" i="9" s="1"/>
  <c r="L2118" i="9"/>
  <c r="K2118" i="9"/>
  <c r="I2118" i="9"/>
  <c r="AN2117" i="9"/>
  <c r="AM2117" i="9"/>
  <c r="AF2117" i="9"/>
  <c r="V2117" i="9"/>
  <c r="J2117" i="9"/>
  <c r="D2117" i="9"/>
  <c r="AF2116" i="9"/>
  <c r="AE2116" i="9"/>
  <c r="AM2116" i="9" s="1"/>
  <c r="AN2116" i="9" s="1"/>
  <c r="AB2116" i="9"/>
  <c r="AA2116" i="9"/>
  <c r="V2116" i="9"/>
  <c r="U2116" i="9"/>
  <c r="R2116" i="9"/>
  <c r="Q2116" i="9"/>
  <c r="K2116" i="9"/>
  <c r="L2116" i="9" s="1"/>
  <c r="AF2115" i="9"/>
  <c r="AE2115" i="9"/>
  <c r="AB2115" i="9"/>
  <c r="AA2115" i="9"/>
  <c r="V2115" i="9"/>
  <c r="U2115" i="9"/>
  <c r="R2115" i="9"/>
  <c r="Q2115" i="9"/>
  <c r="L2115" i="9"/>
  <c r="K2115" i="9"/>
  <c r="AF2114" i="9"/>
  <c r="AE2114" i="9"/>
  <c r="AB2114" i="9"/>
  <c r="AA2114" i="9"/>
  <c r="V2114" i="9"/>
  <c r="U2114" i="9"/>
  <c r="R2114" i="9"/>
  <c r="AK2114" i="9" s="1"/>
  <c r="AL2114" i="9" s="1"/>
  <c r="Q2114" i="9"/>
  <c r="K2114" i="9"/>
  <c r="L2114" i="9" s="1"/>
  <c r="AM2113" i="9"/>
  <c r="J2113" i="9"/>
  <c r="D2113" i="9"/>
  <c r="AM2112" i="9"/>
  <c r="J2112" i="9"/>
  <c r="D2112" i="9"/>
  <c r="AA2111" i="9"/>
  <c r="Q2111" i="9"/>
  <c r="J2111" i="9"/>
  <c r="D2111" i="9"/>
  <c r="AE2111" i="9" s="1"/>
  <c r="AF2110" i="9"/>
  <c r="AE2110" i="9"/>
  <c r="AB2110" i="9"/>
  <c r="AA2110" i="9"/>
  <c r="V2110" i="9"/>
  <c r="U2110" i="9"/>
  <c r="R2110" i="9"/>
  <c r="Q2110" i="9"/>
  <c r="K2110" i="9"/>
  <c r="L2110" i="9" s="1"/>
  <c r="AF2109" i="9"/>
  <c r="AE2109" i="9"/>
  <c r="AB2109" i="9"/>
  <c r="AA2109" i="9"/>
  <c r="V2109" i="9"/>
  <c r="U2109" i="9"/>
  <c r="R2109" i="9"/>
  <c r="Q2109" i="9"/>
  <c r="K2109" i="9"/>
  <c r="L2109" i="9" s="1"/>
  <c r="AF2108" i="9"/>
  <c r="AE2108" i="9"/>
  <c r="AB2108" i="9"/>
  <c r="AA2108" i="9"/>
  <c r="V2108" i="9"/>
  <c r="U2108" i="9"/>
  <c r="R2108" i="9"/>
  <c r="AK2108" i="9" s="1"/>
  <c r="AL2108" i="9" s="1"/>
  <c r="Q2108" i="9"/>
  <c r="L2108" i="9"/>
  <c r="K2108" i="9"/>
  <c r="AF2107" i="9"/>
  <c r="AE2107" i="9"/>
  <c r="AB2107" i="9"/>
  <c r="AA2107" i="9"/>
  <c r="V2107" i="9"/>
  <c r="U2107" i="9"/>
  <c r="R2107" i="9"/>
  <c r="Q2107" i="9"/>
  <c r="K2107" i="9"/>
  <c r="L2107" i="9" s="1"/>
  <c r="AF2106" i="9"/>
  <c r="AE2106" i="9"/>
  <c r="AB2106" i="9"/>
  <c r="AA2106" i="9"/>
  <c r="V2106" i="9"/>
  <c r="U2106" i="9"/>
  <c r="R2106" i="9"/>
  <c r="Q2106" i="9"/>
  <c r="K2106" i="9"/>
  <c r="L2106" i="9" s="1"/>
  <c r="AM2105" i="9"/>
  <c r="AN2105" i="9" s="1"/>
  <c r="AK2105" i="9"/>
  <c r="AL2105" i="9" s="1"/>
  <c r="I2105" i="9"/>
  <c r="K2105" i="9" s="1"/>
  <c r="L2105" i="9" s="1"/>
  <c r="AM2104" i="9"/>
  <c r="AN2104" i="9" s="1"/>
  <c r="AK2104" i="9"/>
  <c r="AL2104" i="9" s="1"/>
  <c r="I2104" i="9"/>
  <c r="K2104" i="9" s="1"/>
  <c r="L2104" i="9" s="1"/>
  <c r="AN2103" i="9"/>
  <c r="AM2103" i="9"/>
  <c r="AK2103" i="9"/>
  <c r="AL2103" i="9" s="1"/>
  <c r="K2103" i="9"/>
  <c r="L2103" i="9" s="1"/>
  <c r="I2103" i="9"/>
  <c r="AF2102" i="9"/>
  <c r="AE2102" i="9"/>
  <c r="AB2102" i="9"/>
  <c r="AA2102" i="9"/>
  <c r="V2102" i="9"/>
  <c r="U2102" i="9"/>
  <c r="R2102" i="9"/>
  <c r="Q2102" i="9"/>
  <c r="I2102" i="9"/>
  <c r="K2102" i="9" s="1"/>
  <c r="L2102" i="9" s="1"/>
  <c r="AM2101" i="9"/>
  <c r="AN2101" i="9" s="1"/>
  <c r="AK2101" i="9"/>
  <c r="AL2101" i="9" s="1"/>
  <c r="L2101" i="9"/>
  <c r="K2101" i="9"/>
  <c r="I2101" i="9"/>
  <c r="AO2100" i="9"/>
  <c r="AF2100" i="9"/>
  <c r="AE2100" i="9"/>
  <c r="AB2100" i="9"/>
  <c r="AA2100" i="9"/>
  <c r="V2100" i="9"/>
  <c r="U2100" i="9"/>
  <c r="R2100" i="9"/>
  <c r="Q2100" i="9"/>
  <c r="K2100" i="9"/>
  <c r="L2100" i="9" s="1"/>
  <c r="AF2099" i="9"/>
  <c r="AE2099" i="9"/>
  <c r="AB2099" i="9"/>
  <c r="AA2099" i="9"/>
  <c r="V2099" i="9"/>
  <c r="AK2099" i="9" s="1"/>
  <c r="AL2099" i="9" s="1"/>
  <c r="U2099" i="9"/>
  <c r="R2099" i="9"/>
  <c r="Q2099" i="9"/>
  <c r="K2099" i="9"/>
  <c r="L2099" i="9" s="1"/>
  <c r="AM2098" i="9"/>
  <c r="AF2098" i="9"/>
  <c r="AB2098" i="9"/>
  <c r="V2098" i="9"/>
  <c r="R2098" i="9"/>
  <c r="J2098" i="9"/>
  <c r="D2098" i="9"/>
  <c r="AN2098" i="9" s="1"/>
  <c r="AO2097" i="9"/>
  <c r="AF2097" i="9"/>
  <c r="AE2097" i="9"/>
  <c r="AB2097" i="9"/>
  <c r="AA2097" i="9"/>
  <c r="V2097" i="9"/>
  <c r="U2097" i="9"/>
  <c r="R2097" i="9"/>
  <c r="Q2097" i="9"/>
  <c r="K2097" i="9"/>
  <c r="L2097" i="9" s="1"/>
  <c r="AF2096" i="9"/>
  <c r="AE2096" i="9"/>
  <c r="AB2096" i="9"/>
  <c r="AA2096" i="9"/>
  <c r="V2096" i="9"/>
  <c r="AK2096" i="9" s="1"/>
  <c r="AL2096" i="9" s="1"/>
  <c r="U2096" i="9"/>
  <c r="R2096" i="9"/>
  <c r="Q2096" i="9"/>
  <c r="L2096" i="9"/>
  <c r="K2096" i="9"/>
  <c r="AF2095" i="9"/>
  <c r="AE2095" i="9"/>
  <c r="AB2095" i="9"/>
  <c r="AA2095" i="9"/>
  <c r="V2095" i="9"/>
  <c r="U2095" i="9"/>
  <c r="R2095" i="9"/>
  <c r="Q2095" i="9"/>
  <c r="K2095" i="9"/>
  <c r="L2095" i="9" s="1"/>
  <c r="AF2094" i="9"/>
  <c r="AE2094" i="9"/>
  <c r="AB2094" i="9"/>
  <c r="AA2094" i="9"/>
  <c r="V2094" i="9"/>
  <c r="U2094" i="9"/>
  <c r="R2094" i="9"/>
  <c r="Q2094" i="9"/>
  <c r="K2094" i="9"/>
  <c r="L2094" i="9" s="1"/>
  <c r="AF2093" i="9"/>
  <c r="AE2093" i="9"/>
  <c r="AB2093" i="9"/>
  <c r="AA2093" i="9"/>
  <c r="V2093" i="9"/>
  <c r="U2093" i="9"/>
  <c r="R2093" i="9"/>
  <c r="AK2093" i="9" s="1"/>
  <c r="AL2093" i="9" s="1"/>
  <c r="Q2093" i="9"/>
  <c r="K2093" i="9"/>
  <c r="L2093" i="9" s="1"/>
  <c r="AF2092" i="9"/>
  <c r="AE2092" i="9"/>
  <c r="AB2092" i="9"/>
  <c r="AA2092" i="9"/>
  <c r="V2092" i="9"/>
  <c r="U2092" i="9"/>
  <c r="R2092" i="9"/>
  <c r="AK2092" i="9" s="1"/>
  <c r="AL2092" i="9" s="1"/>
  <c r="Q2092" i="9"/>
  <c r="AM2092" i="9" s="1"/>
  <c r="AN2092" i="9" s="1"/>
  <c r="K2092" i="9"/>
  <c r="L2092" i="9" s="1"/>
  <c r="AF2091" i="9"/>
  <c r="AE2091" i="9"/>
  <c r="AB2091" i="9"/>
  <c r="AA2091" i="9"/>
  <c r="V2091" i="9"/>
  <c r="U2091" i="9"/>
  <c r="R2091" i="9"/>
  <c r="Q2091" i="9"/>
  <c r="AM2091" i="9" s="1"/>
  <c r="AN2091" i="9" s="1"/>
  <c r="K2091" i="9"/>
  <c r="L2091" i="9" s="1"/>
  <c r="AF2090" i="9"/>
  <c r="AE2090" i="9"/>
  <c r="AB2090" i="9"/>
  <c r="AA2090" i="9"/>
  <c r="V2090" i="9"/>
  <c r="U2090" i="9"/>
  <c r="R2090" i="9"/>
  <c r="Q2090" i="9"/>
  <c r="K2090" i="9"/>
  <c r="L2090" i="9" s="1"/>
  <c r="AF2089" i="9"/>
  <c r="AE2089" i="9"/>
  <c r="AB2089" i="9"/>
  <c r="AK2089" i="9" s="1"/>
  <c r="AL2089" i="9" s="1"/>
  <c r="AA2089" i="9"/>
  <c r="V2089" i="9"/>
  <c r="U2089" i="9"/>
  <c r="R2089" i="9"/>
  <c r="Q2089" i="9"/>
  <c r="K2089" i="9"/>
  <c r="L2089" i="9" s="1"/>
  <c r="AF2088" i="9"/>
  <c r="AE2088" i="9"/>
  <c r="AB2088" i="9"/>
  <c r="AA2088" i="9"/>
  <c r="V2088" i="9"/>
  <c r="U2088" i="9"/>
  <c r="R2088" i="9"/>
  <c r="Q2088" i="9"/>
  <c r="K2088" i="9"/>
  <c r="L2088" i="9" s="1"/>
  <c r="AF2087" i="9"/>
  <c r="AE2087" i="9"/>
  <c r="AB2087" i="9"/>
  <c r="AA2087" i="9"/>
  <c r="V2087" i="9"/>
  <c r="U2087" i="9"/>
  <c r="R2087" i="9"/>
  <c r="Q2087" i="9"/>
  <c r="K2087" i="9"/>
  <c r="L2087" i="9" s="1"/>
  <c r="AF2086" i="9"/>
  <c r="AE2086" i="9"/>
  <c r="AB2086" i="9"/>
  <c r="AA2086" i="9"/>
  <c r="V2086" i="9"/>
  <c r="U2086" i="9"/>
  <c r="R2086" i="9"/>
  <c r="Q2086" i="9"/>
  <c r="K2086" i="9"/>
  <c r="L2086" i="9" s="1"/>
  <c r="AM2085" i="9"/>
  <c r="AN2085" i="9" s="1"/>
  <c r="AF2085" i="9"/>
  <c r="AE2085" i="9"/>
  <c r="AB2085" i="9"/>
  <c r="AA2085" i="9"/>
  <c r="V2085" i="9"/>
  <c r="U2085" i="9"/>
  <c r="R2085" i="9"/>
  <c r="Q2085" i="9"/>
  <c r="K2085" i="9"/>
  <c r="L2085" i="9" s="1"/>
  <c r="AF2084" i="9"/>
  <c r="AE2084" i="9"/>
  <c r="AB2084" i="9"/>
  <c r="AA2084" i="9"/>
  <c r="AM2084" i="9" s="1"/>
  <c r="AN2084" i="9" s="1"/>
  <c r="V2084" i="9"/>
  <c r="AK2084" i="9" s="1"/>
  <c r="AL2084" i="9" s="1"/>
  <c r="U2084" i="9"/>
  <c r="R2084" i="9"/>
  <c r="Q2084" i="9"/>
  <c r="K2084" i="9"/>
  <c r="L2084" i="9" s="1"/>
  <c r="AF2083" i="9"/>
  <c r="AE2083" i="9"/>
  <c r="AB2083" i="9"/>
  <c r="AA2083" i="9"/>
  <c r="V2083" i="9"/>
  <c r="U2083" i="9"/>
  <c r="R2083" i="9"/>
  <c r="AK2083" i="9" s="1"/>
  <c r="AL2083" i="9" s="1"/>
  <c r="Q2083" i="9"/>
  <c r="K2083" i="9"/>
  <c r="L2083" i="9" s="1"/>
  <c r="AF2082" i="9"/>
  <c r="AE2082" i="9"/>
  <c r="AB2082" i="9"/>
  <c r="AA2082" i="9"/>
  <c r="V2082" i="9"/>
  <c r="U2082" i="9"/>
  <c r="AM2082" i="9" s="1"/>
  <c r="AN2082" i="9" s="1"/>
  <c r="R2082" i="9"/>
  <c r="Q2082" i="9"/>
  <c r="K2082" i="9"/>
  <c r="L2082" i="9" s="1"/>
  <c r="AF2081" i="9"/>
  <c r="AE2081" i="9"/>
  <c r="AB2081" i="9"/>
  <c r="AA2081" i="9"/>
  <c r="V2081" i="9"/>
  <c r="U2081" i="9"/>
  <c r="R2081" i="9"/>
  <c r="Q2081" i="9"/>
  <c r="K2081" i="9"/>
  <c r="L2081" i="9" s="1"/>
  <c r="AF2080" i="9"/>
  <c r="AE2080" i="9"/>
  <c r="AB2080" i="9"/>
  <c r="AA2080" i="9"/>
  <c r="V2080" i="9"/>
  <c r="U2080" i="9"/>
  <c r="R2080" i="9"/>
  <c r="Q2080" i="9"/>
  <c r="K2080" i="9"/>
  <c r="L2080" i="9" s="1"/>
  <c r="AF2079" i="9"/>
  <c r="AE2079" i="9"/>
  <c r="AB2079" i="9"/>
  <c r="AA2079" i="9"/>
  <c r="V2079" i="9"/>
  <c r="U2079" i="9"/>
  <c r="R2079" i="9"/>
  <c r="Q2079" i="9"/>
  <c r="K2079" i="9"/>
  <c r="L2079" i="9" s="1"/>
  <c r="AK2078" i="9"/>
  <c r="AL2078" i="9" s="1"/>
  <c r="AF2078" i="9"/>
  <c r="AE2078" i="9"/>
  <c r="AB2078" i="9"/>
  <c r="AA2078" i="9"/>
  <c r="V2078" i="9"/>
  <c r="U2078" i="9"/>
  <c r="R2078" i="9"/>
  <c r="Q2078" i="9"/>
  <c r="L2078" i="9"/>
  <c r="K2078" i="9"/>
  <c r="AK2077" i="9"/>
  <c r="AL2077" i="9" s="1"/>
  <c r="AF2077" i="9"/>
  <c r="AE2077" i="9"/>
  <c r="AB2077" i="9"/>
  <c r="AA2077" i="9"/>
  <c r="V2077" i="9"/>
  <c r="U2077" i="9"/>
  <c r="R2077" i="9"/>
  <c r="Q2077" i="9"/>
  <c r="AM2077" i="9" s="1"/>
  <c r="AN2077" i="9" s="1"/>
  <c r="K2077" i="9"/>
  <c r="L2077" i="9" s="1"/>
  <c r="AF2076" i="9"/>
  <c r="AE2076" i="9"/>
  <c r="AB2076" i="9"/>
  <c r="AA2076" i="9"/>
  <c r="V2076" i="9"/>
  <c r="U2076" i="9"/>
  <c r="AM2076" i="9" s="1"/>
  <c r="AN2076" i="9" s="1"/>
  <c r="R2076" i="9"/>
  <c r="Q2076" i="9"/>
  <c r="K2076" i="9"/>
  <c r="L2076" i="9" s="1"/>
  <c r="AN2075" i="9"/>
  <c r="AF2075" i="9"/>
  <c r="AE2075" i="9"/>
  <c r="AB2075" i="9"/>
  <c r="AA2075" i="9"/>
  <c r="V2075" i="9"/>
  <c r="U2075" i="9"/>
  <c r="R2075" i="9"/>
  <c r="Q2075" i="9"/>
  <c r="AM2075" i="9" s="1"/>
  <c r="K2075" i="9"/>
  <c r="L2075" i="9" s="1"/>
  <c r="AF2074" i="9"/>
  <c r="AE2074" i="9"/>
  <c r="AB2074" i="9"/>
  <c r="AA2074" i="9"/>
  <c r="V2074" i="9"/>
  <c r="U2074" i="9"/>
  <c r="R2074" i="9"/>
  <c r="Q2074" i="9"/>
  <c r="AM2074" i="9" s="1"/>
  <c r="AN2074" i="9" s="1"/>
  <c r="K2074" i="9"/>
  <c r="L2074" i="9" s="1"/>
  <c r="AF2073" i="9"/>
  <c r="AE2073" i="9"/>
  <c r="AB2073" i="9"/>
  <c r="AA2073" i="9"/>
  <c r="V2073" i="9"/>
  <c r="U2073" i="9"/>
  <c r="R2073" i="9"/>
  <c r="Q2073" i="9"/>
  <c r="L2073" i="9"/>
  <c r="K2073" i="9"/>
  <c r="AF2072" i="9"/>
  <c r="AE2072" i="9"/>
  <c r="AB2072" i="9"/>
  <c r="AA2072" i="9"/>
  <c r="V2072" i="9"/>
  <c r="U2072" i="9"/>
  <c r="R2072" i="9"/>
  <c r="Q2072" i="9"/>
  <c r="K2072" i="9"/>
  <c r="L2072" i="9" s="1"/>
  <c r="AF2071" i="9"/>
  <c r="AE2071" i="9"/>
  <c r="AB2071" i="9"/>
  <c r="AA2071" i="9"/>
  <c r="V2071" i="9"/>
  <c r="U2071" i="9"/>
  <c r="R2071" i="9"/>
  <c r="Q2071" i="9"/>
  <c r="K2071" i="9"/>
  <c r="L2071" i="9" s="1"/>
  <c r="AF2070" i="9"/>
  <c r="AE2070" i="9"/>
  <c r="AB2070" i="9"/>
  <c r="AA2070" i="9"/>
  <c r="V2070" i="9"/>
  <c r="U2070" i="9"/>
  <c r="R2070" i="9"/>
  <c r="Q2070" i="9"/>
  <c r="K2070" i="9"/>
  <c r="L2070" i="9" s="1"/>
  <c r="AF2069" i="9"/>
  <c r="AE2069" i="9"/>
  <c r="AB2069" i="9"/>
  <c r="AA2069" i="9"/>
  <c r="V2069" i="9"/>
  <c r="U2069" i="9"/>
  <c r="R2069" i="9"/>
  <c r="Q2069" i="9"/>
  <c r="L2069" i="9"/>
  <c r="K2069" i="9"/>
  <c r="AK2068" i="9"/>
  <c r="AL2068" i="9" s="1"/>
  <c r="AF2068" i="9"/>
  <c r="AE2068" i="9"/>
  <c r="AB2068" i="9"/>
  <c r="AA2068" i="9"/>
  <c r="V2068" i="9"/>
  <c r="U2068" i="9"/>
  <c r="R2068" i="9"/>
  <c r="Q2068" i="9"/>
  <c r="K2068" i="9"/>
  <c r="L2068" i="9" s="1"/>
  <c r="AF2067" i="9"/>
  <c r="AE2067" i="9"/>
  <c r="AB2067" i="9"/>
  <c r="AA2067" i="9"/>
  <c r="V2067" i="9"/>
  <c r="U2067" i="9"/>
  <c r="R2067" i="9"/>
  <c r="Q2067" i="9"/>
  <c r="AM2067" i="9" s="1"/>
  <c r="AN2067" i="9" s="1"/>
  <c r="K2067" i="9"/>
  <c r="L2067" i="9" s="1"/>
  <c r="AF2066" i="9"/>
  <c r="AE2066" i="9"/>
  <c r="AB2066" i="9"/>
  <c r="AA2066" i="9"/>
  <c r="V2066" i="9"/>
  <c r="U2066" i="9"/>
  <c r="R2066" i="9"/>
  <c r="Q2066" i="9"/>
  <c r="AM2066" i="9" s="1"/>
  <c r="AN2066" i="9" s="1"/>
  <c r="K2066" i="9"/>
  <c r="L2066" i="9" s="1"/>
  <c r="AF2065" i="9"/>
  <c r="AE2065" i="9"/>
  <c r="AB2065" i="9"/>
  <c r="AA2065" i="9"/>
  <c r="V2065" i="9"/>
  <c r="U2065" i="9"/>
  <c r="R2065" i="9"/>
  <c r="Q2065" i="9"/>
  <c r="L2065" i="9"/>
  <c r="K2065" i="9"/>
  <c r="AF2064" i="9"/>
  <c r="AE2064" i="9"/>
  <c r="AB2064" i="9"/>
  <c r="AA2064" i="9"/>
  <c r="V2064" i="9"/>
  <c r="U2064" i="9"/>
  <c r="R2064" i="9"/>
  <c r="Q2064" i="9"/>
  <c r="K2064" i="9"/>
  <c r="L2064" i="9" s="1"/>
  <c r="AF2063" i="9"/>
  <c r="AE2063" i="9"/>
  <c r="AB2063" i="9"/>
  <c r="AA2063" i="9"/>
  <c r="V2063" i="9"/>
  <c r="U2063" i="9"/>
  <c r="R2063" i="9"/>
  <c r="Q2063" i="9"/>
  <c r="L2063" i="9"/>
  <c r="K2063" i="9"/>
  <c r="AF2062" i="9"/>
  <c r="AE2062" i="9"/>
  <c r="AB2062" i="9"/>
  <c r="AA2062" i="9"/>
  <c r="V2062" i="9"/>
  <c r="U2062" i="9"/>
  <c r="R2062" i="9"/>
  <c r="Q2062" i="9"/>
  <c r="K2062" i="9"/>
  <c r="L2062" i="9" s="1"/>
  <c r="AF2061" i="9"/>
  <c r="AE2061" i="9"/>
  <c r="AB2061" i="9"/>
  <c r="AA2061" i="9"/>
  <c r="V2061" i="9"/>
  <c r="U2061" i="9"/>
  <c r="R2061" i="9"/>
  <c r="Q2061" i="9"/>
  <c r="K2061" i="9"/>
  <c r="L2061" i="9" s="1"/>
  <c r="AF2060" i="9"/>
  <c r="AE2060" i="9"/>
  <c r="AB2060" i="9"/>
  <c r="AA2060" i="9"/>
  <c r="V2060" i="9"/>
  <c r="U2060" i="9"/>
  <c r="R2060" i="9"/>
  <c r="Q2060" i="9"/>
  <c r="L2060" i="9"/>
  <c r="K2060" i="9"/>
  <c r="AF2059" i="9"/>
  <c r="AE2059" i="9"/>
  <c r="AB2059" i="9"/>
  <c r="AA2059" i="9"/>
  <c r="V2059" i="9"/>
  <c r="U2059" i="9"/>
  <c r="R2059" i="9"/>
  <c r="Q2059" i="9"/>
  <c r="K2059" i="9"/>
  <c r="L2059" i="9" s="1"/>
  <c r="AF2058" i="9"/>
  <c r="AE2058" i="9"/>
  <c r="AB2058" i="9"/>
  <c r="AA2058" i="9"/>
  <c r="V2058" i="9"/>
  <c r="U2058" i="9"/>
  <c r="R2058" i="9"/>
  <c r="Q2058" i="9"/>
  <c r="K2058" i="9"/>
  <c r="L2058" i="9" s="1"/>
  <c r="AF2057" i="9"/>
  <c r="AE2057" i="9"/>
  <c r="AB2057" i="9"/>
  <c r="AA2057" i="9"/>
  <c r="V2057" i="9"/>
  <c r="U2057" i="9"/>
  <c r="R2057" i="9"/>
  <c r="Q2057" i="9"/>
  <c r="K2057" i="9"/>
  <c r="L2057" i="9" s="1"/>
  <c r="AF2056" i="9"/>
  <c r="AE2056" i="9"/>
  <c r="AB2056" i="9"/>
  <c r="AA2056" i="9"/>
  <c r="V2056" i="9"/>
  <c r="U2056" i="9"/>
  <c r="R2056" i="9"/>
  <c r="AK2056" i="9" s="1"/>
  <c r="AL2056" i="9" s="1"/>
  <c r="Q2056" i="9"/>
  <c r="K2056" i="9"/>
  <c r="L2056" i="9" s="1"/>
  <c r="AF2055" i="9"/>
  <c r="AE2055" i="9"/>
  <c r="AB2055" i="9"/>
  <c r="AA2055" i="9"/>
  <c r="V2055" i="9"/>
  <c r="U2055" i="9"/>
  <c r="R2055" i="9"/>
  <c r="Q2055" i="9"/>
  <c r="AM2055" i="9" s="1"/>
  <c r="AN2055" i="9" s="1"/>
  <c r="K2055" i="9"/>
  <c r="L2055" i="9" s="1"/>
  <c r="AF2054" i="9"/>
  <c r="AE2054" i="9"/>
  <c r="AB2054" i="9"/>
  <c r="AA2054" i="9"/>
  <c r="V2054" i="9"/>
  <c r="U2054" i="9"/>
  <c r="R2054" i="9"/>
  <c r="Q2054" i="9"/>
  <c r="K2054" i="9"/>
  <c r="L2054" i="9" s="1"/>
  <c r="AF2053" i="9"/>
  <c r="AE2053" i="9"/>
  <c r="AB2053" i="9"/>
  <c r="AA2053" i="9"/>
  <c r="V2053" i="9"/>
  <c r="U2053" i="9"/>
  <c r="R2053" i="9"/>
  <c r="Q2053" i="9"/>
  <c r="K2053" i="9"/>
  <c r="L2053" i="9" s="1"/>
  <c r="AF2052" i="9"/>
  <c r="AE2052" i="9"/>
  <c r="AB2052" i="9"/>
  <c r="AA2052" i="9"/>
  <c r="V2052" i="9"/>
  <c r="U2052" i="9"/>
  <c r="R2052" i="9"/>
  <c r="Q2052" i="9"/>
  <c r="K2052" i="9"/>
  <c r="L2052" i="9" s="1"/>
  <c r="AF2051" i="9"/>
  <c r="AE2051" i="9"/>
  <c r="AB2051" i="9"/>
  <c r="AA2051" i="9"/>
  <c r="V2051" i="9"/>
  <c r="U2051" i="9"/>
  <c r="R2051" i="9"/>
  <c r="Q2051" i="9"/>
  <c r="L2051" i="9"/>
  <c r="K2051" i="9"/>
  <c r="AF2050" i="9"/>
  <c r="AE2050" i="9"/>
  <c r="AB2050" i="9"/>
  <c r="AA2050" i="9"/>
  <c r="V2050" i="9"/>
  <c r="U2050" i="9"/>
  <c r="R2050" i="9"/>
  <c r="Q2050" i="9"/>
  <c r="K2050" i="9"/>
  <c r="L2050" i="9" s="1"/>
  <c r="AM2049" i="9"/>
  <c r="AN2049" i="9" s="1"/>
  <c r="AF2049" i="9"/>
  <c r="AE2049" i="9"/>
  <c r="AB2049" i="9"/>
  <c r="AA2049" i="9"/>
  <c r="V2049" i="9"/>
  <c r="U2049" i="9"/>
  <c r="R2049" i="9"/>
  <c r="AK2049" i="9" s="1"/>
  <c r="AL2049" i="9" s="1"/>
  <c r="Q2049" i="9"/>
  <c r="K2049" i="9"/>
  <c r="L2049" i="9" s="1"/>
  <c r="AK2048" i="9"/>
  <c r="AL2048" i="9" s="1"/>
  <c r="AF2048" i="9"/>
  <c r="AE2048" i="9"/>
  <c r="AB2048" i="9"/>
  <c r="AA2048" i="9"/>
  <c r="V2048" i="9"/>
  <c r="U2048" i="9"/>
  <c r="R2048" i="9"/>
  <c r="Q2048" i="9"/>
  <c r="AM2048" i="9" s="1"/>
  <c r="AN2048" i="9" s="1"/>
  <c r="K2048" i="9"/>
  <c r="L2048" i="9" s="1"/>
  <c r="AF2047" i="9"/>
  <c r="AE2047" i="9"/>
  <c r="AM2047" i="9" s="1"/>
  <c r="AN2047" i="9" s="1"/>
  <c r="AB2047" i="9"/>
  <c r="AA2047" i="9"/>
  <c r="V2047" i="9"/>
  <c r="U2047" i="9"/>
  <c r="R2047" i="9"/>
  <c r="Q2047" i="9"/>
  <c r="K2047" i="9"/>
  <c r="L2047" i="9" s="1"/>
  <c r="AF2046" i="9"/>
  <c r="AE2046" i="9"/>
  <c r="AB2046" i="9"/>
  <c r="AA2046" i="9"/>
  <c r="V2046" i="9"/>
  <c r="U2046" i="9"/>
  <c r="R2046" i="9"/>
  <c r="Q2046" i="9"/>
  <c r="L2046" i="9"/>
  <c r="K2046" i="9"/>
  <c r="AF2045" i="9"/>
  <c r="AE2045" i="9"/>
  <c r="AB2045" i="9"/>
  <c r="AA2045" i="9"/>
  <c r="V2045" i="9"/>
  <c r="U2045" i="9"/>
  <c r="R2045" i="9"/>
  <c r="Q2045" i="9"/>
  <c r="L2045" i="9"/>
  <c r="K2045" i="9"/>
  <c r="AF2044" i="9"/>
  <c r="AE2044" i="9"/>
  <c r="AB2044" i="9"/>
  <c r="AA2044" i="9"/>
  <c r="V2044" i="9"/>
  <c r="U2044" i="9"/>
  <c r="R2044" i="9"/>
  <c r="AK2044" i="9" s="1"/>
  <c r="AL2044" i="9" s="1"/>
  <c r="Q2044" i="9"/>
  <c r="L2044" i="9"/>
  <c r="K2044" i="9"/>
  <c r="AF2043" i="9"/>
  <c r="AE2043" i="9"/>
  <c r="AB2043" i="9"/>
  <c r="AA2043" i="9"/>
  <c r="V2043" i="9"/>
  <c r="U2043" i="9"/>
  <c r="R2043" i="9"/>
  <c r="Q2043" i="9"/>
  <c r="L2043" i="9"/>
  <c r="K2043" i="9"/>
  <c r="AK2042" i="9"/>
  <c r="AL2042" i="9" s="1"/>
  <c r="AF2042" i="9"/>
  <c r="AE2042" i="9"/>
  <c r="AB2042" i="9"/>
  <c r="AA2042" i="9"/>
  <c r="V2042" i="9"/>
  <c r="U2042" i="9"/>
  <c r="R2042" i="9"/>
  <c r="Q2042" i="9"/>
  <c r="K2042" i="9"/>
  <c r="L2042" i="9" s="1"/>
  <c r="AK2041" i="9"/>
  <c r="AL2041" i="9" s="1"/>
  <c r="AF2041" i="9"/>
  <c r="AE2041" i="9"/>
  <c r="AB2041" i="9"/>
  <c r="AA2041" i="9"/>
  <c r="V2041" i="9"/>
  <c r="U2041" i="9"/>
  <c r="AM2041" i="9" s="1"/>
  <c r="AN2041" i="9" s="1"/>
  <c r="R2041" i="9"/>
  <c r="Q2041" i="9"/>
  <c r="K2041" i="9"/>
  <c r="L2041" i="9" s="1"/>
  <c r="AF2040" i="9"/>
  <c r="AE2040" i="9"/>
  <c r="AB2040" i="9"/>
  <c r="AA2040" i="9"/>
  <c r="V2040" i="9"/>
  <c r="U2040" i="9"/>
  <c r="R2040" i="9"/>
  <c r="Q2040" i="9"/>
  <c r="K2040" i="9"/>
  <c r="L2040" i="9" s="1"/>
  <c r="AK2039" i="9"/>
  <c r="AL2039" i="9" s="1"/>
  <c r="AF2039" i="9"/>
  <c r="AE2039" i="9"/>
  <c r="AB2039" i="9"/>
  <c r="AA2039" i="9"/>
  <c r="V2039" i="9"/>
  <c r="U2039" i="9"/>
  <c r="R2039" i="9"/>
  <c r="Q2039" i="9"/>
  <c r="K2039" i="9"/>
  <c r="L2039" i="9" s="1"/>
  <c r="AF2038" i="9"/>
  <c r="AE2038" i="9"/>
  <c r="AB2038" i="9"/>
  <c r="AA2038" i="9"/>
  <c r="V2038" i="9"/>
  <c r="U2038" i="9"/>
  <c r="R2038" i="9"/>
  <c r="AK2038" i="9" s="1"/>
  <c r="AL2038" i="9" s="1"/>
  <c r="Q2038" i="9"/>
  <c r="K2038" i="9"/>
  <c r="L2038" i="9" s="1"/>
  <c r="AF2037" i="9"/>
  <c r="AE2037" i="9"/>
  <c r="AB2037" i="9"/>
  <c r="AA2037" i="9"/>
  <c r="V2037" i="9"/>
  <c r="U2037" i="9"/>
  <c r="R2037" i="9"/>
  <c r="AK2037" i="9" s="1"/>
  <c r="AL2037" i="9" s="1"/>
  <c r="Q2037" i="9"/>
  <c r="K2037" i="9"/>
  <c r="L2037" i="9" s="1"/>
  <c r="AF2036" i="9"/>
  <c r="AE2036" i="9"/>
  <c r="AB2036" i="9"/>
  <c r="AA2036" i="9"/>
  <c r="V2036" i="9"/>
  <c r="U2036" i="9"/>
  <c r="R2036" i="9"/>
  <c r="Q2036" i="9"/>
  <c r="K2036" i="9"/>
  <c r="L2036" i="9" s="1"/>
  <c r="AF2035" i="9"/>
  <c r="AE2035" i="9"/>
  <c r="AB2035" i="9"/>
  <c r="AA2035" i="9"/>
  <c r="V2035" i="9"/>
  <c r="U2035" i="9"/>
  <c r="R2035" i="9"/>
  <c r="Q2035" i="9"/>
  <c r="K2035" i="9"/>
  <c r="L2035" i="9" s="1"/>
  <c r="AF2034" i="9"/>
  <c r="AE2034" i="9"/>
  <c r="AM2034" i="9" s="1"/>
  <c r="AN2034" i="9" s="1"/>
  <c r="AB2034" i="9"/>
  <c r="AA2034" i="9"/>
  <c r="V2034" i="9"/>
  <c r="U2034" i="9"/>
  <c r="R2034" i="9"/>
  <c r="Q2034" i="9"/>
  <c r="K2034" i="9"/>
  <c r="L2034" i="9" s="1"/>
  <c r="AM2033" i="9"/>
  <c r="AN2033" i="9" s="1"/>
  <c r="AK2033" i="9"/>
  <c r="AL2033" i="9" s="1"/>
  <c r="AF2033" i="9"/>
  <c r="AB2033" i="9"/>
  <c r="V2033" i="9"/>
  <c r="R2033" i="9"/>
  <c r="I2033" i="9"/>
  <c r="K2033" i="9" s="1"/>
  <c r="L2033" i="9" s="1"/>
  <c r="AF2032" i="9"/>
  <c r="AE2032" i="9"/>
  <c r="AB2032" i="9"/>
  <c r="AK2032" i="9" s="1"/>
  <c r="AL2032" i="9" s="1"/>
  <c r="AA2032" i="9"/>
  <c r="V2032" i="9"/>
  <c r="U2032" i="9"/>
  <c r="R2032" i="9"/>
  <c r="Q2032" i="9"/>
  <c r="I2032" i="9"/>
  <c r="K2032" i="9" s="1"/>
  <c r="L2032" i="9" s="1"/>
  <c r="AM2031" i="9"/>
  <c r="AN2031" i="9" s="1"/>
  <c r="AK2031" i="9"/>
  <c r="AL2031" i="9" s="1"/>
  <c r="L2031" i="9"/>
  <c r="I2031" i="9"/>
  <c r="K2031" i="9" s="1"/>
  <c r="AM2030" i="9"/>
  <c r="AN2030" i="9" s="1"/>
  <c r="AK2030" i="9"/>
  <c r="AL2030" i="9" s="1"/>
  <c r="I2030" i="9"/>
  <c r="K2030" i="9" s="1"/>
  <c r="L2030" i="9" s="1"/>
  <c r="AM2029" i="9"/>
  <c r="AN2029" i="9" s="1"/>
  <c r="AF2029" i="9"/>
  <c r="AB2029" i="9"/>
  <c r="V2029" i="9"/>
  <c r="R2029" i="9"/>
  <c r="L2029" i="9"/>
  <c r="I2029" i="9"/>
  <c r="K2029" i="9" s="1"/>
  <c r="AM2028" i="9"/>
  <c r="AN2028" i="9" s="1"/>
  <c r="AF2028" i="9"/>
  <c r="AB2028" i="9"/>
  <c r="V2028" i="9"/>
  <c r="R2028" i="9"/>
  <c r="K2028" i="9"/>
  <c r="L2028" i="9" s="1"/>
  <c r="I2028" i="9"/>
  <c r="AN2027" i="9"/>
  <c r="AM2027" i="9"/>
  <c r="AK2027" i="9"/>
  <c r="AL2027" i="9" s="1"/>
  <c r="I2027" i="9"/>
  <c r="K2027" i="9" s="1"/>
  <c r="L2027" i="9" s="1"/>
  <c r="AN2026" i="9"/>
  <c r="AM2026" i="9"/>
  <c r="AK2026" i="9"/>
  <c r="AL2026" i="9" s="1"/>
  <c r="I2026" i="9"/>
  <c r="K2026" i="9" s="1"/>
  <c r="L2026" i="9" s="1"/>
  <c r="AM2025" i="9"/>
  <c r="AN2025" i="9" s="1"/>
  <c r="AK2025" i="9"/>
  <c r="AL2025" i="9" s="1"/>
  <c r="I2025" i="9"/>
  <c r="K2025" i="9" s="1"/>
  <c r="L2025" i="9" s="1"/>
  <c r="AN2024" i="9"/>
  <c r="AM2024" i="9"/>
  <c r="AK2024" i="9"/>
  <c r="AL2024" i="9" s="1"/>
  <c r="L2024" i="9"/>
  <c r="I2024" i="9"/>
  <c r="K2024" i="9" s="1"/>
  <c r="AM2023" i="9"/>
  <c r="AN2023" i="9" s="1"/>
  <c r="AL2023" i="9"/>
  <c r="AK2023" i="9"/>
  <c r="I2023" i="9"/>
  <c r="K2023" i="9" s="1"/>
  <c r="L2023" i="9" s="1"/>
  <c r="AM2022" i="9"/>
  <c r="AN2022" i="9" s="1"/>
  <c r="AK2022" i="9"/>
  <c r="AL2022" i="9" s="1"/>
  <c r="K2022" i="9"/>
  <c r="L2022" i="9" s="1"/>
  <c r="I2022" i="9"/>
  <c r="AM2021" i="9"/>
  <c r="AN2021" i="9" s="1"/>
  <c r="AL2021" i="9"/>
  <c r="AK2021" i="9"/>
  <c r="I2021" i="9"/>
  <c r="K2021" i="9" s="1"/>
  <c r="L2021" i="9" s="1"/>
  <c r="AM2020" i="9"/>
  <c r="AN2020" i="9" s="1"/>
  <c r="AK2020" i="9"/>
  <c r="AL2020" i="9" s="1"/>
  <c r="AF2020" i="9"/>
  <c r="AB2020" i="9"/>
  <c r="V2020" i="9"/>
  <c r="R2020" i="9"/>
  <c r="L2020" i="9"/>
  <c r="K2020" i="9"/>
  <c r="I2020" i="9"/>
  <c r="AN2019" i="9"/>
  <c r="AM2019" i="9"/>
  <c r="AF2019" i="9"/>
  <c r="AB2019" i="9"/>
  <c r="V2019" i="9"/>
  <c r="R2019" i="9"/>
  <c r="I2019" i="9"/>
  <c r="K2019" i="9" s="1"/>
  <c r="L2019" i="9" s="1"/>
  <c r="AM2018" i="9"/>
  <c r="AN2018" i="9" s="1"/>
  <c r="AF2018" i="9"/>
  <c r="AB2018" i="9"/>
  <c r="V2018" i="9"/>
  <c r="R2018" i="9"/>
  <c r="K2018" i="9"/>
  <c r="L2018" i="9" s="1"/>
  <c r="I2018" i="9"/>
  <c r="AM2017" i="9"/>
  <c r="AN2017" i="9" s="1"/>
  <c r="AF2017" i="9"/>
  <c r="AB2017" i="9"/>
  <c r="V2017" i="9"/>
  <c r="R2017" i="9"/>
  <c r="I2017" i="9"/>
  <c r="K2017" i="9" s="1"/>
  <c r="L2017" i="9" s="1"/>
  <c r="AM2016" i="9"/>
  <c r="AN2016" i="9" s="1"/>
  <c r="AF2016" i="9"/>
  <c r="AB2016" i="9"/>
  <c r="V2016" i="9"/>
  <c r="R2016" i="9"/>
  <c r="I2016" i="9"/>
  <c r="K2016" i="9" s="1"/>
  <c r="L2016" i="9" s="1"/>
  <c r="AM2015" i="9"/>
  <c r="AN2015" i="9" s="1"/>
  <c r="AF2015" i="9"/>
  <c r="AB2015" i="9"/>
  <c r="V2015" i="9"/>
  <c r="R2015" i="9"/>
  <c r="I2015" i="9"/>
  <c r="K2015" i="9" s="1"/>
  <c r="L2015" i="9" s="1"/>
  <c r="AM2014" i="9"/>
  <c r="AN2014" i="9" s="1"/>
  <c r="AL2014" i="9"/>
  <c r="AK2014" i="9"/>
  <c r="I2014" i="9"/>
  <c r="K2014" i="9" s="1"/>
  <c r="L2014" i="9" s="1"/>
  <c r="AM2013" i="9"/>
  <c r="AN2013" i="9" s="1"/>
  <c r="AF2013" i="9"/>
  <c r="AB2013" i="9"/>
  <c r="V2013" i="9"/>
  <c r="R2013" i="9"/>
  <c r="I2013" i="9"/>
  <c r="K2013" i="9" s="1"/>
  <c r="L2013" i="9" s="1"/>
  <c r="AM2012" i="9"/>
  <c r="AN2012" i="9" s="1"/>
  <c r="AF2012" i="9"/>
  <c r="AB2012" i="9"/>
  <c r="V2012" i="9"/>
  <c r="R2012" i="9"/>
  <c r="K2012" i="9"/>
  <c r="L2012" i="9" s="1"/>
  <c r="I2012" i="9"/>
  <c r="AM2011" i="9"/>
  <c r="AN2011" i="9" s="1"/>
  <c r="AF2011" i="9"/>
  <c r="AB2011" i="9"/>
  <c r="V2011" i="9"/>
  <c r="R2011" i="9"/>
  <c r="I2011" i="9"/>
  <c r="K2011" i="9" s="1"/>
  <c r="L2011" i="9" s="1"/>
  <c r="AM2010" i="9"/>
  <c r="AN2010" i="9" s="1"/>
  <c r="AF2010" i="9"/>
  <c r="AB2010" i="9"/>
  <c r="V2010" i="9"/>
  <c r="R2010" i="9"/>
  <c r="I2010" i="9"/>
  <c r="K2010" i="9" s="1"/>
  <c r="L2010" i="9" s="1"/>
  <c r="AN2009" i="9"/>
  <c r="AM2009" i="9"/>
  <c r="AF2009" i="9"/>
  <c r="AB2009" i="9"/>
  <c r="V2009" i="9"/>
  <c r="R2009" i="9"/>
  <c r="I2009" i="9"/>
  <c r="K2009" i="9" s="1"/>
  <c r="L2009" i="9" s="1"/>
  <c r="AM2008" i="9"/>
  <c r="AN2008" i="9" s="1"/>
  <c r="AF2008" i="9"/>
  <c r="AB2008" i="9"/>
  <c r="V2008" i="9"/>
  <c r="R2008" i="9"/>
  <c r="AK2008" i="9" s="1"/>
  <c r="AL2008" i="9" s="1"/>
  <c r="K2008" i="9"/>
  <c r="L2008" i="9" s="1"/>
  <c r="I2008" i="9"/>
  <c r="AM2007" i="9"/>
  <c r="AN2007" i="9" s="1"/>
  <c r="AL2007" i="9"/>
  <c r="AK2007" i="9"/>
  <c r="K2007" i="9"/>
  <c r="L2007" i="9" s="1"/>
  <c r="I2007" i="9"/>
  <c r="AN2006" i="9"/>
  <c r="AM2006" i="9"/>
  <c r="AF2006" i="9"/>
  <c r="AB2006" i="9"/>
  <c r="V2006" i="9"/>
  <c r="R2006" i="9"/>
  <c r="AK2006" i="9" s="1"/>
  <c r="AL2006" i="9" s="1"/>
  <c r="I2006" i="9"/>
  <c r="K2006" i="9" s="1"/>
  <c r="L2006" i="9" s="1"/>
  <c r="AF2005" i="9"/>
  <c r="AE2005" i="9"/>
  <c r="AB2005" i="9"/>
  <c r="AA2005" i="9"/>
  <c r="V2005" i="9"/>
  <c r="U2005" i="9"/>
  <c r="R2005" i="9"/>
  <c r="Q2005" i="9"/>
  <c r="I2005" i="9"/>
  <c r="K2005" i="9" s="1"/>
  <c r="L2005" i="9" s="1"/>
  <c r="AM2004" i="9"/>
  <c r="AN2004" i="9" s="1"/>
  <c r="AF2004" i="9"/>
  <c r="AB2004" i="9"/>
  <c r="V2004" i="9"/>
  <c r="R2004" i="9"/>
  <c r="AK2004" i="9" s="1"/>
  <c r="AL2004" i="9" s="1"/>
  <c r="I2004" i="9"/>
  <c r="K2004" i="9" s="1"/>
  <c r="L2004" i="9" s="1"/>
  <c r="AM2003" i="9"/>
  <c r="AN2003" i="9" s="1"/>
  <c r="AL2003" i="9"/>
  <c r="AF2003" i="9"/>
  <c r="AB2003" i="9"/>
  <c r="V2003" i="9"/>
  <c r="AK2003" i="9" s="1"/>
  <c r="R2003" i="9"/>
  <c r="I2003" i="9"/>
  <c r="K2003" i="9" s="1"/>
  <c r="L2003" i="9" s="1"/>
  <c r="AM2002" i="9"/>
  <c r="AN2002" i="9" s="1"/>
  <c r="AF2002" i="9"/>
  <c r="AB2002" i="9"/>
  <c r="V2002" i="9"/>
  <c r="R2002" i="9"/>
  <c r="AK2002" i="9" s="1"/>
  <c r="AL2002" i="9" s="1"/>
  <c r="K2002" i="9"/>
  <c r="L2002" i="9" s="1"/>
  <c r="I2002" i="9"/>
  <c r="AM2001" i="9"/>
  <c r="AN2001" i="9" s="1"/>
  <c r="AF2001" i="9"/>
  <c r="AB2001" i="9"/>
  <c r="V2001" i="9"/>
  <c r="R2001" i="9"/>
  <c r="I2001" i="9"/>
  <c r="K2001" i="9" s="1"/>
  <c r="L2001" i="9" s="1"/>
  <c r="AM2000" i="9"/>
  <c r="AN2000" i="9" s="1"/>
  <c r="AF2000" i="9"/>
  <c r="AB2000" i="9"/>
  <c r="V2000" i="9"/>
  <c r="R2000" i="9"/>
  <c r="K2000" i="9"/>
  <c r="L2000" i="9" s="1"/>
  <c r="I2000" i="9"/>
  <c r="AF1999" i="9"/>
  <c r="AE1999" i="9"/>
  <c r="AB1999" i="9"/>
  <c r="AK1999" i="9" s="1"/>
  <c r="AL1999" i="9" s="1"/>
  <c r="AA1999" i="9"/>
  <c r="V1999" i="9"/>
  <c r="U1999" i="9"/>
  <c r="R1999" i="9"/>
  <c r="Q1999" i="9"/>
  <c r="I1999" i="9"/>
  <c r="K1999" i="9" s="1"/>
  <c r="L1999" i="9" s="1"/>
  <c r="AF1998" i="9"/>
  <c r="AE1998" i="9"/>
  <c r="AB1998" i="9"/>
  <c r="AA1998" i="9"/>
  <c r="V1998" i="9"/>
  <c r="U1998" i="9"/>
  <c r="R1998" i="9"/>
  <c r="Q1998" i="9"/>
  <c r="I1998" i="9"/>
  <c r="K1998" i="9" s="1"/>
  <c r="L1998" i="9" s="1"/>
  <c r="AM1997" i="9"/>
  <c r="AN1997" i="9" s="1"/>
  <c r="AF1997" i="9"/>
  <c r="AB1997" i="9"/>
  <c r="V1997" i="9"/>
  <c r="R1997" i="9"/>
  <c r="I1997" i="9"/>
  <c r="K1997" i="9" s="1"/>
  <c r="L1997" i="9" s="1"/>
  <c r="AM1996" i="9"/>
  <c r="AN1996" i="9" s="1"/>
  <c r="AL1996" i="9"/>
  <c r="AK1996" i="9"/>
  <c r="L1996" i="9"/>
  <c r="K1996" i="9"/>
  <c r="I1996" i="9"/>
  <c r="AF1995" i="9"/>
  <c r="AE1995" i="9"/>
  <c r="AB1995" i="9"/>
  <c r="AA1995" i="9"/>
  <c r="V1995" i="9"/>
  <c r="U1995" i="9"/>
  <c r="R1995" i="9"/>
  <c r="Q1995" i="9"/>
  <c r="I1995" i="9"/>
  <c r="K1995" i="9" s="1"/>
  <c r="L1995" i="9" s="1"/>
  <c r="AN1994" i="9"/>
  <c r="AM1994" i="9"/>
  <c r="AF1994" i="9"/>
  <c r="AB1994" i="9"/>
  <c r="V1994" i="9"/>
  <c r="R1994" i="9"/>
  <c r="I1994" i="9"/>
  <c r="K1994" i="9" s="1"/>
  <c r="L1994" i="9" s="1"/>
  <c r="AM1993" i="9"/>
  <c r="AN1993" i="9" s="1"/>
  <c r="AF1993" i="9"/>
  <c r="AB1993" i="9"/>
  <c r="V1993" i="9"/>
  <c r="R1993" i="9"/>
  <c r="I1993" i="9"/>
  <c r="K1993" i="9" s="1"/>
  <c r="L1993" i="9" s="1"/>
  <c r="AM1992" i="9"/>
  <c r="AN1992" i="9" s="1"/>
  <c r="AF1992" i="9"/>
  <c r="AB1992" i="9"/>
  <c r="V1992" i="9"/>
  <c r="AK1992" i="9" s="1"/>
  <c r="AL1992" i="9" s="1"/>
  <c r="R1992" i="9"/>
  <c r="K1992" i="9"/>
  <c r="L1992" i="9" s="1"/>
  <c r="I1992" i="9"/>
  <c r="AM1991" i="9"/>
  <c r="AN1991" i="9" s="1"/>
  <c r="AK1991" i="9"/>
  <c r="AL1991" i="9" s="1"/>
  <c r="R1991" i="9"/>
  <c r="K1991" i="9"/>
  <c r="L1991" i="9" s="1"/>
  <c r="I1991" i="9"/>
  <c r="AF1990" i="9"/>
  <c r="AE1990" i="9"/>
  <c r="AB1990" i="9"/>
  <c r="AA1990" i="9"/>
  <c r="V1990" i="9"/>
  <c r="U1990" i="9"/>
  <c r="R1990" i="9"/>
  <c r="Q1990" i="9"/>
  <c r="AM1990" i="9" s="1"/>
  <c r="AN1990" i="9" s="1"/>
  <c r="I1990" i="9"/>
  <c r="K1990" i="9" s="1"/>
  <c r="L1990" i="9" s="1"/>
  <c r="AM1989" i="9"/>
  <c r="AN1989" i="9" s="1"/>
  <c r="AK1989" i="9"/>
  <c r="AL1989" i="9" s="1"/>
  <c r="K1989" i="9"/>
  <c r="L1989" i="9" s="1"/>
  <c r="I1989" i="9"/>
  <c r="AN1988" i="9"/>
  <c r="AM1988" i="9"/>
  <c r="AF1988" i="9"/>
  <c r="AB1988" i="9"/>
  <c r="V1988" i="9"/>
  <c r="R1988" i="9"/>
  <c r="AK1988" i="9" s="1"/>
  <c r="AL1988" i="9" s="1"/>
  <c r="L1988" i="9"/>
  <c r="I1988" i="9"/>
  <c r="K1988" i="9" s="1"/>
  <c r="AM1987" i="9"/>
  <c r="AN1987" i="9" s="1"/>
  <c r="AL1987" i="9"/>
  <c r="AK1987" i="9"/>
  <c r="I1987" i="9"/>
  <c r="K1987" i="9" s="1"/>
  <c r="L1987" i="9" s="1"/>
  <c r="AM1986" i="9"/>
  <c r="AN1986" i="9" s="1"/>
  <c r="AF1986" i="9"/>
  <c r="AB1986" i="9"/>
  <c r="V1986" i="9"/>
  <c r="R1986" i="9"/>
  <c r="I1986" i="9"/>
  <c r="K1986" i="9" s="1"/>
  <c r="L1986" i="9" s="1"/>
  <c r="AM1985" i="9"/>
  <c r="AN1985" i="9" s="1"/>
  <c r="R1985" i="9"/>
  <c r="AK1985" i="9" s="1"/>
  <c r="AL1985" i="9" s="1"/>
  <c r="K1985" i="9"/>
  <c r="L1985" i="9" s="1"/>
  <c r="I1985" i="9"/>
  <c r="AM1984" i="9"/>
  <c r="AN1984" i="9" s="1"/>
  <c r="AK1984" i="9"/>
  <c r="AL1984" i="9" s="1"/>
  <c r="R1984" i="9"/>
  <c r="K1984" i="9"/>
  <c r="L1984" i="9" s="1"/>
  <c r="I1984" i="9"/>
  <c r="AM1983" i="9"/>
  <c r="AN1983" i="9" s="1"/>
  <c r="AL1983" i="9"/>
  <c r="R1983" i="9"/>
  <c r="AK1983" i="9" s="1"/>
  <c r="L1983" i="9"/>
  <c r="I1983" i="9"/>
  <c r="K1983" i="9" s="1"/>
  <c r="AM1982" i="9"/>
  <c r="AN1982" i="9" s="1"/>
  <c r="AF1982" i="9"/>
  <c r="AB1982" i="9"/>
  <c r="V1982" i="9"/>
  <c r="R1982" i="9"/>
  <c r="L1982" i="9"/>
  <c r="I1982" i="9"/>
  <c r="K1982" i="9" s="1"/>
  <c r="AN1981" i="9"/>
  <c r="AM1981" i="9"/>
  <c r="AF1981" i="9"/>
  <c r="AB1981" i="9"/>
  <c r="V1981" i="9"/>
  <c r="R1981" i="9"/>
  <c r="K1981" i="9"/>
  <c r="L1981" i="9" s="1"/>
  <c r="I1981" i="9"/>
  <c r="AN1980" i="9"/>
  <c r="AM1980" i="9"/>
  <c r="AF1980" i="9"/>
  <c r="AB1980" i="9"/>
  <c r="V1980" i="9"/>
  <c r="R1980" i="9"/>
  <c r="I1980" i="9"/>
  <c r="K1980" i="9" s="1"/>
  <c r="L1980" i="9" s="1"/>
  <c r="AM1979" i="9"/>
  <c r="AN1979" i="9" s="1"/>
  <c r="AF1979" i="9"/>
  <c r="AB1979" i="9"/>
  <c r="V1979" i="9"/>
  <c r="R1979" i="9"/>
  <c r="K1979" i="9"/>
  <c r="L1979" i="9" s="1"/>
  <c r="I1979" i="9"/>
  <c r="AM1978" i="9"/>
  <c r="AN1978" i="9" s="1"/>
  <c r="AK1978" i="9"/>
  <c r="AL1978" i="9" s="1"/>
  <c r="R1978" i="9"/>
  <c r="K1978" i="9"/>
  <c r="L1978" i="9" s="1"/>
  <c r="I1978" i="9"/>
  <c r="AM1977" i="9"/>
  <c r="AN1977" i="9" s="1"/>
  <c r="AK1977" i="9"/>
  <c r="AL1977" i="9" s="1"/>
  <c r="I1977" i="9"/>
  <c r="K1977" i="9" s="1"/>
  <c r="L1977" i="9" s="1"/>
  <c r="AM1976" i="9"/>
  <c r="AN1976" i="9" s="1"/>
  <c r="AL1976" i="9"/>
  <c r="AK1976" i="9"/>
  <c r="I1976" i="9"/>
  <c r="K1976" i="9" s="1"/>
  <c r="L1976" i="9" s="1"/>
  <c r="AM1975" i="9"/>
  <c r="AN1975" i="9" s="1"/>
  <c r="AK1975" i="9"/>
  <c r="AL1975" i="9" s="1"/>
  <c r="K1975" i="9"/>
  <c r="L1975" i="9" s="1"/>
  <c r="I1975" i="9"/>
  <c r="AM1974" i="9"/>
  <c r="AN1974" i="9" s="1"/>
  <c r="AK1974" i="9"/>
  <c r="AL1974" i="9" s="1"/>
  <c r="AF1974" i="9"/>
  <c r="AE1974" i="9"/>
  <c r="AB1974" i="9"/>
  <c r="AA1974" i="9"/>
  <c r="V1974" i="9"/>
  <c r="U1974" i="9"/>
  <c r="R1974" i="9"/>
  <c r="Q1974" i="9"/>
  <c r="K1974" i="9"/>
  <c r="L1974" i="9" s="1"/>
  <c r="I1974" i="9"/>
  <c r="AM1973" i="9"/>
  <c r="AN1973" i="9" s="1"/>
  <c r="AF1973" i="9"/>
  <c r="AB1973" i="9"/>
  <c r="V1973" i="9"/>
  <c r="AK1973" i="9" s="1"/>
  <c r="AL1973" i="9" s="1"/>
  <c r="R1973" i="9"/>
  <c r="K1973" i="9"/>
  <c r="L1973" i="9" s="1"/>
  <c r="I1973" i="9"/>
  <c r="J1972" i="9"/>
  <c r="D1972" i="9"/>
  <c r="AM1971" i="9"/>
  <c r="J1971" i="9"/>
  <c r="I1971" i="9" s="1"/>
  <c r="D1971" i="9"/>
  <c r="AM1970" i="9"/>
  <c r="AK1970" i="9"/>
  <c r="J1970" i="9"/>
  <c r="AL1970" i="9" s="1"/>
  <c r="D1970" i="9"/>
  <c r="AN1970" i="9" s="1"/>
  <c r="AM1969" i="9"/>
  <c r="J1969" i="9"/>
  <c r="AF1969" i="9" s="1"/>
  <c r="I1969" i="9"/>
  <c r="D1969" i="9"/>
  <c r="AM1968" i="9"/>
  <c r="J1968" i="9"/>
  <c r="D1968" i="9"/>
  <c r="AN1968" i="9" s="1"/>
  <c r="AF1967" i="9"/>
  <c r="AE1967" i="9"/>
  <c r="AB1967" i="9"/>
  <c r="AA1967" i="9"/>
  <c r="V1967" i="9"/>
  <c r="U1967" i="9"/>
  <c r="R1967" i="9"/>
  <c r="Q1967" i="9"/>
  <c r="AM1967" i="9" s="1"/>
  <c r="AN1967" i="9" s="1"/>
  <c r="K1967" i="9"/>
  <c r="L1967" i="9" s="1"/>
  <c r="AF1966" i="9"/>
  <c r="AE1966" i="9"/>
  <c r="AB1966" i="9"/>
  <c r="AA1966" i="9"/>
  <c r="V1966" i="9"/>
  <c r="U1966" i="9"/>
  <c r="R1966" i="9"/>
  <c r="AK1966" i="9" s="1"/>
  <c r="AL1966" i="9" s="1"/>
  <c r="Q1966" i="9"/>
  <c r="K1966" i="9"/>
  <c r="L1966" i="9" s="1"/>
  <c r="AK1965" i="9"/>
  <c r="AL1965" i="9" s="1"/>
  <c r="AF1965" i="9"/>
  <c r="AE1965" i="9"/>
  <c r="AB1965" i="9"/>
  <c r="AA1965" i="9"/>
  <c r="V1965" i="9"/>
  <c r="U1965" i="9"/>
  <c r="AM1965" i="9" s="1"/>
  <c r="AN1965" i="9" s="1"/>
  <c r="R1965" i="9"/>
  <c r="Q1965" i="9"/>
  <c r="K1965" i="9"/>
  <c r="L1965" i="9" s="1"/>
  <c r="AF1964" i="9"/>
  <c r="AE1964" i="9"/>
  <c r="AB1964" i="9"/>
  <c r="AA1964" i="9"/>
  <c r="V1964" i="9"/>
  <c r="U1964" i="9"/>
  <c r="R1964" i="9"/>
  <c r="Q1964" i="9"/>
  <c r="K1964" i="9"/>
  <c r="L1964" i="9" s="1"/>
  <c r="AF1963" i="9"/>
  <c r="AE1963" i="9"/>
  <c r="AM1963" i="9" s="1"/>
  <c r="AN1963" i="9" s="1"/>
  <c r="AB1963" i="9"/>
  <c r="AK1963" i="9" s="1"/>
  <c r="AL1963" i="9" s="1"/>
  <c r="AA1963" i="9"/>
  <c r="V1963" i="9"/>
  <c r="U1963" i="9"/>
  <c r="R1963" i="9"/>
  <c r="Q1963" i="9"/>
  <c r="K1963" i="9"/>
  <c r="L1963" i="9" s="1"/>
  <c r="AF1962" i="9"/>
  <c r="AE1962" i="9"/>
  <c r="AB1962" i="9"/>
  <c r="AA1962" i="9"/>
  <c r="V1962" i="9"/>
  <c r="U1962" i="9"/>
  <c r="R1962" i="9"/>
  <c r="Q1962" i="9"/>
  <c r="K1962" i="9"/>
  <c r="L1962" i="9" s="1"/>
  <c r="AF1961" i="9"/>
  <c r="AE1961" i="9"/>
  <c r="AB1961" i="9"/>
  <c r="AK1961" i="9" s="1"/>
  <c r="AL1961" i="9" s="1"/>
  <c r="AA1961" i="9"/>
  <c r="V1961" i="9"/>
  <c r="U1961" i="9"/>
  <c r="AM1961" i="9" s="1"/>
  <c r="AN1961" i="9" s="1"/>
  <c r="R1961" i="9"/>
  <c r="Q1961" i="9"/>
  <c r="K1961" i="9"/>
  <c r="L1961" i="9" s="1"/>
  <c r="AF1960" i="9"/>
  <c r="AE1960" i="9"/>
  <c r="AB1960" i="9"/>
  <c r="AA1960" i="9"/>
  <c r="V1960" i="9"/>
  <c r="U1960" i="9"/>
  <c r="R1960" i="9"/>
  <c r="Q1960" i="9"/>
  <c r="K1960" i="9"/>
  <c r="L1960" i="9" s="1"/>
  <c r="AF1959" i="9"/>
  <c r="AE1959" i="9"/>
  <c r="AB1959" i="9"/>
  <c r="AA1959" i="9"/>
  <c r="V1959" i="9"/>
  <c r="U1959" i="9"/>
  <c r="R1959" i="9"/>
  <c r="Q1959" i="9"/>
  <c r="L1959" i="9"/>
  <c r="K1959" i="9"/>
  <c r="AF1958" i="9"/>
  <c r="AE1958" i="9"/>
  <c r="AB1958" i="9"/>
  <c r="AA1958" i="9"/>
  <c r="V1958" i="9"/>
  <c r="U1958" i="9"/>
  <c r="R1958" i="9"/>
  <c r="Q1958" i="9"/>
  <c r="K1958" i="9"/>
  <c r="L1958" i="9" s="1"/>
  <c r="AF1957" i="9"/>
  <c r="AE1957" i="9"/>
  <c r="AB1957" i="9"/>
  <c r="AA1957" i="9"/>
  <c r="V1957" i="9"/>
  <c r="AK1957" i="9" s="1"/>
  <c r="AL1957" i="9" s="1"/>
  <c r="U1957" i="9"/>
  <c r="R1957" i="9"/>
  <c r="Q1957" i="9"/>
  <c r="L1957" i="9"/>
  <c r="K1957" i="9"/>
  <c r="AF1956" i="9"/>
  <c r="AE1956" i="9"/>
  <c r="AB1956" i="9"/>
  <c r="AA1956" i="9"/>
  <c r="V1956" i="9"/>
  <c r="U1956" i="9"/>
  <c r="R1956" i="9"/>
  <c r="Q1956" i="9"/>
  <c r="K1956" i="9"/>
  <c r="L1956" i="9" s="1"/>
  <c r="AF1955" i="9"/>
  <c r="AE1955" i="9"/>
  <c r="AB1955" i="9"/>
  <c r="AA1955" i="9"/>
  <c r="V1955" i="9"/>
  <c r="U1955" i="9"/>
  <c r="R1955" i="9"/>
  <c r="Q1955" i="9"/>
  <c r="K1955" i="9"/>
  <c r="L1955" i="9" s="1"/>
  <c r="AL1954" i="9"/>
  <c r="AF1954" i="9"/>
  <c r="AE1954" i="9"/>
  <c r="AB1954" i="9"/>
  <c r="AA1954" i="9"/>
  <c r="V1954" i="9"/>
  <c r="U1954" i="9"/>
  <c r="R1954" i="9"/>
  <c r="AK1954" i="9" s="1"/>
  <c r="Q1954" i="9"/>
  <c r="I1954" i="9"/>
  <c r="K1954" i="9" s="1"/>
  <c r="L1954" i="9" s="1"/>
  <c r="AF1953" i="9"/>
  <c r="AE1953" i="9"/>
  <c r="AB1953" i="9"/>
  <c r="AA1953" i="9"/>
  <c r="V1953" i="9"/>
  <c r="U1953" i="9"/>
  <c r="R1953" i="9"/>
  <c r="Q1953" i="9"/>
  <c r="I1953" i="9"/>
  <c r="K1953" i="9" s="1"/>
  <c r="L1953" i="9" s="1"/>
  <c r="V1952" i="9"/>
  <c r="J1952" i="9"/>
  <c r="D1952" i="9"/>
  <c r="AM1951" i="9"/>
  <c r="J1951" i="9"/>
  <c r="I1951" i="9" s="1"/>
  <c r="D1951" i="9"/>
  <c r="AM1950" i="9"/>
  <c r="R1950" i="9"/>
  <c r="J1950" i="9"/>
  <c r="D1950" i="9"/>
  <c r="AN1950" i="9" s="1"/>
  <c r="AM1949" i="9"/>
  <c r="AB1949" i="9"/>
  <c r="J1949" i="9"/>
  <c r="I1949" i="9"/>
  <c r="D1949" i="9"/>
  <c r="AE1948" i="9"/>
  <c r="U1948" i="9"/>
  <c r="J1948" i="9"/>
  <c r="D1948" i="9"/>
  <c r="AA1947" i="9"/>
  <c r="V1947" i="9"/>
  <c r="Q1947" i="9"/>
  <c r="J1947" i="9"/>
  <c r="D1947" i="9"/>
  <c r="AF1946" i="9"/>
  <c r="AE1946" i="9"/>
  <c r="AB1946" i="9"/>
  <c r="AA1946" i="9"/>
  <c r="V1946" i="9"/>
  <c r="U1946" i="9"/>
  <c r="R1946" i="9"/>
  <c r="Q1946" i="9"/>
  <c r="K1946" i="9"/>
  <c r="L1946" i="9" s="1"/>
  <c r="AM1944" i="9"/>
  <c r="AN1944" i="9" s="1"/>
  <c r="AF1944" i="9"/>
  <c r="AB1944" i="9"/>
  <c r="V1944" i="9"/>
  <c r="R1944" i="9"/>
  <c r="K1944" i="9"/>
  <c r="AM1943" i="9"/>
  <c r="AN1943" i="9" s="1"/>
  <c r="AF1943" i="9"/>
  <c r="AB1943" i="9"/>
  <c r="V1943" i="9"/>
  <c r="R1943" i="9"/>
  <c r="I1943" i="9"/>
  <c r="K1943" i="9" s="1"/>
  <c r="L1943" i="9" s="1"/>
  <c r="AF1942" i="9"/>
  <c r="AE1942" i="9"/>
  <c r="AB1942" i="9"/>
  <c r="AA1942" i="9"/>
  <c r="V1942" i="9"/>
  <c r="U1942" i="9"/>
  <c r="R1942" i="9"/>
  <c r="Q1942" i="9"/>
  <c r="L1942" i="9"/>
  <c r="I1942" i="9"/>
  <c r="K1942" i="9" s="1"/>
  <c r="AF1941" i="9"/>
  <c r="AE1941" i="9"/>
  <c r="AM1941" i="9" s="1"/>
  <c r="AN1941" i="9" s="1"/>
  <c r="AB1941" i="9"/>
  <c r="AA1941" i="9"/>
  <c r="V1941" i="9"/>
  <c r="U1941" i="9"/>
  <c r="R1941" i="9"/>
  <c r="Q1941" i="9"/>
  <c r="I1941" i="9"/>
  <c r="K1941" i="9" s="1"/>
  <c r="L1941" i="9" s="1"/>
  <c r="AK1940" i="9"/>
  <c r="AL1940" i="9" s="1"/>
  <c r="AF1940" i="9"/>
  <c r="AE1940" i="9"/>
  <c r="AB1940" i="9"/>
  <c r="AA1940" i="9"/>
  <c r="V1940" i="9"/>
  <c r="U1940" i="9"/>
  <c r="R1940" i="9"/>
  <c r="Q1940" i="9"/>
  <c r="I1940" i="9"/>
  <c r="K1940" i="9" s="1"/>
  <c r="L1940" i="9" s="1"/>
  <c r="AM1939" i="9"/>
  <c r="AN1939" i="9" s="1"/>
  <c r="AF1939" i="9"/>
  <c r="AB1939" i="9"/>
  <c r="V1939" i="9"/>
  <c r="R1939" i="9"/>
  <c r="I1939" i="9"/>
  <c r="K1939" i="9" s="1"/>
  <c r="L1939" i="9" s="1"/>
  <c r="AF1938" i="9"/>
  <c r="AE1938" i="9"/>
  <c r="AB1938" i="9"/>
  <c r="AA1938" i="9"/>
  <c r="V1938" i="9"/>
  <c r="U1938" i="9"/>
  <c r="R1938" i="9"/>
  <c r="Q1938" i="9"/>
  <c r="I1938" i="9"/>
  <c r="K1938" i="9" s="1"/>
  <c r="L1938" i="9" s="1"/>
  <c r="AM1937" i="9"/>
  <c r="AN1937" i="9" s="1"/>
  <c r="AF1937" i="9"/>
  <c r="AB1937" i="9"/>
  <c r="V1937" i="9"/>
  <c r="R1937" i="9"/>
  <c r="K1937" i="9"/>
  <c r="L1937" i="9" s="1"/>
  <c r="I1937" i="9"/>
  <c r="AF1936" i="9"/>
  <c r="AE1936" i="9"/>
  <c r="AB1936" i="9"/>
  <c r="AK1936" i="9" s="1"/>
  <c r="AL1936" i="9" s="1"/>
  <c r="AA1936" i="9"/>
  <c r="V1936" i="9"/>
  <c r="U1936" i="9"/>
  <c r="R1936" i="9"/>
  <c r="Q1936" i="9"/>
  <c r="I1936" i="9"/>
  <c r="K1936" i="9" s="1"/>
  <c r="L1936" i="9" s="1"/>
  <c r="AF1935" i="9"/>
  <c r="AE1935" i="9"/>
  <c r="AB1935" i="9"/>
  <c r="AA1935" i="9"/>
  <c r="V1935" i="9"/>
  <c r="AK1935" i="9" s="1"/>
  <c r="AL1935" i="9" s="1"/>
  <c r="U1935" i="9"/>
  <c r="R1935" i="9"/>
  <c r="Q1935" i="9"/>
  <c r="L1935" i="9"/>
  <c r="K1935" i="9"/>
  <c r="I1935" i="9"/>
  <c r="AN1934" i="9"/>
  <c r="AM1934" i="9"/>
  <c r="AL1934" i="9"/>
  <c r="AK1934" i="9"/>
  <c r="K1934" i="9"/>
  <c r="L1934" i="9" s="1"/>
  <c r="I1934" i="9"/>
  <c r="AM1933" i="9"/>
  <c r="AN1933" i="9" s="1"/>
  <c r="AL1933" i="9"/>
  <c r="AK1933" i="9"/>
  <c r="L1933" i="9"/>
  <c r="K1933" i="9"/>
  <c r="I1933" i="9"/>
  <c r="AM1932" i="9"/>
  <c r="AN1932" i="9" s="1"/>
  <c r="AK1932" i="9"/>
  <c r="AL1932" i="9" s="1"/>
  <c r="L1932" i="9"/>
  <c r="I1932" i="9"/>
  <c r="K1932" i="9" s="1"/>
  <c r="AM1931" i="9"/>
  <c r="AN1931" i="9" s="1"/>
  <c r="AK1931" i="9"/>
  <c r="AL1931" i="9" s="1"/>
  <c r="I1931" i="9"/>
  <c r="K1931" i="9" s="1"/>
  <c r="L1931" i="9" s="1"/>
  <c r="AM1930" i="9"/>
  <c r="AN1930" i="9" s="1"/>
  <c r="AK1930" i="9"/>
  <c r="AL1930" i="9" s="1"/>
  <c r="K1930" i="9"/>
  <c r="L1930" i="9" s="1"/>
  <c r="I1930" i="9"/>
  <c r="AF1929" i="9"/>
  <c r="AE1929" i="9"/>
  <c r="AB1929" i="9"/>
  <c r="AA1929" i="9"/>
  <c r="V1929" i="9"/>
  <c r="U1929" i="9"/>
  <c r="R1929" i="9"/>
  <c r="Q1929" i="9"/>
  <c r="K1929" i="9"/>
  <c r="L1929" i="9" s="1"/>
  <c r="I1929" i="9"/>
  <c r="AM1928" i="9"/>
  <c r="AN1928" i="9" s="1"/>
  <c r="AF1928" i="9"/>
  <c r="AK1928" i="9" s="1"/>
  <c r="AL1928" i="9" s="1"/>
  <c r="AB1928" i="9"/>
  <c r="V1928" i="9"/>
  <c r="R1928" i="9"/>
  <c r="I1928" i="9"/>
  <c r="K1928" i="9" s="1"/>
  <c r="L1928" i="9" s="1"/>
  <c r="AM1927" i="9"/>
  <c r="AN1927" i="9" s="1"/>
  <c r="AF1927" i="9"/>
  <c r="AB1927" i="9"/>
  <c r="V1927" i="9"/>
  <c r="R1927" i="9"/>
  <c r="AK1927" i="9" s="1"/>
  <c r="AL1927" i="9" s="1"/>
  <c r="I1927" i="9"/>
  <c r="K1927" i="9" s="1"/>
  <c r="L1927" i="9" s="1"/>
  <c r="AM1926" i="9"/>
  <c r="AN1926" i="9" s="1"/>
  <c r="AF1926" i="9"/>
  <c r="AB1926" i="9"/>
  <c r="V1926" i="9"/>
  <c r="R1926" i="9"/>
  <c r="AK1926" i="9" s="1"/>
  <c r="AL1926" i="9" s="1"/>
  <c r="I1926" i="9"/>
  <c r="K1926" i="9" s="1"/>
  <c r="L1926" i="9" s="1"/>
  <c r="AN1925" i="9"/>
  <c r="AM1925" i="9"/>
  <c r="AF1925" i="9"/>
  <c r="AB1925" i="9"/>
  <c r="V1925" i="9"/>
  <c r="R1925" i="9"/>
  <c r="K1925" i="9"/>
  <c r="L1925" i="9" s="1"/>
  <c r="I1925" i="9"/>
  <c r="AN1924" i="9"/>
  <c r="AM1924" i="9"/>
  <c r="AF1924" i="9"/>
  <c r="AB1924" i="9"/>
  <c r="V1924" i="9"/>
  <c r="R1924" i="9"/>
  <c r="I1924" i="9"/>
  <c r="K1924" i="9" s="1"/>
  <c r="L1924" i="9" s="1"/>
  <c r="AF1923" i="9"/>
  <c r="AE1923" i="9"/>
  <c r="AB1923" i="9"/>
  <c r="AA1923" i="9"/>
  <c r="V1923" i="9"/>
  <c r="U1923" i="9"/>
  <c r="R1923" i="9"/>
  <c r="Q1923" i="9"/>
  <c r="I1923" i="9"/>
  <c r="K1923" i="9" s="1"/>
  <c r="L1923" i="9" s="1"/>
  <c r="AM1922" i="9"/>
  <c r="AN1922" i="9" s="1"/>
  <c r="AF1922" i="9"/>
  <c r="AB1922" i="9"/>
  <c r="V1922" i="9"/>
  <c r="R1922" i="9"/>
  <c r="I1922" i="9"/>
  <c r="K1922" i="9" s="1"/>
  <c r="L1922" i="9" s="1"/>
  <c r="AF1921" i="9"/>
  <c r="AE1921" i="9"/>
  <c r="AB1921" i="9"/>
  <c r="AA1921" i="9"/>
  <c r="V1921" i="9"/>
  <c r="U1921" i="9"/>
  <c r="R1921" i="9"/>
  <c r="Q1921" i="9"/>
  <c r="I1921" i="9"/>
  <c r="K1921" i="9" s="1"/>
  <c r="L1921" i="9" s="1"/>
  <c r="AM1920" i="9"/>
  <c r="AN1920" i="9" s="1"/>
  <c r="AF1920" i="9"/>
  <c r="AB1920" i="9"/>
  <c r="V1920" i="9"/>
  <c r="R1920" i="9"/>
  <c r="I1920" i="9"/>
  <c r="K1920" i="9" s="1"/>
  <c r="L1920" i="9" s="1"/>
  <c r="AM1919" i="9"/>
  <c r="AN1919" i="9" s="1"/>
  <c r="AF1919" i="9"/>
  <c r="AB1919" i="9"/>
  <c r="V1919" i="9"/>
  <c r="R1919" i="9"/>
  <c r="I1919" i="9"/>
  <c r="K1919" i="9" s="1"/>
  <c r="L1919" i="9" s="1"/>
  <c r="AN1918" i="9"/>
  <c r="AM1918" i="9"/>
  <c r="AF1918" i="9"/>
  <c r="AB1918" i="9"/>
  <c r="V1918" i="9"/>
  <c r="R1918" i="9"/>
  <c r="I1918" i="9"/>
  <c r="K1918" i="9" s="1"/>
  <c r="L1918" i="9" s="1"/>
  <c r="AF1917" i="9"/>
  <c r="AE1917" i="9"/>
  <c r="AB1917" i="9"/>
  <c r="AA1917" i="9"/>
  <c r="V1917" i="9"/>
  <c r="U1917" i="9"/>
  <c r="R1917" i="9"/>
  <c r="Q1917" i="9"/>
  <c r="I1917" i="9"/>
  <c r="K1917" i="9" s="1"/>
  <c r="L1917" i="9" s="1"/>
  <c r="AF1916" i="9"/>
  <c r="AE1916" i="9"/>
  <c r="AB1916" i="9"/>
  <c r="AA1916" i="9"/>
  <c r="V1916" i="9"/>
  <c r="U1916" i="9"/>
  <c r="R1916" i="9"/>
  <c r="Q1916" i="9"/>
  <c r="I1916" i="9"/>
  <c r="K1916" i="9" s="1"/>
  <c r="L1916" i="9" s="1"/>
  <c r="AF1915" i="9"/>
  <c r="AE1915" i="9"/>
  <c r="AB1915" i="9"/>
  <c r="AA1915" i="9"/>
  <c r="V1915" i="9"/>
  <c r="U1915" i="9"/>
  <c r="R1915" i="9"/>
  <c r="Q1915" i="9"/>
  <c r="L1915" i="9"/>
  <c r="I1915" i="9"/>
  <c r="K1915" i="9" s="1"/>
  <c r="AM1914" i="9"/>
  <c r="AN1914" i="9" s="1"/>
  <c r="AF1914" i="9"/>
  <c r="AB1914" i="9"/>
  <c r="V1914" i="9"/>
  <c r="R1914" i="9"/>
  <c r="K1914" i="9"/>
  <c r="L1914" i="9" s="1"/>
  <c r="I1914" i="9"/>
  <c r="AF1913" i="9"/>
  <c r="AE1913" i="9"/>
  <c r="AB1913" i="9"/>
  <c r="AA1913" i="9"/>
  <c r="V1913" i="9"/>
  <c r="U1913" i="9"/>
  <c r="R1913" i="9"/>
  <c r="Q1913" i="9"/>
  <c r="I1913" i="9"/>
  <c r="K1913" i="9" s="1"/>
  <c r="L1913" i="9" s="1"/>
  <c r="AN1912" i="9"/>
  <c r="AM1912" i="9"/>
  <c r="AF1912" i="9"/>
  <c r="AB1912" i="9"/>
  <c r="V1912" i="9"/>
  <c r="R1912" i="9"/>
  <c r="I1912" i="9"/>
  <c r="K1912" i="9" s="1"/>
  <c r="L1912" i="9" s="1"/>
  <c r="AF1911" i="9"/>
  <c r="AE1911" i="9"/>
  <c r="AB1911" i="9"/>
  <c r="AA1911" i="9"/>
  <c r="V1911" i="9"/>
  <c r="U1911" i="9"/>
  <c r="R1911" i="9"/>
  <c r="Q1911" i="9"/>
  <c r="I1911" i="9"/>
  <c r="K1911" i="9" s="1"/>
  <c r="L1911" i="9" s="1"/>
  <c r="AM1910" i="9"/>
  <c r="AN1910" i="9" s="1"/>
  <c r="AF1910" i="9"/>
  <c r="AB1910" i="9"/>
  <c r="V1910" i="9"/>
  <c r="AK1910" i="9" s="1"/>
  <c r="AL1910" i="9" s="1"/>
  <c r="R1910" i="9"/>
  <c r="I1910" i="9"/>
  <c r="K1910" i="9" s="1"/>
  <c r="L1910" i="9" s="1"/>
  <c r="AF1909" i="9"/>
  <c r="AE1909" i="9"/>
  <c r="AB1909" i="9"/>
  <c r="AA1909" i="9"/>
  <c r="V1909" i="9"/>
  <c r="U1909" i="9"/>
  <c r="R1909" i="9"/>
  <c r="Q1909" i="9"/>
  <c r="I1909" i="9"/>
  <c r="K1909" i="9" s="1"/>
  <c r="L1909" i="9" s="1"/>
  <c r="AM1908" i="9"/>
  <c r="AN1908" i="9" s="1"/>
  <c r="AF1908" i="9"/>
  <c r="AB1908" i="9"/>
  <c r="V1908" i="9"/>
  <c r="R1908" i="9"/>
  <c r="I1908" i="9"/>
  <c r="K1908" i="9" s="1"/>
  <c r="L1908" i="9" s="1"/>
  <c r="AM1907" i="9"/>
  <c r="AN1907" i="9" s="1"/>
  <c r="AF1907" i="9"/>
  <c r="AB1907" i="9"/>
  <c r="V1907" i="9"/>
  <c r="R1907" i="9"/>
  <c r="I1907" i="9"/>
  <c r="K1907" i="9" s="1"/>
  <c r="L1907" i="9" s="1"/>
  <c r="AN1906" i="9"/>
  <c r="AM1906" i="9"/>
  <c r="AF1906" i="9"/>
  <c r="AB1906" i="9"/>
  <c r="V1906" i="9"/>
  <c r="R1906" i="9"/>
  <c r="I1906" i="9"/>
  <c r="K1906" i="9" s="1"/>
  <c r="L1906" i="9" s="1"/>
  <c r="AN1905" i="9"/>
  <c r="AM1905" i="9"/>
  <c r="AK1905" i="9"/>
  <c r="AL1905" i="9" s="1"/>
  <c r="K1905" i="9"/>
  <c r="L1905" i="9" s="1"/>
  <c r="I1905" i="9"/>
  <c r="AM1904" i="9"/>
  <c r="AN1904" i="9" s="1"/>
  <c r="AF1904" i="9"/>
  <c r="AB1904" i="9"/>
  <c r="V1904" i="9"/>
  <c r="R1904" i="9"/>
  <c r="K1904" i="9"/>
  <c r="L1904" i="9" s="1"/>
  <c r="I1904" i="9"/>
  <c r="AF1903" i="9"/>
  <c r="AE1903" i="9"/>
  <c r="AB1903" i="9"/>
  <c r="AA1903" i="9"/>
  <c r="V1903" i="9"/>
  <c r="AK1903" i="9" s="1"/>
  <c r="AL1903" i="9" s="1"/>
  <c r="U1903" i="9"/>
  <c r="R1903" i="9"/>
  <c r="Q1903" i="9"/>
  <c r="I1903" i="9"/>
  <c r="K1903" i="9" s="1"/>
  <c r="L1903" i="9" s="1"/>
  <c r="AF1902" i="9"/>
  <c r="AE1902" i="9"/>
  <c r="AB1902" i="9"/>
  <c r="AA1902" i="9"/>
  <c r="V1902" i="9"/>
  <c r="U1902" i="9"/>
  <c r="R1902" i="9"/>
  <c r="Q1902" i="9"/>
  <c r="K1902" i="9"/>
  <c r="L1902" i="9" s="1"/>
  <c r="I1902" i="9"/>
  <c r="AN1901" i="9"/>
  <c r="AM1901" i="9"/>
  <c r="AF1901" i="9"/>
  <c r="AB1901" i="9"/>
  <c r="V1901" i="9"/>
  <c r="R1901" i="9"/>
  <c r="I1901" i="9"/>
  <c r="K1901" i="9" s="1"/>
  <c r="L1901" i="9" s="1"/>
  <c r="AN1900" i="9"/>
  <c r="AM1900" i="9"/>
  <c r="AF1900" i="9"/>
  <c r="AB1900" i="9"/>
  <c r="V1900" i="9"/>
  <c r="R1900" i="9"/>
  <c r="I1900" i="9"/>
  <c r="K1900" i="9" s="1"/>
  <c r="L1900" i="9" s="1"/>
  <c r="AM1899" i="9"/>
  <c r="AN1899" i="9" s="1"/>
  <c r="AF1899" i="9"/>
  <c r="AB1899" i="9"/>
  <c r="V1899" i="9"/>
  <c r="R1899" i="9"/>
  <c r="I1899" i="9"/>
  <c r="K1899" i="9" s="1"/>
  <c r="L1899" i="9" s="1"/>
  <c r="AN1898" i="9"/>
  <c r="AM1898" i="9"/>
  <c r="AF1898" i="9"/>
  <c r="AB1898" i="9"/>
  <c r="V1898" i="9"/>
  <c r="R1898" i="9"/>
  <c r="AK1898" i="9" s="1"/>
  <c r="AL1898" i="9" s="1"/>
  <c r="K1898" i="9"/>
  <c r="L1898" i="9" s="1"/>
  <c r="I1898" i="9"/>
  <c r="AM1897" i="9"/>
  <c r="AN1897" i="9" s="1"/>
  <c r="AF1897" i="9"/>
  <c r="AB1897" i="9"/>
  <c r="V1897" i="9"/>
  <c r="R1897" i="9"/>
  <c r="AK1897" i="9" s="1"/>
  <c r="AL1897" i="9" s="1"/>
  <c r="I1897" i="9"/>
  <c r="K1897" i="9" s="1"/>
  <c r="L1897" i="9" s="1"/>
  <c r="AN1896" i="9"/>
  <c r="AM1896" i="9"/>
  <c r="AF1896" i="9"/>
  <c r="AB1896" i="9"/>
  <c r="V1896" i="9"/>
  <c r="R1896" i="9"/>
  <c r="K1896" i="9"/>
  <c r="L1896" i="9" s="1"/>
  <c r="I1896" i="9"/>
  <c r="AN1895" i="9"/>
  <c r="AM1895" i="9"/>
  <c r="AF1895" i="9"/>
  <c r="AB1895" i="9"/>
  <c r="V1895" i="9"/>
  <c r="R1895" i="9"/>
  <c r="I1895" i="9"/>
  <c r="K1895" i="9" s="1"/>
  <c r="L1895" i="9" s="1"/>
  <c r="AN1894" i="9"/>
  <c r="AM1894" i="9"/>
  <c r="AF1894" i="9"/>
  <c r="AB1894" i="9"/>
  <c r="V1894" i="9"/>
  <c r="R1894" i="9"/>
  <c r="AK1894" i="9" s="1"/>
  <c r="AL1894" i="9" s="1"/>
  <c r="I1894" i="9"/>
  <c r="K1894" i="9" s="1"/>
  <c r="L1894" i="9" s="1"/>
  <c r="AM1893" i="9"/>
  <c r="AN1893" i="9" s="1"/>
  <c r="AF1893" i="9"/>
  <c r="AB1893" i="9"/>
  <c r="V1893" i="9"/>
  <c r="R1893" i="9"/>
  <c r="K1893" i="9"/>
  <c r="L1893" i="9" s="1"/>
  <c r="I1893" i="9"/>
  <c r="AM1892" i="9"/>
  <c r="AN1892" i="9" s="1"/>
  <c r="AF1892" i="9"/>
  <c r="AB1892" i="9"/>
  <c r="V1892" i="9"/>
  <c r="AK1892" i="9" s="1"/>
  <c r="AL1892" i="9" s="1"/>
  <c r="R1892" i="9"/>
  <c r="L1892" i="9"/>
  <c r="I1892" i="9"/>
  <c r="K1892" i="9" s="1"/>
  <c r="AF1891" i="9"/>
  <c r="AE1891" i="9"/>
  <c r="AB1891" i="9"/>
  <c r="AK1891" i="9" s="1"/>
  <c r="AL1891" i="9" s="1"/>
  <c r="AA1891" i="9"/>
  <c r="V1891" i="9"/>
  <c r="U1891" i="9"/>
  <c r="R1891" i="9"/>
  <c r="Q1891" i="9"/>
  <c r="I1891" i="9"/>
  <c r="K1891" i="9" s="1"/>
  <c r="L1891" i="9" s="1"/>
  <c r="AF1890" i="9"/>
  <c r="AK1890" i="9" s="1"/>
  <c r="AL1890" i="9" s="1"/>
  <c r="AE1890" i="9"/>
  <c r="AB1890" i="9"/>
  <c r="AA1890" i="9"/>
  <c r="V1890" i="9"/>
  <c r="U1890" i="9"/>
  <c r="R1890" i="9"/>
  <c r="Q1890" i="9"/>
  <c r="K1890" i="9"/>
  <c r="L1890" i="9" s="1"/>
  <c r="I1890" i="9"/>
  <c r="AM1889" i="9"/>
  <c r="AN1889" i="9" s="1"/>
  <c r="AF1889" i="9"/>
  <c r="AB1889" i="9"/>
  <c r="V1889" i="9"/>
  <c r="R1889" i="9"/>
  <c r="I1889" i="9"/>
  <c r="K1889" i="9" s="1"/>
  <c r="L1889" i="9" s="1"/>
  <c r="AF1888" i="9"/>
  <c r="AE1888" i="9"/>
  <c r="AB1888" i="9"/>
  <c r="AA1888" i="9"/>
  <c r="V1888" i="9"/>
  <c r="U1888" i="9"/>
  <c r="R1888" i="9"/>
  <c r="AK1888" i="9" s="1"/>
  <c r="AL1888" i="9" s="1"/>
  <c r="Q1888" i="9"/>
  <c r="AM1888" i="9" s="1"/>
  <c r="AN1888" i="9" s="1"/>
  <c r="I1888" i="9"/>
  <c r="K1888" i="9" s="1"/>
  <c r="L1888" i="9" s="1"/>
  <c r="AM1887" i="9"/>
  <c r="AN1887" i="9" s="1"/>
  <c r="AF1887" i="9"/>
  <c r="AB1887" i="9"/>
  <c r="V1887" i="9"/>
  <c r="R1887" i="9"/>
  <c r="I1887" i="9"/>
  <c r="K1887" i="9" s="1"/>
  <c r="L1887" i="9" s="1"/>
  <c r="AM1886" i="9"/>
  <c r="AN1886" i="9" s="1"/>
  <c r="AF1886" i="9"/>
  <c r="AB1886" i="9"/>
  <c r="V1886" i="9"/>
  <c r="R1886" i="9"/>
  <c r="K1886" i="9"/>
  <c r="L1886" i="9" s="1"/>
  <c r="I1886" i="9"/>
  <c r="AM1885" i="9"/>
  <c r="AN1885" i="9" s="1"/>
  <c r="AF1885" i="9"/>
  <c r="AB1885" i="9"/>
  <c r="V1885" i="9"/>
  <c r="R1885" i="9"/>
  <c r="I1885" i="9"/>
  <c r="K1885" i="9" s="1"/>
  <c r="L1885" i="9" s="1"/>
  <c r="AM1884" i="9"/>
  <c r="AN1884" i="9" s="1"/>
  <c r="AF1884" i="9"/>
  <c r="AB1884" i="9"/>
  <c r="V1884" i="9"/>
  <c r="R1884" i="9"/>
  <c r="I1884" i="9"/>
  <c r="K1884" i="9" s="1"/>
  <c r="L1884" i="9" s="1"/>
  <c r="AM1883" i="9"/>
  <c r="AN1883" i="9" s="1"/>
  <c r="AF1883" i="9"/>
  <c r="AB1883" i="9"/>
  <c r="V1883" i="9"/>
  <c r="AK1883" i="9" s="1"/>
  <c r="AL1883" i="9" s="1"/>
  <c r="R1883" i="9"/>
  <c r="I1883" i="9"/>
  <c r="K1883" i="9" s="1"/>
  <c r="L1883" i="9" s="1"/>
  <c r="AM1882" i="9"/>
  <c r="AN1882" i="9" s="1"/>
  <c r="AF1882" i="9"/>
  <c r="AB1882" i="9"/>
  <c r="V1882" i="9"/>
  <c r="R1882" i="9"/>
  <c r="I1882" i="9"/>
  <c r="K1882" i="9" s="1"/>
  <c r="L1882" i="9" s="1"/>
  <c r="AM1881" i="9"/>
  <c r="AN1881" i="9" s="1"/>
  <c r="AK1881" i="9"/>
  <c r="AL1881" i="9" s="1"/>
  <c r="I1881" i="9"/>
  <c r="K1881" i="9" s="1"/>
  <c r="L1881" i="9" s="1"/>
  <c r="AM1880" i="9"/>
  <c r="AN1880" i="9" s="1"/>
  <c r="AL1880" i="9"/>
  <c r="AK1880" i="9"/>
  <c r="I1880" i="9"/>
  <c r="K1880" i="9" s="1"/>
  <c r="L1880" i="9" s="1"/>
  <c r="AM1879" i="9"/>
  <c r="AN1879" i="9" s="1"/>
  <c r="AF1879" i="9"/>
  <c r="AB1879" i="9"/>
  <c r="V1879" i="9"/>
  <c r="R1879" i="9"/>
  <c r="I1879" i="9"/>
  <c r="K1879" i="9" s="1"/>
  <c r="L1879" i="9" s="1"/>
  <c r="AM1878" i="9"/>
  <c r="AN1878" i="9" s="1"/>
  <c r="AF1878" i="9"/>
  <c r="AB1878" i="9"/>
  <c r="V1878" i="9"/>
  <c r="R1878" i="9"/>
  <c r="L1878" i="9"/>
  <c r="I1878" i="9"/>
  <c r="K1878" i="9" s="1"/>
  <c r="AM1877" i="9"/>
  <c r="AN1877" i="9" s="1"/>
  <c r="AK1877" i="9"/>
  <c r="AL1877" i="9" s="1"/>
  <c r="I1877" i="9"/>
  <c r="K1877" i="9" s="1"/>
  <c r="L1877" i="9" s="1"/>
  <c r="AM1876" i="9"/>
  <c r="AN1876" i="9" s="1"/>
  <c r="AK1876" i="9"/>
  <c r="AL1876" i="9" s="1"/>
  <c r="I1876" i="9"/>
  <c r="K1876" i="9" s="1"/>
  <c r="L1876" i="9" s="1"/>
  <c r="AF1875" i="9"/>
  <c r="AE1875" i="9"/>
  <c r="AB1875" i="9"/>
  <c r="AA1875" i="9"/>
  <c r="V1875" i="9"/>
  <c r="U1875" i="9"/>
  <c r="R1875" i="9"/>
  <c r="Q1875" i="9"/>
  <c r="K1875" i="9"/>
  <c r="L1875" i="9" s="1"/>
  <c r="I1875" i="9"/>
  <c r="AM1874" i="9"/>
  <c r="AN1874" i="9" s="1"/>
  <c r="AF1874" i="9"/>
  <c r="AB1874" i="9"/>
  <c r="V1874" i="9"/>
  <c r="R1874" i="9"/>
  <c r="I1874" i="9"/>
  <c r="K1874" i="9" s="1"/>
  <c r="L1874" i="9" s="1"/>
  <c r="AF1873" i="9"/>
  <c r="AE1873" i="9"/>
  <c r="AB1873" i="9"/>
  <c r="AA1873" i="9"/>
  <c r="AM1873" i="9" s="1"/>
  <c r="AN1873" i="9" s="1"/>
  <c r="V1873" i="9"/>
  <c r="U1873" i="9"/>
  <c r="R1873" i="9"/>
  <c r="Q1873" i="9"/>
  <c r="I1873" i="9"/>
  <c r="K1873" i="9" s="1"/>
  <c r="L1873" i="9" s="1"/>
  <c r="AM1872" i="9"/>
  <c r="AN1872" i="9" s="1"/>
  <c r="AF1872" i="9"/>
  <c r="AB1872" i="9"/>
  <c r="V1872" i="9"/>
  <c r="R1872" i="9"/>
  <c r="K1872" i="9"/>
  <c r="L1872" i="9" s="1"/>
  <c r="I1872" i="9"/>
  <c r="AF1871" i="9"/>
  <c r="AE1871" i="9"/>
  <c r="AB1871" i="9"/>
  <c r="AA1871" i="9"/>
  <c r="V1871" i="9"/>
  <c r="U1871" i="9"/>
  <c r="R1871" i="9"/>
  <c r="Q1871" i="9"/>
  <c r="AM1871" i="9" s="1"/>
  <c r="AN1871" i="9" s="1"/>
  <c r="I1871" i="9"/>
  <c r="K1871" i="9" s="1"/>
  <c r="L1871" i="9" s="1"/>
  <c r="AF1870" i="9"/>
  <c r="AE1870" i="9"/>
  <c r="AB1870" i="9"/>
  <c r="AA1870" i="9"/>
  <c r="V1870" i="9"/>
  <c r="U1870" i="9"/>
  <c r="R1870" i="9"/>
  <c r="Q1870" i="9"/>
  <c r="I1870" i="9"/>
  <c r="K1870" i="9" s="1"/>
  <c r="L1870" i="9" s="1"/>
  <c r="AF1869" i="9"/>
  <c r="AE1869" i="9"/>
  <c r="AB1869" i="9"/>
  <c r="AA1869" i="9"/>
  <c r="V1869" i="9"/>
  <c r="U1869" i="9"/>
  <c r="R1869" i="9"/>
  <c r="Q1869" i="9"/>
  <c r="L1869" i="9"/>
  <c r="I1869" i="9"/>
  <c r="K1869" i="9" s="1"/>
  <c r="AF1868" i="9"/>
  <c r="AE1868" i="9"/>
  <c r="AB1868" i="9"/>
  <c r="AA1868" i="9"/>
  <c r="V1868" i="9"/>
  <c r="U1868" i="9"/>
  <c r="R1868" i="9"/>
  <c r="Q1868" i="9"/>
  <c r="K1868" i="9"/>
  <c r="L1868" i="9" s="1"/>
  <c r="I1868" i="9"/>
  <c r="AN1867" i="9"/>
  <c r="AM1867" i="9"/>
  <c r="AF1867" i="9"/>
  <c r="AB1867" i="9"/>
  <c r="V1867" i="9"/>
  <c r="R1867" i="9"/>
  <c r="I1867" i="9"/>
  <c r="K1867" i="9" s="1"/>
  <c r="L1867" i="9" s="1"/>
  <c r="AM1866" i="9"/>
  <c r="AN1866" i="9" s="1"/>
  <c r="AF1866" i="9"/>
  <c r="AB1866" i="9"/>
  <c r="V1866" i="9"/>
  <c r="R1866" i="9"/>
  <c r="K1866" i="9"/>
  <c r="L1866" i="9" s="1"/>
  <c r="I1866" i="9"/>
  <c r="AM1865" i="9"/>
  <c r="AN1865" i="9" s="1"/>
  <c r="AK1865" i="9"/>
  <c r="AL1865" i="9" s="1"/>
  <c r="K1865" i="9"/>
  <c r="L1865" i="9" s="1"/>
  <c r="I1865" i="9"/>
  <c r="AM1864" i="9"/>
  <c r="AN1864" i="9" s="1"/>
  <c r="I1864" i="9"/>
  <c r="K1864" i="9" s="1"/>
  <c r="L1864" i="9" s="1"/>
  <c r="AF1863" i="9"/>
  <c r="AE1863" i="9"/>
  <c r="AB1863" i="9"/>
  <c r="AA1863" i="9"/>
  <c r="V1863" i="9"/>
  <c r="U1863" i="9"/>
  <c r="R1863" i="9"/>
  <c r="Q1863" i="9"/>
  <c r="I1863" i="9"/>
  <c r="K1863" i="9" s="1"/>
  <c r="L1863" i="9" s="1"/>
  <c r="AF1862" i="9"/>
  <c r="AE1862" i="9"/>
  <c r="AB1862" i="9"/>
  <c r="AA1862" i="9"/>
  <c r="V1862" i="9"/>
  <c r="U1862" i="9"/>
  <c r="R1862" i="9"/>
  <c r="Q1862" i="9"/>
  <c r="I1862" i="9"/>
  <c r="K1862" i="9" s="1"/>
  <c r="L1862" i="9" s="1"/>
  <c r="AM1861" i="9"/>
  <c r="AN1861" i="9" s="1"/>
  <c r="AF1861" i="9"/>
  <c r="AB1861" i="9"/>
  <c r="V1861" i="9"/>
  <c r="R1861" i="9"/>
  <c r="I1861" i="9"/>
  <c r="K1861" i="9" s="1"/>
  <c r="L1861" i="9" s="1"/>
  <c r="AF1860" i="9"/>
  <c r="AE1860" i="9"/>
  <c r="AB1860" i="9"/>
  <c r="AA1860" i="9"/>
  <c r="V1860" i="9"/>
  <c r="U1860" i="9"/>
  <c r="R1860" i="9"/>
  <c r="Q1860" i="9"/>
  <c r="I1860" i="9"/>
  <c r="K1860" i="9" s="1"/>
  <c r="L1860" i="9" s="1"/>
  <c r="AM1859" i="9"/>
  <c r="AN1859" i="9" s="1"/>
  <c r="AF1859" i="9"/>
  <c r="AB1859" i="9"/>
  <c r="V1859" i="9"/>
  <c r="R1859" i="9"/>
  <c r="K1859" i="9"/>
  <c r="L1859" i="9" s="1"/>
  <c r="I1859" i="9"/>
  <c r="AM1858" i="9"/>
  <c r="J1858" i="9"/>
  <c r="I1858" i="9"/>
  <c r="K1858" i="9" s="1"/>
  <c r="D1858" i="9"/>
  <c r="AM1857" i="9"/>
  <c r="J1857" i="9"/>
  <c r="D1857" i="9"/>
  <c r="AE1856" i="9"/>
  <c r="AA1856" i="9"/>
  <c r="U1856" i="9"/>
  <c r="Q1856" i="9"/>
  <c r="J1856" i="9"/>
  <c r="D1856" i="9"/>
  <c r="AB1855" i="9"/>
  <c r="U1855" i="9"/>
  <c r="Q1855" i="9"/>
  <c r="J1855" i="9"/>
  <c r="I1855" i="9"/>
  <c r="D1855" i="9"/>
  <c r="AE1854" i="9"/>
  <c r="AB1854" i="9"/>
  <c r="U1854" i="9"/>
  <c r="J1854" i="9"/>
  <c r="V1854" i="9" s="1"/>
  <c r="D1854" i="9"/>
  <c r="AA1854" i="9" s="1"/>
  <c r="AN1853" i="9"/>
  <c r="AM1853" i="9"/>
  <c r="AB1853" i="9"/>
  <c r="V1853" i="9"/>
  <c r="R1853" i="9"/>
  <c r="J1853" i="9"/>
  <c r="I1853" i="9" s="1"/>
  <c r="AF1853" i="9" s="1"/>
  <c r="D1853" i="9"/>
  <c r="AA1852" i="9"/>
  <c r="Q1852" i="9"/>
  <c r="J1852" i="9"/>
  <c r="D1852" i="9"/>
  <c r="U1852" i="9" s="1"/>
  <c r="AE1851" i="9"/>
  <c r="AA1851" i="9"/>
  <c r="U1851" i="9"/>
  <c r="J1851" i="9"/>
  <c r="I1851" i="9" s="1"/>
  <c r="K1851" i="9" s="1"/>
  <c r="D1851" i="9"/>
  <c r="Q1851" i="9" s="1"/>
  <c r="V1850" i="9"/>
  <c r="R1850" i="9"/>
  <c r="J1850" i="9"/>
  <c r="D1850" i="9"/>
  <c r="AM1849" i="9"/>
  <c r="AN1849" i="9" s="1"/>
  <c r="AL1849" i="9"/>
  <c r="AF1849" i="9"/>
  <c r="AB1849" i="9"/>
  <c r="V1849" i="9"/>
  <c r="R1849" i="9"/>
  <c r="AK1849" i="9" s="1"/>
  <c r="I1849" i="9"/>
  <c r="K1849" i="9" s="1"/>
  <c r="L1849" i="9" s="1"/>
  <c r="J1848" i="9"/>
  <c r="D1848" i="9"/>
  <c r="AF1847" i="9"/>
  <c r="AB1847" i="9"/>
  <c r="V1847" i="9"/>
  <c r="R1847" i="9"/>
  <c r="AK1847" i="9" s="1"/>
  <c r="J1847" i="9"/>
  <c r="D1847" i="9"/>
  <c r="AA1846" i="9"/>
  <c r="V1846" i="9"/>
  <c r="R1846" i="9"/>
  <c r="J1846" i="9"/>
  <c r="D1846" i="9"/>
  <c r="U1846" i="9" s="1"/>
  <c r="AB1845" i="9"/>
  <c r="AA1845" i="9"/>
  <c r="U1845" i="9"/>
  <c r="R1845" i="9"/>
  <c r="Q1845" i="9"/>
  <c r="J1845" i="9"/>
  <c r="D1845" i="9"/>
  <c r="AM1844" i="9"/>
  <c r="AN1844" i="9" s="1"/>
  <c r="AF1844" i="9"/>
  <c r="AB1844" i="9"/>
  <c r="R1844" i="9"/>
  <c r="J1844" i="9"/>
  <c r="D1844" i="9"/>
  <c r="AM1843" i="9"/>
  <c r="AF1843" i="9"/>
  <c r="AB1843" i="9"/>
  <c r="V1843" i="9"/>
  <c r="R1843" i="9"/>
  <c r="AK1843" i="9" s="1"/>
  <c r="AL1843" i="9" s="1"/>
  <c r="J1843" i="9"/>
  <c r="D1843" i="9"/>
  <c r="J1842" i="9"/>
  <c r="I1842" i="9" s="1"/>
  <c r="D1842" i="9"/>
  <c r="AE1841" i="9"/>
  <c r="AB1841" i="9"/>
  <c r="AA1841" i="9"/>
  <c r="V1841" i="9"/>
  <c r="R1841" i="9"/>
  <c r="Q1841" i="9"/>
  <c r="J1841" i="9"/>
  <c r="AF1841" i="9" s="1"/>
  <c r="I1841" i="9"/>
  <c r="K1841" i="9" s="1"/>
  <c r="L1841" i="9" s="1"/>
  <c r="D1841" i="9"/>
  <c r="U1841" i="9" s="1"/>
  <c r="AE1840" i="9"/>
  <c r="AB1840" i="9"/>
  <c r="AA1840" i="9"/>
  <c r="V1840" i="9"/>
  <c r="J1840" i="9"/>
  <c r="D1840" i="9"/>
  <c r="AA1839" i="9"/>
  <c r="J1839" i="9"/>
  <c r="D1839" i="9"/>
  <c r="AE1839" i="9" s="1"/>
  <c r="AM1838" i="9"/>
  <c r="AN1838" i="9" s="1"/>
  <c r="R1838" i="9"/>
  <c r="J1838" i="9"/>
  <c r="D1838" i="9"/>
  <c r="AB1837" i="9"/>
  <c r="R1837" i="9"/>
  <c r="J1837" i="9"/>
  <c r="D1837" i="9"/>
  <c r="AE1836" i="9"/>
  <c r="U1836" i="9"/>
  <c r="Q1836" i="9"/>
  <c r="J1836" i="9"/>
  <c r="D1836" i="9"/>
  <c r="AE1835" i="9"/>
  <c r="AA1835" i="9"/>
  <c r="U1835" i="9"/>
  <c r="R1835" i="9"/>
  <c r="Q1835" i="9"/>
  <c r="J1835" i="9"/>
  <c r="D1835" i="9"/>
  <c r="AF1834" i="9"/>
  <c r="AB1834" i="9"/>
  <c r="V1834" i="9"/>
  <c r="R1834" i="9"/>
  <c r="J1834" i="9"/>
  <c r="D1834" i="9"/>
  <c r="AE1834" i="9" s="1"/>
  <c r="AM1833" i="9"/>
  <c r="R1833" i="9"/>
  <c r="J1833" i="9"/>
  <c r="D1833" i="9"/>
  <c r="J1832" i="9"/>
  <c r="D1832" i="9"/>
  <c r="AF1831" i="9"/>
  <c r="U1831" i="9"/>
  <c r="J1831" i="9"/>
  <c r="D1831" i="9"/>
  <c r="Q1831" i="9" s="1"/>
  <c r="AB1830" i="9"/>
  <c r="V1830" i="9"/>
  <c r="J1830" i="9"/>
  <c r="D1830" i="9"/>
  <c r="AM1829" i="9"/>
  <c r="J1829" i="9"/>
  <c r="D1829" i="9"/>
  <c r="AM1828" i="9"/>
  <c r="AN1828" i="9" s="1"/>
  <c r="AB1828" i="9"/>
  <c r="V1828" i="9"/>
  <c r="J1828" i="9"/>
  <c r="D1828" i="9"/>
  <c r="AF1827" i="9"/>
  <c r="AE1827" i="9"/>
  <c r="J1827" i="9"/>
  <c r="D1827" i="9"/>
  <c r="AM1826" i="9"/>
  <c r="J1826" i="9"/>
  <c r="AF1826" i="9" s="1"/>
  <c r="D1826" i="9"/>
  <c r="AE1825" i="9"/>
  <c r="AB1825" i="9"/>
  <c r="V1825" i="9"/>
  <c r="U1825" i="9"/>
  <c r="J1825" i="9"/>
  <c r="AF1825" i="9" s="1"/>
  <c r="D1825" i="9"/>
  <c r="Q1825" i="9" s="1"/>
  <c r="AM1824" i="9"/>
  <c r="AF1824" i="9"/>
  <c r="R1824" i="9"/>
  <c r="J1824" i="9"/>
  <c r="AB1824" i="9" s="1"/>
  <c r="D1824" i="9"/>
  <c r="AM1823" i="9"/>
  <c r="V1823" i="9"/>
  <c r="J1823" i="9"/>
  <c r="D1823" i="9"/>
  <c r="AN1822" i="9"/>
  <c r="AM1822" i="9"/>
  <c r="AF1822" i="9"/>
  <c r="AB1822" i="9"/>
  <c r="V1822" i="9"/>
  <c r="J1822" i="9"/>
  <c r="R1822" i="9" s="1"/>
  <c r="D1822" i="9"/>
  <c r="AM1821" i="9"/>
  <c r="AB1821" i="9"/>
  <c r="R1821" i="9"/>
  <c r="J1821" i="9"/>
  <c r="AF1821" i="9" s="1"/>
  <c r="D1821" i="9"/>
  <c r="AN1821" i="9" s="1"/>
  <c r="AM1820" i="9"/>
  <c r="AB1820" i="9"/>
  <c r="V1820" i="9"/>
  <c r="J1820" i="9"/>
  <c r="R1820" i="9" s="1"/>
  <c r="D1820" i="9"/>
  <c r="AM1819" i="9"/>
  <c r="AF1819" i="9"/>
  <c r="R1819" i="9"/>
  <c r="J1819" i="9"/>
  <c r="V1819" i="9" s="1"/>
  <c r="D1819" i="9"/>
  <c r="AN1819" i="9" s="1"/>
  <c r="AE1818" i="9"/>
  <c r="AA1818" i="9"/>
  <c r="U1818" i="9"/>
  <c r="Q1818" i="9"/>
  <c r="J1818" i="9"/>
  <c r="I1818" i="9" s="1"/>
  <c r="K1818" i="9" s="1"/>
  <c r="AE1817" i="9"/>
  <c r="AA1817" i="9"/>
  <c r="U1817" i="9"/>
  <c r="Q1817" i="9"/>
  <c r="J1817" i="9"/>
  <c r="D1817" i="9"/>
  <c r="U1816" i="9"/>
  <c r="J1816" i="9"/>
  <c r="D1816" i="9"/>
  <c r="V1815" i="9"/>
  <c r="U1815" i="9"/>
  <c r="J1815" i="9"/>
  <c r="D1815" i="9"/>
  <c r="Q1815" i="9" s="1"/>
  <c r="AB1814" i="9"/>
  <c r="V1814" i="9"/>
  <c r="J1814" i="9"/>
  <c r="AF1814" i="9" s="1"/>
  <c r="D1814" i="9"/>
  <c r="AE1814" i="9" s="1"/>
  <c r="AM1813" i="9"/>
  <c r="AN1813" i="9" s="1"/>
  <c r="J1813" i="9"/>
  <c r="D1813" i="9"/>
  <c r="AM1812" i="9"/>
  <c r="AN1812" i="9" s="1"/>
  <c r="AE1812" i="9"/>
  <c r="U1812" i="9"/>
  <c r="Q1812" i="9"/>
  <c r="J1812" i="9"/>
  <c r="I1812" i="9" s="1"/>
  <c r="K1812" i="9" s="1"/>
  <c r="D1812" i="9"/>
  <c r="AA1812" i="9" s="1"/>
  <c r="AA1811" i="9"/>
  <c r="J1811" i="9"/>
  <c r="R1811" i="9" s="1"/>
  <c r="D1811" i="9"/>
  <c r="U1810" i="9"/>
  <c r="J1810" i="9"/>
  <c r="D1810" i="9"/>
  <c r="AM1809" i="9"/>
  <c r="AB1809" i="9"/>
  <c r="J1809" i="9"/>
  <c r="D1809" i="9"/>
  <c r="AN1809" i="9" s="1"/>
  <c r="AM1808" i="9"/>
  <c r="J1808" i="9"/>
  <c r="D1808" i="9"/>
  <c r="J1807" i="9"/>
  <c r="I1807" i="9" s="1"/>
  <c r="K1807" i="9" s="1"/>
  <c r="L1807" i="9" s="1"/>
  <c r="D1807" i="9"/>
  <c r="AF1806" i="9"/>
  <c r="AE1806" i="9"/>
  <c r="V1806" i="9"/>
  <c r="J1806" i="9"/>
  <c r="D1806" i="9"/>
  <c r="AN1805" i="9"/>
  <c r="AM1805" i="9"/>
  <c r="AF1805" i="9"/>
  <c r="AB1805" i="9"/>
  <c r="V1805" i="9"/>
  <c r="R1805" i="9"/>
  <c r="D1805" i="9"/>
  <c r="I1805" i="9" s="1"/>
  <c r="AM1804" i="9"/>
  <c r="R1804" i="9"/>
  <c r="J1804" i="9"/>
  <c r="D1804" i="9"/>
  <c r="AM1803" i="9"/>
  <c r="AN1803" i="9" s="1"/>
  <c r="AF1803" i="9"/>
  <c r="AB1803" i="9"/>
  <c r="AK1803" i="9" s="1"/>
  <c r="AL1803" i="9" s="1"/>
  <c r="V1803" i="9"/>
  <c r="R1803" i="9"/>
  <c r="I1803" i="9"/>
  <c r="K1803" i="9" s="1"/>
  <c r="L1803" i="9" s="1"/>
  <c r="AM1802" i="9"/>
  <c r="AF1802" i="9"/>
  <c r="V1802" i="9"/>
  <c r="J1802" i="9"/>
  <c r="D1802" i="9"/>
  <c r="AN1802" i="9" s="1"/>
  <c r="AF1801" i="9"/>
  <c r="AB1801" i="9"/>
  <c r="V1801" i="9"/>
  <c r="R1801" i="9"/>
  <c r="J1801" i="9"/>
  <c r="D1801" i="9"/>
  <c r="J1800" i="9"/>
  <c r="D1800" i="9"/>
  <c r="I1800" i="9" s="1"/>
  <c r="AA1799" i="9"/>
  <c r="U1799" i="9"/>
  <c r="J1799" i="9"/>
  <c r="AF1799" i="9" s="1"/>
  <c r="D1799" i="9"/>
  <c r="Q1799" i="9" s="1"/>
  <c r="AE1798" i="9"/>
  <c r="AB1798" i="9"/>
  <c r="AA1798" i="9"/>
  <c r="Q1798" i="9"/>
  <c r="J1798" i="9"/>
  <c r="R1798" i="9" s="1"/>
  <c r="I1798" i="9"/>
  <c r="K1798" i="9" s="1"/>
  <c r="D1798" i="9"/>
  <c r="U1798" i="9" s="1"/>
  <c r="AM1797" i="9"/>
  <c r="AB1797" i="9"/>
  <c r="J1797" i="9"/>
  <c r="R1797" i="9" s="1"/>
  <c r="D1797" i="9"/>
  <c r="AE1796" i="9"/>
  <c r="AB1796" i="9"/>
  <c r="U1796" i="9"/>
  <c r="R1796" i="9"/>
  <c r="J1796" i="9"/>
  <c r="AF1796" i="9" s="1"/>
  <c r="D1796" i="9"/>
  <c r="AA1796" i="9" s="1"/>
  <c r="AM1795" i="9"/>
  <c r="AK1795" i="9"/>
  <c r="AL1795" i="9" s="1"/>
  <c r="AF1795" i="9"/>
  <c r="AB1795" i="9"/>
  <c r="V1795" i="9"/>
  <c r="R1795" i="9"/>
  <c r="J1795" i="9"/>
  <c r="D1795" i="9"/>
  <c r="AF1794" i="9"/>
  <c r="AE1794" i="9"/>
  <c r="AB1794" i="9"/>
  <c r="AA1794" i="9"/>
  <c r="AM1794" i="9" s="1"/>
  <c r="AN1794" i="9" s="1"/>
  <c r="V1794" i="9"/>
  <c r="U1794" i="9"/>
  <c r="R1794" i="9"/>
  <c r="Q1794" i="9"/>
  <c r="I1794" i="9"/>
  <c r="K1794" i="9" s="1"/>
  <c r="L1794" i="9" s="1"/>
  <c r="AA1793" i="9"/>
  <c r="Q1793" i="9"/>
  <c r="J1793" i="9"/>
  <c r="D1793" i="9"/>
  <c r="AE1793" i="9" s="1"/>
  <c r="AN1792" i="9"/>
  <c r="AM1792" i="9"/>
  <c r="J1792" i="9"/>
  <c r="D1792" i="9"/>
  <c r="AF1791" i="9"/>
  <c r="R1791" i="9"/>
  <c r="Q1791" i="9"/>
  <c r="K1791" i="9"/>
  <c r="J1791" i="9"/>
  <c r="AB1791" i="9" s="1"/>
  <c r="I1791" i="9"/>
  <c r="D1791" i="9"/>
  <c r="U1791" i="9" s="1"/>
  <c r="AF1790" i="9"/>
  <c r="AE1790" i="9"/>
  <c r="AB1790" i="9"/>
  <c r="AA1790" i="9"/>
  <c r="V1790" i="9"/>
  <c r="U1790" i="9"/>
  <c r="R1790" i="9"/>
  <c r="Q1790" i="9"/>
  <c r="AM1790" i="9" s="1"/>
  <c r="AN1790" i="9" s="1"/>
  <c r="I1790" i="9"/>
  <c r="K1790" i="9" s="1"/>
  <c r="L1790" i="9" s="1"/>
  <c r="AF1789" i="9"/>
  <c r="AE1789" i="9"/>
  <c r="AB1789" i="9"/>
  <c r="AA1789" i="9"/>
  <c r="V1789" i="9"/>
  <c r="U1789" i="9"/>
  <c r="R1789" i="9"/>
  <c r="Q1789" i="9"/>
  <c r="L1789" i="9"/>
  <c r="I1789" i="9"/>
  <c r="K1789" i="9" s="1"/>
  <c r="AF1788" i="9"/>
  <c r="AK1788" i="9" s="1"/>
  <c r="AL1788" i="9" s="1"/>
  <c r="AE1788" i="9"/>
  <c r="AB1788" i="9"/>
  <c r="AA1788" i="9"/>
  <c r="V1788" i="9"/>
  <c r="U1788" i="9"/>
  <c r="R1788" i="9"/>
  <c r="Q1788" i="9"/>
  <c r="I1788" i="9"/>
  <c r="K1788" i="9" s="1"/>
  <c r="L1788" i="9" s="1"/>
  <c r="AF1787" i="9"/>
  <c r="AE1787" i="9"/>
  <c r="AB1787" i="9"/>
  <c r="AK1787" i="9" s="1"/>
  <c r="AL1787" i="9" s="1"/>
  <c r="AA1787" i="9"/>
  <c r="V1787" i="9"/>
  <c r="U1787" i="9"/>
  <c r="R1787" i="9"/>
  <c r="Q1787" i="9"/>
  <c r="AM1787" i="9" s="1"/>
  <c r="AN1787" i="9" s="1"/>
  <c r="I1787" i="9"/>
  <c r="K1787" i="9" s="1"/>
  <c r="L1787" i="9" s="1"/>
  <c r="AF1786" i="9"/>
  <c r="AE1786" i="9"/>
  <c r="AB1786" i="9"/>
  <c r="AA1786" i="9"/>
  <c r="V1786" i="9"/>
  <c r="U1786" i="9"/>
  <c r="R1786" i="9"/>
  <c r="Q1786" i="9"/>
  <c r="I1786" i="9"/>
  <c r="K1786" i="9" s="1"/>
  <c r="L1786" i="9" s="1"/>
  <c r="AF1785" i="9"/>
  <c r="AE1785" i="9"/>
  <c r="AB1785" i="9"/>
  <c r="AA1785" i="9"/>
  <c r="V1785" i="9"/>
  <c r="U1785" i="9"/>
  <c r="R1785" i="9"/>
  <c r="Q1785" i="9"/>
  <c r="K1785" i="9"/>
  <c r="L1785" i="9" s="1"/>
  <c r="I1785" i="9"/>
  <c r="AF1784" i="9"/>
  <c r="AE1784" i="9"/>
  <c r="AB1784" i="9"/>
  <c r="AA1784" i="9"/>
  <c r="V1784" i="9"/>
  <c r="U1784" i="9"/>
  <c r="R1784" i="9"/>
  <c r="Q1784" i="9"/>
  <c r="L1784" i="9"/>
  <c r="I1784" i="9"/>
  <c r="K1784" i="9" s="1"/>
  <c r="AF1783" i="9"/>
  <c r="AE1783" i="9"/>
  <c r="AB1783" i="9"/>
  <c r="AA1783" i="9"/>
  <c r="V1783" i="9"/>
  <c r="U1783" i="9"/>
  <c r="AM1783" i="9" s="1"/>
  <c r="AN1783" i="9" s="1"/>
  <c r="R1783" i="9"/>
  <c r="Q1783" i="9"/>
  <c r="K1783" i="9"/>
  <c r="L1783" i="9" s="1"/>
  <c r="I1783" i="9"/>
  <c r="AM1782" i="9"/>
  <c r="AN1782" i="9" s="1"/>
  <c r="AK1782" i="9"/>
  <c r="AL1782" i="9" s="1"/>
  <c r="AF1782" i="9"/>
  <c r="AB1782" i="9"/>
  <c r="V1782" i="9"/>
  <c r="R1782" i="9"/>
  <c r="I1782" i="9"/>
  <c r="K1782" i="9" s="1"/>
  <c r="L1782" i="9" s="1"/>
  <c r="AF1781" i="9"/>
  <c r="AE1781" i="9"/>
  <c r="AB1781" i="9"/>
  <c r="AA1781" i="9"/>
  <c r="V1781" i="9"/>
  <c r="U1781" i="9"/>
  <c r="R1781" i="9"/>
  <c r="Q1781" i="9"/>
  <c r="I1781" i="9"/>
  <c r="K1781" i="9" s="1"/>
  <c r="L1781" i="9" s="1"/>
  <c r="AM1780" i="9"/>
  <c r="AN1780" i="9" s="1"/>
  <c r="J1780" i="9"/>
  <c r="V1780" i="9" s="1"/>
  <c r="I1780" i="9"/>
  <c r="K1780" i="9" s="1"/>
  <c r="L1780" i="9" s="1"/>
  <c r="D1780" i="9"/>
  <c r="J1779" i="9"/>
  <c r="I1779" i="9" s="1"/>
  <c r="K1779" i="9" s="1"/>
  <c r="D1779" i="9"/>
  <c r="AA1778" i="9"/>
  <c r="J1778" i="9"/>
  <c r="D1778" i="9"/>
  <c r="J1777" i="9"/>
  <c r="D1777" i="9"/>
  <c r="AM1776" i="9"/>
  <c r="J1776" i="9"/>
  <c r="D1776" i="9"/>
  <c r="AN1776" i="9" s="1"/>
  <c r="AM1775" i="9"/>
  <c r="J1775" i="9"/>
  <c r="D1775" i="9"/>
  <c r="AF1774" i="9"/>
  <c r="AB1774" i="9"/>
  <c r="V1774" i="9"/>
  <c r="U1774" i="9"/>
  <c r="R1774" i="9"/>
  <c r="AK1774" i="9" s="1"/>
  <c r="AL1774" i="9" s="1"/>
  <c r="J1774" i="9"/>
  <c r="D1774" i="9"/>
  <c r="AA1774" i="9" s="1"/>
  <c r="AM1773" i="9"/>
  <c r="J1773" i="9"/>
  <c r="D1773" i="9"/>
  <c r="AF1772" i="9"/>
  <c r="AB1772" i="9"/>
  <c r="V1772" i="9"/>
  <c r="J1772" i="9"/>
  <c r="R1772" i="9" s="1"/>
  <c r="D1772" i="9"/>
  <c r="J1771" i="9"/>
  <c r="D1771" i="9"/>
  <c r="Q1770" i="9"/>
  <c r="J1770" i="9"/>
  <c r="D1770" i="9"/>
  <c r="AA1770" i="9" s="1"/>
  <c r="AA1769" i="9"/>
  <c r="U1769" i="9"/>
  <c r="Q1769" i="9"/>
  <c r="J1769" i="9"/>
  <c r="D1769" i="9"/>
  <c r="AM1768" i="9"/>
  <c r="J1768" i="9"/>
  <c r="D1768" i="9"/>
  <c r="AN1768" i="9" s="1"/>
  <c r="AM1767" i="9"/>
  <c r="AF1767" i="9"/>
  <c r="V1767" i="9"/>
  <c r="R1767" i="9"/>
  <c r="J1767" i="9"/>
  <c r="AB1767" i="9" s="1"/>
  <c r="D1767" i="9"/>
  <c r="AN1767" i="9" s="1"/>
  <c r="AM1766" i="9"/>
  <c r="AN1766" i="9" s="1"/>
  <c r="AF1766" i="9"/>
  <c r="AB1766" i="9"/>
  <c r="V1766" i="9"/>
  <c r="R1766" i="9"/>
  <c r="I1766" i="9"/>
  <c r="K1766" i="9" s="1"/>
  <c r="L1766" i="9" s="1"/>
  <c r="AA1765" i="9"/>
  <c r="U1765" i="9"/>
  <c r="Q1765" i="9"/>
  <c r="J1765" i="9"/>
  <c r="R1765" i="9" s="1"/>
  <c r="D1765" i="9"/>
  <c r="AM1764" i="9"/>
  <c r="AF1764" i="9"/>
  <c r="V1764" i="9"/>
  <c r="J1764" i="9"/>
  <c r="R1764" i="9" s="1"/>
  <c r="I1764" i="9"/>
  <c r="D1764" i="9"/>
  <c r="AE1763" i="9"/>
  <c r="AA1763" i="9"/>
  <c r="U1763" i="9"/>
  <c r="J1763" i="9"/>
  <c r="D1763" i="9"/>
  <c r="Q1763" i="9" s="1"/>
  <c r="AM1762" i="9"/>
  <c r="AF1762" i="9"/>
  <c r="R1762" i="9"/>
  <c r="J1762" i="9"/>
  <c r="D1762" i="9"/>
  <c r="AM1761" i="9"/>
  <c r="AF1761" i="9"/>
  <c r="V1761" i="9"/>
  <c r="J1761" i="9"/>
  <c r="D1761" i="9"/>
  <c r="AN1760" i="9"/>
  <c r="AM1760" i="9"/>
  <c r="AK1760" i="9"/>
  <c r="J1760" i="9"/>
  <c r="D1760" i="9"/>
  <c r="V1759" i="9"/>
  <c r="U1759" i="9"/>
  <c r="Q1759" i="9"/>
  <c r="J1759" i="9"/>
  <c r="AF1759" i="9" s="1"/>
  <c r="D1759" i="9"/>
  <c r="AA1759" i="9" s="1"/>
  <c r="AA1758" i="9"/>
  <c r="V1758" i="9"/>
  <c r="J1758" i="9"/>
  <c r="I1758" i="9" s="1"/>
  <c r="K1758" i="9" s="1"/>
  <c r="L1758" i="9" s="1"/>
  <c r="D1758" i="9"/>
  <c r="AF1757" i="9"/>
  <c r="AE1757" i="9"/>
  <c r="AB1757" i="9"/>
  <c r="AA1757" i="9"/>
  <c r="V1757" i="9"/>
  <c r="U1757" i="9"/>
  <c r="R1757" i="9"/>
  <c r="AK1757" i="9" s="1"/>
  <c r="AL1757" i="9" s="1"/>
  <c r="Q1757" i="9"/>
  <c r="I1757" i="9"/>
  <c r="K1757" i="9" s="1"/>
  <c r="L1757" i="9" s="1"/>
  <c r="AF1756" i="9"/>
  <c r="AB1756" i="9"/>
  <c r="J1756" i="9"/>
  <c r="V1756" i="9" s="1"/>
  <c r="I1756" i="9"/>
  <c r="D1756" i="9"/>
  <c r="AE1755" i="9"/>
  <c r="AA1755" i="9"/>
  <c r="U1755" i="9"/>
  <c r="Q1755" i="9"/>
  <c r="AM1755" i="9" s="1"/>
  <c r="AN1755" i="9" s="1"/>
  <c r="J1755" i="9"/>
  <c r="AM1754" i="9"/>
  <c r="J1754" i="9"/>
  <c r="I1754" i="9" s="1"/>
  <c r="K1754" i="9" s="1"/>
  <c r="D1754" i="9"/>
  <c r="AM1753" i="9"/>
  <c r="J1753" i="9"/>
  <c r="D1753" i="9"/>
  <c r="AF1752" i="9"/>
  <c r="AE1752" i="9"/>
  <c r="AB1752" i="9"/>
  <c r="AA1752" i="9"/>
  <c r="V1752" i="9"/>
  <c r="U1752" i="9"/>
  <c r="R1752" i="9"/>
  <c r="Q1752" i="9"/>
  <c r="K1752" i="9"/>
  <c r="L1752" i="9" s="1"/>
  <c r="AM1751" i="9"/>
  <c r="AN1751" i="9" s="1"/>
  <c r="AF1751" i="9"/>
  <c r="AB1751" i="9"/>
  <c r="V1751" i="9"/>
  <c r="R1751" i="9"/>
  <c r="K1751" i="9"/>
  <c r="L1751" i="9" s="1"/>
  <c r="I1751" i="9"/>
  <c r="AF1750" i="9"/>
  <c r="AE1750" i="9"/>
  <c r="AB1750" i="9"/>
  <c r="AA1750" i="9"/>
  <c r="V1750" i="9"/>
  <c r="U1750" i="9"/>
  <c r="R1750" i="9"/>
  <c r="AK1750" i="9" s="1"/>
  <c r="AL1750" i="9" s="1"/>
  <c r="Q1750" i="9"/>
  <c r="I1750" i="9"/>
  <c r="K1750" i="9" s="1"/>
  <c r="L1750" i="9" s="1"/>
  <c r="AM1749" i="9"/>
  <c r="AN1749" i="9" s="1"/>
  <c r="AF1749" i="9"/>
  <c r="AB1749" i="9"/>
  <c r="V1749" i="9"/>
  <c r="R1749" i="9"/>
  <c r="I1749" i="9"/>
  <c r="K1749" i="9" s="1"/>
  <c r="L1749" i="9" s="1"/>
  <c r="AM1748" i="9"/>
  <c r="AN1748" i="9" s="1"/>
  <c r="AF1748" i="9"/>
  <c r="AB1748" i="9"/>
  <c r="V1748" i="9"/>
  <c r="R1748" i="9"/>
  <c r="K1748" i="9"/>
  <c r="L1748" i="9" s="1"/>
  <c r="I1748" i="9"/>
  <c r="AF1747" i="9"/>
  <c r="AE1747" i="9"/>
  <c r="AB1747" i="9"/>
  <c r="AA1747" i="9"/>
  <c r="V1747" i="9"/>
  <c r="U1747" i="9"/>
  <c r="R1747" i="9"/>
  <c r="Q1747" i="9"/>
  <c r="K1747" i="9"/>
  <c r="L1747" i="9" s="1"/>
  <c r="I1747" i="9"/>
  <c r="AF1746" i="9"/>
  <c r="AE1746" i="9"/>
  <c r="AB1746" i="9"/>
  <c r="AA1746" i="9"/>
  <c r="V1746" i="9"/>
  <c r="U1746" i="9"/>
  <c r="R1746" i="9"/>
  <c r="Q1746" i="9"/>
  <c r="L1746" i="9"/>
  <c r="I1746" i="9"/>
  <c r="K1746" i="9" s="1"/>
  <c r="AF1745" i="9"/>
  <c r="AE1745" i="9"/>
  <c r="AB1745" i="9"/>
  <c r="AA1745" i="9"/>
  <c r="V1745" i="9"/>
  <c r="U1745" i="9"/>
  <c r="R1745" i="9"/>
  <c r="Q1745" i="9"/>
  <c r="I1745" i="9"/>
  <c r="K1745" i="9" s="1"/>
  <c r="L1745" i="9" s="1"/>
  <c r="AF1744" i="9"/>
  <c r="AE1744" i="9"/>
  <c r="AB1744" i="9"/>
  <c r="AA1744" i="9"/>
  <c r="V1744" i="9"/>
  <c r="U1744" i="9"/>
  <c r="R1744" i="9"/>
  <c r="Q1744" i="9"/>
  <c r="I1744" i="9"/>
  <c r="K1744" i="9" s="1"/>
  <c r="L1744" i="9" s="1"/>
  <c r="AF1743" i="9"/>
  <c r="AE1743" i="9"/>
  <c r="AB1743" i="9"/>
  <c r="AA1743" i="9"/>
  <c r="V1743" i="9"/>
  <c r="U1743" i="9"/>
  <c r="R1743" i="9"/>
  <c r="Q1743" i="9"/>
  <c r="L1743" i="9"/>
  <c r="I1743" i="9"/>
  <c r="K1743" i="9" s="1"/>
  <c r="AF1742" i="9"/>
  <c r="AE1742" i="9"/>
  <c r="AM1742" i="9" s="1"/>
  <c r="AN1742" i="9" s="1"/>
  <c r="AB1742" i="9"/>
  <c r="AA1742" i="9"/>
  <c r="V1742" i="9"/>
  <c r="U1742" i="9"/>
  <c r="R1742" i="9"/>
  <c r="Q1742" i="9"/>
  <c r="K1742" i="9"/>
  <c r="L1742" i="9" s="1"/>
  <c r="I1742" i="9"/>
  <c r="AM1741" i="9"/>
  <c r="AN1741" i="9" s="1"/>
  <c r="AF1741" i="9"/>
  <c r="AB1741" i="9"/>
  <c r="V1741" i="9"/>
  <c r="R1741" i="9"/>
  <c r="AK1741" i="9" s="1"/>
  <c r="AL1741" i="9" s="1"/>
  <c r="I1741" i="9"/>
  <c r="K1741" i="9" s="1"/>
  <c r="L1741" i="9" s="1"/>
  <c r="AF1740" i="9"/>
  <c r="AE1740" i="9"/>
  <c r="AB1740" i="9"/>
  <c r="AA1740" i="9"/>
  <c r="V1740" i="9"/>
  <c r="U1740" i="9"/>
  <c r="R1740" i="9"/>
  <c r="Q1740" i="9"/>
  <c r="I1740" i="9"/>
  <c r="K1740" i="9" s="1"/>
  <c r="L1740" i="9" s="1"/>
  <c r="AF1739" i="9"/>
  <c r="AE1739" i="9"/>
  <c r="AB1739" i="9"/>
  <c r="AA1739" i="9"/>
  <c r="V1739" i="9"/>
  <c r="U1739" i="9"/>
  <c r="AM1739" i="9" s="1"/>
  <c r="AN1739" i="9" s="1"/>
  <c r="R1739" i="9"/>
  <c r="AK1739" i="9" s="1"/>
  <c r="AL1739" i="9" s="1"/>
  <c r="Q1739" i="9"/>
  <c r="L1739" i="9"/>
  <c r="I1739" i="9"/>
  <c r="K1739" i="9" s="1"/>
  <c r="AF1738" i="9"/>
  <c r="AE1738" i="9"/>
  <c r="AB1738" i="9"/>
  <c r="AA1738" i="9"/>
  <c r="V1738" i="9"/>
  <c r="U1738" i="9"/>
  <c r="R1738" i="9"/>
  <c r="Q1738" i="9"/>
  <c r="AM1738" i="9" s="1"/>
  <c r="AN1738" i="9" s="1"/>
  <c r="L1738" i="9"/>
  <c r="I1738" i="9"/>
  <c r="K1738" i="9" s="1"/>
  <c r="AF1737" i="9"/>
  <c r="AE1737" i="9"/>
  <c r="AB1737" i="9"/>
  <c r="AA1737" i="9"/>
  <c r="V1737" i="9"/>
  <c r="U1737" i="9"/>
  <c r="R1737" i="9"/>
  <c r="Q1737" i="9"/>
  <c r="I1737" i="9"/>
  <c r="K1737" i="9" s="1"/>
  <c r="L1737" i="9" s="1"/>
  <c r="AF1736" i="9"/>
  <c r="AK1736" i="9" s="1"/>
  <c r="AL1736" i="9" s="1"/>
  <c r="AE1736" i="9"/>
  <c r="AB1736" i="9"/>
  <c r="AA1736" i="9"/>
  <c r="V1736" i="9"/>
  <c r="U1736" i="9"/>
  <c r="R1736" i="9"/>
  <c r="Q1736" i="9"/>
  <c r="L1736" i="9"/>
  <c r="K1736" i="9"/>
  <c r="I1736" i="9"/>
  <c r="AF1735" i="9"/>
  <c r="AK1735" i="9" s="1"/>
  <c r="AL1735" i="9" s="1"/>
  <c r="AE1735" i="9"/>
  <c r="AB1735" i="9"/>
  <c r="AA1735" i="9"/>
  <c r="V1735" i="9"/>
  <c r="U1735" i="9"/>
  <c r="R1735" i="9"/>
  <c r="Q1735" i="9"/>
  <c r="L1735" i="9"/>
  <c r="K1735" i="9"/>
  <c r="I1735" i="9"/>
  <c r="AF1734" i="9"/>
  <c r="AE1734" i="9"/>
  <c r="AB1734" i="9"/>
  <c r="AA1734" i="9"/>
  <c r="V1734" i="9"/>
  <c r="U1734" i="9"/>
  <c r="R1734" i="9"/>
  <c r="Q1734" i="9"/>
  <c r="I1734" i="9"/>
  <c r="K1734" i="9" s="1"/>
  <c r="L1734" i="9" s="1"/>
  <c r="AF1733" i="9"/>
  <c r="AE1733" i="9"/>
  <c r="AB1733" i="9"/>
  <c r="AA1733" i="9"/>
  <c r="V1733" i="9"/>
  <c r="U1733" i="9"/>
  <c r="R1733" i="9"/>
  <c r="Q1733" i="9"/>
  <c r="I1733" i="9"/>
  <c r="K1733" i="9" s="1"/>
  <c r="L1733" i="9" s="1"/>
  <c r="AM1732" i="9"/>
  <c r="AN1732" i="9" s="1"/>
  <c r="AF1732" i="9"/>
  <c r="AB1732" i="9"/>
  <c r="V1732" i="9"/>
  <c r="R1732" i="9"/>
  <c r="L1732" i="9"/>
  <c r="I1732" i="9"/>
  <c r="K1732" i="9" s="1"/>
  <c r="AF1731" i="9"/>
  <c r="AE1731" i="9"/>
  <c r="AB1731" i="9"/>
  <c r="AA1731" i="9"/>
  <c r="V1731" i="9"/>
  <c r="U1731" i="9"/>
  <c r="R1731" i="9"/>
  <c r="Q1731" i="9"/>
  <c r="I1731" i="9"/>
  <c r="K1731" i="9" s="1"/>
  <c r="L1731" i="9" s="1"/>
  <c r="AM1730" i="9"/>
  <c r="AN1730" i="9" s="1"/>
  <c r="AF1730" i="9"/>
  <c r="AB1730" i="9"/>
  <c r="V1730" i="9"/>
  <c r="R1730" i="9"/>
  <c r="AK1730" i="9" s="1"/>
  <c r="AL1730" i="9" s="1"/>
  <c r="I1730" i="9"/>
  <c r="K1730" i="9" s="1"/>
  <c r="L1730" i="9" s="1"/>
  <c r="AN1729" i="9"/>
  <c r="AM1729" i="9"/>
  <c r="AF1729" i="9"/>
  <c r="AB1729" i="9"/>
  <c r="V1729" i="9"/>
  <c r="R1729" i="9"/>
  <c r="I1729" i="9"/>
  <c r="K1729" i="9" s="1"/>
  <c r="L1729" i="9" s="1"/>
  <c r="AM1728" i="9"/>
  <c r="AN1728" i="9" s="1"/>
  <c r="AF1728" i="9"/>
  <c r="AB1728" i="9"/>
  <c r="V1728" i="9"/>
  <c r="R1728" i="9"/>
  <c r="I1728" i="9"/>
  <c r="K1728" i="9" s="1"/>
  <c r="L1728" i="9" s="1"/>
  <c r="AF1727" i="9"/>
  <c r="AE1727" i="9"/>
  <c r="AB1727" i="9"/>
  <c r="AA1727" i="9"/>
  <c r="V1727" i="9"/>
  <c r="U1727" i="9"/>
  <c r="R1727" i="9"/>
  <c r="Q1727" i="9"/>
  <c r="I1727" i="9"/>
  <c r="K1727" i="9" s="1"/>
  <c r="L1727" i="9" s="1"/>
  <c r="AF1726" i="9"/>
  <c r="AE1726" i="9"/>
  <c r="AB1726" i="9"/>
  <c r="AA1726" i="9"/>
  <c r="V1726" i="9"/>
  <c r="U1726" i="9"/>
  <c r="AM1726" i="9" s="1"/>
  <c r="AN1726" i="9" s="1"/>
  <c r="R1726" i="9"/>
  <c r="Q1726" i="9"/>
  <c r="K1726" i="9"/>
  <c r="L1726" i="9" s="1"/>
  <c r="I1726" i="9"/>
  <c r="AK1725" i="9"/>
  <c r="AL1725" i="9" s="1"/>
  <c r="AF1725" i="9"/>
  <c r="AE1725" i="9"/>
  <c r="AB1725" i="9"/>
  <c r="AA1725" i="9"/>
  <c r="V1725" i="9"/>
  <c r="U1725" i="9"/>
  <c r="R1725" i="9"/>
  <c r="Q1725" i="9"/>
  <c r="I1725" i="9"/>
  <c r="K1725" i="9" s="1"/>
  <c r="L1725" i="9" s="1"/>
  <c r="AF1724" i="9"/>
  <c r="AE1724" i="9"/>
  <c r="AB1724" i="9"/>
  <c r="AA1724" i="9"/>
  <c r="V1724" i="9"/>
  <c r="AK1724" i="9" s="1"/>
  <c r="AL1724" i="9" s="1"/>
  <c r="U1724" i="9"/>
  <c r="R1724" i="9"/>
  <c r="Q1724" i="9"/>
  <c r="K1724" i="9"/>
  <c r="L1724" i="9" s="1"/>
  <c r="I1724" i="9"/>
  <c r="AF1723" i="9"/>
  <c r="AE1723" i="9"/>
  <c r="AB1723" i="9"/>
  <c r="AA1723" i="9"/>
  <c r="V1723" i="9"/>
  <c r="U1723" i="9"/>
  <c r="R1723" i="9"/>
  <c r="Q1723" i="9"/>
  <c r="I1723" i="9"/>
  <c r="K1723" i="9" s="1"/>
  <c r="L1723" i="9" s="1"/>
  <c r="AF1722" i="9"/>
  <c r="AE1722" i="9"/>
  <c r="AB1722" i="9"/>
  <c r="AA1722" i="9"/>
  <c r="V1722" i="9"/>
  <c r="U1722" i="9"/>
  <c r="R1722" i="9"/>
  <c r="Q1722" i="9"/>
  <c r="I1722" i="9"/>
  <c r="K1722" i="9" s="1"/>
  <c r="L1722" i="9" s="1"/>
  <c r="AF1721" i="9"/>
  <c r="AE1721" i="9"/>
  <c r="AB1721" i="9"/>
  <c r="AA1721" i="9"/>
  <c r="V1721" i="9"/>
  <c r="AK1721" i="9" s="1"/>
  <c r="AL1721" i="9" s="1"/>
  <c r="U1721" i="9"/>
  <c r="R1721" i="9"/>
  <c r="Q1721" i="9"/>
  <c r="I1721" i="9"/>
  <c r="K1721" i="9" s="1"/>
  <c r="L1721" i="9" s="1"/>
  <c r="AF1720" i="9"/>
  <c r="AE1720" i="9"/>
  <c r="AB1720" i="9"/>
  <c r="AA1720" i="9"/>
  <c r="V1720" i="9"/>
  <c r="U1720" i="9"/>
  <c r="R1720" i="9"/>
  <c r="AK1720" i="9" s="1"/>
  <c r="AL1720" i="9" s="1"/>
  <c r="Q1720" i="9"/>
  <c r="L1720" i="9"/>
  <c r="I1720" i="9"/>
  <c r="K1720" i="9" s="1"/>
  <c r="AM1719" i="9"/>
  <c r="AN1719" i="9" s="1"/>
  <c r="AF1719" i="9"/>
  <c r="AB1719" i="9"/>
  <c r="V1719" i="9"/>
  <c r="R1719" i="9"/>
  <c r="I1719" i="9"/>
  <c r="K1719" i="9" s="1"/>
  <c r="L1719" i="9" s="1"/>
  <c r="AF1718" i="9"/>
  <c r="AE1718" i="9"/>
  <c r="AB1718" i="9"/>
  <c r="AA1718" i="9"/>
  <c r="V1718" i="9"/>
  <c r="AK1718" i="9" s="1"/>
  <c r="AL1718" i="9" s="1"/>
  <c r="U1718" i="9"/>
  <c r="R1718" i="9"/>
  <c r="Q1718" i="9"/>
  <c r="AM1718" i="9" s="1"/>
  <c r="AN1718" i="9" s="1"/>
  <c r="I1718" i="9"/>
  <c r="K1718" i="9" s="1"/>
  <c r="L1718" i="9" s="1"/>
  <c r="AN1717" i="9"/>
  <c r="AM1717" i="9"/>
  <c r="AF1717" i="9"/>
  <c r="AB1717" i="9"/>
  <c r="V1717" i="9"/>
  <c r="R1717" i="9"/>
  <c r="I1717" i="9"/>
  <c r="K1717" i="9" s="1"/>
  <c r="L1717" i="9" s="1"/>
  <c r="AM1716" i="9"/>
  <c r="AN1716" i="9" s="1"/>
  <c r="AF1716" i="9"/>
  <c r="AB1716" i="9"/>
  <c r="V1716" i="9"/>
  <c r="R1716" i="9"/>
  <c r="I1716" i="9"/>
  <c r="K1716" i="9" s="1"/>
  <c r="L1716" i="9" s="1"/>
  <c r="AM1715" i="9"/>
  <c r="AN1715" i="9" s="1"/>
  <c r="AF1715" i="9"/>
  <c r="AB1715" i="9"/>
  <c r="V1715" i="9"/>
  <c r="R1715" i="9"/>
  <c r="I1715" i="9"/>
  <c r="K1715" i="9" s="1"/>
  <c r="L1715" i="9" s="1"/>
  <c r="AM1714" i="9"/>
  <c r="AN1714" i="9" s="1"/>
  <c r="AF1714" i="9"/>
  <c r="AB1714" i="9"/>
  <c r="V1714" i="9"/>
  <c r="R1714" i="9"/>
  <c r="K1714" i="9"/>
  <c r="L1714" i="9" s="1"/>
  <c r="I1714" i="9"/>
  <c r="AB1713" i="9"/>
  <c r="AA1713" i="9"/>
  <c r="R1713" i="9"/>
  <c r="J1713" i="9"/>
  <c r="AF1713" i="9" s="1"/>
  <c r="I1713" i="9"/>
  <c r="D1713" i="9"/>
  <c r="AA1712" i="9"/>
  <c r="U1712" i="9"/>
  <c r="Q1712" i="9"/>
  <c r="J1712" i="9"/>
  <c r="D1712" i="9"/>
  <c r="AE1712" i="9" s="1"/>
  <c r="AE1711" i="9"/>
  <c r="J1711" i="9"/>
  <c r="AF1711" i="9" s="1"/>
  <c r="D1711" i="9"/>
  <c r="Q1711" i="9" s="1"/>
  <c r="AM1710" i="9"/>
  <c r="AN1710" i="9" s="1"/>
  <c r="AF1710" i="9"/>
  <c r="R1710" i="9"/>
  <c r="J1710" i="9"/>
  <c r="I1710" i="9"/>
  <c r="K1710" i="9" s="1"/>
  <c r="L1710" i="9" s="1"/>
  <c r="AM1709" i="9"/>
  <c r="R1709" i="9"/>
  <c r="J1709" i="9"/>
  <c r="AB1709" i="9" s="1"/>
  <c r="D1709" i="9"/>
  <c r="AN1709" i="9" s="1"/>
  <c r="J1708" i="9"/>
  <c r="D1708" i="9"/>
  <c r="AM1707" i="9"/>
  <c r="J1707" i="9"/>
  <c r="D1707" i="9"/>
  <c r="J1706" i="9"/>
  <c r="D1706" i="9"/>
  <c r="AF1705" i="9"/>
  <c r="V1705" i="9"/>
  <c r="R1705" i="9"/>
  <c r="AK1705" i="9" s="1"/>
  <c r="J1705" i="9"/>
  <c r="AB1705" i="9" s="1"/>
  <c r="I1705" i="9"/>
  <c r="D1705" i="9"/>
  <c r="Q1704" i="9"/>
  <c r="J1704" i="9"/>
  <c r="D1704" i="9"/>
  <c r="AA1704" i="9" s="1"/>
  <c r="AM1703" i="9"/>
  <c r="AN1703" i="9" s="1"/>
  <c r="J1703" i="9"/>
  <c r="I1703" i="9" s="1"/>
  <c r="K1703" i="9" s="1"/>
  <c r="D1703" i="9"/>
  <c r="AM1702" i="9"/>
  <c r="J1702" i="9"/>
  <c r="D1702" i="9"/>
  <c r="J1701" i="9"/>
  <c r="D1701" i="9"/>
  <c r="AA1701" i="9" s="1"/>
  <c r="AA1700" i="9"/>
  <c r="V1700" i="9"/>
  <c r="R1700" i="9"/>
  <c r="J1700" i="9"/>
  <c r="AB1700" i="9" s="1"/>
  <c r="D1700" i="9"/>
  <c r="AE1700" i="9" s="1"/>
  <c r="R1699" i="9"/>
  <c r="J1699" i="9"/>
  <c r="D1699" i="9"/>
  <c r="AF1698" i="9"/>
  <c r="AB1698" i="9"/>
  <c r="V1698" i="9"/>
  <c r="AK1698" i="9" s="1"/>
  <c r="R1698" i="9"/>
  <c r="J1698" i="9"/>
  <c r="I1698" i="9"/>
  <c r="K1698" i="9" s="1"/>
  <c r="L1698" i="9" s="1"/>
  <c r="D1698" i="9"/>
  <c r="AA1698" i="9" s="1"/>
  <c r="AM1697" i="9"/>
  <c r="AK1697" i="9"/>
  <c r="J1697" i="9"/>
  <c r="D1697" i="9"/>
  <c r="AM1696" i="9"/>
  <c r="AF1696" i="9"/>
  <c r="R1696" i="9"/>
  <c r="J1696" i="9"/>
  <c r="V1696" i="9" s="1"/>
  <c r="D1696" i="9"/>
  <c r="AN1696" i="9" s="1"/>
  <c r="AE1695" i="9"/>
  <c r="AA1695" i="9"/>
  <c r="J1695" i="9"/>
  <c r="D1695" i="9"/>
  <c r="Q1695" i="9" s="1"/>
  <c r="AE1694" i="9"/>
  <c r="AA1694" i="9"/>
  <c r="U1694" i="9"/>
  <c r="R1694" i="9"/>
  <c r="Q1694" i="9"/>
  <c r="J1694" i="9"/>
  <c r="AF1693" i="9"/>
  <c r="AB1693" i="9"/>
  <c r="AA1693" i="9"/>
  <c r="V1693" i="9"/>
  <c r="R1693" i="9"/>
  <c r="Q1693" i="9"/>
  <c r="J1693" i="9"/>
  <c r="D1693" i="9"/>
  <c r="U1693" i="9" s="1"/>
  <c r="J1692" i="9"/>
  <c r="D1692" i="9"/>
  <c r="AM1691" i="9"/>
  <c r="AB1691" i="9"/>
  <c r="J1691" i="9"/>
  <c r="D1691" i="9"/>
  <c r="AN1691" i="9" s="1"/>
  <c r="AM1690" i="9"/>
  <c r="AN1690" i="9" s="1"/>
  <c r="AE1690" i="9"/>
  <c r="AA1690" i="9"/>
  <c r="U1690" i="9"/>
  <c r="Q1690" i="9"/>
  <c r="J1690" i="9"/>
  <c r="V1690" i="9" s="1"/>
  <c r="AB1689" i="9"/>
  <c r="R1689" i="9"/>
  <c r="J1689" i="9"/>
  <c r="D1689" i="9"/>
  <c r="AE1689" i="9" s="1"/>
  <c r="J1688" i="9"/>
  <c r="D1688" i="9"/>
  <c r="AA1687" i="9"/>
  <c r="J1687" i="9"/>
  <c r="I1687" i="9"/>
  <c r="D1687" i="9"/>
  <c r="AM1686" i="9"/>
  <c r="AL1686" i="9"/>
  <c r="AK1686" i="9"/>
  <c r="I1686" i="9"/>
  <c r="D1686" i="9"/>
  <c r="AE1685" i="9"/>
  <c r="J1685" i="9"/>
  <c r="D1685" i="9"/>
  <c r="R1684" i="9"/>
  <c r="J1684" i="9"/>
  <c r="D1684" i="9"/>
  <c r="AM1683" i="9"/>
  <c r="AK1683" i="9"/>
  <c r="J1683" i="9"/>
  <c r="D1683" i="9"/>
  <c r="AN1683" i="9" s="1"/>
  <c r="AM1682" i="9"/>
  <c r="J1682" i="9"/>
  <c r="D1682" i="9"/>
  <c r="V1681" i="9"/>
  <c r="Q1681" i="9"/>
  <c r="J1681" i="9"/>
  <c r="I1681" i="9"/>
  <c r="K1681" i="9" s="1"/>
  <c r="L1681" i="9" s="1"/>
  <c r="D1681" i="9"/>
  <c r="U1681" i="9" s="1"/>
  <c r="AM1680" i="9"/>
  <c r="AF1680" i="9"/>
  <c r="AB1680" i="9"/>
  <c r="V1680" i="9"/>
  <c r="R1680" i="9"/>
  <c r="J1680" i="9"/>
  <c r="D1680" i="9"/>
  <c r="AA1679" i="9"/>
  <c r="Q1679" i="9"/>
  <c r="J1679" i="9"/>
  <c r="D1679" i="9"/>
  <c r="AB1678" i="9"/>
  <c r="R1678" i="9"/>
  <c r="J1678" i="9"/>
  <c r="AF1678" i="9" s="1"/>
  <c r="D1678" i="9"/>
  <c r="V1677" i="9"/>
  <c r="J1677" i="9"/>
  <c r="D1677" i="9"/>
  <c r="U1676" i="9"/>
  <c r="Q1676" i="9"/>
  <c r="J1676" i="9"/>
  <c r="D1676" i="9"/>
  <c r="AA1676" i="9" s="1"/>
  <c r="AM1675" i="9"/>
  <c r="AN1675" i="9" s="1"/>
  <c r="AK1675" i="9"/>
  <c r="J1675" i="9"/>
  <c r="I1675" i="9" s="1"/>
  <c r="K1675" i="9" s="1"/>
  <c r="AM1674" i="9"/>
  <c r="J1674" i="9"/>
  <c r="AB1674" i="9" s="1"/>
  <c r="D1674" i="9"/>
  <c r="AN1674" i="9" s="1"/>
  <c r="J1673" i="9"/>
  <c r="I1673" i="9" s="1"/>
  <c r="K1673" i="9" s="1"/>
  <c r="D1673" i="9"/>
  <c r="AM1672" i="9"/>
  <c r="AK1672" i="9"/>
  <c r="J1672" i="9"/>
  <c r="I1672" i="9"/>
  <c r="K1672" i="9" s="1"/>
  <c r="D1672" i="9"/>
  <c r="AM1671" i="9"/>
  <c r="J1671" i="9"/>
  <c r="D1671" i="9"/>
  <c r="AM1670" i="9"/>
  <c r="J1670" i="9"/>
  <c r="D1670" i="9"/>
  <c r="AM1669" i="9"/>
  <c r="AL1669" i="9"/>
  <c r="AK1669" i="9"/>
  <c r="J1669" i="9"/>
  <c r="D1669" i="9"/>
  <c r="AM1668" i="9"/>
  <c r="AN1668" i="9" s="1"/>
  <c r="AK1668" i="9"/>
  <c r="J1668" i="9"/>
  <c r="I1668" i="9" s="1"/>
  <c r="K1668" i="9" s="1"/>
  <c r="AF1667" i="9"/>
  <c r="AB1667" i="9"/>
  <c r="R1667" i="9"/>
  <c r="J1667" i="9"/>
  <c r="I1667" i="9"/>
  <c r="D1667" i="9"/>
  <c r="AM1666" i="9"/>
  <c r="AN1666" i="9" s="1"/>
  <c r="AB1666" i="9"/>
  <c r="V1666" i="9"/>
  <c r="J1666" i="9"/>
  <c r="R1666" i="9" s="1"/>
  <c r="I1666" i="9"/>
  <c r="K1666" i="9" s="1"/>
  <c r="L1666" i="9" s="1"/>
  <c r="AF1665" i="9"/>
  <c r="V1665" i="9"/>
  <c r="J1665" i="9"/>
  <c r="AB1665" i="9" s="1"/>
  <c r="D1665" i="9"/>
  <c r="AM1664" i="9"/>
  <c r="AN1664" i="9" s="1"/>
  <c r="AF1664" i="9"/>
  <c r="R1664" i="9"/>
  <c r="J1664" i="9"/>
  <c r="V1664" i="9" s="1"/>
  <c r="D1664" i="9"/>
  <c r="J1663" i="9"/>
  <c r="I1663" i="9"/>
  <c r="D1663" i="9"/>
  <c r="V1662" i="9"/>
  <c r="U1662" i="9"/>
  <c r="J1662" i="9"/>
  <c r="D1662" i="9"/>
  <c r="AA1661" i="9"/>
  <c r="V1661" i="9"/>
  <c r="R1661" i="9"/>
  <c r="J1661" i="9"/>
  <c r="AF1661" i="9" s="1"/>
  <c r="D1661" i="9"/>
  <c r="AE1661" i="9" s="1"/>
  <c r="AA1660" i="9"/>
  <c r="U1660" i="9"/>
  <c r="Q1660" i="9"/>
  <c r="J1660" i="9"/>
  <c r="D1660" i="9"/>
  <c r="AE1660" i="9" s="1"/>
  <c r="AM1659" i="9"/>
  <c r="AN1659" i="9" s="1"/>
  <c r="AF1659" i="9"/>
  <c r="AB1659" i="9"/>
  <c r="J1659" i="9"/>
  <c r="R1659" i="9" s="1"/>
  <c r="D1659" i="9"/>
  <c r="AF1658" i="9"/>
  <c r="AE1658" i="9"/>
  <c r="AA1658" i="9"/>
  <c r="U1658" i="9"/>
  <c r="Q1658" i="9"/>
  <c r="J1658" i="9"/>
  <c r="AF1657" i="9"/>
  <c r="AE1657" i="9"/>
  <c r="AB1657" i="9"/>
  <c r="AA1657" i="9"/>
  <c r="V1657" i="9"/>
  <c r="U1657" i="9"/>
  <c r="R1657" i="9"/>
  <c r="AK1657" i="9" s="1"/>
  <c r="AL1657" i="9" s="1"/>
  <c r="Q1657" i="9"/>
  <c r="AM1657" i="9" s="1"/>
  <c r="AN1657" i="9" s="1"/>
  <c r="K1657" i="9"/>
  <c r="L1657" i="9" s="1"/>
  <c r="J1656" i="9"/>
  <c r="D1656" i="9"/>
  <c r="AM1655" i="9"/>
  <c r="AB1655" i="9"/>
  <c r="V1655" i="9"/>
  <c r="R1655" i="9"/>
  <c r="J1655" i="9"/>
  <c r="D1655" i="9"/>
  <c r="AF1654" i="9"/>
  <c r="AE1654" i="9"/>
  <c r="AB1654" i="9"/>
  <c r="AA1654" i="9"/>
  <c r="V1654" i="9"/>
  <c r="U1654" i="9"/>
  <c r="R1654" i="9"/>
  <c r="Q1654" i="9"/>
  <c r="I1654" i="9"/>
  <c r="K1654" i="9" s="1"/>
  <c r="L1654" i="9" s="1"/>
  <c r="AF1653" i="9"/>
  <c r="AE1653" i="9"/>
  <c r="AB1653" i="9"/>
  <c r="AA1653" i="9"/>
  <c r="V1653" i="9"/>
  <c r="AK1653" i="9" s="1"/>
  <c r="AL1653" i="9" s="1"/>
  <c r="U1653" i="9"/>
  <c r="AM1653" i="9" s="1"/>
  <c r="AN1653" i="9" s="1"/>
  <c r="R1653" i="9"/>
  <c r="Q1653" i="9"/>
  <c r="K1653" i="9"/>
  <c r="L1653" i="9" s="1"/>
  <c r="AM1652" i="9"/>
  <c r="AN1652" i="9" s="1"/>
  <c r="AF1652" i="9"/>
  <c r="AB1652" i="9"/>
  <c r="V1652" i="9"/>
  <c r="R1652" i="9"/>
  <c r="I1652" i="9"/>
  <c r="K1652" i="9" s="1"/>
  <c r="L1652" i="9" s="1"/>
  <c r="AK1651" i="9"/>
  <c r="AL1651" i="9" s="1"/>
  <c r="AF1651" i="9"/>
  <c r="AE1651" i="9"/>
  <c r="AB1651" i="9"/>
  <c r="AA1651" i="9"/>
  <c r="V1651" i="9"/>
  <c r="U1651" i="9"/>
  <c r="R1651" i="9"/>
  <c r="Q1651" i="9"/>
  <c r="K1651" i="9"/>
  <c r="L1651" i="9" s="1"/>
  <c r="I1651" i="9"/>
  <c r="AF1650" i="9"/>
  <c r="AE1650" i="9"/>
  <c r="AB1650" i="9"/>
  <c r="AA1650" i="9"/>
  <c r="V1650" i="9"/>
  <c r="U1650" i="9"/>
  <c r="R1650" i="9"/>
  <c r="Q1650" i="9"/>
  <c r="I1650" i="9"/>
  <c r="K1650" i="9" s="1"/>
  <c r="L1650" i="9" s="1"/>
  <c r="AF1649" i="9"/>
  <c r="AE1649" i="9"/>
  <c r="AB1649" i="9"/>
  <c r="AA1649" i="9"/>
  <c r="V1649" i="9"/>
  <c r="U1649" i="9"/>
  <c r="R1649" i="9"/>
  <c r="Q1649" i="9"/>
  <c r="I1649" i="9"/>
  <c r="K1649" i="9" s="1"/>
  <c r="L1649" i="9" s="1"/>
  <c r="AN1648" i="9"/>
  <c r="AM1648" i="9"/>
  <c r="AF1648" i="9"/>
  <c r="AB1648" i="9"/>
  <c r="V1648" i="9"/>
  <c r="R1648" i="9"/>
  <c r="I1648" i="9"/>
  <c r="K1648" i="9" s="1"/>
  <c r="L1648" i="9" s="1"/>
  <c r="AF1647" i="9"/>
  <c r="AE1647" i="9"/>
  <c r="AB1647" i="9"/>
  <c r="AA1647" i="9"/>
  <c r="V1647" i="9"/>
  <c r="AK1647" i="9" s="1"/>
  <c r="AL1647" i="9" s="1"/>
  <c r="U1647" i="9"/>
  <c r="R1647" i="9"/>
  <c r="Q1647" i="9"/>
  <c r="K1647" i="9"/>
  <c r="L1647" i="9" s="1"/>
  <c r="I1647" i="9"/>
  <c r="AF1646" i="9"/>
  <c r="AE1646" i="9"/>
  <c r="AB1646" i="9"/>
  <c r="AA1646" i="9"/>
  <c r="V1646" i="9"/>
  <c r="U1646" i="9"/>
  <c r="R1646" i="9"/>
  <c r="Q1646" i="9"/>
  <c r="I1646" i="9"/>
  <c r="K1646" i="9" s="1"/>
  <c r="L1646" i="9" s="1"/>
  <c r="AF1645" i="9"/>
  <c r="AE1645" i="9"/>
  <c r="AB1645" i="9"/>
  <c r="AA1645" i="9"/>
  <c r="V1645" i="9"/>
  <c r="U1645" i="9"/>
  <c r="R1645" i="9"/>
  <c r="Q1645" i="9"/>
  <c r="I1645" i="9"/>
  <c r="K1645" i="9" s="1"/>
  <c r="L1645" i="9" s="1"/>
  <c r="AF1644" i="9"/>
  <c r="AE1644" i="9"/>
  <c r="AB1644" i="9"/>
  <c r="AA1644" i="9"/>
  <c r="V1644" i="9"/>
  <c r="U1644" i="9"/>
  <c r="R1644" i="9"/>
  <c r="Q1644" i="9"/>
  <c r="L1644" i="9"/>
  <c r="I1644" i="9"/>
  <c r="K1644" i="9" s="1"/>
  <c r="AN1643" i="9"/>
  <c r="AM1643" i="9"/>
  <c r="AF1643" i="9"/>
  <c r="J1643" i="9"/>
  <c r="D1643" i="9"/>
  <c r="AF1642" i="9"/>
  <c r="AE1642" i="9"/>
  <c r="AB1642" i="9"/>
  <c r="AA1642" i="9"/>
  <c r="V1642" i="9"/>
  <c r="U1642" i="9"/>
  <c r="R1642" i="9"/>
  <c r="Q1642" i="9"/>
  <c r="I1642" i="9"/>
  <c r="K1642" i="9" s="1"/>
  <c r="L1642" i="9" s="1"/>
  <c r="AF1641" i="9"/>
  <c r="AE1641" i="9"/>
  <c r="AB1641" i="9"/>
  <c r="AA1641" i="9"/>
  <c r="V1641" i="9"/>
  <c r="U1641" i="9"/>
  <c r="R1641" i="9"/>
  <c r="Q1641" i="9"/>
  <c r="I1641" i="9"/>
  <c r="K1641" i="9" s="1"/>
  <c r="L1641" i="9" s="1"/>
  <c r="AF1640" i="9"/>
  <c r="AE1640" i="9"/>
  <c r="AB1640" i="9"/>
  <c r="AA1640" i="9"/>
  <c r="V1640" i="9"/>
  <c r="U1640" i="9"/>
  <c r="R1640" i="9"/>
  <c r="Q1640" i="9"/>
  <c r="I1640" i="9"/>
  <c r="K1640" i="9" s="1"/>
  <c r="L1640" i="9" s="1"/>
  <c r="AF1639" i="9"/>
  <c r="AE1639" i="9"/>
  <c r="AB1639" i="9"/>
  <c r="AA1639" i="9"/>
  <c r="V1639" i="9"/>
  <c r="U1639" i="9"/>
  <c r="R1639" i="9"/>
  <c r="Q1639" i="9"/>
  <c r="I1639" i="9"/>
  <c r="K1639" i="9" s="1"/>
  <c r="L1639" i="9" s="1"/>
  <c r="AM1638" i="9"/>
  <c r="AN1638" i="9" s="1"/>
  <c r="AF1638" i="9"/>
  <c r="AB1638" i="9"/>
  <c r="V1638" i="9"/>
  <c r="R1638" i="9"/>
  <c r="I1638" i="9"/>
  <c r="K1638" i="9" s="1"/>
  <c r="L1638" i="9" s="1"/>
  <c r="J1637" i="9"/>
  <c r="D1637" i="9"/>
  <c r="AM1636" i="9"/>
  <c r="J1636" i="9"/>
  <c r="I1636" i="9" s="1"/>
  <c r="D1636" i="9"/>
  <c r="AM1635" i="9"/>
  <c r="AN1635" i="9" s="1"/>
  <c r="AB1635" i="9"/>
  <c r="J1635" i="9"/>
  <c r="I1635" i="9" s="1"/>
  <c r="D1635" i="9"/>
  <c r="AN1629" i="9"/>
  <c r="AM1629" i="9"/>
  <c r="AB1629" i="9"/>
  <c r="V1629" i="9"/>
  <c r="AK1629" i="9" s="1"/>
  <c r="AL1629" i="9" s="1"/>
  <c r="R1629" i="9"/>
  <c r="J1629" i="9"/>
  <c r="AF1629" i="9" s="1"/>
  <c r="D1629" i="9"/>
  <c r="I1629" i="9" s="1"/>
  <c r="K1629" i="9" s="1"/>
  <c r="L1629" i="9" s="1"/>
  <c r="AN1628" i="9"/>
  <c r="AM1628" i="9"/>
  <c r="AL1628" i="9"/>
  <c r="AK1628" i="9"/>
  <c r="J1628" i="9"/>
  <c r="AO1627" i="9" s="1"/>
  <c r="I1628" i="9"/>
  <c r="K1628" i="9" s="1"/>
  <c r="L1628" i="9" s="1"/>
  <c r="D1628" i="9"/>
  <c r="AF1627" i="9"/>
  <c r="AE1627" i="9"/>
  <c r="AB1627" i="9"/>
  <c r="AA1627" i="9"/>
  <c r="AM1627" i="9" s="1"/>
  <c r="AN1627" i="9" s="1"/>
  <c r="V1627" i="9"/>
  <c r="U1627" i="9"/>
  <c r="R1627" i="9"/>
  <c r="Q1627" i="9"/>
  <c r="K1627" i="9"/>
  <c r="L1627" i="9" s="1"/>
  <c r="AF1626" i="9"/>
  <c r="AE1626" i="9"/>
  <c r="AB1626" i="9"/>
  <c r="AA1626" i="9"/>
  <c r="V1626" i="9"/>
  <c r="U1626" i="9"/>
  <c r="R1626" i="9"/>
  <c r="Q1626" i="9"/>
  <c r="AM1626" i="9" s="1"/>
  <c r="AN1626" i="9" s="1"/>
  <c r="K1626" i="9"/>
  <c r="L1626" i="9" s="1"/>
  <c r="AF1625" i="9"/>
  <c r="AE1625" i="9"/>
  <c r="AB1625" i="9"/>
  <c r="AA1625" i="9"/>
  <c r="V1625" i="9"/>
  <c r="U1625" i="9"/>
  <c r="R1625" i="9"/>
  <c r="AK1625" i="9" s="1"/>
  <c r="AL1625" i="9" s="1"/>
  <c r="Q1625" i="9"/>
  <c r="L1625" i="9"/>
  <c r="K1625" i="9"/>
  <c r="AF1624" i="9"/>
  <c r="AE1624" i="9"/>
  <c r="AB1624" i="9"/>
  <c r="AA1624" i="9"/>
  <c r="V1624" i="9"/>
  <c r="U1624" i="9"/>
  <c r="AM1624" i="9" s="1"/>
  <c r="AN1624" i="9" s="1"/>
  <c r="R1624" i="9"/>
  <c r="AK1624" i="9" s="1"/>
  <c r="AL1624" i="9" s="1"/>
  <c r="Q1624" i="9"/>
  <c r="L1624" i="9"/>
  <c r="K1624" i="9"/>
  <c r="AF1623" i="9"/>
  <c r="AE1623" i="9"/>
  <c r="AB1623" i="9"/>
  <c r="AA1623" i="9"/>
  <c r="V1623" i="9"/>
  <c r="U1623" i="9"/>
  <c r="R1623" i="9"/>
  <c r="Q1623" i="9"/>
  <c r="AM1623" i="9" s="1"/>
  <c r="AN1623" i="9" s="1"/>
  <c r="L1623" i="9"/>
  <c r="K1623" i="9"/>
  <c r="AN1622" i="9"/>
  <c r="AM1622" i="9"/>
  <c r="AL1622" i="9"/>
  <c r="AF1622" i="9"/>
  <c r="AB1622" i="9"/>
  <c r="V1622" i="9"/>
  <c r="AK1622" i="9" s="1"/>
  <c r="R1622" i="9"/>
  <c r="I1622" i="9"/>
  <c r="K1622" i="9" s="1"/>
  <c r="L1622" i="9" s="1"/>
  <c r="AM1621" i="9"/>
  <c r="AN1621" i="9" s="1"/>
  <c r="AF1621" i="9"/>
  <c r="AB1621" i="9"/>
  <c r="V1621" i="9"/>
  <c r="R1621" i="9"/>
  <c r="I1621" i="9"/>
  <c r="K1621" i="9" s="1"/>
  <c r="L1621" i="9" s="1"/>
  <c r="AM1620" i="9"/>
  <c r="AN1620" i="9" s="1"/>
  <c r="AF1620" i="9"/>
  <c r="AB1620" i="9"/>
  <c r="V1620" i="9"/>
  <c r="R1620" i="9"/>
  <c r="AK1620" i="9" s="1"/>
  <c r="AL1620" i="9" s="1"/>
  <c r="L1620" i="9"/>
  <c r="I1620" i="9"/>
  <c r="K1620" i="9" s="1"/>
  <c r="AM1619" i="9"/>
  <c r="AN1619" i="9" s="1"/>
  <c r="AF1619" i="9"/>
  <c r="AB1619" i="9"/>
  <c r="V1619" i="9"/>
  <c r="R1619" i="9"/>
  <c r="K1619" i="9"/>
  <c r="L1619" i="9" s="1"/>
  <c r="I1619" i="9"/>
  <c r="AM1618" i="9"/>
  <c r="AN1618" i="9" s="1"/>
  <c r="AK1618" i="9"/>
  <c r="AL1618" i="9" s="1"/>
  <c r="K1618" i="9"/>
  <c r="L1618" i="9" s="1"/>
  <c r="I1618" i="9"/>
  <c r="AM1617" i="9"/>
  <c r="AN1617" i="9" s="1"/>
  <c r="AK1617" i="9"/>
  <c r="AL1617" i="9" s="1"/>
  <c r="I1617" i="9"/>
  <c r="K1617" i="9" s="1"/>
  <c r="L1617" i="9" s="1"/>
  <c r="AN1616" i="9"/>
  <c r="AM1616" i="9"/>
  <c r="AK1616" i="9"/>
  <c r="AL1616" i="9" s="1"/>
  <c r="I1616" i="9"/>
  <c r="K1616" i="9" s="1"/>
  <c r="L1616" i="9" s="1"/>
  <c r="AN1615" i="9"/>
  <c r="AM1615" i="9"/>
  <c r="AK1615" i="9"/>
  <c r="AL1615" i="9" s="1"/>
  <c r="I1615" i="9"/>
  <c r="K1615" i="9" s="1"/>
  <c r="L1615" i="9" s="1"/>
  <c r="AM1614" i="9"/>
  <c r="AN1614" i="9" s="1"/>
  <c r="AK1614" i="9"/>
  <c r="AL1614" i="9" s="1"/>
  <c r="K1614" i="9"/>
  <c r="L1614" i="9" s="1"/>
  <c r="I1614" i="9"/>
  <c r="AM1613" i="9"/>
  <c r="AN1613" i="9" s="1"/>
  <c r="AK1613" i="9"/>
  <c r="AL1613" i="9" s="1"/>
  <c r="K1613" i="9"/>
  <c r="L1613" i="9" s="1"/>
  <c r="I1613" i="9"/>
  <c r="AF1612" i="9"/>
  <c r="AE1612" i="9"/>
  <c r="AB1612" i="9"/>
  <c r="AA1612" i="9"/>
  <c r="V1612" i="9"/>
  <c r="U1612" i="9"/>
  <c r="R1612" i="9"/>
  <c r="Q1612" i="9"/>
  <c r="I1612" i="9"/>
  <c r="K1612" i="9" s="1"/>
  <c r="L1612" i="9" s="1"/>
  <c r="AB1611" i="9"/>
  <c r="AA1611" i="9"/>
  <c r="V1611" i="9"/>
  <c r="U1611" i="9"/>
  <c r="AM1611" i="9" s="1"/>
  <c r="AN1611" i="9" s="1"/>
  <c r="R1611" i="9"/>
  <c r="AK1611" i="9" s="1"/>
  <c r="AL1611" i="9" s="1"/>
  <c r="I1611" i="9"/>
  <c r="K1611" i="9" s="1"/>
  <c r="L1611" i="9" s="1"/>
  <c r="AN1610" i="9"/>
  <c r="AM1610" i="9"/>
  <c r="AK1610" i="9"/>
  <c r="AL1610" i="9" s="1"/>
  <c r="I1610" i="9"/>
  <c r="K1610" i="9" s="1"/>
  <c r="L1610" i="9" s="1"/>
  <c r="AM1609" i="9"/>
  <c r="AN1609" i="9" s="1"/>
  <c r="AL1609" i="9"/>
  <c r="AK1609" i="9"/>
  <c r="I1609" i="9"/>
  <c r="K1609" i="9" s="1"/>
  <c r="L1609" i="9" s="1"/>
  <c r="AM1608" i="9"/>
  <c r="AN1608" i="9" s="1"/>
  <c r="AK1608" i="9"/>
  <c r="AL1608" i="9" s="1"/>
  <c r="K1608" i="9"/>
  <c r="L1608" i="9" s="1"/>
  <c r="I1608" i="9"/>
  <c r="AM1607" i="9"/>
  <c r="AN1607" i="9" s="1"/>
  <c r="AK1607" i="9"/>
  <c r="AL1607" i="9" s="1"/>
  <c r="I1607" i="9"/>
  <c r="K1607" i="9" s="1"/>
  <c r="L1607" i="9" s="1"/>
  <c r="AF1606" i="9"/>
  <c r="AE1606" i="9"/>
  <c r="AB1606" i="9"/>
  <c r="AA1606" i="9"/>
  <c r="V1606" i="9"/>
  <c r="U1606" i="9"/>
  <c r="R1606" i="9"/>
  <c r="Q1606" i="9"/>
  <c r="K1606" i="9"/>
  <c r="L1606" i="9" s="1"/>
  <c r="I1606" i="9"/>
  <c r="AF1605" i="9"/>
  <c r="AE1605" i="9"/>
  <c r="AB1605" i="9"/>
  <c r="AA1605" i="9"/>
  <c r="V1605" i="9"/>
  <c r="U1605" i="9"/>
  <c r="AM1605" i="9" s="1"/>
  <c r="AN1605" i="9" s="1"/>
  <c r="R1605" i="9"/>
  <c r="Q1605" i="9"/>
  <c r="I1605" i="9"/>
  <c r="K1605" i="9" s="1"/>
  <c r="L1605" i="9" s="1"/>
  <c r="AN1604" i="9"/>
  <c r="AM1604" i="9"/>
  <c r="AF1604" i="9"/>
  <c r="AB1604" i="9"/>
  <c r="V1604" i="9"/>
  <c r="R1604" i="9"/>
  <c r="I1604" i="9"/>
  <c r="K1604" i="9" s="1"/>
  <c r="L1604" i="9" s="1"/>
  <c r="AF1603" i="9"/>
  <c r="AE1603" i="9"/>
  <c r="AB1603" i="9"/>
  <c r="AA1603" i="9"/>
  <c r="V1603" i="9"/>
  <c r="U1603" i="9"/>
  <c r="R1603" i="9"/>
  <c r="Q1603" i="9"/>
  <c r="I1603" i="9"/>
  <c r="K1603" i="9" s="1"/>
  <c r="L1603" i="9" s="1"/>
  <c r="AF1602" i="9"/>
  <c r="AE1602" i="9"/>
  <c r="AB1602" i="9"/>
  <c r="AA1602" i="9"/>
  <c r="V1602" i="9"/>
  <c r="U1602" i="9"/>
  <c r="R1602" i="9"/>
  <c r="Q1602" i="9"/>
  <c r="K1602" i="9"/>
  <c r="L1602" i="9" s="1"/>
  <c r="I1602" i="9"/>
  <c r="AM1601" i="9"/>
  <c r="AN1601" i="9" s="1"/>
  <c r="AK1601" i="9"/>
  <c r="AL1601" i="9" s="1"/>
  <c r="L1601" i="9"/>
  <c r="I1601" i="9"/>
  <c r="K1601" i="9" s="1"/>
  <c r="AM1600" i="9"/>
  <c r="AN1600" i="9" s="1"/>
  <c r="AF1600" i="9"/>
  <c r="AB1600" i="9"/>
  <c r="AK1600" i="9" s="1"/>
  <c r="AL1600" i="9" s="1"/>
  <c r="V1600" i="9"/>
  <c r="R1600" i="9"/>
  <c r="I1600" i="9"/>
  <c r="K1600" i="9" s="1"/>
  <c r="L1600" i="9" s="1"/>
  <c r="AM1599" i="9"/>
  <c r="AN1599" i="9" s="1"/>
  <c r="AF1599" i="9"/>
  <c r="AB1599" i="9"/>
  <c r="V1599" i="9"/>
  <c r="AK1599" i="9" s="1"/>
  <c r="AL1599" i="9" s="1"/>
  <c r="R1599" i="9"/>
  <c r="I1599" i="9"/>
  <c r="K1599" i="9" s="1"/>
  <c r="L1599" i="9" s="1"/>
  <c r="AM1598" i="9"/>
  <c r="AN1598" i="9" s="1"/>
  <c r="AF1598" i="9"/>
  <c r="AB1598" i="9"/>
  <c r="AK1598" i="9" s="1"/>
  <c r="AL1598" i="9" s="1"/>
  <c r="V1598" i="9"/>
  <c r="R1598" i="9"/>
  <c r="I1598" i="9"/>
  <c r="K1598" i="9" s="1"/>
  <c r="L1598" i="9" s="1"/>
  <c r="AM1597" i="9"/>
  <c r="AK1597" i="9"/>
  <c r="AL1597" i="9" s="1"/>
  <c r="J1597" i="9"/>
  <c r="D1597" i="9"/>
  <c r="AN1596" i="9"/>
  <c r="AM1596" i="9"/>
  <c r="AF1596" i="9"/>
  <c r="AB1596" i="9"/>
  <c r="V1596" i="9"/>
  <c r="R1596" i="9"/>
  <c r="L1596" i="9"/>
  <c r="K1596" i="9"/>
  <c r="I1596" i="9"/>
  <c r="AF1595" i="9"/>
  <c r="AE1595" i="9"/>
  <c r="AB1595" i="9"/>
  <c r="AA1595" i="9"/>
  <c r="V1595" i="9"/>
  <c r="U1595" i="9"/>
  <c r="R1595" i="9"/>
  <c r="Q1595" i="9"/>
  <c r="I1595" i="9"/>
  <c r="K1595" i="9" s="1"/>
  <c r="L1595" i="9" s="1"/>
  <c r="AM1594" i="9"/>
  <c r="AN1594" i="9" s="1"/>
  <c r="AL1594" i="9"/>
  <c r="AK1594" i="9"/>
  <c r="I1594" i="9"/>
  <c r="K1594" i="9" s="1"/>
  <c r="L1594" i="9" s="1"/>
  <c r="AM1593" i="9"/>
  <c r="AN1593" i="9" s="1"/>
  <c r="AK1593" i="9"/>
  <c r="AL1593" i="9" s="1"/>
  <c r="I1593" i="9"/>
  <c r="K1593" i="9" s="1"/>
  <c r="L1593" i="9" s="1"/>
  <c r="AN1592" i="9"/>
  <c r="AM1592" i="9"/>
  <c r="AK1592" i="9"/>
  <c r="AL1592" i="9" s="1"/>
  <c r="I1592" i="9"/>
  <c r="K1592" i="9" s="1"/>
  <c r="L1592" i="9" s="1"/>
  <c r="AM1591" i="9"/>
  <c r="AN1591" i="9" s="1"/>
  <c r="AL1591" i="9"/>
  <c r="AK1591" i="9"/>
  <c r="K1591" i="9"/>
  <c r="L1591" i="9" s="1"/>
  <c r="I1591" i="9"/>
  <c r="AM1590" i="9"/>
  <c r="AN1590" i="9" s="1"/>
  <c r="AK1590" i="9"/>
  <c r="AL1590" i="9" s="1"/>
  <c r="I1590" i="9"/>
  <c r="K1590" i="9" s="1"/>
  <c r="L1590" i="9" s="1"/>
  <c r="AM1589" i="9"/>
  <c r="AN1589" i="9" s="1"/>
  <c r="AF1589" i="9"/>
  <c r="AB1589" i="9"/>
  <c r="V1589" i="9"/>
  <c r="R1589" i="9"/>
  <c r="I1589" i="9"/>
  <c r="K1589" i="9" s="1"/>
  <c r="L1589" i="9" s="1"/>
  <c r="AN1588" i="9"/>
  <c r="AM1588" i="9"/>
  <c r="AF1588" i="9"/>
  <c r="AB1588" i="9"/>
  <c r="V1588" i="9"/>
  <c r="R1588" i="9"/>
  <c r="I1588" i="9"/>
  <c r="K1588" i="9" s="1"/>
  <c r="L1588" i="9" s="1"/>
  <c r="AM1587" i="9"/>
  <c r="AN1587" i="9" s="1"/>
  <c r="AF1587" i="9"/>
  <c r="AB1587" i="9"/>
  <c r="V1587" i="9"/>
  <c r="R1587" i="9"/>
  <c r="K1587" i="9"/>
  <c r="L1587" i="9" s="1"/>
  <c r="I1587" i="9"/>
  <c r="AM1586" i="9"/>
  <c r="AN1586" i="9" s="1"/>
  <c r="AK1586" i="9"/>
  <c r="AL1586" i="9" s="1"/>
  <c r="I1586" i="9"/>
  <c r="K1586" i="9" s="1"/>
  <c r="L1586" i="9" s="1"/>
  <c r="AN1584" i="9"/>
  <c r="AM1584" i="9"/>
  <c r="AF1584" i="9"/>
  <c r="AB1584" i="9"/>
  <c r="V1584" i="9"/>
  <c r="R1584" i="9"/>
  <c r="I1584" i="9"/>
  <c r="K1584" i="9" s="1"/>
  <c r="L1584" i="9" s="1"/>
  <c r="AM1583" i="9"/>
  <c r="AN1583" i="9" s="1"/>
  <c r="AF1583" i="9"/>
  <c r="AB1583" i="9"/>
  <c r="V1583" i="9"/>
  <c r="R1583" i="9"/>
  <c r="I1583" i="9"/>
  <c r="K1583" i="9" s="1"/>
  <c r="L1583" i="9" s="1"/>
  <c r="AM1582" i="9"/>
  <c r="AN1582" i="9" s="1"/>
  <c r="AF1582" i="9"/>
  <c r="AB1582" i="9"/>
  <c r="V1582" i="9"/>
  <c r="R1582" i="9"/>
  <c r="I1582" i="9"/>
  <c r="K1582" i="9" s="1"/>
  <c r="L1582" i="9" s="1"/>
  <c r="AN1581" i="9"/>
  <c r="AM1581" i="9"/>
  <c r="AF1581" i="9"/>
  <c r="AB1581" i="9"/>
  <c r="V1581" i="9"/>
  <c r="R1581" i="9"/>
  <c r="I1581" i="9"/>
  <c r="K1581" i="9" s="1"/>
  <c r="L1581" i="9" s="1"/>
  <c r="AM1580" i="9"/>
  <c r="AN1580" i="9" s="1"/>
  <c r="AF1580" i="9"/>
  <c r="AB1580" i="9"/>
  <c r="V1580" i="9"/>
  <c r="R1580" i="9"/>
  <c r="I1580" i="9"/>
  <c r="K1580" i="9" s="1"/>
  <c r="L1580" i="9" s="1"/>
  <c r="AM1579" i="9"/>
  <c r="AN1579" i="9" s="1"/>
  <c r="AF1579" i="9"/>
  <c r="AB1579" i="9"/>
  <c r="V1579" i="9"/>
  <c r="R1579" i="9"/>
  <c r="K1579" i="9"/>
  <c r="L1579" i="9" s="1"/>
  <c r="I1579" i="9"/>
  <c r="AM1578" i="9"/>
  <c r="AN1578" i="9" s="1"/>
  <c r="AF1578" i="9"/>
  <c r="AB1578" i="9"/>
  <c r="V1578" i="9"/>
  <c r="R1578" i="9"/>
  <c r="K1578" i="9"/>
  <c r="L1578" i="9" s="1"/>
  <c r="I1578" i="9"/>
  <c r="AM1577" i="9"/>
  <c r="AN1577" i="9" s="1"/>
  <c r="AF1577" i="9"/>
  <c r="AB1577" i="9"/>
  <c r="V1577" i="9"/>
  <c r="R1577" i="9"/>
  <c r="I1577" i="9"/>
  <c r="K1577" i="9" s="1"/>
  <c r="L1577" i="9" s="1"/>
  <c r="AN1576" i="9"/>
  <c r="AM1576" i="9"/>
  <c r="AF1576" i="9"/>
  <c r="AB1576" i="9"/>
  <c r="V1576" i="9"/>
  <c r="R1576" i="9"/>
  <c r="I1576" i="9"/>
  <c r="K1576" i="9" s="1"/>
  <c r="L1576" i="9" s="1"/>
  <c r="AF1575" i="9"/>
  <c r="AE1575" i="9"/>
  <c r="AB1575" i="9"/>
  <c r="AA1575" i="9"/>
  <c r="V1575" i="9"/>
  <c r="U1575" i="9"/>
  <c r="R1575" i="9"/>
  <c r="Q1575" i="9"/>
  <c r="K1575" i="9"/>
  <c r="L1575" i="9" s="1"/>
  <c r="I1575" i="9"/>
  <c r="AN1574" i="9"/>
  <c r="AM1574" i="9"/>
  <c r="AK1574" i="9"/>
  <c r="AL1574" i="9" s="1"/>
  <c r="K1574" i="9"/>
  <c r="L1574" i="9" s="1"/>
  <c r="I1574" i="9"/>
  <c r="AM1573" i="9"/>
  <c r="AN1573" i="9" s="1"/>
  <c r="AF1573" i="9"/>
  <c r="AB1573" i="9"/>
  <c r="V1573" i="9"/>
  <c r="AK1573" i="9" s="1"/>
  <c r="AL1573" i="9" s="1"/>
  <c r="R1573" i="9"/>
  <c r="I1573" i="9"/>
  <c r="K1573" i="9" s="1"/>
  <c r="L1573" i="9" s="1"/>
  <c r="AM1572" i="9"/>
  <c r="AN1572" i="9" s="1"/>
  <c r="AF1572" i="9"/>
  <c r="AB1572" i="9"/>
  <c r="V1572" i="9"/>
  <c r="R1572" i="9"/>
  <c r="K1572" i="9"/>
  <c r="L1572" i="9" s="1"/>
  <c r="I1572" i="9"/>
  <c r="AM1571" i="9"/>
  <c r="AN1571" i="9" s="1"/>
  <c r="AF1571" i="9"/>
  <c r="AB1571" i="9"/>
  <c r="AK1571" i="9" s="1"/>
  <c r="AL1571" i="9" s="1"/>
  <c r="V1571" i="9"/>
  <c r="R1571" i="9"/>
  <c r="I1571" i="9"/>
  <c r="K1571" i="9" s="1"/>
  <c r="L1571" i="9" s="1"/>
  <c r="AM1570" i="9"/>
  <c r="AN1570" i="9" s="1"/>
  <c r="AK1570" i="9"/>
  <c r="AL1570" i="9" s="1"/>
  <c r="K1570" i="9"/>
  <c r="L1570" i="9" s="1"/>
  <c r="I1570" i="9"/>
  <c r="AF1569" i="9"/>
  <c r="AE1569" i="9"/>
  <c r="AB1569" i="9"/>
  <c r="AA1569" i="9"/>
  <c r="V1569" i="9"/>
  <c r="U1569" i="9"/>
  <c r="R1569" i="9"/>
  <c r="Q1569" i="9"/>
  <c r="K1569" i="9"/>
  <c r="L1569" i="9" s="1"/>
  <c r="I1569" i="9"/>
  <c r="AN1568" i="9"/>
  <c r="AM1568" i="9"/>
  <c r="AF1568" i="9"/>
  <c r="AB1568" i="9"/>
  <c r="V1568" i="9"/>
  <c r="R1568" i="9"/>
  <c r="I1568" i="9"/>
  <c r="K1568" i="9" s="1"/>
  <c r="L1568" i="9" s="1"/>
  <c r="AF1567" i="9"/>
  <c r="AE1567" i="9"/>
  <c r="AB1567" i="9"/>
  <c r="AA1567" i="9"/>
  <c r="V1567" i="9"/>
  <c r="U1567" i="9"/>
  <c r="R1567" i="9"/>
  <c r="Q1567" i="9"/>
  <c r="K1567" i="9"/>
  <c r="L1567" i="9" s="1"/>
  <c r="I1567" i="9"/>
  <c r="AM1566" i="9"/>
  <c r="AN1566" i="9" s="1"/>
  <c r="AK1566" i="9"/>
  <c r="AL1566" i="9" s="1"/>
  <c r="I1566" i="9"/>
  <c r="K1566" i="9" s="1"/>
  <c r="L1566" i="9" s="1"/>
  <c r="AM1565" i="9"/>
  <c r="AN1565" i="9" s="1"/>
  <c r="AK1565" i="9"/>
  <c r="AL1565" i="9" s="1"/>
  <c r="I1565" i="9"/>
  <c r="K1565" i="9" s="1"/>
  <c r="L1565" i="9" s="1"/>
  <c r="AN1564" i="9"/>
  <c r="AM1564" i="9"/>
  <c r="AF1564" i="9"/>
  <c r="AB1564" i="9"/>
  <c r="V1564" i="9"/>
  <c r="R1564" i="9"/>
  <c r="I1564" i="9"/>
  <c r="K1564" i="9" s="1"/>
  <c r="L1564" i="9" s="1"/>
  <c r="AF1563" i="9"/>
  <c r="AE1563" i="9"/>
  <c r="AB1563" i="9"/>
  <c r="AA1563" i="9"/>
  <c r="V1563" i="9"/>
  <c r="U1563" i="9"/>
  <c r="R1563" i="9"/>
  <c r="Q1563" i="9"/>
  <c r="I1563" i="9"/>
  <c r="K1563" i="9" s="1"/>
  <c r="L1563" i="9" s="1"/>
  <c r="AN1562" i="9"/>
  <c r="AM1562" i="9"/>
  <c r="AF1562" i="9"/>
  <c r="AB1562" i="9"/>
  <c r="V1562" i="9"/>
  <c r="R1562" i="9"/>
  <c r="K1562" i="9"/>
  <c r="L1562" i="9" s="1"/>
  <c r="I1562" i="9"/>
  <c r="AM1561" i="9"/>
  <c r="AN1561" i="9" s="1"/>
  <c r="AK1561" i="9"/>
  <c r="AL1561" i="9" s="1"/>
  <c r="I1561" i="9"/>
  <c r="K1561" i="9" s="1"/>
  <c r="L1561" i="9" s="1"/>
  <c r="AM1560" i="9"/>
  <c r="AN1560" i="9" s="1"/>
  <c r="AK1560" i="9"/>
  <c r="AL1560" i="9" s="1"/>
  <c r="L1560" i="9"/>
  <c r="I1560" i="9"/>
  <c r="K1560" i="9" s="1"/>
  <c r="AM1559" i="9"/>
  <c r="AN1559" i="9" s="1"/>
  <c r="AK1559" i="9"/>
  <c r="AL1559" i="9" s="1"/>
  <c r="I1559" i="9"/>
  <c r="K1559" i="9" s="1"/>
  <c r="L1559" i="9" s="1"/>
  <c r="AM1558" i="9"/>
  <c r="AN1558" i="9" s="1"/>
  <c r="AK1558" i="9"/>
  <c r="AL1558" i="9" s="1"/>
  <c r="I1558" i="9"/>
  <c r="K1558" i="9" s="1"/>
  <c r="L1558" i="9" s="1"/>
  <c r="AM1557" i="9"/>
  <c r="AN1557" i="9" s="1"/>
  <c r="AK1557" i="9"/>
  <c r="AL1557" i="9" s="1"/>
  <c r="L1557" i="9"/>
  <c r="K1557" i="9"/>
  <c r="I1557" i="9"/>
  <c r="AM1556" i="9"/>
  <c r="AN1556" i="9" s="1"/>
  <c r="AL1556" i="9"/>
  <c r="AK1556" i="9"/>
  <c r="I1556" i="9"/>
  <c r="K1556" i="9" s="1"/>
  <c r="L1556" i="9" s="1"/>
  <c r="AM1555" i="9"/>
  <c r="AN1555" i="9" s="1"/>
  <c r="AL1555" i="9"/>
  <c r="AK1555" i="9"/>
  <c r="K1555" i="9"/>
  <c r="L1555" i="9" s="1"/>
  <c r="I1555" i="9"/>
  <c r="AF1554" i="9"/>
  <c r="AE1554" i="9"/>
  <c r="AB1554" i="9"/>
  <c r="AA1554" i="9"/>
  <c r="V1554" i="9"/>
  <c r="U1554" i="9"/>
  <c r="R1554" i="9"/>
  <c r="Q1554" i="9"/>
  <c r="I1554" i="9"/>
  <c r="K1554" i="9" s="1"/>
  <c r="L1554" i="9" s="1"/>
  <c r="AM1553" i="9"/>
  <c r="AN1553" i="9" s="1"/>
  <c r="AF1553" i="9"/>
  <c r="AB1553" i="9"/>
  <c r="V1553" i="9"/>
  <c r="R1553" i="9"/>
  <c r="I1553" i="9"/>
  <c r="K1553" i="9" s="1"/>
  <c r="L1553" i="9" s="1"/>
  <c r="AN1552" i="9"/>
  <c r="AM1552" i="9"/>
  <c r="AF1552" i="9"/>
  <c r="AB1552" i="9"/>
  <c r="V1552" i="9"/>
  <c r="R1552" i="9"/>
  <c r="I1552" i="9"/>
  <c r="K1552" i="9" s="1"/>
  <c r="L1552" i="9" s="1"/>
  <c r="AM1551" i="9"/>
  <c r="AN1551" i="9" s="1"/>
  <c r="AF1551" i="9"/>
  <c r="AB1551" i="9"/>
  <c r="V1551" i="9"/>
  <c r="R1551" i="9"/>
  <c r="I1551" i="9"/>
  <c r="K1551" i="9" s="1"/>
  <c r="L1551" i="9" s="1"/>
  <c r="AN1550" i="9"/>
  <c r="AM1550" i="9"/>
  <c r="AF1550" i="9"/>
  <c r="AB1550" i="9"/>
  <c r="V1550" i="9"/>
  <c r="R1550" i="9"/>
  <c r="K1550" i="9"/>
  <c r="L1550" i="9" s="1"/>
  <c r="I1550" i="9"/>
  <c r="AM1549" i="9"/>
  <c r="AN1549" i="9" s="1"/>
  <c r="AF1549" i="9"/>
  <c r="AB1549" i="9"/>
  <c r="V1549" i="9"/>
  <c r="R1549" i="9"/>
  <c r="I1549" i="9"/>
  <c r="K1549" i="9" s="1"/>
  <c r="L1549" i="9" s="1"/>
  <c r="AM1548" i="9"/>
  <c r="AN1548" i="9" s="1"/>
  <c r="AK1548" i="9"/>
  <c r="AL1548" i="9" s="1"/>
  <c r="I1548" i="9"/>
  <c r="K1548" i="9" s="1"/>
  <c r="L1548" i="9" s="1"/>
  <c r="AF1547" i="9"/>
  <c r="AE1547" i="9"/>
  <c r="AB1547" i="9"/>
  <c r="AA1547" i="9"/>
  <c r="V1547" i="9"/>
  <c r="U1547" i="9"/>
  <c r="R1547" i="9"/>
  <c r="Q1547" i="9"/>
  <c r="K1547" i="9"/>
  <c r="L1547" i="9" s="1"/>
  <c r="I1547" i="9"/>
  <c r="AF1546" i="9"/>
  <c r="AE1546" i="9"/>
  <c r="AM1546" i="9" s="1"/>
  <c r="AN1546" i="9" s="1"/>
  <c r="AB1546" i="9"/>
  <c r="AA1546" i="9"/>
  <c r="V1546" i="9"/>
  <c r="U1546" i="9"/>
  <c r="R1546" i="9"/>
  <c r="AK1546" i="9" s="1"/>
  <c r="AL1546" i="9" s="1"/>
  <c r="Q1546" i="9"/>
  <c r="K1546" i="9"/>
  <c r="L1546" i="9" s="1"/>
  <c r="I1546" i="9"/>
  <c r="AF1545" i="9"/>
  <c r="AE1545" i="9"/>
  <c r="AB1545" i="9"/>
  <c r="AA1545" i="9"/>
  <c r="V1545" i="9"/>
  <c r="U1545" i="9"/>
  <c r="R1545" i="9"/>
  <c r="AK1545" i="9" s="1"/>
  <c r="AL1545" i="9" s="1"/>
  <c r="Q1545" i="9"/>
  <c r="I1545" i="9"/>
  <c r="K1545" i="9" s="1"/>
  <c r="L1545" i="9" s="1"/>
  <c r="AM1544" i="9"/>
  <c r="AN1544" i="9" s="1"/>
  <c r="AF1544" i="9"/>
  <c r="R1544" i="9"/>
  <c r="J1544" i="9"/>
  <c r="I1544" i="9" s="1"/>
  <c r="K1544" i="9" s="1"/>
  <c r="L1544" i="9" s="1"/>
  <c r="AM1543" i="9"/>
  <c r="AN1543" i="9" s="1"/>
  <c r="AF1543" i="9"/>
  <c r="AB1543" i="9"/>
  <c r="V1543" i="9"/>
  <c r="R1543" i="9"/>
  <c r="L1543" i="9"/>
  <c r="K1543" i="9"/>
  <c r="I1543" i="9"/>
  <c r="AM1542" i="9"/>
  <c r="AN1542" i="9" s="1"/>
  <c r="AF1542" i="9"/>
  <c r="AB1542" i="9"/>
  <c r="V1542" i="9"/>
  <c r="R1542" i="9"/>
  <c r="K1542" i="9"/>
  <c r="L1542" i="9" s="1"/>
  <c r="I1542" i="9"/>
  <c r="AM1541" i="9"/>
  <c r="AN1541" i="9" s="1"/>
  <c r="AF1541" i="9"/>
  <c r="AB1541" i="9"/>
  <c r="V1541" i="9"/>
  <c r="R1541" i="9"/>
  <c r="I1541" i="9"/>
  <c r="K1541" i="9" s="1"/>
  <c r="L1541" i="9" s="1"/>
  <c r="AM1540" i="9"/>
  <c r="AN1540" i="9" s="1"/>
  <c r="AF1540" i="9"/>
  <c r="AB1540" i="9"/>
  <c r="V1540" i="9"/>
  <c r="R1540" i="9"/>
  <c r="K1540" i="9"/>
  <c r="L1540" i="9" s="1"/>
  <c r="I1540" i="9"/>
  <c r="AN1539" i="9"/>
  <c r="AM1539" i="9"/>
  <c r="AF1539" i="9"/>
  <c r="AK1539" i="9" s="1"/>
  <c r="AL1539" i="9" s="1"/>
  <c r="AB1539" i="9"/>
  <c r="V1539" i="9"/>
  <c r="R1539" i="9"/>
  <c r="K1539" i="9"/>
  <c r="L1539" i="9" s="1"/>
  <c r="I1539" i="9"/>
  <c r="AM1538" i="9"/>
  <c r="AN1538" i="9" s="1"/>
  <c r="AF1538" i="9"/>
  <c r="AB1538" i="9"/>
  <c r="V1538" i="9"/>
  <c r="R1538" i="9"/>
  <c r="K1538" i="9"/>
  <c r="L1538" i="9" s="1"/>
  <c r="I1538" i="9"/>
  <c r="AM1537" i="9"/>
  <c r="AN1537" i="9" s="1"/>
  <c r="AF1537" i="9"/>
  <c r="AB1537" i="9"/>
  <c r="V1537" i="9"/>
  <c r="R1537" i="9"/>
  <c r="I1537" i="9"/>
  <c r="K1537" i="9" s="1"/>
  <c r="L1537" i="9" s="1"/>
  <c r="AM1536" i="9"/>
  <c r="AN1536" i="9" s="1"/>
  <c r="AF1536" i="9"/>
  <c r="AB1536" i="9"/>
  <c r="V1536" i="9"/>
  <c r="R1536" i="9"/>
  <c r="I1536" i="9"/>
  <c r="K1536" i="9" s="1"/>
  <c r="L1536" i="9" s="1"/>
  <c r="AM1535" i="9"/>
  <c r="AN1535" i="9" s="1"/>
  <c r="AF1535" i="9"/>
  <c r="AB1535" i="9"/>
  <c r="V1535" i="9"/>
  <c r="R1535" i="9"/>
  <c r="AK1535" i="9" s="1"/>
  <c r="AL1535" i="9" s="1"/>
  <c r="I1535" i="9"/>
  <c r="K1535" i="9" s="1"/>
  <c r="L1535" i="9" s="1"/>
  <c r="AN1534" i="9"/>
  <c r="AM1534" i="9"/>
  <c r="AF1534" i="9"/>
  <c r="AB1534" i="9"/>
  <c r="V1534" i="9"/>
  <c r="R1534" i="9"/>
  <c r="I1534" i="9"/>
  <c r="K1534" i="9" s="1"/>
  <c r="L1534" i="9" s="1"/>
  <c r="AN1533" i="9"/>
  <c r="AM1533" i="9"/>
  <c r="AF1533" i="9"/>
  <c r="AB1533" i="9"/>
  <c r="AK1533" i="9" s="1"/>
  <c r="AL1533" i="9" s="1"/>
  <c r="V1533" i="9"/>
  <c r="R1533" i="9"/>
  <c r="K1533" i="9"/>
  <c r="L1533" i="9" s="1"/>
  <c r="I1533" i="9"/>
  <c r="AM1532" i="9"/>
  <c r="AN1532" i="9" s="1"/>
  <c r="AF1532" i="9"/>
  <c r="AB1532" i="9"/>
  <c r="V1532" i="9"/>
  <c r="R1532" i="9"/>
  <c r="I1532" i="9"/>
  <c r="K1532" i="9" s="1"/>
  <c r="L1532" i="9" s="1"/>
  <c r="AF1531" i="9"/>
  <c r="AE1531" i="9"/>
  <c r="AB1531" i="9"/>
  <c r="AA1531" i="9"/>
  <c r="V1531" i="9"/>
  <c r="U1531" i="9"/>
  <c r="R1531" i="9"/>
  <c r="Q1531" i="9"/>
  <c r="I1531" i="9"/>
  <c r="K1531" i="9" s="1"/>
  <c r="L1531" i="9" s="1"/>
  <c r="AN1530" i="9"/>
  <c r="AM1530" i="9"/>
  <c r="AF1530" i="9"/>
  <c r="AB1530" i="9"/>
  <c r="V1530" i="9"/>
  <c r="R1530" i="9"/>
  <c r="I1530" i="9"/>
  <c r="K1530" i="9" s="1"/>
  <c r="L1530" i="9" s="1"/>
  <c r="AM1529" i="9"/>
  <c r="AN1529" i="9" s="1"/>
  <c r="AF1529" i="9"/>
  <c r="AB1529" i="9"/>
  <c r="V1529" i="9"/>
  <c r="R1529" i="9"/>
  <c r="I1529" i="9"/>
  <c r="K1529" i="9" s="1"/>
  <c r="L1529" i="9" s="1"/>
  <c r="AM1528" i="9"/>
  <c r="AN1528" i="9" s="1"/>
  <c r="AF1528" i="9"/>
  <c r="AB1528" i="9"/>
  <c r="V1528" i="9"/>
  <c r="R1528" i="9"/>
  <c r="AK1528" i="9" s="1"/>
  <c r="AL1528" i="9" s="1"/>
  <c r="I1528" i="9"/>
  <c r="K1528" i="9" s="1"/>
  <c r="L1528" i="9" s="1"/>
  <c r="AN1527" i="9"/>
  <c r="AM1527" i="9"/>
  <c r="AF1527" i="9"/>
  <c r="AB1527" i="9"/>
  <c r="V1527" i="9"/>
  <c r="R1527" i="9"/>
  <c r="K1527" i="9"/>
  <c r="L1527" i="9" s="1"/>
  <c r="I1527" i="9"/>
  <c r="AM1526" i="9"/>
  <c r="AN1526" i="9" s="1"/>
  <c r="AF1526" i="9"/>
  <c r="AB1526" i="9"/>
  <c r="V1526" i="9"/>
  <c r="R1526" i="9"/>
  <c r="I1526" i="9"/>
  <c r="K1526" i="9" s="1"/>
  <c r="L1526" i="9" s="1"/>
  <c r="AM1525" i="9"/>
  <c r="AN1525" i="9" s="1"/>
  <c r="AF1525" i="9"/>
  <c r="AB1525" i="9"/>
  <c r="V1525" i="9"/>
  <c r="R1525" i="9"/>
  <c r="I1525" i="9"/>
  <c r="K1525" i="9" s="1"/>
  <c r="L1525" i="9" s="1"/>
  <c r="AM1524" i="9"/>
  <c r="AN1524" i="9" s="1"/>
  <c r="AF1524" i="9"/>
  <c r="AB1524" i="9"/>
  <c r="V1524" i="9"/>
  <c r="R1524" i="9"/>
  <c r="AK1524" i="9" s="1"/>
  <c r="AL1524" i="9" s="1"/>
  <c r="I1524" i="9"/>
  <c r="K1524" i="9" s="1"/>
  <c r="L1524" i="9" s="1"/>
  <c r="AN1523" i="9"/>
  <c r="AM1523" i="9"/>
  <c r="AF1523" i="9"/>
  <c r="AB1523" i="9"/>
  <c r="V1523" i="9"/>
  <c r="R1523" i="9"/>
  <c r="I1523" i="9"/>
  <c r="K1523" i="9" s="1"/>
  <c r="L1523" i="9" s="1"/>
  <c r="AN1522" i="9"/>
  <c r="AM1522" i="9"/>
  <c r="AF1522" i="9"/>
  <c r="AB1522" i="9"/>
  <c r="V1522" i="9"/>
  <c r="R1522" i="9"/>
  <c r="I1522" i="9"/>
  <c r="K1522" i="9" s="1"/>
  <c r="L1522" i="9" s="1"/>
  <c r="AM1521" i="9"/>
  <c r="AN1521" i="9" s="1"/>
  <c r="AK1521" i="9"/>
  <c r="AL1521" i="9" s="1"/>
  <c r="AF1521" i="9"/>
  <c r="AB1521" i="9"/>
  <c r="V1521" i="9"/>
  <c r="R1521" i="9"/>
  <c r="I1521" i="9"/>
  <c r="K1521" i="9" s="1"/>
  <c r="L1521" i="9" s="1"/>
  <c r="AM1520" i="9"/>
  <c r="AN1520" i="9" s="1"/>
  <c r="AF1520" i="9"/>
  <c r="AB1520" i="9"/>
  <c r="V1520" i="9"/>
  <c r="R1520" i="9"/>
  <c r="AK1520" i="9" s="1"/>
  <c r="AL1520" i="9" s="1"/>
  <c r="I1520" i="9"/>
  <c r="K1520" i="9" s="1"/>
  <c r="L1520" i="9" s="1"/>
  <c r="AM1519" i="9"/>
  <c r="AN1519" i="9" s="1"/>
  <c r="AF1519" i="9"/>
  <c r="AB1519" i="9"/>
  <c r="V1519" i="9"/>
  <c r="R1519" i="9"/>
  <c r="AK1519" i="9" s="1"/>
  <c r="AL1519" i="9" s="1"/>
  <c r="I1519" i="9"/>
  <c r="K1519" i="9" s="1"/>
  <c r="L1519" i="9" s="1"/>
  <c r="AM1518" i="9"/>
  <c r="AN1518" i="9" s="1"/>
  <c r="AF1518" i="9"/>
  <c r="AB1518" i="9"/>
  <c r="V1518" i="9"/>
  <c r="R1518" i="9"/>
  <c r="K1518" i="9"/>
  <c r="L1518" i="9" s="1"/>
  <c r="I1518" i="9"/>
  <c r="AM1517" i="9"/>
  <c r="AN1517" i="9" s="1"/>
  <c r="AF1517" i="9"/>
  <c r="AB1517" i="9"/>
  <c r="V1517" i="9"/>
  <c r="R1517" i="9"/>
  <c r="I1517" i="9"/>
  <c r="K1517" i="9" s="1"/>
  <c r="L1517" i="9" s="1"/>
  <c r="AM1516" i="9"/>
  <c r="AN1516" i="9" s="1"/>
  <c r="AF1516" i="9"/>
  <c r="AB1516" i="9"/>
  <c r="V1516" i="9"/>
  <c r="R1516" i="9"/>
  <c r="I1516" i="9"/>
  <c r="K1516" i="9" s="1"/>
  <c r="L1516" i="9" s="1"/>
  <c r="AN1515" i="9"/>
  <c r="AM1515" i="9"/>
  <c r="AF1515" i="9"/>
  <c r="AB1515" i="9"/>
  <c r="V1515" i="9"/>
  <c r="R1515" i="9"/>
  <c r="I1515" i="9"/>
  <c r="K1515" i="9" s="1"/>
  <c r="L1515" i="9" s="1"/>
  <c r="AM1514" i="9"/>
  <c r="AN1514" i="9" s="1"/>
  <c r="AF1514" i="9"/>
  <c r="AB1514" i="9"/>
  <c r="V1514" i="9"/>
  <c r="R1514" i="9"/>
  <c r="I1514" i="9"/>
  <c r="K1514" i="9" s="1"/>
  <c r="L1514" i="9" s="1"/>
  <c r="AF1513" i="9"/>
  <c r="AE1513" i="9"/>
  <c r="AB1513" i="9"/>
  <c r="AA1513" i="9"/>
  <c r="V1513" i="9"/>
  <c r="U1513" i="9"/>
  <c r="R1513" i="9"/>
  <c r="Q1513" i="9"/>
  <c r="K1513" i="9"/>
  <c r="L1513" i="9" s="1"/>
  <c r="I1513" i="9"/>
  <c r="AM1512" i="9"/>
  <c r="AN1512" i="9" s="1"/>
  <c r="AF1512" i="9"/>
  <c r="AB1512" i="9"/>
  <c r="V1512" i="9"/>
  <c r="AK1512" i="9" s="1"/>
  <c r="AL1512" i="9" s="1"/>
  <c r="R1512" i="9"/>
  <c r="I1512" i="9"/>
  <c r="K1512" i="9" s="1"/>
  <c r="L1512" i="9" s="1"/>
  <c r="AF1511" i="9"/>
  <c r="AE1511" i="9"/>
  <c r="AB1511" i="9"/>
  <c r="AA1511" i="9"/>
  <c r="V1511" i="9"/>
  <c r="U1511" i="9"/>
  <c r="R1511" i="9"/>
  <c r="Q1511" i="9"/>
  <c r="I1511" i="9"/>
  <c r="K1511" i="9" s="1"/>
  <c r="L1511" i="9" s="1"/>
  <c r="AM1510" i="9"/>
  <c r="AN1510" i="9" s="1"/>
  <c r="AF1510" i="9"/>
  <c r="AB1510" i="9"/>
  <c r="V1510" i="9"/>
  <c r="R1510" i="9"/>
  <c r="I1510" i="9"/>
  <c r="K1510" i="9" s="1"/>
  <c r="L1510" i="9" s="1"/>
  <c r="AF1509" i="9"/>
  <c r="AE1509" i="9"/>
  <c r="AB1509" i="9"/>
  <c r="AA1509" i="9"/>
  <c r="AM1509" i="9" s="1"/>
  <c r="AN1509" i="9" s="1"/>
  <c r="V1509" i="9"/>
  <c r="U1509" i="9"/>
  <c r="R1509" i="9"/>
  <c r="Q1509" i="9"/>
  <c r="I1509" i="9"/>
  <c r="K1509" i="9" s="1"/>
  <c r="L1509" i="9" s="1"/>
  <c r="AF1508" i="9"/>
  <c r="AK1508" i="9" s="1"/>
  <c r="AL1508" i="9" s="1"/>
  <c r="AE1508" i="9"/>
  <c r="AB1508" i="9"/>
  <c r="AA1508" i="9"/>
  <c r="V1508" i="9"/>
  <c r="U1508" i="9"/>
  <c r="R1508" i="9"/>
  <c r="Q1508" i="9"/>
  <c r="I1508" i="9"/>
  <c r="K1508" i="9" s="1"/>
  <c r="L1508" i="9" s="1"/>
  <c r="AF1507" i="9"/>
  <c r="AE1507" i="9"/>
  <c r="AB1507" i="9"/>
  <c r="AA1507" i="9"/>
  <c r="V1507" i="9"/>
  <c r="U1507" i="9"/>
  <c r="AM1507" i="9" s="1"/>
  <c r="AN1507" i="9" s="1"/>
  <c r="R1507" i="9"/>
  <c r="Q1507" i="9"/>
  <c r="I1507" i="9"/>
  <c r="K1507" i="9" s="1"/>
  <c r="L1507" i="9" s="1"/>
  <c r="AF1506" i="9"/>
  <c r="AE1506" i="9"/>
  <c r="AB1506" i="9"/>
  <c r="AA1506" i="9"/>
  <c r="V1506" i="9"/>
  <c r="AK1506" i="9" s="1"/>
  <c r="AL1506" i="9" s="1"/>
  <c r="U1506" i="9"/>
  <c r="R1506" i="9"/>
  <c r="Q1506" i="9"/>
  <c r="AM1506" i="9" s="1"/>
  <c r="AN1506" i="9" s="1"/>
  <c r="I1506" i="9"/>
  <c r="K1506" i="9" s="1"/>
  <c r="L1506" i="9" s="1"/>
  <c r="AK1505" i="9"/>
  <c r="AL1505" i="9" s="1"/>
  <c r="AF1505" i="9"/>
  <c r="AE1505" i="9"/>
  <c r="AB1505" i="9"/>
  <c r="AA1505" i="9"/>
  <c r="V1505" i="9"/>
  <c r="U1505" i="9"/>
  <c r="AM1505" i="9" s="1"/>
  <c r="AN1505" i="9" s="1"/>
  <c r="R1505" i="9"/>
  <c r="Q1505" i="9"/>
  <c r="K1505" i="9"/>
  <c r="L1505" i="9" s="1"/>
  <c r="I1505" i="9"/>
  <c r="AF1504" i="9"/>
  <c r="AE1504" i="9"/>
  <c r="AB1504" i="9"/>
  <c r="AA1504" i="9"/>
  <c r="V1504" i="9"/>
  <c r="U1504" i="9"/>
  <c r="AM1504" i="9" s="1"/>
  <c r="AN1504" i="9" s="1"/>
  <c r="R1504" i="9"/>
  <c r="Q1504" i="9"/>
  <c r="L1504" i="9"/>
  <c r="I1504" i="9"/>
  <c r="K1504" i="9" s="1"/>
  <c r="AF1503" i="9"/>
  <c r="AE1503" i="9"/>
  <c r="AB1503" i="9"/>
  <c r="AA1503" i="9"/>
  <c r="V1503" i="9"/>
  <c r="U1503" i="9"/>
  <c r="R1503" i="9"/>
  <c r="AK1503" i="9" s="1"/>
  <c r="AL1503" i="9" s="1"/>
  <c r="Q1503" i="9"/>
  <c r="K1503" i="9"/>
  <c r="L1503" i="9" s="1"/>
  <c r="I1503" i="9"/>
  <c r="AF1502" i="9"/>
  <c r="AE1502" i="9"/>
  <c r="AB1502" i="9"/>
  <c r="AA1502" i="9"/>
  <c r="V1502" i="9"/>
  <c r="U1502" i="9"/>
  <c r="R1502" i="9"/>
  <c r="AK1502" i="9" s="1"/>
  <c r="AL1502" i="9" s="1"/>
  <c r="Q1502" i="9"/>
  <c r="I1502" i="9"/>
  <c r="K1502" i="9" s="1"/>
  <c r="L1502" i="9" s="1"/>
  <c r="AF1501" i="9"/>
  <c r="AE1501" i="9"/>
  <c r="AB1501" i="9"/>
  <c r="AA1501" i="9"/>
  <c r="V1501" i="9"/>
  <c r="U1501" i="9"/>
  <c r="R1501" i="9"/>
  <c r="AK1501" i="9" s="1"/>
  <c r="AL1501" i="9" s="1"/>
  <c r="Q1501" i="9"/>
  <c r="I1501" i="9"/>
  <c r="K1501" i="9" s="1"/>
  <c r="L1501" i="9" s="1"/>
  <c r="AF1500" i="9"/>
  <c r="AE1500" i="9"/>
  <c r="AB1500" i="9"/>
  <c r="AA1500" i="9"/>
  <c r="V1500" i="9"/>
  <c r="U1500" i="9"/>
  <c r="R1500" i="9"/>
  <c r="Q1500" i="9"/>
  <c r="I1500" i="9"/>
  <c r="K1500" i="9" s="1"/>
  <c r="L1500" i="9" s="1"/>
  <c r="AF1499" i="9"/>
  <c r="AE1499" i="9"/>
  <c r="AB1499" i="9"/>
  <c r="AA1499" i="9"/>
  <c r="V1499" i="9"/>
  <c r="U1499" i="9"/>
  <c r="R1499" i="9"/>
  <c r="Q1499" i="9"/>
  <c r="I1499" i="9"/>
  <c r="K1499" i="9" s="1"/>
  <c r="L1499" i="9" s="1"/>
  <c r="AF1498" i="9"/>
  <c r="AE1498" i="9"/>
  <c r="AB1498" i="9"/>
  <c r="AA1498" i="9"/>
  <c r="AM1498" i="9" s="1"/>
  <c r="AN1498" i="9" s="1"/>
  <c r="V1498" i="9"/>
  <c r="U1498" i="9"/>
  <c r="R1498" i="9"/>
  <c r="Q1498" i="9"/>
  <c r="K1498" i="9"/>
  <c r="L1498" i="9" s="1"/>
  <c r="I1498" i="9"/>
  <c r="AF1497" i="9"/>
  <c r="AE1497" i="9"/>
  <c r="AB1497" i="9"/>
  <c r="AA1497" i="9"/>
  <c r="V1497" i="9"/>
  <c r="U1497" i="9"/>
  <c r="R1497" i="9"/>
  <c r="Q1497" i="9"/>
  <c r="I1497" i="9"/>
  <c r="K1497" i="9" s="1"/>
  <c r="L1497" i="9" s="1"/>
  <c r="AK1496" i="9"/>
  <c r="AL1496" i="9" s="1"/>
  <c r="AF1496" i="9"/>
  <c r="AE1496" i="9"/>
  <c r="AB1496" i="9"/>
  <c r="AA1496" i="9"/>
  <c r="V1496" i="9"/>
  <c r="U1496" i="9"/>
  <c r="R1496" i="9"/>
  <c r="Q1496" i="9"/>
  <c r="I1496" i="9"/>
  <c r="K1496" i="9" s="1"/>
  <c r="L1496" i="9" s="1"/>
  <c r="AF1495" i="9"/>
  <c r="AE1495" i="9"/>
  <c r="AB1495" i="9"/>
  <c r="AA1495" i="9"/>
  <c r="V1495" i="9"/>
  <c r="U1495" i="9"/>
  <c r="R1495" i="9"/>
  <c r="Q1495" i="9"/>
  <c r="I1495" i="9"/>
  <c r="K1495" i="9" s="1"/>
  <c r="L1495" i="9" s="1"/>
  <c r="AF1494" i="9"/>
  <c r="AE1494" i="9"/>
  <c r="AB1494" i="9"/>
  <c r="AA1494" i="9"/>
  <c r="V1494" i="9"/>
  <c r="U1494" i="9"/>
  <c r="R1494" i="9"/>
  <c r="Q1494" i="9"/>
  <c r="I1494" i="9"/>
  <c r="K1494" i="9" s="1"/>
  <c r="L1494" i="9" s="1"/>
  <c r="AF1493" i="9"/>
  <c r="AE1493" i="9"/>
  <c r="AB1493" i="9"/>
  <c r="AA1493" i="9"/>
  <c r="V1493" i="9"/>
  <c r="U1493" i="9"/>
  <c r="R1493" i="9"/>
  <c r="Q1493" i="9"/>
  <c r="I1493" i="9"/>
  <c r="K1493" i="9" s="1"/>
  <c r="L1493" i="9" s="1"/>
  <c r="AF1492" i="9"/>
  <c r="AE1492" i="9"/>
  <c r="AB1492" i="9"/>
  <c r="AA1492" i="9"/>
  <c r="V1492" i="9"/>
  <c r="U1492" i="9"/>
  <c r="R1492" i="9"/>
  <c r="Q1492" i="9"/>
  <c r="K1492" i="9"/>
  <c r="L1492" i="9" s="1"/>
  <c r="I1492" i="9"/>
  <c r="AM1491" i="9"/>
  <c r="AN1491" i="9" s="1"/>
  <c r="AF1491" i="9"/>
  <c r="AB1491" i="9"/>
  <c r="V1491" i="9"/>
  <c r="R1491" i="9"/>
  <c r="I1491" i="9"/>
  <c r="K1491" i="9" s="1"/>
  <c r="L1491" i="9" s="1"/>
  <c r="AM1490" i="9"/>
  <c r="AN1490" i="9" s="1"/>
  <c r="AF1490" i="9"/>
  <c r="AB1490" i="9"/>
  <c r="V1490" i="9"/>
  <c r="R1490" i="9"/>
  <c r="I1490" i="9"/>
  <c r="K1490" i="9" s="1"/>
  <c r="L1490" i="9" s="1"/>
  <c r="AM1489" i="9"/>
  <c r="AN1489" i="9" s="1"/>
  <c r="AF1489" i="9"/>
  <c r="AB1489" i="9"/>
  <c r="V1489" i="9"/>
  <c r="R1489" i="9"/>
  <c r="I1489" i="9"/>
  <c r="K1489" i="9" s="1"/>
  <c r="L1489" i="9" s="1"/>
  <c r="AN1488" i="9"/>
  <c r="AM1488" i="9"/>
  <c r="AF1488" i="9"/>
  <c r="AB1488" i="9"/>
  <c r="V1488" i="9"/>
  <c r="R1488" i="9"/>
  <c r="I1488" i="9"/>
  <c r="K1488" i="9" s="1"/>
  <c r="L1488" i="9" s="1"/>
  <c r="AM1487" i="9"/>
  <c r="AN1487" i="9" s="1"/>
  <c r="AF1487" i="9"/>
  <c r="AB1487" i="9"/>
  <c r="V1487" i="9"/>
  <c r="R1487" i="9"/>
  <c r="L1487" i="9"/>
  <c r="I1487" i="9"/>
  <c r="K1487" i="9" s="1"/>
  <c r="AM1486" i="9"/>
  <c r="AN1486" i="9" s="1"/>
  <c r="AF1486" i="9"/>
  <c r="AB1486" i="9"/>
  <c r="V1486" i="9"/>
  <c r="R1486" i="9"/>
  <c r="K1486" i="9"/>
  <c r="L1486" i="9" s="1"/>
  <c r="I1486" i="9"/>
  <c r="AN1485" i="9"/>
  <c r="AM1485" i="9"/>
  <c r="AF1485" i="9"/>
  <c r="AB1485" i="9"/>
  <c r="V1485" i="9"/>
  <c r="R1485" i="9"/>
  <c r="I1485" i="9"/>
  <c r="K1485" i="9" s="1"/>
  <c r="L1485" i="9" s="1"/>
  <c r="AM1484" i="9"/>
  <c r="AN1484" i="9" s="1"/>
  <c r="AF1484" i="9"/>
  <c r="AB1484" i="9"/>
  <c r="V1484" i="9"/>
  <c r="R1484" i="9"/>
  <c r="I1484" i="9"/>
  <c r="K1484" i="9" s="1"/>
  <c r="L1484" i="9" s="1"/>
  <c r="AK1483" i="9"/>
  <c r="AL1483" i="9" s="1"/>
  <c r="AF1483" i="9"/>
  <c r="AE1483" i="9"/>
  <c r="AB1483" i="9"/>
  <c r="AA1483" i="9"/>
  <c r="V1483" i="9"/>
  <c r="U1483" i="9"/>
  <c r="R1483" i="9"/>
  <c r="Q1483" i="9"/>
  <c r="I1483" i="9"/>
  <c r="K1483" i="9" s="1"/>
  <c r="L1483" i="9" s="1"/>
  <c r="AM1482" i="9"/>
  <c r="AN1482" i="9" s="1"/>
  <c r="AK1482" i="9"/>
  <c r="AL1482" i="9" s="1"/>
  <c r="AF1482" i="9"/>
  <c r="AB1482" i="9"/>
  <c r="V1482" i="9"/>
  <c r="R1482" i="9"/>
  <c r="K1482" i="9"/>
  <c r="L1482" i="9" s="1"/>
  <c r="I1482" i="9"/>
  <c r="AM1481" i="9"/>
  <c r="AN1481" i="9" s="1"/>
  <c r="AF1481" i="9"/>
  <c r="AE1481" i="9"/>
  <c r="AB1481" i="9"/>
  <c r="AA1481" i="9"/>
  <c r="V1481" i="9"/>
  <c r="U1481" i="9"/>
  <c r="R1481" i="9"/>
  <c r="Q1481" i="9"/>
  <c r="I1481" i="9"/>
  <c r="K1481" i="9" s="1"/>
  <c r="L1481" i="9" s="1"/>
  <c r="AM1480" i="9"/>
  <c r="AN1480" i="9" s="1"/>
  <c r="AF1480" i="9"/>
  <c r="AB1480" i="9"/>
  <c r="V1480" i="9"/>
  <c r="R1480" i="9"/>
  <c r="I1480" i="9"/>
  <c r="K1480" i="9" s="1"/>
  <c r="L1480" i="9" s="1"/>
  <c r="AM1479" i="9"/>
  <c r="AN1479" i="9" s="1"/>
  <c r="AK1479" i="9"/>
  <c r="AL1479" i="9" s="1"/>
  <c r="AF1479" i="9"/>
  <c r="AB1479" i="9"/>
  <c r="V1479" i="9"/>
  <c r="R1479" i="9"/>
  <c r="I1479" i="9"/>
  <c r="K1479" i="9" s="1"/>
  <c r="L1479" i="9" s="1"/>
  <c r="AM1478" i="9"/>
  <c r="AN1478" i="9" s="1"/>
  <c r="AF1478" i="9"/>
  <c r="AE1478" i="9"/>
  <c r="AB1478" i="9"/>
  <c r="AA1478" i="9"/>
  <c r="V1478" i="9"/>
  <c r="U1478" i="9"/>
  <c r="R1478" i="9"/>
  <c r="AK1478" i="9" s="1"/>
  <c r="AL1478" i="9" s="1"/>
  <c r="Q1478" i="9"/>
  <c r="I1478" i="9"/>
  <c r="K1478" i="9" s="1"/>
  <c r="L1478" i="9" s="1"/>
  <c r="AM1477" i="9"/>
  <c r="AN1477" i="9" s="1"/>
  <c r="AF1477" i="9"/>
  <c r="AB1477" i="9"/>
  <c r="V1477" i="9"/>
  <c r="R1477" i="9"/>
  <c r="K1477" i="9"/>
  <c r="L1477" i="9" s="1"/>
  <c r="I1477" i="9"/>
  <c r="AM1476" i="9"/>
  <c r="AN1476" i="9" s="1"/>
  <c r="AF1476" i="9"/>
  <c r="AB1476" i="9"/>
  <c r="V1476" i="9"/>
  <c r="R1476" i="9"/>
  <c r="AK1476" i="9" s="1"/>
  <c r="AL1476" i="9" s="1"/>
  <c r="K1476" i="9"/>
  <c r="L1476" i="9" s="1"/>
  <c r="I1476" i="9"/>
  <c r="AN1475" i="9"/>
  <c r="AM1475" i="9"/>
  <c r="AF1475" i="9"/>
  <c r="AB1475" i="9"/>
  <c r="V1475" i="9"/>
  <c r="R1475" i="9"/>
  <c r="L1475" i="9"/>
  <c r="I1475" i="9"/>
  <c r="K1475" i="9" s="1"/>
  <c r="AM1474" i="9"/>
  <c r="AN1474" i="9" s="1"/>
  <c r="AF1474" i="9"/>
  <c r="AB1474" i="9"/>
  <c r="V1474" i="9"/>
  <c r="R1474" i="9"/>
  <c r="K1474" i="9"/>
  <c r="L1474" i="9" s="1"/>
  <c r="I1474" i="9"/>
  <c r="AN1473" i="9"/>
  <c r="AM1473" i="9"/>
  <c r="AF1473" i="9"/>
  <c r="AB1473" i="9"/>
  <c r="V1473" i="9"/>
  <c r="R1473" i="9"/>
  <c r="K1473" i="9"/>
  <c r="L1473" i="9" s="1"/>
  <c r="I1473" i="9"/>
  <c r="AM1472" i="9"/>
  <c r="AN1472" i="9" s="1"/>
  <c r="AF1472" i="9"/>
  <c r="AB1472" i="9"/>
  <c r="V1472" i="9"/>
  <c r="R1472" i="9"/>
  <c r="I1472" i="9"/>
  <c r="K1472" i="9" s="1"/>
  <c r="L1472" i="9" s="1"/>
  <c r="AN1471" i="9"/>
  <c r="AM1471" i="9"/>
  <c r="AK1471" i="9"/>
  <c r="AL1471" i="9" s="1"/>
  <c r="AF1471" i="9"/>
  <c r="AB1471" i="9"/>
  <c r="V1471" i="9"/>
  <c r="R1471" i="9"/>
  <c r="K1471" i="9"/>
  <c r="L1471" i="9" s="1"/>
  <c r="I1471" i="9"/>
  <c r="AM1470" i="9"/>
  <c r="AN1470" i="9" s="1"/>
  <c r="AF1470" i="9"/>
  <c r="AB1470" i="9"/>
  <c r="V1470" i="9"/>
  <c r="R1470" i="9"/>
  <c r="I1470" i="9"/>
  <c r="K1470" i="9" s="1"/>
  <c r="L1470" i="9" s="1"/>
  <c r="AN1469" i="9"/>
  <c r="AM1469" i="9"/>
  <c r="AF1469" i="9"/>
  <c r="AB1469" i="9"/>
  <c r="V1469" i="9"/>
  <c r="R1469" i="9"/>
  <c r="K1469" i="9"/>
  <c r="L1469" i="9" s="1"/>
  <c r="I1469" i="9"/>
  <c r="AM1468" i="9"/>
  <c r="AN1468" i="9" s="1"/>
  <c r="AF1468" i="9"/>
  <c r="AB1468" i="9"/>
  <c r="V1468" i="9"/>
  <c r="R1468" i="9"/>
  <c r="I1468" i="9"/>
  <c r="K1468" i="9" s="1"/>
  <c r="L1468" i="9" s="1"/>
  <c r="AM1467" i="9"/>
  <c r="AN1467" i="9" s="1"/>
  <c r="AF1467" i="9"/>
  <c r="AB1467" i="9"/>
  <c r="V1467" i="9"/>
  <c r="R1467" i="9"/>
  <c r="I1467" i="9"/>
  <c r="K1467" i="9" s="1"/>
  <c r="L1467" i="9" s="1"/>
  <c r="AN1466" i="9"/>
  <c r="AM1466" i="9"/>
  <c r="AF1466" i="9"/>
  <c r="AB1466" i="9"/>
  <c r="V1466" i="9"/>
  <c r="R1466" i="9"/>
  <c r="K1466" i="9"/>
  <c r="L1466" i="9" s="1"/>
  <c r="I1466" i="9"/>
  <c r="AM1465" i="9"/>
  <c r="AN1465" i="9" s="1"/>
  <c r="R1465" i="9"/>
  <c r="AK1465" i="9" s="1"/>
  <c r="AL1465" i="9" s="1"/>
  <c r="K1465" i="9"/>
  <c r="L1465" i="9" s="1"/>
  <c r="I1465" i="9"/>
  <c r="AN1464" i="9"/>
  <c r="AM1464" i="9"/>
  <c r="AF1464" i="9"/>
  <c r="AK1464" i="9" s="1"/>
  <c r="AL1464" i="9" s="1"/>
  <c r="AB1464" i="9"/>
  <c r="V1464" i="9"/>
  <c r="R1464" i="9"/>
  <c r="I1464" i="9"/>
  <c r="K1464" i="9" s="1"/>
  <c r="L1464" i="9" s="1"/>
  <c r="AF1463" i="9"/>
  <c r="AE1463" i="9"/>
  <c r="AB1463" i="9"/>
  <c r="AA1463" i="9"/>
  <c r="V1463" i="9"/>
  <c r="U1463" i="9"/>
  <c r="R1463" i="9"/>
  <c r="Q1463" i="9"/>
  <c r="K1463" i="9"/>
  <c r="L1463" i="9" s="1"/>
  <c r="I1463" i="9"/>
  <c r="AM1462" i="9"/>
  <c r="AN1462" i="9" s="1"/>
  <c r="AF1462" i="9"/>
  <c r="AK1462" i="9" s="1"/>
  <c r="AL1462" i="9" s="1"/>
  <c r="AB1462" i="9"/>
  <c r="V1462" i="9"/>
  <c r="R1462" i="9"/>
  <c r="I1462" i="9"/>
  <c r="K1462" i="9" s="1"/>
  <c r="L1462" i="9" s="1"/>
  <c r="AN1461" i="9"/>
  <c r="AM1461" i="9"/>
  <c r="AF1461" i="9"/>
  <c r="AB1461" i="9"/>
  <c r="V1461" i="9"/>
  <c r="R1461" i="9"/>
  <c r="K1461" i="9"/>
  <c r="L1461" i="9" s="1"/>
  <c r="I1461" i="9"/>
  <c r="AM1460" i="9"/>
  <c r="AN1460" i="9" s="1"/>
  <c r="AK1460" i="9"/>
  <c r="AL1460" i="9" s="1"/>
  <c r="AF1460" i="9"/>
  <c r="AB1460" i="9"/>
  <c r="V1460" i="9"/>
  <c r="R1460" i="9"/>
  <c r="I1460" i="9"/>
  <c r="K1460" i="9" s="1"/>
  <c r="L1460" i="9" s="1"/>
  <c r="AM1459" i="9"/>
  <c r="AN1459" i="9" s="1"/>
  <c r="AF1459" i="9"/>
  <c r="AB1459" i="9"/>
  <c r="V1459" i="9"/>
  <c r="R1459" i="9"/>
  <c r="I1459" i="9"/>
  <c r="K1459" i="9" s="1"/>
  <c r="L1459" i="9" s="1"/>
  <c r="AM1458" i="9"/>
  <c r="AN1458" i="9" s="1"/>
  <c r="AF1458" i="9"/>
  <c r="AB1458" i="9"/>
  <c r="V1458" i="9"/>
  <c r="R1458" i="9"/>
  <c r="K1458" i="9"/>
  <c r="L1458" i="9" s="1"/>
  <c r="I1458" i="9"/>
  <c r="AM1457" i="9"/>
  <c r="AN1457" i="9" s="1"/>
  <c r="AF1457" i="9"/>
  <c r="AB1457" i="9"/>
  <c r="V1457" i="9"/>
  <c r="R1457" i="9"/>
  <c r="L1457" i="9"/>
  <c r="I1457" i="9"/>
  <c r="K1457" i="9" s="1"/>
  <c r="AN1456" i="9"/>
  <c r="AM1456" i="9"/>
  <c r="AF1456" i="9"/>
  <c r="AB1456" i="9"/>
  <c r="V1456" i="9"/>
  <c r="R1456" i="9"/>
  <c r="AK1456" i="9" s="1"/>
  <c r="AL1456" i="9" s="1"/>
  <c r="K1456" i="9"/>
  <c r="L1456" i="9" s="1"/>
  <c r="I1456" i="9"/>
  <c r="AM1455" i="9"/>
  <c r="AN1455" i="9" s="1"/>
  <c r="AF1455" i="9"/>
  <c r="AB1455" i="9"/>
  <c r="V1455" i="9"/>
  <c r="R1455" i="9"/>
  <c r="AK1455" i="9" s="1"/>
  <c r="AL1455" i="9" s="1"/>
  <c r="I1455" i="9"/>
  <c r="K1455" i="9" s="1"/>
  <c r="L1455" i="9" s="1"/>
  <c r="AN1454" i="9"/>
  <c r="AM1454" i="9"/>
  <c r="AF1454" i="9"/>
  <c r="AK1454" i="9" s="1"/>
  <c r="AL1454" i="9" s="1"/>
  <c r="AB1454" i="9"/>
  <c r="V1454" i="9"/>
  <c r="R1454" i="9"/>
  <c r="I1454" i="9"/>
  <c r="K1454" i="9" s="1"/>
  <c r="L1454" i="9" s="1"/>
  <c r="AM1453" i="9"/>
  <c r="AN1453" i="9" s="1"/>
  <c r="AF1453" i="9"/>
  <c r="AB1453" i="9"/>
  <c r="V1453" i="9"/>
  <c r="R1453" i="9"/>
  <c r="K1453" i="9"/>
  <c r="L1453" i="9" s="1"/>
  <c r="I1453" i="9"/>
  <c r="AF1452" i="9"/>
  <c r="AE1452" i="9"/>
  <c r="AB1452" i="9"/>
  <c r="AA1452" i="9"/>
  <c r="V1452" i="9"/>
  <c r="U1452" i="9"/>
  <c r="R1452" i="9"/>
  <c r="Q1452" i="9"/>
  <c r="I1452" i="9"/>
  <c r="K1452" i="9" s="1"/>
  <c r="L1452" i="9" s="1"/>
  <c r="AF1451" i="9"/>
  <c r="AE1451" i="9"/>
  <c r="AB1451" i="9"/>
  <c r="AA1451" i="9"/>
  <c r="V1451" i="9"/>
  <c r="U1451" i="9"/>
  <c r="R1451" i="9"/>
  <c r="Q1451" i="9"/>
  <c r="I1451" i="9"/>
  <c r="K1451" i="9" s="1"/>
  <c r="L1451" i="9" s="1"/>
  <c r="AM1450" i="9"/>
  <c r="AN1450" i="9" s="1"/>
  <c r="AF1450" i="9"/>
  <c r="AB1450" i="9"/>
  <c r="V1450" i="9"/>
  <c r="R1450" i="9"/>
  <c r="I1450" i="9"/>
  <c r="K1450" i="9" s="1"/>
  <c r="L1450" i="9" s="1"/>
  <c r="AM1449" i="9"/>
  <c r="AN1449" i="9" s="1"/>
  <c r="AF1449" i="9"/>
  <c r="AB1449" i="9"/>
  <c r="V1449" i="9"/>
  <c r="R1449" i="9"/>
  <c r="I1449" i="9"/>
  <c r="K1449" i="9" s="1"/>
  <c r="L1449" i="9" s="1"/>
  <c r="AM1448" i="9"/>
  <c r="AN1448" i="9" s="1"/>
  <c r="AF1448" i="9"/>
  <c r="AB1448" i="9"/>
  <c r="V1448" i="9"/>
  <c r="R1448" i="9"/>
  <c r="I1448" i="9"/>
  <c r="K1448" i="9" s="1"/>
  <c r="L1448" i="9" s="1"/>
  <c r="AM1447" i="9"/>
  <c r="AN1447" i="9" s="1"/>
  <c r="AF1447" i="9"/>
  <c r="AB1447" i="9"/>
  <c r="V1447" i="9"/>
  <c r="R1447" i="9"/>
  <c r="I1447" i="9"/>
  <c r="K1447" i="9" s="1"/>
  <c r="L1447" i="9" s="1"/>
  <c r="AN1446" i="9"/>
  <c r="AM1446" i="9"/>
  <c r="AF1446" i="9"/>
  <c r="AB1446" i="9"/>
  <c r="V1446" i="9"/>
  <c r="R1446" i="9"/>
  <c r="I1446" i="9"/>
  <c r="K1446" i="9" s="1"/>
  <c r="L1446" i="9" s="1"/>
  <c r="AM1445" i="9"/>
  <c r="AN1445" i="9" s="1"/>
  <c r="AF1445" i="9"/>
  <c r="AB1445" i="9"/>
  <c r="V1445" i="9"/>
  <c r="R1445" i="9"/>
  <c r="L1445" i="9"/>
  <c r="K1445" i="9"/>
  <c r="I1445" i="9"/>
  <c r="AM1444" i="9"/>
  <c r="AN1444" i="9" s="1"/>
  <c r="AK1444" i="9"/>
  <c r="AL1444" i="9" s="1"/>
  <c r="AF1444" i="9"/>
  <c r="AB1444" i="9"/>
  <c r="V1444" i="9"/>
  <c r="R1444" i="9"/>
  <c r="I1444" i="9"/>
  <c r="K1444" i="9" s="1"/>
  <c r="L1444" i="9" s="1"/>
  <c r="AK1443" i="9"/>
  <c r="AL1443" i="9" s="1"/>
  <c r="AF1443" i="9"/>
  <c r="AE1443" i="9"/>
  <c r="AB1443" i="9"/>
  <c r="AA1443" i="9"/>
  <c r="V1443" i="9"/>
  <c r="U1443" i="9"/>
  <c r="R1443" i="9"/>
  <c r="Q1443" i="9"/>
  <c r="K1443" i="9"/>
  <c r="L1443" i="9" s="1"/>
  <c r="I1443" i="9"/>
  <c r="AM1442" i="9"/>
  <c r="AN1442" i="9" s="1"/>
  <c r="AF1442" i="9"/>
  <c r="AB1442" i="9"/>
  <c r="V1442" i="9"/>
  <c r="R1442" i="9"/>
  <c r="K1442" i="9"/>
  <c r="L1442" i="9" s="1"/>
  <c r="I1442" i="9"/>
  <c r="AN1441" i="9"/>
  <c r="AM1441" i="9"/>
  <c r="AF1441" i="9"/>
  <c r="AB1441" i="9"/>
  <c r="V1441" i="9"/>
  <c r="R1441" i="9"/>
  <c r="I1441" i="9"/>
  <c r="K1441" i="9" s="1"/>
  <c r="L1441" i="9" s="1"/>
  <c r="AM1440" i="9"/>
  <c r="AN1440" i="9" s="1"/>
  <c r="AF1440" i="9"/>
  <c r="AB1440" i="9"/>
  <c r="V1440" i="9"/>
  <c r="R1440" i="9"/>
  <c r="K1440" i="9"/>
  <c r="L1440" i="9" s="1"/>
  <c r="I1440" i="9"/>
  <c r="AF1439" i="9"/>
  <c r="AE1439" i="9"/>
  <c r="AB1439" i="9"/>
  <c r="AA1439" i="9"/>
  <c r="V1439" i="9"/>
  <c r="U1439" i="9"/>
  <c r="R1439" i="9"/>
  <c r="Q1439" i="9"/>
  <c r="AM1439" i="9" s="1"/>
  <c r="AN1439" i="9" s="1"/>
  <c r="I1439" i="9"/>
  <c r="K1439" i="9" s="1"/>
  <c r="L1439" i="9" s="1"/>
  <c r="AM1438" i="9"/>
  <c r="AN1438" i="9" s="1"/>
  <c r="AF1438" i="9"/>
  <c r="AB1438" i="9"/>
  <c r="V1438" i="9"/>
  <c r="R1438" i="9"/>
  <c r="I1438" i="9"/>
  <c r="K1438" i="9" s="1"/>
  <c r="L1438" i="9" s="1"/>
  <c r="AM1437" i="9"/>
  <c r="AN1437" i="9" s="1"/>
  <c r="AF1437" i="9"/>
  <c r="AB1437" i="9"/>
  <c r="V1437" i="9"/>
  <c r="R1437" i="9"/>
  <c r="I1437" i="9"/>
  <c r="K1437" i="9" s="1"/>
  <c r="L1437" i="9" s="1"/>
  <c r="AO1436" i="9"/>
  <c r="AM1436" i="9"/>
  <c r="AN1436" i="9" s="1"/>
  <c r="AF1436" i="9"/>
  <c r="AE1436" i="9"/>
  <c r="AB1436" i="9"/>
  <c r="AA1436" i="9"/>
  <c r="V1436" i="9"/>
  <c r="AK1436" i="9" s="1"/>
  <c r="AL1436" i="9" s="1"/>
  <c r="U1436" i="9"/>
  <c r="R1436" i="9"/>
  <c r="Q1436" i="9"/>
  <c r="K1436" i="9"/>
  <c r="L1436" i="9" s="1"/>
  <c r="AF1435" i="9"/>
  <c r="AE1435" i="9"/>
  <c r="AB1435" i="9"/>
  <c r="AA1435" i="9"/>
  <c r="V1435" i="9"/>
  <c r="U1435" i="9"/>
  <c r="R1435" i="9"/>
  <c r="AK1435" i="9" s="1"/>
  <c r="AL1435" i="9" s="1"/>
  <c r="Q1435" i="9"/>
  <c r="K1435" i="9"/>
  <c r="L1435" i="9" s="1"/>
  <c r="AM1434" i="9"/>
  <c r="AN1434" i="9" s="1"/>
  <c r="AF1434" i="9"/>
  <c r="AB1434" i="9"/>
  <c r="V1434" i="9"/>
  <c r="R1434" i="9"/>
  <c r="AK1434" i="9" s="1"/>
  <c r="AL1434" i="9" s="1"/>
  <c r="K1434" i="9"/>
  <c r="L1434" i="9" s="1"/>
  <c r="I1434" i="9"/>
  <c r="AM1433" i="9"/>
  <c r="V1433" i="9"/>
  <c r="J1433" i="9"/>
  <c r="D1433" i="9"/>
  <c r="AM1432" i="9"/>
  <c r="V1432" i="9"/>
  <c r="J1432" i="9"/>
  <c r="D1432" i="9"/>
  <c r="J1431" i="9"/>
  <c r="D1431" i="9"/>
  <c r="AM1430" i="9"/>
  <c r="J1430" i="9"/>
  <c r="D1430" i="9"/>
  <c r="AF1429" i="9"/>
  <c r="AE1429" i="9"/>
  <c r="AB1429" i="9"/>
  <c r="AA1429" i="9"/>
  <c r="V1429" i="9"/>
  <c r="U1429" i="9"/>
  <c r="R1429" i="9"/>
  <c r="Q1429" i="9"/>
  <c r="AM1429" i="9" s="1"/>
  <c r="AN1429" i="9" s="1"/>
  <c r="K1429" i="9"/>
  <c r="L1429" i="9" s="1"/>
  <c r="AM1428" i="9"/>
  <c r="AN1428" i="9" s="1"/>
  <c r="AF1428" i="9"/>
  <c r="AB1428" i="9"/>
  <c r="V1428" i="9"/>
  <c r="R1428" i="9"/>
  <c r="AK1428" i="9" s="1"/>
  <c r="AL1428" i="9" s="1"/>
  <c r="K1428" i="9"/>
  <c r="L1428" i="9" s="1"/>
  <c r="I1428" i="9"/>
  <c r="AM1427" i="9"/>
  <c r="AN1427" i="9" s="1"/>
  <c r="AF1427" i="9"/>
  <c r="AB1427" i="9"/>
  <c r="V1427" i="9"/>
  <c r="R1427" i="9"/>
  <c r="I1427" i="9"/>
  <c r="K1427" i="9" s="1"/>
  <c r="L1427" i="9" s="1"/>
  <c r="AM1426" i="9"/>
  <c r="AN1426" i="9" s="1"/>
  <c r="AF1426" i="9"/>
  <c r="AB1426" i="9"/>
  <c r="V1426" i="9"/>
  <c r="R1426" i="9"/>
  <c r="K1426" i="9"/>
  <c r="L1426" i="9" s="1"/>
  <c r="I1426" i="9"/>
  <c r="AM1425" i="9"/>
  <c r="AN1425" i="9" s="1"/>
  <c r="AL1425" i="9"/>
  <c r="AK1425" i="9"/>
  <c r="I1425" i="9"/>
  <c r="K1425" i="9" s="1"/>
  <c r="L1425" i="9" s="1"/>
  <c r="AM1424" i="9"/>
  <c r="AN1424" i="9" s="1"/>
  <c r="AK1424" i="9"/>
  <c r="AL1424" i="9" s="1"/>
  <c r="K1424" i="9"/>
  <c r="L1424" i="9" s="1"/>
  <c r="I1424" i="9"/>
  <c r="AM1423" i="9"/>
  <c r="AN1423" i="9" s="1"/>
  <c r="AK1423" i="9"/>
  <c r="AL1423" i="9" s="1"/>
  <c r="I1423" i="9"/>
  <c r="K1423" i="9" s="1"/>
  <c r="L1423" i="9" s="1"/>
  <c r="AM1422" i="9"/>
  <c r="AN1422" i="9" s="1"/>
  <c r="AK1422" i="9"/>
  <c r="AL1422" i="9" s="1"/>
  <c r="I1422" i="9"/>
  <c r="K1422" i="9" s="1"/>
  <c r="L1422" i="9" s="1"/>
  <c r="AM1421" i="9"/>
  <c r="AN1421" i="9" s="1"/>
  <c r="AK1421" i="9"/>
  <c r="AL1421" i="9" s="1"/>
  <c r="I1421" i="9"/>
  <c r="K1421" i="9" s="1"/>
  <c r="L1421" i="9" s="1"/>
  <c r="AM1420" i="9"/>
  <c r="AN1420" i="9" s="1"/>
  <c r="AK1420" i="9"/>
  <c r="AL1420" i="9" s="1"/>
  <c r="I1420" i="9"/>
  <c r="K1420" i="9" s="1"/>
  <c r="L1420" i="9" s="1"/>
  <c r="AN1419" i="9"/>
  <c r="AM1419" i="9"/>
  <c r="AL1419" i="9"/>
  <c r="AK1419" i="9"/>
  <c r="I1419" i="9"/>
  <c r="K1419" i="9" s="1"/>
  <c r="L1419" i="9" s="1"/>
  <c r="AM1418" i="9"/>
  <c r="AB1418" i="9"/>
  <c r="J1418" i="9"/>
  <c r="D1418" i="9"/>
  <c r="AN1418" i="9" s="1"/>
  <c r="AM1417" i="9"/>
  <c r="AN1417" i="9" s="1"/>
  <c r="AF1417" i="9"/>
  <c r="AB1417" i="9"/>
  <c r="V1417" i="9"/>
  <c r="R1417" i="9"/>
  <c r="I1417" i="9"/>
  <c r="K1417" i="9" s="1"/>
  <c r="L1417" i="9" s="1"/>
  <c r="AM1416" i="9"/>
  <c r="AN1416" i="9" s="1"/>
  <c r="AF1416" i="9"/>
  <c r="AB1416" i="9"/>
  <c r="V1416" i="9"/>
  <c r="R1416" i="9"/>
  <c r="I1416" i="9"/>
  <c r="K1416" i="9" s="1"/>
  <c r="L1416" i="9" s="1"/>
  <c r="AN1415" i="9"/>
  <c r="AM1415" i="9"/>
  <c r="AF1415" i="9"/>
  <c r="AB1415" i="9"/>
  <c r="V1415" i="9"/>
  <c r="R1415" i="9"/>
  <c r="I1415" i="9"/>
  <c r="K1415" i="9" s="1"/>
  <c r="L1415" i="9" s="1"/>
  <c r="AM1414" i="9"/>
  <c r="AN1414" i="9" s="1"/>
  <c r="AF1414" i="9"/>
  <c r="AB1414" i="9"/>
  <c r="V1414" i="9"/>
  <c r="R1414" i="9"/>
  <c r="I1414" i="9"/>
  <c r="K1414" i="9" s="1"/>
  <c r="L1414" i="9" s="1"/>
  <c r="AM1413" i="9"/>
  <c r="AN1413" i="9" s="1"/>
  <c r="AF1413" i="9"/>
  <c r="AB1413" i="9"/>
  <c r="V1413" i="9"/>
  <c r="R1413" i="9"/>
  <c r="AK1413" i="9" s="1"/>
  <c r="AL1413" i="9" s="1"/>
  <c r="K1413" i="9"/>
  <c r="L1413" i="9" s="1"/>
  <c r="I1413" i="9"/>
  <c r="AF1412" i="9"/>
  <c r="AE1412" i="9"/>
  <c r="AB1412" i="9"/>
  <c r="AK1412" i="9" s="1"/>
  <c r="AL1412" i="9" s="1"/>
  <c r="AA1412" i="9"/>
  <c r="V1412" i="9"/>
  <c r="U1412" i="9"/>
  <c r="R1412" i="9"/>
  <c r="Q1412" i="9"/>
  <c r="K1412" i="9"/>
  <c r="L1412" i="9" s="1"/>
  <c r="I1412" i="9"/>
  <c r="AM1411" i="9"/>
  <c r="AN1411" i="9" s="1"/>
  <c r="AF1411" i="9"/>
  <c r="AB1411" i="9"/>
  <c r="V1411" i="9"/>
  <c r="R1411" i="9"/>
  <c r="I1411" i="9"/>
  <c r="K1411" i="9" s="1"/>
  <c r="L1411" i="9" s="1"/>
  <c r="AM1410" i="9"/>
  <c r="AN1410" i="9" s="1"/>
  <c r="AF1410" i="9"/>
  <c r="AE1410" i="9"/>
  <c r="AB1410" i="9"/>
  <c r="AA1410" i="9"/>
  <c r="V1410" i="9"/>
  <c r="U1410" i="9"/>
  <c r="R1410" i="9"/>
  <c r="Q1410" i="9"/>
  <c r="I1410" i="9"/>
  <c r="K1410" i="9" s="1"/>
  <c r="L1410" i="9" s="1"/>
  <c r="AF1409" i="9"/>
  <c r="AE1409" i="9"/>
  <c r="AB1409" i="9"/>
  <c r="AA1409" i="9"/>
  <c r="V1409" i="9"/>
  <c r="U1409" i="9"/>
  <c r="R1409" i="9"/>
  <c r="Q1409" i="9"/>
  <c r="K1409" i="9"/>
  <c r="L1409" i="9" s="1"/>
  <c r="I1409" i="9"/>
  <c r="AF1408" i="9"/>
  <c r="AE1408" i="9"/>
  <c r="AB1408" i="9"/>
  <c r="AA1408" i="9"/>
  <c r="V1408" i="9"/>
  <c r="U1408" i="9"/>
  <c r="R1408" i="9"/>
  <c r="Q1408" i="9"/>
  <c r="I1408" i="9"/>
  <c r="K1408" i="9" s="1"/>
  <c r="L1408" i="9" s="1"/>
  <c r="AF1407" i="9"/>
  <c r="AE1407" i="9"/>
  <c r="AB1407" i="9"/>
  <c r="AA1407" i="9"/>
  <c r="V1407" i="9"/>
  <c r="U1407" i="9"/>
  <c r="R1407" i="9"/>
  <c r="Q1407" i="9"/>
  <c r="I1407" i="9"/>
  <c r="K1407" i="9" s="1"/>
  <c r="L1407" i="9" s="1"/>
  <c r="AF1406" i="9"/>
  <c r="AE1406" i="9"/>
  <c r="AB1406" i="9"/>
  <c r="AA1406" i="9"/>
  <c r="V1406" i="9"/>
  <c r="U1406" i="9"/>
  <c r="R1406" i="9"/>
  <c r="Q1406" i="9"/>
  <c r="I1406" i="9"/>
  <c r="K1406" i="9" s="1"/>
  <c r="L1406" i="9" s="1"/>
  <c r="AF1405" i="9"/>
  <c r="AE1405" i="9"/>
  <c r="AB1405" i="9"/>
  <c r="AA1405" i="9"/>
  <c r="V1405" i="9"/>
  <c r="U1405" i="9"/>
  <c r="R1405" i="9"/>
  <c r="Q1405" i="9"/>
  <c r="I1405" i="9"/>
  <c r="K1405" i="9" s="1"/>
  <c r="L1405" i="9" s="1"/>
  <c r="AF1404" i="9"/>
  <c r="AE1404" i="9"/>
  <c r="AB1404" i="9"/>
  <c r="AA1404" i="9"/>
  <c r="V1404" i="9"/>
  <c r="U1404" i="9"/>
  <c r="AM1404" i="9" s="1"/>
  <c r="AN1404" i="9" s="1"/>
  <c r="R1404" i="9"/>
  <c r="Q1404" i="9"/>
  <c r="K1404" i="9"/>
  <c r="L1404" i="9" s="1"/>
  <c r="I1404" i="9"/>
  <c r="AF1403" i="9"/>
  <c r="AE1403" i="9"/>
  <c r="AB1403" i="9"/>
  <c r="AA1403" i="9"/>
  <c r="V1403" i="9"/>
  <c r="U1403" i="9"/>
  <c r="R1403" i="9"/>
  <c r="Q1403" i="9"/>
  <c r="I1403" i="9"/>
  <c r="K1403" i="9" s="1"/>
  <c r="L1403" i="9" s="1"/>
  <c r="AF1402" i="9"/>
  <c r="AE1402" i="9"/>
  <c r="AB1402" i="9"/>
  <c r="AA1402" i="9"/>
  <c r="V1402" i="9"/>
  <c r="U1402" i="9"/>
  <c r="R1402" i="9"/>
  <c r="AK1402" i="9" s="1"/>
  <c r="AL1402" i="9" s="1"/>
  <c r="Q1402" i="9"/>
  <c r="I1402" i="9"/>
  <c r="K1402" i="9" s="1"/>
  <c r="L1402" i="9" s="1"/>
  <c r="AF1401" i="9"/>
  <c r="AE1401" i="9"/>
  <c r="AB1401" i="9"/>
  <c r="AA1401" i="9"/>
  <c r="V1401" i="9"/>
  <c r="U1401" i="9"/>
  <c r="R1401" i="9"/>
  <c r="Q1401" i="9"/>
  <c r="I1401" i="9"/>
  <c r="K1401" i="9" s="1"/>
  <c r="L1401" i="9" s="1"/>
  <c r="AF1400" i="9"/>
  <c r="AE1400" i="9"/>
  <c r="AB1400" i="9"/>
  <c r="AA1400" i="9"/>
  <c r="V1400" i="9"/>
  <c r="U1400" i="9"/>
  <c r="R1400" i="9"/>
  <c r="Q1400" i="9"/>
  <c r="I1400" i="9"/>
  <c r="K1400" i="9" s="1"/>
  <c r="L1400" i="9" s="1"/>
  <c r="AM1399" i="9"/>
  <c r="AN1399" i="9" s="1"/>
  <c r="AF1399" i="9"/>
  <c r="AB1399" i="9"/>
  <c r="V1399" i="9"/>
  <c r="R1399" i="9"/>
  <c r="L1399" i="9"/>
  <c r="I1399" i="9"/>
  <c r="K1399" i="9" s="1"/>
  <c r="AM1398" i="9"/>
  <c r="AN1398" i="9" s="1"/>
  <c r="AF1398" i="9"/>
  <c r="AB1398" i="9"/>
  <c r="V1398" i="9"/>
  <c r="R1398" i="9"/>
  <c r="K1398" i="9"/>
  <c r="L1398" i="9" s="1"/>
  <c r="I1398" i="9"/>
  <c r="AN1397" i="9"/>
  <c r="AM1397" i="9"/>
  <c r="AF1397" i="9"/>
  <c r="AB1397" i="9"/>
  <c r="V1397" i="9"/>
  <c r="R1397" i="9"/>
  <c r="I1397" i="9"/>
  <c r="K1397" i="9" s="1"/>
  <c r="L1397" i="9" s="1"/>
  <c r="AM1396" i="9"/>
  <c r="AN1396" i="9" s="1"/>
  <c r="AF1396" i="9"/>
  <c r="AB1396" i="9"/>
  <c r="V1396" i="9"/>
  <c r="R1396" i="9"/>
  <c r="I1396" i="9"/>
  <c r="K1396" i="9" s="1"/>
  <c r="L1396" i="9" s="1"/>
  <c r="AF1395" i="9"/>
  <c r="AE1395" i="9"/>
  <c r="AB1395" i="9"/>
  <c r="AA1395" i="9"/>
  <c r="V1395" i="9"/>
  <c r="U1395" i="9"/>
  <c r="R1395" i="9"/>
  <c r="Q1395" i="9"/>
  <c r="L1395" i="9"/>
  <c r="I1395" i="9"/>
  <c r="K1395" i="9" s="1"/>
  <c r="AF1394" i="9"/>
  <c r="AE1394" i="9"/>
  <c r="AB1394" i="9"/>
  <c r="AA1394" i="9"/>
  <c r="V1394" i="9"/>
  <c r="U1394" i="9"/>
  <c r="R1394" i="9"/>
  <c r="AK1394" i="9" s="1"/>
  <c r="AL1394" i="9" s="1"/>
  <c r="Q1394" i="9"/>
  <c r="AM1394" i="9" s="1"/>
  <c r="AN1394" i="9" s="1"/>
  <c r="I1394" i="9"/>
  <c r="K1394" i="9" s="1"/>
  <c r="L1394" i="9" s="1"/>
  <c r="AK1393" i="9"/>
  <c r="AL1393" i="9" s="1"/>
  <c r="AF1393" i="9"/>
  <c r="AE1393" i="9"/>
  <c r="AB1393" i="9"/>
  <c r="AA1393" i="9"/>
  <c r="V1393" i="9"/>
  <c r="U1393" i="9"/>
  <c r="R1393" i="9"/>
  <c r="Q1393" i="9"/>
  <c r="AM1393" i="9" s="1"/>
  <c r="AN1393" i="9" s="1"/>
  <c r="I1393" i="9"/>
  <c r="K1393" i="9" s="1"/>
  <c r="L1393" i="9" s="1"/>
  <c r="AN1392" i="9"/>
  <c r="AM1392" i="9"/>
  <c r="AK1392" i="9"/>
  <c r="AL1392" i="9" s="1"/>
  <c r="AF1392" i="9"/>
  <c r="AB1392" i="9"/>
  <c r="V1392" i="9"/>
  <c r="R1392" i="9"/>
  <c r="I1392" i="9"/>
  <c r="K1392" i="9" s="1"/>
  <c r="L1392" i="9" s="1"/>
  <c r="AM1391" i="9"/>
  <c r="AN1391" i="9" s="1"/>
  <c r="AF1391" i="9"/>
  <c r="AB1391" i="9"/>
  <c r="V1391" i="9"/>
  <c r="R1391" i="9"/>
  <c r="I1391" i="9"/>
  <c r="K1391" i="9" s="1"/>
  <c r="L1391" i="9" s="1"/>
  <c r="AN1390" i="9"/>
  <c r="AM1390" i="9"/>
  <c r="AF1390" i="9"/>
  <c r="AB1390" i="9"/>
  <c r="V1390" i="9"/>
  <c r="R1390" i="9"/>
  <c r="L1390" i="9"/>
  <c r="K1390" i="9"/>
  <c r="I1390" i="9"/>
  <c r="AM1389" i="9"/>
  <c r="AN1389" i="9" s="1"/>
  <c r="AF1389" i="9"/>
  <c r="AE1389" i="9"/>
  <c r="AB1389" i="9"/>
  <c r="AA1389" i="9"/>
  <c r="V1389" i="9"/>
  <c r="U1389" i="9"/>
  <c r="R1389" i="9"/>
  <c r="AK1389" i="9" s="1"/>
  <c r="AL1389" i="9" s="1"/>
  <c r="Q1389" i="9"/>
  <c r="K1389" i="9"/>
  <c r="L1389" i="9" s="1"/>
  <c r="I1389" i="9"/>
  <c r="AN1388" i="9"/>
  <c r="AM1388" i="9"/>
  <c r="AF1388" i="9"/>
  <c r="AB1388" i="9"/>
  <c r="V1388" i="9"/>
  <c r="R1388" i="9"/>
  <c r="I1388" i="9"/>
  <c r="K1388" i="9" s="1"/>
  <c r="L1388" i="9" s="1"/>
  <c r="AM1387" i="9"/>
  <c r="AN1387" i="9" s="1"/>
  <c r="AF1387" i="9"/>
  <c r="AB1387" i="9"/>
  <c r="V1387" i="9"/>
  <c r="R1387" i="9"/>
  <c r="K1387" i="9"/>
  <c r="L1387" i="9" s="1"/>
  <c r="I1387" i="9"/>
  <c r="AF1386" i="9"/>
  <c r="AE1386" i="9"/>
  <c r="AB1386" i="9"/>
  <c r="AA1386" i="9"/>
  <c r="V1386" i="9"/>
  <c r="U1386" i="9"/>
  <c r="R1386" i="9"/>
  <c r="Q1386" i="9"/>
  <c r="L1386" i="9"/>
  <c r="I1386" i="9"/>
  <c r="K1386" i="9" s="1"/>
  <c r="AF1385" i="9"/>
  <c r="AE1385" i="9"/>
  <c r="AB1385" i="9"/>
  <c r="AA1385" i="9"/>
  <c r="V1385" i="9"/>
  <c r="U1385" i="9"/>
  <c r="R1385" i="9"/>
  <c r="Q1385" i="9"/>
  <c r="I1385" i="9"/>
  <c r="K1385" i="9" s="1"/>
  <c r="L1385" i="9" s="1"/>
  <c r="AM1384" i="9"/>
  <c r="AN1384" i="9" s="1"/>
  <c r="AF1384" i="9"/>
  <c r="AB1384" i="9"/>
  <c r="V1384" i="9"/>
  <c r="R1384" i="9"/>
  <c r="L1384" i="9"/>
  <c r="I1384" i="9"/>
  <c r="K1384" i="9" s="1"/>
  <c r="AF1383" i="9"/>
  <c r="AK1383" i="9" s="1"/>
  <c r="AL1383" i="9" s="1"/>
  <c r="AE1383" i="9"/>
  <c r="AB1383" i="9"/>
  <c r="AA1383" i="9"/>
  <c r="V1383" i="9"/>
  <c r="U1383" i="9"/>
  <c r="R1383" i="9"/>
  <c r="Q1383" i="9"/>
  <c r="I1383" i="9"/>
  <c r="K1383" i="9" s="1"/>
  <c r="L1383" i="9" s="1"/>
  <c r="AM1382" i="9"/>
  <c r="AN1382" i="9" s="1"/>
  <c r="AL1382" i="9"/>
  <c r="AF1382" i="9"/>
  <c r="AB1382" i="9"/>
  <c r="V1382" i="9"/>
  <c r="R1382" i="9"/>
  <c r="AK1382" i="9" s="1"/>
  <c r="I1382" i="9"/>
  <c r="K1382" i="9" s="1"/>
  <c r="L1382" i="9" s="1"/>
  <c r="AM1381" i="9"/>
  <c r="AN1381" i="9" s="1"/>
  <c r="AF1381" i="9"/>
  <c r="AB1381" i="9"/>
  <c r="V1381" i="9"/>
  <c r="R1381" i="9"/>
  <c r="AK1381" i="9" s="1"/>
  <c r="AL1381" i="9" s="1"/>
  <c r="I1381" i="9"/>
  <c r="K1381" i="9" s="1"/>
  <c r="L1381" i="9" s="1"/>
  <c r="AM1380" i="9"/>
  <c r="AN1380" i="9" s="1"/>
  <c r="AF1380" i="9"/>
  <c r="AK1380" i="9" s="1"/>
  <c r="AL1380" i="9" s="1"/>
  <c r="AB1380" i="9"/>
  <c r="V1380" i="9"/>
  <c r="R1380" i="9"/>
  <c r="I1380" i="9"/>
  <c r="K1380" i="9" s="1"/>
  <c r="L1380" i="9" s="1"/>
  <c r="AM1379" i="9"/>
  <c r="AN1379" i="9" s="1"/>
  <c r="AF1379" i="9"/>
  <c r="AB1379" i="9"/>
  <c r="V1379" i="9"/>
  <c r="R1379" i="9"/>
  <c r="I1379" i="9"/>
  <c r="K1379" i="9" s="1"/>
  <c r="L1379" i="9" s="1"/>
  <c r="AF1378" i="9"/>
  <c r="AE1378" i="9"/>
  <c r="AB1378" i="9"/>
  <c r="AA1378" i="9"/>
  <c r="V1378" i="9"/>
  <c r="U1378" i="9"/>
  <c r="R1378" i="9"/>
  <c r="Q1378" i="9"/>
  <c r="K1378" i="9"/>
  <c r="L1378" i="9" s="1"/>
  <c r="I1378" i="9"/>
  <c r="AM1377" i="9"/>
  <c r="AN1377" i="9" s="1"/>
  <c r="AF1377" i="9"/>
  <c r="AB1377" i="9"/>
  <c r="V1377" i="9"/>
  <c r="R1377" i="9"/>
  <c r="K1377" i="9"/>
  <c r="L1377" i="9" s="1"/>
  <c r="I1377" i="9"/>
  <c r="AF1376" i="9"/>
  <c r="AE1376" i="9"/>
  <c r="AB1376" i="9"/>
  <c r="AA1376" i="9"/>
  <c r="V1376" i="9"/>
  <c r="U1376" i="9"/>
  <c r="R1376" i="9"/>
  <c r="Q1376" i="9"/>
  <c r="K1376" i="9"/>
  <c r="L1376" i="9" s="1"/>
  <c r="I1376" i="9"/>
  <c r="AF1375" i="9"/>
  <c r="AE1375" i="9"/>
  <c r="AB1375" i="9"/>
  <c r="AA1375" i="9"/>
  <c r="V1375" i="9"/>
  <c r="U1375" i="9"/>
  <c r="R1375" i="9"/>
  <c r="Q1375" i="9"/>
  <c r="I1375" i="9"/>
  <c r="K1375" i="9" s="1"/>
  <c r="L1375" i="9" s="1"/>
  <c r="AM1374" i="9"/>
  <c r="AN1374" i="9" s="1"/>
  <c r="AF1374" i="9"/>
  <c r="AB1374" i="9"/>
  <c r="V1374" i="9"/>
  <c r="R1374" i="9"/>
  <c r="I1374" i="9"/>
  <c r="K1374" i="9" s="1"/>
  <c r="L1374" i="9" s="1"/>
  <c r="AM1373" i="9"/>
  <c r="AN1373" i="9" s="1"/>
  <c r="AF1373" i="9"/>
  <c r="AB1373" i="9"/>
  <c r="V1373" i="9"/>
  <c r="R1373" i="9"/>
  <c r="K1373" i="9"/>
  <c r="L1373" i="9" s="1"/>
  <c r="I1373" i="9"/>
  <c r="AN1372" i="9"/>
  <c r="AM1372" i="9"/>
  <c r="AF1372" i="9"/>
  <c r="AB1372" i="9"/>
  <c r="V1372" i="9"/>
  <c r="AK1372" i="9" s="1"/>
  <c r="AL1372" i="9" s="1"/>
  <c r="R1372" i="9"/>
  <c r="K1372" i="9"/>
  <c r="L1372" i="9" s="1"/>
  <c r="I1372" i="9"/>
  <c r="AF1371" i="9"/>
  <c r="AE1371" i="9"/>
  <c r="AB1371" i="9"/>
  <c r="AA1371" i="9"/>
  <c r="V1371" i="9"/>
  <c r="U1371" i="9"/>
  <c r="R1371" i="9"/>
  <c r="AK1371" i="9" s="1"/>
  <c r="AL1371" i="9" s="1"/>
  <c r="Q1371" i="9"/>
  <c r="AM1371" i="9" s="1"/>
  <c r="AN1371" i="9" s="1"/>
  <c r="I1371" i="9"/>
  <c r="K1371" i="9" s="1"/>
  <c r="L1371" i="9" s="1"/>
  <c r="AF1370" i="9"/>
  <c r="AE1370" i="9"/>
  <c r="AB1370" i="9"/>
  <c r="AA1370" i="9"/>
  <c r="V1370" i="9"/>
  <c r="U1370" i="9"/>
  <c r="R1370" i="9"/>
  <c r="Q1370" i="9"/>
  <c r="I1370" i="9"/>
  <c r="K1370" i="9" s="1"/>
  <c r="L1370" i="9" s="1"/>
  <c r="AM1369" i="9"/>
  <c r="R1369" i="9"/>
  <c r="J1369" i="9"/>
  <c r="D1369" i="9"/>
  <c r="AN1369" i="9" s="1"/>
  <c r="U1368" i="9"/>
  <c r="J1368" i="9"/>
  <c r="D1368" i="9"/>
  <c r="AF1367" i="9"/>
  <c r="AE1367" i="9"/>
  <c r="AB1367" i="9"/>
  <c r="AA1367" i="9"/>
  <c r="V1367" i="9"/>
  <c r="U1367" i="9"/>
  <c r="R1367" i="9"/>
  <c r="Q1367" i="9"/>
  <c r="K1367" i="9"/>
  <c r="L1367" i="9" s="1"/>
  <c r="AM1366" i="9"/>
  <c r="AN1366" i="9" s="1"/>
  <c r="AF1366" i="9"/>
  <c r="AB1366" i="9"/>
  <c r="V1366" i="9"/>
  <c r="R1366" i="9"/>
  <c r="I1366" i="9"/>
  <c r="K1366" i="9" s="1"/>
  <c r="L1366" i="9" s="1"/>
  <c r="AF1365" i="9"/>
  <c r="AE1365" i="9"/>
  <c r="AB1365" i="9"/>
  <c r="AA1365" i="9"/>
  <c r="V1365" i="9"/>
  <c r="U1365" i="9"/>
  <c r="R1365" i="9"/>
  <c r="Q1365" i="9"/>
  <c r="I1365" i="9"/>
  <c r="K1365" i="9" s="1"/>
  <c r="L1365" i="9" s="1"/>
  <c r="AF1364" i="9"/>
  <c r="AE1364" i="9"/>
  <c r="AB1364" i="9"/>
  <c r="AA1364" i="9"/>
  <c r="V1364" i="9"/>
  <c r="U1364" i="9"/>
  <c r="R1364" i="9"/>
  <c r="Q1364" i="9"/>
  <c r="I1364" i="9"/>
  <c r="K1364" i="9" s="1"/>
  <c r="L1364" i="9" s="1"/>
  <c r="AF1363" i="9"/>
  <c r="AE1363" i="9"/>
  <c r="AB1363" i="9"/>
  <c r="AA1363" i="9"/>
  <c r="V1363" i="9"/>
  <c r="U1363" i="9"/>
  <c r="R1363" i="9"/>
  <c r="AK1363" i="9" s="1"/>
  <c r="AL1363" i="9" s="1"/>
  <c r="Q1363" i="9"/>
  <c r="L1363" i="9"/>
  <c r="I1363" i="9"/>
  <c r="K1363" i="9" s="1"/>
  <c r="AM1362" i="9"/>
  <c r="AN1362" i="9" s="1"/>
  <c r="AF1362" i="9"/>
  <c r="AB1362" i="9"/>
  <c r="V1362" i="9"/>
  <c r="R1362" i="9"/>
  <c r="AK1362" i="9" s="1"/>
  <c r="AL1362" i="9" s="1"/>
  <c r="K1362" i="9"/>
  <c r="L1362" i="9" s="1"/>
  <c r="I1362" i="9"/>
  <c r="AM1361" i="9"/>
  <c r="AN1361" i="9" s="1"/>
  <c r="AF1361" i="9"/>
  <c r="AB1361" i="9"/>
  <c r="V1361" i="9"/>
  <c r="AK1361" i="9" s="1"/>
  <c r="AL1361" i="9" s="1"/>
  <c r="R1361" i="9"/>
  <c r="K1361" i="9"/>
  <c r="L1361" i="9" s="1"/>
  <c r="I1361" i="9"/>
  <c r="AM1360" i="9"/>
  <c r="AN1360" i="9" s="1"/>
  <c r="AF1360" i="9"/>
  <c r="AB1360" i="9"/>
  <c r="AK1360" i="9" s="1"/>
  <c r="AL1360" i="9" s="1"/>
  <c r="V1360" i="9"/>
  <c r="R1360" i="9"/>
  <c r="L1360" i="9"/>
  <c r="I1360" i="9"/>
  <c r="K1360" i="9" s="1"/>
  <c r="AF1359" i="9"/>
  <c r="AE1359" i="9"/>
  <c r="AB1359" i="9"/>
  <c r="AA1359" i="9"/>
  <c r="V1359" i="9"/>
  <c r="U1359" i="9"/>
  <c r="R1359" i="9"/>
  <c r="Q1359" i="9"/>
  <c r="I1359" i="9"/>
  <c r="K1359" i="9" s="1"/>
  <c r="L1359" i="9" s="1"/>
  <c r="AF1358" i="9"/>
  <c r="AE1358" i="9"/>
  <c r="AB1358" i="9"/>
  <c r="AA1358" i="9"/>
  <c r="V1358" i="9"/>
  <c r="U1358" i="9"/>
  <c r="R1358" i="9"/>
  <c r="Q1358" i="9"/>
  <c r="AM1358" i="9" s="1"/>
  <c r="AN1358" i="9" s="1"/>
  <c r="I1358" i="9"/>
  <c r="K1358" i="9" s="1"/>
  <c r="L1358" i="9" s="1"/>
  <c r="AF1357" i="9"/>
  <c r="AK1357" i="9" s="1"/>
  <c r="AL1357" i="9" s="1"/>
  <c r="AE1357" i="9"/>
  <c r="AB1357" i="9"/>
  <c r="AA1357" i="9"/>
  <c r="V1357" i="9"/>
  <c r="U1357" i="9"/>
  <c r="R1357" i="9"/>
  <c r="Q1357" i="9"/>
  <c r="K1357" i="9"/>
  <c r="L1357" i="9" s="1"/>
  <c r="I1357" i="9"/>
  <c r="AF1356" i="9"/>
  <c r="AE1356" i="9"/>
  <c r="AB1356" i="9"/>
  <c r="AA1356" i="9"/>
  <c r="V1356" i="9"/>
  <c r="U1356" i="9"/>
  <c r="R1356" i="9"/>
  <c r="Q1356" i="9"/>
  <c r="K1356" i="9"/>
  <c r="L1356" i="9" s="1"/>
  <c r="I1356" i="9"/>
  <c r="AF1355" i="9"/>
  <c r="AE1355" i="9"/>
  <c r="AB1355" i="9"/>
  <c r="AA1355" i="9"/>
  <c r="V1355" i="9"/>
  <c r="U1355" i="9"/>
  <c r="R1355" i="9"/>
  <c r="Q1355" i="9"/>
  <c r="I1355" i="9"/>
  <c r="K1355" i="9" s="1"/>
  <c r="L1355" i="9" s="1"/>
  <c r="AF1354" i="9"/>
  <c r="AE1354" i="9"/>
  <c r="AB1354" i="9"/>
  <c r="AA1354" i="9"/>
  <c r="AM1354" i="9" s="1"/>
  <c r="AN1354" i="9" s="1"/>
  <c r="V1354" i="9"/>
  <c r="U1354" i="9"/>
  <c r="R1354" i="9"/>
  <c r="Q1354" i="9"/>
  <c r="I1354" i="9"/>
  <c r="K1354" i="9" s="1"/>
  <c r="L1354" i="9" s="1"/>
  <c r="AF1353" i="9"/>
  <c r="AE1353" i="9"/>
  <c r="AB1353" i="9"/>
  <c r="AA1353" i="9"/>
  <c r="V1353" i="9"/>
  <c r="U1353" i="9"/>
  <c r="R1353" i="9"/>
  <c r="AK1353" i="9" s="1"/>
  <c r="AL1353" i="9" s="1"/>
  <c r="Q1353" i="9"/>
  <c r="I1353" i="9"/>
  <c r="K1353" i="9" s="1"/>
  <c r="L1353" i="9" s="1"/>
  <c r="AM1352" i="9"/>
  <c r="AN1352" i="9" s="1"/>
  <c r="AL1352" i="9"/>
  <c r="AF1352" i="9"/>
  <c r="AB1352" i="9"/>
  <c r="V1352" i="9"/>
  <c r="R1352" i="9"/>
  <c r="AK1352" i="9" s="1"/>
  <c r="K1352" i="9"/>
  <c r="L1352" i="9" s="1"/>
  <c r="I1352" i="9"/>
  <c r="AM1351" i="9"/>
  <c r="AN1351" i="9" s="1"/>
  <c r="AL1351" i="9"/>
  <c r="AF1351" i="9"/>
  <c r="AB1351" i="9"/>
  <c r="V1351" i="9"/>
  <c r="R1351" i="9"/>
  <c r="AK1351" i="9" s="1"/>
  <c r="I1351" i="9"/>
  <c r="K1351" i="9" s="1"/>
  <c r="L1351" i="9" s="1"/>
  <c r="AM1350" i="9"/>
  <c r="AN1350" i="9" s="1"/>
  <c r="AK1350" i="9"/>
  <c r="AL1350" i="9" s="1"/>
  <c r="AF1350" i="9"/>
  <c r="AB1350" i="9"/>
  <c r="V1350" i="9"/>
  <c r="R1350" i="9"/>
  <c r="I1350" i="9"/>
  <c r="K1350" i="9" s="1"/>
  <c r="L1350" i="9" s="1"/>
  <c r="AF1349" i="9"/>
  <c r="AE1349" i="9"/>
  <c r="AM1349" i="9" s="1"/>
  <c r="AN1349" i="9" s="1"/>
  <c r="AB1349" i="9"/>
  <c r="AA1349" i="9"/>
  <c r="V1349" i="9"/>
  <c r="U1349" i="9"/>
  <c r="R1349" i="9"/>
  <c r="Q1349" i="9"/>
  <c r="I1349" i="9"/>
  <c r="K1349" i="9" s="1"/>
  <c r="L1349" i="9" s="1"/>
  <c r="AF1348" i="9"/>
  <c r="AE1348" i="9"/>
  <c r="AB1348" i="9"/>
  <c r="AA1348" i="9"/>
  <c r="V1348" i="9"/>
  <c r="U1348" i="9"/>
  <c r="R1348" i="9"/>
  <c r="AK1348" i="9" s="1"/>
  <c r="AL1348" i="9" s="1"/>
  <c r="Q1348" i="9"/>
  <c r="I1348" i="9"/>
  <c r="K1348" i="9" s="1"/>
  <c r="L1348" i="9" s="1"/>
  <c r="AF1347" i="9"/>
  <c r="AE1347" i="9"/>
  <c r="AB1347" i="9"/>
  <c r="AA1347" i="9"/>
  <c r="V1347" i="9"/>
  <c r="U1347" i="9"/>
  <c r="R1347" i="9"/>
  <c r="Q1347" i="9"/>
  <c r="I1347" i="9"/>
  <c r="K1347" i="9" s="1"/>
  <c r="L1347" i="9" s="1"/>
  <c r="AF1346" i="9"/>
  <c r="AE1346" i="9"/>
  <c r="AB1346" i="9"/>
  <c r="AA1346" i="9"/>
  <c r="V1346" i="9"/>
  <c r="U1346" i="9"/>
  <c r="R1346" i="9"/>
  <c r="Q1346" i="9"/>
  <c r="AM1346" i="9" s="1"/>
  <c r="AN1346" i="9" s="1"/>
  <c r="I1346" i="9"/>
  <c r="K1346" i="9" s="1"/>
  <c r="L1346" i="9" s="1"/>
  <c r="AM1345" i="9"/>
  <c r="AN1345" i="9" s="1"/>
  <c r="AK1345" i="9"/>
  <c r="AL1345" i="9" s="1"/>
  <c r="AF1345" i="9"/>
  <c r="AB1345" i="9"/>
  <c r="V1345" i="9"/>
  <c r="R1345" i="9"/>
  <c r="K1345" i="9"/>
  <c r="L1345" i="9" s="1"/>
  <c r="I1345" i="9"/>
  <c r="AF1344" i="9"/>
  <c r="AE1344" i="9"/>
  <c r="AB1344" i="9"/>
  <c r="AA1344" i="9"/>
  <c r="V1344" i="9"/>
  <c r="U1344" i="9"/>
  <c r="R1344" i="9"/>
  <c r="AK1344" i="9" s="1"/>
  <c r="AL1344" i="9" s="1"/>
  <c r="Q1344" i="9"/>
  <c r="K1344" i="9"/>
  <c r="L1344" i="9" s="1"/>
  <c r="I1344" i="9"/>
  <c r="AM1343" i="9"/>
  <c r="AN1343" i="9" s="1"/>
  <c r="AF1343" i="9"/>
  <c r="AB1343" i="9"/>
  <c r="V1343" i="9"/>
  <c r="R1343" i="9"/>
  <c r="K1343" i="9"/>
  <c r="L1343" i="9" s="1"/>
  <c r="I1343" i="9"/>
  <c r="AF1342" i="9"/>
  <c r="AE1342" i="9"/>
  <c r="AB1342" i="9"/>
  <c r="AA1342" i="9"/>
  <c r="V1342" i="9"/>
  <c r="U1342" i="9"/>
  <c r="R1342" i="9"/>
  <c r="Q1342" i="9"/>
  <c r="I1342" i="9"/>
  <c r="K1342" i="9" s="1"/>
  <c r="L1342" i="9" s="1"/>
  <c r="AM1341" i="9"/>
  <c r="AN1341" i="9" s="1"/>
  <c r="AL1341" i="9"/>
  <c r="AK1341" i="9"/>
  <c r="K1341" i="9"/>
  <c r="L1341" i="9" s="1"/>
  <c r="I1341" i="9"/>
  <c r="AF1340" i="9"/>
  <c r="AE1340" i="9"/>
  <c r="AB1340" i="9"/>
  <c r="AA1340" i="9"/>
  <c r="V1340" i="9"/>
  <c r="U1340" i="9"/>
  <c r="R1340" i="9"/>
  <c r="AK1340" i="9" s="1"/>
  <c r="AL1340" i="9" s="1"/>
  <c r="Q1340" i="9"/>
  <c r="I1340" i="9"/>
  <c r="K1340" i="9" s="1"/>
  <c r="L1340" i="9" s="1"/>
  <c r="AF1339" i="9"/>
  <c r="AE1339" i="9"/>
  <c r="AB1339" i="9"/>
  <c r="AA1339" i="9"/>
  <c r="V1339" i="9"/>
  <c r="U1339" i="9"/>
  <c r="R1339" i="9"/>
  <c r="Q1339" i="9"/>
  <c r="I1339" i="9"/>
  <c r="K1339" i="9" s="1"/>
  <c r="L1339" i="9" s="1"/>
  <c r="AF1338" i="9"/>
  <c r="AK1338" i="9" s="1"/>
  <c r="AL1338" i="9" s="1"/>
  <c r="AE1338" i="9"/>
  <c r="AB1338" i="9"/>
  <c r="AA1338" i="9"/>
  <c r="V1338" i="9"/>
  <c r="U1338" i="9"/>
  <c r="R1338" i="9"/>
  <c r="Q1338" i="9"/>
  <c r="L1338" i="9"/>
  <c r="K1338" i="9"/>
  <c r="I1338" i="9"/>
  <c r="AM1337" i="9"/>
  <c r="AN1337" i="9" s="1"/>
  <c r="AF1337" i="9"/>
  <c r="AB1337" i="9"/>
  <c r="V1337" i="9"/>
  <c r="R1337" i="9"/>
  <c r="I1337" i="9"/>
  <c r="K1337" i="9" s="1"/>
  <c r="L1337" i="9" s="1"/>
  <c r="AF1336" i="9"/>
  <c r="AE1336" i="9"/>
  <c r="AB1336" i="9"/>
  <c r="AA1336" i="9"/>
  <c r="V1336" i="9"/>
  <c r="U1336" i="9"/>
  <c r="R1336" i="9"/>
  <c r="Q1336" i="9"/>
  <c r="K1336" i="9"/>
  <c r="L1336" i="9" s="1"/>
  <c r="I1336" i="9"/>
  <c r="AF1335" i="9"/>
  <c r="AE1335" i="9"/>
  <c r="AB1335" i="9"/>
  <c r="AA1335" i="9"/>
  <c r="V1335" i="9"/>
  <c r="U1335" i="9"/>
  <c r="R1335" i="9"/>
  <c r="Q1335" i="9"/>
  <c r="AM1335" i="9" s="1"/>
  <c r="AN1335" i="9" s="1"/>
  <c r="K1335" i="9"/>
  <c r="L1335" i="9" s="1"/>
  <c r="I1335" i="9"/>
  <c r="AF1334" i="9"/>
  <c r="AK1334" i="9" s="1"/>
  <c r="AL1334" i="9" s="1"/>
  <c r="AE1334" i="9"/>
  <c r="AB1334" i="9"/>
  <c r="AA1334" i="9"/>
  <c r="V1334" i="9"/>
  <c r="U1334" i="9"/>
  <c r="R1334" i="9"/>
  <c r="Q1334" i="9"/>
  <c r="I1334" i="9"/>
  <c r="K1334" i="9" s="1"/>
  <c r="L1334" i="9" s="1"/>
  <c r="AM1333" i="9"/>
  <c r="AN1333" i="9" s="1"/>
  <c r="AK1333" i="9"/>
  <c r="AL1333" i="9" s="1"/>
  <c r="I1333" i="9"/>
  <c r="K1333" i="9" s="1"/>
  <c r="L1333" i="9" s="1"/>
  <c r="AN1332" i="9"/>
  <c r="AM1332" i="9"/>
  <c r="AK1332" i="9"/>
  <c r="AL1332" i="9" s="1"/>
  <c r="I1332" i="9"/>
  <c r="K1332" i="9" s="1"/>
  <c r="L1332" i="9" s="1"/>
  <c r="AM1331" i="9"/>
  <c r="AN1331" i="9" s="1"/>
  <c r="AK1331" i="9"/>
  <c r="AL1331" i="9" s="1"/>
  <c r="I1331" i="9"/>
  <c r="K1331" i="9" s="1"/>
  <c r="L1331" i="9" s="1"/>
  <c r="AM1330" i="9"/>
  <c r="AN1330" i="9" s="1"/>
  <c r="AK1330" i="9"/>
  <c r="AL1330" i="9" s="1"/>
  <c r="I1330" i="9"/>
  <c r="K1330" i="9" s="1"/>
  <c r="L1330" i="9" s="1"/>
  <c r="AM1329" i="9"/>
  <c r="AN1329" i="9" s="1"/>
  <c r="AK1329" i="9"/>
  <c r="AL1329" i="9" s="1"/>
  <c r="I1329" i="9"/>
  <c r="K1329" i="9" s="1"/>
  <c r="L1329" i="9" s="1"/>
  <c r="AM1328" i="9"/>
  <c r="AN1328" i="9" s="1"/>
  <c r="AK1328" i="9"/>
  <c r="AL1328" i="9" s="1"/>
  <c r="I1328" i="9"/>
  <c r="K1328" i="9" s="1"/>
  <c r="L1328" i="9" s="1"/>
  <c r="AM1327" i="9"/>
  <c r="AN1327" i="9" s="1"/>
  <c r="AL1327" i="9"/>
  <c r="AK1327" i="9"/>
  <c r="I1327" i="9"/>
  <c r="K1327" i="9" s="1"/>
  <c r="L1327" i="9" s="1"/>
  <c r="AM1326" i="9"/>
  <c r="AN1326" i="9" s="1"/>
  <c r="AK1326" i="9"/>
  <c r="AL1326" i="9" s="1"/>
  <c r="I1326" i="9"/>
  <c r="K1326" i="9" s="1"/>
  <c r="L1326" i="9" s="1"/>
  <c r="AM1325" i="9"/>
  <c r="AN1325" i="9" s="1"/>
  <c r="AK1325" i="9"/>
  <c r="AL1325" i="9" s="1"/>
  <c r="I1325" i="9"/>
  <c r="K1325" i="9" s="1"/>
  <c r="L1325" i="9" s="1"/>
  <c r="AM1324" i="9"/>
  <c r="AN1324" i="9" s="1"/>
  <c r="AK1324" i="9"/>
  <c r="AL1324" i="9" s="1"/>
  <c r="I1324" i="9"/>
  <c r="K1324" i="9" s="1"/>
  <c r="L1324" i="9" s="1"/>
  <c r="AM1323" i="9"/>
  <c r="AN1323" i="9" s="1"/>
  <c r="AK1323" i="9"/>
  <c r="AL1323" i="9" s="1"/>
  <c r="I1323" i="9"/>
  <c r="K1323" i="9" s="1"/>
  <c r="L1323" i="9" s="1"/>
  <c r="AM1322" i="9"/>
  <c r="AN1322" i="9" s="1"/>
  <c r="AK1322" i="9"/>
  <c r="AL1322" i="9" s="1"/>
  <c r="K1322" i="9"/>
  <c r="L1322" i="9" s="1"/>
  <c r="I1322" i="9"/>
  <c r="AM1321" i="9"/>
  <c r="AN1321" i="9" s="1"/>
  <c r="AL1321" i="9"/>
  <c r="AK1321" i="9"/>
  <c r="I1321" i="9"/>
  <c r="K1321" i="9" s="1"/>
  <c r="L1321" i="9" s="1"/>
  <c r="AM1320" i="9"/>
  <c r="AN1320" i="9" s="1"/>
  <c r="AL1320" i="9"/>
  <c r="AK1320" i="9"/>
  <c r="I1320" i="9"/>
  <c r="K1320" i="9" s="1"/>
  <c r="L1320" i="9" s="1"/>
  <c r="AM1319" i="9"/>
  <c r="AN1319" i="9" s="1"/>
  <c r="AK1319" i="9"/>
  <c r="AL1319" i="9" s="1"/>
  <c r="L1319" i="9"/>
  <c r="I1319" i="9"/>
  <c r="K1319" i="9" s="1"/>
  <c r="AN1318" i="9"/>
  <c r="AM1318" i="9"/>
  <c r="AK1318" i="9"/>
  <c r="AL1318" i="9" s="1"/>
  <c r="K1318" i="9"/>
  <c r="L1318" i="9" s="1"/>
  <c r="I1318" i="9"/>
  <c r="AM1317" i="9"/>
  <c r="AN1317" i="9" s="1"/>
  <c r="AK1317" i="9"/>
  <c r="AL1317" i="9" s="1"/>
  <c r="I1317" i="9"/>
  <c r="K1317" i="9" s="1"/>
  <c r="L1317" i="9" s="1"/>
  <c r="AN1316" i="9"/>
  <c r="AM1316" i="9"/>
  <c r="AK1316" i="9"/>
  <c r="AL1316" i="9" s="1"/>
  <c r="K1316" i="9"/>
  <c r="L1316" i="9" s="1"/>
  <c r="I1316" i="9"/>
  <c r="AM1315" i="9"/>
  <c r="AN1315" i="9" s="1"/>
  <c r="AK1315" i="9"/>
  <c r="AL1315" i="9" s="1"/>
  <c r="I1315" i="9"/>
  <c r="K1315" i="9" s="1"/>
  <c r="L1315" i="9" s="1"/>
  <c r="AN1314" i="9"/>
  <c r="AM1314" i="9"/>
  <c r="AK1314" i="9"/>
  <c r="AL1314" i="9" s="1"/>
  <c r="I1314" i="9"/>
  <c r="K1314" i="9" s="1"/>
  <c r="L1314" i="9" s="1"/>
  <c r="AN1313" i="9"/>
  <c r="AM1313" i="9"/>
  <c r="AL1313" i="9"/>
  <c r="AK1313" i="9"/>
  <c r="I1313" i="9"/>
  <c r="K1313" i="9" s="1"/>
  <c r="L1313" i="9" s="1"/>
  <c r="AM1312" i="9"/>
  <c r="AN1312" i="9" s="1"/>
  <c r="AK1312" i="9"/>
  <c r="AL1312" i="9" s="1"/>
  <c r="I1312" i="9"/>
  <c r="K1312" i="9" s="1"/>
  <c r="L1312" i="9" s="1"/>
  <c r="AM1311" i="9"/>
  <c r="AN1311" i="9" s="1"/>
  <c r="AK1311" i="9"/>
  <c r="AL1311" i="9" s="1"/>
  <c r="L1311" i="9"/>
  <c r="I1311" i="9"/>
  <c r="K1311" i="9" s="1"/>
  <c r="AM1310" i="9"/>
  <c r="AN1310" i="9" s="1"/>
  <c r="AK1310" i="9"/>
  <c r="AL1310" i="9" s="1"/>
  <c r="I1310" i="9"/>
  <c r="K1310" i="9" s="1"/>
  <c r="L1310" i="9" s="1"/>
  <c r="AM1309" i="9"/>
  <c r="AN1309" i="9" s="1"/>
  <c r="AK1309" i="9"/>
  <c r="AL1309" i="9" s="1"/>
  <c r="L1309" i="9"/>
  <c r="I1309" i="9"/>
  <c r="K1309" i="9" s="1"/>
  <c r="AM1308" i="9"/>
  <c r="AN1308" i="9" s="1"/>
  <c r="AL1308" i="9"/>
  <c r="AK1308" i="9"/>
  <c r="I1308" i="9"/>
  <c r="K1308" i="9" s="1"/>
  <c r="L1308" i="9" s="1"/>
  <c r="AN1307" i="9"/>
  <c r="AM1307" i="9"/>
  <c r="AL1307" i="9"/>
  <c r="AK1307" i="9"/>
  <c r="I1307" i="9"/>
  <c r="K1307" i="9" s="1"/>
  <c r="L1307" i="9" s="1"/>
  <c r="AM1306" i="9"/>
  <c r="AN1306" i="9" s="1"/>
  <c r="AK1306" i="9"/>
  <c r="AL1306" i="9" s="1"/>
  <c r="I1306" i="9"/>
  <c r="K1306" i="9" s="1"/>
  <c r="L1306" i="9" s="1"/>
  <c r="AN1305" i="9"/>
  <c r="AM1305" i="9"/>
  <c r="AK1305" i="9"/>
  <c r="AL1305" i="9" s="1"/>
  <c r="K1305" i="9"/>
  <c r="L1305" i="9" s="1"/>
  <c r="I1305" i="9"/>
  <c r="AM1304" i="9"/>
  <c r="AN1304" i="9" s="1"/>
  <c r="AK1304" i="9"/>
  <c r="AL1304" i="9" s="1"/>
  <c r="K1304" i="9"/>
  <c r="L1304" i="9" s="1"/>
  <c r="I1304" i="9"/>
  <c r="AM1303" i="9"/>
  <c r="AN1303" i="9" s="1"/>
  <c r="AK1303" i="9"/>
  <c r="AL1303" i="9" s="1"/>
  <c r="K1303" i="9"/>
  <c r="L1303" i="9" s="1"/>
  <c r="I1303" i="9"/>
  <c r="AM1302" i="9"/>
  <c r="AN1302" i="9" s="1"/>
  <c r="AK1302" i="9"/>
  <c r="AL1302" i="9" s="1"/>
  <c r="I1302" i="9"/>
  <c r="K1302" i="9" s="1"/>
  <c r="L1302" i="9" s="1"/>
  <c r="AM1301" i="9"/>
  <c r="AN1301" i="9" s="1"/>
  <c r="AL1301" i="9"/>
  <c r="AK1301" i="9"/>
  <c r="I1301" i="9"/>
  <c r="K1301" i="9" s="1"/>
  <c r="L1301" i="9" s="1"/>
  <c r="AM1300" i="9"/>
  <c r="AN1300" i="9" s="1"/>
  <c r="AK1300" i="9"/>
  <c r="AL1300" i="9" s="1"/>
  <c r="I1300" i="9"/>
  <c r="K1300" i="9" s="1"/>
  <c r="L1300" i="9" s="1"/>
  <c r="AM1299" i="9"/>
  <c r="AN1299" i="9" s="1"/>
  <c r="AK1299" i="9"/>
  <c r="AL1299" i="9" s="1"/>
  <c r="L1299" i="9"/>
  <c r="I1299" i="9"/>
  <c r="K1299" i="9" s="1"/>
  <c r="AM1298" i="9"/>
  <c r="AN1298" i="9" s="1"/>
  <c r="AF1298" i="9"/>
  <c r="AB1298" i="9"/>
  <c r="V1298" i="9"/>
  <c r="R1298" i="9"/>
  <c r="I1298" i="9"/>
  <c r="K1298" i="9" s="1"/>
  <c r="L1298" i="9" s="1"/>
  <c r="AM1297" i="9"/>
  <c r="AN1297" i="9" s="1"/>
  <c r="AF1297" i="9"/>
  <c r="AB1297" i="9"/>
  <c r="V1297" i="9"/>
  <c r="R1297" i="9"/>
  <c r="I1297" i="9"/>
  <c r="K1297" i="9" s="1"/>
  <c r="L1297" i="9" s="1"/>
  <c r="AM1296" i="9"/>
  <c r="AN1296" i="9" s="1"/>
  <c r="AF1296" i="9"/>
  <c r="AB1296" i="9"/>
  <c r="V1296" i="9"/>
  <c r="R1296" i="9"/>
  <c r="K1296" i="9"/>
  <c r="L1296" i="9" s="1"/>
  <c r="I1296" i="9"/>
  <c r="AM1295" i="9"/>
  <c r="AN1295" i="9" s="1"/>
  <c r="AF1295" i="9"/>
  <c r="AB1295" i="9"/>
  <c r="V1295" i="9"/>
  <c r="R1295" i="9"/>
  <c r="AK1295" i="9" s="1"/>
  <c r="AL1295" i="9" s="1"/>
  <c r="I1295" i="9"/>
  <c r="K1295" i="9" s="1"/>
  <c r="L1295" i="9" s="1"/>
  <c r="AM1294" i="9"/>
  <c r="AN1294" i="9" s="1"/>
  <c r="AF1294" i="9"/>
  <c r="AB1294" i="9"/>
  <c r="AK1294" i="9" s="1"/>
  <c r="AL1294" i="9" s="1"/>
  <c r="V1294" i="9"/>
  <c r="R1294" i="9"/>
  <c r="I1294" i="9"/>
  <c r="K1294" i="9" s="1"/>
  <c r="L1294" i="9" s="1"/>
  <c r="AN1293" i="9"/>
  <c r="AM1293" i="9"/>
  <c r="AL1293" i="9"/>
  <c r="AK1293" i="9"/>
  <c r="L1293" i="9"/>
  <c r="I1293" i="9"/>
  <c r="K1293" i="9" s="1"/>
  <c r="AM1292" i="9"/>
  <c r="AN1292" i="9" s="1"/>
  <c r="AF1292" i="9"/>
  <c r="AB1292" i="9"/>
  <c r="V1292" i="9"/>
  <c r="R1292" i="9"/>
  <c r="I1292" i="9"/>
  <c r="K1292" i="9" s="1"/>
  <c r="L1292" i="9" s="1"/>
  <c r="AM1291" i="9"/>
  <c r="AN1291" i="9" s="1"/>
  <c r="AF1291" i="9"/>
  <c r="AB1291" i="9"/>
  <c r="V1291" i="9"/>
  <c r="R1291" i="9"/>
  <c r="I1291" i="9"/>
  <c r="K1291" i="9" s="1"/>
  <c r="L1291" i="9" s="1"/>
  <c r="AM1290" i="9"/>
  <c r="AN1290" i="9" s="1"/>
  <c r="AF1290" i="9"/>
  <c r="AB1290" i="9"/>
  <c r="V1290" i="9"/>
  <c r="AK1290" i="9" s="1"/>
  <c r="AL1290" i="9" s="1"/>
  <c r="R1290" i="9"/>
  <c r="I1290" i="9"/>
  <c r="K1290" i="9" s="1"/>
  <c r="L1290" i="9" s="1"/>
  <c r="AM1289" i="9"/>
  <c r="AN1289" i="9" s="1"/>
  <c r="AK1289" i="9"/>
  <c r="AL1289" i="9" s="1"/>
  <c r="AF1289" i="9"/>
  <c r="AB1289" i="9"/>
  <c r="V1289" i="9"/>
  <c r="R1289" i="9"/>
  <c r="L1289" i="9"/>
  <c r="I1289" i="9"/>
  <c r="K1289" i="9" s="1"/>
  <c r="AM1288" i="9"/>
  <c r="AN1288" i="9" s="1"/>
  <c r="AF1288" i="9"/>
  <c r="AB1288" i="9"/>
  <c r="V1288" i="9"/>
  <c r="R1288" i="9"/>
  <c r="I1288" i="9"/>
  <c r="K1288" i="9" s="1"/>
  <c r="L1288" i="9" s="1"/>
  <c r="AF1287" i="9"/>
  <c r="AE1287" i="9"/>
  <c r="AB1287" i="9"/>
  <c r="AA1287" i="9"/>
  <c r="V1287" i="9"/>
  <c r="U1287" i="9"/>
  <c r="R1287" i="9"/>
  <c r="Q1287" i="9"/>
  <c r="I1287" i="9"/>
  <c r="K1287" i="9" s="1"/>
  <c r="L1287" i="9" s="1"/>
  <c r="AF1286" i="9"/>
  <c r="AE1286" i="9"/>
  <c r="AB1286" i="9"/>
  <c r="AK1286" i="9" s="1"/>
  <c r="AL1286" i="9" s="1"/>
  <c r="AA1286" i="9"/>
  <c r="V1286" i="9"/>
  <c r="U1286" i="9"/>
  <c r="R1286" i="9"/>
  <c r="Q1286" i="9"/>
  <c r="I1286" i="9"/>
  <c r="K1286" i="9" s="1"/>
  <c r="L1286" i="9" s="1"/>
  <c r="AF1285" i="9"/>
  <c r="AE1285" i="9"/>
  <c r="AB1285" i="9"/>
  <c r="AA1285" i="9"/>
  <c r="V1285" i="9"/>
  <c r="U1285" i="9"/>
  <c r="R1285" i="9"/>
  <c r="Q1285" i="9"/>
  <c r="I1285" i="9"/>
  <c r="K1285" i="9" s="1"/>
  <c r="L1285" i="9" s="1"/>
  <c r="AM1284" i="9"/>
  <c r="AN1284" i="9" s="1"/>
  <c r="AK1284" i="9"/>
  <c r="AL1284" i="9" s="1"/>
  <c r="K1284" i="9"/>
  <c r="L1284" i="9" s="1"/>
  <c r="I1284" i="9"/>
  <c r="AM1283" i="9"/>
  <c r="AN1283" i="9" s="1"/>
  <c r="AK1283" i="9"/>
  <c r="AL1283" i="9" s="1"/>
  <c r="K1283" i="9"/>
  <c r="L1283" i="9" s="1"/>
  <c r="I1283" i="9"/>
  <c r="AN1282" i="9"/>
  <c r="AM1282" i="9"/>
  <c r="AK1282" i="9"/>
  <c r="AL1282" i="9" s="1"/>
  <c r="I1282" i="9"/>
  <c r="K1282" i="9" s="1"/>
  <c r="L1282" i="9" s="1"/>
  <c r="AM1281" i="9"/>
  <c r="AN1281" i="9" s="1"/>
  <c r="AF1281" i="9"/>
  <c r="AB1281" i="9"/>
  <c r="V1281" i="9"/>
  <c r="R1281" i="9"/>
  <c r="I1281" i="9"/>
  <c r="K1281" i="9" s="1"/>
  <c r="L1281" i="9" s="1"/>
  <c r="AF1280" i="9"/>
  <c r="AE1280" i="9"/>
  <c r="AB1280" i="9"/>
  <c r="AA1280" i="9"/>
  <c r="V1280" i="9"/>
  <c r="U1280" i="9"/>
  <c r="R1280" i="9"/>
  <c r="Q1280" i="9"/>
  <c r="I1280" i="9"/>
  <c r="K1280" i="9" s="1"/>
  <c r="L1280" i="9" s="1"/>
  <c r="AN1279" i="9"/>
  <c r="AM1279" i="9"/>
  <c r="AF1279" i="9"/>
  <c r="AB1279" i="9"/>
  <c r="AK1279" i="9" s="1"/>
  <c r="AL1279" i="9" s="1"/>
  <c r="V1279" i="9"/>
  <c r="R1279" i="9"/>
  <c r="I1279" i="9"/>
  <c r="K1279" i="9" s="1"/>
  <c r="L1279" i="9" s="1"/>
  <c r="AM1278" i="9"/>
  <c r="AN1278" i="9" s="1"/>
  <c r="AF1278" i="9"/>
  <c r="AB1278" i="9"/>
  <c r="V1278" i="9"/>
  <c r="R1278" i="9"/>
  <c r="AK1278" i="9" s="1"/>
  <c r="AL1278" i="9" s="1"/>
  <c r="I1278" i="9"/>
  <c r="K1278" i="9" s="1"/>
  <c r="L1278" i="9" s="1"/>
  <c r="AM1277" i="9"/>
  <c r="AN1277" i="9" s="1"/>
  <c r="AF1277" i="9"/>
  <c r="AB1277" i="9"/>
  <c r="V1277" i="9"/>
  <c r="R1277" i="9"/>
  <c r="I1277" i="9"/>
  <c r="K1277" i="9" s="1"/>
  <c r="L1277" i="9" s="1"/>
  <c r="AM1276" i="9"/>
  <c r="AN1276" i="9" s="1"/>
  <c r="AF1276" i="9"/>
  <c r="AB1276" i="9"/>
  <c r="V1276" i="9"/>
  <c r="R1276" i="9"/>
  <c r="AK1276" i="9" s="1"/>
  <c r="AL1276" i="9" s="1"/>
  <c r="I1276" i="9"/>
  <c r="K1276" i="9" s="1"/>
  <c r="L1276" i="9" s="1"/>
  <c r="AF1275" i="9"/>
  <c r="AE1275" i="9"/>
  <c r="AB1275" i="9"/>
  <c r="AA1275" i="9"/>
  <c r="V1275" i="9"/>
  <c r="U1275" i="9"/>
  <c r="R1275" i="9"/>
  <c r="Q1275" i="9"/>
  <c r="L1275" i="9"/>
  <c r="I1275" i="9"/>
  <c r="K1275" i="9" s="1"/>
  <c r="AF1274" i="9"/>
  <c r="AE1274" i="9"/>
  <c r="AB1274" i="9"/>
  <c r="AA1274" i="9"/>
  <c r="V1274" i="9"/>
  <c r="U1274" i="9"/>
  <c r="R1274" i="9"/>
  <c r="Q1274" i="9"/>
  <c r="K1274" i="9"/>
  <c r="L1274" i="9" s="1"/>
  <c r="I1274" i="9"/>
  <c r="AF1273" i="9"/>
  <c r="AE1273" i="9"/>
  <c r="AB1273" i="9"/>
  <c r="AA1273" i="9"/>
  <c r="V1273" i="9"/>
  <c r="U1273" i="9"/>
  <c r="R1273" i="9"/>
  <c r="Q1273" i="9"/>
  <c r="I1273" i="9"/>
  <c r="K1273" i="9" s="1"/>
  <c r="L1273" i="9" s="1"/>
  <c r="AM1272" i="9"/>
  <c r="AN1272" i="9" s="1"/>
  <c r="AF1272" i="9"/>
  <c r="AB1272" i="9"/>
  <c r="V1272" i="9"/>
  <c r="R1272" i="9"/>
  <c r="K1272" i="9"/>
  <c r="L1272" i="9" s="1"/>
  <c r="I1272" i="9"/>
  <c r="AM1271" i="9"/>
  <c r="AN1271" i="9" s="1"/>
  <c r="AF1271" i="9"/>
  <c r="AB1271" i="9"/>
  <c r="V1271" i="9"/>
  <c r="AK1271" i="9" s="1"/>
  <c r="AL1271" i="9" s="1"/>
  <c r="R1271" i="9"/>
  <c r="I1271" i="9"/>
  <c r="K1271" i="9" s="1"/>
  <c r="L1271" i="9" s="1"/>
  <c r="AF1270" i="9"/>
  <c r="AE1270" i="9"/>
  <c r="AB1270" i="9"/>
  <c r="AA1270" i="9"/>
  <c r="V1270" i="9"/>
  <c r="U1270" i="9"/>
  <c r="R1270" i="9"/>
  <c r="Q1270" i="9"/>
  <c r="K1270" i="9"/>
  <c r="L1270" i="9" s="1"/>
  <c r="I1270" i="9"/>
  <c r="AM1269" i="9"/>
  <c r="AN1269" i="9" s="1"/>
  <c r="AF1269" i="9"/>
  <c r="AB1269" i="9"/>
  <c r="V1269" i="9"/>
  <c r="R1269" i="9"/>
  <c r="I1269" i="9"/>
  <c r="K1269" i="9" s="1"/>
  <c r="L1269" i="9" s="1"/>
  <c r="AF1268" i="9"/>
  <c r="AE1268" i="9"/>
  <c r="AB1268" i="9"/>
  <c r="AA1268" i="9"/>
  <c r="V1268" i="9"/>
  <c r="U1268" i="9"/>
  <c r="R1268" i="9"/>
  <c r="Q1268" i="9"/>
  <c r="I1268" i="9"/>
  <c r="K1268" i="9" s="1"/>
  <c r="L1268" i="9" s="1"/>
  <c r="AF1267" i="9"/>
  <c r="AE1267" i="9"/>
  <c r="AB1267" i="9"/>
  <c r="AA1267" i="9"/>
  <c r="V1267" i="9"/>
  <c r="U1267" i="9"/>
  <c r="R1267" i="9"/>
  <c r="AK1267" i="9" s="1"/>
  <c r="AL1267" i="9" s="1"/>
  <c r="Q1267" i="9"/>
  <c r="I1267" i="9"/>
  <c r="K1267" i="9" s="1"/>
  <c r="L1267" i="9" s="1"/>
  <c r="AN1266" i="9"/>
  <c r="AM1266" i="9"/>
  <c r="AF1266" i="9"/>
  <c r="AB1266" i="9"/>
  <c r="V1266" i="9"/>
  <c r="R1266" i="9"/>
  <c r="I1266" i="9"/>
  <c r="K1266" i="9" s="1"/>
  <c r="L1266" i="9" s="1"/>
  <c r="AM1265" i="9"/>
  <c r="AN1265" i="9" s="1"/>
  <c r="AF1265" i="9"/>
  <c r="AB1265" i="9"/>
  <c r="V1265" i="9"/>
  <c r="R1265" i="9"/>
  <c r="I1265" i="9"/>
  <c r="K1265" i="9" s="1"/>
  <c r="L1265" i="9" s="1"/>
  <c r="AN1264" i="9"/>
  <c r="AM1264" i="9"/>
  <c r="AF1264" i="9"/>
  <c r="AB1264" i="9"/>
  <c r="V1264" i="9"/>
  <c r="R1264" i="9"/>
  <c r="I1264" i="9"/>
  <c r="K1264" i="9" s="1"/>
  <c r="L1264" i="9" s="1"/>
  <c r="AM1263" i="9"/>
  <c r="AN1263" i="9" s="1"/>
  <c r="AF1263" i="9"/>
  <c r="AK1263" i="9" s="1"/>
  <c r="AL1263" i="9" s="1"/>
  <c r="AB1263" i="9"/>
  <c r="V1263" i="9"/>
  <c r="R1263" i="9"/>
  <c r="L1263" i="9"/>
  <c r="I1263" i="9"/>
  <c r="K1263" i="9" s="1"/>
  <c r="AM1262" i="9"/>
  <c r="AN1262" i="9" s="1"/>
  <c r="AF1262" i="9"/>
  <c r="AB1262" i="9"/>
  <c r="V1262" i="9"/>
  <c r="R1262" i="9"/>
  <c r="K1262" i="9"/>
  <c r="L1262" i="9" s="1"/>
  <c r="I1262" i="9"/>
  <c r="AM1261" i="9"/>
  <c r="AN1261" i="9" s="1"/>
  <c r="AL1261" i="9"/>
  <c r="AK1261" i="9"/>
  <c r="I1261" i="9"/>
  <c r="K1261" i="9" s="1"/>
  <c r="L1261" i="9" s="1"/>
  <c r="AF1260" i="9"/>
  <c r="AE1260" i="9"/>
  <c r="AB1260" i="9"/>
  <c r="AA1260" i="9"/>
  <c r="V1260" i="9"/>
  <c r="U1260" i="9"/>
  <c r="R1260" i="9"/>
  <c r="Q1260" i="9"/>
  <c r="K1260" i="9"/>
  <c r="L1260" i="9" s="1"/>
  <c r="I1260" i="9"/>
  <c r="AM1259" i="9"/>
  <c r="AN1259" i="9" s="1"/>
  <c r="AF1259" i="9"/>
  <c r="AB1259" i="9"/>
  <c r="V1259" i="9"/>
  <c r="R1259" i="9"/>
  <c r="AK1259" i="9" s="1"/>
  <c r="AL1259" i="9" s="1"/>
  <c r="I1259" i="9"/>
  <c r="K1259" i="9" s="1"/>
  <c r="L1259" i="9" s="1"/>
  <c r="AM1258" i="9"/>
  <c r="AN1258" i="9" s="1"/>
  <c r="AK1258" i="9"/>
  <c r="AL1258" i="9" s="1"/>
  <c r="AF1258" i="9"/>
  <c r="AB1258" i="9"/>
  <c r="V1258" i="9"/>
  <c r="R1258" i="9"/>
  <c r="I1258" i="9"/>
  <c r="K1258" i="9" s="1"/>
  <c r="L1258" i="9" s="1"/>
  <c r="AF1257" i="9"/>
  <c r="AE1257" i="9"/>
  <c r="AB1257" i="9"/>
  <c r="AA1257" i="9"/>
  <c r="V1257" i="9"/>
  <c r="U1257" i="9"/>
  <c r="R1257" i="9"/>
  <c r="Q1257" i="9"/>
  <c r="I1257" i="9"/>
  <c r="K1257" i="9" s="1"/>
  <c r="L1257" i="9" s="1"/>
  <c r="AF1256" i="9"/>
  <c r="AE1256" i="9"/>
  <c r="AB1256" i="9"/>
  <c r="AA1256" i="9"/>
  <c r="V1256" i="9"/>
  <c r="U1256" i="9"/>
  <c r="R1256" i="9"/>
  <c r="AK1256" i="9" s="1"/>
  <c r="AL1256" i="9" s="1"/>
  <c r="Q1256" i="9"/>
  <c r="I1256" i="9"/>
  <c r="K1256" i="9" s="1"/>
  <c r="L1256" i="9" s="1"/>
  <c r="AF1255" i="9"/>
  <c r="AK1255" i="9" s="1"/>
  <c r="AL1255" i="9" s="1"/>
  <c r="AE1255" i="9"/>
  <c r="AB1255" i="9"/>
  <c r="AA1255" i="9"/>
  <c r="V1255" i="9"/>
  <c r="U1255" i="9"/>
  <c r="R1255" i="9"/>
  <c r="Q1255" i="9"/>
  <c r="I1255" i="9"/>
  <c r="K1255" i="9" s="1"/>
  <c r="L1255" i="9" s="1"/>
  <c r="AF1254" i="9"/>
  <c r="AE1254" i="9"/>
  <c r="AB1254" i="9"/>
  <c r="AA1254" i="9"/>
  <c r="V1254" i="9"/>
  <c r="U1254" i="9"/>
  <c r="R1254" i="9"/>
  <c r="Q1254" i="9"/>
  <c r="AM1254" i="9" s="1"/>
  <c r="AN1254" i="9" s="1"/>
  <c r="I1254" i="9"/>
  <c r="K1254" i="9" s="1"/>
  <c r="L1254" i="9" s="1"/>
  <c r="AF1253" i="9"/>
  <c r="AE1253" i="9"/>
  <c r="AB1253" i="9"/>
  <c r="AA1253" i="9"/>
  <c r="V1253" i="9"/>
  <c r="U1253" i="9"/>
  <c r="R1253" i="9"/>
  <c r="Q1253" i="9"/>
  <c r="I1253" i="9"/>
  <c r="K1253" i="9" s="1"/>
  <c r="L1253" i="9" s="1"/>
  <c r="AF1252" i="9"/>
  <c r="AE1252" i="9"/>
  <c r="AB1252" i="9"/>
  <c r="AA1252" i="9"/>
  <c r="V1252" i="9"/>
  <c r="U1252" i="9"/>
  <c r="R1252" i="9"/>
  <c r="Q1252" i="9"/>
  <c r="I1252" i="9"/>
  <c r="K1252" i="9" s="1"/>
  <c r="L1252" i="9" s="1"/>
  <c r="AM1251" i="9"/>
  <c r="AN1251" i="9" s="1"/>
  <c r="AK1251" i="9"/>
  <c r="AL1251" i="9" s="1"/>
  <c r="L1251" i="9"/>
  <c r="I1251" i="9"/>
  <c r="K1251" i="9" s="1"/>
  <c r="AM1250" i="9"/>
  <c r="J1250" i="9"/>
  <c r="D1250" i="9"/>
  <c r="AN1250" i="9" s="1"/>
  <c r="AM1249" i="9"/>
  <c r="AB1249" i="9"/>
  <c r="V1249" i="9"/>
  <c r="J1249" i="9"/>
  <c r="D1249" i="9"/>
  <c r="AN1249" i="9" s="1"/>
  <c r="AF1248" i="9"/>
  <c r="AE1248" i="9"/>
  <c r="AB1248" i="9"/>
  <c r="AA1248" i="9"/>
  <c r="V1248" i="9"/>
  <c r="U1248" i="9"/>
  <c r="R1248" i="9"/>
  <c r="Q1248" i="9"/>
  <c r="AM1248" i="9" s="1"/>
  <c r="AN1248" i="9" s="1"/>
  <c r="I1248" i="9"/>
  <c r="K1248" i="9" s="1"/>
  <c r="L1248" i="9" s="1"/>
  <c r="AM1247" i="9"/>
  <c r="AN1247" i="9" s="1"/>
  <c r="AK1247" i="9"/>
  <c r="AL1247" i="9" s="1"/>
  <c r="L1247" i="9"/>
  <c r="K1247" i="9"/>
  <c r="I1247" i="9"/>
  <c r="AF1246" i="9"/>
  <c r="AB1246" i="9"/>
  <c r="V1246" i="9"/>
  <c r="R1246" i="9"/>
  <c r="J1246" i="9"/>
  <c r="D1246" i="9"/>
  <c r="Q1246" i="9" s="1"/>
  <c r="AF1245" i="9"/>
  <c r="AE1245" i="9"/>
  <c r="AB1245" i="9"/>
  <c r="AA1245" i="9"/>
  <c r="V1245" i="9"/>
  <c r="U1245" i="9"/>
  <c r="R1245" i="9"/>
  <c r="Q1245" i="9"/>
  <c r="I1245" i="9"/>
  <c r="K1245" i="9" s="1"/>
  <c r="L1245" i="9" s="1"/>
  <c r="AM1244" i="9"/>
  <c r="AN1244" i="9" s="1"/>
  <c r="AK1244" i="9"/>
  <c r="AL1244" i="9" s="1"/>
  <c r="I1244" i="9"/>
  <c r="K1244" i="9" s="1"/>
  <c r="L1244" i="9" s="1"/>
  <c r="AN1243" i="9"/>
  <c r="AM1243" i="9"/>
  <c r="V1243" i="9"/>
  <c r="R1243" i="9"/>
  <c r="J1243" i="9"/>
  <c r="D1243" i="9"/>
  <c r="AM1242" i="9"/>
  <c r="V1242" i="9"/>
  <c r="J1242" i="9"/>
  <c r="D1242" i="9"/>
  <c r="AM1241" i="9"/>
  <c r="AN1241" i="9" s="1"/>
  <c r="AK1241" i="9"/>
  <c r="J1241" i="9"/>
  <c r="I1241" i="9" s="1"/>
  <c r="K1241" i="9" s="1"/>
  <c r="D1241" i="9"/>
  <c r="AM1240" i="9"/>
  <c r="J1240" i="9"/>
  <c r="D1240" i="9"/>
  <c r="U1239" i="9"/>
  <c r="J1239" i="9"/>
  <c r="I1239" i="9"/>
  <c r="D1239" i="9"/>
  <c r="AE1239" i="9" s="1"/>
  <c r="AM1238" i="9"/>
  <c r="J1238" i="9"/>
  <c r="D1238" i="9"/>
  <c r="J1237" i="9"/>
  <c r="D1237" i="9"/>
  <c r="AF1236" i="9"/>
  <c r="AE1236" i="9"/>
  <c r="AB1236" i="9"/>
  <c r="AA1236" i="9"/>
  <c r="V1236" i="9"/>
  <c r="U1236" i="9"/>
  <c r="R1236" i="9"/>
  <c r="Q1236" i="9"/>
  <c r="K1236" i="9"/>
  <c r="L1236" i="9" s="1"/>
  <c r="I1236" i="9"/>
  <c r="J1235" i="9"/>
  <c r="D1235" i="9"/>
  <c r="AM1234" i="9"/>
  <c r="AN1234" i="9" s="1"/>
  <c r="AF1234" i="9"/>
  <c r="AB1234" i="9"/>
  <c r="V1234" i="9"/>
  <c r="R1234" i="9"/>
  <c r="AK1234" i="9" s="1"/>
  <c r="AL1234" i="9" s="1"/>
  <c r="I1234" i="9"/>
  <c r="K1234" i="9" s="1"/>
  <c r="L1234" i="9" s="1"/>
  <c r="J1233" i="9"/>
  <c r="D1233" i="9"/>
  <c r="AM1232" i="9"/>
  <c r="J1232" i="9"/>
  <c r="D1232" i="9"/>
  <c r="AF1231" i="9"/>
  <c r="AE1231" i="9"/>
  <c r="AB1231" i="9"/>
  <c r="AA1231" i="9"/>
  <c r="V1231" i="9"/>
  <c r="U1231" i="9"/>
  <c r="AM1231" i="9" s="1"/>
  <c r="AN1231" i="9" s="1"/>
  <c r="R1231" i="9"/>
  <c r="Q1231" i="9"/>
  <c r="I1231" i="9"/>
  <c r="K1231" i="9" s="1"/>
  <c r="L1231" i="9" s="1"/>
  <c r="AM1230" i="9"/>
  <c r="AB1230" i="9"/>
  <c r="V1230" i="9"/>
  <c r="R1230" i="9"/>
  <c r="K1230" i="9"/>
  <c r="J1230" i="9"/>
  <c r="I1230" i="9"/>
  <c r="D1230" i="9"/>
  <c r="J1229" i="9"/>
  <c r="D1229" i="9"/>
  <c r="J1228" i="9"/>
  <c r="D1228" i="9"/>
  <c r="AM1227" i="9"/>
  <c r="V1227" i="9"/>
  <c r="R1227" i="9"/>
  <c r="J1227" i="9"/>
  <c r="I1227" i="9" s="1"/>
  <c r="D1227" i="9"/>
  <c r="AM1226" i="9"/>
  <c r="AF1226" i="9"/>
  <c r="V1226" i="9"/>
  <c r="J1226" i="9"/>
  <c r="D1226" i="9"/>
  <c r="AM1225" i="9"/>
  <c r="J1225" i="9"/>
  <c r="I1225" i="9" s="1"/>
  <c r="D1225" i="9"/>
  <c r="AF1224" i="9"/>
  <c r="AK1224" i="9" s="1"/>
  <c r="AL1224" i="9" s="1"/>
  <c r="AE1224" i="9"/>
  <c r="AB1224" i="9"/>
  <c r="AA1224" i="9"/>
  <c r="V1224" i="9"/>
  <c r="U1224" i="9"/>
  <c r="R1224" i="9"/>
  <c r="Q1224" i="9"/>
  <c r="AM1224" i="9" s="1"/>
  <c r="AN1224" i="9" s="1"/>
  <c r="I1224" i="9"/>
  <c r="K1224" i="9" s="1"/>
  <c r="L1224" i="9" s="1"/>
  <c r="AN1223" i="9"/>
  <c r="AM1223" i="9"/>
  <c r="K1223" i="9"/>
  <c r="L1223" i="9" s="1"/>
  <c r="J1223" i="9"/>
  <c r="I1223" i="9"/>
  <c r="D1223" i="9"/>
  <c r="AM1222" i="9"/>
  <c r="J1222" i="9"/>
  <c r="D1222" i="9"/>
  <c r="AE1221" i="9"/>
  <c r="AA1221" i="9"/>
  <c r="J1221" i="9"/>
  <c r="D1221" i="9"/>
  <c r="U1221" i="9" s="1"/>
  <c r="AM1220" i="9"/>
  <c r="J1220" i="9"/>
  <c r="D1220" i="9"/>
  <c r="AE1219" i="9"/>
  <c r="U1219" i="9"/>
  <c r="J1219" i="9"/>
  <c r="D1219" i="9"/>
  <c r="AA1219" i="9" s="1"/>
  <c r="AM1218" i="9"/>
  <c r="J1218" i="9"/>
  <c r="D1218" i="9"/>
  <c r="AN1217" i="9"/>
  <c r="AM1217" i="9"/>
  <c r="AL1217" i="9"/>
  <c r="AK1217" i="9"/>
  <c r="I1217" i="9"/>
  <c r="K1217" i="9" s="1"/>
  <c r="L1217" i="9" s="1"/>
  <c r="AE1216" i="9"/>
  <c r="U1216" i="9"/>
  <c r="J1216" i="9"/>
  <c r="D1216" i="9"/>
  <c r="AF1215" i="9"/>
  <c r="AE1215" i="9"/>
  <c r="AB1215" i="9"/>
  <c r="AA1215" i="9"/>
  <c r="V1215" i="9"/>
  <c r="U1215" i="9"/>
  <c r="R1215" i="9"/>
  <c r="Q1215" i="9"/>
  <c r="I1215" i="9"/>
  <c r="K1215" i="9" s="1"/>
  <c r="L1215" i="9" s="1"/>
  <c r="AM1214" i="9"/>
  <c r="AF1214" i="9"/>
  <c r="AB1214" i="9"/>
  <c r="V1214" i="9"/>
  <c r="R1214" i="9"/>
  <c r="J1214" i="9"/>
  <c r="I1214" i="9"/>
  <c r="K1214" i="9" s="1"/>
  <c r="L1214" i="9" s="1"/>
  <c r="D1214" i="9"/>
  <c r="AM1213" i="9"/>
  <c r="AF1213" i="9"/>
  <c r="AB1213" i="9"/>
  <c r="R1213" i="9"/>
  <c r="J1213" i="9"/>
  <c r="V1213" i="9" s="1"/>
  <c r="I1213" i="9"/>
  <c r="D1213" i="9"/>
  <c r="AM1212" i="9"/>
  <c r="AN1212" i="9" s="1"/>
  <c r="AF1212" i="9"/>
  <c r="AB1212" i="9"/>
  <c r="V1212" i="9"/>
  <c r="R1212" i="9"/>
  <c r="I1212" i="9"/>
  <c r="K1212" i="9" s="1"/>
  <c r="L1212" i="9" s="1"/>
  <c r="AM1211" i="9"/>
  <c r="AK1211" i="9"/>
  <c r="AL1211" i="9" s="1"/>
  <c r="AF1211" i="9"/>
  <c r="AB1211" i="9"/>
  <c r="V1211" i="9"/>
  <c r="J1211" i="9"/>
  <c r="R1211" i="9" s="1"/>
  <c r="D1211" i="9"/>
  <c r="AM1210" i="9"/>
  <c r="J1210" i="9"/>
  <c r="D1210" i="9"/>
  <c r="AN1209" i="9"/>
  <c r="AM1209" i="9"/>
  <c r="J1209" i="9"/>
  <c r="D1209" i="9"/>
  <c r="AM1208" i="9"/>
  <c r="R1208" i="9"/>
  <c r="J1208" i="9"/>
  <c r="D1208" i="9"/>
  <c r="AK1207" i="9"/>
  <c r="AL1207" i="9" s="1"/>
  <c r="AF1207" i="9"/>
  <c r="AE1207" i="9"/>
  <c r="AB1207" i="9"/>
  <c r="AA1207" i="9"/>
  <c r="V1207" i="9"/>
  <c r="U1207" i="9"/>
  <c r="R1207" i="9"/>
  <c r="Q1207" i="9"/>
  <c r="AM1207" i="9" s="1"/>
  <c r="AN1207" i="9" s="1"/>
  <c r="I1207" i="9"/>
  <c r="K1207" i="9" s="1"/>
  <c r="L1207" i="9" s="1"/>
  <c r="AM1206" i="9"/>
  <c r="AN1206" i="9" s="1"/>
  <c r="V1206" i="9"/>
  <c r="R1206" i="9"/>
  <c r="J1206" i="9"/>
  <c r="I1206" i="9" s="1"/>
  <c r="D1206" i="9"/>
  <c r="AF1205" i="9"/>
  <c r="AK1205" i="9" s="1"/>
  <c r="AL1205" i="9" s="1"/>
  <c r="AE1205" i="9"/>
  <c r="AB1205" i="9"/>
  <c r="AA1205" i="9"/>
  <c r="V1205" i="9"/>
  <c r="U1205" i="9"/>
  <c r="R1205" i="9"/>
  <c r="Q1205" i="9"/>
  <c r="I1205" i="9"/>
  <c r="K1205" i="9" s="1"/>
  <c r="L1205" i="9" s="1"/>
  <c r="AM1204" i="9"/>
  <c r="AF1204" i="9"/>
  <c r="AB1204" i="9"/>
  <c r="V1204" i="9"/>
  <c r="R1204" i="9"/>
  <c r="J1204" i="9"/>
  <c r="D1204" i="9"/>
  <c r="J1203" i="9"/>
  <c r="D1203" i="9"/>
  <c r="AF1202" i="9"/>
  <c r="AE1202" i="9"/>
  <c r="AB1202" i="9"/>
  <c r="AA1202" i="9"/>
  <c r="V1202" i="9"/>
  <c r="U1202" i="9"/>
  <c r="R1202" i="9"/>
  <c r="AK1202" i="9" s="1"/>
  <c r="AL1202" i="9" s="1"/>
  <c r="Q1202" i="9"/>
  <c r="K1202" i="9"/>
  <c r="L1202" i="9" s="1"/>
  <c r="AF1201" i="9"/>
  <c r="AE1201" i="9"/>
  <c r="AB1201" i="9"/>
  <c r="AA1201" i="9"/>
  <c r="V1201" i="9"/>
  <c r="U1201" i="9"/>
  <c r="R1201" i="9"/>
  <c r="AK1201" i="9" s="1"/>
  <c r="AL1201" i="9" s="1"/>
  <c r="Q1201" i="9"/>
  <c r="K1201" i="9"/>
  <c r="L1201" i="9" s="1"/>
  <c r="AM1200" i="9"/>
  <c r="AN1200" i="9" s="1"/>
  <c r="AK1200" i="9"/>
  <c r="AL1200" i="9" s="1"/>
  <c r="K1200" i="9"/>
  <c r="L1200" i="9" s="1"/>
  <c r="I1200" i="9"/>
  <c r="AM1199" i="9"/>
  <c r="AN1199" i="9" s="1"/>
  <c r="AK1199" i="9"/>
  <c r="AL1199" i="9" s="1"/>
  <c r="I1199" i="9"/>
  <c r="K1199" i="9" s="1"/>
  <c r="L1199" i="9" s="1"/>
  <c r="AM1198" i="9"/>
  <c r="J1198" i="9"/>
  <c r="D1198" i="9"/>
  <c r="AM1197" i="9"/>
  <c r="J1197" i="9"/>
  <c r="D1197" i="9"/>
  <c r="AM1196" i="9"/>
  <c r="AN1196" i="9" s="1"/>
  <c r="AF1196" i="9"/>
  <c r="V1196" i="9"/>
  <c r="J1196" i="9"/>
  <c r="AB1196" i="9" s="1"/>
  <c r="D1196" i="9"/>
  <c r="AM1195" i="9"/>
  <c r="AF1195" i="9"/>
  <c r="R1195" i="9"/>
  <c r="J1195" i="9"/>
  <c r="D1195" i="9"/>
  <c r="AN1195" i="9" s="1"/>
  <c r="AF1194" i="9"/>
  <c r="AB1194" i="9"/>
  <c r="U1194" i="9"/>
  <c r="R1194" i="9"/>
  <c r="J1194" i="9"/>
  <c r="V1194" i="9" s="1"/>
  <c r="D1194" i="9"/>
  <c r="AA1194" i="9" s="1"/>
  <c r="AF1193" i="9"/>
  <c r="AE1193" i="9"/>
  <c r="V1193" i="9"/>
  <c r="U1193" i="9"/>
  <c r="R1193" i="9"/>
  <c r="Q1193" i="9"/>
  <c r="J1193" i="9"/>
  <c r="D1193" i="9"/>
  <c r="U1192" i="9"/>
  <c r="Q1192" i="9"/>
  <c r="J1192" i="9"/>
  <c r="D1192" i="9"/>
  <c r="AF1191" i="9"/>
  <c r="AE1191" i="9"/>
  <c r="AB1191" i="9"/>
  <c r="AA1191" i="9"/>
  <c r="V1191" i="9"/>
  <c r="U1191" i="9"/>
  <c r="R1191" i="9"/>
  <c r="Q1191" i="9"/>
  <c r="K1191" i="9"/>
  <c r="L1191" i="9" s="1"/>
  <c r="AM1190" i="9"/>
  <c r="AN1190" i="9" s="1"/>
  <c r="AK1190" i="9"/>
  <c r="AL1190" i="9" s="1"/>
  <c r="I1190" i="9"/>
  <c r="K1190" i="9" s="1"/>
  <c r="L1190" i="9" s="1"/>
  <c r="AN1189" i="9"/>
  <c r="AM1189" i="9"/>
  <c r="AF1189" i="9"/>
  <c r="AB1189" i="9"/>
  <c r="V1189" i="9"/>
  <c r="R1189" i="9"/>
  <c r="I1189" i="9"/>
  <c r="K1189" i="9" s="1"/>
  <c r="L1189" i="9" s="1"/>
  <c r="AO1188" i="9"/>
  <c r="AF1188" i="9"/>
  <c r="AE1188" i="9"/>
  <c r="AB1188" i="9"/>
  <c r="AA1188" i="9"/>
  <c r="V1188" i="9"/>
  <c r="U1188" i="9"/>
  <c r="R1188" i="9"/>
  <c r="Q1188" i="9"/>
  <c r="K1188" i="9"/>
  <c r="L1188" i="9" s="1"/>
  <c r="AF1187" i="9"/>
  <c r="AE1187" i="9"/>
  <c r="AB1187" i="9"/>
  <c r="AA1187" i="9"/>
  <c r="V1187" i="9"/>
  <c r="U1187" i="9"/>
  <c r="R1187" i="9"/>
  <c r="Q1187" i="9"/>
  <c r="K1187" i="9"/>
  <c r="L1187" i="9" s="1"/>
  <c r="AF1186" i="9"/>
  <c r="AE1186" i="9"/>
  <c r="AB1186" i="9"/>
  <c r="AA1186" i="9"/>
  <c r="AM1186" i="9" s="1"/>
  <c r="AN1186" i="9" s="1"/>
  <c r="V1186" i="9"/>
  <c r="U1186" i="9"/>
  <c r="R1186" i="9"/>
  <c r="Q1186" i="9"/>
  <c r="K1186" i="9"/>
  <c r="L1186" i="9" s="1"/>
  <c r="AF1185" i="9"/>
  <c r="AE1185" i="9"/>
  <c r="AB1185" i="9"/>
  <c r="AA1185" i="9"/>
  <c r="V1185" i="9"/>
  <c r="U1185" i="9"/>
  <c r="R1185" i="9"/>
  <c r="Q1185" i="9"/>
  <c r="L1185" i="9"/>
  <c r="K1185" i="9"/>
  <c r="AM1184" i="9"/>
  <c r="AN1184" i="9" s="1"/>
  <c r="AF1184" i="9"/>
  <c r="AE1184" i="9"/>
  <c r="AB1184" i="9"/>
  <c r="AA1184" i="9"/>
  <c r="V1184" i="9"/>
  <c r="U1184" i="9"/>
  <c r="R1184" i="9"/>
  <c r="Q1184" i="9"/>
  <c r="K1184" i="9"/>
  <c r="L1184" i="9" s="1"/>
  <c r="AF1183" i="9"/>
  <c r="AE1183" i="9"/>
  <c r="AB1183" i="9"/>
  <c r="AA1183" i="9"/>
  <c r="V1183" i="9"/>
  <c r="U1183" i="9"/>
  <c r="R1183" i="9"/>
  <c r="Q1183" i="9"/>
  <c r="L1183" i="9"/>
  <c r="K1183" i="9"/>
  <c r="AM1182" i="9"/>
  <c r="AN1182" i="9" s="1"/>
  <c r="AF1182" i="9"/>
  <c r="AB1182" i="9"/>
  <c r="V1182" i="9"/>
  <c r="R1182" i="9"/>
  <c r="I1182" i="9"/>
  <c r="K1182" i="9" s="1"/>
  <c r="L1182" i="9" s="1"/>
  <c r="AM1181" i="9"/>
  <c r="AN1181" i="9" s="1"/>
  <c r="AK1181" i="9"/>
  <c r="AL1181" i="9" s="1"/>
  <c r="L1181" i="9"/>
  <c r="I1181" i="9"/>
  <c r="K1181" i="9" s="1"/>
  <c r="AM1180" i="9"/>
  <c r="AN1180" i="9" s="1"/>
  <c r="AL1180" i="9"/>
  <c r="AK1180" i="9"/>
  <c r="I1180" i="9"/>
  <c r="K1180" i="9" s="1"/>
  <c r="L1180" i="9" s="1"/>
  <c r="AM1179" i="9"/>
  <c r="AN1179" i="9" s="1"/>
  <c r="AL1179" i="9"/>
  <c r="AK1179" i="9"/>
  <c r="I1179" i="9"/>
  <c r="K1179" i="9" s="1"/>
  <c r="L1179" i="9" s="1"/>
  <c r="AM1178" i="9"/>
  <c r="AN1178" i="9" s="1"/>
  <c r="AL1178" i="9"/>
  <c r="AK1178" i="9"/>
  <c r="I1178" i="9"/>
  <c r="K1178" i="9" s="1"/>
  <c r="L1178" i="9" s="1"/>
  <c r="AN1177" i="9"/>
  <c r="AM1177" i="9"/>
  <c r="AK1177" i="9"/>
  <c r="AL1177" i="9" s="1"/>
  <c r="K1177" i="9"/>
  <c r="L1177" i="9" s="1"/>
  <c r="I1177" i="9"/>
  <c r="AM1176" i="9"/>
  <c r="AN1176" i="9" s="1"/>
  <c r="AK1176" i="9"/>
  <c r="AL1176" i="9" s="1"/>
  <c r="I1176" i="9"/>
  <c r="K1176" i="9" s="1"/>
  <c r="L1176" i="9" s="1"/>
  <c r="AN1175" i="9"/>
  <c r="AM1175" i="9"/>
  <c r="AK1175" i="9"/>
  <c r="AL1175" i="9" s="1"/>
  <c r="I1175" i="9"/>
  <c r="K1175" i="9" s="1"/>
  <c r="L1175" i="9" s="1"/>
  <c r="AF1174" i="9"/>
  <c r="AE1174" i="9"/>
  <c r="AB1174" i="9"/>
  <c r="AA1174" i="9"/>
  <c r="V1174" i="9"/>
  <c r="U1174" i="9"/>
  <c r="R1174" i="9"/>
  <c r="Q1174" i="9"/>
  <c r="I1174" i="9"/>
  <c r="K1174" i="9" s="1"/>
  <c r="L1174" i="9" s="1"/>
  <c r="AM1173" i="9"/>
  <c r="AN1173" i="9" s="1"/>
  <c r="AK1173" i="9"/>
  <c r="AL1173" i="9" s="1"/>
  <c r="I1173" i="9"/>
  <c r="K1173" i="9" s="1"/>
  <c r="L1173" i="9" s="1"/>
  <c r="AM1172" i="9"/>
  <c r="AN1172" i="9" s="1"/>
  <c r="AK1172" i="9"/>
  <c r="AL1172" i="9" s="1"/>
  <c r="K1172" i="9"/>
  <c r="L1172" i="9" s="1"/>
  <c r="I1172" i="9"/>
  <c r="AM1171" i="9"/>
  <c r="AN1171" i="9" s="1"/>
  <c r="AF1171" i="9"/>
  <c r="AB1171" i="9"/>
  <c r="V1171" i="9"/>
  <c r="R1171" i="9"/>
  <c r="AK1171" i="9" s="1"/>
  <c r="AL1171" i="9" s="1"/>
  <c r="K1171" i="9"/>
  <c r="L1171" i="9" s="1"/>
  <c r="I1171" i="9"/>
  <c r="AM1170" i="9"/>
  <c r="AN1170" i="9" s="1"/>
  <c r="AL1170" i="9"/>
  <c r="AK1170" i="9"/>
  <c r="K1170" i="9"/>
  <c r="L1170" i="9" s="1"/>
  <c r="I1170" i="9"/>
  <c r="AF1169" i="9"/>
  <c r="AE1169" i="9"/>
  <c r="AB1169" i="9"/>
  <c r="AA1169" i="9"/>
  <c r="V1169" i="9"/>
  <c r="U1169" i="9"/>
  <c r="R1169" i="9"/>
  <c r="Q1169" i="9"/>
  <c r="K1169" i="9"/>
  <c r="L1169" i="9" s="1"/>
  <c r="I1169" i="9"/>
  <c r="AM1168" i="9"/>
  <c r="AN1168" i="9" s="1"/>
  <c r="AF1168" i="9"/>
  <c r="AB1168" i="9"/>
  <c r="V1168" i="9"/>
  <c r="R1168" i="9"/>
  <c r="L1168" i="9"/>
  <c r="I1168" i="9"/>
  <c r="K1168" i="9" s="1"/>
  <c r="AF1167" i="9"/>
  <c r="AE1167" i="9"/>
  <c r="AB1167" i="9"/>
  <c r="AA1167" i="9"/>
  <c r="V1167" i="9"/>
  <c r="U1167" i="9"/>
  <c r="R1167" i="9"/>
  <c r="Q1167" i="9"/>
  <c r="K1167" i="9"/>
  <c r="L1167" i="9" s="1"/>
  <c r="I1167" i="9"/>
  <c r="AM1166" i="9"/>
  <c r="AN1166" i="9" s="1"/>
  <c r="AK1166" i="9"/>
  <c r="AL1166" i="9" s="1"/>
  <c r="I1166" i="9"/>
  <c r="K1166" i="9" s="1"/>
  <c r="L1166" i="9" s="1"/>
  <c r="AM1165" i="9"/>
  <c r="AN1165" i="9" s="1"/>
  <c r="AK1165" i="9"/>
  <c r="AL1165" i="9" s="1"/>
  <c r="I1165" i="9"/>
  <c r="K1165" i="9" s="1"/>
  <c r="L1165" i="9" s="1"/>
  <c r="AM1164" i="9"/>
  <c r="AN1164" i="9" s="1"/>
  <c r="AK1164" i="9"/>
  <c r="AL1164" i="9" s="1"/>
  <c r="I1164" i="9"/>
  <c r="K1164" i="9" s="1"/>
  <c r="L1164" i="9" s="1"/>
  <c r="AM1163" i="9"/>
  <c r="AN1163" i="9" s="1"/>
  <c r="AK1163" i="9"/>
  <c r="AL1163" i="9" s="1"/>
  <c r="I1163" i="9"/>
  <c r="K1163" i="9" s="1"/>
  <c r="L1163" i="9" s="1"/>
  <c r="AM1162" i="9"/>
  <c r="AN1162" i="9" s="1"/>
  <c r="AL1162" i="9"/>
  <c r="AK1162" i="9"/>
  <c r="I1162" i="9"/>
  <c r="K1162" i="9" s="1"/>
  <c r="L1162" i="9" s="1"/>
  <c r="AM1161" i="9"/>
  <c r="AN1161" i="9" s="1"/>
  <c r="AF1161" i="9"/>
  <c r="AB1161" i="9"/>
  <c r="V1161" i="9"/>
  <c r="R1161" i="9"/>
  <c r="AK1161" i="9" s="1"/>
  <c r="AL1161" i="9" s="1"/>
  <c r="K1161" i="9"/>
  <c r="L1161" i="9" s="1"/>
  <c r="I1161" i="9"/>
  <c r="AM1160" i="9"/>
  <c r="AN1160" i="9" s="1"/>
  <c r="AK1160" i="9"/>
  <c r="AL1160" i="9" s="1"/>
  <c r="I1160" i="9"/>
  <c r="K1160" i="9" s="1"/>
  <c r="L1160" i="9" s="1"/>
  <c r="AM1159" i="9"/>
  <c r="AN1159" i="9" s="1"/>
  <c r="AK1159" i="9"/>
  <c r="AL1159" i="9" s="1"/>
  <c r="I1159" i="9"/>
  <c r="K1159" i="9" s="1"/>
  <c r="L1159" i="9" s="1"/>
  <c r="AM1158" i="9"/>
  <c r="AN1158" i="9" s="1"/>
  <c r="AK1158" i="9"/>
  <c r="AL1158" i="9" s="1"/>
  <c r="I1158" i="9"/>
  <c r="K1158" i="9" s="1"/>
  <c r="L1158" i="9" s="1"/>
  <c r="AM1157" i="9"/>
  <c r="AN1157" i="9" s="1"/>
  <c r="AK1157" i="9"/>
  <c r="AL1157" i="9" s="1"/>
  <c r="I1157" i="9"/>
  <c r="K1157" i="9" s="1"/>
  <c r="L1157" i="9" s="1"/>
  <c r="AF1156" i="9"/>
  <c r="AE1156" i="9"/>
  <c r="AB1156" i="9"/>
  <c r="AA1156" i="9"/>
  <c r="V1156" i="9"/>
  <c r="U1156" i="9"/>
  <c r="AM1156" i="9" s="1"/>
  <c r="AN1156" i="9" s="1"/>
  <c r="R1156" i="9"/>
  <c r="Q1156" i="9"/>
  <c r="K1156" i="9"/>
  <c r="L1156" i="9" s="1"/>
  <c r="I1156" i="9"/>
  <c r="AM1155" i="9"/>
  <c r="AN1155" i="9" s="1"/>
  <c r="AK1155" i="9"/>
  <c r="AL1155" i="9" s="1"/>
  <c r="L1155" i="9"/>
  <c r="I1155" i="9"/>
  <c r="K1155" i="9" s="1"/>
  <c r="AF1154" i="9"/>
  <c r="AE1154" i="9"/>
  <c r="AB1154" i="9"/>
  <c r="AA1154" i="9"/>
  <c r="V1154" i="9"/>
  <c r="U1154" i="9"/>
  <c r="R1154" i="9"/>
  <c r="Q1154" i="9"/>
  <c r="I1154" i="9"/>
  <c r="K1154" i="9" s="1"/>
  <c r="L1154" i="9" s="1"/>
  <c r="AM1153" i="9"/>
  <c r="AN1153" i="9" s="1"/>
  <c r="AK1153" i="9"/>
  <c r="AL1153" i="9" s="1"/>
  <c r="K1153" i="9"/>
  <c r="L1153" i="9" s="1"/>
  <c r="I1153" i="9"/>
  <c r="AM1152" i="9"/>
  <c r="AN1152" i="9" s="1"/>
  <c r="AK1152" i="9"/>
  <c r="AL1152" i="9" s="1"/>
  <c r="I1152" i="9"/>
  <c r="K1152" i="9" s="1"/>
  <c r="L1152" i="9" s="1"/>
  <c r="AM1151" i="9"/>
  <c r="AN1151" i="9" s="1"/>
  <c r="AK1151" i="9"/>
  <c r="AL1151" i="9" s="1"/>
  <c r="I1151" i="9"/>
  <c r="K1151" i="9" s="1"/>
  <c r="L1151" i="9" s="1"/>
  <c r="AM1150" i="9"/>
  <c r="AN1150" i="9" s="1"/>
  <c r="AF1150" i="9"/>
  <c r="AB1150" i="9"/>
  <c r="V1150" i="9"/>
  <c r="R1150" i="9"/>
  <c r="K1150" i="9"/>
  <c r="L1150" i="9" s="1"/>
  <c r="I1150" i="9"/>
  <c r="AN1149" i="9"/>
  <c r="AM1149" i="9"/>
  <c r="AK1149" i="9"/>
  <c r="AL1149" i="9" s="1"/>
  <c r="I1149" i="9"/>
  <c r="K1149" i="9" s="1"/>
  <c r="L1149" i="9" s="1"/>
  <c r="AM1148" i="9"/>
  <c r="AN1148" i="9" s="1"/>
  <c r="AK1148" i="9"/>
  <c r="AL1148" i="9" s="1"/>
  <c r="L1148" i="9"/>
  <c r="I1148" i="9"/>
  <c r="K1148" i="9" s="1"/>
  <c r="AN1147" i="9"/>
  <c r="AM1147" i="9"/>
  <c r="AK1147" i="9"/>
  <c r="AL1147" i="9" s="1"/>
  <c r="K1147" i="9"/>
  <c r="L1147" i="9" s="1"/>
  <c r="I1147" i="9"/>
  <c r="AF1146" i="9"/>
  <c r="AE1146" i="9"/>
  <c r="AB1146" i="9"/>
  <c r="AA1146" i="9"/>
  <c r="V1146" i="9"/>
  <c r="U1146" i="9"/>
  <c r="R1146" i="9"/>
  <c r="Q1146" i="9"/>
  <c r="I1146" i="9"/>
  <c r="K1146" i="9" s="1"/>
  <c r="L1146" i="9" s="1"/>
  <c r="AM1145" i="9"/>
  <c r="AK1145" i="9"/>
  <c r="J1145" i="9"/>
  <c r="D1145" i="9"/>
  <c r="AM1144" i="9"/>
  <c r="J1144" i="9"/>
  <c r="D1144" i="9"/>
  <c r="AM1143" i="9"/>
  <c r="V1143" i="9"/>
  <c r="J1143" i="9"/>
  <c r="R1143" i="9" s="1"/>
  <c r="D1143" i="9"/>
  <c r="AN1143" i="9" s="1"/>
  <c r="AM1142" i="9"/>
  <c r="AK1142" i="9"/>
  <c r="J1142" i="9"/>
  <c r="D1142" i="9"/>
  <c r="AF1141" i="9"/>
  <c r="AE1141" i="9"/>
  <c r="AB1141" i="9"/>
  <c r="AA1141" i="9"/>
  <c r="V1141" i="9"/>
  <c r="U1141" i="9"/>
  <c r="R1141" i="9"/>
  <c r="Q1141" i="9"/>
  <c r="K1141" i="9"/>
  <c r="L1141" i="9" s="1"/>
  <c r="AF1140" i="9"/>
  <c r="AE1140" i="9"/>
  <c r="AB1140" i="9"/>
  <c r="AA1140" i="9"/>
  <c r="V1140" i="9"/>
  <c r="U1140" i="9"/>
  <c r="R1140" i="9"/>
  <c r="Q1140" i="9"/>
  <c r="L1140" i="9"/>
  <c r="K1140" i="9"/>
  <c r="AF1138" i="9"/>
  <c r="AE1138" i="9"/>
  <c r="AB1138" i="9"/>
  <c r="AA1138" i="9"/>
  <c r="V1138" i="9"/>
  <c r="U1138" i="9"/>
  <c r="R1138" i="9"/>
  <c r="Q1138" i="9"/>
  <c r="K1138" i="9"/>
  <c r="L1138" i="9" s="1"/>
  <c r="AF1137" i="9"/>
  <c r="AE1137" i="9"/>
  <c r="AB1137" i="9"/>
  <c r="AA1137" i="9"/>
  <c r="V1137" i="9"/>
  <c r="U1137" i="9"/>
  <c r="R1137" i="9"/>
  <c r="Q1137" i="9"/>
  <c r="L1137" i="9"/>
  <c r="K1137" i="9"/>
  <c r="AF1136" i="9"/>
  <c r="AE1136" i="9"/>
  <c r="AB1136" i="9"/>
  <c r="AA1136" i="9"/>
  <c r="V1136" i="9"/>
  <c r="AK1136" i="9" s="1"/>
  <c r="AL1136" i="9" s="1"/>
  <c r="U1136" i="9"/>
  <c r="R1136" i="9"/>
  <c r="Q1136" i="9"/>
  <c r="L1136" i="9"/>
  <c r="K1136" i="9"/>
  <c r="AM1135" i="9"/>
  <c r="AN1135" i="9" s="1"/>
  <c r="AF1135" i="9"/>
  <c r="AE1135" i="9"/>
  <c r="AB1135" i="9"/>
  <c r="AA1135" i="9"/>
  <c r="V1135" i="9"/>
  <c r="U1135" i="9"/>
  <c r="R1135" i="9"/>
  <c r="AK1135" i="9" s="1"/>
  <c r="AL1135" i="9" s="1"/>
  <c r="Q1135" i="9"/>
  <c r="K1135" i="9"/>
  <c r="L1135" i="9" s="1"/>
  <c r="AF1134" i="9"/>
  <c r="AE1134" i="9"/>
  <c r="AB1134" i="9"/>
  <c r="AA1134" i="9"/>
  <c r="V1134" i="9"/>
  <c r="U1134" i="9"/>
  <c r="R1134" i="9"/>
  <c r="Q1134" i="9"/>
  <c r="K1134" i="9"/>
  <c r="L1134" i="9" s="1"/>
  <c r="AM1133" i="9"/>
  <c r="AN1133" i="9" s="1"/>
  <c r="AF1133" i="9"/>
  <c r="AE1133" i="9"/>
  <c r="AB1133" i="9"/>
  <c r="AA1133" i="9"/>
  <c r="V1133" i="9"/>
  <c r="U1133" i="9"/>
  <c r="R1133" i="9"/>
  <c r="Q1133" i="9"/>
  <c r="K1133" i="9"/>
  <c r="L1133" i="9" s="1"/>
  <c r="AF1132" i="9"/>
  <c r="AE1132" i="9"/>
  <c r="AB1132" i="9"/>
  <c r="AA1132" i="9"/>
  <c r="V1132" i="9"/>
  <c r="U1132" i="9"/>
  <c r="R1132" i="9"/>
  <c r="Q1132" i="9"/>
  <c r="K1132" i="9"/>
  <c r="L1132" i="9" s="1"/>
  <c r="AF1131" i="9"/>
  <c r="AE1131" i="9"/>
  <c r="AB1131" i="9"/>
  <c r="AA1131" i="9"/>
  <c r="V1131" i="9"/>
  <c r="U1131" i="9"/>
  <c r="R1131" i="9"/>
  <c r="Q1131" i="9"/>
  <c r="K1131" i="9"/>
  <c r="L1131" i="9" s="1"/>
  <c r="AF1130" i="9"/>
  <c r="AE1130" i="9"/>
  <c r="AB1130" i="9"/>
  <c r="AA1130" i="9"/>
  <c r="V1130" i="9"/>
  <c r="U1130" i="9"/>
  <c r="R1130" i="9"/>
  <c r="Q1130" i="9"/>
  <c r="K1130" i="9"/>
  <c r="L1130" i="9" s="1"/>
  <c r="AF1129" i="9"/>
  <c r="AE1129" i="9"/>
  <c r="AB1129" i="9"/>
  <c r="AA1129" i="9"/>
  <c r="V1129" i="9"/>
  <c r="AK1129" i="9" s="1"/>
  <c r="AL1129" i="9" s="1"/>
  <c r="U1129" i="9"/>
  <c r="R1129" i="9"/>
  <c r="Q1129" i="9"/>
  <c r="K1129" i="9"/>
  <c r="L1129" i="9" s="1"/>
  <c r="AF1128" i="9"/>
  <c r="AE1128" i="9"/>
  <c r="AB1128" i="9"/>
  <c r="AA1128" i="9"/>
  <c r="V1128" i="9"/>
  <c r="U1128" i="9"/>
  <c r="R1128" i="9"/>
  <c r="Q1128" i="9"/>
  <c r="L1128" i="9"/>
  <c r="K1128" i="9"/>
  <c r="AF1127" i="9"/>
  <c r="AE1127" i="9"/>
  <c r="AB1127" i="9"/>
  <c r="AA1127" i="9"/>
  <c r="V1127" i="9"/>
  <c r="AK1127" i="9" s="1"/>
  <c r="AL1127" i="9" s="1"/>
  <c r="U1127" i="9"/>
  <c r="R1127" i="9"/>
  <c r="Q1127" i="9"/>
  <c r="K1127" i="9"/>
  <c r="L1127" i="9" s="1"/>
  <c r="AF1126" i="9"/>
  <c r="AE1126" i="9"/>
  <c r="AB1126" i="9"/>
  <c r="AA1126" i="9"/>
  <c r="V1126" i="9"/>
  <c r="U1126" i="9"/>
  <c r="R1126" i="9"/>
  <c r="Q1126" i="9"/>
  <c r="K1126" i="9"/>
  <c r="L1126" i="9" s="1"/>
  <c r="AM1125" i="9"/>
  <c r="AN1125" i="9" s="1"/>
  <c r="AF1125" i="9"/>
  <c r="AB1125" i="9"/>
  <c r="V1125" i="9"/>
  <c r="R1125" i="9"/>
  <c r="K1125" i="9"/>
  <c r="AM1124" i="9"/>
  <c r="AN1124" i="9" s="1"/>
  <c r="AF1124" i="9"/>
  <c r="AB1124" i="9"/>
  <c r="V1124" i="9"/>
  <c r="R1124" i="9"/>
  <c r="K1124" i="9"/>
  <c r="AF1123" i="9"/>
  <c r="AE1123" i="9"/>
  <c r="AB1123" i="9"/>
  <c r="AA1123" i="9"/>
  <c r="V1123" i="9"/>
  <c r="U1123" i="9"/>
  <c r="R1123" i="9"/>
  <c r="AK1123" i="9" s="1"/>
  <c r="AL1123" i="9" s="1"/>
  <c r="Q1123" i="9"/>
  <c r="AM1123" i="9" s="1"/>
  <c r="AN1123" i="9" s="1"/>
  <c r="K1123" i="9"/>
  <c r="AM1122" i="9"/>
  <c r="AN1122" i="9" s="1"/>
  <c r="AF1122" i="9"/>
  <c r="AB1122" i="9"/>
  <c r="V1122" i="9"/>
  <c r="R1122" i="9"/>
  <c r="AK1122" i="9" s="1"/>
  <c r="AL1122" i="9" s="1"/>
  <c r="K1122" i="9"/>
  <c r="AF1121" i="9"/>
  <c r="AE1121" i="9"/>
  <c r="AB1121" i="9"/>
  <c r="AA1121" i="9"/>
  <c r="V1121" i="9"/>
  <c r="U1121" i="9"/>
  <c r="R1121" i="9"/>
  <c r="Q1121" i="9"/>
  <c r="K1121" i="9"/>
  <c r="AM1120" i="9"/>
  <c r="AN1120" i="9" s="1"/>
  <c r="AF1120" i="9"/>
  <c r="AB1120" i="9"/>
  <c r="V1120" i="9"/>
  <c r="R1120" i="9"/>
  <c r="K1120" i="9"/>
  <c r="AM1119" i="9"/>
  <c r="AN1119" i="9" s="1"/>
  <c r="AK1119" i="9"/>
  <c r="AL1119" i="9" s="1"/>
  <c r="K1119" i="9"/>
  <c r="AM1118" i="9"/>
  <c r="AN1118" i="9" s="1"/>
  <c r="AK1118" i="9"/>
  <c r="AL1118" i="9" s="1"/>
  <c r="K1118" i="9"/>
  <c r="AM1117" i="9"/>
  <c r="AN1117" i="9" s="1"/>
  <c r="AK1117" i="9"/>
  <c r="AL1117" i="9" s="1"/>
  <c r="K1117" i="9"/>
  <c r="AN1116" i="9"/>
  <c r="AM1116" i="9"/>
  <c r="AK1116" i="9"/>
  <c r="AL1116" i="9" s="1"/>
  <c r="K1116" i="9"/>
  <c r="AM1115" i="9"/>
  <c r="AN1115" i="9" s="1"/>
  <c r="AF1115" i="9"/>
  <c r="AB1115" i="9"/>
  <c r="V1115" i="9"/>
  <c r="R1115" i="9"/>
  <c r="K1115" i="9"/>
  <c r="AM1114" i="9"/>
  <c r="AN1114" i="9" s="1"/>
  <c r="AL1114" i="9"/>
  <c r="AK1114" i="9"/>
  <c r="K1114" i="9"/>
  <c r="AM1113" i="9"/>
  <c r="AN1113" i="9" s="1"/>
  <c r="AF1113" i="9"/>
  <c r="AB1113" i="9"/>
  <c r="V1113" i="9"/>
  <c r="R1113" i="9"/>
  <c r="AK1113" i="9" s="1"/>
  <c r="AL1113" i="9" s="1"/>
  <c r="K1113" i="9"/>
  <c r="AN1112" i="9"/>
  <c r="AM1112" i="9"/>
  <c r="AF1112" i="9"/>
  <c r="AB1112" i="9"/>
  <c r="V1112" i="9"/>
  <c r="R1112" i="9"/>
  <c r="K1112" i="9"/>
  <c r="AM1111" i="9"/>
  <c r="AN1111" i="9" s="1"/>
  <c r="AK1111" i="9"/>
  <c r="AL1111" i="9" s="1"/>
  <c r="K1111" i="9"/>
  <c r="AM1110" i="9"/>
  <c r="AN1110" i="9" s="1"/>
  <c r="AF1110" i="9"/>
  <c r="AB1110" i="9"/>
  <c r="V1110" i="9"/>
  <c r="R1110" i="9"/>
  <c r="K1110" i="9"/>
  <c r="AF1109" i="9"/>
  <c r="AE1109" i="9"/>
  <c r="AB1109" i="9"/>
  <c r="AA1109" i="9"/>
  <c r="V1109" i="9"/>
  <c r="U1109" i="9"/>
  <c r="R1109" i="9"/>
  <c r="Q1109" i="9"/>
  <c r="K1109" i="9"/>
  <c r="AF1108" i="9"/>
  <c r="AE1108" i="9"/>
  <c r="AB1108" i="9"/>
  <c r="AA1108" i="9"/>
  <c r="V1108" i="9"/>
  <c r="U1108" i="9"/>
  <c r="R1108" i="9"/>
  <c r="AK1108" i="9" s="1"/>
  <c r="AL1108" i="9" s="1"/>
  <c r="Q1108" i="9"/>
  <c r="K1108" i="9"/>
  <c r="AM1107" i="9"/>
  <c r="AN1107" i="9" s="1"/>
  <c r="AF1107" i="9"/>
  <c r="AB1107" i="9"/>
  <c r="V1107" i="9"/>
  <c r="AK1107" i="9" s="1"/>
  <c r="AL1107" i="9" s="1"/>
  <c r="R1107" i="9"/>
  <c r="K1107" i="9"/>
  <c r="AF1106" i="9"/>
  <c r="AE1106" i="9"/>
  <c r="AB1106" i="9"/>
  <c r="AA1106" i="9"/>
  <c r="V1106" i="9"/>
  <c r="U1106" i="9"/>
  <c r="AM1106" i="9" s="1"/>
  <c r="AN1106" i="9" s="1"/>
  <c r="R1106" i="9"/>
  <c r="Q1106" i="9"/>
  <c r="K1106" i="9"/>
  <c r="AM1105" i="9"/>
  <c r="AN1105" i="9" s="1"/>
  <c r="AF1105" i="9"/>
  <c r="AB1105" i="9"/>
  <c r="V1105" i="9"/>
  <c r="R1105" i="9"/>
  <c r="I1105" i="9"/>
  <c r="K1105" i="9" s="1"/>
  <c r="L1105" i="9" s="1"/>
  <c r="AM1104" i="9"/>
  <c r="AN1104" i="9" s="1"/>
  <c r="AF1104" i="9"/>
  <c r="AB1104" i="9"/>
  <c r="V1104" i="9"/>
  <c r="R1104" i="9"/>
  <c r="I1104" i="9"/>
  <c r="K1104" i="9" s="1"/>
  <c r="L1104" i="9" s="1"/>
  <c r="AF1103" i="9"/>
  <c r="AE1103" i="9"/>
  <c r="AB1103" i="9"/>
  <c r="AA1103" i="9"/>
  <c r="V1103" i="9"/>
  <c r="U1103" i="9"/>
  <c r="R1103" i="9"/>
  <c r="Q1103" i="9"/>
  <c r="K1103" i="9"/>
  <c r="L1103" i="9" s="1"/>
  <c r="I1103" i="9"/>
  <c r="AF1102" i="9"/>
  <c r="AE1102" i="9"/>
  <c r="AB1102" i="9"/>
  <c r="AA1102" i="9"/>
  <c r="V1102" i="9"/>
  <c r="AK1102" i="9" s="1"/>
  <c r="AL1102" i="9" s="1"/>
  <c r="U1102" i="9"/>
  <c r="R1102" i="9"/>
  <c r="Q1102" i="9"/>
  <c r="I1102" i="9"/>
  <c r="K1102" i="9" s="1"/>
  <c r="L1102" i="9" s="1"/>
  <c r="AF1101" i="9"/>
  <c r="AE1101" i="9"/>
  <c r="AB1101" i="9"/>
  <c r="AA1101" i="9"/>
  <c r="V1101" i="9"/>
  <c r="U1101" i="9"/>
  <c r="R1101" i="9"/>
  <c r="Q1101" i="9"/>
  <c r="I1101" i="9"/>
  <c r="K1101" i="9" s="1"/>
  <c r="L1101" i="9" s="1"/>
  <c r="AM1100" i="9"/>
  <c r="AN1100" i="9" s="1"/>
  <c r="AF1100" i="9"/>
  <c r="AB1100" i="9"/>
  <c r="V1100" i="9"/>
  <c r="AK1100" i="9" s="1"/>
  <c r="AL1100" i="9" s="1"/>
  <c r="R1100" i="9"/>
  <c r="I1100" i="9"/>
  <c r="K1100" i="9" s="1"/>
  <c r="L1100" i="9" s="1"/>
  <c r="AM1099" i="9"/>
  <c r="AN1099" i="9" s="1"/>
  <c r="AF1099" i="9"/>
  <c r="AB1099" i="9"/>
  <c r="V1099" i="9"/>
  <c r="R1099" i="9"/>
  <c r="I1099" i="9"/>
  <c r="K1099" i="9" s="1"/>
  <c r="L1099" i="9" s="1"/>
  <c r="AN1098" i="9"/>
  <c r="AM1098" i="9"/>
  <c r="AF1098" i="9"/>
  <c r="AB1098" i="9"/>
  <c r="V1098" i="9"/>
  <c r="R1098" i="9"/>
  <c r="I1098" i="9"/>
  <c r="K1098" i="9" s="1"/>
  <c r="L1098" i="9" s="1"/>
  <c r="AM1097" i="9"/>
  <c r="AN1097" i="9" s="1"/>
  <c r="AF1097" i="9"/>
  <c r="AB1097" i="9"/>
  <c r="AK1097" i="9" s="1"/>
  <c r="AL1097" i="9" s="1"/>
  <c r="V1097" i="9"/>
  <c r="R1097" i="9"/>
  <c r="I1097" i="9"/>
  <c r="K1097" i="9" s="1"/>
  <c r="L1097" i="9" s="1"/>
  <c r="AN1096" i="9"/>
  <c r="AM1096" i="9"/>
  <c r="AK1096" i="9"/>
  <c r="AL1096" i="9" s="1"/>
  <c r="I1096" i="9"/>
  <c r="K1096" i="9" s="1"/>
  <c r="L1096" i="9" s="1"/>
  <c r="AM1095" i="9"/>
  <c r="AN1095" i="9" s="1"/>
  <c r="AK1095" i="9"/>
  <c r="AL1095" i="9" s="1"/>
  <c r="I1095" i="9"/>
  <c r="K1095" i="9" s="1"/>
  <c r="L1095" i="9" s="1"/>
  <c r="AM1094" i="9"/>
  <c r="AN1094" i="9" s="1"/>
  <c r="AK1094" i="9"/>
  <c r="AL1094" i="9" s="1"/>
  <c r="I1094" i="9"/>
  <c r="K1094" i="9" s="1"/>
  <c r="L1094" i="9" s="1"/>
  <c r="AK1093" i="9"/>
  <c r="AL1093" i="9" s="1"/>
  <c r="AF1093" i="9"/>
  <c r="AE1093" i="9"/>
  <c r="AB1093" i="9"/>
  <c r="AA1093" i="9"/>
  <c r="V1093" i="9"/>
  <c r="U1093" i="9"/>
  <c r="R1093" i="9"/>
  <c r="Q1093" i="9"/>
  <c r="I1093" i="9"/>
  <c r="K1093" i="9" s="1"/>
  <c r="L1093" i="9" s="1"/>
  <c r="AN1092" i="9"/>
  <c r="AM1092" i="9"/>
  <c r="AF1092" i="9"/>
  <c r="AB1092" i="9"/>
  <c r="V1092" i="9"/>
  <c r="R1092" i="9"/>
  <c r="I1092" i="9"/>
  <c r="K1092" i="9" s="1"/>
  <c r="L1092" i="9" s="1"/>
  <c r="AM1091" i="9"/>
  <c r="AN1091" i="9" s="1"/>
  <c r="AF1091" i="9"/>
  <c r="AB1091" i="9"/>
  <c r="V1091" i="9"/>
  <c r="R1091" i="9"/>
  <c r="AK1091" i="9" s="1"/>
  <c r="AL1091" i="9" s="1"/>
  <c r="I1091" i="9"/>
  <c r="K1091" i="9" s="1"/>
  <c r="L1091" i="9" s="1"/>
  <c r="AF1090" i="9"/>
  <c r="AE1090" i="9"/>
  <c r="AB1090" i="9"/>
  <c r="AA1090" i="9"/>
  <c r="V1090" i="9"/>
  <c r="U1090" i="9"/>
  <c r="R1090" i="9"/>
  <c r="Q1090" i="9"/>
  <c r="L1090" i="9"/>
  <c r="I1090" i="9"/>
  <c r="K1090" i="9" s="1"/>
  <c r="AN1089" i="9"/>
  <c r="AM1089" i="9"/>
  <c r="AF1089" i="9"/>
  <c r="AB1089" i="9"/>
  <c r="V1089" i="9"/>
  <c r="R1089" i="9"/>
  <c r="K1089" i="9"/>
  <c r="L1089" i="9" s="1"/>
  <c r="I1089" i="9"/>
  <c r="AM1088" i="9"/>
  <c r="AN1088" i="9" s="1"/>
  <c r="AL1088" i="9"/>
  <c r="AK1088" i="9"/>
  <c r="I1088" i="9"/>
  <c r="K1088" i="9" s="1"/>
  <c r="L1088" i="9" s="1"/>
  <c r="AM1087" i="9"/>
  <c r="AN1087" i="9" s="1"/>
  <c r="AK1087" i="9"/>
  <c r="AL1087" i="9" s="1"/>
  <c r="I1087" i="9"/>
  <c r="K1087" i="9" s="1"/>
  <c r="L1087" i="9" s="1"/>
  <c r="AF1086" i="9"/>
  <c r="AE1086" i="9"/>
  <c r="AB1086" i="9"/>
  <c r="AA1086" i="9"/>
  <c r="V1086" i="9"/>
  <c r="U1086" i="9"/>
  <c r="R1086" i="9"/>
  <c r="Q1086" i="9"/>
  <c r="L1086" i="9"/>
  <c r="K1086" i="9"/>
  <c r="I1086" i="9"/>
  <c r="AM1085" i="9"/>
  <c r="AN1085" i="9" s="1"/>
  <c r="AF1085" i="9"/>
  <c r="AK1085" i="9" s="1"/>
  <c r="AL1085" i="9" s="1"/>
  <c r="AB1085" i="9"/>
  <c r="V1085" i="9"/>
  <c r="R1085" i="9"/>
  <c r="I1085" i="9"/>
  <c r="K1085" i="9" s="1"/>
  <c r="L1085" i="9" s="1"/>
  <c r="AN1084" i="9"/>
  <c r="AM1084" i="9"/>
  <c r="AF1084" i="9"/>
  <c r="AB1084" i="9"/>
  <c r="V1084" i="9"/>
  <c r="R1084" i="9"/>
  <c r="I1084" i="9"/>
  <c r="K1084" i="9" s="1"/>
  <c r="L1084" i="9" s="1"/>
  <c r="AM1083" i="9"/>
  <c r="AN1083" i="9" s="1"/>
  <c r="AF1083" i="9"/>
  <c r="AB1083" i="9"/>
  <c r="V1083" i="9"/>
  <c r="R1083" i="9"/>
  <c r="I1083" i="9"/>
  <c r="K1083" i="9" s="1"/>
  <c r="L1083" i="9" s="1"/>
  <c r="AM1082" i="9"/>
  <c r="AN1082" i="9" s="1"/>
  <c r="AK1082" i="9"/>
  <c r="AL1082" i="9" s="1"/>
  <c r="K1082" i="9"/>
  <c r="L1082" i="9" s="1"/>
  <c r="I1082" i="9"/>
  <c r="AM1081" i="9"/>
  <c r="AN1081" i="9" s="1"/>
  <c r="AK1081" i="9"/>
  <c r="AL1081" i="9" s="1"/>
  <c r="AF1081" i="9"/>
  <c r="AB1081" i="9"/>
  <c r="V1081" i="9"/>
  <c r="R1081" i="9"/>
  <c r="I1081" i="9"/>
  <c r="K1081" i="9" s="1"/>
  <c r="L1081" i="9" s="1"/>
  <c r="AM1080" i="9"/>
  <c r="AN1080" i="9" s="1"/>
  <c r="AF1080" i="9"/>
  <c r="AB1080" i="9"/>
  <c r="V1080" i="9"/>
  <c r="R1080" i="9"/>
  <c r="I1080" i="9"/>
  <c r="K1080" i="9" s="1"/>
  <c r="L1080" i="9" s="1"/>
  <c r="AF1079" i="9"/>
  <c r="AE1079" i="9"/>
  <c r="AB1079" i="9"/>
  <c r="AA1079" i="9"/>
  <c r="V1079" i="9"/>
  <c r="U1079" i="9"/>
  <c r="R1079" i="9"/>
  <c r="Q1079" i="9"/>
  <c r="I1079" i="9"/>
  <c r="K1079" i="9" s="1"/>
  <c r="L1079" i="9" s="1"/>
  <c r="AM1078" i="9"/>
  <c r="AN1078" i="9" s="1"/>
  <c r="AF1078" i="9"/>
  <c r="AB1078" i="9"/>
  <c r="V1078" i="9"/>
  <c r="R1078" i="9"/>
  <c r="I1078" i="9"/>
  <c r="K1078" i="9" s="1"/>
  <c r="L1078" i="9" s="1"/>
  <c r="AN1077" i="9"/>
  <c r="AM1077" i="9"/>
  <c r="AK1077" i="9"/>
  <c r="AL1077" i="9" s="1"/>
  <c r="L1077" i="9"/>
  <c r="I1077" i="9"/>
  <c r="K1077" i="9" s="1"/>
  <c r="AM1076" i="9"/>
  <c r="AN1076" i="9" s="1"/>
  <c r="AK1076" i="9"/>
  <c r="AL1076" i="9" s="1"/>
  <c r="I1076" i="9"/>
  <c r="K1076" i="9" s="1"/>
  <c r="L1076" i="9" s="1"/>
  <c r="AM1075" i="9"/>
  <c r="AN1075" i="9" s="1"/>
  <c r="AK1075" i="9"/>
  <c r="AL1075" i="9" s="1"/>
  <c r="K1075" i="9"/>
  <c r="L1075" i="9" s="1"/>
  <c r="I1075" i="9"/>
  <c r="AN1074" i="9"/>
  <c r="AM1074" i="9"/>
  <c r="AK1074" i="9"/>
  <c r="AL1074" i="9" s="1"/>
  <c r="L1074" i="9"/>
  <c r="I1074" i="9"/>
  <c r="K1074" i="9" s="1"/>
  <c r="AM1073" i="9"/>
  <c r="AN1073" i="9" s="1"/>
  <c r="AL1073" i="9"/>
  <c r="AK1073" i="9"/>
  <c r="I1073" i="9"/>
  <c r="K1073" i="9" s="1"/>
  <c r="L1073" i="9" s="1"/>
  <c r="AM1072" i="9"/>
  <c r="AN1072" i="9" s="1"/>
  <c r="AF1072" i="9"/>
  <c r="AB1072" i="9"/>
  <c r="V1072" i="9"/>
  <c r="R1072" i="9"/>
  <c r="I1072" i="9"/>
  <c r="K1072" i="9" s="1"/>
  <c r="L1072" i="9" s="1"/>
  <c r="AN1071" i="9"/>
  <c r="AM1071" i="9"/>
  <c r="AF1071" i="9"/>
  <c r="AB1071" i="9"/>
  <c r="V1071" i="9"/>
  <c r="R1071" i="9"/>
  <c r="I1071" i="9"/>
  <c r="K1071" i="9" s="1"/>
  <c r="L1071" i="9" s="1"/>
  <c r="AM1070" i="9"/>
  <c r="AN1070" i="9" s="1"/>
  <c r="AF1070" i="9"/>
  <c r="AB1070" i="9"/>
  <c r="V1070" i="9"/>
  <c r="R1070" i="9"/>
  <c r="K1070" i="9"/>
  <c r="L1070" i="9" s="1"/>
  <c r="I1070" i="9"/>
  <c r="AF1069" i="9"/>
  <c r="AE1069" i="9"/>
  <c r="AB1069" i="9"/>
  <c r="AK1069" i="9" s="1"/>
  <c r="AL1069" i="9" s="1"/>
  <c r="AA1069" i="9"/>
  <c r="V1069" i="9"/>
  <c r="U1069" i="9"/>
  <c r="R1069" i="9"/>
  <c r="Q1069" i="9"/>
  <c r="L1069" i="9"/>
  <c r="K1069" i="9"/>
  <c r="I1069" i="9"/>
  <c r="AM1068" i="9"/>
  <c r="AN1068" i="9" s="1"/>
  <c r="AF1068" i="9"/>
  <c r="AB1068" i="9"/>
  <c r="V1068" i="9"/>
  <c r="R1068" i="9"/>
  <c r="I1068" i="9"/>
  <c r="K1068" i="9" s="1"/>
  <c r="L1068" i="9" s="1"/>
  <c r="AM1067" i="9"/>
  <c r="AN1067" i="9" s="1"/>
  <c r="AF1067" i="9"/>
  <c r="AB1067" i="9"/>
  <c r="V1067" i="9"/>
  <c r="R1067" i="9"/>
  <c r="I1067" i="9"/>
  <c r="K1067" i="9" s="1"/>
  <c r="L1067" i="9" s="1"/>
  <c r="AM1066" i="9"/>
  <c r="AN1066" i="9" s="1"/>
  <c r="AF1066" i="9"/>
  <c r="AB1066" i="9"/>
  <c r="V1066" i="9"/>
  <c r="R1066" i="9"/>
  <c r="I1066" i="9"/>
  <c r="K1066" i="9" s="1"/>
  <c r="L1066" i="9" s="1"/>
  <c r="AM1065" i="9"/>
  <c r="AN1065" i="9" s="1"/>
  <c r="AK1065" i="9"/>
  <c r="AL1065" i="9" s="1"/>
  <c r="K1065" i="9"/>
  <c r="L1065" i="9" s="1"/>
  <c r="I1065" i="9"/>
  <c r="AM1064" i="9"/>
  <c r="AN1064" i="9" s="1"/>
  <c r="AF1064" i="9"/>
  <c r="AB1064" i="9"/>
  <c r="V1064" i="9"/>
  <c r="R1064" i="9"/>
  <c r="I1064" i="9"/>
  <c r="K1064" i="9" s="1"/>
  <c r="L1064" i="9" s="1"/>
  <c r="AM1063" i="9"/>
  <c r="AN1063" i="9" s="1"/>
  <c r="AK1063" i="9"/>
  <c r="AL1063" i="9" s="1"/>
  <c r="L1063" i="9"/>
  <c r="I1063" i="9"/>
  <c r="K1063" i="9" s="1"/>
  <c r="AM1062" i="9"/>
  <c r="AN1062" i="9" s="1"/>
  <c r="AF1062" i="9"/>
  <c r="AB1062" i="9"/>
  <c r="V1062" i="9"/>
  <c r="R1062" i="9"/>
  <c r="AK1062" i="9" s="1"/>
  <c r="AL1062" i="9" s="1"/>
  <c r="I1062" i="9"/>
  <c r="K1062" i="9" s="1"/>
  <c r="L1062" i="9" s="1"/>
  <c r="AM1061" i="9"/>
  <c r="AN1061" i="9" s="1"/>
  <c r="AL1061" i="9"/>
  <c r="AK1061" i="9"/>
  <c r="I1061" i="9"/>
  <c r="K1061" i="9" s="1"/>
  <c r="L1061" i="9" s="1"/>
  <c r="AM1060" i="9"/>
  <c r="AN1060" i="9" s="1"/>
  <c r="AF1060" i="9"/>
  <c r="AB1060" i="9"/>
  <c r="V1060" i="9"/>
  <c r="R1060" i="9"/>
  <c r="I1060" i="9"/>
  <c r="K1060" i="9" s="1"/>
  <c r="L1060" i="9" s="1"/>
  <c r="AM1059" i="9"/>
  <c r="AN1059" i="9" s="1"/>
  <c r="AF1059" i="9"/>
  <c r="AB1059" i="9"/>
  <c r="V1059" i="9"/>
  <c r="R1059" i="9"/>
  <c r="I1059" i="9"/>
  <c r="K1059" i="9" s="1"/>
  <c r="L1059" i="9" s="1"/>
  <c r="AM1058" i="9"/>
  <c r="AN1058" i="9" s="1"/>
  <c r="AF1058" i="9"/>
  <c r="AB1058" i="9"/>
  <c r="V1058" i="9"/>
  <c r="R1058" i="9"/>
  <c r="L1058" i="9"/>
  <c r="I1058" i="9"/>
  <c r="K1058" i="9" s="1"/>
  <c r="AN1057" i="9"/>
  <c r="AM1057" i="9"/>
  <c r="AK1057" i="9"/>
  <c r="AL1057" i="9" s="1"/>
  <c r="K1057" i="9"/>
  <c r="L1057" i="9" s="1"/>
  <c r="I1057" i="9"/>
  <c r="AN1056" i="9"/>
  <c r="AM1056" i="9"/>
  <c r="AF1056" i="9"/>
  <c r="AB1056" i="9"/>
  <c r="V1056" i="9"/>
  <c r="AK1056" i="9" s="1"/>
  <c r="AL1056" i="9" s="1"/>
  <c r="R1056" i="9"/>
  <c r="I1056" i="9"/>
  <c r="K1056" i="9" s="1"/>
  <c r="L1056" i="9" s="1"/>
  <c r="AN1055" i="9"/>
  <c r="AM1055" i="9"/>
  <c r="AF1055" i="9"/>
  <c r="AB1055" i="9"/>
  <c r="V1055" i="9"/>
  <c r="R1055" i="9"/>
  <c r="I1055" i="9"/>
  <c r="K1055" i="9" s="1"/>
  <c r="L1055" i="9" s="1"/>
  <c r="AM1054" i="9"/>
  <c r="AN1054" i="9" s="1"/>
  <c r="AF1054" i="9"/>
  <c r="AK1054" i="9" s="1"/>
  <c r="AL1054" i="9" s="1"/>
  <c r="AB1054" i="9"/>
  <c r="V1054" i="9"/>
  <c r="R1054" i="9"/>
  <c r="I1054" i="9"/>
  <c r="K1054" i="9" s="1"/>
  <c r="L1054" i="9" s="1"/>
  <c r="AM1053" i="9"/>
  <c r="AN1053" i="9" s="1"/>
  <c r="AF1053" i="9"/>
  <c r="AB1053" i="9"/>
  <c r="AK1053" i="9" s="1"/>
  <c r="AL1053" i="9" s="1"/>
  <c r="V1053" i="9"/>
  <c r="R1053" i="9"/>
  <c r="I1053" i="9"/>
  <c r="K1053" i="9" s="1"/>
  <c r="L1053" i="9" s="1"/>
  <c r="AM1052" i="9"/>
  <c r="AN1052" i="9" s="1"/>
  <c r="AK1052" i="9"/>
  <c r="AL1052" i="9" s="1"/>
  <c r="I1052" i="9"/>
  <c r="K1052" i="9" s="1"/>
  <c r="L1052" i="9" s="1"/>
  <c r="AM1051" i="9"/>
  <c r="AN1051" i="9" s="1"/>
  <c r="AF1051" i="9"/>
  <c r="AB1051" i="9"/>
  <c r="V1051" i="9"/>
  <c r="R1051" i="9"/>
  <c r="I1051" i="9"/>
  <c r="K1051" i="9" s="1"/>
  <c r="L1051" i="9" s="1"/>
  <c r="AF1050" i="9"/>
  <c r="AE1050" i="9"/>
  <c r="AB1050" i="9"/>
  <c r="AA1050" i="9"/>
  <c r="V1050" i="9"/>
  <c r="U1050" i="9"/>
  <c r="R1050" i="9"/>
  <c r="Q1050" i="9"/>
  <c r="K1050" i="9"/>
  <c r="L1050" i="9" s="1"/>
  <c r="I1050" i="9"/>
  <c r="AM1049" i="9"/>
  <c r="AN1049" i="9" s="1"/>
  <c r="AF1049" i="9"/>
  <c r="AB1049" i="9"/>
  <c r="V1049" i="9"/>
  <c r="R1049" i="9"/>
  <c r="I1049" i="9"/>
  <c r="K1049" i="9" s="1"/>
  <c r="L1049" i="9" s="1"/>
  <c r="AM1048" i="9"/>
  <c r="AN1048" i="9" s="1"/>
  <c r="AF1048" i="9"/>
  <c r="AB1048" i="9"/>
  <c r="V1048" i="9"/>
  <c r="R1048" i="9"/>
  <c r="I1048" i="9"/>
  <c r="K1048" i="9" s="1"/>
  <c r="L1048" i="9" s="1"/>
  <c r="AN1047" i="9"/>
  <c r="AM1047" i="9"/>
  <c r="AK1047" i="9"/>
  <c r="AL1047" i="9" s="1"/>
  <c r="I1047" i="9"/>
  <c r="K1047" i="9" s="1"/>
  <c r="L1047" i="9" s="1"/>
  <c r="AM1046" i="9"/>
  <c r="AN1046" i="9" s="1"/>
  <c r="AK1046" i="9"/>
  <c r="AL1046" i="9" s="1"/>
  <c r="I1046" i="9"/>
  <c r="K1046" i="9" s="1"/>
  <c r="L1046" i="9" s="1"/>
  <c r="AM1045" i="9"/>
  <c r="AN1045" i="9" s="1"/>
  <c r="AF1045" i="9"/>
  <c r="AB1045" i="9"/>
  <c r="V1045" i="9"/>
  <c r="R1045" i="9"/>
  <c r="AK1045" i="9" s="1"/>
  <c r="AL1045" i="9" s="1"/>
  <c r="I1045" i="9"/>
  <c r="K1045" i="9" s="1"/>
  <c r="L1045" i="9" s="1"/>
  <c r="AM1044" i="9"/>
  <c r="AN1044" i="9" s="1"/>
  <c r="AK1044" i="9"/>
  <c r="AL1044" i="9" s="1"/>
  <c r="I1044" i="9"/>
  <c r="K1044" i="9" s="1"/>
  <c r="L1044" i="9" s="1"/>
  <c r="AM1043" i="9"/>
  <c r="AN1043" i="9" s="1"/>
  <c r="AF1043" i="9"/>
  <c r="AB1043" i="9"/>
  <c r="V1043" i="9"/>
  <c r="R1043" i="9"/>
  <c r="K1043" i="9"/>
  <c r="L1043" i="9" s="1"/>
  <c r="I1043" i="9"/>
  <c r="AF1042" i="9"/>
  <c r="AE1042" i="9"/>
  <c r="AB1042" i="9"/>
  <c r="AA1042" i="9"/>
  <c r="V1042" i="9"/>
  <c r="U1042" i="9"/>
  <c r="R1042" i="9"/>
  <c r="Q1042" i="9"/>
  <c r="I1042" i="9"/>
  <c r="K1042" i="9" s="1"/>
  <c r="L1042" i="9" s="1"/>
  <c r="AM1041" i="9"/>
  <c r="AN1041" i="9" s="1"/>
  <c r="AK1041" i="9"/>
  <c r="AL1041" i="9" s="1"/>
  <c r="I1041" i="9"/>
  <c r="K1041" i="9" s="1"/>
  <c r="L1041" i="9" s="1"/>
  <c r="AM1040" i="9"/>
  <c r="AN1040" i="9" s="1"/>
  <c r="AK1040" i="9"/>
  <c r="AL1040" i="9" s="1"/>
  <c r="I1040" i="9"/>
  <c r="K1040" i="9" s="1"/>
  <c r="L1040" i="9" s="1"/>
  <c r="AN1039" i="9"/>
  <c r="AM1039" i="9"/>
  <c r="AF1039" i="9"/>
  <c r="AB1039" i="9"/>
  <c r="V1039" i="9"/>
  <c r="R1039" i="9"/>
  <c r="I1039" i="9"/>
  <c r="K1039" i="9" s="1"/>
  <c r="L1039" i="9" s="1"/>
  <c r="AM1038" i="9"/>
  <c r="AN1038" i="9" s="1"/>
  <c r="AK1038" i="9"/>
  <c r="AL1038" i="9" s="1"/>
  <c r="L1038" i="9"/>
  <c r="I1038" i="9"/>
  <c r="K1038" i="9" s="1"/>
  <c r="AM1037" i="9"/>
  <c r="AN1037" i="9" s="1"/>
  <c r="AL1037" i="9"/>
  <c r="AK1037" i="9"/>
  <c r="I1037" i="9"/>
  <c r="K1037" i="9" s="1"/>
  <c r="L1037" i="9" s="1"/>
  <c r="AM1036" i="9"/>
  <c r="AN1036" i="9" s="1"/>
  <c r="AK1036" i="9"/>
  <c r="AL1036" i="9" s="1"/>
  <c r="I1036" i="9"/>
  <c r="K1036" i="9" s="1"/>
  <c r="L1036" i="9" s="1"/>
  <c r="AM1035" i="9"/>
  <c r="AN1035" i="9" s="1"/>
  <c r="AK1035" i="9"/>
  <c r="AL1035" i="9" s="1"/>
  <c r="I1035" i="9"/>
  <c r="K1035" i="9" s="1"/>
  <c r="L1035" i="9" s="1"/>
  <c r="AF1034" i="9"/>
  <c r="AE1034" i="9"/>
  <c r="AB1034" i="9"/>
  <c r="AA1034" i="9"/>
  <c r="V1034" i="9"/>
  <c r="U1034" i="9"/>
  <c r="R1034" i="9"/>
  <c r="Q1034" i="9"/>
  <c r="L1034" i="9"/>
  <c r="I1034" i="9"/>
  <c r="K1034" i="9" s="1"/>
  <c r="AM1033" i="9"/>
  <c r="AN1033" i="9" s="1"/>
  <c r="AF1033" i="9"/>
  <c r="AB1033" i="9"/>
  <c r="V1033" i="9"/>
  <c r="R1033" i="9"/>
  <c r="I1033" i="9"/>
  <c r="K1033" i="9" s="1"/>
  <c r="L1033" i="9" s="1"/>
  <c r="AM1032" i="9"/>
  <c r="AN1032" i="9" s="1"/>
  <c r="AK1032" i="9"/>
  <c r="AL1032" i="9" s="1"/>
  <c r="K1032" i="9"/>
  <c r="L1032" i="9" s="1"/>
  <c r="I1032" i="9"/>
  <c r="AM1031" i="9"/>
  <c r="AN1031" i="9" s="1"/>
  <c r="AF1031" i="9"/>
  <c r="AB1031" i="9"/>
  <c r="V1031" i="9"/>
  <c r="R1031" i="9"/>
  <c r="I1031" i="9"/>
  <c r="K1031" i="9" s="1"/>
  <c r="L1031" i="9" s="1"/>
  <c r="AN1030" i="9"/>
  <c r="AM1030" i="9"/>
  <c r="AF1030" i="9"/>
  <c r="AB1030" i="9"/>
  <c r="V1030" i="9"/>
  <c r="R1030" i="9"/>
  <c r="I1030" i="9"/>
  <c r="K1030" i="9" s="1"/>
  <c r="L1030" i="9" s="1"/>
  <c r="AF1029" i="9"/>
  <c r="AE1029" i="9"/>
  <c r="AB1029" i="9"/>
  <c r="AA1029" i="9"/>
  <c r="V1029" i="9"/>
  <c r="U1029" i="9"/>
  <c r="R1029" i="9"/>
  <c r="Q1029" i="9"/>
  <c r="K1029" i="9"/>
  <c r="L1029" i="9" s="1"/>
  <c r="I1029" i="9"/>
  <c r="AF1028" i="9"/>
  <c r="AE1028" i="9"/>
  <c r="AM1028" i="9" s="1"/>
  <c r="AN1028" i="9" s="1"/>
  <c r="AB1028" i="9"/>
  <c r="AA1028" i="9"/>
  <c r="V1028" i="9"/>
  <c r="U1028" i="9"/>
  <c r="R1028" i="9"/>
  <c r="Q1028" i="9"/>
  <c r="I1028" i="9"/>
  <c r="K1028" i="9" s="1"/>
  <c r="L1028" i="9" s="1"/>
  <c r="AF1027" i="9"/>
  <c r="AE1027" i="9"/>
  <c r="AB1027" i="9"/>
  <c r="AA1027" i="9"/>
  <c r="AM1027" i="9" s="1"/>
  <c r="AN1027" i="9" s="1"/>
  <c r="V1027" i="9"/>
  <c r="U1027" i="9"/>
  <c r="R1027" i="9"/>
  <c r="Q1027" i="9"/>
  <c r="I1027" i="9"/>
  <c r="K1027" i="9" s="1"/>
  <c r="L1027" i="9" s="1"/>
  <c r="AF1026" i="9"/>
  <c r="AE1026" i="9"/>
  <c r="AB1026" i="9"/>
  <c r="AA1026" i="9"/>
  <c r="V1026" i="9"/>
  <c r="U1026" i="9"/>
  <c r="R1026" i="9"/>
  <c r="AK1026" i="9" s="1"/>
  <c r="AL1026" i="9" s="1"/>
  <c r="Q1026" i="9"/>
  <c r="AM1026" i="9" s="1"/>
  <c r="AN1026" i="9" s="1"/>
  <c r="I1026" i="9"/>
  <c r="K1026" i="9" s="1"/>
  <c r="L1026" i="9" s="1"/>
  <c r="AM1025" i="9"/>
  <c r="AN1025" i="9" s="1"/>
  <c r="AK1025" i="9"/>
  <c r="AL1025" i="9" s="1"/>
  <c r="I1025" i="9"/>
  <c r="K1025" i="9" s="1"/>
  <c r="L1025" i="9" s="1"/>
  <c r="AM1024" i="9"/>
  <c r="AN1024" i="9" s="1"/>
  <c r="AK1024" i="9"/>
  <c r="AL1024" i="9" s="1"/>
  <c r="K1024" i="9"/>
  <c r="L1024" i="9" s="1"/>
  <c r="I1024" i="9"/>
  <c r="AM1023" i="9"/>
  <c r="AN1023" i="9" s="1"/>
  <c r="AK1023" i="9"/>
  <c r="AL1023" i="9" s="1"/>
  <c r="I1023" i="9"/>
  <c r="K1023" i="9" s="1"/>
  <c r="L1023" i="9" s="1"/>
  <c r="AF1022" i="9"/>
  <c r="AE1022" i="9"/>
  <c r="AB1022" i="9"/>
  <c r="AA1022" i="9"/>
  <c r="V1022" i="9"/>
  <c r="U1022" i="9"/>
  <c r="R1022" i="9"/>
  <c r="Q1022" i="9"/>
  <c r="I1022" i="9"/>
  <c r="K1022" i="9" s="1"/>
  <c r="L1022" i="9" s="1"/>
  <c r="AM1021" i="9"/>
  <c r="AN1021" i="9" s="1"/>
  <c r="AF1021" i="9"/>
  <c r="AB1021" i="9"/>
  <c r="V1021" i="9"/>
  <c r="R1021" i="9"/>
  <c r="I1021" i="9"/>
  <c r="K1021" i="9" s="1"/>
  <c r="L1021" i="9" s="1"/>
  <c r="AN1020" i="9"/>
  <c r="AM1020" i="9"/>
  <c r="AF1020" i="9"/>
  <c r="AB1020" i="9"/>
  <c r="V1020" i="9"/>
  <c r="AK1020" i="9" s="1"/>
  <c r="AL1020" i="9" s="1"/>
  <c r="R1020" i="9"/>
  <c r="I1020" i="9"/>
  <c r="K1020" i="9" s="1"/>
  <c r="L1020" i="9" s="1"/>
  <c r="AM1019" i="9"/>
  <c r="AN1019" i="9" s="1"/>
  <c r="AF1019" i="9"/>
  <c r="AB1019" i="9"/>
  <c r="V1019" i="9"/>
  <c r="R1019" i="9"/>
  <c r="I1019" i="9"/>
  <c r="K1019" i="9" s="1"/>
  <c r="L1019" i="9" s="1"/>
  <c r="AF1018" i="9"/>
  <c r="AE1018" i="9"/>
  <c r="AB1018" i="9"/>
  <c r="AA1018" i="9"/>
  <c r="V1018" i="9"/>
  <c r="U1018" i="9"/>
  <c r="R1018" i="9"/>
  <c r="Q1018" i="9"/>
  <c r="K1018" i="9"/>
  <c r="L1018" i="9" s="1"/>
  <c r="I1018" i="9"/>
  <c r="AF1017" i="9"/>
  <c r="AE1017" i="9"/>
  <c r="AB1017" i="9"/>
  <c r="AA1017" i="9"/>
  <c r="V1017" i="9"/>
  <c r="U1017" i="9"/>
  <c r="R1017" i="9"/>
  <c r="Q1017" i="9"/>
  <c r="K1017" i="9"/>
  <c r="L1017" i="9" s="1"/>
  <c r="I1017" i="9"/>
  <c r="AN1016" i="9"/>
  <c r="AM1016" i="9"/>
  <c r="AF1016" i="9"/>
  <c r="AB1016" i="9"/>
  <c r="V1016" i="9"/>
  <c r="R1016" i="9"/>
  <c r="AK1016" i="9" s="1"/>
  <c r="AL1016" i="9" s="1"/>
  <c r="I1016" i="9"/>
  <c r="K1016" i="9" s="1"/>
  <c r="L1016" i="9" s="1"/>
  <c r="AM1015" i="9"/>
  <c r="AN1015" i="9" s="1"/>
  <c r="AL1015" i="9"/>
  <c r="AK1015" i="9"/>
  <c r="I1015" i="9"/>
  <c r="K1015" i="9" s="1"/>
  <c r="L1015" i="9" s="1"/>
  <c r="AM1014" i="9"/>
  <c r="AN1014" i="9" s="1"/>
  <c r="AK1014" i="9"/>
  <c r="AL1014" i="9" s="1"/>
  <c r="I1014" i="9"/>
  <c r="K1014" i="9" s="1"/>
  <c r="L1014" i="9" s="1"/>
  <c r="AM1013" i="9"/>
  <c r="AN1013" i="9" s="1"/>
  <c r="AF1013" i="9"/>
  <c r="AB1013" i="9"/>
  <c r="V1013" i="9"/>
  <c r="R1013" i="9"/>
  <c r="K1013" i="9"/>
  <c r="L1013" i="9" s="1"/>
  <c r="I1013" i="9"/>
  <c r="AF1012" i="9"/>
  <c r="AE1012" i="9"/>
  <c r="AB1012" i="9"/>
  <c r="AA1012" i="9"/>
  <c r="V1012" i="9"/>
  <c r="U1012" i="9"/>
  <c r="R1012" i="9"/>
  <c r="Q1012" i="9"/>
  <c r="I1012" i="9"/>
  <c r="K1012" i="9" s="1"/>
  <c r="L1012" i="9" s="1"/>
  <c r="AM1011" i="9"/>
  <c r="AN1011" i="9" s="1"/>
  <c r="AF1011" i="9"/>
  <c r="AB1011" i="9"/>
  <c r="V1011" i="9"/>
  <c r="AK1011" i="9" s="1"/>
  <c r="AL1011" i="9" s="1"/>
  <c r="R1011" i="9"/>
  <c r="I1011" i="9"/>
  <c r="K1011" i="9" s="1"/>
  <c r="L1011" i="9" s="1"/>
  <c r="AM1010" i="9"/>
  <c r="AN1010" i="9" s="1"/>
  <c r="AL1010" i="9"/>
  <c r="AK1010" i="9"/>
  <c r="I1010" i="9"/>
  <c r="K1010" i="9" s="1"/>
  <c r="L1010" i="9" s="1"/>
  <c r="AM1009" i="9"/>
  <c r="AN1009" i="9" s="1"/>
  <c r="AK1009" i="9"/>
  <c r="AL1009" i="9" s="1"/>
  <c r="I1009" i="9"/>
  <c r="K1009" i="9" s="1"/>
  <c r="L1009" i="9" s="1"/>
  <c r="AN1008" i="9"/>
  <c r="AM1008" i="9"/>
  <c r="AF1008" i="9"/>
  <c r="AB1008" i="9"/>
  <c r="V1008" i="9"/>
  <c r="R1008" i="9"/>
  <c r="I1008" i="9"/>
  <c r="K1008" i="9" s="1"/>
  <c r="L1008" i="9" s="1"/>
  <c r="AF1007" i="9"/>
  <c r="AE1007" i="9"/>
  <c r="AB1007" i="9"/>
  <c r="AA1007" i="9"/>
  <c r="V1007" i="9"/>
  <c r="U1007" i="9"/>
  <c r="R1007" i="9"/>
  <c r="Q1007" i="9"/>
  <c r="I1007" i="9"/>
  <c r="K1007" i="9" s="1"/>
  <c r="L1007" i="9" s="1"/>
  <c r="AM1006" i="9"/>
  <c r="AN1006" i="9" s="1"/>
  <c r="AF1006" i="9"/>
  <c r="AB1006" i="9"/>
  <c r="V1006" i="9"/>
  <c r="R1006" i="9"/>
  <c r="I1006" i="9"/>
  <c r="K1006" i="9" s="1"/>
  <c r="L1006" i="9" s="1"/>
  <c r="AM1005" i="9"/>
  <c r="AN1005" i="9" s="1"/>
  <c r="AF1005" i="9"/>
  <c r="AB1005" i="9"/>
  <c r="V1005" i="9"/>
  <c r="AK1005" i="9" s="1"/>
  <c r="AL1005" i="9" s="1"/>
  <c r="R1005" i="9"/>
  <c r="I1005" i="9"/>
  <c r="K1005" i="9" s="1"/>
  <c r="L1005" i="9" s="1"/>
  <c r="AM1004" i="9"/>
  <c r="AN1004" i="9" s="1"/>
  <c r="AF1004" i="9"/>
  <c r="AB1004" i="9"/>
  <c r="V1004" i="9"/>
  <c r="R1004" i="9"/>
  <c r="I1004" i="9"/>
  <c r="K1004" i="9" s="1"/>
  <c r="L1004" i="9" s="1"/>
  <c r="AN1003" i="9"/>
  <c r="AM1003" i="9"/>
  <c r="AF1003" i="9"/>
  <c r="AB1003" i="9"/>
  <c r="V1003" i="9"/>
  <c r="R1003" i="9"/>
  <c r="I1003" i="9"/>
  <c r="K1003" i="9" s="1"/>
  <c r="L1003" i="9" s="1"/>
  <c r="AM1002" i="9"/>
  <c r="AN1002" i="9" s="1"/>
  <c r="AL1002" i="9"/>
  <c r="AK1002" i="9"/>
  <c r="I1002" i="9"/>
  <c r="K1002" i="9" s="1"/>
  <c r="L1002" i="9" s="1"/>
  <c r="AF1001" i="9"/>
  <c r="AE1001" i="9"/>
  <c r="AB1001" i="9"/>
  <c r="AA1001" i="9"/>
  <c r="V1001" i="9"/>
  <c r="U1001" i="9"/>
  <c r="R1001" i="9"/>
  <c r="Q1001" i="9"/>
  <c r="K1001" i="9"/>
  <c r="L1001" i="9" s="1"/>
  <c r="I1001" i="9"/>
  <c r="AM1000" i="9"/>
  <c r="AN1000" i="9" s="1"/>
  <c r="AF1000" i="9"/>
  <c r="AB1000" i="9"/>
  <c r="V1000" i="9"/>
  <c r="R1000" i="9"/>
  <c r="I1000" i="9"/>
  <c r="K1000" i="9" s="1"/>
  <c r="L1000" i="9" s="1"/>
  <c r="AM999" i="9"/>
  <c r="AN999" i="9" s="1"/>
  <c r="AF999" i="9"/>
  <c r="AB999" i="9"/>
  <c r="V999" i="9"/>
  <c r="R999" i="9"/>
  <c r="I999" i="9"/>
  <c r="K999" i="9" s="1"/>
  <c r="L999" i="9" s="1"/>
  <c r="AF998" i="9"/>
  <c r="AE998" i="9"/>
  <c r="AB998" i="9"/>
  <c r="AA998" i="9"/>
  <c r="V998" i="9"/>
  <c r="U998" i="9"/>
  <c r="R998" i="9"/>
  <c r="Q998" i="9"/>
  <c r="K998" i="9"/>
  <c r="L998" i="9" s="1"/>
  <c r="I998" i="9"/>
  <c r="AM997" i="9"/>
  <c r="AN997" i="9" s="1"/>
  <c r="AK997" i="9"/>
  <c r="AL997" i="9" s="1"/>
  <c r="I997" i="9"/>
  <c r="K997" i="9" s="1"/>
  <c r="L997" i="9" s="1"/>
  <c r="AN996" i="9"/>
  <c r="AM996" i="9"/>
  <c r="AK996" i="9"/>
  <c r="AL996" i="9" s="1"/>
  <c r="K996" i="9"/>
  <c r="L996" i="9" s="1"/>
  <c r="I996" i="9"/>
  <c r="AM995" i="9"/>
  <c r="AN995" i="9" s="1"/>
  <c r="AK995" i="9"/>
  <c r="AL995" i="9" s="1"/>
  <c r="K995" i="9"/>
  <c r="L995" i="9" s="1"/>
  <c r="I995" i="9"/>
  <c r="AM994" i="9"/>
  <c r="AN994" i="9" s="1"/>
  <c r="AF994" i="9"/>
  <c r="AB994" i="9"/>
  <c r="V994" i="9"/>
  <c r="R994" i="9"/>
  <c r="I994" i="9"/>
  <c r="K994" i="9" s="1"/>
  <c r="L994" i="9" s="1"/>
  <c r="AF993" i="9"/>
  <c r="AE993" i="9"/>
  <c r="AB993" i="9"/>
  <c r="AA993" i="9"/>
  <c r="V993" i="9"/>
  <c r="U993" i="9"/>
  <c r="R993" i="9"/>
  <c r="AK993" i="9" s="1"/>
  <c r="AL993" i="9" s="1"/>
  <c r="Q993" i="9"/>
  <c r="I993" i="9"/>
  <c r="K993" i="9" s="1"/>
  <c r="L993" i="9" s="1"/>
  <c r="AF992" i="9"/>
  <c r="AE992" i="9"/>
  <c r="AB992" i="9"/>
  <c r="AA992" i="9"/>
  <c r="V992" i="9"/>
  <c r="U992" i="9"/>
  <c r="R992" i="9"/>
  <c r="Q992" i="9"/>
  <c r="I992" i="9"/>
  <c r="K992" i="9" s="1"/>
  <c r="L992" i="9" s="1"/>
  <c r="AM991" i="9"/>
  <c r="AN991" i="9" s="1"/>
  <c r="AF991" i="9"/>
  <c r="AB991" i="9"/>
  <c r="V991" i="9"/>
  <c r="R991" i="9"/>
  <c r="AK991" i="9" s="1"/>
  <c r="AL991" i="9" s="1"/>
  <c r="I991" i="9"/>
  <c r="K991" i="9" s="1"/>
  <c r="L991" i="9" s="1"/>
  <c r="AF990" i="9"/>
  <c r="AE990" i="9"/>
  <c r="AB990" i="9"/>
  <c r="AA990" i="9"/>
  <c r="V990" i="9"/>
  <c r="U990" i="9"/>
  <c r="R990" i="9"/>
  <c r="Q990" i="9"/>
  <c r="I990" i="9"/>
  <c r="K990" i="9" s="1"/>
  <c r="L990" i="9" s="1"/>
  <c r="AM989" i="9"/>
  <c r="AN989" i="9" s="1"/>
  <c r="AF989" i="9"/>
  <c r="AB989" i="9"/>
  <c r="V989" i="9"/>
  <c r="R989" i="9"/>
  <c r="I989" i="9"/>
  <c r="K989" i="9" s="1"/>
  <c r="L989" i="9" s="1"/>
  <c r="AM988" i="9"/>
  <c r="AN988" i="9" s="1"/>
  <c r="AF988" i="9"/>
  <c r="AB988" i="9"/>
  <c r="V988" i="9"/>
  <c r="R988" i="9"/>
  <c r="I988" i="9"/>
  <c r="K988" i="9" s="1"/>
  <c r="L988" i="9" s="1"/>
  <c r="AN987" i="9"/>
  <c r="AM987" i="9"/>
  <c r="AK987" i="9"/>
  <c r="AL987" i="9" s="1"/>
  <c r="I987" i="9"/>
  <c r="K987" i="9" s="1"/>
  <c r="L987" i="9" s="1"/>
  <c r="AM986" i="9"/>
  <c r="AN986" i="9" s="1"/>
  <c r="AF986" i="9"/>
  <c r="AB986" i="9"/>
  <c r="V986" i="9"/>
  <c r="R986" i="9"/>
  <c r="K986" i="9"/>
  <c r="L986" i="9" s="1"/>
  <c r="I986" i="9"/>
  <c r="AM985" i="9"/>
  <c r="AN985" i="9" s="1"/>
  <c r="AF985" i="9"/>
  <c r="AB985" i="9"/>
  <c r="V985" i="9"/>
  <c r="R985" i="9"/>
  <c r="L985" i="9"/>
  <c r="K985" i="9"/>
  <c r="I985" i="9"/>
  <c r="AM984" i="9"/>
  <c r="AN984" i="9" s="1"/>
  <c r="AK984" i="9"/>
  <c r="AL984" i="9" s="1"/>
  <c r="I984" i="9"/>
  <c r="K984" i="9" s="1"/>
  <c r="L984" i="9" s="1"/>
  <c r="AM983" i="9"/>
  <c r="AN983" i="9" s="1"/>
  <c r="AK983" i="9"/>
  <c r="AL983" i="9" s="1"/>
  <c r="I983" i="9"/>
  <c r="K983" i="9" s="1"/>
  <c r="L983" i="9" s="1"/>
  <c r="AM982" i="9"/>
  <c r="AN982" i="9" s="1"/>
  <c r="AF982" i="9"/>
  <c r="AB982" i="9"/>
  <c r="V982" i="9"/>
  <c r="R982" i="9"/>
  <c r="I982" i="9"/>
  <c r="K982" i="9" s="1"/>
  <c r="L982" i="9" s="1"/>
  <c r="AM981" i="9"/>
  <c r="AN981" i="9" s="1"/>
  <c r="AK981" i="9"/>
  <c r="AL981" i="9" s="1"/>
  <c r="I981" i="9"/>
  <c r="K981" i="9" s="1"/>
  <c r="L981" i="9" s="1"/>
  <c r="AM980" i="9"/>
  <c r="AN980" i="9" s="1"/>
  <c r="AF980" i="9"/>
  <c r="AB980" i="9"/>
  <c r="V980" i="9"/>
  <c r="R980" i="9"/>
  <c r="I980" i="9"/>
  <c r="K980" i="9" s="1"/>
  <c r="L980" i="9" s="1"/>
  <c r="AM979" i="9"/>
  <c r="AN979" i="9" s="1"/>
  <c r="AF979" i="9"/>
  <c r="AB979" i="9"/>
  <c r="V979" i="9"/>
  <c r="R979" i="9"/>
  <c r="I979" i="9"/>
  <c r="K979" i="9" s="1"/>
  <c r="L979" i="9" s="1"/>
  <c r="AM978" i="9"/>
  <c r="AN978" i="9" s="1"/>
  <c r="AF978" i="9"/>
  <c r="AB978" i="9"/>
  <c r="V978" i="9"/>
  <c r="R978" i="9"/>
  <c r="I978" i="9"/>
  <c r="K978" i="9" s="1"/>
  <c r="L978" i="9" s="1"/>
  <c r="AN977" i="9"/>
  <c r="AM977" i="9"/>
  <c r="AF977" i="9"/>
  <c r="AB977" i="9"/>
  <c r="V977" i="9"/>
  <c r="R977" i="9"/>
  <c r="L977" i="9"/>
  <c r="K977" i="9"/>
  <c r="I977" i="9"/>
  <c r="AM976" i="9"/>
  <c r="AN976" i="9" s="1"/>
  <c r="AF976" i="9"/>
  <c r="AB976" i="9"/>
  <c r="V976" i="9"/>
  <c r="R976" i="9"/>
  <c r="I976" i="9"/>
  <c r="K976" i="9" s="1"/>
  <c r="L976" i="9" s="1"/>
  <c r="AM975" i="9"/>
  <c r="AN975" i="9" s="1"/>
  <c r="AF975" i="9"/>
  <c r="AB975" i="9"/>
  <c r="V975" i="9"/>
  <c r="R975" i="9"/>
  <c r="K975" i="9"/>
  <c r="L975" i="9" s="1"/>
  <c r="I975" i="9"/>
  <c r="AN974" i="9"/>
  <c r="AM974" i="9"/>
  <c r="AF974" i="9"/>
  <c r="AB974" i="9"/>
  <c r="V974" i="9"/>
  <c r="R974" i="9"/>
  <c r="I974" i="9"/>
  <c r="K974" i="9" s="1"/>
  <c r="L974" i="9" s="1"/>
  <c r="AM973" i="9"/>
  <c r="AN973" i="9" s="1"/>
  <c r="AF973" i="9"/>
  <c r="AB973" i="9"/>
  <c r="V973" i="9"/>
  <c r="R973" i="9"/>
  <c r="AK973" i="9" s="1"/>
  <c r="AL973" i="9" s="1"/>
  <c r="K973" i="9"/>
  <c r="L973" i="9" s="1"/>
  <c r="I973" i="9"/>
  <c r="AF972" i="9"/>
  <c r="AE972" i="9"/>
  <c r="AB972" i="9"/>
  <c r="AA972" i="9"/>
  <c r="V972" i="9"/>
  <c r="U972" i="9"/>
  <c r="AM972" i="9" s="1"/>
  <c r="AN972" i="9" s="1"/>
  <c r="R972" i="9"/>
  <c r="Q972" i="9"/>
  <c r="I972" i="9"/>
  <c r="K972" i="9" s="1"/>
  <c r="L972" i="9" s="1"/>
  <c r="AN971" i="9"/>
  <c r="AM971" i="9"/>
  <c r="AF971" i="9"/>
  <c r="AB971" i="9"/>
  <c r="V971" i="9"/>
  <c r="R971" i="9"/>
  <c r="I971" i="9"/>
  <c r="K971" i="9" s="1"/>
  <c r="L971" i="9" s="1"/>
  <c r="AM970" i="9"/>
  <c r="AN970" i="9" s="1"/>
  <c r="AF970" i="9"/>
  <c r="AB970" i="9"/>
  <c r="V970" i="9"/>
  <c r="R970" i="9"/>
  <c r="I970" i="9"/>
  <c r="K970" i="9" s="1"/>
  <c r="L970" i="9" s="1"/>
  <c r="AM969" i="9"/>
  <c r="AN969" i="9" s="1"/>
  <c r="AF969" i="9"/>
  <c r="AB969" i="9"/>
  <c r="V969" i="9"/>
  <c r="R969" i="9"/>
  <c r="K969" i="9"/>
  <c r="L969" i="9" s="1"/>
  <c r="I969" i="9"/>
  <c r="AM968" i="9"/>
  <c r="AN968" i="9" s="1"/>
  <c r="AK968" i="9"/>
  <c r="AL968" i="9" s="1"/>
  <c r="I968" i="9"/>
  <c r="K968" i="9" s="1"/>
  <c r="L968" i="9" s="1"/>
  <c r="AM967" i="9"/>
  <c r="AN967" i="9" s="1"/>
  <c r="AK967" i="9"/>
  <c r="AL967" i="9" s="1"/>
  <c r="I967" i="9"/>
  <c r="K967" i="9" s="1"/>
  <c r="L967" i="9" s="1"/>
  <c r="AM966" i="9"/>
  <c r="AN966" i="9" s="1"/>
  <c r="AK966" i="9"/>
  <c r="AL966" i="9" s="1"/>
  <c r="I966" i="9"/>
  <c r="K966" i="9" s="1"/>
  <c r="L966" i="9" s="1"/>
  <c r="AM965" i="9"/>
  <c r="AN965" i="9" s="1"/>
  <c r="AF965" i="9"/>
  <c r="AB965" i="9"/>
  <c r="AK965" i="9" s="1"/>
  <c r="AL965" i="9" s="1"/>
  <c r="V965" i="9"/>
  <c r="R965" i="9"/>
  <c r="K965" i="9"/>
  <c r="L965" i="9" s="1"/>
  <c r="I965" i="9"/>
  <c r="AM964" i="9"/>
  <c r="AN964" i="9" s="1"/>
  <c r="AF964" i="9"/>
  <c r="AK964" i="9" s="1"/>
  <c r="AL964" i="9" s="1"/>
  <c r="AB964" i="9"/>
  <c r="V964" i="9"/>
  <c r="R964" i="9"/>
  <c r="I964" i="9"/>
  <c r="K964" i="9" s="1"/>
  <c r="L964" i="9" s="1"/>
  <c r="AN963" i="9"/>
  <c r="AM963" i="9"/>
  <c r="AF963" i="9"/>
  <c r="AB963" i="9"/>
  <c r="V963" i="9"/>
  <c r="R963" i="9"/>
  <c r="I963" i="9"/>
  <c r="K963" i="9" s="1"/>
  <c r="L963" i="9" s="1"/>
  <c r="AM962" i="9"/>
  <c r="AN962" i="9" s="1"/>
  <c r="AF962" i="9"/>
  <c r="AB962" i="9"/>
  <c r="V962" i="9"/>
  <c r="R962" i="9"/>
  <c r="AK962" i="9" s="1"/>
  <c r="AL962" i="9" s="1"/>
  <c r="I962" i="9"/>
  <c r="K962" i="9" s="1"/>
  <c r="L962" i="9" s="1"/>
  <c r="AM961" i="9"/>
  <c r="AN961" i="9" s="1"/>
  <c r="AF961" i="9"/>
  <c r="AB961" i="9"/>
  <c r="V961" i="9"/>
  <c r="R961" i="9"/>
  <c r="I961" i="9"/>
  <c r="K961" i="9" s="1"/>
  <c r="L961" i="9" s="1"/>
  <c r="AM960" i="9"/>
  <c r="AN960" i="9" s="1"/>
  <c r="AF960" i="9"/>
  <c r="AB960" i="9"/>
  <c r="V960" i="9"/>
  <c r="R960" i="9"/>
  <c r="I960" i="9"/>
  <c r="K960" i="9" s="1"/>
  <c r="L960" i="9" s="1"/>
  <c r="AN959" i="9"/>
  <c r="AM959" i="9"/>
  <c r="AF959" i="9"/>
  <c r="AB959" i="9"/>
  <c r="V959" i="9"/>
  <c r="R959" i="9"/>
  <c r="I959" i="9"/>
  <c r="K959" i="9" s="1"/>
  <c r="L959" i="9" s="1"/>
  <c r="AN958" i="9"/>
  <c r="AM958" i="9"/>
  <c r="AF958" i="9"/>
  <c r="AK958" i="9" s="1"/>
  <c r="AL958" i="9" s="1"/>
  <c r="AB958" i="9"/>
  <c r="V958" i="9"/>
  <c r="R958" i="9"/>
  <c r="I958" i="9"/>
  <c r="K958" i="9" s="1"/>
  <c r="L958" i="9" s="1"/>
  <c r="AF957" i="9"/>
  <c r="AE957" i="9"/>
  <c r="AB957" i="9"/>
  <c r="AA957" i="9"/>
  <c r="V957" i="9"/>
  <c r="U957" i="9"/>
  <c r="R957" i="9"/>
  <c r="Q957" i="9"/>
  <c r="AM957" i="9" s="1"/>
  <c r="AN957" i="9" s="1"/>
  <c r="I957" i="9"/>
  <c r="K957" i="9" s="1"/>
  <c r="L957" i="9" s="1"/>
  <c r="AF956" i="9"/>
  <c r="AK956" i="9" s="1"/>
  <c r="AL956" i="9" s="1"/>
  <c r="AE956" i="9"/>
  <c r="AB956" i="9"/>
  <c r="AA956" i="9"/>
  <c r="V956" i="9"/>
  <c r="U956" i="9"/>
  <c r="R956" i="9"/>
  <c r="Q956" i="9"/>
  <c r="I956" i="9"/>
  <c r="K956" i="9" s="1"/>
  <c r="L956" i="9" s="1"/>
  <c r="AM955" i="9"/>
  <c r="AN955" i="9" s="1"/>
  <c r="AF955" i="9"/>
  <c r="AB955" i="9"/>
  <c r="V955" i="9"/>
  <c r="R955" i="9"/>
  <c r="I955" i="9"/>
  <c r="K955" i="9" s="1"/>
  <c r="L955" i="9" s="1"/>
  <c r="AM954" i="9"/>
  <c r="AN954" i="9" s="1"/>
  <c r="AF954" i="9"/>
  <c r="AB954" i="9"/>
  <c r="V954" i="9"/>
  <c r="R954" i="9"/>
  <c r="I954" i="9"/>
  <c r="K954" i="9" s="1"/>
  <c r="L954" i="9" s="1"/>
  <c r="AM953" i="9"/>
  <c r="AN953" i="9" s="1"/>
  <c r="AL953" i="9"/>
  <c r="AK953" i="9"/>
  <c r="I953" i="9"/>
  <c r="K953" i="9" s="1"/>
  <c r="L953" i="9" s="1"/>
  <c r="AM952" i="9"/>
  <c r="AN952" i="9" s="1"/>
  <c r="AF952" i="9"/>
  <c r="AB952" i="9"/>
  <c r="V952" i="9"/>
  <c r="R952" i="9"/>
  <c r="I952" i="9"/>
  <c r="K952" i="9" s="1"/>
  <c r="L952" i="9" s="1"/>
  <c r="AF951" i="9"/>
  <c r="AE951" i="9"/>
  <c r="AB951" i="9"/>
  <c r="AA951" i="9"/>
  <c r="V951" i="9"/>
  <c r="U951" i="9"/>
  <c r="R951" i="9"/>
  <c r="AK951" i="9" s="1"/>
  <c r="AL951" i="9" s="1"/>
  <c r="Q951" i="9"/>
  <c r="I951" i="9"/>
  <c r="K951" i="9" s="1"/>
  <c r="L951" i="9" s="1"/>
  <c r="AM950" i="9"/>
  <c r="AN950" i="9" s="1"/>
  <c r="AF950" i="9"/>
  <c r="AB950" i="9"/>
  <c r="V950" i="9"/>
  <c r="R950" i="9"/>
  <c r="AK950" i="9" s="1"/>
  <c r="AL950" i="9" s="1"/>
  <c r="K950" i="9"/>
  <c r="L950" i="9" s="1"/>
  <c r="I950" i="9"/>
  <c r="AM949" i="9"/>
  <c r="AN949" i="9" s="1"/>
  <c r="AF949" i="9"/>
  <c r="AB949" i="9"/>
  <c r="V949" i="9"/>
  <c r="R949" i="9"/>
  <c r="K949" i="9"/>
  <c r="L949" i="9" s="1"/>
  <c r="I949" i="9"/>
  <c r="AM948" i="9"/>
  <c r="AN948" i="9" s="1"/>
  <c r="AF948" i="9"/>
  <c r="AB948" i="9"/>
  <c r="V948" i="9"/>
  <c r="R948" i="9"/>
  <c r="I948" i="9"/>
  <c r="K948" i="9" s="1"/>
  <c r="L948" i="9" s="1"/>
  <c r="AF947" i="9"/>
  <c r="AE947" i="9"/>
  <c r="AB947" i="9"/>
  <c r="AA947" i="9"/>
  <c r="V947" i="9"/>
  <c r="U947" i="9"/>
  <c r="R947" i="9"/>
  <c r="AK947" i="9" s="1"/>
  <c r="AL947" i="9" s="1"/>
  <c r="Q947" i="9"/>
  <c r="AM947" i="9" s="1"/>
  <c r="AN947" i="9" s="1"/>
  <c r="I947" i="9"/>
  <c r="K947" i="9" s="1"/>
  <c r="L947" i="9" s="1"/>
  <c r="AF946" i="9"/>
  <c r="AE946" i="9"/>
  <c r="AB946" i="9"/>
  <c r="AA946" i="9"/>
  <c r="V946" i="9"/>
  <c r="U946" i="9"/>
  <c r="R946" i="9"/>
  <c r="Q946" i="9"/>
  <c r="AM946" i="9" s="1"/>
  <c r="AN946" i="9" s="1"/>
  <c r="K946" i="9"/>
  <c r="L946" i="9" s="1"/>
  <c r="I946" i="9"/>
  <c r="AF945" i="9"/>
  <c r="AE945" i="9"/>
  <c r="AB945" i="9"/>
  <c r="AA945" i="9"/>
  <c r="V945" i="9"/>
  <c r="U945" i="9"/>
  <c r="R945" i="9"/>
  <c r="Q945" i="9"/>
  <c r="I945" i="9"/>
  <c r="K945" i="9" s="1"/>
  <c r="L945" i="9" s="1"/>
  <c r="AM944" i="9"/>
  <c r="AN944" i="9" s="1"/>
  <c r="AK944" i="9"/>
  <c r="AL944" i="9" s="1"/>
  <c r="I944" i="9"/>
  <c r="K944" i="9" s="1"/>
  <c r="L944" i="9" s="1"/>
  <c r="AF943" i="9"/>
  <c r="AE943" i="9"/>
  <c r="AB943" i="9"/>
  <c r="AA943" i="9"/>
  <c r="V943" i="9"/>
  <c r="U943" i="9"/>
  <c r="R943" i="9"/>
  <c r="AK943" i="9" s="1"/>
  <c r="AL943" i="9" s="1"/>
  <c r="Q943" i="9"/>
  <c r="I943" i="9"/>
  <c r="K943" i="9" s="1"/>
  <c r="L943" i="9" s="1"/>
  <c r="AM942" i="9"/>
  <c r="AN942" i="9" s="1"/>
  <c r="AK942" i="9"/>
  <c r="AL942" i="9" s="1"/>
  <c r="I942" i="9"/>
  <c r="K942" i="9" s="1"/>
  <c r="L942" i="9" s="1"/>
  <c r="AM941" i="9"/>
  <c r="AN941" i="9" s="1"/>
  <c r="AF941" i="9"/>
  <c r="AB941" i="9"/>
  <c r="V941" i="9"/>
  <c r="R941" i="9"/>
  <c r="I941" i="9"/>
  <c r="K941" i="9" s="1"/>
  <c r="L941" i="9" s="1"/>
  <c r="AM940" i="9"/>
  <c r="AN940" i="9" s="1"/>
  <c r="AF940" i="9"/>
  <c r="AB940" i="9"/>
  <c r="V940" i="9"/>
  <c r="R940" i="9"/>
  <c r="I940" i="9"/>
  <c r="K940" i="9" s="1"/>
  <c r="L940" i="9" s="1"/>
  <c r="AM939" i="9"/>
  <c r="AN939" i="9" s="1"/>
  <c r="AF939" i="9"/>
  <c r="AB939" i="9"/>
  <c r="V939" i="9"/>
  <c r="R939" i="9"/>
  <c r="I939" i="9"/>
  <c r="K939" i="9" s="1"/>
  <c r="L939" i="9" s="1"/>
  <c r="AN938" i="9"/>
  <c r="AM938" i="9"/>
  <c r="AF938" i="9"/>
  <c r="AB938" i="9"/>
  <c r="AK938" i="9" s="1"/>
  <c r="AL938" i="9" s="1"/>
  <c r="V938" i="9"/>
  <c r="R938" i="9"/>
  <c r="I938" i="9"/>
  <c r="K938" i="9" s="1"/>
  <c r="L938" i="9" s="1"/>
  <c r="AF937" i="9"/>
  <c r="AE937" i="9"/>
  <c r="AM937" i="9" s="1"/>
  <c r="AN937" i="9" s="1"/>
  <c r="AB937" i="9"/>
  <c r="AA937" i="9"/>
  <c r="V937" i="9"/>
  <c r="U937" i="9"/>
  <c r="R937" i="9"/>
  <c r="Q937" i="9"/>
  <c r="K937" i="9"/>
  <c r="L937" i="9" s="1"/>
  <c r="I937" i="9"/>
  <c r="AM936" i="9"/>
  <c r="AN936" i="9" s="1"/>
  <c r="AK936" i="9"/>
  <c r="AL936" i="9" s="1"/>
  <c r="I936" i="9"/>
  <c r="K936" i="9" s="1"/>
  <c r="L936" i="9" s="1"/>
  <c r="AM935" i="9"/>
  <c r="AN935" i="9" s="1"/>
  <c r="AL935" i="9"/>
  <c r="AK935" i="9"/>
  <c r="K935" i="9"/>
  <c r="L935" i="9" s="1"/>
  <c r="I935" i="9"/>
  <c r="AM934" i="9"/>
  <c r="AN934" i="9" s="1"/>
  <c r="AF934" i="9"/>
  <c r="AB934" i="9"/>
  <c r="V934" i="9"/>
  <c r="R934" i="9"/>
  <c r="AK934" i="9" s="1"/>
  <c r="AL934" i="9" s="1"/>
  <c r="I934" i="9"/>
  <c r="K934" i="9" s="1"/>
  <c r="L934" i="9" s="1"/>
  <c r="AN933" i="9"/>
  <c r="AM933" i="9"/>
  <c r="AF933" i="9"/>
  <c r="AB933" i="9"/>
  <c r="V933" i="9"/>
  <c r="R933" i="9"/>
  <c r="I933" i="9"/>
  <c r="K933" i="9" s="1"/>
  <c r="L933" i="9" s="1"/>
  <c r="AF932" i="9"/>
  <c r="AE932" i="9"/>
  <c r="AB932" i="9"/>
  <c r="AA932" i="9"/>
  <c r="V932" i="9"/>
  <c r="U932" i="9"/>
  <c r="R932" i="9"/>
  <c r="Q932" i="9"/>
  <c r="K932" i="9"/>
  <c r="L932" i="9" s="1"/>
  <c r="I932" i="9"/>
  <c r="AF931" i="9"/>
  <c r="AE931" i="9"/>
  <c r="AB931" i="9"/>
  <c r="AA931" i="9"/>
  <c r="V931" i="9"/>
  <c r="U931" i="9"/>
  <c r="R931" i="9"/>
  <c r="Q931" i="9"/>
  <c r="L931" i="9"/>
  <c r="I931" i="9"/>
  <c r="K931" i="9" s="1"/>
  <c r="AM930" i="9"/>
  <c r="AN930" i="9" s="1"/>
  <c r="AK930" i="9"/>
  <c r="AL930" i="9" s="1"/>
  <c r="K930" i="9"/>
  <c r="L930" i="9" s="1"/>
  <c r="I930" i="9"/>
  <c r="AM929" i="9"/>
  <c r="AN929" i="9" s="1"/>
  <c r="AK929" i="9"/>
  <c r="AL929" i="9" s="1"/>
  <c r="K929" i="9"/>
  <c r="L929" i="9" s="1"/>
  <c r="I929" i="9"/>
  <c r="AN928" i="9"/>
  <c r="AM928" i="9"/>
  <c r="AK928" i="9"/>
  <c r="AL928" i="9" s="1"/>
  <c r="I928" i="9"/>
  <c r="K928" i="9" s="1"/>
  <c r="L928" i="9" s="1"/>
  <c r="AF927" i="9"/>
  <c r="AE927" i="9"/>
  <c r="AB927" i="9"/>
  <c r="AA927" i="9"/>
  <c r="V927" i="9"/>
  <c r="U927" i="9"/>
  <c r="R927" i="9"/>
  <c r="Q927" i="9"/>
  <c r="I927" i="9"/>
  <c r="K927" i="9" s="1"/>
  <c r="L927" i="9" s="1"/>
  <c r="AM926" i="9"/>
  <c r="AN926" i="9" s="1"/>
  <c r="AK926" i="9"/>
  <c r="AL926" i="9" s="1"/>
  <c r="K926" i="9"/>
  <c r="L926" i="9" s="1"/>
  <c r="I926" i="9"/>
  <c r="AN925" i="9"/>
  <c r="AM925" i="9"/>
  <c r="AF925" i="9"/>
  <c r="AB925" i="9"/>
  <c r="V925" i="9"/>
  <c r="R925" i="9"/>
  <c r="I925" i="9"/>
  <c r="K925" i="9" s="1"/>
  <c r="L925" i="9" s="1"/>
  <c r="AN924" i="9"/>
  <c r="AM924" i="9"/>
  <c r="AF924" i="9"/>
  <c r="AB924" i="9"/>
  <c r="V924" i="9"/>
  <c r="R924" i="9"/>
  <c r="AK924" i="9" s="1"/>
  <c r="AL924" i="9" s="1"/>
  <c r="K924" i="9"/>
  <c r="L924" i="9" s="1"/>
  <c r="I924" i="9"/>
  <c r="AF923" i="9"/>
  <c r="AE923" i="9"/>
  <c r="AB923" i="9"/>
  <c r="AA923" i="9"/>
  <c r="V923" i="9"/>
  <c r="U923" i="9"/>
  <c r="R923" i="9"/>
  <c r="Q923" i="9"/>
  <c r="K923" i="9"/>
  <c r="L923" i="9" s="1"/>
  <c r="I923" i="9"/>
  <c r="AM922" i="9"/>
  <c r="AN922" i="9" s="1"/>
  <c r="AF922" i="9"/>
  <c r="AB922" i="9"/>
  <c r="V922" i="9"/>
  <c r="R922" i="9"/>
  <c r="I922" i="9"/>
  <c r="K922" i="9" s="1"/>
  <c r="L922" i="9" s="1"/>
  <c r="AN921" i="9"/>
  <c r="AM921" i="9"/>
  <c r="AK921" i="9"/>
  <c r="AL921" i="9" s="1"/>
  <c r="I921" i="9"/>
  <c r="K921" i="9" s="1"/>
  <c r="L921" i="9" s="1"/>
  <c r="AK920" i="9"/>
  <c r="AL920" i="9" s="1"/>
  <c r="AF920" i="9"/>
  <c r="AE920" i="9"/>
  <c r="AB920" i="9"/>
  <c r="AA920" i="9"/>
  <c r="V920" i="9"/>
  <c r="U920" i="9"/>
  <c r="R920" i="9"/>
  <c r="Q920" i="9"/>
  <c r="I920" i="9"/>
  <c r="K920" i="9" s="1"/>
  <c r="L920" i="9" s="1"/>
  <c r="AF919" i="9"/>
  <c r="AE919" i="9"/>
  <c r="AB919" i="9"/>
  <c r="AA919" i="9"/>
  <c r="V919" i="9"/>
  <c r="U919" i="9"/>
  <c r="R919" i="9"/>
  <c r="Q919" i="9"/>
  <c r="I919" i="9"/>
  <c r="K919" i="9" s="1"/>
  <c r="L919" i="9" s="1"/>
  <c r="AF918" i="9"/>
  <c r="AE918" i="9"/>
  <c r="AB918" i="9"/>
  <c r="AA918" i="9"/>
  <c r="V918" i="9"/>
  <c r="U918" i="9"/>
  <c r="R918" i="9"/>
  <c r="Q918" i="9"/>
  <c r="I918" i="9"/>
  <c r="K918" i="9" s="1"/>
  <c r="L918" i="9" s="1"/>
  <c r="AM917" i="9"/>
  <c r="AN917" i="9" s="1"/>
  <c r="AF917" i="9"/>
  <c r="AB917" i="9"/>
  <c r="V917" i="9"/>
  <c r="R917" i="9"/>
  <c r="K917" i="9"/>
  <c r="L917" i="9" s="1"/>
  <c r="I917" i="9"/>
  <c r="AF916" i="9"/>
  <c r="AE916" i="9"/>
  <c r="AB916" i="9"/>
  <c r="AA916" i="9"/>
  <c r="V916" i="9"/>
  <c r="U916" i="9"/>
  <c r="R916" i="9"/>
  <c r="Q916" i="9"/>
  <c r="I916" i="9"/>
  <c r="K916" i="9" s="1"/>
  <c r="L916" i="9" s="1"/>
  <c r="AF915" i="9"/>
  <c r="AE915" i="9"/>
  <c r="AB915" i="9"/>
  <c r="AA915" i="9"/>
  <c r="V915" i="9"/>
  <c r="U915" i="9"/>
  <c r="R915" i="9"/>
  <c r="Q915" i="9"/>
  <c r="K915" i="9"/>
  <c r="L915" i="9" s="1"/>
  <c r="I915" i="9"/>
  <c r="AM914" i="9"/>
  <c r="AN914" i="9" s="1"/>
  <c r="AF914" i="9"/>
  <c r="AB914" i="9"/>
  <c r="V914" i="9"/>
  <c r="R914" i="9"/>
  <c r="I914" i="9"/>
  <c r="K914" i="9" s="1"/>
  <c r="L914" i="9" s="1"/>
  <c r="AM913" i="9"/>
  <c r="AN913" i="9" s="1"/>
  <c r="AF913" i="9"/>
  <c r="AB913" i="9"/>
  <c r="V913" i="9"/>
  <c r="R913" i="9"/>
  <c r="I913" i="9"/>
  <c r="K913" i="9" s="1"/>
  <c r="L913" i="9" s="1"/>
  <c r="AF912" i="9"/>
  <c r="AE912" i="9"/>
  <c r="AB912" i="9"/>
  <c r="AK912" i="9" s="1"/>
  <c r="AL912" i="9" s="1"/>
  <c r="AA912" i="9"/>
  <c r="V912" i="9"/>
  <c r="U912" i="9"/>
  <c r="R912" i="9"/>
  <c r="Q912" i="9"/>
  <c r="I912" i="9"/>
  <c r="K912" i="9" s="1"/>
  <c r="L912" i="9" s="1"/>
  <c r="AF911" i="9"/>
  <c r="AE911" i="9"/>
  <c r="AB911" i="9"/>
  <c r="AA911" i="9"/>
  <c r="V911" i="9"/>
  <c r="U911" i="9"/>
  <c r="R911" i="9"/>
  <c r="Q911" i="9"/>
  <c r="I911" i="9"/>
  <c r="K911" i="9" s="1"/>
  <c r="L911" i="9" s="1"/>
  <c r="AF910" i="9"/>
  <c r="AE910" i="9"/>
  <c r="AB910" i="9"/>
  <c r="AA910" i="9"/>
  <c r="AM910" i="9" s="1"/>
  <c r="AN910" i="9" s="1"/>
  <c r="V910" i="9"/>
  <c r="U910" i="9"/>
  <c r="R910" i="9"/>
  <c r="AK910" i="9" s="1"/>
  <c r="AL910" i="9" s="1"/>
  <c r="Q910" i="9"/>
  <c r="I910" i="9"/>
  <c r="K910" i="9" s="1"/>
  <c r="L910" i="9" s="1"/>
  <c r="AF909" i="9"/>
  <c r="AE909" i="9"/>
  <c r="AB909" i="9"/>
  <c r="AA909" i="9"/>
  <c r="V909" i="9"/>
  <c r="U909" i="9"/>
  <c r="R909" i="9"/>
  <c r="Q909" i="9"/>
  <c r="I909" i="9"/>
  <c r="K909" i="9" s="1"/>
  <c r="L909" i="9" s="1"/>
  <c r="AF908" i="9"/>
  <c r="AE908" i="9"/>
  <c r="AB908" i="9"/>
  <c r="AK908" i="9" s="1"/>
  <c r="AL908" i="9" s="1"/>
  <c r="AA908" i="9"/>
  <c r="V908" i="9"/>
  <c r="U908" i="9"/>
  <c r="R908" i="9"/>
  <c r="Q908" i="9"/>
  <c r="I908" i="9"/>
  <c r="K908" i="9" s="1"/>
  <c r="L908" i="9" s="1"/>
  <c r="AN907" i="9"/>
  <c r="AM907" i="9"/>
  <c r="AF907" i="9"/>
  <c r="AB907" i="9"/>
  <c r="V907" i="9"/>
  <c r="AK907" i="9" s="1"/>
  <c r="AL907" i="9" s="1"/>
  <c r="R907" i="9"/>
  <c r="I907" i="9"/>
  <c r="K907" i="9" s="1"/>
  <c r="L907" i="9" s="1"/>
  <c r="AM906" i="9"/>
  <c r="AN906" i="9" s="1"/>
  <c r="AF906" i="9"/>
  <c r="AB906" i="9"/>
  <c r="V906" i="9"/>
  <c r="R906" i="9"/>
  <c r="AK906" i="9" s="1"/>
  <c r="AL906" i="9" s="1"/>
  <c r="K906" i="9"/>
  <c r="L906" i="9" s="1"/>
  <c r="I906" i="9"/>
  <c r="AF905" i="9"/>
  <c r="AE905" i="9"/>
  <c r="AB905" i="9"/>
  <c r="AA905" i="9"/>
  <c r="V905" i="9"/>
  <c r="U905" i="9"/>
  <c r="R905" i="9"/>
  <c r="Q905" i="9"/>
  <c r="I905" i="9"/>
  <c r="K905" i="9" s="1"/>
  <c r="L905" i="9" s="1"/>
  <c r="AN904" i="9"/>
  <c r="AM904" i="9"/>
  <c r="AF904" i="9"/>
  <c r="AB904" i="9"/>
  <c r="V904" i="9"/>
  <c r="R904" i="9"/>
  <c r="I904" i="9"/>
  <c r="K904" i="9" s="1"/>
  <c r="L904" i="9" s="1"/>
  <c r="AN903" i="9"/>
  <c r="AM903" i="9"/>
  <c r="AF903" i="9"/>
  <c r="AB903" i="9"/>
  <c r="V903" i="9"/>
  <c r="R903" i="9"/>
  <c r="I903" i="9"/>
  <c r="K903" i="9" s="1"/>
  <c r="L903" i="9" s="1"/>
  <c r="AF902" i="9"/>
  <c r="AE902" i="9"/>
  <c r="AB902" i="9"/>
  <c r="AA902" i="9"/>
  <c r="V902" i="9"/>
  <c r="U902" i="9"/>
  <c r="R902" i="9"/>
  <c r="Q902" i="9"/>
  <c r="K902" i="9"/>
  <c r="L902" i="9" s="1"/>
  <c r="I902" i="9"/>
  <c r="AM901" i="9"/>
  <c r="AN901" i="9" s="1"/>
  <c r="AF901" i="9"/>
  <c r="AB901" i="9"/>
  <c r="V901" i="9"/>
  <c r="R901" i="9"/>
  <c r="I901" i="9"/>
  <c r="K901" i="9" s="1"/>
  <c r="L901" i="9" s="1"/>
  <c r="AN900" i="9"/>
  <c r="AM900" i="9"/>
  <c r="AF900" i="9"/>
  <c r="AB900" i="9"/>
  <c r="V900" i="9"/>
  <c r="AK900" i="9" s="1"/>
  <c r="AL900" i="9" s="1"/>
  <c r="R900" i="9"/>
  <c r="I900" i="9"/>
  <c r="K900" i="9" s="1"/>
  <c r="L900" i="9" s="1"/>
  <c r="AF899" i="9"/>
  <c r="AE899" i="9"/>
  <c r="AB899" i="9"/>
  <c r="AA899" i="9"/>
  <c r="V899" i="9"/>
  <c r="U899" i="9"/>
  <c r="R899" i="9"/>
  <c r="Q899" i="9"/>
  <c r="I899" i="9"/>
  <c r="K899" i="9" s="1"/>
  <c r="L899" i="9" s="1"/>
  <c r="AM898" i="9"/>
  <c r="AN898" i="9" s="1"/>
  <c r="AK898" i="9"/>
  <c r="AL898" i="9" s="1"/>
  <c r="I898" i="9"/>
  <c r="K898" i="9" s="1"/>
  <c r="L898" i="9" s="1"/>
  <c r="AF897" i="9"/>
  <c r="AE897" i="9"/>
  <c r="AB897" i="9"/>
  <c r="AA897" i="9"/>
  <c r="V897" i="9"/>
  <c r="U897" i="9"/>
  <c r="R897" i="9"/>
  <c r="Q897" i="9"/>
  <c r="I897" i="9"/>
  <c r="K897" i="9" s="1"/>
  <c r="L897" i="9" s="1"/>
  <c r="AF896" i="9"/>
  <c r="AE896" i="9"/>
  <c r="AB896" i="9"/>
  <c r="AA896" i="9"/>
  <c r="V896" i="9"/>
  <c r="U896" i="9"/>
  <c r="R896" i="9"/>
  <c r="Q896" i="9"/>
  <c r="K896" i="9"/>
  <c r="L896" i="9" s="1"/>
  <c r="I896" i="9"/>
  <c r="AM895" i="9"/>
  <c r="AN895" i="9" s="1"/>
  <c r="AL895" i="9"/>
  <c r="AK895" i="9"/>
  <c r="I895" i="9"/>
  <c r="K895" i="9" s="1"/>
  <c r="L895" i="9" s="1"/>
  <c r="AM894" i="9"/>
  <c r="AN894" i="9" s="1"/>
  <c r="AK894" i="9"/>
  <c r="AL894" i="9" s="1"/>
  <c r="L894" i="9"/>
  <c r="I894" i="9"/>
  <c r="K894" i="9" s="1"/>
  <c r="AF893" i="9"/>
  <c r="AE893" i="9"/>
  <c r="AB893" i="9"/>
  <c r="AA893" i="9"/>
  <c r="V893" i="9"/>
  <c r="U893" i="9"/>
  <c r="R893" i="9"/>
  <c r="Q893" i="9"/>
  <c r="K893" i="9"/>
  <c r="L893" i="9" s="1"/>
  <c r="I893" i="9"/>
  <c r="AF892" i="9"/>
  <c r="AE892" i="9"/>
  <c r="AB892" i="9"/>
  <c r="AA892" i="9"/>
  <c r="V892" i="9"/>
  <c r="U892" i="9"/>
  <c r="R892" i="9"/>
  <c r="Q892" i="9"/>
  <c r="I892" i="9"/>
  <c r="K892" i="9" s="1"/>
  <c r="L892" i="9" s="1"/>
  <c r="AM891" i="9"/>
  <c r="AN891" i="9" s="1"/>
  <c r="AF891" i="9"/>
  <c r="AB891" i="9"/>
  <c r="V891" i="9"/>
  <c r="R891" i="9"/>
  <c r="L891" i="9"/>
  <c r="I891" i="9"/>
  <c r="K891" i="9" s="1"/>
  <c r="AF890" i="9"/>
  <c r="AE890" i="9"/>
  <c r="AB890" i="9"/>
  <c r="AA890" i="9"/>
  <c r="V890" i="9"/>
  <c r="U890" i="9"/>
  <c r="R890" i="9"/>
  <c r="Q890" i="9"/>
  <c r="AM890" i="9" s="1"/>
  <c r="AN890" i="9" s="1"/>
  <c r="K890" i="9"/>
  <c r="L890" i="9" s="1"/>
  <c r="I890" i="9"/>
  <c r="AF889" i="9"/>
  <c r="AE889" i="9"/>
  <c r="AB889" i="9"/>
  <c r="AA889" i="9"/>
  <c r="V889" i="9"/>
  <c r="U889" i="9"/>
  <c r="R889" i="9"/>
  <c r="Q889" i="9"/>
  <c r="AM889" i="9" s="1"/>
  <c r="AN889" i="9" s="1"/>
  <c r="I889" i="9"/>
  <c r="K889" i="9" s="1"/>
  <c r="L889" i="9" s="1"/>
  <c r="AF888" i="9"/>
  <c r="AE888" i="9"/>
  <c r="AB888" i="9"/>
  <c r="AA888" i="9"/>
  <c r="V888" i="9"/>
  <c r="U888" i="9"/>
  <c r="R888" i="9"/>
  <c r="Q888" i="9"/>
  <c r="AM888" i="9" s="1"/>
  <c r="AN888" i="9" s="1"/>
  <c r="I888" i="9"/>
  <c r="K888" i="9" s="1"/>
  <c r="L888" i="9" s="1"/>
  <c r="AM887" i="9"/>
  <c r="AN887" i="9" s="1"/>
  <c r="AF887" i="9"/>
  <c r="AE887" i="9"/>
  <c r="AB887" i="9"/>
  <c r="AA887" i="9"/>
  <c r="V887" i="9"/>
  <c r="U887" i="9"/>
  <c r="R887" i="9"/>
  <c r="Q887" i="9"/>
  <c r="I887" i="9"/>
  <c r="K887" i="9" s="1"/>
  <c r="L887" i="9" s="1"/>
  <c r="AF886" i="9"/>
  <c r="AE886" i="9"/>
  <c r="AB886" i="9"/>
  <c r="AA886" i="9"/>
  <c r="V886" i="9"/>
  <c r="U886" i="9"/>
  <c r="R886" i="9"/>
  <c r="Q886" i="9"/>
  <c r="I886" i="9"/>
  <c r="K886" i="9" s="1"/>
  <c r="L886" i="9" s="1"/>
  <c r="AF885" i="9"/>
  <c r="AE885" i="9"/>
  <c r="AB885" i="9"/>
  <c r="AA885" i="9"/>
  <c r="V885" i="9"/>
  <c r="U885" i="9"/>
  <c r="R885" i="9"/>
  <c r="Q885" i="9"/>
  <c r="I885" i="9"/>
  <c r="K885" i="9" s="1"/>
  <c r="L885" i="9" s="1"/>
  <c r="AM884" i="9"/>
  <c r="AN884" i="9" s="1"/>
  <c r="AF884" i="9"/>
  <c r="AB884" i="9"/>
  <c r="V884" i="9"/>
  <c r="R884" i="9"/>
  <c r="I884" i="9"/>
  <c r="K884" i="9" s="1"/>
  <c r="L884" i="9" s="1"/>
  <c r="AF883" i="9"/>
  <c r="AE883" i="9"/>
  <c r="AB883" i="9"/>
  <c r="AA883" i="9"/>
  <c r="V883" i="9"/>
  <c r="U883" i="9"/>
  <c r="R883" i="9"/>
  <c r="Q883" i="9"/>
  <c r="L883" i="9"/>
  <c r="I883" i="9"/>
  <c r="K883" i="9" s="1"/>
  <c r="AF882" i="9"/>
  <c r="AE882" i="9"/>
  <c r="AB882" i="9"/>
  <c r="AA882" i="9"/>
  <c r="V882" i="9"/>
  <c r="U882" i="9"/>
  <c r="R882" i="9"/>
  <c r="Q882" i="9"/>
  <c r="I882" i="9"/>
  <c r="K882" i="9" s="1"/>
  <c r="L882" i="9" s="1"/>
  <c r="AM881" i="9"/>
  <c r="AN881" i="9" s="1"/>
  <c r="AF881" i="9"/>
  <c r="AB881" i="9"/>
  <c r="V881" i="9"/>
  <c r="R881" i="9"/>
  <c r="K881" i="9"/>
  <c r="L881" i="9" s="1"/>
  <c r="I881" i="9"/>
  <c r="AM880" i="9"/>
  <c r="AN880" i="9" s="1"/>
  <c r="AF880" i="9"/>
  <c r="AB880" i="9"/>
  <c r="V880" i="9"/>
  <c r="R880" i="9"/>
  <c r="I880" i="9"/>
  <c r="K880" i="9" s="1"/>
  <c r="L880" i="9" s="1"/>
  <c r="AM879" i="9"/>
  <c r="AN879" i="9" s="1"/>
  <c r="AF879" i="9"/>
  <c r="AB879" i="9"/>
  <c r="V879" i="9"/>
  <c r="R879" i="9"/>
  <c r="AK879" i="9" s="1"/>
  <c r="AL879" i="9" s="1"/>
  <c r="L879" i="9"/>
  <c r="I879" i="9"/>
  <c r="K879" i="9" s="1"/>
  <c r="AF878" i="9"/>
  <c r="AE878" i="9"/>
  <c r="AB878" i="9"/>
  <c r="AA878" i="9"/>
  <c r="V878" i="9"/>
  <c r="U878" i="9"/>
  <c r="AM878" i="9" s="1"/>
  <c r="AN878" i="9" s="1"/>
  <c r="R878" i="9"/>
  <c r="Q878" i="9"/>
  <c r="L878" i="9"/>
  <c r="I878" i="9"/>
  <c r="K878" i="9" s="1"/>
  <c r="AF877" i="9"/>
  <c r="AE877" i="9"/>
  <c r="AB877" i="9"/>
  <c r="AA877" i="9"/>
  <c r="V877" i="9"/>
  <c r="U877" i="9"/>
  <c r="R877" i="9"/>
  <c r="Q877" i="9"/>
  <c r="AM877" i="9" s="1"/>
  <c r="AN877" i="9" s="1"/>
  <c r="I877" i="9"/>
  <c r="K877" i="9" s="1"/>
  <c r="L877" i="9" s="1"/>
  <c r="AF876" i="9"/>
  <c r="AE876" i="9"/>
  <c r="AB876" i="9"/>
  <c r="AA876" i="9"/>
  <c r="V876" i="9"/>
  <c r="U876" i="9"/>
  <c r="R876" i="9"/>
  <c r="Q876" i="9"/>
  <c r="AM876" i="9" s="1"/>
  <c r="AN876" i="9" s="1"/>
  <c r="I876" i="9"/>
  <c r="K876" i="9" s="1"/>
  <c r="L876" i="9" s="1"/>
  <c r="AF875" i="9"/>
  <c r="AE875" i="9"/>
  <c r="AB875" i="9"/>
  <c r="AA875" i="9"/>
  <c r="V875" i="9"/>
  <c r="U875" i="9"/>
  <c r="R875" i="9"/>
  <c r="Q875" i="9"/>
  <c r="I875" i="9"/>
  <c r="K875" i="9" s="1"/>
  <c r="L875" i="9" s="1"/>
  <c r="AF874" i="9"/>
  <c r="AE874" i="9"/>
  <c r="AB874" i="9"/>
  <c r="AA874" i="9"/>
  <c r="V874" i="9"/>
  <c r="U874" i="9"/>
  <c r="R874" i="9"/>
  <c r="Q874" i="9"/>
  <c r="I874" i="9"/>
  <c r="K874" i="9" s="1"/>
  <c r="L874" i="9" s="1"/>
  <c r="AF873" i="9"/>
  <c r="AE873" i="9"/>
  <c r="AB873" i="9"/>
  <c r="AA873" i="9"/>
  <c r="V873" i="9"/>
  <c r="AK873" i="9" s="1"/>
  <c r="AL873" i="9" s="1"/>
  <c r="U873" i="9"/>
  <c r="R873" i="9"/>
  <c r="Q873" i="9"/>
  <c r="AM873" i="9" s="1"/>
  <c r="AN873" i="9" s="1"/>
  <c r="I873" i="9"/>
  <c r="K873" i="9" s="1"/>
  <c r="L873" i="9" s="1"/>
  <c r="AK872" i="9"/>
  <c r="AL872" i="9" s="1"/>
  <c r="AF872" i="9"/>
  <c r="AE872" i="9"/>
  <c r="AB872" i="9"/>
  <c r="AA872" i="9"/>
  <c r="V872" i="9"/>
  <c r="U872" i="9"/>
  <c r="R872" i="9"/>
  <c r="Q872" i="9"/>
  <c r="I872" i="9"/>
  <c r="K872" i="9" s="1"/>
  <c r="L872" i="9" s="1"/>
  <c r="AM871" i="9"/>
  <c r="AN871" i="9" s="1"/>
  <c r="AF871" i="9"/>
  <c r="AB871" i="9"/>
  <c r="V871" i="9"/>
  <c r="R871" i="9"/>
  <c r="I871" i="9"/>
  <c r="K871" i="9" s="1"/>
  <c r="L871" i="9" s="1"/>
  <c r="AF870" i="9"/>
  <c r="AE870" i="9"/>
  <c r="AB870" i="9"/>
  <c r="AA870" i="9"/>
  <c r="V870" i="9"/>
  <c r="U870" i="9"/>
  <c r="R870" i="9"/>
  <c r="Q870" i="9"/>
  <c r="AM870" i="9" s="1"/>
  <c r="AN870" i="9" s="1"/>
  <c r="L870" i="9"/>
  <c r="K870" i="9"/>
  <c r="I870" i="9"/>
  <c r="AM869" i="9"/>
  <c r="AN869" i="9" s="1"/>
  <c r="AF869" i="9"/>
  <c r="AB869" i="9"/>
  <c r="V869" i="9"/>
  <c r="R869" i="9"/>
  <c r="I869" i="9"/>
  <c r="K869" i="9" s="1"/>
  <c r="L869" i="9" s="1"/>
  <c r="AM868" i="9"/>
  <c r="AN868" i="9" s="1"/>
  <c r="AF868" i="9"/>
  <c r="AB868" i="9"/>
  <c r="V868" i="9"/>
  <c r="R868" i="9"/>
  <c r="K868" i="9"/>
  <c r="L868" i="9" s="1"/>
  <c r="I868" i="9"/>
  <c r="AN867" i="9"/>
  <c r="AM867" i="9"/>
  <c r="AK867" i="9"/>
  <c r="AL867" i="9" s="1"/>
  <c r="I867" i="9"/>
  <c r="K867" i="9" s="1"/>
  <c r="L867" i="9" s="1"/>
  <c r="AM866" i="9"/>
  <c r="AN866" i="9" s="1"/>
  <c r="AK866" i="9"/>
  <c r="AL866" i="9" s="1"/>
  <c r="K866" i="9"/>
  <c r="L866" i="9" s="1"/>
  <c r="I866" i="9"/>
  <c r="AM865" i="9"/>
  <c r="AN865" i="9" s="1"/>
  <c r="AF865" i="9"/>
  <c r="AB865" i="9"/>
  <c r="V865" i="9"/>
  <c r="R865" i="9"/>
  <c r="AK865" i="9" s="1"/>
  <c r="AL865" i="9" s="1"/>
  <c r="I865" i="9"/>
  <c r="K865" i="9" s="1"/>
  <c r="L865" i="9" s="1"/>
  <c r="AM864" i="9"/>
  <c r="AN864" i="9" s="1"/>
  <c r="AK864" i="9"/>
  <c r="AL864" i="9" s="1"/>
  <c r="K864" i="9"/>
  <c r="L864" i="9" s="1"/>
  <c r="I864" i="9"/>
  <c r="AM863" i="9"/>
  <c r="AN863" i="9" s="1"/>
  <c r="AK863" i="9"/>
  <c r="AL863" i="9" s="1"/>
  <c r="I863" i="9"/>
  <c r="K863" i="9" s="1"/>
  <c r="L863" i="9" s="1"/>
  <c r="AF862" i="9"/>
  <c r="AE862" i="9"/>
  <c r="AB862" i="9"/>
  <c r="AA862" i="9"/>
  <c r="V862" i="9"/>
  <c r="U862" i="9"/>
  <c r="R862" i="9"/>
  <c r="Q862" i="9"/>
  <c r="I862" i="9"/>
  <c r="K862" i="9" s="1"/>
  <c r="L862" i="9" s="1"/>
  <c r="AM861" i="9"/>
  <c r="AN861" i="9" s="1"/>
  <c r="AK861" i="9"/>
  <c r="AL861" i="9" s="1"/>
  <c r="K861" i="9"/>
  <c r="L861" i="9" s="1"/>
  <c r="I861" i="9"/>
  <c r="AF860" i="9"/>
  <c r="AE860" i="9"/>
  <c r="AB860" i="9"/>
  <c r="AA860" i="9"/>
  <c r="V860" i="9"/>
  <c r="U860" i="9"/>
  <c r="R860" i="9"/>
  <c r="Q860" i="9"/>
  <c r="AM860" i="9" s="1"/>
  <c r="AN860" i="9" s="1"/>
  <c r="I860" i="9"/>
  <c r="K860" i="9" s="1"/>
  <c r="L860" i="9" s="1"/>
  <c r="AN859" i="9"/>
  <c r="AM859" i="9"/>
  <c r="AF859" i="9"/>
  <c r="AB859" i="9"/>
  <c r="V859" i="9"/>
  <c r="R859" i="9"/>
  <c r="I859" i="9"/>
  <c r="K859" i="9" s="1"/>
  <c r="L859" i="9" s="1"/>
  <c r="AF858" i="9"/>
  <c r="AE858" i="9"/>
  <c r="AB858" i="9"/>
  <c r="AA858" i="9"/>
  <c r="V858" i="9"/>
  <c r="U858" i="9"/>
  <c r="R858" i="9"/>
  <c r="Q858" i="9"/>
  <c r="K858" i="9"/>
  <c r="L858" i="9" s="1"/>
  <c r="I858" i="9"/>
  <c r="AF857" i="9"/>
  <c r="AE857" i="9"/>
  <c r="AB857" i="9"/>
  <c r="AA857" i="9"/>
  <c r="V857" i="9"/>
  <c r="U857" i="9"/>
  <c r="R857" i="9"/>
  <c r="AK857" i="9" s="1"/>
  <c r="AL857" i="9" s="1"/>
  <c r="Q857" i="9"/>
  <c r="I857" i="9"/>
  <c r="K857" i="9" s="1"/>
  <c r="L857" i="9" s="1"/>
  <c r="AM856" i="9"/>
  <c r="AN856" i="9" s="1"/>
  <c r="AF856" i="9"/>
  <c r="AB856" i="9"/>
  <c r="V856" i="9"/>
  <c r="R856" i="9"/>
  <c r="I856" i="9"/>
  <c r="K856" i="9" s="1"/>
  <c r="L856" i="9" s="1"/>
  <c r="AF855" i="9"/>
  <c r="AE855" i="9"/>
  <c r="AB855" i="9"/>
  <c r="AA855" i="9"/>
  <c r="V855" i="9"/>
  <c r="U855" i="9"/>
  <c r="R855" i="9"/>
  <c r="Q855" i="9"/>
  <c r="L855" i="9"/>
  <c r="I855" i="9"/>
  <c r="K855" i="9" s="1"/>
  <c r="AM854" i="9"/>
  <c r="AN854" i="9" s="1"/>
  <c r="AF854" i="9"/>
  <c r="AB854" i="9"/>
  <c r="V854" i="9"/>
  <c r="AK854" i="9" s="1"/>
  <c r="AL854" i="9" s="1"/>
  <c r="R854" i="9"/>
  <c r="I854" i="9"/>
  <c r="K854" i="9" s="1"/>
  <c r="L854" i="9" s="1"/>
  <c r="AM853" i="9"/>
  <c r="AN853" i="9" s="1"/>
  <c r="AL853" i="9"/>
  <c r="AK853" i="9"/>
  <c r="K853" i="9"/>
  <c r="L853" i="9" s="1"/>
  <c r="I853" i="9"/>
  <c r="AM852" i="9"/>
  <c r="AN852" i="9" s="1"/>
  <c r="AK852" i="9"/>
  <c r="AL852" i="9" s="1"/>
  <c r="I852" i="9"/>
  <c r="K852" i="9" s="1"/>
  <c r="L852" i="9" s="1"/>
  <c r="AN851" i="9"/>
  <c r="AM851" i="9"/>
  <c r="AK851" i="9"/>
  <c r="AL851" i="9" s="1"/>
  <c r="I851" i="9"/>
  <c r="K851" i="9" s="1"/>
  <c r="L851" i="9" s="1"/>
  <c r="AM850" i="9"/>
  <c r="AN850" i="9" s="1"/>
  <c r="AK850" i="9"/>
  <c r="AL850" i="9" s="1"/>
  <c r="I850" i="9"/>
  <c r="K850" i="9" s="1"/>
  <c r="L850" i="9" s="1"/>
  <c r="AF849" i="9"/>
  <c r="AE849" i="9"/>
  <c r="AB849" i="9"/>
  <c r="AA849" i="9"/>
  <c r="V849" i="9"/>
  <c r="U849" i="9"/>
  <c r="R849" i="9"/>
  <c r="Q849" i="9"/>
  <c r="I849" i="9"/>
  <c r="K849" i="9" s="1"/>
  <c r="L849" i="9" s="1"/>
  <c r="AN848" i="9"/>
  <c r="AM848" i="9"/>
  <c r="AF848" i="9"/>
  <c r="AB848" i="9"/>
  <c r="V848" i="9"/>
  <c r="R848" i="9"/>
  <c r="I848" i="9"/>
  <c r="K848" i="9" s="1"/>
  <c r="L848" i="9" s="1"/>
  <c r="AM847" i="9"/>
  <c r="AN847" i="9" s="1"/>
  <c r="AF847" i="9"/>
  <c r="AB847" i="9"/>
  <c r="V847" i="9"/>
  <c r="R847" i="9"/>
  <c r="AK847" i="9" s="1"/>
  <c r="AL847" i="9" s="1"/>
  <c r="I847" i="9"/>
  <c r="K847" i="9" s="1"/>
  <c r="L847" i="9" s="1"/>
  <c r="AF846" i="9"/>
  <c r="AE846" i="9"/>
  <c r="AB846" i="9"/>
  <c r="AA846" i="9"/>
  <c r="AM846" i="9" s="1"/>
  <c r="AN846" i="9" s="1"/>
  <c r="V846" i="9"/>
  <c r="AK846" i="9" s="1"/>
  <c r="AL846" i="9" s="1"/>
  <c r="U846" i="9"/>
  <c r="R846" i="9"/>
  <c r="Q846" i="9"/>
  <c r="K846" i="9"/>
  <c r="L846" i="9" s="1"/>
  <c r="I846" i="9"/>
  <c r="AM845" i="9"/>
  <c r="AN845" i="9" s="1"/>
  <c r="AK845" i="9"/>
  <c r="AL845" i="9" s="1"/>
  <c r="I845" i="9"/>
  <c r="K845" i="9" s="1"/>
  <c r="L845" i="9" s="1"/>
  <c r="AM844" i="9"/>
  <c r="AN844" i="9" s="1"/>
  <c r="AF844" i="9"/>
  <c r="AK844" i="9" s="1"/>
  <c r="AL844" i="9" s="1"/>
  <c r="AB844" i="9"/>
  <c r="V844" i="9"/>
  <c r="R844" i="9"/>
  <c r="I844" i="9"/>
  <c r="K844" i="9" s="1"/>
  <c r="L844" i="9" s="1"/>
  <c r="AM843" i="9"/>
  <c r="AN843" i="9" s="1"/>
  <c r="AF843" i="9"/>
  <c r="AB843" i="9"/>
  <c r="V843" i="9"/>
  <c r="R843" i="9"/>
  <c r="K843" i="9"/>
  <c r="L843" i="9" s="1"/>
  <c r="I843" i="9"/>
  <c r="AM842" i="9"/>
  <c r="AN842" i="9" s="1"/>
  <c r="AK842" i="9"/>
  <c r="AL842" i="9" s="1"/>
  <c r="K842" i="9"/>
  <c r="L842" i="9" s="1"/>
  <c r="I842" i="9"/>
  <c r="AM841" i="9"/>
  <c r="AN841" i="9" s="1"/>
  <c r="AK841" i="9"/>
  <c r="AL841" i="9" s="1"/>
  <c r="I841" i="9"/>
  <c r="K841" i="9" s="1"/>
  <c r="L841" i="9" s="1"/>
  <c r="AM840" i="9"/>
  <c r="AN840" i="9" s="1"/>
  <c r="AF840" i="9"/>
  <c r="AB840" i="9"/>
  <c r="V840" i="9"/>
  <c r="R840" i="9"/>
  <c r="I840" i="9"/>
  <c r="K840" i="9" s="1"/>
  <c r="L840" i="9" s="1"/>
  <c r="AM839" i="9"/>
  <c r="AN839" i="9" s="1"/>
  <c r="AF839" i="9"/>
  <c r="AB839" i="9"/>
  <c r="V839" i="9"/>
  <c r="R839" i="9"/>
  <c r="AK839" i="9" s="1"/>
  <c r="AL839" i="9" s="1"/>
  <c r="I839" i="9"/>
  <c r="K839" i="9" s="1"/>
  <c r="L839" i="9" s="1"/>
  <c r="AF838" i="9"/>
  <c r="AE838" i="9"/>
  <c r="AB838" i="9"/>
  <c r="AA838" i="9"/>
  <c r="V838" i="9"/>
  <c r="U838" i="9"/>
  <c r="R838" i="9"/>
  <c r="AK838" i="9" s="1"/>
  <c r="AL838" i="9" s="1"/>
  <c r="Q838" i="9"/>
  <c r="I838" i="9"/>
  <c r="K838" i="9" s="1"/>
  <c r="L838" i="9" s="1"/>
  <c r="AM837" i="9"/>
  <c r="AN837" i="9" s="1"/>
  <c r="AF837" i="9"/>
  <c r="AB837" i="9"/>
  <c r="V837" i="9"/>
  <c r="R837" i="9"/>
  <c r="I837" i="9"/>
  <c r="K837" i="9" s="1"/>
  <c r="L837" i="9" s="1"/>
  <c r="AM836" i="9"/>
  <c r="AN836" i="9" s="1"/>
  <c r="AF836" i="9"/>
  <c r="AB836" i="9"/>
  <c r="V836" i="9"/>
  <c r="R836" i="9"/>
  <c r="I836" i="9"/>
  <c r="K836" i="9" s="1"/>
  <c r="L836" i="9" s="1"/>
  <c r="AF835" i="9"/>
  <c r="AE835" i="9"/>
  <c r="AB835" i="9"/>
  <c r="AA835" i="9"/>
  <c r="V835" i="9"/>
  <c r="U835" i="9"/>
  <c r="R835" i="9"/>
  <c r="Q835" i="9"/>
  <c r="I835" i="9"/>
  <c r="K835" i="9" s="1"/>
  <c r="L835" i="9" s="1"/>
  <c r="AM834" i="9"/>
  <c r="AN834" i="9" s="1"/>
  <c r="AK834" i="9"/>
  <c r="AL834" i="9" s="1"/>
  <c r="I834" i="9"/>
  <c r="K834" i="9" s="1"/>
  <c r="L834" i="9" s="1"/>
  <c r="AM833" i="9"/>
  <c r="AN833" i="9" s="1"/>
  <c r="AF833" i="9"/>
  <c r="AB833" i="9"/>
  <c r="V833" i="9"/>
  <c r="R833" i="9"/>
  <c r="I833" i="9"/>
  <c r="K833" i="9" s="1"/>
  <c r="L833" i="9" s="1"/>
  <c r="AM832" i="9"/>
  <c r="AN832" i="9" s="1"/>
  <c r="AF832" i="9"/>
  <c r="AB832" i="9"/>
  <c r="V832" i="9"/>
  <c r="R832" i="9"/>
  <c r="I832" i="9"/>
  <c r="K832" i="9" s="1"/>
  <c r="L832" i="9" s="1"/>
  <c r="AM831" i="9"/>
  <c r="AN831" i="9" s="1"/>
  <c r="AF831" i="9"/>
  <c r="AE831" i="9"/>
  <c r="AB831" i="9"/>
  <c r="AA831" i="9"/>
  <c r="V831" i="9"/>
  <c r="U831" i="9"/>
  <c r="R831" i="9"/>
  <c r="Q831" i="9"/>
  <c r="K831" i="9"/>
  <c r="L831" i="9" s="1"/>
  <c r="I831" i="9"/>
  <c r="AN830" i="9"/>
  <c r="AM830" i="9"/>
  <c r="AK830" i="9"/>
  <c r="AL830" i="9" s="1"/>
  <c r="I830" i="9"/>
  <c r="K830" i="9" s="1"/>
  <c r="L830" i="9" s="1"/>
  <c r="AM829" i="9"/>
  <c r="AN829" i="9" s="1"/>
  <c r="AK829" i="9"/>
  <c r="AL829" i="9" s="1"/>
  <c r="K829" i="9"/>
  <c r="L829" i="9" s="1"/>
  <c r="I829" i="9"/>
  <c r="AM828" i="9"/>
  <c r="AN828" i="9" s="1"/>
  <c r="AK828" i="9"/>
  <c r="AL828" i="9" s="1"/>
  <c r="I828" i="9"/>
  <c r="K828" i="9" s="1"/>
  <c r="L828" i="9" s="1"/>
  <c r="AF827" i="9"/>
  <c r="AE827" i="9"/>
  <c r="AB827" i="9"/>
  <c r="AA827" i="9"/>
  <c r="V827" i="9"/>
  <c r="U827" i="9"/>
  <c r="R827" i="9"/>
  <c r="Q827" i="9"/>
  <c r="I827" i="9"/>
  <c r="K827" i="9" s="1"/>
  <c r="L827" i="9" s="1"/>
  <c r="AF826" i="9"/>
  <c r="AE826" i="9"/>
  <c r="AB826" i="9"/>
  <c r="AA826" i="9"/>
  <c r="V826" i="9"/>
  <c r="U826" i="9"/>
  <c r="R826" i="9"/>
  <c r="Q826" i="9"/>
  <c r="I826" i="9"/>
  <c r="K826" i="9" s="1"/>
  <c r="L826" i="9" s="1"/>
  <c r="AM825" i="9"/>
  <c r="AN825" i="9" s="1"/>
  <c r="AL825" i="9"/>
  <c r="AK825" i="9"/>
  <c r="I825" i="9"/>
  <c r="K825" i="9" s="1"/>
  <c r="L825" i="9" s="1"/>
  <c r="AN824" i="9"/>
  <c r="AM824" i="9"/>
  <c r="AK824" i="9"/>
  <c r="AL824" i="9" s="1"/>
  <c r="I824" i="9"/>
  <c r="K824" i="9" s="1"/>
  <c r="L824" i="9" s="1"/>
  <c r="AN823" i="9"/>
  <c r="AM823" i="9"/>
  <c r="AF823" i="9"/>
  <c r="AB823" i="9"/>
  <c r="V823" i="9"/>
  <c r="R823" i="9"/>
  <c r="I823" i="9"/>
  <c r="K823" i="9" s="1"/>
  <c r="L823" i="9" s="1"/>
  <c r="AM822" i="9"/>
  <c r="AN822" i="9" s="1"/>
  <c r="AK822" i="9"/>
  <c r="AL822" i="9" s="1"/>
  <c r="I822" i="9"/>
  <c r="K822" i="9" s="1"/>
  <c r="L822" i="9" s="1"/>
  <c r="AB821" i="9"/>
  <c r="J821" i="9"/>
  <c r="D821" i="9"/>
  <c r="AM820" i="9"/>
  <c r="AK820" i="9"/>
  <c r="J820" i="9"/>
  <c r="D820" i="9"/>
  <c r="AM819" i="9"/>
  <c r="AK819" i="9"/>
  <c r="J819" i="9"/>
  <c r="AL819" i="9" s="1"/>
  <c r="D819" i="9"/>
  <c r="AM818" i="9"/>
  <c r="AN818" i="9" s="1"/>
  <c r="AK818" i="9"/>
  <c r="J818" i="9"/>
  <c r="I818" i="9"/>
  <c r="K818" i="9" s="1"/>
  <c r="AM817" i="9"/>
  <c r="J817" i="9"/>
  <c r="V817" i="9" s="1"/>
  <c r="D817" i="9"/>
  <c r="AM816" i="9"/>
  <c r="J816" i="9"/>
  <c r="D816" i="9"/>
  <c r="AM815" i="9"/>
  <c r="AB815" i="9"/>
  <c r="J815" i="9"/>
  <c r="D815" i="9"/>
  <c r="AM814" i="9"/>
  <c r="AN814" i="9" s="1"/>
  <c r="AF814" i="9"/>
  <c r="J814" i="9"/>
  <c r="D814" i="9"/>
  <c r="AN813" i="9"/>
  <c r="AM813" i="9"/>
  <c r="AK813" i="9"/>
  <c r="J813" i="9"/>
  <c r="I813" i="9"/>
  <c r="K813" i="9" s="1"/>
  <c r="D813" i="9"/>
  <c r="AM812" i="9"/>
  <c r="AN812" i="9" s="1"/>
  <c r="AK812" i="9"/>
  <c r="AL812" i="9" s="1"/>
  <c r="I812" i="9"/>
  <c r="K812" i="9" s="1"/>
  <c r="L812" i="9" s="1"/>
  <c r="AF811" i="9"/>
  <c r="R811" i="9"/>
  <c r="J811" i="9"/>
  <c r="D811" i="9"/>
  <c r="I811" i="9" s="1"/>
  <c r="AM810" i="9"/>
  <c r="AK810" i="9"/>
  <c r="J810" i="9"/>
  <c r="D810" i="9"/>
  <c r="AN810" i="9" s="1"/>
  <c r="U809" i="9"/>
  <c r="J809" i="9"/>
  <c r="D809" i="9"/>
  <c r="AM808" i="9"/>
  <c r="J808" i="9"/>
  <c r="R808" i="9" s="1"/>
  <c r="D808" i="9"/>
  <c r="AB807" i="9"/>
  <c r="J807" i="9"/>
  <c r="V807" i="9" s="1"/>
  <c r="D807" i="9"/>
  <c r="AA806" i="9"/>
  <c r="U806" i="9"/>
  <c r="J806" i="9"/>
  <c r="I806" i="9" s="1"/>
  <c r="K806" i="9" s="1"/>
  <c r="D806" i="9"/>
  <c r="Q806" i="9" s="1"/>
  <c r="J805" i="9"/>
  <c r="AB805" i="9" s="1"/>
  <c r="D805" i="9"/>
  <c r="AE804" i="9"/>
  <c r="AB804" i="9"/>
  <c r="AA804" i="9"/>
  <c r="U804" i="9"/>
  <c r="Q804" i="9"/>
  <c r="J804" i="9"/>
  <c r="AM803" i="9"/>
  <c r="AK803" i="9"/>
  <c r="J803" i="9"/>
  <c r="D803" i="9"/>
  <c r="J802" i="9"/>
  <c r="D802" i="9"/>
  <c r="AF801" i="9"/>
  <c r="AB801" i="9"/>
  <c r="Q801" i="9"/>
  <c r="J801" i="9"/>
  <c r="D801" i="9"/>
  <c r="AF800" i="9"/>
  <c r="AE800" i="9"/>
  <c r="AA800" i="9"/>
  <c r="V800" i="9"/>
  <c r="U800" i="9"/>
  <c r="R800" i="9"/>
  <c r="Q800" i="9"/>
  <c r="J800" i="9"/>
  <c r="AB800" i="9" s="1"/>
  <c r="I800" i="9"/>
  <c r="K800" i="9" s="1"/>
  <c r="L800" i="9" s="1"/>
  <c r="AM799" i="9"/>
  <c r="AN799" i="9" s="1"/>
  <c r="AF799" i="9"/>
  <c r="AB799" i="9"/>
  <c r="V799" i="9"/>
  <c r="R799" i="9"/>
  <c r="K799" i="9"/>
  <c r="L799" i="9" s="1"/>
  <c r="I799" i="9"/>
  <c r="AM798" i="9"/>
  <c r="AN798" i="9" s="1"/>
  <c r="AF798" i="9"/>
  <c r="AB798" i="9"/>
  <c r="V798" i="9"/>
  <c r="R798" i="9"/>
  <c r="I798" i="9"/>
  <c r="K798" i="9" s="1"/>
  <c r="L798" i="9" s="1"/>
  <c r="AF797" i="9"/>
  <c r="AE797" i="9"/>
  <c r="AB797" i="9"/>
  <c r="AA797" i="9"/>
  <c r="V797" i="9"/>
  <c r="U797" i="9"/>
  <c r="R797" i="9"/>
  <c r="Q797" i="9"/>
  <c r="K797" i="9"/>
  <c r="L797" i="9" s="1"/>
  <c r="I797" i="9"/>
  <c r="AM796" i="9"/>
  <c r="AL796" i="9"/>
  <c r="AK796" i="9"/>
  <c r="J796" i="9"/>
  <c r="I796" i="9"/>
  <c r="D796" i="9"/>
  <c r="AM795" i="9"/>
  <c r="J795" i="9"/>
  <c r="D795" i="9"/>
  <c r="AA794" i="9"/>
  <c r="J794" i="9"/>
  <c r="V794" i="9" s="1"/>
  <c r="D794" i="9"/>
  <c r="AE794" i="9" s="1"/>
  <c r="AF793" i="9"/>
  <c r="AA793" i="9"/>
  <c r="U793" i="9"/>
  <c r="R793" i="9"/>
  <c r="J793" i="9"/>
  <c r="AB793" i="9" s="1"/>
  <c r="D793" i="9"/>
  <c r="AF792" i="9"/>
  <c r="AE792" i="9"/>
  <c r="U792" i="9"/>
  <c r="R792" i="9"/>
  <c r="J792" i="9"/>
  <c r="AB792" i="9" s="1"/>
  <c r="D792" i="9"/>
  <c r="AA792" i="9" s="1"/>
  <c r="AB791" i="9"/>
  <c r="J791" i="9"/>
  <c r="V791" i="9" s="1"/>
  <c r="D791" i="9"/>
  <c r="AE790" i="9"/>
  <c r="J790" i="9"/>
  <c r="V790" i="9" s="1"/>
  <c r="D790" i="9"/>
  <c r="AA790" i="9" s="1"/>
  <c r="AM789" i="9"/>
  <c r="AB789" i="9"/>
  <c r="V789" i="9"/>
  <c r="J789" i="9"/>
  <c r="D789" i="9"/>
  <c r="AM788" i="9"/>
  <c r="J788" i="9"/>
  <c r="I788" i="9" s="1"/>
  <c r="D788" i="9"/>
  <c r="AA787" i="9"/>
  <c r="Q787" i="9"/>
  <c r="J787" i="9"/>
  <c r="D787" i="9"/>
  <c r="AB786" i="9"/>
  <c r="AA786" i="9"/>
  <c r="R786" i="9"/>
  <c r="J786" i="9"/>
  <c r="AF786" i="9" s="1"/>
  <c r="D786" i="9"/>
  <c r="AE786" i="9" s="1"/>
  <c r="AM785" i="9"/>
  <c r="V785" i="9"/>
  <c r="R785" i="9"/>
  <c r="J785" i="9"/>
  <c r="D785" i="9"/>
  <c r="AM784" i="9"/>
  <c r="AN784" i="9" s="1"/>
  <c r="J784" i="9"/>
  <c r="I784" i="9" s="1"/>
  <c r="D784" i="9"/>
  <c r="AM783" i="9"/>
  <c r="AF783" i="9"/>
  <c r="AB783" i="9"/>
  <c r="J783" i="9"/>
  <c r="R783" i="9" s="1"/>
  <c r="D783" i="9"/>
  <c r="AM782" i="9"/>
  <c r="AF782" i="9"/>
  <c r="AB782" i="9"/>
  <c r="V782" i="9"/>
  <c r="R782" i="9"/>
  <c r="D782" i="9"/>
  <c r="I782" i="9" s="1"/>
  <c r="AM781" i="9"/>
  <c r="AN781" i="9" s="1"/>
  <c r="J781" i="9"/>
  <c r="I781" i="9" s="1"/>
  <c r="K781" i="9" s="1"/>
  <c r="D781" i="9"/>
  <c r="AM780" i="9"/>
  <c r="AL780" i="9"/>
  <c r="AK780" i="9"/>
  <c r="J780" i="9"/>
  <c r="D780" i="9"/>
  <c r="AM779" i="9"/>
  <c r="AK779" i="9"/>
  <c r="J779" i="9"/>
  <c r="AL779" i="9" s="1"/>
  <c r="D779" i="9"/>
  <c r="AM778" i="9"/>
  <c r="AK778" i="9"/>
  <c r="J778" i="9"/>
  <c r="AL778" i="9" s="1"/>
  <c r="D778" i="9"/>
  <c r="AB777" i="9"/>
  <c r="AA777" i="9"/>
  <c r="R777" i="9"/>
  <c r="J777" i="9"/>
  <c r="D777" i="9"/>
  <c r="U777" i="9" s="1"/>
  <c r="AM776" i="9"/>
  <c r="AF776" i="9"/>
  <c r="AB776" i="9"/>
  <c r="V776" i="9"/>
  <c r="R776" i="9"/>
  <c r="J776" i="9"/>
  <c r="D776" i="9"/>
  <c r="AM775" i="9"/>
  <c r="J775" i="9"/>
  <c r="D775" i="9"/>
  <c r="AM774" i="9"/>
  <c r="J774" i="9"/>
  <c r="D774" i="9"/>
  <c r="I774" i="9" s="1"/>
  <c r="AL773" i="9"/>
  <c r="AE773" i="9"/>
  <c r="AA773" i="9"/>
  <c r="U773" i="9"/>
  <c r="Q773" i="9"/>
  <c r="L773" i="9"/>
  <c r="K773" i="9"/>
  <c r="AF772" i="9"/>
  <c r="AE772" i="9"/>
  <c r="AB772" i="9"/>
  <c r="AA772" i="9"/>
  <c r="AM772" i="9" s="1"/>
  <c r="AN772" i="9" s="1"/>
  <c r="V772" i="9"/>
  <c r="AK772" i="9" s="1"/>
  <c r="AL772" i="9" s="1"/>
  <c r="U772" i="9"/>
  <c r="R772" i="9"/>
  <c r="Q772" i="9"/>
  <c r="K772" i="9"/>
  <c r="L772" i="9" s="1"/>
  <c r="AM770" i="9"/>
  <c r="J770" i="9"/>
  <c r="D770" i="9"/>
  <c r="AF769" i="9"/>
  <c r="AE769" i="9"/>
  <c r="AB769" i="9"/>
  <c r="AA769" i="9"/>
  <c r="V769" i="9"/>
  <c r="U769" i="9"/>
  <c r="R769" i="9"/>
  <c r="Q769" i="9"/>
  <c r="K769" i="9"/>
  <c r="L769" i="9" s="1"/>
  <c r="AF768" i="9"/>
  <c r="AE768" i="9"/>
  <c r="AB768" i="9"/>
  <c r="AA768" i="9"/>
  <c r="V768" i="9"/>
  <c r="U768" i="9"/>
  <c r="R768" i="9"/>
  <c r="Q768" i="9"/>
  <c r="AM768" i="9" s="1"/>
  <c r="AN768" i="9" s="1"/>
  <c r="K768" i="9"/>
  <c r="L768" i="9" s="1"/>
  <c r="AM766" i="9"/>
  <c r="AK766" i="9"/>
  <c r="AL766" i="9" s="1"/>
  <c r="K766" i="9"/>
  <c r="AM765" i="9"/>
  <c r="AK765" i="9"/>
  <c r="AL765" i="9" s="1"/>
  <c r="K765" i="9"/>
  <c r="AM764" i="9"/>
  <c r="AF764" i="9"/>
  <c r="AB764" i="9"/>
  <c r="V764" i="9"/>
  <c r="R764" i="9"/>
  <c r="K764" i="9"/>
  <c r="AF763" i="9"/>
  <c r="AK763" i="9" s="1"/>
  <c r="AL763" i="9" s="1"/>
  <c r="AE763" i="9"/>
  <c r="AB763" i="9"/>
  <c r="AA763" i="9"/>
  <c r="V763" i="9"/>
  <c r="U763" i="9"/>
  <c r="R763" i="9"/>
  <c r="Q763" i="9"/>
  <c r="K763" i="9"/>
  <c r="AM762" i="9"/>
  <c r="AL762" i="9"/>
  <c r="AK762" i="9"/>
  <c r="K762" i="9"/>
  <c r="AM761" i="9"/>
  <c r="AF761" i="9"/>
  <c r="AB761" i="9"/>
  <c r="V761" i="9"/>
  <c r="R761" i="9"/>
  <c r="K761" i="9"/>
  <c r="AM760" i="9"/>
  <c r="AN760" i="9" s="1"/>
  <c r="AF760" i="9"/>
  <c r="AB760" i="9"/>
  <c r="V760" i="9"/>
  <c r="R760" i="9"/>
  <c r="K760" i="9"/>
  <c r="AM759" i="9"/>
  <c r="AK759" i="9"/>
  <c r="AL759" i="9" s="1"/>
  <c r="K759" i="9"/>
  <c r="AM758" i="9"/>
  <c r="AK758" i="9"/>
  <c r="AL758" i="9" s="1"/>
  <c r="K758" i="9"/>
  <c r="AM757" i="9"/>
  <c r="AL757" i="9"/>
  <c r="AK757" i="9"/>
  <c r="K757" i="9"/>
  <c r="AM756" i="9"/>
  <c r="AF756" i="9"/>
  <c r="AB756" i="9"/>
  <c r="V756" i="9"/>
  <c r="R756" i="9"/>
  <c r="K756" i="9"/>
  <c r="AM755" i="9"/>
  <c r="AK755" i="9"/>
  <c r="AL755" i="9" s="1"/>
  <c r="K755" i="9"/>
  <c r="AM754" i="9"/>
  <c r="AK754" i="9"/>
  <c r="AL754" i="9" s="1"/>
  <c r="K754" i="9"/>
  <c r="AM753" i="9"/>
  <c r="AK753" i="9"/>
  <c r="AL753" i="9" s="1"/>
  <c r="K753" i="9"/>
  <c r="AM752" i="9"/>
  <c r="AK752" i="9"/>
  <c r="AL752" i="9" s="1"/>
  <c r="K752" i="9"/>
  <c r="AF751" i="9"/>
  <c r="AE751" i="9"/>
  <c r="AB751" i="9"/>
  <c r="AA751" i="9"/>
  <c r="V751" i="9"/>
  <c r="U751" i="9"/>
  <c r="R751" i="9"/>
  <c r="Q751" i="9"/>
  <c r="K751" i="9"/>
  <c r="AM750" i="9"/>
  <c r="AK750" i="9"/>
  <c r="AL750" i="9" s="1"/>
  <c r="K750" i="9"/>
  <c r="AF749" i="9"/>
  <c r="AE749" i="9"/>
  <c r="AB749" i="9"/>
  <c r="AA749" i="9"/>
  <c r="V749" i="9"/>
  <c r="U749" i="9"/>
  <c r="R749" i="9"/>
  <c r="Q749" i="9"/>
  <c r="K749" i="9"/>
  <c r="AM748" i="9"/>
  <c r="AF748" i="9"/>
  <c r="AB748" i="9"/>
  <c r="V748" i="9"/>
  <c r="R748" i="9"/>
  <c r="K748" i="9"/>
  <c r="AM747" i="9"/>
  <c r="AK747" i="9"/>
  <c r="AL747" i="9" s="1"/>
  <c r="K747" i="9"/>
  <c r="AM746" i="9"/>
  <c r="AK746" i="9"/>
  <c r="AL746" i="9" s="1"/>
  <c r="K746" i="9"/>
  <c r="AM745" i="9"/>
  <c r="AK745" i="9"/>
  <c r="AL745" i="9" s="1"/>
  <c r="K745" i="9"/>
  <c r="AM744" i="9"/>
  <c r="AK744" i="9"/>
  <c r="AL744" i="9" s="1"/>
  <c r="K744" i="9"/>
  <c r="AM743" i="9"/>
  <c r="AK743" i="9"/>
  <c r="AL743" i="9" s="1"/>
  <c r="K743" i="9"/>
  <c r="AM742" i="9"/>
  <c r="AF742" i="9"/>
  <c r="AB742" i="9"/>
  <c r="V742" i="9"/>
  <c r="R742" i="9"/>
  <c r="K742" i="9"/>
  <c r="AM741" i="9"/>
  <c r="AF741" i="9"/>
  <c r="AK741" i="9" s="1"/>
  <c r="AL741" i="9" s="1"/>
  <c r="AB741" i="9"/>
  <c r="V741" i="9"/>
  <c r="R741" i="9"/>
  <c r="K741" i="9"/>
  <c r="AM740" i="9"/>
  <c r="AK740" i="9"/>
  <c r="AL740" i="9" s="1"/>
  <c r="K740" i="9"/>
  <c r="AM739" i="9"/>
  <c r="AK739" i="9"/>
  <c r="AL739" i="9" s="1"/>
  <c r="K739" i="9"/>
  <c r="AM738" i="9"/>
  <c r="AK738" i="9"/>
  <c r="AL738" i="9" s="1"/>
  <c r="K738" i="9"/>
  <c r="AM737" i="9"/>
  <c r="AK737" i="9"/>
  <c r="AL737" i="9" s="1"/>
  <c r="K737" i="9"/>
  <c r="AF736" i="9"/>
  <c r="AE736" i="9"/>
  <c r="AB736" i="9"/>
  <c r="AA736" i="9"/>
  <c r="V736" i="9"/>
  <c r="U736" i="9"/>
  <c r="R736" i="9"/>
  <c r="AK736" i="9" s="1"/>
  <c r="AL736" i="9" s="1"/>
  <c r="Q736" i="9"/>
  <c r="K736" i="9"/>
  <c r="AK735" i="9"/>
  <c r="AL735" i="9" s="1"/>
  <c r="AF735" i="9"/>
  <c r="AE735" i="9"/>
  <c r="AB735" i="9"/>
  <c r="AA735" i="9"/>
  <c r="V735" i="9"/>
  <c r="U735" i="9"/>
  <c r="R735" i="9"/>
  <c r="Q735" i="9"/>
  <c r="K735" i="9"/>
  <c r="AN734" i="9"/>
  <c r="AM734" i="9"/>
  <c r="AF734" i="9"/>
  <c r="AB734" i="9"/>
  <c r="V734" i="9"/>
  <c r="R734" i="9"/>
  <c r="K734" i="9"/>
  <c r="AM733" i="9"/>
  <c r="AN733" i="9" s="1"/>
  <c r="AL733" i="9"/>
  <c r="AK733" i="9"/>
  <c r="K733" i="9"/>
  <c r="AN732" i="9"/>
  <c r="AM732" i="9"/>
  <c r="AK732" i="9"/>
  <c r="AL732" i="9" s="1"/>
  <c r="K732" i="9"/>
  <c r="AN731" i="9"/>
  <c r="AM731" i="9"/>
  <c r="AL731" i="9"/>
  <c r="AK731" i="9"/>
  <c r="K731" i="9"/>
  <c r="AM730" i="9"/>
  <c r="AN730" i="9" s="1"/>
  <c r="AF730" i="9"/>
  <c r="AB730" i="9"/>
  <c r="V730" i="9"/>
  <c r="R730" i="9"/>
  <c r="K730" i="9"/>
  <c r="AF729" i="9"/>
  <c r="AE729" i="9"/>
  <c r="AB729" i="9"/>
  <c r="AA729" i="9"/>
  <c r="V729" i="9"/>
  <c r="U729" i="9"/>
  <c r="R729" i="9"/>
  <c r="Q729" i="9"/>
  <c r="K729" i="9"/>
  <c r="AF728" i="9"/>
  <c r="AE728" i="9"/>
  <c r="AB728" i="9"/>
  <c r="AA728" i="9"/>
  <c r="V728" i="9"/>
  <c r="U728" i="9"/>
  <c r="R728" i="9"/>
  <c r="Q728" i="9"/>
  <c r="K728" i="9"/>
  <c r="AF727" i="9"/>
  <c r="AE727" i="9"/>
  <c r="AB727" i="9"/>
  <c r="AA727" i="9"/>
  <c r="V727" i="9"/>
  <c r="AK727" i="9" s="1"/>
  <c r="AL727" i="9" s="1"/>
  <c r="U727" i="9"/>
  <c r="R727" i="9"/>
  <c r="Q727" i="9"/>
  <c r="K727" i="9"/>
  <c r="AF726" i="9"/>
  <c r="AE726" i="9"/>
  <c r="AB726" i="9"/>
  <c r="AA726" i="9"/>
  <c r="V726" i="9"/>
  <c r="U726" i="9"/>
  <c r="R726" i="9"/>
  <c r="Q726" i="9"/>
  <c r="K726" i="9"/>
  <c r="AM725" i="9"/>
  <c r="AN725" i="9" s="1"/>
  <c r="AF725" i="9"/>
  <c r="AB725" i="9"/>
  <c r="V725" i="9"/>
  <c r="R725" i="9"/>
  <c r="K725" i="9"/>
  <c r="AM724" i="9"/>
  <c r="AN724" i="9" s="1"/>
  <c r="AF724" i="9"/>
  <c r="AB724" i="9"/>
  <c r="V724" i="9"/>
  <c r="R724" i="9"/>
  <c r="K724" i="9"/>
  <c r="AF723" i="9"/>
  <c r="AE723" i="9"/>
  <c r="AB723" i="9"/>
  <c r="AA723" i="9"/>
  <c r="V723" i="9"/>
  <c r="U723" i="9"/>
  <c r="R723" i="9"/>
  <c r="AK723" i="9" s="1"/>
  <c r="AL723" i="9" s="1"/>
  <c r="Q723" i="9"/>
  <c r="AM723" i="9" s="1"/>
  <c r="AN723" i="9" s="1"/>
  <c r="K723" i="9"/>
  <c r="AF722" i="9"/>
  <c r="AE722" i="9"/>
  <c r="AB722" i="9"/>
  <c r="AA722" i="9"/>
  <c r="V722" i="9"/>
  <c r="U722" i="9"/>
  <c r="AM722" i="9" s="1"/>
  <c r="AN722" i="9" s="1"/>
  <c r="R722" i="9"/>
  <c r="Q722" i="9"/>
  <c r="K722" i="9"/>
  <c r="AF721" i="9"/>
  <c r="AE721" i="9"/>
  <c r="AB721" i="9"/>
  <c r="AA721" i="9"/>
  <c r="V721" i="9"/>
  <c r="U721" i="9"/>
  <c r="R721" i="9"/>
  <c r="Q721" i="9"/>
  <c r="K721" i="9"/>
  <c r="AF720" i="9"/>
  <c r="AE720" i="9"/>
  <c r="AB720" i="9"/>
  <c r="AA720" i="9"/>
  <c r="V720" i="9"/>
  <c r="U720" i="9"/>
  <c r="R720" i="9"/>
  <c r="Q720" i="9"/>
  <c r="K720" i="9"/>
  <c r="AN719" i="9"/>
  <c r="AM719" i="9"/>
  <c r="AF719" i="9"/>
  <c r="AB719" i="9"/>
  <c r="V719" i="9"/>
  <c r="R719" i="9"/>
  <c r="AK719" i="9" s="1"/>
  <c r="AL719" i="9" s="1"/>
  <c r="K719" i="9"/>
  <c r="AN718" i="9"/>
  <c r="AM718" i="9"/>
  <c r="AF718" i="9"/>
  <c r="AK718" i="9" s="1"/>
  <c r="AL718" i="9" s="1"/>
  <c r="AB718" i="9"/>
  <c r="V718" i="9"/>
  <c r="R718" i="9"/>
  <c r="K718" i="9"/>
  <c r="AN717" i="9"/>
  <c r="AM717" i="9"/>
  <c r="AF717" i="9"/>
  <c r="AB717" i="9"/>
  <c r="V717" i="9"/>
  <c r="R717" i="9"/>
  <c r="K717" i="9"/>
  <c r="AN716" i="9"/>
  <c r="AM716" i="9"/>
  <c r="AF716" i="9"/>
  <c r="AB716" i="9"/>
  <c r="V716" i="9"/>
  <c r="R716" i="9"/>
  <c r="K716" i="9"/>
  <c r="AM715" i="9"/>
  <c r="AN715" i="9" s="1"/>
  <c r="AF715" i="9"/>
  <c r="AB715" i="9"/>
  <c r="V715" i="9"/>
  <c r="R715" i="9"/>
  <c r="K715" i="9"/>
  <c r="AF714" i="9"/>
  <c r="AE714" i="9"/>
  <c r="AB714" i="9"/>
  <c r="AA714" i="9"/>
  <c r="V714" i="9"/>
  <c r="U714" i="9"/>
  <c r="R714" i="9"/>
  <c r="Q714" i="9"/>
  <c r="AM714" i="9" s="1"/>
  <c r="AN714" i="9" s="1"/>
  <c r="K714" i="9"/>
  <c r="AK713" i="9"/>
  <c r="AL713" i="9" s="1"/>
  <c r="AF713" i="9"/>
  <c r="AE713" i="9"/>
  <c r="AB713" i="9"/>
  <c r="AA713" i="9"/>
  <c r="V713" i="9"/>
  <c r="U713" i="9"/>
  <c r="R713" i="9"/>
  <c r="Q713" i="9"/>
  <c r="K713" i="9"/>
  <c r="AF712" i="9"/>
  <c r="AE712" i="9"/>
  <c r="AM712" i="9" s="1"/>
  <c r="AN712" i="9" s="1"/>
  <c r="AB712" i="9"/>
  <c r="AA712" i="9"/>
  <c r="V712" i="9"/>
  <c r="U712" i="9"/>
  <c r="R712" i="9"/>
  <c r="Q712" i="9"/>
  <c r="I712" i="9"/>
  <c r="K712" i="9" s="1"/>
  <c r="L712" i="9" s="1"/>
  <c r="AM711" i="9"/>
  <c r="AN711" i="9" s="1"/>
  <c r="AF711" i="9"/>
  <c r="AB711" i="9"/>
  <c r="V711" i="9"/>
  <c r="R711" i="9"/>
  <c r="AK711" i="9" s="1"/>
  <c r="AL711" i="9" s="1"/>
  <c r="I711" i="9"/>
  <c r="K711" i="9" s="1"/>
  <c r="L711" i="9" s="1"/>
  <c r="AN710" i="9"/>
  <c r="AM710" i="9"/>
  <c r="AF710" i="9"/>
  <c r="AB710" i="9"/>
  <c r="V710" i="9"/>
  <c r="R710" i="9"/>
  <c r="I710" i="9"/>
  <c r="K710" i="9" s="1"/>
  <c r="L710" i="9" s="1"/>
  <c r="AM709" i="9"/>
  <c r="AN709" i="9" s="1"/>
  <c r="AF709" i="9"/>
  <c r="AB709" i="9"/>
  <c r="V709" i="9"/>
  <c r="R709" i="9"/>
  <c r="K709" i="9"/>
  <c r="L709" i="9" s="1"/>
  <c r="I709" i="9"/>
  <c r="AN708" i="9"/>
  <c r="AM708" i="9"/>
  <c r="AF708" i="9"/>
  <c r="AB708" i="9"/>
  <c r="V708" i="9"/>
  <c r="R708" i="9"/>
  <c r="AK708" i="9" s="1"/>
  <c r="AL708" i="9" s="1"/>
  <c r="K708" i="9"/>
  <c r="L708" i="9" s="1"/>
  <c r="I708" i="9"/>
  <c r="AM707" i="9"/>
  <c r="AN707" i="9" s="1"/>
  <c r="AL707" i="9"/>
  <c r="AK707" i="9"/>
  <c r="I707" i="9"/>
  <c r="K707" i="9" s="1"/>
  <c r="L707" i="9" s="1"/>
  <c r="AF706" i="9"/>
  <c r="AE706" i="9"/>
  <c r="AB706" i="9"/>
  <c r="AA706" i="9"/>
  <c r="V706" i="9"/>
  <c r="U706" i="9"/>
  <c r="R706" i="9"/>
  <c r="Q706" i="9"/>
  <c r="K706" i="9"/>
  <c r="L706" i="9" s="1"/>
  <c r="I706" i="9"/>
  <c r="AM705" i="9"/>
  <c r="AN705" i="9" s="1"/>
  <c r="AF705" i="9"/>
  <c r="AB705" i="9"/>
  <c r="AK705" i="9" s="1"/>
  <c r="AL705" i="9" s="1"/>
  <c r="V705" i="9"/>
  <c r="R705" i="9"/>
  <c r="I705" i="9"/>
  <c r="K705" i="9" s="1"/>
  <c r="L705" i="9" s="1"/>
  <c r="AM704" i="9"/>
  <c r="AN704" i="9" s="1"/>
  <c r="AF704" i="9"/>
  <c r="AB704" i="9"/>
  <c r="AK704" i="9" s="1"/>
  <c r="AL704" i="9" s="1"/>
  <c r="V704" i="9"/>
  <c r="R704" i="9"/>
  <c r="K704" i="9"/>
  <c r="L704" i="9" s="1"/>
  <c r="I704" i="9"/>
  <c r="AN703" i="9"/>
  <c r="AM703" i="9"/>
  <c r="AF703" i="9"/>
  <c r="AB703" i="9"/>
  <c r="V703" i="9"/>
  <c r="R703" i="9"/>
  <c r="I703" i="9"/>
  <c r="K703" i="9" s="1"/>
  <c r="L703" i="9" s="1"/>
  <c r="AM702" i="9"/>
  <c r="AN702" i="9" s="1"/>
  <c r="AK702" i="9"/>
  <c r="AL702" i="9" s="1"/>
  <c r="I702" i="9"/>
  <c r="K702" i="9" s="1"/>
  <c r="L702" i="9" s="1"/>
  <c r="AF701" i="9"/>
  <c r="AE701" i="9"/>
  <c r="AB701" i="9"/>
  <c r="AA701" i="9"/>
  <c r="AM701" i="9" s="1"/>
  <c r="AN701" i="9" s="1"/>
  <c r="V701" i="9"/>
  <c r="AK701" i="9" s="1"/>
  <c r="AL701" i="9" s="1"/>
  <c r="U701" i="9"/>
  <c r="R701" i="9"/>
  <c r="Q701" i="9"/>
  <c r="K701" i="9"/>
  <c r="L701" i="9" s="1"/>
  <c r="I701" i="9"/>
  <c r="AN700" i="9"/>
  <c r="AM700" i="9"/>
  <c r="AF700" i="9"/>
  <c r="AB700" i="9"/>
  <c r="V700" i="9"/>
  <c r="R700" i="9"/>
  <c r="AK700" i="9" s="1"/>
  <c r="AL700" i="9" s="1"/>
  <c r="I700" i="9"/>
  <c r="K700" i="9" s="1"/>
  <c r="L700" i="9" s="1"/>
  <c r="AF699" i="9"/>
  <c r="AE699" i="9"/>
  <c r="AB699" i="9"/>
  <c r="AA699" i="9"/>
  <c r="V699" i="9"/>
  <c r="U699" i="9"/>
  <c r="R699" i="9"/>
  <c r="Q699" i="9"/>
  <c r="I699" i="9"/>
  <c r="K699" i="9" s="1"/>
  <c r="L699" i="9" s="1"/>
  <c r="AN698" i="9"/>
  <c r="AM698" i="9"/>
  <c r="AK698" i="9"/>
  <c r="AL698" i="9" s="1"/>
  <c r="K698" i="9"/>
  <c r="L698" i="9" s="1"/>
  <c r="I698" i="9"/>
  <c r="AF697" i="9"/>
  <c r="AE697" i="9"/>
  <c r="AB697" i="9"/>
  <c r="AA697" i="9"/>
  <c r="V697" i="9"/>
  <c r="U697" i="9"/>
  <c r="R697" i="9"/>
  <c r="Q697" i="9"/>
  <c r="I697" i="9"/>
  <c r="K697" i="9" s="1"/>
  <c r="L697" i="9" s="1"/>
  <c r="AF696" i="9"/>
  <c r="AE696" i="9"/>
  <c r="AB696" i="9"/>
  <c r="AA696" i="9"/>
  <c r="V696" i="9"/>
  <c r="U696" i="9"/>
  <c r="R696" i="9"/>
  <c r="Q696" i="9"/>
  <c r="AM696" i="9" s="1"/>
  <c r="AN696" i="9" s="1"/>
  <c r="I696" i="9"/>
  <c r="K696" i="9" s="1"/>
  <c r="L696" i="9" s="1"/>
  <c r="AF695" i="9"/>
  <c r="AE695" i="9"/>
  <c r="AB695" i="9"/>
  <c r="AA695" i="9"/>
  <c r="V695" i="9"/>
  <c r="U695" i="9"/>
  <c r="R695" i="9"/>
  <c r="Q695" i="9"/>
  <c r="I695" i="9"/>
  <c r="K695" i="9" s="1"/>
  <c r="L695" i="9" s="1"/>
  <c r="AF694" i="9"/>
  <c r="AE694" i="9"/>
  <c r="AB694" i="9"/>
  <c r="AK694" i="9" s="1"/>
  <c r="AL694" i="9" s="1"/>
  <c r="AA694" i="9"/>
  <c r="V694" i="9"/>
  <c r="U694" i="9"/>
  <c r="R694" i="9"/>
  <c r="Q694" i="9"/>
  <c r="K694" i="9"/>
  <c r="L694" i="9" s="1"/>
  <c r="I694" i="9"/>
  <c r="AM693" i="9"/>
  <c r="AN693" i="9" s="1"/>
  <c r="AF693" i="9"/>
  <c r="AB693" i="9"/>
  <c r="V693" i="9"/>
  <c r="R693" i="9"/>
  <c r="K693" i="9"/>
  <c r="L693" i="9" s="1"/>
  <c r="I693" i="9"/>
  <c r="AF692" i="9"/>
  <c r="AE692" i="9"/>
  <c r="AB692" i="9"/>
  <c r="AA692" i="9"/>
  <c r="V692" i="9"/>
  <c r="U692" i="9"/>
  <c r="R692" i="9"/>
  <c r="AK692" i="9" s="1"/>
  <c r="AL692" i="9" s="1"/>
  <c r="Q692" i="9"/>
  <c r="I692" i="9"/>
  <c r="K692" i="9" s="1"/>
  <c r="L692" i="9" s="1"/>
  <c r="AF691" i="9"/>
  <c r="AE691" i="9"/>
  <c r="AB691" i="9"/>
  <c r="AA691" i="9"/>
  <c r="V691" i="9"/>
  <c r="U691" i="9"/>
  <c r="AM691" i="9" s="1"/>
  <c r="AN691" i="9" s="1"/>
  <c r="R691" i="9"/>
  <c r="Q691" i="9"/>
  <c r="I691" i="9"/>
  <c r="K691" i="9" s="1"/>
  <c r="L691" i="9" s="1"/>
  <c r="AF690" i="9"/>
  <c r="AE690" i="9"/>
  <c r="AB690" i="9"/>
  <c r="AA690" i="9"/>
  <c r="V690" i="9"/>
  <c r="U690" i="9"/>
  <c r="AM690" i="9" s="1"/>
  <c r="AN690" i="9" s="1"/>
  <c r="R690" i="9"/>
  <c r="Q690" i="9"/>
  <c r="I690" i="9"/>
  <c r="K690" i="9" s="1"/>
  <c r="L690" i="9" s="1"/>
  <c r="AN689" i="9"/>
  <c r="AM689" i="9"/>
  <c r="AF689" i="9"/>
  <c r="AB689" i="9"/>
  <c r="V689" i="9"/>
  <c r="R689" i="9"/>
  <c r="I689" i="9"/>
  <c r="K689" i="9" s="1"/>
  <c r="L689" i="9" s="1"/>
  <c r="AM688" i="9"/>
  <c r="AN688" i="9" s="1"/>
  <c r="AF688" i="9"/>
  <c r="AB688" i="9"/>
  <c r="V688" i="9"/>
  <c r="R688" i="9"/>
  <c r="AK688" i="9" s="1"/>
  <c r="AL688" i="9" s="1"/>
  <c r="I688" i="9"/>
  <c r="K688" i="9" s="1"/>
  <c r="L688" i="9" s="1"/>
  <c r="AM687" i="9"/>
  <c r="AN687" i="9" s="1"/>
  <c r="AF687" i="9"/>
  <c r="AB687" i="9"/>
  <c r="V687" i="9"/>
  <c r="R687" i="9"/>
  <c r="I687" i="9"/>
  <c r="K687" i="9" s="1"/>
  <c r="L687" i="9" s="1"/>
  <c r="AF686" i="9"/>
  <c r="AE686" i="9"/>
  <c r="AB686" i="9"/>
  <c r="AA686" i="9"/>
  <c r="V686" i="9"/>
  <c r="U686" i="9"/>
  <c r="R686" i="9"/>
  <c r="Q686" i="9"/>
  <c r="I686" i="9"/>
  <c r="K686" i="9" s="1"/>
  <c r="L686" i="9" s="1"/>
  <c r="AM685" i="9"/>
  <c r="AN685" i="9" s="1"/>
  <c r="AF685" i="9"/>
  <c r="AB685" i="9"/>
  <c r="AK685" i="9" s="1"/>
  <c r="AL685" i="9" s="1"/>
  <c r="V685" i="9"/>
  <c r="R685" i="9"/>
  <c r="K685" i="9"/>
  <c r="L685" i="9" s="1"/>
  <c r="I685" i="9"/>
  <c r="AM684" i="9"/>
  <c r="AN684" i="9" s="1"/>
  <c r="AL684" i="9"/>
  <c r="AK684" i="9"/>
  <c r="I684" i="9"/>
  <c r="K684" i="9" s="1"/>
  <c r="L684" i="9" s="1"/>
  <c r="AM683" i="9"/>
  <c r="AN683" i="9" s="1"/>
  <c r="AK683" i="9"/>
  <c r="AL683" i="9" s="1"/>
  <c r="I683" i="9"/>
  <c r="K683" i="9" s="1"/>
  <c r="L683" i="9" s="1"/>
  <c r="AM682" i="9"/>
  <c r="AN682" i="9" s="1"/>
  <c r="AL682" i="9"/>
  <c r="AK682" i="9"/>
  <c r="I682" i="9"/>
  <c r="K682" i="9" s="1"/>
  <c r="L682" i="9" s="1"/>
  <c r="AM681" i="9"/>
  <c r="AN681" i="9" s="1"/>
  <c r="AF681" i="9"/>
  <c r="AB681" i="9"/>
  <c r="V681" i="9"/>
  <c r="R681" i="9"/>
  <c r="I681" i="9"/>
  <c r="K681" i="9" s="1"/>
  <c r="L681" i="9" s="1"/>
  <c r="AM680" i="9"/>
  <c r="AN680" i="9" s="1"/>
  <c r="AF680" i="9"/>
  <c r="AB680" i="9"/>
  <c r="V680" i="9"/>
  <c r="R680" i="9"/>
  <c r="AK680" i="9" s="1"/>
  <c r="AL680" i="9" s="1"/>
  <c r="I680" i="9"/>
  <c r="K680" i="9" s="1"/>
  <c r="L680" i="9" s="1"/>
  <c r="AM679" i="9"/>
  <c r="AN679" i="9" s="1"/>
  <c r="AF679" i="9"/>
  <c r="AB679" i="9"/>
  <c r="V679" i="9"/>
  <c r="R679" i="9"/>
  <c r="I679" i="9"/>
  <c r="K679" i="9" s="1"/>
  <c r="L679" i="9" s="1"/>
  <c r="AM678" i="9"/>
  <c r="AN678" i="9" s="1"/>
  <c r="AF678" i="9"/>
  <c r="AB678" i="9"/>
  <c r="V678" i="9"/>
  <c r="R678" i="9"/>
  <c r="I678" i="9"/>
  <c r="K678" i="9" s="1"/>
  <c r="L678" i="9" s="1"/>
  <c r="AM677" i="9"/>
  <c r="AN677" i="9" s="1"/>
  <c r="AF677" i="9"/>
  <c r="AB677" i="9"/>
  <c r="V677" i="9"/>
  <c r="R677" i="9"/>
  <c r="AK677" i="9" s="1"/>
  <c r="AL677" i="9" s="1"/>
  <c r="K677" i="9"/>
  <c r="L677" i="9" s="1"/>
  <c r="I677" i="9"/>
  <c r="AM676" i="9"/>
  <c r="AN676" i="9" s="1"/>
  <c r="AF676" i="9"/>
  <c r="AB676" i="9"/>
  <c r="V676" i="9"/>
  <c r="R676" i="9"/>
  <c r="I676" i="9"/>
  <c r="K676" i="9" s="1"/>
  <c r="L676" i="9" s="1"/>
  <c r="AM675" i="9"/>
  <c r="AN675" i="9" s="1"/>
  <c r="AF675" i="9"/>
  <c r="AB675" i="9"/>
  <c r="V675" i="9"/>
  <c r="R675" i="9"/>
  <c r="I675" i="9"/>
  <c r="K675" i="9" s="1"/>
  <c r="L675" i="9" s="1"/>
  <c r="AM674" i="9"/>
  <c r="AN674" i="9" s="1"/>
  <c r="AF674" i="9"/>
  <c r="AB674" i="9"/>
  <c r="V674" i="9"/>
  <c r="R674" i="9"/>
  <c r="K674" i="9"/>
  <c r="L674" i="9" s="1"/>
  <c r="I674" i="9"/>
  <c r="AM673" i="9"/>
  <c r="AN673" i="9" s="1"/>
  <c r="AF673" i="9"/>
  <c r="AB673" i="9"/>
  <c r="V673" i="9"/>
  <c r="R673" i="9"/>
  <c r="I673" i="9"/>
  <c r="K673" i="9" s="1"/>
  <c r="L673" i="9" s="1"/>
  <c r="AM672" i="9"/>
  <c r="AN672" i="9" s="1"/>
  <c r="AF672" i="9"/>
  <c r="AB672" i="9"/>
  <c r="V672" i="9"/>
  <c r="R672" i="9"/>
  <c r="I672" i="9"/>
  <c r="K672" i="9" s="1"/>
  <c r="L672" i="9" s="1"/>
  <c r="AN671" i="9"/>
  <c r="AM671" i="9"/>
  <c r="AF671" i="9"/>
  <c r="AB671" i="9"/>
  <c r="V671" i="9"/>
  <c r="R671" i="9"/>
  <c r="I671" i="9"/>
  <c r="K671" i="9" s="1"/>
  <c r="L671" i="9" s="1"/>
  <c r="AM670" i="9"/>
  <c r="AN670" i="9" s="1"/>
  <c r="AF670" i="9"/>
  <c r="AB670" i="9"/>
  <c r="V670" i="9"/>
  <c r="R670" i="9"/>
  <c r="AK670" i="9" s="1"/>
  <c r="AL670" i="9" s="1"/>
  <c r="I670" i="9"/>
  <c r="K670" i="9" s="1"/>
  <c r="L670" i="9" s="1"/>
  <c r="AM669" i="9"/>
  <c r="AN669" i="9" s="1"/>
  <c r="AF669" i="9"/>
  <c r="AB669" i="9"/>
  <c r="V669" i="9"/>
  <c r="R669" i="9"/>
  <c r="I669" i="9"/>
  <c r="K669" i="9" s="1"/>
  <c r="L669" i="9" s="1"/>
  <c r="AM668" i="9"/>
  <c r="AN668" i="9" s="1"/>
  <c r="AK668" i="9"/>
  <c r="AL668" i="9" s="1"/>
  <c r="I668" i="9"/>
  <c r="K668" i="9" s="1"/>
  <c r="L668" i="9" s="1"/>
  <c r="AN667" i="9"/>
  <c r="AM667" i="9"/>
  <c r="AF667" i="9"/>
  <c r="AB667" i="9"/>
  <c r="V667" i="9"/>
  <c r="R667" i="9"/>
  <c r="AK667" i="9" s="1"/>
  <c r="AL667" i="9" s="1"/>
  <c r="I667" i="9"/>
  <c r="K667" i="9" s="1"/>
  <c r="L667" i="9" s="1"/>
  <c r="AM666" i="9"/>
  <c r="AN666" i="9" s="1"/>
  <c r="AK666" i="9"/>
  <c r="AL666" i="9" s="1"/>
  <c r="I666" i="9"/>
  <c r="K666" i="9" s="1"/>
  <c r="L666" i="9" s="1"/>
  <c r="AN665" i="9"/>
  <c r="AM665" i="9"/>
  <c r="AF665" i="9"/>
  <c r="AB665" i="9"/>
  <c r="V665" i="9"/>
  <c r="R665" i="9"/>
  <c r="I665" i="9"/>
  <c r="K665" i="9" s="1"/>
  <c r="L665" i="9" s="1"/>
  <c r="AN664" i="9"/>
  <c r="AM664" i="9"/>
  <c r="AK664" i="9"/>
  <c r="AL664" i="9" s="1"/>
  <c r="I664" i="9"/>
  <c r="K664" i="9" s="1"/>
  <c r="L664" i="9" s="1"/>
  <c r="AM663" i="9"/>
  <c r="AN663" i="9" s="1"/>
  <c r="AL663" i="9"/>
  <c r="AK663" i="9"/>
  <c r="I663" i="9"/>
  <c r="K663" i="9" s="1"/>
  <c r="L663" i="9" s="1"/>
  <c r="AM662" i="9"/>
  <c r="AN662" i="9" s="1"/>
  <c r="AK662" i="9"/>
  <c r="AL662" i="9" s="1"/>
  <c r="I662" i="9"/>
  <c r="K662" i="9" s="1"/>
  <c r="L662" i="9" s="1"/>
  <c r="AM661" i="9"/>
  <c r="AN661" i="9" s="1"/>
  <c r="AK661" i="9"/>
  <c r="AL661" i="9" s="1"/>
  <c r="I661" i="9"/>
  <c r="K661" i="9" s="1"/>
  <c r="L661" i="9" s="1"/>
  <c r="AM660" i="9"/>
  <c r="AN660" i="9" s="1"/>
  <c r="AK660" i="9"/>
  <c r="AL660" i="9" s="1"/>
  <c r="I660" i="9"/>
  <c r="K660" i="9" s="1"/>
  <c r="L660" i="9" s="1"/>
  <c r="AN659" i="9"/>
  <c r="AM659" i="9"/>
  <c r="AK659" i="9"/>
  <c r="AL659" i="9" s="1"/>
  <c r="I659" i="9"/>
  <c r="K659" i="9" s="1"/>
  <c r="L659" i="9" s="1"/>
  <c r="AF658" i="9"/>
  <c r="AE658" i="9"/>
  <c r="AB658" i="9"/>
  <c r="AA658" i="9"/>
  <c r="V658" i="9"/>
  <c r="AK658" i="9" s="1"/>
  <c r="AL658" i="9" s="1"/>
  <c r="U658" i="9"/>
  <c r="R658" i="9"/>
  <c r="Q658" i="9"/>
  <c r="K658" i="9"/>
  <c r="L658" i="9" s="1"/>
  <c r="I658" i="9"/>
  <c r="AM657" i="9"/>
  <c r="AN657" i="9" s="1"/>
  <c r="AL657" i="9"/>
  <c r="AK657" i="9"/>
  <c r="I657" i="9"/>
  <c r="K657" i="9" s="1"/>
  <c r="L657" i="9" s="1"/>
  <c r="AM656" i="9"/>
  <c r="AN656" i="9" s="1"/>
  <c r="AK656" i="9"/>
  <c r="AL656" i="9" s="1"/>
  <c r="K656" i="9"/>
  <c r="L656" i="9" s="1"/>
  <c r="I656" i="9"/>
  <c r="AN655" i="9"/>
  <c r="AM655" i="9"/>
  <c r="AF655" i="9"/>
  <c r="AB655" i="9"/>
  <c r="V655" i="9"/>
  <c r="R655" i="9"/>
  <c r="AK655" i="9" s="1"/>
  <c r="AL655" i="9" s="1"/>
  <c r="I655" i="9"/>
  <c r="K655" i="9" s="1"/>
  <c r="L655" i="9" s="1"/>
  <c r="AM654" i="9"/>
  <c r="AN654" i="9" s="1"/>
  <c r="AK654" i="9"/>
  <c r="AL654" i="9" s="1"/>
  <c r="AB654" i="9"/>
  <c r="I654" i="9"/>
  <c r="K654" i="9" s="1"/>
  <c r="L654" i="9" s="1"/>
  <c r="AN653" i="9"/>
  <c r="AM653" i="9"/>
  <c r="AK653" i="9"/>
  <c r="AL653" i="9" s="1"/>
  <c r="I653" i="9"/>
  <c r="K653" i="9" s="1"/>
  <c r="L653" i="9" s="1"/>
  <c r="AN652" i="9"/>
  <c r="AM652" i="9"/>
  <c r="AK652" i="9"/>
  <c r="AL652" i="9" s="1"/>
  <c r="K652" i="9"/>
  <c r="L652" i="9" s="1"/>
  <c r="I652" i="9"/>
  <c r="AM651" i="9"/>
  <c r="AN651" i="9" s="1"/>
  <c r="AK651" i="9"/>
  <c r="AL651" i="9" s="1"/>
  <c r="K651" i="9"/>
  <c r="L651" i="9" s="1"/>
  <c r="I651" i="9"/>
  <c r="AM650" i="9"/>
  <c r="AN650" i="9" s="1"/>
  <c r="AK650" i="9"/>
  <c r="AL650" i="9" s="1"/>
  <c r="I650" i="9"/>
  <c r="K650" i="9" s="1"/>
  <c r="L650" i="9" s="1"/>
  <c r="AM649" i="9"/>
  <c r="AN649" i="9" s="1"/>
  <c r="AF649" i="9"/>
  <c r="AB649" i="9"/>
  <c r="V649" i="9"/>
  <c r="R649" i="9"/>
  <c r="I649" i="9"/>
  <c r="K649" i="9" s="1"/>
  <c r="L649" i="9" s="1"/>
  <c r="AN648" i="9"/>
  <c r="AM648" i="9"/>
  <c r="AK648" i="9"/>
  <c r="AL648" i="9" s="1"/>
  <c r="I648" i="9"/>
  <c r="K648" i="9" s="1"/>
  <c r="L648" i="9" s="1"/>
  <c r="AF647" i="9"/>
  <c r="AE647" i="9"/>
  <c r="AB647" i="9"/>
  <c r="AA647" i="9"/>
  <c r="V647" i="9"/>
  <c r="U647" i="9"/>
  <c r="R647" i="9"/>
  <c r="Q647" i="9"/>
  <c r="K647" i="9"/>
  <c r="L647" i="9" s="1"/>
  <c r="I647" i="9"/>
  <c r="AF646" i="9"/>
  <c r="AE646" i="9"/>
  <c r="AB646" i="9"/>
  <c r="AA646" i="9"/>
  <c r="V646" i="9"/>
  <c r="U646" i="9"/>
  <c r="R646" i="9"/>
  <c r="Q646" i="9"/>
  <c r="I646" i="9"/>
  <c r="K646" i="9" s="1"/>
  <c r="L646" i="9" s="1"/>
  <c r="AM645" i="9"/>
  <c r="AN645" i="9" s="1"/>
  <c r="AF645" i="9"/>
  <c r="AB645" i="9"/>
  <c r="V645" i="9"/>
  <c r="R645" i="9"/>
  <c r="I645" i="9"/>
  <c r="K645" i="9" s="1"/>
  <c r="L645" i="9" s="1"/>
  <c r="AM644" i="9"/>
  <c r="AN644" i="9" s="1"/>
  <c r="AK644" i="9"/>
  <c r="AL644" i="9" s="1"/>
  <c r="K644" i="9"/>
  <c r="L644" i="9" s="1"/>
  <c r="I644" i="9"/>
  <c r="AM643" i="9"/>
  <c r="AN643" i="9" s="1"/>
  <c r="AF643" i="9"/>
  <c r="AB643" i="9"/>
  <c r="V643" i="9"/>
  <c r="R643" i="9"/>
  <c r="I643" i="9"/>
  <c r="K643" i="9" s="1"/>
  <c r="L643" i="9" s="1"/>
  <c r="AM642" i="9"/>
  <c r="AN642" i="9" s="1"/>
  <c r="AK642" i="9"/>
  <c r="AL642" i="9" s="1"/>
  <c r="K642" i="9"/>
  <c r="L642" i="9" s="1"/>
  <c r="I642" i="9"/>
  <c r="AM641" i="9"/>
  <c r="AN641" i="9" s="1"/>
  <c r="AL641" i="9"/>
  <c r="AK641" i="9"/>
  <c r="I641" i="9"/>
  <c r="K641" i="9" s="1"/>
  <c r="L641" i="9" s="1"/>
  <c r="AM640" i="9"/>
  <c r="AN640" i="9" s="1"/>
  <c r="AK640" i="9"/>
  <c r="AL640" i="9" s="1"/>
  <c r="I640" i="9"/>
  <c r="K640" i="9" s="1"/>
  <c r="L640" i="9" s="1"/>
  <c r="AF639" i="9"/>
  <c r="AE639" i="9"/>
  <c r="AB639" i="9"/>
  <c r="AA639" i="9"/>
  <c r="V639" i="9"/>
  <c r="U639" i="9"/>
  <c r="R639" i="9"/>
  <c r="Q639" i="9"/>
  <c r="I639" i="9"/>
  <c r="K639" i="9" s="1"/>
  <c r="L639" i="9" s="1"/>
  <c r="AM638" i="9"/>
  <c r="AN638" i="9" s="1"/>
  <c r="AF638" i="9"/>
  <c r="AB638" i="9"/>
  <c r="V638" i="9"/>
  <c r="R638" i="9"/>
  <c r="AK638" i="9" s="1"/>
  <c r="AL638" i="9" s="1"/>
  <c r="I638" i="9"/>
  <c r="K638" i="9" s="1"/>
  <c r="L638" i="9" s="1"/>
  <c r="AF637" i="9"/>
  <c r="AE637" i="9"/>
  <c r="AB637" i="9"/>
  <c r="AA637" i="9"/>
  <c r="V637" i="9"/>
  <c r="U637" i="9"/>
  <c r="R637" i="9"/>
  <c r="AK637" i="9" s="1"/>
  <c r="AL637" i="9" s="1"/>
  <c r="Q637" i="9"/>
  <c r="I637" i="9"/>
  <c r="K637" i="9" s="1"/>
  <c r="L637" i="9" s="1"/>
  <c r="AN636" i="9"/>
  <c r="AM636" i="9"/>
  <c r="AF636" i="9"/>
  <c r="AB636" i="9"/>
  <c r="V636" i="9"/>
  <c r="R636" i="9"/>
  <c r="AK636" i="9" s="1"/>
  <c r="AL636" i="9" s="1"/>
  <c r="I636" i="9"/>
  <c r="K636" i="9" s="1"/>
  <c r="L636" i="9" s="1"/>
  <c r="AM635" i="9"/>
  <c r="AN635" i="9" s="1"/>
  <c r="AK635" i="9"/>
  <c r="AL635" i="9" s="1"/>
  <c r="L635" i="9"/>
  <c r="I635" i="9"/>
  <c r="K635" i="9" s="1"/>
  <c r="AN634" i="9"/>
  <c r="AM634" i="9"/>
  <c r="AK634" i="9"/>
  <c r="AL634" i="9" s="1"/>
  <c r="I634" i="9"/>
  <c r="K634" i="9" s="1"/>
  <c r="L634" i="9" s="1"/>
  <c r="AF633" i="9"/>
  <c r="AE633" i="9"/>
  <c r="AB633" i="9"/>
  <c r="AA633" i="9"/>
  <c r="V633" i="9"/>
  <c r="U633" i="9"/>
  <c r="R633" i="9"/>
  <c r="Q633" i="9"/>
  <c r="K633" i="9"/>
  <c r="L633" i="9" s="1"/>
  <c r="I633" i="9"/>
  <c r="AN632" i="9"/>
  <c r="AM632" i="9"/>
  <c r="AK632" i="9"/>
  <c r="AL632" i="9" s="1"/>
  <c r="I632" i="9"/>
  <c r="K632" i="9" s="1"/>
  <c r="L632" i="9" s="1"/>
  <c r="AM631" i="9"/>
  <c r="AN631" i="9" s="1"/>
  <c r="AK631" i="9"/>
  <c r="AL631" i="9" s="1"/>
  <c r="I631" i="9"/>
  <c r="K631" i="9" s="1"/>
  <c r="L631" i="9" s="1"/>
  <c r="AM630" i="9"/>
  <c r="AN630" i="9" s="1"/>
  <c r="AL630" i="9"/>
  <c r="AK630" i="9"/>
  <c r="I630" i="9"/>
  <c r="K630" i="9" s="1"/>
  <c r="L630" i="9" s="1"/>
  <c r="AM629" i="9"/>
  <c r="AN629" i="9" s="1"/>
  <c r="AK629" i="9"/>
  <c r="AL629" i="9" s="1"/>
  <c r="K629" i="9"/>
  <c r="L629" i="9" s="1"/>
  <c r="I629" i="9"/>
  <c r="AM628" i="9"/>
  <c r="AN628" i="9" s="1"/>
  <c r="AK628" i="9"/>
  <c r="AL628" i="9" s="1"/>
  <c r="I628" i="9"/>
  <c r="K628" i="9" s="1"/>
  <c r="L628" i="9" s="1"/>
  <c r="AM627" i="9"/>
  <c r="AN627" i="9" s="1"/>
  <c r="AK627" i="9"/>
  <c r="AL627" i="9" s="1"/>
  <c r="I627" i="9"/>
  <c r="K627" i="9" s="1"/>
  <c r="L627" i="9" s="1"/>
  <c r="AM626" i="9"/>
  <c r="AN626" i="9" s="1"/>
  <c r="AF626" i="9"/>
  <c r="AB626" i="9"/>
  <c r="V626" i="9"/>
  <c r="R626" i="9"/>
  <c r="L626" i="9"/>
  <c r="I626" i="9"/>
  <c r="K626" i="9" s="1"/>
  <c r="AM625" i="9"/>
  <c r="AN625" i="9" s="1"/>
  <c r="AF625" i="9"/>
  <c r="AB625" i="9"/>
  <c r="V625" i="9"/>
  <c r="R625" i="9"/>
  <c r="I625" i="9"/>
  <c r="K625" i="9" s="1"/>
  <c r="L625" i="9" s="1"/>
  <c r="AM624" i="9"/>
  <c r="AN624" i="9" s="1"/>
  <c r="AF624" i="9"/>
  <c r="AB624" i="9"/>
  <c r="V624" i="9"/>
  <c r="R624" i="9"/>
  <c r="I624" i="9"/>
  <c r="K624" i="9" s="1"/>
  <c r="L624" i="9" s="1"/>
  <c r="AM623" i="9"/>
  <c r="AN623" i="9" s="1"/>
  <c r="AF623" i="9"/>
  <c r="AB623" i="9"/>
  <c r="V623" i="9"/>
  <c r="R623" i="9"/>
  <c r="I623" i="9"/>
  <c r="K623" i="9" s="1"/>
  <c r="L623" i="9" s="1"/>
  <c r="AM622" i="9"/>
  <c r="AN622" i="9" s="1"/>
  <c r="AF622" i="9"/>
  <c r="AB622" i="9"/>
  <c r="V622" i="9"/>
  <c r="R622" i="9"/>
  <c r="I622" i="9"/>
  <c r="K622" i="9" s="1"/>
  <c r="L622" i="9" s="1"/>
  <c r="AM621" i="9"/>
  <c r="AN621" i="9" s="1"/>
  <c r="AF621" i="9"/>
  <c r="AB621" i="9"/>
  <c r="V621" i="9"/>
  <c r="R621" i="9"/>
  <c r="I621" i="9"/>
  <c r="K621" i="9" s="1"/>
  <c r="L621" i="9" s="1"/>
  <c r="AM620" i="9"/>
  <c r="AN620" i="9" s="1"/>
  <c r="AK620" i="9"/>
  <c r="AL620" i="9" s="1"/>
  <c r="I620" i="9"/>
  <c r="K620" i="9" s="1"/>
  <c r="L620" i="9" s="1"/>
  <c r="AM619" i="9"/>
  <c r="AN619" i="9" s="1"/>
  <c r="AL619" i="9"/>
  <c r="AK619" i="9"/>
  <c r="I619" i="9"/>
  <c r="K619" i="9" s="1"/>
  <c r="L619" i="9" s="1"/>
  <c r="AN618" i="9"/>
  <c r="AM618" i="9"/>
  <c r="AK618" i="9"/>
  <c r="AL618" i="9" s="1"/>
  <c r="I618" i="9"/>
  <c r="K618" i="9" s="1"/>
  <c r="L618" i="9" s="1"/>
  <c r="AM617" i="9"/>
  <c r="AN617" i="9" s="1"/>
  <c r="AF617" i="9"/>
  <c r="AB617" i="9"/>
  <c r="V617" i="9"/>
  <c r="R617" i="9"/>
  <c r="K617" i="9"/>
  <c r="L617" i="9" s="1"/>
  <c r="I617" i="9"/>
  <c r="AN616" i="9"/>
  <c r="AM616" i="9"/>
  <c r="AF616" i="9"/>
  <c r="AB616" i="9"/>
  <c r="V616" i="9"/>
  <c r="R616" i="9"/>
  <c r="AK616" i="9" s="1"/>
  <c r="AL616" i="9" s="1"/>
  <c r="I616" i="9"/>
  <c r="K616" i="9" s="1"/>
  <c r="L616" i="9" s="1"/>
  <c r="AM615" i="9"/>
  <c r="AN615" i="9" s="1"/>
  <c r="AF615" i="9"/>
  <c r="AB615" i="9"/>
  <c r="V615" i="9"/>
  <c r="R615" i="9"/>
  <c r="L615" i="9"/>
  <c r="I615" i="9"/>
  <c r="K615" i="9" s="1"/>
  <c r="AM614" i="9"/>
  <c r="AN614" i="9" s="1"/>
  <c r="AK614" i="9"/>
  <c r="AL614" i="9" s="1"/>
  <c r="I614" i="9"/>
  <c r="K614" i="9" s="1"/>
  <c r="L614" i="9" s="1"/>
  <c r="AM613" i="9"/>
  <c r="AN613" i="9" s="1"/>
  <c r="AK613" i="9"/>
  <c r="AL613" i="9" s="1"/>
  <c r="K613" i="9"/>
  <c r="L613" i="9" s="1"/>
  <c r="I613" i="9"/>
  <c r="AM612" i="9"/>
  <c r="AN612" i="9" s="1"/>
  <c r="AK612" i="9"/>
  <c r="AL612" i="9" s="1"/>
  <c r="I612" i="9"/>
  <c r="K612" i="9" s="1"/>
  <c r="L612" i="9" s="1"/>
  <c r="AM611" i="9"/>
  <c r="AN611" i="9" s="1"/>
  <c r="AF611" i="9"/>
  <c r="AB611" i="9"/>
  <c r="V611" i="9"/>
  <c r="R611" i="9"/>
  <c r="I611" i="9"/>
  <c r="K611" i="9" s="1"/>
  <c r="L611" i="9" s="1"/>
  <c r="AM610" i="9"/>
  <c r="AN610" i="9" s="1"/>
  <c r="AK610" i="9"/>
  <c r="AL610" i="9" s="1"/>
  <c r="I610" i="9"/>
  <c r="K610" i="9" s="1"/>
  <c r="L610" i="9" s="1"/>
  <c r="AM609" i="9"/>
  <c r="AN609" i="9" s="1"/>
  <c r="AL609" i="9"/>
  <c r="AK609" i="9"/>
  <c r="I609" i="9"/>
  <c r="K609" i="9" s="1"/>
  <c r="L609" i="9" s="1"/>
  <c r="AM608" i="9"/>
  <c r="AN608" i="9" s="1"/>
  <c r="AF608" i="9"/>
  <c r="AB608" i="9"/>
  <c r="V608" i="9"/>
  <c r="R608" i="9"/>
  <c r="K608" i="9"/>
  <c r="L608" i="9" s="1"/>
  <c r="I608" i="9"/>
  <c r="AM607" i="9"/>
  <c r="AN607" i="9" s="1"/>
  <c r="AL607" i="9"/>
  <c r="AK607" i="9"/>
  <c r="I607" i="9"/>
  <c r="K607" i="9" s="1"/>
  <c r="L607" i="9" s="1"/>
  <c r="AM606" i="9"/>
  <c r="AN606" i="9" s="1"/>
  <c r="AF606" i="9"/>
  <c r="AB606" i="9"/>
  <c r="V606" i="9"/>
  <c r="R606" i="9"/>
  <c r="AK606" i="9" s="1"/>
  <c r="AL606" i="9" s="1"/>
  <c r="I606" i="9"/>
  <c r="K606" i="9" s="1"/>
  <c r="L606" i="9" s="1"/>
  <c r="AM605" i="9"/>
  <c r="AN605" i="9" s="1"/>
  <c r="AF605" i="9"/>
  <c r="AB605" i="9"/>
  <c r="V605" i="9"/>
  <c r="R605" i="9"/>
  <c r="K605" i="9"/>
  <c r="L605" i="9" s="1"/>
  <c r="I605" i="9"/>
  <c r="AM604" i="9"/>
  <c r="AN604" i="9" s="1"/>
  <c r="AK604" i="9"/>
  <c r="AL604" i="9" s="1"/>
  <c r="I604" i="9"/>
  <c r="K604" i="9" s="1"/>
  <c r="L604" i="9" s="1"/>
  <c r="AM603" i="9"/>
  <c r="AN603" i="9" s="1"/>
  <c r="AK603" i="9"/>
  <c r="AL603" i="9" s="1"/>
  <c r="K603" i="9"/>
  <c r="L603" i="9" s="1"/>
  <c r="I603" i="9"/>
  <c r="AM602" i="9"/>
  <c r="AN602" i="9" s="1"/>
  <c r="AF602" i="9"/>
  <c r="AB602" i="9"/>
  <c r="V602" i="9"/>
  <c r="R602" i="9"/>
  <c r="I602" i="9"/>
  <c r="K602" i="9" s="1"/>
  <c r="L602" i="9" s="1"/>
  <c r="AM601" i="9"/>
  <c r="AN601" i="9" s="1"/>
  <c r="AF601" i="9"/>
  <c r="AB601" i="9"/>
  <c r="V601" i="9"/>
  <c r="R601" i="9"/>
  <c r="I601" i="9"/>
  <c r="K601" i="9" s="1"/>
  <c r="L601" i="9" s="1"/>
  <c r="AF600" i="9"/>
  <c r="AE600" i="9"/>
  <c r="AB600" i="9"/>
  <c r="AA600" i="9"/>
  <c r="V600" i="9"/>
  <c r="U600" i="9"/>
  <c r="R600" i="9"/>
  <c r="Q600" i="9"/>
  <c r="I600" i="9"/>
  <c r="K600" i="9" s="1"/>
  <c r="L600" i="9" s="1"/>
  <c r="AN599" i="9"/>
  <c r="AM599" i="9"/>
  <c r="AF599" i="9"/>
  <c r="AB599" i="9"/>
  <c r="V599" i="9"/>
  <c r="R599" i="9"/>
  <c r="I599" i="9"/>
  <c r="K599" i="9" s="1"/>
  <c r="L599" i="9" s="1"/>
  <c r="AF598" i="9"/>
  <c r="AE598" i="9"/>
  <c r="AB598" i="9"/>
  <c r="AA598" i="9"/>
  <c r="V598" i="9"/>
  <c r="U598" i="9"/>
  <c r="R598" i="9"/>
  <c r="Q598" i="9"/>
  <c r="I598" i="9"/>
  <c r="K598" i="9" s="1"/>
  <c r="L598" i="9" s="1"/>
  <c r="AF597" i="9"/>
  <c r="AE597" i="9"/>
  <c r="AB597" i="9"/>
  <c r="AA597" i="9"/>
  <c r="V597" i="9"/>
  <c r="U597" i="9"/>
  <c r="R597" i="9"/>
  <c r="Q597" i="9"/>
  <c r="K597" i="9"/>
  <c r="L597" i="9" s="1"/>
  <c r="I597" i="9"/>
  <c r="AM596" i="9"/>
  <c r="AN596" i="9" s="1"/>
  <c r="AF596" i="9"/>
  <c r="AB596" i="9"/>
  <c r="V596" i="9"/>
  <c r="R596" i="9"/>
  <c r="I596" i="9"/>
  <c r="K596" i="9" s="1"/>
  <c r="L596" i="9" s="1"/>
  <c r="AN595" i="9"/>
  <c r="AM595" i="9"/>
  <c r="AF595" i="9"/>
  <c r="AB595" i="9"/>
  <c r="V595" i="9"/>
  <c r="R595" i="9"/>
  <c r="I595" i="9"/>
  <c r="K595" i="9" s="1"/>
  <c r="L595" i="9" s="1"/>
  <c r="AM594" i="9"/>
  <c r="AN594" i="9" s="1"/>
  <c r="AF594" i="9"/>
  <c r="AB594" i="9"/>
  <c r="V594" i="9"/>
  <c r="R594" i="9"/>
  <c r="I594" i="9"/>
  <c r="K594" i="9" s="1"/>
  <c r="L594" i="9" s="1"/>
  <c r="AF593" i="9"/>
  <c r="AE593" i="9"/>
  <c r="AB593" i="9"/>
  <c r="AA593" i="9"/>
  <c r="V593" i="9"/>
  <c r="U593" i="9"/>
  <c r="R593" i="9"/>
  <c r="Q593" i="9"/>
  <c r="I593" i="9"/>
  <c r="K593" i="9" s="1"/>
  <c r="L593" i="9" s="1"/>
  <c r="AF592" i="9"/>
  <c r="AE592" i="9"/>
  <c r="AB592" i="9"/>
  <c r="AA592" i="9"/>
  <c r="V592" i="9"/>
  <c r="U592" i="9"/>
  <c r="R592" i="9"/>
  <c r="Q592" i="9"/>
  <c r="I592" i="9"/>
  <c r="K592" i="9" s="1"/>
  <c r="L592" i="9" s="1"/>
  <c r="AF591" i="9"/>
  <c r="AE591" i="9"/>
  <c r="AB591" i="9"/>
  <c r="AA591" i="9"/>
  <c r="V591" i="9"/>
  <c r="AK591" i="9" s="1"/>
  <c r="AL591" i="9" s="1"/>
  <c r="U591" i="9"/>
  <c r="AM591" i="9" s="1"/>
  <c r="AN591" i="9" s="1"/>
  <c r="R591" i="9"/>
  <c r="Q591" i="9"/>
  <c r="I591" i="9"/>
  <c r="K591" i="9" s="1"/>
  <c r="L591" i="9" s="1"/>
  <c r="AN590" i="9"/>
  <c r="AM590" i="9"/>
  <c r="AK590" i="9"/>
  <c r="AL590" i="9" s="1"/>
  <c r="K590" i="9"/>
  <c r="L590" i="9" s="1"/>
  <c r="I590" i="9"/>
  <c r="AF589" i="9"/>
  <c r="AE589" i="9"/>
  <c r="AB589" i="9"/>
  <c r="AA589" i="9"/>
  <c r="V589" i="9"/>
  <c r="U589" i="9"/>
  <c r="R589" i="9"/>
  <c r="Q589" i="9"/>
  <c r="I589" i="9"/>
  <c r="K589" i="9" s="1"/>
  <c r="L589" i="9" s="1"/>
  <c r="AM588" i="9"/>
  <c r="AN588" i="9" s="1"/>
  <c r="AF588" i="9"/>
  <c r="AB588" i="9"/>
  <c r="V588" i="9"/>
  <c r="R588" i="9"/>
  <c r="AK588" i="9" s="1"/>
  <c r="AL588" i="9" s="1"/>
  <c r="I588" i="9"/>
  <c r="K588" i="9" s="1"/>
  <c r="L588" i="9" s="1"/>
  <c r="AM587" i="9"/>
  <c r="AN587" i="9" s="1"/>
  <c r="AK587" i="9"/>
  <c r="AL587" i="9" s="1"/>
  <c r="K587" i="9"/>
  <c r="L587" i="9" s="1"/>
  <c r="I587" i="9"/>
  <c r="AF586" i="9"/>
  <c r="AE586" i="9"/>
  <c r="AB586" i="9"/>
  <c r="AA586" i="9"/>
  <c r="V586" i="9"/>
  <c r="U586" i="9"/>
  <c r="R586" i="9"/>
  <c r="Q586" i="9"/>
  <c r="I586" i="9"/>
  <c r="K586" i="9" s="1"/>
  <c r="L586" i="9" s="1"/>
  <c r="AM585" i="9"/>
  <c r="AN585" i="9" s="1"/>
  <c r="AK585" i="9"/>
  <c r="AL585" i="9" s="1"/>
  <c r="L585" i="9"/>
  <c r="I585" i="9"/>
  <c r="K585" i="9" s="1"/>
  <c r="AM584" i="9"/>
  <c r="AN584" i="9" s="1"/>
  <c r="AF584" i="9"/>
  <c r="AB584" i="9"/>
  <c r="V584" i="9"/>
  <c r="R584" i="9"/>
  <c r="K584" i="9"/>
  <c r="L584" i="9" s="1"/>
  <c r="I584" i="9"/>
  <c r="AN583" i="9"/>
  <c r="AM583" i="9"/>
  <c r="AF583" i="9"/>
  <c r="AB583" i="9"/>
  <c r="V583" i="9"/>
  <c r="R583" i="9"/>
  <c r="I583" i="9"/>
  <c r="K583" i="9" s="1"/>
  <c r="L583" i="9" s="1"/>
  <c r="AM582" i="9"/>
  <c r="AN582" i="9" s="1"/>
  <c r="AK582" i="9"/>
  <c r="AL582" i="9" s="1"/>
  <c r="I582" i="9"/>
  <c r="K582" i="9" s="1"/>
  <c r="L582" i="9" s="1"/>
  <c r="AM581" i="9"/>
  <c r="AN581" i="9" s="1"/>
  <c r="AF581" i="9"/>
  <c r="AB581" i="9"/>
  <c r="V581" i="9"/>
  <c r="R581" i="9"/>
  <c r="I581" i="9"/>
  <c r="K581" i="9" s="1"/>
  <c r="L581" i="9" s="1"/>
  <c r="AM580" i="9"/>
  <c r="AN580" i="9" s="1"/>
  <c r="AK580" i="9"/>
  <c r="AL580" i="9" s="1"/>
  <c r="K580" i="9"/>
  <c r="L580" i="9" s="1"/>
  <c r="I580" i="9"/>
  <c r="AN579" i="9"/>
  <c r="AM579" i="9"/>
  <c r="AK579" i="9"/>
  <c r="AL579" i="9" s="1"/>
  <c r="L579" i="9"/>
  <c r="I579" i="9"/>
  <c r="K579" i="9" s="1"/>
  <c r="AN578" i="9"/>
  <c r="AM578" i="9"/>
  <c r="AK578" i="9"/>
  <c r="AL578" i="9" s="1"/>
  <c r="I578" i="9"/>
  <c r="K578" i="9" s="1"/>
  <c r="L578" i="9" s="1"/>
  <c r="AM577" i="9"/>
  <c r="AN577" i="9" s="1"/>
  <c r="AF577" i="9"/>
  <c r="AB577" i="9"/>
  <c r="V577" i="9"/>
  <c r="AK577" i="9" s="1"/>
  <c r="AL577" i="9" s="1"/>
  <c r="R577" i="9"/>
  <c r="I577" i="9"/>
  <c r="K577" i="9" s="1"/>
  <c r="L577" i="9" s="1"/>
  <c r="AM576" i="9"/>
  <c r="AN576" i="9" s="1"/>
  <c r="AK576" i="9"/>
  <c r="AL576" i="9" s="1"/>
  <c r="I576" i="9"/>
  <c r="K576" i="9" s="1"/>
  <c r="L576" i="9" s="1"/>
  <c r="AM575" i="9"/>
  <c r="AN575" i="9" s="1"/>
  <c r="AL575" i="9"/>
  <c r="AK575" i="9"/>
  <c r="I575" i="9"/>
  <c r="K575" i="9" s="1"/>
  <c r="L575" i="9" s="1"/>
  <c r="AM574" i="9"/>
  <c r="AN574" i="9" s="1"/>
  <c r="AK574" i="9"/>
  <c r="AL574" i="9" s="1"/>
  <c r="L574" i="9"/>
  <c r="I574" i="9"/>
  <c r="K574" i="9" s="1"/>
  <c r="AM573" i="9"/>
  <c r="AN573" i="9" s="1"/>
  <c r="AK573" i="9"/>
  <c r="AL573" i="9" s="1"/>
  <c r="I573" i="9"/>
  <c r="K573" i="9" s="1"/>
  <c r="L573" i="9" s="1"/>
  <c r="AN572" i="9"/>
  <c r="AM572" i="9"/>
  <c r="AF572" i="9"/>
  <c r="AB572" i="9"/>
  <c r="V572" i="9"/>
  <c r="R572" i="9"/>
  <c r="K572" i="9"/>
  <c r="L572" i="9" s="1"/>
  <c r="I572" i="9"/>
  <c r="AM571" i="9"/>
  <c r="AN571" i="9" s="1"/>
  <c r="AF571" i="9"/>
  <c r="AB571" i="9"/>
  <c r="V571" i="9"/>
  <c r="R571" i="9"/>
  <c r="AK571" i="9" s="1"/>
  <c r="AL571" i="9" s="1"/>
  <c r="I571" i="9"/>
  <c r="K571" i="9" s="1"/>
  <c r="L571" i="9" s="1"/>
  <c r="AN570" i="9"/>
  <c r="AM570" i="9"/>
  <c r="AK570" i="9"/>
  <c r="AL570" i="9" s="1"/>
  <c r="I570" i="9"/>
  <c r="K570" i="9" s="1"/>
  <c r="L570" i="9" s="1"/>
  <c r="AN569" i="9"/>
  <c r="AM569" i="9"/>
  <c r="AK569" i="9"/>
  <c r="AL569" i="9" s="1"/>
  <c r="K569" i="9"/>
  <c r="L569" i="9" s="1"/>
  <c r="I569" i="9"/>
  <c r="AM568" i="9"/>
  <c r="AN568" i="9" s="1"/>
  <c r="AF568" i="9"/>
  <c r="AB568" i="9"/>
  <c r="V568" i="9"/>
  <c r="R568" i="9"/>
  <c r="I568" i="9"/>
  <c r="K568" i="9" s="1"/>
  <c r="L568" i="9" s="1"/>
  <c r="AM567" i="9"/>
  <c r="AN567" i="9" s="1"/>
  <c r="AK567" i="9"/>
  <c r="AL567" i="9" s="1"/>
  <c r="K567" i="9"/>
  <c r="L567" i="9" s="1"/>
  <c r="I567" i="9"/>
  <c r="AM566" i="9"/>
  <c r="AN566" i="9" s="1"/>
  <c r="AK566" i="9"/>
  <c r="AL566" i="9" s="1"/>
  <c r="L566" i="9"/>
  <c r="K566" i="9"/>
  <c r="I566" i="9"/>
  <c r="AN565" i="9"/>
  <c r="AM565" i="9"/>
  <c r="AK565" i="9"/>
  <c r="AL565" i="9" s="1"/>
  <c r="AF565" i="9"/>
  <c r="AB565" i="9"/>
  <c r="V565" i="9"/>
  <c r="R565" i="9"/>
  <c r="K565" i="9"/>
  <c r="L565" i="9" s="1"/>
  <c r="I565" i="9"/>
  <c r="AF564" i="9"/>
  <c r="AE564" i="9"/>
  <c r="AB564" i="9"/>
  <c r="AA564" i="9"/>
  <c r="V564" i="9"/>
  <c r="U564" i="9"/>
  <c r="R564" i="9"/>
  <c r="Q564" i="9"/>
  <c r="I564" i="9"/>
  <c r="K564" i="9" s="1"/>
  <c r="L564" i="9" s="1"/>
  <c r="AM563" i="9"/>
  <c r="AN563" i="9" s="1"/>
  <c r="AK563" i="9"/>
  <c r="AL563" i="9" s="1"/>
  <c r="I563" i="9"/>
  <c r="K563" i="9" s="1"/>
  <c r="L563" i="9" s="1"/>
  <c r="AM562" i="9"/>
  <c r="AN562" i="9" s="1"/>
  <c r="AK562" i="9"/>
  <c r="AL562" i="9" s="1"/>
  <c r="I562" i="9"/>
  <c r="K562" i="9" s="1"/>
  <c r="L562" i="9" s="1"/>
  <c r="AF561" i="9"/>
  <c r="AK561" i="9" s="1"/>
  <c r="AL561" i="9" s="1"/>
  <c r="AE561" i="9"/>
  <c r="AB561" i="9"/>
  <c r="AA561" i="9"/>
  <c r="V561" i="9"/>
  <c r="U561" i="9"/>
  <c r="R561" i="9"/>
  <c r="Q561" i="9"/>
  <c r="I561" i="9"/>
  <c r="K561" i="9" s="1"/>
  <c r="L561" i="9" s="1"/>
  <c r="AM560" i="9"/>
  <c r="AN560" i="9" s="1"/>
  <c r="AL560" i="9"/>
  <c r="AK560" i="9"/>
  <c r="K560" i="9"/>
  <c r="L560" i="9" s="1"/>
  <c r="I560" i="9"/>
  <c r="AM559" i="9"/>
  <c r="AN559" i="9" s="1"/>
  <c r="AK559" i="9"/>
  <c r="AL559" i="9" s="1"/>
  <c r="I559" i="9"/>
  <c r="K559" i="9" s="1"/>
  <c r="L559" i="9" s="1"/>
  <c r="AM558" i="9"/>
  <c r="AN558" i="9" s="1"/>
  <c r="AK558" i="9"/>
  <c r="AL558" i="9" s="1"/>
  <c r="I558" i="9"/>
  <c r="K558" i="9" s="1"/>
  <c r="L558" i="9" s="1"/>
  <c r="AM557" i="9"/>
  <c r="AN557" i="9" s="1"/>
  <c r="AF557" i="9"/>
  <c r="AB557" i="9"/>
  <c r="V557" i="9"/>
  <c r="R557" i="9"/>
  <c r="K557" i="9"/>
  <c r="L557" i="9" s="1"/>
  <c r="I557" i="9"/>
  <c r="AF556" i="9"/>
  <c r="AE556" i="9"/>
  <c r="AB556" i="9"/>
  <c r="AA556" i="9"/>
  <c r="V556" i="9"/>
  <c r="U556" i="9"/>
  <c r="R556" i="9"/>
  <c r="Q556" i="9"/>
  <c r="I556" i="9"/>
  <c r="K556" i="9" s="1"/>
  <c r="L556" i="9" s="1"/>
  <c r="AN555" i="9"/>
  <c r="AM555" i="9"/>
  <c r="AF555" i="9"/>
  <c r="AB555" i="9"/>
  <c r="V555" i="9"/>
  <c r="R555" i="9"/>
  <c r="K555" i="9"/>
  <c r="L555" i="9" s="1"/>
  <c r="I555" i="9"/>
  <c r="AF554" i="9"/>
  <c r="AE554" i="9"/>
  <c r="AB554" i="9"/>
  <c r="AA554" i="9"/>
  <c r="V554" i="9"/>
  <c r="U554" i="9"/>
  <c r="R554" i="9"/>
  <c r="Q554" i="9"/>
  <c r="AM554" i="9" s="1"/>
  <c r="AN554" i="9" s="1"/>
  <c r="I554" i="9"/>
  <c r="K554" i="9" s="1"/>
  <c r="L554" i="9" s="1"/>
  <c r="AF553" i="9"/>
  <c r="AE553" i="9"/>
  <c r="AB553" i="9"/>
  <c r="AA553" i="9"/>
  <c r="AM553" i="9" s="1"/>
  <c r="AN553" i="9" s="1"/>
  <c r="V553" i="9"/>
  <c r="U553" i="9"/>
  <c r="R553" i="9"/>
  <c r="Q553" i="9"/>
  <c r="I553" i="9"/>
  <c r="K553" i="9" s="1"/>
  <c r="L553" i="9" s="1"/>
  <c r="AM552" i="9"/>
  <c r="AN552" i="9" s="1"/>
  <c r="AF552" i="9"/>
  <c r="AB552" i="9"/>
  <c r="V552" i="9"/>
  <c r="R552" i="9"/>
  <c r="L552" i="9"/>
  <c r="I552" i="9"/>
  <c r="K552" i="9" s="1"/>
  <c r="AN551" i="9"/>
  <c r="AM551" i="9"/>
  <c r="AK551" i="9"/>
  <c r="AL551" i="9" s="1"/>
  <c r="I551" i="9"/>
  <c r="K551" i="9" s="1"/>
  <c r="L551" i="9" s="1"/>
  <c r="AM550" i="9"/>
  <c r="AN550" i="9" s="1"/>
  <c r="AL550" i="9"/>
  <c r="AK550" i="9"/>
  <c r="I550" i="9"/>
  <c r="K550" i="9" s="1"/>
  <c r="L550" i="9" s="1"/>
  <c r="AM549" i="9"/>
  <c r="AN549" i="9" s="1"/>
  <c r="AK549" i="9"/>
  <c r="AL549" i="9" s="1"/>
  <c r="I549" i="9"/>
  <c r="K549" i="9" s="1"/>
  <c r="L549" i="9" s="1"/>
  <c r="AN548" i="9"/>
  <c r="AM548" i="9"/>
  <c r="AF548" i="9"/>
  <c r="AB548" i="9"/>
  <c r="V548" i="9"/>
  <c r="R548" i="9"/>
  <c r="I548" i="9"/>
  <c r="K548" i="9" s="1"/>
  <c r="L548" i="9" s="1"/>
  <c r="AM547" i="9"/>
  <c r="AN547" i="9" s="1"/>
  <c r="AK547" i="9"/>
  <c r="AL547" i="9" s="1"/>
  <c r="L547" i="9"/>
  <c r="I547" i="9"/>
  <c r="K547" i="9" s="1"/>
  <c r="AF546" i="9"/>
  <c r="AE546" i="9"/>
  <c r="AB546" i="9"/>
  <c r="AA546" i="9"/>
  <c r="V546" i="9"/>
  <c r="U546" i="9"/>
  <c r="R546" i="9"/>
  <c r="Q546" i="9"/>
  <c r="I546" i="9"/>
  <c r="K546" i="9" s="1"/>
  <c r="L546" i="9" s="1"/>
  <c r="AM545" i="9"/>
  <c r="AN545" i="9" s="1"/>
  <c r="AF545" i="9"/>
  <c r="AB545" i="9"/>
  <c r="V545" i="9"/>
  <c r="R545" i="9"/>
  <c r="AK545" i="9" s="1"/>
  <c r="AL545" i="9" s="1"/>
  <c r="I545" i="9"/>
  <c r="K545" i="9" s="1"/>
  <c r="L545" i="9" s="1"/>
  <c r="AF544" i="9"/>
  <c r="AK544" i="9" s="1"/>
  <c r="AL544" i="9" s="1"/>
  <c r="AE544" i="9"/>
  <c r="AB544" i="9"/>
  <c r="AA544" i="9"/>
  <c r="V544" i="9"/>
  <c r="U544" i="9"/>
  <c r="R544" i="9"/>
  <c r="Q544" i="9"/>
  <c r="I544" i="9"/>
  <c r="K544" i="9" s="1"/>
  <c r="L544" i="9" s="1"/>
  <c r="AM543" i="9"/>
  <c r="AN543" i="9" s="1"/>
  <c r="AK543" i="9"/>
  <c r="AL543" i="9" s="1"/>
  <c r="I543" i="9"/>
  <c r="K543" i="9" s="1"/>
  <c r="L543" i="9" s="1"/>
  <c r="AF542" i="9"/>
  <c r="AE542" i="9"/>
  <c r="AB542" i="9"/>
  <c r="AA542" i="9"/>
  <c r="V542" i="9"/>
  <c r="U542" i="9"/>
  <c r="R542" i="9"/>
  <c r="Q542" i="9"/>
  <c r="I542" i="9"/>
  <c r="K542" i="9" s="1"/>
  <c r="L542" i="9" s="1"/>
  <c r="AM541" i="9"/>
  <c r="AN541" i="9" s="1"/>
  <c r="AF541" i="9"/>
  <c r="AB541" i="9"/>
  <c r="V541" i="9"/>
  <c r="R541" i="9"/>
  <c r="I541" i="9"/>
  <c r="K541" i="9" s="1"/>
  <c r="L541" i="9" s="1"/>
  <c r="AM540" i="9"/>
  <c r="AN540" i="9" s="1"/>
  <c r="AF540" i="9"/>
  <c r="AB540" i="9"/>
  <c r="V540" i="9"/>
  <c r="R540" i="9"/>
  <c r="I540" i="9"/>
  <c r="K540" i="9" s="1"/>
  <c r="L540" i="9" s="1"/>
  <c r="AM539" i="9"/>
  <c r="AN539" i="9" s="1"/>
  <c r="AF539" i="9"/>
  <c r="AB539" i="9"/>
  <c r="V539" i="9"/>
  <c r="R539" i="9"/>
  <c r="AK539" i="9" s="1"/>
  <c r="AL539" i="9" s="1"/>
  <c r="L539" i="9"/>
  <c r="I539" i="9"/>
  <c r="K539" i="9" s="1"/>
  <c r="AN538" i="9"/>
  <c r="AM538" i="9"/>
  <c r="AF538" i="9"/>
  <c r="AB538" i="9"/>
  <c r="V538" i="9"/>
  <c r="R538" i="9"/>
  <c r="I538" i="9"/>
  <c r="K538" i="9" s="1"/>
  <c r="L538" i="9" s="1"/>
  <c r="AN537" i="9"/>
  <c r="AM537" i="9"/>
  <c r="AF537" i="9"/>
  <c r="AB537" i="9"/>
  <c r="V537" i="9"/>
  <c r="R537" i="9"/>
  <c r="I537" i="9"/>
  <c r="K537" i="9" s="1"/>
  <c r="L537" i="9" s="1"/>
  <c r="AM536" i="9"/>
  <c r="AN536" i="9" s="1"/>
  <c r="AF536" i="9"/>
  <c r="AB536" i="9"/>
  <c r="V536" i="9"/>
  <c r="R536" i="9"/>
  <c r="L536" i="9"/>
  <c r="I536" i="9"/>
  <c r="K536" i="9" s="1"/>
  <c r="AM535" i="9"/>
  <c r="AN535" i="9" s="1"/>
  <c r="AK535" i="9"/>
  <c r="AL535" i="9" s="1"/>
  <c r="I535" i="9"/>
  <c r="K535" i="9" s="1"/>
  <c r="L535" i="9" s="1"/>
  <c r="AM534" i="9"/>
  <c r="AN534" i="9" s="1"/>
  <c r="AF534" i="9"/>
  <c r="AB534" i="9"/>
  <c r="V534" i="9"/>
  <c r="R534" i="9"/>
  <c r="I534" i="9"/>
  <c r="K534" i="9" s="1"/>
  <c r="L534" i="9" s="1"/>
  <c r="AM533" i="9"/>
  <c r="AN533" i="9" s="1"/>
  <c r="AF533" i="9"/>
  <c r="AB533" i="9"/>
  <c r="V533" i="9"/>
  <c r="R533" i="9"/>
  <c r="I533" i="9"/>
  <c r="K533" i="9" s="1"/>
  <c r="L533" i="9" s="1"/>
  <c r="AN532" i="9"/>
  <c r="AM532" i="9"/>
  <c r="AK532" i="9"/>
  <c r="AL532" i="9" s="1"/>
  <c r="L532" i="9"/>
  <c r="I532" i="9"/>
  <c r="K532" i="9" s="1"/>
  <c r="AM531" i="9"/>
  <c r="AN531" i="9" s="1"/>
  <c r="AF531" i="9"/>
  <c r="AB531" i="9"/>
  <c r="V531" i="9"/>
  <c r="R531" i="9"/>
  <c r="I531" i="9"/>
  <c r="K531" i="9" s="1"/>
  <c r="L531" i="9" s="1"/>
  <c r="AM530" i="9"/>
  <c r="AN530" i="9" s="1"/>
  <c r="AF530" i="9"/>
  <c r="AB530" i="9"/>
  <c r="V530" i="9"/>
  <c r="R530" i="9"/>
  <c r="AK530" i="9" s="1"/>
  <c r="AL530" i="9" s="1"/>
  <c r="I530" i="9"/>
  <c r="K530" i="9" s="1"/>
  <c r="L530" i="9" s="1"/>
  <c r="AM529" i="9"/>
  <c r="AN529" i="9" s="1"/>
  <c r="AF529" i="9"/>
  <c r="AB529" i="9"/>
  <c r="V529" i="9"/>
  <c r="R529" i="9"/>
  <c r="I529" i="9"/>
  <c r="K529" i="9" s="1"/>
  <c r="L529" i="9" s="1"/>
  <c r="AM528" i="9"/>
  <c r="AN528" i="9" s="1"/>
  <c r="AF528" i="9"/>
  <c r="AB528" i="9"/>
  <c r="V528" i="9"/>
  <c r="R528" i="9"/>
  <c r="I528" i="9"/>
  <c r="K528" i="9" s="1"/>
  <c r="L528" i="9" s="1"/>
  <c r="AF527" i="9"/>
  <c r="AE527" i="9"/>
  <c r="AB527" i="9"/>
  <c r="AA527" i="9"/>
  <c r="V527" i="9"/>
  <c r="U527" i="9"/>
  <c r="R527" i="9"/>
  <c r="Q527" i="9"/>
  <c r="K527" i="9"/>
  <c r="L527" i="9" s="1"/>
  <c r="I527" i="9"/>
  <c r="AM526" i="9"/>
  <c r="AN526" i="9" s="1"/>
  <c r="AF526" i="9"/>
  <c r="AB526" i="9"/>
  <c r="V526" i="9"/>
  <c r="R526" i="9"/>
  <c r="I526" i="9"/>
  <c r="K526" i="9" s="1"/>
  <c r="L526" i="9" s="1"/>
  <c r="AF525" i="9"/>
  <c r="AE525" i="9"/>
  <c r="AB525" i="9"/>
  <c r="AA525" i="9"/>
  <c r="V525" i="9"/>
  <c r="AK525" i="9" s="1"/>
  <c r="AL525" i="9" s="1"/>
  <c r="U525" i="9"/>
  <c r="R525" i="9"/>
  <c r="Q525" i="9"/>
  <c r="I525" i="9"/>
  <c r="K525" i="9" s="1"/>
  <c r="L525" i="9" s="1"/>
  <c r="AF524" i="9"/>
  <c r="AE524" i="9"/>
  <c r="AB524" i="9"/>
  <c r="AA524" i="9"/>
  <c r="V524" i="9"/>
  <c r="U524" i="9"/>
  <c r="R524" i="9"/>
  <c r="Q524" i="9"/>
  <c r="I524" i="9"/>
  <c r="K524" i="9" s="1"/>
  <c r="L524" i="9" s="1"/>
  <c r="AF523" i="9"/>
  <c r="AE523" i="9"/>
  <c r="AM523" i="9" s="1"/>
  <c r="AN523" i="9" s="1"/>
  <c r="AB523" i="9"/>
  <c r="AA523" i="9"/>
  <c r="V523" i="9"/>
  <c r="U523" i="9"/>
  <c r="R523" i="9"/>
  <c r="Q523" i="9"/>
  <c r="I523" i="9"/>
  <c r="K523" i="9" s="1"/>
  <c r="L523" i="9" s="1"/>
  <c r="AF522" i="9"/>
  <c r="AE522" i="9"/>
  <c r="AM522" i="9" s="1"/>
  <c r="AN522" i="9" s="1"/>
  <c r="AB522" i="9"/>
  <c r="AA522" i="9"/>
  <c r="V522" i="9"/>
  <c r="U522" i="9"/>
  <c r="R522" i="9"/>
  <c r="Q522" i="9"/>
  <c r="I522" i="9"/>
  <c r="K522" i="9" s="1"/>
  <c r="L522" i="9" s="1"/>
  <c r="AM521" i="9"/>
  <c r="AN521" i="9" s="1"/>
  <c r="AF521" i="9"/>
  <c r="AB521" i="9"/>
  <c r="V521" i="9"/>
  <c r="R521" i="9"/>
  <c r="L521" i="9"/>
  <c r="I521" i="9"/>
  <c r="K521" i="9" s="1"/>
  <c r="AN520" i="9"/>
  <c r="AM520" i="9"/>
  <c r="AF520" i="9"/>
  <c r="AB520" i="9"/>
  <c r="V520" i="9"/>
  <c r="R520" i="9"/>
  <c r="AK520" i="9" s="1"/>
  <c r="AL520" i="9" s="1"/>
  <c r="K520" i="9"/>
  <c r="L520" i="9" s="1"/>
  <c r="I520" i="9"/>
  <c r="AF519" i="9"/>
  <c r="AE519" i="9"/>
  <c r="AB519" i="9"/>
  <c r="AA519" i="9"/>
  <c r="V519" i="9"/>
  <c r="U519" i="9"/>
  <c r="R519" i="9"/>
  <c r="Q519" i="9"/>
  <c r="I519" i="9"/>
  <c r="K519" i="9" s="1"/>
  <c r="L519" i="9" s="1"/>
  <c r="AM518" i="9"/>
  <c r="AN518" i="9" s="1"/>
  <c r="AF518" i="9"/>
  <c r="AB518" i="9"/>
  <c r="V518" i="9"/>
  <c r="R518" i="9"/>
  <c r="I518" i="9"/>
  <c r="K518" i="9" s="1"/>
  <c r="L518" i="9" s="1"/>
  <c r="AM517" i="9"/>
  <c r="AN517" i="9" s="1"/>
  <c r="AF517" i="9"/>
  <c r="AB517" i="9"/>
  <c r="V517" i="9"/>
  <c r="R517" i="9"/>
  <c r="I517" i="9"/>
  <c r="K517" i="9" s="1"/>
  <c r="L517" i="9" s="1"/>
  <c r="AF516" i="9"/>
  <c r="AE516" i="9"/>
  <c r="AB516" i="9"/>
  <c r="AA516" i="9"/>
  <c r="V516" i="9"/>
  <c r="U516" i="9"/>
  <c r="AM516" i="9" s="1"/>
  <c r="AN516" i="9" s="1"/>
  <c r="R516" i="9"/>
  <c r="Q516" i="9"/>
  <c r="K516" i="9"/>
  <c r="L516" i="9" s="1"/>
  <c r="I516" i="9"/>
  <c r="AN515" i="9"/>
  <c r="AM515" i="9"/>
  <c r="AF515" i="9"/>
  <c r="AB515" i="9"/>
  <c r="V515" i="9"/>
  <c r="R515" i="9"/>
  <c r="I515" i="9"/>
  <c r="K515" i="9" s="1"/>
  <c r="L515" i="9" s="1"/>
  <c r="AM514" i="9"/>
  <c r="AN514" i="9" s="1"/>
  <c r="AF514" i="9"/>
  <c r="AB514" i="9"/>
  <c r="V514" i="9"/>
  <c r="R514" i="9"/>
  <c r="L514" i="9"/>
  <c r="I514" i="9"/>
  <c r="K514" i="9" s="1"/>
  <c r="AF513" i="9"/>
  <c r="AE513" i="9"/>
  <c r="AB513" i="9"/>
  <c r="AA513" i="9"/>
  <c r="V513" i="9"/>
  <c r="U513" i="9"/>
  <c r="R513" i="9"/>
  <c r="Q513" i="9"/>
  <c r="L513" i="9"/>
  <c r="I513" i="9"/>
  <c r="K513" i="9" s="1"/>
  <c r="AN512" i="9"/>
  <c r="AM512" i="9"/>
  <c r="AF512" i="9"/>
  <c r="AB512" i="9"/>
  <c r="V512" i="9"/>
  <c r="R512" i="9"/>
  <c r="I512" i="9"/>
  <c r="K512" i="9" s="1"/>
  <c r="L512" i="9" s="1"/>
  <c r="AM511" i="9"/>
  <c r="AN511" i="9" s="1"/>
  <c r="AF511" i="9"/>
  <c r="I511" i="9"/>
  <c r="AM510" i="9"/>
  <c r="AN510" i="9" s="1"/>
  <c r="AK510" i="9"/>
  <c r="AL510" i="9" s="1"/>
  <c r="I510" i="9"/>
  <c r="K510" i="9" s="1"/>
  <c r="L510" i="9" s="1"/>
  <c r="AM509" i="9"/>
  <c r="AN509" i="9" s="1"/>
  <c r="AK509" i="9"/>
  <c r="AL509" i="9" s="1"/>
  <c r="I509" i="9"/>
  <c r="K509" i="9" s="1"/>
  <c r="L509" i="9" s="1"/>
  <c r="AM508" i="9"/>
  <c r="AN508" i="9" s="1"/>
  <c r="AF508" i="9"/>
  <c r="AB508" i="9"/>
  <c r="V508" i="9"/>
  <c r="AK508" i="9" s="1"/>
  <c r="AL508" i="9" s="1"/>
  <c r="R508" i="9"/>
  <c r="I508" i="9"/>
  <c r="K508" i="9" s="1"/>
  <c r="L508" i="9" s="1"/>
  <c r="AN507" i="9"/>
  <c r="AM507" i="9"/>
  <c r="AK507" i="9"/>
  <c r="AL507" i="9" s="1"/>
  <c r="AF507" i="9"/>
  <c r="AB507" i="9"/>
  <c r="V507" i="9"/>
  <c r="R507" i="9"/>
  <c r="I507" i="9"/>
  <c r="K507" i="9" s="1"/>
  <c r="L507" i="9" s="1"/>
  <c r="AF506" i="9"/>
  <c r="AE506" i="9"/>
  <c r="AB506" i="9"/>
  <c r="AA506" i="9"/>
  <c r="V506" i="9"/>
  <c r="U506" i="9"/>
  <c r="R506" i="9"/>
  <c r="Q506" i="9"/>
  <c r="K506" i="9"/>
  <c r="L506" i="9" s="1"/>
  <c r="I506" i="9"/>
  <c r="AF505" i="9"/>
  <c r="AE505" i="9"/>
  <c r="AB505" i="9"/>
  <c r="AA505" i="9"/>
  <c r="V505" i="9"/>
  <c r="U505" i="9"/>
  <c r="R505" i="9"/>
  <c r="Q505" i="9"/>
  <c r="I505" i="9"/>
  <c r="K505" i="9" s="1"/>
  <c r="L505" i="9" s="1"/>
  <c r="AM504" i="9"/>
  <c r="AN504" i="9" s="1"/>
  <c r="AF504" i="9"/>
  <c r="AB504" i="9"/>
  <c r="V504" i="9"/>
  <c r="R504" i="9"/>
  <c r="AK504" i="9" s="1"/>
  <c r="AL504" i="9" s="1"/>
  <c r="I504" i="9"/>
  <c r="K504" i="9" s="1"/>
  <c r="L504" i="9" s="1"/>
  <c r="AM503" i="9"/>
  <c r="AN503" i="9" s="1"/>
  <c r="AF503" i="9"/>
  <c r="AB503" i="9"/>
  <c r="V503" i="9"/>
  <c r="R503" i="9"/>
  <c r="AK503" i="9" s="1"/>
  <c r="AL503" i="9" s="1"/>
  <c r="I503" i="9"/>
  <c r="K503" i="9" s="1"/>
  <c r="L503" i="9" s="1"/>
  <c r="AN502" i="9"/>
  <c r="AM502" i="9"/>
  <c r="AK502" i="9"/>
  <c r="AL502" i="9" s="1"/>
  <c r="I502" i="9"/>
  <c r="K502" i="9" s="1"/>
  <c r="L502" i="9" s="1"/>
  <c r="AM501" i="9"/>
  <c r="AN501" i="9" s="1"/>
  <c r="AK501" i="9"/>
  <c r="AL501" i="9" s="1"/>
  <c r="K501" i="9"/>
  <c r="L501" i="9" s="1"/>
  <c r="I501" i="9"/>
  <c r="AM500" i="9"/>
  <c r="AN500" i="9" s="1"/>
  <c r="AK500" i="9"/>
  <c r="AL500" i="9" s="1"/>
  <c r="I500" i="9"/>
  <c r="R500" i="9" s="1"/>
  <c r="AM499" i="9"/>
  <c r="AN499" i="9" s="1"/>
  <c r="AK499" i="9"/>
  <c r="AL499" i="9" s="1"/>
  <c r="I499" i="9"/>
  <c r="K499" i="9" s="1"/>
  <c r="L499" i="9" s="1"/>
  <c r="AM498" i="9"/>
  <c r="AN498" i="9" s="1"/>
  <c r="AK498" i="9"/>
  <c r="AL498" i="9" s="1"/>
  <c r="L498" i="9"/>
  <c r="I498" i="9"/>
  <c r="K498" i="9" s="1"/>
  <c r="AM497" i="9"/>
  <c r="AN497" i="9" s="1"/>
  <c r="AK497" i="9"/>
  <c r="AL497" i="9" s="1"/>
  <c r="I497" i="9"/>
  <c r="K497" i="9" s="1"/>
  <c r="L497" i="9" s="1"/>
  <c r="AF496" i="9"/>
  <c r="AE496" i="9"/>
  <c r="AB496" i="9"/>
  <c r="AA496" i="9"/>
  <c r="V496" i="9"/>
  <c r="U496" i="9"/>
  <c r="R496" i="9"/>
  <c r="Q496" i="9"/>
  <c r="I496" i="9"/>
  <c r="K496" i="9" s="1"/>
  <c r="L496" i="9" s="1"/>
  <c r="AM495" i="9"/>
  <c r="AN495" i="9" s="1"/>
  <c r="AF495" i="9"/>
  <c r="AB495" i="9"/>
  <c r="V495" i="9"/>
  <c r="R495" i="9"/>
  <c r="I495" i="9"/>
  <c r="K495" i="9" s="1"/>
  <c r="L495" i="9" s="1"/>
  <c r="AN494" i="9"/>
  <c r="AM494" i="9"/>
  <c r="AK494" i="9"/>
  <c r="AL494" i="9" s="1"/>
  <c r="AB494" i="9"/>
  <c r="V494" i="9"/>
  <c r="R494" i="9"/>
  <c r="K494" i="9"/>
  <c r="L494" i="9" s="1"/>
  <c r="I494" i="9"/>
  <c r="AM493" i="9"/>
  <c r="AN493" i="9" s="1"/>
  <c r="AK493" i="9"/>
  <c r="AL493" i="9" s="1"/>
  <c r="K493" i="9"/>
  <c r="L493" i="9" s="1"/>
  <c r="I493" i="9"/>
  <c r="AN492" i="9"/>
  <c r="AM492" i="9"/>
  <c r="AK492" i="9"/>
  <c r="AL492" i="9" s="1"/>
  <c r="R492" i="9"/>
  <c r="I492" i="9"/>
  <c r="K492" i="9" s="1"/>
  <c r="L492" i="9" s="1"/>
  <c r="AM491" i="9"/>
  <c r="AN491" i="9" s="1"/>
  <c r="AF491" i="9"/>
  <c r="AB491" i="9"/>
  <c r="V491" i="9"/>
  <c r="R491" i="9"/>
  <c r="I491" i="9"/>
  <c r="K491" i="9" s="1"/>
  <c r="L491" i="9" s="1"/>
  <c r="AM490" i="9"/>
  <c r="AN490" i="9" s="1"/>
  <c r="AL490" i="9"/>
  <c r="AK490" i="9"/>
  <c r="L490" i="9"/>
  <c r="I490" i="9"/>
  <c r="K490" i="9" s="1"/>
  <c r="AM489" i="9"/>
  <c r="AN489" i="9" s="1"/>
  <c r="AL489" i="9"/>
  <c r="AK489" i="9"/>
  <c r="I489" i="9"/>
  <c r="K489" i="9" s="1"/>
  <c r="L489" i="9" s="1"/>
  <c r="AM488" i="9"/>
  <c r="AN488" i="9" s="1"/>
  <c r="AK488" i="9"/>
  <c r="AL488" i="9" s="1"/>
  <c r="K488" i="9"/>
  <c r="L488" i="9" s="1"/>
  <c r="I488" i="9"/>
  <c r="AN487" i="9"/>
  <c r="AM487" i="9"/>
  <c r="V487" i="9"/>
  <c r="R487" i="9"/>
  <c r="AK487" i="9" s="1"/>
  <c r="AL487" i="9" s="1"/>
  <c r="I487" i="9"/>
  <c r="K487" i="9" s="1"/>
  <c r="L487" i="9" s="1"/>
  <c r="AK486" i="9"/>
  <c r="AL486" i="9" s="1"/>
  <c r="AF486" i="9"/>
  <c r="AE486" i="9"/>
  <c r="AB486" i="9"/>
  <c r="AA486" i="9"/>
  <c r="V486" i="9"/>
  <c r="U486" i="9"/>
  <c r="R486" i="9"/>
  <c r="Q486" i="9"/>
  <c r="I486" i="9"/>
  <c r="K486" i="9" s="1"/>
  <c r="L486" i="9" s="1"/>
  <c r="AM485" i="9"/>
  <c r="AN485" i="9" s="1"/>
  <c r="AF485" i="9"/>
  <c r="AB485" i="9"/>
  <c r="V485" i="9"/>
  <c r="R485" i="9"/>
  <c r="K485" i="9"/>
  <c r="L485" i="9" s="1"/>
  <c r="I485" i="9"/>
  <c r="AM484" i="9"/>
  <c r="AN484" i="9" s="1"/>
  <c r="AF484" i="9"/>
  <c r="AB484" i="9"/>
  <c r="V484" i="9"/>
  <c r="R484" i="9"/>
  <c r="L484" i="9"/>
  <c r="I484" i="9"/>
  <c r="K484" i="9" s="1"/>
  <c r="AF483" i="9"/>
  <c r="AE483" i="9"/>
  <c r="AB483" i="9"/>
  <c r="AA483" i="9"/>
  <c r="V483" i="9"/>
  <c r="U483" i="9"/>
  <c r="R483" i="9"/>
  <c r="Q483" i="9"/>
  <c r="I483" i="9"/>
  <c r="K483" i="9" s="1"/>
  <c r="L483" i="9" s="1"/>
  <c r="AM482" i="9"/>
  <c r="AN482" i="9" s="1"/>
  <c r="AL482" i="9"/>
  <c r="AK482" i="9"/>
  <c r="K482" i="9"/>
  <c r="L482" i="9" s="1"/>
  <c r="I482" i="9"/>
  <c r="AM481" i="9"/>
  <c r="AN481" i="9" s="1"/>
  <c r="AF481" i="9"/>
  <c r="AB481" i="9"/>
  <c r="V481" i="9"/>
  <c r="R481" i="9"/>
  <c r="I481" i="9"/>
  <c r="K481" i="9" s="1"/>
  <c r="L481" i="9" s="1"/>
  <c r="AM480" i="9"/>
  <c r="AN480" i="9" s="1"/>
  <c r="AK480" i="9"/>
  <c r="AL480" i="9" s="1"/>
  <c r="I480" i="9"/>
  <c r="K480" i="9" s="1"/>
  <c r="L480" i="9" s="1"/>
  <c r="AM479" i="9"/>
  <c r="AN479" i="9" s="1"/>
  <c r="R479" i="9"/>
  <c r="AK479" i="9" s="1"/>
  <c r="AL479" i="9" s="1"/>
  <c r="K479" i="9"/>
  <c r="L479" i="9" s="1"/>
  <c r="I479" i="9"/>
  <c r="AM478" i="9"/>
  <c r="AN478" i="9" s="1"/>
  <c r="R478" i="9"/>
  <c r="AK478" i="9" s="1"/>
  <c r="AL478" i="9" s="1"/>
  <c r="I478" i="9"/>
  <c r="K478" i="9" s="1"/>
  <c r="L478" i="9" s="1"/>
  <c r="AM477" i="9"/>
  <c r="AN477" i="9" s="1"/>
  <c r="AL477" i="9"/>
  <c r="AK477" i="9"/>
  <c r="L477" i="9"/>
  <c r="I477" i="9"/>
  <c r="K477" i="9" s="1"/>
  <c r="AF476" i="9"/>
  <c r="AE476" i="9"/>
  <c r="AB476" i="9"/>
  <c r="AA476" i="9"/>
  <c r="V476" i="9"/>
  <c r="U476" i="9"/>
  <c r="R476" i="9"/>
  <c r="AK476" i="9" s="1"/>
  <c r="AL476" i="9" s="1"/>
  <c r="Q476" i="9"/>
  <c r="I476" i="9"/>
  <c r="K476" i="9" s="1"/>
  <c r="L476" i="9" s="1"/>
  <c r="AM475" i="9"/>
  <c r="AN475" i="9" s="1"/>
  <c r="AK475" i="9"/>
  <c r="AL475" i="9" s="1"/>
  <c r="K475" i="9"/>
  <c r="L475" i="9" s="1"/>
  <c r="I475" i="9"/>
  <c r="AM474" i="9"/>
  <c r="AN474" i="9" s="1"/>
  <c r="AK474" i="9"/>
  <c r="AL474" i="9" s="1"/>
  <c r="I474" i="9"/>
  <c r="K474" i="9" s="1"/>
  <c r="L474" i="9" s="1"/>
  <c r="AM473" i="9"/>
  <c r="AN473" i="9" s="1"/>
  <c r="AK473" i="9"/>
  <c r="AL473" i="9" s="1"/>
  <c r="I473" i="9"/>
  <c r="K473" i="9" s="1"/>
  <c r="L473" i="9" s="1"/>
  <c r="AM472" i="9"/>
  <c r="AN472" i="9" s="1"/>
  <c r="AK472" i="9"/>
  <c r="AL472" i="9" s="1"/>
  <c r="I472" i="9"/>
  <c r="K472" i="9" s="1"/>
  <c r="L472" i="9" s="1"/>
  <c r="AM471" i="9"/>
  <c r="AN471" i="9" s="1"/>
  <c r="AF471" i="9"/>
  <c r="AB471" i="9"/>
  <c r="V471" i="9"/>
  <c r="R471" i="9"/>
  <c r="AK471" i="9" s="1"/>
  <c r="AL471" i="9" s="1"/>
  <c r="I471" i="9"/>
  <c r="K471" i="9" s="1"/>
  <c r="L471" i="9" s="1"/>
  <c r="AM470" i="9"/>
  <c r="AN470" i="9" s="1"/>
  <c r="AK470" i="9"/>
  <c r="AL470" i="9" s="1"/>
  <c r="K470" i="9"/>
  <c r="L470" i="9" s="1"/>
  <c r="I470" i="9"/>
  <c r="AN469" i="9"/>
  <c r="AM469" i="9"/>
  <c r="AK469" i="9"/>
  <c r="AL469" i="9" s="1"/>
  <c r="I469" i="9"/>
  <c r="K469" i="9" s="1"/>
  <c r="L469" i="9" s="1"/>
  <c r="AM468" i="9"/>
  <c r="AN468" i="9" s="1"/>
  <c r="AK468" i="9"/>
  <c r="AL468" i="9" s="1"/>
  <c r="I468" i="9"/>
  <c r="K468" i="9" s="1"/>
  <c r="L468" i="9" s="1"/>
  <c r="AM467" i="9"/>
  <c r="AN467" i="9" s="1"/>
  <c r="AL467" i="9"/>
  <c r="AK467" i="9"/>
  <c r="K467" i="9"/>
  <c r="L467" i="9" s="1"/>
  <c r="I467" i="9"/>
  <c r="AM466" i="9"/>
  <c r="AN466" i="9" s="1"/>
  <c r="AK466" i="9"/>
  <c r="AL466" i="9" s="1"/>
  <c r="I466" i="9"/>
  <c r="K466" i="9" s="1"/>
  <c r="L466" i="9" s="1"/>
  <c r="AF465" i="9"/>
  <c r="AE465" i="9"/>
  <c r="AB465" i="9"/>
  <c r="AA465" i="9"/>
  <c r="V465" i="9"/>
  <c r="U465" i="9"/>
  <c r="R465" i="9"/>
  <c r="Q465" i="9"/>
  <c r="I465" i="9"/>
  <c r="K465" i="9" s="1"/>
  <c r="L465" i="9" s="1"/>
  <c r="AM464" i="9"/>
  <c r="AN464" i="9" s="1"/>
  <c r="AK464" i="9"/>
  <c r="AL464" i="9" s="1"/>
  <c r="I464" i="9"/>
  <c r="K464" i="9" s="1"/>
  <c r="L464" i="9" s="1"/>
  <c r="AM463" i="9"/>
  <c r="AN463" i="9" s="1"/>
  <c r="AL463" i="9"/>
  <c r="AK463" i="9"/>
  <c r="K463" i="9"/>
  <c r="L463" i="9" s="1"/>
  <c r="I463" i="9"/>
  <c r="AM462" i="9"/>
  <c r="AN462" i="9" s="1"/>
  <c r="AF462" i="9"/>
  <c r="AB462" i="9"/>
  <c r="AK462" i="9" s="1"/>
  <c r="AL462" i="9" s="1"/>
  <c r="V462" i="9"/>
  <c r="R462" i="9"/>
  <c r="I462" i="9"/>
  <c r="K462" i="9" s="1"/>
  <c r="L462" i="9" s="1"/>
  <c r="AM461" i="9"/>
  <c r="AN461" i="9" s="1"/>
  <c r="AK461" i="9"/>
  <c r="AL461" i="9" s="1"/>
  <c r="L461" i="9"/>
  <c r="I461" i="9"/>
  <c r="K461" i="9" s="1"/>
  <c r="AN460" i="9"/>
  <c r="AM460" i="9"/>
  <c r="AF460" i="9"/>
  <c r="AB460" i="9"/>
  <c r="V460" i="9"/>
  <c r="R460" i="9"/>
  <c r="I460" i="9"/>
  <c r="K460" i="9" s="1"/>
  <c r="L460" i="9" s="1"/>
  <c r="AM459" i="9"/>
  <c r="AN459" i="9" s="1"/>
  <c r="AK459" i="9"/>
  <c r="AL459" i="9" s="1"/>
  <c r="I459" i="9"/>
  <c r="K459" i="9" s="1"/>
  <c r="L459" i="9" s="1"/>
  <c r="AM458" i="9"/>
  <c r="AN458" i="9" s="1"/>
  <c r="AF458" i="9"/>
  <c r="AB458" i="9"/>
  <c r="V458" i="9"/>
  <c r="R458" i="9"/>
  <c r="I458" i="9"/>
  <c r="K458" i="9" s="1"/>
  <c r="L458" i="9" s="1"/>
  <c r="AM457" i="9"/>
  <c r="AN457" i="9" s="1"/>
  <c r="AK457" i="9"/>
  <c r="AL457" i="9" s="1"/>
  <c r="I457" i="9"/>
  <c r="K457" i="9" s="1"/>
  <c r="L457" i="9" s="1"/>
  <c r="AM456" i="9"/>
  <c r="AN456" i="9" s="1"/>
  <c r="AK456" i="9"/>
  <c r="AL456" i="9" s="1"/>
  <c r="I456" i="9"/>
  <c r="K456" i="9" s="1"/>
  <c r="L456" i="9" s="1"/>
  <c r="AM455" i="9"/>
  <c r="AN455" i="9" s="1"/>
  <c r="AF455" i="9"/>
  <c r="AB455" i="9"/>
  <c r="V455" i="9"/>
  <c r="R455" i="9"/>
  <c r="I455" i="9"/>
  <c r="K455" i="9" s="1"/>
  <c r="L455" i="9" s="1"/>
  <c r="AM454" i="9"/>
  <c r="AN454" i="9" s="1"/>
  <c r="AK454" i="9"/>
  <c r="AL454" i="9" s="1"/>
  <c r="L454" i="9"/>
  <c r="I454" i="9"/>
  <c r="K454" i="9" s="1"/>
  <c r="AM453" i="9"/>
  <c r="AN453" i="9" s="1"/>
  <c r="AF453" i="9"/>
  <c r="AB453" i="9"/>
  <c r="V453" i="9"/>
  <c r="R453" i="9"/>
  <c r="I453" i="9"/>
  <c r="K453" i="9" s="1"/>
  <c r="L453" i="9" s="1"/>
  <c r="AM452" i="9"/>
  <c r="AN452" i="9" s="1"/>
  <c r="AK452" i="9"/>
  <c r="AL452" i="9" s="1"/>
  <c r="R452" i="9"/>
  <c r="I452" i="9"/>
  <c r="K452" i="9" s="1"/>
  <c r="L452" i="9" s="1"/>
  <c r="AM451" i="9"/>
  <c r="AN451" i="9" s="1"/>
  <c r="AL451" i="9"/>
  <c r="AK451" i="9"/>
  <c r="K451" i="9"/>
  <c r="L451" i="9" s="1"/>
  <c r="I451" i="9"/>
  <c r="AM450" i="9"/>
  <c r="AN450" i="9" s="1"/>
  <c r="AK450" i="9"/>
  <c r="AL450" i="9" s="1"/>
  <c r="I450" i="9"/>
  <c r="K450" i="9" s="1"/>
  <c r="L450" i="9" s="1"/>
  <c r="AM449" i="9"/>
  <c r="AN449" i="9" s="1"/>
  <c r="AK449" i="9"/>
  <c r="AL449" i="9" s="1"/>
  <c r="K449" i="9"/>
  <c r="L449" i="9" s="1"/>
  <c r="I449" i="9"/>
  <c r="AN448" i="9"/>
  <c r="AM448" i="9"/>
  <c r="AK448" i="9"/>
  <c r="AL448" i="9" s="1"/>
  <c r="L448" i="9"/>
  <c r="I448" i="9"/>
  <c r="K448" i="9" s="1"/>
  <c r="AM447" i="9"/>
  <c r="AN447" i="9" s="1"/>
  <c r="AF447" i="9"/>
  <c r="AB447" i="9"/>
  <c r="V447" i="9"/>
  <c r="R447" i="9"/>
  <c r="AK447" i="9" s="1"/>
  <c r="AL447" i="9" s="1"/>
  <c r="I447" i="9"/>
  <c r="K447" i="9" s="1"/>
  <c r="L447" i="9" s="1"/>
  <c r="AM446" i="9"/>
  <c r="AN446" i="9" s="1"/>
  <c r="AF446" i="9"/>
  <c r="AB446" i="9"/>
  <c r="V446" i="9"/>
  <c r="R446" i="9"/>
  <c r="AK446" i="9" s="1"/>
  <c r="AL446" i="9" s="1"/>
  <c r="I446" i="9"/>
  <c r="K446" i="9" s="1"/>
  <c r="L446" i="9" s="1"/>
  <c r="AN445" i="9"/>
  <c r="AM445" i="9"/>
  <c r="AF445" i="9"/>
  <c r="AB445" i="9"/>
  <c r="V445" i="9"/>
  <c r="R445" i="9"/>
  <c r="I445" i="9"/>
  <c r="K445" i="9" s="1"/>
  <c r="L445" i="9" s="1"/>
  <c r="AM444" i="9"/>
  <c r="AN444" i="9" s="1"/>
  <c r="AK444" i="9"/>
  <c r="AL444" i="9" s="1"/>
  <c r="I444" i="9"/>
  <c r="K444" i="9" s="1"/>
  <c r="L444" i="9" s="1"/>
  <c r="AM443" i="9"/>
  <c r="AN443" i="9" s="1"/>
  <c r="AF443" i="9"/>
  <c r="AK443" i="9" s="1"/>
  <c r="AL443" i="9" s="1"/>
  <c r="AB443" i="9"/>
  <c r="V443" i="9"/>
  <c r="R443" i="9"/>
  <c r="I443" i="9"/>
  <c r="K443" i="9" s="1"/>
  <c r="L443" i="9" s="1"/>
  <c r="AN442" i="9"/>
  <c r="AM442" i="9"/>
  <c r="AF442" i="9"/>
  <c r="AB442" i="9"/>
  <c r="V442" i="9"/>
  <c r="R442" i="9"/>
  <c r="I442" i="9"/>
  <c r="K442" i="9" s="1"/>
  <c r="L442" i="9" s="1"/>
  <c r="AM441" i="9"/>
  <c r="AN441" i="9" s="1"/>
  <c r="AF441" i="9"/>
  <c r="AB441" i="9"/>
  <c r="V441" i="9"/>
  <c r="R441" i="9"/>
  <c r="L441" i="9"/>
  <c r="I441" i="9"/>
  <c r="K441" i="9" s="1"/>
  <c r="AN440" i="9"/>
  <c r="AM440" i="9"/>
  <c r="AF440" i="9"/>
  <c r="AB440" i="9"/>
  <c r="V440" i="9"/>
  <c r="R440" i="9"/>
  <c r="I440" i="9"/>
  <c r="K440" i="9" s="1"/>
  <c r="L440" i="9" s="1"/>
  <c r="AM439" i="9"/>
  <c r="AN439" i="9" s="1"/>
  <c r="AK439" i="9"/>
  <c r="AL439" i="9" s="1"/>
  <c r="I439" i="9"/>
  <c r="K439" i="9" s="1"/>
  <c r="L439" i="9" s="1"/>
  <c r="AM438" i="9"/>
  <c r="AN438" i="9" s="1"/>
  <c r="AL438" i="9"/>
  <c r="AK438" i="9"/>
  <c r="K438" i="9"/>
  <c r="L438" i="9" s="1"/>
  <c r="I438" i="9"/>
  <c r="AM437" i="9"/>
  <c r="AN437" i="9" s="1"/>
  <c r="AF437" i="9"/>
  <c r="AB437" i="9"/>
  <c r="V437" i="9"/>
  <c r="R437" i="9"/>
  <c r="L437" i="9"/>
  <c r="I437" i="9"/>
  <c r="K437" i="9" s="1"/>
  <c r="AN436" i="9"/>
  <c r="AM436" i="9"/>
  <c r="AF436" i="9"/>
  <c r="AB436" i="9"/>
  <c r="V436" i="9"/>
  <c r="R436" i="9"/>
  <c r="K436" i="9"/>
  <c r="L436" i="9" s="1"/>
  <c r="I436" i="9"/>
  <c r="AM435" i="9"/>
  <c r="AN435" i="9" s="1"/>
  <c r="AK435" i="9"/>
  <c r="AL435" i="9" s="1"/>
  <c r="I435" i="9"/>
  <c r="K435" i="9" s="1"/>
  <c r="L435" i="9" s="1"/>
  <c r="AN434" i="9"/>
  <c r="AM434" i="9"/>
  <c r="AF434" i="9"/>
  <c r="AB434" i="9"/>
  <c r="V434" i="9"/>
  <c r="R434" i="9"/>
  <c r="I434" i="9"/>
  <c r="K434" i="9" s="1"/>
  <c r="L434" i="9" s="1"/>
  <c r="AM433" i="9"/>
  <c r="AN433" i="9" s="1"/>
  <c r="AK433" i="9"/>
  <c r="AL433" i="9" s="1"/>
  <c r="I433" i="9"/>
  <c r="K433" i="9" s="1"/>
  <c r="L433" i="9" s="1"/>
  <c r="AM432" i="9"/>
  <c r="AN432" i="9" s="1"/>
  <c r="AK432" i="9"/>
  <c r="AL432" i="9" s="1"/>
  <c r="I432" i="9"/>
  <c r="K432" i="9" s="1"/>
  <c r="L432" i="9" s="1"/>
  <c r="AM431" i="9"/>
  <c r="AN431" i="9" s="1"/>
  <c r="AK431" i="9"/>
  <c r="AL431" i="9" s="1"/>
  <c r="I431" i="9"/>
  <c r="K431" i="9" s="1"/>
  <c r="L431" i="9" s="1"/>
  <c r="AM430" i="9"/>
  <c r="AN430" i="9" s="1"/>
  <c r="AK430" i="9"/>
  <c r="AL430" i="9" s="1"/>
  <c r="K430" i="9"/>
  <c r="L430" i="9" s="1"/>
  <c r="I430" i="9"/>
  <c r="AN429" i="9"/>
  <c r="AM429" i="9"/>
  <c r="AK429" i="9"/>
  <c r="AL429" i="9" s="1"/>
  <c r="I429" i="9"/>
  <c r="K429" i="9" s="1"/>
  <c r="L429" i="9" s="1"/>
  <c r="AM428" i="9"/>
  <c r="AN428" i="9" s="1"/>
  <c r="AK428" i="9"/>
  <c r="AL428" i="9" s="1"/>
  <c r="K428" i="9"/>
  <c r="L428" i="9" s="1"/>
  <c r="I428" i="9"/>
  <c r="AN427" i="9"/>
  <c r="AM427" i="9"/>
  <c r="AK427" i="9"/>
  <c r="AL427" i="9" s="1"/>
  <c r="I427" i="9"/>
  <c r="K427" i="9" s="1"/>
  <c r="L427" i="9" s="1"/>
  <c r="AM426" i="9"/>
  <c r="AN426" i="9" s="1"/>
  <c r="AK426" i="9"/>
  <c r="AL426" i="9" s="1"/>
  <c r="I426" i="9"/>
  <c r="K426" i="9" s="1"/>
  <c r="L426" i="9" s="1"/>
  <c r="AM425" i="9"/>
  <c r="AN425" i="9" s="1"/>
  <c r="AK425" i="9"/>
  <c r="AL425" i="9" s="1"/>
  <c r="L425" i="9"/>
  <c r="I425" i="9"/>
  <c r="K425" i="9" s="1"/>
  <c r="AM424" i="9"/>
  <c r="AN424" i="9" s="1"/>
  <c r="AK424" i="9"/>
  <c r="AL424" i="9" s="1"/>
  <c r="K424" i="9"/>
  <c r="L424" i="9" s="1"/>
  <c r="I424" i="9"/>
  <c r="AM423" i="9"/>
  <c r="AN423" i="9" s="1"/>
  <c r="AL423" i="9"/>
  <c r="AK423" i="9"/>
  <c r="I423" i="9"/>
  <c r="K423" i="9" s="1"/>
  <c r="L423" i="9" s="1"/>
  <c r="AM422" i="9"/>
  <c r="AN422" i="9" s="1"/>
  <c r="AK422" i="9"/>
  <c r="AL422" i="9" s="1"/>
  <c r="K422" i="9"/>
  <c r="L422" i="9" s="1"/>
  <c r="I422" i="9"/>
  <c r="AM421" i="9"/>
  <c r="AN421" i="9" s="1"/>
  <c r="AK421" i="9"/>
  <c r="AL421" i="9" s="1"/>
  <c r="I421" i="9"/>
  <c r="K421" i="9" s="1"/>
  <c r="L421" i="9" s="1"/>
  <c r="AM420" i="9"/>
  <c r="AN420" i="9" s="1"/>
  <c r="AK420" i="9"/>
  <c r="AL420" i="9" s="1"/>
  <c r="I420" i="9"/>
  <c r="K420" i="9" s="1"/>
  <c r="L420" i="9" s="1"/>
  <c r="AM419" i="9"/>
  <c r="AN419" i="9" s="1"/>
  <c r="AK419" i="9"/>
  <c r="AL419" i="9" s="1"/>
  <c r="I419" i="9"/>
  <c r="K419" i="9" s="1"/>
  <c r="L419" i="9" s="1"/>
  <c r="AM418" i="9"/>
  <c r="AN418" i="9" s="1"/>
  <c r="AK418" i="9"/>
  <c r="AL418" i="9" s="1"/>
  <c r="I418" i="9"/>
  <c r="K418" i="9" s="1"/>
  <c r="L418" i="9" s="1"/>
  <c r="AM417" i="9"/>
  <c r="AN417" i="9" s="1"/>
  <c r="AF417" i="9"/>
  <c r="AB417" i="9"/>
  <c r="V417" i="9"/>
  <c r="R417" i="9"/>
  <c r="L417" i="9"/>
  <c r="I417" i="9"/>
  <c r="K417" i="9" s="1"/>
  <c r="AM416" i="9"/>
  <c r="AN416" i="9" s="1"/>
  <c r="AK416" i="9"/>
  <c r="AL416" i="9" s="1"/>
  <c r="I416" i="9"/>
  <c r="K416" i="9" s="1"/>
  <c r="L416" i="9" s="1"/>
  <c r="AM415" i="9"/>
  <c r="AN415" i="9" s="1"/>
  <c r="AF415" i="9"/>
  <c r="AB415" i="9"/>
  <c r="V415" i="9"/>
  <c r="R415" i="9"/>
  <c r="I415" i="9"/>
  <c r="K415" i="9" s="1"/>
  <c r="L415" i="9" s="1"/>
  <c r="AN414" i="9"/>
  <c r="AM414" i="9"/>
  <c r="AK414" i="9"/>
  <c r="AL414" i="9" s="1"/>
  <c r="I414" i="9"/>
  <c r="K414" i="9" s="1"/>
  <c r="L414" i="9" s="1"/>
  <c r="AM413" i="9"/>
  <c r="AN413" i="9" s="1"/>
  <c r="AF413" i="9"/>
  <c r="AB413" i="9"/>
  <c r="V413" i="9"/>
  <c r="R413" i="9"/>
  <c r="I413" i="9"/>
  <c r="K413" i="9" s="1"/>
  <c r="L413" i="9" s="1"/>
  <c r="AN412" i="9"/>
  <c r="AM412" i="9"/>
  <c r="AK412" i="9"/>
  <c r="AL412" i="9" s="1"/>
  <c r="I412" i="9"/>
  <c r="K412" i="9" s="1"/>
  <c r="L412" i="9" s="1"/>
  <c r="AF411" i="9"/>
  <c r="AE411" i="9"/>
  <c r="AB411" i="9"/>
  <c r="AA411" i="9"/>
  <c r="V411" i="9"/>
  <c r="U411" i="9"/>
  <c r="R411" i="9"/>
  <c r="Q411" i="9"/>
  <c r="L411" i="9"/>
  <c r="I411" i="9"/>
  <c r="K411" i="9" s="1"/>
  <c r="AF410" i="9"/>
  <c r="AE410" i="9"/>
  <c r="AB410" i="9"/>
  <c r="AA410" i="9"/>
  <c r="V410" i="9"/>
  <c r="U410" i="9"/>
  <c r="R410" i="9"/>
  <c r="Q410" i="9"/>
  <c r="AM410" i="9" s="1"/>
  <c r="AN410" i="9" s="1"/>
  <c r="I410" i="9"/>
  <c r="K410" i="9" s="1"/>
  <c r="L410" i="9" s="1"/>
  <c r="AN409" i="9"/>
  <c r="AM409" i="9"/>
  <c r="AF409" i="9"/>
  <c r="AB409" i="9"/>
  <c r="V409" i="9"/>
  <c r="R409" i="9"/>
  <c r="I409" i="9"/>
  <c r="K409" i="9" s="1"/>
  <c r="L409" i="9" s="1"/>
  <c r="AM408" i="9"/>
  <c r="AN408" i="9" s="1"/>
  <c r="AK408" i="9"/>
  <c r="AL408" i="9" s="1"/>
  <c r="AF408" i="9"/>
  <c r="AB408" i="9"/>
  <c r="V408" i="9"/>
  <c r="R408" i="9"/>
  <c r="I408" i="9"/>
  <c r="K408" i="9" s="1"/>
  <c r="L408" i="9" s="1"/>
  <c r="AF407" i="9"/>
  <c r="AE407" i="9"/>
  <c r="AB407" i="9"/>
  <c r="AA407" i="9"/>
  <c r="V407" i="9"/>
  <c r="U407" i="9"/>
  <c r="R407" i="9"/>
  <c r="AK407" i="9" s="1"/>
  <c r="AL407" i="9" s="1"/>
  <c r="Q407" i="9"/>
  <c r="I407" i="9"/>
  <c r="K407" i="9" s="1"/>
  <c r="L407" i="9" s="1"/>
  <c r="AF406" i="9"/>
  <c r="AE406" i="9"/>
  <c r="AB406" i="9"/>
  <c r="AA406" i="9"/>
  <c r="V406" i="9"/>
  <c r="U406" i="9"/>
  <c r="R406" i="9"/>
  <c r="Q406" i="9"/>
  <c r="AM406" i="9" s="1"/>
  <c r="AN406" i="9" s="1"/>
  <c r="I406" i="9"/>
  <c r="K406" i="9" s="1"/>
  <c r="L406" i="9" s="1"/>
  <c r="AM405" i="9"/>
  <c r="AN405" i="9" s="1"/>
  <c r="AF405" i="9"/>
  <c r="AB405" i="9"/>
  <c r="V405" i="9"/>
  <c r="R405" i="9"/>
  <c r="L405" i="9"/>
  <c r="I405" i="9"/>
  <c r="K405" i="9" s="1"/>
  <c r="AM404" i="9"/>
  <c r="AN404" i="9" s="1"/>
  <c r="AF404" i="9"/>
  <c r="AB404" i="9"/>
  <c r="V404" i="9"/>
  <c r="R404" i="9"/>
  <c r="I404" i="9"/>
  <c r="K404" i="9" s="1"/>
  <c r="L404" i="9" s="1"/>
  <c r="AM403" i="9"/>
  <c r="AN403" i="9" s="1"/>
  <c r="AF403" i="9"/>
  <c r="AB403" i="9"/>
  <c r="V403" i="9"/>
  <c r="R403" i="9"/>
  <c r="I403" i="9"/>
  <c r="K403" i="9" s="1"/>
  <c r="L403" i="9" s="1"/>
  <c r="AM402" i="9"/>
  <c r="AN402" i="9" s="1"/>
  <c r="AF402" i="9"/>
  <c r="AB402" i="9"/>
  <c r="V402" i="9"/>
  <c r="R402" i="9"/>
  <c r="I402" i="9"/>
  <c r="K402" i="9" s="1"/>
  <c r="L402" i="9" s="1"/>
  <c r="AM401" i="9"/>
  <c r="AN401" i="9" s="1"/>
  <c r="AF401" i="9"/>
  <c r="AB401" i="9"/>
  <c r="V401" i="9"/>
  <c r="R401" i="9"/>
  <c r="I401" i="9"/>
  <c r="K401" i="9" s="1"/>
  <c r="L401" i="9" s="1"/>
  <c r="AM400" i="9"/>
  <c r="AN400" i="9" s="1"/>
  <c r="AF400" i="9"/>
  <c r="AB400" i="9"/>
  <c r="V400" i="9"/>
  <c r="R400" i="9"/>
  <c r="I400" i="9"/>
  <c r="K400" i="9" s="1"/>
  <c r="L400" i="9" s="1"/>
  <c r="AN399" i="9"/>
  <c r="AM399" i="9"/>
  <c r="AF399" i="9"/>
  <c r="AB399" i="9"/>
  <c r="V399" i="9"/>
  <c r="R399" i="9"/>
  <c r="AK399" i="9" s="1"/>
  <c r="AL399" i="9" s="1"/>
  <c r="K399" i="9"/>
  <c r="L399" i="9" s="1"/>
  <c r="I399" i="9"/>
  <c r="AN398" i="9"/>
  <c r="AM398" i="9"/>
  <c r="AF398" i="9"/>
  <c r="AB398" i="9"/>
  <c r="V398" i="9"/>
  <c r="R398" i="9"/>
  <c r="I398" i="9"/>
  <c r="K398" i="9" s="1"/>
  <c r="L398" i="9" s="1"/>
  <c r="AM397" i="9"/>
  <c r="AN397" i="9" s="1"/>
  <c r="AF397" i="9"/>
  <c r="AB397" i="9"/>
  <c r="V397" i="9"/>
  <c r="R397" i="9"/>
  <c r="AK397" i="9" s="1"/>
  <c r="AL397" i="9" s="1"/>
  <c r="I397" i="9"/>
  <c r="K397" i="9" s="1"/>
  <c r="L397" i="9" s="1"/>
  <c r="AN396" i="9"/>
  <c r="AM396" i="9"/>
  <c r="AK396" i="9"/>
  <c r="AL396" i="9" s="1"/>
  <c r="I396" i="9"/>
  <c r="K396" i="9" s="1"/>
  <c r="L396" i="9" s="1"/>
  <c r="AN395" i="9"/>
  <c r="AM395" i="9"/>
  <c r="AF395" i="9"/>
  <c r="AB395" i="9"/>
  <c r="AK395" i="9" s="1"/>
  <c r="AL395" i="9" s="1"/>
  <c r="V395" i="9"/>
  <c r="R395" i="9"/>
  <c r="I395" i="9"/>
  <c r="K395" i="9" s="1"/>
  <c r="L395" i="9" s="1"/>
  <c r="AM394" i="9"/>
  <c r="AN394" i="9" s="1"/>
  <c r="AF394" i="9"/>
  <c r="AB394" i="9"/>
  <c r="V394" i="9"/>
  <c r="R394" i="9"/>
  <c r="I394" i="9"/>
  <c r="K394" i="9" s="1"/>
  <c r="L394" i="9" s="1"/>
  <c r="AF393" i="9"/>
  <c r="AE393" i="9"/>
  <c r="AB393" i="9"/>
  <c r="AA393" i="9"/>
  <c r="V393" i="9"/>
  <c r="AK393" i="9" s="1"/>
  <c r="AL393" i="9" s="1"/>
  <c r="U393" i="9"/>
  <c r="R393" i="9"/>
  <c r="Q393" i="9"/>
  <c r="L393" i="9"/>
  <c r="I393" i="9"/>
  <c r="K393" i="9" s="1"/>
  <c r="AN392" i="9"/>
  <c r="AM392" i="9"/>
  <c r="AF392" i="9"/>
  <c r="AB392" i="9"/>
  <c r="V392" i="9"/>
  <c r="R392" i="9"/>
  <c r="I392" i="9"/>
  <c r="K392" i="9" s="1"/>
  <c r="L392" i="9" s="1"/>
  <c r="AF391" i="9"/>
  <c r="AE391" i="9"/>
  <c r="AB391" i="9"/>
  <c r="AA391" i="9"/>
  <c r="V391" i="9"/>
  <c r="AK391" i="9" s="1"/>
  <c r="AL391" i="9" s="1"/>
  <c r="U391" i="9"/>
  <c r="R391" i="9"/>
  <c r="Q391" i="9"/>
  <c r="I391" i="9"/>
  <c r="K391" i="9" s="1"/>
  <c r="L391" i="9" s="1"/>
  <c r="AM390" i="9"/>
  <c r="AN390" i="9" s="1"/>
  <c r="AF390" i="9"/>
  <c r="AB390" i="9"/>
  <c r="V390" i="9"/>
  <c r="R390" i="9"/>
  <c r="I390" i="9"/>
  <c r="K390" i="9" s="1"/>
  <c r="L390" i="9" s="1"/>
  <c r="AF389" i="9"/>
  <c r="AE389" i="9"/>
  <c r="AB389" i="9"/>
  <c r="AA389" i="9"/>
  <c r="V389" i="9"/>
  <c r="U389" i="9"/>
  <c r="R389" i="9"/>
  <c r="Q389" i="9"/>
  <c r="I389" i="9"/>
  <c r="K389" i="9" s="1"/>
  <c r="L389" i="9" s="1"/>
  <c r="AF388" i="9"/>
  <c r="AE388" i="9"/>
  <c r="AM388" i="9" s="1"/>
  <c r="AN388" i="9" s="1"/>
  <c r="AB388" i="9"/>
  <c r="AA388" i="9"/>
  <c r="V388" i="9"/>
  <c r="U388" i="9"/>
  <c r="R388" i="9"/>
  <c r="Q388" i="9"/>
  <c r="I388" i="9"/>
  <c r="K388" i="9" s="1"/>
  <c r="L388" i="9" s="1"/>
  <c r="AF387" i="9"/>
  <c r="AE387" i="9"/>
  <c r="AB387" i="9"/>
  <c r="AA387" i="9"/>
  <c r="V387" i="9"/>
  <c r="U387" i="9"/>
  <c r="R387" i="9"/>
  <c r="Q387" i="9"/>
  <c r="AM387" i="9" s="1"/>
  <c r="AN387" i="9" s="1"/>
  <c r="I387" i="9"/>
  <c r="K387" i="9" s="1"/>
  <c r="L387" i="9" s="1"/>
  <c r="AK386" i="9"/>
  <c r="AL386" i="9" s="1"/>
  <c r="AF386" i="9"/>
  <c r="AE386" i="9"/>
  <c r="AB386" i="9"/>
  <c r="AA386" i="9"/>
  <c r="V386" i="9"/>
  <c r="U386" i="9"/>
  <c r="R386" i="9"/>
  <c r="Q386" i="9"/>
  <c r="I386" i="9"/>
  <c r="K386" i="9" s="1"/>
  <c r="L386" i="9" s="1"/>
  <c r="AM385" i="9"/>
  <c r="AN385" i="9" s="1"/>
  <c r="AK385" i="9"/>
  <c r="AL385" i="9" s="1"/>
  <c r="K385" i="9"/>
  <c r="L385" i="9" s="1"/>
  <c r="I385" i="9"/>
  <c r="AM384" i="9"/>
  <c r="AN384" i="9" s="1"/>
  <c r="AK384" i="9"/>
  <c r="AL384" i="9" s="1"/>
  <c r="I384" i="9"/>
  <c r="K384" i="9" s="1"/>
  <c r="L384" i="9" s="1"/>
  <c r="AN383" i="9"/>
  <c r="AM383" i="9"/>
  <c r="AL383" i="9"/>
  <c r="AK383" i="9"/>
  <c r="I383" i="9"/>
  <c r="K383" i="9" s="1"/>
  <c r="L383" i="9" s="1"/>
  <c r="AM382" i="9"/>
  <c r="AN382" i="9" s="1"/>
  <c r="AK382" i="9"/>
  <c r="AL382" i="9" s="1"/>
  <c r="I382" i="9"/>
  <c r="K382" i="9" s="1"/>
  <c r="L382" i="9" s="1"/>
  <c r="AF381" i="9"/>
  <c r="AE381" i="9"/>
  <c r="AB381" i="9"/>
  <c r="AA381" i="9"/>
  <c r="V381" i="9"/>
  <c r="U381" i="9"/>
  <c r="R381" i="9"/>
  <c r="Q381" i="9"/>
  <c r="I381" i="9"/>
  <c r="K381" i="9" s="1"/>
  <c r="L381" i="9" s="1"/>
  <c r="AN380" i="9"/>
  <c r="AM380" i="9"/>
  <c r="AK380" i="9"/>
  <c r="AL380" i="9" s="1"/>
  <c r="K380" i="9"/>
  <c r="L380" i="9" s="1"/>
  <c r="I380" i="9"/>
  <c r="AF379" i="9"/>
  <c r="AE379" i="9"/>
  <c r="AB379" i="9"/>
  <c r="AA379" i="9"/>
  <c r="V379" i="9"/>
  <c r="U379" i="9"/>
  <c r="R379" i="9"/>
  <c r="Q379" i="9"/>
  <c r="AM379" i="9" s="1"/>
  <c r="AN379" i="9" s="1"/>
  <c r="I379" i="9"/>
  <c r="K379" i="9" s="1"/>
  <c r="L379" i="9" s="1"/>
  <c r="AF378" i="9"/>
  <c r="AE378" i="9"/>
  <c r="AB378" i="9"/>
  <c r="AA378" i="9"/>
  <c r="V378" i="9"/>
  <c r="U378" i="9"/>
  <c r="R378" i="9"/>
  <c r="AK378" i="9" s="1"/>
  <c r="AL378" i="9" s="1"/>
  <c r="Q378" i="9"/>
  <c r="AM378" i="9" s="1"/>
  <c r="AN378" i="9" s="1"/>
  <c r="I378" i="9"/>
  <c r="K378" i="9" s="1"/>
  <c r="L378" i="9" s="1"/>
  <c r="AF377" i="9"/>
  <c r="AE377" i="9"/>
  <c r="AB377" i="9"/>
  <c r="AA377" i="9"/>
  <c r="V377" i="9"/>
  <c r="U377" i="9"/>
  <c r="R377" i="9"/>
  <c r="Q377" i="9"/>
  <c r="I377" i="9"/>
  <c r="K377" i="9" s="1"/>
  <c r="L377" i="9" s="1"/>
  <c r="AM376" i="9"/>
  <c r="AN376" i="9" s="1"/>
  <c r="AL376" i="9"/>
  <c r="AK376" i="9"/>
  <c r="L376" i="9"/>
  <c r="K376" i="9"/>
  <c r="I376" i="9"/>
  <c r="AF375" i="9"/>
  <c r="AE375" i="9"/>
  <c r="AB375" i="9"/>
  <c r="AA375" i="9"/>
  <c r="V375" i="9"/>
  <c r="U375" i="9"/>
  <c r="R375" i="9"/>
  <c r="Q375" i="9"/>
  <c r="AM375" i="9" s="1"/>
  <c r="AN375" i="9" s="1"/>
  <c r="I375" i="9"/>
  <c r="K375" i="9" s="1"/>
  <c r="L375" i="9" s="1"/>
  <c r="AM374" i="9"/>
  <c r="AN374" i="9" s="1"/>
  <c r="AF374" i="9"/>
  <c r="AB374" i="9"/>
  <c r="V374" i="9"/>
  <c r="R374" i="9"/>
  <c r="I374" i="9"/>
  <c r="K374" i="9" s="1"/>
  <c r="L374" i="9" s="1"/>
  <c r="AM373" i="9"/>
  <c r="AN373" i="9" s="1"/>
  <c r="AL373" i="9"/>
  <c r="AK373" i="9"/>
  <c r="I373" i="9"/>
  <c r="K373" i="9" s="1"/>
  <c r="L373" i="9" s="1"/>
  <c r="AM372" i="9"/>
  <c r="AN372" i="9" s="1"/>
  <c r="AK372" i="9"/>
  <c r="AL372" i="9" s="1"/>
  <c r="I372" i="9"/>
  <c r="K372" i="9" s="1"/>
  <c r="L372" i="9" s="1"/>
  <c r="AM371" i="9"/>
  <c r="AN371" i="9" s="1"/>
  <c r="AK371" i="9"/>
  <c r="AL371" i="9" s="1"/>
  <c r="I371" i="9"/>
  <c r="K371" i="9" s="1"/>
  <c r="L371" i="9" s="1"/>
  <c r="AF370" i="9"/>
  <c r="AE370" i="9"/>
  <c r="AB370" i="9"/>
  <c r="AA370" i="9"/>
  <c r="V370" i="9"/>
  <c r="U370" i="9"/>
  <c r="R370" i="9"/>
  <c r="Q370" i="9"/>
  <c r="I370" i="9"/>
  <c r="K370" i="9" s="1"/>
  <c r="L370" i="9" s="1"/>
  <c r="AM369" i="9"/>
  <c r="AN369" i="9" s="1"/>
  <c r="AF369" i="9"/>
  <c r="AB369" i="9"/>
  <c r="V369" i="9"/>
  <c r="R369" i="9"/>
  <c r="I369" i="9"/>
  <c r="K369" i="9" s="1"/>
  <c r="L369" i="9" s="1"/>
  <c r="AF368" i="9"/>
  <c r="AE368" i="9"/>
  <c r="AB368" i="9"/>
  <c r="AA368" i="9"/>
  <c r="V368" i="9"/>
  <c r="U368" i="9"/>
  <c r="R368" i="9"/>
  <c r="Q368" i="9"/>
  <c r="L368" i="9"/>
  <c r="I368" i="9"/>
  <c r="K368" i="9" s="1"/>
  <c r="AF367" i="9"/>
  <c r="AE367" i="9"/>
  <c r="AB367" i="9"/>
  <c r="AA367" i="9"/>
  <c r="V367" i="9"/>
  <c r="U367" i="9"/>
  <c r="R367" i="9"/>
  <c r="AK367" i="9" s="1"/>
  <c r="AL367" i="9" s="1"/>
  <c r="Q367" i="9"/>
  <c r="I367" i="9"/>
  <c r="K367" i="9" s="1"/>
  <c r="L367" i="9" s="1"/>
  <c r="AF366" i="9"/>
  <c r="AE366" i="9"/>
  <c r="AB366" i="9"/>
  <c r="AA366" i="9"/>
  <c r="V366" i="9"/>
  <c r="U366" i="9"/>
  <c r="R366" i="9"/>
  <c r="Q366" i="9"/>
  <c r="I366" i="9"/>
  <c r="K366" i="9" s="1"/>
  <c r="L366" i="9" s="1"/>
  <c r="AF365" i="9"/>
  <c r="AE365" i="9"/>
  <c r="AB365" i="9"/>
  <c r="AA365" i="9"/>
  <c r="V365" i="9"/>
  <c r="U365" i="9"/>
  <c r="R365" i="9"/>
  <c r="Q365" i="9"/>
  <c r="K365" i="9"/>
  <c r="L365" i="9" s="1"/>
  <c r="I365" i="9"/>
  <c r="AM364" i="9"/>
  <c r="AN364" i="9" s="1"/>
  <c r="AK364" i="9"/>
  <c r="AL364" i="9" s="1"/>
  <c r="L364" i="9"/>
  <c r="I364" i="9"/>
  <c r="K364" i="9" s="1"/>
  <c r="AN363" i="9"/>
  <c r="AM363" i="9"/>
  <c r="AL363" i="9"/>
  <c r="AK363" i="9"/>
  <c r="I363" i="9"/>
  <c r="K363" i="9" s="1"/>
  <c r="L363" i="9" s="1"/>
  <c r="AF362" i="9"/>
  <c r="AE362" i="9"/>
  <c r="AB362" i="9"/>
  <c r="AA362" i="9"/>
  <c r="AM362" i="9" s="1"/>
  <c r="AN362" i="9" s="1"/>
  <c r="V362" i="9"/>
  <c r="U362" i="9"/>
  <c r="R362" i="9"/>
  <c r="Q362" i="9"/>
  <c r="K362" i="9"/>
  <c r="L362" i="9" s="1"/>
  <c r="I362" i="9"/>
  <c r="AF361" i="9"/>
  <c r="AE361" i="9"/>
  <c r="AB361" i="9"/>
  <c r="AA361" i="9"/>
  <c r="AM361" i="9" s="1"/>
  <c r="AN361" i="9" s="1"/>
  <c r="V361" i="9"/>
  <c r="U361" i="9"/>
  <c r="R361" i="9"/>
  <c r="AK361" i="9" s="1"/>
  <c r="AL361" i="9" s="1"/>
  <c r="Q361" i="9"/>
  <c r="L361" i="9"/>
  <c r="K361" i="9"/>
  <c r="I361" i="9"/>
  <c r="AM360" i="9"/>
  <c r="AN360" i="9" s="1"/>
  <c r="AK360" i="9"/>
  <c r="AL360" i="9" s="1"/>
  <c r="I360" i="9"/>
  <c r="K360" i="9" s="1"/>
  <c r="L360" i="9" s="1"/>
  <c r="AM359" i="9"/>
  <c r="AN359" i="9" s="1"/>
  <c r="AK359" i="9"/>
  <c r="AL359" i="9" s="1"/>
  <c r="I359" i="9"/>
  <c r="K359" i="9" s="1"/>
  <c r="L359" i="9" s="1"/>
  <c r="AM358" i="9"/>
  <c r="AN358" i="9" s="1"/>
  <c r="AF358" i="9"/>
  <c r="AB358" i="9"/>
  <c r="V358" i="9"/>
  <c r="R358" i="9"/>
  <c r="AK358" i="9" s="1"/>
  <c r="AL358" i="9" s="1"/>
  <c r="I358" i="9"/>
  <c r="K358" i="9" s="1"/>
  <c r="L358" i="9" s="1"/>
  <c r="AM357" i="9"/>
  <c r="AN357" i="9" s="1"/>
  <c r="AF357" i="9"/>
  <c r="AB357" i="9"/>
  <c r="V357" i="9"/>
  <c r="R357" i="9"/>
  <c r="I357" i="9"/>
  <c r="K357" i="9" s="1"/>
  <c r="L357" i="9" s="1"/>
  <c r="AM356" i="9"/>
  <c r="AN356" i="9" s="1"/>
  <c r="AF356" i="9"/>
  <c r="AB356" i="9"/>
  <c r="V356" i="9"/>
  <c r="R356" i="9"/>
  <c r="I356" i="9"/>
  <c r="K356" i="9" s="1"/>
  <c r="L356" i="9" s="1"/>
  <c r="AF355" i="9"/>
  <c r="AE355" i="9"/>
  <c r="AB355" i="9"/>
  <c r="AA355" i="9"/>
  <c r="AM355" i="9" s="1"/>
  <c r="AN355" i="9" s="1"/>
  <c r="V355" i="9"/>
  <c r="U355" i="9"/>
  <c r="R355" i="9"/>
  <c r="Q355" i="9"/>
  <c r="I355" i="9"/>
  <c r="K355" i="9" s="1"/>
  <c r="L355" i="9" s="1"/>
  <c r="AF354" i="9"/>
  <c r="AE354" i="9"/>
  <c r="AB354" i="9"/>
  <c r="AA354" i="9"/>
  <c r="V354" i="9"/>
  <c r="U354" i="9"/>
  <c r="R354" i="9"/>
  <c r="Q354" i="9"/>
  <c r="I354" i="9"/>
  <c r="K354" i="9" s="1"/>
  <c r="L354" i="9" s="1"/>
  <c r="AM353" i="9"/>
  <c r="AN353" i="9" s="1"/>
  <c r="AK353" i="9"/>
  <c r="AL353" i="9" s="1"/>
  <c r="I353" i="9"/>
  <c r="K353" i="9" s="1"/>
  <c r="L353" i="9" s="1"/>
  <c r="AF352" i="9"/>
  <c r="AE352" i="9"/>
  <c r="AB352" i="9"/>
  <c r="AA352" i="9"/>
  <c r="V352" i="9"/>
  <c r="U352" i="9"/>
  <c r="R352" i="9"/>
  <c r="Q352" i="9"/>
  <c r="I352" i="9"/>
  <c r="K352" i="9" s="1"/>
  <c r="L352" i="9" s="1"/>
  <c r="AF351" i="9"/>
  <c r="AE351" i="9"/>
  <c r="AB351" i="9"/>
  <c r="AA351" i="9"/>
  <c r="AM351" i="9" s="1"/>
  <c r="AN351" i="9" s="1"/>
  <c r="V351" i="9"/>
  <c r="U351" i="9"/>
  <c r="R351" i="9"/>
  <c r="Q351" i="9"/>
  <c r="I351" i="9"/>
  <c r="K351" i="9" s="1"/>
  <c r="L351" i="9" s="1"/>
  <c r="AF350" i="9"/>
  <c r="AE350" i="9"/>
  <c r="AB350" i="9"/>
  <c r="AA350" i="9"/>
  <c r="V350" i="9"/>
  <c r="U350" i="9"/>
  <c r="AM350" i="9" s="1"/>
  <c r="AN350" i="9" s="1"/>
  <c r="R350" i="9"/>
  <c r="Q350" i="9"/>
  <c r="I350" i="9"/>
  <c r="K350" i="9" s="1"/>
  <c r="L350" i="9" s="1"/>
  <c r="AF349" i="9"/>
  <c r="AE349" i="9"/>
  <c r="AB349" i="9"/>
  <c r="AA349" i="9"/>
  <c r="V349" i="9"/>
  <c r="U349" i="9"/>
  <c r="R349" i="9"/>
  <c r="Q349" i="9"/>
  <c r="L349" i="9"/>
  <c r="K349" i="9"/>
  <c r="I349" i="9"/>
  <c r="AF348" i="9"/>
  <c r="AE348" i="9"/>
  <c r="AB348" i="9"/>
  <c r="AA348" i="9"/>
  <c r="AM348" i="9" s="1"/>
  <c r="AN348" i="9" s="1"/>
  <c r="V348" i="9"/>
  <c r="U348" i="9"/>
  <c r="R348" i="9"/>
  <c r="Q348" i="9"/>
  <c r="I348" i="9"/>
  <c r="K348" i="9" s="1"/>
  <c r="L348" i="9" s="1"/>
  <c r="AF347" i="9"/>
  <c r="AE347" i="9"/>
  <c r="AB347" i="9"/>
  <c r="AA347" i="9"/>
  <c r="V347" i="9"/>
  <c r="U347" i="9"/>
  <c r="R347" i="9"/>
  <c r="Q347" i="9"/>
  <c r="AM347" i="9" s="1"/>
  <c r="AN347" i="9" s="1"/>
  <c r="K347" i="9"/>
  <c r="L347" i="9" s="1"/>
  <c r="I347" i="9"/>
  <c r="AF346" i="9"/>
  <c r="AE346" i="9"/>
  <c r="AB346" i="9"/>
  <c r="AA346" i="9"/>
  <c r="V346" i="9"/>
  <c r="U346" i="9"/>
  <c r="R346" i="9"/>
  <c r="Q346" i="9"/>
  <c r="AM346" i="9" s="1"/>
  <c r="AN346" i="9" s="1"/>
  <c r="K346" i="9"/>
  <c r="L346" i="9" s="1"/>
  <c r="I346" i="9"/>
  <c r="AF345" i="9"/>
  <c r="AE345" i="9"/>
  <c r="AB345" i="9"/>
  <c r="AA345" i="9"/>
  <c r="V345" i="9"/>
  <c r="U345" i="9"/>
  <c r="R345" i="9"/>
  <c r="Q345" i="9"/>
  <c r="I345" i="9"/>
  <c r="K345" i="9" s="1"/>
  <c r="L345" i="9" s="1"/>
  <c r="AM344" i="9"/>
  <c r="AN344" i="9" s="1"/>
  <c r="AF344" i="9"/>
  <c r="AB344" i="9"/>
  <c r="V344" i="9"/>
  <c r="R344" i="9"/>
  <c r="I344" i="9"/>
  <c r="K344" i="9" s="1"/>
  <c r="L344" i="9" s="1"/>
  <c r="AM343" i="9"/>
  <c r="AN343" i="9" s="1"/>
  <c r="AK343" i="9"/>
  <c r="AL343" i="9" s="1"/>
  <c r="I343" i="9"/>
  <c r="K343" i="9" s="1"/>
  <c r="L343" i="9" s="1"/>
  <c r="AM342" i="9"/>
  <c r="AN342" i="9" s="1"/>
  <c r="AK342" i="9"/>
  <c r="AL342" i="9" s="1"/>
  <c r="I342" i="9"/>
  <c r="K342" i="9" s="1"/>
  <c r="L342" i="9" s="1"/>
  <c r="AM341" i="9"/>
  <c r="AN341" i="9" s="1"/>
  <c r="AK341" i="9"/>
  <c r="AL341" i="9" s="1"/>
  <c r="I341" i="9"/>
  <c r="K341" i="9" s="1"/>
  <c r="L341" i="9" s="1"/>
  <c r="AM340" i="9"/>
  <c r="AN340" i="9" s="1"/>
  <c r="AK340" i="9"/>
  <c r="AL340" i="9" s="1"/>
  <c r="I340" i="9"/>
  <c r="K340" i="9" s="1"/>
  <c r="L340" i="9" s="1"/>
  <c r="AN339" i="9"/>
  <c r="AM339" i="9"/>
  <c r="AK339" i="9"/>
  <c r="AL339" i="9" s="1"/>
  <c r="I339" i="9"/>
  <c r="K339" i="9" s="1"/>
  <c r="L339" i="9" s="1"/>
  <c r="AM338" i="9"/>
  <c r="AN338" i="9" s="1"/>
  <c r="AK338" i="9"/>
  <c r="AL338" i="9" s="1"/>
  <c r="I338" i="9"/>
  <c r="K338" i="9" s="1"/>
  <c r="L338" i="9" s="1"/>
  <c r="AN337" i="9"/>
  <c r="AM337" i="9"/>
  <c r="AK337" i="9"/>
  <c r="AL337" i="9" s="1"/>
  <c r="I337" i="9"/>
  <c r="K337" i="9" s="1"/>
  <c r="L337" i="9" s="1"/>
  <c r="AM336" i="9"/>
  <c r="AN336" i="9" s="1"/>
  <c r="AK336" i="9"/>
  <c r="AL336" i="9" s="1"/>
  <c r="K336" i="9"/>
  <c r="L336" i="9" s="1"/>
  <c r="I336" i="9"/>
  <c r="AM335" i="9"/>
  <c r="AN335" i="9" s="1"/>
  <c r="AL335" i="9"/>
  <c r="AK335" i="9"/>
  <c r="I335" i="9"/>
  <c r="K335" i="9" s="1"/>
  <c r="L335" i="9" s="1"/>
  <c r="AM334" i="9"/>
  <c r="AN334" i="9" s="1"/>
  <c r="AK334" i="9"/>
  <c r="AL334" i="9" s="1"/>
  <c r="I334" i="9"/>
  <c r="K334" i="9" s="1"/>
  <c r="L334" i="9" s="1"/>
  <c r="AN333" i="9"/>
  <c r="AM333" i="9"/>
  <c r="AK333" i="9"/>
  <c r="AL333" i="9" s="1"/>
  <c r="I333" i="9"/>
  <c r="K333" i="9" s="1"/>
  <c r="L333" i="9" s="1"/>
  <c r="AM332" i="9"/>
  <c r="AN332" i="9" s="1"/>
  <c r="AK332" i="9"/>
  <c r="AL332" i="9" s="1"/>
  <c r="I332" i="9"/>
  <c r="K332" i="9" s="1"/>
  <c r="L332" i="9" s="1"/>
  <c r="AM331" i="9"/>
  <c r="AN331" i="9" s="1"/>
  <c r="AK331" i="9"/>
  <c r="AL331" i="9" s="1"/>
  <c r="I331" i="9"/>
  <c r="K331" i="9" s="1"/>
  <c r="L331" i="9" s="1"/>
  <c r="AM330" i="9"/>
  <c r="AN330" i="9" s="1"/>
  <c r="AK330" i="9"/>
  <c r="AL330" i="9" s="1"/>
  <c r="I330" i="9"/>
  <c r="K330" i="9" s="1"/>
  <c r="L330" i="9" s="1"/>
  <c r="AM329" i="9"/>
  <c r="AN329" i="9" s="1"/>
  <c r="AK329" i="9"/>
  <c r="AL329" i="9" s="1"/>
  <c r="I329" i="9"/>
  <c r="K329" i="9" s="1"/>
  <c r="L329" i="9" s="1"/>
  <c r="AM328" i="9"/>
  <c r="AN328" i="9" s="1"/>
  <c r="AK328" i="9"/>
  <c r="AL328" i="9" s="1"/>
  <c r="I328" i="9"/>
  <c r="K328" i="9" s="1"/>
  <c r="L328" i="9" s="1"/>
  <c r="AM327" i="9"/>
  <c r="AN327" i="9" s="1"/>
  <c r="AK327" i="9"/>
  <c r="AL327" i="9" s="1"/>
  <c r="I327" i="9"/>
  <c r="K327" i="9" s="1"/>
  <c r="L327" i="9" s="1"/>
  <c r="AM326" i="9"/>
  <c r="AN326" i="9" s="1"/>
  <c r="AK326" i="9"/>
  <c r="AL326" i="9" s="1"/>
  <c r="K326" i="9"/>
  <c r="L326" i="9" s="1"/>
  <c r="I326" i="9"/>
  <c r="AM325" i="9"/>
  <c r="AN325" i="9" s="1"/>
  <c r="AK325" i="9"/>
  <c r="AL325" i="9" s="1"/>
  <c r="I325" i="9"/>
  <c r="K325" i="9" s="1"/>
  <c r="L325" i="9" s="1"/>
  <c r="AM324" i="9"/>
  <c r="AN324" i="9" s="1"/>
  <c r="AK324" i="9"/>
  <c r="AL324" i="9" s="1"/>
  <c r="K324" i="9"/>
  <c r="L324" i="9" s="1"/>
  <c r="I324" i="9"/>
  <c r="AM323" i="9"/>
  <c r="AN323" i="9" s="1"/>
  <c r="AL323" i="9"/>
  <c r="AK323" i="9"/>
  <c r="I323" i="9"/>
  <c r="K323" i="9" s="1"/>
  <c r="L323" i="9" s="1"/>
  <c r="AM322" i="9"/>
  <c r="AN322" i="9" s="1"/>
  <c r="AL322" i="9"/>
  <c r="AK322" i="9"/>
  <c r="I322" i="9"/>
  <c r="K322" i="9" s="1"/>
  <c r="L322" i="9" s="1"/>
  <c r="AM321" i="9"/>
  <c r="AN321" i="9" s="1"/>
  <c r="AK321" i="9"/>
  <c r="AL321" i="9" s="1"/>
  <c r="K321" i="9"/>
  <c r="L321" i="9" s="1"/>
  <c r="I321" i="9"/>
  <c r="AM320" i="9"/>
  <c r="AN320" i="9" s="1"/>
  <c r="AK320" i="9"/>
  <c r="AL320" i="9" s="1"/>
  <c r="I320" i="9"/>
  <c r="K320" i="9" s="1"/>
  <c r="L320" i="9" s="1"/>
  <c r="AM319" i="9"/>
  <c r="AN319" i="9" s="1"/>
  <c r="AK319" i="9"/>
  <c r="AL319" i="9" s="1"/>
  <c r="I319" i="9"/>
  <c r="K319" i="9" s="1"/>
  <c r="L319" i="9" s="1"/>
  <c r="AM318" i="9"/>
  <c r="AN318" i="9" s="1"/>
  <c r="AK318" i="9"/>
  <c r="AL318" i="9" s="1"/>
  <c r="I318" i="9"/>
  <c r="K318" i="9" s="1"/>
  <c r="L318" i="9" s="1"/>
  <c r="AM317" i="9"/>
  <c r="AN317" i="9" s="1"/>
  <c r="AK317" i="9"/>
  <c r="AL317" i="9" s="1"/>
  <c r="I317" i="9"/>
  <c r="K317" i="9" s="1"/>
  <c r="L317" i="9" s="1"/>
  <c r="AN316" i="9"/>
  <c r="AM316" i="9"/>
  <c r="AF316" i="9"/>
  <c r="AB316" i="9"/>
  <c r="V316" i="9"/>
  <c r="R316" i="9"/>
  <c r="K316" i="9"/>
  <c r="L316" i="9" s="1"/>
  <c r="I316" i="9"/>
  <c r="AM315" i="9"/>
  <c r="AN315" i="9" s="1"/>
  <c r="AF315" i="9"/>
  <c r="AB315" i="9"/>
  <c r="AK315" i="9" s="1"/>
  <c r="AL315" i="9" s="1"/>
  <c r="V315" i="9"/>
  <c r="R315" i="9"/>
  <c r="I315" i="9"/>
  <c r="K315" i="9" s="1"/>
  <c r="L315" i="9" s="1"/>
  <c r="AM314" i="9"/>
  <c r="AN314" i="9" s="1"/>
  <c r="AK314" i="9"/>
  <c r="AL314" i="9" s="1"/>
  <c r="R314" i="9"/>
  <c r="I314" i="9"/>
  <c r="K314" i="9" s="1"/>
  <c r="L314" i="9" s="1"/>
  <c r="AF313" i="9"/>
  <c r="AE313" i="9"/>
  <c r="AB313" i="9"/>
  <c r="AA313" i="9"/>
  <c r="V313" i="9"/>
  <c r="U313" i="9"/>
  <c r="R313" i="9"/>
  <c r="Q313" i="9"/>
  <c r="I313" i="9"/>
  <c r="K313" i="9" s="1"/>
  <c r="L313" i="9" s="1"/>
  <c r="AF312" i="9"/>
  <c r="AE312" i="9"/>
  <c r="AB312" i="9"/>
  <c r="AA312" i="9"/>
  <c r="V312" i="9"/>
  <c r="U312" i="9"/>
  <c r="R312" i="9"/>
  <c r="Q312" i="9"/>
  <c r="I312" i="9"/>
  <c r="K312" i="9" s="1"/>
  <c r="L312" i="9" s="1"/>
  <c r="AM311" i="9"/>
  <c r="AN311" i="9" s="1"/>
  <c r="R311" i="9"/>
  <c r="AK311" i="9" s="1"/>
  <c r="AL311" i="9" s="1"/>
  <c r="K311" i="9"/>
  <c r="L311" i="9" s="1"/>
  <c r="I311" i="9"/>
  <c r="AF310" i="9"/>
  <c r="AE310" i="9"/>
  <c r="AB310" i="9"/>
  <c r="AA310" i="9"/>
  <c r="V310" i="9"/>
  <c r="U310" i="9"/>
  <c r="R310" i="9"/>
  <c r="Q310" i="9"/>
  <c r="I310" i="9"/>
  <c r="K310" i="9" s="1"/>
  <c r="L310" i="9" s="1"/>
  <c r="AM309" i="9"/>
  <c r="AN309" i="9" s="1"/>
  <c r="AF309" i="9"/>
  <c r="AB309" i="9"/>
  <c r="V309" i="9"/>
  <c r="R309" i="9"/>
  <c r="I309" i="9"/>
  <c r="K309" i="9" s="1"/>
  <c r="L309" i="9" s="1"/>
  <c r="AM308" i="9"/>
  <c r="AN308" i="9" s="1"/>
  <c r="AF308" i="9"/>
  <c r="AB308" i="9"/>
  <c r="V308" i="9"/>
  <c r="R308" i="9"/>
  <c r="K308" i="9"/>
  <c r="L308" i="9" s="1"/>
  <c r="I308" i="9"/>
  <c r="AF307" i="9"/>
  <c r="AE307" i="9"/>
  <c r="AB307" i="9"/>
  <c r="AA307" i="9"/>
  <c r="V307" i="9"/>
  <c r="U307" i="9"/>
  <c r="R307" i="9"/>
  <c r="Q307" i="9"/>
  <c r="I307" i="9"/>
  <c r="K307" i="9" s="1"/>
  <c r="L307" i="9" s="1"/>
  <c r="AK306" i="9"/>
  <c r="AL306" i="9" s="1"/>
  <c r="AF306" i="9"/>
  <c r="AE306" i="9"/>
  <c r="AB306" i="9"/>
  <c r="AA306" i="9"/>
  <c r="V306" i="9"/>
  <c r="U306" i="9"/>
  <c r="R306" i="9"/>
  <c r="Q306" i="9"/>
  <c r="AM306" i="9" s="1"/>
  <c r="AN306" i="9" s="1"/>
  <c r="K306" i="9"/>
  <c r="L306" i="9" s="1"/>
  <c r="I306" i="9"/>
  <c r="AK305" i="9"/>
  <c r="AL305" i="9" s="1"/>
  <c r="AF305" i="9"/>
  <c r="AE305" i="9"/>
  <c r="AB305" i="9"/>
  <c r="AA305" i="9"/>
  <c r="V305" i="9"/>
  <c r="U305" i="9"/>
  <c r="R305" i="9"/>
  <c r="Q305" i="9"/>
  <c r="I305" i="9"/>
  <c r="K305" i="9" s="1"/>
  <c r="L305" i="9" s="1"/>
  <c r="AM304" i="9"/>
  <c r="AN304" i="9" s="1"/>
  <c r="AF304" i="9"/>
  <c r="AB304" i="9"/>
  <c r="V304" i="9"/>
  <c r="R304" i="9"/>
  <c r="I304" i="9"/>
  <c r="K304" i="9" s="1"/>
  <c r="L304" i="9" s="1"/>
  <c r="AM303" i="9"/>
  <c r="AN303" i="9" s="1"/>
  <c r="R303" i="9"/>
  <c r="AK303" i="9" s="1"/>
  <c r="AL303" i="9" s="1"/>
  <c r="I303" i="9"/>
  <c r="K303" i="9" s="1"/>
  <c r="L303" i="9" s="1"/>
  <c r="AF302" i="9"/>
  <c r="AE302" i="9"/>
  <c r="AB302" i="9"/>
  <c r="AA302" i="9"/>
  <c r="V302" i="9"/>
  <c r="U302" i="9"/>
  <c r="R302" i="9"/>
  <c r="Q302" i="9"/>
  <c r="I302" i="9"/>
  <c r="K302" i="9" s="1"/>
  <c r="L302" i="9" s="1"/>
  <c r="AF301" i="9"/>
  <c r="AE301" i="9"/>
  <c r="AB301" i="9"/>
  <c r="AA301" i="9"/>
  <c r="V301" i="9"/>
  <c r="U301" i="9"/>
  <c r="R301" i="9"/>
  <c r="Q301" i="9"/>
  <c r="I301" i="9"/>
  <c r="K301" i="9" s="1"/>
  <c r="L301" i="9" s="1"/>
  <c r="AF300" i="9"/>
  <c r="AE300" i="9"/>
  <c r="AB300" i="9"/>
  <c r="AA300" i="9"/>
  <c r="V300" i="9"/>
  <c r="U300" i="9"/>
  <c r="R300" i="9"/>
  <c r="Q300" i="9"/>
  <c r="AM300" i="9" s="1"/>
  <c r="AN300" i="9" s="1"/>
  <c r="I300" i="9"/>
  <c r="K300" i="9" s="1"/>
  <c r="L300" i="9" s="1"/>
  <c r="AF299" i="9"/>
  <c r="AE299" i="9"/>
  <c r="AB299" i="9"/>
  <c r="AA299" i="9"/>
  <c r="V299" i="9"/>
  <c r="U299" i="9"/>
  <c r="R299" i="9"/>
  <c r="Q299" i="9"/>
  <c r="I299" i="9"/>
  <c r="K299" i="9" s="1"/>
  <c r="L299" i="9" s="1"/>
  <c r="AF298" i="9"/>
  <c r="AE298" i="9"/>
  <c r="AB298" i="9"/>
  <c r="AA298" i="9"/>
  <c r="V298" i="9"/>
  <c r="U298" i="9"/>
  <c r="R298" i="9"/>
  <c r="Q298" i="9"/>
  <c r="AM298" i="9" s="1"/>
  <c r="AN298" i="9" s="1"/>
  <c r="I298" i="9"/>
  <c r="K298" i="9" s="1"/>
  <c r="L298" i="9" s="1"/>
  <c r="AF297" i="9"/>
  <c r="AE297" i="9"/>
  <c r="AB297" i="9"/>
  <c r="AA297" i="9"/>
  <c r="V297" i="9"/>
  <c r="AK297" i="9" s="1"/>
  <c r="AL297" i="9" s="1"/>
  <c r="U297" i="9"/>
  <c r="R297" i="9"/>
  <c r="Q297" i="9"/>
  <c r="I297" i="9"/>
  <c r="K297" i="9" s="1"/>
  <c r="L297" i="9" s="1"/>
  <c r="AM296" i="9"/>
  <c r="AN296" i="9" s="1"/>
  <c r="AF296" i="9"/>
  <c r="AB296" i="9"/>
  <c r="V296" i="9"/>
  <c r="R296" i="9"/>
  <c r="AK296" i="9" s="1"/>
  <c r="AL296" i="9" s="1"/>
  <c r="I296" i="9"/>
  <c r="K296" i="9" s="1"/>
  <c r="L296" i="9" s="1"/>
  <c r="AM295" i="9"/>
  <c r="AN295" i="9" s="1"/>
  <c r="AF295" i="9"/>
  <c r="AB295" i="9"/>
  <c r="V295" i="9"/>
  <c r="R295" i="9"/>
  <c r="AK295" i="9" s="1"/>
  <c r="AL295" i="9" s="1"/>
  <c r="I295" i="9"/>
  <c r="K295" i="9" s="1"/>
  <c r="L295" i="9" s="1"/>
  <c r="AF294" i="9"/>
  <c r="AE294" i="9"/>
  <c r="AB294" i="9"/>
  <c r="AA294" i="9"/>
  <c r="V294" i="9"/>
  <c r="U294" i="9"/>
  <c r="R294" i="9"/>
  <c r="Q294" i="9"/>
  <c r="I294" i="9"/>
  <c r="K294" i="9" s="1"/>
  <c r="L294" i="9" s="1"/>
  <c r="AF293" i="9"/>
  <c r="AE293" i="9"/>
  <c r="AB293" i="9"/>
  <c r="AA293" i="9"/>
  <c r="V293" i="9"/>
  <c r="U293" i="9"/>
  <c r="R293" i="9"/>
  <c r="Q293" i="9"/>
  <c r="I293" i="9"/>
  <c r="K293" i="9" s="1"/>
  <c r="L293" i="9" s="1"/>
  <c r="AF292" i="9"/>
  <c r="AE292" i="9"/>
  <c r="AB292" i="9"/>
  <c r="AA292" i="9"/>
  <c r="V292" i="9"/>
  <c r="U292" i="9"/>
  <c r="R292" i="9"/>
  <c r="Q292" i="9"/>
  <c r="I292" i="9"/>
  <c r="K292" i="9" s="1"/>
  <c r="L292" i="9" s="1"/>
  <c r="AF291" i="9"/>
  <c r="AE291" i="9"/>
  <c r="AB291" i="9"/>
  <c r="AA291" i="9"/>
  <c r="V291" i="9"/>
  <c r="U291" i="9"/>
  <c r="R291" i="9"/>
  <c r="Q291" i="9"/>
  <c r="I291" i="9"/>
  <c r="K291" i="9" s="1"/>
  <c r="L291" i="9" s="1"/>
  <c r="AF290" i="9"/>
  <c r="AE290" i="9"/>
  <c r="AB290" i="9"/>
  <c r="AA290" i="9"/>
  <c r="V290" i="9"/>
  <c r="U290" i="9"/>
  <c r="AM290" i="9" s="1"/>
  <c r="AN290" i="9" s="1"/>
  <c r="R290" i="9"/>
  <c r="Q290" i="9"/>
  <c r="I290" i="9"/>
  <c r="K290" i="9" s="1"/>
  <c r="L290" i="9" s="1"/>
  <c r="AM289" i="9"/>
  <c r="AN289" i="9" s="1"/>
  <c r="AF289" i="9"/>
  <c r="AB289" i="9"/>
  <c r="V289" i="9"/>
  <c r="R289" i="9"/>
  <c r="I289" i="9"/>
  <c r="K289" i="9" s="1"/>
  <c r="L289" i="9" s="1"/>
  <c r="AM288" i="9"/>
  <c r="AN288" i="9" s="1"/>
  <c r="AF288" i="9"/>
  <c r="AB288" i="9"/>
  <c r="V288" i="9"/>
  <c r="R288" i="9"/>
  <c r="L288" i="9"/>
  <c r="K288" i="9"/>
  <c r="I288" i="9"/>
  <c r="AF287" i="9"/>
  <c r="AE287" i="9"/>
  <c r="AB287" i="9"/>
  <c r="AA287" i="9"/>
  <c r="V287" i="9"/>
  <c r="AK287" i="9" s="1"/>
  <c r="AL287" i="9" s="1"/>
  <c r="U287" i="9"/>
  <c r="R287" i="9"/>
  <c r="Q287" i="9"/>
  <c r="K287" i="9"/>
  <c r="L287" i="9" s="1"/>
  <c r="I287" i="9"/>
  <c r="AM286" i="9"/>
  <c r="AN286" i="9" s="1"/>
  <c r="AF286" i="9"/>
  <c r="AB286" i="9"/>
  <c r="V286" i="9"/>
  <c r="R286" i="9"/>
  <c r="I286" i="9"/>
  <c r="K286" i="9" s="1"/>
  <c r="L286" i="9" s="1"/>
  <c r="AF285" i="9"/>
  <c r="AE285" i="9"/>
  <c r="AB285" i="9"/>
  <c r="AA285" i="9"/>
  <c r="V285" i="9"/>
  <c r="U285" i="9"/>
  <c r="R285" i="9"/>
  <c r="Q285" i="9"/>
  <c r="I285" i="9"/>
  <c r="K285" i="9" s="1"/>
  <c r="L285" i="9" s="1"/>
  <c r="AF284" i="9"/>
  <c r="AE284" i="9"/>
  <c r="AB284" i="9"/>
  <c r="AA284" i="9"/>
  <c r="AM284" i="9" s="1"/>
  <c r="AN284" i="9" s="1"/>
  <c r="V284" i="9"/>
  <c r="U284" i="9"/>
  <c r="R284" i="9"/>
  <c r="Q284" i="9"/>
  <c r="L284" i="9"/>
  <c r="I284" i="9"/>
  <c r="K284" i="9" s="1"/>
  <c r="AF283" i="9"/>
  <c r="AE283" i="9"/>
  <c r="AB283" i="9"/>
  <c r="AA283" i="9"/>
  <c r="V283" i="9"/>
  <c r="U283" i="9"/>
  <c r="AM283" i="9" s="1"/>
  <c r="AN283" i="9" s="1"/>
  <c r="R283" i="9"/>
  <c r="Q283" i="9"/>
  <c r="K283" i="9"/>
  <c r="L283" i="9" s="1"/>
  <c r="I283" i="9"/>
  <c r="AN282" i="9"/>
  <c r="AM282" i="9"/>
  <c r="AF282" i="9"/>
  <c r="AB282" i="9"/>
  <c r="V282" i="9"/>
  <c r="R282" i="9"/>
  <c r="I282" i="9"/>
  <c r="K282" i="9" s="1"/>
  <c r="L282" i="9" s="1"/>
  <c r="AF281" i="9"/>
  <c r="AE281" i="9"/>
  <c r="AB281" i="9"/>
  <c r="AA281" i="9"/>
  <c r="V281" i="9"/>
  <c r="U281" i="9"/>
  <c r="R281" i="9"/>
  <c r="Q281" i="9"/>
  <c r="I281" i="9"/>
  <c r="K281" i="9" s="1"/>
  <c r="L281" i="9" s="1"/>
  <c r="AM280" i="9"/>
  <c r="AN280" i="9" s="1"/>
  <c r="AB280" i="9"/>
  <c r="V280" i="9"/>
  <c r="R280" i="9"/>
  <c r="AK280" i="9" s="1"/>
  <c r="AL280" i="9" s="1"/>
  <c r="I280" i="9"/>
  <c r="K280" i="9" s="1"/>
  <c r="L280" i="9" s="1"/>
  <c r="AM279" i="9"/>
  <c r="AN279" i="9" s="1"/>
  <c r="AK279" i="9"/>
  <c r="AL279" i="9" s="1"/>
  <c r="I279" i="9"/>
  <c r="K279" i="9" s="1"/>
  <c r="L279" i="9" s="1"/>
  <c r="AM278" i="9"/>
  <c r="AN278" i="9" s="1"/>
  <c r="AK278" i="9"/>
  <c r="AL278" i="9" s="1"/>
  <c r="I278" i="9"/>
  <c r="K278" i="9" s="1"/>
  <c r="L278" i="9" s="1"/>
  <c r="AM277" i="9"/>
  <c r="AN277" i="9" s="1"/>
  <c r="AK277" i="9"/>
  <c r="AL277" i="9" s="1"/>
  <c r="I277" i="9"/>
  <c r="K277" i="9" s="1"/>
  <c r="L277" i="9" s="1"/>
  <c r="AN276" i="9"/>
  <c r="AM276" i="9"/>
  <c r="AK276" i="9"/>
  <c r="AL276" i="9" s="1"/>
  <c r="K276" i="9"/>
  <c r="L276" i="9" s="1"/>
  <c r="I276" i="9"/>
  <c r="AM275" i="9"/>
  <c r="AN275" i="9" s="1"/>
  <c r="AL275" i="9"/>
  <c r="AK275" i="9"/>
  <c r="I275" i="9"/>
  <c r="K275" i="9" s="1"/>
  <c r="L275" i="9" s="1"/>
  <c r="AM274" i="9"/>
  <c r="AN274" i="9" s="1"/>
  <c r="R274" i="9"/>
  <c r="AK274" i="9" s="1"/>
  <c r="AL274" i="9" s="1"/>
  <c r="I274" i="9"/>
  <c r="K274" i="9" s="1"/>
  <c r="L274" i="9" s="1"/>
  <c r="AF273" i="9"/>
  <c r="AE273" i="9"/>
  <c r="AB273" i="9"/>
  <c r="AA273" i="9"/>
  <c r="V273" i="9"/>
  <c r="U273" i="9"/>
  <c r="R273" i="9"/>
  <c r="Q273" i="9"/>
  <c r="K273" i="9"/>
  <c r="L273" i="9" s="1"/>
  <c r="I273" i="9"/>
  <c r="AN272" i="9"/>
  <c r="AM272" i="9"/>
  <c r="AK272" i="9"/>
  <c r="AL272" i="9" s="1"/>
  <c r="I272" i="9"/>
  <c r="K272" i="9" s="1"/>
  <c r="L272" i="9" s="1"/>
  <c r="AM271" i="9"/>
  <c r="AN271" i="9" s="1"/>
  <c r="AK271" i="9"/>
  <c r="AL271" i="9" s="1"/>
  <c r="I271" i="9"/>
  <c r="K271" i="9" s="1"/>
  <c r="L271" i="9" s="1"/>
  <c r="AM270" i="9"/>
  <c r="AN270" i="9" s="1"/>
  <c r="AF270" i="9"/>
  <c r="AB270" i="9"/>
  <c r="V270" i="9"/>
  <c r="R270" i="9"/>
  <c r="I270" i="9"/>
  <c r="K270" i="9" s="1"/>
  <c r="L270" i="9" s="1"/>
  <c r="AE269" i="9"/>
  <c r="AB269" i="9"/>
  <c r="AA269" i="9"/>
  <c r="V269" i="9"/>
  <c r="U269" i="9"/>
  <c r="R269" i="9"/>
  <c r="Q269" i="9"/>
  <c r="K269" i="9"/>
  <c r="L269" i="9" s="1"/>
  <c r="I269" i="9"/>
  <c r="AM268" i="9"/>
  <c r="AN268" i="9" s="1"/>
  <c r="AK268" i="9"/>
  <c r="AL268" i="9" s="1"/>
  <c r="I268" i="9"/>
  <c r="K268" i="9" s="1"/>
  <c r="L268" i="9" s="1"/>
  <c r="AF267" i="9"/>
  <c r="AE267" i="9"/>
  <c r="AB267" i="9"/>
  <c r="AA267" i="9"/>
  <c r="V267" i="9"/>
  <c r="U267" i="9"/>
  <c r="R267" i="9"/>
  <c r="Q267" i="9"/>
  <c r="I267" i="9"/>
  <c r="K267" i="9" s="1"/>
  <c r="L267" i="9" s="1"/>
  <c r="AF266" i="9"/>
  <c r="AE266" i="9"/>
  <c r="AB266" i="9"/>
  <c r="AA266" i="9"/>
  <c r="V266" i="9"/>
  <c r="U266" i="9"/>
  <c r="R266" i="9"/>
  <c r="Q266" i="9"/>
  <c r="K266" i="9"/>
  <c r="L266" i="9" s="1"/>
  <c r="I266" i="9"/>
  <c r="AM265" i="9"/>
  <c r="AN265" i="9" s="1"/>
  <c r="AK265" i="9"/>
  <c r="AL265" i="9" s="1"/>
  <c r="I265" i="9"/>
  <c r="K265" i="9" s="1"/>
  <c r="L265" i="9" s="1"/>
  <c r="AM264" i="9"/>
  <c r="AN264" i="9" s="1"/>
  <c r="AF264" i="9"/>
  <c r="AB264" i="9"/>
  <c r="V264" i="9"/>
  <c r="R264" i="9"/>
  <c r="K264" i="9"/>
  <c r="L264" i="9" s="1"/>
  <c r="I264" i="9"/>
  <c r="AM263" i="9"/>
  <c r="AN263" i="9" s="1"/>
  <c r="AF263" i="9"/>
  <c r="AK263" i="9" s="1"/>
  <c r="AL263" i="9" s="1"/>
  <c r="AB263" i="9"/>
  <c r="V263" i="9"/>
  <c r="R263" i="9"/>
  <c r="I263" i="9"/>
  <c r="K263" i="9" s="1"/>
  <c r="L263" i="9" s="1"/>
  <c r="AF262" i="9"/>
  <c r="AE262" i="9"/>
  <c r="AM262" i="9" s="1"/>
  <c r="AN262" i="9" s="1"/>
  <c r="AB262" i="9"/>
  <c r="AA262" i="9"/>
  <c r="V262" i="9"/>
  <c r="U262" i="9"/>
  <c r="R262" i="9"/>
  <c r="Q262" i="9"/>
  <c r="I262" i="9"/>
  <c r="K262" i="9" s="1"/>
  <c r="L262" i="9" s="1"/>
  <c r="AM261" i="9"/>
  <c r="AN261" i="9" s="1"/>
  <c r="AF261" i="9"/>
  <c r="AK261" i="9" s="1"/>
  <c r="AL261" i="9" s="1"/>
  <c r="AB261" i="9"/>
  <c r="V261" i="9"/>
  <c r="R261" i="9"/>
  <c r="I261" i="9"/>
  <c r="K261" i="9" s="1"/>
  <c r="L261" i="9" s="1"/>
  <c r="AM260" i="9"/>
  <c r="AN260" i="9" s="1"/>
  <c r="AF260" i="9"/>
  <c r="AB260" i="9"/>
  <c r="V260" i="9"/>
  <c r="R260" i="9"/>
  <c r="K260" i="9"/>
  <c r="L260" i="9" s="1"/>
  <c r="I260" i="9"/>
  <c r="AM259" i="9"/>
  <c r="AN259" i="9" s="1"/>
  <c r="AF259" i="9"/>
  <c r="AB259" i="9"/>
  <c r="V259" i="9"/>
  <c r="R259" i="9"/>
  <c r="I259" i="9"/>
  <c r="K259" i="9" s="1"/>
  <c r="L259" i="9" s="1"/>
  <c r="AF258" i="9"/>
  <c r="AE258" i="9"/>
  <c r="AB258" i="9"/>
  <c r="AA258" i="9"/>
  <c r="V258" i="9"/>
  <c r="U258" i="9"/>
  <c r="R258" i="9"/>
  <c r="Q258" i="9"/>
  <c r="I258" i="9"/>
  <c r="K258" i="9" s="1"/>
  <c r="L258" i="9" s="1"/>
  <c r="AM257" i="9"/>
  <c r="AN257" i="9" s="1"/>
  <c r="AF257" i="9"/>
  <c r="AB257" i="9"/>
  <c r="V257" i="9"/>
  <c r="R257" i="9"/>
  <c r="I257" i="9"/>
  <c r="K257" i="9" s="1"/>
  <c r="L257" i="9" s="1"/>
  <c r="AM256" i="9"/>
  <c r="AN256" i="9" s="1"/>
  <c r="AF256" i="9"/>
  <c r="AB256" i="9"/>
  <c r="V256" i="9"/>
  <c r="R256" i="9"/>
  <c r="I256" i="9"/>
  <c r="K256" i="9" s="1"/>
  <c r="L256" i="9" s="1"/>
  <c r="AM255" i="9"/>
  <c r="AN255" i="9" s="1"/>
  <c r="AF255" i="9"/>
  <c r="AB255" i="9"/>
  <c r="V255" i="9"/>
  <c r="R255" i="9"/>
  <c r="I255" i="9"/>
  <c r="K255" i="9" s="1"/>
  <c r="L255" i="9" s="1"/>
  <c r="AN254" i="9"/>
  <c r="AM254" i="9"/>
  <c r="AF254" i="9"/>
  <c r="AB254" i="9"/>
  <c r="V254" i="9"/>
  <c r="R254" i="9"/>
  <c r="K254" i="9"/>
  <c r="L254" i="9" s="1"/>
  <c r="I254" i="9"/>
  <c r="AF253" i="9"/>
  <c r="AE253" i="9"/>
  <c r="AB253" i="9"/>
  <c r="AA253" i="9"/>
  <c r="V253" i="9"/>
  <c r="U253" i="9"/>
  <c r="R253" i="9"/>
  <c r="Q253" i="9"/>
  <c r="I253" i="9"/>
  <c r="K253" i="9" s="1"/>
  <c r="L253" i="9" s="1"/>
  <c r="AM252" i="9"/>
  <c r="AN252" i="9" s="1"/>
  <c r="AF252" i="9"/>
  <c r="AB252" i="9"/>
  <c r="V252" i="9"/>
  <c r="R252" i="9"/>
  <c r="K252" i="9"/>
  <c r="L252" i="9" s="1"/>
  <c r="I252" i="9"/>
  <c r="AN251" i="9"/>
  <c r="AM251" i="9"/>
  <c r="AK251" i="9"/>
  <c r="AL251" i="9" s="1"/>
  <c r="I251" i="9"/>
  <c r="K251" i="9" s="1"/>
  <c r="L251" i="9" s="1"/>
  <c r="AN250" i="9"/>
  <c r="AM250" i="9"/>
  <c r="AF250" i="9"/>
  <c r="AB250" i="9"/>
  <c r="V250" i="9"/>
  <c r="R250" i="9"/>
  <c r="I250" i="9"/>
  <c r="K250" i="9" s="1"/>
  <c r="L250" i="9" s="1"/>
  <c r="AF249" i="9"/>
  <c r="AE249" i="9"/>
  <c r="AB249" i="9"/>
  <c r="AA249" i="9"/>
  <c r="V249" i="9"/>
  <c r="U249" i="9"/>
  <c r="R249" i="9"/>
  <c r="Q249" i="9"/>
  <c r="I249" i="9"/>
  <c r="K249" i="9" s="1"/>
  <c r="L249" i="9" s="1"/>
  <c r="AM248" i="9"/>
  <c r="AN248" i="9" s="1"/>
  <c r="AF248" i="9"/>
  <c r="AB248" i="9"/>
  <c r="V248" i="9"/>
  <c r="R248" i="9"/>
  <c r="I248" i="9"/>
  <c r="K248" i="9" s="1"/>
  <c r="L248" i="9" s="1"/>
  <c r="AF247" i="9"/>
  <c r="AE247" i="9"/>
  <c r="AB247" i="9"/>
  <c r="AA247" i="9"/>
  <c r="V247" i="9"/>
  <c r="U247" i="9"/>
  <c r="R247" i="9"/>
  <c r="Q247" i="9"/>
  <c r="L247" i="9"/>
  <c r="I247" i="9"/>
  <c r="K247" i="9" s="1"/>
  <c r="AM246" i="9"/>
  <c r="AN246" i="9" s="1"/>
  <c r="AF246" i="9"/>
  <c r="AB246" i="9"/>
  <c r="V246" i="9"/>
  <c r="R246" i="9"/>
  <c r="I246" i="9"/>
  <c r="K246" i="9" s="1"/>
  <c r="L246" i="9" s="1"/>
  <c r="AM245" i="9"/>
  <c r="AN245" i="9" s="1"/>
  <c r="AF245" i="9"/>
  <c r="AB245" i="9"/>
  <c r="V245" i="9"/>
  <c r="R245" i="9"/>
  <c r="I245" i="9"/>
  <c r="K245" i="9" s="1"/>
  <c r="L245" i="9" s="1"/>
  <c r="AM244" i="9"/>
  <c r="AN244" i="9" s="1"/>
  <c r="AF244" i="9"/>
  <c r="AB244" i="9"/>
  <c r="V244" i="9"/>
  <c r="R244" i="9"/>
  <c r="K244" i="9"/>
  <c r="L244" i="9" s="1"/>
  <c r="I244" i="9"/>
  <c r="AF243" i="9"/>
  <c r="AE243" i="9"/>
  <c r="AB243" i="9"/>
  <c r="AA243" i="9"/>
  <c r="V243" i="9"/>
  <c r="U243" i="9"/>
  <c r="R243" i="9"/>
  <c r="Q243" i="9"/>
  <c r="I243" i="9"/>
  <c r="K243" i="9" s="1"/>
  <c r="L243" i="9" s="1"/>
  <c r="AM242" i="9"/>
  <c r="AN242" i="9" s="1"/>
  <c r="AF242" i="9"/>
  <c r="AB242" i="9"/>
  <c r="V242" i="9"/>
  <c r="R242" i="9"/>
  <c r="I242" i="9"/>
  <c r="K242" i="9" s="1"/>
  <c r="L242" i="9" s="1"/>
  <c r="AM241" i="9"/>
  <c r="AN241" i="9" s="1"/>
  <c r="AF241" i="9"/>
  <c r="AB241" i="9"/>
  <c r="V241" i="9"/>
  <c r="R241" i="9"/>
  <c r="I241" i="9"/>
  <c r="K241" i="9" s="1"/>
  <c r="L241" i="9" s="1"/>
  <c r="AM240" i="9"/>
  <c r="AN240" i="9" s="1"/>
  <c r="AF240" i="9"/>
  <c r="AB240" i="9"/>
  <c r="V240" i="9"/>
  <c r="R240" i="9"/>
  <c r="K240" i="9"/>
  <c r="L240" i="9" s="1"/>
  <c r="I240" i="9"/>
  <c r="AM239" i="9"/>
  <c r="AN239" i="9" s="1"/>
  <c r="AK239" i="9"/>
  <c r="AL239" i="9" s="1"/>
  <c r="AF239" i="9"/>
  <c r="AB239" i="9"/>
  <c r="V239" i="9"/>
  <c r="R239" i="9"/>
  <c r="I239" i="9"/>
  <c r="K239" i="9" s="1"/>
  <c r="L239" i="9" s="1"/>
  <c r="AM238" i="9"/>
  <c r="AN238" i="9" s="1"/>
  <c r="AF238" i="9"/>
  <c r="AB238" i="9"/>
  <c r="V238" i="9"/>
  <c r="R238" i="9"/>
  <c r="I238" i="9"/>
  <c r="K238" i="9" s="1"/>
  <c r="L238" i="9" s="1"/>
  <c r="AM237" i="9"/>
  <c r="AN237" i="9" s="1"/>
  <c r="AF237" i="9"/>
  <c r="AB237" i="9"/>
  <c r="V237" i="9"/>
  <c r="R237" i="9"/>
  <c r="I237" i="9"/>
  <c r="K237" i="9" s="1"/>
  <c r="L237" i="9" s="1"/>
  <c r="AM236" i="9"/>
  <c r="AN236" i="9" s="1"/>
  <c r="AK236" i="9"/>
  <c r="AL236" i="9" s="1"/>
  <c r="AF236" i="9"/>
  <c r="AB236" i="9"/>
  <c r="V236" i="9"/>
  <c r="R236" i="9"/>
  <c r="K236" i="9"/>
  <c r="L236" i="9" s="1"/>
  <c r="I236" i="9"/>
  <c r="AN235" i="9"/>
  <c r="AM235" i="9"/>
  <c r="AF235" i="9"/>
  <c r="AB235" i="9"/>
  <c r="V235" i="9"/>
  <c r="AK235" i="9" s="1"/>
  <c r="AL235" i="9" s="1"/>
  <c r="R235" i="9"/>
  <c r="I235" i="9"/>
  <c r="K235" i="9" s="1"/>
  <c r="L235" i="9" s="1"/>
  <c r="AF234" i="9"/>
  <c r="AE234" i="9"/>
  <c r="AB234" i="9"/>
  <c r="AA234" i="9"/>
  <c r="V234" i="9"/>
  <c r="U234" i="9"/>
  <c r="R234" i="9"/>
  <c r="Q234" i="9"/>
  <c r="L234" i="9"/>
  <c r="I234" i="9"/>
  <c r="K234" i="9" s="1"/>
  <c r="AM233" i="9"/>
  <c r="AN233" i="9" s="1"/>
  <c r="AF233" i="9"/>
  <c r="AB233" i="9"/>
  <c r="V233" i="9"/>
  <c r="R233" i="9"/>
  <c r="I233" i="9"/>
  <c r="K233" i="9" s="1"/>
  <c r="L233" i="9" s="1"/>
  <c r="AF232" i="9"/>
  <c r="AE232" i="9"/>
  <c r="AB232" i="9"/>
  <c r="AA232" i="9"/>
  <c r="V232" i="9"/>
  <c r="U232" i="9"/>
  <c r="R232" i="9"/>
  <c r="AK232" i="9" s="1"/>
  <c r="AL232" i="9" s="1"/>
  <c r="Q232" i="9"/>
  <c r="I232" i="9"/>
  <c r="K232" i="9" s="1"/>
  <c r="L232" i="9" s="1"/>
  <c r="AF231" i="9"/>
  <c r="AE231" i="9"/>
  <c r="AB231" i="9"/>
  <c r="AA231" i="9"/>
  <c r="V231" i="9"/>
  <c r="U231" i="9"/>
  <c r="R231" i="9"/>
  <c r="Q231" i="9"/>
  <c r="I231" i="9"/>
  <c r="K231" i="9" s="1"/>
  <c r="L231" i="9" s="1"/>
  <c r="AF230" i="9"/>
  <c r="AE230" i="9"/>
  <c r="AB230" i="9"/>
  <c r="AA230" i="9"/>
  <c r="V230" i="9"/>
  <c r="U230" i="9"/>
  <c r="R230" i="9"/>
  <c r="Q230" i="9"/>
  <c r="I230" i="9"/>
  <c r="K230" i="9" s="1"/>
  <c r="L230" i="9" s="1"/>
  <c r="AM229" i="9"/>
  <c r="AN229" i="9" s="1"/>
  <c r="AF229" i="9"/>
  <c r="AB229" i="9"/>
  <c r="V229" i="9"/>
  <c r="R229" i="9"/>
  <c r="I229" i="9"/>
  <c r="K229" i="9" s="1"/>
  <c r="L229" i="9" s="1"/>
  <c r="AM228" i="9"/>
  <c r="AN228" i="9" s="1"/>
  <c r="AF228" i="9"/>
  <c r="AB228" i="9"/>
  <c r="V228" i="9"/>
  <c r="R228" i="9"/>
  <c r="AK228" i="9" s="1"/>
  <c r="AL228" i="9" s="1"/>
  <c r="I228" i="9"/>
  <c r="K228" i="9" s="1"/>
  <c r="L228" i="9" s="1"/>
  <c r="AN227" i="9"/>
  <c r="AM227" i="9"/>
  <c r="AF227" i="9"/>
  <c r="AB227" i="9"/>
  <c r="V227" i="9"/>
  <c r="R227" i="9"/>
  <c r="I227" i="9"/>
  <c r="K227" i="9" s="1"/>
  <c r="L227" i="9" s="1"/>
  <c r="AN226" i="9"/>
  <c r="AM226" i="9"/>
  <c r="AF226" i="9"/>
  <c r="AB226" i="9"/>
  <c r="V226" i="9"/>
  <c r="R226" i="9"/>
  <c r="I226" i="9"/>
  <c r="K226" i="9" s="1"/>
  <c r="L226" i="9" s="1"/>
  <c r="AM225" i="9"/>
  <c r="AN225" i="9" s="1"/>
  <c r="AF225" i="9"/>
  <c r="AB225" i="9"/>
  <c r="V225" i="9"/>
  <c r="R225" i="9"/>
  <c r="I225" i="9"/>
  <c r="K225" i="9" s="1"/>
  <c r="L225" i="9" s="1"/>
  <c r="AF224" i="9"/>
  <c r="AE224" i="9"/>
  <c r="AB224" i="9"/>
  <c r="AA224" i="9"/>
  <c r="V224" i="9"/>
  <c r="U224" i="9"/>
  <c r="R224" i="9"/>
  <c r="Q224" i="9"/>
  <c r="I224" i="9"/>
  <c r="K224" i="9" s="1"/>
  <c r="L224" i="9" s="1"/>
  <c r="AF223" i="9"/>
  <c r="AE223" i="9"/>
  <c r="AB223" i="9"/>
  <c r="AA223" i="9"/>
  <c r="V223" i="9"/>
  <c r="U223" i="9"/>
  <c r="R223" i="9"/>
  <c r="Q223" i="9"/>
  <c r="K223" i="9"/>
  <c r="L223" i="9" s="1"/>
  <c r="I223" i="9"/>
  <c r="AF222" i="9"/>
  <c r="AE222" i="9"/>
  <c r="AB222" i="9"/>
  <c r="AA222" i="9"/>
  <c r="AM222" i="9" s="1"/>
  <c r="AN222" i="9" s="1"/>
  <c r="V222" i="9"/>
  <c r="U222" i="9"/>
  <c r="R222" i="9"/>
  <c r="Q222" i="9"/>
  <c r="I222" i="9"/>
  <c r="K222" i="9" s="1"/>
  <c r="L222" i="9" s="1"/>
  <c r="AF221" i="9"/>
  <c r="AE221" i="9"/>
  <c r="AB221" i="9"/>
  <c r="AA221" i="9"/>
  <c r="V221" i="9"/>
  <c r="U221" i="9"/>
  <c r="R221" i="9"/>
  <c r="Q221" i="9"/>
  <c r="K221" i="9"/>
  <c r="L221" i="9" s="1"/>
  <c r="I221" i="9"/>
  <c r="AM220" i="9"/>
  <c r="AN220" i="9" s="1"/>
  <c r="AF220" i="9"/>
  <c r="AB220" i="9"/>
  <c r="V220" i="9"/>
  <c r="R220" i="9"/>
  <c r="I220" i="9"/>
  <c r="K220" i="9" s="1"/>
  <c r="L220" i="9" s="1"/>
  <c r="AF219" i="9"/>
  <c r="AE219" i="9"/>
  <c r="AB219" i="9"/>
  <c r="AA219" i="9"/>
  <c r="V219" i="9"/>
  <c r="U219" i="9"/>
  <c r="R219" i="9"/>
  <c r="Q219" i="9"/>
  <c r="L219" i="9"/>
  <c r="I219" i="9"/>
  <c r="K219" i="9" s="1"/>
  <c r="AM218" i="9"/>
  <c r="AN218" i="9" s="1"/>
  <c r="AF218" i="9"/>
  <c r="AB218" i="9"/>
  <c r="V218" i="9"/>
  <c r="R218" i="9"/>
  <c r="I218" i="9"/>
  <c r="K218" i="9" s="1"/>
  <c r="L218" i="9" s="1"/>
  <c r="AF217" i="9"/>
  <c r="AE217" i="9"/>
  <c r="AB217" i="9"/>
  <c r="AA217" i="9"/>
  <c r="V217" i="9"/>
  <c r="U217" i="9"/>
  <c r="R217" i="9"/>
  <c r="AK217" i="9" s="1"/>
  <c r="AL217" i="9" s="1"/>
  <c r="Q217" i="9"/>
  <c r="I217" i="9"/>
  <c r="K217" i="9" s="1"/>
  <c r="L217" i="9" s="1"/>
  <c r="AF216" i="9"/>
  <c r="AE216" i="9"/>
  <c r="AB216" i="9"/>
  <c r="AA216" i="9"/>
  <c r="V216" i="9"/>
  <c r="U216" i="9"/>
  <c r="R216" i="9"/>
  <c r="Q216" i="9"/>
  <c r="I216" i="9"/>
  <c r="K216" i="9" s="1"/>
  <c r="L216" i="9" s="1"/>
  <c r="AF215" i="9"/>
  <c r="AE215" i="9"/>
  <c r="AB215" i="9"/>
  <c r="AK215" i="9" s="1"/>
  <c r="AL215" i="9" s="1"/>
  <c r="AA215" i="9"/>
  <c r="V215" i="9"/>
  <c r="U215" i="9"/>
  <c r="R215" i="9"/>
  <c r="Q215" i="9"/>
  <c r="I215" i="9"/>
  <c r="K215" i="9" s="1"/>
  <c r="L215" i="9" s="1"/>
  <c r="AM214" i="9"/>
  <c r="AN214" i="9" s="1"/>
  <c r="AF214" i="9"/>
  <c r="AB214" i="9"/>
  <c r="V214" i="9"/>
  <c r="R214" i="9"/>
  <c r="I214" i="9"/>
  <c r="K214" i="9" s="1"/>
  <c r="L214" i="9" s="1"/>
  <c r="AM213" i="9"/>
  <c r="AN213" i="9" s="1"/>
  <c r="AF213" i="9"/>
  <c r="AB213" i="9"/>
  <c r="V213" i="9"/>
  <c r="R213" i="9"/>
  <c r="I213" i="9"/>
  <c r="K213" i="9" s="1"/>
  <c r="L213" i="9" s="1"/>
  <c r="AN212" i="9"/>
  <c r="AM212" i="9"/>
  <c r="AF212" i="9"/>
  <c r="AB212" i="9"/>
  <c r="V212" i="9"/>
  <c r="AK212" i="9" s="1"/>
  <c r="AL212" i="9" s="1"/>
  <c r="R212" i="9"/>
  <c r="I212" i="9"/>
  <c r="K212" i="9" s="1"/>
  <c r="L212" i="9" s="1"/>
  <c r="AM211" i="9"/>
  <c r="AN211" i="9" s="1"/>
  <c r="AF211" i="9"/>
  <c r="AB211" i="9"/>
  <c r="V211" i="9"/>
  <c r="R211" i="9"/>
  <c r="I211" i="9"/>
  <c r="K211" i="9" s="1"/>
  <c r="L211" i="9" s="1"/>
  <c r="AM210" i="9"/>
  <c r="AN210" i="9" s="1"/>
  <c r="AF210" i="9"/>
  <c r="AB210" i="9"/>
  <c r="V210" i="9"/>
  <c r="R210" i="9"/>
  <c r="I210" i="9"/>
  <c r="K210" i="9" s="1"/>
  <c r="L210" i="9" s="1"/>
  <c r="AM209" i="9"/>
  <c r="AN209" i="9" s="1"/>
  <c r="AF209" i="9"/>
  <c r="AB209" i="9"/>
  <c r="V209" i="9"/>
  <c r="R209" i="9"/>
  <c r="K209" i="9"/>
  <c r="L209" i="9" s="1"/>
  <c r="I209" i="9"/>
  <c r="AF208" i="9"/>
  <c r="AE208" i="9"/>
  <c r="AB208" i="9"/>
  <c r="AA208" i="9"/>
  <c r="V208" i="9"/>
  <c r="U208" i="9"/>
  <c r="R208" i="9"/>
  <c r="Q208" i="9"/>
  <c r="AM208" i="9" s="1"/>
  <c r="AN208" i="9" s="1"/>
  <c r="K208" i="9"/>
  <c r="L208" i="9" s="1"/>
  <c r="I208" i="9"/>
  <c r="AN207" i="9"/>
  <c r="AM207" i="9"/>
  <c r="AF207" i="9"/>
  <c r="AB207" i="9"/>
  <c r="V207" i="9"/>
  <c r="R207" i="9"/>
  <c r="I207" i="9"/>
  <c r="K207" i="9" s="1"/>
  <c r="L207" i="9" s="1"/>
  <c r="AM206" i="9"/>
  <c r="AN206" i="9" s="1"/>
  <c r="AF206" i="9"/>
  <c r="AB206" i="9"/>
  <c r="V206" i="9"/>
  <c r="R206" i="9"/>
  <c r="K206" i="9"/>
  <c r="L206" i="9" s="1"/>
  <c r="I206" i="9"/>
  <c r="AM205" i="9"/>
  <c r="AN205" i="9" s="1"/>
  <c r="AF205" i="9"/>
  <c r="AB205" i="9"/>
  <c r="V205" i="9"/>
  <c r="R205" i="9"/>
  <c r="K205" i="9"/>
  <c r="L205" i="9" s="1"/>
  <c r="I205" i="9"/>
  <c r="AM204" i="9"/>
  <c r="AN204" i="9" s="1"/>
  <c r="AF204" i="9"/>
  <c r="AB204" i="9"/>
  <c r="V204" i="9"/>
  <c r="R204" i="9"/>
  <c r="I204" i="9"/>
  <c r="K204" i="9" s="1"/>
  <c r="L204" i="9" s="1"/>
  <c r="AM203" i="9"/>
  <c r="AN203" i="9" s="1"/>
  <c r="AF203" i="9"/>
  <c r="AB203" i="9"/>
  <c r="V203" i="9"/>
  <c r="R203" i="9"/>
  <c r="I203" i="9"/>
  <c r="K203" i="9" s="1"/>
  <c r="L203" i="9" s="1"/>
  <c r="AM202" i="9"/>
  <c r="AN202" i="9" s="1"/>
  <c r="AF202" i="9"/>
  <c r="AB202" i="9"/>
  <c r="V202" i="9"/>
  <c r="R202" i="9"/>
  <c r="K202" i="9"/>
  <c r="L202" i="9" s="1"/>
  <c r="I202" i="9"/>
  <c r="AM201" i="9"/>
  <c r="AN201" i="9" s="1"/>
  <c r="AF201" i="9"/>
  <c r="AB201" i="9"/>
  <c r="V201" i="9"/>
  <c r="R201" i="9"/>
  <c r="AK201" i="9" s="1"/>
  <c r="AL201" i="9" s="1"/>
  <c r="I201" i="9"/>
  <c r="K201" i="9" s="1"/>
  <c r="L201" i="9" s="1"/>
  <c r="AM200" i="9"/>
  <c r="AN200" i="9" s="1"/>
  <c r="AF200" i="9"/>
  <c r="AB200" i="9"/>
  <c r="V200" i="9"/>
  <c r="AK200" i="9" s="1"/>
  <c r="AL200" i="9" s="1"/>
  <c r="R200" i="9"/>
  <c r="I200" i="9"/>
  <c r="K200" i="9" s="1"/>
  <c r="L200" i="9" s="1"/>
  <c r="AM199" i="9"/>
  <c r="AN199" i="9" s="1"/>
  <c r="AF199" i="9"/>
  <c r="AB199" i="9"/>
  <c r="V199" i="9"/>
  <c r="R199" i="9"/>
  <c r="I199" i="9"/>
  <c r="K199" i="9" s="1"/>
  <c r="L199" i="9" s="1"/>
  <c r="AM198" i="9"/>
  <c r="AN198" i="9" s="1"/>
  <c r="AF198" i="9"/>
  <c r="AK198" i="9" s="1"/>
  <c r="AL198" i="9" s="1"/>
  <c r="AB198" i="9"/>
  <c r="V198" i="9"/>
  <c r="R198" i="9"/>
  <c r="I198" i="9"/>
  <c r="K198" i="9" s="1"/>
  <c r="L198" i="9" s="1"/>
  <c r="AM197" i="9"/>
  <c r="AN197" i="9" s="1"/>
  <c r="AF197" i="9"/>
  <c r="AB197" i="9"/>
  <c r="V197" i="9"/>
  <c r="R197" i="9"/>
  <c r="K197" i="9"/>
  <c r="L197" i="9" s="1"/>
  <c r="I197" i="9"/>
  <c r="AM196" i="9"/>
  <c r="AN196" i="9" s="1"/>
  <c r="AF196" i="9"/>
  <c r="AB196" i="9"/>
  <c r="V196" i="9"/>
  <c r="R196" i="9"/>
  <c r="I196" i="9"/>
  <c r="K196" i="9" s="1"/>
  <c r="L196" i="9" s="1"/>
  <c r="AM195" i="9"/>
  <c r="AN195" i="9" s="1"/>
  <c r="AF195" i="9"/>
  <c r="AB195" i="9"/>
  <c r="V195" i="9"/>
  <c r="R195" i="9"/>
  <c r="I195" i="9"/>
  <c r="K195" i="9" s="1"/>
  <c r="L195" i="9" s="1"/>
  <c r="AM194" i="9"/>
  <c r="AN194" i="9" s="1"/>
  <c r="AF194" i="9"/>
  <c r="AB194" i="9"/>
  <c r="V194" i="9"/>
  <c r="R194" i="9"/>
  <c r="I194" i="9"/>
  <c r="K194" i="9" s="1"/>
  <c r="L194" i="9" s="1"/>
  <c r="AM193" i="9"/>
  <c r="AN193" i="9" s="1"/>
  <c r="AF193" i="9"/>
  <c r="AB193" i="9"/>
  <c r="V193" i="9"/>
  <c r="R193" i="9"/>
  <c r="I193" i="9"/>
  <c r="K193" i="9" s="1"/>
  <c r="L193" i="9" s="1"/>
  <c r="AN192" i="9"/>
  <c r="AM192" i="9"/>
  <c r="AF192" i="9"/>
  <c r="AB192" i="9"/>
  <c r="V192" i="9"/>
  <c r="R192" i="9"/>
  <c r="I192" i="9"/>
  <c r="K192" i="9" s="1"/>
  <c r="L192" i="9" s="1"/>
  <c r="AM191" i="9"/>
  <c r="AN191" i="9" s="1"/>
  <c r="AF191" i="9"/>
  <c r="AB191" i="9"/>
  <c r="V191" i="9"/>
  <c r="R191" i="9"/>
  <c r="L191" i="9"/>
  <c r="I191" i="9"/>
  <c r="K191" i="9" s="1"/>
  <c r="AF190" i="9"/>
  <c r="AE190" i="9"/>
  <c r="AB190" i="9"/>
  <c r="AA190" i="9"/>
  <c r="V190" i="9"/>
  <c r="U190" i="9"/>
  <c r="R190" i="9"/>
  <c r="Q190" i="9"/>
  <c r="I190" i="9"/>
  <c r="K190" i="9" s="1"/>
  <c r="L190" i="9" s="1"/>
  <c r="AM189" i="9"/>
  <c r="AN189" i="9" s="1"/>
  <c r="AK189" i="9"/>
  <c r="AL189" i="9" s="1"/>
  <c r="AF189" i="9"/>
  <c r="AB189" i="9"/>
  <c r="V189" i="9"/>
  <c r="R189" i="9"/>
  <c r="I189" i="9"/>
  <c r="K189" i="9" s="1"/>
  <c r="L189" i="9" s="1"/>
  <c r="AM188" i="9"/>
  <c r="AN188" i="9" s="1"/>
  <c r="AF188" i="9"/>
  <c r="AB188" i="9"/>
  <c r="V188" i="9"/>
  <c r="R188" i="9"/>
  <c r="I188" i="9"/>
  <c r="K188" i="9" s="1"/>
  <c r="L188" i="9" s="1"/>
  <c r="AM187" i="9"/>
  <c r="AN187" i="9" s="1"/>
  <c r="AF187" i="9"/>
  <c r="AB187" i="9"/>
  <c r="V187" i="9"/>
  <c r="R187" i="9"/>
  <c r="L187" i="9"/>
  <c r="I187" i="9"/>
  <c r="K187" i="9" s="1"/>
  <c r="AF186" i="9"/>
  <c r="AE186" i="9"/>
  <c r="AB186" i="9"/>
  <c r="AA186" i="9"/>
  <c r="V186" i="9"/>
  <c r="U186" i="9"/>
  <c r="R186" i="9"/>
  <c r="Q186" i="9"/>
  <c r="I186" i="9"/>
  <c r="K186" i="9" s="1"/>
  <c r="L186" i="9" s="1"/>
  <c r="AM185" i="9"/>
  <c r="AN185" i="9" s="1"/>
  <c r="AF185" i="9"/>
  <c r="AB185" i="9"/>
  <c r="AK185" i="9" s="1"/>
  <c r="AL185" i="9" s="1"/>
  <c r="V185" i="9"/>
  <c r="R185" i="9"/>
  <c r="I185" i="9"/>
  <c r="K185" i="9" s="1"/>
  <c r="L185" i="9" s="1"/>
  <c r="AM184" i="9"/>
  <c r="AN184" i="9" s="1"/>
  <c r="AF184" i="9"/>
  <c r="AB184" i="9"/>
  <c r="V184" i="9"/>
  <c r="R184" i="9"/>
  <c r="K184" i="9"/>
  <c r="L184" i="9" s="1"/>
  <c r="I184" i="9"/>
  <c r="AM183" i="9"/>
  <c r="AN183" i="9" s="1"/>
  <c r="AF183" i="9"/>
  <c r="AB183" i="9"/>
  <c r="V183" i="9"/>
  <c r="R183" i="9"/>
  <c r="I183" i="9"/>
  <c r="K183" i="9" s="1"/>
  <c r="L183" i="9" s="1"/>
  <c r="AM182" i="9"/>
  <c r="AN182" i="9" s="1"/>
  <c r="AF182" i="9"/>
  <c r="AB182" i="9"/>
  <c r="V182" i="9"/>
  <c r="AK182" i="9" s="1"/>
  <c r="AL182" i="9" s="1"/>
  <c r="R182" i="9"/>
  <c r="I182" i="9"/>
  <c r="K182" i="9" s="1"/>
  <c r="L182" i="9" s="1"/>
  <c r="AM181" i="9"/>
  <c r="AN181" i="9" s="1"/>
  <c r="AF181" i="9"/>
  <c r="AB181" i="9"/>
  <c r="V181" i="9"/>
  <c r="R181" i="9"/>
  <c r="I181" i="9"/>
  <c r="K181" i="9" s="1"/>
  <c r="L181" i="9" s="1"/>
  <c r="AM180" i="9"/>
  <c r="AN180" i="9" s="1"/>
  <c r="AF180" i="9"/>
  <c r="AB180" i="9"/>
  <c r="V180" i="9"/>
  <c r="R180" i="9"/>
  <c r="K180" i="9"/>
  <c r="L180" i="9" s="1"/>
  <c r="I180" i="9"/>
  <c r="AM179" i="9"/>
  <c r="AN179" i="9" s="1"/>
  <c r="AF179" i="9"/>
  <c r="AB179" i="9"/>
  <c r="V179" i="9"/>
  <c r="R179" i="9"/>
  <c r="K179" i="9"/>
  <c r="L179" i="9" s="1"/>
  <c r="I179" i="9"/>
  <c r="AM178" i="9"/>
  <c r="AN178" i="9" s="1"/>
  <c r="AF178" i="9"/>
  <c r="AK178" i="9" s="1"/>
  <c r="AL178" i="9" s="1"/>
  <c r="AB178" i="9"/>
  <c r="V178" i="9"/>
  <c r="R178" i="9"/>
  <c r="I178" i="9"/>
  <c r="K178" i="9" s="1"/>
  <c r="L178" i="9" s="1"/>
  <c r="AM177" i="9"/>
  <c r="AN177" i="9" s="1"/>
  <c r="AF177" i="9"/>
  <c r="AB177" i="9"/>
  <c r="V177" i="9"/>
  <c r="R177" i="9"/>
  <c r="I177" i="9"/>
  <c r="K177" i="9" s="1"/>
  <c r="L177" i="9" s="1"/>
  <c r="AM176" i="9"/>
  <c r="AN176" i="9" s="1"/>
  <c r="AF176" i="9"/>
  <c r="AB176" i="9"/>
  <c r="V176" i="9"/>
  <c r="R176" i="9"/>
  <c r="I176" i="9"/>
  <c r="K176" i="9" s="1"/>
  <c r="L176" i="9" s="1"/>
  <c r="AM175" i="9"/>
  <c r="AN175" i="9" s="1"/>
  <c r="AK175" i="9"/>
  <c r="AL175" i="9" s="1"/>
  <c r="AF175" i="9"/>
  <c r="AB175" i="9"/>
  <c r="V175" i="9"/>
  <c r="R175" i="9"/>
  <c r="I175" i="9"/>
  <c r="K175" i="9" s="1"/>
  <c r="L175" i="9" s="1"/>
  <c r="AM174" i="9"/>
  <c r="AN174" i="9" s="1"/>
  <c r="AF174" i="9"/>
  <c r="AB174" i="9"/>
  <c r="V174" i="9"/>
  <c r="R174" i="9"/>
  <c r="I174" i="9"/>
  <c r="K174" i="9" s="1"/>
  <c r="L174" i="9" s="1"/>
  <c r="AM173" i="9"/>
  <c r="AN173" i="9" s="1"/>
  <c r="AF173" i="9"/>
  <c r="AB173" i="9"/>
  <c r="V173" i="9"/>
  <c r="R173" i="9"/>
  <c r="I173" i="9"/>
  <c r="K173" i="9" s="1"/>
  <c r="L173" i="9" s="1"/>
  <c r="AM172" i="9"/>
  <c r="AN172" i="9" s="1"/>
  <c r="AF172" i="9"/>
  <c r="AB172" i="9"/>
  <c r="V172" i="9"/>
  <c r="R172" i="9"/>
  <c r="I172" i="9"/>
  <c r="K172" i="9" s="1"/>
  <c r="L172" i="9" s="1"/>
  <c r="AN171" i="9"/>
  <c r="AM171" i="9"/>
  <c r="AF171" i="9"/>
  <c r="AB171" i="9"/>
  <c r="V171" i="9"/>
  <c r="R171" i="9"/>
  <c r="AK171" i="9" s="1"/>
  <c r="AL171" i="9" s="1"/>
  <c r="I171" i="9"/>
  <c r="K171" i="9" s="1"/>
  <c r="L171" i="9" s="1"/>
  <c r="AN170" i="9"/>
  <c r="AM170" i="9"/>
  <c r="AF170" i="9"/>
  <c r="AB170" i="9"/>
  <c r="V170" i="9"/>
  <c r="R170" i="9"/>
  <c r="I170" i="9"/>
  <c r="K170" i="9" s="1"/>
  <c r="L170" i="9" s="1"/>
  <c r="AM169" i="9"/>
  <c r="AN169" i="9" s="1"/>
  <c r="AF169" i="9"/>
  <c r="AB169" i="9"/>
  <c r="V169" i="9"/>
  <c r="R169" i="9"/>
  <c r="I169" i="9"/>
  <c r="K169" i="9" s="1"/>
  <c r="L169" i="9" s="1"/>
  <c r="AM168" i="9"/>
  <c r="AN168" i="9" s="1"/>
  <c r="AF168" i="9"/>
  <c r="AB168" i="9"/>
  <c r="V168" i="9"/>
  <c r="R168" i="9"/>
  <c r="AK168" i="9" s="1"/>
  <c r="AL168" i="9" s="1"/>
  <c r="I168" i="9"/>
  <c r="K168" i="9" s="1"/>
  <c r="L168" i="9" s="1"/>
  <c r="AM167" i="9"/>
  <c r="AN167" i="9" s="1"/>
  <c r="AF167" i="9"/>
  <c r="AB167" i="9"/>
  <c r="V167" i="9"/>
  <c r="R167" i="9"/>
  <c r="K167" i="9"/>
  <c r="L167" i="9" s="1"/>
  <c r="I167" i="9"/>
  <c r="AM166" i="9"/>
  <c r="AN166" i="9" s="1"/>
  <c r="AF166" i="9"/>
  <c r="AB166" i="9"/>
  <c r="V166" i="9"/>
  <c r="R166" i="9"/>
  <c r="AK166" i="9" s="1"/>
  <c r="AL166" i="9" s="1"/>
  <c r="L166" i="9"/>
  <c r="I166" i="9"/>
  <c r="K166" i="9" s="1"/>
  <c r="AN165" i="9"/>
  <c r="AM165" i="9"/>
  <c r="AF165" i="9"/>
  <c r="AB165" i="9"/>
  <c r="V165" i="9"/>
  <c r="R165" i="9"/>
  <c r="AK165" i="9" s="1"/>
  <c r="AL165" i="9" s="1"/>
  <c r="I165" i="9"/>
  <c r="K165" i="9" s="1"/>
  <c r="L165" i="9" s="1"/>
  <c r="AN164" i="9"/>
  <c r="AM164" i="9"/>
  <c r="AF164" i="9"/>
  <c r="AB164" i="9"/>
  <c r="V164" i="9"/>
  <c r="R164" i="9"/>
  <c r="I164" i="9"/>
  <c r="K164" i="9" s="1"/>
  <c r="L164" i="9" s="1"/>
  <c r="AM163" i="9"/>
  <c r="AN163" i="9" s="1"/>
  <c r="AF163" i="9"/>
  <c r="AB163" i="9"/>
  <c r="V163" i="9"/>
  <c r="R163" i="9"/>
  <c r="I163" i="9"/>
  <c r="K163" i="9" s="1"/>
  <c r="L163" i="9" s="1"/>
  <c r="AM162" i="9"/>
  <c r="AN162" i="9" s="1"/>
  <c r="AF162" i="9"/>
  <c r="AB162" i="9"/>
  <c r="V162" i="9"/>
  <c r="R162" i="9"/>
  <c r="I162" i="9"/>
  <c r="K162" i="9" s="1"/>
  <c r="L162" i="9" s="1"/>
  <c r="AN161" i="9"/>
  <c r="AM161" i="9"/>
  <c r="AF161" i="9"/>
  <c r="AB161" i="9"/>
  <c r="V161" i="9"/>
  <c r="R161" i="9"/>
  <c r="AK161" i="9" s="1"/>
  <c r="AL161" i="9" s="1"/>
  <c r="L161" i="9"/>
  <c r="I161" i="9"/>
  <c r="K161" i="9" s="1"/>
  <c r="AF160" i="9"/>
  <c r="AE160" i="9"/>
  <c r="AB160" i="9"/>
  <c r="AA160" i="9"/>
  <c r="V160" i="9"/>
  <c r="U160" i="9"/>
  <c r="R160" i="9"/>
  <c r="Q160" i="9"/>
  <c r="I160" i="9"/>
  <c r="K160" i="9" s="1"/>
  <c r="L160" i="9" s="1"/>
  <c r="AM159" i="9"/>
  <c r="AN159" i="9" s="1"/>
  <c r="AF159" i="9"/>
  <c r="AB159" i="9"/>
  <c r="V159" i="9"/>
  <c r="R159" i="9"/>
  <c r="I159" i="9"/>
  <c r="K159" i="9" s="1"/>
  <c r="L159" i="9" s="1"/>
  <c r="AF158" i="9"/>
  <c r="AK158" i="9" s="1"/>
  <c r="AL158" i="9" s="1"/>
  <c r="AE158" i="9"/>
  <c r="AB158" i="9"/>
  <c r="AA158" i="9"/>
  <c r="AM158" i="9" s="1"/>
  <c r="AN158" i="9" s="1"/>
  <c r="V158" i="9"/>
  <c r="U158" i="9"/>
  <c r="R158" i="9"/>
  <c r="Q158" i="9"/>
  <c r="K158" i="9"/>
  <c r="L158" i="9" s="1"/>
  <c r="I158" i="9"/>
  <c r="AF157" i="9"/>
  <c r="AE157" i="9"/>
  <c r="AB157" i="9"/>
  <c r="AA157" i="9"/>
  <c r="V157" i="9"/>
  <c r="U157" i="9"/>
  <c r="R157" i="9"/>
  <c r="Q157" i="9"/>
  <c r="K157" i="9"/>
  <c r="L157" i="9" s="1"/>
  <c r="I157" i="9"/>
  <c r="AF156" i="9"/>
  <c r="AE156" i="9"/>
  <c r="AB156" i="9"/>
  <c r="AA156" i="9"/>
  <c r="V156" i="9"/>
  <c r="U156" i="9"/>
  <c r="R156" i="9"/>
  <c r="Q156" i="9"/>
  <c r="I156" i="9"/>
  <c r="K156" i="9" s="1"/>
  <c r="L156" i="9" s="1"/>
  <c r="AF155" i="9"/>
  <c r="AE155" i="9"/>
  <c r="AB155" i="9"/>
  <c r="AA155" i="9"/>
  <c r="V155" i="9"/>
  <c r="U155" i="9"/>
  <c r="R155" i="9"/>
  <c r="AK155" i="9" s="1"/>
  <c r="AL155" i="9" s="1"/>
  <c r="Q155" i="9"/>
  <c r="AM155" i="9" s="1"/>
  <c r="AN155" i="9" s="1"/>
  <c r="I155" i="9"/>
  <c r="K155" i="9" s="1"/>
  <c r="L155" i="9" s="1"/>
  <c r="AM154" i="9"/>
  <c r="AN154" i="9" s="1"/>
  <c r="AF154" i="9"/>
  <c r="AB154" i="9"/>
  <c r="V154" i="9"/>
  <c r="R154" i="9"/>
  <c r="K154" i="9"/>
  <c r="L154" i="9" s="1"/>
  <c r="I154" i="9"/>
  <c r="AM153" i="9"/>
  <c r="AN153" i="9" s="1"/>
  <c r="AF153" i="9"/>
  <c r="AB153" i="9"/>
  <c r="V153" i="9"/>
  <c r="R153" i="9"/>
  <c r="L153" i="9"/>
  <c r="I153" i="9"/>
  <c r="K153" i="9" s="1"/>
  <c r="AF152" i="9"/>
  <c r="AE152" i="9"/>
  <c r="AB152" i="9"/>
  <c r="AA152" i="9"/>
  <c r="V152" i="9"/>
  <c r="AK152" i="9" s="1"/>
  <c r="AL152" i="9" s="1"/>
  <c r="U152" i="9"/>
  <c r="R152" i="9"/>
  <c r="Q152" i="9"/>
  <c r="I152" i="9"/>
  <c r="K152" i="9" s="1"/>
  <c r="L152" i="9" s="1"/>
  <c r="AN151" i="9"/>
  <c r="AM151" i="9"/>
  <c r="AF151" i="9"/>
  <c r="AB151" i="9"/>
  <c r="V151" i="9"/>
  <c r="R151" i="9"/>
  <c r="AK151" i="9" s="1"/>
  <c r="AL151" i="9" s="1"/>
  <c r="K151" i="9"/>
  <c r="L151" i="9" s="1"/>
  <c r="I151" i="9"/>
  <c r="AM150" i="9"/>
  <c r="AN150" i="9" s="1"/>
  <c r="AF150" i="9"/>
  <c r="AB150" i="9"/>
  <c r="V150" i="9"/>
  <c r="R150" i="9"/>
  <c r="I150" i="9"/>
  <c r="K150" i="9" s="1"/>
  <c r="L150" i="9" s="1"/>
  <c r="AM149" i="9"/>
  <c r="AN149" i="9" s="1"/>
  <c r="AF149" i="9"/>
  <c r="AB149" i="9"/>
  <c r="V149" i="9"/>
  <c r="R149" i="9"/>
  <c r="AK149" i="9" s="1"/>
  <c r="AL149" i="9" s="1"/>
  <c r="L149" i="9"/>
  <c r="I149" i="9"/>
  <c r="K149" i="9" s="1"/>
  <c r="AF148" i="9"/>
  <c r="AE148" i="9"/>
  <c r="AB148" i="9"/>
  <c r="AA148" i="9"/>
  <c r="V148" i="9"/>
  <c r="U148" i="9"/>
  <c r="R148" i="9"/>
  <c r="Q148" i="9"/>
  <c r="K148" i="9"/>
  <c r="L148" i="9" s="1"/>
  <c r="I148" i="9"/>
  <c r="AF147" i="9"/>
  <c r="AE147" i="9"/>
  <c r="AB147" i="9"/>
  <c r="AA147" i="9"/>
  <c r="V147" i="9"/>
  <c r="U147" i="9"/>
  <c r="R147" i="9"/>
  <c r="AK147" i="9" s="1"/>
  <c r="AL147" i="9" s="1"/>
  <c r="Q147" i="9"/>
  <c r="AM147" i="9" s="1"/>
  <c r="AN147" i="9" s="1"/>
  <c r="I147" i="9"/>
  <c r="K147" i="9" s="1"/>
  <c r="L147" i="9" s="1"/>
  <c r="AN146" i="9"/>
  <c r="AM146" i="9"/>
  <c r="AF146" i="9"/>
  <c r="AB146" i="9"/>
  <c r="V146" i="9"/>
  <c r="R146" i="9"/>
  <c r="L146" i="9"/>
  <c r="I146" i="9"/>
  <c r="K146" i="9" s="1"/>
  <c r="AM145" i="9"/>
  <c r="AN145" i="9" s="1"/>
  <c r="AF145" i="9"/>
  <c r="AB145" i="9"/>
  <c r="V145" i="9"/>
  <c r="R145" i="9"/>
  <c r="I145" i="9"/>
  <c r="K145" i="9" s="1"/>
  <c r="L145" i="9" s="1"/>
  <c r="AM144" i="9"/>
  <c r="AN144" i="9" s="1"/>
  <c r="AF144" i="9"/>
  <c r="AB144" i="9"/>
  <c r="V144" i="9"/>
  <c r="R144" i="9"/>
  <c r="AK144" i="9" s="1"/>
  <c r="AL144" i="9" s="1"/>
  <c r="K144" i="9"/>
  <c r="L144" i="9" s="1"/>
  <c r="I144" i="9"/>
  <c r="AM143" i="9"/>
  <c r="AN143" i="9" s="1"/>
  <c r="AF143" i="9"/>
  <c r="AB143" i="9"/>
  <c r="V143" i="9"/>
  <c r="R143" i="9"/>
  <c r="I143" i="9"/>
  <c r="K143" i="9" s="1"/>
  <c r="L143" i="9" s="1"/>
  <c r="AM142" i="9"/>
  <c r="AN142" i="9" s="1"/>
  <c r="AF142" i="9"/>
  <c r="AB142" i="9"/>
  <c r="V142" i="9"/>
  <c r="R142" i="9"/>
  <c r="I142" i="9"/>
  <c r="K142" i="9" s="1"/>
  <c r="L142" i="9" s="1"/>
  <c r="AM141" i="9"/>
  <c r="AN141" i="9" s="1"/>
  <c r="AF141" i="9"/>
  <c r="AB141" i="9"/>
  <c r="V141" i="9"/>
  <c r="R141" i="9"/>
  <c r="I141" i="9"/>
  <c r="K141" i="9" s="1"/>
  <c r="L141" i="9" s="1"/>
  <c r="AM140" i="9"/>
  <c r="AN140" i="9" s="1"/>
  <c r="AF140" i="9"/>
  <c r="AB140" i="9"/>
  <c r="V140" i="9"/>
  <c r="R140" i="9"/>
  <c r="I140" i="9"/>
  <c r="K140" i="9" s="1"/>
  <c r="L140" i="9" s="1"/>
  <c r="AM139" i="9"/>
  <c r="AN139" i="9" s="1"/>
  <c r="AF139" i="9"/>
  <c r="AB139" i="9"/>
  <c r="V139" i="9"/>
  <c r="R139" i="9"/>
  <c r="AK139" i="9" s="1"/>
  <c r="AL139" i="9" s="1"/>
  <c r="L139" i="9"/>
  <c r="I139" i="9"/>
  <c r="K139" i="9" s="1"/>
  <c r="AM138" i="9"/>
  <c r="AN138" i="9" s="1"/>
  <c r="AF138" i="9"/>
  <c r="AB138" i="9"/>
  <c r="V138" i="9"/>
  <c r="R138" i="9"/>
  <c r="I138" i="9"/>
  <c r="K138" i="9" s="1"/>
  <c r="L138" i="9" s="1"/>
  <c r="AF137" i="9"/>
  <c r="AE137" i="9"/>
  <c r="AB137" i="9"/>
  <c r="AA137" i="9"/>
  <c r="V137" i="9"/>
  <c r="U137" i="9"/>
  <c r="R137" i="9"/>
  <c r="AK137" i="9" s="1"/>
  <c r="AL137" i="9" s="1"/>
  <c r="Q137" i="9"/>
  <c r="I137" i="9"/>
  <c r="K137" i="9" s="1"/>
  <c r="L137" i="9" s="1"/>
  <c r="AM136" i="9"/>
  <c r="AN136" i="9" s="1"/>
  <c r="AF136" i="9"/>
  <c r="AK136" i="9" s="1"/>
  <c r="AL136" i="9" s="1"/>
  <c r="AB136" i="9"/>
  <c r="V136" i="9"/>
  <c r="R136" i="9"/>
  <c r="I136" i="9"/>
  <c r="K136" i="9" s="1"/>
  <c r="L136" i="9" s="1"/>
  <c r="AN135" i="9"/>
  <c r="AM135" i="9"/>
  <c r="AK135" i="9"/>
  <c r="AL135" i="9" s="1"/>
  <c r="I135" i="9"/>
  <c r="K135" i="9" s="1"/>
  <c r="L135" i="9" s="1"/>
  <c r="AF134" i="9"/>
  <c r="AE134" i="9"/>
  <c r="AB134" i="9"/>
  <c r="AA134" i="9"/>
  <c r="V134" i="9"/>
  <c r="U134" i="9"/>
  <c r="R134" i="9"/>
  <c r="Q134" i="9"/>
  <c r="I134" i="9"/>
  <c r="K134" i="9" s="1"/>
  <c r="L134" i="9" s="1"/>
  <c r="AM133" i="9"/>
  <c r="AN133" i="9" s="1"/>
  <c r="AF133" i="9"/>
  <c r="AB133" i="9"/>
  <c r="AK133" i="9" s="1"/>
  <c r="AL133" i="9" s="1"/>
  <c r="V133" i="9"/>
  <c r="R133" i="9"/>
  <c r="I133" i="9"/>
  <c r="K133" i="9" s="1"/>
  <c r="L133" i="9" s="1"/>
  <c r="AF132" i="9"/>
  <c r="AE132" i="9"/>
  <c r="AB132" i="9"/>
  <c r="AA132" i="9"/>
  <c r="V132" i="9"/>
  <c r="U132" i="9"/>
  <c r="R132" i="9"/>
  <c r="Q132" i="9"/>
  <c r="AM132" i="9" s="1"/>
  <c r="AN132" i="9" s="1"/>
  <c r="I132" i="9"/>
  <c r="K132" i="9" s="1"/>
  <c r="L132" i="9" s="1"/>
  <c r="AM131" i="9"/>
  <c r="AN131" i="9" s="1"/>
  <c r="AF131" i="9"/>
  <c r="AK131" i="9" s="1"/>
  <c r="AL131" i="9" s="1"/>
  <c r="AB131" i="9"/>
  <c r="V131" i="9"/>
  <c r="R131" i="9"/>
  <c r="I131" i="9"/>
  <c r="K131" i="9" s="1"/>
  <c r="L131" i="9" s="1"/>
  <c r="AF130" i="9"/>
  <c r="AE130" i="9"/>
  <c r="AB130" i="9"/>
  <c r="AA130" i="9"/>
  <c r="V130" i="9"/>
  <c r="U130" i="9"/>
  <c r="R130" i="9"/>
  <c r="Q130" i="9"/>
  <c r="K130" i="9"/>
  <c r="L130" i="9" s="1"/>
  <c r="I130" i="9"/>
  <c r="AF129" i="9"/>
  <c r="AE129" i="9"/>
  <c r="AB129" i="9"/>
  <c r="AA129" i="9"/>
  <c r="V129" i="9"/>
  <c r="U129" i="9"/>
  <c r="R129" i="9"/>
  <c r="Q129" i="9"/>
  <c r="AM129" i="9" s="1"/>
  <c r="AN129" i="9" s="1"/>
  <c r="I129" i="9"/>
  <c r="K129" i="9" s="1"/>
  <c r="L129" i="9" s="1"/>
  <c r="AF128" i="9"/>
  <c r="AE128" i="9"/>
  <c r="AB128" i="9"/>
  <c r="AA128" i="9"/>
  <c r="V128" i="9"/>
  <c r="U128" i="9"/>
  <c r="R128" i="9"/>
  <c r="Q128" i="9"/>
  <c r="I128" i="9"/>
  <c r="K128" i="9" s="1"/>
  <c r="L128" i="9" s="1"/>
  <c r="AM127" i="9"/>
  <c r="AN127" i="9" s="1"/>
  <c r="AF127" i="9"/>
  <c r="AB127" i="9"/>
  <c r="V127" i="9"/>
  <c r="AK127" i="9" s="1"/>
  <c r="AL127" i="9" s="1"/>
  <c r="R127" i="9"/>
  <c r="I127" i="9"/>
  <c r="K127" i="9" s="1"/>
  <c r="L127" i="9" s="1"/>
  <c r="AN126" i="9"/>
  <c r="AM126" i="9"/>
  <c r="AF126" i="9"/>
  <c r="AB126" i="9"/>
  <c r="V126" i="9"/>
  <c r="R126" i="9"/>
  <c r="I126" i="9"/>
  <c r="K126" i="9" s="1"/>
  <c r="L126" i="9" s="1"/>
  <c r="AN125" i="9"/>
  <c r="AM125" i="9"/>
  <c r="AF125" i="9"/>
  <c r="AB125" i="9"/>
  <c r="V125" i="9"/>
  <c r="R125" i="9"/>
  <c r="I125" i="9"/>
  <c r="K125" i="9" s="1"/>
  <c r="L125" i="9" s="1"/>
  <c r="AM124" i="9"/>
  <c r="AN124" i="9" s="1"/>
  <c r="AF124" i="9"/>
  <c r="AB124" i="9"/>
  <c r="V124" i="9"/>
  <c r="R124" i="9"/>
  <c r="I124" i="9"/>
  <c r="K124" i="9" s="1"/>
  <c r="L124" i="9" s="1"/>
  <c r="AM123" i="9"/>
  <c r="AN123" i="9" s="1"/>
  <c r="AF123" i="9"/>
  <c r="AB123" i="9"/>
  <c r="V123" i="9"/>
  <c r="R123" i="9"/>
  <c r="I123" i="9"/>
  <c r="K123" i="9" s="1"/>
  <c r="L123" i="9" s="1"/>
  <c r="AF122" i="9"/>
  <c r="AE122" i="9"/>
  <c r="AB122" i="9"/>
  <c r="AA122" i="9"/>
  <c r="V122" i="9"/>
  <c r="U122" i="9"/>
  <c r="R122" i="9"/>
  <c r="Q122" i="9"/>
  <c r="AM122" i="9" s="1"/>
  <c r="AN122" i="9" s="1"/>
  <c r="I122" i="9"/>
  <c r="K122" i="9" s="1"/>
  <c r="L122" i="9" s="1"/>
  <c r="AM121" i="9"/>
  <c r="AN121" i="9" s="1"/>
  <c r="AF121" i="9"/>
  <c r="AB121" i="9"/>
  <c r="V121" i="9"/>
  <c r="R121" i="9"/>
  <c r="I121" i="9"/>
  <c r="K121" i="9" s="1"/>
  <c r="L121" i="9" s="1"/>
  <c r="AM120" i="9"/>
  <c r="AN120" i="9" s="1"/>
  <c r="AF120" i="9"/>
  <c r="AB120" i="9"/>
  <c r="V120" i="9"/>
  <c r="R120" i="9"/>
  <c r="AK120" i="9" s="1"/>
  <c r="AL120" i="9" s="1"/>
  <c r="I120" i="9"/>
  <c r="K120" i="9" s="1"/>
  <c r="L120" i="9" s="1"/>
  <c r="AM119" i="9"/>
  <c r="AN119" i="9" s="1"/>
  <c r="AF119" i="9"/>
  <c r="AB119" i="9"/>
  <c r="V119" i="9"/>
  <c r="R119" i="9"/>
  <c r="I119" i="9"/>
  <c r="K119" i="9" s="1"/>
  <c r="L119" i="9" s="1"/>
  <c r="AM118" i="9"/>
  <c r="AN118" i="9" s="1"/>
  <c r="AF118" i="9"/>
  <c r="AB118" i="9"/>
  <c r="V118" i="9"/>
  <c r="R118" i="9"/>
  <c r="I118" i="9"/>
  <c r="K118" i="9" s="1"/>
  <c r="L118" i="9" s="1"/>
  <c r="AM117" i="9"/>
  <c r="AN117" i="9" s="1"/>
  <c r="AF117" i="9"/>
  <c r="AB117" i="9"/>
  <c r="V117" i="9"/>
  <c r="R117" i="9"/>
  <c r="AK117" i="9" s="1"/>
  <c r="AL117" i="9" s="1"/>
  <c r="I117" i="9"/>
  <c r="K117" i="9" s="1"/>
  <c r="L117" i="9" s="1"/>
  <c r="AM116" i="9"/>
  <c r="AN116" i="9" s="1"/>
  <c r="AF116" i="9"/>
  <c r="AB116" i="9"/>
  <c r="V116" i="9"/>
  <c r="R116" i="9"/>
  <c r="AK116" i="9" s="1"/>
  <c r="AL116" i="9" s="1"/>
  <c r="I116" i="9"/>
  <c r="K116" i="9" s="1"/>
  <c r="L116" i="9" s="1"/>
  <c r="AM115" i="9"/>
  <c r="AN115" i="9" s="1"/>
  <c r="AF115" i="9"/>
  <c r="AB115" i="9"/>
  <c r="V115" i="9"/>
  <c r="R115" i="9"/>
  <c r="I115" i="9"/>
  <c r="K115" i="9" s="1"/>
  <c r="L115" i="9" s="1"/>
  <c r="AM114" i="9"/>
  <c r="AN114" i="9" s="1"/>
  <c r="AF114" i="9"/>
  <c r="AK114" i="9" s="1"/>
  <c r="AL114" i="9" s="1"/>
  <c r="AB114" i="9"/>
  <c r="V114" i="9"/>
  <c r="R114" i="9"/>
  <c r="K114" i="9"/>
  <c r="L114" i="9" s="1"/>
  <c r="I114" i="9"/>
  <c r="AN113" i="9"/>
  <c r="AM113" i="9"/>
  <c r="AF113" i="9"/>
  <c r="AB113" i="9"/>
  <c r="V113" i="9"/>
  <c r="R113" i="9"/>
  <c r="K113" i="9"/>
  <c r="L113" i="9" s="1"/>
  <c r="I113" i="9"/>
  <c r="AM112" i="9"/>
  <c r="AN112" i="9" s="1"/>
  <c r="AF112" i="9"/>
  <c r="AB112" i="9"/>
  <c r="V112" i="9"/>
  <c r="R112" i="9"/>
  <c r="K112" i="9"/>
  <c r="L112" i="9" s="1"/>
  <c r="I112" i="9"/>
  <c r="AF111" i="9"/>
  <c r="AE111" i="9"/>
  <c r="AB111" i="9"/>
  <c r="AA111" i="9"/>
  <c r="V111" i="9"/>
  <c r="U111" i="9"/>
  <c r="R111" i="9"/>
  <c r="Q111" i="9"/>
  <c r="I111" i="9"/>
  <c r="K111" i="9" s="1"/>
  <c r="L111" i="9" s="1"/>
  <c r="AM110" i="9"/>
  <c r="AN110" i="9" s="1"/>
  <c r="AF110" i="9"/>
  <c r="AB110" i="9"/>
  <c r="V110" i="9"/>
  <c r="R110" i="9"/>
  <c r="AK110" i="9" s="1"/>
  <c r="AL110" i="9" s="1"/>
  <c r="K110" i="9"/>
  <c r="L110" i="9" s="1"/>
  <c r="I110" i="9"/>
  <c r="AF109" i="9"/>
  <c r="AE109" i="9"/>
  <c r="AM109" i="9" s="1"/>
  <c r="AN109" i="9" s="1"/>
  <c r="AB109" i="9"/>
  <c r="AA109" i="9"/>
  <c r="V109" i="9"/>
  <c r="U109" i="9"/>
  <c r="R109" i="9"/>
  <c r="Q109" i="9"/>
  <c r="I109" i="9"/>
  <c r="K109" i="9" s="1"/>
  <c r="L109" i="9" s="1"/>
  <c r="AM108" i="9"/>
  <c r="AN108" i="9" s="1"/>
  <c r="AF108" i="9"/>
  <c r="AB108" i="9"/>
  <c r="V108" i="9"/>
  <c r="R108" i="9"/>
  <c r="K108" i="9"/>
  <c r="L108" i="9" s="1"/>
  <c r="I108" i="9"/>
  <c r="AF107" i="9"/>
  <c r="AE107" i="9"/>
  <c r="AB107" i="9"/>
  <c r="AA107" i="9"/>
  <c r="V107" i="9"/>
  <c r="U107" i="9"/>
  <c r="R107" i="9"/>
  <c r="Q107" i="9"/>
  <c r="I107" i="9"/>
  <c r="K107" i="9" s="1"/>
  <c r="L107" i="9" s="1"/>
  <c r="AM106" i="9"/>
  <c r="AN106" i="9" s="1"/>
  <c r="AF106" i="9"/>
  <c r="AB106" i="9"/>
  <c r="V106" i="9"/>
  <c r="R106" i="9"/>
  <c r="I106" i="9"/>
  <c r="K106" i="9" s="1"/>
  <c r="L106" i="9" s="1"/>
  <c r="AM105" i="9"/>
  <c r="AN105" i="9" s="1"/>
  <c r="AF105" i="9"/>
  <c r="AE105" i="9"/>
  <c r="AB105" i="9"/>
  <c r="AA105" i="9"/>
  <c r="V105" i="9"/>
  <c r="U105" i="9"/>
  <c r="R105" i="9"/>
  <c r="Q105" i="9"/>
  <c r="I105" i="9"/>
  <c r="K105" i="9" s="1"/>
  <c r="L105" i="9" s="1"/>
  <c r="AM104" i="9"/>
  <c r="AN104" i="9" s="1"/>
  <c r="AF104" i="9"/>
  <c r="AB104" i="9"/>
  <c r="V104" i="9"/>
  <c r="R104" i="9"/>
  <c r="I104" i="9"/>
  <c r="K104" i="9" s="1"/>
  <c r="L104" i="9" s="1"/>
  <c r="AF103" i="9"/>
  <c r="AE103" i="9"/>
  <c r="AB103" i="9"/>
  <c r="AA103" i="9"/>
  <c r="V103" i="9"/>
  <c r="U103" i="9"/>
  <c r="R103" i="9"/>
  <c r="AK103" i="9" s="1"/>
  <c r="AL103" i="9" s="1"/>
  <c r="Q103" i="9"/>
  <c r="I103" i="9"/>
  <c r="K103" i="9" s="1"/>
  <c r="L103" i="9" s="1"/>
  <c r="AM102" i="9"/>
  <c r="AB102" i="9"/>
  <c r="J102" i="9"/>
  <c r="D102" i="9"/>
  <c r="J101" i="9"/>
  <c r="D101" i="9"/>
  <c r="AM100" i="9"/>
  <c r="AF100" i="9"/>
  <c r="AB100" i="9"/>
  <c r="V100" i="9"/>
  <c r="J100" i="9"/>
  <c r="I100" i="9"/>
  <c r="D100" i="9"/>
  <c r="AM99" i="9"/>
  <c r="AF99" i="9"/>
  <c r="J99" i="9"/>
  <c r="V99" i="9" s="1"/>
  <c r="D99" i="9"/>
  <c r="AE98" i="9"/>
  <c r="AA98" i="9"/>
  <c r="U98" i="9"/>
  <c r="Q98" i="9"/>
  <c r="AM98" i="9" s="1"/>
  <c r="AN98" i="9" s="1"/>
  <c r="J98" i="9"/>
  <c r="I98" i="9" s="1"/>
  <c r="K98" i="9" s="1"/>
  <c r="D98" i="9"/>
  <c r="AM97" i="9"/>
  <c r="J97" i="9"/>
  <c r="D97" i="9"/>
  <c r="AN97" i="9" s="1"/>
  <c r="AM96" i="9"/>
  <c r="V96" i="9"/>
  <c r="J96" i="9"/>
  <c r="D96" i="9"/>
  <c r="I96" i="9" s="1"/>
  <c r="K96" i="9" s="1"/>
  <c r="AM95" i="9"/>
  <c r="J95" i="9"/>
  <c r="D95" i="9"/>
  <c r="AM94" i="9"/>
  <c r="V94" i="9"/>
  <c r="J94" i="9"/>
  <c r="D94" i="9"/>
  <c r="AN93" i="9"/>
  <c r="AM93" i="9"/>
  <c r="J93" i="9"/>
  <c r="D93" i="9"/>
  <c r="AM92" i="9"/>
  <c r="AN92" i="9" s="1"/>
  <c r="AF92" i="9"/>
  <c r="AB92" i="9"/>
  <c r="V92" i="9"/>
  <c r="R92" i="9"/>
  <c r="I92" i="9"/>
  <c r="K92" i="9" s="1"/>
  <c r="L92" i="9" s="1"/>
  <c r="AM91" i="9"/>
  <c r="AN91" i="9" s="1"/>
  <c r="AF91" i="9"/>
  <c r="AB91" i="9"/>
  <c r="V91" i="9"/>
  <c r="R91" i="9"/>
  <c r="L91" i="9"/>
  <c r="I91" i="9"/>
  <c r="K91" i="9" s="1"/>
  <c r="AF90" i="9"/>
  <c r="J90" i="9"/>
  <c r="I90" i="9"/>
  <c r="D90" i="9"/>
  <c r="Q90" i="9" s="1"/>
  <c r="AF89" i="9"/>
  <c r="AB89" i="9"/>
  <c r="AA89" i="9"/>
  <c r="V89" i="9"/>
  <c r="J89" i="9"/>
  <c r="R89" i="9" s="1"/>
  <c r="D89" i="9"/>
  <c r="AM88" i="9"/>
  <c r="AF88" i="9"/>
  <c r="AB88" i="9"/>
  <c r="J88" i="9"/>
  <c r="V88" i="9" s="1"/>
  <c r="I88" i="9"/>
  <c r="K88" i="9" s="1"/>
  <c r="L88" i="9" s="1"/>
  <c r="D88" i="9"/>
  <c r="AM87" i="9"/>
  <c r="AN87" i="9" s="1"/>
  <c r="J87" i="9"/>
  <c r="AM86" i="9"/>
  <c r="AF86" i="9"/>
  <c r="AK86" i="9" s="1"/>
  <c r="AL86" i="9" s="1"/>
  <c r="AB86" i="9"/>
  <c r="R86" i="9"/>
  <c r="J86" i="9"/>
  <c r="V86" i="9" s="1"/>
  <c r="D86" i="9"/>
  <c r="AN86" i="9" s="1"/>
  <c r="AA85" i="9"/>
  <c r="U85" i="9"/>
  <c r="J85" i="9"/>
  <c r="D85" i="9"/>
  <c r="R84" i="9"/>
  <c r="J84" i="9"/>
  <c r="AF84" i="9" s="1"/>
  <c r="D84" i="9"/>
  <c r="AM83" i="9"/>
  <c r="AN83" i="9" s="1"/>
  <c r="AF83" i="9"/>
  <c r="AB83" i="9"/>
  <c r="V83" i="9"/>
  <c r="R83" i="9"/>
  <c r="I83" i="9"/>
  <c r="K83" i="9" s="1"/>
  <c r="L83" i="9" s="1"/>
  <c r="AM82" i="9"/>
  <c r="AN82" i="9" s="1"/>
  <c r="J82" i="9"/>
  <c r="AM81" i="9"/>
  <c r="J81" i="9"/>
  <c r="AB81" i="9" s="1"/>
  <c r="D81" i="9"/>
  <c r="AM80" i="9"/>
  <c r="AB80" i="9"/>
  <c r="J80" i="9"/>
  <c r="D80" i="9"/>
  <c r="AF79" i="9"/>
  <c r="J79" i="9"/>
  <c r="I79" i="9" s="1"/>
  <c r="K79" i="9" s="1"/>
  <c r="D79" i="9"/>
  <c r="Q79" i="9" s="1"/>
  <c r="AM78" i="9"/>
  <c r="AF78" i="9"/>
  <c r="AB78" i="9"/>
  <c r="J78" i="9"/>
  <c r="D78" i="9"/>
  <c r="AN77" i="9"/>
  <c r="AM77" i="9"/>
  <c r="J77" i="9"/>
  <c r="D77" i="9"/>
  <c r="I77" i="9" s="1"/>
  <c r="K77" i="9" s="1"/>
  <c r="AM76" i="9"/>
  <c r="AN76" i="9" s="1"/>
  <c r="AB76" i="9"/>
  <c r="J76" i="9"/>
  <c r="D76" i="9"/>
  <c r="I76" i="9" s="1"/>
  <c r="K76" i="9" s="1"/>
  <c r="AM75" i="9"/>
  <c r="J75" i="9"/>
  <c r="I75" i="9" s="1"/>
  <c r="K75" i="9" s="1"/>
  <c r="D75" i="9"/>
  <c r="AM74" i="9"/>
  <c r="AN74" i="9" s="1"/>
  <c r="AB74" i="9"/>
  <c r="V74" i="9"/>
  <c r="J74" i="9"/>
  <c r="I74" i="9"/>
  <c r="D74" i="9"/>
  <c r="AM73" i="9"/>
  <c r="J73" i="9"/>
  <c r="D73" i="9"/>
  <c r="AN73" i="9" s="1"/>
  <c r="AF72" i="9"/>
  <c r="AB72" i="9"/>
  <c r="V72" i="9"/>
  <c r="U72" i="9"/>
  <c r="J72" i="9"/>
  <c r="R72" i="9" s="1"/>
  <c r="I72" i="9"/>
  <c r="K72" i="9" s="1"/>
  <c r="D72" i="9"/>
  <c r="AA72" i="9" s="1"/>
  <c r="Q71" i="9"/>
  <c r="J71" i="9"/>
  <c r="D71" i="9"/>
  <c r="AM70" i="9"/>
  <c r="AN70" i="9" s="1"/>
  <c r="J70" i="9"/>
  <c r="D70" i="9"/>
  <c r="AM69" i="9"/>
  <c r="V69" i="9"/>
  <c r="J69" i="9"/>
  <c r="AB69" i="9" s="1"/>
  <c r="D69" i="9"/>
  <c r="AN69" i="9" s="1"/>
  <c r="AM68" i="9"/>
  <c r="AF68" i="9"/>
  <c r="J68" i="9"/>
  <c r="AB68" i="9" s="1"/>
  <c r="D68" i="9"/>
  <c r="AN68" i="9" s="1"/>
  <c r="AM67" i="9"/>
  <c r="AN67" i="9" s="1"/>
  <c r="J67" i="9"/>
  <c r="D67" i="9"/>
  <c r="AM66" i="9"/>
  <c r="AF66" i="9"/>
  <c r="AB66" i="9"/>
  <c r="V66" i="9"/>
  <c r="R66" i="9"/>
  <c r="J66" i="9"/>
  <c r="D66" i="9"/>
  <c r="AN65" i="9"/>
  <c r="AM65" i="9"/>
  <c r="AF65" i="9"/>
  <c r="AB65" i="9"/>
  <c r="V65" i="9"/>
  <c r="J65" i="9"/>
  <c r="R65" i="9" s="1"/>
  <c r="I65" i="9"/>
  <c r="D65" i="9"/>
  <c r="AM64" i="9"/>
  <c r="AF64" i="9"/>
  <c r="AB64" i="9"/>
  <c r="V64" i="9"/>
  <c r="R64" i="9"/>
  <c r="AK64" i="9" s="1"/>
  <c r="AL64" i="9" s="1"/>
  <c r="J64" i="9"/>
  <c r="D64" i="9"/>
  <c r="AN64" i="9" s="1"/>
  <c r="AM63" i="9"/>
  <c r="J63" i="9"/>
  <c r="I63" i="9" s="1"/>
  <c r="D63" i="9"/>
  <c r="AN63" i="9" s="1"/>
  <c r="AM62" i="9"/>
  <c r="AF62" i="9"/>
  <c r="AB62" i="9"/>
  <c r="J62" i="9"/>
  <c r="V62" i="9" s="1"/>
  <c r="D62" i="9"/>
  <c r="AM61" i="9"/>
  <c r="AF61" i="9"/>
  <c r="V61" i="9"/>
  <c r="R61" i="9"/>
  <c r="AK61" i="9" s="1"/>
  <c r="AL61" i="9" s="1"/>
  <c r="J61" i="9"/>
  <c r="AB61" i="9" s="1"/>
  <c r="D61" i="9"/>
  <c r="AN61" i="9" s="1"/>
  <c r="AE60" i="9"/>
  <c r="J60" i="9"/>
  <c r="I60" i="9" s="1"/>
  <c r="D60" i="9"/>
  <c r="AM59" i="9"/>
  <c r="AN59" i="9" s="1"/>
  <c r="J59" i="9"/>
  <c r="D59" i="9"/>
  <c r="AM58" i="9"/>
  <c r="AN58" i="9" s="1"/>
  <c r="AF58" i="9"/>
  <c r="AK58" i="9" s="1"/>
  <c r="AL58" i="9" s="1"/>
  <c r="AB58" i="9"/>
  <c r="V58" i="9"/>
  <c r="R58" i="9"/>
  <c r="I58" i="9"/>
  <c r="K58" i="9" s="1"/>
  <c r="L58" i="9" s="1"/>
  <c r="AM57" i="9"/>
  <c r="AF57" i="9"/>
  <c r="AB57" i="9"/>
  <c r="J57" i="9"/>
  <c r="V57" i="9" s="1"/>
  <c r="D57" i="9"/>
  <c r="AM56" i="9"/>
  <c r="J56" i="9"/>
  <c r="I56" i="9" s="1"/>
  <c r="D56" i="9"/>
  <c r="AE55" i="9"/>
  <c r="AB55" i="9"/>
  <c r="AA55" i="9"/>
  <c r="V55" i="9"/>
  <c r="U55" i="9"/>
  <c r="Q55" i="9"/>
  <c r="J55" i="9"/>
  <c r="I55" i="9"/>
  <c r="K55" i="9" s="1"/>
  <c r="L55" i="9" s="1"/>
  <c r="U54" i="9"/>
  <c r="Q54" i="9"/>
  <c r="J54" i="9"/>
  <c r="AB54" i="9" s="1"/>
  <c r="D54" i="9"/>
  <c r="AA53" i="9"/>
  <c r="V53" i="9"/>
  <c r="J53" i="9"/>
  <c r="D53" i="9"/>
  <c r="AM52" i="9"/>
  <c r="J52" i="9"/>
  <c r="D52" i="9"/>
  <c r="AM51" i="9"/>
  <c r="J51" i="9"/>
  <c r="D51" i="9"/>
  <c r="AM50" i="9"/>
  <c r="J50" i="9"/>
  <c r="AF50" i="9" s="1"/>
  <c r="D50" i="9"/>
  <c r="AM49" i="9"/>
  <c r="J49" i="9"/>
  <c r="D49" i="9"/>
  <c r="AM48" i="9"/>
  <c r="J48" i="9"/>
  <c r="AF48" i="9" s="1"/>
  <c r="D48" i="9"/>
  <c r="AM47" i="9"/>
  <c r="AF47" i="9"/>
  <c r="J47" i="9"/>
  <c r="AB47" i="9" s="1"/>
  <c r="D47" i="9"/>
  <c r="AM46" i="9"/>
  <c r="AB46" i="9"/>
  <c r="R46" i="9"/>
  <c r="J46" i="9"/>
  <c r="D46" i="9"/>
  <c r="AN46" i="9" s="1"/>
  <c r="AM45" i="9"/>
  <c r="AF45" i="9"/>
  <c r="AB45" i="9"/>
  <c r="R45" i="9"/>
  <c r="J45" i="9"/>
  <c r="V45" i="9" s="1"/>
  <c r="D45" i="9"/>
  <c r="I45" i="9" s="1"/>
  <c r="K45" i="9" s="1"/>
  <c r="L45" i="9" s="1"/>
  <c r="AN44" i="9"/>
  <c r="AM44" i="9"/>
  <c r="J44" i="9"/>
  <c r="D44" i="9"/>
  <c r="AF43" i="9"/>
  <c r="AB43" i="9"/>
  <c r="V43" i="9"/>
  <c r="J43" i="9"/>
  <c r="R43" i="9" s="1"/>
  <c r="D43" i="9"/>
  <c r="AM42" i="9"/>
  <c r="J42" i="9"/>
  <c r="AB42" i="9" s="1"/>
  <c r="D42" i="9"/>
  <c r="AN42" i="9" s="1"/>
  <c r="AM41" i="9"/>
  <c r="AN41" i="9" s="1"/>
  <c r="AB41" i="9"/>
  <c r="R41" i="9"/>
  <c r="J41" i="9"/>
  <c r="D41" i="9"/>
  <c r="AM40" i="9"/>
  <c r="AF40" i="9"/>
  <c r="AB40" i="9"/>
  <c r="J40" i="9"/>
  <c r="V40" i="9" s="1"/>
  <c r="D40" i="9"/>
  <c r="I40" i="9" s="1"/>
  <c r="K40" i="9" s="1"/>
  <c r="AM39" i="9"/>
  <c r="AN39" i="9" s="1"/>
  <c r="J39" i="9"/>
  <c r="I39" i="9" s="1"/>
  <c r="K39" i="9" s="1"/>
  <c r="D39" i="9"/>
  <c r="AM38" i="9"/>
  <c r="AN38" i="9" s="1"/>
  <c r="J38" i="9"/>
  <c r="D38" i="9"/>
  <c r="I38" i="9" s="1"/>
  <c r="AM37" i="9"/>
  <c r="J37" i="9"/>
  <c r="AF37" i="9" s="1"/>
  <c r="D37" i="9"/>
  <c r="AN37" i="9" s="1"/>
  <c r="AM36" i="9"/>
  <c r="AB36" i="9"/>
  <c r="J36" i="9"/>
  <c r="D36" i="9"/>
  <c r="AM35" i="9"/>
  <c r="AF35" i="9"/>
  <c r="J35" i="9"/>
  <c r="I35" i="9" s="1"/>
  <c r="D35" i="9"/>
  <c r="AB34" i="9"/>
  <c r="V34" i="9"/>
  <c r="J34" i="9"/>
  <c r="D34" i="9"/>
  <c r="U34" i="9" s="1"/>
  <c r="AE33" i="9"/>
  <c r="AB33" i="9"/>
  <c r="R33" i="9"/>
  <c r="J33" i="9"/>
  <c r="AF33" i="9" s="1"/>
  <c r="D33" i="9"/>
  <c r="AM32" i="9"/>
  <c r="J32" i="9"/>
  <c r="AF32" i="9" s="1"/>
  <c r="D32" i="9"/>
  <c r="AM31" i="9"/>
  <c r="R31" i="9"/>
  <c r="J31" i="9"/>
  <c r="D31" i="9"/>
  <c r="AN31" i="9" s="1"/>
  <c r="AM30" i="9"/>
  <c r="AN30" i="9" s="1"/>
  <c r="J30" i="9"/>
  <c r="AF30" i="9" s="1"/>
  <c r="D30" i="9"/>
  <c r="AM29" i="9"/>
  <c r="AN29" i="9" s="1"/>
  <c r="AK29" i="9"/>
  <c r="AL29" i="9" s="1"/>
  <c r="AF29" i="9"/>
  <c r="AB29" i="9"/>
  <c r="I29" i="9"/>
  <c r="K29" i="9" s="1"/>
  <c r="L29" i="9" s="1"/>
  <c r="AF28" i="9"/>
  <c r="AE28" i="9"/>
  <c r="AB28" i="9"/>
  <c r="AA28" i="9"/>
  <c r="V28" i="9"/>
  <c r="U28" i="9"/>
  <c r="R28" i="9"/>
  <c r="AK28" i="9" s="1"/>
  <c r="AL28" i="9" s="1"/>
  <c r="Q28" i="9"/>
  <c r="I28" i="9"/>
  <c r="K28" i="9" s="1"/>
  <c r="L28" i="9" s="1"/>
  <c r="AM27" i="9"/>
  <c r="AN27" i="9" s="1"/>
  <c r="AF27" i="9"/>
  <c r="AB27" i="9"/>
  <c r="V27" i="9"/>
  <c r="R27" i="9"/>
  <c r="I27" i="9"/>
  <c r="K27" i="9" s="1"/>
  <c r="L27" i="9" s="1"/>
  <c r="AM26" i="9"/>
  <c r="J26" i="9"/>
  <c r="R26" i="9" s="1"/>
  <c r="D26" i="9"/>
  <c r="AM25" i="9"/>
  <c r="J25" i="9"/>
  <c r="D25" i="9"/>
  <c r="AB24" i="9"/>
  <c r="J24" i="9"/>
  <c r="AF24" i="9" s="1"/>
  <c r="D24" i="9"/>
  <c r="AE24" i="9" s="1"/>
  <c r="AM23" i="9"/>
  <c r="J23" i="9"/>
  <c r="I23" i="9" s="1"/>
  <c r="D23" i="9"/>
  <c r="J22" i="9"/>
  <c r="AF22" i="9" s="1"/>
  <c r="D22" i="9"/>
  <c r="AE22" i="9" s="1"/>
  <c r="AB21" i="9"/>
  <c r="Q21" i="9"/>
  <c r="J21" i="9"/>
  <c r="AF21" i="9" s="1"/>
  <c r="D21" i="9"/>
  <c r="AE21" i="9" s="1"/>
  <c r="AN20" i="9"/>
  <c r="AM20" i="9"/>
  <c r="J20" i="9"/>
  <c r="V20" i="9" s="1"/>
  <c r="D20" i="9"/>
  <c r="AM19" i="9"/>
  <c r="AF19" i="9"/>
  <c r="AB19" i="9"/>
  <c r="J19" i="9"/>
  <c r="R19" i="9" s="1"/>
  <c r="D19" i="9"/>
  <c r="I19" i="9" s="1"/>
  <c r="K19" i="9" s="1"/>
  <c r="AM18" i="9"/>
  <c r="AF18" i="9"/>
  <c r="V18" i="9"/>
  <c r="R18" i="9"/>
  <c r="J18" i="9"/>
  <c r="D18" i="9"/>
  <c r="AM17" i="9"/>
  <c r="AF17" i="9"/>
  <c r="J17" i="9"/>
  <c r="AB17" i="9" s="1"/>
  <c r="I17" i="9"/>
  <c r="D17" i="9"/>
  <c r="K17" i="9" s="1"/>
  <c r="L17" i="9" s="1"/>
  <c r="AN16" i="9"/>
  <c r="AM16" i="9"/>
  <c r="AB16" i="9"/>
  <c r="J16" i="9"/>
  <c r="V16" i="9" s="1"/>
  <c r="D16" i="9"/>
  <c r="AM15" i="9"/>
  <c r="AF15" i="9"/>
  <c r="K15" i="9"/>
  <c r="L15" i="9" s="1"/>
  <c r="J15" i="9"/>
  <c r="AB15" i="9" s="1"/>
  <c r="I15" i="9"/>
  <c r="D15" i="9"/>
  <c r="AE14" i="9"/>
  <c r="AA14" i="9"/>
  <c r="V14" i="9"/>
  <c r="U14" i="9"/>
  <c r="R14" i="9"/>
  <c r="Q14" i="9"/>
  <c r="AM12" i="9"/>
  <c r="AN12" i="9" s="1"/>
  <c r="J12" i="9"/>
  <c r="AO12" i="9" s="1"/>
  <c r="D12" i="9"/>
  <c r="I34" i="9" l="1"/>
  <c r="K34" i="9" s="1"/>
  <c r="AA71" i="9"/>
  <c r="AE71" i="9"/>
  <c r="U71" i="9"/>
  <c r="AK229" i="9"/>
  <c r="AL229" i="9" s="1"/>
  <c r="R1368" i="9"/>
  <c r="AB1368" i="9"/>
  <c r="I1368" i="9"/>
  <c r="AF1368" i="9"/>
  <c r="V1368" i="9"/>
  <c r="AK46" i="9"/>
  <c r="AL46" i="9" s="1"/>
  <c r="R85" i="9"/>
  <c r="V85" i="9"/>
  <c r="AF93" i="9"/>
  <c r="AB93" i="9"/>
  <c r="AB1839" i="9"/>
  <c r="V1839" i="9"/>
  <c r="AF1839" i="9"/>
  <c r="AK1839" i="9" s="1"/>
  <c r="AL1839" i="9" s="1"/>
  <c r="R1839" i="9"/>
  <c r="U2359" i="9"/>
  <c r="AA2359" i="9"/>
  <c r="Q2359" i="9"/>
  <c r="AM2359" i="9" s="1"/>
  <c r="AN2359" i="9" s="1"/>
  <c r="K2359" i="9"/>
  <c r="L2359" i="9" s="1"/>
  <c r="R42" i="9"/>
  <c r="AN66" i="9"/>
  <c r="I66" i="9"/>
  <c r="V75" i="9"/>
  <c r="I78" i="9"/>
  <c r="K78" i="9" s="1"/>
  <c r="L78" i="9" s="1"/>
  <c r="R93" i="9"/>
  <c r="AE811" i="9"/>
  <c r="AA811" i="9"/>
  <c r="R2123" i="9"/>
  <c r="AK2123" i="9" s="1"/>
  <c r="AL2123" i="9"/>
  <c r="AF2123" i="9"/>
  <c r="AB2123" i="9"/>
  <c r="V2123" i="9"/>
  <c r="I2123" i="9"/>
  <c r="V23" i="9"/>
  <c r="V32" i="9"/>
  <c r="AF42" i="9"/>
  <c r="I61" i="9"/>
  <c r="V93" i="9"/>
  <c r="AK126" i="9"/>
  <c r="AL126" i="9" s="1"/>
  <c r="AK156" i="9"/>
  <c r="AL156" i="9" s="1"/>
  <c r="AK188" i="9"/>
  <c r="AL188" i="9" s="1"/>
  <c r="AK204" i="9"/>
  <c r="AL204" i="9" s="1"/>
  <c r="AK214" i="9"/>
  <c r="AL214" i="9" s="1"/>
  <c r="AM230" i="9"/>
  <c r="AN230" i="9" s="1"/>
  <c r="AK260" i="9"/>
  <c r="AL260" i="9" s="1"/>
  <c r="AK291" i="9"/>
  <c r="AL291" i="9" s="1"/>
  <c r="AB23" i="9"/>
  <c r="AB32" i="9"/>
  <c r="Q34" i="9"/>
  <c r="AN40" i="9"/>
  <c r="I54" i="9"/>
  <c r="K54" i="9" s="1"/>
  <c r="L54" i="9" s="1"/>
  <c r="AM55" i="9"/>
  <c r="AN55" i="9" s="1"/>
  <c r="AK66" i="9"/>
  <c r="AL66" i="9" s="1"/>
  <c r="V68" i="9"/>
  <c r="AF85" i="9"/>
  <c r="R88" i="9"/>
  <c r="AK88" i="9" s="1"/>
  <c r="AL88" i="9" s="1"/>
  <c r="AK106" i="9"/>
  <c r="AL106" i="9" s="1"/>
  <c r="AK129" i="9"/>
  <c r="AL129" i="9" s="1"/>
  <c r="AK160" i="9"/>
  <c r="AL160" i="9" s="1"/>
  <c r="AM186" i="9"/>
  <c r="AN186" i="9" s="1"/>
  <c r="AM269" i="9"/>
  <c r="AN269" i="9" s="1"/>
  <c r="AK292" i="9"/>
  <c r="AL292" i="9" s="1"/>
  <c r="AM302" i="9"/>
  <c r="AN302" i="9" s="1"/>
  <c r="AK491" i="9"/>
  <c r="AL491" i="9" s="1"/>
  <c r="AK748" i="9"/>
  <c r="AL748" i="9" s="1"/>
  <c r="AK514" i="9"/>
  <c r="AL514" i="9" s="1"/>
  <c r="AK529" i="9"/>
  <c r="AL529" i="9" s="1"/>
  <c r="AM858" i="9"/>
  <c r="AN858" i="9" s="1"/>
  <c r="I12" i="9"/>
  <c r="K12" i="9" s="1"/>
  <c r="AN15" i="9"/>
  <c r="AB20" i="9"/>
  <c r="I22" i="9"/>
  <c r="AK27" i="9"/>
  <c r="AL27" i="9" s="1"/>
  <c r="AN32" i="9"/>
  <c r="AA34" i="9"/>
  <c r="AN81" i="9"/>
  <c r="R90" i="9"/>
  <c r="AB90" i="9"/>
  <c r="AK90" i="9" s="1"/>
  <c r="AL90" i="9" s="1"/>
  <c r="V90" i="9"/>
  <c r="AK122" i="9"/>
  <c r="AL122" i="9" s="1"/>
  <c r="AK130" i="9"/>
  <c r="AL130" i="9" s="1"/>
  <c r="AK132" i="9"/>
  <c r="AL132" i="9" s="1"/>
  <c r="AK138" i="9"/>
  <c r="AL138" i="9" s="1"/>
  <c r="AK146" i="9"/>
  <c r="AL146" i="9" s="1"/>
  <c r="AK180" i="9"/>
  <c r="AL180" i="9" s="1"/>
  <c r="AK206" i="9"/>
  <c r="AL206" i="9" s="1"/>
  <c r="AK211" i="9"/>
  <c r="AL211" i="9" s="1"/>
  <c r="AK267" i="9"/>
  <c r="AL267" i="9" s="1"/>
  <c r="AK415" i="9"/>
  <c r="AL415" i="9" s="1"/>
  <c r="U802" i="9"/>
  <c r="AA802" i="9"/>
  <c r="Q802" i="9"/>
  <c r="AA33" i="9"/>
  <c r="Q33" i="9"/>
  <c r="AK43" i="9"/>
  <c r="AL43" i="9" s="1"/>
  <c r="R54" i="9"/>
  <c r="AN56" i="9"/>
  <c r="U60" i="9"/>
  <c r="AM60" i="9" s="1"/>
  <c r="AN60" i="9" s="1"/>
  <c r="Q60" i="9"/>
  <c r="R63" i="9"/>
  <c r="AB63" i="9"/>
  <c r="V63" i="9"/>
  <c r="AN78" i="9"/>
  <c r="AF94" i="9"/>
  <c r="AB94" i="9"/>
  <c r="AK112" i="9"/>
  <c r="AL112" i="9" s="1"/>
  <c r="AK257" i="9"/>
  <c r="AL257" i="9" s="1"/>
  <c r="AK266" i="9"/>
  <c r="AL266" i="9" s="1"/>
  <c r="AK300" i="9"/>
  <c r="AL300" i="9" s="1"/>
  <c r="AK398" i="9"/>
  <c r="AL398" i="9" s="1"/>
  <c r="AK715" i="9"/>
  <c r="AL715" i="9" s="1"/>
  <c r="AK717" i="9"/>
  <c r="AL717" i="9" s="1"/>
  <c r="R1242" i="9"/>
  <c r="AK1242" i="9" s="1"/>
  <c r="AL1242" i="9" s="1"/>
  <c r="AF1242" i="9"/>
  <c r="I1242" i="9"/>
  <c r="AB1242" i="9"/>
  <c r="AF20" i="9"/>
  <c r="AH12" i="9"/>
  <c r="AH4372" i="9" s="1"/>
  <c r="R22" i="9"/>
  <c r="V24" i="9"/>
  <c r="AF31" i="9"/>
  <c r="AB31" i="9"/>
  <c r="I33" i="9"/>
  <c r="K33" i="9" s="1"/>
  <c r="L33" i="9" s="1"/>
  <c r="AF63" i="9"/>
  <c r="AE89" i="9"/>
  <c r="I89" i="9"/>
  <c r="U89" i="9"/>
  <c r="R94" i="9"/>
  <c r="V102" i="9"/>
  <c r="R102" i="9"/>
  <c r="AK159" i="9"/>
  <c r="AL159" i="9" s="1"/>
  <c r="AK172" i="9"/>
  <c r="AL172" i="9" s="1"/>
  <c r="AK223" i="9"/>
  <c r="AL223" i="9" s="1"/>
  <c r="AK231" i="9"/>
  <c r="AL231" i="9" s="1"/>
  <c r="AB795" i="9"/>
  <c r="I795" i="9"/>
  <c r="K795" i="9" s="1"/>
  <c r="L795" i="9" s="1"/>
  <c r="AF795" i="9"/>
  <c r="V795" i="9"/>
  <c r="R795" i="9"/>
  <c r="U79" i="9"/>
  <c r="V84" i="9"/>
  <c r="K89" i="9"/>
  <c r="L89" i="9" s="1"/>
  <c r="AF102" i="9"/>
  <c r="AK111" i="9"/>
  <c r="AL111" i="9" s="1"/>
  <c r="AM128" i="9"/>
  <c r="AN128" i="9" s="1"/>
  <c r="AM137" i="9"/>
  <c r="AN137" i="9" s="1"/>
  <c r="AK154" i="9"/>
  <c r="AL154" i="9" s="1"/>
  <c r="AK237" i="9"/>
  <c r="AL237" i="9" s="1"/>
  <c r="AF806" i="9"/>
  <c r="V806" i="9"/>
  <c r="V15" i="9"/>
  <c r="AM313" i="9"/>
  <c r="AN313" i="9" s="1"/>
  <c r="AM28" i="9"/>
  <c r="AN28" i="9" s="1"/>
  <c r="AF39" i="9"/>
  <c r="AB39" i="9"/>
  <c r="R39" i="9"/>
  <c r="AM71" i="9"/>
  <c r="AN71" i="9" s="1"/>
  <c r="U22" i="9"/>
  <c r="V54" i="9"/>
  <c r="AF56" i="9"/>
  <c r="AB56" i="9"/>
  <c r="AF60" i="9"/>
  <c r="V60" i="9"/>
  <c r="L60" i="9"/>
  <c r="AM148" i="9"/>
  <c r="AN148" i="9" s="1"/>
  <c r="R15" i="9"/>
  <c r="AK15" i="9" s="1"/>
  <c r="AL15" i="9" s="1"/>
  <c r="AA21" i="9"/>
  <c r="U21" i="9"/>
  <c r="AM21" i="9" s="1"/>
  <c r="AN21" i="9" s="1"/>
  <c r="V22" i="9"/>
  <c r="V31" i="9"/>
  <c r="AK31" i="9" s="1"/>
  <c r="AL31" i="9" s="1"/>
  <c r="R35" i="9"/>
  <c r="I46" i="9"/>
  <c r="AF54" i="9"/>
  <c r="AK54" i="9" s="1"/>
  <c r="AL54" i="9" s="1"/>
  <c r="K56" i="9"/>
  <c r="L56" i="9" s="1"/>
  <c r="K60" i="9"/>
  <c r="AF67" i="9"/>
  <c r="AB67" i="9"/>
  <c r="AF69" i="9"/>
  <c r="I21" i="9"/>
  <c r="K21" i="9" s="1"/>
  <c r="AB22" i="9"/>
  <c r="U33" i="9"/>
  <c r="AM33" i="9" s="1"/>
  <c r="AN33" i="9" s="1"/>
  <c r="V35" i="9"/>
  <c r="V46" i="9"/>
  <c r="AF46" i="9"/>
  <c r="Q53" i="9"/>
  <c r="AE53" i="9"/>
  <c r="R56" i="9"/>
  <c r="AA60" i="9"/>
  <c r="I64" i="9"/>
  <c r="R67" i="9"/>
  <c r="AA79" i="9"/>
  <c r="AB84" i="9"/>
  <c r="Q89" i="9"/>
  <c r="AM89" i="9" s="1"/>
  <c r="AN89" i="9" s="1"/>
  <c r="AM107" i="9"/>
  <c r="AN107" i="9" s="1"/>
  <c r="AM134" i="9"/>
  <c r="AN134" i="9" s="1"/>
  <c r="AK150" i="9"/>
  <c r="AL150" i="9" s="1"/>
  <c r="AK174" i="9"/>
  <c r="AL174" i="9" s="1"/>
  <c r="AK179" i="9"/>
  <c r="AL179" i="9" s="1"/>
  <c r="AK190" i="9"/>
  <c r="AL190" i="9" s="1"/>
  <c r="AM216" i="9"/>
  <c r="AN216" i="9" s="1"/>
  <c r="R17" i="9"/>
  <c r="AB35" i="9"/>
  <c r="R40" i="9"/>
  <c r="I42" i="9"/>
  <c r="K42" i="9" s="1"/>
  <c r="L42" i="9" s="1"/>
  <c r="K46" i="9"/>
  <c r="L46" i="9" s="1"/>
  <c r="AF55" i="9"/>
  <c r="R55" i="9"/>
  <c r="AK55" i="9" s="1"/>
  <c r="AL55" i="9" s="1"/>
  <c r="V56" i="9"/>
  <c r="AB60" i="9"/>
  <c r="R62" i="9"/>
  <c r="AK62" i="9" s="1"/>
  <c r="AL62" i="9" s="1"/>
  <c r="V67" i="9"/>
  <c r="AE72" i="9"/>
  <c r="AN75" i="9"/>
  <c r="AB79" i="9"/>
  <c r="I93" i="9"/>
  <c r="AK142" i="9"/>
  <c r="AL142" i="9" s="1"/>
  <c r="AK176" i="9"/>
  <c r="AL176" i="9" s="1"/>
  <c r="AK299" i="9"/>
  <c r="AL299" i="9" s="1"/>
  <c r="AK313" i="9"/>
  <c r="AL313" i="9" s="1"/>
  <c r="AK534" i="9"/>
  <c r="AL534" i="9" s="1"/>
  <c r="AK764" i="9"/>
  <c r="AL764" i="9" s="1"/>
  <c r="I802" i="9"/>
  <c r="K802" i="9" s="1"/>
  <c r="L802" i="9" s="1"/>
  <c r="AK868" i="9"/>
  <c r="AL868" i="9" s="1"/>
  <c r="V1239" i="9"/>
  <c r="R1239" i="9"/>
  <c r="AF1239" i="9"/>
  <c r="AB1239" i="9"/>
  <c r="AK173" i="9"/>
  <c r="AL173" i="9" s="1"/>
  <c r="AK187" i="9"/>
  <c r="AL187" i="9" s="1"/>
  <c r="AK202" i="9"/>
  <c r="AL202" i="9" s="1"/>
  <c r="AK208" i="9"/>
  <c r="AL208" i="9" s="1"/>
  <c r="AK301" i="9"/>
  <c r="AL301" i="9" s="1"/>
  <c r="AM305" i="9"/>
  <c r="AN305" i="9" s="1"/>
  <c r="AK346" i="9"/>
  <c r="AL346" i="9" s="1"/>
  <c r="AM367" i="9"/>
  <c r="AN367" i="9" s="1"/>
  <c r="AM381" i="9"/>
  <c r="AN381" i="9" s="1"/>
  <c r="AK413" i="9"/>
  <c r="AL413" i="9" s="1"/>
  <c r="AM465" i="9"/>
  <c r="AN465" i="9" s="1"/>
  <c r="AM476" i="9"/>
  <c r="AN476" i="9" s="1"/>
  <c r="AK584" i="9"/>
  <c r="AL584" i="9" s="1"/>
  <c r="AK586" i="9"/>
  <c r="AL586" i="9" s="1"/>
  <c r="I101" i="9"/>
  <c r="AM157" i="9"/>
  <c r="AN157" i="9" s="1"/>
  <c r="AK162" i="9"/>
  <c r="AL162" i="9" s="1"/>
  <c r="AK192" i="9"/>
  <c r="AL192" i="9" s="1"/>
  <c r="AM217" i="9"/>
  <c r="AN217" i="9" s="1"/>
  <c r="AM224" i="9"/>
  <c r="AN224" i="9" s="1"/>
  <c r="AK234" i="9"/>
  <c r="AL234" i="9" s="1"/>
  <c r="AK240" i="9"/>
  <c r="AL240" i="9" s="1"/>
  <c r="AK245" i="9"/>
  <c r="AL245" i="9" s="1"/>
  <c r="AM281" i="9"/>
  <c r="AN281" i="9" s="1"/>
  <c r="AK352" i="9"/>
  <c r="AL352" i="9" s="1"/>
  <c r="AM366" i="9"/>
  <c r="AN366" i="9" s="1"/>
  <c r="AM377" i="9"/>
  <c r="AN377" i="9" s="1"/>
  <c r="AK381" i="9"/>
  <c r="AL381" i="9" s="1"/>
  <c r="AK388" i="9"/>
  <c r="AL388" i="9" s="1"/>
  <c r="AM389" i="9"/>
  <c r="AN389" i="9" s="1"/>
  <c r="AK406" i="9"/>
  <c r="AL406" i="9" s="1"/>
  <c r="AM407" i="9"/>
  <c r="AN407" i="9" s="1"/>
  <c r="AK410" i="9"/>
  <c r="AL410" i="9" s="1"/>
  <c r="AK445" i="9"/>
  <c r="AL445" i="9" s="1"/>
  <c r="AK460" i="9"/>
  <c r="AL460" i="9" s="1"/>
  <c r="AK513" i="9"/>
  <c r="AL513" i="9" s="1"/>
  <c r="AK600" i="9"/>
  <c r="AL600" i="9" s="1"/>
  <c r="AK611" i="9"/>
  <c r="AL611" i="9" s="1"/>
  <c r="AK696" i="9"/>
  <c r="AL696" i="9" s="1"/>
  <c r="AM699" i="9"/>
  <c r="AN699" i="9" s="1"/>
  <c r="AK714" i="9"/>
  <c r="AL714" i="9" s="1"/>
  <c r="AM763" i="9"/>
  <c r="R788" i="9"/>
  <c r="AK882" i="9"/>
  <c r="AL882" i="9" s="1"/>
  <c r="AM885" i="9"/>
  <c r="AN885" i="9" s="1"/>
  <c r="AK1112" i="9"/>
  <c r="AL1112" i="9" s="1"/>
  <c r="AK227" i="9"/>
  <c r="AL227" i="9" s="1"/>
  <c r="AM234" i="9"/>
  <c r="AN234" i="9" s="1"/>
  <c r="AM249" i="9"/>
  <c r="AN249" i="9" s="1"/>
  <c r="AK254" i="9"/>
  <c r="AL254" i="9" s="1"/>
  <c r="AN19" i="9"/>
  <c r="K35" i="9"/>
  <c r="L35" i="9" s="1"/>
  <c r="AK45" i="9"/>
  <c r="AL45" i="9" s="1"/>
  <c r="I97" i="9"/>
  <c r="K97" i="9" s="1"/>
  <c r="AK141" i="9"/>
  <c r="AL141" i="9" s="1"/>
  <c r="R16" i="9"/>
  <c r="AN23" i="9"/>
  <c r="AF41" i="9"/>
  <c r="I41" i="9"/>
  <c r="K41" i="9" s="1"/>
  <c r="AE54" i="9"/>
  <c r="AA54" i="9"/>
  <c r="AM54" i="9" s="1"/>
  <c r="AN54" i="9" s="1"/>
  <c r="K74" i="9"/>
  <c r="L74" i="9" s="1"/>
  <c r="AB97" i="9"/>
  <c r="AN102" i="9"/>
  <c r="AK118" i="9"/>
  <c r="AL118" i="9" s="1"/>
  <c r="AK123" i="9"/>
  <c r="AL123" i="9" s="1"/>
  <c r="AM156" i="9"/>
  <c r="AN156" i="9" s="1"/>
  <c r="AK205" i="9"/>
  <c r="AL205" i="9" s="1"/>
  <c r="AK270" i="9"/>
  <c r="AL270" i="9" s="1"/>
  <c r="AM285" i="9"/>
  <c r="AN285" i="9" s="1"/>
  <c r="AK289" i="9"/>
  <c r="AL289" i="9" s="1"/>
  <c r="AM294" i="9"/>
  <c r="AN294" i="9" s="1"/>
  <c r="AM352" i="9"/>
  <c r="AN352" i="9" s="1"/>
  <c r="AK366" i="9"/>
  <c r="AL366" i="9" s="1"/>
  <c r="AK377" i="9"/>
  <c r="AL377" i="9" s="1"/>
  <c r="AM391" i="9"/>
  <c r="AN391" i="9" s="1"/>
  <c r="AK440" i="9"/>
  <c r="AL440" i="9" s="1"/>
  <c r="AK455" i="9"/>
  <c r="AL455" i="9" s="1"/>
  <c r="K500" i="9"/>
  <c r="L500" i="9" s="1"/>
  <c r="AM524" i="9"/>
  <c r="AN524" i="9" s="1"/>
  <c r="AK531" i="9"/>
  <c r="AL531" i="9" s="1"/>
  <c r="AK533" i="9"/>
  <c r="AL533" i="9" s="1"/>
  <c r="AM597" i="9"/>
  <c r="AN597" i="9" s="1"/>
  <c r="AM713" i="9"/>
  <c r="AN713" i="9" s="1"/>
  <c r="AM726" i="9"/>
  <c r="AN726" i="9" s="1"/>
  <c r="AM735" i="9"/>
  <c r="AN735" i="9" s="1"/>
  <c r="AK742" i="9"/>
  <c r="AL742" i="9" s="1"/>
  <c r="V788" i="9"/>
  <c r="AM797" i="9"/>
  <c r="AN797" i="9" s="1"/>
  <c r="Q809" i="9"/>
  <c r="AE809" i="9"/>
  <c r="AB814" i="9"/>
  <c r="I814" i="9"/>
  <c r="V814" i="9"/>
  <c r="R814" i="9"/>
  <c r="AK823" i="9"/>
  <c r="AL823" i="9" s="1"/>
  <c r="AK856" i="9"/>
  <c r="AL856" i="9" s="1"/>
  <c r="AM872" i="9"/>
  <c r="AN872" i="9" s="1"/>
  <c r="AK890" i="9"/>
  <c r="AL890" i="9" s="1"/>
  <c r="AK909" i="9"/>
  <c r="AL909" i="9" s="1"/>
  <c r="AM368" i="9"/>
  <c r="AN368" i="9" s="1"/>
  <c r="AK528" i="9"/>
  <c r="AL528" i="9" s="1"/>
  <c r="AK583" i="9"/>
  <c r="AL583" i="9" s="1"/>
  <c r="V784" i="9"/>
  <c r="R784" i="9"/>
  <c r="AB788" i="9"/>
  <c r="AM800" i="9"/>
  <c r="AN800" i="9" s="1"/>
  <c r="R802" i="9"/>
  <c r="I809" i="9"/>
  <c r="K809" i="9" s="1"/>
  <c r="L809" i="9" s="1"/>
  <c r="AF809" i="9"/>
  <c r="V809" i="9"/>
  <c r="U821" i="9"/>
  <c r="AE821" i="9"/>
  <c r="AF1219" i="9"/>
  <c r="V1219" i="9"/>
  <c r="AK210" i="9"/>
  <c r="AL210" i="9" s="1"/>
  <c r="AK220" i="9"/>
  <c r="AL220" i="9" s="1"/>
  <c r="AK224" i="9"/>
  <c r="AL224" i="9" s="1"/>
  <c r="AK230" i="9"/>
  <c r="AL230" i="9" s="1"/>
  <c r="AK310" i="9"/>
  <c r="AL310" i="9" s="1"/>
  <c r="AM365" i="9"/>
  <c r="AN365" i="9" s="1"/>
  <c r="AK374" i="9"/>
  <c r="AL374" i="9" s="1"/>
  <c r="AK409" i="9"/>
  <c r="AL409" i="9" s="1"/>
  <c r="AK458" i="9"/>
  <c r="AL458" i="9" s="1"/>
  <c r="AK483" i="9"/>
  <c r="AL483" i="9" s="1"/>
  <c r="AM486" i="9"/>
  <c r="AN486" i="9" s="1"/>
  <c r="AK512" i="9"/>
  <c r="AL512" i="9" s="1"/>
  <c r="AM593" i="9"/>
  <c r="AN593" i="9" s="1"/>
  <c r="AK672" i="9"/>
  <c r="AL672" i="9" s="1"/>
  <c r="AK687" i="9"/>
  <c r="AL687" i="9" s="1"/>
  <c r="AK695" i="9"/>
  <c r="AL695" i="9" s="1"/>
  <c r="AK699" i="9"/>
  <c r="AL699" i="9" s="1"/>
  <c r="AM721" i="9"/>
  <c r="AN721" i="9" s="1"/>
  <c r="AK722" i="9"/>
  <c r="AL722" i="9" s="1"/>
  <c r="AB784" i="9"/>
  <c r="V802" i="9"/>
  <c r="AF821" i="9"/>
  <c r="R821" i="9"/>
  <c r="AM827" i="9"/>
  <c r="AN827" i="9" s="1"/>
  <c r="AK831" i="9"/>
  <c r="AL831" i="9" s="1"/>
  <c r="AK836" i="9"/>
  <c r="AL836" i="9" s="1"/>
  <c r="AK887" i="9"/>
  <c r="AL887" i="9" s="1"/>
  <c r="AK893" i="9"/>
  <c r="AL893" i="9" s="1"/>
  <c r="AM919" i="9"/>
  <c r="AN919" i="9" s="1"/>
  <c r="AK994" i="9"/>
  <c r="AL994" i="9" s="1"/>
  <c r="R1219" i="9"/>
  <c r="AK253" i="9"/>
  <c r="AL253" i="9" s="1"/>
  <c r="AM267" i="9"/>
  <c r="AN267" i="9" s="1"/>
  <c r="AK284" i="9"/>
  <c r="AL284" i="9" s="1"/>
  <c r="AM301" i="9"/>
  <c r="AN301" i="9" s="1"/>
  <c r="AM386" i="9"/>
  <c r="AN386" i="9" s="1"/>
  <c r="AK522" i="9"/>
  <c r="AL522" i="9" s="1"/>
  <c r="AK523" i="9"/>
  <c r="AL523" i="9" s="1"/>
  <c r="AK647" i="9"/>
  <c r="AL647" i="9" s="1"/>
  <c r="AK669" i="9"/>
  <c r="AL669" i="9" s="1"/>
  <c r="AK674" i="9"/>
  <c r="AL674" i="9" s="1"/>
  <c r="AK689" i="9"/>
  <c r="AL689" i="9" s="1"/>
  <c r="AM697" i="9"/>
  <c r="AN697" i="9" s="1"/>
  <c r="AK751" i="9"/>
  <c r="AL751" i="9" s="1"/>
  <c r="AF784" i="9"/>
  <c r="AA805" i="9"/>
  <c r="U805" i="9"/>
  <c r="AA807" i="9"/>
  <c r="Q807" i="9"/>
  <c r="Q821" i="9"/>
  <c r="AK1213" i="9"/>
  <c r="AL1213" i="9" s="1"/>
  <c r="AM496" i="9"/>
  <c r="AN496" i="9" s="1"/>
  <c r="AM544" i="9"/>
  <c r="AN544" i="9" s="1"/>
  <c r="AM556" i="9"/>
  <c r="AN556" i="9" s="1"/>
  <c r="AN778" i="9"/>
  <c r="U787" i="9"/>
  <c r="AE787" i="9"/>
  <c r="R789" i="9"/>
  <c r="AF789" i="9"/>
  <c r="R794" i="9"/>
  <c r="AE801" i="9"/>
  <c r="U801" i="9"/>
  <c r="AB802" i="9"/>
  <c r="I805" i="9"/>
  <c r="AA821" i="9"/>
  <c r="AK876" i="9"/>
  <c r="AL876" i="9" s="1"/>
  <c r="AK892" i="9"/>
  <c r="AL892" i="9" s="1"/>
  <c r="AK897" i="9"/>
  <c r="AL897" i="9" s="1"/>
  <c r="AK931" i="9"/>
  <c r="AL931" i="9" s="1"/>
  <c r="AM1018" i="9"/>
  <c r="AN1018" i="9" s="1"/>
  <c r="AK191" i="9"/>
  <c r="AL191" i="9" s="1"/>
  <c r="AK216" i="9"/>
  <c r="AL216" i="9" s="1"/>
  <c r="AK226" i="9"/>
  <c r="AL226" i="9" s="1"/>
  <c r="AK264" i="9"/>
  <c r="AL264" i="9" s="1"/>
  <c r="AM266" i="9"/>
  <c r="AN266" i="9" s="1"/>
  <c r="AK283" i="9"/>
  <c r="AL283" i="9" s="1"/>
  <c r="AM291" i="9"/>
  <c r="AN291" i="9" s="1"/>
  <c r="AM293" i="9"/>
  <c r="AN293" i="9" s="1"/>
  <c r="AM299" i="9"/>
  <c r="AN299" i="9" s="1"/>
  <c r="AK302" i="9"/>
  <c r="AL302" i="9" s="1"/>
  <c r="AK344" i="9"/>
  <c r="AL344" i="9" s="1"/>
  <c r="AM345" i="9"/>
  <c r="AN345" i="9" s="1"/>
  <c r="AK357" i="9"/>
  <c r="AL357" i="9" s="1"/>
  <c r="AK485" i="9"/>
  <c r="AL485" i="9" s="1"/>
  <c r="AK505" i="9"/>
  <c r="AL505" i="9" s="1"/>
  <c r="AK556" i="9"/>
  <c r="AL556" i="9" s="1"/>
  <c r="AK633" i="9"/>
  <c r="AL633" i="9" s="1"/>
  <c r="AM727" i="9"/>
  <c r="AN727" i="9" s="1"/>
  <c r="AK749" i="9"/>
  <c r="AL749" i="9" s="1"/>
  <c r="AM769" i="9"/>
  <c r="AN769" i="9" s="1"/>
  <c r="AN783" i="9"/>
  <c r="AB787" i="9"/>
  <c r="AF787" i="9"/>
  <c r="AK799" i="9"/>
  <c r="AL799" i="9" s="1"/>
  <c r="I801" i="9"/>
  <c r="R801" i="9"/>
  <c r="U807" i="9"/>
  <c r="AM897" i="9"/>
  <c r="AN897" i="9" s="1"/>
  <c r="AK940" i="9"/>
  <c r="AL940" i="9" s="1"/>
  <c r="AK1034" i="9"/>
  <c r="AL1034" i="9" s="1"/>
  <c r="AB1192" i="9"/>
  <c r="AK1192" i="9" s="1"/>
  <c r="AL1192" i="9" s="1"/>
  <c r="I1192" i="9"/>
  <c r="K1192" i="9" s="1"/>
  <c r="L1192" i="9" s="1"/>
  <c r="AF1192" i="9"/>
  <c r="V1192" i="9"/>
  <c r="R1192" i="9"/>
  <c r="AK348" i="9"/>
  <c r="AL348" i="9" s="1"/>
  <c r="AM354" i="9"/>
  <c r="AN354" i="9" s="1"/>
  <c r="AM411" i="9"/>
  <c r="AN411" i="9" s="1"/>
  <c r="AK417" i="9"/>
  <c r="AL417" i="9" s="1"/>
  <c r="AM505" i="9"/>
  <c r="AN505" i="9" s="1"/>
  <c r="AM506" i="9"/>
  <c r="AN506" i="9" s="1"/>
  <c r="AK598" i="9"/>
  <c r="AL598" i="9" s="1"/>
  <c r="AK615" i="9"/>
  <c r="AL615" i="9" s="1"/>
  <c r="AK624" i="9"/>
  <c r="AL624" i="9" s="1"/>
  <c r="AM658" i="9"/>
  <c r="AN658" i="9" s="1"/>
  <c r="AK760" i="9"/>
  <c r="AL760" i="9" s="1"/>
  <c r="AB794" i="9"/>
  <c r="AE805" i="9"/>
  <c r="AK982" i="9"/>
  <c r="AL982" i="9" s="1"/>
  <c r="AK1174" i="9"/>
  <c r="AL1174" i="9" s="1"/>
  <c r="AK222" i="9"/>
  <c r="AL222" i="9" s="1"/>
  <c r="AK269" i="9"/>
  <c r="AL269" i="9" s="1"/>
  <c r="AK273" i="9"/>
  <c r="AL273" i="9" s="1"/>
  <c r="AM292" i="9"/>
  <c r="AN292" i="9" s="1"/>
  <c r="AK308" i="9"/>
  <c r="AL308" i="9" s="1"/>
  <c r="AK350" i="9"/>
  <c r="AL350" i="9" s="1"/>
  <c r="AK356" i="9"/>
  <c r="AL356" i="9" s="1"/>
  <c r="AK369" i="9"/>
  <c r="AL369" i="9" s="1"/>
  <c r="AK379" i="9"/>
  <c r="AL379" i="9" s="1"/>
  <c r="AK390" i="9"/>
  <c r="AL390" i="9" s="1"/>
  <c r="AK401" i="9"/>
  <c r="AL401" i="9" s="1"/>
  <c r="AK411" i="9"/>
  <c r="AL411" i="9" s="1"/>
  <c r="AK441" i="9"/>
  <c r="AL441" i="9" s="1"/>
  <c r="AK506" i="9"/>
  <c r="AL506" i="9" s="1"/>
  <c r="AK518" i="9"/>
  <c r="AL518" i="9" s="1"/>
  <c r="AK521" i="9"/>
  <c r="AL521" i="9" s="1"/>
  <c r="AM586" i="9"/>
  <c r="AN586" i="9" s="1"/>
  <c r="AK597" i="9"/>
  <c r="AL597" i="9" s="1"/>
  <c r="AK617" i="9"/>
  <c r="AL617" i="9" s="1"/>
  <c r="AK626" i="9"/>
  <c r="AL626" i="9" s="1"/>
  <c r="AK649" i="9"/>
  <c r="AL649" i="9" s="1"/>
  <c r="AK693" i="9"/>
  <c r="AL693" i="9" s="1"/>
  <c r="AK728" i="9"/>
  <c r="AL728" i="9" s="1"/>
  <c r="AK776" i="9"/>
  <c r="AL776" i="9" s="1"/>
  <c r="AB785" i="9"/>
  <c r="AK785" i="9" s="1"/>
  <c r="AL785" i="9" s="1"/>
  <c r="AF785" i="9"/>
  <c r="R787" i="9"/>
  <c r="AF794" i="9"/>
  <c r="AE807" i="9"/>
  <c r="AK1070" i="9"/>
  <c r="AL1070" i="9" s="1"/>
  <c r="V1250" i="9"/>
  <c r="R1250" i="9"/>
  <c r="I1250" i="9"/>
  <c r="AB1250" i="9"/>
  <c r="AK862" i="9"/>
  <c r="AL862" i="9" s="1"/>
  <c r="AK941" i="9"/>
  <c r="AL941" i="9" s="1"/>
  <c r="AK946" i="9"/>
  <c r="AL946" i="9" s="1"/>
  <c r="AK975" i="9"/>
  <c r="AL975" i="9" s="1"/>
  <c r="AK977" i="9"/>
  <c r="AL977" i="9" s="1"/>
  <c r="AK1008" i="9"/>
  <c r="AL1008" i="9" s="1"/>
  <c r="AK1078" i="9"/>
  <c r="AL1078" i="9" s="1"/>
  <c r="AM1134" i="9"/>
  <c r="AN1134" i="9" s="1"/>
  <c r="AM1167" i="9"/>
  <c r="AN1167" i="9" s="1"/>
  <c r="I1210" i="9"/>
  <c r="K1210" i="9" s="1"/>
  <c r="V1210" i="9"/>
  <c r="AK1215" i="9"/>
  <c r="AL1215" i="9" s="1"/>
  <c r="I1228" i="9"/>
  <c r="V1228" i="9"/>
  <c r="AB1228" i="9"/>
  <c r="AF1228" i="9"/>
  <c r="AK1262" i="9"/>
  <c r="AL1262" i="9" s="1"/>
  <c r="AM1364" i="9"/>
  <c r="AN1364" i="9" s="1"/>
  <c r="AB1430" i="9"/>
  <c r="AO1429" i="9"/>
  <c r="AM1495" i="9"/>
  <c r="AN1495" i="9" s="1"/>
  <c r="AM1603" i="9"/>
  <c r="AN1603" i="9" s="1"/>
  <c r="AK92" i="9"/>
  <c r="AL92" i="9" s="1"/>
  <c r="AK124" i="9"/>
  <c r="AL124" i="9" s="1"/>
  <c r="AK184" i="9"/>
  <c r="AL184" i="9" s="1"/>
  <c r="AM190" i="9"/>
  <c r="AN190" i="9" s="1"/>
  <c r="AK207" i="9"/>
  <c r="AL207" i="9" s="1"/>
  <c r="AK225" i="9"/>
  <c r="AL225" i="9" s="1"/>
  <c r="AK244" i="9"/>
  <c r="AL244" i="9" s="1"/>
  <c r="AK247" i="9"/>
  <c r="AL247" i="9" s="1"/>
  <c r="AK258" i="9"/>
  <c r="AL258" i="9" s="1"/>
  <c r="AK262" i="9"/>
  <c r="AL262" i="9" s="1"/>
  <c r="AK307" i="9"/>
  <c r="AL307" i="9" s="1"/>
  <c r="AK345" i="9"/>
  <c r="AL345" i="9" s="1"/>
  <c r="AM370" i="9"/>
  <c r="AN370" i="9" s="1"/>
  <c r="AK392" i="9"/>
  <c r="AL392" i="9" s="1"/>
  <c r="AK402" i="9"/>
  <c r="AL402" i="9" s="1"/>
  <c r="AK405" i="9"/>
  <c r="AL405" i="9" s="1"/>
  <c r="AK436" i="9"/>
  <c r="AL436" i="9" s="1"/>
  <c r="AM483" i="9"/>
  <c r="AN483" i="9" s="1"/>
  <c r="AK527" i="9"/>
  <c r="AL527" i="9" s="1"/>
  <c r="AK546" i="9"/>
  <c r="AL546" i="9" s="1"/>
  <c r="AM561" i="9"/>
  <c r="AN561" i="9" s="1"/>
  <c r="AM592" i="9"/>
  <c r="AN592" i="9" s="1"/>
  <c r="AK621" i="9"/>
  <c r="AL621" i="9" s="1"/>
  <c r="AK625" i="9"/>
  <c r="AL625" i="9" s="1"/>
  <c r="AK639" i="9"/>
  <c r="AL639" i="9" s="1"/>
  <c r="AK645" i="9"/>
  <c r="AL645" i="9" s="1"/>
  <c r="AM646" i="9"/>
  <c r="AN646" i="9" s="1"/>
  <c r="AK676" i="9"/>
  <c r="AL676" i="9" s="1"/>
  <c r="AK697" i="9"/>
  <c r="AL697" i="9" s="1"/>
  <c r="AM729" i="9"/>
  <c r="AN729" i="9" s="1"/>
  <c r="AN795" i="9"/>
  <c r="AK798" i="9"/>
  <c r="AL798" i="9" s="1"/>
  <c r="AK849" i="9"/>
  <c r="AL849" i="9" s="1"/>
  <c r="AK855" i="9"/>
  <c r="AL855" i="9" s="1"/>
  <c r="AK869" i="9"/>
  <c r="AL869" i="9" s="1"/>
  <c r="AM874" i="9"/>
  <c r="AN874" i="9" s="1"/>
  <c r="AK875" i="9"/>
  <c r="AL875" i="9" s="1"/>
  <c r="AK904" i="9"/>
  <c r="AL904" i="9" s="1"/>
  <c r="AM911" i="9"/>
  <c r="AN911" i="9" s="1"/>
  <c r="AK915" i="9"/>
  <c r="AL915" i="9" s="1"/>
  <c r="AM918" i="9"/>
  <c r="AN918" i="9" s="1"/>
  <c r="AK919" i="9"/>
  <c r="AL919" i="9" s="1"/>
  <c r="AK939" i="9"/>
  <c r="AL939" i="9" s="1"/>
  <c r="AK961" i="9"/>
  <c r="AL961" i="9" s="1"/>
  <c r="AK963" i="9"/>
  <c r="AL963" i="9" s="1"/>
  <c r="AK971" i="9"/>
  <c r="AL971" i="9" s="1"/>
  <c r="AK989" i="9"/>
  <c r="AL989" i="9" s="1"/>
  <c r="AM1007" i="9"/>
  <c r="AN1007" i="9" s="1"/>
  <c r="AK1058" i="9"/>
  <c r="AL1058" i="9" s="1"/>
  <c r="AK1066" i="9"/>
  <c r="AL1066" i="9" s="1"/>
  <c r="AK1072" i="9"/>
  <c r="AL1072" i="9" s="1"/>
  <c r="AM1146" i="9"/>
  <c r="AN1146" i="9" s="1"/>
  <c r="AK1156" i="9"/>
  <c r="AL1156" i="9" s="1"/>
  <c r="AK1191" i="9"/>
  <c r="AL1191" i="9" s="1"/>
  <c r="AB1210" i="9"/>
  <c r="I1222" i="9"/>
  <c r="AB1222" i="9"/>
  <c r="R1228" i="9"/>
  <c r="AK1228" i="9" s="1"/>
  <c r="AL1228" i="9" s="1"/>
  <c r="AK1270" i="9"/>
  <c r="AL1270" i="9" s="1"/>
  <c r="AF1430" i="9"/>
  <c r="I1810" i="9"/>
  <c r="K1810" i="9" s="1"/>
  <c r="V1810" i="9"/>
  <c r="R1810" i="9"/>
  <c r="R57" i="9"/>
  <c r="AK57" i="9" s="1"/>
  <c r="AL57" i="9" s="1"/>
  <c r="AK89" i="9"/>
  <c r="AL89" i="9" s="1"/>
  <c r="AK140" i="9"/>
  <c r="AL140" i="9" s="1"/>
  <c r="AM152" i="9"/>
  <c r="AN152" i="9" s="1"/>
  <c r="AK153" i="9"/>
  <c r="AL153" i="9" s="1"/>
  <c r="AM215" i="9"/>
  <c r="AN215" i="9" s="1"/>
  <c r="AM243" i="9"/>
  <c r="AN243" i="9" s="1"/>
  <c r="AK255" i="9"/>
  <c r="AL255" i="9" s="1"/>
  <c r="AM258" i="9"/>
  <c r="AN258" i="9" s="1"/>
  <c r="AK282" i="9"/>
  <c r="AL282" i="9" s="1"/>
  <c r="AM287" i="9"/>
  <c r="AN287" i="9" s="1"/>
  <c r="AK304" i="9"/>
  <c r="AL304" i="9" s="1"/>
  <c r="AK349" i="9"/>
  <c r="AL349" i="9" s="1"/>
  <c r="AK362" i="9"/>
  <c r="AL362" i="9" s="1"/>
  <c r="AK365" i="9"/>
  <c r="AL365" i="9" s="1"/>
  <c r="AK370" i="9"/>
  <c r="AL370" i="9" s="1"/>
  <c r="AK481" i="9"/>
  <c r="AL481" i="9" s="1"/>
  <c r="AM527" i="9"/>
  <c r="AN527" i="9" s="1"/>
  <c r="AK548" i="9"/>
  <c r="AL548" i="9" s="1"/>
  <c r="AM598" i="9"/>
  <c r="AN598" i="9" s="1"/>
  <c r="AK605" i="9"/>
  <c r="AL605" i="9" s="1"/>
  <c r="AM639" i="9"/>
  <c r="AN639" i="9" s="1"/>
  <c r="AK671" i="9"/>
  <c r="AL671" i="9" s="1"/>
  <c r="AK673" i="9"/>
  <c r="AL673" i="9" s="1"/>
  <c r="AK678" i="9"/>
  <c r="AL678" i="9" s="1"/>
  <c r="AK686" i="9"/>
  <c r="AL686" i="9" s="1"/>
  <c r="AM720" i="9"/>
  <c r="AN720" i="9" s="1"/>
  <c r="AK721" i="9"/>
  <c r="AL721" i="9" s="1"/>
  <c r="AM749" i="9"/>
  <c r="AM751" i="9"/>
  <c r="AK756" i="9"/>
  <c r="AL756" i="9" s="1"/>
  <c r="AK761" i="9"/>
  <c r="AL761" i="9" s="1"/>
  <c r="I777" i="9"/>
  <c r="AF777" i="9"/>
  <c r="V805" i="9"/>
  <c r="AK837" i="9"/>
  <c r="AL837" i="9" s="1"/>
  <c r="AM849" i="9"/>
  <c r="AN849" i="9" s="1"/>
  <c r="AM857" i="9"/>
  <c r="AN857" i="9" s="1"/>
  <c r="AM882" i="9"/>
  <c r="AN882" i="9" s="1"/>
  <c r="AM893" i="9"/>
  <c r="AN893" i="9" s="1"/>
  <c r="AK911" i="9"/>
  <c r="AL911" i="9" s="1"/>
  <c r="AM915" i="9"/>
  <c r="AN915" i="9" s="1"/>
  <c r="AK918" i="9"/>
  <c r="AL918" i="9" s="1"/>
  <c r="AK922" i="9"/>
  <c r="AL922" i="9" s="1"/>
  <c r="AK952" i="9"/>
  <c r="AL952" i="9" s="1"/>
  <c r="AK1027" i="9"/>
  <c r="AL1027" i="9" s="1"/>
  <c r="AK1042" i="9"/>
  <c r="AL1042" i="9" s="1"/>
  <c r="AK1089" i="9"/>
  <c r="AL1089" i="9" s="1"/>
  <c r="AK1115" i="9"/>
  <c r="AL1115" i="9" s="1"/>
  <c r="AM1137" i="9"/>
  <c r="AN1137" i="9" s="1"/>
  <c r="AK1141" i="9"/>
  <c r="AL1141" i="9" s="1"/>
  <c r="AK1185" i="9"/>
  <c r="AL1185" i="9" s="1"/>
  <c r="AK1189" i="9"/>
  <c r="AL1189" i="9" s="1"/>
  <c r="I1208" i="9"/>
  <c r="K1208" i="9" s="1"/>
  <c r="L1208" i="9" s="1"/>
  <c r="AF1210" i="9"/>
  <c r="AN1214" i="9"/>
  <c r="AF1222" i="9"/>
  <c r="AK1336" i="9"/>
  <c r="AL1336" i="9" s="1"/>
  <c r="AK1339" i="9"/>
  <c r="AL1339" i="9" s="1"/>
  <c r="AM1340" i="9"/>
  <c r="AN1340" i="9" s="1"/>
  <c r="AK1416" i="9"/>
  <c r="AL1416" i="9" s="1"/>
  <c r="AF1418" i="9"/>
  <c r="V1418" i="9"/>
  <c r="AK1530" i="9"/>
  <c r="AL1530" i="9" s="1"/>
  <c r="AK1134" i="9"/>
  <c r="AL1134" i="9" s="1"/>
  <c r="AK1184" i="9"/>
  <c r="AL1184" i="9" s="1"/>
  <c r="AK1274" i="9"/>
  <c r="AL1274" i="9" s="1"/>
  <c r="AE1656" i="9"/>
  <c r="AA1656" i="9"/>
  <c r="U1656" i="9"/>
  <c r="Q1656" i="9"/>
  <c r="AM956" i="9"/>
  <c r="AN956" i="9" s="1"/>
  <c r="AM1001" i="9"/>
  <c r="AN1001" i="9" s="1"/>
  <c r="AM1183" i="9"/>
  <c r="AN1183" i="9" s="1"/>
  <c r="I1203" i="9"/>
  <c r="AN1211" i="9"/>
  <c r="R1220" i="9"/>
  <c r="AK1220" i="9" s="1"/>
  <c r="AL1220" i="9" s="1"/>
  <c r="V1220" i="9"/>
  <c r="I1220" i="9"/>
  <c r="K1220" i="9" s="1"/>
  <c r="L1220" i="9" s="1"/>
  <c r="AF1229" i="9"/>
  <c r="AB1229" i="9"/>
  <c r="I1229" i="9"/>
  <c r="I1232" i="9"/>
  <c r="K1232" i="9" s="1"/>
  <c r="R1232" i="9"/>
  <c r="I1249" i="9"/>
  <c r="AK1254" i="9"/>
  <c r="AL1254" i="9" s="1"/>
  <c r="AM1353" i="9"/>
  <c r="AN1353" i="9" s="1"/>
  <c r="AM1385" i="9"/>
  <c r="AN1385" i="9" s="1"/>
  <c r="AK1547" i="9"/>
  <c r="AL1547" i="9" s="1"/>
  <c r="AE1708" i="9"/>
  <c r="U1708" i="9"/>
  <c r="Q1708" i="9"/>
  <c r="AA1708" i="9"/>
  <c r="AK848" i="9"/>
  <c r="AL848" i="9" s="1"/>
  <c r="AK870" i="9"/>
  <c r="AL870" i="9" s="1"/>
  <c r="AK888" i="9"/>
  <c r="AL888" i="9" s="1"/>
  <c r="AK891" i="9"/>
  <c r="AL891" i="9" s="1"/>
  <c r="AK903" i="9"/>
  <c r="AL903" i="9" s="1"/>
  <c r="AM909" i="9"/>
  <c r="AN909" i="9" s="1"/>
  <c r="AK954" i="9"/>
  <c r="AL954" i="9" s="1"/>
  <c r="AK960" i="9"/>
  <c r="AL960" i="9" s="1"/>
  <c r="AK979" i="9"/>
  <c r="AL979" i="9" s="1"/>
  <c r="AK999" i="9"/>
  <c r="AL999" i="9" s="1"/>
  <c r="AK1001" i="9"/>
  <c r="AL1001" i="9" s="1"/>
  <c r="AK1018" i="9"/>
  <c r="AL1018" i="9" s="1"/>
  <c r="AK1059" i="9"/>
  <c r="AL1059" i="9" s="1"/>
  <c r="AK1086" i="9"/>
  <c r="AL1086" i="9" s="1"/>
  <c r="AK1103" i="9"/>
  <c r="AL1103" i="9" s="1"/>
  <c r="AK1150" i="9"/>
  <c r="AL1150" i="9" s="1"/>
  <c r="AK1188" i="9"/>
  <c r="AL1188" i="9" s="1"/>
  <c r="I1211" i="9"/>
  <c r="AK1214" i="9"/>
  <c r="AL1214" i="9" s="1"/>
  <c r="AF1220" i="9"/>
  <c r="R1229" i="9"/>
  <c r="V1232" i="9"/>
  <c r="AK1396" i="9"/>
  <c r="AL1396" i="9" s="1"/>
  <c r="AK1450" i="9"/>
  <c r="AL1450" i="9" s="1"/>
  <c r="AM1086" i="9"/>
  <c r="AN1086" i="9" s="1"/>
  <c r="I1144" i="9"/>
  <c r="V1144" i="9"/>
  <c r="AB1144" i="9"/>
  <c r="V1229" i="9"/>
  <c r="K1249" i="9"/>
  <c r="L1249" i="9" s="1"/>
  <c r="AK1349" i="9"/>
  <c r="AL1349" i="9" s="1"/>
  <c r="AM916" i="9"/>
  <c r="AN916" i="9" s="1"/>
  <c r="AK998" i="9"/>
  <c r="AL998" i="9" s="1"/>
  <c r="AK1006" i="9"/>
  <c r="AL1006" i="9" s="1"/>
  <c r="AM1042" i="9"/>
  <c r="AN1042" i="9" s="1"/>
  <c r="AM1131" i="9"/>
  <c r="AN1131" i="9" s="1"/>
  <c r="AM1187" i="9"/>
  <c r="AN1187" i="9" s="1"/>
  <c r="AF1197" i="9"/>
  <c r="R1197" i="9"/>
  <c r="AM1202" i="9"/>
  <c r="AN1202" i="9" s="1"/>
  <c r="I1209" i="9"/>
  <c r="K1209" i="9" s="1"/>
  <c r="V1209" i="9"/>
  <c r="AA1216" i="9"/>
  <c r="V1218" i="9"/>
  <c r="R1218" i="9"/>
  <c r="AB1218" i="9"/>
  <c r="AK1275" i="9"/>
  <c r="AL1275" i="9" s="1"/>
  <c r="AK1415" i="9"/>
  <c r="AL1415" i="9" s="1"/>
  <c r="V1685" i="9"/>
  <c r="I1685" i="9"/>
  <c r="K1685" i="9" s="1"/>
  <c r="L1685" i="9" s="1"/>
  <c r="AF1685" i="9"/>
  <c r="AM908" i="9"/>
  <c r="AN908" i="9" s="1"/>
  <c r="AK923" i="9"/>
  <c r="AL923" i="9" s="1"/>
  <c r="AK978" i="9"/>
  <c r="AL978" i="9" s="1"/>
  <c r="AK986" i="9"/>
  <c r="AL986" i="9" s="1"/>
  <c r="AK992" i="9"/>
  <c r="AL992" i="9" s="1"/>
  <c r="AK1138" i="9"/>
  <c r="AL1138" i="9" s="1"/>
  <c r="V1197" i="9"/>
  <c r="AK1204" i="9"/>
  <c r="AL1204" i="9" s="1"/>
  <c r="AB1209" i="9"/>
  <c r="I1221" i="9"/>
  <c r="AF1221" i="9"/>
  <c r="AM1236" i="9"/>
  <c r="AN1236" i="9" s="1"/>
  <c r="AM1260" i="9"/>
  <c r="AN1260" i="9" s="1"/>
  <c r="AM1286" i="9"/>
  <c r="AN1286" i="9" s="1"/>
  <c r="AK1291" i="9"/>
  <c r="AL1291" i="9" s="1"/>
  <c r="AK1359" i="9"/>
  <c r="AL1359" i="9" s="1"/>
  <c r="AM1412" i="9"/>
  <c r="AN1412" i="9" s="1"/>
  <c r="AK881" i="9"/>
  <c r="AL881" i="9" s="1"/>
  <c r="AK884" i="9"/>
  <c r="AL884" i="9" s="1"/>
  <c r="AK905" i="9"/>
  <c r="AL905" i="9" s="1"/>
  <c r="AK913" i="9"/>
  <c r="AL913" i="9" s="1"/>
  <c r="AM932" i="9"/>
  <c r="AN932" i="9" s="1"/>
  <c r="AK948" i="9"/>
  <c r="AL948" i="9" s="1"/>
  <c r="AK955" i="9"/>
  <c r="AL955" i="9" s="1"/>
  <c r="AK959" i="9"/>
  <c r="AL959" i="9" s="1"/>
  <c r="AK988" i="9"/>
  <c r="AL988" i="9" s="1"/>
  <c r="AK1000" i="9"/>
  <c r="AL1000" i="9" s="1"/>
  <c r="AM1012" i="9"/>
  <c r="AN1012" i="9" s="1"/>
  <c r="AK1031" i="9"/>
  <c r="AL1031" i="9" s="1"/>
  <c r="AK1033" i="9"/>
  <c r="AL1033" i="9" s="1"/>
  <c r="AM1101" i="9"/>
  <c r="AN1101" i="9" s="1"/>
  <c r="AK1167" i="9"/>
  <c r="AL1167" i="9" s="1"/>
  <c r="AK1182" i="9"/>
  <c r="AL1182" i="9" s="1"/>
  <c r="AB1197" i="9"/>
  <c r="Q1216" i="9"/>
  <c r="AB1227" i="9"/>
  <c r="AM1285" i="9"/>
  <c r="AN1285" i="9" s="1"/>
  <c r="AK1386" i="9"/>
  <c r="AL1386" i="9" s="1"/>
  <c r="AK1391" i="9"/>
  <c r="AL1391" i="9" s="1"/>
  <c r="AK1404" i="9"/>
  <c r="AL1404" i="9" s="1"/>
  <c r="AK1408" i="9"/>
  <c r="AL1408" i="9" s="1"/>
  <c r="AK1445" i="9"/>
  <c r="AL1445" i="9" s="1"/>
  <c r="AN1655" i="9"/>
  <c r="I1655" i="9"/>
  <c r="K1655" i="9" s="1"/>
  <c r="L1655" i="9" s="1"/>
  <c r="AE1677" i="9"/>
  <c r="U1677" i="9"/>
  <c r="I1677" i="9"/>
  <c r="K1677" i="9" s="1"/>
  <c r="AK553" i="9"/>
  <c r="AL553" i="9" s="1"/>
  <c r="AM600" i="9"/>
  <c r="AN600" i="9" s="1"/>
  <c r="AK608" i="9"/>
  <c r="AL608" i="9" s="1"/>
  <c r="AK646" i="9"/>
  <c r="AL646" i="9" s="1"/>
  <c r="AK690" i="9"/>
  <c r="AL690" i="9" s="1"/>
  <c r="AM695" i="9"/>
  <c r="AN695" i="9" s="1"/>
  <c r="AK703" i="9"/>
  <c r="AL703" i="9" s="1"/>
  <c r="AK709" i="9"/>
  <c r="AL709" i="9" s="1"/>
  <c r="AK729" i="9"/>
  <c r="AL729" i="9" s="1"/>
  <c r="AK769" i="9"/>
  <c r="AL769" i="9" s="1"/>
  <c r="AM773" i="9"/>
  <c r="AN773" i="9" s="1"/>
  <c r="AK782" i="9"/>
  <c r="AL782" i="9" s="1"/>
  <c r="AN816" i="9"/>
  <c r="AK840" i="9"/>
  <c r="AL840" i="9" s="1"/>
  <c r="AM855" i="9"/>
  <c r="AN855" i="9" s="1"/>
  <c r="AK859" i="9"/>
  <c r="AL859" i="9" s="1"/>
  <c r="AK871" i="9"/>
  <c r="AL871" i="9" s="1"/>
  <c r="AK885" i="9"/>
  <c r="AL885" i="9" s="1"/>
  <c r="AM892" i="9"/>
  <c r="AN892" i="9" s="1"/>
  <c r="AM896" i="9"/>
  <c r="AN896" i="9" s="1"/>
  <c r="AM899" i="9"/>
  <c r="AN899" i="9" s="1"/>
  <c r="AK916" i="9"/>
  <c r="AL916" i="9" s="1"/>
  <c r="AM920" i="9"/>
  <c r="AN920" i="9" s="1"/>
  <c r="AM923" i="9"/>
  <c r="AN923" i="9" s="1"/>
  <c r="AK932" i="9"/>
  <c r="AL932" i="9" s="1"/>
  <c r="AM945" i="9"/>
  <c r="AN945" i="9" s="1"/>
  <c r="AK976" i="9"/>
  <c r="AL976" i="9" s="1"/>
  <c r="AM998" i="9"/>
  <c r="AN998" i="9" s="1"/>
  <c r="AK1030" i="9"/>
  <c r="AL1030" i="9" s="1"/>
  <c r="AM1069" i="9"/>
  <c r="AN1069" i="9" s="1"/>
  <c r="AM1128" i="9"/>
  <c r="AN1128" i="9" s="1"/>
  <c r="AK1132" i="9"/>
  <c r="AL1132" i="9" s="1"/>
  <c r="AM1169" i="9"/>
  <c r="AN1169" i="9" s="1"/>
  <c r="AM1245" i="9"/>
  <c r="AN1245" i="9" s="1"/>
  <c r="AK1246" i="9"/>
  <c r="AM1357" i="9"/>
  <c r="AN1357" i="9" s="1"/>
  <c r="Q1368" i="9"/>
  <c r="AE1368" i="9"/>
  <c r="AK1461" i="9"/>
  <c r="AL1461" i="9" s="1"/>
  <c r="AM1500" i="9"/>
  <c r="AN1500" i="9" s="1"/>
  <c r="AM1503" i="9"/>
  <c r="AN1503" i="9" s="1"/>
  <c r="AM1545" i="9"/>
  <c r="AN1545" i="9" s="1"/>
  <c r="AK1572" i="9"/>
  <c r="AL1572" i="9" s="1"/>
  <c r="AM1595" i="9"/>
  <c r="AN1595" i="9" s="1"/>
  <c r="AK1619" i="9"/>
  <c r="AL1619" i="9" s="1"/>
  <c r="AM1645" i="9"/>
  <c r="AN1645" i="9" s="1"/>
  <c r="AM1651" i="9"/>
  <c r="AN1651" i="9" s="1"/>
  <c r="Q1662" i="9"/>
  <c r="AE1662" i="9"/>
  <c r="AA1662" i="9"/>
  <c r="V1682" i="9"/>
  <c r="I1682" i="9"/>
  <c r="K1682" i="9" s="1"/>
  <c r="L1682" i="9" s="1"/>
  <c r="AK1696" i="9"/>
  <c r="AL1696" i="9" s="1"/>
  <c r="AF1701" i="9"/>
  <c r="AB1701" i="9"/>
  <c r="V1701" i="9"/>
  <c r="R1701" i="9"/>
  <c r="AB1708" i="9"/>
  <c r="I1708" i="9"/>
  <c r="AF1708" i="9"/>
  <c r="V1708" i="9"/>
  <c r="R1708" i="9"/>
  <c r="AK1708" i="9" s="1"/>
  <c r="AL1708" i="9" s="1"/>
  <c r="V1776" i="9"/>
  <c r="R1776" i="9"/>
  <c r="AF1776" i="9"/>
  <c r="AB1776" i="9"/>
  <c r="AK1296" i="9"/>
  <c r="AL1296" i="9" s="1"/>
  <c r="AK1365" i="9"/>
  <c r="AL1365" i="9" s="1"/>
  <c r="AK1387" i="9"/>
  <c r="AL1387" i="9" s="1"/>
  <c r="AK1395" i="9"/>
  <c r="AL1395" i="9" s="1"/>
  <c r="AK1414" i="9"/>
  <c r="AL1414" i="9" s="1"/>
  <c r="AK1447" i="9"/>
  <c r="AL1447" i="9" s="1"/>
  <c r="AK1466" i="9"/>
  <c r="AL1466" i="9" s="1"/>
  <c r="AK1477" i="9"/>
  <c r="AL1477" i="9" s="1"/>
  <c r="AK1484" i="9"/>
  <c r="AL1484" i="9" s="1"/>
  <c r="AK1492" i="9"/>
  <c r="AL1492" i="9" s="1"/>
  <c r="AK1494" i="9"/>
  <c r="AL1494" i="9" s="1"/>
  <c r="AM1497" i="9"/>
  <c r="AN1497" i="9" s="1"/>
  <c r="AK1500" i="9"/>
  <c r="AL1500" i="9" s="1"/>
  <c r="AK1515" i="9"/>
  <c r="AL1515" i="9" s="1"/>
  <c r="AK1527" i="9"/>
  <c r="AL1527" i="9" s="1"/>
  <c r="AK1532" i="9"/>
  <c r="AL1532" i="9" s="1"/>
  <c r="AK1588" i="9"/>
  <c r="AL1588" i="9" s="1"/>
  <c r="AM1639" i="9"/>
  <c r="AN1639" i="9" s="1"/>
  <c r="V1643" i="9"/>
  <c r="AB1643" i="9"/>
  <c r="I1643" i="9"/>
  <c r="K1643" i="9" s="1"/>
  <c r="L1643" i="9" s="1"/>
  <c r="AF1662" i="9"/>
  <c r="R1662" i="9"/>
  <c r="I1662" i="9"/>
  <c r="K1662" i="9" s="1"/>
  <c r="L1662" i="9" s="1"/>
  <c r="AB1662" i="9"/>
  <c r="AF1670" i="9"/>
  <c r="V1670" i="9"/>
  <c r="R1670" i="9"/>
  <c r="AN1702" i="9"/>
  <c r="AM1405" i="9"/>
  <c r="AN1405" i="9" s="1"/>
  <c r="AK1426" i="9"/>
  <c r="AL1426" i="9" s="1"/>
  <c r="AM1452" i="9"/>
  <c r="AN1452" i="9" s="1"/>
  <c r="AK1468" i="9"/>
  <c r="AL1468" i="9" s="1"/>
  <c r="AK1517" i="9"/>
  <c r="AL1517" i="9" s="1"/>
  <c r="AK1522" i="9"/>
  <c r="AL1522" i="9" s="1"/>
  <c r="AK1543" i="9"/>
  <c r="AL1543" i="9" s="1"/>
  <c r="AE1637" i="9"/>
  <c r="U1637" i="9"/>
  <c r="Q1777" i="9"/>
  <c r="AA1777" i="9"/>
  <c r="U1777" i="9"/>
  <c r="AM1348" i="9"/>
  <c r="AN1348" i="9" s="1"/>
  <c r="AK1364" i="9"/>
  <c r="AL1364" i="9" s="1"/>
  <c r="AK1390" i="9"/>
  <c r="AL1390" i="9" s="1"/>
  <c r="AM1409" i="9"/>
  <c r="AN1409" i="9" s="1"/>
  <c r="I1432" i="9"/>
  <c r="K1432" i="9" s="1"/>
  <c r="R1432" i="9"/>
  <c r="AK1488" i="9"/>
  <c r="AL1488" i="9" s="1"/>
  <c r="AM1508" i="9"/>
  <c r="AN1508" i="9" s="1"/>
  <c r="I1637" i="9"/>
  <c r="R1643" i="9"/>
  <c r="AK1643" i="9" s="1"/>
  <c r="AL1643" i="9" s="1"/>
  <c r="AB1658" i="9"/>
  <c r="AK1658" i="9" s="1"/>
  <c r="AL1658" i="9" s="1"/>
  <c r="V1658" i="9"/>
  <c r="R1658" i="9"/>
  <c r="I1658" i="9"/>
  <c r="K1658" i="9" s="1"/>
  <c r="L1658" i="9" s="1"/>
  <c r="I1660" i="9"/>
  <c r="K1660" i="9" s="1"/>
  <c r="L1660" i="9" s="1"/>
  <c r="V1660" i="9"/>
  <c r="AK1662" i="9"/>
  <c r="AL1662" i="9" s="1"/>
  <c r="AA1699" i="9"/>
  <c r="AE1699" i="9"/>
  <c r="Q1699" i="9"/>
  <c r="AK1268" i="9"/>
  <c r="AL1268" i="9" s="1"/>
  <c r="AK1358" i="9"/>
  <c r="AL1358" i="9" s="1"/>
  <c r="AK1367" i="9"/>
  <c r="AL1367" i="9" s="1"/>
  <c r="AF1432" i="9"/>
  <c r="AM1493" i="9"/>
  <c r="AN1493" i="9" s="1"/>
  <c r="AM1575" i="9"/>
  <c r="AN1575" i="9" s="1"/>
  <c r="AM1612" i="9"/>
  <c r="AN1612" i="9" s="1"/>
  <c r="AK1638" i="9"/>
  <c r="AL1638" i="9" s="1"/>
  <c r="AK1642" i="9"/>
  <c r="AL1642" i="9" s="1"/>
  <c r="I1656" i="9"/>
  <c r="K1656" i="9" s="1"/>
  <c r="AA1706" i="9"/>
  <c r="U1706" i="9"/>
  <c r="AE1706" i="9"/>
  <c r="AK1451" i="9"/>
  <c r="AL1451" i="9" s="1"/>
  <c r="AK1485" i="9"/>
  <c r="AL1485" i="9" s="1"/>
  <c r="AK1499" i="9"/>
  <c r="AL1499" i="9" s="1"/>
  <c r="AN1669" i="9"/>
  <c r="K1669" i="9"/>
  <c r="L1669" i="9" s="1"/>
  <c r="AA1684" i="9"/>
  <c r="AE1684" i="9"/>
  <c r="U1684" i="9"/>
  <c r="AB1706" i="9"/>
  <c r="V1706" i="9"/>
  <c r="R1706" i="9"/>
  <c r="AM1375" i="9"/>
  <c r="AN1375" i="9" s="1"/>
  <c r="AM1376" i="9"/>
  <c r="AN1376" i="9" s="1"/>
  <c r="AK1388" i="9"/>
  <c r="AL1388" i="9" s="1"/>
  <c r="AK1403" i="9"/>
  <c r="AL1403" i="9" s="1"/>
  <c r="AK1437" i="9"/>
  <c r="AL1437" i="9" s="1"/>
  <c r="AK1541" i="9"/>
  <c r="AL1541" i="9" s="1"/>
  <c r="AM1554" i="9"/>
  <c r="AN1554" i="9" s="1"/>
  <c r="I1669" i="9"/>
  <c r="AF1706" i="9"/>
  <c r="AK1706" i="9" s="1"/>
  <c r="AF1433" i="9"/>
  <c r="AB1433" i="9"/>
  <c r="AK1475" i="9"/>
  <c r="AL1475" i="9" s="1"/>
  <c r="AK1516" i="9"/>
  <c r="AL1516" i="9" s="1"/>
  <c r="V1769" i="9"/>
  <c r="R1769" i="9"/>
  <c r="AB1769" i="9"/>
  <c r="AF1769" i="9"/>
  <c r="AK1769" i="9" s="1"/>
  <c r="AL1769" i="9" s="1"/>
  <c r="AN1775" i="9"/>
  <c r="AK568" i="9"/>
  <c r="AL568" i="9" s="1"/>
  <c r="AK581" i="9"/>
  <c r="AL581" i="9" s="1"/>
  <c r="AK594" i="9"/>
  <c r="AL594" i="9" s="1"/>
  <c r="AK623" i="9"/>
  <c r="AL623" i="9" s="1"/>
  <c r="AM647" i="9"/>
  <c r="AN647" i="9" s="1"/>
  <c r="AK716" i="9"/>
  <c r="AL716" i="9" s="1"/>
  <c r="AM736" i="9"/>
  <c r="AN736" i="9" s="1"/>
  <c r="AN779" i="9"/>
  <c r="AM826" i="9"/>
  <c r="AN826" i="9" s="1"/>
  <c r="AK880" i="9"/>
  <c r="AL880" i="9" s="1"/>
  <c r="AK883" i="9"/>
  <c r="AL883" i="9" s="1"/>
  <c r="AK896" i="9"/>
  <c r="AL896" i="9" s="1"/>
  <c r="AK902" i="9"/>
  <c r="AL902" i="9" s="1"/>
  <c r="AK914" i="9"/>
  <c r="AL914" i="9" s="1"/>
  <c r="AK917" i="9"/>
  <c r="AL917" i="9" s="1"/>
  <c r="AK927" i="9"/>
  <c r="AL927" i="9" s="1"/>
  <c r="AM992" i="9"/>
  <c r="AN992" i="9" s="1"/>
  <c r="AM1132" i="9"/>
  <c r="AN1132" i="9" s="1"/>
  <c r="AK1133" i="9"/>
  <c r="AL1133" i="9" s="1"/>
  <c r="AA1192" i="9"/>
  <c r="AM1192" i="9" s="1"/>
  <c r="AN1192" i="9" s="1"/>
  <c r="AE1192" i="9"/>
  <c r="AK1248" i="9"/>
  <c r="AL1248" i="9" s="1"/>
  <c r="AM1253" i="9"/>
  <c r="AN1253" i="9" s="1"/>
  <c r="AM1270" i="9"/>
  <c r="AN1270" i="9" s="1"/>
  <c r="AM1275" i="9"/>
  <c r="AN1275" i="9" s="1"/>
  <c r="AK1285" i="9"/>
  <c r="AL1285" i="9" s="1"/>
  <c r="AM1334" i="9"/>
  <c r="AN1334" i="9" s="1"/>
  <c r="AM1342" i="9"/>
  <c r="AN1342" i="9" s="1"/>
  <c r="AM1402" i="9"/>
  <c r="AN1402" i="9" s="1"/>
  <c r="AK1407" i="9"/>
  <c r="AL1407" i="9" s="1"/>
  <c r="R1433" i="9"/>
  <c r="AK1433" i="9" s="1"/>
  <c r="AL1433" i="9" s="1"/>
  <c r="AK1467" i="9"/>
  <c r="AL1467" i="9" s="1"/>
  <c r="AK1472" i="9"/>
  <c r="AL1472" i="9" s="1"/>
  <c r="AK1481" i="9"/>
  <c r="AL1481" i="9" s="1"/>
  <c r="AK1487" i="9"/>
  <c r="AL1487" i="9" s="1"/>
  <c r="AK1511" i="9"/>
  <c r="AL1511" i="9" s="1"/>
  <c r="AK1567" i="9"/>
  <c r="AL1567" i="9" s="1"/>
  <c r="AA1685" i="9"/>
  <c r="U1685" i="9"/>
  <c r="Q1685" i="9"/>
  <c r="R1707" i="9"/>
  <c r="AF1707" i="9"/>
  <c r="AB1707" i="9"/>
  <c r="AK1120" i="9"/>
  <c r="AL1120" i="9" s="1"/>
  <c r="AK1130" i="9"/>
  <c r="AL1130" i="9" s="1"/>
  <c r="AK1131" i="9"/>
  <c r="AL1131" i="9" s="1"/>
  <c r="AM1138" i="9"/>
  <c r="AN1138" i="9" s="1"/>
  <c r="AM1140" i="9"/>
  <c r="AN1140" i="9" s="1"/>
  <c r="AK1168" i="9"/>
  <c r="AL1168" i="9" s="1"/>
  <c r="AK1187" i="9"/>
  <c r="AL1187" i="9" s="1"/>
  <c r="I1216" i="9"/>
  <c r="K1216" i="9" s="1"/>
  <c r="AK1236" i="9"/>
  <c r="AL1236" i="9" s="1"/>
  <c r="AM1255" i="9"/>
  <c r="AN1255" i="9" s="1"/>
  <c r="AK1264" i="9"/>
  <c r="AL1264" i="9" s="1"/>
  <c r="AK1287" i="9"/>
  <c r="AL1287" i="9" s="1"/>
  <c r="AK1346" i="9"/>
  <c r="AL1346" i="9" s="1"/>
  <c r="AK1384" i="9"/>
  <c r="AL1384" i="9" s="1"/>
  <c r="AM1403" i="9"/>
  <c r="AN1403" i="9" s="1"/>
  <c r="AK1429" i="9"/>
  <c r="AL1429" i="9" s="1"/>
  <c r="AK1459" i="9"/>
  <c r="AL1459" i="9" s="1"/>
  <c r="AK1493" i="9"/>
  <c r="AL1493" i="9" s="1"/>
  <c r="AK1510" i="9"/>
  <c r="AL1510" i="9" s="1"/>
  <c r="AK1523" i="9"/>
  <c r="AL1523" i="9" s="1"/>
  <c r="AK1575" i="9"/>
  <c r="AL1575" i="9" s="1"/>
  <c r="AK1582" i="9"/>
  <c r="AL1582" i="9" s="1"/>
  <c r="AK1587" i="9"/>
  <c r="AL1587" i="9" s="1"/>
  <c r="Q1807" i="9"/>
  <c r="AE1807" i="9"/>
  <c r="AA1807" i="9"/>
  <c r="U1807" i="9"/>
  <c r="V1948" i="9"/>
  <c r="AF1948" i="9"/>
  <c r="AB1948" i="9"/>
  <c r="R1948" i="9"/>
  <c r="I1948" i="9"/>
  <c r="K1948" i="9" s="1"/>
  <c r="L1948" i="9" s="1"/>
  <c r="I1792" i="9"/>
  <c r="K1792" i="9" s="1"/>
  <c r="R1792" i="9"/>
  <c r="R1808" i="9"/>
  <c r="AF1808" i="9"/>
  <c r="AB1808" i="9"/>
  <c r="V1808" i="9"/>
  <c r="V1951" i="9"/>
  <c r="AM1964" i="9"/>
  <c r="AN1964" i="9" s="1"/>
  <c r="AK2019" i="9"/>
  <c r="AL2019" i="9" s="1"/>
  <c r="U1779" i="9"/>
  <c r="AA1779" i="9"/>
  <c r="Q1779" i="9"/>
  <c r="AE1830" i="9"/>
  <c r="AA1830" i="9"/>
  <c r="U1830" i="9"/>
  <c r="AK2062" i="9"/>
  <c r="AL2062" i="9" s="1"/>
  <c r="R2130" i="9"/>
  <c r="AO2129" i="9"/>
  <c r="AB2130" i="9"/>
  <c r="AM2107" i="9"/>
  <c r="AN2107" i="9" s="1"/>
  <c r="AF1763" i="9"/>
  <c r="I1763" i="9"/>
  <c r="K1763" i="9" s="1"/>
  <c r="L1763" i="9" s="1"/>
  <c r="AB1763" i="9"/>
  <c r="V1763" i="9"/>
  <c r="I1775" i="9"/>
  <c r="K1775" i="9" s="1"/>
  <c r="L1775" i="9" s="1"/>
  <c r="AE1779" i="9"/>
  <c r="V1838" i="9"/>
  <c r="AF1838" i="9"/>
  <c r="AB1838" i="9"/>
  <c r="R1763" i="9"/>
  <c r="AK1071" i="9"/>
  <c r="AL1071" i="9" s="1"/>
  <c r="AK1084" i="9"/>
  <c r="AL1084" i="9" s="1"/>
  <c r="AK1105" i="9"/>
  <c r="AL1105" i="9" s="1"/>
  <c r="AN1142" i="9"/>
  <c r="AK1183" i="9"/>
  <c r="AL1183" i="9" s="1"/>
  <c r="AN1225" i="9"/>
  <c r="AK1252" i="9"/>
  <c r="AL1252" i="9" s="1"/>
  <c r="AM1257" i="9"/>
  <c r="AN1257" i="9" s="1"/>
  <c r="AK1265" i="9"/>
  <c r="AL1265" i="9" s="1"/>
  <c r="AK1297" i="9"/>
  <c r="AL1297" i="9" s="1"/>
  <c r="AK1366" i="9"/>
  <c r="AL1366" i="9" s="1"/>
  <c r="AK1373" i="9"/>
  <c r="AL1373" i="9" s="1"/>
  <c r="AK1375" i="9"/>
  <c r="AL1375" i="9" s="1"/>
  <c r="AK1398" i="9"/>
  <c r="AL1398" i="9" s="1"/>
  <c r="AM1401" i="9"/>
  <c r="AN1401" i="9" s="1"/>
  <c r="AN1433" i="9"/>
  <c r="AK1440" i="9"/>
  <c r="AL1440" i="9" s="1"/>
  <c r="AK1489" i="9"/>
  <c r="AL1489" i="9" s="1"/>
  <c r="AK1491" i="9"/>
  <c r="AL1491" i="9" s="1"/>
  <c r="AM1501" i="9"/>
  <c r="AN1501" i="9" s="1"/>
  <c r="AM1502" i="9"/>
  <c r="AN1502" i="9" s="1"/>
  <c r="AK1504" i="9"/>
  <c r="AL1504" i="9" s="1"/>
  <c r="AK1514" i="9"/>
  <c r="AL1514" i="9" s="1"/>
  <c r="AK1534" i="9"/>
  <c r="AL1534" i="9" s="1"/>
  <c r="AK1564" i="9"/>
  <c r="AL1564" i="9" s="1"/>
  <c r="AK1576" i="9"/>
  <c r="AL1576" i="9" s="1"/>
  <c r="AK1581" i="9"/>
  <c r="AL1581" i="9" s="1"/>
  <c r="AM1640" i="9"/>
  <c r="AN1640" i="9" s="1"/>
  <c r="AK1641" i="9"/>
  <c r="AL1641" i="9" s="1"/>
  <c r="AL1697" i="9"/>
  <c r="V1773" i="9"/>
  <c r="AF1773" i="9"/>
  <c r="AK1773" i="9" s="1"/>
  <c r="AL1773" i="9" s="1"/>
  <c r="AB1773" i="9"/>
  <c r="R1773" i="9"/>
  <c r="AM2040" i="9"/>
  <c r="AN2040" i="9" s="1"/>
  <c r="AB1799" i="9"/>
  <c r="V1799" i="9"/>
  <c r="R1799" i="9"/>
  <c r="I1799" i="9"/>
  <c r="K1799" i="9" s="1"/>
  <c r="L1799" i="9" s="1"/>
  <c r="AB1804" i="9"/>
  <c r="V1804" i="9"/>
  <c r="AK1804" i="9" s="1"/>
  <c r="AL1804" i="9" s="1"/>
  <c r="AF1804" i="9"/>
  <c r="AK1834" i="9"/>
  <c r="AL1834" i="9" s="1"/>
  <c r="R1836" i="9"/>
  <c r="I1836" i="9"/>
  <c r="AF1836" i="9"/>
  <c r="V1836" i="9"/>
  <c r="AK2085" i="9"/>
  <c r="AL2085" i="9" s="1"/>
  <c r="AK1098" i="9"/>
  <c r="AL1098" i="9" s="1"/>
  <c r="AK1169" i="9"/>
  <c r="AL1169" i="9" s="1"/>
  <c r="AM1201" i="9"/>
  <c r="AN1201" i="9" s="1"/>
  <c r="AN1226" i="9"/>
  <c r="I1240" i="9"/>
  <c r="K1240" i="9" s="1"/>
  <c r="AM1256" i="9"/>
  <c r="AN1256" i="9" s="1"/>
  <c r="AK1277" i="9"/>
  <c r="AL1277" i="9" s="1"/>
  <c r="AM1280" i="9"/>
  <c r="AN1280" i="9" s="1"/>
  <c r="AK1292" i="9"/>
  <c r="AL1292" i="9" s="1"/>
  <c r="AM1347" i="9"/>
  <c r="AN1347" i="9" s="1"/>
  <c r="AK1370" i="9"/>
  <c r="AL1370" i="9" s="1"/>
  <c r="AK1410" i="9"/>
  <c r="AL1410" i="9" s="1"/>
  <c r="AK1417" i="9"/>
  <c r="AL1417" i="9" s="1"/>
  <c r="AM1435" i="9"/>
  <c r="AN1435" i="9" s="1"/>
  <c r="AK1474" i="9"/>
  <c r="AL1474" i="9" s="1"/>
  <c r="AM1494" i="9"/>
  <c r="AN1494" i="9" s="1"/>
  <c r="AK1495" i="9"/>
  <c r="AL1495" i="9" s="1"/>
  <c r="AK1509" i="9"/>
  <c r="AL1509" i="9" s="1"/>
  <c r="AK1536" i="9"/>
  <c r="AL1536" i="9" s="1"/>
  <c r="AK1549" i="9"/>
  <c r="AL1549" i="9" s="1"/>
  <c r="AK1579" i="9"/>
  <c r="AL1579" i="9" s="1"/>
  <c r="I1671" i="9"/>
  <c r="K1671" i="9" s="1"/>
  <c r="L1671" i="9" s="1"/>
  <c r="AA1681" i="9"/>
  <c r="AM1681" i="9" s="1"/>
  <c r="AN1681" i="9" s="1"/>
  <c r="I1691" i="9"/>
  <c r="K1691" i="9" s="1"/>
  <c r="AE1693" i="9"/>
  <c r="AK1714" i="9"/>
  <c r="AL1714" i="9" s="1"/>
  <c r="AM1724" i="9"/>
  <c r="AN1724" i="9" s="1"/>
  <c r="AK1748" i="9"/>
  <c r="AL1748" i="9" s="1"/>
  <c r="I1761" i="9"/>
  <c r="K1761" i="9" s="1"/>
  <c r="AB1761" i="9"/>
  <c r="AK1772" i="9"/>
  <c r="AL1772" i="9" s="1"/>
  <c r="AK1785" i="9"/>
  <c r="AL1785" i="9" s="1"/>
  <c r="AA1815" i="9"/>
  <c r="AK1845" i="9"/>
  <c r="AL1845" i="9" s="1"/>
  <c r="AM1921" i="9"/>
  <c r="AN1921" i="9" s="1"/>
  <c r="AF1949" i="9"/>
  <c r="R1949" i="9"/>
  <c r="V1949" i="9"/>
  <c r="AM2005" i="9"/>
  <c r="AN2005" i="9" s="1"/>
  <c r="AK2043" i="9"/>
  <c r="AL2043" i="9" s="1"/>
  <c r="AK2071" i="9"/>
  <c r="AL2071" i="9" s="1"/>
  <c r="AK2074" i="9"/>
  <c r="AL2074" i="9" s="1"/>
  <c r="R2152" i="9"/>
  <c r="V2152" i="9"/>
  <c r="AK2165" i="9"/>
  <c r="AL2165" i="9" s="1"/>
  <c r="AK1551" i="9"/>
  <c r="AL1551" i="9" s="1"/>
  <c r="AK1563" i="9"/>
  <c r="AL1563" i="9" s="1"/>
  <c r="AK1568" i="9"/>
  <c r="AL1568" i="9" s="1"/>
  <c r="AK1589" i="9"/>
  <c r="AL1589" i="9" s="1"/>
  <c r="AK1652" i="9"/>
  <c r="AL1652" i="9" s="1"/>
  <c r="AE1681" i="9"/>
  <c r="I1696" i="9"/>
  <c r="K1696" i="9" s="1"/>
  <c r="L1696" i="9" s="1"/>
  <c r="AK1740" i="9"/>
  <c r="AL1740" i="9" s="1"/>
  <c r="AM1747" i="9"/>
  <c r="AN1747" i="9" s="1"/>
  <c r="AF1798" i="9"/>
  <c r="I1813" i="9"/>
  <c r="AF1813" i="9"/>
  <c r="AE1815" i="9"/>
  <c r="L1818" i="9"/>
  <c r="AA1825" i="9"/>
  <c r="AN1833" i="9"/>
  <c r="AK1870" i="9"/>
  <c r="AL1870" i="9" s="1"/>
  <c r="AK1884" i="9"/>
  <c r="AL1884" i="9" s="1"/>
  <c r="AM1903" i="9"/>
  <c r="AN1903" i="9" s="1"/>
  <c r="AK1921" i="9"/>
  <c r="AL1921" i="9" s="1"/>
  <c r="AM1946" i="9"/>
  <c r="AN1946" i="9" s="1"/>
  <c r="AM1956" i="9"/>
  <c r="AN1956" i="9" s="1"/>
  <c r="AK2050" i="9"/>
  <c r="AL2050" i="9" s="1"/>
  <c r="AN1682" i="9"/>
  <c r="AF1694" i="9"/>
  <c r="V1694" i="9"/>
  <c r="AK1694" i="9" s="1"/>
  <c r="AL1694" i="9" s="1"/>
  <c r="AE1713" i="9"/>
  <c r="Q1713" i="9"/>
  <c r="AM1723" i="9"/>
  <c r="AN1723" i="9" s="1"/>
  <c r="AK1743" i="9"/>
  <c r="AL1743" i="9" s="1"/>
  <c r="AM1750" i="9"/>
  <c r="AN1750" i="9" s="1"/>
  <c r="AK1751" i="9"/>
  <c r="AL1751" i="9" s="1"/>
  <c r="AN1753" i="9"/>
  <c r="Q1811" i="9"/>
  <c r="U1811" i="9"/>
  <c r="Q1816" i="9"/>
  <c r="AM1816" i="9" s="1"/>
  <c r="AN1816" i="9" s="1"/>
  <c r="AF1833" i="9"/>
  <c r="AB1833" i="9"/>
  <c r="V1833" i="9"/>
  <c r="I1835" i="9"/>
  <c r="K1835" i="9" s="1"/>
  <c r="L1835" i="9" s="1"/>
  <c r="V1835" i="9"/>
  <c r="AF1835" i="9"/>
  <c r="AF1846" i="9"/>
  <c r="AB1846" i="9"/>
  <c r="AF1850" i="9"/>
  <c r="AK1850" i="9" s="1"/>
  <c r="AL1850" i="9" s="1"/>
  <c r="AB1850" i="9"/>
  <c r="AM1856" i="9"/>
  <c r="AN1856" i="9" s="1"/>
  <c r="AM1860" i="9"/>
  <c r="AN1860" i="9" s="1"/>
  <c r="AK1862" i="9"/>
  <c r="AL1862" i="9" s="1"/>
  <c r="AK1878" i="9"/>
  <c r="AL1878" i="9" s="1"/>
  <c r="AM1909" i="9"/>
  <c r="AN1909" i="9" s="1"/>
  <c r="AK1982" i="9"/>
  <c r="AL1982" i="9" s="1"/>
  <c r="AK1997" i="9"/>
  <c r="AL1997" i="9" s="1"/>
  <c r="AM2056" i="9"/>
  <c r="AN2056" i="9" s="1"/>
  <c r="AK2057" i="9"/>
  <c r="AL2057" i="9" s="1"/>
  <c r="AM2068" i="9"/>
  <c r="AN2068" i="9" s="1"/>
  <c r="AM2083" i="9"/>
  <c r="AN2083" i="9" s="1"/>
  <c r="AK2122" i="9"/>
  <c r="AL2122" i="9" s="1"/>
  <c r="AM1890" i="9"/>
  <c r="AN1890" i="9" s="1"/>
  <c r="AK2053" i="9"/>
  <c r="AL2053" i="9" s="1"/>
  <c r="AK1562" i="9"/>
  <c r="AL1562" i="9" s="1"/>
  <c r="AK1578" i="9"/>
  <c r="AL1578" i="9" s="1"/>
  <c r="AK1596" i="9"/>
  <c r="AL1596" i="9" s="1"/>
  <c r="AK1623" i="9"/>
  <c r="AL1623" i="9" s="1"/>
  <c r="AM1646" i="9"/>
  <c r="AN1646" i="9" s="1"/>
  <c r="AK1650" i="9"/>
  <c r="AL1650" i="9" s="1"/>
  <c r="V1678" i="9"/>
  <c r="AK1678" i="9" s="1"/>
  <c r="AL1678" i="9" s="1"/>
  <c r="Q1687" i="9"/>
  <c r="AE1687" i="9"/>
  <c r="AM1694" i="9"/>
  <c r="AN1694" i="9" s="1"/>
  <c r="AB1696" i="9"/>
  <c r="K1713" i="9"/>
  <c r="L1713" i="9" s="1"/>
  <c r="AK1734" i="9"/>
  <c r="AL1734" i="9" s="1"/>
  <c r="AM1736" i="9"/>
  <c r="AN1736" i="9" s="1"/>
  <c r="V1762" i="9"/>
  <c r="AB1762" i="9"/>
  <c r="AN1764" i="9"/>
  <c r="K1764" i="9"/>
  <c r="AB1777" i="9"/>
  <c r="R1777" i="9"/>
  <c r="V1777" i="9"/>
  <c r="AK1805" i="9"/>
  <c r="AL1805" i="9" s="1"/>
  <c r="R1809" i="9"/>
  <c r="AF1809" i="9"/>
  <c r="V1809" i="9"/>
  <c r="AE1811" i="9"/>
  <c r="AA1816" i="9"/>
  <c r="V1837" i="9"/>
  <c r="AF1837" i="9"/>
  <c r="AE1845" i="9"/>
  <c r="I1845" i="9"/>
  <c r="K1845" i="9" s="1"/>
  <c r="L1845" i="9" s="1"/>
  <c r="AA1855" i="9"/>
  <c r="AM1855" i="9" s="1"/>
  <c r="AN1855" i="9" s="1"/>
  <c r="AE1855" i="9"/>
  <c r="AK1859" i="9"/>
  <c r="AL1859" i="9" s="1"/>
  <c r="AM1862" i="9"/>
  <c r="AN1862" i="9" s="1"/>
  <c r="AM1911" i="9"/>
  <c r="AN1911" i="9" s="1"/>
  <c r="AK1913" i="9"/>
  <c r="AL1913" i="9" s="1"/>
  <c r="AK1938" i="9"/>
  <c r="AL1938" i="9" s="1"/>
  <c r="AM1958" i="9"/>
  <c r="AN1958" i="9" s="1"/>
  <c r="AM1959" i="9"/>
  <c r="AN1959" i="9" s="1"/>
  <c r="AK1964" i="9"/>
  <c r="AL1964" i="9" s="1"/>
  <c r="AK2055" i="9"/>
  <c r="AL2055" i="9" s="1"/>
  <c r="AM1733" i="9"/>
  <c r="AN1733" i="9" s="1"/>
  <c r="AK1742" i="9"/>
  <c r="AL1742" i="9" s="1"/>
  <c r="AM1752" i="9"/>
  <c r="AN1752" i="9" s="1"/>
  <c r="AE1758" i="9"/>
  <c r="Q1758" i="9"/>
  <c r="V1775" i="9"/>
  <c r="AK1775" i="9" s="1"/>
  <c r="AL1775" i="9" s="1"/>
  <c r="AB1775" i="9"/>
  <c r="AF1775" i="9"/>
  <c r="AB1807" i="9"/>
  <c r="AF1807" i="9"/>
  <c r="R1807" i="9"/>
  <c r="I1829" i="9"/>
  <c r="K1829" i="9" s="1"/>
  <c r="R1829" i="9"/>
  <c r="AB1829" i="9"/>
  <c r="L1831" i="9"/>
  <c r="V1831" i="9"/>
  <c r="I1831" i="9"/>
  <c r="K1831" i="9" s="1"/>
  <c r="AK1837" i="9"/>
  <c r="AL1837" i="9" s="1"/>
  <c r="AA1847" i="9"/>
  <c r="Q1847" i="9"/>
  <c r="AK1869" i="9"/>
  <c r="AL1869" i="9" s="1"/>
  <c r="AK1902" i="9"/>
  <c r="AL1902" i="9" s="1"/>
  <c r="AN1971" i="9"/>
  <c r="K1971" i="9"/>
  <c r="AK2045" i="9"/>
  <c r="AL2045" i="9" s="1"/>
  <c r="AM1606" i="9"/>
  <c r="AN1606" i="9" s="1"/>
  <c r="AK1640" i="9"/>
  <c r="AL1640" i="9" s="1"/>
  <c r="AM1654" i="9"/>
  <c r="AN1654" i="9" s="1"/>
  <c r="AM1660" i="9"/>
  <c r="AN1660" i="9" s="1"/>
  <c r="AL1668" i="9"/>
  <c r="U1713" i="9"/>
  <c r="AK1766" i="9"/>
  <c r="AL1766" i="9" s="1"/>
  <c r="AK1789" i="9"/>
  <c r="AL1789" i="9" s="1"/>
  <c r="AA1791" i="9"/>
  <c r="AE1791" i="9"/>
  <c r="AK1801" i="9"/>
  <c r="AL1801" i="9" s="1"/>
  <c r="Q1827" i="9"/>
  <c r="AA1827" i="9"/>
  <c r="AB1835" i="9"/>
  <c r="AK1841" i="9"/>
  <c r="AL1841" i="9" s="1"/>
  <c r="I1847" i="9"/>
  <c r="R1851" i="9"/>
  <c r="AF1855" i="9"/>
  <c r="V1855" i="9"/>
  <c r="I1857" i="9"/>
  <c r="AK1885" i="9"/>
  <c r="AL1885" i="9" s="1"/>
  <c r="AK1899" i="9"/>
  <c r="AL1899" i="9" s="1"/>
  <c r="AK2029" i="9"/>
  <c r="AL2029" i="9" s="1"/>
  <c r="AM2052" i="9"/>
  <c r="AN2052" i="9" s="1"/>
  <c r="AM2062" i="9"/>
  <c r="AN2062" i="9" s="1"/>
  <c r="AK2066" i="9"/>
  <c r="AL2066" i="9" s="1"/>
  <c r="AK2067" i="9"/>
  <c r="AL2067" i="9" s="1"/>
  <c r="U1679" i="9"/>
  <c r="AE1679" i="9"/>
  <c r="AM1740" i="9"/>
  <c r="AN1740" i="9" s="1"/>
  <c r="AK1749" i="9"/>
  <c r="AL1749" i="9" s="1"/>
  <c r="R1758" i="9"/>
  <c r="AB1758" i="9"/>
  <c r="R1775" i="9"/>
  <c r="Q1778" i="9"/>
  <c r="U1778" i="9"/>
  <c r="AK1783" i="9"/>
  <c r="AL1783" i="9" s="1"/>
  <c r="V1807" i="9"/>
  <c r="AM1817" i="9"/>
  <c r="AN1817" i="9" s="1"/>
  <c r="AK1821" i="9"/>
  <c r="AL1821" i="9" s="1"/>
  <c r="R1827" i="9"/>
  <c r="I1827" i="9"/>
  <c r="K1827" i="9" s="1"/>
  <c r="L1827" i="9" s="1"/>
  <c r="AB1827" i="9"/>
  <c r="V1829" i="9"/>
  <c r="AK1868" i="9"/>
  <c r="AL1868" i="9" s="1"/>
  <c r="AM1917" i="9"/>
  <c r="AN1917" i="9" s="1"/>
  <c r="AK1929" i="9"/>
  <c r="AL1929" i="9" s="1"/>
  <c r="AM1938" i="9"/>
  <c r="AN1938" i="9" s="1"/>
  <c r="AK1942" i="9"/>
  <c r="AL1942" i="9" s="1"/>
  <c r="AM1998" i="9"/>
  <c r="AN1998" i="9" s="1"/>
  <c r="AK2069" i="9"/>
  <c r="AL2069" i="9" s="1"/>
  <c r="AM2073" i="9"/>
  <c r="AN2073" i="9" s="1"/>
  <c r="AM2095" i="9"/>
  <c r="AN2095" i="9" s="1"/>
  <c r="AK2106" i="9"/>
  <c r="AL2106" i="9" s="1"/>
  <c r="AN2112" i="9"/>
  <c r="I2112" i="9"/>
  <c r="K2112" i="9" s="1"/>
  <c r="AF2160" i="9"/>
  <c r="V2160" i="9"/>
  <c r="AB2160" i="9"/>
  <c r="R2160" i="9"/>
  <c r="AK1146" i="9"/>
  <c r="AL1146" i="9" s="1"/>
  <c r="AM1154" i="9"/>
  <c r="AN1154" i="9" s="1"/>
  <c r="AN1208" i="9"/>
  <c r="AN1210" i="9"/>
  <c r="AK1212" i="9"/>
  <c r="AL1212" i="9" s="1"/>
  <c r="AN1213" i="9"/>
  <c r="AM1215" i="9"/>
  <c r="AN1215" i="9" s="1"/>
  <c r="I1226" i="9"/>
  <c r="AM1252" i="9"/>
  <c r="AN1252" i="9" s="1"/>
  <c r="AM1344" i="9"/>
  <c r="AN1344" i="9" s="1"/>
  <c r="AK1356" i="9"/>
  <c r="AL1356" i="9" s="1"/>
  <c r="AK1377" i="9"/>
  <c r="AL1377" i="9" s="1"/>
  <c r="AK1401" i="9"/>
  <c r="AL1401" i="9" s="1"/>
  <c r="AK1411" i="9"/>
  <c r="AL1411" i="9" s="1"/>
  <c r="I1431" i="9"/>
  <c r="K1431" i="9" s="1"/>
  <c r="L1431" i="9" s="1"/>
  <c r="AK1439" i="9"/>
  <c r="AL1439" i="9" s="1"/>
  <c r="AK1453" i="9"/>
  <c r="AL1453" i="9" s="1"/>
  <c r="AM1483" i="9"/>
  <c r="AN1483" i="9" s="1"/>
  <c r="AM1496" i="9"/>
  <c r="AN1496" i="9" s="1"/>
  <c r="AK1497" i="9"/>
  <c r="AL1497" i="9" s="1"/>
  <c r="AK1537" i="9"/>
  <c r="AL1537" i="9" s="1"/>
  <c r="AK1540" i="9"/>
  <c r="AL1540" i="9" s="1"/>
  <c r="AK1577" i="9"/>
  <c r="AL1577" i="9" s="1"/>
  <c r="AK1603" i="9"/>
  <c r="AL1603" i="9" s="1"/>
  <c r="AM1642" i="9"/>
  <c r="AN1642" i="9" s="1"/>
  <c r="AM1649" i="9"/>
  <c r="AN1649" i="9" s="1"/>
  <c r="AB1664" i="9"/>
  <c r="AK1664" i="9" s="1"/>
  <c r="AL1664" i="9" s="1"/>
  <c r="AF1666" i="9"/>
  <c r="AK1666" i="9" s="1"/>
  <c r="AL1666" i="9" s="1"/>
  <c r="R1673" i="9"/>
  <c r="AE1676" i="9"/>
  <c r="AF1681" i="9"/>
  <c r="R1681" i="9"/>
  <c r="AF1709" i="9"/>
  <c r="AM1727" i="9"/>
  <c r="AN1727" i="9" s="1"/>
  <c r="U1758" i="9"/>
  <c r="AB1764" i="9"/>
  <c r="I1769" i="9"/>
  <c r="K1769" i="9" s="1"/>
  <c r="L1769" i="9" s="1"/>
  <c r="AE1769" i="9"/>
  <c r="I1771" i="9"/>
  <c r="K1771" i="9" s="1"/>
  <c r="L1771" i="9" s="1"/>
  <c r="AK1786" i="9"/>
  <c r="AL1786" i="9" s="1"/>
  <c r="Q1810" i="9"/>
  <c r="AA1810" i="9"/>
  <c r="AF1815" i="9"/>
  <c r="AB1815" i="9"/>
  <c r="AB1819" i="9"/>
  <c r="AK1819" i="9" s="1"/>
  <c r="AL1819" i="9" s="1"/>
  <c r="V1821" i="9"/>
  <c r="I1825" i="9"/>
  <c r="K1825" i="9" s="1"/>
  <c r="L1825" i="9" s="1"/>
  <c r="U1827" i="9"/>
  <c r="AF1829" i="9"/>
  <c r="AE1831" i="9"/>
  <c r="AA1836" i="9"/>
  <c r="AM1836" i="9" s="1"/>
  <c r="AN1836" i="9" s="1"/>
  <c r="K1836" i="9"/>
  <c r="L1836" i="9" s="1"/>
  <c r="R1840" i="9"/>
  <c r="AF1840" i="9"/>
  <c r="K1847" i="9"/>
  <c r="L1847" i="9" s="1"/>
  <c r="V1851" i="9"/>
  <c r="R1855" i="9"/>
  <c r="AK1872" i="9"/>
  <c r="AL1872" i="9" s="1"/>
  <c r="AM1875" i="9"/>
  <c r="AN1875" i="9" s="1"/>
  <c r="AK1879" i="9"/>
  <c r="AL1879" i="9" s="1"/>
  <c r="AK1901" i="9"/>
  <c r="AL1901" i="9" s="1"/>
  <c r="AK1916" i="9"/>
  <c r="AL1916" i="9" s="1"/>
  <c r="AK1922" i="9"/>
  <c r="AL1922" i="9" s="1"/>
  <c r="AK1981" i="9"/>
  <c r="AL1981" i="9" s="1"/>
  <c r="AK2011" i="9"/>
  <c r="AL2011" i="9" s="1"/>
  <c r="AM2044" i="9"/>
  <c r="AN2044" i="9" s="1"/>
  <c r="AK2059" i="9"/>
  <c r="AL2059" i="9" s="1"/>
  <c r="AK2060" i="9"/>
  <c r="AL2060" i="9" s="1"/>
  <c r="AM2071" i="9"/>
  <c r="AN2071" i="9" s="1"/>
  <c r="AK2075" i="9"/>
  <c r="AL2075" i="9" s="1"/>
  <c r="AM2100" i="9"/>
  <c r="AN2100" i="9" s="1"/>
  <c r="AM2135" i="9"/>
  <c r="AN2135" i="9" s="1"/>
  <c r="AK2312" i="9"/>
  <c r="AL2312" i="9" s="1"/>
  <c r="AK1738" i="9"/>
  <c r="AL1738" i="9" s="1"/>
  <c r="AM1746" i="9"/>
  <c r="AN1746" i="9" s="1"/>
  <c r="AN1761" i="9"/>
  <c r="AK1820" i="9"/>
  <c r="AL1820" i="9" s="1"/>
  <c r="AK1822" i="9"/>
  <c r="AL1822" i="9" s="1"/>
  <c r="AN1824" i="9"/>
  <c r="R1828" i="9"/>
  <c r="AF1828" i="9"/>
  <c r="AF1830" i="9"/>
  <c r="R1830" i="9"/>
  <c r="AM1841" i="9"/>
  <c r="AN1841" i="9" s="1"/>
  <c r="AK1866" i="9"/>
  <c r="AL1866" i="9" s="1"/>
  <c r="AK1889" i="9"/>
  <c r="AL1889" i="9" s="1"/>
  <c r="AM1913" i="9"/>
  <c r="AN1913" i="9" s="1"/>
  <c r="Q1948" i="9"/>
  <c r="AA1948" i="9"/>
  <c r="AM1960" i="9"/>
  <c r="AN1960" i="9" s="1"/>
  <c r="K1969" i="9"/>
  <c r="L1969" i="9" s="1"/>
  <c r="AN1969" i="9"/>
  <c r="AK2035" i="9"/>
  <c r="AL2035" i="9" s="1"/>
  <c r="AM2038" i="9"/>
  <c r="AN2038" i="9" s="1"/>
  <c r="AM2046" i="9"/>
  <c r="AN2046" i="9" s="1"/>
  <c r="AK2058" i="9"/>
  <c r="AL2058" i="9" s="1"/>
  <c r="AM2064" i="9"/>
  <c r="AN2064" i="9" s="1"/>
  <c r="AM2122" i="9"/>
  <c r="AN2122" i="9" s="1"/>
  <c r="AK2148" i="9"/>
  <c r="AL2148" i="9" s="1"/>
  <c r="AL2154" i="9"/>
  <c r="AK2169" i="9"/>
  <c r="AL2169" i="9" s="1"/>
  <c r="AM2200" i="9"/>
  <c r="AN2200" i="9" s="1"/>
  <c r="AM2316" i="9"/>
  <c r="AN2316" i="9" s="1"/>
  <c r="AK2362" i="9"/>
  <c r="AL2362" i="9" s="1"/>
  <c r="AK2364" i="9"/>
  <c r="AL2364" i="9" s="1"/>
  <c r="AK2316" i="9"/>
  <c r="AL2316" i="9" s="1"/>
  <c r="AM2142" i="9"/>
  <c r="AN2142" i="9" s="1"/>
  <c r="AM2226" i="9"/>
  <c r="AN2226" i="9" s="1"/>
  <c r="AK2460" i="9"/>
  <c r="AL2460" i="9" s="1"/>
  <c r="AK2463" i="9"/>
  <c r="AL2463" i="9" s="1"/>
  <c r="AK2250" i="9"/>
  <c r="AL2250" i="9" s="1"/>
  <c r="AO2333" i="9"/>
  <c r="V2334" i="9"/>
  <c r="AF2334" i="9"/>
  <c r="AB2334" i="9"/>
  <c r="R2334" i="9"/>
  <c r="AN1672" i="9"/>
  <c r="AK1744" i="9"/>
  <c r="AL1744" i="9" s="1"/>
  <c r="AM1757" i="9"/>
  <c r="AN1757" i="9" s="1"/>
  <c r="AK1781" i="9"/>
  <c r="AL1781" i="9" s="1"/>
  <c r="AE1799" i="9"/>
  <c r="AM1799" i="9" s="1"/>
  <c r="AN1799" i="9" s="1"/>
  <c r="I1802" i="9"/>
  <c r="K1802" i="9" s="1"/>
  <c r="L1802" i="9" s="1"/>
  <c r="R1823" i="9"/>
  <c r="AK1823" i="9" s="1"/>
  <c r="AL1823" i="9" s="1"/>
  <c r="AF1823" i="9"/>
  <c r="AB1823" i="9"/>
  <c r="I1852" i="9"/>
  <c r="K1852" i="9" s="1"/>
  <c r="V1852" i="9"/>
  <c r="AB1852" i="9"/>
  <c r="AK1871" i="9"/>
  <c r="AL1871" i="9" s="1"/>
  <c r="AK1911" i="9"/>
  <c r="AL1911" i="9" s="1"/>
  <c r="AK1914" i="9"/>
  <c r="AL1914" i="9" s="1"/>
  <c r="AM1929" i="9"/>
  <c r="AN1929" i="9" s="1"/>
  <c r="AN1951" i="9"/>
  <c r="K1951" i="9"/>
  <c r="L1951" i="9" s="1"/>
  <c r="AM1962" i="9"/>
  <c r="AN1962" i="9" s="1"/>
  <c r="AK1998" i="9"/>
  <c r="AL1998" i="9" s="1"/>
  <c r="AK2005" i="9"/>
  <c r="AL2005" i="9" s="1"/>
  <c r="AK2010" i="9"/>
  <c r="AL2010" i="9" s="1"/>
  <c r="AK2016" i="9"/>
  <c r="AL2016" i="9" s="1"/>
  <c r="AM2059" i="9"/>
  <c r="AN2059" i="9" s="1"/>
  <c r="AM2060" i="9"/>
  <c r="AN2060" i="9" s="1"/>
  <c r="AM2065" i="9"/>
  <c r="AN2065" i="9" s="1"/>
  <c r="AK2072" i="9"/>
  <c r="AL2072" i="9" s="1"/>
  <c r="AK2079" i="9"/>
  <c r="AL2079" i="9" s="1"/>
  <c r="AK2086" i="9"/>
  <c r="AL2086" i="9" s="1"/>
  <c r="AM2115" i="9"/>
  <c r="AN2115" i="9" s="1"/>
  <c r="AK2116" i="9"/>
  <c r="AL2116" i="9" s="1"/>
  <c r="AK2133" i="9"/>
  <c r="AL2133" i="9" s="1"/>
  <c r="AM2223" i="9"/>
  <c r="AN2223" i="9" s="1"/>
  <c r="AM2225" i="9"/>
  <c r="AN2225" i="9" s="1"/>
  <c r="AK2509" i="9"/>
  <c r="AL2509" i="9" s="1"/>
  <c r="AK2184" i="9"/>
  <c r="AL2184" i="9" s="1"/>
  <c r="AK2228" i="9"/>
  <c r="AL2228" i="9" s="1"/>
  <c r="AK2197" i="9"/>
  <c r="AL2197" i="9" s="1"/>
  <c r="AK2098" i="9"/>
  <c r="AL2098" i="9" s="1"/>
  <c r="U2174" i="9"/>
  <c r="AK2191" i="9"/>
  <c r="AL2191" i="9" s="1"/>
  <c r="AK2196" i="9"/>
  <c r="AL2196" i="9" s="1"/>
  <c r="AK2198" i="9"/>
  <c r="AL2198" i="9" s="1"/>
  <c r="AN2218" i="9"/>
  <c r="AK2263" i="9"/>
  <c r="AL2263" i="9" s="1"/>
  <c r="AK2272" i="9"/>
  <c r="AL2272" i="9" s="1"/>
  <c r="AK2450" i="9"/>
  <c r="AL2450" i="9" s="1"/>
  <c r="AM2547" i="9"/>
  <c r="AN2547" i="9" s="1"/>
  <c r="AK2583" i="9"/>
  <c r="AL2583" i="9" s="1"/>
  <c r="AK2591" i="9"/>
  <c r="AL2591" i="9" s="1"/>
  <c r="AK1595" i="9"/>
  <c r="AL1595" i="9" s="1"/>
  <c r="AK1627" i="9"/>
  <c r="AL1627" i="9" s="1"/>
  <c r="AM1641" i="9"/>
  <c r="AN1641" i="9" s="1"/>
  <c r="AN1680" i="9"/>
  <c r="AN1754" i="9"/>
  <c r="I1816" i="9"/>
  <c r="K1816" i="9" s="1"/>
  <c r="L1816" i="9" s="1"/>
  <c r="R1816" i="9"/>
  <c r="AF1845" i="9"/>
  <c r="V1845" i="9"/>
  <c r="AK1860" i="9"/>
  <c r="AL1860" i="9" s="1"/>
  <c r="AM1870" i="9"/>
  <c r="AN1870" i="9" s="1"/>
  <c r="AK1882" i="9"/>
  <c r="AL1882" i="9" s="1"/>
  <c r="AM1902" i="9"/>
  <c r="AN1902" i="9" s="1"/>
  <c r="I1950" i="9"/>
  <c r="AM1954" i="9"/>
  <c r="AN1954" i="9" s="1"/>
  <c r="AM1966" i="9"/>
  <c r="AN1966" i="9" s="1"/>
  <c r="AK2012" i="9"/>
  <c r="AL2012" i="9" s="1"/>
  <c r="AM2035" i="9"/>
  <c r="AN2035" i="9" s="1"/>
  <c r="AM2037" i="9"/>
  <c r="AN2037" i="9" s="1"/>
  <c r="AK2047" i="9"/>
  <c r="AL2047" i="9" s="1"/>
  <c r="AK2054" i="9"/>
  <c r="AL2054" i="9" s="1"/>
  <c r="AM2070" i="9"/>
  <c r="AN2070" i="9" s="1"/>
  <c r="AK2073" i="9"/>
  <c r="AL2073" i="9" s="1"/>
  <c r="AM2088" i="9"/>
  <c r="AN2088" i="9" s="1"/>
  <c r="AK2102" i="9"/>
  <c r="AL2102" i="9" s="1"/>
  <c r="AK2131" i="9"/>
  <c r="AL2131" i="9" s="1"/>
  <c r="AM2137" i="9"/>
  <c r="AN2137" i="9" s="1"/>
  <c r="AM2138" i="9"/>
  <c r="AN2138" i="9" s="1"/>
  <c r="AM2140" i="9"/>
  <c r="AN2140" i="9" s="1"/>
  <c r="AK2145" i="9"/>
  <c r="AL2145" i="9" s="1"/>
  <c r="AN2219" i="9"/>
  <c r="AK2247" i="9"/>
  <c r="AL2247" i="9" s="1"/>
  <c r="AK2248" i="9"/>
  <c r="AL2248" i="9" s="1"/>
  <c r="AN2261" i="9"/>
  <c r="AK2274" i="9"/>
  <c r="AL2274" i="9" s="1"/>
  <c r="AK2288" i="9"/>
  <c r="AL2288" i="9" s="1"/>
  <c r="AM2351" i="9"/>
  <c r="AN2351" i="9" s="1"/>
  <c r="AM2356" i="9"/>
  <c r="AN2356" i="9" s="1"/>
  <c r="AK2361" i="9"/>
  <c r="AL2361" i="9" s="1"/>
  <c r="AK2366" i="9"/>
  <c r="AL2366" i="9" s="1"/>
  <c r="AK2375" i="9"/>
  <c r="AL2375" i="9" s="1"/>
  <c r="AK2376" i="9"/>
  <c r="AL2376" i="9" s="1"/>
  <c r="AK2381" i="9"/>
  <c r="AL2381" i="9" s="1"/>
  <c r="AK2389" i="9"/>
  <c r="AL2389" i="9" s="1"/>
  <c r="AK2391" i="9"/>
  <c r="AL2391" i="9" s="1"/>
  <c r="AK2404" i="9"/>
  <c r="AL2404" i="9" s="1"/>
  <c r="AK2443" i="9"/>
  <c r="AL2443" i="9" s="1"/>
  <c r="AK2445" i="9"/>
  <c r="AL2445" i="9" s="1"/>
  <c r="AK2465" i="9"/>
  <c r="AL2465" i="9" s="1"/>
  <c r="AK2468" i="9"/>
  <c r="AL2468" i="9" s="1"/>
  <c r="AK2489" i="9"/>
  <c r="AL2489" i="9" s="1"/>
  <c r="AM2491" i="9"/>
  <c r="AN2491" i="9" s="1"/>
  <c r="AK2499" i="9"/>
  <c r="AL2499" i="9" s="1"/>
  <c r="AK2516" i="9"/>
  <c r="AL2516" i="9" s="1"/>
  <c r="AK2547" i="9"/>
  <c r="AL2547" i="9" s="1"/>
  <c r="AM2578" i="9"/>
  <c r="AN2578" i="9" s="1"/>
  <c r="AM2603" i="9"/>
  <c r="AN2603" i="9" s="1"/>
  <c r="AK2653" i="9"/>
  <c r="AL2653" i="9" s="1"/>
  <c r="V2124" i="9"/>
  <c r="I2124" i="9"/>
  <c r="K2124" i="9" s="1"/>
  <c r="L2124" i="9" s="1"/>
  <c r="AM2132" i="9"/>
  <c r="AN2132" i="9" s="1"/>
  <c r="AK2137" i="9"/>
  <c r="AL2137" i="9" s="1"/>
  <c r="AK2186" i="9"/>
  <c r="AL2186" i="9" s="1"/>
  <c r="AN2292" i="9"/>
  <c r="AK2398" i="9"/>
  <c r="AL2398" i="9" s="1"/>
  <c r="AM2598" i="9"/>
  <c r="AN2598" i="9" s="1"/>
  <c r="AK2650" i="9"/>
  <c r="AL2650" i="9" s="1"/>
  <c r="AM2096" i="9"/>
  <c r="AN2096" i="9" s="1"/>
  <c r="AM2110" i="9"/>
  <c r="AN2110" i="9" s="1"/>
  <c r="AN2113" i="9"/>
  <c r="AE2174" i="9"/>
  <c r="AK2221" i="9"/>
  <c r="AL2221" i="9" s="1"/>
  <c r="R2341" i="9"/>
  <c r="V2341" i="9"/>
  <c r="AK2386" i="9"/>
  <c r="AL2386" i="9" s="1"/>
  <c r="AN2406" i="9"/>
  <c r="AK2417" i="9"/>
  <c r="AL2417" i="9" s="1"/>
  <c r="AK2423" i="9"/>
  <c r="AL2423" i="9" s="1"/>
  <c r="AK2424" i="9"/>
  <c r="AL2424" i="9" s="1"/>
  <c r="AK2429" i="9"/>
  <c r="AL2429" i="9" s="1"/>
  <c r="AK2472" i="9"/>
  <c r="AL2472" i="9" s="1"/>
  <c r="AK2481" i="9"/>
  <c r="AL2481" i="9" s="1"/>
  <c r="AM2518" i="9"/>
  <c r="AN2518" i="9" s="1"/>
  <c r="AK2569" i="9"/>
  <c r="AL2569" i="9" s="1"/>
  <c r="AK2065" i="9"/>
  <c r="AL2065" i="9" s="1"/>
  <c r="AK2090" i="9"/>
  <c r="AL2090" i="9" s="1"/>
  <c r="AK2095" i="9"/>
  <c r="AL2095" i="9" s="1"/>
  <c r="AM2136" i="9"/>
  <c r="AN2136" i="9" s="1"/>
  <c r="AM2217" i="9"/>
  <c r="AN2217" i="9" s="1"/>
  <c r="AM2286" i="9"/>
  <c r="AN2286" i="9" s="1"/>
  <c r="AM2287" i="9"/>
  <c r="AN2287" i="9" s="1"/>
  <c r="AB2341" i="9"/>
  <c r="AK2341" i="9" s="1"/>
  <c r="AL2341" i="9" s="1"/>
  <c r="AK2382" i="9"/>
  <c r="AL2382" i="9" s="1"/>
  <c r="AK2400" i="9"/>
  <c r="AL2400" i="9" s="1"/>
  <c r="AM2402" i="9"/>
  <c r="AN2402" i="9" s="1"/>
  <c r="R2406" i="9"/>
  <c r="AF2406" i="9"/>
  <c r="AB2406" i="9"/>
  <c r="V2406" i="9"/>
  <c r="AM2423" i="9"/>
  <c r="AN2423" i="9" s="1"/>
  <c r="AK2483" i="9"/>
  <c r="AL2483" i="9" s="1"/>
  <c r="AK2503" i="9"/>
  <c r="AL2503" i="9" s="1"/>
  <c r="AM2512" i="9"/>
  <c r="AN2512" i="9" s="1"/>
  <c r="AK2633" i="9"/>
  <c r="AL2633" i="9" s="1"/>
  <c r="AM2676" i="9"/>
  <c r="AN2676" i="9" s="1"/>
  <c r="AK2286" i="9"/>
  <c r="AL2286" i="9" s="1"/>
  <c r="AK2313" i="9"/>
  <c r="AL2313" i="9" s="1"/>
  <c r="R2335" i="9"/>
  <c r="I2335" i="9"/>
  <c r="K2335" i="9" s="1"/>
  <c r="AK2402" i="9"/>
  <c r="AL2402" i="9" s="1"/>
  <c r="AM2265" i="9"/>
  <c r="AN2265" i="9" s="1"/>
  <c r="AM2281" i="9"/>
  <c r="AN2281" i="9" s="1"/>
  <c r="AK2298" i="9"/>
  <c r="AL2298" i="9" s="1"/>
  <c r="AK2354" i="9"/>
  <c r="AL2354" i="9" s="1"/>
  <c r="AK2355" i="9"/>
  <c r="AL2355" i="9" s="1"/>
  <c r="AK2377" i="9"/>
  <c r="AL2377" i="9" s="1"/>
  <c r="AM2415" i="9"/>
  <c r="AN2415" i="9" s="1"/>
  <c r="AM2456" i="9"/>
  <c r="AN2456" i="9" s="1"/>
  <c r="AK2475" i="9"/>
  <c r="AL2475" i="9" s="1"/>
  <c r="AK2515" i="9"/>
  <c r="AL2515" i="9" s="1"/>
  <c r="AM2568" i="9"/>
  <c r="AN2568" i="9" s="1"/>
  <c r="AK2094" i="9"/>
  <c r="AL2094" i="9" s="1"/>
  <c r="AM2097" i="9"/>
  <c r="AN2097" i="9" s="1"/>
  <c r="AM2114" i="9"/>
  <c r="AN2114" i="9" s="1"/>
  <c r="I2151" i="9"/>
  <c r="AM2188" i="9"/>
  <c r="AN2188" i="9" s="1"/>
  <c r="AK2265" i="9"/>
  <c r="AL2265" i="9" s="1"/>
  <c r="AK2317" i="9"/>
  <c r="AL2317" i="9" s="1"/>
  <c r="AM2332" i="9"/>
  <c r="AN2332" i="9" s="1"/>
  <c r="V2335" i="9"/>
  <c r="AK2372" i="9"/>
  <c r="AL2372" i="9" s="1"/>
  <c r="AK2420" i="9"/>
  <c r="AL2420" i="9" s="1"/>
  <c r="AK2456" i="9"/>
  <c r="AL2456" i="9" s="1"/>
  <c r="AK2498" i="9"/>
  <c r="AL2498" i="9" s="1"/>
  <c r="AN2220" i="9"/>
  <c r="AK2223" i="9"/>
  <c r="AL2223" i="9" s="1"/>
  <c r="AM2250" i="9"/>
  <c r="AN2250" i="9" s="1"/>
  <c r="AK2254" i="9"/>
  <c r="AL2254" i="9" s="1"/>
  <c r="AF2295" i="9"/>
  <c r="R2295" i="9"/>
  <c r="AM2313" i="9"/>
  <c r="AN2313" i="9" s="1"/>
  <c r="AK2332" i="9"/>
  <c r="AL2332" i="9" s="1"/>
  <c r="AK2342" i="9"/>
  <c r="AL2342" i="9" s="1"/>
  <c r="AK2405" i="9"/>
  <c r="AL2405" i="9" s="1"/>
  <c r="AN2407" i="9"/>
  <c r="AK2453" i="9"/>
  <c r="AL2453" i="9" s="1"/>
  <c r="AK2471" i="9"/>
  <c r="AL2471" i="9" s="1"/>
  <c r="AK2536" i="9"/>
  <c r="AL2536" i="9" s="1"/>
  <c r="AF1820" i="9"/>
  <c r="AM1835" i="9"/>
  <c r="AN1835" i="9" s="1"/>
  <c r="AK1873" i="9"/>
  <c r="AL1873" i="9" s="1"/>
  <c r="AM1891" i="9"/>
  <c r="AN1891" i="9" s="1"/>
  <c r="AK1904" i="9"/>
  <c r="AL1904" i="9" s="1"/>
  <c r="AM1935" i="9"/>
  <c r="AN1935" i="9" s="1"/>
  <c r="AM1940" i="9"/>
  <c r="AN1940" i="9" s="1"/>
  <c r="AM1957" i="9"/>
  <c r="AN1957" i="9" s="1"/>
  <c r="AK1980" i="9"/>
  <c r="AL1980" i="9" s="1"/>
  <c r="AK1994" i="9"/>
  <c r="AL1994" i="9" s="1"/>
  <c r="AM2039" i="9"/>
  <c r="AN2039" i="9" s="1"/>
  <c r="AM2080" i="9"/>
  <c r="AN2080" i="9" s="1"/>
  <c r="AK2109" i="9"/>
  <c r="AL2109" i="9" s="1"/>
  <c r="AK2115" i="9"/>
  <c r="AL2115" i="9" s="1"/>
  <c r="AK2132" i="9"/>
  <c r="AL2132" i="9" s="1"/>
  <c r="AK2207" i="9"/>
  <c r="AL2207" i="9" s="1"/>
  <c r="AK2216" i="9"/>
  <c r="AL2216" i="9" s="1"/>
  <c r="AK2229" i="9"/>
  <c r="AL2229" i="9" s="1"/>
  <c r="AK2281" i="9"/>
  <c r="AL2281" i="9" s="1"/>
  <c r="AM2290" i="9"/>
  <c r="AN2290" i="9" s="1"/>
  <c r="AK2297" i="9"/>
  <c r="AL2297" i="9" s="1"/>
  <c r="AK2352" i="9"/>
  <c r="AL2352" i="9" s="1"/>
  <c r="AK2390" i="9"/>
  <c r="AL2390" i="9" s="1"/>
  <c r="AK2419" i="9"/>
  <c r="AL2419" i="9" s="1"/>
  <c r="AK2422" i="9"/>
  <c r="AL2422" i="9" s="1"/>
  <c r="AK2444" i="9"/>
  <c r="AL2444" i="9" s="1"/>
  <c r="AM2473" i="9"/>
  <c r="AN2473" i="9" s="1"/>
  <c r="AK2482" i="9"/>
  <c r="AL2482" i="9" s="1"/>
  <c r="AK2490" i="9"/>
  <c r="AL2490" i="9" s="1"/>
  <c r="AK2551" i="9"/>
  <c r="AL2551" i="9" s="1"/>
  <c r="AK2556" i="9"/>
  <c r="AL2556" i="9" s="1"/>
  <c r="AM2561" i="9"/>
  <c r="AN2561" i="9" s="1"/>
  <c r="AK2568" i="9"/>
  <c r="AL2568" i="9" s="1"/>
  <c r="AM2577" i="9"/>
  <c r="AN2577" i="9" s="1"/>
  <c r="AK2578" i="9"/>
  <c r="AL2578" i="9" s="1"/>
  <c r="AM2588" i="9"/>
  <c r="AN2588" i="9" s="1"/>
  <c r="AM2594" i="9"/>
  <c r="AN2594" i="9" s="1"/>
  <c r="AK2599" i="9"/>
  <c r="AL2599" i="9" s="1"/>
  <c r="AM2601" i="9"/>
  <c r="AN2601" i="9" s="1"/>
  <c r="AK2607" i="9"/>
  <c r="AL2607" i="9" s="1"/>
  <c r="AK2628" i="9"/>
  <c r="AL2628" i="9" s="1"/>
  <c r="AK2643" i="9"/>
  <c r="AL2643" i="9" s="1"/>
  <c r="AM2678" i="9"/>
  <c r="AN2678" i="9" s="1"/>
  <c r="AK2687" i="9"/>
  <c r="AL2687" i="9" s="1"/>
  <c r="AK2714" i="9"/>
  <c r="AL2714" i="9" s="1"/>
  <c r="AK2716" i="9"/>
  <c r="AL2716" i="9" s="1"/>
  <c r="AK2782" i="9"/>
  <c r="AL2782" i="9" s="1"/>
  <c r="AK2343" i="9"/>
  <c r="AL2343" i="9" s="1"/>
  <c r="AK2392" i="9"/>
  <c r="AL2392" i="9" s="1"/>
  <c r="AN2417" i="9"/>
  <c r="AK2470" i="9"/>
  <c r="AL2470" i="9" s="1"/>
  <c r="AK2473" i="9"/>
  <c r="AL2473" i="9" s="1"/>
  <c r="AK2480" i="9"/>
  <c r="AL2480" i="9" s="1"/>
  <c r="AK2493" i="9"/>
  <c r="AL2493" i="9" s="1"/>
  <c r="AK2496" i="9"/>
  <c r="AL2496" i="9" s="1"/>
  <c r="AK2518" i="9"/>
  <c r="AL2518" i="9" s="1"/>
  <c r="AK2523" i="9"/>
  <c r="AL2523" i="9" s="1"/>
  <c r="AM2570" i="9"/>
  <c r="AN2570" i="9" s="1"/>
  <c r="AK2577" i="9"/>
  <c r="AL2577" i="9" s="1"/>
  <c r="AK2585" i="9"/>
  <c r="AL2585" i="9" s="1"/>
  <c r="AK2587" i="9"/>
  <c r="AL2587" i="9" s="1"/>
  <c r="AK2588" i="9"/>
  <c r="AL2588" i="9" s="1"/>
  <c r="AK2602" i="9"/>
  <c r="AL2602" i="9" s="1"/>
  <c r="AK2622" i="9"/>
  <c r="AL2622" i="9" s="1"/>
  <c r="AK2645" i="9"/>
  <c r="AL2645" i="9" s="1"/>
  <c r="AK2652" i="9"/>
  <c r="AL2652" i="9" s="1"/>
  <c r="AK2699" i="9"/>
  <c r="AL2699" i="9" s="1"/>
  <c r="AK2738" i="9"/>
  <c r="AL2738" i="9" s="1"/>
  <c r="AK2744" i="9"/>
  <c r="AL2744" i="9" s="1"/>
  <c r="AK2779" i="9"/>
  <c r="AL2779" i="9" s="1"/>
  <c r="AK2805" i="9"/>
  <c r="AL2805" i="9" s="1"/>
  <c r="AK2810" i="9"/>
  <c r="AL2810" i="9" s="1"/>
  <c r="AK2858" i="9"/>
  <c r="AL2858" i="9" s="1"/>
  <c r="AK2955" i="9"/>
  <c r="AL2955" i="9" s="1"/>
  <c r="AK2357" i="9"/>
  <c r="AL2357" i="9" s="1"/>
  <c r="AK2365" i="9"/>
  <c r="AL2365" i="9" s="1"/>
  <c r="AK2368" i="9"/>
  <c r="AL2368" i="9" s="1"/>
  <c r="AK2399" i="9"/>
  <c r="AL2399" i="9" s="1"/>
  <c r="AK2435" i="9"/>
  <c r="AL2435" i="9" s="1"/>
  <c r="AK2464" i="9"/>
  <c r="AL2464" i="9" s="1"/>
  <c r="AK2478" i="9"/>
  <c r="AL2478" i="9" s="1"/>
  <c r="AK2506" i="9"/>
  <c r="AL2506" i="9" s="1"/>
  <c r="AK2521" i="9"/>
  <c r="AL2521" i="9" s="1"/>
  <c r="AK2530" i="9"/>
  <c r="AL2530" i="9" s="1"/>
  <c r="AK2537" i="9"/>
  <c r="AL2537" i="9" s="1"/>
  <c r="AM2544" i="9"/>
  <c r="AN2544" i="9" s="1"/>
  <c r="AM2606" i="9"/>
  <c r="AN2606" i="9" s="1"/>
  <c r="AK2640" i="9"/>
  <c r="AL2640" i="9" s="1"/>
  <c r="AK2658" i="9"/>
  <c r="AL2658" i="9" s="1"/>
  <c r="AM2661" i="9"/>
  <c r="AN2661" i="9" s="1"/>
  <c r="AK2662" i="9"/>
  <c r="AL2662" i="9" s="1"/>
  <c r="AM2666" i="9"/>
  <c r="AN2666" i="9" s="1"/>
  <c r="AM2672" i="9"/>
  <c r="AN2672" i="9" s="1"/>
  <c r="AK2677" i="9"/>
  <c r="AL2677" i="9" s="1"/>
  <c r="AM2681" i="9"/>
  <c r="AN2681" i="9" s="1"/>
  <c r="AK2690" i="9"/>
  <c r="AL2690" i="9" s="1"/>
  <c r="AK2705" i="9"/>
  <c r="AL2705" i="9" s="1"/>
  <c r="AK2851" i="9"/>
  <c r="AL2851" i="9" s="1"/>
  <c r="AK2635" i="9"/>
  <c r="AL2635" i="9" s="1"/>
  <c r="AK2696" i="9"/>
  <c r="AL2696" i="9" s="1"/>
  <c r="AK2711" i="9"/>
  <c r="AL2711" i="9" s="1"/>
  <c r="AK2351" i="9"/>
  <c r="AL2351" i="9" s="1"/>
  <c r="AM2355" i="9"/>
  <c r="AN2355" i="9" s="1"/>
  <c r="R2359" i="9"/>
  <c r="I2359" i="9"/>
  <c r="AK2378" i="9"/>
  <c r="AL2378" i="9" s="1"/>
  <c r="AK2408" i="9"/>
  <c r="AL2408" i="9" s="1"/>
  <c r="AK2437" i="9"/>
  <c r="AL2437" i="9" s="1"/>
  <c r="AK2484" i="9"/>
  <c r="AL2484" i="9" s="1"/>
  <c r="AK2510" i="9"/>
  <c r="AL2510" i="9" s="1"/>
  <c r="AM2516" i="9"/>
  <c r="AN2516" i="9" s="1"/>
  <c r="AK2544" i="9"/>
  <c r="AL2544" i="9" s="1"/>
  <c r="AK2553" i="9"/>
  <c r="AL2553" i="9" s="1"/>
  <c r="AM2575" i="9"/>
  <c r="AN2575" i="9" s="1"/>
  <c r="AM2596" i="9"/>
  <c r="AN2596" i="9" s="1"/>
  <c r="AK2601" i="9"/>
  <c r="AL2601" i="9" s="1"/>
  <c r="AK2629" i="9"/>
  <c r="AL2629" i="9" s="1"/>
  <c r="AK2642" i="9"/>
  <c r="AL2642" i="9" s="1"/>
  <c r="AK2647" i="9"/>
  <c r="AL2647" i="9" s="1"/>
  <c r="AK2676" i="9"/>
  <c r="AL2676" i="9" s="1"/>
  <c r="AK2680" i="9"/>
  <c r="AL2680" i="9" s="1"/>
  <c r="AK2727" i="9"/>
  <c r="AL2727" i="9" s="1"/>
  <c r="AM2732" i="9"/>
  <c r="AN2732" i="9" s="1"/>
  <c r="AK2875" i="9"/>
  <c r="AL2875" i="9" s="1"/>
  <c r="AK2881" i="9"/>
  <c r="AL2881" i="9" s="1"/>
  <c r="AK2950" i="9"/>
  <c r="AL2950" i="9" s="1"/>
  <c r="AK3016" i="9"/>
  <c r="AL3016" i="9" s="1"/>
  <c r="AK2508" i="9"/>
  <c r="AL2508" i="9" s="1"/>
  <c r="AK2527" i="9"/>
  <c r="AL2527" i="9" s="1"/>
  <c r="AK2543" i="9"/>
  <c r="AL2543" i="9" s="1"/>
  <c r="AM2552" i="9"/>
  <c r="AN2552" i="9" s="1"/>
  <c r="AK2557" i="9"/>
  <c r="AL2557" i="9" s="1"/>
  <c r="AK2564" i="9"/>
  <c r="AL2564" i="9" s="1"/>
  <c r="AK2575" i="9"/>
  <c r="AL2575" i="9" s="1"/>
  <c r="AM2654" i="9"/>
  <c r="AN2654" i="9" s="1"/>
  <c r="AM2657" i="9"/>
  <c r="AN2657" i="9" s="1"/>
  <c r="AK2671" i="9"/>
  <c r="AL2671" i="9" s="1"/>
  <c r="AK2686" i="9"/>
  <c r="AL2686" i="9" s="1"/>
  <c r="AK2783" i="9"/>
  <c r="AL2783" i="9" s="1"/>
  <c r="AK2815" i="9"/>
  <c r="AL2815" i="9" s="1"/>
  <c r="AK2827" i="9"/>
  <c r="AL2827" i="9" s="1"/>
  <c r="AM2829" i="9"/>
  <c r="AN2829" i="9" s="1"/>
  <c r="AK2850" i="9"/>
  <c r="AL2850" i="9" s="1"/>
  <c r="AK2500" i="9"/>
  <c r="AL2500" i="9" s="1"/>
  <c r="AK2522" i="9"/>
  <c r="AL2522" i="9" s="1"/>
  <c r="AM2546" i="9"/>
  <c r="AN2546" i="9" s="1"/>
  <c r="AK2552" i="9"/>
  <c r="AL2552" i="9" s="1"/>
  <c r="AM2565" i="9"/>
  <c r="AN2565" i="9" s="1"/>
  <c r="AM2590" i="9"/>
  <c r="AN2590" i="9" s="1"/>
  <c r="AK2618" i="9"/>
  <c r="AL2618" i="9" s="1"/>
  <c r="AK2634" i="9"/>
  <c r="AL2634" i="9" s="1"/>
  <c r="AK2644" i="9"/>
  <c r="AL2644" i="9" s="1"/>
  <c r="AK2649" i="9"/>
  <c r="AL2649" i="9" s="1"/>
  <c r="AM2669" i="9"/>
  <c r="AN2669" i="9" s="1"/>
  <c r="AK2717" i="9"/>
  <c r="AL2717" i="9" s="1"/>
  <c r="AM2745" i="9"/>
  <c r="AN2745" i="9" s="1"/>
  <c r="AK2771" i="9"/>
  <c r="AL2771" i="9" s="1"/>
  <c r="AK2932" i="9"/>
  <c r="AL2932" i="9" s="1"/>
  <c r="AK3007" i="9"/>
  <c r="AL3007" i="9" s="1"/>
  <c r="AM2574" i="9"/>
  <c r="AN2574" i="9" s="1"/>
  <c r="AM2585" i="9"/>
  <c r="AN2585" i="9" s="1"/>
  <c r="AM2602" i="9"/>
  <c r="AN2602" i="9" s="1"/>
  <c r="AK2608" i="9"/>
  <c r="AL2608" i="9" s="1"/>
  <c r="AK2623" i="9"/>
  <c r="AL2623" i="9" s="1"/>
  <c r="AK2700" i="9"/>
  <c r="AL2700" i="9" s="1"/>
  <c r="AK2710" i="9"/>
  <c r="AL2710" i="9" s="1"/>
  <c r="AK2724" i="9"/>
  <c r="AL2724" i="9" s="1"/>
  <c r="AK2737" i="9"/>
  <c r="AL2737" i="9" s="1"/>
  <c r="AK2745" i="9"/>
  <c r="AL2745" i="9" s="1"/>
  <c r="AK1861" i="9"/>
  <c r="AL1861" i="9" s="1"/>
  <c r="AK1920" i="9"/>
  <c r="AL1920" i="9" s="1"/>
  <c r="AK1937" i="9"/>
  <c r="AL1937" i="9" s="1"/>
  <c r="AM1942" i="9"/>
  <c r="AN1942" i="9" s="1"/>
  <c r="AK1944" i="9"/>
  <c r="AL1944" i="9" s="1"/>
  <c r="AK1958" i="9"/>
  <c r="AL1958" i="9" s="1"/>
  <c r="AK1995" i="9"/>
  <c r="AL1995" i="9" s="1"/>
  <c r="AK2001" i="9"/>
  <c r="AL2001" i="9" s="1"/>
  <c r="AK2036" i="9"/>
  <c r="AL2036" i="9" s="1"/>
  <c r="AM2061" i="9"/>
  <c r="AN2061" i="9" s="1"/>
  <c r="AK2064" i="9"/>
  <c r="AL2064" i="9" s="1"/>
  <c r="AK2080" i="9"/>
  <c r="AL2080" i="9" s="1"/>
  <c r="AK2081" i="9"/>
  <c r="AL2081" i="9" s="1"/>
  <c r="AK2091" i="9"/>
  <c r="AL2091" i="9" s="1"/>
  <c r="AM2108" i="9"/>
  <c r="AN2108" i="9" s="1"/>
  <c r="AK2119" i="9"/>
  <c r="AL2119" i="9" s="1"/>
  <c r="AK2136" i="9"/>
  <c r="AL2136" i="9" s="1"/>
  <c r="AN2160" i="9"/>
  <c r="AK2164" i="9"/>
  <c r="AL2164" i="9" s="1"/>
  <c r="AN2176" i="9"/>
  <c r="AK2183" i="9"/>
  <c r="AL2183" i="9" s="1"/>
  <c r="AK2260" i="9"/>
  <c r="AL2260" i="9" s="1"/>
  <c r="AK2264" i="9"/>
  <c r="AL2264" i="9" s="1"/>
  <c r="AM2279" i="9"/>
  <c r="AN2279" i="9" s="1"/>
  <c r="AK2310" i="9"/>
  <c r="AL2310" i="9" s="1"/>
  <c r="AN2341" i="9"/>
  <c r="AB2359" i="9"/>
  <c r="AM2383" i="9"/>
  <c r="AN2383" i="9" s="1"/>
  <c r="AK2409" i="9"/>
  <c r="AL2409" i="9" s="1"/>
  <c r="AM2416" i="9"/>
  <c r="AN2416" i="9" s="1"/>
  <c r="AK2434" i="9"/>
  <c r="AL2434" i="9" s="1"/>
  <c r="AM2548" i="9"/>
  <c r="AN2548" i="9" s="1"/>
  <c r="AM2589" i="9"/>
  <c r="AN2589" i="9" s="1"/>
  <c r="AK2592" i="9"/>
  <c r="AL2592" i="9" s="1"/>
  <c r="AK2603" i="9"/>
  <c r="AL2603" i="9" s="1"/>
  <c r="AK2615" i="9"/>
  <c r="AL2615" i="9" s="1"/>
  <c r="AK2631" i="9"/>
  <c r="AL2631" i="9" s="1"/>
  <c r="AK2636" i="9"/>
  <c r="AL2636" i="9" s="1"/>
  <c r="AM2653" i="9"/>
  <c r="AN2653" i="9" s="1"/>
  <c r="AK2663" i="9"/>
  <c r="AL2663" i="9" s="1"/>
  <c r="AM2670" i="9"/>
  <c r="AN2670" i="9" s="1"/>
  <c r="AM2674" i="9"/>
  <c r="AN2674" i="9" s="1"/>
  <c r="AK2703" i="9"/>
  <c r="AL2703" i="9" s="1"/>
  <c r="AK2773" i="9"/>
  <c r="AL2773" i="9" s="1"/>
  <c r="AK2775" i="9"/>
  <c r="AL2775" i="9" s="1"/>
  <c r="AK2785" i="9"/>
  <c r="AL2785" i="9" s="1"/>
  <c r="AK2821" i="9"/>
  <c r="AL2821" i="9" s="1"/>
  <c r="AK2826" i="9"/>
  <c r="AL2826" i="9" s="1"/>
  <c r="AK2830" i="9"/>
  <c r="AL2830" i="9" s="1"/>
  <c r="AK2753" i="9"/>
  <c r="AL2753" i="9" s="1"/>
  <c r="AK2762" i="9"/>
  <c r="AL2762" i="9" s="1"/>
  <c r="AK2825" i="9"/>
  <c r="AL2825" i="9" s="1"/>
  <c r="AK2829" i="9"/>
  <c r="AL2829" i="9" s="1"/>
  <c r="AK2876" i="9"/>
  <c r="AL2876" i="9" s="1"/>
  <c r="AK2965" i="9"/>
  <c r="AL2965" i="9" s="1"/>
  <c r="AK2968" i="9"/>
  <c r="AL2968" i="9" s="1"/>
  <c r="AK3014" i="9"/>
  <c r="AL3014" i="9" s="1"/>
  <c r="AK3018" i="9"/>
  <c r="AL3018" i="9" s="1"/>
  <c r="AK3023" i="9"/>
  <c r="AL3023" i="9" s="1"/>
  <c r="AK3033" i="9"/>
  <c r="AL3033" i="9" s="1"/>
  <c r="AK3104" i="9"/>
  <c r="AL3104" i="9" s="1"/>
  <c r="AK3185" i="9"/>
  <c r="AL3185" i="9" s="1"/>
  <c r="AK3309" i="9"/>
  <c r="AL3309" i="9" s="1"/>
  <c r="AK2787" i="9"/>
  <c r="AL2787" i="9" s="1"/>
  <c r="AK2795" i="9"/>
  <c r="AL2795" i="9" s="1"/>
  <c r="AK2797" i="9"/>
  <c r="AL2797" i="9" s="1"/>
  <c r="AK2798" i="9"/>
  <c r="AL2798" i="9" s="1"/>
  <c r="AK2868" i="9"/>
  <c r="AL2868" i="9" s="1"/>
  <c r="AM2900" i="9"/>
  <c r="AN2900" i="9" s="1"/>
  <c r="AK2929" i="9"/>
  <c r="AL2929" i="9" s="1"/>
  <c r="AK2997" i="9"/>
  <c r="AL2997" i="9" s="1"/>
  <c r="AK3057" i="9"/>
  <c r="AL3057" i="9" s="1"/>
  <c r="AK3087" i="9"/>
  <c r="AL3087" i="9" s="1"/>
  <c r="AM3138" i="9"/>
  <c r="AN3138" i="9" s="1"/>
  <c r="AK3163" i="9"/>
  <c r="AL3163" i="9" s="1"/>
  <c r="AM3230" i="9"/>
  <c r="AN3230" i="9" s="1"/>
  <c r="AM3238" i="9"/>
  <c r="AN3238" i="9" s="1"/>
  <c r="AK3261" i="9"/>
  <c r="AL3261" i="9" s="1"/>
  <c r="AK2393" i="9"/>
  <c r="AL2393" i="9" s="1"/>
  <c r="AK2413" i="9"/>
  <c r="AL2413" i="9" s="1"/>
  <c r="AK2430" i="9"/>
  <c r="AL2430" i="9" s="1"/>
  <c r="AK2454" i="9"/>
  <c r="AL2454" i="9" s="1"/>
  <c r="AM2479" i="9"/>
  <c r="AN2479" i="9" s="1"/>
  <c r="AK2501" i="9"/>
  <c r="AL2501" i="9" s="1"/>
  <c r="AK2519" i="9"/>
  <c r="AL2519" i="9" s="1"/>
  <c r="AK2531" i="9"/>
  <c r="AL2531" i="9" s="1"/>
  <c r="AM2566" i="9"/>
  <c r="AN2566" i="9" s="1"/>
  <c r="AK2567" i="9"/>
  <c r="AL2567" i="9" s="1"/>
  <c r="AM2576" i="9"/>
  <c r="AN2576" i="9" s="1"/>
  <c r="AK2589" i="9"/>
  <c r="AL2589" i="9" s="1"/>
  <c r="AM2604" i="9"/>
  <c r="AN2604" i="9" s="1"/>
  <c r="AK2605" i="9"/>
  <c r="AL2605" i="9" s="1"/>
  <c r="AK2614" i="9"/>
  <c r="AL2614" i="9" s="1"/>
  <c r="AK2672" i="9"/>
  <c r="AL2672" i="9" s="1"/>
  <c r="AK2678" i="9"/>
  <c r="AL2678" i="9" s="1"/>
  <c r="AK2679" i="9"/>
  <c r="AL2679" i="9" s="1"/>
  <c r="AK2688" i="9"/>
  <c r="AL2688" i="9" s="1"/>
  <c r="AK2698" i="9"/>
  <c r="AL2698" i="9" s="1"/>
  <c r="AK2740" i="9"/>
  <c r="AL2740" i="9" s="1"/>
  <c r="AK2751" i="9"/>
  <c r="AL2751" i="9" s="1"/>
  <c r="AK2800" i="9"/>
  <c r="AL2800" i="9" s="1"/>
  <c r="AK2809" i="9"/>
  <c r="AL2809" i="9" s="1"/>
  <c r="AK2814" i="9"/>
  <c r="AL2814" i="9" s="1"/>
  <c r="AK2828" i="9"/>
  <c r="AL2828" i="9" s="1"/>
  <c r="AK2833" i="9"/>
  <c r="AL2833" i="9" s="1"/>
  <c r="AK2857" i="9"/>
  <c r="AL2857" i="9" s="1"/>
  <c r="AM2870" i="9"/>
  <c r="AN2870" i="9" s="1"/>
  <c r="AK2883" i="9"/>
  <c r="AL2883" i="9" s="1"/>
  <c r="AK2888" i="9"/>
  <c r="AL2888" i="9" s="1"/>
  <c r="AK2903" i="9"/>
  <c r="AL2903" i="9" s="1"/>
  <c r="AK2913" i="9"/>
  <c r="AL2913" i="9" s="1"/>
  <c r="AK2931" i="9"/>
  <c r="AL2931" i="9" s="1"/>
  <c r="AK2949" i="9"/>
  <c r="AL2949" i="9" s="1"/>
  <c r="AK2957" i="9"/>
  <c r="AL2957" i="9" s="1"/>
  <c r="AK2967" i="9"/>
  <c r="AL2967" i="9" s="1"/>
  <c r="AK2994" i="9"/>
  <c r="AL2994" i="9" s="1"/>
  <c r="AK2999" i="9"/>
  <c r="AL2999" i="9" s="1"/>
  <c r="AK3035" i="9"/>
  <c r="AL3035" i="9" s="1"/>
  <c r="AK3050" i="9"/>
  <c r="AL3050" i="9" s="1"/>
  <c r="AK3103" i="9"/>
  <c r="AL3103" i="9" s="1"/>
  <c r="AK3132" i="9"/>
  <c r="AL3132" i="9" s="1"/>
  <c r="AK3160" i="9"/>
  <c r="AL3160" i="9" s="1"/>
  <c r="AM3178" i="9"/>
  <c r="AN3178" i="9" s="1"/>
  <c r="AM3260" i="9"/>
  <c r="AN3260" i="9" s="1"/>
  <c r="AM3292" i="9"/>
  <c r="AN3292" i="9" s="1"/>
  <c r="AK3299" i="9"/>
  <c r="AL3299" i="9" s="1"/>
  <c r="AB3324" i="9"/>
  <c r="AF3324" i="9"/>
  <c r="I3324" i="9"/>
  <c r="AK3330" i="9"/>
  <c r="AL3330" i="9" s="1"/>
  <c r="AK2708" i="9"/>
  <c r="AL2708" i="9" s="1"/>
  <c r="AK2718" i="9"/>
  <c r="AL2718" i="9" s="1"/>
  <c r="AM2742" i="9"/>
  <c r="AN2742" i="9" s="1"/>
  <c r="AM2750" i="9"/>
  <c r="AN2750" i="9" s="1"/>
  <c r="AK2761" i="9"/>
  <c r="AL2761" i="9" s="1"/>
  <c r="AK2832" i="9"/>
  <c r="AL2832" i="9" s="1"/>
  <c r="AK2835" i="9"/>
  <c r="AL2835" i="9" s="1"/>
  <c r="AK2839" i="9"/>
  <c r="AL2839" i="9" s="1"/>
  <c r="AK2870" i="9"/>
  <c r="AL2870" i="9" s="1"/>
  <c r="AK2890" i="9"/>
  <c r="AL2890" i="9" s="1"/>
  <c r="AK3116" i="9"/>
  <c r="AL3116" i="9" s="1"/>
  <c r="AM3123" i="9"/>
  <c r="AN3123" i="9" s="1"/>
  <c r="AB3127" i="9"/>
  <c r="V3127" i="9"/>
  <c r="AM3149" i="9"/>
  <c r="AN3149" i="9" s="1"/>
  <c r="AN3443" i="9"/>
  <c r="AM2671" i="9"/>
  <c r="AN2671" i="9" s="1"/>
  <c r="AM2677" i="9"/>
  <c r="AN2677" i="9" s="1"/>
  <c r="AK2715" i="9"/>
  <c r="AL2715" i="9" s="1"/>
  <c r="AM2733" i="9"/>
  <c r="AN2733" i="9" s="1"/>
  <c r="AK2736" i="9"/>
  <c r="AL2736" i="9" s="1"/>
  <c r="AK2777" i="9"/>
  <c r="AL2777" i="9" s="1"/>
  <c r="AK2796" i="9"/>
  <c r="AL2796" i="9" s="1"/>
  <c r="AK2806" i="9"/>
  <c r="AL2806" i="9" s="1"/>
  <c r="AK2862" i="9"/>
  <c r="AL2862" i="9" s="1"/>
  <c r="AK2865" i="9"/>
  <c r="AL2865" i="9" s="1"/>
  <c r="AK2920" i="9"/>
  <c r="AL2920" i="9" s="1"/>
  <c r="AK2941" i="9"/>
  <c r="AL2941" i="9" s="1"/>
  <c r="AK2991" i="9"/>
  <c r="AL2991" i="9" s="1"/>
  <c r="AK3015" i="9"/>
  <c r="AL3015" i="9" s="1"/>
  <c r="AK3047" i="9"/>
  <c r="AL3047" i="9" s="1"/>
  <c r="AK3052" i="9"/>
  <c r="AL3052" i="9" s="1"/>
  <c r="AK3068" i="9"/>
  <c r="AL3068" i="9" s="1"/>
  <c r="AK3081" i="9"/>
  <c r="AL3081" i="9" s="1"/>
  <c r="AK3093" i="9"/>
  <c r="AL3093" i="9" s="1"/>
  <c r="AK3105" i="9"/>
  <c r="AL3105" i="9" s="1"/>
  <c r="AM3118" i="9"/>
  <c r="AN3118" i="9" s="1"/>
  <c r="AF3127" i="9"/>
  <c r="Q3130" i="9"/>
  <c r="AM3130" i="9" s="1"/>
  <c r="AN3130" i="9" s="1"/>
  <c r="U3130" i="9"/>
  <c r="AF3157" i="9"/>
  <c r="V3157" i="9"/>
  <c r="AM3186" i="9"/>
  <c r="AN3186" i="9" s="1"/>
  <c r="AK3192" i="9"/>
  <c r="AL3192" i="9" s="1"/>
  <c r="AK3197" i="9"/>
  <c r="AL3197" i="9" s="1"/>
  <c r="AM3242" i="9"/>
  <c r="AN3242" i="9" s="1"/>
  <c r="AK3243" i="9"/>
  <c r="AL3243" i="9" s="1"/>
  <c r="AK3270" i="9"/>
  <c r="AL3270" i="9" s="1"/>
  <c r="AK3318" i="9"/>
  <c r="AL3318" i="9" s="1"/>
  <c r="AK3320" i="9"/>
  <c r="AL3320" i="9" s="1"/>
  <c r="AK3174" i="9"/>
  <c r="AL3174" i="9" s="1"/>
  <c r="AM3241" i="9"/>
  <c r="AN3241" i="9" s="1"/>
  <c r="AM2663" i="9"/>
  <c r="AN2663" i="9" s="1"/>
  <c r="AK2664" i="9"/>
  <c r="AL2664" i="9" s="1"/>
  <c r="AK2728" i="9"/>
  <c r="AL2728" i="9" s="1"/>
  <c r="AK2731" i="9"/>
  <c r="AL2731" i="9" s="1"/>
  <c r="AM2832" i="9"/>
  <c r="AN2832" i="9" s="1"/>
  <c r="AK2844" i="9"/>
  <c r="AL2844" i="9" s="1"/>
  <c r="AK2847" i="9"/>
  <c r="AL2847" i="9" s="1"/>
  <c r="AK2853" i="9"/>
  <c r="AL2853" i="9" s="1"/>
  <c r="AK2859" i="9"/>
  <c r="AL2859" i="9" s="1"/>
  <c r="AK2933" i="9"/>
  <c r="AL2933" i="9" s="1"/>
  <c r="AK2943" i="9"/>
  <c r="AL2943" i="9" s="1"/>
  <c r="AK2961" i="9"/>
  <c r="AL2961" i="9" s="1"/>
  <c r="AK2983" i="9"/>
  <c r="AL2983" i="9" s="1"/>
  <c r="AK2989" i="9"/>
  <c r="AL2989" i="9" s="1"/>
  <c r="AK3024" i="9"/>
  <c r="AL3024" i="9" s="1"/>
  <c r="AK3029" i="9"/>
  <c r="AL3029" i="9" s="1"/>
  <c r="AK3042" i="9"/>
  <c r="AL3042" i="9" s="1"/>
  <c r="AK3078" i="9"/>
  <c r="AL3078" i="9" s="1"/>
  <c r="AK3083" i="9"/>
  <c r="AL3083" i="9" s="1"/>
  <c r="I3128" i="9"/>
  <c r="K3128" i="9" s="1"/>
  <c r="L3128" i="9" s="1"/>
  <c r="AA3130" i="9"/>
  <c r="AK3144" i="9"/>
  <c r="AL3144" i="9" s="1"/>
  <c r="R3157" i="9"/>
  <c r="AM3181" i="9"/>
  <c r="AN3181" i="9" s="1"/>
  <c r="AM3246" i="9"/>
  <c r="AN3246" i="9" s="1"/>
  <c r="AM3281" i="9"/>
  <c r="AN3281" i="9" s="1"/>
  <c r="AK3317" i="9"/>
  <c r="AL3317" i="9" s="1"/>
  <c r="AK3349" i="9"/>
  <c r="AL3349" i="9" s="1"/>
  <c r="AK2935" i="9"/>
  <c r="AL2935" i="9" s="1"/>
  <c r="AK2938" i="9"/>
  <c r="AL2938" i="9" s="1"/>
  <c r="AK2966" i="9"/>
  <c r="AL2966" i="9" s="1"/>
  <c r="AK3012" i="9"/>
  <c r="AL3012" i="9" s="1"/>
  <c r="AK3032" i="9"/>
  <c r="AL3032" i="9" s="1"/>
  <c r="AK3034" i="9"/>
  <c r="AL3034" i="9" s="1"/>
  <c r="AK3049" i="9"/>
  <c r="AL3049" i="9" s="1"/>
  <c r="AK3054" i="9"/>
  <c r="AL3054" i="9" s="1"/>
  <c r="AK3124" i="9"/>
  <c r="AL3124" i="9" s="1"/>
  <c r="AM2830" i="9"/>
  <c r="AN2830" i="9" s="1"/>
  <c r="AK2834" i="9"/>
  <c r="AL2834" i="9" s="1"/>
  <c r="AK2861" i="9"/>
  <c r="AL2861" i="9" s="1"/>
  <c r="AK2924" i="9"/>
  <c r="AL2924" i="9" s="1"/>
  <c r="AK2975" i="9"/>
  <c r="AL2975" i="9" s="1"/>
  <c r="AK2988" i="9"/>
  <c r="AL2988" i="9" s="1"/>
  <c r="AK3000" i="9"/>
  <c r="AL3000" i="9" s="1"/>
  <c r="AK3039" i="9"/>
  <c r="AL3039" i="9" s="1"/>
  <c r="AK3063" i="9"/>
  <c r="AL3063" i="9" s="1"/>
  <c r="AK3070" i="9"/>
  <c r="AL3070" i="9" s="1"/>
  <c r="AK3075" i="9"/>
  <c r="AL3075" i="9" s="1"/>
  <c r="AK3092" i="9"/>
  <c r="AL3092" i="9" s="1"/>
  <c r="Q3128" i="9"/>
  <c r="R3151" i="9"/>
  <c r="AK3151" i="9" s="1"/>
  <c r="AL3151" i="9" s="1"/>
  <c r="I3151" i="9"/>
  <c r="K3151" i="9" s="1"/>
  <c r="L3151" i="9" s="1"/>
  <c r="AO3150" i="9"/>
  <c r="AF3151" i="9"/>
  <c r="AM3235" i="9"/>
  <c r="AN3235" i="9" s="1"/>
  <c r="R3294" i="9"/>
  <c r="AB3294" i="9"/>
  <c r="AO3293" i="9"/>
  <c r="AM3348" i="9"/>
  <c r="AN3348" i="9" s="1"/>
  <c r="I3371" i="9"/>
  <c r="AN3371" i="9"/>
  <c r="K3371" i="9"/>
  <c r="AK2387" i="9"/>
  <c r="AL2387" i="9" s="1"/>
  <c r="AM2455" i="9"/>
  <c r="AN2455" i="9" s="1"/>
  <c r="AK2467" i="9"/>
  <c r="AL2467" i="9" s="1"/>
  <c r="AK2488" i="9"/>
  <c r="AL2488" i="9" s="1"/>
  <c r="AK2491" i="9"/>
  <c r="AL2491" i="9" s="1"/>
  <c r="AM2494" i="9"/>
  <c r="AN2494" i="9" s="1"/>
  <c r="AK2512" i="9"/>
  <c r="AL2512" i="9" s="1"/>
  <c r="AK2513" i="9"/>
  <c r="AL2513" i="9" s="1"/>
  <c r="AK2520" i="9"/>
  <c r="AL2520" i="9" s="1"/>
  <c r="AM2542" i="9"/>
  <c r="AN2542" i="9" s="1"/>
  <c r="AM2543" i="9"/>
  <c r="AN2543" i="9" s="1"/>
  <c r="AM2569" i="9"/>
  <c r="AN2569" i="9" s="1"/>
  <c r="AK2574" i="9"/>
  <c r="AL2574" i="9" s="1"/>
  <c r="AK2579" i="9"/>
  <c r="AL2579" i="9" s="1"/>
  <c r="AK2582" i="9"/>
  <c r="AL2582" i="9" s="1"/>
  <c r="AK2610" i="9"/>
  <c r="AL2610" i="9" s="1"/>
  <c r="AM2662" i="9"/>
  <c r="AN2662" i="9" s="1"/>
  <c r="AM2675" i="9"/>
  <c r="AN2675" i="9" s="1"/>
  <c r="AK2730" i="9"/>
  <c r="AL2730" i="9" s="1"/>
  <c r="AK2757" i="9"/>
  <c r="AL2757" i="9" s="1"/>
  <c r="AK2770" i="9"/>
  <c r="AL2770" i="9" s="1"/>
  <c r="AK2813" i="9"/>
  <c r="AL2813" i="9" s="1"/>
  <c r="AK2866" i="9"/>
  <c r="AL2866" i="9" s="1"/>
  <c r="AK2886" i="9"/>
  <c r="AL2886" i="9" s="1"/>
  <c r="AK2958" i="9"/>
  <c r="AL2958" i="9" s="1"/>
  <c r="AK2995" i="9"/>
  <c r="AL2995" i="9" s="1"/>
  <c r="AK3037" i="9"/>
  <c r="AL3037" i="9" s="1"/>
  <c r="AK3060" i="9"/>
  <c r="AL3060" i="9" s="1"/>
  <c r="AK3072" i="9"/>
  <c r="AL3072" i="9" s="1"/>
  <c r="AK3095" i="9"/>
  <c r="AL3095" i="9" s="1"/>
  <c r="AK3109" i="9"/>
  <c r="AL3109" i="9" s="1"/>
  <c r="AK3114" i="9"/>
  <c r="AL3114" i="9" s="1"/>
  <c r="AK3119" i="9"/>
  <c r="AL3119" i="9" s="1"/>
  <c r="AB3157" i="9"/>
  <c r="V3294" i="9"/>
  <c r="AK3413" i="9"/>
  <c r="AL3413" i="9" s="1"/>
  <c r="AK2874" i="9"/>
  <c r="AL2874" i="9" s="1"/>
  <c r="AK2889" i="9"/>
  <c r="AL2889" i="9" s="1"/>
  <c r="AK2894" i="9"/>
  <c r="AL2894" i="9" s="1"/>
  <c r="AM2899" i="9"/>
  <c r="AN2899" i="9" s="1"/>
  <c r="AK2915" i="9"/>
  <c r="AL2915" i="9" s="1"/>
  <c r="AK2923" i="9"/>
  <c r="AL2923" i="9" s="1"/>
  <c r="AK2934" i="9"/>
  <c r="AL2934" i="9" s="1"/>
  <c r="AK2956" i="9"/>
  <c r="AL2956" i="9" s="1"/>
  <c r="AK2979" i="9"/>
  <c r="AL2979" i="9" s="1"/>
  <c r="AK2984" i="9"/>
  <c r="AL2984" i="9" s="1"/>
  <c r="AK3040" i="9"/>
  <c r="AL3040" i="9" s="1"/>
  <c r="AK3091" i="9"/>
  <c r="AL3091" i="9" s="1"/>
  <c r="AM3115" i="9"/>
  <c r="AN3115" i="9" s="1"/>
  <c r="AM3126" i="9"/>
  <c r="AN3126" i="9" s="1"/>
  <c r="AK3137" i="9"/>
  <c r="AL3137" i="9" s="1"/>
  <c r="AK3138" i="9"/>
  <c r="AL3138" i="9" s="1"/>
  <c r="K3156" i="9"/>
  <c r="L3156" i="9" s="1"/>
  <c r="AK3175" i="9"/>
  <c r="AL3175" i="9" s="1"/>
  <c r="AK3183" i="9"/>
  <c r="AL3183" i="9" s="1"/>
  <c r="AK3199" i="9"/>
  <c r="AL3199" i="9" s="1"/>
  <c r="AK3205" i="9"/>
  <c r="AL3205" i="9" s="1"/>
  <c r="AK3228" i="9"/>
  <c r="AL3228" i="9" s="1"/>
  <c r="AK3242" i="9"/>
  <c r="AL3242" i="9" s="1"/>
  <c r="AK3245" i="9"/>
  <c r="AL3245" i="9" s="1"/>
  <c r="AK3254" i="9"/>
  <c r="AL3254" i="9" s="1"/>
  <c r="AK3280" i="9"/>
  <c r="AL3280" i="9" s="1"/>
  <c r="AK3286" i="9"/>
  <c r="AL3286" i="9" s="1"/>
  <c r="AK3288" i="9"/>
  <c r="AL3288" i="9" s="1"/>
  <c r="AN3295" i="9"/>
  <c r="AB3371" i="9"/>
  <c r="AF3371" i="9"/>
  <c r="V3371" i="9"/>
  <c r="L3371" i="9"/>
  <c r="AK3381" i="9"/>
  <c r="AL3381" i="9" s="1"/>
  <c r="I3446" i="9"/>
  <c r="AN3449" i="9"/>
  <c r="AK3545" i="9"/>
  <c r="AL3545" i="9" s="1"/>
  <c r="AK3117" i="9"/>
  <c r="AL3117" i="9" s="1"/>
  <c r="AM3153" i="9"/>
  <c r="AN3153" i="9" s="1"/>
  <c r="AK3154" i="9"/>
  <c r="AL3154" i="9" s="1"/>
  <c r="AK3172" i="9"/>
  <c r="AL3172" i="9" s="1"/>
  <c r="AM3187" i="9"/>
  <c r="AN3187" i="9" s="1"/>
  <c r="AK3196" i="9"/>
  <c r="AL3196" i="9" s="1"/>
  <c r="AK3202" i="9"/>
  <c r="AL3202" i="9" s="1"/>
  <c r="AK3210" i="9"/>
  <c r="AL3210" i="9" s="1"/>
  <c r="AM3239" i="9"/>
  <c r="AN3239" i="9" s="1"/>
  <c r="AM3240" i="9"/>
  <c r="AN3240" i="9" s="1"/>
  <c r="AK3264" i="9"/>
  <c r="AL3264" i="9" s="1"/>
  <c r="AK3281" i="9"/>
  <c r="AL3281" i="9" s="1"/>
  <c r="AM3284" i="9"/>
  <c r="AN3284" i="9" s="1"/>
  <c r="AM3288" i="9"/>
  <c r="AN3288" i="9" s="1"/>
  <c r="V3295" i="9"/>
  <c r="R3295" i="9"/>
  <c r="AK3295" i="9" s="1"/>
  <c r="AL3295" i="9" s="1"/>
  <c r="I3295" i="9"/>
  <c r="K3295" i="9" s="1"/>
  <c r="L3295" i="9" s="1"/>
  <c r="AK3363" i="9"/>
  <c r="AL3363" i="9" s="1"/>
  <c r="AK3376" i="9"/>
  <c r="AL3376" i="9" s="1"/>
  <c r="AK3407" i="9"/>
  <c r="AL3407" i="9" s="1"/>
  <c r="AN3134" i="9"/>
  <c r="AK3159" i="9"/>
  <c r="AL3159" i="9" s="1"/>
  <c r="AK3162" i="9"/>
  <c r="AL3162" i="9" s="1"/>
  <c r="AK3216" i="9"/>
  <c r="AL3216" i="9" s="1"/>
  <c r="AK3232" i="9"/>
  <c r="AL3232" i="9" s="1"/>
  <c r="AK3234" i="9"/>
  <c r="AL3234" i="9" s="1"/>
  <c r="AK3239" i="9"/>
  <c r="AL3239" i="9" s="1"/>
  <c r="AM3261" i="9"/>
  <c r="AN3261" i="9" s="1"/>
  <c r="AK3291" i="9"/>
  <c r="AL3291" i="9" s="1"/>
  <c r="AK3292" i="9"/>
  <c r="AL3292" i="9" s="1"/>
  <c r="AB3295" i="9"/>
  <c r="AK3303" i="9"/>
  <c r="AL3303" i="9" s="1"/>
  <c r="AK3313" i="9"/>
  <c r="AL3313" i="9" s="1"/>
  <c r="AK3354" i="9"/>
  <c r="AL3354" i="9" s="1"/>
  <c r="AK3373" i="9"/>
  <c r="AL3373" i="9" s="1"/>
  <c r="AK3400" i="9"/>
  <c r="AL3400" i="9" s="1"/>
  <c r="V3449" i="9"/>
  <c r="AM3544" i="9"/>
  <c r="AN3544" i="9" s="1"/>
  <c r="L3365" i="9"/>
  <c r="AB3365" i="9"/>
  <c r="V3365" i="9"/>
  <c r="R3365" i="9"/>
  <c r="AM3399" i="9"/>
  <c r="AN3399" i="9" s="1"/>
  <c r="AM3152" i="9"/>
  <c r="AN3152" i="9" s="1"/>
  <c r="AK3153" i="9"/>
  <c r="AL3153" i="9" s="1"/>
  <c r="AM3157" i="9"/>
  <c r="AN3157" i="9" s="1"/>
  <c r="AM3165" i="9"/>
  <c r="AN3165" i="9" s="1"/>
  <c r="AM3171" i="9"/>
  <c r="AN3171" i="9" s="1"/>
  <c r="AM3176" i="9"/>
  <c r="AN3176" i="9" s="1"/>
  <c r="AK3212" i="9"/>
  <c r="AL3212" i="9" s="1"/>
  <c r="AK3290" i="9"/>
  <c r="AL3290" i="9" s="1"/>
  <c r="AK3300" i="9"/>
  <c r="AL3300" i="9" s="1"/>
  <c r="AK3341" i="9"/>
  <c r="AL3341" i="9" s="1"/>
  <c r="AK3358" i="9"/>
  <c r="AL3358" i="9" s="1"/>
  <c r="AK3372" i="9"/>
  <c r="AL3372" i="9" s="1"/>
  <c r="AK3404" i="9"/>
  <c r="AL3404" i="9" s="1"/>
  <c r="AK3725" i="9"/>
  <c r="AL3725" i="9" s="1"/>
  <c r="AO3124" i="9"/>
  <c r="AM3137" i="9"/>
  <c r="AN3137" i="9" s="1"/>
  <c r="AK3145" i="9"/>
  <c r="AL3145" i="9" s="1"/>
  <c r="AK3152" i="9"/>
  <c r="AL3152" i="9" s="1"/>
  <c r="AF3156" i="9"/>
  <c r="AK3164" i="9"/>
  <c r="AL3164" i="9" s="1"/>
  <c r="AK3165" i="9"/>
  <c r="AL3165" i="9" s="1"/>
  <c r="AK3168" i="9"/>
  <c r="AL3168" i="9" s="1"/>
  <c r="AN3227" i="9"/>
  <c r="AM3271" i="9"/>
  <c r="AN3271" i="9" s="1"/>
  <c r="K3324" i="9"/>
  <c r="L3324" i="9" s="1"/>
  <c r="AK3336" i="9"/>
  <c r="AL3336" i="9" s="1"/>
  <c r="AK3338" i="9"/>
  <c r="AL3338" i="9" s="1"/>
  <c r="AK3393" i="9"/>
  <c r="AL3393" i="9" s="1"/>
  <c r="AK3401" i="9"/>
  <c r="AL3401" i="9" s="1"/>
  <c r="AK3419" i="9"/>
  <c r="AL3419" i="9" s="1"/>
  <c r="AK3461" i="9"/>
  <c r="AL3461" i="9" s="1"/>
  <c r="AK3463" i="9"/>
  <c r="AL3463" i="9" s="1"/>
  <c r="AK3481" i="9"/>
  <c r="AL3481" i="9" s="1"/>
  <c r="AK3189" i="9"/>
  <c r="AL3189" i="9" s="1"/>
  <c r="AK3203" i="9"/>
  <c r="AL3203" i="9" s="1"/>
  <c r="AK3217" i="9"/>
  <c r="AL3217" i="9" s="1"/>
  <c r="AK3222" i="9"/>
  <c r="AL3222" i="9" s="1"/>
  <c r="AM3229" i="9"/>
  <c r="AN3229" i="9" s="1"/>
  <c r="AK3296" i="9"/>
  <c r="AL3296" i="9" s="1"/>
  <c r="AK3315" i="9"/>
  <c r="AL3315" i="9" s="1"/>
  <c r="AK3353" i="9"/>
  <c r="AL3353" i="9" s="1"/>
  <c r="AK3357" i="9"/>
  <c r="AL3357" i="9" s="1"/>
  <c r="AK3361" i="9"/>
  <c r="AL3361" i="9" s="1"/>
  <c r="AK3403" i="9"/>
  <c r="AL3403" i="9" s="1"/>
  <c r="U3526" i="9"/>
  <c r="AM3526" i="9" s="1"/>
  <c r="AN3526" i="9" s="1"/>
  <c r="AE3526" i="9"/>
  <c r="AK3564" i="9"/>
  <c r="AL3564" i="9" s="1"/>
  <c r="AK3396" i="9"/>
  <c r="AL3396" i="9" s="1"/>
  <c r="AB3526" i="9"/>
  <c r="V3526" i="9"/>
  <c r="I3526" i="9"/>
  <c r="K3526" i="9" s="1"/>
  <c r="L3526" i="9" s="1"/>
  <c r="AO3523" i="9"/>
  <c r="AF3526" i="9"/>
  <c r="AK3559" i="9"/>
  <c r="AL3559" i="9" s="1"/>
  <c r="AA3736" i="9"/>
  <c r="AE3736" i="9"/>
  <c r="Q3736" i="9"/>
  <c r="AK3416" i="9"/>
  <c r="AL3416" i="9" s="1"/>
  <c r="AN3515" i="9"/>
  <c r="AM3519" i="9"/>
  <c r="AN3519" i="9" s="1"/>
  <c r="AK3563" i="9"/>
  <c r="AL3563" i="9" s="1"/>
  <c r="AM3568" i="9"/>
  <c r="AN3568" i="9" s="1"/>
  <c r="AK2877" i="9"/>
  <c r="AL2877" i="9" s="1"/>
  <c r="AK2900" i="9"/>
  <c r="AL2900" i="9" s="1"/>
  <c r="AK2940" i="9"/>
  <c r="AL2940" i="9" s="1"/>
  <c r="AK2970" i="9"/>
  <c r="AL2970" i="9" s="1"/>
  <c r="AK2982" i="9"/>
  <c r="AL2982" i="9" s="1"/>
  <c r="AK3017" i="9"/>
  <c r="AL3017" i="9" s="1"/>
  <c r="AK3061" i="9"/>
  <c r="AL3061" i="9" s="1"/>
  <c r="AK3082" i="9"/>
  <c r="AL3082" i="9" s="1"/>
  <c r="AK3147" i="9"/>
  <c r="AL3147" i="9" s="1"/>
  <c r="AK3150" i="9"/>
  <c r="AL3150" i="9" s="1"/>
  <c r="AK3200" i="9"/>
  <c r="AL3200" i="9" s="1"/>
  <c r="AK3206" i="9"/>
  <c r="AL3206" i="9" s="1"/>
  <c r="AK3207" i="9"/>
  <c r="AL3207" i="9" s="1"/>
  <c r="AK3221" i="9"/>
  <c r="AL3221" i="9" s="1"/>
  <c r="AK3263" i="9"/>
  <c r="AL3263" i="9" s="1"/>
  <c r="AK3268" i="9"/>
  <c r="AL3268" i="9" s="1"/>
  <c r="AK3274" i="9"/>
  <c r="AL3274" i="9" s="1"/>
  <c r="AM3280" i="9"/>
  <c r="AN3280" i="9" s="1"/>
  <c r="AM3286" i="9"/>
  <c r="AN3286" i="9" s="1"/>
  <c r="AK3301" i="9"/>
  <c r="AL3301" i="9" s="1"/>
  <c r="AK3314" i="9"/>
  <c r="AL3314" i="9" s="1"/>
  <c r="AM3367" i="9"/>
  <c r="AN3367" i="9" s="1"/>
  <c r="AN3459" i="9"/>
  <c r="AK3478" i="9"/>
  <c r="AL3478" i="9" s="1"/>
  <c r="AK3497" i="9"/>
  <c r="AL3497" i="9" s="1"/>
  <c r="AM3521" i="9"/>
  <c r="AN3521" i="9" s="1"/>
  <c r="R3526" i="9"/>
  <c r="I3443" i="9"/>
  <c r="K3443" i="9" s="1"/>
  <c r="L3443" i="9" s="1"/>
  <c r="AK3491" i="9"/>
  <c r="AL3491" i="9" s="1"/>
  <c r="AK3592" i="9"/>
  <c r="AL3592" i="9" s="1"/>
  <c r="Q3597" i="9"/>
  <c r="AM3597" i="9" s="1"/>
  <c r="AN3597" i="9" s="1"/>
  <c r="AK3686" i="9"/>
  <c r="AL3686" i="9" s="1"/>
  <c r="AO3735" i="9"/>
  <c r="I3736" i="9"/>
  <c r="K3736" i="9" s="1"/>
  <c r="AE4232" i="9"/>
  <c r="AA4232" i="9"/>
  <c r="Q4232" i="9"/>
  <c r="I4319" i="9"/>
  <c r="K4319" i="9" s="1"/>
  <c r="L4319" i="9" s="1"/>
  <c r="AM3205" i="9"/>
  <c r="AN3205" i="9" s="1"/>
  <c r="AK3231" i="9"/>
  <c r="AL3231" i="9" s="1"/>
  <c r="AK3244" i="9"/>
  <c r="AL3244" i="9" s="1"/>
  <c r="AM3253" i="9"/>
  <c r="AN3253" i="9" s="1"/>
  <c r="AK3302" i="9"/>
  <c r="AL3302" i="9" s="1"/>
  <c r="AK3340" i="9"/>
  <c r="AL3340" i="9" s="1"/>
  <c r="AK3343" i="9"/>
  <c r="AL3343" i="9" s="1"/>
  <c r="L3351" i="9"/>
  <c r="AM3358" i="9"/>
  <c r="AN3358" i="9" s="1"/>
  <c r="AM3365" i="9"/>
  <c r="AN3365" i="9" s="1"/>
  <c r="AK3415" i="9"/>
  <c r="AL3415" i="9" s="1"/>
  <c r="AK3451" i="9"/>
  <c r="AL3451" i="9" s="1"/>
  <c r="R3460" i="9"/>
  <c r="AK3465" i="9"/>
  <c r="AL3465" i="9" s="1"/>
  <c r="AK3540" i="9"/>
  <c r="AL3540" i="9" s="1"/>
  <c r="AK3548" i="9"/>
  <c r="AL3548" i="9" s="1"/>
  <c r="AK3566" i="9"/>
  <c r="AL3566" i="9" s="1"/>
  <c r="R3587" i="9"/>
  <c r="AK3648" i="9"/>
  <c r="AL3648" i="9" s="1"/>
  <c r="AK3659" i="9"/>
  <c r="AL3659" i="9" s="1"/>
  <c r="AK3822" i="9"/>
  <c r="AL3822" i="9" s="1"/>
  <c r="AM3366" i="9"/>
  <c r="AN3366" i="9" s="1"/>
  <c r="R3443" i="9"/>
  <c r="Q3445" i="9"/>
  <c r="AB3460" i="9"/>
  <c r="AF3470" i="9"/>
  <c r="I3470" i="9"/>
  <c r="K3470" i="9" s="1"/>
  <c r="L3470" i="9" s="1"/>
  <c r="AK3536" i="9"/>
  <c r="AL3536" i="9" s="1"/>
  <c r="AM3554" i="9"/>
  <c r="AN3554" i="9" s="1"/>
  <c r="AM3556" i="9"/>
  <c r="AN3556" i="9" s="1"/>
  <c r="AK3578" i="9"/>
  <c r="AL3578" i="9" s="1"/>
  <c r="AK3645" i="9"/>
  <c r="AL3645" i="9" s="1"/>
  <c r="AK3700" i="9"/>
  <c r="AL3700" i="9" s="1"/>
  <c r="AM3727" i="9"/>
  <c r="AN3727" i="9" s="1"/>
  <c r="AK3230" i="9"/>
  <c r="AL3230" i="9" s="1"/>
  <c r="AK3248" i="9"/>
  <c r="AL3248" i="9" s="1"/>
  <c r="AK3259" i="9"/>
  <c r="AL3259" i="9" s="1"/>
  <c r="AK3260" i="9"/>
  <c r="AL3260" i="9" s="1"/>
  <c r="AK3337" i="9"/>
  <c r="AL3337" i="9" s="1"/>
  <c r="AM3350" i="9"/>
  <c r="AN3350" i="9" s="1"/>
  <c r="AM3352" i="9"/>
  <c r="AN3352" i="9" s="1"/>
  <c r="AK3378" i="9"/>
  <c r="AL3378" i="9" s="1"/>
  <c r="AK3383" i="9"/>
  <c r="AL3383" i="9" s="1"/>
  <c r="AK3395" i="9"/>
  <c r="AL3395" i="9" s="1"/>
  <c r="AM3403" i="9"/>
  <c r="AN3403" i="9" s="1"/>
  <c r="AM3438" i="9"/>
  <c r="AN3438" i="9" s="1"/>
  <c r="V3443" i="9"/>
  <c r="R3445" i="9"/>
  <c r="AK3450" i="9"/>
  <c r="AL3450" i="9" s="1"/>
  <c r="AK3458" i="9"/>
  <c r="AL3458" i="9" s="1"/>
  <c r="AF3460" i="9"/>
  <c r="AK3460" i="9" s="1"/>
  <c r="AL3460" i="9" s="1"/>
  <c r="AK3472" i="9"/>
  <c r="AL3472" i="9" s="1"/>
  <c r="AK3514" i="9"/>
  <c r="AL3514" i="9" s="1"/>
  <c r="AK3517" i="9"/>
  <c r="AL3517" i="9" s="1"/>
  <c r="AK3547" i="9"/>
  <c r="AL3547" i="9" s="1"/>
  <c r="AO3569" i="9"/>
  <c r="AM3586" i="9"/>
  <c r="AN3586" i="9" s="1"/>
  <c r="U3597" i="9"/>
  <c r="AK3603" i="9"/>
  <c r="AL3603" i="9" s="1"/>
  <c r="AK3612" i="9"/>
  <c r="AL3612" i="9" s="1"/>
  <c r="AK3641" i="9"/>
  <c r="AL3641" i="9" s="1"/>
  <c r="AK3642" i="9"/>
  <c r="AL3642" i="9" s="1"/>
  <c r="AF3666" i="9"/>
  <c r="R3666" i="9"/>
  <c r="AK3692" i="9"/>
  <c r="AL3692" i="9" s="1"/>
  <c r="AK3775" i="9"/>
  <c r="AL3775" i="9" s="1"/>
  <c r="AK3858" i="9"/>
  <c r="AL3858" i="9" s="1"/>
  <c r="AK3304" i="9"/>
  <c r="AL3304" i="9" s="1"/>
  <c r="AK3342" i="9"/>
  <c r="AL3342" i="9" s="1"/>
  <c r="AK3409" i="9"/>
  <c r="AL3409" i="9" s="1"/>
  <c r="AK3420" i="9"/>
  <c r="AL3420" i="9" s="1"/>
  <c r="AK3438" i="9"/>
  <c r="AL3438" i="9" s="1"/>
  <c r="AB3443" i="9"/>
  <c r="U3445" i="9"/>
  <c r="R3470" i="9"/>
  <c r="AK3498" i="9"/>
  <c r="AL3498" i="9" s="1"/>
  <c r="AK3513" i="9"/>
  <c r="AL3513" i="9" s="1"/>
  <c r="AK3519" i="9"/>
  <c r="AL3519" i="9" s="1"/>
  <c r="AK3527" i="9"/>
  <c r="AL3527" i="9" s="1"/>
  <c r="AF3576" i="9"/>
  <c r="AB3576" i="9"/>
  <c r="AM3582" i="9"/>
  <c r="AN3582" i="9" s="1"/>
  <c r="AM3603" i="9"/>
  <c r="AN3603" i="9" s="1"/>
  <c r="AK3609" i="9"/>
  <c r="AL3609" i="9" s="1"/>
  <c r="R3621" i="9"/>
  <c r="AO3620" i="9"/>
  <c r="I3653" i="9"/>
  <c r="K3653" i="9" s="1"/>
  <c r="V3653" i="9"/>
  <c r="R3653" i="9"/>
  <c r="AK3671" i="9"/>
  <c r="AL3671" i="9" s="1"/>
  <c r="AM3672" i="9"/>
  <c r="AN3672" i="9" s="1"/>
  <c r="AK3356" i="9"/>
  <c r="AL3356" i="9" s="1"/>
  <c r="AK3380" i="9"/>
  <c r="AL3380" i="9" s="1"/>
  <c r="AK3425" i="9"/>
  <c r="AL3425" i="9" s="1"/>
  <c r="AA3445" i="9"/>
  <c r="AK3464" i="9"/>
  <c r="AL3464" i="9" s="1"/>
  <c r="V3470" i="9"/>
  <c r="AK3470" i="9" s="1"/>
  <c r="AL3470" i="9" s="1"/>
  <c r="AM3538" i="9"/>
  <c r="AN3538" i="9" s="1"/>
  <c r="AK3546" i="9"/>
  <c r="AL3546" i="9" s="1"/>
  <c r="AK3582" i="9"/>
  <c r="AL3582" i="9" s="1"/>
  <c r="AA3597" i="9"/>
  <c r="AN3600" i="9"/>
  <c r="AM3602" i="9"/>
  <c r="AN3602" i="9" s="1"/>
  <c r="AK3604" i="9"/>
  <c r="AL3604" i="9" s="1"/>
  <c r="AK3634" i="9"/>
  <c r="AL3634" i="9" s="1"/>
  <c r="AM3686" i="9"/>
  <c r="AN3686" i="9" s="1"/>
  <c r="AK3687" i="9"/>
  <c r="AL3687" i="9" s="1"/>
  <c r="AF3888" i="9"/>
  <c r="AB3888" i="9"/>
  <c r="V3888" i="9"/>
  <c r="AK3355" i="9"/>
  <c r="AL3355" i="9" s="1"/>
  <c r="AK3364" i="9"/>
  <c r="AL3364" i="9" s="1"/>
  <c r="AM3368" i="9"/>
  <c r="AN3368" i="9" s="1"/>
  <c r="AM3373" i="9"/>
  <c r="AN3373" i="9" s="1"/>
  <c r="AK3397" i="9"/>
  <c r="AL3397" i="9" s="1"/>
  <c r="AK3414" i="9"/>
  <c r="AL3414" i="9" s="1"/>
  <c r="AM3437" i="9"/>
  <c r="AN3437" i="9" s="1"/>
  <c r="AN3444" i="9"/>
  <c r="AB3470" i="9"/>
  <c r="AM3501" i="9"/>
  <c r="AN3501" i="9" s="1"/>
  <c r="AK3531" i="9"/>
  <c r="AL3531" i="9" s="1"/>
  <c r="AK3538" i="9"/>
  <c r="AL3538" i="9" s="1"/>
  <c r="AM3595" i="9"/>
  <c r="AN3595" i="9" s="1"/>
  <c r="AM3606" i="9"/>
  <c r="AN3606" i="9" s="1"/>
  <c r="AM3608" i="9"/>
  <c r="AN3608" i="9" s="1"/>
  <c r="AB3617" i="9"/>
  <c r="V3617" i="9"/>
  <c r="R3617" i="9"/>
  <c r="I3617" i="9"/>
  <c r="K3617" i="9" s="1"/>
  <c r="L3617" i="9" s="1"/>
  <c r="AO3616" i="9"/>
  <c r="AM3628" i="9"/>
  <c r="AN3628" i="9" s="1"/>
  <c r="AK3646" i="9"/>
  <c r="AL3646" i="9" s="1"/>
  <c r="AK3658" i="9"/>
  <c r="AL3658" i="9" s="1"/>
  <c r="AK3689" i="9"/>
  <c r="AL3689" i="9" s="1"/>
  <c r="AM3741" i="9"/>
  <c r="AN3741" i="9" s="1"/>
  <c r="AK3771" i="9"/>
  <c r="AL3771" i="9" s="1"/>
  <c r="AM3644" i="9"/>
  <c r="AN3644" i="9" s="1"/>
  <c r="AM3645" i="9"/>
  <c r="AN3645" i="9" s="1"/>
  <c r="AK3615" i="9"/>
  <c r="AL3615" i="9" s="1"/>
  <c r="I3836" i="9"/>
  <c r="AO3832" i="9"/>
  <c r="AF3836" i="9"/>
  <c r="AK3836" i="9" s="1"/>
  <c r="AL3836" i="9" s="1"/>
  <c r="AB3836" i="9"/>
  <c r="V3836" i="9"/>
  <c r="AN3834" i="9"/>
  <c r="K3834" i="9"/>
  <c r="L3834" i="9" s="1"/>
  <c r="I3834" i="9"/>
  <c r="AM3440" i="9"/>
  <c r="AN3440" i="9" s="1"/>
  <c r="AK3487" i="9"/>
  <c r="AL3487" i="9" s="1"/>
  <c r="AK3510" i="9"/>
  <c r="AL3510" i="9" s="1"/>
  <c r="I3515" i="9"/>
  <c r="K3515" i="9" s="1"/>
  <c r="L3515" i="9" s="1"/>
  <c r="AK3528" i="9"/>
  <c r="AL3528" i="9" s="1"/>
  <c r="AK3530" i="9"/>
  <c r="AL3530" i="9" s="1"/>
  <c r="AK3534" i="9"/>
  <c r="AL3534" i="9" s="1"/>
  <c r="AM3581" i="9"/>
  <c r="AN3581" i="9" s="1"/>
  <c r="I3597" i="9"/>
  <c r="K3597" i="9" s="1"/>
  <c r="L3597" i="9" s="1"/>
  <c r="AM3605" i="9"/>
  <c r="AN3605" i="9" s="1"/>
  <c r="AK3623" i="9"/>
  <c r="AL3623" i="9" s="1"/>
  <c r="AK3628" i="9"/>
  <c r="AL3628" i="9" s="1"/>
  <c r="AK3635" i="9"/>
  <c r="AL3635" i="9" s="1"/>
  <c r="AM3668" i="9"/>
  <c r="AN3668" i="9" s="1"/>
  <c r="AM3681" i="9"/>
  <c r="AN3681" i="9" s="1"/>
  <c r="AM3735" i="9"/>
  <c r="AN3735" i="9" s="1"/>
  <c r="AM3780" i="9"/>
  <c r="AN3780" i="9" s="1"/>
  <c r="AK3783" i="9"/>
  <c r="AL3783" i="9" s="1"/>
  <c r="AK3834" i="9"/>
  <c r="AL3834" i="9" s="1"/>
  <c r="AM3843" i="9"/>
  <c r="AN3843" i="9" s="1"/>
  <c r="AM3885" i="9"/>
  <c r="AN3885" i="9" s="1"/>
  <c r="AM3902" i="9"/>
  <c r="AN3902" i="9" s="1"/>
  <c r="AK3927" i="9"/>
  <c r="AL3927" i="9" s="1"/>
  <c r="AF3929" i="9"/>
  <c r="AB3929" i="9"/>
  <c r="R3929" i="9"/>
  <c r="I3929" i="9"/>
  <c r="K3929" i="9" s="1"/>
  <c r="AO3927" i="9"/>
  <c r="AM3946" i="9"/>
  <c r="AN3946" i="9" s="1"/>
  <c r="AM3950" i="9"/>
  <c r="AN3950" i="9" s="1"/>
  <c r="AK4227" i="9"/>
  <c r="AL4227" i="9" s="1"/>
  <c r="AK3475" i="9"/>
  <c r="AL3475" i="9" s="1"/>
  <c r="AK3483" i="9"/>
  <c r="AL3483" i="9" s="1"/>
  <c r="AK3496" i="9"/>
  <c r="AL3496" i="9" s="1"/>
  <c r="AK3512" i="9"/>
  <c r="AL3512" i="9" s="1"/>
  <c r="AK3525" i="9"/>
  <c r="AL3525" i="9" s="1"/>
  <c r="AK3532" i="9"/>
  <c r="AL3532" i="9" s="1"/>
  <c r="AK3549" i="9"/>
  <c r="AL3549" i="9" s="1"/>
  <c r="AK3550" i="9"/>
  <c r="AL3550" i="9" s="1"/>
  <c r="AK3555" i="9"/>
  <c r="AL3555" i="9" s="1"/>
  <c r="AM3594" i="9"/>
  <c r="AN3594" i="9" s="1"/>
  <c r="AK3595" i="9"/>
  <c r="AL3595" i="9" s="1"/>
  <c r="AK3627" i="9"/>
  <c r="AL3627" i="9" s="1"/>
  <c r="AM3629" i="9"/>
  <c r="AN3629" i="9" s="1"/>
  <c r="AM3652" i="9"/>
  <c r="AN3652" i="9" s="1"/>
  <c r="AK3654" i="9"/>
  <c r="AL3654" i="9" s="1"/>
  <c r="AA3708" i="9"/>
  <c r="AM3708" i="9" s="1"/>
  <c r="AN3708" i="9" s="1"/>
  <c r="U3708" i="9"/>
  <c r="AK3730" i="9"/>
  <c r="AL3730" i="9" s="1"/>
  <c r="AK3735" i="9"/>
  <c r="AL3735" i="9" s="1"/>
  <c r="AM3738" i="9"/>
  <c r="AN3738" i="9" s="1"/>
  <c r="AM3754" i="9"/>
  <c r="AN3754" i="9" s="1"/>
  <c r="AK3780" i="9"/>
  <c r="AL3780" i="9" s="1"/>
  <c r="AK3806" i="9"/>
  <c r="AL3806" i="9" s="1"/>
  <c r="AK3817" i="9"/>
  <c r="AL3817" i="9" s="1"/>
  <c r="AK3819" i="9"/>
  <c r="AL3819" i="9" s="1"/>
  <c r="AK3840" i="9"/>
  <c r="AL3840" i="9" s="1"/>
  <c r="AK3862" i="9"/>
  <c r="AL3862" i="9" s="1"/>
  <c r="AK3884" i="9"/>
  <c r="AL3884" i="9" s="1"/>
  <c r="AK3900" i="9"/>
  <c r="AL3900" i="9" s="1"/>
  <c r="AK3902" i="9"/>
  <c r="AL3902" i="9" s="1"/>
  <c r="AM4008" i="9"/>
  <c r="AN4008" i="9" s="1"/>
  <c r="AF4012" i="9"/>
  <c r="AB4012" i="9"/>
  <c r="V4012" i="9"/>
  <c r="AO4011" i="9"/>
  <c r="AK4121" i="9"/>
  <c r="AL4121" i="9" s="1"/>
  <c r="AM3502" i="9"/>
  <c r="AN3502" i="9" s="1"/>
  <c r="AK3511" i="9"/>
  <c r="AL3511" i="9" s="1"/>
  <c r="AM3555" i="9"/>
  <c r="AN3555" i="9" s="1"/>
  <c r="AK3565" i="9"/>
  <c r="AL3565" i="9" s="1"/>
  <c r="AM3574" i="9"/>
  <c r="AN3574" i="9" s="1"/>
  <c r="AM3585" i="9"/>
  <c r="AN3585" i="9" s="1"/>
  <c r="AK3601" i="9"/>
  <c r="AL3601" i="9" s="1"/>
  <c r="AM3614" i="9"/>
  <c r="AN3614" i="9" s="1"/>
  <c r="AK3636" i="9"/>
  <c r="AL3636" i="9" s="1"/>
  <c r="AK3656" i="9"/>
  <c r="AL3656" i="9" s="1"/>
  <c r="AK3676" i="9"/>
  <c r="AL3676" i="9" s="1"/>
  <c r="AM3680" i="9"/>
  <c r="AN3680" i="9" s="1"/>
  <c r="AK3696" i="9"/>
  <c r="AL3696" i="9" s="1"/>
  <c r="AM3700" i="9"/>
  <c r="AN3700" i="9" s="1"/>
  <c r="AK3732" i="9"/>
  <c r="AL3732" i="9" s="1"/>
  <c r="AM3734" i="9"/>
  <c r="AN3734" i="9" s="1"/>
  <c r="AM3753" i="9"/>
  <c r="AN3753" i="9" s="1"/>
  <c r="AK3758" i="9"/>
  <c r="AL3758" i="9" s="1"/>
  <c r="AM3779" i="9"/>
  <c r="AN3779" i="9" s="1"/>
  <c r="AK3812" i="9"/>
  <c r="AL3812" i="9" s="1"/>
  <c r="AK3842" i="9"/>
  <c r="AL3842" i="9" s="1"/>
  <c r="AM3856" i="9"/>
  <c r="AN3856" i="9" s="1"/>
  <c r="AK3865" i="9"/>
  <c r="AL3865" i="9" s="1"/>
  <c r="AF4219" i="9"/>
  <c r="AB4219" i="9"/>
  <c r="V4219" i="9"/>
  <c r="R4219" i="9"/>
  <c r="AK4219" i="9" s="1"/>
  <c r="AL4219" i="9" s="1"/>
  <c r="AM3729" i="9"/>
  <c r="AN3729" i="9" s="1"/>
  <c r="AK3734" i="9"/>
  <c r="AL3734" i="9" s="1"/>
  <c r="AM3748" i="9"/>
  <c r="AN3748" i="9" s="1"/>
  <c r="AK3770" i="9"/>
  <c r="AL3770" i="9" s="1"/>
  <c r="AM3774" i="9"/>
  <c r="AN3774" i="9" s="1"/>
  <c r="AM3881" i="9"/>
  <c r="AN3881" i="9" s="1"/>
  <c r="AK3893" i="9"/>
  <c r="AL3893" i="9" s="1"/>
  <c r="AK3501" i="9"/>
  <c r="AL3501" i="9" s="1"/>
  <c r="AK3502" i="9"/>
  <c r="AL3502" i="9" s="1"/>
  <c r="AM3503" i="9"/>
  <c r="AN3503" i="9" s="1"/>
  <c r="AM3523" i="9"/>
  <c r="AN3523" i="9" s="1"/>
  <c r="AK3524" i="9"/>
  <c r="AL3524" i="9" s="1"/>
  <c r="AK3557" i="9"/>
  <c r="AL3557" i="9" s="1"/>
  <c r="AK3574" i="9"/>
  <c r="AL3574" i="9" s="1"/>
  <c r="AM3577" i="9"/>
  <c r="AN3577" i="9" s="1"/>
  <c r="AK3585" i="9"/>
  <c r="AL3585" i="9" s="1"/>
  <c r="AM3640" i="9"/>
  <c r="AN3640" i="9" s="1"/>
  <c r="AM3647" i="9"/>
  <c r="AN3647" i="9" s="1"/>
  <c r="AM3659" i="9"/>
  <c r="AN3659" i="9" s="1"/>
  <c r="AK3660" i="9"/>
  <c r="AL3660" i="9" s="1"/>
  <c r="AK3731" i="9"/>
  <c r="AL3731" i="9" s="1"/>
  <c r="AK3747" i="9"/>
  <c r="AL3747" i="9" s="1"/>
  <c r="AM3761" i="9"/>
  <c r="AN3761" i="9" s="1"/>
  <c r="AK3803" i="9"/>
  <c r="AL3803" i="9" s="1"/>
  <c r="AK3814" i="9"/>
  <c r="AL3814" i="9" s="1"/>
  <c r="AK3833" i="9"/>
  <c r="AL3833" i="9" s="1"/>
  <c r="AF3835" i="9"/>
  <c r="AB3835" i="9"/>
  <c r="R3835" i="9"/>
  <c r="AM3892" i="9"/>
  <c r="AN3892" i="9" s="1"/>
  <c r="AK3912" i="9"/>
  <c r="AL3912" i="9" s="1"/>
  <c r="AM3916" i="9"/>
  <c r="AN3916" i="9" s="1"/>
  <c r="AM3919" i="9"/>
  <c r="AN3919" i="9" s="1"/>
  <c r="AK3650" i="9"/>
  <c r="AL3650" i="9" s="1"/>
  <c r="AM3664" i="9"/>
  <c r="AN3664" i="9" s="1"/>
  <c r="AK3665" i="9"/>
  <c r="AL3665" i="9" s="1"/>
  <c r="AK3670" i="9"/>
  <c r="AL3670" i="9" s="1"/>
  <c r="AK3675" i="9"/>
  <c r="AL3675" i="9" s="1"/>
  <c r="AN3677" i="9"/>
  <c r="AK3690" i="9"/>
  <c r="AL3690" i="9" s="1"/>
  <c r="AM3733" i="9"/>
  <c r="AN3733" i="9" s="1"/>
  <c r="AK3742" i="9"/>
  <c r="AL3742" i="9" s="1"/>
  <c r="AK3778" i="9"/>
  <c r="AL3778" i="9" s="1"/>
  <c r="AK3793" i="9"/>
  <c r="AL3793" i="9" s="1"/>
  <c r="AK3847" i="9"/>
  <c r="AL3847" i="9" s="1"/>
  <c r="AK3857" i="9"/>
  <c r="AL3857" i="9" s="1"/>
  <c r="AM3880" i="9"/>
  <c r="AN3880" i="9" s="1"/>
  <c r="AM3891" i="9"/>
  <c r="AN3891" i="9" s="1"/>
  <c r="AM3911" i="9"/>
  <c r="AN3911" i="9" s="1"/>
  <c r="AK3965" i="9"/>
  <c r="AL3965" i="9" s="1"/>
  <c r="AK3978" i="9"/>
  <c r="AL3978" i="9" s="1"/>
  <c r="AM3826" i="9"/>
  <c r="AN3826" i="9" s="1"/>
  <c r="AK3876" i="9"/>
  <c r="AL3876" i="9" s="1"/>
  <c r="AM3904" i="9"/>
  <c r="AN3904" i="9" s="1"/>
  <c r="AM3760" i="9"/>
  <c r="AN3760" i="9" s="1"/>
  <c r="AK3764" i="9"/>
  <c r="AL3764" i="9" s="1"/>
  <c r="AK3844" i="9"/>
  <c r="AL3844" i="9" s="1"/>
  <c r="AK3887" i="9"/>
  <c r="AL3887" i="9" s="1"/>
  <c r="AF4215" i="9"/>
  <c r="AB4215" i="9"/>
  <c r="V4215" i="9"/>
  <c r="AK3386" i="9"/>
  <c r="AL3386" i="9" s="1"/>
  <c r="AK3389" i="9"/>
  <c r="AL3389" i="9" s="1"/>
  <c r="AK3430" i="9"/>
  <c r="AL3430" i="9" s="1"/>
  <c r="AK3432" i="9"/>
  <c r="AL3432" i="9" s="1"/>
  <c r="AK3476" i="9"/>
  <c r="AL3476" i="9" s="1"/>
  <c r="AK3490" i="9"/>
  <c r="AL3490" i="9" s="1"/>
  <c r="AK3539" i="9"/>
  <c r="AL3539" i="9" s="1"/>
  <c r="AM3560" i="9"/>
  <c r="AN3560" i="9" s="1"/>
  <c r="AM3562" i="9"/>
  <c r="AN3562" i="9" s="1"/>
  <c r="AM3567" i="9"/>
  <c r="AN3567" i="9" s="1"/>
  <c r="AM3573" i="9"/>
  <c r="AN3573" i="9" s="1"/>
  <c r="U3576" i="9"/>
  <c r="AK3608" i="9"/>
  <c r="AL3608" i="9" s="1"/>
  <c r="AM3620" i="9"/>
  <c r="AN3620" i="9" s="1"/>
  <c r="AM3742" i="9"/>
  <c r="AN3742" i="9" s="1"/>
  <c r="AM3745" i="9"/>
  <c r="AN3745" i="9" s="1"/>
  <c r="AK3760" i="9"/>
  <c r="AL3760" i="9" s="1"/>
  <c r="AK3829" i="9"/>
  <c r="AL3829" i="9" s="1"/>
  <c r="AM3837" i="9"/>
  <c r="AN3837" i="9" s="1"/>
  <c r="AK3843" i="9"/>
  <c r="AL3843" i="9" s="1"/>
  <c r="AM3858" i="9"/>
  <c r="AN3858" i="9" s="1"/>
  <c r="AK3871" i="9"/>
  <c r="AL3871" i="9" s="1"/>
  <c r="AM3886" i="9"/>
  <c r="AN3886" i="9" s="1"/>
  <c r="AK3890" i="9"/>
  <c r="AL3890" i="9" s="1"/>
  <c r="AF4205" i="9"/>
  <c r="AB4205" i="9"/>
  <c r="AF4300" i="9"/>
  <c r="AB4300" i="9"/>
  <c r="AF4319" i="9"/>
  <c r="AB4319" i="9"/>
  <c r="V4319" i="9"/>
  <c r="AM3641" i="9"/>
  <c r="AN3641" i="9" s="1"/>
  <c r="AN3666" i="9"/>
  <c r="AM3684" i="9"/>
  <c r="AN3684" i="9" s="1"/>
  <c r="AK3685" i="9"/>
  <c r="AL3685" i="9" s="1"/>
  <c r="AM3693" i="9"/>
  <c r="AN3693" i="9" s="1"/>
  <c r="AK3694" i="9"/>
  <c r="AL3694" i="9" s="1"/>
  <c r="AM3703" i="9"/>
  <c r="AN3703" i="9" s="1"/>
  <c r="AK3710" i="9"/>
  <c r="AL3710" i="9" s="1"/>
  <c r="AK3719" i="9"/>
  <c r="AL3719" i="9" s="1"/>
  <c r="AM3732" i="9"/>
  <c r="AN3732" i="9" s="1"/>
  <c r="AK3746" i="9"/>
  <c r="AL3746" i="9" s="1"/>
  <c r="AK3748" i="9"/>
  <c r="AL3748" i="9" s="1"/>
  <c r="AK3762" i="9"/>
  <c r="AL3762" i="9" s="1"/>
  <c r="AM3769" i="9"/>
  <c r="AN3769" i="9" s="1"/>
  <c r="AK3772" i="9"/>
  <c r="AL3772" i="9" s="1"/>
  <c r="AM3773" i="9"/>
  <c r="AN3773" i="9" s="1"/>
  <c r="AM3802" i="9"/>
  <c r="AN3802" i="9" s="1"/>
  <c r="AK3816" i="9"/>
  <c r="AL3816" i="9" s="1"/>
  <c r="AK3827" i="9"/>
  <c r="AL3827" i="9" s="1"/>
  <c r="AK3850" i="9"/>
  <c r="AL3850" i="9" s="1"/>
  <c r="AK3852" i="9"/>
  <c r="AL3852" i="9" s="1"/>
  <c r="AK3855" i="9"/>
  <c r="AL3855" i="9" s="1"/>
  <c r="AK3883" i="9"/>
  <c r="AL3883" i="9" s="1"/>
  <c r="AK3892" i="9"/>
  <c r="AL3892" i="9" s="1"/>
  <c r="AK3897" i="9"/>
  <c r="AL3897" i="9" s="1"/>
  <c r="AM3934" i="9"/>
  <c r="AN3934" i="9" s="1"/>
  <c r="AK3939" i="9"/>
  <c r="AL3939" i="9" s="1"/>
  <c r="AK3943" i="9"/>
  <c r="AL3943" i="9" s="1"/>
  <c r="AK3947" i="9"/>
  <c r="AL3947" i="9" s="1"/>
  <c r="AK3950" i="9"/>
  <c r="AL3950" i="9" s="1"/>
  <c r="AM3954" i="9"/>
  <c r="AN3954" i="9" s="1"/>
  <c r="AM3955" i="9"/>
  <c r="AN3955" i="9" s="1"/>
  <c r="AK3977" i="9"/>
  <c r="AL3977" i="9" s="1"/>
  <c r="AK3990" i="9"/>
  <c r="AL3990" i="9" s="1"/>
  <c r="AK3997" i="9"/>
  <c r="AL3997" i="9" s="1"/>
  <c r="AM4031" i="9"/>
  <c r="AN4031" i="9" s="1"/>
  <c r="AK4087" i="9"/>
  <c r="AL4087" i="9" s="1"/>
  <c r="AM4191" i="9"/>
  <c r="AN4191" i="9" s="1"/>
  <c r="R4205" i="9"/>
  <c r="AM4282" i="9"/>
  <c r="AN4282" i="9" s="1"/>
  <c r="R4300" i="9"/>
  <c r="AK3955" i="9"/>
  <c r="AL3955" i="9" s="1"/>
  <c r="AM4119" i="9"/>
  <c r="AN4119" i="9" s="1"/>
  <c r="AK4142" i="9"/>
  <c r="AL4142" i="9" s="1"/>
  <c r="V4205" i="9"/>
  <c r="V4300" i="9"/>
  <c r="AF4307" i="9"/>
  <c r="V4307" i="9"/>
  <c r="R4307" i="9"/>
  <c r="L4307" i="9"/>
  <c r="R4319" i="9"/>
  <c r="AK4319" i="9" s="1"/>
  <c r="AL4319" i="9" s="1"/>
  <c r="AM3683" i="9"/>
  <c r="AN3683" i="9" s="1"/>
  <c r="AK3716" i="9"/>
  <c r="AL3716" i="9" s="1"/>
  <c r="AK3726" i="9"/>
  <c r="AL3726" i="9" s="1"/>
  <c r="AK3727" i="9"/>
  <c r="AL3727" i="9" s="1"/>
  <c r="AM3744" i="9"/>
  <c r="AN3744" i="9" s="1"/>
  <c r="AK3752" i="9"/>
  <c r="AL3752" i="9" s="1"/>
  <c r="AK3755" i="9"/>
  <c r="AL3755" i="9" s="1"/>
  <c r="AK3756" i="9"/>
  <c r="AL3756" i="9" s="1"/>
  <c r="AK3777" i="9"/>
  <c r="AL3777" i="9" s="1"/>
  <c r="AM3778" i="9"/>
  <c r="AN3778" i="9" s="1"/>
  <c r="AK3788" i="9"/>
  <c r="AL3788" i="9" s="1"/>
  <c r="AK3839" i="9"/>
  <c r="AL3839" i="9" s="1"/>
  <c r="AK3859" i="9"/>
  <c r="AL3859" i="9" s="1"/>
  <c r="AK3863" i="9"/>
  <c r="AL3863" i="9" s="1"/>
  <c r="AM3889" i="9"/>
  <c r="AN3889" i="9" s="1"/>
  <c r="AK3935" i="9"/>
  <c r="AL3935" i="9" s="1"/>
  <c r="AK3961" i="9"/>
  <c r="AL3961" i="9" s="1"/>
  <c r="AM3963" i="9"/>
  <c r="AN3963" i="9" s="1"/>
  <c r="AM3967" i="9"/>
  <c r="AN3967" i="9" s="1"/>
  <c r="AM3976" i="9"/>
  <c r="AN3976" i="9" s="1"/>
  <c r="AM4053" i="9"/>
  <c r="AN4053" i="9" s="1"/>
  <c r="AM4062" i="9"/>
  <c r="AN4062" i="9" s="1"/>
  <c r="AM4118" i="9"/>
  <c r="AN4118" i="9" s="1"/>
  <c r="AK4158" i="9"/>
  <c r="AL4158" i="9" s="1"/>
  <c r="AK4213" i="9"/>
  <c r="AL4213" i="9" s="1"/>
  <c r="AK4220" i="9"/>
  <c r="AL4220" i="9" s="1"/>
  <c r="AF4253" i="9"/>
  <c r="AB4253" i="9"/>
  <c r="V4253" i="9"/>
  <c r="R4253" i="9"/>
  <c r="AK4272" i="9"/>
  <c r="AL4272" i="9" s="1"/>
  <c r="V4305" i="9"/>
  <c r="K4307" i="9"/>
  <c r="AK3669" i="9"/>
  <c r="AL3669" i="9" s="1"/>
  <c r="AK3683" i="9"/>
  <c r="AL3683" i="9" s="1"/>
  <c r="AM3697" i="9"/>
  <c r="AN3697" i="9" s="1"/>
  <c r="AM3702" i="9"/>
  <c r="AN3702" i="9" s="1"/>
  <c r="AM3725" i="9"/>
  <c r="AN3725" i="9" s="1"/>
  <c r="AM3731" i="9"/>
  <c r="AN3731" i="9" s="1"/>
  <c r="AM3746" i="9"/>
  <c r="AN3746" i="9" s="1"/>
  <c r="AM3755" i="9"/>
  <c r="AN3755" i="9" s="1"/>
  <c r="AK3787" i="9"/>
  <c r="AL3787" i="9" s="1"/>
  <c r="AK3824" i="9"/>
  <c r="AL3824" i="9" s="1"/>
  <c r="AK3837" i="9"/>
  <c r="AL3837" i="9" s="1"/>
  <c r="AM3845" i="9"/>
  <c r="AN3845" i="9" s="1"/>
  <c r="AK3848" i="9"/>
  <c r="AL3848" i="9" s="1"/>
  <c r="AK3853" i="9"/>
  <c r="AL3853" i="9" s="1"/>
  <c r="AK3872" i="9"/>
  <c r="AL3872" i="9" s="1"/>
  <c r="AK3891" i="9"/>
  <c r="AL3891" i="9" s="1"/>
  <c r="K3928" i="9"/>
  <c r="L3928" i="9" s="1"/>
  <c r="AK3989" i="9"/>
  <c r="AL3989" i="9" s="1"/>
  <c r="AM4000" i="9"/>
  <c r="AN4000" i="9" s="1"/>
  <c r="AM4022" i="9"/>
  <c r="AN4022" i="9" s="1"/>
  <c r="AK4137" i="9"/>
  <c r="AL4137" i="9" s="1"/>
  <c r="AM4163" i="9"/>
  <c r="AN4163" i="9" s="1"/>
  <c r="V4303" i="9"/>
  <c r="I4303" i="9"/>
  <c r="K4303" i="9" s="1"/>
  <c r="L4303" i="9" s="1"/>
  <c r="AB4305" i="9"/>
  <c r="AK4305" i="9" s="1"/>
  <c r="AL4305" i="9" s="1"/>
  <c r="AO4316" i="9"/>
  <c r="AK4356" i="9"/>
  <c r="AL4356" i="9" s="1"/>
  <c r="AK3672" i="9"/>
  <c r="AL3672" i="9" s="1"/>
  <c r="AK3679" i="9"/>
  <c r="AL3679" i="9" s="1"/>
  <c r="AK3697" i="9"/>
  <c r="AL3697" i="9" s="1"/>
  <c r="AK3698" i="9"/>
  <c r="AL3698" i="9" s="1"/>
  <c r="AK3707" i="9"/>
  <c r="AL3707" i="9" s="1"/>
  <c r="AM3714" i="9"/>
  <c r="AN3714" i="9" s="1"/>
  <c r="AK3733" i="9"/>
  <c r="AL3733" i="9" s="1"/>
  <c r="AK3745" i="9"/>
  <c r="AL3745" i="9" s="1"/>
  <c r="AK3768" i="9"/>
  <c r="AL3768" i="9" s="1"/>
  <c r="AK3797" i="9"/>
  <c r="AL3797" i="9" s="1"/>
  <c r="AK3820" i="9"/>
  <c r="AL3820" i="9" s="1"/>
  <c r="AK3825" i="9"/>
  <c r="AL3825" i="9" s="1"/>
  <c r="AK3826" i="9"/>
  <c r="AL3826" i="9" s="1"/>
  <c r="AK3831" i="9"/>
  <c r="AL3831" i="9" s="1"/>
  <c r="AM3844" i="9"/>
  <c r="AN3844" i="9" s="1"/>
  <c r="AK4022" i="9"/>
  <c r="AL4022" i="9" s="1"/>
  <c r="AK4037" i="9"/>
  <c r="AL4037" i="9" s="1"/>
  <c r="AM4047" i="9"/>
  <c r="AN4047" i="9" s="1"/>
  <c r="AM4061" i="9"/>
  <c r="AN4061" i="9" s="1"/>
  <c r="AM4104" i="9"/>
  <c r="AN4104" i="9" s="1"/>
  <c r="AK4108" i="9"/>
  <c r="AL4108" i="9" s="1"/>
  <c r="AK4131" i="9"/>
  <c r="AL4131" i="9" s="1"/>
  <c r="AK4169" i="9"/>
  <c r="AL4169" i="9" s="1"/>
  <c r="AM4185" i="9"/>
  <c r="AN4185" i="9" s="1"/>
  <c r="AK4289" i="9"/>
  <c r="AL4289" i="9" s="1"/>
  <c r="AB4303" i="9"/>
  <c r="R4317" i="9"/>
  <c r="AK4328" i="9"/>
  <c r="AL4328" i="9" s="1"/>
  <c r="AK3678" i="9"/>
  <c r="AL3678" i="9" s="1"/>
  <c r="AK3688" i="9"/>
  <c r="AL3688" i="9" s="1"/>
  <c r="AM3696" i="9"/>
  <c r="AN3696" i="9" s="1"/>
  <c r="AK3714" i="9"/>
  <c r="AL3714" i="9" s="1"/>
  <c r="AK3743" i="9"/>
  <c r="AL3743" i="9" s="1"/>
  <c r="AK3763" i="9"/>
  <c r="AL3763" i="9" s="1"/>
  <c r="AM3775" i="9"/>
  <c r="AN3775" i="9" s="1"/>
  <c r="AK3784" i="9"/>
  <c r="AL3784" i="9" s="1"/>
  <c r="AM3838" i="9"/>
  <c r="AN3838" i="9" s="1"/>
  <c r="AK3879" i="9"/>
  <c r="AL3879" i="9" s="1"/>
  <c r="AM3905" i="9"/>
  <c r="AN3905" i="9" s="1"/>
  <c r="AM3909" i="9"/>
  <c r="AN3909" i="9" s="1"/>
  <c r="AK3973" i="9"/>
  <c r="AL3973" i="9" s="1"/>
  <c r="AM3975" i="9"/>
  <c r="AN3975" i="9" s="1"/>
  <c r="AK3976" i="9"/>
  <c r="AL3976" i="9" s="1"/>
  <c r="AM3988" i="9"/>
  <c r="AN3988" i="9" s="1"/>
  <c r="AM3990" i="9"/>
  <c r="AN3990" i="9" s="1"/>
  <c r="AK4004" i="9"/>
  <c r="AL4004" i="9" s="1"/>
  <c r="AK4017" i="9"/>
  <c r="AL4017" i="9" s="1"/>
  <c r="AM4021" i="9"/>
  <c r="AN4021" i="9" s="1"/>
  <c r="AM4023" i="9"/>
  <c r="AN4023" i="9" s="1"/>
  <c r="AM4066" i="9"/>
  <c r="AN4066" i="9" s="1"/>
  <c r="AK4173" i="9"/>
  <c r="AL4173" i="9" s="1"/>
  <c r="AK4187" i="9"/>
  <c r="AL4187" i="9" s="1"/>
  <c r="AM4258" i="9"/>
  <c r="AF4303" i="9"/>
  <c r="V4317" i="9"/>
  <c r="AK4324" i="9"/>
  <c r="AL4324" i="9" s="1"/>
  <c r="AM4361" i="9"/>
  <c r="AN4361" i="9" s="1"/>
  <c r="AK3988" i="9"/>
  <c r="AL3988" i="9" s="1"/>
  <c r="AM4077" i="9"/>
  <c r="AN4077" i="9" s="1"/>
  <c r="AK4078" i="9"/>
  <c r="AL4078" i="9" s="1"/>
  <c r="AK4128" i="9"/>
  <c r="AL4128" i="9" s="1"/>
  <c r="AM3984" i="9"/>
  <c r="AN3984" i="9" s="1"/>
  <c r="AM4025" i="9"/>
  <c r="AN4025" i="9" s="1"/>
  <c r="AK4071" i="9"/>
  <c r="AL4071" i="9" s="1"/>
  <c r="AK4077" i="9"/>
  <c r="AL4077" i="9" s="1"/>
  <c r="AM4102" i="9"/>
  <c r="AN4102" i="9" s="1"/>
  <c r="AM4165" i="9"/>
  <c r="AN4165" i="9" s="1"/>
  <c r="AK4168" i="9"/>
  <c r="AL4168" i="9" s="1"/>
  <c r="AM4179" i="9"/>
  <c r="AN4179" i="9" s="1"/>
  <c r="AB4200" i="9"/>
  <c r="AF4200" i="9"/>
  <c r="AK4206" i="9"/>
  <c r="AL4206" i="9" s="1"/>
  <c r="AK3923" i="9"/>
  <c r="AL3923" i="9" s="1"/>
  <c r="AK3972" i="9"/>
  <c r="AL3972" i="9" s="1"/>
  <c r="AM3978" i="9"/>
  <c r="AN3978" i="9" s="1"/>
  <c r="AM4007" i="9"/>
  <c r="AN4007" i="9" s="1"/>
  <c r="AK4035" i="9"/>
  <c r="AL4035" i="9" s="1"/>
  <c r="AM4076" i="9"/>
  <c r="AN4076" i="9" s="1"/>
  <c r="AK4102" i="9"/>
  <c r="AL4102" i="9" s="1"/>
  <c r="AK4200" i="9"/>
  <c r="AL4200" i="9" s="1"/>
  <c r="AF4210" i="9"/>
  <c r="AK4210" i="9" s="1"/>
  <c r="AL4210" i="9" s="1"/>
  <c r="AB4210" i="9"/>
  <c r="AK4241" i="9"/>
  <c r="AL4241" i="9" s="1"/>
  <c r="I4246" i="9"/>
  <c r="K4246" i="9" s="1"/>
  <c r="L4246" i="9" s="1"/>
  <c r="AB4246" i="9"/>
  <c r="V4246" i="9"/>
  <c r="R4246" i="9"/>
  <c r="I4255" i="9"/>
  <c r="K4255" i="9" s="1"/>
  <c r="AF4255" i="9"/>
  <c r="AM4340" i="9"/>
  <c r="AN4340" i="9" s="1"/>
  <c r="AK4355" i="9"/>
  <c r="AL4355" i="9" s="1"/>
  <c r="AM3915" i="9"/>
  <c r="AN3915" i="9" s="1"/>
  <c r="AM3949" i="9"/>
  <c r="AN3949" i="9" s="1"/>
  <c r="AM3964" i="9"/>
  <c r="AN3964" i="9" s="1"/>
  <c r="AK3975" i="9"/>
  <c r="AL3975" i="9" s="1"/>
  <c r="AK3980" i="9"/>
  <c r="AL3980" i="9" s="1"/>
  <c r="AM3993" i="9"/>
  <c r="AN3993" i="9" s="1"/>
  <c r="AK3996" i="9"/>
  <c r="AL3996" i="9" s="1"/>
  <c r="AM4003" i="9"/>
  <c r="AN4003" i="9" s="1"/>
  <c r="AM4040" i="9"/>
  <c r="AN4040" i="9" s="1"/>
  <c r="AK4041" i="9"/>
  <c r="AL4041" i="9" s="1"/>
  <c r="AM4056" i="9"/>
  <c r="AN4056" i="9" s="1"/>
  <c r="AK4075" i="9"/>
  <c r="AL4075" i="9" s="1"/>
  <c r="AM4086" i="9"/>
  <c r="AN4086" i="9" s="1"/>
  <c r="AM4090" i="9"/>
  <c r="AN4090" i="9" s="1"/>
  <c r="AK4096" i="9"/>
  <c r="AL4096" i="9" s="1"/>
  <c r="AM4107" i="9"/>
  <c r="AN4107" i="9" s="1"/>
  <c r="AM4112" i="9"/>
  <c r="AN4112" i="9" s="1"/>
  <c r="AK4113" i="9"/>
  <c r="AL4113" i="9" s="1"/>
  <c r="AK4118" i="9"/>
  <c r="AL4118" i="9" s="1"/>
  <c r="AK4130" i="9"/>
  <c r="AL4130" i="9" s="1"/>
  <c r="AM4139" i="9"/>
  <c r="AN4139" i="9" s="1"/>
  <c r="AK4149" i="9"/>
  <c r="AL4149" i="9" s="1"/>
  <c r="AK4154" i="9"/>
  <c r="AL4154" i="9" s="1"/>
  <c r="AM4162" i="9"/>
  <c r="AN4162" i="9" s="1"/>
  <c r="AK4178" i="9"/>
  <c r="AL4178" i="9" s="1"/>
  <c r="AK4183" i="9"/>
  <c r="AL4183" i="9" s="1"/>
  <c r="AK4207" i="9"/>
  <c r="AN4215" i="9"/>
  <c r="AK4260" i="9"/>
  <c r="AL4260" i="9" s="1"/>
  <c r="AK4278" i="9"/>
  <c r="AL4278" i="9" s="1"/>
  <c r="AK4286" i="9"/>
  <c r="AL4286" i="9" s="1"/>
  <c r="AL4301" i="9"/>
  <c r="AK4332" i="9"/>
  <c r="AL4332" i="9" s="1"/>
  <c r="AK4339" i="9"/>
  <c r="AL4339" i="9" s="1"/>
  <c r="AK4352" i="9"/>
  <c r="AL4352" i="9" s="1"/>
  <c r="AK4353" i="9"/>
  <c r="AL4353" i="9" s="1"/>
  <c r="AM4360" i="9"/>
  <c r="AN4360" i="9" s="1"/>
  <c r="AK4367" i="9"/>
  <c r="AL4367" i="9" s="1"/>
  <c r="AK3920" i="9"/>
  <c r="AL3920" i="9" s="1"/>
  <c r="AK3921" i="9"/>
  <c r="AL3921" i="9" s="1"/>
  <c r="AM3926" i="9"/>
  <c r="AN3926" i="9" s="1"/>
  <c r="AM3931" i="9"/>
  <c r="AN3931" i="9" s="1"/>
  <c r="AK3949" i="9"/>
  <c r="AL3949" i="9" s="1"/>
  <c r="AK3958" i="9"/>
  <c r="AL3958" i="9" s="1"/>
  <c r="AM3961" i="9"/>
  <c r="AN3961" i="9" s="1"/>
  <c r="AM3987" i="9"/>
  <c r="AN3987" i="9" s="1"/>
  <c r="AM4001" i="9"/>
  <c r="AN4001" i="9" s="1"/>
  <c r="AK4008" i="9"/>
  <c r="AL4008" i="9" s="1"/>
  <c r="AM4041" i="9"/>
  <c r="AN4041" i="9" s="1"/>
  <c r="AM4052" i="9"/>
  <c r="AN4052" i="9" s="1"/>
  <c r="AK4063" i="9"/>
  <c r="AL4063" i="9" s="1"/>
  <c r="AK4090" i="9"/>
  <c r="AL4090" i="9" s="1"/>
  <c r="AK4162" i="9"/>
  <c r="AL4162" i="9" s="1"/>
  <c r="AK4167" i="9"/>
  <c r="AL4167" i="9" s="1"/>
  <c r="AM4171" i="9"/>
  <c r="AN4171" i="9" s="1"/>
  <c r="AK4175" i="9"/>
  <c r="AL4175" i="9" s="1"/>
  <c r="AM4182" i="9"/>
  <c r="AN4182" i="9" s="1"/>
  <c r="AK4193" i="9"/>
  <c r="AL4193" i="9" s="1"/>
  <c r="I4204" i="9"/>
  <c r="AK4265" i="9"/>
  <c r="AL4265" i="9" s="1"/>
  <c r="AK4292" i="9"/>
  <c r="AL4292" i="9" s="1"/>
  <c r="AK4296" i="9"/>
  <c r="AL4296" i="9" s="1"/>
  <c r="AK4299" i="9"/>
  <c r="AL4299" i="9" s="1"/>
  <c r="AK4309" i="9"/>
  <c r="AL4309" i="9" s="1"/>
  <c r="AK4323" i="9"/>
  <c r="AL4323" i="9" s="1"/>
  <c r="AK4335" i="9"/>
  <c r="AL4335" i="9" s="1"/>
  <c r="AM4337" i="9"/>
  <c r="AN4337" i="9" s="1"/>
  <c r="AM4351" i="9"/>
  <c r="AN4351" i="9" s="1"/>
  <c r="AM4073" i="9"/>
  <c r="AN4073" i="9" s="1"/>
  <c r="AK4082" i="9"/>
  <c r="AL4082" i="9" s="1"/>
  <c r="AK4091" i="9"/>
  <c r="AL4091" i="9" s="1"/>
  <c r="AK4098" i="9"/>
  <c r="AL4098" i="9" s="1"/>
  <c r="AM4116" i="9"/>
  <c r="AN4116" i="9" s="1"/>
  <c r="AK4165" i="9"/>
  <c r="AL4165" i="9" s="1"/>
  <c r="AK4171" i="9"/>
  <c r="AL4171" i="9" s="1"/>
  <c r="AK4295" i="9"/>
  <c r="AL4295" i="9" s="1"/>
  <c r="AK4337" i="9"/>
  <c r="AL4337" i="9" s="1"/>
  <c r="AK4349" i="9"/>
  <c r="AL4349" i="9" s="1"/>
  <c r="AM3924" i="9"/>
  <c r="AN3924" i="9" s="1"/>
  <c r="AO3939" i="9"/>
  <c r="AN3948" i="9"/>
  <c r="AM3995" i="9"/>
  <c r="AN3995" i="9" s="1"/>
  <c r="AK4020" i="9"/>
  <c r="AL4020" i="9" s="1"/>
  <c r="AK4039" i="9"/>
  <c r="AL4039" i="9" s="1"/>
  <c r="AK4073" i="9"/>
  <c r="AL4073" i="9" s="1"/>
  <c r="AK4074" i="9"/>
  <c r="AL4074" i="9" s="1"/>
  <c r="AM4091" i="9"/>
  <c r="AN4091" i="9" s="1"/>
  <c r="AM4106" i="9"/>
  <c r="AN4106" i="9" s="1"/>
  <c r="AM4110" i="9"/>
  <c r="AN4110" i="9" s="1"/>
  <c r="AK4111" i="9"/>
  <c r="AL4111" i="9" s="1"/>
  <c r="AK4116" i="9"/>
  <c r="AL4116" i="9" s="1"/>
  <c r="AM4129" i="9"/>
  <c r="AN4129" i="9" s="1"/>
  <c r="AK4153" i="9"/>
  <c r="AL4153" i="9" s="1"/>
  <c r="AK4188" i="9"/>
  <c r="AL4188" i="9" s="1"/>
  <c r="AK4202" i="9"/>
  <c r="AL4202" i="9" s="1"/>
  <c r="V4204" i="9"/>
  <c r="AK4231" i="9"/>
  <c r="AL4231" i="9" s="1"/>
  <c r="AK4239" i="9"/>
  <c r="AL4239" i="9" s="1"/>
  <c r="AK4280" i="9"/>
  <c r="AL4280" i="9" s="1"/>
  <c r="V4304" i="9"/>
  <c r="I4306" i="9"/>
  <c r="K4306" i="9" s="1"/>
  <c r="L4306" i="9" s="1"/>
  <c r="R4318" i="9"/>
  <c r="AM4321" i="9"/>
  <c r="AN4321" i="9" s="1"/>
  <c r="AK4366" i="9"/>
  <c r="AL4366" i="9" s="1"/>
  <c r="AM3918" i="9"/>
  <c r="AN3918" i="9" s="1"/>
  <c r="AM3920" i="9"/>
  <c r="AN3920" i="9" s="1"/>
  <c r="AB3925" i="9"/>
  <c r="AK3925" i="9" s="1"/>
  <c r="AL3925" i="9" s="1"/>
  <c r="AK3931" i="9"/>
  <c r="AL3931" i="9" s="1"/>
  <c r="AM3982" i="9"/>
  <c r="AN3982" i="9" s="1"/>
  <c r="AK4002" i="9"/>
  <c r="AL4002" i="9" s="1"/>
  <c r="AM4004" i="9"/>
  <c r="AN4004" i="9" s="1"/>
  <c r="AM4014" i="9"/>
  <c r="AN4014" i="9" s="1"/>
  <c r="AM4018" i="9"/>
  <c r="AN4018" i="9" s="1"/>
  <c r="AK4019" i="9"/>
  <c r="AL4019" i="9" s="1"/>
  <c r="AK4047" i="9"/>
  <c r="AL4047" i="9" s="1"/>
  <c r="AM4054" i="9"/>
  <c r="AN4054" i="9" s="1"/>
  <c r="AK4106" i="9"/>
  <c r="AL4106" i="9" s="1"/>
  <c r="AK4129" i="9"/>
  <c r="AL4129" i="9" s="1"/>
  <c r="AM4170" i="9"/>
  <c r="AN4170" i="9" s="1"/>
  <c r="AM4188" i="9"/>
  <c r="AN4188" i="9" s="1"/>
  <c r="I4201" i="9"/>
  <c r="K4201" i="9" s="1"/>
  <c r="L4201" i="9" s="1"/>
  <c r="AB4204" i="9"/>
  <c r="AK4209" i="9"/>
  <c r="AL4209" i="9" s="1"/>
  <c r="R4216" i="9"/>
  <c r="AK4216" i="9" s="1"/>
  <c r="AL4216" i="9" s="1"/>
  <c r="R4218" i="9"/>
  <c r="AK4218" i="9" s="1"/>
  <c r="AL4218" i="9" s="1"/>
  <c r="AN4247" i="9"/>
  <c r="K4259" i="9"/>
  <c r="L4259" i="9" s="1"/>
  <c r="AK4290" i="9"/>
  <c r="AL4290" i="9" s="1"/>
  <c r="AB4304" i="9"/>
  <c r="AK4315" i="9"/>
  <c r="AL4315" i="9" s="1"/>
  <c r="V4318" i="9"/>
  <c r="AM4344" i="9"/>
  <c r="AN4344" i="9" s="1"/>
  <c r="AM4365" i="9"/>
  <c r="AN4365" i="9" s="1"/>
  <c r="AM3951" i="9"/>
  <c r="AN3951" i="9" s="1"/>
  <c r="AK3960" i="9"/>
  <c r="AL3960" i="9" s="1"/>
  <c r="AM3962" i="9"/>
  <c r="AN3962" i="9" s="1"/>
  <c r="AM3966" i="9"/>
  <c r="AN3966" i="9" s="1"/>
  <c r="AK3968" i="9"/>
  <c r="AL3968" i="9" s="1"/>
  <c r="AM3985" i="9"/>
  <c r="AN3985" i="9" s="1"/>
  <c r="AK4006" i="9"/>
  <c r="AL4006" i="9" s="1"/>
  <c r="AK4015" i="9"/>
  <c r="AL4015" i="9" s="1"/>
  <c r="AK4018" i="9"/>
  <c r="AL4018" i="9" s="1"/>
  <c r="AM4019" i="9"/>
  <c r="AN4019" i="9" s="1"/>
  <c r="AM4032" i="9"/>
  <c r="AN4032" i="9" s="1"/>
  <c r="AM4043" i="9"/>
  <c r="AN4043" i="9" s="1"/>
  <c r="AK4054" i="9"/>
  <c r="AL4054" i="9" s="1"/>
  <c r="AK4080" i="9"/>
  <c r="AL4080" i="9" s="1"/>
  <c r="AM4088" i="9"/>
  <c r="AN4088" i="9" s="1"/>
  <c r="AM4089" i="9"/>
  <c r="AN4089" i="9" s="1"/>
  <c r="AK4105" i="9"/>
  <c r="AL4105" i="9" s="1"/>
  <c r="AM4109" i="9"/>
  <c r="AN4109" i="9" s="1"/>
  <c r="AK4112" i="9"/>
  <c r="AL4112" i="9" s="1"/>
  <c r="AK4115" i="9"/>
  <c r="AL4115" i="9" s="1"/>
  <c r="AK4122" i="9"/>
  <c r="AL4122" i="9" s="1"/>
  <c r="AM4183" i="9"/>
  <c r="AN4183" i="9" s="1"/>
  <c r="AM4187" i="9"/>
  <c r="AN4187" i="9" s="1"/>
  <c r="AK4198" i="9"/>
  <c r="AL4198" i="9" s="1"/>
  <c r="K4203" i="9"/>
  <c r="L4203" i="9" s="1"/>
  <c r="AF4204" i="9"/>
  <c r="K4224" i="9"/>
  <c r="I4247" i="9"/>
  <c r="K4247" i="9" s="1"/>
  <c r="L4247" i="9" s="1"/>
  <c r="AK4264" i="9"/>
  <c r="AL4264" i="9" s="1"/>
  <c r="AK4270" i="9"/>
  <c r="AL4270" i="9" s="1"/>
  <c r="AK4283" i="9"/>
  <c r="AL4283" i="9" s="1"/>
  <c r="AN4298" i="9"/>
  <c r="AB4318" i="9"/>
  <c r="AM4330" i="9"/>
  <c r="AN4330" i="9" s="1"/>
  <c r="AM4341" i="9"/>
  <c r="AN4341" i="9" s="1"/>
  <c r="AK4344" i="9"/>
  <c r="AL4344" i="9" s="1"/>
  <c r="AK4345" i="9"/>
  <c r="AL4345" i="9" s="1"/>
  <c r="AK4348" i="9"/>
  <c r="AL4348" i="9" s="1"/>
  <c r="AK4365" i="9"/>
  <c r="AL4365" i="9" s="1"/>
  <c r="AM4370" i="9"/>
  <c r="AN4370" i="9" s="1"/>
  <c r="AM3947" i="9"/>
  <c r="AN3947" i="9" s="1"/>
  <c r="AK3951" i="9"/>
  <c r="AL3951" i="9" s="1"/>
  <c r="AK3953" i="9"/>
  <c r="AL3953" i="9" s="1"/>
  <c r="AM3960" i="9"/>
  <c r="AN3960" i="9" s="1"/>
  <c r="AK3966" i="9"/>
  <c r="AL3966" i="9" s="1"/>
  <c r="AK3970" i="9"/>
  <c r="AL3970" i="9" s="1"/>
  <c r="AM3979" i="9"/>
  <c r="AN3979" i="9" s="1"/>
  <c r="AK3985" i="9"/>
  <c r="AL3985" i="9" s="1"/>
  <c r="R3991" i="9"/>
  <c r="AK3991" i="9" s="1"/>
  <c r="AL3991" i="9" s="1"/>
  <c r="AM3998" i="9"/>
  <c r="AN3998" i="9" s="1"/>
  <c r="AM3999" i="9"/>
  <c r="AN3999" i="9" s="1"/>
  <c r="AK4001" i="9"/>
  <c r="AL4001" i="9" s="1"/>
  <c r="AM4024" i="9"/>
  <c r="AN4024" i="9" s="1"/>
  <c r="AM4026" i="9"/>
  <c r="AN4026" i="9" s="1"/>
  <c r="AM4030" i="9"/>
  <c r="AN4030" i="9" s="1"/>
  <c r="AK4032" i="9"/>
  <c r="AL4032" i="9" s="1"/>
  <c r="AM4046" i="9"/>
  <c r="AN4046" i="9" s="1"/>
  <c r="AM4078" i="9"/>
  <c r="AN4078" i="9" s="1"/>
  <c r="AM4080" i="9"/>
  <c r="AN4080" i="9" s="1"/>
  <c r="AK4081" i="9"/>
  <c r="AL4081" i="9" s="1"/>
  <c r="AK4088" i="9"/>
  <c r="AL4088" i="9" s="1"/>
  <c r="AK4089" i="9"/>
  <c r="AL4089" i="9" s="1"/>
  <c r="AK4109" i="9"/>
  <c r="AL4109" i="9" s="1"/>
  <c r="AM4111" i="9"/>
  <c r="AN4111" i="9" s="1"/>
  <c r="AK4125" i="9"/>
  <c r="AL4125" i="9" s="1"/>
  <c r="AK4179" i="9"/>
  <c r="AL4179" i="9" s="1"/>
  <c r="AK4192" i="9"/>
  <c r="AL4192" i="9" s="1"/>
  <c r="V4211" i="9"/>
  <c r="R4252" i="9"/>
  <c r="AK4252" i="9" s="1"/>
  <c r="AL4252" i="9" s="1"/>
  <c r="AN4254" i="9"/>
  <c r="AM4283" i="9"/>
  <c r="AN4283" i="9" s="1"/>
  <c r="AN4303" i="9"/>
  <c r="AK4308" i="9"/>
  <c r="AL4308" i="9" s="1"/>
  <c r="AK4320" i="9"/>
  <c r="AL4320" i="9" s="1"/>
  <c r="AK4325" i="9"/>
  <c r="AL4325" i="9" s="1"/>
  <c r="AM4329" i="9"/>
  <c r="AN4329" i="9" s="1"/>
  <c r="AK4354" i="9"/>
  <c r="AL4354" i="9" s="1"/>
  <c r="AK4357" i="9"/>
  <c r="AL4357" i="9" s="1"/>
  <c r="AK4370" i="9"/>
  <c r="AL4370" i="9" s="1"/>
  <c r="AM3989" i="9"/>
  <c r="AN3989" i="9" s="1"/>
  <c r="AK3998" i="9"/>
  <c r="AL3998" i="9" s="1"/>
  <c r="AK4023" i="9"/>
  <c r="AL4023" i="9" s="1"/>
  <c r="AK4031" i="9"/>
  <c r="AL4031" i="9" s="1"/>
  <c r="AM4103" i="9"/>
  <c r="AN4103" i="9" s="1"/>
  <c r="AK4135" i="9"/>
  <c r="AL4135" i="9" s="1"/>
  <c r="AK4150" i="9"/>
  <c r="AL4150" i="9" s="1"/>
  <c r="AK4174" i="9"/>
  <c r="AL4174" i="9" s="1"/>
  <c r="AM4180" i="9"/>
  <c r="AN4180" i="9" s="1"/>
  <c r="AK4195" i="9"/>
  <c r="AL4195" i="9" s="1"/>
  <c r="AK4196" i="9"/>
  <c r="AL4196" i="9" s="1"/>
  <c r="AN4287" i="9"/>
  <c r="AK4329" i="9"/>
  <c r="AL4329" i="9" s="1"/>
  <c r="AM4342" i="9"/>
  <c r="AN4342" i="9" s="1"/>
  <c r="AK4362" i="9"/>
  <c r="AL4362" i="9" s="1"/>
  <c r="AM4369" i="9"/>
  <c r="AN4369" i="9" s="1"/>
  <c r="L12" i="9"/>
  <c r="L87" i="9"/>
  <c r="AF49" i="9"/>
  <c r="I49" i="9"/>
  <c r="K49" i="9" s="1"/>
  <c r="L49" i="9" s="1"/>
  <c r="R49" i="9"/>
  <c r="R52" i="9"/>
  <c r="I52" i="9"/>
  <c r="K52" i="9" s="1"/>
  <c r="L52" i="9" s="1"/>
  <c r="V52" i="9"/>
  <c r="I95" i="9"/>
  <c r="AF95" i="9"/>
  <c r="AB95" i="9"/>
  <c r="R95" i="9"/>
  <c r="R770" i="9"/>
  <c r="AF770" i="9"/>
  <c r="AB770" i="9"/>
  <c r="V770" i="9"/>
  <c r="I770" i="9"/>
  <c r="K770" i="9" s="1"/>
  <c r="L770" i="9" s="1"/>
  <c r="AO768" i="9"/>
  <c r="AN3369" i="9"/>
  <c r="I3369" i="9"/>
  <c r="K3369" i="9" s="1"/>
  <c r="L3369" i="9" s="1"/>
  <c r="AB38" i="9"/>
  <c r="R38" i="9"/>
  <c r="U43" i="9"/>
  <c r="AE43" i="9"/>
  <c r="I73" i="9"/>
  <c r="V73" i="9"/>
  <c r="R73" i="9"/>
  <c r="AE84" i="9"/>
  <c r="AA84" i="9"/>
  <c r="U84" i="9"/>
  <c r="Q84" i="9"/>
  <c r="V95" i="9"/>
  <c r="L774" i="9"/>
  <c r="AO773" i="9"/>
  <c r="AB774" i="9"/>
  <c r="V774" i="9"/>
  <c r="R774" i="9"/>
  <c r="R816" i="9"/>
  <c r="V816" i="9"/>
  <c r="AF816" i="9"/>
  <c r="AB816" i="9"/>
  <c r="I816" i="9"/>
  <c r="K816" i="9" s="1"/>
  <c r="L816" i="9" s="1"/>
  <c r="AN819" i="9"/>
  <c r="AO13" i="9"/>
  <c r="I43" i="9"/>
  <c r="I44" i="9"/>
  <c r="K44" i="9" s="1"/>
  <c r="L44" i="9" s="1"/>
  <c r="AB44" i="9"/>
  <c r="I62" i="9"/>
  <c r="K62" i="9" s="1"/>
  <c r="L62" i="9" s="1"/>
  <c r="K73" i="9"/>
  <c r="L73" i="9" s="1"/>
  <c r="AB77" i="9"/>
  <c r="R77" i="9"/>
  <c r="L77" i="9"/>
  <c r="I94" i="9"/>
  <c r="K94" i="9" s="1"/>
  <c r="L94" i="9" s="1"/>
  <c r="AF774" i="9"/>
  <c r="I785" i="9"/>
  <c r="K785" i="9" s="1"/>
  <c r="L785" i="9" s="1"/>
  <c r="AN785" i="9"/>
  <c r="I819" i="9"/>
  <c r="K819" i="9" s="1"/>
  <c r="L819" i="9" s="1"/>
  <c r="V17" i="9"/>
  <c r="AK17" i="9" s="1"/>
  <c r="AL17" i="9" s="1"/>
  <c r="AF23" i="9"/>
  <c r="AN26" i="9"/>
  <c r="AF34" i="9"/>
  <c r="I37" i="9"/>
  <c r="K37" i="9" s="1"/>
  <c r="V38" i="9"/>
  <c r="AN48" i="9"/>
  <c r="V49" i="9"/>
  <c r="AN51" i="9"/>
  <c r="AB52" i="9"/>
  <c r="K61" i="9"/>
  <c r="L61" i="9" s="1"/>
  <c r="AK63" i="9"/>
  <c r="AL63" i="9" s="1"/>
  <c r="AF81" i="9"/>
  <c r="V81" i="9"/>
  <c r="R81" i="9"/>
  <c r="I81" i="9"/>
  <c r="K81" i="9" s="1"/>
  <c r="L81" i="9" s="1"/>
  <c r="K84" i="9"/>
  <c r="L84" i="9" s="1"/>
  <c r="K93" i="9"/>
  <c r="L93" i="9" s="1"/>
  <c r="AN96" i="9"/>
  <c r="I99" i="9"/>
  <c r="K99" i="9" s="1"/>
  <c r="L99" i="9" s="1"/>
  <c r="AK119" i="9"/>
  <c r="AL119" i="9" s="1"/>
  <c r="AK143" i="9"/>
  <c r="AL143" i="9" s="1"/>
  <c r="AK169" i="9"/>
  <c r="AL169" i="9" s="1"/>
  <c r="AK186" i="9"/>
  <c r="AL186" i="9" s="1"/>
  <c r="AK219" i="9"/>
  <c r="AL219" i="9" s="1"/>
  <c r="AM223" i="9"/>
  <c r="AN223" i="9" s="1"/>
  <c r="AM232" i="9"/>
  <c r="AN232" i="9" s="1"/>
  <c r="AK242" i="9"/>
  <c r="AL242" i="9" s="1"/>
  <c r="AK368" i="9"/>
  <c r="AL368" i="9" s="1"/>
  <c r="AK465" i="9"/>
  <c r="AL465" i="9" s="1"/>
  <c r="AK541" i="9"/>
  <c r="AL541" i="9" s="1"/>
  <c r="AK675" i="9"/>
  <c r="AL675" i="9" s="1"/>
  <c r="AM694" i="9"/>
  <c r="AN694" i="9" s="1"/>
  <c r="AN780" i="9"/>
  <c r="I780" i="9"/>
  <c r="K780" i="9" s="1"/>
  <c r="L780" i="9" s="1"/>
  <c r="I804" i="9"/>
  <c r="K804" i="9" s="1"/>
  <c r="L804" i="9" s="1"/>
  <c r="V804" i="9"/>
  <c r="R804" i="9"/>
  <c r="AF804" i="9"/>
  <c r="V71" i="9"/>
  <c r="R71" i="9"/>
  <c r="I71" i="9"/>
  <c r="K71" i="9" s="1"/>
  <c r="L71" i="9" s="1"/>
  <c r="V77" i="9"/>
  <c r="R30" i="9"/>
  <c r="L37" i="9"/>
  <c r="Q43" i="9"/>
  <c r="V44" i="9"/>
  <c r="K66" i="9"/>
  <c r="L66" i="9" s="1"/>
  <c r="AK72" i="9"/>
  <c r="AL72" i="9" s="1"/>
  <c r="AF73" i="9"/>
  <c r="AF76" i="9"/>
  <c r="R76" i="9"/>
  <c r="L76" i="9"/>
  <c r="AF77" i="9"/>
  <c r="AF96" i="9"/>
  <c r="AB96" i="9"/>
  <c r="R96" i="9"/>
  <c r="L96" i="9"/>
  <c r="AB98" i="9"/>
  <c r="V98" i="9"/>
  <c r="AF98" i="9"/>
  <c r="R98" i="9"/>
  <c r="L98" i="9"/>
  <c r="AK125" i="9"/>
  <c r="AL125" i="9" s="1"/>
  <c r="AK196" i="9"/>
  <c r="AL196" i="9" s="1"/>
  <c r="AK203" i="9"/>
  <c r="AL203" i="9" s="1"/>
  <c r="AK218" i="9"/>
  <c r="AL218" i="9" s="1"/>
  <c r="AK248" i="9"/>
  <c r="AL248" i="9" s="1"/>
  <c r="R775" i="9"/>
  <c r="AK775" i="9" s="1"/>
  <c r="AL775" i="9" s="1"/>
  <c r="I775" i="9"/>
  <c r="AF775" i="9"/>
  <c r="AB775" i="9"/>
  <c r="L813" i="9"/>
  <c r="AL813" i="9"/>
  <c r="I817" i="9"/>
  <c r="AK970" i="9"/>
  <c r="AL970" i="9" s="1"/>
  <c r="I26" i="9"/>
  <c r="K26" i="9" s="1"/>
  <c r="L26" i="9" s="1"/>
  <c r="AF26" i="9"/>
  <c r="K43" i="9"/>
  <c r="L43" i="9" s="1"/>
  <c r="V51" i="9"/>
  <c r="I51" i="9"/>
  <c r="K51" i="9" s="1"/>
  <c r="L51" i="9" s="1"/>
  <c r="R51" i="9"/>
  <c r="I87" i="9"/>
  <c r="K87" i="9" s="1"/>
  <c r="AF87" i="9"/>
  <c r="AB87" i="9"/>
  <c r="I790" i="9"/>
  <c r="K790" i="9" s="1"/>
  <c r="L790" i="9" s="1"/>
  <c r="R790" i="9"/>
  <c r="AF790" i="9"/>
  <c r="AA24" i="9"/>
  <c r="U24" i="9"/>
  <c r="Q24" i="9"/>
  <c r="V26" i="9"/>
  <c r="AB30" i="9"/>
  <c r="V37" i="9"/>
  <c r="AF44" i="9"/>
  <c r="I59" i="9"/>
  <c r="K59" i="9" s="1"/>
  <c r="L59" i="9" s="1"/>
  <c r="AF59" i="9"/>
  <c r="AB59" i="9"/>
  <c r="R87" i="9"/>
  <c r="AF101" i="9"/>
  <c r="AB101" i="9"/>
  <c r="R101" i="9"/>
  <c r="L101" i="9"/>
  <c r="AM349" i="9"/>
  <c r="AN349" i="9" s="1"/>
  <c r="AB790" i="9"/>
  <c r="AN815" i="9"/>
  <c r="AN820" i="9"/>
  <c r="AM835" i="9"/>
  <c r="AN835" i="9" s="1"/>
  <c r="AB73" i="9"/>
  <c r="AN18" i="9"/>
  <c r="AN36" i="9"/>
  <c r="I20" i="9"/>
  <c r="K20" i="9" s="1"/>
  <c r="L20" i="9" s="1"/>
  <c r="V21" i="9"/>
  <c r="R21" i="9"/>
  <c r="K22" i="9"/>
  <c r="L22" i="9" s="1"/>
  <c r="AA22" i="9"/>
  <c r="I24" i="9"/>
  <c r="K24" i="9" s="1"/>
  <c r="L24" i="9" s="1"/>
  <c r="AN25" i="9"/>
  <c r="AB26" i="9"/>
  <c r="AN35" i="9"/>
  <c r="I36" i="9"/>
  <c r="K36" i="9" s="1"/>
  <c r="L36" i="9" s="1"/>
  <c r="AF36" i="9"/>
  <c r="V36" i="9"/>
  <c r="AA43" i="9"/>
  <c r="AN47" i="9"/>
  <c r="V48" i="9"/>
  <c r="AN50" i="9"/>
  <c r="AB51" i="9"/>
  <c r="K65" i="9"/>
  <c r="L65" i="9" s="1"/>
  <c r="V76" i="9"/>
  <c r="AF80" i="9"/>
  <c r="V80" i="9"/>
  <c r="L80" i="9"/>
  <c r="I80" i="9"/>
  <c r="K80" i="9" s="1"/>
  <c r="AK83" i="9"/>
  <c r="AL83" i="9" s="1"/>
  <c r="V87" i="9"/>
  <c r="V101" i="9"/>
  <c r="AK104" i="9"/>
  <c r="AL104" i="9" s="1"/>
  <c r="AK115" i="9"/>
  <c r="AL115" i="9" s="1"/>
  <c r="AK121" i="9"/>
  <c r="AL121" i="9" s="1"/>
  <c r="AM130" i="9"/>
  <c r="AN130" i="9" s="1"/>
  <c r="AK181" i="9"/>
  <c r="AL181" i="9" s="1"/>
  <c r="AK199" i="9"/>
  <c r="AL199" i="9" s="1"/>
  <c r="AK238" i="9"/>
  <c r="AL238" i="9" s="1"/>
  <c r="AK241" i="9"/>
  <c r="AL241" i="9" s="1"/>
  <c r="AM273" i="9"/>
  <c r="AN273" i="9" s="1"/>
  <c r="AK316" i="9"/>
  <c r="AL316" i="9" s="1"/>
  <c r="AK484" i="9"/>
  <c r="AL484" i="9" s="1"/>
  <c r="AM519" i="9"/>
  <c r="AN519" i="9" s="1"/>
  <c r="AK526" i="9"/>
  <c r="AL526" i="9" s="1"/>
  <c r="AK537" i="9"/>
  <c r="AL537" i="9" s="1"/>
  <c r="AM692" i="9"/>
  <c r="AN692" i="9" s="1"/>
  <c r="AK712" i="9"/>
  <c r="AL712" i="9" s="1"/>
  <c r="AK725" i="9"/>
  <c r="AL725" i="9" s="1"/>
  <c r="V775" i="9"/>
  <c r="AK801" i="9"/>
  <c r="AL801" i="9" s="1"/>
  <c r="I815" i="9"/>
  <c r="K815" i="9" s="1"/>
  <c r="L815" i="9" s="1"/>
  <c r="AL820" i="9"/>
  <c r="AK843" i="9"/>
  <c r="AL843" i="9" s="1"/>
  <c r="V30" i="9"/>
  <c r="I30" i="9"/>
  <c r="K30" i="9" s="1"/>
  <c r="L30" i="9" s="1"/>
  <c r="AB37" i="9"/>
  <c r="R37" i="9"/>
  <c r="AK37" i="9" s="1"/>
  <c r="AL37" i="9" s="1"/>
  <c r="R44" i="9"/>
  <c r="AF52" i="9"/>
  <c r="K101" i="9"/>
  <c r="Q101" i="9"/>
  <c r="AE101" i="9"/>
  <c r="AA101" i="9"/>
  <c r="U101" i="9"/>
  <c r="I25" i="9"/>
  <c r="K25" i="9" s="1"/>
  <c r="L25" i="9" s="1"/>
  <c r="AF25" i="9"/>
  <c r="I47" i="9"/>
  <c r="R47" i="9"/>
  <c r="AB48" i="9"/>
  <c r="AF51" i="9"/>
  <c r="R59" i="9"/>
  <c r="AB71" i="9"/>
  <c r="AF75" i="9"/>
  <c r="R75" i="9"/>
  <c r="AK75" i="9" s="1"/>
  <c r="AL75" i="9" s="1"/>
  <c r="L75" i="9"/>
  <c r="R79" i="9"/>
  <c r="L79" i="9"/>
  <c r="AN99" i="9"/>
  <c r="AK109" i="9"/>
  <c r="AL109" i="9" s="1"/>
  <c r="AM160" i="9"/>
  <c r="AN160" i="9" s="1"/>
  <c r="AM253" i="9"/>
  <c r="AN253" i="9" s="1"/>
  <c r="AK294" i="9"/>
  <c r="AL294" i="9" s="1"/>
  <c r="AK354" i="9"/>
  <c r="AL354" i="9" s="1"/>
  <c r="AK375" i="9"/>
  <c r="AL375" i="9" s="1"/>
  <c r="AK404" i="9"/>
  <c r="AL404" i="9" s="1"/>
  <c r="AK515" i="9"/>
  <c r="AL515" i="9" s="1"/>
  <c r="AK516" i="9"/>
  <c r="AL516" i="9" s="1"/>
  <c r="AK555" i="9"/>
  <c r="AL555" i="9" s="1"/>
  <c r="AK572" i="9"/>
  <c r="AL572" i="9" s="1"/>
  <c r="AN789" i="9"/>
  <c r="K789" i="9"/>
  <c r="L789" i="9" s="1"/>
  <c r="I789" i="9"/>
  <c r="Q791" i="9"/>
  <c r="AE791" i="9"/>
  <c r="AK797" i="9"/>
  <c r="AL797" i="9" s="1"/>
  <c r="AB49" i="9"/>
  <c r="L34" i="9"/>
  <c r="AB50" i="9"/>
  <c r="I50" i="9"/>
  <c r="R50" i="9"/>
  <c r="I53" i="9"/>
  <c r="K53" i="9" s="1"/>
  <c r="L53" i="9" s="1"/>
  <c r="AF53" i="9"/>
  <c r="AB53" i="9"/>
  <c r="R53" i="9"/>
  <c r="AF70" i="9"/>
  <c r="V70" i="9"/>
  <c r="L70" i="9"/>
  <c r="I70" i="9"/>
  <c r="K70" i="9" s="1"/>
  <c r="AK12" i="9"/>
  <c r="AN17" i="9"/>
  <c r="I18" i="9"/>
  <c r="K18" i="9" s="1"/>
  <c r="L18" i="9" s="1"/>
  <c r="AB18" i="9"/>
  <c r="V19" i="9"/>
  <c r="AK19" i="9" s="1"/>
  <c r="AL19" i="9" s="1"/>
  <c r="L21" i="9"/>
  <c r="R25" i="9"/>
  <c r="R36" i="9"/>
  <c r="K47" i="9"/>
  <c r="L47" i="9" s="1"/>
  <c r="K50" i="9"/>
  <c r="L50" i="9" s="1"/>
  <c r="AN57" i="9"/>
  <c r="V59" i="9"/>
  <c r="K64" i="9"/>
  <c r="R80" i="9"/>
  <c r="AF82" i="9"/>
  <c r="V82" i="9"/>
  <c r="R82" i="9"/>
  <c r="I82" i="9"/>
  <c r="K82" i="9" s="1"/>
  <c r="L82" i="9" s="1"/>
  <c r="AN100" i="9"/>
  <c r="K100" i="9"/>
  <c r="L100" i="9" s="1"/>
  <c r="AK193" i="9"/>
  <c r="AL193" i="9" s="1"/>
  <c r="AK250" i="9"/>
  <c r="AL250" i="9" s="1"/>
  <c r="AK256" i="9"/>
  <c r="AL256" i="9" s="1"/>
  <c r="AK281" i="9"/>
  <c r="AL281" i="9" s="1"/>
  <c r="AK286" i="9"/>
  <c r="AL286" i="9" s="1"/>
  <c r="AM589" i="9"/>
  <c r="AN589" i="9" s="1"/>
  <c r="AK601" i="9"/>
  <c r="AL601" i="9" s="1"/>
  <c r="AM686" i="9"/>
  <c r="AN686" i="9" s="1"/>
  <c r="AK706" i="9"/>
  <c r="AL706" i="9" s="1"/>
  <c r="AN808" i="9"/>
  <c r="L818" i="9"/>
  <c r="AL818" i="9"/>
  <c r="AF38" i="9"/>
  <c r="I48" i="9"/>
  <c r="K48" i="9" s="1"/>
  <c r="L48" i="9" s="1"/>
  <c r="R48" i="9"/>
  <c r="AK48" i="9" s="1"/>
  <c r="AL48" i="9" s="1"/>
  <c r="K817" i="9"/>
  <c r="L817" i="9" s="1"/>
  <c r="AN817" i="9"/>
  <c r="R23" i="9"/>
  <c r="V25" i="9"/>
  <c r="I32" i="9"/>
  <c r="K32" i="9" s="1"/>
  <c r="L32" i="9" s="1"/>
  <c r="R32" i="9"/>
  <c r="AK32" i="9" s="1"/>
  <c r="AL32" i="9" s="1"/>
  <c r="AN94" i="9"/>
  <c r="AF97" i="9"/>
  <c r="V97" i="9"/>
  <c r="R97" i="9"/>
  <c r="AK97" i="9" s="1"/>
  <c r="AL97" i="9" s="1"/>
  <c r="L97" i="9"/>
  <c r="AK148" i="9"/>
  <c r="AL148" i="9" s="1"/>
  <c r="AK170" i="9"/>
  <c r="AL170" i="9" s="1"/>
  <c r="AK243" i="9"/>
  <c r="AL243" i="9" s="1"/>
  <c r="AK252" i="9"/>
  <c r="AL252" i="9" s="1"/>
  <c r="AK259" i="9"/>
  <c r="AL259" i="9" s="1"/>
  <c r="AM297" i="9"/>
  <c r="AN297" i="9" s="1"/>
  <c r="AK298" i="9"/>
  <c r="AL298" i="9" s="1"/>
  <c r="AK437" i="9"/>
  <c r="AL437" i="9" s="1"/>
  <c r="AM525" i="9"/>
  <c r="AN525" i="9" s="1"/>
  <c r="AM633" i="9"/>
  <c r="AN633" i="9" s="1"/>
  <c r="AK691" i="9"/>
  <c r="AL691" i="9" s="1"/>
  <c r="Q786" i="9"/>
  <c r="U786" i="9"/>
  <c r="U791" i="9"/>
  <c r="AK800" i="9"/>
  <c r="AL800" i="9" s="1"/>
  <c r="I803" i="9"/>
  <c r="K803" i="9" s="1"/>
  <c r="L803" i="9" s="1"/>
  <c r="AL803" i="9"/>
  <c r="AB808" i="9"/>
  <c r="I808" i="9"/>
  <c r="K808" i="9" s="1"/>
  <c r="L808" i="9" s="1"/>
  <c r="AF808" i="9"/>
  <c r="V808" i="9"/>
  <c r="AK808" i="9" s="1"/>
  <c r="AL808" i="9" s="1"/>
  <c r="AK827" i="9"/>
  <c r="AL827" i="9" s="1"/>
  <c r="AN1145" i="9"/>
  <c r="AN62" i="9"/>
  <c r="AK65" i="9"/>
  <c r="AL65" i="9" s="1"/>
  <c r="R70" i="9"/>
  <c r="AF71" i="9"/>
  <c r="I16" i="9"/>
  <c r="K16" i="9" s="1"/>
  <c r="L16" i="9" s="1"/>
  <c r="AF16" i="9"/>
  <c r="AK16" i="9" s="1"/>
  <c r="AL16" i="9" s="1"/>
  <c r="L19" i="9"/>
  <c r="R20" i="9"/>
  <c r="AK20" i="9" s="1"/>
  <c r="AL20" i="9" s="1"/>
  <c r="Q22" i="9"/>
  <c r="AM22" i="9" s="1"/>
  <c r="AN22" i="9" s="1"/>
  <c r="K23" i="9"/>
  <c r="L23" i="9" s="1"/>
  <c r="R24" i="9"/>
  <c r="AK24" i="9" s="1"/>
  <c r="AL24" i="9" s="1"/>
  <c r="AB25" i="9"/>
  <c r="I31" i="9"/>
  <c r="K31" i="9" s="1"/>
  <c r="L31" i="9" s="1"/>
  <c r="R34" i="9"/>
  <c r="AK34" i="9" s="1"/>
  <c r="AL34" i="9" s="1"/>
  <c r="K38" i="9"/>
  <c r="L38" i="9" s="1"/>
  <c r="AK40" i="9"/>
  <c r="AL40" i="9" s="1"/>
  <c r="V47" i="9"/>
  <c r="AN49" i="9"/>
  <c r="V50" i="9"/>
  <c r="AN52" i="9"/>
  <c r="U53" i="9"/>
  <c r="AM53" i="9" s="1"/>
  <c r="AN53" i="9" s="1"/>
  <c r="K63" i="9"/>
  <c r="L63" i="9" s="1"/>
  <c r="AB70" i="9"/>
  <c r="AF74" i="9"/>
  <c r="R74" i="9"/>
  <c r="AB75" i="9"/>
  <c r="V78" i="9"/>
  <c r="R78" i="9"/>
  <c r="V79" i="9"/>
  <c r="AB82" i="9"/>
  <c r="Q85" i="9"/>
  <c r="AM85" i="9" s="1"/>
  <c r="AN85" i="9" s="1"/>
  <c r="AE85" i="9"/>
  <c r="AE90" i="9"/>
  <c r="AA90" i="9"/>
  <c r="U90" i="9"/>
  <c r="K90" i="9"/>
  <c r="L90" i="9" s="1"/>
  <c r="AK91" i="9"/>
  <c r="AL91" i="9" s="1"/>
  <c r="AN95" i="9"/>
  <c r="K95" i="9"/>
  <c r="L95" i="9" s="1"/>
  <c r="AK107" i="9"/>
  <c r="AL107" i="9" s="1"/>
  <c r="AK134" i="9"/>
  <c r="AL134" i="9" s="1"/>
  <c r="AK163" i="9"/>
  <c r="AL163" i="9" s="1"/>
  <c r="AK167" i="9"/>
  <c r="AL167" i="9" s="1"/>
  <c r="AK183" i="9"/>
  <c r="AL183" i="9" s="1"/>
  <c r="AK195" i="9"/>
  <c r="AL195" i="9" s="1"/>
  <c r="AK209" i="9"/>
  <c r="AL209" i="9" s="1"/>
  <c r="AK246" i="9"/>
  <c r="AL246" i="9" s="1"/>
  <c r="AK285" i="9"/>
  <c r="AL285" i="9" s="1"/>
  <c r="AK290" i="9"/>
  <c r="AL290" i="9" s="1"/>
  <c r="AM310" i="9"/>
  <c r="AN310" i="9" s="1"/>
  <c r="AK403" i="9"/>
  <c r="AL403" i="9" s="1"/>
  <c r="AK434" i="9"/>
  <c r="AL434" i="9" s="1"/>
  <c r="R511" i="9"/>
  <c r="AK511" i="9" s="1"/>
  <c r="AL511" i="9" s="1"/>
  <c r="K511" i="9"/>
  <c r="L511" i="9" s="1"/>
  <c r="AM564" i="9"/>
  <c r="AN564" i="9" s="1"/>
  <c r="AK593" i="9"/>
  <c r="AL593" i="9" s="1"/>
  <c r="AN774" i="9"/>
  <c r="K774" i="9"/>
  <c r="R781" i="9"/>
  <c r="V781" i="9"/>
  <c r="AF781" i="9"/>
  <c r="AB781" i="9"/>
  <c r="L781" i="9"/>
  <c r="AA791" i="9"/>
  <c r="AK794" i="9"/>
  <c r="AL794" i="9" s="1"/>
  <c r="AN796" i="9"/>
  <c r="K796" i="9"/>
  <c r="L796" i="9" s="1"/>
  <c r="AK832" i="9"/>
  <c r="AL832" i="9" s="1"/>
  <c r="AK1017" i="9"/>
  <c r="AL1017" i="9" s="1"/>
  <c r="AK1021" i="9"/>
  <c r="AL1021" i="9" s="1"/>
  <c r="I1145" i="9"/>
  <c r="K1145" i="9" s="1"/>
  <c r="L1145" i="9" s="1"/>
  <c r="J4372" i="9"/>
  <c r="V33" i="9"/>
  <c r="AK33" i="9" s="1"/>
  <c r="AL33" i="9" s="1"/>
  <c r="R60" i="9"/>
  <c r="AK60" i="9" s="1"/>
  <c r="AL60" i="9" s="1"/>
  <c r="L64" i="9"/>
  <c r="I67" i="9"/>
  <c r="K67" i="9" s="1"/>
  <c r="L67" i="9" s="1"/>
  <c r="I68" i="9"/>
  <c r="K68" i="9" s="1"/>
  <c r="L68" i="9" s="1"/>
  <c r="I69" i="9"/>
  <c r="K69" i="9" s="1"/>
  <c r="L69" i="9" s="1"/>
  <c r="AN80" i="9"/>
  <c r="I84" i="9"/>
  <c r="AB85" i="9"/>
  <c r="R100" i="9"/>
  <c r="AK100" i="9" s="1"/>
  <c r="AL100" i="9" s="1"/>
  <c r="I102" i="9"/>
  <c r="K102" i="9" s="1"/>
  <c r="L102" i="9" s="1"/>
  <c r="AM103" i="9"/>
  <c r="AN103" i="9" s="1"/>
  <c r="AK194" i="9"/>
  <c r="AL194" i="9" s="1"/>
  <c r="AM312" i="9"/>
  <c r="AN312" i="9" s="1"/>
  <c r="AK347" i="9"/>
  <c r="AL347" i="9" s="1"/>
  <c r="AK496" i="9"/>
  <c r="AL496" i="9" s="1"/>
  <c r="AK540" i="9"/>
  <c r="AL540" i="9" s="1"/>
  <c r="AK720" i="9"/>
  <c r="AL720" i="9" s="1"/>
  <c r="V777" i="9"/>
  <c r="AK777" i="9" s="1"/>
  <c r="AL777" i="9" s="1"/>
  <c r="AF788" i="9"/>
  <c r="AK788" i="9" s="1"/>
  <c r="AL788" i="9" s="1"/>
  <c r="AF791" i="9"/>
  <c r="V793" i="9"/>
  <c r="AK793" i="9" s="1"/>
  <c r="AL793" i="9" s="1"/>
  <c r="V801" i="9"/>
  <c r="AF805" i="9"/>
  <c r="AE806" i="9"/>
  <c r="AM806" i="9" s="1"/>
  <c r="AN806" i="9" s="1"/>
  <c r="AA809" i="9"/>
  <c r="AM809" i="9" s="1"/>
  <c r="AN809" i="9" s="1"/>
  <c r="I820" i="9"/>
  <c r="K820" i="9" s="1"/>
  <c r="L820" i="9" s="1"/>
  <c r="AM838" i="9"/>
  <c r="AN838" i="9" s="1"/>
  <c r="AK860" i="9"/>
  <c r="AL860" i="9" s="1"/>
  <c r="AK1029" i="9"/>
  <c r="AL1029" i="9" s="1"/>
  <c r="AM1050" i="9"/>
  <c r="AN1050" i="9" s="1"/>
  <c r="AK1060" i="9"/>
  <c r="AL1060" i="9" s="1"/>
  <c r="AM1121" i="9"/>
  <c r="AN1121" i="9" s="1"/>
  <c r="K1227" i="9"/>
  <c r="L1227" i="9" s="1"/>
  <c r="AN1227" i="9"/>
  <c r="R99" i="9"/>
  <c r="AK105" i="9"/>
  <c r="AL105" i="9" s="1"/>
  <c r="AM111" i="9"/>
  <c r="AN111" i="9" s="1"/>
  <c r="AK113" i="9"/>
  <c r="AL113" i="9" s="1"/>
  <c r="AK312" i="9"/>
  <c r="AL312" i="9" s="1"/>
  <c r="AK554" i="9"/>
  <c r="AL554" i="9" s="1"/>
  <c r="AK557" i="9"/>
  <c r="AL557" i="9" s="1"/>
  <c r="AM637" i="9"/>
  <c r="AN637" i="9" s="1"/>
  <c r="AB817" i="9"/>
  <c r="AM943" i="9"/>
  <c r="AN943" i="9" s="1"/>
  <c r="AM951" i="9"/>
  <c r="AN951" i="9" s="1"/>
  <c r="AM1129" i="9"/>
  <c r="AN1129" i="9" s="1"/>
  <c r="AL1145" i="9"/>
  <c r="AK1245" i="9"/>
  <c r="AL1245" i="9" s="1"/>
  <c r="Q1801" i="9"/>
  <c r="AA1801" i="9"/>
  <c r="U1801" i="9"/>
  <c r="K1801" i="9"/>
  <c r="L1801" i="9" s="1"/>
  <c r="I1801" i="9"/>
  <c r="AE1801" i="9"/>
  <c r="AM1868" i="9"/>
  <c r="AN1868" i="9" s="1"/>
  <c r="AK108" i="9"/>
  <c r="AL108" i="9" s="1"/>
  <c r="AK495" i="9"/>
  <c r="AL495" i="9" s="1"/>
  <c r="AK552" i="9"/>
  <c r="AL552" i="9" s="1"/>
  <c r="AK679" i="9"/>
  <c r="AL679" i="9" s="1"/>
  <c r="AK724" i="9"/>
  <c r="AL724" i="9" s="1"/>
  <c r="U811" i="9"/>
  <c r="R817" i="9"/>
  <c r="AK1055" i="9"/>
  <c r="AL1055" i="9" s="1"/>
  <c r="K1198" i="9"/>
  <c r="L1198" i="9" s="1"/>
  <c r="AN1198" i="9"/>
  <c r="AN1204" i="9"/>
  <c r="I1204" i="9"/>
  <c r="K1204" i="9" s="1"/>
  <c r="L1204" i="9" s="1"/>
  <c r="AE1665" i="9"/>
  <c r="AA1665" i="9"/>
  <c r="U1665" i="9"/>
  <c r="Q1665" i="9"/>
  <c r="K1665" i="9"/>
  <c r="L1665" i="9" s="1"/>
  <c r="AM875" i="9"/>
  <c r="AN875" i="9" s="1"/>
  <c r="AK937" i="9"/>
  <c r="AL937" i="9" s="1"/>
  <c r="I1198" i="9"/>
  <c r="AF1198" i="9"/>
  <c r="AB1198" i="9"/>
  <c r="V1198" i="9"/>
  <c r="R1198" i="9"/>
  <c r="AO1191" i="9"/>
  <c r="AF1702" i="9"/>
  <c r="AB1702" i="9"/>
  <c r="R1702" i="9"/>
  <c r="I1702" i="9"/>
  <c r="R68" i="9"/>
  <c r="AK68" i="9" s="1"/>
  <c r="AL68" i="9" s="1"/>
  <c r="R69" i="9"/>
  <c r="AK69" i="9" s="1"/>
  <c r="AL69" i="9" s="1"/>
  <c r="AN72" i="9"/>
  <c r="I85" i="9"/>
  <c r="K85" i="9" s="1"/>
  <c r="L85" i="9" s="1"/>
  <c r="AB99" i="9"/>
  <c r="AK288" i="9"/>
  <c r="AL288" i="9" s="1"/>
  <c r="AK519" i="9"/>
  <c r="AL519" i="9" s="1"/>
  <c r="AK564" i="9"/>
  <c r="AL564" i="9" s="1"/>
  <c r="AM706" i="9"/>
  <c r="AN706" i="9" s="1"/>
  <c r="I779" i="9"/>
  <c r="K779" i="9" s="1"/>
  <c r="L779" i="9" s="1"/>
  <c r="K784" i="9"/>
  <c r="L784" i="9" s="1"/>
  <c r="I786" i="9"/>
  <c r="K786" i="9" s="1"/>
  <c r="L786" i="9" s="1"/>
  <c r="I791" i="9"/>
  <c r="K791" i="9" s="1"/>
  <c r="L791" i="9" s="1"/>
  <c r="AB811" i="9"/>
  <c r="K814" i="9"/>
  <c r="L814" i="9" s="1"/>
  <c r="AF817" i="9"/>
  <c r="AK826" i="9"/>
  <c r="AL826" i="9" s="1"/>
  <c r="AK835" i="9"/>
  <c r="AL835" i="9" s="1"/>
  <c r="AM886" i="9"/>
  <c r="AN886" i="9" s="1"/>
  <c r="AK899" i="9"/>
  <c r="AL899" i="9" s="1"/>
  <c r="AK1049" i="9"/>
  <c r="AL1049" i="9" s="1"/>
  <c r="AM1093" i="9"/>
  <c r="AN1093" i="9" s="1"/>
  <c r="AM1185" i="9"/>
  <c r="AN1185" i="9" s="1"/>
  <c r="AN1238" i="9"/>
  <c r="V1702" i="9"/>
  <c r="AK128" i="9"/>
  <c r="AL128" i="9" s="1"/>
  <c r="AK157" i="9"/>
  <c r="AL157" i="9" s="1"/>
  <c r="AM221" i="9"/>
  <c r="AN221" i="9" s="1"/>
  <c r="AM307" i="9"/>
  <c r="AN307" i="9" s="1"/>
  <c r="AK309" i="9"/>
  <c r="AL309" i="9" s="1"/>
  <c r="AK538" i="9"/>
  <c r="AL538" i="9" s="1"/>
  <c r="AK734" i="9"/>
  <c r="AL734" i="9" s="1"/>
  <c r="AN776" i="9"/>
  <c r="AN782" i="9"/>
  <c r="V787" i="9"/>
  <c r="AK787" i="9" s="1"/>
  <c r="AL787" i="9"/>
  <c r="I787" i="9"/>
  <c r="K787" i="9" s="1"/>
  <c r="L787" i="9" s="1"/>
  <c r="K788" i="9"/>
  <c r="AN788" i="9"/>
  <c r="K792" i="9"/>
  <c r="L792" i="9" s="1"/>
  <c r="AE793" i="9"/>
  <c r="Q793" i="9"/>
  <c r="AM793" i="9" s="1"/>
  <c r="AN793" i="9" s="1"/>
  <c r="AM804" i="9"/>
  <c r="AN804" i="9" s="1"/>
  <c r="K805" i="9"/>
  <c r="L805" i="9" s="1"/>
  <c r="K811" i="9"/>
  <c r="L811" i="9" s="1"/>
  <c r="V815" i="9"/>
  <c r="AM862" i="9"/>
  <c r="AN862" i="9" s="1"/>
  <c r="AK877" i="9"/>
  <c r="AL877" i="9" s="1"/>
  <c r="AK886" i="9"/>
  <c r="AL886" i="9" s="1"/>
  <c r="V1238" i="9"/>
  <c r="I1238" i="9"/>
  <c r="K1238" i="9" s="1"/>
  <c r="L1238" i="9" s="1"/>
  <c r="AB1238" i="9"/>
  <c r="AF1238" i="9"/>
  <c r="AE34" i="9"/>
  <c r="L39" i="9"/>
  <c r="L40" i="9"/>
  <c r="L41" i="9"/>
  <c r="AN45" i="9"/>
  <c r="L72" i="9"/>
  <c r="AE79" i="9"/>
  <c r="AM79" i="9" s="1"/>
  <c r="AN79" i="9" s="1"/>
  <c r="AN88" i="9"/>
  <c r="AM219" i="9"/>
  <c r="AN219" i="9" s="1"/>
  <c r="AK221" i="9"/>
  <c r="AL221" i="9" s="1"/>
  <c r="AM247" i="9"/>
  <c r="AN247" i="9" s="1"/>
  <c r="AM393" i="9"/>
  <c r="AN393" i="9" s="1"/>
  <c r="AK453" i="9"/>
  <c r="AL453" i="9" s="1"/>
  <c r="AK596" i="9"/>
  <c r="AL596" i="9" s="1"/>
  <c r="AM728" i="9"/>
  <c r="AN728" i="9" s="1"/>
  <c r="AK730" i="9"/>
  <c r="AL730" i="9" s="1"/>
  <c r="I776" i="9"/>
  <c r="K776" i="9" s="1"/>
  <c r="L776" i="9" s="1"/>
  <c r="AE777" i="9"/>
  <c r="Q777" i="9"/>
  <c r="AM777" i="9" s="1"/>
  <c r="AN777" i="9" s="1"/>
  <c r="Q790" i="9"/>
  <c r="I792" i="9"/>
  <c r="V792" i="9"/>
  <c r="AK792" i="9" s="1"/>
  <c r="AL792" i="9" s="1"/>
  <c r="I793" i="9"/>
  <c r="K793" i="9" s="1"/>
  <c r="L793" i="9" s="1"/>
  <c r="AE802" i="9"/>
  <c r="AM802" i="9" s="1"/>
  <c r="AN802" i="9" s="1"/>
  <c r="R806" i="9"/>
  <c r="AB806" i="9"/>
  <c r="Q811" i="9"/>
  <c r="R815" i="9"/>
  <c r="AM912" i="9"/>
  <c r="AN912" i="9" s="1"/>
  <c r="AK974" i="9"/>
  <c r="AL974" i="9" s="1"/>
  <c r="R1238" i="9"/>
  <c r="AK164" i="9"/>
  <c r="AL164" i="9" s="1"/>
  <c r="AK197" i="9"/>
  <c r="AL197" i="9" s="1"/>
  <c r="AM231" i="9"/>
  <c r="AN231" i="9" s="1"/>
  <c r="AK249" i="9"/>
  <c r="AL249" i="9" s="1"/>
  <c r="AK351" i="9"/>
  <c r="AL351" i="9" s="1"/>
  <c r="AK355" i="9"/>
  <c r="AL355" i="9" s="1"/>
  <c r="AK389" i="9"/>
  <c r="AL389" i="9" s="1"/>
  <c r="AK400" i="9"/>
  <c r="AL400" i="9" s="1"/>
  <c r="AM542" i="9"/>
  <c r="AN542" i="9" s="1"/>
  <c r="AK602" i="9"/>
  <c r="AL602" i="9" s="1"/>
  <c r="AK726" i="9"/>
  <c r="AL726" i="9" s="1"/>
  <c r="K775" i="9"/>
  <c r="L775" i="9" s="1"/>
  <c r="AN775" i="9"/>
  <c r="V783" i="9"/>
  <c r="AK783" i="9" s="1"/>
  <c r="AL783" i="9" s="1"/>
  <c r="I783" i="9"/>
  <c r="K783" i="9" s="1"/>
  <c r="L783" i="9" s="1"/>
  <c r="Q794" i="9"/>
  <c r="U794" i="9"/>
  <c r="AN803" i="9"/>
  <c r="Q805" i="9"/>
  <c r="AM805" i="9" s="1"/>
  <c r="AN805" i="9" s="1"/>
  <c r="AF807" i="9"/>
  <c r="I807" i="9"/>
  <c r="K807" i="9" s="1"/>
  <c r="L807" i="9" s="1"/>
  <c r="R807" i="9"/>
  <c r="R809" i="9"/>
  <c r="AB809" i="9"/>
  <c r="AK878" i="9"/>
  <c r="AL878" i="9" s="1"/>
  <c r="AM1022" i="9"/>
  <c r="AN1022" i="9" s="1"/>
  <c r="AM1079" i="9"/>
  <c r="AN1079" i="9" s="1"/>
  <c r="AM1103" i="9"/>
  <c r="AN1103" i="9" s="1"/>
  <c r="V39" i="9"/>
  <c r="AK39" i="9" s="1"/>
  <c r="AL39" i="9" s="1"/>
  <c r="V41" i="9"/>
  <c r="AK41" i="9" s="1"/>
  <c r="AL41" i="9" s="1"/>
  <c r="V42" i="9"/>
  <c r="AK42" i="9" s="1"/>
  <c r="AL42" i="9" s="1"/>
  <c r="I57" i="9"/>
  <c r="K57" i="9" s="1"/>
  <c r="L57" i="9" s="1"/>
  <c r="Q72" i="9"/>
  <c r="AM72" i="9" s="1"/>
  <c r="I86" i="9"/>
  <c r="K86" i="9" s="1"/>
  <c r="L86" i="9" s="1"/>
  <c r="AK177" i="9"/>
  <c r="AL177" i="9" s="1"/>
  <c r="AK293" i="9"/>
  <c r="AL293" i="9" s="1"/>
  <c r="AK394" i="9"/>
  <c r="AL394" i="9" s="1"/>
  <c r="AK442" i="9"/>
  <c r="AL442" i="9" s="1"/>
  <c r="AM513" i="9"/>
  <c r="AN513" i="9" s="1"/>
  <c r="AK517" i="9"/>
  <c r="AL517" i="9" s="1"/>
  <c r="AK542" i="9"/>
  <c r="AL542" i="9" s="1"/>
  <c r="AK592" i="9"/>
  <c r="AL592" i="9" s="1"/>
  <c r="AK595" i="9"/>
  <c r="AL595" i="9" s="1"/>
  <c r="AK599" i="9"/>
  <c r="AL599" i="9" s="1"/>
  <c r="AK643" i="9"/>
  <c r="AL643" i="9" s="1"/>
  <c r="AK710" i="9"/>
  <c r="AL710" i="9" s="1"/>
  <c r="K777" i="9"/>
  <c r="L777" i="9" s="1"/>
  <c r="I778" i="9"/>
  <c r="K778" i="9" s="1"/>
  <c r="L778" i="9" s="1"/>
  <c r="K782" i="9"/>
  <c r="L782" i="9" s="1"/>
  <c r="V786" i="9"/>
  <c r="AK786" i="9" s="1"/>
  <c r="AL786" i="9" s="1"/>
  <c r="AM787" i="9"/>
  <c r="AN787" i="9" s="1"/>
  <c r="L788" i="9"/>
  <c r="AK789" i="9"/>
  <c r="AL789" i="9" s="1"/>
  <c r="U790" i="9"/>
  <c r="R791" i="9"/>
  <c r="Q792" i="9"/>
  <c r="AM792" i="9" s="1"/>
  <c r="AN792" i="9" s="1"/>
  <c r="I794" i="9"/>
  <c r="K794" i="9" s="1"/>
  <c r="L794" i="9" s="1"/>
  <c r="AF802" i="9"/>
  <c r="R805" i="9"/>
  <c r="AK805" i="9" s="1"/>
  <c r="AL805" i="9" s="1"/>
  <c r="L806" i="9"/>
  <c r="V811" i="9"/>
  <c r="AK811" i="9" s="1"/>
  <c r="AL811" i="9" s="1"/>
  <c r="AF815" i="9"/>
  <c r="I821" i="9"/>
  <c r="K821" i="9" s="1"/>
  <c r="L821" i="9" s="1"/>
  <c r="V821" i="9"/>
  <c r="AK821" i="9" s="1"/>
  <c r="AL821" i="9" s="1"/>
  <c r="AK874" i="9"/>
  <c r="AL874" i="9" s="1"/>
  <c r="AM905" i="9"/>
  <c r="AN905" i="9" s="1"/>
  <c r="AK945" i="9"/>
  <c r="AL945" i="9" s="1"/>
  <c r="AK980" i="9"/>
  <c r="AL980" i="9" s="1"/>
  <c r="AM1017" i="9"/>
  <c r="AN1017" i="9" s="1"/>
  <c r="AK1099" i="9"/>
  <c r="AL1099" i="9" s="1"/>
  <c r="AM1108" i="9"/>
  <c r="AN1108" i="9" s="1"/>
  <c r="AK1140" i="9"/>
  <c r="AL1140" i="9" s="1"/>
  <c r="AK1206" i="9"/>
  <c r="AK1552" i="9"/>
  <c r="AL1552" i="9" s="1"/>
  <c r="AK1083" i="9"/>
  <c r="AL1083" i="9" s="1"/>
  <c r="AK1090" i="9"/>
  <c r="AL1090" i="9" s="1"/>
  <c r="AK1104" i="9"/>
  <c r="AL1104" i="9" s="1"/>
  <c r="AM1130" i="9"/>
  <c r="AN1130" i="9" s="1"/>
  <c r="AM1141" i="9"/>
  <c r="AN1141" i="9" s="1"/>
  <c r="AK1186" i="9"/>
  <c r="AL1186" i="9" s="1"/>
  <c r="AN1197" i="9"/>
  <c r="AK1219" i="9"/>
  <c r="AL1219" i="9" s="1"/>
  <c r="AA1229" i="9"/>
  <c r="Q1229" i="9"/>
  <c r="AE1229" i="9"/>
  <c r="U1229" i="9"/>
  <c r="K1229" i="9"/>
  <c r="L1229" i="9" s="1"/>
  <c r="AM1273" i="9"/>
  <c r="AN1273" i="9" s="1"/>
  <c r="AK1374" i="9"/>
  <c r="AL1374" i="9" s="1"/>
  <c r="U1663" i="9"/>
  <c r="AE1663" i="9"/>
  <c r="AA1663" i="9"/>
  <c r="Q1663" i="9"/>
  <c r="K1663" i="9"/>
  <c r="L1663" i="9" s="1"/>
  <c r="AK1039" i="9"/>
  <c r="AL1039" i="9" s="1"/>
  <c r="AK1101" i="9"/>
  <c r="AL1101" i="9" s="1"/>
  <c r="AK1126" i="9"/>
  <c r="AL1126" i="9" s="1"/>
  <c r="AM1174" i="9"/>
  <c r="AN1174" i="9" s="1"/>
  <c r="AB1216" i="9"/>
  <c r="AF1216" i="9"/>
  <c r="V1216" i="9"/>
  <c r="R1216" i="9"/>
  <c r="L1216" i="9"/>
  <c r="AM1408" i="9"/>
  <c r="AN1408" i="9" s="1"/>
  <c r="AE1678" i="9"/>
  <c r="Q1678" i="9"/>
  <c r="AA1678" i="9"/>
  <c r="U1678" i="9"/>
  <c r="AM990" i="9"/>
  <c r="AN990" i="9" s="1"/>
  <c r="AK1003" i="9"/>
  <c r="AL1003" i="9" s="1"/>
  <c r="K1228" i="9"/>
  <c r="L1228" i="9" s="1"/>
  <c r="AE1228" i="9"/>
  <c r="AA1228" i="9"/>
  <c r="U1228" i="9"/>
  <c r="Q1228" i="9"/>
  <c r="AE1233" i="9"/>
  <c r="AA1233" i="9"/>
  <c r="U1233" i="9"/>
  <c r="Q1233" i="9"/>
  <c r="U1235" i="9"/>
  <c r="AA1235" i="9"/>
  <c r="AE1235" i="9"/>
  <c r="Q1235" i="9"/>
  <c r="AM1235" i="9" s="1"/>
  <c r="AN1235" i="9" s="1"/>
  <c r="V1663" i="9"/>
  <c r="AF1663" i="9"/>
  <c r="AB1663" i="9"/>
  <c r="R1663" i="9"/>
  <c r="I1678" i="9"/>
  <c r="K1678" i="9" s="1"/>
  <c r="L1678" i="9" s="1"/>
  <c r="U1203" i="9"/>
  <c r="AE1203" i="9"/>
  <c r="AA1203" i="9"/>
  <c r="Q1203" i="9"/>
  <c r="AB1233" i="9"/>
  <c r="I1233" i="9"/>
  <c r="K1233" i="9" s="1"/>
  <c r="L1233" i="9" s="1"/>
  <c r="AF1233" i="9"/>
  <c r="V1233" i="9"/>
  <c r="R1233" i="9"/>
  <c r="I1235" i="9"/>
  <c r="K1235" i="9" s="1"/>
  <c r="AF1235" i="9"/>
  <c r="AB1235" i="9"/>
  <c r="V1235" i="9"/>
  <c r="R1235" i="9"/>
  <c r="V1656" i="9"/>
  <c r="AF1656" i="9"/>
  <c r="AB1656" i="9"/>
  <c r="R1656" i="9"/>
  <c r="L1656" i="9"/>
  <c r="AK1043" i="9"/>
  <c r="AL1043" i="9" s="1"/>
  <c r="AK1051" i="9"/>
  <c r="AL1051" i="9" s="1"/>
  <c r="AK1121" i="9"/>
  <c r="AL1121" i="9" s="1"/>
  <c r="AK1125" i="9"/>
  <c r="AL1125" i="9" s="1"/>
  <c r="AN1144" i="9"/>
  <c r="K1144" i="9"/>
  <c r="AK1298" i="9"/>
  <c r="AL1298" i="9" s="1"/>
  <c r="AK1449" i="9"/>
  <c r="AL1449" i="9" s="1"/>
  <c r="AB1203" i="9"/>
  <c r="AO1202" i="9"/>
  <c r="AF1203" i="9"/>
  <c r="V1203" i="9"/>
  <c r="R1203" i="9"/>
  <c r="L1235" i="9"/>
  <c r="AE1237" i="9"/>
  <c r="AA1237" i="9"/>
  <c r="U1237" i="9"/>
  <c r="Q1237" i="9"/>
  <c r="AK145" i="9"/>
  <c r="AL145" i="9" s="1"/>
  <c r="AK213" i="9"/>
  <c r="AL213" i="9" s="1"/>
  <c r="AK233" i="9"/>
  <c r="AL233" i="9" s="1"/>
  <c r="AK387" i="9"/>
  <c r="AL387" i="9" s="1"/>
  <c r="AK589" i="9"/>
  <c r="AL589" i="9" s="1"/>
  <c r="AK622" i="9"/>
  <c r="AL622" i="9" s="1"/>
  <c r="AK665" i="9"/>
  <c r="AL665" i="9" s="1"/>
  <c r="AK681" i="9"/>
  <c r="AL681" i="9" s="1"/>
  <c r="AN770" i="9"/>
  <c r="AA801" i="9"/>
  <c r="AM801" i="9" s="1"/>
  <c r="AN801" i="9" s="1"/>
  <c r="K801" i="9"/>
  <c r="L801" i="9" s="1"/>
  <c r="I810" i="9"/>
  <c r="K810" i="9" s="1"/>
  <c r="L810" i="9" s="1"/>
  <c r="AL810" i="9"/>
  <c r="AK858" i="9"/>
  <c r="AL858" i="9" s="1"/>
  <c r="AM902" i="9"/>
  <c r="AN902" i="9" s="1"/>
  <c r="AK972" i="9"/>
  <c r="AL972" i="9" s="1"/>
  <c r="AM1029" i="9"/>
  <c r="AN1029" i="9" s="1"/>
  <c r="AK1050" i="9"/>
  <c r="AL1050" i="9" s="1"/>
  <c r="AK1109" i="9"/>
  <c r="AL1109" i="9" s="1"/>
  <c r="AK1154" i="9"/>
  <c r="AL1154" i="9" s="1"/>
  <c r="AM1188" i="9"/>
  <c r="AN1188" i="9" s="1"/>
  <c r="K1203" i="9"/>
  <c r="L1203" i="9" s="1"/>
  <c r="K1222" i="9"/>
  <c r="L1222" i="9" s="1"/>
  <c r="V1237" i="9"/>
  <c r="I1237" i="9"/>
  <c r="K1237" i="9" s="1"/>
  <c r="L1237" i="9" s="1"/>
  <c r="AF1237" i="9"/>
  <c r="AB1237" i="9"/>
  <c r="R1237" i="9"/>
  <c r="Q1431" i="9"/>
  <c r="AE1431" i="9"/>
  <c r="AA1431" i="9"/>
  <c r="U1431" i="9"/>
  <c r="AM1647" i="9"/>
  <c r="AN1647" i="9" s="1"/>
  <c r="AM1650" i="9"/>
  <c r="AN1650" i="9" s="1"/>
  <c r="AK524" i="9"/>
  <c r="AL524" i="9" s="1"/>
  <c r="AK536" i="9"/>
  <c r="AL536" i="9" s="1"/>
  <c r="AM546" i="9"/>
  <c r="AN546" i="9" s="1"/>
  <c r="AK768" i="9"/>
  <c r="AL768" i="9" s="1"/>
  <c r="AK833" i="9"/>
  <c r="AL833" i="9" s="1"/>
  <c r="AK925" i="9"/>
  <c r="AL925" i="9" s="1"/>
  <c r="AK949" i="9"/>
  <c r="AL949" i="9" s="1"/>
  <c r="AK969" i="9"/>
  <c r="AL969" i="9" s="1"/>
  <c r="AK1007" i="9"/>
  <c r="AL1007" i="9" s="1"/>
  <c r="AK1012" i="9"/>
  <c r="AL1012" i="9" s="1"/>
  <c r="AK1019" i="9"/>
  <c r="AL1019" i="9" s="1"/>
  <c r="AK1048" i="9"/>
  <c r="AL1048" i="9" s="1"/>
  <c r="AA1193" i="9"/>
  <c r="AE1194" i="9"/>
  <c r="Q1194" i="9"/>
  <c r="AM1194" i="9" s="1"/>
  <c r="AN1194" i="9" s="1"/>
  <c r="I1197" i="9"/>
  <c r="K1197" i="9" s="1"/>
  <c r="L1197" i="9" s="1"/>
  <c r="K1206" i="9"/>
  <c r="AN1222" i="9"/>
  <c r="K1226" i="9"/>
  <c r="AF1227" i="9"/>
  <c r="AK1227" i="9" s="1"/>
  <c r="AL1227" i="9" s="1"/>
  <c r="AN1230" i="9"/>
  <c r="AK1269" i="9"/>
  <c r="AL1269" i="9" s="1"/>
  <c r="AK1281" i="9"/>
  <c r="AL1281" i="9" s="1"/>
  <c r="AM1339" i="9"/>
  <c r="AN1339" i="9" s="1"/>
  <c r="AK1343" i="9"/>
  <c r="AL1343" i="9" s="1"/>
  <c r="AM1356" i="9"/>
  <c r="AN1356" i="9" s="1"/>
  <c r="L1369" i="9"/>
  <c r="I1369" i="9"/>
  <c r="K1369" i="9" s="1"/>
  <c r="AF1369" i="9"/>
  <c r="AO1367" i="9"/>
  <c r="AB1369" i="9"/>
  <c r="V1369" i="9"/>
  <c r="AM1407" i="9"/>
  <c r="AN1407" i="9" s="1"/>
  <c r="AK1490" i="9"/>
  <c r="AL1490" i="9" s="1"/>
  <c r="AM1513" i="9"/>
  <c r="AN1513" i="9" s="1"/>
  <c r="AK1531" i="9"/>
  <c r="AL1531" i="9" s="1"/>
  <c r="K1636" i="9"/>
  <c r="L1636" i="9" s="1"/>
  <c r="AN1636" i="9"/>
  <c r="AK1649" i="9"/>
  <c r="AL1649" i="9" s="1"/>
  <c r="AL1672" i="9"/>
  <c r="L1672" i="9"/>
  <c r="AK1680" i="9"/>
  <c r="AK1013" i="9"/>
  <c r="AL1013" i="9" s="1"/>
  <c r="AK1124" i="9"/>
  <c r="AL1124" i="9" s="1"/>
  <c r="AM1136" i="9"/>
  <c r="AN1136" i="9" s="1"/>
  <c r="I1143" i="9"/>
  <c r="K1143" i="9" s="1"/>
  <c r="L1143" i="9" s="1"/>
  <c r="AF1144" i="9"/>
  <c r="R1144" i="9"/>
  <c r="I1193" i="9"/>
  <c r="K1193" i="9" s="1"/>
  <c r="L1193" i="9" s="1"/>
  <c r="I1194" i="9"/>
  <c r="K1194" i="9" s="1"/>
  <c r="L1194" i="9" s="1"/>
  <c r="R1196" i="9"/>
  <c r="AK1196" i="9" s="1"/>
  <c r="AL1196" i="9" s="1"/>
  <c r="I1196" i="9"/>
  <c r="K1196" i="9" s="1"/>
  <c r="L1196" i="9" s="1"/>
  <c r="AM1205" i="9"/>
  <c r="AN1205" i="9" s="1"/>
  <c r="L1210" i="9"/>
  <c r="R1210" i="9"/>
  <c r="AK1210" i="9" s="1"/>
  <c r="AN1220" i="9"/>
  <c r="AL1241" i="9"/>
  <c r="L1241" i="9"/>
  <c r="AM1400" i="9"/>
  <c r="AN1400" i="9" s="1"/>
  <c r="R1431" i="9"/>
  <c r="AF1431" i="9"/>
  <c r="AB1431" i="9"/>
  <c r="V1431" i="9"/>
  <c r="AM1569" i="9"/>
  <c r="AN1569" i="9" s="1"/>
  <c r="AB1636" i="9"/>
  <c r="AF1636" i="9"/>
  <c r="V1636" i="9"/>
  <c r="R1636" i="9"/>
  <c r="AK1645" i="9"/>
  <c r="AL1645" i="9" s="1"/>
  <c r="U1692" i="9"/>
  <c r="AA1692" i="9"/>
  <c r="Q1692" i="9"/>
  <c r="AE1692" i="9"/>
  <c r="AM931" i="9"/>
  <c r="AN931" i="9" s="1"/>
  <c r="AK1106" i="9"/>
  <c r="AL1106" i="9" s="1"/>
  <c r="AL1206" i="9"/>
  <c r="AB1206" i="9"/>
  <c r="R1209" i="9"/>
  <c r="L1209" i="9"/>
  <c r="AN1218" i="9"/>
  <c r="K1221" i="9"/>
  <c r="L1221" i="9" s="1"/>
  <c r="K1225" i="9"/>
  <c r="L1225" i="9" s="1"/>
  <c r="L1226" i="9"/>
  <c r="AB1226" i="9"/>
  <c r="AK1231" i="9"/>
  <c r="AL1231" i="9" s="1"/>
  <c r="L1232" i="9"/>
  <c r="U1246" i="9"/>
  <c r="I1246" i="9"/>
  <c r="K1246" i="9" s="1"/>
  <c r="L1246" i="9" s="1"/>
  <c r="AE1246" i="9"/>
  <c r="AM1268" i="9"/>
  <c r="AN1268" i="9" s="1"/>
  <c r="AK1280" i="9"/>
  <c r="AL1280" i="9" s="1"/>
  <c r="AK1369" i="9"/>
  <c r="AL1369" i="9" s="1"/>
  <c r="AK1376" i="9"/>
  <c r="AL1376" i="9" s="1"/>
  <c r="AK1400" i="9"/>
  <c r="AL1400" i="9" s="1"/>
  <c r="AK1441" i="9"/>
  <c r="AL1441" i="9" s="1"/>
  <c r="AM1492" i="9"/>
  <c r="AN1492" i="9" s="1"/>
  <c r="AK1580" i="9"/>
  <c r="AL1580" i="9" s="1"/>
  <c r="AM1602" i="9"/>
  <c r="AN1602" i="9" s="1"/>
  <c r="I1664" i="9"/>
  <c r="K1664" i="9" s="1"/>
  <c r="L1664" i="9" s="1"/>
  <c r="AB1684" i="9"/>
  <c r="I1684" i="9"/>
  <c r="K1684" i="9" s="1"/>
  <c r="L1684" i="9" s="1"/>
  <c r="AF1684" i="9"/>
  <c r="V1684" i="9"/>
  <c r="AF1692" i="9"/>
  <c r="L1692" i="9"/>
  <c r="I1692" i="9"/>
  <c r="K1692" i="9" s="1"/>
  <c r="AB1692" i="9"/>
  <c r="V1692" i="9"/>
  <c r="R1692" i="9"/>
  <c r="AK985" i="9"/>
  <c r="AL985" i="9" s="1"/>
  <c r="AK1028" i="9"/>
  <c r="AL1028" i="9" s="1"/>
  <c r="L1144" i="9"/>
  <c r="AM1193" i="9"/>
  <c r="AN1193" i="9" s="1"/>
  <c r="V1195" i="9"/>
  <c r="I1195" i="9"/>
  <c r="K1195" i="9" s="1"/>
  <c r="L1195" i="9" s="1"/>
  <c r="L1206" i="9"/>
  <c r="V1208" i="9"/>
  <c r="V1223" i="9"/>
  <c r="AB1223" i="9"/>
  <c r="R1226" i="9"/>
  <c r="AK1226" i="9" s="1"/>
  <c r="I1243" i="9"/>
  <c r="K1243" i="9" s="1"/>
  <c r="L1243" i="9" s="1"/>
  <c r="AF1243" i="9"/>
  <c r="AK1243" i="9" s="1"/>
  <c r="AL1243" i="9" s="1"/>
  <c r="AL1246" i="9"/>
  <c r="AK1272" i="9"/>
  <c r="AL1272" i="9" s="1"/>
  <c r="AK1288" i="9"/>
  <c r="AL1288" i="9" s="1"/>
  <c r="AK1342" i="9"/>
  <c r="AL1342" i="9" s="1"/>
  <c r="AK1355" i="9"/>
  <c r="AL1355" i="9" s="1"/>
  <c r="AK1379" i="9"/>
  <c r="AL1379" i="9" s="1"/>
  <c r="AM1406" i="9"/>
  <c r="AN1406" i="9" s="1"/>
  <c r="K1667" i="9"/>
  <c r="L1667" i="9" s="1"/>
  <c r="AE1667" i="9"/>
  <c r="AA1667" i="9"/>
  <c r="U1667" i="9"/>
  <c r="Q1667" i="9"/>
  <c r="AL1675" i="9"/>
  <c r="L1675" i="9"/>
  <c r="AM927" i="9"/>
  <c r="AN927" i="9" s="1"/>
  <c r="AK957" i="9"/>
  <c r="AL957" i="9" s="1"/>
  <c r="AM993" i="9"/>
  <c r="AN993" i="9" s="1"/>
  <c r="AO1141" i="9"/>
  <c r="I1219" i="9"/>
  <c r="K1219" i="9" s="1"/>
  <c r="L1219" i="9" s="1"/>
  <c r="AB1219" i="9"/>
  <c r="AB1221" i="9"/>
  <c r="V1221" i="9"/>
  <c r="R1225" i="9"/>
  <c r="V1225" i="9"/>
  <c r="Q1239" i="9"/>
  <c r="AA1239" i="9"/>
  <c r="K1242" i="9"/>
  <c r="L1242" i="9" s="1"/>
  <c r="AN1242" i="9"/>
  <c r="AM1338" i="9"/>
  <c r="AN1338" i="9" s="1"/>
  <c r="AK1473" i="9"/>
  <c r="AL1473" i="9" s="1"/>
  <c r="AM1499" i="9"/>
  <c r="AN1499" i="9" s="1"/>
  <c r="AK1553" i="9"/>
  <c r="AL1553" i="9" s="1"/>
  <c r="AK1648" i="9"/>
  <c r="AL1648" i="9" s="1"/>
  <c r="R1679" i="9"/>
  <c r="I1679" i="9"/>
  <c r="K1679" i="9" s="1"/>
  <c r="L1679" i="9" s="1"/>
  <c r="AF1679" i="9"/>
  <c r="AB1679" i="9"/>
  <c r="V1679" i="9"/>
  <c r="I1707" i="9"/>
  <c r="AN1707" i="9"/>
  <c r="K1707" i="9"/>
  <c r="AE1771" i="9"/>
  <c r="AA1771" i="9"/>
  <c r="U1771" i="9"/>
  <c r="Q1771" i="9"/>
  <c r="AK889" i="9"/>
  <c r="AL889" i="9" s="1"/>
  <c r="AM1034" i="9"/>
  <c r="AN1034" i="9" s="1"/>
  <c r="AM1090" i="9"/>
  <c r="AN1090" i="9" s="1"/>
  <c r="AK1092" i="9"/>
  <c r="AL1092" i="9" s="1"/>
  <c r="AM1102" i="9"/>
  <c r="AN1102" i="9" s="1"/>
  <c r="AM1126" i="9"/>
  <c r="AN1126" i="9" s="1"/>
  <c r="AM1127" i="9"/>
  <c r="AN1127" i="9" s="1"/>
  <c r="AK1137" i="9"/>
  <c r="AL1137" i="9" s="1"/>
  <c r="AK1194" i="9"/>
  <c r="AL1194" i="9" s="1"/>
  <c r="V1222" i="9"/>
  <c r="R1222" i="9"/>
  <c r="AF1240" i="9"/>
  <c r="V1240" i="9"/>
  <c r="L1240" i="9"/>
  <c r="AM1367" i="9"/>
  <c r="AN1367" i="9" s="1"/>
  <c r="AN1430" i="9"/>
  <c r="AK1605" i="9"/>
  <c r="AL1605" i="9" s="1"/>
  <c r="AK1612" i="9"/>
  <c r="AL1612" i="9" s="1"/>
  <c r="AE1688" i="9"/>
  <c r="AA1688" i="9"/>
  <c r="U1688" i="9"/>
  <c r="Q1688" i="9"/>
  <c r="AK901" i="9"/>
  <c r="AL901" i="9" s="1"/>
  <c r="AK1004" i="9"/>
  <c r="AL1004" i="9" s="1"/>
  <c r="AK1022" i="9"/>
  <c r="AL1022" i="9" s="1"/>
  <c r="AK1064" i="9"/>
  <c r="AL1064" i="9" s="1"/>
  <c r="AK1079" i="9"/>
  <c r="AL1079" i="9" s="1"/>
  <c r="AK1110" i="9"/>
  <c r="AL1110" i="9" s="1"/>
  <c r="AK1128" i="9"/>
  <c r="AL1128" i="9" s="1"/>
  <c r="AL1142" i="9"/>
  <c r="I1142" i="9"/>
  <c r="K1142" i="9" s="1"/>
  <c r="L1142" i="9" s="1"/>
  <c r="AB1143" i="9"/>
  <c r="AK1143" i="9" s="1"/>
  <c r="AL1143" i="9" s="1"/>
  <c r="AF1206" i="9"/>
  <c r="AB1208" i="9"/>
  <c r="AF1209" i="9"/>
  <c r="I1218" i="9"/>
  <c r="K1218" i="9" s="1"/>
  <c r="L1218" i="9" s="1"/>
  <c r="AF1218" i="9"/>
  <c r="AK1218" i="9" s="1"/>
  <c r="AL1218" i="9" s="1"/>
  <c r="AB1220" i="9"/>
  <c r="Q1221" i="9"/>
  <c r="AM1221" i="9" s="1"/>
  <c r="AN1221" i="9" s="1"/>
  <c r="R1223" i="9"/>
  <c r="AB1225" i="9"/>
  <c r="AB1232" i="9"/>
  <c r="AK1232" i="9" s="1"/>
  <c r="AL1232" i="9" s="1"/>
  <c r="R1240" i="9"/>
  <c r="AB1243" i="9"/>
  <c r="AM1370" i="9"/>
  <c r="AN1370" i="9" s="1"/>
  <c r="AM1378" i="9"/>
  <c r="AN1378" i="9" s="1"/>
  <c r="I1430" i="9"/>
  <c r="K1430" i="9" s="1"/>
  <c r="L1430" i="9" s="1"/>
  <c r="AM1443" i="9"/>
  <c r="AN1443" i="9" s="1"/>
  <c r="AK1518" i="9"/>
  <c r="AL1518" i="9" s="1"/>
  <c r="AM1563" i="9"/>
  <c r="AN1563" i="9" s="1"/>
  <c r="R1637" i="9"/>
  <c r="AF1637" i="9"/>
  <c r="AB1637" i="9"/>
  <c r="V1637" i="9"/>
  <c r="AK1639" i="9"/>
  <c r="AL1639" i="9" s="1"/>
  <c r="AK1644" i="9"/>
  <c r="AL1644" i="9" s="1"/>
  <c r="AK1655" i="9"/>
  <c r="AL1655" i="9" s="1"/>
  <c r="AB1688" i="9"/>
  <c r="I1688" i="9"/>
  <c r="K1688" i="9" s="1"/>
  <c r="L1688" i="9" s="1"/>
  <c r="AF1688" i="9"/>
  <c r="V1688" i="9"/>
  <c r="R1688" i="9"/>
  <c r="AM1693" i="9"/>
  <c r="AN1693" i="9" s="1"/>
  <c r="AB1704" i="9"/>
  <c r="I1704" i="9"/>
  <c r="AF1704" i="9"/>
  <c r="V1704" i="9"/>
  <c r="R1704" i="9"/>
  <c r="AM883" i="9"/>
  <c r="AN883" i="9" s="1"/>
  <c r="AK933" i="9"/>
  <c r="AL933" i="9" s="1"/>
  <c r="AK1067" i="9"/>
  <c r="AL1067" i="9" s="1"/>
  <c r="AK1080" i="9"/>
  <c r="AL1080" i="9" s="1"/>
  <c r="AM1109" i="9"/>
  <c r="AN1109" i="9" s="1"/>
  <c r="AF1143" i="9"/>
  <c r="AB1193" i="9"/>
  <c r="AK1193" i="9" s="1"/>
  <c r="AL1193" i="9" s="1"/>
  <c r="AB1195" i="9"/>
  <c r="AF1208" i="9"/>
  <c r="AL1210" i="9"/>
  <c r="K1213" i="9"/>
  <c r="L1213" i="9" s="1"/>
  <c r="Q1219" i="9"/>
  <c r="AM1219" i="9" s="1"/>
  <c r="AN1219" i="9" s="1"/>
  <c r="R1221" i="9"/>
  <c r="AF1223" i="9"/>
  <c r="AF1225" i="9"/>
  <c r="AL1226" i="9"/>
  <c r="AF1232" i="9"/>
  <c r="K1239" i="9"/>
  <c r="AB1240" i="9"/>
  <c r="AA1246" i="9"/>
  <c r="AK1266" i="9"/>
  <c r="AL1266" i="9" s="1"/>
  <c r="AM1267" i="9"/>
  <c r="AN1267" i="9" s="1"/>
  <c r="AM1274" i="9"/>
  <c r="AN1274" i="9" s="1"/>
  <c r="AM1336" i="9"/>
  <c r="AN1336" i="9" s="1"/>
  <c r="AK1354" i="9"/>
  <c r="AL1354" i="9" s="1"/>
  <c r="AK1399" i="9"/>
  <c r="AL1399" i="9" s="1"/>
  <c r="AK1457" i="9"/>
  <c r="AL1457" i="9" s="1"/>
  <c r="AM1463" i="9"/>
  <c r="AN1463" i="9" s="1"/>
  <c r="AK1486" i="9"/>
  <c r="AL1486" i="9" s="1"/>
  <c r="AK1529" i="9"/>
  <c r="AL1529" i="9" s="1"/>
  <c r="AK1542" i="9"/>
  <c r="AL1542" i="9" s="1"/>
  <c r="AM1547" i="9"/>
  <c r="AN1547" i="9" s="1"/>
  <c r="AM1567" i="9"/>
  <c r="AN1567" i="9" s="1"/>
  <c r="AK1606" i="9"/>
  <c r="AL1606" i="9" s="1"/>
  <c r="AN1671" i="9"/>
  <c r="AK1693" i="9"/>
  <c r="AL1693" i="9" s="1"/>
  <c r="AK990" i="9"/>
  <c r="AL990" i="9" s="1"/>
  <c r="L1230" i="9"/>
  <c r="AF1230" i="9"/>
  <c r="AK1230" i="9" s="1"/>
  <c r="AL1230" i="9" s="1"/>
  <c r="AN1232" i="9"/>
  <c r="AK1253" i="9"/>
  <c r="AL1253" i="9" s="1"/>
  <c r="AK1347" i="9"/>
  <c r="AL1347" i="9" s="1"/>
  <c r="AM1363" i="9"/>
  <c r="AN1363" i="9" s="1"/>
  <c r="AA1368" i="9"/>
  <c r="AM1368" i="9" s="1"/>
  <c r="AN1368" i="9" s="1"/>
  <c r="V1430" i="9"/>
  <c r="R1430" i="9"/>
  <c r="AN1432" i="9"/>
  <c r="I1433" i="9"/>
  <c r="K1433" i="9" s="1"/>
  <c r="L1433" i="9" s="1"/>
  <c r="AK1438" i="9"/>
  <c r="AL1438" i="9" s="1"/>
  <c r="AK1448" i="9"/>
  <c r="AL1448" i="9" s="1"/>
  <c r="AN1597" i="9"/>
  <c r="Q1637" i="9"/>
  <c r="AF1655" i="9"/>
  <c r="AO1653" i="9"/>
  <c r="AF1660" i="9"/>
  <c r="AB1661" i="9"/>
  <c r="AK1661" i="9" s="1"/>
  <c r="AL1661" i="9" s="1"/>
  <c r="I1665" i="9"/>
  <c r="R1665" i="9"/>
  <c r="AK1665" i="9" s="1"/>
  <c r="AL1665" i="9" s="1"/>
  <c r="V1667" i="9"/>
  <c r="AK1667" i="9" s="1"/>
  <c r="AL1667" i="9" s="1"/>
  <c r="AA1677" i="9"/>
  <c r="Q1677" i="9"/>
  <c r="AM1679" i="9"/>
  <c r="AN1679" i="9" s="1"/>
  <c r="U1689" i="9"/>
  <c r="AE1698" i="9"/>
  <c r="U1698" i="9"/>
  <c r="Q1698" i="9"/>
  <c r="AF1699" i="9"/>
  <c r="I1699" i="9"/>
  <c r="K1699" i="9" s="1"/>
  <c r="L1699" i="9" s="1"/>
  <c r="AB1699" i="9"/>
  <c r="V1699" i="9"/>
  <c r="I1701" i="9"/>
  <c r="K1701" i="9" s="1"/>
  <c r="L1701" i="9" s="1"/>
  <c r="AE1701" i="9"/>
  <c r="U1701" i="9"/>
  <c r="Q1701" i="9"/>
  <c r="AN1795" i="9"/>
  <c r="AE1832" i="9"/>
  <c r="AA1832" i="9"/>
  <c r="U1832" i="9"/>
  <c r="Q1832" i="9"/>
  <c r="AM1863" i="9"/>
  <c r="AN1863" i="9" s="1"/>
  <c r="AK2225" i="9"/>
  <c r="AL2225" i="9" s="1"/>
  <c r="K1250" i="9"/>
  <c r="L1250" i="9" s="1"/>
  <c r="AK1507" i="9"/>
  <c r="AL1507" i="9" s="1"/>
  <c r="AM1625" i="9"/>
  <c r="AN1625" i="9" s="1"/>
  <c r="AF1635" i="9"/>
  <c r="R1635" i="9"/>
  <c r="AK1654" i="9"/>
  <c r="AL1654" i="9" s="1"/>
  <c r="AO1657" i="9"/>
  <c r="AB1671" i="9"/>
  <c r="R1671" i="9"/>
  <c r="R1712" i="9"/>
  <c r="I1712" i="9"/>
  <c r="K1712" i="9" s="1"/>
  <c r="L1712" i="9" s="1"/>
  <c r="AF1712" i="9"/>
  <c r="AB1712" i="9"/>
  <c r="R1771" i="9"/>
  <c r="AF1771" i="9"/>
  <c r="AB1771" i="9"/>
  <c r="V1771" i="9"/>
  <c r="AK1385" i="9"/>
  <c r="AL1385" i="9" s="1"/>
  <c r="AM1386" i="9"/>
  <c r="AN1386" i="9" s="1"/>
  <c r="AK1427" i="9"/>
  <c r="AL1427" i="9" s="1"/>
  <c r="AK1584" i="9"/>
  <c r="AL1584" i="9" s="1"/>
  <c r="AN1670" i="9"/>
  <c r="AE1673" i="9"/>
  <c r="Q1673" i="9"/>
  <c r="I1674" i="9"/>
  <c r="I1676" i="9"/>
  <c r="K1676" i="9" s="1"/>
  <c r="AF1676" i="9"/>
  <c r="V1676" i="9"/>
  <c r="L1677" i="9"/>
  <c r="AF1677" i="9"/>
  <c r="AB1677" i="9"/>
  <c r="R1677" i="9"/>
  <c r="AK1677" i="9" s="1"/>
  <c r="AL1677" i="9" s="1"/>
  <c r="AL1683" i="9"/>
  <c r="I1683" i="9"/>
  <c r="K1683" i="9" s="1"/>
  <c r="L1683" i="9" s="1"/>
  <c r="R1687" i="9"/>
  <c r="AB1695" i="9"/>
  <c r="R1695" i="9"/>
  <c r="I1695" i="9"/>
  <c r="K1695" i="9" s="1"/>
  <c r="L1695" i="9" s="1"/>
  <c r="AL1698" i="9"/>
  <c r="AM1712" i="9"/>
  <c r="AN1712" i="9" s="1"/>
  <c r="AK1729" i="9"/>
  <c r="AL1729" i="9" s="1"/>
  <c r="AM1395" i="9"/>
  <c r="AN1395" i="9" s="1"/>
  <c r="AK1397" i="9"/>
  <c r="AL1397" i="9" s="1"/>
  <c r="L1432" i="9"/>
  <c r="AK1526" i="9"/>
  <c r="AL1526" i="9" s="1"/>
  <c r="AB1544" i="9"/>
  <c r="V1544" i="9"/>
  <c r="AK1550" i="9"/>
  <c r="AL1550" i="9" s="1"/>
  <c r="AK1621" i="9"/>
  <c r="AL1621" i="9" s="1"/>
  <c r="K1635" i="9"/>
  <c r="L1635" i="9" s="1"/>
  <c r="I1670" i="9"/>
  <c r="K1670" i="9" s="1"/>
  <c r="L1670" i="9" s="1"/>
  <c r="V1671" i="9"/>
  <c r="K1674" i="9"/>
  <c r="L1674" i="9" s="1"/>
  <c r="AM1687" i="9"/>
  <c r="AN1687" i="9" s="1"/>
  <c r="AK1701" i="9"/>
  <c r="AL1701" i="9" s="1"/>
  <c r="AK1722" i="9"/>
  <c r="AL1722" i="9" s="1"/>
  <c r="AM1798" i="9"/>
  <c r="AN1798" i="9" s="1"/>
  <c r="AM1365" i="9"/>
  <c r="AN1365" i="9" s="1"/>
  <c r="AK1446" i="9"/>
  <c r="AL1446" i="9" s="1"/>
  <c r="AM1451" i="9"/>
  <c r="AN1451" i="9" s="1"/>
  <c r="AK1470" i="9"/>
  <c r="AL1470" i="9" s="1"/>
  <c r="AK1583" i="9"/>
  <c r="AL1583" i="9" s="1"/>
  <c r="AM1644" i="9"/>
  <c r="AN1644" i="9" s="1"/>
  <c r="I1659" i="9"/>
  <c r="K1659" i="9" s="1"/>
  <c r="L1659" i="9" s="1"/>
  <c r="AF1671" i="9"/>
  <c r="AF1673" i="9"/>
  <c r="AB1673" i="9"/>
  <c r="V1673" i="9"/>
  <c r="L1673" i="9"/>
  <c r="L1676" i="9"/>
  <c r="V1687" i="9"/>
  <c r="AF1691" i="9"/>
  <c r="R1691" i="9"/>
  <c r="V1691" i="9"/>
  <c r="L1691" i="9"/>
  <c r="V1695" i="9"/>
  <c r="AF1703" i="9"/>
  <c r="V1703" i="9"/>
  <c r="R1703" i="9"/>
  <c r="AB1703" i="9"/>
  <c r="L1703" i="9"/>
  <c r="V1712" i="9"/>
  <c r="AM1721" i="9"/>
  <c r="AN1721" i="9" s="1"/>
  <c r="AM1722" i="9"/>
  <c r="AN1722" i="9" s="1"/>
  <c r="AM1735" i="9"/>
  <c r="AN1735" i="9" s="1"/>
  <c r="I1823" i="9"/>
  <c r="K1823" i="9" s="1"/>
  <c r="L1823" i="9" s="1"/>
  <c r="AN1823" i="9"/>
  <c r="R1249" i="9"/>
  <c r="AK1260" i="9"/>
  <c r="AL1260" i="9" s="1"/>
  <c r="AK1335" i="9"/>
  <c r="AL1335" i="9" s="1"/>
  <c r="AK1405" i="9"/>
  <c r="AL1405" i="9" s="1"/>
  <c r="I1418" i="9"/>
  <c r="K1418" i="9" s="1"/>
  <c r="L1418" i="9" s="1"/>
  <c r="AK1602" i="9"/>
  <c r="AL1602" i="9" s="1"/>
  <c r="AM1658" i="9"/>
  <c r="AN1658" i="9" s="1"/>
  <c r="AB1660" i="9"/>
  <c r="Q1661" i="9"/>
  <c r="U1661" i="9"/>
  <c r="AM1676" i="9"/>
  <c r="AN1676" i="9" s="1"/>
  <c r="I1690" i="9"/>
  <c r="K1690" i="9" s="1"/>
  <c r="L1690" i="9" s="1"/>
  <c r="AF1690" i="9"/>
  <c r="AB1690" i="9"/>
  <c r="R1690" i="9"/>
  <c r="AL1705" i="9"/>
  <c r="I1768" i="9"/>
  <c r="K1768" i="9" s="1"/>
  <c r="L1768" i="9" s="1"/>
  <c r="AF1768" i="9"/>
  <c r="AB1768" i="9"/>
  <c r="I1820" i="9"/>
  <c r="K1820" i="9" s="1"/>
  <c r="L1820" i="9" s="1"/>
  <c r="AN1820" i="9"/>
  <c r="AB1972" i="9"/>
  <c r="I1972" i="9"/>
  <c r="K1972" i="9" s="1"/>
  <c r="L1972" i="9" s="1"/>
  <c r="AF1972" i="9"/>
  <c r="V1972" i="9"/>
  <c r="R1972" i="9"/>
  <c r="AK1972" i="9" s="1"/>
  <c r="AL1972" i="9"/>
  <c r="AK1257" i="9"/>
  <c r="AL1257" i="9" s="1"/>
  <c r="K1368" i="9"/>
  <c r="L1368" i="9" s="1"/>
  <c r="AK1406" i="9"/>
  <c r="AL1406" i="9" s="1"/>
  <c r="AB1432" i="9"/>
  <c r="AK1432" i="9" s="1"/>
  <c r="AL1432" i="9" s="1"/>
  <c r="AK1452" i="9"/>
  <c r="AL1452" i="9" s="1"/>
  <c r="AK1525" i="9"/>
  <c r="AL1525" i="9" s="1"/>
  <c r="AK1538" i="9"/>
  <c r="AL1538" i="9" s="1"/>
  <c r="AK1554" i="9"/>
  <c r="AL1554" i="9" s="1"/>
  <c r="I1597" i="9"/>
  <c r="K1597" i="9" s="1"/>
  <c r="L1597" i="9" s="1"/>
  <c r="AK1646" i="9"/>
  <c r="AL1646" i="9" s="1"/>
  <c r="I1661" i="9"/>
  <c r="K1661" i="9" s="1"/>
  <c r="L1661" i="9" s="1"/>
  <c r="R1676" i="9"/>
  <c r="AN1686" i="9"/>
  <c r="AB1687" i="9"/>
  <c r="R1768" i="9"/>
  <c r="AM1287" i="9"/>
  <c r="AN1287" i="9" s="1"/>
  <c r="AK1337" i="9"/>
  <c r="AL1337" i="9" s="1"/>
  <c r="AK1458" i="9"/>
  <c r="AL1458" i="9" s="1"/>
  <c r="AK1469" i="9"/>
  <c r="AL1469" i="9" s="1"/>
  <c r="AK1498" i="9"/>
  <c r="AL1498" i="9" s="1"/>
  <c r="AK1569" i="9"/>
  <c r="AL1569" i="9" s="1"/>
  <c r="AK1604" i="9"/>
  <c r="AL1604" i="9" s="1"/>
  <c r="U1673" i="9"/>
  <c r="AB1682" i="9"/>
  <c r="R1682" i="9"/>
  <c r="AF1682" i="9"/>
  <c r="Q1689" i="9"/>
  <c r="AA1689" i="9"/>
  <c r="AF1695" i="9"/>
  <c r="AN1697" i="9"/>
  <c r="I1697" i="9"/>
  <c r="K1697" i="9" s="1"/>
  <c r="L1697" i="9" s="1"/>
  <c r="V1711" i="9"/>
  <c r="I1711" i="9"/>
  <c r="K1711" i="9" s="1"/>
  <c r="L1711" i="9" s="1"/>
  <c r="AB1711" i="9"/>
  <c r="R1711" i="9"/>
  <c r="AK1716" i="9"/>
  <c r="AL1716" i="9" s="1"/>
  <c r="V1765" i="9"/>
  <c r="AK1765" i="9" s="1"/>
  <c r="AL1765" i="9" s="1"/>
  <c r="I1765" i="9"/>
  <c r="K1765" i="9" s="1"/>
  <c r="L1765" i="9" s="1"/>
  <c r="AF1765" i="9"/>
  <c r="AB1765" i="9"/>
  <c r="V1768" i="9"/>
  <c r="R1817" i="9"/>
  <c r="AF1817" i="9"/>
  <c r="AB1817" i="9"/>
  <c r="V1817" i="9"/>
  <c r="I1817" i="9"/>
  <c r="L1239" i="9"/>
  <c r="AF1249" i="9"/>
  <c r="AF1250" i="9"/>
  <c r="AK1250" i="9" s="1"/>
  <c r="AL1250" i="9" s="1"/>
  <c r="AK1273" i="9"/>
  <c r="AL1273" i="9" s="1"/>
  <c r="AM1355" i="9"/>
  <c r="AN1355" i="9" s="1"/>
  <c r="AK1378" i="9"/>
  <c r="AL1378" i="9" s="1"/>
  <c r="R1418" i="9"/>
  <c r="AK1418" i="9" s="1"/>
  <c r="AL1418" i="9" s="1"/>
  <c r="AK1442" i="9"/>
  <c r="AL1442" i="9" s="1"/>
  <c r="K1637" i="9"/>
  <c r="L1637" i="9" s="1"/>
  <c r="AA1637" i="9"/>
  <c r="V1659" i="9"/>
  <c r="AK1659" i="9" s="1"/>
  <c r="AL1659" i="9" s="1"/>
  <c r="R1660" i="9"/>
  <c r="AA1673" i="9"/>
  <c r="AB1676" i="9"/>
  <c r="AF1687" i="9"/>
  <c r="AF1689" i="9"/>
  <c r="I1689" i="9"/>
  <c r="K1689" i="9" s="1"/>
  <c r="L1689" i="9" s="1"/>
  <c r="V1689" i="9"/>
  <c r="K1702" i="9"/>
  <c r="L1702" i="9" s="1"/>
  <c r="AM1708" i="9"/>
  <c r="AN1708" i="9" s="1"/>
  <c r="AK1731" i="9"/>
  <c r="AL1731" i="9" s="1"/>
  <c r="AF1754" i="9"/>
  <c r="AB1754" i="9"/>
  <c r="R1754" i="9"/>
  <c r="L1754" i="9"/>
  <c r="AO1752" i="9"/>
  <c r="V1754" i="9"/>
  <c r="AM1785" i="9"/>
  <c r="AN1785" i="9" s="1"/>
  <c r="AB1793" i="9"/>
  <c r="AF1793" i="9"/>
  <c r="V1793" i="9"/>
  <c r="R1793" i="9"/>
  <c r="I1793" i="9"/>
  <c r="K1793" i="9" s="1"/>
  <c r="L1793" i="9" s="1"/>
  <c r="I1804" i="9"/>
  <c r="K1804" i="9" s="1"/>
  <c r="L1804" i="9" s="1"/>
  <c r="AN1804" i="9"/>
  <c r="AK1068" i="9"/>
  <c r="AL1068" i="9" s="1"/>
  <c r="AM1191" i="9"/>
  <c r="AN1191" i="9" s="1"/>
  <c r="K1211" i="9"/>
  <c r="L1211" i="9" s="1"/>
  <c r="AN1240" i="9"/>
  <c r="AM1359" i="9"/>
  <c r="AN1359" i="9" s="1"/>
  <c r="AM1383" i="9"/>
  <c r="AN1383" i="9" s="1"/>
  <c r="AK1409" i="9"/>
  <c r="AL1409" i="9" s="1"/>
  <c r="AK1463" i="9"/>
  <c r="AL1463" i="9" s="1"/>
  <c r="AK1480" i="9"/>
  <c r="AL1480" i="9" s="1"/>
  <c r="AM1511" i="9"/>
  <c r="AN1511" i="9" s="1"/>
  <c r="L1668" i="9"/>
  <c r="AB1681" i="9"/>
  <c r="AK1681" i="9" s="1"/>
  <c r="AL1681" i="9" s="1"/>
  <c r="AB1685" i="9"/>
  <c r="AF1779" i="9"/>
  <c r="AB1779" i="9"/>
  <c r="V1779" i="9"/>
  <c r="R1779" i="9"/>
  <c r="L1779" i="9"/>
  <c r="I1832" i="9"/>
  <c r="K1832" i="9" s="1"/>
  <c r="L1832" i="9" s="1"/>
  <c r="R1832" i="9"/>
  <c r="AF1832" i="9"/>
  <c r="AB1832" i="9"/>
  <c r="V1832" i="9"/>
  <c r="U1834" i="9"/>
  <c r="AA1834" i="9"/>
  <c r="Q1834" i="9"/>
  <c r="I1834" i="9"/>
  <c r="K1834" i="9" s="1"/>
  <c r="L1834" i="9" s="1"/>
  <c r="U1842" i="9"/>
  <c r="AE1842" i="9"/>
  <c r="AA1842" i="9"/>
  <c r="Q1842" i="9"/>
  <c r="K1842" i="9"/>
  <c r="AK1846" i="9"/>
  <c r="AN1857" i="9"/>
  <c r="K1857" i="9"/>
  <c r="L1857" i="9" s="1"/>
  <c r="AK1867" i="9"/>
  <c r="AL1867" i="9" s="1"/>
  <c r="AK1917" i="9"/>
  <c r="AL1917" i="9" s="1"/>
  <c r="AK2063" i="9"/>
  <c r="AL2063" i="9" s="1"/>
  <c r="V1674" i="9"/>
  <c r="AF1674" i="9"/>
  <c r="K1687" i="9"/>
  <c r="L1687" i="9" s="1"/>
  <c r="U1687" i="9"/>
  <c r="Q1705" i="9"/>
  <c r="AE1705" i="9"/>
  <c r="U1705" i="9"/>
  <c r="K1705" i="9"/>
  <c r="L1705" i="9" s="1"/>
  <c r="AK1715" i="9"/>
  <c r="AL1715" i="9" s="1"/>
  <c r="AM1734" i="9"/>
  <c r="AN1734" i="9" s="1"/>
  <c r="U1756" i="9"/>
  <c r="Q1756" i="9"/>
  <c r="AE1756" i="9"/>
  <c r="AA1756" i="9"/>
  <c r="K1756" i="9"/>
  <c r="L1756" i="9" s="1"/>
  <c r="AK1784" i="9"/>
  <c r="AL1784" i="9" s="1"/>
  <c r="L1792" i="9"/>
  <c r="AF1792" i="9"/>
  <c r="AB1792" i="9"/>
  <c r="V1792" i="9"/>
  <c r="AK1792" i="9" s="1"/>
  <c r="AL1792" i="9" s="1"/>
  <c r="AA1800" i="9"/>
  <c r="AE1800" i="9"/>
  <c r="U1800" i="9"/>
  <c r="Q1800" i="9"/>
  <c r="AM1800" i="9" s="1"/>
  <c r="AN1800" i="9" s="1"/>
  <c r="K1813" i="9"/>
  <c r="L1813" i="9" s="1"/>
  <c r="I1819" i="9"/>
  <c r="K1819" i="9" s="1"/>
  <c r="L1819" i="9" s="1"/>
  <c r="AK1829" i="9"/>
  <c r="AK1895" i="9"/>
  <c r="AL1895" i="9" s="1"/>
  <c r="AF1755" i="9"/>
  <c r="I1755" i="9"/>
  <c r="K1755" i="9" s="1"/>
  <c r="L1755" i="9" s="1"/>
  <c r="AB1755" i="9"/>
  <c r="R1755" i="9"/>
  <c r="AE1772" i="9"/>
  <c r="U1772" i="9"/>
  <c r="Q1772" i="9"/>
  <c r="I1772" i="9"/>
  <c r="K1772" i="9" s="1"/>
  <c r="L1772" i="9" s="1"/>
  <c r="I1822" i="9"/>
  <c r="K1822" i="9" s="1"/>
  <c r="L1822" i="9" s="1"/>
  <c r="K1838" i="9"/>
  <c r="L1838" i="9" s="1"/>
  <c r="I1838" i="9"/>
  <c r="AF1842" i="9"/>
  <c r="AB1842" i="9"/>
  <c r="V1842" i="9"/>
  <c r="R1842" i="9"/>
  <c r="L1842" i="9"/>
  <c r="AA1848" i="9"/>
  <c r="Q1848" i="9"/>
  <c r="AE1848" i="9"/>
  <c r="U1848" i="9"/>
  <c r="R1857" i="9"/>
  <c r="AF1857" i="9"/>
  <c r="AB1857" i="9"/>
  <c r="V1857" i="9"/>
  <c r="I2293" i="9"/>
  <c r="K2293" i="9" s="1"/>
  <c r="L2293" i="9" s="1"/>
  <c r="AF2293" i="9"/>
  <c r="AB2293" i="9"/>
  <c r="V2293" i="9"/>
  <c r="R2293" i="9"/>
  <c r="AK1733" i="9"/>
  <c r="AL1733" i="9" s="1"/>
  <c r="I1760" i="9"/>
  <c r="K1760" i="9" s="1"/>
  <c r="L1760" i="9" s="1"/>
  <c r="AL1760" i="9"/>
  <c r="AM1763" i="9"/>
  <c r="AN1763" i="9" s="1"/>
  <c r="AK1764" i="9"/>
  <c r="AL1764" i="9" s="1"/>
  <c r="AK1767" i="9"/>
  <c r="AL1767" i="9" s="1"/>
  <c r="AB1770" i="9"/>
  <c r="I1770" i="9"/>
  <c r="K1770" i="9" s="1"/>
  <c r="L1770" i="9" s="1"/>
  <c r="AF1770" i="9"/>
  <c r="V1770" i="9"/>
  <c r="R1770" i="9"/>
  <c r="I1778" i="9"/>
  <c r="K1778" i="9" s="1"/>
  <c r="L1778" i="9" s="1"/>
  <c r="AF1778" i="9"/>
  <c r="AB1778" i="9"/>
  <c r="V1778" i="9"/>
  <c r="I1795" i="9"/>
  <c r="K1795" i="9" s="1"/>
  <c r="L1795" i="9" s="1"/>
  <c r="V1800" i="9"/>
  <c r="AF1800" i="9"/>
  <c r="AB1800" i="9"/>
  <c r="R1800" i="9"/>
  <c r="I1848" i="9"/>
  <c r="K1848" i="9" s="1"/>
  <c r="L1848" i="9" s="1"/>
  <c r="AF2112" i="9"/>
  <c r="AB2112" i="9"/>
  <c r="V2112" i="9"/>
  <c r="R2112" i="9"/>
  <c r="L2112" i="9"/>
  <c r="AB1670" i="9"/>
  <c r="AK1670" i="9" s="1"/>
  <c r="AL1670" i="9" s="1"/>
  <c r="R1674" i="9"/>
  <c r="I1680" i="9"/>
  <c r="K1680" i="9" s="1"/>
  <c r="L1680" i="9" s="1"/>
  <c r="AL1680" i="9"/>
  <c r="AB1694" i="9"/>
  <c r="I1694" i="9"/>
  <c r="K1694" i="9" s="1"/>
  <c r="L1694" i="9" s="1"/>
  <c r="U1704" i="9"/>
  <c r="AE1704" i="9"/>
  <c r="AK1717" i="9"/>
  <c r="AL1717" i="9" s="1"/>
  <c r="AK1746" i="9"/>
  <c r="AL1746" i="9" s="1"/>
  <c r="AK1747" i="9"/>
  <c r="AL1747" i="9" s="1"/>
  <c r="I1753" i="9"/>
  <c r="K1800" i="9"/>
  <c r="L1800" i="9" s="1"/>
  <c r="AA1806" i="9"/>
  <c r="U1806" i="9"/>
  <c r="Q1806" i="9"/>
  <c r="AF1812" i="9"/>
  <c r="V1812" i="9"/>
  <c r="AB1812" i="9"/>
  <c r="R1812" i="9"/>
  <c r="AK1812" i="9" s="1"/>
  <c r="AL1812" i="9" s="1"/>
  <c r="L1812" i="9"/>
  <c r="AF1818" i="9"/>
  <c r="AB1818" i="9"/>
  <c r="V1818" i="9"/>
  <c r="R1818" i="9"/>
  <c r="K1833" i="9"/>
  <c r="L1833" i="9" s="1"/>
  <c r="I1833" i="9"/>
  <c r="AK1838" i="9"/>
  <c r="AL1838" i="9" s="1"/>
  <c r="AF1848" i="9"/>
  <c r="AB1848" i="9"/>
  <c r="V1848" i="9"/>
  <c r="R1848" i="9"/>
  <c r="AK1848" i="9" s="1"/>
  <c r="AL1848" i="9" s="1"/>
  <c r="AM1851" i="9"/>
  <c r="AN1851" i="9" s="1"/>
  <c r="AK1886" i="9"/>
  <c r="AL1886" i="9" s="1"/>
  <c r="I1968" i="9"/>
  <c r="R1968" i="9" s="1"/>
  <c r="AK1968" i="9" s="1"/>
  <c r="AL1968" i="9" s="1"/>
  <c r="AO1967" i="9"/>
  <c r="AM2109" i="9"/>
  <c r="AN2109" i="9" s="1"/>
  <c r="AK2175" i="9"/>
  <c r="AL2175" i="9" s="1"/>
  <c r="AN2376" i="9"/>
  <c r="AK1737" i="9"/>
  <c r="AL1737" i="9" s="1"/>
  <c r="AM1744" i="9"/>
  <c r="AN1744" i="9" s="1"/>
  <c r="AK1745" i="9"/>
  <c r="AL1745" i="9" s="1"/>
  <c r="AN1762" i="9"/>
  <c r="AM1781" i="9"/>
  <c r="AN1781" i="9" s="1"/>
  <c r="AM1815" i="9"/>
  <c r="AN1815" i="9" s="1"/>
  <c r="I1821" i="9"/>
  <c r="K1821" i="9" s="1"/>
  <c r="L1821" i="9" s="1"/>
  <c r="AE1837" i="9"/>
  <c r="AA1837" i="9"/>
  <c r="U1837" i="9"/>
  <c r="Q1837" i="9"/>
  <c r="AK1844" i="9"/>
  <c r="AL1844" i="9" s="1"/>
  <c r="AM1845" i="9"/>
  <c r="AN1845" i="9" s="1"/>
  <c r="Q1850" i="9"/>
  <c r="AE1850" i="9"/>
  <c r="AA1850" i="9"/>
  <c r="U1850" i="9"/>
  <c r="AB1856" i="9"/>
  <c r="V1856" i="9"/>
  <c r="I1856" i="9"/>
  <c r="K1856" i="9" s="1"/>
  <c r="AF1856" i="9"/>
  <c r="R1856" i="9"/>
  <c r="K2156" i="9"/>
  <c r="L2156" i="9" s="1"/>
  <c r="Q1684" i="9"/>
  <c r="AM1684" i="9" s="1"/>
  <c r="AN1684" i="9" s="1"/>
  <c r="R1685" i="9"/>
  <c r="K1686" i="9"/>
  <c r="L1686" i="9" s="1"/>
  <c r="I1700" i="9"/>
  <c r="K1700" i="9" s="1"/>
  <c r="L1700" i="9" s="1"/>
  <c r="AF1700" i="9"/>
  <c r="AK1700" i="9" s="1"/>
  <c r="AL1700" i="9" s="1"/>
  <c r="K1704" i="9"/>
  <c r="L1704" i="9" s="1"/>
  <c r="AA1705" i="9"/>
  <c r="V1709" i="9"/>
  <c r="AK1709" i="9" s="1"/>
  <c r="AL1709" i="9" s="1"/>
  <c r="L1709" i="9"/>
  <c r="I1709" i="9"/>
  <c r="K1709" i="9" s="1"/>
  <c r="AM1725" i="9"/>
  <c r="AN1725" i="9" s="1"/>
  <c r="AK1728" i="9"/>
  <c r="AL1728" i="9" s="1"/>
  <c r="AK1732" i="9"/>
  <c r="AL1732" i="9" s="1"/>
  <c r="AK1752" i="9"/>
  <c r="AL1752" i="9" s="1"/>
  <c r="AM1769" i="9"/>
  <c r="AN1769" i="9" s="1"/>
  <c r="AM1770" i="9"/>
  <c r="AN1770" i="9" s="1"/>
  <c r="AA1772" i="9"/>
  <c r="R1778" i="9"/>
  <c r="AM1791" i="9"/>
  <c r="AN1791" i="9" s="1"/>
  <c r="I1811" i="9"/>
  <c r="K1811" i="9" s="1"/>
  <c r="L1811" i="9" s="1"/>
  <c r="AF1811" i="9"/>
  <c r="AB1811" i="9"/>
  <c r="V1811" i="9"/>
  <c r="AM1825" i="9"/>
  <c r="AN1825" i="9" s="1"/>
  <c r="I1837" i="9"/>
  <c r="K1837" i="9" s="1"/>
  <c r="L1837" i="9" s="1"/>
  <c r="AK1840" i="9"/>
  <c r="AL1840" i="9" s="1"/>
  <c r="I1850" i="9"/>
  <c r="K1850" i="9" s="1"/>
  <c r="L1850" i="9" s="1"/>
  <c r="L1858" i="9"/>
  <c r="R1858" i="9"/>
  <c r="AF1858" i="9"/>
  <c r="AB1858" i="9"/>
  <c r="V1858" i="9"/>
  <c r="R1947" i="9"/>
  <c r="I1947" i="9"/>
  <c r="K1947" i="9" s="1"/>
  <c r="L1947" i="9" s="1"/>
  <c r="AF1947" i="9"/>
  <c r="AO1946" i="9"/>
  <c r="AB1947" i="9"/>
  <c r="I2156" i="9"/>
  <c r="AL2156" i="9"/>
  <c r="AK2299" i="9"/>
  <c r="AL2299" i="9" s="1"/>
  <c r="AM1731" i="9"/>
  <c r="AN1731" i="9" s="1"/>
  <c r="AM1743" i="9"/>
  <c r="AN1743" i="9" s="1"/>
  <c r="V1755" i="9"/>
  <c r="R1759" i="9"/>
  <c r="I1759" i="9"/>
  <c r="K1759" i="9" s="1"/>
  <c r="L1759" i="9" s="1"/>
  <c r="AB1759" i="9"/>
  <c r="AK1762" i="9"/>
  <c r="AL1762" i="9" s="1"/>
  <c r="AM1786" i="9"/>
  <c r="AN1786" i="9" s="1"/>
  <c r="AK1790" i="9"/>
  <c r="AL1790" i="9" s="1"/>
  <c r="AA1814" i="9"/>
  <c r="U1814" i="9"/>
  <c r="Q1814" i="9"/>
  <c r="K1814" i="9"/>
  <c r="L1814" i="9" s="1"/>
  <c r="I1814" i="9"/>
  <c r="AK1853" i="9"/>
  <c r="AL1853" i="9" s="1"/>
  <c r="L1856" i="9"/>
  <c r="AL2151" i="9"/>
  <c r="AO2140" i="9"/>
  <c r="AK2170" i="9"/>
  <c r="AL2170" i="9" s="1"/>
  <c r="AN1843" i="9"/>
  <c r="AA1711" i="9"/>
  <c r="U1711" i="9"/>
  <c r="AM1720" i="9"/>
  <c r="AN1720" i="9" s="1"/>
  <c r="AK1726" i="9"/>
  <c r="AL1726" i="9" s="1"/>
  <c r="AF1758" i="9"/>
  <c r="AK1758" i="9" s="1"/>
  <c r="AL1758" i="9" s="1"/>
  <c r="AN1797" i="9"/>
  <c r="AB1806" i="9"/>
  <c r="I1806" i="9"/>
  <c r="K1806" i="9" s="1"/>
  <c r="L1806" i="9" s="1"/>
  <c r="AE1810" i="9"/>
  <c r="AM1810" i="9" s="1"/>
  <c r="AN1810" i="9" s="1"/>
  <c r="AM1818" i="9"/>
  <c r="AN1818" i="9" s="1"/>
  <c r="I1824" i="9"/>
  <c r="K1824" i="9" s="1"/>
  <c r="L1824" i="9" s="1"/>
  <c r="AN1826" i="9"/>
  <c r="I1839" i="9"/>
  <c r="I1843" i="9"/>
  <c r="K1843" i="9" s="1"/>
  <c r="L1843" i="9" s="1"/>
  <c r="AE1846" i="9"/>
  <c r="U1847" i="9"/>
  <c r="AE1852" i="9"/>
  <c r="AM1852" i="9" s="1"/>
  <c r="AN1852" i="9" s="1"/>
  <c r="AF1854" i="9"/>
  <c r="AK1915" i="9"/>
  <c r="AL1915" i="9" s="1"/>
  <c r="AK1993" i="9"/>
  <c r="AL1993" i="9" s="1"/>
  <c r="AK2061" i="9"/>
  <c r="AL2061" i="9" s="1"/>
  <c r="AK2097" i="9"/>
  <c r="AL2097" i="9" s="1"/>
  <c r="AK2139" i="9"/>
  <c r="AL2139" i="9" s="1"/>
  <c r="I2152" i="9"/>
  <c r="K2152" i="9" s="1"/>
  <c r="L2152" i="9" s="1"/>
  <c r="AF2152" i="9"/>
  <c r="AB2152" i="9"/>
  <c r="AK2167" i="9"/>
  <c r="AL2167" i="9" s="1"/>
  <c r="AK2182" i="9"/>
  <c r="AL2182" i="9" s="1"/>
  <c r="AK2222" i="9"/>
  <c r="AL2222" i="9" s="1"/>
  <c r="AK1513" i="9"/>
  <c r="AL1513" i="9" s="1"/>
  <c r="AM1531" i="9"/>
  <c r="AN1531" i="9" s="1"/>
  <c r="AK1626" i="9"/>
  <c r="AL1626" i="9" s="1"/>
  <c r="I1693" i="9"/>
  <c r="K1693" i="9" s="1"/>
  <c r="L1693" i="9" s="1"/>
  <c r="U1695" i="9"/>
  <c r="AM1695" i="9" s="1"/>
  <c r="AN1695" i="9" s="1"/>
  <c r="AL1706" i="9"/>
  <c r="I1706" i="9"/>
  <c r="K1706" i="9" s="1"/>
  <c r="L1706" i="9" s="1"/>
  <c r="K1708" i="9"/>
  <c r="V1713" i="9"/>
  <c r="AK1713" i="9" s="1"/>
  <c r="AL1713" i="9" s="1"/>
  <c r="AK1727" i="9"/>
  <c r="AL1727" i="9" s="1"/>
  <c r="AE1759" i="9"/>
  <c r="AM1759" i="9" s="1"/>
  <c r="AN1759" i="9" s="1"/>
  <c r="AE1765" i="9"/>
  <c r="AM1765" i="9" s="1"/>
  <c r="AN1765" i="9" s="1"/>
  <c r="U1770" i="9"/>
  <c r="AN1773" i="9"/>
  <c r="AE1777" i="9"/>
  <c r="AM1777" i="9" s="1"/>
  <c r="AN1777" i="9" s="1"/>
  <c r="U1793" i="9"/>
  <c r="AM1793" i="9" s="1"/>
  <c r="AN1793" i="9" s="1"/>
  <c r="AK1794" i="9"/>
  <c r="AL1794" i="9" s="1"/>
  <c r="I1796" i="9"/>
  <c r="K1796" i="9" s="1"/>
  <c r="L1796" i="9" s="1"/>
  <c r="V1796" i="9"/>
  <c r="AK1796" i="9" s="1"/>
  <c r="AL1796" i="9" s="1"/>
  <c r="K1805" i="9"/>
  <c r="L1805" i="9" s="1"/>
  <c r="AF1810" i="9"/>
  <c r="R1814" i="9"/>
  <c r="AK1814" i="9" s="1"/>
  <c r="AL1814" i="9" s="1"/>
  <c r="AE1816" i="9"/>
  <c r="AL1829" i="9"/>
  <c r="AA1831" i="9"/>
  <c r="AM1831" i="9" s="1"/>
  <c r="AN1831" i="9" s="1"/>
  <c r="AB1836" i="9"/>
  <c r="I1844" i="9"/>
  <c r="K1844" i="9" s="1"/>
  <c r="L1844" i="9" s="1"/>
  <c r="V1844" i="9"/>
  <c r="AF1852" i="9"/>
  <c r="AK1893" i="9"/>
  <c r="AL1893" i="9" s="1"/>
  <c r="AK1907" i="9"/>
  <c r="AL1907" i="9" s="1"/>
  <c r="AB1951" i="9"/>
  <c r="AF1951" i="9"/>
  <c r="R1951" i="9"/>
  <c r="AK1967" i="9"/>
  <c r="AL1967" i="9" s="1"/>
  <c r="AK2028" i="9"/>
  <c r="AL2028" i="9" s="1"/>
  <c r="AM2102" i="9"/>
  <c r="AN2102" i="9" s="1"/>
  <c r="AE2123" i="9"/>
  <c r="U2123" i="9"/>
  <c r="Q2123" i="9"/>
  <c r="K2123" i="9"/>
  <c r="L2123" i="9" s="1"/>
  <c r="AK2188" i="9"/>
  <c r="AL2188" i="9" s="1"/>
  <c r="AM2221" i="9"/>
  <c r="AN2221" i="9" s="1"/>
  <c r="Q1774" i="9"/>
  <c r="AE1774" i="9"/>
  <c r="AF1777" i="9"/>
  <c r="AK1777" i="9" s="1"/>
  <c r="AL1777" i="9" s="1"/>
  <c r="AB1813" i="9"/>
  <c r="AF1816" i="9"/>
  <c r="K1839" i="9"/>
  <c r="L1839" i="9" s="1"/>
  <c r="Q1840" i="9"/>
  <c r="AM1840" i="9" s="1"/>
  <c r="AN1840" i="9" s="1"/>
  <c r="U1840" i="9"/>
  <c r="AF1851" i="9"/>
  <c r="AB1851" i="9"/>
  <c r="AK1955" i="9"/>
  <c r="AL1955" i="9" s="1"/>
  <c r="AM2042" i="9"/>
  <c r="AN2042" i="9" s="1"/>
  <c r="AM2078" i="9"/>
  <c r="AN2078" i="9" s="1"/>
  <c r="I2111" i="9"/>
  <c r="K2111" i="9" s="1"/>
  <c r="L2111" i="9" s="1"/>
  <c r="AO2110" i="9"/>
  <c r="AF2111" i="9"/>
  <c r="AB2111" i="9"/>
  <c r="V2111" i="9"/>
  <c r="AB2113" i="9"/>
  <c r="AF2113" i="9"/>
  <c r="I2113" i="9"/>
  <c r="K2113" i="9" s="1"/>
  <c r="L2113" i="9" s="1"/>
  <c r="V2113" i="9"/>
  <c r="R2113" i="9"/>
  <c r="AK2152" i="9"/>
  <c r="AL2152" i="9" s="1"/>
  <c r="U1700" i="9"/>
  <c r="Q1700" i="9"/>
  <c r="AM1700" i="9" s="1"/>
  <c r="AN1700" i="9" s="1"/>
  <c r="AB1710" i="9"/>
  <c r="AK1719" i="9"/>
  <c r="AL1719" i="9" s="1"/>
  <c r="R1756" i="9"/>
  <c r="AK1756" i="9" s="1"/>
  <c r="AL1756" i="9" s="1"/>
  <c r="I1762" i="9"/>
  <c r="K1762" i="9" s="1"/>
  <c r="L1762" i="9" s="1"/>
  <c r="AE1770" i="9"/>
  <c r="I1773" i="9"/>
  <c r="K1773" i="9" s="1"/>
  <c r="L1773" i="9" s="1"/>
  <c r="I1774" i="9"/>
  <c r="K1774" i="9" s="1"/>
  <c r="L1774" i="9" s="1"/>
  <c r="AB1780" i="9"/>
  <c r="R1780" i="9"/>
  <c r="AM1789" i="9"/>
  <c r="AN1789" i="9" s="1"/>
  <c r="I1797" i="9"/>
  <c r="K1797" i="9" s="1"/>
  <c r="L1797" i="9" s="1"/>
  <c r="L1798" i="9"/>
  <c r="I1815" i="9"/>
  <c r="K1815" i="9" s="1"/>
  <c r="L1815" i="9" s="1"/>
  <c r="I1826" i="9"/>
  <c r="K1826" i="9" s="1"/>
  <c r="L1826" i="9" s="1"/>
  <c r="I1840" i="9"/>
  <c r="AE1847" i="9"/>
  <c r="Q1854" i="9"/>
  <c r="AM1854" i="9" s="1"/>
  <c r="AN1854" i="9" s="1"/>
  <c r="K1950" i="9"/>
  <c r="L1950" i="9" s="1"/>
  <c r="AK1953" i="9"/>
  <c r="AL1953" i="9" s="1"/>
  <c r="AK1962" i="9"/>
  <c r="AL1962" i="9" s="1"/>
  <c r="AK2000" i="9"/>
  <c r="AL2000" i="9" s="1"/>
  <c r="AK2018" i="9"/>
  <c r="AL2018" i="9" s="1"/>
  <c r="I2176" i="9"/>
  <c r="K2176" i="9" s="1"/>
  <c r="L2176" i="9" s="1"/>
  <c r="AF2176" i="9"/>
  <c r="AB2176" i="9"/>
  <c r="AK2176" i="9" s="1"/>
  <c r="AL2176" i="9" s="1"/>
  <c r="AK2193" i="9"/>
  <c r="AL2193" i="9" s="1"/>
  <c r="AK2195" i="9"/>
  <c r="AL2195" i="9" s="1"/>
  <c r="Q1706" i="9"/>
  <c r="AM1706" i="9" s="1"/>
  <c r="AN1706" i="9" s="1"/>
  <c r="L1707" i="9"/>
  <c r="L1708" i="9"/>
  <c r="AM1737" i="9"/>
  <c r="AN1737" i="9" s="1"/>
  <c r="AE1778" i="9"/>
  <c r="AM1778" i="9" s="1"/>
  <c r="AN1778" i="9" s="1"/>
  <c r="Q1796" i="9"/>
  <c r="AM1796" i="9" s="1"/>
  <c r="AN1796" i="9" s="1"/>
  <c r="AF1797" i="9"/>
  <c r="R1806" i="9"/>
  <c r="AN1808" i="9"/>
  <c r="I1809" i="9"/>
  <c r="K1809" i="9" s="1"/>
  <c r="R1813" i="9"/>
  <c r="V1824" i="9"/>
  <c r="AK1824" i="9" s="1"/>
  <c r="AL1824" i="9" s="1"/>
  <c r="R1825" i="9"/>
  <c r="AK1825" i="9" s="1"/>
  <c r="AL1825" i="9" s="1"/>
  <c r="AB1826" i="9"/>
  <c r="R1826" i="9"/>
  <c r="AN1829" i="9"/>
  <c r="I1830" i="9"/>
  <c r="K1830" i="9" s="1"/>
  <c r="L1830" i="9" s="1"/>
  <c r="Q1839" i="9"/>
  <c r="AM1839" i="9" s="1"/>
  <c r="AN1839" i="9" s="1"/>
  <c r="AL1846" i="9"/>
  <c r="I1846" i="9"/>
  <c r="K1846" i="9" s="1"/>
  <c r="L1846" i="9" s="1"/>
  <c r="L1851" i="9"/>
  <c r="I1854" i="9"/>
  <c r="K1854" i="9" s="1"/>
  <c r="L1854" i="9" s="1"/>
  <c r="K1855" i="9"/>
  <c r="L1855" i="9" s="1"/>
  <c r="AK1875" i="9"/>
  <c r="AL1875" i="9" s="1"/>
  <c r="AK1906" i="9"/>
  <c r="AL1906" i="9" s="1"/>
  <c r="AK1919" i="9"/>
  <c r="AL1919" i="9" s="1"/>
  <c r="AK1925" i="9"/>
  <c r="AL1925" i="9" s="1"/>
  <c r="AK1943" i="9"/>
  <c r="AL1943" i="9" s="1"/>
  <c r="AK1960" i="9"/>
  <c r="AL1960" i="9" s="1"/>
  <c r="AF1971" i="9"/>
  <c r="AB1971" i="9"/>
  <c r="V1971" i="9"/>
  <c r="R1971" i="9"/>
  <c r="L1971" i="9"/>
  <c r="AK2013" i="9"/>
  <c r="AL2013" i="9" s="1"/>
  <c r="AM2054" i="9"/>
  <c r="AN2054" i="9" s="1"/>
  <c r="AM2090" i="9"/>
  <c r="AN2090" i="9" s="1"/>
  <c r="AM2111" i="9"/>
  <c r="AN2111" i="9" s="1"/>
  <c r="AK2135" i="9"/>
  <c r="AL2135" i="9" s="1"/>
  <c r="AK2166" i="9"/>
  <c r="AL2166" i="9" s="1"/>
  <c r="AK2171" i="9"/>
  <c r="AL2171" i="9" s="1"/>
  <c r="AK2187" i="9"/>
  <c r="AL2187" i="9" s="1"/>
  <c r="AK2249" i="9"/>
  <c r="AL2249" i="9" s="1"/>
  <c r="AM2291" i="9"/>
  <c r="AN2291" i="9" s="1"/>
  <c r="I2294" i="9"/>
  <c r="K2294" i="9" s="1"/>
  <c r="L2294" i="9" s="1"/>
  <c r="AF2294" i="9"/>
  <c r="AB2294" i="9"/>
  <c r="L1761" i="9"/>
  <c r="I1776" i="9"/>
  <c r="K1776" i="9" s="1"/>
  <c r="L1776" i="9" s="1"/>
  <c r="I1777" i="9"/>
  <c r="K1777" i="9" s="1"/>
  <c r="L1777" i="9" s="1"/>
  <c r="R1802" i="9"/>
  <c r="I1808" i="9"/>
  <c r="K1808" i="9" s="1"/>
  <c r="L1808" i="9" s="1"/>
  <c r="AB1810" i="9"/>
  <c r="L1810" i="9"/>
  <c r="V1813" i="9"/>
  <c r="K1840" i="9"/>
  <c r="L1840" i="9" s="1"/>
  <c r="AL1852" i="9"/>
  <c r="R1852" i="9"/>
  <c r="AK1852" i="9" s="1"/>
  <c r="K1853" i="9"/>
  <c r="L1853" i="9" s="1"/>
  <c r="AK1887" i="9"/>
  <c r="AL1887" i="9" s="1"/>
  <c r="AK1939" i="9"/>
  <c r="AL1939" i="9" s="1"/>
  <c r="AK1941" i="9"/>
  <c r="AL1941" i="9" s="1"/>
  <c r="AF1950" i="9"/>
  <c r="AB1950" i="9"/>
  <c r="AA1952" i="9"/>
  <c r="AE1952" i="9"/>
  <c r="U1952" i="9"/>
  <c r="Q1952" i="9"/>
  <c r="AM1995" i="9"/>
  <c r="AN1995" i="9" s="1"/>
  <c r="R2111" i="9"/>
  <c r="AK2153" i="9"/>
  <c r="AL2153" i="9" s="1"/>
  <c r="AK2292" i="9"/>
  <c r="AL2292" i="9" s="1"/>
  <c r="AM1784" i="9"/>
  <c r="AN1784" i="9" s="1"/>
  <c r="V1816" i="9"/>
  <c r="AK1816" i="9" s="1"/>
  <c r="AL1816" i="9" s="1"/>
  <c r="AB1816" i="9"/>
  <c r="U1839" i="9"/>
  <c r="AK1874" i="9"/>
  <c r="AL1874" i="9" s="1"/>
  <c r="AK1909" i="9"/>
  <c r="AL1909" i="9" s="1"/>
  <c r="AK1918" i="9"/>
  <c r="AL1918" i="9" s="1"/>
  <c r="AM1923" i="9"/>
  <c r="AN1923" i="9" s="1"/>
  <c r="R1952" i="9"/>
  <c r="I1952" i="9"/>
  <c r="K1952" i="9" s="1"/>
  <c r="L1952" i="9" s="1"/>
  <c r="AF1952" i="9"/>
  <c r="AB1952" i="9"/>
  <c r="AM1999" i="9"/>
  <c r="AN1999" i="9" s="1"/>
  <c r="AM2032" i="9"/>
  <c r="AN2032" i="9" s="1"/>
  <c r="AM2036" i="9"/>
  <c r="AN2036" i="9" s="1"/>
  <c r="AK2046" i="9"/>
  <c r="AL2046" i="9" s="1"/>
  <c r="AM2072" i="9"/>
  <c r="AN2072" i="9" s="1"/>
  <c r="AK2082" i="9"/>
  <c r="AL2082" i="9" s="1"/>
  <c r="AK2110" i="9"/>
  <c r="AL2110" i="9" s="1"/>
  <c r="R2163" i="9"/>
  <c r="I2163" i="9"/>
  <c r="K2163" i="9" s="1"/>
  <c r="L2163" i="9" s="1"/>
  <c r="AF2163" i="9"/>
  <c r="AB2163" i="9"/>
  <c r="V2163" i="9"/>
  <c r="AM2280" i="9"/>
  <c r="AN2280" i="9" s="1"/>
  <c r="AK2411" i="9"/>
  <c r="AL2411" i="9" s="1"/>
  <c r="U1699" i="9"/>
  <c r="AM1699" i="9" s="1"/>
  <c r="AN1699" i="9" s="1"/>
  <c r="V1707" i="9"/>
  <c r="AK1707" i="9" s="1"/>
  <c r="AL1707" i="9" s="1"/>
  <c r="V1710" i="9"/>
  <c r="AK1710" i="9" s="1"/>
  <c r="AL1710" i="9" s="1"/>
  <c r="AK1723" i="9"/>
  <c r="AL1723" i="9" s="1"/>
  <c r="AM1745" i="9"/>
  <c r="AN1745" i="9" s="1"/>
  <c r="R1761" i="9"/>
  <c r="AK1761" i="9" s="1"/>
  <c r="AL1761" i="9" s="1"/>
  <c r="L1764" i="9"/>
  <c r="I1767" i="9"/>
  <c r="K1767" i="9" s="1"/>
  <c r="L1767" i="9" s="1"/>
  <c r="AF1780" i="9"/>
  <c r="L1791" i="9"/>
  <c r="V1791" i="9"/>
  <c r="AK1791" i="9" s="1"/>
  <c r="AL1791" i="9" s="1"/>
  <c r="V1797" i="9"/>
  <c r="AK1797" i="9" s="1"/>
  <c r="AL1797" i="9" s="1"/>
  <c r="V1798" i="9"/>
  <c r="AK1798" i="9" s="1"/>
  <c r="AL1798" i="9" s="1"/>
  <c r="AB1802" i="9"/>
  <c r="L1809" i="9"/>
  <c r="R1815" i="9"/>
  <c r="AK1815" i="9" s="1"/>
  <c r="AL1815" i="9" s="1"/>
  <c r="K1817" i="9"/>
  <c r="L1817" i="9" s="1"/>
  <c r="V1826" i="9"/>
  <c r="V1827" i="9"/>
  <c r="L1829" i="9"/>
  <c r="Q1830" i="9"/>
  <c r="AM1830" i="9" s="1"/>
  <c r="AN1830" i="9" s="1"/>
  <c r="R1831" i="9"/>
  <c r="AB1831" i="9"/>
  <c r="Q1846" i="9"/>
  <c r="AL1847" i="9"/>
  <c r="L1852" i="9"/>
  <c r="R1854" i="9"/>
  <c r="AN1858" i="9"/>
  <c r="AK1863" i="9"/>
  <c r="AL1863" i="9" s="1"/>
  <c r="R1864" i="9"/>
  <c r="AK1864" i="9" s="1"/>
  <c r="AL1864" i="9" s="1"/>
  <c r="AM1869" i="9"/>
  <c r="AN1869" i="9" s="1"/>
  <c r="AM1915" i="9"/>
  <c r="AN1915" i="9" s="1"/>
  <c r="AK1923" i="9"/>
  <c r="AL1923" i="9" s="1"/>
  <c r="AK1924" i="9"/>
  <c r="AL1924" i="9" s="1"/>
  <c r="U1947" i="9"/>
  <c r="AM1947" i="9" s="1"/>
  <c r="AN1947" i="9" s="1"/>
  <c r="AE1947" i="9"/>
  <c r="AN1949" i="9"/>
  <c r="K1949" i="9"/>
  <c r="L1949" i="9" s="1"/>
  <c r="V1950" i="9"/>
  <c r="AK1959" i="9"/>
  <c r="AL1959" i="9" s="1"/>
  <c r="U1972" i="9"/>
  <c r="AE1972" i="9"/>
  <c r="AA1972" i="9"/>
  <c r="Q1972" i="9"/>
  <c r="AK2009" i="9"/>
  <c r="AL2009" i="9" s="1"/>
  <c r="AK2017" i="9"/>
  <c r="AL2017" i="9" s="1"/>
  <c r="AM2045" i="9"/>
  <c r="AN2045" i="9" s="1"/>
  <c r="AM2053" i="9"/>
  <c r="AN2053" i="9" s="1"/>
  <c r="AM2081" i="9"/>
  <c r="AN2081" i="9" s="1"/>
  <c r="AM2089" i="9"/>
  <c r="AN2089" i="9" s="1"/>
  <c r="AM2134" i="9"/>
  <c r="AN2134" i="9" s="1"/>
  <c r="AN2151" i="9"/>
  <c r="K2151" i="9"/>
  <c r="L2151" i="9" s="1"/>
  <c r="AL2158" i="9"/>
  <c r="I2158" i="9"/>
  <c r="K2158" i="9" s="1"/>
  <c r="L2158" i="9" s="1"/>
  <c r="I2160" i="9"/>
  <c r="K2160" i="9" s="1"/>
  <c r="L2160" i="9" s="1"/>
  <c r="AM2174" i="9"/>
  <c r="AN2174" i="9" s="1"/>
  <c r="I2220" i="9"/>
  <c r="K2220" i="9" s="1"/>
  <c r="L2220" i="9" s="1"/>
  <c r="AO2217" i="9"/>
  <c r="AL2220" i="9"/>
  <c r="V2294" i="9"/>
  <c r="AM2335" i="9"/>
  <c r="AK2426" i="9"/>
  <c r="AL2426" i="9" s="1"/>
  <c r="AK2431" i="9"/>
  <c r="AL2431" i="9" s="1"/>
  <c r="AM1788" i="9"/>
  <c r="AN1788" i="9" s="1"/>
  <c r="I1828" i="9"/>
  <c r="K1828" i="9" s="1"/>
  <c r="L1828" i="9" s="1"/>
  <c r="AK1896" i="9"/>
  <c r="AL1896" i="9" s="1"/>
  <c r="AM1916" i="9"/>
  <c r="AN1916" i="9" s="1"/>
  <c r="AM1953" i="9"/>
  <c r="AN1953" i="9" s="1"/>
  <c r="AK2015" i="9"/>
  <c r="AL2015" i="9" s="1"/>
  <c r="U2111" i="9"/>
  <c r="AN2124" i="9"/>
  <c r="I2130" i="9"/>
  <c r="K2130" i="9" s="1"/>
  <c r="L2130" i="9" s="1"/>
  <c r="AK2138" i="9"/>
  <c r="AL2138" i="9" s="1"/>
  <c r="AM2139" i="9"/>
  <c r="AN2139" i="9" s="1"/>
  <c r="AN2156" i="9"/>
  <c r="AK2161" i="9"/>
  <c r="AL2161" i="9" s="1"/>
  <c r="AA2174" i="9"/>
  <c r="AN2180" i="9"/>
  <c r="AM2288" i="9"/>
  <c r="AN2288" i="9" s="1"/>
  <c r="AK2476" i="9"/>
  <c r="AL2476" i="9" s="1"/>
  <c r="AK2486" i="9"/>
  <c r="AL2486" i="9" s="1"/>
  <c r="AK2596" i="9"/>
  <c r="AL2596" i="9" s="1"/>
  <c r="AM1936" i="9"/>
  <c r="AN1936" i="9" s="1"/>
  <c r="I1970" i="9"/>
  <c r="K1970" i="9" s="1"/>
  <c r="AK2040" i="9"/>
  <c r="AL2040" i="9" s="1"/>
  <c r="AM2057" i="9"/>
  <c r="AN2057" i="9" s="1"/>
  <c r="AM2058" i="9"/>
  <c r="AN2058" i="9" s="1"/>
  <c r="AK2076" i="9"/>
  <c r="AL2076" i="9" s="1"/>
  <c r="AM2093" i="9"/>
  <c r="AN2093" i="9" s="1"/>
  <c r="AM2094" i="9"/>
  <c r="AN2094" i="9" s="1"/>
  <c r="AM2106" i="9"/>
  <c r="AN2106" i="9" s="1"/>
  <c r="AO2116" i="9"/>
  <c r="I2117" i="9"/>
  <c r="K2117" i="9" s="1"/>
  <c r="L2117" i="9" s="1"/>
  <c r="I2180" i="9"/>
  <c r="K2180" i="9" s="1"/>
  <c r="AM2353" i="9"/>
  <c r="AN2353" i="9" s="1"/>
  <c r="AK2421" i="9"/>
  <c r="AL2421" i="9" s="1"/>
  <c r="AM2466" i="9"/>
  <c r="AN2466" i="9" s="1"/>
  <c r="AE2163" i="9"/>
  <c r="AM2163" i="9" s="1"/>
  <c r="AN2163" i="9" s="1"/>
  <c r="AL2219" i="9"/>
  <c r="AO2260" i="9"/>
  <c r="AK2533" i="9"/>
  <c r="AL2533" i="9" s="1"/>
  <c r="V1969" i="9"/>
  <c r="AB1969" i="9"/>
  <c r="AK1990" i="9"/>
  <c r="AL1990" i="9" s="1"/>
  <c r="AM2069" i="9"/>
  <c r="AN2069" i="9" s="1"/>
  <c r="AK2107" i="9"/>
  <c r="AL2107" i="9" s="1"/>
  <c r="AM2216" i="9"/>
  <c r="AN2216" i="9" s="1"/>
  <c r="AM2260" i="9"/>
  <c r="AN2260" i="9" s="1"/>
  <c r="AM2352" i="9"/>
  <c r="AN2352" i="9" s="1"/>
  <c r="AK2359" i="9"/>
  <c r="AL2359" i="9" s="1"/>
  <c r="AK1900" i="9"/>
  <c r="AL1900" i="9" s="1"/>
  <c r="AK1946" i="9"/>
  <c r="AL1946" i="9" s="1"/>
  <c r="AM1955" i="9"/>
  <c r="AN1955" i="9" s="1"/>
  <c r="L1970" i="9"/>
  <c r="AK1979" i="9"/>
  <c r="AL1979" i="9" s="1"/>
  <c r="AM2051" i="9"/>
  <c r="AN2051" i="9" s="1"/>
  <c r="AM2087" i="9"/>
  <c r="AN2087" i="9" s="1"/>
  <c r="R2117" i="9"/>
  <c r="V2130" i="9"/>
  <c r="AM2133" i="9"/>
  <c r="AN2133" i="9" s="1"/>
  <c r="AK2141" i="9"/>
  <c r="AL2141" i="9" s="1"/>
  <c r="I2153" i="9"/>
  <c r="K2153" i="9" s="1"/>
  <c r="L2153" i="9" s="1"/>
  <c r="L2180" i="9"/>
  <c r="K2218" i="9"/>
  <c r="L2218" i="9" s="1"/>
  <c r="L2219" i="9"/>
  <c r="I2261" i="9"/>
  <c r="K2261" i="9" s="1"/>
  <c r="L2261" i="9" s="1"/>
  <c r="I2269" i="9"/>
  <c r="K2269" i="9" s="1"/>
  <c r="L2269" i="9" s="1"/>
  <c r="AN2293" i="9"/>
  <c r="AM2043" i="9"/>
  <c r="AN2043" i="9" s="1"/>
  <c r="AM2050" i="9"/>
  <c r="AN2050" i="9" s="1"/>
  <c r="AK2051" i="9"/>
  <c r="AL2051" i="9" s="1"/>
  <c r="AK2052" i="9"/>
  <c r="AL2052" i="9" s="1"/>
  <c r="AM2079" i="9"/>
  <c r="AN2079" i="9" s="1"/>
  <c r="AM2086" i="9"/>
  <c r="AN2086" i="9" s="1"/>
  <c r="AK2087" i="9"/>
  <c r="AL2087" i="9" s="1"/>
  <c r="AK2088" i="9"/>
  <c r="AL2088" i="9" s="1"/>
  <c r="AK2200" i="9"/>
  <c r="AL2200" i="9" s="1"/>
  <c r="AK2217" i="9"/>
  <c r="AL2217" i="9" s="1"/>
  <c r="AM2315" i="9"/>
  <c r="AN2315" i="9" s="1"/>
  <c r="AK2328" i="9"/>
  <c r="AL2328" i="9" s="1"/>
  <c r="AM2414" i="9"/>
  <c r="AN2414" i="9" s="1"/>
  <c r="AK2415" i="9"/>
  <c r="AL2415" i="9" s="1"/>
  <c r="AK1908" i="9"/>
  <c r="AL1908" i="9" s="1"/>
  <c r="AK1956" i="9"/>
  <c r="AL1956" i="9" s="1"/>
  <c r="R1969" i="9"/>
  <c r="AK1986" i="9"/>
  <c r="AL1986" i="9" s="1"/>
  <c r="I2098" i="9"/>
  <c r="K2098" i="9" s="1"/>
  <c r="L2098" i="9" s="1"/>
  <c r="AM2099" i="9"/>
  <c r="AN2099" i="9" s="1"/>
  <c r="AB2117" i="9"/>
  <c r="R2124" i="9"/>
  <c r="AF2130" i="9"/>
  <c r="AK2134" i="9"/>
  <c r="AL2134" i="9" s="1"/>
  <c r="AL2174" i="9"/>
  <c r="AB2180" i="9"/>
  <c r="AK2180" i="9" s="1"/>
  <c r="AL2180" i="9" s="1"/>
  <c r="AE2418" i="9"/>
  <c r="AA2418" i="9"/>
  <c r="U2418" i="9"/>
  <c r="Q2418" i="9"/>
  <c r="I2418" i="9"/>
  <c r="K2418" i="9" s="1"/>
  <c r="L2418" i="9" s="1"/>
  <c r="AK1912" i="9"/>
  <c r="AL1912" i="9" s="1"/>
  <c r="AK2100" i="9"/>
  <c r="AL2100" i="9" s="1"/>
  <c r="AF2124" i="9"/>
  <c r="AM2249" i="9"/>
  <c r="AN2249" i="9" s="1"/>
  <c r="AO2265" i="9"/>
  <c r="V2269" i="9"/>
  <c r="AK2269" i="9" s="1"/>
  <c r="AL2269" i="9" s="1"/>
  <c r="AO2291" i="9"/>
  <c r="L2295" i="9"/>
  <c r="AK2558" i="9"/>
  <c r="AL2558" i="9" s="1"/>
  <c r="AK2479" i="9"/>
  <c r="AL2479" i="9" s="1"/>
  <c r="AK2554" i="9"/>
  <c r="AL2554" i="9" s="1"/>
  <c r="AK2396" i="9"/>
  <c r="AL2396" i="9" s="1"/>
  <c r="AK2034" i="9"/>
  <c r="AL2034" i="9" s="1"/>
  <c r="AM2063" i="9"/>
  <c r="AN2063" i="9" s="1"/>
  <c r="AK2070" i="9"/>
  <c r="AL2070" i="9" s="1"/>
  <c r="AO2122" i="9"/>
  <c r="AN2154" i="9"/>
  <c r="AF2418" i="9"/>
  <c r="AB2418" i="9"/>
  <c r="V2418" i="9"/>
  <c r="R2418" i="9"/>
  <c r="AK2446" i="9"/>
  <c r="AL2446" i="9" s="1"/>
  <c r="AK2539" i="9"/>
  <c r="AL2539" i="9" s="1"/>
  <c r="AM2551" i="9"/>
  <c r="AN2551" i="9" s="1"/>
  <c r="AK2648" i="9"/>
  <c r="AL2648" i="9" s="1"/>
  <c r="AK2670" i="9"/>
  <c r="AL2670" i="9" s="1"/>
  <c r="AM2317" i="9"/>
  <c r="AN2317" i="9" s="1"/>
  <c r="AE2334" i="9"/>
  <c r="AA2334" i="9"/>
  <c r="U2334" i="9"/>
  <c r="AM2334" i="9" s="1"/>
  <c r="AN2334" i="9" s="1"/>
  <c r="K2334" i="9"/>
  <c r="L2334" i="9" s="1"/>
  <c r="AN2335" i="9"/>
  <c r="AK2379" i="9"/>
  <c r="AL2379" i="9" s="1"/>
  <c r="AF2407" i="9"/>
  <c r="AB2407" i="9"/>
  <c r="V2407" i="9"/>
  <c r="R2407" i="9"/>
  <c r="I2407" i="9"/>
  <c r="K2407" i="9" s="1"/>
  <c r="L2407" i="9" s="1"/>
  <c r="AK2438" i="9"/>
  <c r="AL2438" i="9" s="1"/>
  <c r="AK2507" i="9"/>
  <c r="AL2507" i="9" s="1"/>
  <c r="AK2528" i="9"/>
  <c r="AL2528" i="9" s="1"/>
  <c r="AK2609" i="9"/>
  <c r="AL2609" i="9" s="1"/>
  <c r="AM2656" i="9"/>
  <c r="AN2656" i="9" s="1"/>
  <c r="AK2669" i="9"/>
  <c r="AL2669" i="9" s="1"/>
  <c r="AK2311" i="9"/>
  <c r="AL2311" i="9" s="1"/>
  <c r="AM2333" i="9"/>
  <c r="AN2333" i="9" s="1"/>
  <c r="AK2336" i="9"/>
  <c r="AL2336" i="9" s="1"/>
  <c r="AK2360" i="9"/>
  <c r="AL2360" i="9" s="1"/>
  <c r="AK2549" i="9"/>
  <c r="AL2549" i="9" s="1"/>
  <c r="AK2559" i="9"/>
  <c r="AL2559" i="9" s="1"/>
  <c r="AM2584" i="9"/>
  <c r="AN2584" i="9" s="1"/>
  <c r="AK2619" i="9"/>
  <c r="AL2619" i="9" s="1"/>
  <c r="AK2625" i="9"/>
  <c r="AL2625" i="9" s="1"/>
  <c r="AK2691" i="9"/>
  <c r="AL2691" i="9" s="1"/>
  <c r="AK2333" i="9"/>
  <c r="AL2333" i="9" s="1"/>
  <c r="AK2412" i="9"/>
  <c r="AL2412" i="9" s="1"/>
  <c r="AM2472" i="9"/>
  <c r="AN2472" i="9" s="1"/>
  <c r="AM2593" i="9"/>
  <c r="AN2593" i="9" s="1"/>
  <c r="AK2367" i="9"/>
  <c r="AL2367" i="9" s="1"/>
  <c r="AK2416" i="9"/>
  <c r="AL2416" i="9" s="1"/>
  <c r="AK2457" i="9"/>
  <c r="AL2457" i="9" s="1"/>
  <c r="AK2477" i="9"/>
  <c r="AL2477" i="9" s="1"/>
  <c r="AK2532" i="9"/>
  <c r="AL2532" i="9" s="1"/>
  <c r="AK2548" i="9"/>
  <c r="AL2548" i="9" s="1"/>
  <c r="AM2562" i="9"/>
  <c r="AN2562" i="9" s="1"/>
  <c r="AK2563" i="9"/>
  <c r="AL2563" i="9" s="1"/>
  <c r="AM2668" i="9"/>
  <c r="AN2668" i="9" s="1"/>
  <c r="AK2388" i="9"/>
  <c r="AL2388" i="9" s="1"/>
  <c r="AK2441" i="9"/>
  <c r="AL2441" i="9" s="1"/>
  <c r="AK2459" i="9"/>
  <c r="AL2459" i="9" s="1"/>
  <c r="AK2495" i="9"/>
  <c r="AL2495" i="9" s="1"/>
  <c r="AK2571" i="9"/>
  <c r="AL2571" i="9" s="1"/>
  <c r="AK2598" i="9"/>
  <c r="AL2598" i="9" s="1"/>
  <c r="AK2624" i="9"/>
  <c r="AL2624" i="9" s="1"/>
  <c r="AK2944" i="9"/>
  <c r="AL2944" i="9" s="1"/>
  <c r="AB2335" i="9"/>
  <c r="AK2335" i="9" s="1"/>
  <c r="AL2335" i="9" s="1"/>
  <c r="AE2359" i="9"/>
  <c r="I2376" i="9"/>
  <c r="K2376" i="9" s="1"/>
  <c r="L2376" i="9" s="1"/>
  <c r="AK2394" i="9"/>
  <c r="AL2394" i="9" s="1"/>
  <c r="AO2405" i="9"/>
  <c r="I2406" i="9"/>
  <c r="K2406" i="9" s="1"/>
  <c r="L2406" i="9" s="1"/>
  <c r="L2417" i="9"/>
  <c r="AO2416" i="9"/>
  <c r="AK2581" i="9"/>
  <c r="AL2581" i="9" s="1"/>
  <c r="AM2605" i="9"/>
  <c r="AN2605" i="9" s="1"/>
  <c r="AK2654" i="9"/>
  <c r="AL2654" i="9" s="1"/>
  <c r="AK2675" i="9"/>
  <c r="AL2675" i="9" s="1"/>
  <c r="AM2698" i="9"/>
  <c r="AN2698" i="9" s="1"/>
  <c r="AK2704" i="9"/>
  <c r="AL2704" i="9" s="1"/>
  <c r="AK2712" i="9"/>
  <c r="AL2712" i="9" s="1"/>
  <c r="AK2723" i="9"/>
  <c r="AL2723" i="9" s="1"/>
  <c r="AK2452" i="9"/>
  <c r="AL2452" i="9" s="1"/>
  <c r="AN3133" i="9"/>
  <c r="AK2462" i="9"/>
  <c r="AL2462" i="9" s="1"/>
  <c r="AK2474" i="9"/>
  <c r="AL2474" i="9" s="1"/>
  <c r="AK2525" i="9"/>
  <c r="AL2525" i="9" s="1"/>
  <c r="AM2592" i="9"/>
  <c r="AN2592" i="9" s="1"/>
  <c r="AK2613" i="9"/>
  <c r="AL2613" i="9" s="1"/>
  <c r="AK2641" i="9"/>
  <c r="AL2641" i="9" s="1"/>
  <c r="AK2666" i="9"/>
  <c r="AL2666" i="9" s="1"/>
  <c r="AM2667" i="9"/>
  <c r="AN2667" i="9" s="1"/>
  <c r="AK2693" i="9"/>
  <c r="AL2693" i="9" s="1"/>
  <c r="AK2720" i="9"/>
  <c r="AL2720" i="9" s="1"/>
  <c r="AK2746" i="9"/>
  <c r="AL2746" i="9" s="1"/>
  <c r="AK2385" i="9"/>
  <c r="AL2385" i="9" s="1"/>
  <c r="AM2554" i="9"/>
  <c r="AN2554" i="9" s="1"/>
  <c r="AK2561" i="9"/>
  <c r="AL2561" i="9" s="1"/>
  <c r="AK2617" i="9"/>
  <c r="AL2617" i="9" s="1"/>
  <c r="AK2743" i="9"/>
  <c r="AL2743" i="9" s="1"/>
  <c r="AK2910" i="9"/>
  <c r="AL2910" i="9" s="1"/>
  <c r="AM2480" i="9"/>
  <c r="AN2480" i="9" s="1"/>
  <c r="AK2593" i="9"/>
  <c r="AL2593" i="9" s="1"/>
  <c r="AM2658" i="9"/>
  <c r="AN2658" i="9" s="1"/>
  <c r="AK2668" i="9"/>
  <c r="AL2668" i="9" s="1"/>
  <c r="L2335" i="9"/>
  <c r="L2358" i="9"/>
  <c r="AK2469" i="9"/>
  <c r="AL2469" i="9" s="1"/>
  <c r="AK2524" i="9"/>
  <c r="AL2524" i="9" s="1"/>
  <c r="AM2571" i="9"/>
  <c r="AN2571" i="9" s="1"/>
  <c r="AK2659" i="9"/>
  <c r="AL2659" i="9" s="1"/>
  <c r="AK2660" i="9"/>
  <c r="AL2660" i="9" s="1"/>
  <c r="AK2692" i="9"/>
  <c r="AL2692" i="9" s="1"/>
  <c r="AK2702" i="9"/>
  <c r="AL2702" i="9" s="1"/>
  <c r="AK2891" i="9"/>
  <c r="AL2891" i="9" s="1"/>
  <c r="AM2424" i="9"/>
  <c r="AN2424" i="9" s="1"/>
  <c r="AM2425" i="9"/>
  <c r="AN2425" i="9" s="1"/>
  <c r="AK2442" i="9"/>
  <c r="AL2442" i="9" s="1"/>
  <c r="AK2529" i="9"/>
  <c r="AL2529" i="9" s="1"/>
  <c r="AM2550" i="9"/>
  <c r="AN2550" i="9" s="1"/>
  <c r="AK2595" i="9"/>
  <c r="AL2595" i="9" s="1"/>
  <c r="AK2597" i="9"/>
  <c r="AL2597" i="9" s="1"/>
  <c r="AK2639" i="9"/>
  <c r="AL2639" i="9" s="1"/>
  <c r="AK2684" i="9"/>
  <c r="AL2684" i="9" s="1"/>
  <c r="AK2706" i="9"/>
  <c r="AL2706" i="9" s="1"/>
  <c r="AK2713" i="9"/>
  <c r="AL2713" i="9" s="1"/>
  <c r="AK2789" i="9"/>
  <c r="AL2789" i="9" s="1"/>
  <c r="V2358" i="9"/>
  <c r="AK2358" i="9" s="1"/>
  <c r="AL2358" i="9" s="1"/>
  <c r="AM2412" i="9"/>
  <c r="AN2412" i="9" s="1"/>
  <c r="AK2425" i="9"/>
  <c r="AL2425" i="9" s="1"/>
  <c r="AK2432" i="9"/>
  <c r="AL2432" i="9" s="1"/>
  <c r="AK2455" i="9"/>
  <c r="AL2455" i="9" s="1"/>
  <c r="AK2466" i="9"/>
  <c r="AL2466" i="9" s="1"/>
  <c r="AM2549" i="9"/>
  <c r="AN2549" i="9" s="1"/>
  <c r="AK2550" i="9"/>
  <c r="AL2550" i="9" s="1"/>
  <c r="AK2632" i="9"/>
  <c r="AL2632" i="9" s="1"/>
  <c r="AK2709" i="9"/>
  <c r="AL2709" i="9" s="1"/>
  <c r="AK2719" i="9"/>
  <c r="AL2719" i="9" s="1"/>
  <c r="AK2824" i="9"/>
  <c r="AL2824" i="9" s="1"/>
  <c r="AE3127" i="9"/>
  <c r="AA3127" i="9"/>
  <c r="U3127" i="9"/>
  <c r="Q3127" i="9"/>
  <c r="I3127" i="9"/>
  <c r="K3127" i="9" s="1"/>
  <c r="L3127" i="9" s="1"/>
  <c r="AK2656" i="9"/>
  <c r="AL2656" i="9" s="1"/>
  <c r="AM2664" i="9"/>
  <c r="AN2664" i="9" s="1"/>
  <c r="AK2695" i="9"/>
  <c r="AL2695" i="9" s="1"/>
  <c r="AM2704" i="9"/>
  <c r="AN2704" i="9" s="1"/>
  <c r="AK2722" i="9"/>
  <c r="AL2722" i="9" s="1"/>
  <c r="AM2741" i="9"/>
  <c r="AN2741" i="9" s="1"/>
  <c r="AK2758" i="9"/>
  <c r="AL2758" i="9" s="1"/>
  <c r="AM2823" i="9"/>
  <c r="AN2823" i="9" s="1"/>
  <c r="AK2926" i="9"/>
  <c r="AL2926" i="9" s="1"/>
  <c r="AK2887" i="9"/>
  <c r="AL2887" i="9" s="1"/>
  <c r="AK3059" i="9"/>
  <c r="AL3059" i="9" s="1"/>
  <c r="AK2897" i="9"/>
  <c r="AL2897" i="9" s="1"/>
  <c r="AK3021" i="9"/>
  <c r="AL3021" i="9" s="1"/>
  <c r="AK2919" i="9"/>
  <c r="AL2919" i="9" s="1"/>
  <c r="AK2819" i="9"/>
  <c r="AL2819" i="9" s="1"/>
  <c r="AK2841" i="9"/>
  <c r="AL2841" i="9" s="1"/>
  <c r="AK2878" i="9"/>
  <c r="AL2878" i="9" s="1"/>
  <c r="AK2916" i="9"/>
  <c r="AL2916" i="9" s="1"/>
  <c r="AK2953" i="9"/>
  <c r="AL2953" i="9" s="1"/>
  <c r="AK3004" i="9"/>
  <c r="AL3004" i="9" s="1"/>
  <c r="AF3135" i="9"/>
  <c r="AB3135" i="9"/>
  <c r="R3135" i="9"/>
  <c r="I3135" i="9"/>
  <c r="K3135" i="9" s="1"/>
  <c r="L3135" i="9" s="1"/>
  <c r="AK2573" i="9"/>
  <c r="AL2573" i="9" s="1"/>
  <c r="AK2721" i="9"/>
  <c r="AL2721" i="9" s="1"/>
  <c r="AM2751" i="9"/>
  <c r="AN2751" i="9" s="1"/>
  <c r="AK2754" i="9"/>
  <c r="AL2754" i="9" s="1"/>
  <c r="AK2802" i="9"/>
  <c r="AL2802" i="9" s="1"/>
  <c r="AK2840" i="9"/>
  <c r="AL2840" i="9" s="1"/>
  <c r="AK2896" i="9"/>
  <c r="AL2896" i="9" s="1"/>
  <c r="AK2962" i="9"/>
  <c r="AL2962" i="9" s="1"/>
  <c r="AK2976" i="9"/>
  <c r="AL2976" i="9" s="1"/>
  <c r="AK2985" i="9"/>
  <c r="AL2985" i="9" s="1"/>
  <c r="AK3041" i="9"/>
  <c r="AL3041" i="9" s="1"/>
  <c r="AK3053" i="9"/>
  <c r="AL3053" i="9" s="1"/>
  <c r="AN3129" i="9"/>
  <c r="AK3182" i="9"/>
  <c r="AL3182" i="9" s="1"/>
  <c r="AK2733" i="9"/>
  <c r="AL2733" i="9" s="1"/>
  <c r="AK2778" i="9"/>
  <c r="AL2778" i="9" s="1"/>
  <c r="AK2937" i="9"/>
  <c r="AL2937" i="9" s="1"/>
  <c r="AM3170" i="9"/>
  <c r="AN3170" i="9" s="1"/>
  <c r="AN3370" i="9"/>
  <c r="I3370" i="9"/>
  <c r="K3370" i="9" s="1"/>
  <c r="L3370" i="9" s="1"/>
  <c r="AK2741" i="9"/>
  <c r="AL2741" i="9" s="1"/>
  <c r="AK2742" i="9"/>
  <c r="AL2742" i="9" s="1"/>
  <c r="AK2769" i="9"/>
  <c r="AL2769" i="9" s="1"/>
  <c r="AK2817" i="9"/>
  <c r="AL2817" i="9" s="1"/>
  <c r="AK2873" i="9"/>
  <c r="AL2873" i="9" s="1"/>
  <c r="AK2895" i="9"/>
  <c r="AL2895" i="9" s="1"/>
  <c r="AK2898" i="9"/>
  <c r="AL2898" i="9" s="1"/>
  <c r="AK2902" i="9"/>
  <c r="AL2902" i="9" s="1"/>
  <c r="AK2987" i="9"/>
  <c r="AL2987" i="9" s="1"/>
  <c r="AK3102" i="9"/>
  <c r="AL3102" i="9" s="1"/>
  <c r="AM2747" i="9"/>
  <c r="AN2747" i="9" s="1"/>
  <c r="AK2951" i="9"/>
  <c r="AL2951" i="9" s="1"/>
  <c r="AK3107" i="9"/>
  <c r="AL3107" i="9" s="1"/>
  <c r="AF3130" i="9"/>
  <c r="AB3130" i="9"/>
  <c r="V3130" i="9"/>
  <c r="R3130" i="9"/>
  <c r="I3130" i="9"/>
  <c r="K3130" i="9" s="1"/>
  <c r="L3130" i="9" s="1"/>
  <c r="AM3169" i="9"/>
  <c r="AN3169" i="9" s="1"/>
  <c r="AK2697" i="9"/>
  <c r="AL2697" i="9" s="1"/>
  <c r="AK2760" i="9"/>
  <c r="AL2760" i="9" s="1"/>
  <c r="AK2808" i="9"/>
  <c r="AL2808" i="9" s="1"/>
  <c r="AM2831" i="9"/>
  <c r="AN2831" i="9" s="1"/>
  <c r="AK2838" i="9"/>
  <c r="AL2838" i="9" s="1"/>
  <c r="AM2841" i="9"/>
  <c r="AN2841" i="9" s="1"/>
  <c r="AK2879" i="9"/>
  <c r="AL2879" i="9" s="1"/>
  <c r="AK2882" i="9"/>
  <c r="AL2882" i="9" s="1"/>
  <c r="AK2911" i="9"/>
  <c r="AL2911" i="9" s="1"/>
  <c r="AK2917" i="9"/>
  <c r="AL2917" i="9" s="1"/>
  <c r="AK2936" i="9"/>
  <c r="AL2936" i="9" s="1"/>
  <c r="AK2945" i="9"/>
  <c r="AL2945" i="9" s="1"/>
  <c r="AK3002" i="9"/>
  <c r="AL3002" i="9" s="1"/>
  <c r="AK3025" i="9"/>
  <c r="AL3025" i="9" s="1"/>
  <c r="AK3229" i="9"/>
  <c r="AL3229" i="9" s="1"/>
  <c r="AK2772" i="9"/>
  <c r="AL2772" i="9" s="1"/>
  <c r="AK2820" i="9"/>
  <c r="AL2820" i="9" s="1"/>
  <c r="AK2831" i="9"/>
  <c r="AL2831" i="9" s="1"/>
  <c r="AK2993" i="9"/>
  <c r="AL2993" i="9" s="1"/>
  <c r="AK2996" i="9"/>
  <c r="AL2996" i="9" s="1"/>
  <c r="AK3019" i="9"/>
  <c r="AL3019" i="9" s="1"/>
  <c r="AK3074" i="9"/>
  <c r="AL3074" i="9" s="1"/>
  <c r="AK3080" i="9"/>
  <c r="AL3080" i="9" s="1"/>
  <c r="AK3166" i="9"/>
  <c r="AL3166" i="9" s="1"/>
  <c r="AK2755" i="9"/>
  <c r="AL2755" i="9" s="1"/>
  <c r="AK2784" i="9"/>
  <c r="AL2784" i="9" s="1"/>
  <c r="AK2803" i="9"/>
  <c r="AL2803" i="9" s="1"/>
  <c r="AK2860" i="9"/>
  <c r="AL2860" i="9" s="1"/>
  <c r="AK2867" i="9"/>
  <c r="AL2867" i="9" s="1"/>
  <c r="AK2871" i="9"/>
  <c r="AL2871" i="9" s="1"/>
  <c r="AK2907" i="9"/>
  <c r="AL2907" i="9" s="1"/>
  <c r="AK2977" i="9"/>
  <c r="AL2977" i="9" s="1"/>
  <c r="AK3010" i="9"/>
  <c r="AL3010" i="9" s="1"/>
  <c r="AK3013" i="9"/>
  <c r="AL3013" i="9" s="1"/>
  <c r="AK3036" i="9"/>
  <c r="AL3036" i="9" s="1"/>
  <c r="AK3085" i="9"/>
  <c r="AL3085" i="9" s="1"/>
  <c r="AK3089" i="9"/>
  <c r="AL3089" i="9" s="1"/>
  <c r="AK2880" i="9"/>
  <c r="AL2880" i="9" s="1"/>
  <c r="AK2960" i="9"/>
  <c r="AL2960" i="9" s="1"/>
  <c r="AK3046" i="9"/>
  <c r="AL3046" i="9" s="1"/>
  <c r="AK3106" i="9"/>
  <c r="AL3106" i="9" s="1"/>
  <c r="AK3262" i="9"/>
  <c r="AL3262" i="9" s="1"/>
  <c r="AK3466" i="9"/>
  <c r="AL3466" i="9" s="1"/>
  <c r="AK3079" i="9"/>
  <c r="AL3079" i="9" s="1"/>
  <c r="AE3128" i="9"/>
  <c r="AF3134" i="9"/>
  <c r="R3134" i="9"/>
  <c r="AK3146" i="9"/>
  <c r="AL3146" i="9" s="1"/>
  <c r="AM3214" i="9"/>
  <c r="AN3214" i="9" s="1"/>
  <c r="AM3216" i="9"/>
  <c r="AN3216" i="9" s="1"/>
  <c r="AK3316" i="9"/>
  <c r="AL3316" i="9" s="1"/>
  <c r="AM3355" i="9"/>
  <c r="AN3355" i="9" s="1"/>
  <c r="AK3411" i="9"/>
  <c r="AL3411" i="9" s="1"/>
  <c r="AM3120" i="9"/>
  <c r="AN3120" i="9" s="1"/>
  <c r="AL3128" i="9"/>
  <c r="I3129" i="9"/>
  <c r="K3129" i="9" s="1"/>
  <c r="L3129" i="9" s="1"/>
  <c r="V3129" i="9"/>
  <c r="I3133" i="9"/>
  <c r="K3133" i="9" s="1"/>
  <c r="L3133" i="9" s="1"/>
  <c r="V3133" i="9"/>
  <c r="AK3198" i="9"/>
  <c r="AL3198" i="9" s="1"/>
  <c r="AM3213" i="9"/>
  <c r="AN3213" i="9" s="1"/>
  <c r="AM3283" i="9"/>
  <c r="AN3283" i="9" s="1"/>
  <c r="AK3284" i="9"/>
  <c r="AL3284" i="9" s="1"/>
  <c r="AK3008" i="9"/>
  <c r="AL3008" i="9" s="1"/>
  <c r="AK3067" i="9"/>
  <c r="AL3067" i="9" s="1"/>
  <c r="AK3115" i="9"/>
  <c r="AL3115" i="9" s="1"/>
  <c r="AM3121" i="9"/>
  <c r="AN3121" i="9" s="1"/>
  <c r="AM3122" i="9"/>
  <c r="AN3122" i="9" s="1"/>
  <c r="AM3125" i="9"/>
  <c r="AN3125" i="9" s="1"/>
  <c r="V3134" i="9"/>
  <c r="AK3141" i="9"/>
  <c r="AL3141" i="9" s="1"/>
  <c r="K3155" i="9"/>
  <c r="L3155" i="9" s="1"/>
  <c r="AK3195" i="9"/>
  <c r="AL3195" i="9" s="1"/>
  <c r="AM3209" i="9"/>
  <c r="AN3209" i="9" s="1"/>
  <c r="AK3220" i="9"/>
  <c r="AL3220" i="9" s="1"/>
  <c r="AF3227" i="9"/>
  <c r="V3227" i="9"/>
  <c r="I3227" i="9"/>
  <c r="K3227" i="9" s="1"/>
  <c r="L3227" i="9" s="1"/>
  <c r="AK3237" i="9"/>
  <c r="AL3237" i="9" s="1"/>
  <c r="AM3244" i="9"/>
  <c r="AN3244" i="9" s="1"/>
  <c r="AK3252" i="9"/>
  <c r="AL3252" i="9" s="1"/>
  <c r="AK3306" i="9"/>
  <c r="AL3306" i="9" s="1"/>
  <c r="AK3118" i="9"/>
  <c r="AL3118" i="9" s="1"/>
  <c r="AK3121" i="9"/>
  <c r="AL3121" i="9" s="1"/>
  <c r="AK3122" i="9"/>
  <c r="AL3122" i="9" s="1"/>
  <c r="AK3125" i="9"/>
  <c r="AL3125" i="9" s="1"/>
  <c r="AK3149" i="9"/>
  <c r="AL3149" i="9" s="1"/>
  <c r="AM3161" i="9"/>
  <c r="AN3161" i="9" s="1"/>
  <c r="AM3177" i="9"/>
  <c r="AN3177" i="9" s="1"/>
  <c r="AM3185" i="9"/>
  <c r="AN3185" i="9" s="1"/>
  <c r="AK3209" i="9"/>
  <c r="AL3209" i="9" s="1"/>
  <c r="AM3243" i="9"/>
  <c r="AN3243" i="9" s="1"/>
  <c r="AK3257" i="9"/>
  <c r="AL3257" i="9" s="1"/>
  <c r="AK3258" i="9"/>
  <c r="AL3258" i="9" s="1"/>
  <c r="AM2826" i="9"/>
  <c r="AN2826" i="9" s="1"/>
  <c r="AK3043" i="9"/>
  <c r="AL3043" i="9" s="1"/>
  <c r="AK3055" i="9"/>
  <c r="AL3055" i="9" s="1"/>
  <c r="R3129" i="9"/>
  <c r="R3133" i="9"/>
  <c r="AF3155" i="9"/>
  <c r="V3155" i="9"/>
  <c r="AO3154" i="9"/>
  <c r="AK3161" i="9"/>
  <c r="AL3161" i="9" s="1"/>
  <c r="AK3186" i="9"/>
  <c r="AL3186" i="9" s="1"/>
  <c r="AK3191" i="9"/>
  <c r="AL3191" i="9" s="1"/>
  <c r="AM3198" i="9"/>
  <c r="AN3198" i="9" s="1"/>
  <c r="AM3208" i="9"/>
  <c r="AN3208" i="9" s="1"/>
  <c r="AK3213" i="9"/>
  <c r="AL3213" i="9" s="1"/>
  <c r="AM3256" i="9"/>
  <c r="AN3256" i="9" s="1"/>
  <c r="AK2892" i="9"/>
  <c r="AL2892" i="9" s="1"/>
  <c r="AK2972" i="9"/>
  <c r="AL2972" i="9" s="1"/>
  <c r="AK3022" i="9"/>
  <c r="AL3022" i="9" s="1"/>
  <c r="AK3066" i="9"/>
  <c r="AL3066" i="9" s="1"/>
  <c r="AK3123" i="9"/>
  <c r="AL3123" i="9" s="1"/>
  <c r="R3127" i="9"/>
  <c r="U3128" i="9"/>
  <c r="AB3129" i="9"/>
  <c r="AB3133" i="9"/>
  <c r="AM3154" i="9"/>
  <c r="AN3154" i="9" s="1"/>
  <c r="I3226" i="9"/>
  <c r="K3226" i="9" s="1"/>
  <c r="L3226" i="9" s="1"/>
  <c r="AB3227" i="9"/>
  <c r="AM3289" i="9"/>
  <c r="AN3289" i="9" s="1"/>
  <c r="AK2864" i="9"/>
  <c r="AL2864" i="9" s="1"/>
  <c r="AK2912" i="9"/>
  <c r="AL2912" i="9" s="1"/>
  <c r="AK3026" i="9"/>
  <c r="AL3026" i="9" s="1"/>
  <c r="AK3031" i="9"/>
  <c r="AL3031" i="9" s="1"/>
  <c r="AF3129" i="9"/>
  <c r="AF3133" i="9"/>
  <c r="AM3175" i="9"/>
  <c r="AN3175" i="9" s="1"/>
  <c r="AK3176" i="9"/>
  <c r="AL3176" i="9" s="1"/>
  <c r="AK3177" i="9"/>
  <c r="AL3177" i="9" s="1"/>
  <c r="AK3187" i="9"/>
  <c r="AL3187" i="9" s="1"/>
  <c r="AK3226" i="9"/>
  <c r="AL3226" i="9" s="1"/>
  <c r="AK3241" i="9"/>
  <c r="AL3241" i="9" s="1"/>
  <c r="AM3257" i="9"/>
  <c r="AN3257" i="9" s="1"/>
  <c r="AK3308" i="9"/>
  <c r="AL3308" i="9" s="1"/>
  <c r="AK3058" i="9"/>
  <c r="AL3058" i="9" s="1"/>
  <c r="AM3114" i="9"/>
  <c r="AN3114" i="9" s="1"/>
  <c r="AM3119" i="9"/>
  <c r="AN3119" i="9" s="1"/>
  <c r="AE3135" i="9"/>
  <c r="AA3135" i="9"/>
  <c r="U3135" i="9"/>
  <c r="AM3135" i="9" s="1"/>
  <c r="AN3135" i="9" s="1"/>
  <c r="AM3168" i="9"/>
  <c r="AN3168" i="9" s="1"/>
  <c r="AK3169" i="9"/>
  <c r="AL3169" i="9" s="1"/>
  <c r="AM3201" i="9"/>
  <c r="AN3201" i="9" s="1"/>
  <c r="AM3217" i="9"/>
  <c r="AN3217" i="9" s="1"/>
  <c r="AM3237" i="9"/>
  <c r="AN3237" i="9" s="1"/>
  <c r="AK3238" i="9"/>
  <c r="AL3238" i="9" s="1"/>
  <c r="AK3253" i="9"/>
  <c r="AL3253" i="9" s="1"/>
  <c r="AK3332" i="9"/>
  <c r="AL3332" i="9" s="1"/>
  <c r="AF3370" i="9"/>
  <c r="V3370" i="9"/>
  <c r="AB3370" i="9"/>
  <c r="R3370" i="9"/>
  <c r="AO3368" i="9"/>
  <c r="AK3201" i="9"/>
  <c r="AL3201" i="9" s="1"/>
  <c r="AM3232" i="9"/>
  <c r="AN3232" i="9" s="1"/>
  <c r="AK3250" i="9"/>
  <c r="AL3250" i="9" s="1"/>
  <c r="AK3265" i="9"/>
  <c r="AL3265" i="9" s="1"/>
  <c r="AK3285" i="9"/>
  <c r="AL3285" i="9" s="1"/>
  <c r="AK3327" i="9"/>
  <c r="AL3327" i="9" s="1"/>
  <c r="AM3361" i="9"/>
  <c r="AN3361" i="9" s="1"/>
  <c r="AK3362" i="9"/>
  <c r="AL3362" i="9" s="1"/>
  <c r="AK3276" i="9"/>
  <c r="AL3276" i="9" s="1"/>
  <c r="AK3305" i="9"/>
  <c r="AL3305" i="9" s="1"/>
  <c r="AN3621" i="9"/>
  <c r="AK3211" i="9"/>
  <c r="AL3211" i="9" s="1"/>
  <c r="AK3279" i="9"/>
  <c r="AL3279" i="9" s="1"/>
  <c r="AK3283" i="9"/>
  <c r="AL3283" i="9" s="1"/>
  <c r="AK3307" i="9"/>
  <c r="AL3307" i="9" s="1"/>
  <c r="AK3390" i="9"/>
  <c r="AL3390" i="9" s="1"/>
  <c r="AK3410" i="9"/>
  <c r="AL3410" i="9" s="1"/>
  <c r="AK3520" i="9"/>
  <c r="AL3520" i="9" s="1"/>
  <c r="AK3251" i="9"/>
  <c r="AL3251" i="9" s="1"/>
  <c r="AM3291" i="9"/>
  <c r="AN3291" i="9" s="1"/>
  <c r="AK3384" i="9"/>
  <c r="AL3384" i="9" s="1"/>
  <c r="AK3484" i="9"/>
  <c r="AL3484" i="9" s="1"/>
  <c r="AM3511" i="9"/>
  <c r="AN3511" i="9" s="1"/>
  <c r="AM3563" i="9"/>
  <c r="AN3563" i="9" s="1"/>
  <c r="AK3225" i="9"/>
  <c r="AL3225" i="9" s="1"/>
  <c r="AM3258" i="9"/>
  <c r="AN3258" i="9" s="1"/>
  <c r="AM3262" i="9"/>
  <c r="AN3262" i="9" s="1"/>
  <c r="AK3428" i="9"/>
  <c r="AL3428" i="9" s="1"/>
  <c r="AK3156" i="9"/>
  <c r="AL3156" i="9" s="1"/>
  <c r="R3158" i="9"/>
  <c r="AK3158" i="9" s="1"/>
  <c r="AL3158" i="9" s="1"/>
  <c r="I3158" i="9"/>
  <c r="K3158" i="9" s="1"/>
  <c r="L3158" i="9" s="1"/>
  <c r="AM3164" i="9"/>
  <c r="AN3164" i="9" s="1"/>
  <c r="AM3184" i="9"/>
  <c r="AN3184" i="9" s="1"/>
  <c r="AK3194" i="9"/>
  <c r="AL3194" i="9" s="1"/>
  <c r="AM3199" i="9"/>
  <c r="AN3199" i="9" s="1"/>
  <c r="AK3218" i="9"/>
  <c r="AL3218" i="9" s="1"/>
  <c r="AK3219" i="9"/>
  <c r="AL3219" i="9" s="1"/>
  <c r="AK3224" i="9"/>
  <c r="AL3224" i="9" s="1"/>
  <c r="AM3231" i="9"/>
  <c r="AN3231" i="9" s="1"/>
  <c r="AM3245" i="9"/>
  <c r="AN3245" i="9" s="1"/>
  <c r="AK3277" i="9"/>
  <c r="AL3277" i="9" s="1"/>
  <c r="AM3285" i="9"/>
  <c r="AN3285" i="9" s="1"/>
  <c r="AK3360" i="9"/>
  <c r="AL3360" i="9" s="1"/>
  <c r="AK3379" i="9"/>
  <c r="AL3379" i="9" s="1"/>
  <c r="AK3385" i="9"/>
  <c r="AL3385" i="9" s="1"/>
  <c r="AK3399" i="9"/>
  <c r="AL3399" i="9" s="1"/>
  <c r="AM3400" i="9"/>
  <c r="AN3400" i="9" s="1"/>
  <c r="AK3457" i="9"/>
  <c r="AL3457" i="9" s="1"/>
  <c r="L3448" i="9"/>
  <c r="AF3448" i="9"/>
  <c r="AB3448" i="9"/>
  <c r="R3448" i="9"/>
  <c r="AK3473" i="9"/>
  <c r="AL3473" i="9" s="1"/>
  <c r="AM3551" i="9"/>
  <c r="AN3551" i="9" s="1"/>
  <c r="AM3720" i="9"/>
  <c r="AN3720" i="9" s="1"/>
  <c r="AK3462" i="9"/>
  <c r="AL3462" i="9" s="1"/>
  <c r="AF3708" i="9"/>
  <c r="I3708" i="9"/>
  <c r="K3708" i="9" s="1"/>
  <c r="L3708" i="9" s="1"/>
  <c r="AO3695" i="9"/>
  <c r="AB3708" i="9"/>
  <c r="V3708" i="9"/>
  <c r="R3708" i="9"/>
  <c r="AK3402" i="9"/>
  <c r="AL3402" i="9" s="1"/>
  <c r="AN3442" i="9"/>
  <c r="I3453" i="9"/>
  <c r="K3453" i="9" s="1"/>
  <c r="L3453" i="9" s="1"/>
  <c r="AF3453" i="9"/>
  <c r="V3453" i="9"/>
  <c r="R3453" i="9"/>
  <c r="AB3453" i="9"/>
  <c r="AK3504" i="9"/>
  <c r="AL3504" i="9" s="1"/>
  <c r="AK3632" i="9"/>
  <c r="AL3632" i="9" s="1"/>
  <c r="AM3757" i="9"/>
  <c r="AN3757" i="9" s="1"/>
  <c r="AK3492" i="9"/>
  <c r="AL3492" i="9" s="1"/>
  <c r="AK3368" i="9"/>
  <c r="AL3368" i="9" s="1"/>
  <c r="AB3369" i="9"/>
  <c r="AE3385" i="9"/>
  <c r="AM3394" i="9"/>
  <c r="AN3394" i="9" s="1"/>
  <c r="AM3406" i="9"/>
  <c r="AN3406" i="9" s="1"/>
  <c r="AM3436" i="9"/>
  <c r="AN3436" i="9" s="1"/>
  <c r="AK3437" i="9"/>
  <c r="AL3437" i="9" s="1"/>
  <c r="AO3440" i="9"/>
  <c r="AK3452" i="9"/>
  <c r="AL3452" i="9" s="1"/>
  <c r="AK3469" i="9"/>
  <c r="AL3469" i="9" s="1"/>
  <c r="AK3693" i="9"/>
  <c r="AL3693" i="9" s="1"/>
  <c r="AK3331" i="9"/>
  <c r="AL3331" i="9" s="1"/>
  <c r="AK3377" i="9"/>
  <c r="AL3377" i="9" s="1"/>
  <c r="AN3441" i="9"/>
  <c r="R3447" i="9"/>
  <c r="AF3447" i="9"/>
  <c r="AB3447" i="9"/>
  <c r="L3447" i="9"/>
  <c r="AK3495" i="9"/>
  <c r="AL3495" i="9" s="1"/>
  <c r="AN3294" i="9"/>
  <c r="K3323" i="9"/>
  <c r="L3323" i="9" s="1"/>
  <c r="AM3435" i="9"/>
  <c r="AN3435" i="9" s="1"/>
  <c r="I3459" i="9"/>
  <c r="K3459" i="9" s="1"/>
  <c r="L3459" i="9" s="1"/>
  <c r="I3294" i="9"/>
  <c r="K3294" i="9" s="1"/>
  <c r="L3294" i="9" s="1"/>
  <c r="AK3312" i="9"/>
  <c r="AL3312" i="9" s="1"/>
  <c r="AF3365" i="9"/>
  <c r="V3369" i="9"/>
  <c r="AK3369" i="9" s="1"/>
  <c r="AL3369" i="9" s="1"/>
  <c r="AK3382" i="9"/>
  <c r="AL3382" i="9" s="1"/>
  <c r="AK3388" i="9"/>
  <c r="AL3388" i="9" s="1"/>
  <c r="AK3408" i="9"/>
  <c r="AL3408" i="9" s="1"/>
  <c r="AK3427" i="9"/>
  <c r="AL3427" i="9" s="1"/>
  <c r="V3447" i="9"/>
  <c r="K3449" i="9"/>
  <c r="L3449" i="9" s="1"/>
  <c r="R3459" i="9"/>
  <c r="AK3482" i="9"/>
  <c r="AL3482" i="9" s="1"/>
  <c r="AK3486" i="9"/>
  <c r="AL3486" i="9" s="1"/>
  <c r="AM3537" i="9"/>
  <c r="AN3537" i="9" s="1"/>
  <c r="AK3560" i="9"/>
  <c r="AL3560" i="9" s="1"/>
  <c r="AK3624" i="9"/>
  <c r="AL3624" i="9" s="1"/>
  <c r="AM3669" i="9"/>
  <c r="AN3669" i="9" s="1"/>
  <c r="AF3323" i="9"/>
  <c r="V3323" i="9"/>
  <c r="AM3407" i="9"/>
  <c r="AN3407" i="9" s="1"/>
  <c r="AK3422" i="9"/>
  <c r="AL3422" i="9" s="1"/>
  <c r="AK3455" i="9"/>
  <c r="AL3455" i="9" s="1"/>
  <c r="V3459" i="9"/>
  <c r="AM3507" i="9"/>
  <c r="AN3507" i="9" s="1"/>
  <c r="AM3517" i="9"/>
  <c r="AN3517" i="9" s="1"/>
  <c r="AK3526" i="9"/>
  <c r="AL3526" i="9" s="1"/>
  <c r="AK3537" i="9"/>
  <c r="AL3537" i="9" s="1"/>
  <c r="AM3623" i="9"/>
  <c r="AN3623" i="9" s="1"/>
  <c r="AN3959" i="9"/>
  <c r="I3959" i="9"/>
  <c r="K3959" i="9" s="1"/>
  <c r="L3959" i="9" s="1"/>
  <c r="R3351" i="9"/>
  <c r="I3385" i="9"/>
  <c r="K3385" i="9" s="1"/>
  <c r="L3385" i="9" s="1"/>
  <c r="AB3385" i="9"/>
  <c r="AK3435" i="9"/>
  <c r="AL3435" i="9" s="1"/>
  <c r="AK3441" i="9"/>
  <c r="AL3441" i="9" s="1"/>
  <c r="K3446" i="9"/>
  <c r="L3446" i="9" s="1"/>
  <c r="AF3449" i="9"/>
  <c r="AB3449" i="9"/>
  <c r="R3449" i="9"/>
  <c r="AB3459" i="9"/>
  <c r="AK3474" i="9"/>
  <c r="AL3474" i="9" s="1"/>
  <c r="AM3500" i="9"/>
  <c r="AN3500" i="9" s="1"/>
  <c r="AM3504" i="9"/>
  <c r="AN3504" i="9" s="1"/>
  <c r="AK3507" i="9"/>
  <c r="AL3507" i="9" s="1"/>
  <c r="AM3530" i="9"/>
  <c r="AN3530" i="9" s="1"/>
  <c r="AB3666" i="9"/>
  <c r="L3666" i="9"/>
  <c r="AO3664" i="9"/>
  <c r="V3666" i="9"/>
  <c r="I3666" i="9"/>
  <c r="K3666" i="9" s="1"/>
  <c r="AM3715" i="9"/>
  <c r="AN3715" i="9" s="1"/>
  <c r="R3323" i="9"/>
  <c r="AK3323" i="9" s="1"/>
  <c r="AL3323" i="9" s="1"/>
  <c r="AM3353" i="9"/>
  <c r="AN3353" i="9" s="1"/>
  <c r="AB3445" i="9"/>
  <c r="AK3445" i="9" s="1"/>
  <c r="AL3445" i="9" s="1"/>
  <c r="I3445" i="9"/>
  <c r="K3445" i="9" s="1"/>
  <c r="L3445" i="9" s="1"/>
  <c r="AF3459" i="9"/>
  <c r="AK3467" i="9"/>
  <c r="AL3467" i="9" s="1"/>
  <c r="AK3477" i="9"/>
  <c r="AL3477" i="9" s="1"/>
  <c r="AM3516" i="9"/>
  <c r="AN3516" i="9" s="1"/>
  <c r="AM3536" i="9"/>
  <c r="AN3536" i="9" s="1"/>
  <c r="AK3551" i="9"/>
  <c r="AL3551" i="9" s="1"/>
  <c r="AK3576" i="9"/>
  <c r="AL3576" i="9" s="1"/>
  <c r="AK3622" i="9"/>
  <c r="AL3622" i="9" s="1"/>
  <c r="AM3626" i="9"/>
  <c r="AN3626" i="9" s="1"/>
  <c r="AM3662" i="9"/>
  <c r="AN3662" i="9" s="1"/>
  <c r="AM3685" i="9"/>
  <c r="AN3685" i="9" s="1"/>
  <c r="AK3322" i="9"/>
  <c r="AL3322" i="9" s="1"/>
  <c r="AB3323" i="9"/>
  <c r="AK3328" i="9"/>
  <c r="AL3328" i="9" s="1"/>
  <c r="V3351" i="9"/>
  <c r="AM3354" i="9"/>
  <c r="AN3354" i="9" s="1"/>
  <c r="Q3385" i="9"/>
  <c r="AM3385" i="9" s="1"/>
  <c r="AN3385" i="9" s="1"/>
  <c r="AM3401" i="9"/>
  <c r="AN3401" i="9" s="1"/>
  <c r="AK3433" i="9"/>
  <c r="AL3433" i="9" s="1"/>
  <c r="I3444" i="9"/>
  <c r="K3444" i="9" s="1"/>
  <c r="L3444" i="9" s="1"/>
  <c r="R3446" i="9"/>
  <c r="AB3446" i="9"/>
  <c r="V3446" i="9"/>
  <c r="AE3453" i="9"/>
  <c r="AA3453" i="9"/>
  <c r="AK3454" i="9"/>
  <c r="AL3454" i="9" s="1"/>
  <c r="AK3493" i="9"/>
  <c r="AL3493" i="9" s="1"/>
  <c r="AK3516" i="9"/>
  <c r="AL3516" i="9" s="1"/>
  <c r="AM3559" i="9"/>
  <c r="AN3559" i="9" s="1"/>
  <c r="K3583" i="9"/>
  <c r="L3583" i="9" s="1"/>
  <c r="AN3583" i="9"/>
  <c r="AO3586" i="9"/>
  <c r="I3587" i="9"/>
  <c r="K3587" i="9" s="1"/>
  <c r="L3587" i="9" s="1"/>
  <c r="AF3587" i="9"/>
  <c r="AB3587" i="9"/>
  <c r="AK3587" i="9" s="1"/>
  <c r="AL3587" i="9" s="1"/>
  <c r="AK3799" i="9"/>
  <c r="AL3799" i="9" s="1"/>
  <c r="AN3888" i="9"/>
  <c r="AF3443" i="9"/>
  <c r="AF3444" i="9"/>
  <c r="AK3444" i="9" s="1"/>
  <c r="AL3444" i="9" s="1"/>
  <c r="AK3509" i="9"/>
  <c r="AL3509" i="9" s="1"/>
  <c r="AB3515" i="9"/>
  <c r="AK3515" i="9" s="1"/>
  <c r="AL3515" i="9" s="1"/>
  <c r="AK3535" i="9"/>
  <c r="AL3535" i="9" s="1"/>
  <c r="AM3564" i="9"/>
  <c r="AN3564" i="9" s="1"/>
  <c r="AM3580" i="9"/>
  <c r="AN3580" i="9" s="1"/>
  <c r="AK3581" i="9"/>
  <c r="AL3581" i="9" s="1"/>
  <c r="AM3612" i="9"/>
  <c r="AN3612" i="9" s="1"/>
  <c r="I3621" i="9"/>
  <c r="K3621" i="9" s="1"/>
  <c r="L3621" i="9" s="1"/>
  <c r="AM3634" i="9"/>
  <c r="AN3634" i="9" s="1"/>
  <c r="AK3639" i="9"/>
  <c r="AL3639" i="9" s="1"/>
  <c r="AK3661" i="9"/>
  <c r="AL3661" i="9" s="1"/>
  <c r="AK3702" i="9"/>
  <c r="AL3702" i="9" s="1"/>
  <c r="AK3718" i="9"/>
  <c r="AL3718" i="9" s="1"/>
  <c r="AK3749" i="9"/>
  <c r="AL3749" i="9" s="1"/>
  <c r="AK3754" i="9"/>
  <c r="AL3754" i="9" s="1"/>
  <c r="AM3776" i="9"/>
  <c r="AN3776" i="9" s="1"/>
  <c r="AM3777" i="9"/>
  <c r="AN3777" i="9" s="1"/>
  <c r="AM3801" i="9"/>
  <c r="AN3801" i="9" s="1"/>
  <c r="AM3532" i="9"/>
  <c r="AN3532" i="9" s="1"/>
  <c r="K3571" i="9"/>
  <c r="L3571" i="9" s="1"/>
  <c r="AB3600" i="9"/>
  <c r="AF3600" i="9"/>
  <c r="I3600" i="9"/>
  <c r="K3600" i="9" s="1"/>
  <c r="L3600" i="9" s="1"/>
  <c r="AM3611" i="9"/>
  <c r="AN3611" i="9" s="1"/>
  <c r="AK3613" i="9"/>
  <c r="AL3613" i="9" s="1"/>
  <c r="AK3620" i="9"/>
  <c r="AL3620" i="9" s="1"/>
  <c r="AM3633" i="9"/>
  <c r="AN3633" i="9" s="1"/>
  <c r="AM3649" i="9"/>
  <c r="AN3649" i="9" s="1"/>
  <c r="AM3660" i="9"/>
  <c r="AN3660" i="9" s="1"/>
  <c r="AK3664" i="9"/>
  <c r="AL3664" i="9" s="1"/>
  <c r="V3667" i="9"/>
  <c r="I3667" i="9"/>
  <c r="K3667" i="9" s="1"/>
  <c r="L3667" i="9" s="1"/>
  <c r="AF3667" i="9"/>
  <c r="AK3667" i="9" s="1"/>
  <c r="AL3667" i="9" s="1"/>
  <c r="I3677" i="9"/>
  <c r="K3677" i="9" s="1"/>
  <c r="L3677" i="9" s="1"/>
  <c r="AK3866" i="9"/>
  <c r="AL3866" i="9" s="1"/>
  <c r="AK3919" i="9"/>
  <c r="AL3919" i="9" s="1"/>
  <c r="R3324" i="9"/>
  <c r="AK3324" i="9" s="1"/>
  <c r="AL3324" i="9" s="1"/>
  <c r="R3371" i="9"/>
  <c r="AN3460" i="9"/>
  <c r="AM3520" i="9"/>
  <c r="AN3520" i="9" s="1"/>
  <c r="AM3546" i="9"/>
  <c r="AN3546" i="9" s="1"/>
  <c r="AK3568" i="9"/>
  <c r="AL3568" i="9" s="1"/>
  <c r="AN3579" i="9"/>
  <c r="AM3598" i="9"/>
  <c r="AN3598" i="9" s="1"/>
  <c r="AK3611" i="9"/>
  <c r="AL3611" i="9" s="1"/>
  <c r="AB3621" i="9"/>
  <c r="AK3633" i="9"/>
  <c r="AL3633" i="9" s="1"/>
  <c r="AK3644" i="9"/>
  <c r="AL3644" i="9" s="1"/>
  <c r="AK3647" i="9"/>
  <c r="AL3647" i="9" s="1"/>
  <c r="AK3652" i="9"/>
  <c r="AL3652" i="9" s="1"/>
  <c r="AB3677" i="9"/>
  <c r="AF3677" i="9"/>
  <c r="R3677" i="9"/>
  <c r="AO3673" i="9"/>
  <c r="AK3753" i="9"/>
  <c r="AL3753" i="9" s="1"/>
  <c r="AK3894" i="9"/>
  <c r="AL3894" i="9" s="1"/>
  <c r="AM3570" i="9"/>
  <c r="AN3570" i="9" s="1"/>
  <c r="AF3571" i="9"/>
  <c r="AB3571" i="9"/>
  <c r="V3571" i="9"/>
  <c r="AM3572" i="9"/>
  <c r="AN3572" i="9" s="1"/>
  <c r="I3579" i="9"/>
  <c r="K3579" i="9" s="1"/>
  <c r="L3579" i="9" s="1"/>
  <c r="AB3579" i="9"/>
  <c r="V3579" i="9"/>
  <c r="R3579" i="9"/>
  <c r="AK3589" i="9"/>
  <c r="AL3589" i="9" s="1"/>
  <c r="AK3598" i="9"/>
  <c r="AL3598" i="9" s="1"/>
  <c r="AM3610" i="9"/>
  <c r="AN3610" i="9" s="1"/>
  <c r="AM3643" i="9"/>
  <c r="AN3643" i="9" s="1"/>
  <c r="AM3671" i="9"/>
  <c r="AN3671" i="9" s="1"/>
  <c r="AK3740" i="9"/>
  <c r="AL3740" i="9" s="1"/>
  <c r="I3442" i="9"/>
  <c r="K3442" i="9" s="1"/>
  <c r="L3442" i="9" s="1"/>
  <c r="AM3514" i="9"/>
  <c r="AN3514" i="9" s="1"/>
  <c r="AK3521" i="9"/>
  <c r="AL3521" i="9" s="1"/>
  <c r="AK3552" i="9"/>
  <c r="AL3552" i="9" s="1"/>
  <c r="AK3553" i="9"/>
  <c r="AL3553" i="9" s="1"/>
  <c r="AK3570" i="9"/>
  <c r="AL3570" i="9" s="1"/>
  <c r="AK3572" i="9"/>
  <c r="AL3572" i="9" s="1"/>
  <c r="AK3573" i="9"/>
  <c r="AL3573" i="9" s="1"/>
  <c r="AO3574" i="9"/>
  <c r="V3575" i="9"/>
  <c r="AK3575" i="9" s="1"/>
  <c r="AL3575" i="9" s="1"/>
  <c r="AM3576" i="9"/>
  <c r="AN3576" i="9" s="1"/>
  <c r="AM3588" i="9"/>
  <c r="AN3588" i="9" s="1"/>
  <c r="AK3594" i="9"/>
  <c r="AL3594" i="9" s="1"/>
  <c r="V3596" i="9"/>
  <c r="I3596" i="9"/>
  <c r="K3596" i="9" s="1"/>
  <c r="L3596" i="9" s="1"/>
  <c r="AO3595" i="9"/>
  <c r="AF3596" i="9"/>
  <c r="V3600" i="9"/>
  <c r="AM3632" i="9"/>
  <c r="AN3632" i="9" s="1"/>
  <c r="AK3643" i="9"/>
  <c r="AL3643" i="9" s="1"/>
  <c r="AM3663" i="9"/>
  <c r="AN3663" i="9" s="1"/>
  <c r="AB3667" i="9"/>
  <c r="V3677" i="9"/>
  <c r="AM3679" i="9"/>
  <c r="AN3679" i="9" s="1"/>
  <c r="AK3717" i="9"/>
  <c r="AL3717" i="9" s="1"/>
  <c r="AK3761" i="9"/>
  <c r="AL3761" i="9" s="1"/>
  <c r="AM3762" i="9"/>
  <c r="AN3762" i="9" s="1"/>
  <c r="AK3794" i="9"/>
  <c r="AL3794" i="9" s="1"/>
  <c r="AK3835" i="9"/>
  <c r="AL3835" i="9" s="1"/>
  <c r="AM3917" i="9"/>
  <c r="AN3917" i="9" s="1"/>
  <c r="AK3471" i="9"/>
  <c r="AL3471" i="9" s="1"/>
  <c r="AM3557" i="9"/>
  <c r="AN3557" i="9" s="1"/>
  <c r="Q3571" i="9"/>
  <c r="AM3571" i="9" s="1"/>
  <c r="AN3571" i="9" s="1"/>
  <c r="AK3577" i="9"/>
  <c r="AL3577" i="9" s="1"/>
  <c r="AF3579" i="9"/>
  <c r="AK3588" i="9"/>
  <c r="AL3588" i="9" s="1"/>
  <c r="AM3592" i="9"/>
  <c r="AN3592" i="9" s="1"/>
  <c r="AK3597" i="9"/>
  <c r="AK3607" i="9"/>
  <c r="AL3607" i="9" s="1"/>
  <c r="AK3617" i="9"/>
  <c r="AL3617" i="9" s="1"/>
  <c r="AM3624" i="9"/>
  <c r="AN3624" i="9" s="1"/>
  <c r="AM3642" i="9"/>
  <c r="AN3642" i="9" s="1"/>
  <c r="AK3663" i="9"/>
  <c r="AL3663" i="9" s="1"/>
  <c r="AM3670" i="9"/>
  <c r="AN3670" i="9" s="1"/>
  <c r="I3691" i="9"/>
  <c r="K3691" i="9" s="1"/>
  <c r="L3691" i="9" s="1"/>
  <c r="AF3691" i="9"/>
  <c r="AB3691" i="9"/>
  <c r="R3691" i="9"/>
  <c r="AK3709" i="9"/>
  <c r="AL3709" i="9" s="1"/>
  <c r="AM3831" i="9"/>
  <c r="AN3831" i="9" s="1"/>
  <c r="AK3522" i="9"/>
  <c r="AL3522" i="9" s="1"/>
  <c r="AM3558" i="9"/>
  <c r="AN3558" i="9" s="1"/>
  <c r="R3571" i="9"/>
  <c r="AM3591" i="9"/>
  <c r="AN3591" i="9" s="1"/>
  <c r="AM3604" i="9"/>
  <c r="AN3604" i="9" s="1"/>
  <c r="AK3605" i="9"/>
  <c r="AL3605" i="9" s="1"/>
  <c r="AM3609" i="9"/>
  <c r="AN3609" i="9" s="1"/>
  <c r="AK3610" i="9"/>
  <c r="AL3610" i="9" s="1"/>
  <c r="AK3626" i="9"/>
  <c r="AL3626" i="9" s="1"/>
  <c r="AK3629" i="9"/>
  <c r="AL3629" i="9" s="1"/>
  <c r="AM3631" i="9"/>
  <c r="AN3631" i="9" s="1"/>
  <c r="AM3699" i="9"/>
  <c r="AN3699" i="9" s="1"/>
  <c r="AM3728" i="9"/>
  <c r="AN3728" i="9" s="1"/>
  <c r="AK3751" i="9"/>
  <c r="AL3751" i="9" s="1"/>
  <c r="AK3982" i="9"/>
  <c r="AL3982" i="9" s="1"/>
  <c r="AK3599" i="9"/>
  <c r="AL3599" i="9" s="1"/>
  <c r="AK3625" i="9"/>
  <c r="AL3625" i="9" s="1"/>
  <c r="AK3699" i="9"/>
  <c r="AL3699" i="9" s="1"/>
  <c r="AM3726" i="9"/>
  <c r="AN3726" i="9" s="1"/>
  <c r="AK3728" i="9"/>
  <c r="AL3728" i="9" s="1"/>
  <c r="AK3729" i="9"/>
  <c r="AL3729" i="9" s="1"/>
  <c r="AK3773" i="9"/>
  <c r="AL3773" i="9" s="1"/>
  <c r="AK3776" i="9"/>
  <c r="AL3776" i="9" s="1"/>
  <c r="AK3830" i="9"/>
  <c r="AL3830" i="9" s="1"/>
  <c r="AK3918" i="9"/>
  <c r="AL3918" i="9" s="1"/>
  <c r="AM3922" i="9"/>
  <c r="AN3922" i="9" s="1"/>
  <c r="AM3927" i="9"/>
  <c r="AN3927" i="9" s="1"/>
  <c r="AK4099" i="9"/>
  <c r="AL4099" i="9" s="1"/>
  <c r="L3736" i="9"/>
  <c r="AF3736" i="9"/>
  <c r="AK3737" i="9"/>
  <c r="AL3737" i="9" s="1"/>
  <c r="AK3916" i="9"/>
  <c r="AL3916" i="9" s="1"/>
  <c r="AM3722" i="9"/>
  <c r="AN3722" i="9" s="1"/>
  <c r="AM3723" i="9"/>
  <c r="AN3723" i="9" s="1"/>
  <c r="AK3724" i="9"/>
  <c r="AL3724" i="9" s="1"/>
  <c r="AK3874" i="9"/>
  <c r="AL3874" i="9" s="1"/>
  <c r="AM3687" i="9"/>
  <c r="AN3687" i="9" s="1"/>
  <c r="AK3723" i="9"/>
  <c r="AL3723" i="9" s="1"/>
  <c r="AM3743" i="9"/>
  <c r="AN3743" i="9" s="1"/>
  <c r="AM3770" i="9"/>
  <c r="AN3770" i="9" s="1"/>
  <c r="AM3771" i="9"/>
  <c r="AN3771" i="9" s="1"/>
  <c r="AK3801" i="9"/>
  <c r="AL3801" i="9" s="1"/>
  <c r="AF3583" i="9"/>
  <c r="R3583" i="9"/>
  <c r="AK3593" i="9"/>
  <c r="AL3593" i="9" s="1"/>
  <c r="AM3616" i="9"/>
  <c r="AN3616" i="9" s="1"/>
  <c r="AN3617" i="9"/>
  <c r="AM3648" i="9"/>
  <c r="AN3648" i="9" s="1"/>
  <c r="AK3655" i="9"/>
  <c r="AL3655" i="9" s="1"/>
  <c r="AK3706" i="9"/>
  <c r="AL3706" i="9" s="1"/>
  <c r="R3736" i="9"/>
  <c r="AK3741" i="9"/>
  <c r="AL3741" i="9" s="1"/>
  <c r="AK3744" i="9"/>
  <c r="AL3744" i="9" s="1"/>
  <c r="AM3758" i="9"/>
  <c r="AN3758" i="9" s="1"/>
  <c r="AM3767" i="9"/>
  <c r="AN3767" i="9" s="1"/>
  <c r="AM3630" i="9"/>
  <c r="AN3630" i="9" s="1"/>
  <c r="AB3653" i="9"/>
  <c r="AK3653" i="9" s="1"/>
  <c r="AL3653" i="9" s="1"/>
  <c r="L3653" i="9"/>
  <c r="AM3661" i="9"/>
  <c r="AN3661" i="9" s="1"/>
  <c r="V3736" i="9"/>
  <c r="AM3768" i="9"/>
  <c r="AN3768" i="9" s="1"/>
  <c r="AK3832" i="9"/>
  <c r="AL3832" i="9" s="1"/>
  <c r="AK3864" i="9"/>
  <c r="AL3864" i="9" s="1"/>
  <c r="AK3941" i="9"/>
  <c r="AL3941" i="9" s="1"/>
  <c r="K3575" i="9"/>
  <c r="L3575" i="9" s="1"/>
  <c r="I3576" i="9"/>
  <c r="K3576" i="9" s="1"/>
  <c r="L3576" i="9" s="1"/>
  <c r="AL3597" i="9"/>
  <c r="AK3631" i="9"/>
  <c r="AL3631" i="9" s="1"/>
  <c r="AK3649" i="9"/>
  <c r="AL3649" i="9" s="1"/>
  <c r="AK3662" i="9"/>
  <c r="AL3662" i="9" s="1"/>
  <c r="AK3705" i="9"/>
  <c r="AL3705" i="9" s="1"/>
  <c r="AB3736" i="9"/>
  <c r="AM3749" i="9"/>
  <c r="AN3749" i="9" s="1"/>
  <c r="AK3757" i="9"/>
  <c r="AL3757" i="9" s="1"/>
  <c r="AK3782" i="9"/>
  <c r="AL3782" i="9" s="1"/>
  <c r="AK3796" i="9"/>
  <c r="AL3796" i="9" s="1"/>
  <c r="AK3808" i="9"/>
  <c r="AL3808" i="9" s="1"/>
  <c r="AK3849" i="9"/>
  <c r="AL3849" i="9" s="1"/>
  <c r="AK3933" i="9"/>
  <c r="AL3933" i="9" s="1"/>
  <c r="AK4033" i="9"/>
  <c r="AL4033" i="9" s="1"/>
  <c r="AN3575" i="9"/>
  <c r="AM3695" i="9"/>
  <c r="AN3695" i="9" s="1"/>
  <c r="AK3712" i="9"/>
  <c r="AL3712" i="9" s="1"/>
  <c r="AK3759" i="9"/>
  <c r="AL3759" i="9" s="1"/>
  <c r="AK3790" i="9"/>
  <c r="AL3790" i="9" s="1"/>
  <c r="AK3807" i="9"/>
  <c r="AL3807" i="9" s="1"/>
  <c r="AO3887" i="9"/>
  <c r="R3888" i="9"/>
  <c r="I3888" i="9"/>
  <c r="K3888" i="9" s="1"/>
  <c r="L3888" i="9" s="1"/>
  <c r="V3940" i="9"/>
  <c r="AF3940" i="9"/>
  <c r="R3940" i="9"/>
  <c r="AK3946" i="9"/>
  <c r="AL3946" i="9" s="1"/>
  <c r="AK3984" i="9"/>
  <c r="AL3984" i="9" s="1"/>
  <c r="AM4039" i="9"/>
  <c r="AN4039" i="9" s="1"/>
  <c r="AK4055" i="9"/>
  <c r="AL4055" i="9" s="1"/>
  <c r="AK4093" i="9"/>
  <c r="AL4093" i="9" s="1"/>
  <c r="AK4114" i="9"/>
  <c r="AL4114" i="9" s="1"/>
  <c r="AK4161" i="9"/>
  <c r="AL4161" i="9" s="1"/>
  <c r="K3882" i="9"/>
  <c r="L3882" i="9" s="1"/>
  <c r="AF4119" i="9"/>
  <c r="AB4119" i="9"/>
  <c r="V4119" i="9"/>
  <c r="R4119" i="9"/>
  <c r="I4119" i="9"/>
  <c r="K4119" i="9" s="1"/>
  <c r="L4119" i="9" s="1"/>
  <c r="AK3868" i="9"/>
  <c r="AL3868" i="9" s="1"/>
  <c r="AK3880" i="9"/>
  <c r="AL3880" i="9" s="1"/>
  <c r="I3882" i="9"/>
  <c r="AK3903" i="9"/>
  <c r="AL3903" i="9" s="1"/>
  <c r="AK3904" i="9"/>
  <c r="AL3904" i="9" s="1"/>
  <c r="AK3905" i="9"/>
  <c r="AL3905" i="9" s="1"/>
  <c r="AM3912" i="9"/>
  <c r="AN3912" i="9" s="1"/>
  <c r="AK3938" i="9"/>
  <c r="AL3938" i="9" s="1"/>
  <c r="AK3945" i="9"/>
  <c r="AL3945" i="9" s="1"/>
  <c r="AM3957" i="9"/>
  <c r="AN3957" i="9" s="1"/>
  <c r="AM4011" i="9"/>
  <c r="AN4011" i="9" s="1"/>
  <c r="AM4037" i="9"/>
  <c r="AN4037" i="9" s="1"/>
  <c r="AK3750" i="9"/>
  <c r="AL3750" i="9" s="1"/>
  <c r="AM3827" i="9"/>
  <c r="AN3827" i="9" s="1"/>
  <c r="K3836" i="9"/>
  <c r="L3836" i="9" s="1"/>
  <c r="AN3836" i="9"/>
  <c r="AM3839" i="9"/>
  <c r="AN3839" i="9" s="1"/>
  <c r="AK3856" i="9"/>
  <c r="AL3856" i="9" s="1"/>
  <c r="AF3882" i="9"/>
  <c r="AB3882" i="9"/>
  <c r="V3882" i="9"/>
  <c r="AM3903" i="9"/>
  <c r="AN3903" i="9" s="1"/>
  <c r="AK3909" i="9"/>
  <c r="AL3909" i="9" s="1"/>
  <c r="AK3911" i="9"/>
  <c r="AL3911" i="9" s="1"/>
  <c r="AM3914" i="9"/>
  <c r="AN3914" i="9" s="1"/>
  <c r="AK3937" i="9"/>
  <c r="AL3937" i="9" s="1"/>
  <c r="AB3940" i="9"/>
  <c r="AK3957" i="9"/>
  <c r="AL3957" i="9" s="1"/>
  <c r="AM3994" i="9"/>
  <c r="AN3994" i="9" s="1"/>
  <c r="AK4138" i="9"/>
  <c r="AL4138" i="9" s="1"/>
  <c r="AK3805" i="9"/>
  <c r="AL3805" i="9" s="1"/>
  <c r="AN3835" i="9"/>
  <c r="AK3838" i="9"/>
  <c r="AL3838" i="9" s="1"/>
  <c r="AK3846" i="9"/>
  <c r="AL3846" i="9" s="1"/>
  <c r="AK3861" i="9"/>
  <c r="AL3861" i="9" s="1"/>
  <c r="AK3877" i="9"/>
  <c r="AL3877" i="9" s="1"/>
  <c r="AK3906" i="9"/>
  <c r="AL3906" i="9" s="1"/>
  <c r="AK3913" i="9"/>
  <c r="AL3913" i="9" s="1"/>
  <c r="AK3914" i="9"/>
  <c r="AL3914" i="9" s="1"/>
  <c r="AM3956" i="9"/>
  <c r="AN3956" i="9" s="1"/>
  <c r="AM3981" i="9"/>
  <c r="AN3981" i="9" s="1"/>
  <c r="AM3983" i="9"/>
  <c r="AN3983" i="9" s="1"/>
  <c r="AM4017" i="9"/>
  <c r="AN4017" i="9" s="1"/>
  <c r="AM4038" i="9"/>
  <c r="AN4038" i="9" s="1"/>
  <c r="AK4051" i="9"/>
  <c r="AL4051" i="9" s="1"/>
  <c r="AK4068" i="9"/>
  <c r="AL4068" i="9" s="1"/>
  <c r="AK4092" i="9"/>
  <c r="AL4092" i="9" s="1"/>
  <c r="AK4157" i="9"/>
  <c r="AL4157" i="9" s="1"/>
  <c r="U3736" i="9"/>
  <c r="AM3736" i="9" s="1"/>
  <c r="AN3736" i="9" s="1"/>
  <c r="AM3752" i="9"/>
  <c r="AN3752" i="9" s="1"/>
  <c r="AK3766" i="9"/>
  <c r="AL3766" i="9" s="1"/>
  <c r="AK3818" i="9"/>
  <c r="AL3818" i="9" s="1"/>
  <c r="I3835" i="9"/>
  <c r="K3835" i="9" s="1"/>
  <c r="L3835" i="9" s="1"/>
  <c r="AK3841" i="9"/>
  <c r="AL3841" i="9" s="1"/>
  <c r="AK3885" i="9"/>
  <c r="AL3885" i="9" s="1"/>
  <c r="AM3913" i="9"/>
  <c r="AN3913" i="9" s="1"/>
  <c r="L3929" i="9"/>
  <c r="V3929" i="9"/>
  <c r="AK3929" i="9" s="1"/>
  <c r="AL3929" i="9" s="1"/>
  <c r="AM3945" i="9"/>
  <c r="AN3945" i="9" s="1"/>
  <c r="AK3956" i="9"/>
  <c r="AL3956" i="9" s="1"/>
  <c r="AK3971" i="9"/>
  <c r="AL3971" i="9" s="1"/>
  <c r="AM3974" i="9"/>
  <c r="AN3974" i="9" s="1"/>
  <c r="AK3983" i="9"/>
  <c r="AL3983" i="9" s="1"/>
  <c r="AK4038" i="9"/>
  <c r="AL4038" i="9" s="1"/>
  <c r="AK4057" i="9"/>
  <c r="AL4057" i="9" s="1"/>
  <c r="AK3895" i="9"/>
  <c r="AL3895" i="9" s="1"/>
  <c r="AK3915" i="9"/>
  <c r="AL3915" i="9" s="1"/>
  <c r="U3925" i="9"/>
  <c r="Q3925" i="9"/>
  <c r="AM3936" i="9"/>
  <c r="AN3936" i="9" s="1"/>
  <c r="AK3974" i="9"/>
  <c r="AL3974" i="9" s="1"/>
  <c r="AK4009" i="9"/>
  <c r="AL4009" i="9" s="1"/>
  <c r="AM4050" i="9"/>
  <c r="AN4050" i="9" s="1"/>
  <c r="AM4070" i="9"/>
  <c r="AN4070" i="9" s="1"/>
  <c r="AM4081" i="9"/>
  <c r="AN4081" i="9" s="1"/>
  <c r="AM4105" i="9"/>
  <c r="AN4105" i="9" s="1"/>
  <c r="L4210" i="9"/>
  <c r="AK3802" i="9"/>
  <c r="AL3802" i="9" s="1"/>
  <c r="AK3898" i="9"/>
  <c r="AL3898" i="9" s="1"/>
  <c r="AK3901" i="9"/>
  <c r="AL3901" i="9" s="1"/>
  <c r="AK3924" i="9"/>
  <c r="AL3924" i="9" s="1"/>
  <c r="I3925" i="9"/>
  <c r="K3925" i="9" s="1"/>
  <c r="L3925" i="9" s="1"/>
  <c r="R3928" i="9"/>
  <c r="V3928" i="9"/>
  <c r="AM3932" i="9"/>
  <c r="AN3932" i="9" s="1"/>
  <c r="AK3934" i="9"/>
  <c r="AL3934" i="9" s="1"/>
  <c r="AK3936" i="9"/>
  <c r="AL3936" i="9" s="1"/>
  <c r="AK3993" i="9"/>
  <c r="AL3993" i="9" s="1"/>
  <c r="AM4005" i="9"/>
  <c r="AN4005" i="9" s="1"/>
  <c r="AM4042" i="9"/>
  <c r="AN4042" i="9" s="1"/>
  <c r="AK4049" i="9"/>
  <c r="AL4049" i="9" s="1"/>
  <c r="AK4056" i="9"/>
  <c r="AL4056" i="9" s="1"/>
  <c r="AK4134" i="9"/>
  <c r="AL4134" i="9" s="1"/>
  <c r="AM4172" i="9"/>
  <c r="AN4172" i="9" s="1"/>
  <c r="AN4202" i="9"/>
  <c r="I4202" i="9"/>
  <c r="K4202" i="9" s="1"/>
  <c r="L4202" i="9" s="1"/>
  <c r="AK3922" i="9"/>
  <c r="AL3922" i="9" s="1"/>
  <c r="AM3923" i="9"/>
  <c r="AN3923" i="9" s="1"/>
  <c r="I3948" i="9"/>
  <c r="K3948" i="9" s="1"/>
  <c r="L3948" i="9" s="1"/>
  <c r="AO3958" i="9"/>
  <c r="AB3959" i="9"/>
  <c r="AK3986" i="9"/>
  <c r="AL3986" i="9" s="1"/>
  <c r="AK4021" i="9"/>
  <c r="AL4021" i="9" s="1"/>
  <c r="AK4043" i="9"/>
  <c r="AL4043" i="9" s="1"/>
  <c r="AM4085" i="9"/>
  <c r="AN4085" i="9" s="1"/>
  <c r="AK4104" i="9"/>
  <c r="AL4104" i="9" s="1"/>
  <c r="AK4133" i="9"/>
  <c r="AL4133" i="9" s="1"/>
  <c r="AK4170" i="9"/>
  <c r="AL4170" i="9" s="1"/>
  <c r="AK4182" i="9"/>
  <c r="AL4182" i="9" s="1"/>
  <c r="AK4189" i="9"/>
  <c r="AL4189" i="9" s="1"/>
  <c r="AK4273" i="9"/>
  <c r="AL4273" i="9" s="1"/>
  <c r="AK3786" i="9"/>
  <c r="AL3786" i="9" s="1"/>
  <c r="AM3796" i="9"/>
  <c r="AN3796" i="9" s="1"/>
  <c r="AM3887" i="9"/>
  <c r="AN3887" i="9" s="1"/>
  <c r="R3948" i="9"/>
  <c r="AK3948" i="9" s="1"/>
  <c r="AL3948" i="9" s="1"/>
  <c r="R3959" i="9"/>
  <c r="AK3959" i="9" s="1"/>
  <c r="AL3959" i="9" s="1"/>
  <c r="AN3991" i="9"/>
  <c r="AM4002" i="9"/>
  <c r="AN4002" i="9" s="1"/>
  <c r="AK4003" i="9"/>
  <c r="AL4003" i="9" s="1"/>
  <c r="AK4007" i="9"/>
  <c r="AL4007" i="9" s="1"/>
  <c r="AM4027" i="9"/>
  <c r="AN4027" i="9" s="1"/>
  <c r="AM4028" i="9"/>
  <c r="AN4028" i="9" s="1"/>
  <c r="AK4029" i="9"/>
  <c r="AL4029" i="9" s="1"/>
  <c r="AK4046" i="9"/>
  <c r="AL4046" i="9" s="1"/>
  <c r="AM4071" i="9"/>
  <c r="AN4071" i="9" s="1"/>
  <c r="AK4079" i="9"/>
  <c r="AL4079" i="9" s="1"/>
  <c r="AM4095" i="9"/>
  <c r="AN4095" i="9" s="1"/>
  <c r="AM4140" i="9"/>
  <c r="AN4140" i="9" s="1"/>
  <c r="AM4181" i="9"/>
  <c r="AN4181" i="9" s="1"/>
  <c r="AK4311" i="9"/>
  <c r="AL4311" i="9" s="1"/>
  <c r="AK4005" i="9"/>
  <c r="AL4005" i="9" s="1"/>
  <c r="AK4028" i="9"/>
  <c r="AL4028" i="9" s="1"/>
  <c r="AM4049" i="9"/>
  <c r="AN4049" i="9" s="1"/>
  <c r="AM4051" i="9"/>
  <c r="AN4051" i="9" s="1"/>
  <c r="AM4059" i="9"/>
  <c r="AN4059" i="9" s="1"/>
  <c r="AK4072" i="9"/>
  <c r="AL4072" i="9" s="1"/>
  <c r="AK4095" i="9"/>
  <c r="AL4095" i="9" s="1"/>
  <c r="AM4098" i="9"/>
  <c r="AN4098" i="9" s="1"/>
  <c r="AM3910" i="9"/>
  <c r="AN3910" i="9" s="1"/>
  <c r="AK3917" i="9"/>
  <c r="AL3917" i="9" s="1"/>
  <c r="AM3953" i="9"/>
  <c r="AN3953" i="9" s="1"/>
  <c r="I3991" i="9"/>
  <c r="K3991" i="9" s="1"/>
  <c r="L3991" i="9" s="1"/>
  <c r="AM4035" i="9"/>
  <c r="AN4035" i="9" s="1"/>
  <c r="AK4050" i="9"/>
  <c r="AL4050" i="9" s="1"/>
  <c r="AM4058" i="9"/>
  <c r="AN4058" i="9" s="1"/>
  <c r="AK4059" i="9"/>
  <c r="AL4059" i="9" s="1"/>
  <c r="AK4066" i="9"/>
  <c r="AL4066" i="9" s="1"/>
  <c r="AM4072" i="9"/>
  <c r="AN4072" i="9" s="1"/>
  <c r="AM4094" i="9"/>
  <c r="AN4094" i="9" s="1"/>
  <c r="AM4115" i="9"/>
  <c r="AN4115" i="9" s="1"/>
  <c r="AK4139" i="9"/>
  <c r="AL4139" i="9" s="1"/>
  <c r="AK4145" i="9"/>
  <c r="AL4145" i="9" s="1"/>
  <c r="AK4229" i="9"/>
  <c r="AL4229" i="9" s="1"/>
  <c r="AM3965" i="9"/>
  <c r="AN3965" i="9" s="1"/>
  <c r="AM4013" i="9"/>
  <c r="AN4013" i="9" s="1"/>
  <c r="AM4015" i="9"/>
  <c r="AN4015" i="9" s="1"/>
  <c r="AK4034" i="9"/>
  <c r="AL4034" i="9" s="1"/>
  <c r="AK4036" i="9"/>
  <c r="AL4036" i="9" s="1"/>
  <c r="AK4052" i="9"/>
  <c r="AL4052" i="9" s="1"/>
  <c r="AK4058" i="9"/>
  <c r="AL4058" i="9" s="1"/>
  <c r="AM4064" i="9"/>
  <c r="AN4064" i="9" s="1"/>
  <c r="AK4065" i="9"/>
  <c r="AL4065" i="9" s="1"/>
  <c r="AM4079" i="9"/>
  <c r="AN4079" i="9" s="1"/>
  <c r="AK4094" i="9"/>
  <c r="AL4094" i="9" s="1"/>
  <c r="AK4100" i="9"/>
  <c r="AL4100" i="9" s="1"/>
  <c r="AM4114" i="9"/>
  <c r="AN4114" i="9" s="1"/>
  <c r="AK4148" i="9"/>
  <c r="AL4148" i="9" s="1"/>
  <c r="AM4184" i="9"/>
  <c r="AN4184" i="9" s="1"/>
  <c r="AM3937" i="9"/>
  <c r="AN3937" i="9" s="1"/>
  <c r="AM3938" i="9"/>
  <c r="AN3938" i="9" s="1"/>
  <c r="AK3954" i="9"/>
  <c r="AL3954" i="9" s="1"/>
  <c r="AM3996" i="9"/>
  <c r="AN3996" i="9" s="1"/>
  <c r="R4012" i="9"/>
  <c r="AK4012" i="9" s="1"/>
  <c r="I4012" i="9"/>
  <c r="K4012" i="9" s="1"/>
  <c r="L4012" i="9" s="1"/>
  <c r="AL4012" i="9"/>
  <c r="AK4014" i="9"/>
  <c r="AL4014" i="9" s="1"/>
  <c r="AK4060" i="9"/>
  <c r="AL4060" i="9" s="1"/>
  <c r="AM4065" i="9"/>
  <c r="AN4065" i="9" s="1"/>
  <c r="AK4067" i="9"/>
  <c r="AL4067" i="9" s="1"/>
  <c r="AM4113" i="9"/>
  <c r="AN4113" i="9" s="1"/>
  <c r="AK4126" i="9"/>
  <c r="AL4126" i="9" s="1"/>
  <c r="AK4172" i="9"/>
  <c r="AL4172" i="9" s="1"/>
  <c r="AN4251" i="9"/>
  <c r="I4251" i="9"/>
  <c r="K4251" i="9" s="1"/>
  <c r="L4251" i="9" s="1"/>
  <c r="K4206" i="9"/>
  <c r="L4206" i="9" s="1"/>
  <c r="AN4206" i="9"/>
  <c r="I4232" i="9"/>
  <c r="K4232" i="9" s="1"/>
  <c r="L4232" i="9" s="1"/>
  <c r="AF4232" i="9"/>
  <c r="AB4232" i="9"/>
  <c r="R4232" i="9"/>
  <c r="AM3921" i="9"/>
  <c r="AN3921" i="9" s="1"/>
  <c r="AK4117" i="9"/>
  <c r="AL4117" i="9" s="1"/>
  <c r="AK4123" i="9"/>
  <c r="AL4123" i="9" s="1"/>
  <c r="AK4166" i="9"/>
  <c r="AL4166" i="9" s="1"/>
  <c r="AN4201" i="9"/>
  <c r="K4205" i="9"/>
  <c r="L4205" i="9" s="1"/>
  <c r="K4215" i="9"/>
  <c r="L4215" i="9" s="1"/>
  <c r="AK4368" i="9"/>
  <c r="AL4368" i="9" s="1"/>
  <c r="AM4033" i="9"/>
  <c r="AN4033" i="9" s="1"/>
  <c r="AK4040" i="9"/>
  <c r="AL4040" i="9" s="1"/>
  <c r="AM4069" i="9"/>
  <c r="AN4069" i="9" s="1"/>
  <c r="AK4076" i="9"/>
  <c r="AL4076" i="9" s="1"/>
  <c r="AK4147" i="9"/>
  <c r="AL4147" i="9" s="1"/>
  <c r="AK4156" i="9"/>
  <c r="AL4156" i="9" s="1"/>
  <c r="K4200" i="9"/>
  <c r="AN4200" i="9"/>
  <c r="AN4204" i="9"/>
  <c r="AN4258" i="9"/>
  <c r="I4304" i="9"/>
  <c r="K4304" i="9" s="1"/>
  <c r="L4304" i="9" s="1"/>
  <c r="AN4304" i="9"/>
  <c r="AK4340" i="9"/>
  <c r="AL4340" i="9" s="1"/>
  <c r="AK4120" i="9"/>
  <c r="AL4120" i="9" s="1"/>
  <c r="AK4151" i="9"/>
  <c r="AL4151" i="9" s="1"/>
  <c r="I4200" i="9"/>
  <c r="AK4236" i="9"/>
  <c r="AL4236" i="9" s="1"/>
  <c r="V4249" i="9"/>
  <c r="R4249" i="9"/>
  <c r="I4249" i="9"/>
  <c r="K4249" i="9" s="1"/>
  <c r="L4249" i="9" s="1"/>
  <c r="AO4245" i="9"/>
  <c r="AF4249" i="9"/>
  <c r="R4258" i="9"/>
  <c r="I4258" i="9"/>
  <c r="K4258" i="9" s="1"/>
  <c r="L4258" i="9" s="1"/>
  <c r="AF4258" i="9"/>
  <c r="AB4258" i="9"/>
  <c r="V4258" i="9"/>
  <c r="I4272" i="9"/>
  <c r="K4272" i="9" s="1"/>
  <c r="L4272" i="9" s="1"/>
  <c r="AN4318" i="9"/>
  <c r="AM4063" i="9"/>
  <c r="AN4063" i="9" s="1"/>
  <c r="AK4070" i="9"/>
  <c r="AL4070" i="9" s="1"/>
  <c r="AK4101" i="9"/>
  <c r="AL4101" i="9" s="1"/>
  <c r="AM4190" i="9"/>
  <c r="AN4190" i="9" s="1"/>
  <c r="AK4199" i="9"/>
  <c r="AL4199" i="9" s="1"/>
  <c r="K4211" i="9"/>
  <c r="L4211" i="9" s="1"/>
  <c r="AN4211" i="9"/>
  <c r="V4217" i="9"/>
  <c r="I4217" i="9"/>
  <c r="K4217" i="9" s="1"/>
  <c r="L4217" i="9" s="1"/>
  <c r="AF4217" i="9"/>
  <c r="AB4217" i="9"/>
  <c r="AK4240" i="9"/>
  <c r="AL4240" i="9" s="1"/>
  <c r="V4255" i="9"/>
  <c r="R4255" i="9"/>
  <c r="L4255" i="9"/>
  <c r="AB4302" i="9"/>
  <c r="V4302" i="9"/>
  <c r="R4302" i="9"/>
  <c r="I4302" i="9"/>
  <c r="K4302" i="9" s="1"/>
  <c r="L4302" i="9" s="1"/>
  <c r="AK4136" i="9"/>
  <c r="AL4136" i="9" s="1"/>
  <c r="AM4169" i="9"/>
  <c r="AN4169" i="9" s="1"/>
  <c r="AK4190" i="9"/>
  <c r="AL4190" i="9" s="1"/>
  <c r="AN4214" i="9"/>
  <c r="AM4352" i="9"/>
  <c r="AN4352" i="9" s="1"/>
  <c r="AM4057" i="9"/>
  <c r="AN4057" i="9" s="1"/>
  <c r="AK4064" i="9"/>
  <c r="AL4064" i="9" s="1"/>
  <c r="AM4093" i="9"/>
  <c r="AN4093" i="9" s="1"/>
  <c r="AK4159" i="9"/>
  <c r="AL4159" i="9" s="1"/>
  <c r="AM4168" i="9"/>
  <c r="AN4168" i="9" s="1"/>
  <c r="AK4185" i="9"/>
  <c r="AL4185" i="9" s="1"/>
  <c r="AM4189" i="9"/>
  <c r="AN4189" i="9" s="1"/>
  <c r="K4210" i="9"/>
  <c r="AN4219" i="9"/>
  <c r="AM4223" i="9"/>
  <c r="AN4223" i="9" s="1"/>
  <c r="I4343" i="9"/>
  <c r="K4343" i="9" s="1"/>
  <c r="L4343" i="9" s="1"/>
  <c r="AO4342" i="9"/>
  <c r="AB4343" i="9"/>
  <c r="V4343" i="9"/>
  <c r="R4343" i="9"/>
  <c r="AF4343" i="9"/>
  <c r="AK4124" i="9"/>
  <c r="AL4124" i="9" s="1"/>
  <c r="AM4197" i="9"/>
  <c r="AN4197" i="9" s="1"/>
  <c r="AO4199" i="9"/>
  <c r="AP4367" i="9" s="1"/>
  <c r="AN4203" i="9"/>
  <c r="AL4207" i="9"/>
  <c r="AL4208" i="9"/>
  <c r="I4214" i="9"/>
  <c r="K4214" i="9" s="1"/>
  <c r="L4214" i="9" s="1"/>
  <c r="R4215" i="9"/>
  <c r="I4215" i="9"/>
  <c r="L4216" i="9"/>
  <c r="AM4221" i="9"/>
  <c r="AN4221" i="9" s="1"/>
  <c r="AK4228" i="9"/>
  <c r="AL4228" i="9" s="1"/>
  <c r="AM4239" i="9"/>
  <c r="AN4239" i="9" s="1"/>
  <c r="I4248" i="9"/>
  <c r="K4248" i="9" s="1"/>
  <c r="L4248" i="9" s="1"/>
  <c r="AB4248" i="9"/>
  <c r="V4248" i="9"/>
  <c r="R4248" i="9"/>
  <c r="AF4251" i="9"/>
  <c r="AB4251" i="9"/>
  <c r="V4251" i="9"/>
  <c r="AK4266" i="9"/>
  <c r="AL4266" i="9" s="1"/>
  <c r="AK4279" i="9"/>
  <c r="AL4279" i="9" s="1"/>
  <c r="AK4282" i="9"/>
  <c r="AL4282" i="9" s="1"/>
  <c r="K4317" i="9"/>
  <c r="L4317" i="9" s="1"/>
  <c r="AN4317" i="9"/>
  <c r="AM4322" i="9"/>
  <c r="AN4322" i="9" s="1"/>
  <c r="AK4360" i="9"/>
  <c r="AL4360" i="9" s="1"/>
  <c r="K4204" i="9"/>
  <c r="L4204" i="9" s="1"/>
  <c r="AN4205" i="9"/>
  <c r="AN4210" i="9"/>
  <c r="I4253" i="9"/>
  <c r="K4253" i="9" s="1"/>
  <c r="L4253" i="9" s="1"/>
  <c r="AN4253" i="9"/>
  <c r="AB4254" i="9"/>
  <c r="V4254" i="9"/>
  <c r="R4254" i="9"/>
  <c r="I4254" i="9"/>
  <c r="K4254" i="9" s="1"/>
  <c r="L4254" i="9" s="1"/>
  <c r="AK4293" i="9"/>
  <c r="AL4293" i="9" s="1"/>
  <c r="AK4304" i="9"/>
  <c r="AL4304" i="9" s="1"/>
  <c r="AK4310" i="9"/>
  <c r="AL4310" i="9" s="1"/>
  <c r="I4206" i="9"/>
  <c r="I4207" i="9"/>
  <c r="K4207" i="9" s="1"/>
  <c r="L4207" i="9" s="1"/>
  <c r="I4208" i="9"/>
  <c r="K4208" i="9" s="1"/>
  <c r="L4208" i="9" s="1"/>
  <c r="AK4243" i="9"/>
  <c r="AL4243" i="9" s="1"/>
  <c r="AF4254" i="9"/>
  <c r="AK4275" i="9"/>
  <c r="AL4275" i="9" s="1"/>
  <c r="AM4316" i="9"/>
  <c r="AN4316" i="9" s="1"/>
  <c r="AK4350" i="9"/>
  <c r="AL4350" i="9" s="1"/>
  <c r="AM4368" i="9"/>
  <c r="AN4368" i="9" s="1"/>
  <c r="R4214" i="9"/>
  <c r="AF4250" i="9"/>
  <c r="R4250" i="9"/>
  <c r="L4250" i="9"/>
  <c r="K4252" i="9"/>
  <c r="L4252" i="9" s="1"/>
  <c r="AN4252" i="9"/>
  <c r="I4277" i="9"/>
  <c r="K4277" i="9" s="1"/>
  <c r="L4277" i="9" s="1"/>
  <c r="AB4277" i="9"/>
  <c r="V4277" i="9"/>
  <c r="R4277" i="9"/>
  <c r="AB4287" i="9"/>
  <c r="V4287" i="9"/>
  <c r="R4287" i="9"/>
  <c r="I4287" i="9"/>
  <c r="K4287" i="9" s="1"/>
  <c r="L4287" i="9" s="1"/>
  <c r="AO4286" i="9"/>
  <c r="L4200" i="9"/>
  <c r="R4203" i="9"/>
  <c r="AK4203" i="9" s="1"/>
  <c r="AL4203" i="9" s="1"/>
  <c r="V4214" i="9"/>
  <c r="K4218" i="9"/>
  <c r="L4218" i="9" s="1"/>
  <c r="I4252" i="9"/>
  <c r="AK4261" i="9"/>
  <c r="AL4261" i="9" s="1"/>
  <c r="AK4271" i="9"/>
  <c r="AL4271" i="9" s="1"/>
  <c r="AK4281" i="9"/>
  <c r="AL4281" i="9" s="1"/>
  <c r="AF4287" i="9"/>
  <c r="AK4312" i="9"/>
  <c r="AL4312" i="9" s="1"/>
  <c r="AM4315" i="9"/>
  <c r="AN4315" i="9" s="1"/>
  <c r="AK4342" i="9"/>
  <c r="AL4342" i="9" s="1"/>
  <c r="AB4214" i="9"/>
  <c r="AF4224" i="9"/>
  <c r="R4224" i="9"/>
  <c r="L4224" i="9"/>
  <c r="V4224" i="9"/>
  <c r="AK4226" i="9"/>
  <c r="AL4226" i="9" s="1"/>
  <c r="AK4285" i="9"/>
  <c r="AL4285" i="9" s="1"/>
  <c r="I4318" i="9"/>
  <c r="K4318" i="9" s="1"/>
  <c r="L4318" i="9" s="1"/>
  <c r="R4211" i="9"/>
  <c r="AK4233" i="9"/>
  <c r="AL4233" i="9" s="1"/>
  <c r="AK4242" i="9"/>
  <c r="AL4242" i="9" s="1"/>
  <c r="AM4245" i="9"/>
  <c r="AN4245" i="9" s="1"/>
  <c r="AB4250" i="9"/>
  <c r="AF4277" i="9"/>
  <c r="AO4297" i="9"/>
  <c r="AF4298" i="9"/>
  <c r="V4298" i="9"/>
  <c r="R4298" i="9"/>
  <c r="I4298" i="9"/>
  <c r="K4298" i="9" s="1"/>
  <c r="L4298" i="9" s="1"/>
  <c r="AK4314" i="9"/>
  <c r="AL4314" i="9" s="1"/>
  <c r="AM4325" i="9"/>
  <c r="AN4325" i="9" s="1"/>
  <c r="AN4216" i="9"/>
  <c r="AK4223" i="9"/>
  <c r="AL4223" i="9" s="1"/>
  <c r="AK4234" i="9"/>
  <c r="AL4234" i="9" s="1"/>
  <c r="AK4238" i="9"/>
  <c r="AL4238" i="9" s="1"/>
  <c r="K4311" i="9"/>
  <c r="L4311" i="9" s="1"/>
  <c r="AK4322" i="9"/>
  <c r="AL4322" i="9" s="1"/>
  <c r="AM4356" i="9"/>
  <c r="AN4356" i="9" s="1"/>
  <c r="AN4300" i="9"/>
  <c r="AN4319" i="9"/>
  <c r="AF4246" i="9"/>
  <c r="AK4246" i="9" s="1"/>
  <c r="AL4246" i="9" s="1"/>
  <c r="AB4247" i="9"/>
  <c r="AK4247" i="9" s="1"/>
  <c r="AL4247" i="9" s="1"/>
  <c r="U4259" i="9"/>
  <c r="AM4259" i="9" s="1"/>
  <c r="AN4259" i="9" s="1"/>
  <c r="AF4306" i="9"/>
  <c r="AK4306" i="9" s="1"/>
  <c r="AL4306" i="9" s="1"/>
  <c r="AB4307" i="9"/>
  <c r="AK4307" i="9" s="1"/>
  <c r="AL4307" i="9" s="1"/>
  <c r="AN4217" i="9"/>
  <c r="U4232" i="9"/>
  <c r="AM4232" i="9" s="1"/>
  <c r="AN4232" i="9" s="1"/>
  <c r="V4259" i="9"/>
  <c r="AK4259" i="9" s="1"/>
  <c r="AL4259" i="9" s="1"/>
  <c r="AN4305" i="9"/>
  <c r="AN4311" i="9"/>
  <c r="I4219" i="9"/>
  <c r="K4219" i="9" s="1"/>
  <c r="L4219" i="9" s="1"/>
  <c r="I4305" i="9"/>
  <c r="K4305" i="9" s="1"/>
  <c r="L4305" i="9" s="1"/>
  <c r="I4311" i="9"/>
  <c r="AB4317" i="9"/>
  <c r="AK4317" i="9" s="1"/>
  <c r="AL4317" i="9" s="1"/>
  <c r="AF4317" i="9"/>
  <c r="R4303" i="9"/>
  <c r="AK4303" i="9" s="1"/>
  <c r="AL4303" i="9" s="1"/>
  <c r="AP4011" i="9" l="1"/>
  <c r="AK1806" i="9"/>
  <c r="AL1806" i="9" s="1"/>
  <c r="AM1807" i="9"/>
  <c r="AN1807" i="9" s="1"/>
  <c r="AK3371" i="9"/>
  <c r="AL3371" i="9" s="1"/>
  <c r="AK3365" i="9"/>
  <c r="AL3365" i="9" s="1"/>
  <c r="AM2123" i="9"/>
  <c r="AN2123" i="9" s="1"/>
  <c r="AM1847" i="9"/>
  <c r="AN1847" i="9" s="1"/>
  <c r="AK1811" i="9"/>
  <c r="AL1811" i="9" s="1"/>
  <c r="AM1704" i="9"/>
  <c r="AN1704" i="9" s="1"/>
  <c r="AK1690" i="9"/>
  <c r="AL1690" i="9" s="1"/>
  <c r="AK1544" i="9"/>
  <c r="AL1544" i="9" s="1"/>
  <c r="AK1771" i="9"/>
  <c r="AL1771" i="9" s="1"/>
  <c r="AK1195" i="9"/>
  <c r="AL1195" i="9" s="1"/>
  <c r="AK1684" i="9"/>
  <c r="AL1684" i="9" s="1"/>
  <c r="AM811" i="9"/>
  <c r="AN811" i="9" s="1"/>
  <c r="AK817" i="9"/>
  <c r="AL817" i="9" s="1"/>
  <c r="AK2406" i="9"/>
  <c r="AL2406" i="9" s="1"/>
  <c r="AM1758" i="9"/>
  <c r="AN1758" i="9" s="1"/>
  <c r="AK1809" i="9"/>
  <c r="AL1809" i="9" s="1"/>
  <c r="AM3925" i="9"/>
  <c r="AN3925" i="9" s="1"/>
  <c r="AM3128" i="9"/>
  <c r="AN3128" i="9" s="1"/>
  <c r="AK1144" i="9"/>
  <c r="AL1144" i="9" s="1"/>
  <c r="AM1203" i="9"/>
  <c r="AN1203" i="9" s="1"/>
  <c r="AM3445" i="9"/>
  <c r="AN3445" i="9" s="1"/>
  <c r="AM1811" i="9"/>
  <c r="AN1811" i="9" s="1"/>
  <c r="AK814" i="9"/>
  <c r="AL814" i="9" s="1"/>
  <c r="AK67" i="9"/>
  <c r="AL67" i="9" s="1"/>
  <c r="AK22" i="9"/>
  <c r="AL22" i="9" s="1"/>
  <c r="AK3127" i="9"/>
  <c r="AL3127" i="9" s="1"/>
  <c r="AK3130" i="9"/>
  <c r="AL3130" i="9" s="1"/>
  <c r="AK1759" i="9"/>
  <c r="AL1759" i="9" s="1"/>
  <c r="AK1842" i="9"/>
  <c r="AL1842" i="9" s="1"/>
  <c r="AK1754" i="9"/>
  <c r="AL1754" i="9" s="1"/>
  <c r="AK1699" i="9"/>
  <c r="AL1699" i="9" s="1"/>
  <c r="AK1221" i="9"/>
  <c r="AL1221" i="9" s="1"/>
  <c r="AK1235" i="9"/>
  <c r="AL1235" i="9" s="1"/>
  <c r="AK78" i="9"/>
  <c r="AL78" i="9" s="1"/>
  <c r="AM84" i="9"/>
  <c r="AN84" i="9" s="1"/>
  <c r="AK1830" i="9"/>
  <c r="AL1830" i="9" s="1"/>
  <c r="AM1827" i="9"/>
  <c r="AN1827" i="9" s="1"/>
  <c r="AK2160" i="9"/>
  <c r="AL2160" i="9" s="1"/>
  <c r="AK1808" i="9"/>
  <c r="AL1808" i="9" s="1"/>
  <c r="AM1662" i="9"/>
  <c r="AN1662" i="9" s="1"/>
  <c r="AM1216" i="9"/>
  <c r="AN1216" i="9" s="1"/>
  <c r="AK1197" i="9"/>
  <c r="AL1197" i="9" s="1"/>
  <c r="AM821" i="9"/>
  <c r="AN821" i="9" s="1"/>
  <c r="AK784" i="9"/>
  <c r="AL784" i="9" s="1"/>
  <c r="AK1239" i="9"/>
  <c r="AL1239" i="9" s="1"/>
  <c r="AK102" i="9"/>
  <c r="AL102" i="9" s="1"/>
  <c r="AK93" i="9"/>
  <c r="AL93" i="9" s="1"/>
  <c r="AK1827" i="9"/>
  <c r="AL1827" i="9" s="1"/>
  <c r="AK1836" i="9"/>
  <c r="AL1836" i="9" s="1"/>
  <c r="AM1814" i="9"/>
  <c r="AN1814" i="9" s="1"/>
  <c r="AM1837" i="9"/>
  <c r="AN1837" i="9" s="1"/>
  <c r="AM1806" i="9"/>
  <c r="AN1806" i="9" s="1"/>
  <c r="AK1430" i="9"/>
  <c r="AL1430" i="9" s="1"/>
  <c r="AM1688" i="9"/>
  <c r="AN1688" i="9" s="1"/>
  <c r="AM1665" i="9"/>
  <c r="AN1665" i="9" s="1"/>
  <c r="AM807" i="9"/>
  <c r="AN807" i="9" s="1"/>
  <c r="AK84" i="9"/>
  <c r="AL84" i="9" s="1"/>
  <c r="AK3888" i="9"/>
  <c r="AL3888" i="9" s="1"/>
  <c r="AK3621" i="9"/>
  <c r="AL3621" i="9" s="1"/>
  <c r="AK3666" i="9"/>
  <c r="AL3666" i="9" s="1"/>
  <c r="AM1711" i="9"/>
  <c r="AN1711" i="9" s="1"/>
  <c r="AM1689" i="9"/>
  <c r="AN1689" i="9" s="1"/>
  <c r="AK1704" i="9"/>
  <c r="AL1704" i="9" s="1"/>
  <c r="AK1679" i="9"/>
  <c r="AL1679" i="9" s="1"/>
  <c r="AM794" i="9"/>
  <c r="AN794" i="9" s="1"/>
  <c r="AK99" i="9"/>
  <c r="AL99" i="9" s="1"/>
  <c r="AK70" i="9"/>
  <c r="AL70" i="9" s="1"/>
  <c r="AK52" i="9"/>
  <c r="AL52" i="9" s="1"/>
  <c r="AK4253" i="9"/>
  <c r="AL4253" i="9" s="1"/>
  <c r="AM1656" i="9"/>
  <c r="AN1656" i="9" s="1"/>
  <c r="AK94" i="9"/>
  <c r="AL94" i="9" s="1"/>
  <c r="AK1368" i="9"/>
  <c r="AL1368" i="9" s="1"/>
  <c r="AK3443" i="9"/>
  <c r="AL3443" i="9" s="1"/>
  <c r="AK1950" i="9"/>
  <c r="AL1950" i="9" s="1"/>
  <c r="AK1778" i="9"/>
  <c r="AL1778" i="9" s="1"/>
  <c r="AK802" i="9"/>
  <c r="AL802" i="9" s="1"/>
  <c r="AM34" i="9"/>
  <c r="AN34" i="9" s="1"/>
  <c r="AK804" i="9"/>
  <c r="AL804" i="9" s="1"/>
  <c r="AK81" i="9"/>
  <c r="AL81" i="9" s="1"/>
  <c r="AK77" i="9"/>
  <c r="AL77" i="9" s="1"/>
  <c r="AK3157" i="9"/>
  <c r="AL3157" i="9" s="1"/>
  <c r="AK1828" i="9"/>
  <c r="AL1828" i="9" s="1"/>
  <c r="AK1855" i="9"/>
  <c r="AL1855" i="9" s="1"/>
  <c r="AM1779" i="9"/>
  <c r="AN1779" i="9" s="1"/>
  <c r="AM1685" i="9"/>
  <c r="AN1685" i="9" s="1"/>
  <c r="AK795" i="9"/>
  <c r="AL795" i="9" s="1"/>
  <c r="AK4217" i="9"/>
  <c r="AL4217" i="9" s="1"/>
  <c r="AM3453" i="9"/>
  <c r="AN3453" i="9" s="1"/>
  <c r="AK3227" i="9"/>
  <c r="AL3227" i="9" s="1"/>
  <c r="AK3135" i="9"/>
  <c r="AL3135" i="9" s="1"/>
  <c r="AK2407" i="9"/>
  <c r="AL2407" i="9" s="1"/>
  <c r="AK2130" i="9"/>
  <c r="AL2130" i="9" s="1"/>
  <c r="AK1854" i="9"/>
  <c r="AL1854" i="9" s="1"/>
  <c r="AK2294" i="9"/>
  <c r="AL2294" i="9" s="1"/>
  <c r="AK1818" i="9"/>
  <c r="AL1818" i="9" s="1"/>
  <c r="AK1793" i="9"/>
  <c r="AL1793" i="9" s="1"/>
  <c r="AM1698" i="9"/>
  <c r="AN1698" i="9" s="1"/>
  <c r="AM1246" i="9"/>
  <c r="AN1246" i="9" s="1"/>
  <c r="AM90" i="9"/>
  <c r="AN90" i="9" s="1"/>
  <c r="AK4318" i="9"/>
  <c r="AL4318" i="9" s="1"/>
  <c r="AK2295" i="9"/>
  <c r="AL2295" i="9" s="1"/>
  <c r="AK1807" i="9"/>
  <c r="AL1807" i="9" s="1"/>
  <c r="AK1835" i="9"/>
  <c r="AL1835" i="9" s="1"/>
  <c r="AK1763" i="9"/>
  <c r="AL1763" i="9" s="1"/>
  <c r="AK1948" i="9"/>
  <c r="AL1948" i="9" s="1"/>
  <c r="AK56" i="9"/>
  <c r="AL56" i="9" s="1"/>
  <c r="AK2117" i="9"/>
  <c r="AL2117" i="9" s="1"/>
  <c r="AK1851" i="9"/>
  <c r="AL1851" i="9" s="1"/>
  <c r="AK1951" i="9"/>
  <c r="AL1951" i="9" s="1"/>
  <c r="AK4205" i="9"/>
  <c r="AL4205" i="9" s="1"/>
  <c r="AK1857" i="9"/>
  <c r="AL1857" i="9" s="1"/>
  <c r="AK1689" i="9"/>
  <c r="AL1689" i="9" s="1"/>
  <c r="AM1431" i="9"/>
  <c r="AN1431" i="9" s="1"/>
  <c r="AK85" i="9"/>
  <c r="AL85" i="9" s="1"/>
  <c r="AK23" i="9"/>
  <c r="AL23" i="9" s="1"/>
  <c r="AK80" i="9"/>
  <c r="AL80" i="9" s="1"/>
  <c r="AK26" i="9"/>
  <c r="AL26" i="9" s="1"/>
  <c r="AK96" i="9"/>
  <c r="AL96" i="9" s="1"/>
  <c r="AK4300" i="9"/>
  <c r="AL4300" i="9" s="1"/>
  <c r="AK2334" i="9"/>
  <c r="AL2334" i="9" s="1"/>
  <c r="AK1833" i="9"/>
  <c r="AL1833" i="9" s="1"/>
  <c r="AM1713" i="9"/>
  <c r="AN1713" i="9" s="1"/>
  <c r="AK1949" i="9"/>
  <c r="AL1949" i="9" s="1"/>
  <c r="AK1229" i="9"/>
  <c r="AL1229" i="9" s="1"/>
  <c r="AK35" i="9"/>
  <c r="AL35" i="9" s="1"/>
  <c r="AK4215" i="9"/>
  <c r="AL4215" i="9" s="1"/>
  <c r="AK4251" i="9"/>
  <c r="AL4251" i="9" s="1"/>
  <c r="AK4298" i="9"/>
  <c r="AL4298" i="9" s="1"/>
  <c r="AK4248" i="9"/>
  <c r="AL4248" i="9" s="1"/>
  <c r="AK3600" i="9"/>
  <c r="AL3600" i="9" s="1"/>
  <c r="AK1971" i="9"/>
  <c r="AL1971" i="9" s="1"/>
  <c r="AK1813" i="9"/>
  <c r="AL1813" i="9" s="1"/>
  <c r="AK4211" i="9"/>
  <c r="AL4211" i="9" s="1"/>
  <c r="AK4287" i="9"/>
  <c r="AL4287" i="9" s="1"/>
  <c r="AM1846" i="9"/>
  <c r="AN1846" i="9" s="1"/>
  <c r="AK1810" i="9"/>
  <c r="AL1810" i="9" s="1"/>
  <c r="AK1685" i="9"/>
  <c r="AL1685" i="9" s="1"/>
  <c r="AK2112" i="9"/>
  <c r="AL2112" i="9" s="1"/>
  <c r="AK1779" i="9"/>
  <c r="AL1779" i="9" s="1"/>
  <c r="AK1635" i="9"/>
  <c r="AL1635" i="9" s="1"/>
  <c r="AM1637" i="9"/>
  <c r="AN1637" i="9" s="1"/>
  <c r="AK1237" i="9"/>
  <c r="AL1237" i="9" s="1"/>
  <c r="AK791" i="9"/>
  <c r="AL791" i="9" s="1"/>
  <c r="AK807" i="9"/>
  <c r="AL807" i="9" s="1"/>
  <c r="AK4204" i="9"/>
  <c r="AL4204" i="9" s="1"/>
  <c r="AK3294" i="9"/>
  <c r="AL3294" i="9" s="1"/>
  <c r="AM1948" i="9"/>
  <c r="AN1948" i="9" s="1"/>
  <c r="AK1799" i="9"/>
  <c r="AL1799" i="9" s="1"/>
  <c r="AK1776" i="9"/>
  <c r="AL1776" i="9" s="1"/>
  <c r="AB4372" i="9"/>
  <c r="AM1848" i="9"/>
  <c r="AN1848" i="9" s="1"/>
  <c r="AK4254" i="9"/>
  <c r="AL4254" i="9" s="1"/>
  <c r="AK4255" i="9"/>
  <c r="AL4255" i="9" s="1"/>
  <c r="AK3583" i="9"/>
  <c r="AL3583" i="9" s="1"/>
  <c r="AK3446" i="9"/>
  <c r="AL3446" i="9" s="1"/>
  <c r="AK3708" i="9"/>
  <c r="AL3708" i="9" s="1"/>
  <c r="AK3448" i="9"/>
  <c r="AL3448" i="9" s="1"/>
  <c r="AM1972" i="9"/>
  <c r="AN1972" i="9" s="1"/>
  <c r="AK1802" i="9"/>
  <c r="AL1802" i="9" s="1"/>
  <c r="AK1780" i="9"/>
  <c r="AL1780" i="9" s="1"/>
  <c r="AK1947" i="9"/>
  <c r="AL1947" i="9" s="1"/>
  <c r="AK1856" i="9"/>
  <c r="AL1856" i="9" s="1"/>
  <c r="AM1756" i="9"/>
  <c r="AN1756" i="9" s="1"/>
  <c r="AK1711" i="9"/>
  <c r="AL1711" i="9" s="1"/>
  <c r="AM1228" i="9"/>
  <c r="AN1228" i="9" s="1"/>
  <c r="AM1229" i="9"/>
  <c r="AN1229" i="9" s="1"/>
  <c r="AK806" i="9"/>
  <c r="AL806" i="9" s="1"/>
  <c r="AK1198" i="9"/>
  <c r="AL1198" i="9" s="1"/>
  <c r="AM1801" i="9"/>
  <c r="AN1801" i="9" s="1"/>
  <c r="AK30" i="9"/>
  <c r="AL30" i="9" s="1"/>
  <c r="AK38" i="9"/>
  <c r="AL38" i="9" s="1"/>
  <c r="AK770" i="9"/>
  <c r="AL770" i="9" s="1"/>
  <c r="AK1969" i="9"/>
  <c r="AL1969" i="9" s="1"/>
  <c r="AK1817" i="9"/>
  <c r="AL1817" i="9" s="1"/>
  <c r="AK1712" i="9"/>
  <c r="AL1712" i="9" s="1"/>
  <c r="AM1678" i="9"/>
  <c r="AN1678" i="9" s="1"/>
  <c r="AK59" i="9"/>
  <c r="AL59" i="9" s="1"/>
  <c r="AK2163" i="9"/>
  <c r="AL2163" i="9" s="1"/>
  <c r="AK1952" i="9"/>
  <c r="AL1952" i="9" s="1"/>
  <c r="AK1826" i="9"/>
  <c r="AL1826" i="9" s="1"/>
  <c r="AK1691" i="9"/>
  <c r="AL1691" i="9" s="1"/>
  <c r="AK1695" i="9"/>
  <c r="AL1695" i="9" s="1"/>
  <c r="AM1701" i="9"/>
  <c r="AN1701" i="9" s="1"/>
  <c r="AK1240" i="9"/>
  <c r="AL1240" i="9" s="1"/>
  <c r="AM1239" i="9"/>
  <c r="AN1239" i="9" s="1"/>
  <c r="AK1203" i="9"/>
  <c r="AL1203" i="9" s="1"/>
  <c r="AK781" i="9"/>
  <c r="AL781" i="9" s="1"/>
  <c r="AL12" i="9"/>
  <c r="AK50" i="9"/>
  <c r="AL50" i="9" s="1"/>
  <c r="AM791" i="9"/>
  <c r="AN791" i="9" s="1"/>
  <c r="AK101" i="9"/>
  <c r="AL101" i="9" s="1"/>
  <c r="AK95" i="9"/>
  <c r="AL95" i="9" s="1"/>
  <c r="AK809" i="9"/>
  <c r="AL809" i="9" s="1"/>
  <c r="AK49" i="9"/>
  <c r="AL49" i="9" s="1"/>
  <c r="AK4258" i="9"/>
  <c r="AL4258" i="9" s="1"/>
  <c r="AK3928" i="9"/>
  <c r="AL3928" i="9" s="1"/>
  <c r="AK3691" i="9"/>
  <c r="AL3691" i="9" s="1"/>
  <c r="AK3596" i="9"/>
  <c r="AL3596" i="9" s="1"/>
  <c r="AK3579" i="9"/>
  <c r="AL3579" i="9" s="1"/>
  <c r="AK3351" i="9"/>
  <c r="AL3351" i="9" s="1"/>
  <c r="AK3459" i="9"/>
  <c r="AL3459" i="9" s="1"/>
  <c r="AK3447" i="9"/>
  <c r="AL3447" i="9" s="1"/>
  <c r="AK3155" i="9"/>
  <c r="AL3155" i="9" s="1"/>
  <c r="AK2418" i="9"/>
  <c r="AL2418" i="9" s="1"/>
  <c r="AK1831" i="9"/>
  <c r="AL1831" i="9" s="1"/>
  <c r="AM1834" i="9"/>
  <c r="AN1834" i="9" s="1"/>
  <c r="AK1682" i="9"/>
  <c r="AL1682" i="9" s="1"/>
  <c r="AK1688" i="9"/>
  <c r="AL1688" i="9" s="1"/>
  <c r="AM1663" i="9"/>
  <c r="AN1663" i="9" s="1"/>
  <c r="AK82" i="9"/>
  <c r="AL82" i="9" s="1"/>
  <c r="AK36" i="9"/>
  <c r="AL36" i="9" s="1"/>
  <c r="AK3571" i="9"/>
  <c r="AL3571" i="9" s="1"/>
  <c r="AK4214" i="9"/>
  <c r="AL4214" i="9" s="1"/>
  <c r="AK3677" i="9"/>
  <c r="AL3677" i="9" s="1"/>
  <c r="AK2111" i="9"/>
  <c r="AL2111" i="9" s="1"/>
  <c r="AF1753" i="9"/>
  <c r="AF4372" i="9" s="1"/>
  <c r="AB1753" i="9"/>
  <c r="R1753" i="9"/>
  <c r="V1753" i="9"/>
  <c r="V4372" i="9" s="1"/>
  <c r="K1753" i="9"/>
  <c r="L1753" i="9" s="1"/>
  <c r="AM1772" i="9"/>
  <c r="AN1772" i="9" s="1"/>
  <c r="AK1768" i="9"/>
  <c r="AL1768" i="9" s="1"/>
  <c r="AK1692" i="9"/>
  <c r="AL1692" i="9" s="1"/>
  <c r="AM1692" i="9"/>
  <c r="AN1692" i="9" s="1"/>
  <c r="AK1238" i="9"/>
  <c r="AL1238" i="9" s="1"/>
  <c r="AK47" i="9"/>
  <c r="AL47" i="9" s="1"/>
  <c r="AK98" i="9"/>
  <c r="AL98" i="9" s="1"/>
  <c r="AK76" i="9"/>
  <c r="AL76" i="9" s="1"/>
  <c r="AK816" i="9"/>
  <c r="AL816" i="9" s="1"/>
  <c r="AK18" i="9"/>
  <c r="AL18" i="9" s="1"/>
  <c r="AK790" i="9"/>
  <c r="AL790" i="9" s="1"/>
  <c r="AK4250" i="9"/>
  <c r="AL4250" i="9" s="1"/>
  <c r="AK3736" i="9"/>
  <c r="AL3736" i="9" s="1"/>
  <c r="AK3449" i="9"/>
  <c r="AL3449" i="9" s="1"/>
  <c r="AK3453" i="9"/>
  <c r="AL3453" i="9" s="1"/>
  <c r="AK3370" i="9"/>
  <c r="AL3370" i="9" s="1"/>
  <c r="AM2418" i="9"/>
  <c r="AN2418" i="9" s="1"/>
  <c r="AM1673" i="9"/>
  <c r="AN1673" i="9" s="1"/>
  <c r="AK1671" i="9"/>
  <c r="AL1671" i="9" s="1"/>
  <c r="AK1223" i="9"/>
  <c r="AL1223" i="9" s="1"/>
  <c r="AK1225" i="9"/>
  <c r="AL1225" i="9" s="1"/>
  <c r="AK1208" i="9"/>
  <c r="AL1208" i="9" s="1"/>
  <c r="AK1431" i="9"/>
  <c r="AL1431" i="9" s="1"/>
  <c r="AK1216" i="9"/>
  <c r="AL1216" i="9" s="1"/>
  <c r="AK74" i="9"/>
  <c r="AL74" i="9" s="1"/>
  <c r="AM101" i="9"/>
  <c r="AN101" i="9" s="1"/>
  <c r="AK87" i="9"/>
  <c r="AL87" i="9" s="1"/>
  <c r="AM24" i="9"/>
  <c r="AN24" i="9" s="1"/>
  <c r="AK51" i="9"/>
  <c r="AL51" i="9" s="1"/>
  <c r="AM1661" i="9"/>
  <c r="AN1661" i="9" s="1"/>
  <c r="AK4277" i="9"/>
  <c r="AL4277" i="9" s="1"/>
  <c r="AK3133" i="9"/>
  <c r="AL3133" i="9" s="1"/>
  <c r="AK3134" i="9"/>
  <c r="AL3134" i="9" s="1"/>
  <c r="K1968" i="9"/>
  <c r="L1968" i="9" s="1"/>
  <c r="AM1952" i="9"/>
  <c r="AN1952" i="9" s="1"/>
  <c r="AK1858" i="9"/>
  <c r="AL1858" i="9" s="1"/>
  <c r="AK1674" i="9"/>
  <c r="AL1674" i="9" s="1"/>
  <c r="AK1660" i="9"/>
  <c r="AL1660" i="9" s="1"/>
  <c r="AK1687" i="9"/>
  <c r="AL1687" i="9" s="1"/>
  <c r="AM1832" i="9"/>
  <c r="AN1832" i="9" s="1"/>
  <c r="AM1677" i="9"/>
  <c r="AN1677" i="9" s="1"/>
  <c r="AK1637" i="9"/>
  <c r="AL1637" i="9" s="1"/>
  <c r="AK1222" i="9"/>
  <c r="AL1222" i="9" s="1"/>
  <c r="AM786" i="9"/>
  <c r="AN786" i="9" s="1"/>
  <c r="AK25" i="9"/>
  <c r="AL25" i="9" s="1"/>
  <c r="AK71" i="9"/>
  <c r="AL71" i="9" s="1"/>
  <c r="AK774" i="9"/>
  <c r="AL774" i="9" s="1"/>
  <c r="AK73" i="9"/>
  <c r="AL73" i="9" s="1"/>
  <c r="AM1850" i="9"/>
  <c r="AN1850" i="9" s="1"/>
  <c r="AK1832" i="9"/>
  <c r="AL1832" i="9" s="1"/>
  <c r="AK3129" i="9"/>
  <c r="AL3129" i="9" s="1"/>
  <c r="AM3127" i="9"/>
  <c r="AN3127" i="9" s="1"/>
  <c r="AK2124" i="9"/>
  <c r="AL2124" i="9" s="1"/>
  <c r="AK2113" i="9"/>
  <c r="AL2113" i="9" s="1"/>
  <c r="AK1800" i="9"/>
  <c r="AL1800" i="9" s="1"/>
  <c r="AK1770" i="9"/>
  <c r="AL1770" i="9" s="1"/>
  <c r="AK1755" i="9"/>
  <c r="AL1755" i="9" s="1"/>
  <c r="AM1705" i="9"/>
  <c r="AN1705" i="9" s="1"/>
  <c r="AK1703" i="9"/>
  <c r="AL1703" i="9" s="1"/>
  <c r="AM1771" i="9"/>
  <c r="AN1771" i="9" s="1"/>
  <c r="AM1667" i="9"/>
  <c r="AN1667" i="9" s="1"/>
  <c r="AK1209" i="9"/>
  <c r="AL1209" i="9" s="1"/>
  <c r="AM1237" i="9"/>
  <c r="AN1237" i="9" s="1"/>
  <c r="AK1233" i="9"/>
  <c r="AL1233" i="9" s="1"/>
  <c r="AM1233" i="9"/>
  <c r="AN1233" i="9" s="1"/>
  <c r="AK1702" i="9"/>
  <c r="AL1702" i="9" s="1"/>
  <c r="AP3564" i="9"/>
  <c r="AM43" i="9"/>
  <c r="AN43" i="9" s="1"/>
  <c r="AK4224" i="9"/>
  <c r="AL4224" i="9" s="1"/>
  <c r="AK4343" i="9"/>
  <c r="AL4343" i="9" s="1"/>
  <c r="AK4302" i="9"/>
  <c r="AL4302" i="9" s="1"/>
  <c r="AK4249" i="9"/>
  <c r="AL4249" i="9" s="1"/>
  <c r="AK4232" i="9"/>
  <c r="AL4232" i="9" s="1"/>
  <c r="AK3882" i="9"/>
  <c r="AL3882" i="9" s="1"/>
  <c r="AK4119" i="9"/>
  <c r="AL4119" i="9" s="1"/>
  <c r="AK3940" i="9"/>
  <c r="AL3940" i="9" s="1"/>
  <c r="AM1774" i="9"/>
  <c r="AN1774" i="9" s="1"/>
  <c r="AK2293" i="9"/>
  <c r="AL2293" i="9" s="1"/>
  <c r="AM1842" i="9"/>
  <c r="AN1842" i="9" s="1"/>
  <c r="AK1676" i="9"/>
  <c r="AL1676" i="9" s="1"/>
  <c r="AK1249" i="9"/>
  <c r="AL1249" i="9" s="1"/>
  <c r="AK1673" i="9"/>
  <c r="AL1673" i="9" s="1"/>
  <c r="AK1636" i="9"/>
  <c r="AL1636" i="9" s="1"/>
  <c r="AK1656" i="9"/>
  <c r="AL1656" i="9" s="1"/>
  <c r="AK1663" i="9"/>
  <c r="AL1663" i="9" s="1"/>
  <c r="AK815" i="9"/>
  <c r="AL815" i="9" s="1"/>
  <c r="AM790" i="9"/>
  <c r="AN790" i="9" s="1"/>
  <c r="AK53" i="9"/>
  <c r="AL53" i="9" s="1"/>
  <c r="AK79" i="9"/>
  <c r="AL79" i="9" s="1"/>
  <c r="AK44" i="9"/>
  <c r="AL44" i="9" s="1"/>
  <c r="AK21" i="9"/>
  <c r="AL21" i="9" s="1"/>
  <c r="AK1753" i="9" l="1"/>
  <c r="AL1753" i="9" s="1"/>
  <c r="R4372" i="9"/>
  <c r="Y4376" i="9" s="1"/>
  <c r="K4372" i="9"/>
  <c r="AK4372" i="9"/>
  <c r="AK4375" i="9" s="1"/>
  <c r="B97" i="3" l="1"/>
  <c r="B9" i="3"/>
  <c r="G264" i="3" l="1"/>
  <c r="I259" i="3" l="1"/>
  <c r="G259" i="3"/>
  <c r="AT243" i="3" l="1"/>
  <c r="AT249" i="3" s="1"/>
  <c r="AR243" i="3"/>
  <c r="AN243" i="3"/>
  <c r="AL243" i="3"/>
  <c r="AJ243" i="3"/>
  <c r="AH243" i="3"/>
  <c r="AF243" i="3"/>
  <c r="AD243" i="3"/>
  <c r="AB243" i="3"/>
  <c r="Z243" i="3"/>
  <c r="X243" i="3"/>
  <c r="T243" i="3"/>
  <c r="R243" i="3"/>
  <c r="P243" i="3"/>
  <c r="N243" i="3"/>
  <c r="L243" i="3"/>
  <c r="L245" i="3" s="1"/>
  <c r="H243" i="3"/>
  <c r="H244" i="3" s="1"/>
  <c r="B243" i="3"/>
  <c r="AU241" i="3"/>
  <c r="AW241" i="3" s="1"/>
  <c r="AU240" i="3"/>
  <c r="AW240" i="3" s="1"/>
  <c r="AU239" i="3"/>
  <c r="AW239" i="3" s="1"/>
  <c r="AW238" i="3"/>
  <c r="AU238" i="3"/>
  <c r="AU237" i="3"/>
  <c r="AW237" i="3" s="1"/>
  <c r="AU236" i="3"/>
  <c r="AW236" i="3" s="1"/>
  <c r="AU235" i="3"/>
  <c r="AW235" i="3" s="1"/>
  <c r="AU234" i="3"/>
  <c r="AW234" i="3" s="1"/>
  <c r="AU233" i="3"/>
  <c r="AW233" i="3" s="1"/>
  <c r="AW232" i="3"/>
  <c r="AU232" i="3"/>
  <c r="AU231" i="3"/>
  <c r="AW231" i="3" s="1"/>
  <c r="AU230" i="3"/>
  <c r="AW230" i="3" s="1"/>
  <c r="AU229" i="3"/>
  <c r="AW228" i="3"/>
  <c r="AU228" i="3"/>
  <c r="AU227" i="3"/>
  <c r="AW227" i="3" s="1"/>
  <c r="AU226" i="3"/>
  <c r="AW226" i="3" s="1"/>
  <c r="AU225" i="3"/>
  <c r="AW225" i="3" s="1"/>
  <c r="AW224" i="3"/>
  <c r="AU224" i="3"/>
  <c r="AU223" i="3"/>
  <c r="AW223" i="3" s="1"/>
  <c r="AW222" i="3"/>
  <c r="AU222" i="3"/>
  <c r="AU221" i="3"/>
  <c r="AW221" i="3" s="1"/>
  <c r="AU220" i="3"/>
  <c r="AW220" i="3" s="1"/>
  <c r="AU219" i="3"/>
  <c r="AW219" i="3" s="1"/>
  <c r="AW218" i="3"/>
  <c r="AU218" i="3"/>
  <c r="AU217" i="3"/>
  <c r="AW217" i="3" s="1"/>
  <c r="AW216" i="3"/>
  <c r="AU216" i="3"/>
  <c r="AU215" i="3"/>
  <c r="AW215" i="3" s="1"/>
  <c r="AU214" i="3"/>
  <c r="AW214" i="3" s="1"/>
  <c r="AU213" i="3"/>
  <c r="AW213" i="3" s="1"/>
  <c r="AW212" i="3"/>
  <c r="AU212" i="3"/>
  <c r="AU211" i="3"/>
  <c r="AW211" i="3" s="1"/>
  <c r="AW210" i="3"/>
  <c r="AU210" i="3"/>
  <c r="AU209" i="3"/>
  <c r="AW209" i="3" s="1"/>
  <c r="AU208" i="3"/>
  <c r="AW208" i="3" s="1"/>
  <c r="AU207" i="3"/>
  <c r="AW207" i="3" s="1"/>
  <c r="AW206" i="3"/>
  <c r="AU206" i="3"/>
  <c r="AU205" i="3"/>
  <c r="AW205" i="3" s="1"/>
  <c r="AW204" i="3"/>
  <c r="AU204" i="3"/>
  <c r="AU203" i="3"/>
  <c r="AW203" i="3" s="1"/>
  <c r="AU202" i="3"/>
  <c r="AW202" i="3" s="1"/>
  <c r="AU201" i="3"/>
  <c r="AW201" i="3" s="1"/>
  <c r="AW200" i="3"/>
  <c r="AU200" i="3"/>
  <c r="AU199" i="3"/>
  <c r="AW199" i="3" s="1"/>
  <c r="AW197" i="3"/>
  <c r="AU197" i="3"/>
  <c r="AU195" i="3"/>
  <c r="AW195" i="3" s="1"/>
  <c r="AU194" i="3"/>
  <c r="AW194" i="3" s="1"/>
  <c r="AU193" i="3"/>
  <c r="AW193" i="3" s="1"/>
  <c r="AW192" i="3"/>
  <c r="AU192" i="3"/>
  <c r="AU191" i="3"/>
  <c r="AW191" i="3" s="1"/>
  <c r="AW190" i="3"/>
  <c r="AU190" i="3"/>
  <c r="AU189" i="3"/>
  <c r="AW189" i="3" s="1"/>
  <c r="AU188" i="3"/>
  <c r="AW188" i="3" s="1"/>
  <c r="AU187" i="3"/>
  <c r="AW187" i="3" s="1"/>
  <c r="AW186" i="3"/>
  <c r="AU186" i="3"/>
  <c r="AU185" i="3"/>
  <c r="AW185" i="3" s="1"/>
  <c r="AW184" i="3"/>
  <c r="AU184" i="3"/>
  <c r="AU183" i="3"/>
  <c r="AW183" i="3" s="1"/>
  <c r="AU182" i="3"/>
  <c r="AW182" i="3" s="1"/>
  <c r="AU181" i="3"/>
  <c r="AW181" i="3" s="1"/>
  <c r="AU180" i="3"/>
  <c r="AU179" i="3"/>
  <c r="AW179" i="3" s="1"/>
  <c r="AU178" i="3"/>
  <c r="AW178" i="3" s="1"/>
  <c r="AU177" i="3"/>
  <c r="AW177" i="3" s="1"/>
  <c r="AU176" i="3"/>
  <c r="AW176" i="3" s="1"/>
  <c r="AW175" i="3"/>
  <c r="AU175" i="3"/>
  <c r="AU174" i="3"/>
  <c r="AW174" i="3" s="1"/>
  <c r="AU173" i="3"/>
  <c r="AW173" i="3" s="1"/>
  <c r="AU171" i="3"/>
  <c r="AW171" i="3" s="1"/>
  <c r="AU170" i="3"/>
  <c r="AW170" i="3" s="1"/>
  <c r="AU169" i="3"/>
  <c r="AW169" i="3" s="1"/>
  <c r="AW168" i="3"/>
  <c r="AU168" i="3"/>
  <c r="AU167" i="3"/>
  <c r="AW167" i="3" s="1"/>
  <c r="AU166" i="3"/>
  <c r="AW166" i="3" s="1"/>
  <c r="AU165" i="3"/>
  <c r="AW165" i="3" s="1"/>
  <c r="AU164" i="3"/>
  <c r="AW164" i="3" s="1"/>
  <c r="AU163" i="3"/>
  <c r="AW163" i="3" s="1"/>
  <c r="AW162" i="3"/>
  <c r="AU162" i="3"/>
  <c r="AU161" i="3"/>
  <c r="AW161" i="3" s="1"/>
  <c r="AU160" i="3"/>
  <c r="AW160" i="3" s="1"/>
  <c r="AU159" i="3"/>
  <c r="AW159" i="3" s="1"/>
  <c r="AU158" i="3"/>
  <c r="AW158" i="3" s="1"/>
  <c r="AU157" i="3"/>
  <c r="AW157" i="3" s="1"/>
  <c r="AW156" i="3"/>
  <c r="AU156" i="3"/>
  <c r="AU154" i="3"/>
  <c r="AW154" i="3" s="1"/>
  <c r="AU153" i="3"/>
  <c r="AW153" i="3" s="1"/>
  <c r="AU152" i="3"/>
  <c r="AW152" i="3" s="1"/>
  <c r="AL151" i="3"/>
  <c r="AU151" i="3" s="1"/>
  <c r="AW151" i="3" s="1"/>
  <c r="AU150" i="3"/>
  <c r="AW150" i="3" s="1"/>
  <c r="AU149" i="3"/>
  <c r="AW149" i="3" s="1"/>
  <c r="AW148" i="3"/>
  <c r="AU148" i="3"/>
  <c r="AU147" i="3"/>
  <c r="AW147" i="3" s="1"/>
  <c r="AW146" i="3"/>
  <c r="AU146" i="3"/>
  <c r="AU145" i="3"/>
  <c r="AW145" i="3" s="1"/>
  <c r="AU144" i="3"/>
  <c r="AW144" i="3" s="1"/>
  <c r="AU143" i="3"/>
  <c r="AW143" i="3" s="1"/>
  <c r="AW142" i="3"/>
  <c r="AU142" i="3"/>
  <c r="AU141" i="3"/>
  <c r="AW141" i="3" s="1"/>
  <c r="AW140" i="3"/>
  <c r="AU140" i="3"/>
  <c r="AU139" i="3"/>
  <c r="AW139" i="3" s="1"/>
  <c r="AU138" i="3"/>
  <c r="AW138" i="3" s="1"/>
  <c r="AU137" i="3"/>
  <c r="AW137" i="3" s="1"/>
  <c r="AU136" i="3"/>
  <c r="AU135" i="3"/>
  <c r="AW135" i="3" s="1"/>
  <c r="AU134" i="3"/>
  <c r="AW134" i="3" s="1"/>
  <c r="AU133" i="3"/>
  <c r="AW133" i="3" s="1"/>
  <c r="AU132" i="3"/>
  <c r="AW132" i="3" s="1"/>
  <c r="AW131" i="3"/>
  <c r="AU131" i="3"/>
  <c r="AU130" i="3"/>
  <c r="AW130" i="3" s="1"/>
  <c r="AU129" i="3"/>
  <c r="AW129" i="3" s="1"/>
  <c r="AU128" i="3"/>
  <c r="AW128" i="3" s="1"/>
  <c r="AU127" i="3"/>
  <c r="AW127" i="3" s="1"/>
  <c r="AU126" i="3"/>
  <c r="AW126" i="3" s="1"/>
  <c r="AW125" i="3"/>
  <c r="AU125" i="3"/>
  <c r="AU124" i="3"/>
  <c r="AW124" i="3" s="1"/>
  <c r="AU123" i="3"/>
  <c r="AW123" i="3" s="1"/>
  <c r="AU122" i="3"/>
  <c r="AW122" i="3" s="1"/>
  <c r="AU121" i="3"/>
  <c r="AW121" i="3" s="1"/>
  <c r="AU120" i="3"/>
  <c r="AW120" i="3" s="1"/>
  <c r="AW119" i="3"/>
  <c r="AU119" i="3"/>
  <c r="AU118" i="3"/>
  <c r="AW118" i="3" s="1"/>
  <c r="AU117" i="3"/>
  <c r="AW117" i="3" s="1"/>
  <c r="AU116" i="3"/>
  <c r="AW116" i="3" s="1"/>
  <c r="AU114" i="3"/>
  <c r="AW114" i="3" s="1"/>
  <c r="AU113" i="3"/>
  <c r="AW113" i="3" s="1"/>
  <c r="AW112" i="3"/>
  <c r="AU112" i="3"/>
  <c r="AU111" i="3"/>
  <c r="AW111" i="3" s="1"/>
  <c r="AU110" i="3"/>
  <c r="AW110" i="3" s="1"/>
  <c r="AU109" i="3"/>
  <c r="AW109" i="3" s="1"/>
  <c r="V108" i="3"/>
  <c r="V243" i="3" s="1"/>
  <c r="AU107" i="3"/>
  <c r="AW107" i="3" s="1"/>
  <c r="AU106" i="3"/>
  <c r="AW106" i="3" s="1"/>
  <c r="AW105" i="3"/>
  <c r="AU105" i="3"/>
  <c r="AU104" i="3"/>
  <c r="AW104" i="3" s="1"/>
  <c r="AW103" i="3"/>
  <c r="AU103" i="3"/>
  <c r="AU102" i="3"/>
  <c r="AW102" i="3" s="1"/>
  <c r="AU101" i="3"/>
  <c r="AW101" i="3" s="1"/>
  <c r="AU100" i="3"/>
  <c r="AW100" i="3" s="1"/>
  <c r="AW99" i="3"/>
  <c r="AU99" i="3"/>
  <c r="AU98" i="3"/>
  <c r="AW98" i="3" s="1"/>
  <c r="AU97" i="3"/>
  <c r="AW97" i="3" s="1"/>
  <c r="AU96" i="3"/>
  <c r="AW96" i="3" s="1"/>
  <c r="AU95" i="3"/>
  <c r="AW95" i="3" s="1"/>
  <c r="AU94" i="3"/>
  <c r="AW94" i="3" s="1"/>
  <c r="AW93" i="3"/>
  <c r="AU93" i="3"/>
  <c r="AU92" i="3"/>
  <c r="AW92" i="3" s="1"/>
  <c r="AW91" i="3"/>
  <c r="AU91" i="3"/>
  <c r="AU90" i="3"/>
  <c r="AW90" i="3" s="1"/>
  <c r="AU89" i="3"/>
  <c r="AW89" i="3" s="1"/>
  <c r="AU88" i="3"/>
  <c r="AW88" i="3" s="1"/>
  <c r="AW87" i="3"/>
  <c r="AU87" i="3"/>
  <c r="AU86" i="3"/>
  <c r="AW86" i="3" s="1"/>
  <c r="AW85" i="3"/>
  <c r="AU85" i="3"/>
  <c r="AU84" i="3"/>
  <c r="AU83" i="3"/>
  <c r="AW83" i="3" s="1"/>
  <c r="AW82" i="3"/>
  <c r="AU82" i="3"/>
  <c r="AU81" i="3"/>
  <c r="AW81" i="3" s="1"/>
  <c r="AU80" i="3"/>
  <c r="AW80" i="3" s="1"/>
  <c r="AU79" i="3"/>
  <c r="AW79" i="3" s="1"/>
  <c r="AU78" i="3"/>
  <c r="AW78" i="3" s="1"/>
  <c r="AU77" i="3"/>
  <c r="AW77" i="3" s="1"/>
  <c r="AW76" i="3"/>
  <c r="AU76" i="3"/>
  <c r="AU75" i="3"/>
  <c r="AW75" i="3" s="1"/>
  <c r="AU74" i="3"/>
  <c r="AW74" i="3" s="1"/>
  <c r="AU73" i="3"/>
  <c r="AW73" i="3" s="1"/>
  <c r="AU72" i="3"/>
  <c r="AW72" i="3" s="1"/>
  <c r="AU71" i="3"/>
  <c r="AW71" i="3" s="1"/>
  <c r="AW70" i="3"/>
  <c r="AU70" i="3"/>
  <c r="AU69" i="3"/>
  <c r="AW69" i="3" s="1"/>
  <c r="AU68" i="3"/>
  <c r="AW68" i="3" s="1"/>
  <c r="AU67" i="3"/>
  <c r="AW67" i="3" s="1"/>
  <c r="AU66" i="3"/>
  <c r="AW66" i="3" s="1"/>
  <c r="AU65" i="3"/>
  <c r="AW65" i="3" s="1"/>
  <c r="AW64" i="3"/>
  <c r="AU64" i="3"/>
  <c r="AU63" i="3"/>
  <c r="AW63" i="3" s="1"/>
  <c r="AU62" i="3"/>
  <c r="AW62" i="3" s="1"/>
  <c r="AU61" i="3"/>
  <c r="AW61" i="3" s="1"/>
  <c r="AU60" i="3"/>
  <c r="AW60" i="3" s="1"/>
  <c r="AU59" i="3"/>
  <c r="AW59" i="3" s="1"/>
  <c r="AW58" i="3"/>
  <c r="AU58" i="3"/>
  <c r="AU57" i="3"/>
  <c r="AW57" i="3" s="1"/>
  <c r="D56" i="3"/>
  <c r="D243" i="3" s="1"/>
  <c r="AW55" i="3"/>
  <c r="AU55" i="3"/>
  <c r="AU54" i="3"/>
  <c r="AW54" i="3" s="1"/>
  <c r="AU53" i="3"/>
  <c r="AW53" i="3" s="1"/>
  <c r="AU52" i="3"/>
  <c r="AW52" i="3" s="1"/>
  <c r="AW51" i="3"/>
  <c r="AU51" i="3"/>
  <c r="AU50" i="3"/>
  <c r="AW50" i="3" s="1"/>
  <c r="AW49" i="3"/>
  <c r="AU49" i="3"/>
  <c r="AU48" i="3"/>
  <c r="AW48" i="3" s="1"/>
  <c r="AU47" i="3"/>
  <c r="AW47" i="3" s="1"/>
  <c r="AU46" i="3"/>
  <c r="AW46" i="3" s="1"/>
  <c r="AW45" i="3"/>
  <c r="AU45" i="3"/>
  <c r="AU44" i="3"/>
  <c r="AW44" i="3" s="1"/>
  <c r="AW43" i="3"/>
  <c r="AU43" i="3"/>
  <c r="AU42" i="3"/>
  <c r="AW42" i="3" s="1"/>
  <c r="AU41" i="3"/>
  <c r="AW41" i="3" s="1"/>
  <c r="AU40" i="3"/>
  <c r="AW40" i="3" s="1"/>
  <c r="AW39" i="3"/>
  <c r="AU39" i="3"/>
  <c r="AU38" i="3"/>
  <c r="AW38" i="3" s="1"/>
  <c r="AW37" i="3"/>
  <c r="AU37" i="3"/>
  <c r="AU36" i="3"/>
  <c r="AW36" i="3" s="1"/>
  <c r="AU35" i="3"/>
  <c r="AW35" i="3" s="1"/>
  <c r="AU34" i="3"/>
  <c r="AW34" i="3" s="1"/>
  <c r="AW33" i="3"/>
  <c r="AU33" i="3"/>
  <c r="AU32" i="3"/>
  <c r="AW32" i="3" s="1"/>
  <c r="AW31" i="3"/>
  <c r="AU31" i="3"/>
  <c r="AU30" i="3"/>
  <c r="AW30" i="3" s="1"/>
  <c r="AU29" i="3"/>
  <c r="AW29" i="3" s="1"/>
  <c r="AU28" i="3"/>
  <c r="AW28" i="3" s="1"/>
  <c r="F27" i="3"/>
  <c r="F243" i="3" s="1"/>
  <c r="AU26" i="3"/>
  <c r="AW26" i="3" s="1"/>
  <c r="AU25" i="3"/>
  <c r="AW25" i="3" s="1"/>
  <c r="AU24" i="3"/>
  <c r="AW24" i="3" s="1"/>
  <c r="AW23" i="3"/>
  <c r="AU23" i="3"/>
  <c r="AU22" i="3"/>
  <c r="AW22" i="3" s="1"/>
  <c r="AU21" i="3"/>
  <c r="AW21" i="3" s="1"/>
  <c r="AU20" i="3"/>
  <c r="AW20" i="3" s="1"/>
  <c r="AU19" i="3"/>
  <c r="AW19" i="3" s="1"/>
  <c r="AU18" i="3"/>
  <c r="AW18" i="3" s="1"/>
  <c r="AW17" i="3"/>
  <c r="AU17" i="3"/>
  <c r="AU16" i="3"/>
  <c r="AW16" i="3" s="1"/>
  <c r="AU15" i="3"/>
  <c r="AW15" i="3" s="1"/>
  <c r="AU14" i="3"/>
  <c r="AW14" i="3" s="1"/>
  <c r="AU13" i="3"/>
  <c r="AU12" i="3"/>
  <c r="AW12" i="3" s="1"/>
  <c r="AU11" i="3"/>
  <c r="AW11" i="3" s="1"/>
  <c r="AU10" i="3"/>
  <c r="AW10" i="3" s="1"/>
  <c r="J9" i="3"/>
  <c r="AU9" i="3" s="1"/>
  <c r="AW9" i="3" s="1"/>
  <c r="AU8" i="3"/>
  <c r="AW8" i="3" s="1"/>
  <c r="AU7" i="3"/>
  <c r="AW7" i="3" s="1"/>
  <c r="AP6" i="3"/>
  <c r="AU6" i="3" s="1"/>
  <c r="J6" i="3"/>
  <c r="J243" i="3" s="1"/>
  <c r="J245" i="3" s="1"/>
  <c r="AU5" i="3"/>
  <c r="AW5" i="3" s="1"/>
  <c r="H2" i="3"/>
  <c r="AU243" i="3" l="1"/>
  <c r="G266" i="3"/>
  <c r="G265" i="3" s="1"/>
  <c r="J2" i="3"/>
  <c r="AW6" i="3"/>
  <c r="AW243" i="3" s="1"/>
  <c r="AU108" i="3"/>
  <c r="AW108" i="3" s="1"/>
  <c r="AP243" i="3"/>
  <c r="AU56" i="3"/>
  <c r="AW56" i="3" s="1"/>
  <c r="AU27" i="3"/>
  <c r="AW27" i="3" s="1"/>
</calcChain>
</file>

<file path=xl/comments1.xml><?xml version="1.0" encoding="utf-8"?>
<comments xmlns="http://schemas.openxmlformats.org/spreadsheetml/2006/main">
  <authors>
    <author>PLANEACION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PLANEACION:</t>
        </r>
        <r>
          <rPr>
            <sz val="9"/>
            <color indexed="81"/>
            <rFont val="Tahoma"/>
            <family val="2"/>
          </rPr>
          <t xml:space="preserve">
Aquí nos Vmos - Cendi - SGA - SGO - SGPS - TICS - VELATORIO</t>
        </r>
      </text>
    </comment>
    <comment ref="C3" authorId="0" shapeId="0">
      <text>
        <r>
          <rPr>
            <b/>
            <sz val="9"/>
            <color indexed="81"/>
            <rFont val="Tahoma"/>
            <family val="2"/>
          </rPr>
          <t>PLANEACION:</t>
        </r>
        <r>
          <rPr>
            <sz val="9"/>
            <color indexed="81"/>
            <rFont val="Tahoma"/>
            <family val="2"/>
          </rPr>
          <t xml:space="preserve">
Procu - Progra Alim - Rec. Mat - Juridico - Recu Humanos</t>
        </r>
      </text>
    </comment>
    <comment ref="E3" authorId="0" shapeId="0">
      <text>
        <r>
          <rPr>
            <b/>
            <sz val="9"/>
            <color indexed="81"/>
            <rFont val="Tahoma"/>
            <family val="2"/>
          </rPr>
          <t>PLANEACION:</t>
        </r>
        <r>
          <rPr>
            <sz val="9"/>
            <color indexed="81"/>
            <rFont val="Tahoma"/>
            <family val="2"/>
          </rPr>
          <t xml:space="preserve">
Migrantes - OIC - PAB - Recuerdos de la Alegria</t>
        </r>
      </text>
    </comment>
    <comment ref="G3" authorId="0" shapeId="0">
      <text>
        <r>
          <rPr>
            <b/>
            <sz val="9"/>
            <color indexed="81"/>
            <rFont val="Tahoma"/>
            <family val="2"/>
          </rPr>
          <t>PLANEACION:</t>
        </r>
        <r>
          <rPr>
            <sz val="9"/>
            <color indexed="81"/>
            <rFont val="Tahoma"/>
            <family val="2"/>
          </rPr>
          <t xml:space="preserve">
Casa de la Mujer - Casa Hogar - Alimenta - Atn Ciudadana</t>
        </r>
      </text>
    </comment>
  </commentList>
</comments>
</file>

<file path=xl/sharedStrings.xml><?xml version="1.0" encoding="utf-8"?>
<sst xmlns="http://schemas.openxmlformats.org/spreadsheetml/2006/main" count="35898" uniqueCount="5611">
  <si>
    <t>CLAVE DEL OBJETO DEL GASTO (CAP/CONCEP/PDA)</t>
  </si>
  <si>
    <t>CONCEPTO Y/O DESCRIPCION</t>
  </si>
  <si>
    <t>CANTIDAD DE BIENES Y SERVICIOS EXISTENTES
(CANTIDADES ANUALES)</t>
  </si>
  <si>
    <t>CANTIDAD DE BIENES Y/O SERVICIOS REQUERIDOS
(CANTIDADES ANUALES)</t>
  </si>
  <si>
    <t>UNIDAD DE MEDIDA</t>
  </si>
  <si>
    <t>DESTINO DE LOS BIENES Y SERVICIOS</t>
  </si>
  <si>
    <t>CALIDAD DE LOS BIENES Y SERVICIOS</t>
  </si>
  <si>
    <t>JUSTIFICACION DE LA ADQUISICION DE LOS BIENES Y SERVICIOS</t>
  </si>
  <si>
    <t>COSTO UNITARIO ESTIMADO (PESOS)</t>
  </si>
  <si>
    <t>VALOR TOTAL ANUAL ESTIMADO (PESOS)</t>
  </si>
  <si>
    <t xml:space="preserve">MATERIALES Y SUMINISTROS  </t>
  </si>
  <si>
    <t xml:space="preserve">MATERIALES DE ADMINISTRACIÓN, EMISIÓN DE DOCUMENTOS Y ARTÍCULOS OFICIALES </t>
  </si>
  <si>
    <t xml:space="preserve">MATERIALES, ÚTILES Y EQUIPOS MENORES DE OFICINA </t>
  </si>
  <si>
    <t xml:space="preserve">MATERIALES PARA SERVICIO EN GENERAL </t>
  </si>
  <si>
    <t xml:space="preserve">ARTÍCULOS Y MATERIAL DE OFICINA </t>
  </si>
  <si>
    <t>AGENDA  CLASICA 2024</t>
  </si>
  <si>
    <t>AGENDA  EJECUTIVA</t>
  </si>
  <si>
    <t>ALFILER DORADO GRUESO C/144</t>
  </si>
  <si>
    <t>BOLIGRAFO COLOR NEGRO</t>
  </si>
  <si>
    <t>BOLIGRAFO COLOR AZUL</t>
  </si>
  <si>
    <t>BOLIGRAFO PUNTO FINO AZUL C/12 PZAS</t>
  </si>
  <si>
    <t>BOLIGRAFO PUNTO FINO NEGRO C/12 PZAS</t>
  </si>
  <si>
    <t>BOLIGRAFO DE 0.7MM COLOR AZUL</t>
  </si>
  <si>
    <t>BORRADOR DE MIGAJON MEDIDAS 4X2.5X1.5CM M-20</t>
  </si>
  <si>
    <t>BORRADOR PARA PINTARRÓN</t>
  </si>
  <si>
    <t>BROCHE 8 CM C/50 FABRICADO EN LAMINA</t>
  </si>
  <si>
    <t>CAJA GRAPAS ESTANDAR C/5000 PZAS</t>
  </si>
  <si>
    <t>CAJA DE GRAPAS 3/8"</t>
  </si>
  <si>
    <t>CALCULADORA DE ESCRITORIO DE 12 DIGITOS</t>
  </si>
  <si>
    <t>CALCULADORA CIENTIFICA MEDIANA</t>
  </si>
  <si>
    <t>CINTA SCOTCH 18 MM X 65 MTS</t>
  </si>
  <si>
    <t>CINTA SCOTCH MEDIANA 24 MM X 65 MTS</t>
  </si>
  <si>
    <t>CINTA CANELA 48 MM X 50 M</t>
  </si>
  <si>
    <t>CINTA ADHESIVA DOBLE CARA 18X50 MTS</t>
  </si>
  <si>
    <t>CINTA ADHESIVA TRANSPARENTE CHICA 12 MM X 65 M</t>
  </si>
  <si>
    <t>CINTA ADHESIVA TRANSPARENTE GRANDE 48 MM X 50 M</t>
  </si>
  <si>
    <t>CIZALLA O GUILLOTINA MANUAL (PARA OFICINA)</t>
  </si>
  <si>
    <t>COJIN PARA SELLOS DEL NO. 1 MEDIANO DE PLASTICO</t>
  </si>
  <si>
    <t>COLORES DE  MADERA LARGOS C/12 PZAS</t>
  </si>
  <si>
    <t>CORRECTOR LIQUIDO EN  BROCHA</t>
  </si>
  <si>
    <t>CORRECTOR LIQUIDO EN LÁPIZ</t>
  </si>
  <si>
    <t>CRAYOLAS C/24 PZAS GRUESA</t>
  </si>
  <si>
    <t>CUADERNO PROFESIONAL RAYADO C/100 HOJAS</t>
  </si>
  <si>
    <t>CUENTA FACIL</t>
  </si>
  <si>
    <t>CUTTER GRANDE DE PLASTICO</t>
  </si>
  <si>
    <t>CLIPS CUADRADOS NO. 1 C/100 PZAS</t>
  </si>
  <si>
    <t>CLIPS CUADRADOS NO. 2 C/100 PZAS</t>
  </si>
  <si>
    <t>CLIPS MARIPOSA NO 1</t>
  </si>
  <si>
    <t>CLIPS MARIPOSA NO. 2</t>
  </si>
  <si>
    <t>CLIPS SUJETA DOCUMENTOS 19 MM C/12 PZAS</t>
  </si>
  <si>
    <t>CLIPS SUJETA DOCUMENTOS 32 MM C/12 PZAS</t>
  </si>
  <si>
    <t>CHAROLA DE ESCRITORIO PARA DOCUMENTOS  CON TRES NIVELES TAMAÑO CARTA</t>
  </si>
  <si>
    <t>DESENGRAPADOR</t>
  </si>
  <si>
    <t>DESPACHADOR DE CINTA ADHESIVA GRANDE</t>
  </si>
  <si>
    <t xml:space="preserve">ENGRAPADORA BÁSICA PARA TRABAJO PESADO 100 HOJAS </t>
  </si>
  <si>
    <t xml:space="preserve">ENGRAPADORA  TIRA COMPLETA METALICA </t>
  </si>
  <si>
    <t>FOLIADOR AUTOMATICO DE 6 DIGITOS</t>
  </si>
  <si>
    <t>GRAPA ESTANDAR 26/6,  C/5000 PZAS</t>
  </si>
  <si>
    <t>KOLA LOKA GOTERITO</t>
  </si>
  <si>
    <t>LAPIZ ADHESIVO 40 GR (JUMBO)</t>
  </si>
  <si>
    <t>LAPIZ BICOLOR ROJO/AZUL DELGADO</t>
  </si>
  <si>
    <t>LAPIZ GRAFITO DEL NO. 2 C/12 PZAS</t>
  </si>
  <si>
    <t>LAPIZ MARCADOR DE CERA COLOR ROJO</t>
  </si>
  <si>
    <t>LIBRETA PASTA DURA 1/4 FORMA FRANCESA 96 HOJAS</t>
  </si>
  <si>
    <t>LIBRETA TAQUIGRAFIA CORTA CON 80 HOJAS</t>
  </si>
  <si>
    <t>LIQUIDO LIMPIADOR PARA PINTARRON</t>
  </si>
  <si>
    <t>MARCADOR PARA PINTARRON NEGRO C/4 PZAS</t>
  </si>
  <si>
    <t>MARCADOR PARA PINTARRON AZUL</t>
  </si>
  <si>
    <t>MARCADOR PARA PINTARRON ROJO</t>
  </si>
  <si>
    <t>MARCADOR PARA PINTARRON VERDE</t>
  </si>
  <si>
    <t>MARCADOR PERMANENTE PUNTO FINO COLOR NEGRO</t>
  </si>
  <si>
    <t>MARCADOR GRUESO PERMANENTE NEGRO C/12 PZAS</t>
  </si>
  <si>
    <t>MARCADOR PERMANENTE GRUESO COLOR NEGRO</t>
  </si>
  <si>
    <t>MARCATEXTOS FLUORECENTES PUNTO DELGADO COLORES VARIOS</t>
  </si>
  <si>
    <t>NAVAJA DE REPUESTO PARA CUTER GRANDE CON 10 PZA</t>
  </si>
  <si>
    <t>PERFORADORA DE UN HOYO METAL Y MANGO ERGONOMICO</t>
  </si>
  <si>
    <t>PERFORADORA 2 ORIFICIOS (MEDIANA) USO RUDO</t>
  </si>
  <si>
    <t>PISTOLA DE SILICON CHICA</t>
  </si>
  <si>
    <t>PISTOLA DE SILICON GRANDE</t>
  </si>
  <si>
    <t>PLUMA ROJA PUNTO MEDIANO C/12 PZAS</t>
  </si>
  <si>
    <t>REGLA DE METAL 30 CM</t>
  </si>
  <si>
    <t>SACAPUNTAS DE METAL ESCOLAR</t>
  </si>
  <si>
    <t>SACAPUNTAS DE PLÁSTICO</t>
  </si>
  <si>
    <t>SACAPUNTA ELECTRICO</t>
  </si>
  <si>
    <t>SELLO DE GOMA (ACUSE)</t>
  </si>
  <si>
    <t>SEPARADORES INDICE 31 DIVISIONES</t>
  </si>
  <si>
    <t>SEPARADORES DE CARPETAS DE COLORES 31 PIEZAS</t>
  </si>
  <si>
    <t>SILICON EN BARRA DELGADA DE 1KG</t>
  </si>
  <si>
    <t>SILICON EN BARRA GRUESO</t>
  </si>
  <si>
    <t>SILICON LIQUIDO DE 250 ML</t>
  </si>
  <si>
    <t>SOBRE DE PLASTICO T/C</t>
  </si>
  <si>
    <t>SUJETADOCUMENTOS 19 MM C/12 PIEZA</t>
  </si>
  <si>
    <t>SUJETADOCUMENTOS 32 MM C/12 PIEZA</t>
  </si>
  <si>
    <t>SUJETA DOCUMENTOS 51 MM C/12 PZAS</t>
  </si>
  <si>
    <t>TABLA ACRILICA CON SUJETADOR TAMAÑO CARTA</t>
  </si>
  <si>
    <t>TIJERA DE OFICINA DE ACERO INOXIDABLE CON AGARRADERA DE PLASTICO</t>
  </si>
  <si>
    <t>TINTA PARA COJIN DE SELLOS 60 ML NEGRO</t>
  </si>
  <si>
    <t>TINTA PARA COJIN DE SELLOS 60 ML AZUL</t>
  </si>
  <si>
    <t>TINTA PARA COJIN DE SELLOS 60 ML ROJA</t>
  </si>
  <si>
    <t>MATERIAL DE FERRETERÍA PARA OFICINAS</t>
  </si>
  <si>
    <t>MATERIAL PARA MANTENIMIETO DE LA OFICINA</t>
  </si>
  <si>
    <t>MATERIAL DE PINTURA Y DIBUJO PARA USO EN OFICINAS</t>
  </si>
  <si>
    <t xml:space="preserve">PRODUCTOS DE PAPEL Y HULE PARA USO EN OFICINAS </t>
  </si>
  <si>
    <t>CAJA DE ARCHIVO MUERTO T/CARTA DE PLASTICO</t>
  </si>
  <si>
    <t>CAJA DE ARCHIVO MUERTO T/OFICIO DE PLASTICO</t>
  </si>
  <si>
    <t>CARPETA BLANCA VINILICA DE ARGOLLA DE 3" T/CARTA</t>
  </si>
  <si>
    <t>CARPETA PARA ARCHIVAR EN CAJONES DE ESCRITORIO C/25 PESTAÑAS PLASTIFICADAS TAMAÑO CARTA.</t>
  </si>
  <si>
    <t>FICHAS BIBLIOGRAFICAS BLANCA 3x5" C/50 PZAS</t>
  </si>
  <si>
    <t>FICHAS BIBLIOGRAFICAS MEDIA CARTA BLANCA 5X8 C/80 PZAS</t>
  </si>
  <si>
    <t>FOLDERS TAMAÑO OFICIO C/100 PZAS COLOR BEIGE</t>
  </si>
  <si>
    <t>HOJA OPALINA DELGADA BLANCA C/100 PZAS 120 GRS APROX</t>
  </si>
  <si>
    <t>HOJA OPALINA GRUESA BLANCA C/100 PZAS  220 GRS APROX</t>
  </si>
  <si>
    <t xml:space="preserve">LIBRETA EJECUTIVA ACABADO PIEL 9X14 COLOR NEGRO, ROSITA, MOSTAZA, CHEDRON </t>
  </si>
  <si>
    <t>LIBRO FLORETE FORMA ITALIANA C/192 HOJAS</t>
  </si>
  <si>
    <t>LIGAS GRANDES NO. 18</t>
  </si>
  <si>
    <t>NOTAS ADHESIVAS (POST-IT) 400 CUBO PEQUEÑO</t>
  </si>
  <si>
    <t>NOTAS ADHESIVAS (POST-IT) 400 HOJAS 7.6X7.6CM (CUBO)</t>
  </si>
  <si>
    <t>PAPEL CARBÓN C/100 HOJAS</t>
  </si>
  <si>
    <t>PAPEL CONTAC CON 20 MTS TRANSPARENTE</t>
  </si>
  <si>
    <t>PAPEL T/CARTA COMPATIBLE CON IMPRESORAS LASER E INKJET, FOTOCOPIADORAS, FAXES, ETC PAQ C/500 PZAS</t>
  </si>
  <si>
    <t>PAPEL T/OFICIO COMPATIBLE CON IMPRESORAS LASER E INKJET, FOTOCOPIADORAS, FAXES, ETC  PAQ C/500 PZAS</t>
  </si>
  <si>
    <t>PASTA PARA ENGARGOLAR TAMAÑO CARTA C/25 JUEGOS</t>
  </si>
  <si>
    <t>PAQUETE HOJAS DOBLE CARTA</t>
  </si>
  <si>
    <t>POST-IT DE BANDERITA DE COLORES PARA SEÑALAR PAGINAS</t>
  </si>
  <si>
    <t>PROTECTOR DE HOJAS T/CARTA C/100 PZAS</t>
  </si>
  <si>
    <t>RECOPILADOR TAMAÑO CARTA</t>
  </si>
  <si>
    <t>RECOPILADOR TAMAÑO OFICIO</t>
  </si>
  <si>
    <t>SELLO PARA SOBRE AUTOADHERIBLE COLOR ORO CON 100 PIEZAS</t>
  </si>
  <si>
    <t>SOBRE MANILA COIN (DINERO)</t>
  </si>
  <si>
    <t>SOBRES DE PAPEL PARA CHEQUES CON SOLAPA ENGOMADA 10.5 X 24 CM. C/100</t>
  </si>
  <si>
    <t>SOBRE MANILA TAMAÑO CARTA</t>
  </si>
  <si>
    <t>SOBRE MANILA TAMAÑO OFICIO</t>
  </si>
  <si>
    <t>SOBRE DE PAPEL MANILA TAMAÑO  DOBLE OFICIO</t>
  </si>
  <si>
    <t>SOBRE DE PAPEL CELOFAN PARA INVITACION 23/14 CM CON 100 PIEZAS</t>
  </si>
  <si>
    <t xml:space="preserve">SOBRE DE PLASTICO </t>
  </si>
  <si>
    <t>SOBRE PARA CD´S CON 50 PZAS</t>
  </si>
  <si>
    <t>TARJETAS PARA RELOJ CHECADOR CON 100 PIEZAS</t>
  </si>
  <si>
    <t>PIGMENTOS O COLORANTES PARA USO EN OFICINAS</t>
  </si>
  <si>
    <t xml:space="preserve">MATERIAL Y ÚTILES DE IMPRESIÓN Y REPRODUCCIÓN </t>
  </si>
  <si>
    <t>MATERIAL PARA IMPRESIÓN  Y REPRODUCCION</t>
  </si>
  <si>
    <t>MATERIAL PARA USO FOROGRAFICO Y CINEMATOGRÁFICO</t>
  </si>
  <si>
    <t>MATERIAL DE PINTURA Y DIBUJO PARA USO EN IMPRESIÓN Y REPRODUCCIÓN</t>
  </si>
  <si>
    <t>PRODUCTOS DE PAPEL Y HULE PARA USO EN IMPRESIÓN Y REPRODUCCIÓN</t>
  </si>
  <si>
    <t>MATERIAL ESTADÍSTICO Y GEOGRÁFICO</t>
  </si>
  <si>
    <t>ARTÍCULOS PARA USO ESTADISTICO Y GEOGRÁFICO</t>
  </si>
  <si>
    <t>MATERIALES, ÚTILES Y EQUIPOS MENORES DE TECNOLOGÍAS DE LA INFORMACIÓN Y COMUNICACIONES</t>
  </si>
  <si>
    <t xml:space="preserve">SUMINISTROS INFORMÁTICOS </t>
  </si>
  <si>
    <t>TONER PARA IMPRESORA BROTHER  MOD. DCP-L2540DW</t>
  </si>
  <si>
    <t>TORRE DE DVD CON 50 PZAS</t>
  </si>
  <si>
    <t>TONER HP 58A CF258A</t>
  </si>
  <si>
    <t xml:space="preserve">MATERIAL IMPRESO E INFORMACIÓN DIGITAL </t>
  </si>
  <si>
    <t>ARTÍCULOS DIVERSOS DE CARÁCTER COMERCIAL</t>
  </si>
  <si>
    <t>ARTÍCULOS PARA SERVICIOS GENERALES</t>
  </si>
  <si>
    <t xml:space="preserve">MATERIAL DE COMUNICACIÓN </t>
  </si>
  <si>
    <t>AUDIFONOS PROFESIONALES MONITORIZADO PARA ESTUDIO CON CALE, AUDIO-TECHNICA ATH-M30X</t>
  </si>
  <si>
    <t>TORRE DE DISCO CD CON 100 PZAS</t>
  </si>
  <si>
    <t>PRODUCTOS IMPRESOS EN PAPEL</t>
  </si>
  <si>
    <t>MATERIAL DE LIMPIEZA</t>
  </si>
  <si>
    <t>MATERIAL Y ARTÍCULOS DE LIMPIEZA</t>
  </si>
  <si>
    <t>ATOMIZADOR DE USO RUDO 1 LT INDUSTRIAL</t>
  </si>
  <si>
    <t>AJAX EN POLVO 582 GR</t>
  </si>
  <si>
    <t>BLANQUEADOR DESINFECTANTE 3.75 LTS</t>
  </si>
  <si>
    <t>CEPILLO PARA ROPA</t>
  </si>
  <si>
    <t>CEPILLO PARA WC CON BASE</t>
  </si>
  <si>
    <t>CLORO C/20 LT</t>
  </si>
  <si>
    <t>CUBETA DE 11 LT</t>
  </si>
  <si>
    <t>CUBETA DE ARO NO. 8</t>
  </si>
  <si>
    <t>DESODORANTE EN AEROSOL AMBIENTAL P/BAÑO</t>
  </si>
  <si>
    <t>DESTAPACAÑOS (BOMBA)</t>
  </si>
  <si>
    <t>EMBUDO P/BIDON</t>
  </si>
  <si>
    <t>ESCOBA 7 HILOS</t>
  </si>
  <si>
    <t>ESCOBA METALICA TIPO ARAÑA</t>
  </si>
  <si>
    <t>ESCOBILLON</t>
  </si>
  <si>
    <t>ESPONJA LAVATRASTES</t>
  </si>
  <si>
    <t>FABULOSO C/20 LT</t>
  </si>
  <si>
    <t>FIBRA DE METAL</t>
  </si>
  <si>
    <t>FIBRA VERDE C/12 PZAS</t>
  </si>
  <si>
    <t>GUANTE LATEX ROJO MEDIANO</t>
  </si>
  <si>
    <t>JABON EN POLVO MULTIUSOS</t>
  </si>
  <si>
    <t>JABÓN LÍQUIDO P/ROPA C/20 LT</t>
  </si>
  <si>
    <t>JABÓN LÍQUIDO P/TRASTES</t>
  </si>
  <si>
    <t>JABON LIQUIDO PARA MANOS 525 ML</t>
  </si>
  <si>
    <t>JABÓN LÍQUIDO PARA MANOS C/20 LTS.</t>
  </si>
  <si>
    <t xml:space="preserve">LIMPIADOR MULTISOS </t>
  </si>
  <si>
    <t>PINOL C/20 LT</t>
  </si>
  <si>
    <t>PLUMERO DE BASTON LARGO</t>
  </si>
  <si>
    <t>QUITAGRASA PARA COCINA DE 650 ML</t>
  </si>
  <si>
    <t>REPUESTO MAPEADOR</t>
  </si>
  <si>
    <t>SUAVIZANTE P/ROPA C/20 LT</t>
  </si>
  <si>
    <t>TRAPEADOR PLANO ATRAPA PELUSA (MAPEADOR)</t>
  </si>
  <si>
    <t>PRODUCTOS DE PAPEL PARA LIMPIEZA</t>
  </si>
  <si>
    <t>CEPILLO PARA PEINAR</t>
  </si>
  <si>
    <t>DESODORANTE P/DAMA ROLL ON (50 ML)</t>
  </si>
  <si>
    <t>DESODORANTE P/HOMBRE ROLL ON (5O ML)</t>
  </si>
  <si>
    <t>PAPEL HIGIENICO JR. C/12 PZAS</t>
  </si>
  <si>
    <t>PASTA DENTAL 150 ML</t>
  </si>
  <si>
    <t>TOALLA INTERDOBLADA C/20 PZAS SANITAS</t>
  </si>
  <si>
    <t>TOALLAS HUMEDAS C/100 PZAS</t>
  </si>
  <si>
    <t>RODUCTOS TXTILES PARA LIMPIEZA</t>
  </si>
  <si>
    <t>FRANELA ROJA</t>
  </si>
  <si>
    <t>MATERIAL Y ÚTILES DE ENSEÑANZA</t>
  </si>
  <si>
    <t>MATERIAL PARA ENSEÑANZA</t>
  </si>
  <si>
    <t>CUADRADO</t>
  </si>
  <si>
    <t>SILICA</t>
  </si>
  <si>
    <t>TRATAMIENTO ABRILLANTADOR</t>
  </si>
  <si>
    <t>TIJERA PARA CORTE DE CABELLO PROFESIONAL</t>
  </si>
  <si>
    <t>SHAMPOO</t>
  </si>
  <si>
    <t>ENJUAGUE DE PELO</t>
  </si>
  <si>
    <t>FLORES GRUPALES ARTIFICIALES EN RAMOS, DIVERSAS</t>
  </si>
  <si>
    <t>MANO DE PRACTICA PARA UÑAS</t>
  </si>
  <si>
    <t>TIJERA DE ENTRESACAR</t>
  </si>
  <si>
    <t>CAPAS DE TELA</t>
  </si>
  <si>
    <t>LIBRO INFANTIL PARA COLOREAR 190 hojas (NIÑO)</t>
  </si>
  <si>
    <t>LIBRO INFANTIL PARA COLOREAR 190 hojas (NIÑA)</t>
  </si>
  <si>
    <t>LIBRO DE CUENTOS (NIÑO)</t>
  </si>
  <si>
    <t>LIBRO DE CUENTOS (NIÑA)</t>
  </si>
  <si>
    <t>LIBRO DE PREESCOLAR #2</t>
  </si>
  <si>
    <t>PEGAMENTO BLANCO LIQUIDO 250 GR</t>
  </si>
  <si>
    <t>CORRECTOR DE BROCHA DE 20 ML</t>
  </si>
  <si>
    <t>REGLA DE PLÁSTICO 30 CM</t>
  </si>
  <si>
    <t>TIJERAS PUNTA REDONDA ESCOLAR</t>
  </si>
  <si>
    <t>GISES DE COLORES C/12 PZAS</t>
  </si>
  <si>
    <t>BORRADOR PARA PINTARRON</t>
  </si>
  <si>
    <t>PLASTILINA VARIOS COLORES (CAFÉ)</t>
  </si>
  <si>
    <t>PLASTILINA VARIOS COLORES (ROJA)</t>
  </si>
  <si>
    <t>PLASTILINA VARIOS COLORES (AMARILLA)</t>
  </si>
  <si>
    <t>PLASTILINA VARIOS COLORES (ROSA)</t>
  </si>
  <si>
    <t>PLASTILINA VARIOS COLORES (VERDE)</t>
  </si>
  <si>
    <t>PLASTILINA VARIOS COLORES (AZUL)</t>
  </si>
  <si>
    <t>PLASTILINA VARIOS COLORES (BLANCA)</t>
  </si>
  <si>
    <t>PLASTILINA VARIOS COLORES (NARANJA)</t>
  </si>
  <si>
    <t>PLASTILINA VARIOS COLORES (MORADO)</t>
  </si>
  <si>
    <t>ACUARELAS DE COLORES VIVOS, LAVABLES. PINCEL INCLUIDO, ESTUCHE DE PLASTICO RIGIDO CON TAPA PARA USO ESCOLAR (NO TOXICO) C/12 PZA</t>
  </si>
  <si>
    <t>CUADERNO CHICO DOBLE RAYA (PASTA ITALIANA)</t>
  </si>
  <si>
    <t>CUADERNO PROFESIONAL CUADRICULADO C/100 HOJAS</t>
  </si>
  <si>
    <t>CUADERNO PROFESIONAL HOJA BLANCA C/100 HOJAS</t>
  </si>
  <si>
    <t>RESISTOL DE BARRA MEDIANO 21 GRS</t>
  </si>
  <si>
    <t>UNICEL DE 50X50CM</t>
  </si>
  <si>
    <t>CALCULADORA BÁSICA</t>
  </si>
  <si>
    <t>PINCEL #8</t>
  </si>
  <si>
    <t>PINCELÍN C/12 PIEZAS</t>
  </si>
  <si>
    <t>BRILLANTINA FINA COLOR ROJO</t>
  </si>
  <si>
    <t>BRILLANTINA FINA COLOR AMARILLO</t>
  </si>
  <si>
    <t>BRILLANTINA FINA COLOR NARANJA</t>
  </si>
  <si>
    <t>BRILLANTINA FINA COLOR VERDE</t>
  </si>
  <si>
    <t>BRILLANTINA FINA COLOR AZUL</t>
  </si>
  <si>
    <t>COLORES DE MADERA LARGOS C/12 PZAS.</t>
  </si>
  <si>
    <t>CRAYOLAS C/12 PZAS DELGADA</t>
  </si>
  <si>
    <t>PLIEGO DE CARTULINA OPALINA 57X72 COLOR BLANCA DE 220 GRS APROX</t>
  </si>
  <si>
    <t>PAPEL CREPÉ DIFERENTES COLORES (VERDE)</t>
  </si>
  <si>
    <t>PAPEL CREPÉ DIFERENTES COLORES (AMARILLO)</t>
  </si>
  <si>
    <t>PAPEL CREPÉ DIFERENTES COLORES (ROJO</t>
  </si>
  <si>
    <t>PAPEL CREPÉ DIFERENTES COLORES (MORADO)</t>
  </si>
  <si>
    <t>PAPEL CREPÉ DIFERENTES COLORES (NEGRO)</t>
  </si>
  <si>
    <t>PAPEL CREPÉ DIFERENTES COLORES (NARANJA)</t>
  </si>
  <si>
    <t>PAPEL CHINA COLORES (ROJO)</t>
  </si>
  <si>
    <t>PAPEL CHINA COLORES (AMARILLO)</t>
  </si>
  <si>
    <t>PAPEL CHINA COLORES (VERDE)</t>
  </si>
  <si>
    <t>PAPEL CHINA COLORES (AZUL)</t>
  </si>
  <si>
    <t>PAPEL CHINA COLORES (MORADO)</t>
  </si>
  <si>
    <t>PAPEL CHINA COLORES (NARANJA)</t>
  </si>
  <si>
    <t>PAPEL LUSTRE VERDE</t>
  </si>
  <si>
    <t>PAPEL LUSTRE AZUL</t>
  </si>
  <si>
    <t>PAPEL LUSTRE ROJO</t>
  </si>
  <si>
    <t>PAPEL LUSTRE CAFÉ</t>
  </si>
  <si>
    <t>PAPEL LUSTRE MORADO</t>
  </si>
  <si>
    <t>PAPEL LUSTRE BLANCO</t>
  </si>
  <si>
    <t>HOJAS DE COLORES T/CARTA C/500 PZAS.</t>
  </si>
  <si>
    <t>ETIQUETA AUTOADHERIBLES 10.30CM X 4.30CM</t>
  </si>
  <si>
    <t>PAPEL CASCARON 1/2</t>
  </si>
  <si>
    <t>FOAMY VARIOS COLORES TAMAÑO CARTA (ROJO)</t>
  </si>
  <si>
    <t>FOAMY VARIOS COLORES TAMAÑO CARTA (NEGRO)</t>
  </si>
  <si>
    <t>FOAMY VARIOS COLORES TAMAÑO CARTA (AZUL CLARO)</t>
  </si>
  <si>
    <t>FOAMY VARIOS COLORES TAMAÑO CARTA (ROSA)</t>
  </si>
  <si>
    <t>FOAMY VARIOS COLORES TAMAÑO CARTA (BLANCO)</t>
  </si>
  <si>
    <t>FOAMY VARIOS COLORES TAMAÑO CARTA (VERDE)</t>
  </si>
  <si>
    <t>FOAMY  DIAMANTADO TAMAÑO CARTA AMARILLO</t>
  </si>
  <si>
    <t>FOAMY DIAMANTADO TAMAÑO CARTA ROJO</t>
  </si>
  <si>
    <t>FOAMY DIAMANTADO TAMAÑO CARTA VERDE</t>
  </si>
  <si>
    <t>FOAMY DIAMANTADO TAMAÑO CARTA AZUL</t>
  </si>
  <si>
    <t>FOAMY DIAMANTADO TAMAÑO CARTA MORADO</t>
  </si>
  <si>
    <t>FOAMY DIAMANTADO TAMAÑO CARTA NARANJA</t>
  </si>
  <si>
    <t>MAPA DE LA REPÚBLICA MEXICANA CON NOMBRE</t>
  </si>
  <si>
    <t>MAPA DE NAYARIT CON NOMBRE</t>
  </si>
  <si>
    <t>MAPA PLANISFERIO CON NOMBRE</t>
  </si>
  <si>
    <t>PLIEGO DE CARTONCILLO COLOR NEGRO</t>
  </si>
  <si>
    <t xml:space="preserve">PALILLOS DE MADERA DE .25 PULGADA DE ANCHO POR 60 CM DE LARGO </t>
  </si>
  <si>
    <t>PINTURA ACRILICA C/250 ML COLOR AMARILLO</t>
  </si>
  <si>
    <t>PINTURA ACRILICA C/250 ML COLOR AZUL CLARO</t>
  </si>
  <si>
    <t>PINTURA ACRILICA C/250 ML COLOR BLANCO</t>
  </si>
  <si>
    <t>PINTURA ACRILICA C/250 ML COLOR NEGRO</t>
  </si>
  <si>
    <t>PINTURA ACRILICA C/250 ML COLOR ROJO ESCARLATA</t>
  </si>
  <si>
    <t>PINTURA ACRILICA C/250 ML COLOR ROSA MEXICANO</t>
  </si>
  <si>
    <t>PINTURA ACRÍLICA C/250ML COLOR VERDE</t>
  </si>
  <si>
    <t>PINTURA ACRÍLICA C/250ML COLOR NARANJA</t>
  </si>
  <si>
    <t>PINTURA ACRÍLICA C/250ML COLOR MORADO</t>
  </si>
  <si>
    <t>MOCHILA</t>
  </si>
  <si>
    <t>LAPICERA</t>
  </si>
  <si>
    <t>JUGUETES DIDACTICOS ( CUBOS DIDÁCTICOS)</t>
  </si>
  <si>
    <t>ROMPE CABEZAS INFANTILES DE MADERA</t>
  </si>
  <si>
    <t>JUEGOS DE MESA (BASTA)</t>
  </si>
  <si>
    <t>JUEGO DE MESA (AJEDREZ)</t>
  </si>
  <si>
    <t>JUEGO DE MESA (JENGA)</t>
  </si>
  <si>
    <t>JUGUETES DIDACTICOS (JUEGO DE SILABAS DE MADERA)</t>
  </si>
  <si>
    <t xml:space="preserve">CAJAS DE JUEGOS EDUCATIVOS DIDACTICOS DE MADERA LETRAS, NUMEROS, ANIMALES, </t>
  </si>
  <si>
    <t>ABECEDARIO DE FOAMY ESPUMA DE 29X29CM</t>
  </si>
  <si>
    <t>TAPETE DE FOAMY ESPUMA DE 32X32CM</t>
  </si>
  <si>
    <t>ÁBACO</t>
  </si>
  <si>
    <t>JUEGO GEOMÉTRICO MEDIANO NO FLEXIBLE</t>
  </si>
  <si>
    <t>MATERIALES PARA EL REGISTRO E IDENTIFICACIÓN DE BIENES Y PERSONAS</t>
  </si>
  <si>
    <t>ELABORACIÓN DEPLACAS Y CALCOMANÍAS</t>
  </si>
  <si>
    <t xml:space="preserve">MATERIAL DE FOTOCREDENCIALIZACIÓN </t>
  </si>
  <si>
    <t>CARNE DE RES, MILANESA PULPA BOLA</t>
  </si>
  <si>
    <t>CARNE DE CERDO, PIERNA</t>
  </si>
  <si>
    <t>CARNE DE RES, FAJA</t>
  </si>
  <si>
    <t>CARNE DE RES, PLATANILLO</t>
  </si>
  <si>
    <t>CHAMBERETE</t>
  </si>
  <si>
    <t>CHULETA AHUMADA</t>
  </si>
  <si>
    <t>COSTILLA DE CERDO, CARGADA</t>
  </si>
  <si>
    <t>FAJITAS DE POLLO</t>
  </si>
  <si>
    <t>MILANESA DE POLLO CON HUESO</t>
  </si>
  <si>
    <t>MUSLOS DE POLLO</t>
  </si>
  <si>
    <t>PECHUGA DE POLLO SIN HUESO</t>
  </si>
  <si>
    <t>PIERNAS DE POLLO</t>
  </si>
  <si>
    <t>PESCADOS Y MARISCOS</t>
  </si>
  <si>
    <t>FILETE DE PESCADO PARA EMPANIZAR</t>
  </si>
  <si>
    <t>LOMO DE MARLIN AHUMADO</t>
  </si>
  <si>
    <t xml:space="preserve">PESCADO MOLIDO PARA CEVICHE </t>
  </si>
  <si>
    <t>PRODUCTOS AGRICOLAS PARA ALIMENTACIÓN DE PERSONAS</t>
  </si>
  <si>
    <t>AJO FRESCO NATURAL A GRANEL</t>
  </si>
  <si>
    <t>APIO</t>
  </si>
  <si>
    <t>ARROZ BLANCO, GRANO ENTERO</t>
  </si>
  <si>
    <t>BROCOLI</t>
  </si>
  <si>
    <t>CALABAZA DE BUCHE, NATURAL</t>
  </si>
  <si>
    <t>CANELA EN VARITA</t>
  </si>
  <si>
    <t>CEBOLLA BLANCA NATURAL A GRANEL</t>
  </si>
  <si>
    <t>CHAMPIÑONES</t>
  </si>
  <si>
    <t xml:space="preserve">CHAYOTE SIN ESPINAS,NATURAL A GRANEL </t>
  </si>
  <si>
    <t>CHILACATE A GRANEL KG.</t>
  </si>
  <si>
    <t>CHILE DE ARBOL A GRANEL KG</t>
  </si>
  <si>
    <t>CHILE GUAJILLO SECO A GRANEL KG</t>
  </si>
  <si>
    <t>CHILE POBLANO, NATURAL A GRANEL</t>
  </si>
  <si>
    <t>CHILE SERRANO</t>
  </si>
  <si>
    <t>CILANTRO FRESCO NATURAL EN MANOJOS</t>
  </si>
  <si>
    <t>COLIFLOR</t>
  </si>
  <si>
    <t>COMINO SECO A GRANEL KG</t>
  </si>
  <si>
    <t>EJOTE TIERNOS NATURAL A GRANEL</t>
  </si>
  <si>
    <t>ELOTE</t>
  </si>
  <si>
    <t>ESPINACAS</t>
  </si>
  <si>
    <t>FRESA</t>
  </si>
  <si>
    <t>FRIJOL AZUFRADO A GRANEL C/25 KG</t>
  </si>
  <si>
    <t>GARBANZO</t>
  </si>
  <si>
    <t>GUAYABA</t>
  </si>
  <si>
    <t>JAMAICA</t>
  </si>
  <si>
    <t>JICAMA</t>
  </si>
  <si>
    <t>JITOMATE SALADET NATURAL A GRANEL</t>
  </si>
  <si>
    <t>LAUREL SECO A GRANEL</t>
  </si>
  <si>
    <t>LECHUGA FRESCA, NATURAL POR PIEZA</t>
  </si>
  <si>
    <t>LENTEJA A GRANEL KG</t>
  </si>
  <si>
    <t>LIMON NATURAL A GRANEL</t>
  </si>
  <si>
    <t>MAÍZ PALOMERO A GRANEL 1KG</t>
  </si>
  <si>
    <t>MANDARINA</t>
  </si>
  <si>
    <t>MANGO TOMMY</t>
  </si>
  <si>
    <t>MANZANA ROJA</t>
  </si>
  <si>
    <t>MELÓN</t>
  </si>
  <si>
    <t>NARANJA</t>
  </si>
  <si>
    <t>NOPALES</t>
  </si>
  <si>
    <t>OREGANO SECO A GRANEL KG</t>
  </si>
  <si>
    <t>PAPA BLANCA, NATURAL A GRANEL</t>
  </si>
  <si>
    <t>PAPAYA</t>
  </si>
  <si>
    <t>PEPINO TIERNO</t>
  </si>
  <si>
    <t>PERA</t>
  </si>
  <si>
    <t>PIMIENTA MOLIDA A GRANEL KG</t>
  </si>
  <si>
    <t>PIMIENTO MORRON VERDE, NATURALES A GRANEL</t>
  </si>
  <si>
    <t>PIÑA</t>
  </si>
  <si>
    <t>PLÁTANO MACHO</t>
  </si>
  <si>
    <t>PLÁTANO PORTA LIMÓN</t>
  </si>
  <si>
    <t>REPOLLO EN BOLO, GRESCO A GRANEL</t>
  </si>
  <si>
    <t>SANDÍA</t>
  </si>
  <si>
    <t>SOYA A GRANEL KG</t>
  </si>
  <si>
    <t>TAMARINDO</t>
  </si>
  <si>
    <t>TOMATE DE HOJA, NATURAL A GRANEL</t>
  </si>
  <si>
    <t>UVA VERDE SIN SEMILLA</t>
  </si>
  <si>
    <t>ZANAHORIA FRESCA Y NATURAL A GRANEL</t>
  </si>
  <si>
    <t>PRODUCTOS DIVERSOS PARA ALIMENTACIÓN DE PERSONAS</t>
  </si>
  <si>
    <t>ACEITE VEGETAL COMESTIBLE 5 LT</t>
  </si>
  <si>
    <t>ACHIOTE 100GR.</t>
  </si>
  <si>
    <t>ALIMENTO EN POLVO PARA PREPARAR BEBIDA SABOR CHOCOLATE 700 GR</t>
  </si>
  <si>
    <t>ATÚN EN HOJUELAS EN AGUA, LIBRE DE SOYA, CONTENIDO NETO 130GR.</t>
  </si>
  <si>
    <t>AZÚCAR ESTANDAR 1KG</t>
  </si>
  <si>
    <t>AZÚCAR GLASS A GRANEL 1KG</t>
  </si>
  <si>
    <t>BICARBONATO DE SODIO 1 KG.</t>
  </si>
  <si>
    <t>BOLILLO</t>
  </si>
  <si>
    <t>BOLSA DE CUERITOS 500GR.</t>
  </si>
  <si>
    <t>CATSUP kg</t>
  </si>
  <si>
    <t>CEBADA PARA PREPARAR BEBIDA 500 GR</t>
  </si>
  <si>
    <t>CEREAL DE HOJUELAS DE MAÍZ AZUCARADA 1.2KG</t>
  </si>
  <si>
    <t>CHAMOY 1LT.</t>
  </si>
  <si>
    <t>CHILE CHIPOTLES ADOBADOS 220 GR</t>
  </si>
  <si>
    <t>CHILES JALAPEÑOS EN ESCABECHE DE 2.8 KG (RAJAS)</t>
  </si>
  <si>
    <t xml:space="preserve">CHOCOLATE PARA MESA 540GR. CAJA C/6. </t>
  </si>
  <si>
    <t>COCO RAYADO A GRANEL KG.</t>
  </si>
  <si>
    <t>COCTEL DE FRUTAS EN ALMIBAR 850GR.</t>
  </si>
  <si>
    <t>CONDIMENTO PARA BIRRIA A GRANEL 100GR.</t>
  </si>
  <si>
    <t>CONSOME DE POLLO A GRANEL</t>
  </si>
  <si>
    <t>CREMA DE LECHE DE VACA 4 KG</t>
  </si>
  <si>
    <t>DURITOS FRITURA DE HARINA CON 20 PIEZAS</t>
  </si>
  <si>
    <t>ELOTE EN GRANO LATA 2.9 KILOGRAMO</t>
  </si>
  <si>
    <t xml:space="preserve">ENSALADA DE LEGUMBRES 400GR. </t>
  </si>
  <si>
    <t>FÉCULA DE MAÍZ PARA PREPARAR ATOLE, VARIOS SABORES. 47GR.</t>
  </si>
  <si>
    <t>FÓRMULA LÁCTEA 0-6M. 1.1KG.</t>
  </si>
  <si>
    <t>FÓRMULA LÁCTEA 1+ 1.6KG.</t>
  </si>
  <si>
    <t>FÓRMULA LÁCTEA 6-12M. 1.1KG.</t>
  </si>
  <si>
    <t>GALLETA FORTIFICADA 170 GR. CON 20 PAQUETES.</t>
  </si>
  <si>
    <t>GALLETAS SABOR VAINILLA 112GR C/20 PZAS.</t>
  </si>
  <si>
    <t xml:space="preserve">GALLETAS SALADAS 137GR C/20 PZAS. </t>
  </si>
  <si>
    <t>GRANOLA A GRANEL KG.</t>
  </si>
  <si>
    <t>GRENETINA A GRANEL KG</t>
  </si>
  <si>
    <t>HARINA DE ARROZ PARA PREPARAR BEBIDA SABOR HORCHATA 500 GR</t>
  </si>
  <si>
    <t>HARINA DE TRIGO 1KG</t>
  </si>
  <si>
    <t xml:space="preserve">HARINA PARA HOT CAKES 850 GR. </t>
  </si>
  <si>
    <t>HOJUELAS DE AVENA 1KG.</t>
  </si>
  <si>
    <t>IMITACION DE QUESO FUNDIDO AMERICANO 175 GR  C/10 PZAS</t>
  </si>
  <si>
    <t>JUGO INDIVIDUAL DE CARTÓN CAJA C/40 PZAS.</t>
  </si>
  <si>
    <t>JUGO SAZONADOR PARA ALIMENTOS 800 ML</t>
  </si>
  <si>
    <t>LECHE ENTERA ULTRAPASTEURIZADA C/12 PZAS DE 1LT.</t>
  </si>
  <si>
    <t>LECHE EN POLVO DESLACTOSADA 450 GR</t>
  </si>
  <si>
    <t xml:space="preserve">LECHE PARCIALMENTE DESCREMADA CONDENSADA AZUCARADA PASTEURIZADA 375GR. </t>
  </si>
  <si>
    <t xml:space="preserve">LECHE PARCIALMENTE DESCREMADA EVAPORADA, </t>
  </si>
  <si>
    <t>MAYONESA CON LIMON  2.8 KILOGRAMO</t>
  </si>
  <si>
    <t>MARGARINA PASTEURIZADA MULTIUSOS</t>
  </si>
  <si>
    <t>MEDIA CREMA 225GR</t>
  </si>
  <si>
    <t xml:space="preserve">MEDIAS NOCHES C/8 PZAS. </t>
  </si>
  <si>
    <t>MERMELADA 1.2 KG</t>
  </si>
  <si>
    <t>MOLE 4KG.</t>
  </si>
  <si>
    <t xml:space="preserve">PALOMITAS MEGA QUESO CHEDDAR 24 PZAS. DE 16 G. (BOTANA DE MAÍZ SABOR QUESO CHEDDAR). </t>
  </si>
  <si>
    <t>PAN BLANCO EN REBANADAS 680GR.</t>
  </si>
  <si>
    <t>PAN MOLIDO CLÁSICO 210GR.</t>
  </si>
  <si>
    <t xml:space="preserve">PAN PARA PREPARAR HAMBURGUESA C/8 PZAS. </t>
  </si>
  <si>
    <t>PANELA PZA 700 GR APROX.</t>
  </si>
  <si>
    <t>PASAS A GRANEL KG.</t>
  </si>
  <si>
    <t xml:space="preserve">PASTA DE SÉMOLA DE TRIGO DURO CODITO 200GR. </t>
  </si>
  <si>
    <t xml:space="preserve">PASTA DE SÉMOLA DE TRIGO DURO CONCHITA 200GR. </t>
  </si>
  <si>
    <t xml:space="preserve">PASTA DE SÉMOLA DE TRIGO DURO ESTRELLITA 200GR. </t>
  </si>
  <si>
    <t xml:space="preserve">PASTA DE SÉMOLA DE TRIGO DURO FIDEO DELGADO 200GR. </t>
  </si>
  <si>
    <t>PASTA DE SÉMOLA DE TRIGO DURO LETRAS 200GR.</t>
  </si>
  <si>
    <t>PASTA DE SÉMOLA DE TRIGO DURO SPAGHETTI 200GR.</t>
  </si>
  <si>
    <t>PASTA DE SÉMOLA DE TRIGO DURO TIPO TORNILLO 200GR.</t>
  </si>
  <si>
    <t>PASTA PARA SOPA CONCHITAS #1 CAJA CON 24 PZAS</t>
  </si>
  <si>
    <t>PASTA PARA SOPA CODITOS #2 CAJA CON 24 PZAS</t>
  </si>
  <si>
    <t>PILONCILLO A GRANEL KG</t>
  </si>
  <si>
    <t xml:space="preserve">POLVO PARA BEBIDAS DE SABORES C/8 SOBRES </t>
  </si>
  <si>
    <t>POLVO PARA PREPARAR GELATINA SIN AZÚCAR, FORTIFICADA CON VITAMINA C 25GR.</t>
  </si>
  <si>
    <t xml:space="preserve">POLVO PARA PREPARAR POSTRE ESTILO FLAN SABOR VAINILLA 84GR. </t>
  </si>
  <si>
    <t>PURE DE TOMATE 1 LITRO</t>
  </si>
  <si>
    <t>PURÉ DE TOMATE 210GR.</t>
  </si>
  <si>
    <t>QUESO ASADERO RAYADO 1 KG</t>
  </si>
  <si>
    <t>QUESO CREMA 200GR</t>
  </si>
  <si>
    <t>QUESO FRESCO 450 GR</t>
  </si>
  <si>
    <t xml:space="preserve">QUESO COTIJA A GRANEL </t>
  </si>
  <si>
    <t>QUESO TIPO ASADERO (PARA FUNDIR)</t>
  </si>
  <si>
    <t>REBANADAS DE DURAZNO EN ALMÍBAR 800GR.</t>
  </si>
  <si>
    <t>REBANADAS DE PIÑA EN ALMÍBAR 800GR.</t>
  </si>
  <si>
    <t>ROYAL EN POLVO PARA HORNEAR A GRANEL</t>
  </si>
  <si>
    <t>SAL YODADA REFINADA1 KG</t>
  </si>
  <si>
    <t xml:space="preserve">SALSA EN POLVO CLÁSICA 255GR. </t>
  </si>
  <si>
    <t>SALSA PICANTE 1LT.</t>
  </si>
  <si>
    <t>SALSA PICANTE SAZONADA CON ESPECIAS Y CHILES DE LA MESA DEL NAYAR 360G.</t>
  </si>
  <si>
    <t>TORTILLA DE HARINA (HARINA)</t>
  </si>
  <si>
    <t xml:space="preserve">TOTOPOS DE MAÍZ </t>
  </si>
  <si>
    <t>TORTILLA DE MAÍZ</t>
  </si>
  <si>
    <t>TOSTADAS 40 PZS</t>
  </si>
  <si>
    <t>VAINILLA 150ML</t>
  </si>
  <si>
    <t>VINAGRE BLANCO DE ALCOHOL DE CAÑA 3.7LT.</t>
  </si>
  <si>
    <t>YOGURTH CON TROZOS DE FRUTAS 900 GR</t>
  </si>
  <si>
    <t>PRODUCTOS DE ANIMALES INDUSTRIALIZABLES</t>
  </si>
  <si>
    <t xml:space="preserve">CHORIZO DE CERDO, RANCHERO </t>
  </si>
  <si>
    <t>HUEVO BLANCO</t>
  </si>
  <si>
    <t>JAMON COCIDO 1 KG</t>
  </si>
  <si>
    <t>JAMON DE PAVO 450 GR</t>
  </si>
  <si>
    <t>TOCINO A AGRANEL</t>
  </si>
  <si>
    <t>PRODUCTOS ALIMENTICIOS PARA ANIMALES</t>
  </si>
  <si>
    <t>CARNE EN CANAL</t>
  </si>
  <si>
    <t>GANADO EN PIE</t>
  </si>
  <si>
    <t>PRODUCTOS AGRÍCOLAS PARA ALIMENTACIÓN DE ANIMALES</t>
  </si>
  <si>
    <t>PRODUCTOS DIVERSOS PARA ALIMENTACIÓN DE ANIMALES</t>
  </si>
  <si>
    <t>UTENSILIOS PARA EL SERVICIO DE ALIMENTACIÓN</t>
  </si>
  <si>
    <t>UTENSILIOS DIVERSOS DE CARÁCTER COMECIAL</t>
  </si>
  <si>
    <t>ARTÍCULOS PARA EL SERVICIO DE ALIMENTACIÓN</t>
  </si>
  <si>
    <t xml:space="preserve">BOTES DE PLASTICO 2 1/2 GALON CON TAPA </t>
  </si>
  <si>
    <t>BOWLS DE ACERO INOXIDABLE #27</t>
  </si>
  <si>
    <t>BOWLS DE ACERO INOXIDABLE #30</t>
  </si>
  <si>
    <t>COLADOR DE ACERO INOXIDABLE CON BASE Y AGARRADERA 19.5 CM DE DIAMETRO</t>
  </si>
  <si>
    <t>COLADOR DE PLASTICO PARA VERDURAS  DE 45 CM</t>
  </si>
  <si>
    <t>CUCHARA CAFETERA ACERO INOXIDABLE</t>
  </si>
  <si>
    <t>CUCHARA MEDIANA CAJA 1000 PIEZAS</t>
  </si>
  <si>
    <t xml:space="preserve">CUCHARA PERFORADA 36 CM ACERO INOXIDABLE  </t>
  </si>
  <si>
    <t>CUCHARA SOPERA ACERO INOXIDABLE</t>
  </si>
  <si>
    <t>CUCHARON DE ACERO INOXIDABLE #14</t>
  </si>
  <si>
    <t>CUCHILLO PROFESIONAL PUNTAL 8" MANGO DE PROPILENO</t>
  </si>
  <si>
    <t xml:space="preserve">ENSALADERA DE PLASTICO  CON TAPA DE 32 CM </t>
  </si>
  <si>
    <t>ENVASE TERMICO S/TAPA 16 OZ/473 ML, C/500 PIEZAS</t>
  </si>
  <si>
    <t>EXPRIMIDOR PARA LIMON GRANDE</t>
  </si>
  <si>
    <t>JARRAS DE PLASTICO  DE 4 LTS</t>
  </si>
  <si>
    <t>OLLA DE PRESION 11 LITROS</t>
  </si>
  <si>
    <t>PAPEL ALUMINIO 400</t>
  </si>
  <si>
    <t>PELADOR ACERO INOX MANGO DE PLASTICO</t>
  </si>
  <si>
    <t>PLATO DE MELAMINA TRINCHE 11" 29 CM BEIGE</t>
  </si>
  <si>
    <t xml:space="preserve">PLATO HONDO DE MELAMINA 16.5 CM </t>
  </si>
  <si>
    <t>PLATO TERMICO  #855 PAQUETE 500 PZ</t>
  </si>
  <si>
    <t xml:space="preserve">PLATO OVALADO DE MELAMINA DE 11.5 CM </t>
  </si>
  <si>
    <t>RALLADOR 9" 6 CARAS DIFERENTES ACERO INOX.</t>
  </si>
  <si>
    <t>REFRACTARIO DE PLASTICO CON TAPA</t>
  </si>
  <si>
    <t>SERVILLETAS CON 500 PIEZAS</t>
  </si>
  <si>
    <t xml:space="preserve">TABLA PARA PICAR DE POLITENO  </t>
  </si>
  <si>
    <t xml:space="preserve">TAZA DE MELAMINA DE 365 ML </t>
  </si>
  <si>
    <t>TENEDOR ACERO INOXIDABLE</t>
  </si>
  <si>
    <t>TENEDOR MEDIANO CAJA CON 1000 PIEZAS</t>
  </si>
  <si>
    <t>VASO BIODEGRADABLES  #10 C/1000 PIEZAS</t>
  </si>
  <si>
    <t>VASO DE MELAMINA 390 ML</t>
  </si>
  <si>
    <t>VASO ENTRENADOR CHUPETE GRANDE</t>
  </si>
  <si>
    <t>VASO TERMICO #10, 1000 PZ</t>
  </si>
  <si>
    <t>VITROLERO DE PLASTICO 19 LITROS</t>
  </si>
  <si>
    <t>MATERIAL DE FERRETERÍA PARA SERVICIO DE ALIMENTACIÓN</t>
  </si>
  <si>
    <t>MATERIAS PRIMAS Y MATERIALES DE PRODUCCIÓN Y COMERCIALIZACIÓN</t>
  </si>
  <si>
    <t>PRODUCTOS ALIMENTICIOS, APROPECUAROS Y FORESTALES ADQUIRIDOS COMO MATERIA PRIMA</t>
  </si>
  <si>
    <t>PRODUCTOS AGRÍCOLAS ADQUIRIDOS COMO MATERIA PRIMA</t>
  </si>
  <si>
    <t>PRODUCTOS FORESTALES ADQUIRIDOS COMO MATERIA PRIMA</t>
  </si>
  <si>
    <t>INSUMOS TEXTILES ADQUIRIDOS COMO MATERIA PRIMA</t>
  </si>
  <si>
    <t>PRODUCTOS AGRÍCOLAS DE CARÁCTER TEXTIL ADQUIRIDOS COMO MATERIA PRIMA</t>
  </si>
  <si>
    <t>PRODUCTOS DE ANIMALES INDUSTRIALIZABLES ADQUIRIDOS COMO MATERIA PRIMA</t>
  </si>
  <si>
    <t>PRODUCTOS TEXTILES ADQUIRIDOS COMO MATERIA PRIMA</t>
  </si>
  <si>
    <t>SUBSTANCIAS Y PRODUCTOS QUÍMICOS ADQUIRIDOS COMO MATERIA RIMA</t>
  </si>
  <si>
    <t>PRODUCTOS DE PAPEL, CARTÓN E IMPRESOS ADQUIRIDOS COMO MATERIA PRIMA</t>
  </si>
  <si>
    <t>PRODUCTOS DE PAPEL Y DE HULE ADQUIRIDOS COMO MATERIA PRIMA</t>
  </si>
  <si>
    <t>COMBUSTIBLES, LUBRICANTES, ADITIVOS, CARBÓN Y SUS DERIVADOS ADQUIRIDOS COMO MATERIA
PRIMA</t>
  </si>
  <si>
    <t>PRODUCTOS FORESTALES DE CARÁCTER COMBUSTIBLE ADQUIRIDOS COMO MATERIA PRIMA</t>
  </si>
  <si>
    <t>PRODUCTOS QUÍMICOS, FARMACÉUTICOS Y DE LABORATORIO ADQUIRIDOS COMO MATERIA PRIMA</t>
  </si>
  <si>
    <t>PRODUCTOS QUÍMICOS ADQUIRIDOS COMO MATERIA PRIMA PARA USO QUIRÚRGICO Y DE LABORATORIO</t>
  </si>
  <si>
    <t>PRODUCTOS METÁLICOS Y A BASE DE MINERALES NO METÁLICOS ADQUIRIDOS COMO MATERIA PRIMA</t>
  </si>
  <si>
    <t>ARTÍCULOS PARA SERVICIOS GENERALES ADQUIRIDOS COMO MATERIA PRIMA</t>
  </si>
  <si>
    <t>PRODUCTOS DE CUERO, PIEL, PLÁSTICO Y HULE ADQUIRIDOS COMO MATERIA PRIMA</t>
  </si>
  <si>
    <t>PRODUCTOS PARA SERVICIOS GENERALES ADQUIRIDOS COMO MATERIA PRIMA</t>
  </si>
  <si>
    <t>MATERIAL QUIRÚRGICO Y DE LABORATORIO ADQUIRIDO COMO MATERIA PRIMA</t>
  </si>
  <si>
    <t>PRODUCTOS DE CUERO Y PIEL DE ANIMALES INDUSTRIALIZABLES ADQUIRIDOS COMO
MATERIA PRIMA</t>
  </si>
  <si>
    <t>PRODUCTOS DE HULE ADQUIRIDOS COMO MATERIA PRIMA</t>
  </si>
  <si>
    <t>PRODUCTOS DE PLÁSTICO Y POLIETILENO ADQUIRIDOS COMO MATERIA PRIMA</t>
  </si>
  <si>
    <t>MERCANCÍAS ADQUIRIDAS PARA SU COMERCIALIZACIÓN</t>
  </si>
  <si>
    <t>PRODUCTOS ALIMENTICIOS ADQUIRIDOS PARA COMERCIALIZACIÓN</t>
  </si>
  <si>
    <t>PRODUCTOS DE PAPEL Y DE HULE ADQUIRIDOS PARA COMERCIALIZACIÓN</t>
  </si>
  <si>
    <t>PRODUCTOS DE PLÁSTICO ADQUIRIDOS PARA COMERCIALIZACIÓN</t>
  </si>
  <si>
    <t>OTROS PRODUCTOS ADQUIRIDOS COMO MATERIA PRIMA</t>
  </si>
  <si>
    <t>OTROS ARTÍCULOS DE CARÁCTER COMERCIAL ADQUIRIDOS COMO MATERIA PRIMA</t>
  </si>
  <si>
    <t>OTROS ARTÍCULOS PARA SERVICIOS GENERALES ADQUIRIDOS COMO MATERIA PRIMA</t>
  </si>
  <si>
    <t>MINERALES ADQUIRIDOS COMO MATERIA PRIMA</t>
  </si>
  <si>
    <t>OTROS PRODUCTOS DE ANIMALES INDUSTRIALIZABLES ADQUIRIDOS COMO MATERIA PRIMA</t>
  </si>
  <si>
    <t>OTROS PRODUCTOS FORESTALES ADQUIRIDOS COMO MATERIA PRIMA</t>
  </si>
  <si>
    <t>MATERIALES Y ARTÍCULOS DE CONSTRUCCIÓN Y DE REPARACIÓN</t>
  </si>
  <si>
    <t>PRODUCTOS MINERALES NO METÁLICOS</t>
  </si>
  <si>
    <t>MATERIAL DE FERRETERÍA PARA CONSTRUCCIÓN Y REPARACIÓN</t>
  </si>
  <si>
    <t>MINERALES PARA CONSTRUCCIÓN Y REPARACIÓN</t>
  </si>
  <si>
    <t>PRODUCTOS MINERALES PARA CONSTRUCCIÓN Y REPARACIÓN</t>
  </si>
  <si>
    <t>CEMENTO Y PRODUCTOS DE CONCRETO</t>
  </si>
  <si>
    <t>CAL, YESO Y PRODUCTOS DE YESO</t>
  </si>
  <si>
    <t>MADERA Y PRODUCTOS DE MADERA</t>
  </si>
  <si>
    <t>PRODUCTOS FORESTALES PARA LA CONSTRUCCIÓN</t>
  </si>
  <si>
    <t>VIDRIO Y PRODUCTOS DE VIDRIO</t>
  </si>
  <si>
    <t>ARTÍCULOS Y MATERIAL DE OFICINA EN VIDRIO</t>
  </si>
  <si>
    <t>MATERIALES DE FERRETERÍA EN VIDRIO</t>
  </si>
  <si>
    <t>PRODUCTOS DE VIDRIO Y CRISTAL</t>
  </si>
  <si>
    <t>MATERIAL ELÉCTRICO Y ELECTRÓNICO</t>
  </si>
  <si>
    <t xml:space="preserve">ACCESORIOS Y MATERIAL ELÉCTRICO </t>
  </si>
  <si>
    <t>TUBO LED LUMIANCE 18 W</t>
  </si>
  <si>
    <t xml:space="preserve">LAMPARA CURVA LUM CURVA </t>
  </si>
  <si>
    <t>PASTILLA SQUARE O DOBLE</t>
  </si>
  <si>
    <t>CABLE DUPLEX #14</t>
  </si>
  <si>
    <t>HILO PARA DESBROZADORA 3.3 COD.17630</t>
  </si>
  <si>
    <t xml:space="preserve">EXTENCION ELECTRICA USO RUDO DE 1O MTS COD.48046 </t>
  </si>
  <si>
    <t>CONTACTO DUPLEX POLARIZADO CON TAPA ROYER 100</t>
  </si>
  <si>
    <t>INTERRUPTOR TERMOMAGNETICO SQUARDE 1X30 A</t>
  </si>
  <si>
    <t xml:space="preserve">LAMPARA LED T8 21 W DE 1 PIN </t>
  </si>
  <si>
    <t>CINTA AISLANTE 9 M X 19 MM NEGRA</t>
  </si>
  <si>
    <t>MATERIAL ELÉCTRICO PARA COMUNICACIÓN</t>
  </si>
  <si>
    <t>MATERIAL DE FERRETERÍA ELÉCTRICO</t>
  </si>
  <si>
    <t>ARTÍCULOS METÁLICOS PARA LA CONSTRUCCIÓN</t>
  </si>
  <si>
    <t>ACCESORIOS Y MATERIAL ELÉCTRICO PARA LA CONSTRUCCIÓN</t>
  </si>
  <si>
    <t>MATERIAL DE FERRETERÍA PARA LA CONSTRUCCIÓN</t>
  </si>
  <si>
    <t>PRODUCTOS MINERALES PARA LA CONSTRUCCIÓN</t>
  </si>
  <si>
    <t>REFACCIONES Y ESTRUCTURAS PARA LA CONSTRUCCIÓN</t>
  </si>
  <si>
    <t>MATERIALES COMPLEMENTARIOS</t>
  </si>
  <si>
    <t>ARTÍCULOS COMPLEMENTARIOS PARA SERVICIOS GENERALES</t>
  </si>
  <si>
    <t>PERSIANA ENROLLABLE 1.60X2.70</t>
  </si>
  <si>
    <t>PERSIANA ENROLLABLE 2.80X2.00</t>
  </si>
  <si>
    <t>PERSIANA ENROLLABLE 1.90X1.80</t>
  </si>
  <si>
    <t>MATERIALES COMPLEMENTARIOS DE FERRETERÍA</t>
  </si>
  <si>
    <t>PRODUCTOS COMPLEMENTARIOS DE PAPEL Y DE HULE</t>
  </si>
  <si>
    <t>PRODUCTOS COMPLEMENTARIOS DE ORIGEN FORESTAL</t>
  </si>
  <si>
    <t>PRODUCTOS COMPLEMENTARIOS DE ORIGEN MINERAL</t>
  </si>
  <si>
    <t>PRODUCTOS TEXTILES COMPLEMENTARIOS</t>
  </si>
  <si>
    <t>PRODUCTOS DE PLÁSTICO, PVC Y SIMILARES PARA LA CONSTRUCCIÓN</t>
  </si>
  <si>
    <t>MANGUERA P/ FREGADERO 60 CM COFLEX</t>
  </si>
  <si>
    <t>OTROS MATERIALES Y ARTÍCULOS DE CONSTRUCCIÓN Y REPARACIÓN</t>
  </si>
  <si>
    <t>OTROS MATERIALES DE FERRETERÍA PARA CONSTRUCCIÓN Y REPARACIÓN</t>
  </si>
  <si>
    <t>LIJA PARA AGUA GRANO 220 PKT C/ 25 PZAS</t>
  </si>
  <si>
    <t>PIEDRA DE AFILAR</t>
  </si>
  <si>
    <t>OTROS MATERIALES DE MANTENIMIENTO Y SEGURIDAD PARA CONSTRUCCIÓN Y REPARACIÓN</t>
  </si>
  <si>
    <t>OTROS PRODUCTOS MINERALES PARA CONSTRUCCIÓN Y REPARACIÓN</t>
  </si>
  <si>
    <t>OTROS PRODUCTOS QUÍMICOS PARA CONSTRUCCIÓN Y REPARACIÓN</t>
  </si>
  <si>
    <t>RESISTOL AMARILLO PARA USO RUDO PARA REPARACIONES</t>
  </si>
  <si>
    <t xml:space="preserve">ESMALTE SECADO RAPIDO LITRO </t>
  </si>
  <si>
    <t>IMPERMEABILIZANTE 12 AÑOS IMPERCAUCHO 19 LTS</t>
  </si>
  <si>
    <t>PEGAMENTO PVC DE 475 ML.</t>
  </si>
  <si>
    <t>PINTURA VINILICA BLANCA 19 LTS. CONTRATOR SAYER</t>
  </si>
  <si>
    <t xml:space="preserve">PINTURA VINILICA ROSA INSTITUCIONAL 19 LTS. </t>
  </si>
  <si>
    <t>PRODUCTOS QUÍMICOS BÁSICOS</t>
  </si>
  <si>
    <t>MATERIAL QUIRÚRGICO Y DE LABORATORIO BÁSICO</t>
  </si>
  <si>
    <t>SUBSTANCIAS Y PRODUCTOS QUÍMICOS BÁSICOS</t>
  </si>
  <si>
    <t>ALCOHOL ETILICO DE 96° 1 LTRO</t>
  </si>
  <si>
    <t>FERTILIZANTES, PESTICIDAS Y OTROS AGROQUÍMICOS</t>
  </si>
  <si>
    <t>MEDICINAS Y PRODUCTOS FARMACÉUTICOS</t>
  </si>
  <si>
    <t>MEDICINAS Y PRODUCTOS FARMACÉUTICOS DE APLICACIÓN HUMANA</t>
  </si>
  <si>
    <t>NAPROXEN CON PARACETAMOL SUSP.  125 ML</t>
  </si>
  <si>
    <t>TRIMEBUTINA 200 MG   C/20 TABLETAS</t>
  </si>
  <si>
    <t>AMBROXOL JARABE  C/120 ML</t>
  </si>
  <si>
    <t>AMOXICILINA AC. CLAVULANICO SUSP 250/62.5 GM C/75 ML</t>
  </si>
  <si>
    <t>IBUPROFENO TAB 600 MG  C/10 TABLETAS</t>
  </si>
  <si>
    <t>METOCARBAMOL CON IBUPROFENO 500/200 MG  C/30 TABLETAS</t>
  </si>
  <si>
    <t>SUERO ORAL C/25 SOBRES</t>
  </si>
  <si>
    <t>CLORFENAMINA COMPUESTA  C/10 TABLETAS</t>
  </si>
  <si>
    <t>MATERIALES, ACCESORIOS Y SUMINISTROS MÉDICOS</t>
  </si>
  <si>
    <t>ARTÍCULOS PARA SERVICIOS GENERALES EN EL ÁREA MÉDICA</t>
  </si>
  <si>
    <t>KIT BAUMANOMETRO CON ESTETOSCOPIO</t>
  </si>
  <si>
    <t>MATERIAL QUIRÚRGICO Y DE LABORATORIO DE USO EN EL ÁREA MÉDICA</t>
  </si>
  <si>
    <t>JERINGA 5 CM CON 100 PZ.</t>
  </si>
  <si>
    <t>PRUEBAS COVID</t>
  </si>
  <si>
    <t>ABATELENGUAS CON 50 PZAS</t>
  </si>
  <si>
    <t>CINTA TELA ADHESIVA 5 CM.</t>
  </si>
  <si>
    <t>PRODUCTOS QUÍMICOS PARA USO EN EL ÁREA MÉDICA</t>
  </si>
  <si>
    <t>MATERIALES, ACCESORIOS Y SUMINISTROS MÉDICOS DE APLICACIÓN ANIMAL</t>
  </si>
  <si>
    <t>MATERIALES, ACCESORIOS Y SUMINISTROS DE LABORATORIO</t>
  </si>
  <si>
    <t>MATERIAL QUIRÚRGICO Y DE LABORATORIO</t>
  </si>
  <si>
    <t xml:space="preserve"> PRODUCTOS MINERALES UTILIZADOS EN LABORATORIOS</t>
  </si>
  <si>
    <t>FIBRAS SINTÉTICAS, HULES, PLÁSTICOS Y DERIVADOS</t>
  </si>
  <si>
    <t>BOLSA DE ESTRAZA CON ASA 16x15.5x7 CM</t>
  </si>
  <si>
    <t>BOLSA DE ESTRAZA CON ASA 25X20X8.5 CM</t>
  </si>
  <si>
    <t>BOLSA DE CAMISETA JUMBO</t>
  </si>
  <si>
    <t>BOLSA NEGRA 60X90</t>
  </si>
  <si>
    <t>BOLSA TRANSPARENTE ROLLO 60X90</t>
  </si>
  <si>
    <t>BOLSA PLANA DE 25X35 TRANSPARENTE</t>
  </si>
  <si>
    <t>BOLSA PLANA DE 18X26 TRANSPARENTE</t>
  </si>
  <si>
    <t>BOLSA PLANA DE 10X20 TRANSPARENTE</t>
  </si>
  <si>
    <t xml:space="preserve">BOLSA NEGRA JUMBO </t>
  </si>
  <si>
    <t>BOLSA DE CAMISETA GRANDE</t>
  </si>
  <si>
    <t>BOLSA CAMISETA MEDIANA</t>
  </si>
  <si>
    <t xml:space="preserve"> OTROS PRODUCTOS QUÍMICOS</t>
  </si>
  <si>
    <t>OTRAS SUBSTANCIAS Y PRODUCTOS QUÍMICOS</t>
  </si>
  <si>
    <t>COMBUSTIBLES, LUBRICANTES Y ADITIVOS</t>
  </si>
  <si>
    <t>ACEITE 2 TIEMPOS SINTETICO</t>
  </si>
  <si>
    <t>AFLOJATODO DE 345 ML. COD.13470</t>
  </si>
  <si>
    <t>CARBÓN Y SUS DERIVADOS</t>
  </si>
  <si>
    <t>VESTUARIO, BLANCOS, PRENDAS DE PROTECCIÓN Y ARTÍCULOS DEPORTIVOS</t>
  </si>
  <si>
    <t>VESTUARIO Y UNIFORMES</t>
  </si>
  <si>
    <t>MATERIAL Y ACCESORIOS DE ARTILLERÍA Y ATAVÍO CIVIL, MILITAR Y RELIGIOSO</t>
  </si>
  <si>
    <t xml:space="preserve"> REBOSOS </t>
  </si>
  <si>
    <t>MATERIAL DE FERRETERÍA PARA USO EN VESTUARIOS Y UNIFORMES</t>
  </si>
  <si>
    <t>MATERIAL DE MANTENIMIENTO Y SEGURIDAD UTILIZADO EN VESTUARIO Y UNIFORMES</t>
  </si>
  <si>
    <t>PRODUCTOS DE ANIMALES INDUSTRIALIZABLES ADQUIRIDOS COMO VESTUARIO Y UNIFORMES</t>
  </si>
  <si>
    <t>PRODUCTOS TEXTILES ADQUIRIDOS COMO VESTUARIO Y UNIFORMES</t>
  </si>
  <si>
    <t>PAÑAL ETAPA 1 C/40 PZAS.</t>
  </si>
  <si>
    <t>PAÑAL ETAPA 2 C/40 PZAS.</t>
  </si>
  <si>
    <t>PAÑAL ETAPA 4 C/40 PZAS.</t>
  </si>
  <si>
    <t>PAÑAL ETAPA 5 C/40 PZAS.</t>
  </si>
  <si>
    <t>PAÑAL ETAPA 6 C/40 PZAS</t>
  </si>
  <si>
    <t>PRENDAS DE SEGURIDAD Y PROTECCIÓN PERSONAL</t>
  </si>
  <si>
    <t>ARTÍCULOS PARA SERVICIOS GENERALES PARA SEGURIDAD Y PROTECCIÓN PERSONAL</t>
  </si>
  <si>
    <t>ARTÍCULOS PARA SEGURIDAD Y PROTECCIÓN PERSONAL</t>
  </si>
  <si>
    <t>MATERIAL DE MANTENIMIENTO PARA SEGURIDAD Y PROTECCIÓN PERSONAL</t>
  </si>
  <si>
    <t>MATERIAL QUIRÚRGICO Y DE LABORATORIO PARA SEGURIDAD Y PROTECCIÓN PERSONAL</t>
  </si>
  <si>
    <t>PRODUCTOS DE PAPEL Y DE HULE PARA SEGURIDAD Y PROTECCIÓN PERSONAL</t>
  </si>
  <si>
    <t xml:space="preserve"> PRODUCTOS TEXTILES PARA SEGURIDAD Y PROTECCIÓN PERSONAL</t>
  </si>
  <si>
    <t xml:space="preserve"> ARTÍCULOS DEPORTIVOS</t>
  </si>
  <si>
    <t>ARTÍCULOS DEPORTIVOS Y DE CAMPAÑA</t>
  </si>
  <si>
    <t xml:space="preserve"> ARTÍCULOS PARA SERVICIOS GENERALES UTILIZADOS EN ACTIVIDADES DEPORTIVAS</t>
  </si>
  <si>
    <t>PRODUCTOS DE ANIMALES INDUSTRIALIZABLES UTILIZADOS EN ACTIVIDADES DEPORTIVAS</t>
  </si>
  <si>
    <t>PRODUCTOS DE PAPEL Y DE HULE UTILIZADOS EN ACTIVIDADES DEPORTIVAS</t>
  </si>
  <si>
    <t>PRODUCTOS TEXTILES</t>
  </si>
  <si>
    <t>TELAS DIFERENTES TEXTURAS</t>
  </si>
  <si>
    <t>ROLLO DE TELA PARA CORTINA CON 25 METROS</t>
  </si>
  <si>
    <t>ROLLO DE TELA PARA MANTELES CON 25 METROS</t>
  </si>
  <si>
    <t>ROLLO DE TELA VARIAS</t>
  </si>
  <si>
    <t>CONO DE HILO CAFE Y NEGRO</t>
  </si>
  <si>
    <t>BLANCOS Y OTROS PRODUCTOS TEXTILES, EXCEPTO PRENDAS DE VESTIR</t>
  </si>
  <si>
    <t xml:space="preserve"> ARTÍCULOS PARA SERVICIOS GENERALES DE ORIGEN TEXTIL</t>
  </si>
  <si>
    <t>MATERIAL QUIRÚRGICO Y DE LABORATORIO DE ORIGEN TEXTIL</t>
  </si>
  <si>
    <t xml:space="preserve"> OTROS PRODUCTOS TEXTILES</t>
  </si>
  <si>
    <t>TOALLA P/SECAR TRASTES</t>
  </si>
  <si>
    <t>ALMOHADAS 45X70CM.</t>
  </si>
  <si>
    <t>AGUJETAS NEGRAS MEDIANAS</t>
  </si>
  <si>
    <t>AGUJETAS BLANCAS MEDIANAS</t>
  </si>
  <si>
    <t>COBERTOR INDIVIDUAL POLAR</t>
  </si>
  <si>
    <t>COLCHA INDIVIDUAL COLOR AZUL MARINO</t>
  </si>
  <si>
    <t xml:space="preserve">COLCHONES INDIVIDUALES </t>
  </si>
  <si>
    <t>SABANAS INDIVIDUALES COLOR GRIS PLOMO</t>
  </si>
  <si>
    <t>SÁBANAS INDIVIDUALES COLOR MORADO</t>
  </si>
  <si>
    <t>SÁBANAS INDIVIDUALES COLOR BEIGE</t>
  </si>
  <si>
    <t>TOALLAS DE MEDIO BAÑO GRIS OSCURO</t>
  </si>
  <si>
    <t>MATERIALES Y SUMINISTROS PARA SEGURIDAD</t>
  </si>
  <si>
    <t>SUSTANCIAS Y MATERIALES EXPLOSIVOS</t>
  </si>
  <si>
    <t>MATERIALES DE SEGURIDAD PÚBLICA</t>
  </si>
  <si>
    <t>MATERIALES Y ACCESORIOS PARA SEGURIDAD PÚBLICA</t>
  </si>
  <si>
    <t>MATERIAL DE MANTENIMIENTO Y SEGURIDAD PÚBLICA</t>
  </si>
  <si>
    <t>PRENDAS DE PROTECCIÓN PARA SEGURIDAD PÚBLICA Y NACIONAL</t>
  </si>
  <si>
    <t>PRENDAS DE PROTECCIÓN PARA SEGURIDAD PÚBLICA</t>
  </si>
  <si>
    <t>HERRAMIENTAS, REFACCIONES Y ACCESORIOS MENORES</t>
  </si>
  <si>
    <t xml:space="preserve"> HERRAMIENTAS MENORES</t>
  </si>
  <si>
    <t>ACCESORIOS Y MATERIALES MENORES</t>
  </si>
  <si>
    <t>MACHETE ESTANDAR 22" COD.15887</t>
  </si>
  <si>
    <t>SOLDADURA 60-13 1 /1/8" KG</t>
  </si>
  <si>
    <t>REMACHADORA PROFESIONAL DE 8" CON BOQUILLAS COD.100333</t>
  </si>
  <si>
    <t>TIJERA PARA PODA DE 8 1/4" COD. 18453</t>
  </si>
  <si>
    <t>MARTILLO UÑA CURVA DE 10 OZ. COD.22291</t>
  </si>
  <si>
    <t>LLAVE STILSON  12 " PRETUL COD.22012</t>
  </si>
  <si>
    <t>PINZA ELECTRISISTA 9" COD. 17305</t>
  </si>
  <si>
    <t>JGO. DE 8 DESARMADORES MANGO PVC COD.20213</t>
  </si>
  <si>
    <t>JGO. DE 4 PINZAS Y PERICO COD.22971</t>
  </si>
  <si>
    <t>ESPATULA RIGIDA MANGO DE MADERA DE 3" COD.14442</t>
  </si>
  <si>
    <t>APARATOS E INSTRUMENTOS MENORES</t>
  </si>
  <si>
    <t>HERRAMIENTAS MENORES DE TIPO MÉDICO Y QUIRÚRGICO</t>
  </si>
  <si>
    <t>HERRAMIENTAS MENORES DE CARÁCTER COMERCIAL</t>
  </si>
  <si>
    <t>EQUIPOS Y MATERIALES MENORES DE COMUNICACIÓN, FOTOGRÁFICOS Y CINEMATOGRÁFICOS</t>
  </si>
  <si>
    <t>ARTÍCULOS MENORES PARA SERVICIOS GENERALES</t>
  </si>
  <si>
    <t>EQUIPOS Y MATERIALES MENORES DE MANTENIMIENTO Y SEGURIDAD</t>
  </si>
  <si>
    <t>EQUIPOS MENORES DE PINTURA Y DIBUJO</t>
  </si>
  <si>
    <t>IMPLEMENTOS MENORES DE ORIGEN AGRÍCOLA</t>
  </si>
  <si>
    <t>REFACCIONES Y ACCESORIOS MENORES DE EDIFICIOS</t>
  </si>
  <si>
    <t>ARTÍCULOS MENORES PARA SERVICIOS GENERALES EN EDIFICIOS</t>
  </si>
  <si>
    <t>MATERIAL MENOR DE FERRETERÍA PARA USO EN EDIFICIOS</t>
  </si>
  <si>
    <t>LLAVE DE CHORRO PAR JARDIN 1/2"</t>
  </si>
  <si>
    <t>CERRADURA TIPO ESFERA PARA RECAMARA INTERIOR COD.23660</t>
  </si>
  <si>
    <t xml:space="preserve"> REFACCIONES Y ACCESORIOS MENORES DE MOBILIARIO Y EQUIPO DE ADMINISTRACIÓN, EDUCACIONAL Y RECREATIVO</t>
  </si>
  <si>
    <t>MATERIAL MENOR DE FERRETERÍA PARA MOBILIARIO Y EQUIPO</t>
  </si>
  <si>
    <t>SILLA PLEGABLE DE PLASTICO</t>
  </si>
  <si>
    <t>BROCHA MANGO PLASTICO 2 "</t>
  </si>
  <si>
    <t>BROCHA MANGO PLASTICO 3 "</t>
  </si>
  <si>
    <t>BROCHA MANGO PLASTICO 6 "</t>
  </si>
  <si>
    <t>RODILLO P/PINTAR 9X 3/8 MICRIFIBRA COD.13894</t>
  </si>
  <si>
    <t>REFACCIONES Y ACCESORIOS MENORES DE EQUIPO DE CÓMPUTO Y TECNOLOGÍAS DE LA INFORMACIÓN</t>
  </si>
  <si>
    <t xml:space="preserve"> ARTÍCULOS ELECTRÓNICOS MENORES</t>
  </si>
  <si>
    <t>ARTÍCULOS AUXILIARES DE CÓMPUTO</t>
  </si>
  <si>
    <t xml:space="preserve">REFACCIONES Y ACCESORIOS MENORES DE CARÁCTER INFORMÁTICO </t>
  </si>
  <si>
    <t xml:space="preserve">BOCINA PARA COMPUTADORA </t>
  </si>
  <si>
    <t>ENTRADAS PARA PUERTO DE CONEXIÓN USB</t>
  </si>
  <si>
    <t>MEMORIA USB16 GB</t>
  </si>
  <si>
    <t>MEMORIA USB 32 GB</t>
  </si>
  <si>
    <t>MEMORIA USB 64 GB</t>
  </si>
  <si>
    <t>NO BREAK UPS BATTERY BACK UP 600 VA/330 W 120 VOLTS, AMP 16</t>
  </si>
  <si>
    <t>REGULADOR POTENCIA 1300VA/650W DE ALTO VOLTAJE</t>
  </si>
  <si>
    <t>TECLADO</t>
  </si>
  <si>
    <t>UPS NO BREAK BATERIA DE RESPALDO DE HASTA 20 MIN. DE 4 CONTACTOS, SUPRESORES DE PICOS, DE 800 VA, 480W</t>
  </si>
  <si>
    <t>REFACCIONES Y ACCESORIOS MENORES DE EQUIPO E INSTRUMENTAL MÉDICO Y DE LABORATORIO</t>
  </si>
  <si>
    <t xml:space="preserve"> REFACCIONES Y ACCESORIOS MENORES DE EQUIPO DE TRANSPORTE</t>
  </si>
  <si>
    <t xml:space="preserve"> ACCESORIOS Y MATERIALELÉCTRICOS MENORES PARA EQUIPO DE TRANSPORTE</t>
  </si>
  <si>
    <t>ARTÍCULOS AUTOMOTRICES MENORES</t>
  </si>
  <si>
    <t xml:space="preserve"> ARTÍCULOS MENORES DE CARÁCTER DIVERSO PARA USO EN EQUIPO DE TRANSPORTE</t>
  </si>
  <si>
    <t>ARTÍCULOS ELECTRÓNICOS MENORES PARA EQUIPO DE TRANSPORTE</t>
  </si>
  <si>
    <t xml:space="preserve"> ARTÍCULOS MENORES DE MANTENIMIENTO Y SEGURIDAD PARA EQUIPO DE TRANSPORTE</t>
  </si>
  <si>
    <t>IMPLEMENTOS MENORES PARA TRANSPORTE Y EQUIPO FERROVIARIO</t>
  </si>
  <si>
    <t>MATERIAL MENOR DE FERRETERÍA PARA EQUIPO DE TRANSPORTE</t>
  </si>
  <si>
    <t>MATERIALES MENORES DE MANTENIMIENTO Y SEGURIDAD PARA EQUIPO DE TRANSPORTE</t>
  </si>
  <si>
    <t>PRODUCTOS MENORES DE HULE PARA EQUIPO DE TRANSPORTE</t>
  </si>
  <si>
    <t xml:space="preserve">KIT PARCHADO P/ LLANTA C/ 48 PARCHES </t>
  </si>
  <si>
    <t>REFACCIONES Y ACCESORIOS MENORES DE EQUIPO DE DEFENSA Y SEGURIDAD</t>
  </si>
  <si>
    <t>REFACCIONES Y ACCESORIOS MENORES DE MAQUINARIA Y OTROS EQUIPOS</t>
  </si>
  <si>
    <t>ARTÍCULOS MENORES DE SERVICIO GENERAL PARA MAQUINARIA Y OTROS EQUIPOS</t>
  </si>
  <si>
    <t>IMPLEMENTOS AGRÍCOLAS MENORES PARA MAQUINARIA Y OTROS EQUIPOS</t>
  </si>
  <si>
    <t>MATERIAL MENOR DE FERRETERÍA PARA MAQUINARIA Y OTROS EQUIPOS</t>
  </si>
  <si>
    <t>PRODUCTOS MENORES DE HULE PARA MAQUINARIA Y OTROS EQUIPOS</t>
  </si>
  <si>
    <t>REFACCIONES Y ACCESORIOS MENORES OTROS BIENES MUEBLES</t>
  </si>
  <si>
    <t>ACCESORIOS Y MATERIALES ELÉCTRICOS MENORES PARA OTROS BIENES MUEBLES</t>
  </si>
  <si>
    <t>ARTÍCULOS MENORES DE SERVICIO GENERAL PARA OTROS BIENES MUEBLES</t>
  </si>
  <si>
    <t>IMPLEMENTOS AGRÍCOLAS MENORES PARA OTROS BIENES MUEBLES</t>
  </si>
  <si>
    <t>ARTÍCULOS ELECTRÓNICOS MENORES PARA OTROS BIENES MUEBLES</t>
  </si>
  <si>
    <t>MATERIAL MENOR DE FERRETERÍA PARA OTROS BIENES MUEBLES</t>
  </si>
  <si>
    <t>MATERIAL MENOR DE MANTENIMIENTO Y SEGURIDAD PARA OTROS BIENES MUEBLES</t>
  </si>
  <si>
    <t xml:space="preserve"> PRODUCTOS MENORES DE HULE PARA OTROS BIENES MUEBLES</t>
  </si>
  <si>
    <t>REFACCIONES MENORES PARA USO DIVERSOS EN OTROS BIENES MUEBLES</t>
  </si>
  <si>
    <t>SERVICIOS GENERALES</t>
  </si>
  <si>
    <t>SERVICIOS BASICOS</t>
  </si>
  <si>
    <t>ENERGÍA ELÉCTRICA</t>
  </si>
  <si>
    <t>SERVICIO DE ENERGIA ELECTRICA</t>
  </si>
  <si>
    <t>GAS</t>
  </si>
  <si>
    <t xml:space="preserve">GAS L.P. PARA CILINDRO 30 LTS </t>
  </si>
  <si>
    <t>GAS L.P. TANQUE ESTACIONARIO</t>
  </si>
  <si>
    <t>AGUA</t>
  </si>
  <si>
    <t>SERVICIO DE AGUA POTABLE</t>
  </si>
  <si>
    <t>TELEFONÍA TRADICIONAL</t>
  </si>
  <si>
    <t>TELEFONÍA CELULAR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</si>
  <si>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</si>
  <si>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</si>
  <si>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</si>
  <si>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</si>
  <si>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POSTALES Y TELEGRÁFICOS</t>
  </si>
  <si>
    <t xml:space="preserve"> SERVICIO POSTAL</t>
  </si>
  <si>
    <t>SERVICIO DE PAQUETERIA</t>
  </si>
  <si>
    <t>SERVICIO TELEGRÁFICO</t>
  </si>
  <si>
    <t>SERVICIOS INTEGRALES Y OTROS SERVICIOS</t>
  </si>
  <si>
    <t>SERVICIOS INTEGRALES DE TELECOMUNICACIÓN</t>
  </si>
  <si>
    <t>CONTRATACIÓN DE OTROS SERVICIOS</t>
  </si>
  <si>
    <t>SERVICIOS GENERALES PARA PLANTELES EDUCATIVOS</t>
  </si>
  <si>
    <t>SERVICIOS DE ARRENDAMIENTO</t>
  </si>
  <si>
    <t>ARRENDAMIENTO DE TERRENOS</t>
  </si>
  <si>
    <t>ARRENDAMIENTO DE EDIFICIOS</t>
  </si>
  <si>
    <t xml:space="preserve"> ARRENDAMIENTO DE EDIFICIOS</t>
  </si>
  <si>
    <t>ARRENDAMIENTO DE EDIFICIO</t>
  </si>
  <si>
    <t xml:space="preserve"> ARRENDAMIENTO DE MOBILIARIO Y EQUIPO DE ADMINISTRACIÓN, EDUCACIONAL Y RECREATIVO</t>
  </si>
  <si>
    <t>ARRENDAMIENTO DE EQUIPO Y BIENES INFORMÁTICOS</t>
  </si>
  <si>
    <t>ARRENDAMIENTO DE MOBILIARIO</t>
  </si>
  <si>
    <t>ARRENDAMIENTO DE EQUIPO E INSTRUMENTAL MÉDICO Y DE LABORATORIO</t>
  </si>
  <si>
    <t>ARRENDAMIENTO DE EQUIPO E INSTRUMENTAL MEDICO Y DE LABORATORIO</t>
  </si>
  <si>
    <t>ARRENDAMIENTO DE EQUIPO DE TRANSPORTE</t>
  </si>
  <si>
    <t>ARRENDAMIENTO DE MAQUINARIA, OTROS EQUIPOS Y HERRAMIENTAS</t>
  </si>
  <si>
    <t>ARRENDAMIENTO DE ACTIVOS INTANGIBLES</t>
  </si>
  <si>
    <t>PAQUETERIA DE ADOBE CREATIVE CLOUD.</t>
  </si>
  <si>
    <t>GOOGLE DRIVE</t>
  </si>
  <si>
    <t>SERVICIOS DE CAPACITACIÓN</t>
  </si>
  <si>
    <t>ARRENDAMIENTO FINANCIERO</t>
  </si>
  <si>
    <t>OTROS ARRENDAMIENTOS</t>
  </si>
  <si>
    <t>SERVICIOS PROFESIONALES, CIENTIFICOS, TECNICOS Y OTROS SERVICIOS</t>
  </si>
  <si>
    <t>SERVICIOS LEGALES, DE CONTABILIDAD, AUDITORÍA Y RELACIONADOS</t>
  </si>
  <si>
    <t xml:space="preserve"> ASESORÍAS ASOCIADAS A CONVENIOS, TRATADOS O ACUERDOS</t>
  </si>
  <si>
    <t>OTRAS ASESORÍAS PARA LA OPERACIÓN DE PROGRAMAS</t>
  </si>
  <si>
    <t>SERVICIOS RELACIONADOS CON PROCEDIMIENTOS JURISDICCIONALES</t>
  </si>
  <si>
    <t>SERVICIOS NOTARIALES</t>
  </si>
  <si>
    <t>SERVICIOS DE DISEÑO, ARQUITECTURA, INGENIERÍA Y ACTIVIDADES RELACIONADAS</t>
  </si>
  <si>
    <t>SERVICIOS DE CONSULTORÍA ADMINISTRATIVA, PROCESOS, TÉCNICA Y EN TECNOLOGÍAS DE LA INFORMACIÓN</t>
  </si>
  <si>
    <t>SERVICIOS DE INFORMÁTICA</t>
  </si>
  <si>
    <t>PAGO DE LICENCIA ANUAL DE SISTEMA NOMIPAQ</t>
  </si>
  <si>
    <t>SERVICIOS ESTADÍSTICOS Y GEOGRÁFICOS</t>
  </si>
  <si>
    <t>SERVICIOS RELACIONADOS CON CERTIFICACIÓN DE PROCESOS</t>
  </si>
  <si>
    <t>IMPARTICION DE CURSOS DE CAPACITACION Y ACTUALIZACION</t>
  </si>
  <si>
    <t>CAPACITACION DE NOMIPAQ</t>
  </si>
  <si>
    <t xml:space="preserve">CAPACITACIONES AL PERSONAL DE DIF NAYARIT </t>
  </si>
  <si>
    <t>CURSO DE CAPACITACIÓN</t>
  </si>
  <si>
    <t>SERVICIOS DE INVESTIGACIÓN CIENTÍFICA Y DESARROLLO</t>
  </si>
  <si>
    <t xml:space="preserve"> SERVICIOS DE INVESTIGACIÓN CIENTÍFICA Y DESARROLLO</t>
  </si>
  <si>
    <t>SERVICIOS DE APOYO ADMINISTRATIVO, TRADUCCIÓN, FOTOCOPIADO E IMPRESIÓN</t>
  </si>
  <si>
    <t>SERVICIOS RELACIONADOS CON TRADUCCIONES</t>
  </si>
  <si>
    <t>OTROS SERVICIOS COMERCIALES</t>
  </si>
  <si>
    <t>PARCHES CON LOGOS DE LA INSTITUCION  20X10</t>
  </si>
  <si>
    <t>LONA IMPRESA CON LOGOS INSTITUCIONALES MEDIDA 2.00X1.50</t>
  </si>
  <si>
    <t>BANNERS MEDIDA 80X1.80</t>
  </si>
  <si>
    <t xml:space="preserve"> IMPRESIONES DE DOCTOS.OFICIALES PARA LA PRESTACIÓN DE SER. PÚB., IDENTIFICACIÓN, FORMATOS ADMINISTRATIVOS Y FISCALES, …</t>
  </si>
  <si>
    <t xml:space="preserve"> IMPRESIÓN Y ELABORACIÓN DE MATERIAL INFORMATIVO DERIVADO DE LA OPERACIÓN Y ADMINISTRACIÓN DE LOS ENTES PÚBLICOS</t>
  </si>
  <si>
    <t>IMPRESIÓN Y ELABORACIÓN DE MATERIAL INFORMATIVO DERIVADO DE LA OPERACIÓN Y ADMINISTRACIÓN DE LOS ENTES PÚBLICOS</t>
  </si>
  <si>
    <t>SERVICIOS DE PROTECCIÓN Y SEGURIDAD</t>
  </si>
  <si>
    <t>GASTOS DE SEGURIDAD PÚBLICA Y NACIONAL</t>
  </si>
  <si>
    <t>SERVICIOS DE VIGILANCIA</t>
  </si>
  <si>
    <t>SERVICIOS PROFESIONALES, CIENTÍFICOS Y TÉCNICOS INTEGRALES</t>
  </si>
  <si>
    <t>SUBCONTRATACIÓN DE SERVICIOS CON TERCEROS</t>
  </si>
  <si>
    <t>PROYECTOS PARA PRESTACIÓN DE SERVICIOS</t>
  </si>
  <si>
    <t>SERVICIOS INTEGRALES</t>
  </si>
  <si>
    <t>SERVICIOS FINANCIEROS, BANCARIOS Y COMERCIALES</t>
  </si>
  <si>
    <t>SERVICIOS FINANCIEROS Y BANCARIOS</t>
  </si>
  <si>
    <t>COMISIONES BANCARIAS</t>
  </si>
  <si>
    <t>RECARGOS Y ACTUALIZACIONES</t>
  </si>
  <si>
    <t>INTERESES MORATORIOS</t>
  </si>
  <si>
    <t>HONORARIOS FIDUCIARIOS</t>
  </si>
  <si>
    <t>COMISIONES POR DISPOSICIÓN DE CRÉDITO</t>
  </si>
  <si>
    <t>COMISIONES POR APERTURA DE CRÉDITO</t>
  </si>
  <si>
    <t xml:space="preserve"> INTERESES POR CRÉDITOS A CORTO PLAZO</t>
  </si>
  <si>
    <t>OTROS</t>
  </si>
  <si>
    <t>SERVICIOS DE COBRANZA, INVESTIGACIÓN CREDITICIA Y SIMILAR</t>
  </si>
  <si>
    <t>SERVICIOS DE RECAUDACIÓN, TRASLADO Y CUSTODIA DE VALORES</t>
  </si>
  <si>
    <t>GASTOS INHERENTES A LA RECAUDACIÓN</t>
  </si>
  <si>
    <t>SEGUROS DE RESPONSABILIDAD PATRIMONIAL Y FIANZAS</t>
  </si>
  <si>
    <t xml:space="preserve"> SEGURO DE RESPONSABILIDAD PATRIMONIAL DEL ESTADO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</si>
  <si>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</si>
  <si>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</si>
  <si>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</si>
  <si>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</si>
  <si>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</si>
  <si>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COMISIONES POR VENTAS</t>
  </si>
  <si>
    <t xml:space="preserve"> COMISIONES POR VENTAS</t>
  </si>
  <si>
    <t>SERVICIOS FINANCIEROS, BANCARIOS Y COMERCIALES INTEGRALES</t>
  </si>
  <si>
    <t>SERVICIOS DE INSTALACION, REPARACION, MANTENIMIENTO Y CONSERVACION</t>
  </si>
  <si>
    <t>CONSERVACIÓN Y MANTENIMIENTO MENOR DE INMUEBLES</t>
  </si>
  <si>
    <t xml:space="preserve"> MANTENIMIENTO Y CONSERVACIÓN DE INMUEBLES PARA LA PRESTACIÓN DE SERVICIOS ADMINISTRATIVOS</t>
  </si>
  <si>
    <t xml:space="preserve"> MANTENIMIENTO Y CONSERVACIÓN DE INMUEBLES PARA LA PRESTACIÓN DE SERVICIOS PÚBLICOS</t>
  </si>
  <si>
    <t>INSTALACIÓN, REPARACIÓN Y MANTENIMIENTO DE MOBILIARIO Y EQUIPO DE ADMINISTRACIÓN, EDUCACIONAL Y RECREATIVO</t>
  </si>
  <si>
    <t xml:space="preserve"> INSTALACIÓN, REPARACIÓN Y MANTENIMIENTO DE MOBILIARIO Y EQUIPO DE ADMINISTRACIÓN, EDUCACIONAL Y RECREATIVO</t>
  </si>
  <si>
    <t>MANTENIMIENTO DE MAQUINAS DE COSER MANUAL</t>
  </si>
  <si>
    <t>MANTENIMIENTO DE MAQUINAS DE COSER INDUSTRIAL</t>
  </si>
  <si>
    <t>INSTALACIÓN, REPARACIÓN Y MANTENIMIENTO DE EQUIPO DE CÓMPUTO Y TECNOLOGÍA DE LA INFORMACIÓN</t>
  </si>
  <si>
    <t xml:space="preserve"> INSTALACIÓN, REPARACIÓN Y MANTENIMIENTO DE EQUIPO DE CÓMPUTO Y TECNOLOGÍA DE LA INFORMACIÓN</t>
  </si>
  <si>
    <t>MANTENIMIENTO DE CÁMARA</t>
  </si>
  <si>
    <t>INSTALACIÓN, REPARACIÓN Y MANTENIMIENTO DE EQUIPO E INSTRUMENTAL MÉDICO Y DE LABORATORIO</t>
  </si>
  <si>
    <t xml:space="preserve"> INSTALACIÓN, REPARACIÓN Y MANTENIMIENTO DE EQUIPO E INSTRUMENTAL MÉDICO Y DE LABORATORIO</t>
  </si>
  <si>
    <t>REPARACIÓN Y MANTENIMIENTO DE EQUIPO DE TRANSPORTE</t>
  </si>
  <si>
    <t xml:space="preserve"> REPARACIÓN Y MANTENIMIENTO DE EQUIPO DE TRANSPORTE</t>
  </si>
  <si>
    <t>REPARACIÓN Y MANTENIMIENTO DE EQUIPO DE DEFENSA Y SEGURIDAD</t>
  </si>
  <si>
    <t xml:space="preserve"> REPARACIÓN Y MANTENIMIENTO DE EQUIPO DE DEFENSA Y SEGURIDAD</t>
  </si>
  <si>
    <t xml:space="preserve"> INSTALACIÓN, REPARACIÓN Y MANTENIMIENTO DE MAQUINARIA, OTROS EQUIPOS Y HERRAMIENTA</t>
  </si>
  <si>
    <t xml:space="preserve"> MANTENIMIENTO Y CONSERVACIÓN DE MAQUINARIA Y EQUIPO</t>
  </si>
  <si>
    <t>MANTENIMIENTO Y CONSERVACIÓN DE PLANTAS E INSTALACIONES PRODUCTIVAS</t>
  </si>
  <si>
    <t xml:space="preserve"> SERVICIOS DE LIMPIEZA Y MANEJO DE DESECHOS</t>
  </si>
  <si>
    <t xml:space="preserve"> SERVICIOS DE LAVANDERÍA, LIMPIEZA E HIGIENE</t>
  </si>
  <si>
    <t>SERVICIOS DE MANEJO DE DESECHOS</t>
  </si>
  <si>
    <t>SERVICIOS DE JARDINERÍA Y FUMIGACIÓN</t>
  </si>
  <si>
    <t xml:space="preserve"> SERVICIOS DE JARDINERÍA Y FUMIGACIÓN</t>
  </si>
  <si>
    <t>SERVICIOS DE COMUNICACIÓN SOCIAL Y PUBLICIDAD</t>
  </si>
  <si>
    <t>DIFUSIÓN POR RADIO, TELEVISIÓN Y OTROS MEDIOS DE MENSAJES SOBRE PROGRAMAS Y ACTIVIDADES GUBERNAMENTALES</t>
  </si>
  <si>
    <t>CALCOMANIA IMPRESIÓN EN HD EN MEDIDA DE 8 X 5CMS.</t>
  </si>
  <si>
    <t>DIFUSIÓN POR RADIO, TELEVISIÓN Y OTROS MEDIOS DE MENSAJES COMERCIALES PARA PROMOVER LA VENTA DE BIENES O SERVICIOS</t>
  </si>
  <si>
    <t xml:space="preserve"> DIFUSIÓN POR RADIO, TELEVISIÓN Y OTROS MEDIOS DE MENSAJES COMERCIALES PARA PROMOVER LA VENTA DE BIENES O SERVICIOS</t>
  </si>
  <si>
    <t xml:space="preserve">BANNER (DISPLAY PUBLICITARIO) MEDIDAS 180 x 80 CM   </t>
  </si>
  <si>
    <t>PORTA X BANNER PUBLICITARIO REFORZADO MEDIDAS 180X80 CM</t>
  </si>
  <si>
    <t>SERVICIOS DE CREATIVIDAD, PREPRODUCCIÓN Y PRODUCCIÓN DE PUBLICIDAD, EXCEPTO INTERNET</t>
  </si>
  <si>
    <t>SERVICIOS DE REVELADO DE FOTOGRAFÍAS</t>
  </si>
  <si>
    <t xml:space="preserve"> SERVICIOS DE REVELADO DE FOTOGRAFÍAS</t>
  </si>
  <si>
    <t>SERVICIOS DE LA INDUSTRIA FÍLMICA, DEL SONIDO Y DEL VIDEO</t>
  </si>
  <si>
    <t>SERVICIO DE CREACIÓN Y DIFUSIÓN DE CONTENIDO EXCLUSIVAMENTE A TRAVÉS DE INTERNET</t>
  </si>
  <si>
    <t>SERVICIOS DE RECREACIÓN Y DIFUSIÓN DE CONTENIDO EXCLUSIVAMENTE A TRAVES DE INTERNET</t>
  </si>
  <si>
    <t>PUBLICACIONES DE FACEBOOK PAUTADAS EN DICHA PLATAFORMA SOCIAL</t>
  </si>
  <si>
    <t xml:space="preserve"> OTROS SERVICIOS DE INFORMACIÓN</t>
  </si>
  <si>
    <t>OTROS SERVICIOS DE INFORMACIÓN</t>
  </si>
  <si>
    <t>SERVICIOS DE TRASLADO Y VIATICOS</t>
  </si>
  <si>
    <t>PASAJES AÉREOS</t>
  </si>
  <si>
    <t>TRANSPORTE AEREO DE PERSONAS</t>
  </si>
  <si>
    <t>PASAJES TERRESTRES</t>
  </si>
  <si>
    <t>PAGO DE CASETAS O PEAJE</t>
  </si>
  <si>
    <t>PASAJES MARÍTIMOS, LACUSTRES Y FLUVIALES</t>
  </si>
  <si>
    <t xml:space="preserve"> PASAJES MARÍTIMOS, LACUSTRES Y FLUVIALES</t>
  </si>
  <si>
    <t>AUTOTRANSPORTE</t>
  </si>
  <si>
    <t>VIATICOS EN EL PAIS</t>
  </si>
  <si>
    <t xml:space="preserve">VIATICOS </t>
  </si>
  <si>
    <t>VIÁTICOS EN EL EXTRANJERO</t>
  </si>
  <si>
    <t>GASTOS DE INSTALACIÓN Y TRASLADO DE MENAJE</t>
  </si>
  <si>
    <t>SERVICIOS INTEGRALES DE TRASLADO Y VIÁTICOS</t>
  </si>
  <si>
    <t>SERVICIOS INTEGRALES NACIONALES PARA SERVIDORES PÚBLICOS EN EL DESEMPEÑO DE COMISIONES Y FUNCIONES OFICIALES</t>
  </si>
  <si>
    <t>SERVICIOS INTEGRALES EN EL EXTRANJERO PARA SERVIDORES PÚBLICOS EN EL DESEMPEÑO DE COMISIONES Y FUNCIONES OFICIALES</t>
  </si>
  <si>
    <t xml:space="preserve"> OTROS SERVICIOS DE TRASLADO Y HOSPEDAJE</t>
  </si>
  <si>
    <t>OTROS SERVICIOS DE TRASLADO Y HOSPEDAJE</t>
  </si>
  <si>
    <t>SERVICIOS OFICIALES</t>
  </si>
  <si>
    <t>GASTOS DE CEREMONIAL</t>
  </si>
  <si>
    <t>GASTOS DE ORDEN SOCIAL Y CULTURAL</t>
  </si>
  <si>
    <t>EVENTOS A REALIZAR EN EL AÑO ATN CIUDADANA</t>
  </si>
  <si>
    <t>CONGRESOS Y CONVENCIONES</t>
  </si>
  <si>
    <t>EXPOSICIONES</t>
  </si>
  <si>
    <t xml:space="preserve"> EXPOSICIONES</t>
  </si>
  <si>
    <t>GASTOS DE REPRESENTACIÓN</t>
  </si>
  <si>
    <t>OTROS SERVICIOS GENERALES</t>
  </si>
  <si>
    <t>SERVICIOS FUNERARIOS Y DE CEMENTERIOS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</si>
  <si>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</si>
  <si>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</si>
  <si>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</si>
  <si>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</si>
  <si>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</si>
  <si>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</si>
  <si>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INDEMNIZACIONES POR EXPROPIACIONES</t>
  </si>
  <si>
    <t>PENAS, MULTAS, ACCESORIOS Y ACTUALIZACIONES</t>
  </si>
  <si>
    <t>OTROS GASTOS POR RESPONSABILIDADES</t>
  </si>
  <si>
    <t>UTILIDADES</t>
  </si>
  <si>
    <t>IMPUESTO SOBRE NÓMINAS Y OTROS QUE SE DERIVEN DE UNA RELACIÓN LABORAL</t>
  </si>
  <si>
    <t>IMPUESTOS SOBRE NOMINAS 2024</t>
  </si>
  <si>
    <t>SERVICIOS DE ALIMENTACIÓN</t>
  </si>
  <si>
    <t>TRANSFERENCIAS, ASIGNACIONES, SUBSIDIOS Y OTRAS AYUDAS</t>
  </si>
  <si>
    <t>ASIGNACIONES PRESUPUESTARIAS AL PODER EJECUTIVO</t>
  </si>
  <si>
    <t>ASIGNACIONES PRESUPUESTARIAS AL PODER LEGISLATIVO</t>
  </si>
  <si>
    <t>CONGRESO DEL ESTADO DE NAYARIT</t>
  </si>
  <si>
    <t>ÓRGANO DE FISCALIZACIÓN SUPERIOR DEL ESTADO DE NAYARIT</t>
  </si>
  <si>
    <t>ASIGNACIONES PRESUPUESTARIAS AL PODER JUDICIAL</t>
  </si>
  <si>
    <t>ASIGNACIONES PRESUPUESTARIAS A ÓRGANOS AUTÓNOMOS</t>
  </si>
  <si>
    <t>ÓRGANOS AUTÓNOMOS ESTATALES</t>
  </si>
  <si>
    <t>ÓRGANOS AUTÓNOMOS MUNICIPALES</t>
  </si>
  <si>
    <t>TRANSFERENCIAS INTERNAS OTORGADAS A ENTIDADES PARAESTATALES NO EMPRESARIALES Y NO FINANCIERAS</t>
  </si>
  <si>
    <t>ENTIDADES PARAESTATALES NO EMPRESARIALES Y NO FINANCIERAS</t>
  </si>
  <si>
    <t>ENTIDADES PARAMUNICIPALES NO EMPRESARIALES Y NO FINANCIERAS</t>
  </si>
  <si>
    <t>TRANSFERENCIAS INTERNAS OTORGADAS A ENTIDADES PARAESTATALES EMPRESARIALES Y NO FINANCIERAS</t>
  </si>
  <si>
    <t>ENTIDADES PARAESTATALES EMPRESARIALES Y NO FINANCIERAS</t>
  </si>
  <si>
    <t>ENTIDADES PARAMUNICIPALES EMPRESARIALES Y NO FINANCIERAS</t>
  </si>
  <si>
    <t>TRANSFERENCIAS INTERNAS OTORGADAS A FIDEICOMISOS PÚBLICOS EMPRESARIALES Y NO FINANCIEROS</t>
  </si>
  <si>
    <t>TRANSFERENCIAS INTERNAS OTORGADAS A FIDEICOMISOS PÚBLICOS EMPRESARIALES Y NO FINANCIEROS (ESTATALES)</t>
  </si>
  <si>
    <t>TRANSFERENCIAS INTERNAS OTORGADAS A FIDEICOMISOS PÚBLICOS EMPRESARIALES Y NO FINANCIEROS (MUNICIPALES)</t>
  </si>
  <si>
    <t>TRANSFERENCIAS INTERNAS OTORGADAS A INSTITUCIONES PARAESTATALES PÚBLICAS FINANCIERAS</t>
  </si>
  <si>
    <t>TRANSFERENCIAS INTERNAS OTORGADAS A INSTITUCIONES PARAMUNICIPALES PÚBLICAS FINANCIERAS</t>
  </si>
  <si>
    <t>TRANSFERENCIAS INTERNAS OTORGADAS A FIDEICOMISOS PÚBLICOS FINANCIEROS</t>
  </si>
  <si>
    <t>TRANSFERENCIAS INTERNAS OTORGADAS A FIDEICOMISOS PÚBLICOS FINANCIEROS ESTATALES</t>
  </si>
  <si>
    <t>TRANSFERENCIAS INTERNAS OTORGADAS A FIDEICOMISOS PÚBLICOS FINANCIEROS MUNICIPALES</t>
  </si>
  <si>
    <t>TRANSFERENCIAS AL RESTO DEL SECTOR PUBLICO</t>
  </si>
  <si>
    <t>TRANSFERENCIAS OTORGADAS A ENTIDADES PARAESTATALES NO EMPRESARIALES Y NO FINANCIERAS</t>
  </si>
  <si>
    <t>TRANSFERENCIAS OTORGADAS A ENTIDADES PARAMUNICIPALES NO EMPRESARIALES Y NO FINANCIERAS</t>
  </si>
  <si>
    <t>TRANSFERENCIAS OTORGADAS PARA ENTIDADES PARAESTATALES EMPRESARIALES Y NO FINANCIERAS</t>
  </si>
  <si>
    <t>TRANSFERENCIAS OTORGADAS PARA ENTIDADES PARAMUNICIPALES EMPRESARIALES Y NO FINANCIERAS</t>
  </si>
  <si>
    <t>TRANSFERENCIAS OTORGADAS PARA INSTITUCIONES PARAESTATALES PÚBLICAS FINANCIERAS</t>
  </si>
  <si>
    <t>TRANSFERENCIAS OTORGADAS PARA INSTITUCIONES PARAMUNICIPALES PÚBLICAS FINANCIERAS</t>
  </si>
  <si>
    <t>TRANSFERENCIAS OTORGADAS A ENTIDADES FEDERATIVAS Y MUNICIPIOS</t>
  </si>
  <si>
    <t>TRANSFERENCIAS OTORGADAS A ENTIDADES FEDERATIVAS</t>
  </si>
  <si>
    <t>TRANSFERENCIAS OTORGADAS A MUNICIPIOS</t>
  </si>
  <si>
    <t>TRANSFERENCIAS A FIDEICOMISOS DE ENTIDADES FEDERATIVAS Y MUNICIPIOS</t>
  </si>
  <si>
    <t>TRANSFERENCIAS A FIDEICOMISOS ESTATALES</t>
  </si>
  <si>
    <t>TRANSFERENCIAS A FIDEICOMISOS MUNICIPALES</t>
  </si>
  <si>
    <t>SUBSIDIOS Y SUBVENCIONES</t>
  </si>
  <si>
    <t>SUBSIDIOS A LA PRODUCCIÓN</t>
  </si>
  <si>
    <t>SUBSIDIOS A LA DISTRIBUCIÓN</t>
  </si>
  <si>
    <t>SUBSIDIOS A LA INVERSIÓN</t>
  </si>
  <si>
    <t>SUBSIDIOS PARA INVERSIÓN</t>
  </si>
  <si>
    <t>SUBSIDIOS A LA PRESTACIÓN DE SERVICIOS PÚBLICOS</t>
  </si>
  <si>
    <t>SUBSIDIOS PARA CUBRIR DIFERENCIALES DE TASAS DE INTERÉS</t>
  </si>
  <si>
    <t>SUBSIDIOS A LA VIVIENDA</t>
  </si>
  <si>
    <t>SUBSIDIOS A ENTIDADES FEDERATIVAS Y MUNICIPIOS</t>
  </si>
  <si>
    <t>SUBSIDIOS A ENTIDADES FEDERATIVAS</t>
  </si>
  <si>
    <t>SUBSIDIOS A MUNICIPIOS</t>
  </si>
  <si>
    <t>OTROS SUBSIDIOS</t>
  </si>
  <si>
    <t>AYUDAS SOCIALES</t>
  </si>
  <si>
    <t xml:space="preserve"> Ayudas sociales a personas</t>
  </si>
  <si>
    <t xml:space="preserve"> AUXILIO A PERSONAS U HOGARES</t>
  </si>
  <si>
    <t>AYUDAS ESPECIALES A PERSONAS U HOGARES</t>
  </si>
  <si>
    <t>PREMIOS, RECOMPENSAS Y ESTÍMULOS</t>
  </si>
  <si>
    <t>APOYO A VOLUNTARIOS QUE PARTICIPAN EN DIVERSOS PROGRAMAS</t>
  </si>
  <si>
    <t>DIETAS A CONSEJEROS ELECTORALES LOCALES Y DISTRITALES EN EL AÑO ELECTORAL ESTATAL</t>
  </si>
  <si>
    <t>AYUDAS SOCIALES A INSTITUCIONES SIN FINES DE LUCRO</t>
  </si>
  <si>
    <t xml:space="preserve"> AYUDAS SOCIALES A INSTITUCIONES SIN FINES DE LUCRO</t>
  </si>
  <si>
    <t>BIENES MUEBLES, INMUEBLES E INTANGIBLES</t>
  </si>
  <si>
    <t>MOBILIARIO Y EQUIPO DE ADMINISTRACIÓN</t>
  </si>
  <si>
    <t>MUEBLES DE OFICINA Y ESTANTERÍA</t>
  </si>
  <si>
    <t>MOBILIARIO Y EQUIPO MÉDICO QUIRÚRGICO</t>
  </si>
  <si>
    <t>MOBILIARIO Y EQUIPO</t>
  </si>
  <si>
    <t xml:space="preserve">ARCHIVERO METALICO VERTICAL DE TRES GAVETAS CON CHAPA Y LLAVE DE SEGURIDAD EN GAVETA SUPERIOR </t>
  </si>
  <si>
    <t xml:space="preserve">ESTANTE METALICO 5 CHAROLAS DE 30 X 85 CMS. CAL 22 Y POSTES DE 2.20 MT CAL. 18 </t>
  </si>
  <si>
    <t>ESCRITORIO EJECUTIVO DE 1.15 X .50X.75 MTS. CON CAJONERA ( 2 LAPICERO Y 1 DE ARCHIVO) TERMINADO EN MELAMINA DE COLOR MADERA DE 28/16 MM</t>
  </si>
  <si>
    <t>ESCRITORIO LÍNEA EJECUTIVA DE 1.60 X .70 MTS CON LATERAL CON DOS CAJONES (LAPICERO Y ARCHIVO) FABRICADO EN MELAMINA DE 28/16 MM</t>
  </si>
  <si>
    <t>ESCRITORIO LINEA EJECUTIVA DE 1.60 X .70 MTS CON LATERAL CON TRES CAJONES ( LAPICERO Y ARCHIVO) FABRICADO EN MELAMINA DE 28/16 MM</t>
  </si>
  <si>
    <t>ESCRITORIO SECRETARIAL DE MELAMINA CON 2 CAJONES DIMENSIONES: 1.60 MT DE LARGO, 0.74 MT TERMINADO EN MELAMINA 28/16 MM</t>
  </si>
  <si>
    <t>MESA PLEGABLE SOPORTE PARA LAPTOP AJUSTABLE A 5 NIVELES</t>
  </si>
  <si>
    <t>MESA PLAGABLE TIPO PORTAFOLIO 2.44 MTR</t>
  </si>
  <si>
    <t>REPISA FLOTANTE PARA OFICINA CON LLAVE</t>
  </si>
  <si>
    <t>SILLA EJECUTIVA PARA ESCRITORIO, RECLINABLE, ASIENTO TAPIZADO EN TELA Y RESPALDO ALTO EN MALLAS CON CABECERA DE VINIPIEL INCLUIDA, CON DESCANSA BRAZOS, CRUCETA DE 5 PUNTAS CON RODAJAS.</t>
  </si>
  <si>
    <t>SILLA PARA OFICINA CON FORRO EN VINIPIEL, CON DESCANSA BRAZOS, ALTURA AJUSTABLE CON PALANCA, ESTRUCTURA DE ACERO Y RUEDAS 360</t>
  </si>
  <si>
    <t>SILLA SECRETARIAL GIRATORIA, CON DESCANSA BRAZOS, ASIENTO TAPIZADO EN TELA Y RESPALDO EN MALLA, CRUCETA DE POLIPROPILENO DE 5 PUNTAS CON RODAJAS, ELEVACION POR PISTON NEUMATICO</t>
  </si>
  <si>
    <t>SILLON EJECUTIVO GIRATORIO, RECLINABLE, CON DESCANSA BRAZOS, ASIENTO Y RESPALDO TAPIZADO EN VINIPIEL COLOR NEGRO, CRUCETA DE POLIPROPILENO DE 5 PUNTAS CON RODAJAS</t>
  </si>
  <si>
    <t>SILLA EJECUTIVA POLIPIEL/NEGRO CON DESCANSA BRAZOS, SISTEMA DE RECLINAMIENTO, ELEVACION POR PISTON NEUMATICO, ASIENTO Y RESPALDO TAPIZADOS.</t>
  </si>
  <si>
    <t>EQUIPO DE COMPUTACIÓN</t>
  </si>
  <si>
    <t>DIGITALIZADOR DE IMAGEN COMPUTARIZADA (LÉCTOR ELECTRÓNICO)</t>
  </si>
  <si>
    <t>DISCO DURO  DE ESTADO SOLIDO, EXTERNO 2TB, PORTATIL HASTA 1050MB/S-USB-C USB 3.2 GEN 2 UNIDAD EXTERNA</t>
  </si>
  <si>
    <t>IMPRESORA MULTIFUNCIONAL ESCANER, COPIADORA E IMPRESIONES, SMART TANK 500 DE TINTA CONTINUA IMPRESORA A COLOR WIFI SMART QUE INCLUYA UN JUEGO ADICIONAL DE RESPUESTO DE TONER ORIGINAL</t>
  </si>
  <si>
    <t>LAPTOP PORTATIL DE 14", PROCESADOR INTEL 15 10210U DE 10 GENERACION MEMORIA DE 8 GB DDR 512 SSD, WINDOWS PRO, EN COLOR GRIS ESPECIAL</t>
  </si>
  <si>
    <t>EQUIPO DE COMPUTO  ALL IN ONE 8 GB RAM, INTEL CORE I5 DISCO DURO 240 GB SSD WINDOWS 10,WIFI</t>
  </si>
  <si>
    <t>OTROS MOBILIARIOS Y EQUIPOS DE ADMINISTRACIÓN</t>
  </si>
  <si>
    <t>OTROS EQUIPOS DE COMUNICACIÓN</t>
  </si>
  <si>
    <t>GRABADORA DE VOZ DIGITAL CON USB INTEGRADO</t>
  </si>
  <si>
    <t>GRABADORA PORTATIL DE AUDIO ZOOM H8, 12 PISTAS, MICRÓFONOS ESTEREO, 6 ENTRADAS, INTERFAZ TACTIL, INTERFAZ DE AUDIO USB, FUNCIONA CON PILAS, PARA AUDIO ESTEREO/ MULTIPISTA PARA VIDEO, PODCASTING Y MÚSICA</t>
  </si>
  <si>
    <t>MICROFONO INALAMBRICO DJI MIC
2 TX +TX+ 1 RX + ESTUCHE DE CARGA, 250
 M DE ALCANCE, 15 HORAS DDE BATERIA</t>
  </si>
  <si>
    <t>MICROFONO DE CONDENSADOR RODE
 NT1-A</t>
  </si>
  <si>
    <t>OTROS MOBILIARIOS Y EQUIPO</t>
  </si>
  <si>
    <t>AIRE ACONDICIONADO MINISPLIT LIFE DE 2 TONELADAS FRIO 220V</t>
  </si>
  <si>
    <t>ANAQUEL METALICO REFORZADO CON 5 CHAROLAS DE 60X30 CM CAL 22 Y 4 POSTES DE 2.20 MTS CAL 18</t>
  </si>
  <si>
    <t xml:space="preserve">DISPENSADOR DE AGUA FRIA Y CALIENTE CON GARRAFON NORMAL, CON LLAVES FACILES DE MANEJAR Y SEGURO CONTRA NIÑOS, INDICADOR DE CAMBIO DE GARRAFÓN. </t>
  </si>
  <si>
    <t xml:space="preserve">PERSIANA ENRROLLABLE VERTICAL DE 1.00 X 1.70 MT </t>
  </si>
  <si>
    <t>SISTEMAS DE AIRE ACONDICIONADO, CALEFACCIÓN Y DE REFRIGERACIÓN INDUSTRIAL Y COMERCIAL</t>
  </si>
  <si>
    <t>SOPORTE UNIVESAL DE TECHO PARA PROYECOR</t>
  </si>
  <si>
    <t>VENTILADOR DE MESA Y PARED DE 10"</t>
  </si>
  <si>
    <t xml:space="preserve">VENTILADOR DE TORRE DE 3 VELOCIDADES, CON TEMPORIZADOR HASTA 7 HORAS, MODO NOCTURNO </t>
  </si>
  <si>
    <t>MOBILIARIO Y EQUIPO EDUCACIONAL Y RECREATIVO</t>
  </si>
  <si>
    <t>EQUIPOS Y APARATOS AUDIVISUALES</t>
  </si>
  <si>
    <t>EQUIPOS Y APARATOS AUDIOVISUALES</t>
  </si>
  <si>
    <t>PANTALLA PARA PROYECTOR</t>
  </si>
  <si>
    <t xml:space="preserve">MAQUINARIA, OTROS EQUIPOS Y HERRAMIENTAS
</t>
  </si>
  <si>
    <t>MAQUINARIA Y EQUIPO INDUSTRIAL</t>
  </si>
  <si>
    <t>DESBROZADORA DESMALEZADORA A GASOLINA COD.11031</t>
  </si>
  <si>
    <t>HERRAMIENTAS Y MÁQUINAS-HERRAMIENTA</t>
  </si>
  <si>
    <t>SUMAS DE LOS CAPITULOS 2000, 3000, 4000 y 5000</t>
  </si>
  <si>
    <t>CHINCHES PARA PIZARRON CABEZA LARGA</t>
  </si>
  <si>
    <t>MARCATEXTOS PUNTO GRUESO COLORES VARIOS C/12 PZAS</t>
  </si>
  <si>
    <t>REGLA DE PLASTICO DE 30 CM</t>
  </si>
  <si>
    <t>TABLA ACRILICA CON SUJETADOR TAMAÑO OFICIO</t>
  </si>
  <si>
    <t>FOLDERS MANILA TAMAÑO CARTA C/100 PZ C/BEIGE</t>
  </si>
  <si>
    <t>HOJAS DE COLORES T/CARTA C/100 PZAS</t>
  </si>
  <si>
    <t xml:space="preserve">LIGAS CHICAS NO.10 </t>
  </si>
  <si>
    <t>LIMPIADOR DE PANTALLA</t>
  </si>
  <si>
    <t>PAÑO MICROFIBRA AMARILLO</t>
  </si>
  <si>
    <t>RIBBON ZEBRA YMCKO 800300-350la ZC100 Y ZC300</t>
  </si>
  <si>
    <t>500 TARJETAS DE PVC ZEBRA ORIGINALES PARA CREDENCIALES</t>
  </si>
  <si>
    <t>CAFE TOSTADO MOLIDO REGULAR BOLSA DE 1 KG</t>
  </si>
  <si>
    <t>CUCHARAS DESECHABLES CAFETERA PAQ. C/50 PZAS</t>
  </si>
  <si>
    <t>BATERIA AAA PROFESIONAL DE ALTA CAPACIDAD RECARGABLE</t>
  </si>
  <si>
    <t>24601</t>
  </si>
  <si>
    <t>24603</t>
  </si>
  <si>
    <t>CINCHO PLASTICO C/100 PZS 18 LB. X 15 CM. COD. 44301</t>
  </si>
  <si>
    <t>CINCHO PLASTICO C/100 PZS 30 CM. COD. 44308</t>
  </si>
  <si>
    <t>ESTRUCTURA METALICA</t>
  </si>
  <si>
    <t>24704</t>
  </si>
  <si>
    <t>ACCESORIOS PARA WC</t>
  </si>
  <si>
    <t>MANGUERA P/ LAVABO 40 CM COFLEX</t>
  </si>
  <si>
    <t>MANGUERA FLEXIBLE PARA WC. COFLEX</t>
  </si>
  <si>
    <t>GASOLINA</t>
  </si>
  <si>
    <t>ESCALERA DE TIJERA TIPO 2, 4 ESCALONES</t>
  </si>
  <si>
    <t>DIABLITO PLEGABLE TUBULAR, SOPORTA HASTA 70 KG</t>
  </si>
  <si>
    <t xml:space="preserve">MARCO DE LENTE DE PRUEBA DE OPTOMETRÍA ÓPTICA AJUSTABLE PROFESIONAL </t>
  </si>
  <si>
    <t>INYECTOR POE PARA TELEFONO IP</t>
  </si>
  <si>
    <t>MEMORIA FLASH USB DE 32 GB</t>
  </si>
  <si>
    <t>SERVICIO DE HOSPEDAJE Y ALOJAMIENMTO PAGINA WEB DIF ESTATAL Y CORREO ELECTRONICO</t>
  </si>
  <si>
    <t>OTRAS ASESORIAS</t>
  </si>
  <si>
    <t>ASISTENCIA TECNICA DE SISTEMA DE FACTURACION</t>
  </si>
  <si>
    <t>ASISTENCIA TECNICA EQUIPOS DE REDES</t>
  </si>
  <si>
    <t>MANTENIMIENTO AL UPS</t>
  </si>
  <si>
    <t>SERVICIO DE REVISION Y MANTENIMIENTO DE CAMARAS DE VIGILANCIA</t>
  </si>
  <si>
    <t>SERVICIO DE REVISION DE PROYECTOR</t>
  </si>
  <si>
    <t>SERVICIO DE TELEFONO</t>
  </si>
  <si>
    <t>ESCRITORIO EJECUTIVO DE 1.40X.70 MT CON DOS CAJONES ( LAPICERO Y ARCHIVERO) TERMINADO EN MELAMINA DE 28/16 MM DE COLOR MADERA</t>
  </si>
  <si>
    <t>LOOKER METALICO DE CUATRO GAVETAS 180 DE ALTO X 40 DE ANCHO DE FONDO CON PORTA CANDADO</t>
  </si>
  <si>
    <t>SILLA SECRETARIAL ERGONOMICA SIN DESCANSA BRAZOS ASIENTOS Y RESPALDO TAPIZADO EN TELA, AJUSTABLE DE ALTURA POR PISTON NEUMATICO BASE NYLON DE 5 PUNTAS CON RODAJAS</t>
  </si>
  <si>
    <t>SILLA EJECUTIVA POLIPIEL/NEGRO CON DESCANSA BRAZOS, SISTEMA DE RECLINAMIENTO, ELEVACION POR PISTON NEUMATICO, ASIENTO Y RESPALDO TAPIZADOS</t>
  </si>
  <si>
    <t>SILLON SEMIEJECUTIVO MODELO ECOGERENCIAL, ASIENTO Y RESPALDO TAPIZADO EN VINIPIEL COLOR NEGRO, BRAZOS FIJOS DE NYLON, MECANISMO RECLINABLE CON AJUSTE DE ALTURA Y AJUSTE DE SUAVIDAD DE RECLINACION</t>
  </si>
  <si>
    <t xml:space="preserve">ARCHIVERO DE CUATRO GAVETAS CON CHAPA Y LLAVE DE SEGURIDAD EN GAVETA SUPERIOR, FABRICADO EN MELANINA </t>
  </si>
  <si>
    <t xml:space="preserve">BANCO DE BATERIAS ADICIONAL PARA UPS </t>
  </si>
  <si>
    <t xml:space="preserve">DISPOSITIVO ALMACENAMIENTO DATOS EN RED </t>
  </si>
  <si>
    <t>EQUIPO GATEWAY DE RESPALDO</t>
  </si>
  <si>
    <t>LAPTOP WINDOWS 11, PROCESADOR INTEL CORE I5 GENERACION 12 O MAS, 8 GB RAM DISCO DURO 240 SSD ESTADO SOLIDO  PANTALLA 15</t>
  </si>
  <si>
    <t>LAPTOP THINKBOOK 14 GZ ITL/CORE 17-1165G7/16GD/8GB/SOLDADO+8GBDOR43200/512GB SSD/ INTEGRADOS IRIS XEGRAEHICS/NEGRO/ WIFI +BT / WIN11 PRO WIN 10 / 1 YRCS</t>
  </si>
  <si>
    <t>COMPUTADORA DE ESCRITORIO PROCESADOR INTEL CORE I5 8GB MEMORIA RAM, DISCO DURO 128 GB 0 240 GB DE ESTADO SOLIDO WIFI QUE INCLUYA MOUSE, TECLADO Y MONITOR DE 20" DMI CON HDMI</t>
  </si>
  <si>
    <t>ALL IN ONE  22-DD1506LA COLOR NEGRO PROCESADOR INTEL CORE I3 DE 11.A GENERACION. WINDOWS 11 HOME  SINGLE LANGUAGE UNIDAD DE ESTADO SOLIDO PCLE NVME M.2 DE 256 GB, 8 GB INTEL UHD 21,5" PULGADAS</t>
  </si>
  <si>
    <t>SWITCH DATOS POE 24 PUERTOS</t>
  </si>
  <si>
    <t>FRIGOBAR MCA. ATVIO, DE 85 CM DE ALTO X 47 CM DE ANCHO X 42 CM DE FONDO CON COMPARTIMENTO ENFRIADOR SEPARADO CON ESTANTES DIVISORES Y CAJON PARA VERDURAS COLOR ROJO O VERDE</t>
  </si>
  <si>
    <t xml:space="preserve">LICUADORAS MAX 3 VEL 1100W T/PROFESIONAL </t>
  </si>
  <si>
    <t>VENTILADOR DE PEDESTAL ASPAS METALICAS DE 18"</t>
  </si>
  <si>
    <t>SISTEMA DE MICROFONIA VOCAL INALAMBRICO DE ALTA DEFINICION</t>
  </si>
  <si>
    <t>VIDEO PROYECTOR MULTIMEDIA (CAÑON)</t>
  </si>
  <si>
    <t>EQUIPO E INSTRUMENTAL MEDICO Y DE LABORATORIO</t>
  </si>
  <si>
    <t>EQUIPO MEDICO Y DE LABORATORIO</t>
  </si>
  <si>
    <t>CAJA DE PRUEBAS 75*35*5,5CM. COMPONENTES 160* LENTE DE ESFERA.</t>
  </si>
  <si>
    <t xml:space="preserve">UNIDAD OPTOMETRICA/ OFTALMOLOGICA OC-03 </t>
  </si>
  <si>
    <t>EQUIPO DE DIAGNÒSTICO OFTÀLMOLOGICO 3.5V WEA 183220C</t>
  </si>
  <si>
    <t>ARILLO DE PLÁSTICO 5/16 PAQ. CON 25</t>
  </si>
  <si>
    <t>ARILLO DE PLÁSTICO 5/8 PAQ. CON 25</t>
  </si>
  <si>
    <t>ARILLO DE PLÁSTICO 7/16 PAQ. CON 25</t>
  </si>
  <si>
    <t>CLIPS JUMBO C/100 PZAS</t>
  </si>
  <si>
    <t>7 ARCHIVOS</t>
  </si>
  <si>
    <t>ROLLO DE CINTA ANTIDERRAPANTE</t>
  </si>
  <si>
    <t>PAPEL BOND BLANCO DE 70X95 CM DE 50 GK</t>
  </si>
  <si>
    <t>PAPEL BOND COLOR AZUL DE 70 X 95 DE 50 KG</t>
  </si>
  <si>
    <t>PAPEL MINAGRIS 70X95 CM</t>
  </si>
  <si>
    <t>PLIEGO DE PAPEL AUTOCOPIABLE ORIGINAL BLANCO DE 70 X 95</t>
  </si>
  <si>
    <t>PLIEGO DE PAPEL AUTOCOPIABLE INTERMEDIO AZUL DE 70 X 95</t>
  </si>
  <si>
    <t>PLIEGO DE PAPEL AUTOCOPIALBLE FINAL AMARILLO DE 70 X 95</t>
  </si>
  <si>
    <t>SOBRE BLANCO IMPRESO C/500</t>
  </si>
  <si>
    <t>TORRE DE CD REGRABABLE CON 50 PZAS</t>
  </si>
  <si>
    <t>PAQUETE DE ESCALA DE SOCIALIZACIÓN PARENTAL EN LA ADOLESCENCIA C/25 PIEZAS</t>
  </si>
  <si>
    <t>PAQUETE DE SISTEMA DE EVALUACIÓN CUANTITATIVO DEL ABUSO C/25 PIEZAS</t>
  </si>
  <si>
    <t>PAQUETE DE ESCALA DE SATISFACCIÓN FAMILIAR POR ADJETIVOS.  C/25 PIEZAS</t>
  </si>
  <si>
    <t>PAQUETE DE HOJAS DE RESPUESTA INVENTARIO MULKTIFACETICO DE LA PERSONALIDAD MMPI-2RF</t>
  </si>
  <si>
    <t>PAQUETE DE CREDITOS Y HOJAS DE RESPUESTA CUIDA C/25 PIEZAS</t>
  </si>
  <si>
    <t>PAQUETE DE KIT DE CORRECCIÓN (25 HOJAS) PIN CUESTIONARIO DE EVALUACIÓN DE ADOPTANTES CUIDA</t>
  </si>
  <si>
    <t>TRAPEADOR CABO MADERA</t>
  </si>
  <si>
    <t>ESCOBA ABANICO CABO A</t>
  </si>
  <si>
    <t>RECOGEDOR CON BASTON DE PLASTICO</t>
  </si>
  <si>
    <t>PASTILLA PARA BAÑO</t>
  </si>
  <si>
    <t>LIQUIDO DESENGRASANTE</t>
  </si>
  <si>
    <t>ESPONJA JUMBO</t>
  </si>
  <si>
    <t>GEL ABRILLANTADOR DE LLANTAS 1 KG ALMOROL</t>
  </si>
  <si>
    <t>LIQUIDO PARA CRISTALES</t>
  </si>
  <si>
    <t>LUBRIVINIL INTERIORES ALMOROL 1 LT</t>
  </si>
  <si>
    <t>CEPILLO PVC 10 CTR</t>
  </si>
  <si>
    <t>LUSTRADOR PARA MUEBLES  EN AEROSOL DE 378 ML</t>
  </si>
  <si>
    <t xml:space="preserve">DESINFECTANTE AMBIENTAL EN AEROSOL  DE 475 GR </t>
  </si>
  <si>
    <t>LIJA PARA AGUA 220</t>
  </si>
  <si>
    <t>JALADOR DE AGUA PARA PISO</t>
  </si>
  <si>
    <t>AROMATIZANTE AMBIENTAL 1 LT</t>
  </si>
  <si>
    <t>AROMATIZANTE AMBIENTAL DE 400 ML. SPRAY (AROMA CARICIAS DE ALDODÓN, PARAIZO AZUL)</t>
  </si>
  <si>
    <t>5 ARCHIVOS</t>
  </si>
  <si>
    <t>PAÑO MICROFIBRA AMARILLO P/CARRO</t>
  </si>
  <si>
    <t>BOLSA DE ESTOPA</t>
  </si>
  <si>
    <t>JUEGOS EDUCATIVOS DIDACTICOS DE MADERA</t>
  </si>
  <si>
    <t>AGUA EMBOTELLADA DE 330ML</t>
  </si>
  <si>
    <t xml:space="preserve">AZUCAR REFINADA CAJA CON 100 SOBRES </t>
  </si>
  <si>
    <t>CAJA DE AZUCAR REFINADA CAJA CON 1000 SOBRES DE 5 GR</t>
  </si>
  <si>
    <t>GARRAFONES DE AGUA 20 LTS</t>
  </si>
  <si>
    <t>REFRESCOS DE 2 LTS</t>
  </si>
  <si>
    <t>SURTIDO DE GALLETA</t>
  </si>
  <si>
    <t>SUSTITUTO DE AZUCAR PAQ. CON 100 SOBRES DE 1 GR</t>
  </si>
  <si>
    <t xml:space="preserve">SUSTITUTO DE CREMA PARA CAFÉ EN POLVO CAJA CON 200 SOBRES </t>
  </si>
  <si>
    <t xml:space="preserve">CUCHARAS MEDIANAS PAQ. CON 50  </t>
  </si>
  <si>
    <t>VASO DESECHABLE #10 CON 50 PZAS</t>
  </si>
  <si>
    <t>24101</t>
  </si>
  <si>
    <t>SANITARIO ONE PEACE DE 3.8 LT. BLANCO</t>
  </si>
  <si>
    <t>24201</t>
  </si>
  <si>
    <t>CEMENTO GRIS  DE 50 KG.</t>
  </si>
  <si>
    <t>CEMENTO BLANCO DE 25 KG.</t>
  </si>
  <si>
    <t>SACO DE PEGAZULEJO DE 20 KG.</t>
  </si>
  <si>
    <t>PLAFON ACUSTICO DE LANA MINERAL CAJA CON 16 PZ.</t>
  </si>
  <si>
    <t>24301</t>
  </si>
  <si>
    <t>24401</t>
  </si>
  <si>
    <t>MADERA DE PINO DE PRIMERA  PIE</t>
  </si>
  <si>
    <t>CIMBRAPLAY PINO DE 1.22 X  2.44 DE 15 MM</t>
  </si>
  <si>
    <t>24402</t>
  </si>
  <si>
    <t>PUERTA DE TAMBOR .90 X 2.13 MT.</t>
  </si>
  <si>
    <t>BATERIA AAA</t>
  </si>
  <si>
    <t>BATERIA AA</t>
  </si>
  <si>
    <t>CABLE USO RUDO 2 X 12 C/ 100 MTS.</t>
  </si>
  <si>
    <t>CABLE USO RUDO 2 X 14C/ 100 MTS.</t>
  </si>
  <si>
    <t>CABLE DUPLEX CAL. 14 ROLLO C/ 100 MTS.</t>
  </si>
  <si>
    <t>CABLE SENCILLO NO. 10 ROLLO C/100 MTS.</t>
  </si>
  <si>
    <t>CABLE SENCILLO NO. 12 ROLLO C/100 MTS.</t>
  </si>
  <si>
    <t>CONTACTO SENCILLO ROYER 100</t>
  </si>
  <si>
    <t>CONTACTOR 3X40 BOBINA 220</t>
  </si>
  <si>
    <t>FOTOCELDA MONTAJE DE MEDIA VUELTA, TENCION COD.47228</t>
  </si>
  <si>
    <t>PLACA DE 2 VENTANAS ROYER 100</t>
  </si>
  <si>
    <t>PLACA DE 3 VENTANAS ROYER 100</t>
  </si>
  <si>
    <t>PLACA C/3 CONTACTOS ROYER 100</t>
  </si>
  <si>
    <t>PLACA C/1 CONTACTO+ TIERRA ROYER 100</t>
  </si>
  <si>
    <t>REFLECTOR ULTRA DELGADO LED DE 100 W COD.28016</t>
  </si>
  <si>
    <t>CAJA VISIBLE PARA CONTACTO</t>
  </si>
  <si>
    <t>CLAVIJA INDUSTRIAL  COD.46202</t>
  </si>
  <si>
    <t>CLAVIJA SENCILLA DE HULE</t>
  </si>
  <si>
    <t>INTERRUPTOR TERMOMAGNETICO SQUARDE 2X40 A</t>
  </si>
  <si>
    <t>LAMPARA LED T8 21 W DE 2 PIN</t>
  </si>
  <si>
    <t>TUBO LED T8 18 W BASE G13 PANTALLA DE POLICARBONATO COD.22045</t>
  </si>
  <si>
    <t>GRAPA PARA CABLE PKT C/100 PZS.</t>
  </si>
  <si>
    <t>FOCO LED DE 10 W LUZ BLANCA COD. 28006</t>
  </si>
  <si>
    <t xml:space="preserve">TORNILLO MULTIUSOS </t>
  </si>
  <si>
    <t>BROCA PARA CONCRETO DE 1/4 X 4" COD.11203</t>
  </si>
  <si>
    <t>BROCA ALTA VELOCIDAD DE 1/4" COD. 11134</t>
  </si>
  <si>
    <t>TUERCA DE 3/8" COD.44550</t>
  </si>
  <si>
    <t>CLAVO PARA CONCRETO  1 1/2 KG</t>
  </si>
  <si>
    <t>CLAVO STÁNDAR DE 2 1/2 " KG</t>
  </si>
  <si>
    <t>JUEGO DE BROCA PALETA PARA MADERA COD.11395</t>
  </si>
  <si>
    <t xml:space="preserve">JUEGO DE HERRAJE CERO FUGA PARA W.C </t>
  </si>
  <si>
    <t>PASTA PARA SOLDAR DE 30 GR. COD.19338</t>
  </si>
  <si>
    <t>24702</t>
  </si>
  <si>
    <t>24703</t>
  </si>
  <si>
    <t>ALAMBRE RECOCIDO</t>
  </si>
  <si>
    <t xml:space="preserve">ABRAZADERA SIN FIN 1/2" </t>
  </si>
  <si>
    <t>ABRAZADERA METALICA OMEGA 3/4"</t>
  </si>
  <si>
    <t>PIEZA T DE 1/2 DE COBRE</t>
  </si>
  <si>
    <t>POLIN MONTEN DE 3" X 6.10 CAL 14</t>
  </si>
  <si>
    <t>POSTES METALICOS PTR 4 X 4 CAL. 11 TRAMO DE 6 MT.</t>
  </si>
  <si>
    <t xml:space="preserve">PERSIANAS </t>
  </si>
  <si>
    <t>TRIPLAY CAOBILLA 1.22 X 2.44 DE 18 MM</t>
  </si>
  <si>
    <t>TRIPLAY CAOBILLA 1.22 X 2.44 DE 15 MM</t>
  </si>
  <si>
    <t>TRIPLAY CAOBILLA 1.22 X 2.44 DE 12 MM</t>
  </si>
  <si>
    <t>TRIPLAY CAOBILLA 1.22 X 2.44 DE 6MM</t>
  </si>
  <si>
    <t>TUBO CPC 1"</t>
  </si>
  <si>
    <t>TUBO CPVC 1/2</t>
  </si>
  <si>
    <t>TUBO CPVC 3/4</t>
  </si>
  <si>
    <t>TUBOS 1/2 DE 6 MTS</t>
  </si>
  <si>
    <t>CONECTORES ROSCA INTERIOR DE 1/2</t>
  </si>
  <si>
    <t>CODOS DE 1/2 9'</t>
  </si>
  <si>
    <t>CONECTORES DE 1" ROSCA INTERIOR T PLUS</t>
  </si>
  <si>
    <t>CONECTOR DE ROSCA EXTERIOR T PLUS</t>
  </si>
  <si>
    <t>CONECTOR ROSCA DE 1/2</t>
  </si>
  <si>
    <t>CODO DE 1/2" X 90 CPVC</t>
  </si>
  <si>
    <t xml:space="preserve">TUBO DE 2" X 6 MTS. PVC SANITARIO </t>
  </si>
  <si>
    <t>CODO CPC 1"</t>
  </si>
  <si>
    <t>CODO COPC 1/2</t>
  </si>
  <si>
    <t>CODO CPVC 3/4</t>
  </si>
  <si>
    <t>T CPVC 1"</t>
  </si>
  <si>
    <t>T CPVC 1/2</t>
  </si>
  <si>
    <t>COPLE CPVC 1"</t>
  </si>
  <si>
    <t>COPLE CPVC 1/2</t>
  </si>
  <si>
    <t>COPLE CPVC 3/4</t>
  </si>
  <si>
    <t>CONECTOR CPVC 1/2</t>
  </si>
  <si>
    <t>CONECTOR CPVC 3/4</t>
  </si>
  <si>
    <t>CONECTOR CPVC 1"</t>
  </si>
  <si>
    <t>MANGUERA DE 1" ROLLO CON 100 METROS</t>
  </si>
  <si>
    <t>CINTA TEFLON 3/4 X 7M COD.12521</t>
  </si>
  <si>
    <t>CINTA DE DUCTO 48 MM X 30M COD. 12587</t>
  </si>
  <si>
    <t xml:space="preserve">CINTA TEFLON 1/2" </t>
  </si>
  <si>
    <t>LIJA DE LONA PAQ. CON 25 PZAS</t>
  </si>
  <si>
    <t>LIJA PARA MADERA PKT. CON 50 PZAS</t>
  </si>
  <si>
    <t>CINTA MASKING TAPE DE 1" X 50 M COD.12591</t>
  </si>
  <si>
    <t>PEGAMENTO BLANCO 850</t>
  </si>
  <si>
    <t xml:space="preserve">AEROSOL SECADO RAPIDO DORADO </t>
  </si>
  <si>
    <t>AEROSOL SECADO RAPIDO MORADO</t>
  </si>
  <si>
    <t xml:space="preserve">AEROSO SECADO RAPIDO ROSA </t>
  </si>
  <si>
    <t xml:space="preserve">AEROSOL SECADO RAPIDO VERDE ECOLOGICO </t>
  </si>
  <si>
    <t xml:space="preserve">ESMALTE ANTI CORROSIVO SECADO RAPIDO LITRO </t>
  </si>
  <si>
    <t>PEGAMENTO CONTACTO  VL 2000</t>
  </si>
  <si>
    <t>AEROSOL SECADO RAPIDO NARANJA COD.19037</t>
  </si>
  <si>
    <t>AEROSOL SECADO RAPIDO ROJO COD.12732</t>
  </si>
  <si>
    <t>FONDO DE POLIURETANO PARA MADERA</t>
  </si>
  <si>
    <t>PASTA AUTOMO. CON CATALIZADOR LT</t>
  </si>
  <si>
    <t>ESPUMA DE POLIURETANO SELLADORA 500 ML. COD. 10920</t>
  </si>
  <si>
    <t>PEGAMENTO CPVC DE 475 ML.</t>
  </si>
  <si>
    <t>SILICON TRANSPARENTE TUBO 300 ML.</t>
  </si>
  <si>
    <t>FAENA</t>
  </si>
  <si>
    <t>FERTILIZANTE PARA PASTO</t>
  </si>
  <si>
    <t>GAS REFRIGERANTE DE 13.6 KG.</t>
  </si>
  <si>
    <t>ACEITE PARA COMPRESOR</t>
  </si>
  <si>
    <t>BLUSA MUJER</t>
  </si>
  <si>
    <t>CAMISA PARA HOMBRE</t>
  </si>
  <si>
    <t>PLAYERA  TIPO POLO</t>
  </si>
  <si>
    <t>MANDIL</t>
  </si>
  <si>
    <t>CAMISA DE MEZCLILLA PARA HOMBRE</t>
  </si>
  <si>
    <t>CAMISA MANGA LARGA</t>
  </si>
  <si>
    <t>CAMISA MANGA CORTA</t>
  </si>
  <si>
    <t xml:space="preserve">CAMISAS TIPO POLO </t>
  </si>
  <si>
    <t xml:space="preserve">BATA </t>
  </si>
  <si>
    <t>FILIPINA</t>
  </si>
  <si>
    <t>CAMISA DE MEZCLILLA</t>
  </si>
  <si>
    <t xml:space="preserve">LENTE DE PROTECCION TRANSPARENTE </t>
  </si>
  <si>
    <t>BOTA DE HULE JARDINERA DIF. NUMEROS</t>
  </si>
  <si>
    <t>CAUTIN DE PISTOLA DE 100-140 W.COD 17548</t>
  </si>
  <si>
    <t>CUTTER DE 25 MM COD. 17901</t>
  </si>
  <si>
    <t>DISCO CORTE DE METAL 4 1/2"</t>
  </si>
  <si>
    <t>LLAVE INDIVIDUAL P/ LAVABO PKT C/2 PZAS COD. 49234</t>
  </si>
  <si>
    <t>PINZA MECANICA DE 10" COD. 17302</t>
  </si>
  <si>
    <t>PINZA CORTE DIAGONAL PARA ALAMBRE DE 8" COD. 12353</t>
  </si>
  <si>
    <t>TIJERA HOJALATERA 10" COD. 18501</t>
  </si>
  <si>
    <t>LLAVE AJUSTABLE DE 12" COD. 15512</t>
  </si>
  <si>
    <t>KIT DE 3 FORMON PARA CARPINTERO COD. 17759</t>
  </si>
  <si>
    <t>ESCUADRA CARPINTERO 10" COD. 14374</t>
  </si>
  <si>
    <t>LIMA PLANA DE 6" COD.15140</t>
  </si>
  <si>
    <t>LIMA DE TRIANGULO DE 8" COD. 10922</t>
  </si>
  <si>
    <t>LIMA REDONDA 8" COD. 15316</t>
  </si>
  <si>
    <t>LLAVE TELESCOPICA (PLOMERO) CD.12874</t>
  </si>
  <si>
    <t xml:space="preserve">COPLE RAPIDO PARA MANGUERA DE COMPRESOR HEMBRA </t>
  </si>
  <si>
    <t xml:space="preserve">COPLE RAPIDO PARA MANGUERA DE COMPRESOR MACHO </t>
  </si>
  <si>
    <t>COPLE SHUT PARA MAGUERA HEMBRA COD. 27028</t>
  </si>
  <si>
    <t>COPLE SHUT PARA MAGUERA MACHO COD. 19085</t>
  </si>
  <si>
    <t>JUEGO DE LLAVES MECANICAS 3 PIEZAS COD.23976</t>
  </si>
  <si>
    <t>MARRO OCTAGONAL DE 14 LBS. COD. 16514</t>
  </si>
  <si>
    <t>CERRADURA DE BARRA LIBRE  IZQ. HERMEX COD.43518</t>
  </si>
  <si>
    <t>CESPOL FLEXIBLE TIPO P P/ LAVABO</t>
  </si>
  <si>
    <t>LLAVE INDIVIDUAL PARA LAVABO COD.49234 PKT C/2 PZS.</t>
  </si>
  <si>
    <t>LLAVE COMPUERTA DE 1/2 COBRE</t>
  </si>
  <si>
    <t>LLAVE DE COMPUERTA DE 1" T PLUS</t>
  </si>
  <si>
    <t>BISAGRA DE LIBRO 3"X3" COD. 28800</t>
  </si>
  <si>
    <t>BISAGRA BI-DIMENCIONAL COD.43157 PKT. C/ 2</t>
  </si>
  <si>
    <t>BISABRA DE BARRIL O TUBULAR 1/2 COD. 44636</t>
  </si>
  <si>
    <t>JALADERA DE METAL PARA MUEBE COD.43827</t>
  </si>
  <si>
    <t>CORREDERA METALICA DE EXTENCION 40 CM. COD.43272</t>
  </si>
  <si>
    <t>CANDADO DE HIERRO 45 MM COD.43319</t>
  </si>
  <si>
    <t>CANDADO DE HIERRO COLOR LATON 50 MM COD.23519</t>
  </si>
  <si>
    <t>CANDADO ANTIPALANCA 50 MM COD. 22515</t>
  </si>
  <si>
    <t>CANDADO ANTIPALANCA 50 MM CUERPO DE LATON COD.43355</t>
  </si>
  <si>
    <t>CERRADURA PARA MUEBLE MOD. 25 LATON COD.43567</t>
  </si>
  <si>
    <t>CERRADURA PARA MUEBLE MOD. 26 LATON COD.43568</t>
  </si>
  <si>
    <t>CERRADURA PARA MUEBLE MOD. 20 LATON COD.43569</t>
  </si>
  <si>
    <t>TAQUETE DE PLASTICO DE 1/4"</t>
  </si>
  <si>
    <t>PIJA CABEZA EXAGONAL PUNTA DE BROCA 14 X 1" COD.44406</t>
  </si>
  <si>
    <t>PIJA MULTIUSO 6 X 1 1/4" BOLSA C/200</t>
  </si>
  <si>
    <t>PIJA PARA TABLARROCA 8 X 1 1/2 COD.40069 BOLSA C/100 PZAS</t>
  </si>
  <si>
    <t xml:space="preserve">ARANDELA PLANA GALVANIZADA DE 3/8" COD. 44545 </t>
  </si>
  <si>
    <t>RONDANA DE PRESION 3/8" COD. 44688</t>
  </si>
  <si>
    <t>REMACHE 1/8" C 5/16" COD.44521</t>
  </si>
  <si>
    <t>CEPILLO MANUAL PARA MADERA NO. 5 COD.12015</t>
  </si>
  <si>
    <t>RODAJA PLASTICO C/ PLACA 50 MM P/SILLA  COD.44389</t>
  </si>
  <si>
    <t>MEMORIA RAM DDR 3 DE 4 GB</t>
  </si>
  <si>
    <t>MOUSE ALAMBRICO USB</t>
  </si>
  <si>
    <t>MOUSE USB OPTICO</t>
  </si>
  <si>
    <t>LLANTA NEUMATICA COMPLETA DE 16" COD.11852</t>
  </si>
  <si>
    <t>CAMARA PARA LLANTA DE 16" P/ CARRETILLA COD.11856</t>
  </si>
  <si>
    <t>FLOREROS</t>
  </si>
  <si>
    <t>MACETAS</t>
  </si>
  <si>
    <t>MACETEROS</t>
  </si>
  <si>
    <t>SERVICIO DE INTERNET</t>
  </si>
  <si>
    <t>SERVICIO MENSUAL DE 21 EQUIPO DE FOTOCOPIADO</t>
  </si>
  <si>
    <t>IMPRESIÓN DE ROTULOS</t>
  </si>
  <si>
    <t>IMPRESIONES DE LONAS</t>
  </si>
  <si>
    <t>MODIFICACION LEYES CONVENIOS DIF</t>
  </si>
  <si>
    <t xml:space="preserve">MANTENIMIENTO DE SANITARIOS </t>
  </si>
  <si>
    <t>SERVICIO DE CERRAJERIA</t>
  </si>
  <si>
    <t>SERVICIOS DE IMPERMEABILIZACIÓN</t>
  </si>
  <si>
    <t>RECARGA DE EXTINTOR CON CAP. DE 9 KG. DE POLVO QUIMICO SECO TIPO ABC   (GARANTIZADO POR UN AÑO)</t>
  </si>
  <si>
    <t>RECARGA DE EXTINTOR CON CAP. DE 6 KG. DE POLVO QUIMICO SECO TIPO ABC   (GARANTIZADO POR UN AÑO)</t>
  </si>
  <si>
    <t>MANTENIMIENTO DE EXTINTOR CON CAP.  DE 2.3 KG. DE CO2</t>
  </si>
  <si>
    <t xml:space="preserve">MANTENIMIENTO DE EXTINTOR CON CAP. DE 4.5 KG  A BASE DE GAS HFC-236 </t>
  </si>
  <si>
    <t>MANTENIMIENTO DE EXTINTOR CON CAP. DE 2.5 KG  A BASE DE GAS HFC-236</t>
  </si>
  <si>
    <t>MANTENIMIENTO DE EXTINTOR CON CAP.  DE 4.5  KG. DE CO2</t>
  </si>
  <si>
    <t>RECARGA DE EXTINTOR CON CAP. DE 4.5 KG. DE POLVO QUIMICO SECO TIPO ABC   (GARANTIZADO POR UN AÑO)</t>
  </si>
  <si>
    <t>RECARGA DE EXTINTOR CON CAP. DE 1 KG. DE POLVO QUIMICO SECO TIPO ABC   (GARANTIZADO POR UN AÑO)</t>
  </si>
  <si>
    <t>RECARGAS DE EXTINTOR CON CAP. DE 10 LTS. A BASE DE AGUA LIGERA   (GARANTIZADO POR UN AÑO)</t>
  </si>
  <si>
    <t>MANTENIMIENTO DE EXTINTOR CON CAP. DE 4.5 KG  A BASE DE GAS HFC-236</t>
  </si>
  <si>
    <t>RECARGA DE EXTINTOR CON CAP. DE  6 KG. DE POLVO QUIMICO SECO TIPO ABC   (GARANTIZADO POR UN AÑO)</t>
  </si>
  <si>
    <t>RECARGA DE EXTINTOR CON CAP. DE  9  KG. DE POLVO QUIMICO SECO TIPO ABC   (GARANTIZADO POR UN AÑO)</t>
  </si>
  <si>
    <t>MANTENIMIENTO DE EXTINTOR CON CAP. DE 2.5 KG A BASE DE GAS HFC-236</t>
  </si>
  <si>
    <t>RECARGA DE EXTINTOR CON CAP. DE  6  KG. DE POLVO QUIMICO SECO TIPO ABC   (GARANTIZADO POR UN AÑO)</t>
  </si>
  <si>
    <t>RECARGA DE EXTINTOR CON CAP. DE  4.5   KG. DE POLVO QUIMICO SECO TIPO ABC   (GARANTIZADO POR UN AÑO)</t>
  </si>
  <si>
    <t>MANTENIMIENTO DE EXTINTOR CON CAP. DE 6  KG  A BASE DE GAS HFC-236</t>
  </si>
  <si>
    <t>MANTENIMIENTO PREVENTIVO DE BOMBA DE AGUA</t>
  </si>
  <si>
    <t>MANTENIMIENTO PREVENTIVO DE PODADORA Y DESBROZADORA</t>
  </si>
  <si>
    <t>MANTENIMIENTO DE ELEVADOR</t>
  </si>
  <si>
    <t>MANTENIMIENTO PREVENTIVO INTEGRAL A SISTEMA DE AIRE ACONDICIONADO TIPO MINI SPLIT DE 1 A 2 TONELADAS A 220 VOLTS</t>
  </si>
  <si>
    <t>MANTENIMIENTO PREVENTIVO INTEGRAL A SISTEMA DE AIRE ACONDICIONADO TIPO  PAQUETE DE  5 TONELADAS A 220 VOLTS</t>
  </si>
  <si>
    <t>MANTENIMIENTO PREVENTIVO  INTEGRAL A SISTEMA DE AIRE ACONDICIONADO TIPO FAN &amp; COIL DE 2 TONELADAS A 220 VOLTS</t>
  </si>
  <si>
    <t>CAMBIO DE MOTOR DE VENTILADOR A SISTEMA DE AIRE ACONDICIONADO TIPO PAQUETE</t>
  </si>
  <si>
    <t>INSTALACIÓN DE SISTEMA EVAPORADOR DE SISTEMA DE AIRE ACONDICIONADO TIPO MINI SPLIT</t>
  </si>
  <si>
    <t>SUMINISTRO Y COLOCACIÓN DE KIT DE ARRANQUE A SISTEMA DE AIRE ACONDICIONADO TIPO MINI SPLIT DE 1 TONELADA A 220 VOLTS</t>
  </si>
  <si>
    <t>ARCHIVERO DE MADERA</t>
  </si>
  <si>
    <t>ESCRITORIOS DE MADERA</t>
  </si>
  <si>
    <t xml:space="preserve">COMPUTADORA DE ESCRITORIO CON MONITOR FULL 21" CON PROCESADOR INTEL I5, CON ITB Y DISCO DURO SSD DE 240 GB Y 8 GB RAM </t>
  </si>
  <si>
    <t>OTROS EQUIPOS DE MANTENIMIENTO Y SEGURIDAD</t>
  </si>
  <si>
    <t xml:space="preserve">EXTINGUIDOR </t>
  </si>
  <si>
    <t>DIABLO DE CARGA 200 KG.</t>
  </si>
  <si>
    <t>PATIN HIDRAULICO MULTIRECCIONAL</t>
  </si>
  <si>
    <t>MAQUINARIA Y EQUIPO AGROPECUARIO</t>
  </si>
  <si>
    <t>MAQUNARIA Y EQUIPO AGROPECUARIO</t>
  </si>
  <si>
    <t>MAQUINARIA, EQUIPO Y HERRAMIENTAS PARA INDUSTRIA</t>
  </si>
  <si>
    <t>BOMBA DE AGUA DE 2 HP</t>
  </si>
  <si>
    <t>HERRAMIENTAS PARA MANTENIMIENTO Y SEGURIDAD</t>
  </si>
  <si>
    <t>PISTOLA DE LAVADO A PRESION</t>
  </si>
  <si>
    <t>4 ARCHIVOS</t>
  </si>
  <si>
    <t>CAJA DE COLORES C/24</t>
  </si>
  <si>
    <t>CALCULADORA DE ESCRITORIO CON IMPRESIÓN EN NEGRO, ROLLO DE 58 X 60 Mn Hr-10Rc, CASIO HR DE 12 DIGITOS</t>
  </si>
  <si>
    <t>CINTA DIUREX 19*33</t>
  </si>
  <si>
    <t xml:space="preserve">MOCHILA PARA LAPTOP </t>
  </si>
  <si>
    <t>PEGAMENTO LIQUIDO BLANCO DE 250 ML</t>
  </si>
  <si>
    <t xml:space="preserve">PERFORADORA DE 3 ORIFICIOS </t>
  </si>
  <si>
    <t>ROTAFOLIO</t>
  </si>
  <si>
    <t>PAPEL BOND CUADRICULADO 90X70</t>
  </si>
  <si>
    <t>PLIEGO DE CARTULINA</t>
  </si>
  <si>
    <t>PAPEL CON DIAMANTINA TODOS LOS COLORES</t>
  </si>
  <si>
    <t>FOAMY PAPEL TODOS LOS COLORES</t>
  </si>
  <si>
    <t>PAPEL CREPE VARIOS COLORES</t>
  </si>
  <si>
    <t>PAPEL CHINA VARIOS COLORES</t>
  </si>
  <si>
    <t>ROLLO DE PAPEL BOND PARA SUMADORA C/6 PZAS</t>
  </si>
  <si>
    <t>BOTELLA DE TINTA COLOR NEGRO HP INK TANK 115</t>
  </si>
  <si>
    <t>BOTELLA DE TINTA COLOR AMARILLO HP INK TANK 115</t>
  </si>
  <si>
    <t>BOTELLA DE TINTA COLOR CIAN HP INK TANK 115</t>
  </si>
  <si>
    <t>BOTELLA| DE TINTA COLOR MAGENTA HP INK TANK 115</t>
  </si>
  <si>
    <t>TONER LASER JET MOD. P1102W</t>
  </si>
  <si>
    <t>TONER</t>
  </si>
  <si>
    <t>ESPUMA LIMPIADORA 454 MG</t>
  </si>
  <si>
    <t>DESTAPACAÑOS LIQUIDO</t>
  </si>
  <si>
    <t>JABÓN DE TOCADOR</t>
  </si>
  <si>
    <t>SHAMPOO LT</t>
  </si>
  <si>
    <t>CEPILLO DENTAL</t>
  </si>
  <si>
    <t>RASTRILLOS DESECHABLES</t>
  </si>
  <si>
    <t>CREMA CORPORAL LT</t>
  </si>
  <si>
    <t xml:space="preserve"> GEL PARA PEINAR DE 70 GR</t>
  </si>
  <si>
    <t>PAÑUELOS FACIALES  C/90 PZAS</t>
  </si>
  <si>
    <t>MATERIAL DIDACTICO PARA PROGRAMA</t>
  </si>
  <si>
    <t>DUO EL JUEGO DE LAS EMOCIONES Y CUENTAME UNA HISTORIA</t>
  </si>
  <si>
    <t>PIÑA DE EMOCIONES Y HABILIDADES SOCIALES</t>
  </si>
  <si>
    <t>JUEGO DIDADCTICO DE EMOCIONES Y SENTIMIENTOS</t>
  </si>
  <si>
    <t>PECHUGA DE POLLO CON HUESO</t>
  </si>
  <si>
    <t>CAFÉ SOLUBLE FRASCO CON 225 GR</t>
  </si>
  <si>
    <t xml:space="preserve">TE DE MANZANILLA CON 200 SOBRES </t>
  </si>
  <si>
    <t>GRANOS DE ELOTE 2.9 KG</t>
  </si>
  <si>
    <t>LECHE DESCREMADA CONDENSADA 375 GR</t>
  </si>
  <si>
    <t>SALCHICHA ESTILO VIENA 3 KG</t>
  </si>
  <si>
    <t xml:space="preserve"> BIBERONES</t>
  </si>
  <si>
    <t>SOQUET SENCILLO SIN ROSCA 660W 127 V NEGRO</t>
  </si>
  <si>
    <t>FOCOS AHORRADORES</t>
  </si>
  <si>
    <t>CONTACTOS MULTIPLES</t>
  </si>
  <si>
    <t>CINTA AISLANTE</t>
  </si>
  <si>
    <t>APAGADORES</t>
  </si>
  <si>
    <t>CAJA PARA CONTACTOS</t>
  </si>
  <si>
    <t>EMPAQUE CONICO PARA WC</t>
  </si>
  <si>
    <t>MANGUERA DE ALIMENTACION  GRIS 1/2 X 1/2 X 40 CM</t>
  </si>
  <si>
    <t>MANGUERA GRIS 1/2 X 1/2 X 35 CM</t>
  </si>
  <si>
    <t>GEL ANTIBACTERIAL C/20 LT</t>
  </si>
  <si>
    <t>OMEPRAZOL CAPS. 20 MG.</t>
  </si>
  <si>
    <t>TRIMEBUTINA COMPUESTA 200 MG</t>
  </si>
  <si>
    <t xml:space="preserve">PARACETAMOL TAB 500 MG C/20 TABLETAS   </t>
  </si>
  <si>
    <t xml:space="preserve">KETOROLAKO 10 MG C/10 TABLETAS   </t>
  </si>
  <si>
    <t>ROSEL-T JARABE 30G/0.5G/0.2G  C/60 ML</t>
  </si>
  <si>
    <t>COMPLEJO B KETOPROFENO 100/50/5/100 MG  C/30 TABLETAS</t>
  </si>
  <si>
    <t>COMPLEJO 8 CON DICLOFENACO 50/50/1.00 MG  C/30 TABLETAS</t>
  </si>
  <si>
    <t xml:space="preserve">SULFAMETOXAZOL, TRIMETROPIMA SUSP. 120  ML   </t>
  </si>
  <si>
    <t xml:space="preserve">CEFALEXINA SUSP. 250 MG   </t>
  </si>
  <si>
    <t xml:space="preserve">BUTHILLOCINA 10 MG C/10 TABLETAS   </t>
  </si>
  <si>
    <t xml:space="preserve">LORATADINA 10 MG  C/10 TABLETAS   </t>
  </si>
  <si>
    <t xml:space="preserve">IBUPROFENO SUSPENSION 100 ML   </t>
  </si>
  <si>
    <t xml:space="preserve"> GASAS ESTERILIZADAS CAJA C/100 PZAS.</t>
  </si>
  <si>
    <t>AGUA OXIGENADA 750 ML</t>
  </si>
  <si>
    <t>ALGODÓN BOLSA 500 G.</t>
  </si>
  <si>
    <t xml:space="preserve"> VENDAS 5 CM.</t>
  </si>
  <si>
    <t>TERMÓMETRO DE MERCURIO</t>
  </si>
  <si>
    <t xml:space="preserve"> TERMOMETRO DIGITAL</t>
  </si>
  <si>
    <t xml:space="preserve"> GUANTES DE LATEX MEDIANOS C/50 PARES</t>
  </si>
  <si>
    <t>CUBREBOCAS  C/50 PZAS.</t>
  </si>
  <si>
    <t>ISODINE SOLUCION DE 3.5 LT.</t>
  </si>
  <si>
    <t>PLASTICO NEGRO DE 347 X 12 MTS.</t>
  </si>
  <si>
    <t>BOLSA TRANPARENTE DE 35X45 CMS. (Plastico)</t>
  </si>
  <si>
    <t>EMPLAYE</t>
  </si>
  <si>
    <t>CUERDA USO RUDO 8 MM</t>
  </si>
  <si>
    <t xml:space="preserve"> ZAPATOS DIFERENTES MEDIDAS</t>
  </si>
  <si>
    <t>FALDAS DIFERENTES TALLAS</t>
  </si>
  <si>
    <t xml:space="preserve"> PANTALONES DIFERENTES TALLAS</t>
  </si>
  <si>
    <t>PAÑAL GRANDE</t>
  </si>
  <si>
    <t xml:space="preserve"> ROPA INTERIOR </t>
  </si>
  <si>
    <t>BLUSAS DIFERENTES TALLAS</t>
  </si>
  <si>
    <t>CAMISAS DIFERENTES TALLAS</t>
  </si>
  <si>
    <t xml:space="preserve">GORRAS </t>
  </si>
  <si>
    <t xml:space="preserve"> GUANTES DE LATEX PARA LIMPIEZA DIFERENTES TALLAS</t>
  </si>
  <si>
    <t>CINTA  DE ADVERTENCIA PRECAUCION AMARILLO</t>
  </si>
  <si>
    <t>CONO DE TRANSITO DE 71 CMS COLOR NARANJA</t>
  </si>
  <si>
    <t>PALANCA PARA W.C. METALICA</t>
  </si>
  <si>
    <t xml:space="preserve"> CERRADURA PARA PUERTA</t>
  </si>
  <si>
    <t>MANGUERAS PARA W.C.</t>
  </si>
  <si>
    <t>MAGUERA PARA LAVABO</t>
  </si>
  <si>
    <t xml:space="preserve"> LLAVE MEZCLADORA PARA LAVABO</t>
  </si>
  <si>
    <t>CABLE USB MACHO A USB HEMBRA</t>
  </si>
  <si>
    <t>FUENTE DE PODER PARA CPU DE 500 W</t>
  </si>
  <si>
    <t>MINI HUB PARA USB 2.0 CON 4 PUERTOS</t>
  </si>
  <si>
    <t>NO BREAK C/ REG Y SUP T1500 RESP 55MIN 700W</t>
  </si>
  <si>
    <t>REPETIDOR PARA WIFI</t>
  </si>
  <si>
    <t>DISEÑO DE ENTRENAMIENTO NEURO EMOCIONAL</t>
  </si>
  <si>
    <t>CUADERNILLO MEDIA CUARTILLA DE CUATRO HOJAS</t>
  </si>
  <si>
    <t>DIPTICOS DE PAPEL COUCHE</t>
  </si>
  <si>
    <t>LONAS IMPRESAS DE 60X90</t>
  </si>
  <si>
    <t>MANTENIMIENTO A CORTINA DE FIERRO.</t>
  </si>
  <si>
    <t>SERVICIOS DE FUMIGACION EN TODO PERTENECIENTE A DIF</t>
  </si>
  <si>
    <t>LONA TIPO BANNER DE NOMBRE INSTITUCIONAL DEL PROGRAMA DE ALIMENTACIÓN (78X175 CM)</t>
  </si>
  <si>
    <t>LONA TIPO BANNER DE AVISO DE PRIVACIDAD DE DATOS PERSONALES (78X175CM)</t>
  </si>
  <si>
    <t>LONA INSTITUCIONAL DEL PROGRAMA ALIMENTARIO PARA EVENTOS (244X488 CM)</t>
  </si>
  <si>
    <t>ARAÑA PUBLICITARIA 80X 180 CMS MURO PLEGABLE DE PARED DE ARAÑA</t>
  </si>
  <si>
    <t>SERVICIOS ESPECIALES MEDICOS</t>
  </si>
  <si>
    <t>KIT DE TECLADO Y MOUSE INALAMBRICO, CREATOR MK215/USB/105 TECLAS WINDOWS XP Y POSTERIORES/800 DPI/COLOR NEGRO</t>
  </si>
  <si>
    <t>CINTA MASKING TAPE 12MM X 50MT</t>
  </si>
  <si>
    <t>CEPILLO DE DIENTES PARA BEBE</t>
  </si>
  <si>
    <t>CORTA UÑAS CHICO</t>
  </si>
  <si>
    <t>CORTA UÑAS PEDIÁTRICO</t>
  </si>
  <si>
    <t>COTONETES C/200 PZAS.</t>
  </si>
  <si>
    <t>CREMA CORPORAL 1 LT</t>
  </si>
  <si>
    <t>CREMA PARA BEBÉ 200 ML</t>
  </si>
  <si>
    <t>CREMA PARA PEINAR D/135 ML</t>
  </si>
  <si>
    <t>GEL PARA CABELLO 1KG</t>
  </si>
  <si>
    <t>JABÓN DE TOCADOR D/150 GR</t>
  </si>
  <si>
    <t>JABÓN DE TOCADOR PARA BEBÉ D/30 GR</t>
  </si>
  <si>
    <t>LOCIÓN PARA BEBÉ 200ML</t>
  </si>
  <si>
    <t>PASTA DENTAL INFANTIL</t>
  </si>
  <si>
    <t>SHAMPOO 1 LT</t>
  </si>
  <si>
    <t>SHAMPOO P/BEBÉ 1 LT</t>
  </si>
  <si>
    <t>SHAMPOO P/PIOJOS 1 LT</t>
  </si>
  <si>
    <t>TALCO DESODORANTE PARA PIES 330GR.</t>
  </si>
  <si>
    <t>TALCO PARA BEBÉ 200GR.</t>
  </si>
  <si>
    <t>TOALLA FEMENINA FLUJO MODERADO C/ALAS 10 PZAS</t>
  </si>
  <si>
    <t>TOALLA FEMENINA NOCTURNA C/ALAS 36 PZAS.</t>
  </si>
  <si>
    <t>JERGA</t>
  </si>
  <si>
    <t>GRANOS DE ELOTE 400GR.</t>
  </si>
  <si>
    <t>MANGUERA VERDE TRAMADA DE 1" X 100 MTS.</t>
  </si>
  <si>
    <t>REDIMIX DE 6 KG.</t>
  </si>
  <si>
    <t>RESISTOL BLANCO 850</t>
  </si>
  <si>
    <t>ACRILASTIC BLANCO CARTCHO 300 ML.</t>
  </si>
  <si>
    <t xml:space="preserve">DICLOFENACO  GEL 30 GR </t>
  </si>
  <si>
    <t xml:space="preserve">BUTILHIOSCINA CON PARACETAMOL 10/500 MG  </t>
  </si>
  <si>
    <t xml:space="preserve">BUTHILHIOSCINA 10 MG C/10 TABLETAS   </t>
  </si>
  <si>
    <t xml:space="preserve">NAPROXEN SUSP. 125 MG   </t>
  </si>
  <si>
    <t xml:space="preserve">TRIMEBUTINA SUSP. FRASCO CON GOTERO 30 ML  </t>
  </si>
  <si>
    <t xml:space="preserve">AMOXICILINA, ACIDO CLAVULINICO SUSP. 125 ML   </t>
  </si>
  <si>
    <t>AMOXICILINA /AC. CLAVULANICO  500 MG/125 ML C/15 CAPSULAS</t>
  </si>
  <si>
    <t>AMOXICILINA CAPS 500 MG C/12 CAPSULAS</t>
  </si>
  <si>
    <t>AMOXICILINA SUSP 500 MG. C/75 ML</t>
  </si>
  <si>
    <t>AZITROMICINA 500 MG C/3 TABLETAS</t>
  </si>
  <si>
    <t>CAPTOPRIL 25 MG C/30 TABLETAS</t>
  </si>
  <si>
    <t>CEFALEXINA SUSP 250 MG/5 ML C/100 ML</t>
  </si>
  <si>
    <t>CEFALEXINA CAPS 500 MG C/12 CAPSULAS</t>
  </si>
  <si>
    <t>CIPROFLOXACINO TAB 500 MG C/14 TABLETAS</t>
  </si>
  <si>
    <t>CLARITROMICINA TAB 250 MG.</t>
  </si>
  <si>
    <t>CLINDAMICINA 300 MG C/16 TABLETAS</t>
  </si>
  <si>
    <t>DICLOFENACO 100 MG C/20 TABLETAS</t>
  </si>
  <si>
    <t>DICLOXACILINA 250 MG C/20 CAPSULAS</t>
  </si>
  <si>
    <t>DICLOXACILINA 500 MG C/20 CAPSULAS</t>
  </si>
  <si>
    <t>DICLOXACILINA SUSP 250 MG/5 ML C/60 ML</t>
  </si>
  <si>
    <t>ERITROMICINA SUSP 25 MG/5 ML C/100 ML</t>
  </si>
  <si>
    <t xml:space="preserve">ERITRIMICINA TABP 500 MG C/20 TABLETAS </t>
  </si>
  <si>
    <t>IBUPROFENO SUSP 2 MG/100ML  C/120 ML</t>
  </si>
  <si>
    <t xml:space="preserve">KETOROLAKO 10 MG  C/10 TABLETAS  </t>
  </si>
  <si>
    <t>LOPERAMIDA 2 MG  C/12 TABLETAS</t>
  </si>
  <si>
    <t>LORATADINA 10 MG  C/10 TABLETAS</t>
  </si>
  <si>
    <t>METOCLOPRAMIDA SOLUCION ORAL 400 MG  C/20 ML</t>
  </si>
  <si>
    <t>METOCLOPRAMIDA 10 MG  C/20 TABLETAS</t>
  </si>
  <si>
    <t>NAPROXEN SODICO 250 MG  C/30  TABLETAS</t>
  </si>
  <si>
    <t>NAPROXEN/PARACETAMOL 300/275 MG  C/10 TABLETAS</t>
  </si>
  <si>
    <t>OMEPRAZOL CAPS 20 MG  C/14 TABLETAS</t>
  </si>
  <si>
    <t>PARACETAMOL 500 MG  C/10 TABLETAS</t>
  </si>
  <si>
    <t>PARACETAMOL GOTAS  100 MG/ML  C/30 ML</t>
  </si>
  <si>
    <t>PARACETAMOL JARABE 3.2/100 ML  C/120 ML</t>
  </si>
  <si>
    <t>PIROXICAM 20 MG  C/20 TABLETAS</t>
  </si>
  <si>
    <t>ROSEL-T TAB 50/3/300 MG  C/15 TABLETAS</t>
  </si>
  <si>
    <t>TRIMETOPRIMA/SULFAMETOXAZOL SUSP 40 MG 200 MG/5 ML  120 ML</t>
  </si>
  <si>
    <t>TRIMETOPRIMA/SULFAMETOXAZOL T800 MG/160 MG  C/20 TABLETAS</t>
  </si>
  <si>
    <t>IBUPROFENO 400 MG  C/10 TABLETAS</t>
  </si>
  <si>
    <t>AMANTADINA, CLORFENAMINA, PARACETAMOL (FAYRUS) SOLUCION PEDIATRICA</t>
  </si>
  <si>
    <t>AMBROXOL/DEXTROMETORFANO SOL ADULTO</t>
  </si>
  <si>
    <t>BROMURO DE IPRATROPIO/SALBUTAMOL (LONVITOL) SOL NEBAMP C/10</t>
  </si>
  <si>
    <t>CLORANFENICOL GOTAS OFTALMICAS 15 ML</t>
  </si>
  <si>
    <t>DESLORATADINA JARABE 120 ML</t>
  </si>
  <si>
    <t>DEXAMETASONA AMPULA 2ML</t>
  </si>
  <si>
    <t xml:space="preserve">DEXPANTENOL CREMA </t>
  </si>
  <si>
    <t>DEXTROMETORFANO/GUAIFENESINA JARABE ADULTO 120ML</t>
  </si>
  <si>
    <t xml:space="preserve">DIMETICONA SUSPENSION </t>
  </si>
  <si>
    <t>HIOSCINA/PARACETAMOL GOTAS 20 ML</t>
  </si>
  <si>
    <t>FEXOFENADINA TABLETAS 120MG</t>
  </si>
  <si>
    <t xml:space="preserve">HIPROMELOSA GOTAS OFTALMICAS </t>
  </si>
  <si>
    <t>IBUPROFENO TABLETAS 800 MG</t>
  </si>
  <si>
    <t>KETOROLACO AMPULA 1 ML</t>
  </si>
  <si>
    <t>HIDROXIDO DE ALUMINIO Y MAGNESIO</t>
  </si>
  <si>
    <t>LEVODROPROPIZINA SOLUCION 120 ML</t>
  </si>
  <si>
    <t>LORATADINA/AMBROXOL SOLUCION 120 ML</t>
  </si>
  <si>
    <t>LORATADINA/ FENILEFRINA JARABE INFANTIL 60ML</t>
  </si>
  <si>
    <t>METAMIZOL SODICO SOL INYECTABLE</t>
  </si>
  <si>
    <t xml:space="preserve">METAMIZOL SODICO TABLETAS </t>
  </si>
  <si>
    <t>METAMIZOL SODICO JARABE (NEO MELUBRINA)</t>
  </si>
  <si>
    <t>METRONIDAZOL SUSPENSION</t>
  </si>
  <si>
    <t xml:space="preserve">NAFAZOLINA SOL OFTALMICA </t>
  </si>
  <si>
    <t>NAPROXENO TABLETAS 500 MG</t>
  </si>
  <si>
    <t>NAPROXENO/LIDOCAINA (LUBOXEN) GEL</t>
  </si>
  <si>
    <t xml:space="preserve">SALBUTAMOL AEROSOL </t>
  </si>
  <si>
    <t xml:space="preserve">SCABISAN SH </t>
  </si>
  <si>
    <t>SULFADIAZINA DE PLATA CREMA</t>
  </si>
  <si>
    <t>SULFATO FERROSO SOLUCION</t>
  </si>
  <si>
    <t>OXIMETAZOLINA SOLUCION NASAL PEDIÁTRICA</t>
  </si>
  <si>
    <t>BENZOCAÍNA/CLORANFENICOL/HIDROCORTISONA ÓTICO 10ML</t>
  </si>
  <si>
    <t>NEOMICINA/LIDOCAÍNA SOLUCIÓN ÓTICA 20ML.</t>
  </si>
  <si>
    <t>MICONAZOL CREMA 2%</t>
  </si>
  <si>
    <t>ALCANFOR/MENTOL/EUCALIPTO UNGÜENTO 50GR.</t>
  </si>
  <si>
    <t>CALAMINA 180ML</t>
  </si>
  <si>
    <t>LACTULOSA JARABE 10/15ML</t>
  </si>
  <si>
    <t>MOMETASONA SPRAY NASAL 0.05% 18ML</t>
  </si>
  <si>
    <t>BENZOCAÍNA SPRAY 5%</t>
  </si>
  <si>
    <t>ACICLOVIR UNGÜENTO 5%</t>
  </si>
  <si>
    <t>DINMENHIDRINATO CAP 50MG.</t>
  </si>
  <si>
    <t>PAQUETE CAMPO ESTERIL C/5 PZAS</t>
  </si>
  <si>
    <t>CAJA DE GUANTES DE LATEX MEDIANOS C/50 PARES</t>
  </si>
  <si>
    <t>CAJA CON GASAS C/100 PZAS</t>
  </si>
  <si>
    <t>TORNIQUETE EN BROCHE</t>
  </si>
  <si>
    <t>ISODINE ESPUMA 1000 ML</t>
  </si>
  <si>
    <t>AGUA INYECTABLE 500 ML</t>
  </si>
  <si>
    <t>VENDA 5 CM</t>
  </si>
  <si>
    <t>VENDA 10 CM</t>
  </si>
  <si>
    <t>VENDA 15 CM</t>
  </si>
  <si>
    <t>PAQUETE COMPRESAS PARA VIENTRE C/5 PZAS</t>
  </si>
  <si>
    <t>APOSITOS QUIRURGICO</t>
  </si>
  <si>
    <t>CABESTRILLO ADULTO</t>
  </si>
  <si>
    <t>COLLARIN CERVICAL ORTOPEDICO</t>
  </si>
  <si>
    <t>CINTA DURAPORE 2.5 CM</t>
  </si>
  <si>
    <t>CINTA MICROPORE BLANCA DE 2.5 CM</t>
  </si>
  <si>
    <t>HIPOCLORITO DE SODIO 13%</t>
  </si>
  <si>
    <t>VASELINA SOLIDA BLANCA DE 1KG</t>
  </si>
  <si>
    <t>GLICERINA VEGETAL LIQUIDA DE 1 LTR</t>
  </si>
  <si>
    <t>SOLUCION FISIOLOGICA 500 ML BOTELLA</t>
  </si>
  <si>
    <t>GUANTES DESECHABLES MEDIANOS COLOR AZUL C/100 PZAS</t>
  </si>
  <si>
    <t>ALGODÓN TORUNDA DE 500 GR</t>
  </si>
  <si>
    <t>TERMOMETRO DE MERCURIO</t>
  </si>
  <si>
    <t>TERMOMETRO ELECTRONICO DIGITAL</t>
  </si>
  <si>
    <t>HOJA DE BISTURÍ #12</t>
  </si>
  <si>
    <t>HOJA DE BISTURÍ #10</t>
  </si>
  <si>
    <t>VENDA DE YESO 5CM</t>
  </si>
  <si>
    <t>VENDA DE YESO 10CM</t>
  </si>
  <si>
    <t>VENDITAS ADHESIVAS C/100PZAS</t>
  </si>
  <si>
    <t>KIT PARA NEBULIZAR</t>
  </si>
  <si>
    <t>JGO. DE 36 HERRAMIENTA DE CUADRO 3/8 ESTÁNDAR COD.13955</t>
  </si>
  <si>
    <t>SILICON TRANSPARENTE CARTUCHO 300 ML.</t>
  </si>
  <si>
    <t>ESCALERA TIPO TIJERA 6 PELDAÑOS  150 KG COD. 10437</t>
  </si>
  <si>
    <t>JUEGO DE DADO C/ MATRACA DE 39 PZAS PRETUL COD. 24220</t>
  </si>
  <si>
    <t>SECADORA PARA EL CABELLO PROFESIONAL</t>
  </si>
  <si>
    <t>PLANCHA DE PELO DE 5 NIVELES</t>
  </si>
  <si>
    <t>COMBO DE MAQUINA DE CORTE</t>
  </si>
  <si>
    <t>REFRIGERADOR 11"</t>
  </si>
  <si>
    <t>MAQUINA DOMESTICA CON COSTURA RECTA  120 VOLTIOS</t>
  </si>
  <si>
    <t>HORNO PANADERO INDUSTRIAL PARA 2 CHAROLAS</t>
  </si>
  <si>
    <t>PARRILLA DE 3 QUEMADORES EN LINEA ACERO INOXIDABLE</t>
  </si>
  <si>
    <t>PARRILLA DE 3 QUEMADORES EN LINEA ACERO INOXIDABLE CON PLANCHA</t>
  </si>
  <si>
    <t>LICUADORA PROFESIONAL 1.5 LTS CON VASO DE VIDRIO, 2 VELOCIDADES</t>
  </si>
  <si>
    <t>BUDINERA ALUMINIO GRUESO 50 CM DIAMETRO</t>
  </si>
  <si>
    <t>VAPORERA 30 LITROS</t>
  </si>
  <si>
    <t>ESPIGUERO</t>
  </si>
  <si>
    <t>PLANCHA DE CABELLO PROFESIONAL</t>
  </si>
  <si>
    <t>BLUSA P/NIÑA</t>
  </si>
  <si>
    <t>CAMISA P/NIÑO</t>
  </si>
  <si>
    <t>PLAYERA P/NIÑO</t>
  </si>
  <si>
    <t>PANTALÓN P/NIÑA</t>
  </si>
  <si>
    <t>PANTALÓN P/NIÑO</t>
  </si>
  <si>
    <t>CALCETÍN P/NIÑO PAR</t>
  </si>
  <si>
    <t>CALCETÍN P/NIÑA PAR</t>
  </si>
  <si>
    <t>CALCETA ESCOLAR PAR</t>
  </si>
  <si>
    <t>PANTALETA P/NIÑA T/2-4</t>
  </si>
  <si>
    <t>PANTALETA P/NIÑA T/6-8</t>
  </si>
  <si>
    <t>PANTALETA P/NIÑA T/10-12</t>
  </si>
  <si>
    <t>PANTALETA P/NIÑA T/14-16</t>
  </si>
  <si>
    <t>PANTALETA P/ADOLESCENTE T/CH</t>
  </si>
  <si>
    <t>PANTALETA P/ADOLESCENTE T/M</t>
  </si>
  <si>
    <t>PANTALETA P/ADOLESCENTE T/G</t>
  </si>
  <si>
    <t>BRASIER T/32</t>
  </si>
  <si>
    <t>BRASIER T/34</t>
  </si>
  <si>
    <t>BRASIER T/36</t>
  </si>
  <si>
    <t>BRASIER T/38</t>
  </si>
  <si>
    <t>CORPIÑO T/CH</t>
  </si>
  <si>
    <t>CORPIÑO T/M</t>
  </si>
  <si>
    <t>CORPIÑO T/G</t>
  </si>
  <si>
    <t>BÓXER P/NIÑO T/2-4</t>
  </si>
  <si>
    <t>BÓXER P/NIÑO T/6-8</t>
  </si>
  <si>
    <t>BÓXER P/NIÑO T/10-12</t>
  </si>
  <si>
    <t>BÓXER P/ADOLESCENTE T/CH</t>
  </si>
  <si>
    <t>BÓXER P/ADOLESCENTE T/M</t>
  </si>
  <si>
    <t>BÓXER P/ADOLESCENTE T/G</t>
  </si>
  <si>
    <t>FALDA ESCOLAR</t>
  </si>
  <si>
    <t>BLUSA ESCOLAR</t>
  </si>
  <si>
    <t>PANTALÓN ESCOLAR</t>
  </si>
  <si>
    <t>PANTS ESCOLAR</t>
  </si>
  <si>
    <t>SHORTS P/NIÑA</t>
  </si>
  <si>
    <t>SHORTS P/NIÑO</t>
  </si>
  <si>
    <t>ZAPATOS</t>
  </si>
  <si>
    <t>TENNIS</t>
  </si>
  <si>
    <t>SANDALIAS</t>
  </si>
  <si>
    <t>BULES PARA EL AGUA 500ML.</t>
  </si>
  <si>
    <t>HERRAMIENTAS Y MÁQUINAS - HERRAMIENTA</t>
  </si>
  <si>
    <t>ENGRAPADORA TIRA COMPLETA METALICA</t>
  </si>
  <si>
    <t>SUJETADOCUMENTOS 51 MM C/12 PZAS</t>
  </si>
  <si>
    <t>MOCHILA PORTÁTIL PARA LAPTOP IMPERMEABLE COLOR NEGRO DE 15.6 PULGADAS</t>
  </si>
  <si>
    <t>MALETÍN PARA VIDEO PROYECTOR CON PROTECCIÓN INTERNA DE ALTA RESISTENCIA CON CIERRE FRONTAL PARA GUARDAR CABLES O ACCESORIOS COLOR NEGRO DE DIMENSIONES 32 X 29 X15 CM</t>
  </si>
  <si>
    <t>PISTOLA DE SILICON USO RUDO GRANDE</t>
  </si>
  <si>
    <t>COMPROBACION</t>
  </si>
  <si>
    <r>
      <t xml:space="preserve">MEMORIA USB 2.0 64 GB </t>
    </r>
    <r>
      <rPr>
        <b/>
        <sz val="8"/>
        <rFont val="Arial"/>
        <family val="2"/>
      </rPr>
      <t xml:space="preserve"> </t>
    </r>
  </si>
  <si>
    <t>LONA PARA EVENTO</t>
  </si>
  <si>
    <t>IMPRESIONES DE MILLARES</t>
  </si>
  <si>
    <t xml:space="preserve">TABLERO DINAMICO PARA ACTIVIDAD </t>
  </si>
  <si>
    <t>HOSPEDAJE</t>
  </si>
  <si>
    <t>ELEMENTOS ARQUITECTÓNICOS Y MATERIAL DE EXPOSICIÓN PARA USO EN OFICINAS</t>
  </si>
  <si>
    <t>MURO EXPANDIBLE POP UP EN MEDIDA DE 2.25 ANCHO X 2.25 LARGO MTS. CON TELA IMPRESA VELCRO</t>
  </si>
  <si>
    <t>INVENTARIOS</t>
  </si>
  <si>
    <t>ORIENTACION ALIMENTARIA</t>
  </si>
  <si>
    <t>CLIPS MARIPOSA NO. 1</t>
  </si>
  <si>
    <t>ENGRAPADORA  TIRA COMPLETA METALICA</t>
  </si>
  <si>
    <t>MARCADOR PERMANENTE  DOBLE PUNTO C/12 PZAS</t>
  </si>
  <si>
    <t>MARCATEXTOS PUNTO GRUESO COLORES VARIOS. CAJA 12 PZAS</t>
  </si>
  <si>
    <t>MARCADOR DE PINTURA TIPO ESMALTE BLANCO C/12</t>
  </si>
  <si>
    <t>MARCADOR DE PINTURA TIPO ESMALTE AZUL C/12</t>
  </si>
  <si>
    <t>DESPACHADOR DE CINTA ADHESIVA PARA EMPAQUE</t>
  </si>
  <si>
    <t>PIEZA</t>
  </si>
  <si>
    <t>CAJA</t>
  </si>
  <si>
    <t>PZA</t>
  </si>
  <si>
    <t>cajas</t>
  </si>
  <si>
    <t>PAQUETE</t>
  </si>
  <si>
    <t>CARPETA BLANCA VINILICA DE ARGOLLA T/CTA DE 0.5"</t>
  </si>
  <si>
    <t>FOLDERS MANILA TAMAÑO CARTA C/100 PZ COLOR BEIGE</t>
  </si>
  <si>
    <t>ROLLOS DE PAPEL PARA IMPRESORA DE ETIQUETAS 28 MM X 61 MM</t>
  </si>
  <si>
    <t>POST-IT DE BANDERITA DE COLORES</t>
  </si>
  <si>
    <t>SEPARADOR DE HOJAS DE CARPETA C/31</t>
  </si>
  <si>
    <t>SEPARADOR DE HOJAS DE CARPETA C/15</t>
  </si>
  <si>
    <t>SEPARADOR DE HOJAS DE CARPETA C/10</t>
  </si>
  <si>
    <t>PAQ</t>
  </si>
  <si>
    <t>ROLLO</t>
  </si>
  <si>
    <t>POWER BANK REDMI DE 20000 MAH</t>
  </si>
  <si>
    <t>LITRO</t>
  </si>
  <si>
    <t>MONITOR PC 27FW, LED, 24 PULGADAS, FULL HD, 1080P, HDMI VGA, 60HZ SMS, BLANCO</t>
  </si>
  <si>
    <t>MOBILIARIO Y EQUIPO DE COMPUTO</t>
  </si>
  <si>
    <t>POS PORTATIL ANDROID 10.0 PDA TERMINAL 1D/2D/QR CODIGO DE BARRAS</t>
  </si>
  <si>
    <t>DIABLITO DE ACERO CONVERTIBLE - LLANTAS SÓLIDAS</t>
  </si>
  <si>
    <t>THINNER</t>
  </si>
  <si>
    <t xml:space="preserve">THINNER AMERICANO </t>
  </si>
  <si>
    <t>COMUNICACIÓN SOCIAL</t>
  </si>
  <si>
    <t>LIBRETA DE TAQUIGRAFIA CORTA CON 80 HOJAS</t>
  </si>
  <si>
    <t>TINTA PARA SELLO COLOR AZUL</t>
  </si>
  <si>
    <t>TINTA PARA SELLO COLOR ROJA</t>
  </si>
  <si>
    <t>PAQUETES</t>
  </si>
  <si>
    <t>CAJAS</t>
  </si>
  <si>
    <t>PIEZAS</t>
  </si>
  <si>
    <t>CARGADOR DE BATERIAS INDIVIDUAL AVANZADO CON 4 BATERIAS RECARGABLES AAA DE 2100 CICLOS</t>
  </si>
  <si>
    <t>CABLES XLR, ROLAND RMC-B10 3M XLR CABLE DE AUDIO, HEMBRA, 3M</t>
  </si>
  <si>
    <t>MOUSE INALAMBRICO, RECARGABLE, BLUETOOTH CON TIPO CY USB</t>
  </si>
  <si>
    <t>MEMORIAS USB 64 G</t>
  </si>
  <si>
    <t>TAPETE PARA MOUSE</t>
  </si>
  <si>
    <t>SERVICIO</t>
  </si>
  <si>
    <t>CURSOS EN LINEA</t>
  </si>
  <si>
    <t>CURSOS</t>
  </si>
  <si>
    <t>SERVICIOS</t>
  </si>
  <si>
    <t>DISCO DURO EXTRENO 10 TB DE ESCRITORIO, PUERTO USB-C Y USB 3.0 ONE TOUCH HUB</t>
  </si>
  <si>
    <t>DISCO DURO EXTERNO SEAGATE FIRECUDA 5 TB USB 3.2 GEN 1, ILUMINACION LED RGB PARA PC Y SERVICIOS DE RESCATE</t>
  </si>
  <si>
    <t>IMPRESORA MULTIFUNCIONAL  SMART TANK 750 DE TINTA CONTINUA IMPRESIÓN A COLOR WI-FI SMART APP DUPLEX ADF</t>
  </si>
  <si>
    <t>CÁMARAS FOTOGRÁFICAS Y DE VIDEO</t>
  </si>
  <si>
    <t>ADAPTADOR SIGMA MC-11 FOR USE WITH 5GV LENSES FOR</t>
  </si>
  <si>
    <t>TRIPIÉ CON CABEZA PARA VIDEO (TRIPODE DE VIDEO MANFROTO MVH502A, 546BK-1 )</t>
  </si>
  <si>
    <t>GUIAS PREMATRIMONIALES</t>
  </si>
  <si>
    <t>Caja</t>
  </si>
  <si>
    <t>Pieza</t>
  </si>
  <si>
    <t>PAQ DE HOJA OPALINA DELGADA BLANCA C/100 PZAS 120 GRS APROX</t>
  </si>
  <si>
    <t>FÓMIX PLIEGO LISO</t>
  </si>
  <si>
    <t>CAJA DE ARCHIVO TAMAÑO CARTA</t>
  </si>
  <si>
    <t>CAJA DE ARCHIVO TAMAÑO OFICIO</t>
  </si>
  <si>
    <t>Paquete</t>
  </si>
  <si>
    <t>ARTICULO DIDACTICO</t>
  </si>
  <si>
    <t>JUEGO DE LONA CON 10 PIEZAS CADA UNO</t>
  </si>
  <si>
    <t>ENMICADO JUEGO DIDACTICO TAMAÑO CARTA</t>
  </si>
  <si>
    <t>JUEGO</t>
  </si>
  <si>
    <t xml:space="preserve">ESTIMULOS </t>
  </si>
  <si>
    <t>EVENTOS ESPECIALES</t>
  </si>
  <si>
    <t>MARCADOR PARA PINTARRÓN  CAJA CON  4 PIEZAS</t>
  </si>
  <si>
    <t>TINTA PARA COGÍN  DE SELLO 60 ML NEGRO</t>
  </si>
  <si>
    <t>TINTA PARA COGÍN DE SELLO 60 ML ROJA</t>
  </si>
  <si>
    <t>CLIPS ESTANDAR NO.2 CAJA CON 100 PIEZAS</t>
  </si>
  <si>
    <t>GRAPAS ESTANDAR CAJA CON 5 MIL PIEZAS</t>
  </si>
  <si>
    <t xml:space="preserve">CINTA ADHESIVA TRANSPARENTE GRANDE 48MM X 50MM </t>
  </si>
  <si>
    <t>CINTA ADHESIVA CANELA GRANDE DE 48MM X 50 MM</t>
  </si>
  <si>
    <t>BOLIGRAFO PUNTO FINO AZUL CAJA CON 12 PIEZAS</t>
  </si>
  <si>
    <t xml:space="preserve">LÍQUIDO LIMPIADOR PARA PINTARRON </t>
  </si>
  <si>
    <t>CINTA ESCOTCH 18MM X 65 MTS</t>
  </si>
  <si>
    <t>BOLIGRAFO PUNTO FINO NEGRO CAJA CON 12 PIEZAS</t>
  </si>
  <si>
    <t>BOLA HILAZA</t>
  </si>
  <si>
    <t>caja</t>
  </si>
  <si>
    <t xml:space="preserve"> pieza</t>
  </si>
  <si>
    <t>pieza</t>
  </si>
  <si>
    <t>ARBOL DE NAVIDAD</t>
  </si>
  <si>
    <t>CAJAS DE ARCHIVO T/CARTA</t>
  </si>
  <si>
    <t>PAPEL TAMAÑO CARTA PAQUETE CON 500 PIEZAS</t>
  </si>
  <si>
    <t>PAPEL TAMAÑO OFICIO PAQUETE CON 500 PIEZAS</t>
  </si>
  <si>
    <t>FOLDERS TAMAÑO CARTA COLOR BEIGE PAQUETE CON 100 PIEZAS</t>
  </si>
  <si>
    <t xml:space="preserve">SOBRE MANILA TAMAÑO CARTA </t>
  </si>
  <si>
    <t>FICHA BIBLIOGRAFICA MEDIA CARTA BLANCA 5 X 8 C / 80 PIEZAS</t>
  </si>
  <si>
    <t>FOLDERS TAMAÑO OFICIO COLOR BEIGE PAQUETE CON 100 PIEZAS</t>
  </si>
  <si>
    <t>OPALINA DELGADA BLANCA  PAQUETE CON 100 PIEZAS</t>
  </si>
  <si>
    <t xml:space="preserve">PAPEL  CREPE  </t>
  </si>
  <si>
    <t>GLOBO LISO #9 1836 BOLSA C/100 PIEZAS</t>
  </si>
  <si>
    <t>PAPEL  PICADO TIRA DE 4.5 MTS C/10 PIEZAS EL PAQUETE</t>
  </si>
  <si>
    <t>paquete</t>
  </si>
  <si>
    <t>paquerte</t>
  </si>
  <si>
    <t>ACEITE LIMPIADOR PARA BOCINA</t>
  </si>
  <si>
    <t>TINTA HP 667 INK COLOR NEGRO</t>
  </si>
  <si>
    <t xml:space="preserve">TINTA HP 667 INK  TRICOLOR </t>
  </si>
  <si>
    <t>TINTA IMPRESORA MULTIFUNCIONAL MAXI FY GX 6010 COLOR NEGRO</t>
  </si>
  <si>
    <t>TINTA IMPRESORA MULTIFUNCIONAL MAXI FY GX 6010  COLOR  AZUL</t>
  </si>
  <si>
    <t>TINTA IMPRESORA MULTIFONCIONAL MAXI FY GX 6010 COLOR  AMARILLO</t>
  </si>
  <si>
    <t>TINTA IMPRESORA MULTIFUNCIONAL MAXI FG GX 6010 COLOR  ROJO</t>
  </si>
  <si>
    <t>ACUMULADORES AA ALCALINA PAQUETE DE 40 PIEZAS</t>
  </si>
  <si>
    <t>ACUMULADORES AAA ALCALINA PAQUETE DE 40 PIEZAS</t>
  </si>
  <si>
    <t>CINCHOS CON 100  PIEZAS C/U DE 30 CM</t>
  </si>
  <si>
    <t>SUJETADOR CON  MATRACA DE 9 MTS PAQ CON 3 PIEZAS</t>
  </si>
  <si>
    <t>GRAPA ET-21-1/4" 6MM USO MEDIO</t>
  </si>
  <si>
    <t>CINTHA PARA DUCTO GRIS 48 X 45 MM</t>
  </si>
  <si>
    <t>RAFIA BLANCO CALIBRE 2.2 ROLLO DE 900GRS</t>
  </si>
  <si>
    <t>CONECTOR XIR MACHO Y HEMBRA ( PAR ) AMARILLO DE 3 PINES  PARA MICROFONO</t>
  </si>
  <si>
    <t xml:space="preserve"> Pieza</t>
  </si>
  <si>
    <t>TERGAL POLIESTER TELA</t>
  </si>
  <si>
    <t>MAGALI COLOR ROJO TELA</t>
  </si>
  <si>
    <t>METRO</t>
  </si>
  <si>
    <t>KILO</t>
  </si>
  <si>
    <t>ACEITE PARA PLANTA DE LUZ</t>
  </si>
  <si>
    <t>CINTA FLUORECENTE PARA DELIMITAR ESPACIO</t>
  </si>
  <si>
    <t>FAJA CON TIRANTE AJUSTABLE</t>
  </si>
  <si>
    <t>GABARDINA IMPERMEABLE AMARILLA</t>
  </si>
  <si>
    <t>PIJA BROCA 3" PAQUETE CON 100 PIEZAS</t>
  </si>
  <si>
    <t xml:space="preserve">CLAVOS PARA CONCRETO </t>
  </si>
  <si>
    <t>KILOGRAMO</t>
  </si>
  <si>
    <t>MACETAS NOCHES BUENAS</t>
  </si>
  <si>
    <t>LONAS</t>
  </si>
  <si>
    <t>ESTRUCTURA MURO ARAÑA PLEGABLE DE 2.25 X 3.00</t>
  </si>
  <si>
    <t>LONA DE 5 X 5 TIPO ARABE PARA TOLDO INSTITUCIONAL</t>
  </si>
  <si>
    <t>MANTENIMIENTO DE EQUIPO DE SONIDO</t>
  </si>
  <si>
    <t>SERVCIO</t>
  </si>
  <si>
    <t>SILLA PARA VISITANTE</t>
  </si>
  <si>
    <t>IMPRESORA MULTIFUNCIONAL  MAXI FY GX 60 10</t>
  </si>
  <si>
    <t xml:space="preserve">LAPTOP </t>
  </si>
  <si>
    <t>MICROFONO INALAMBRICO</t>
  </si>
  <si>
    <t>DIRECCION GENERAL</t>
  </si>
  <si>
    <t>TINTA PARA COJIN DE SELLOS 60 ML NEGRA</t>
  </si>
  <si>
    <t xml:space="preserve">AGENDA  EJECUTIVA DIARIA T/CARTA </t>
  </si>
  <si>
    <t xml:space="preserve"> TABLA ACRILICA CON SUJETADOR TAMAÑO CARTA</t>
  </si>
  <si>
    <t>MARCADOR PERMANENTE GRUESO, COLOR NEGRO</t>
  </si>
  <si>
    <t>CARPETA EJECUTIVAS T/CARTA IMITACIÓN PIEL COLOR MIEL</t>
  </si>
  <si>
    <t>CHAROLA TERMICA CUADRADA C/50 PZAS</t>
  </si>
  <si>
    <t>CUCHARAS DESECHABLES CAFETERA PAQ. CON 50 PZAS</t>
  </si>
  <si>
    <t>SERVILLETAS C/500</t>
  </si>
  <si>
    <t>VASO TERMICO #8 CON 50 PZAS</t>
  </si>
  <si>
    <t>TINTAS PARA IMPRESORAS CON 4 PIEZAS MODELO L3150, COLOR NEGRO, AMARILLO, MAGENTQA Y CIAN</t>
  </si>
  <si>
    <t>JABON LIQUIDO PARA MANOS DE 525 ML</t>
  </si>
  <si>
    <t>AROMATIZANTE AUTOMATICO APARATO + REPUESTO 270 ML (AROMA CARICIAS DE ALDODÓN, PARAIZO AZUL)</t>
  </si>
  <si>
    <t>REPUESTO AROMATIZANTE AMBIENTAL AUTOMATICO DE 175 GR. (CARICIAS DE ALGODÓN Y AROMA PARAIZO AZUL)</t>
  </si>
  <si>
    <t>CAJA DE 20 FAJILLAS DE TOALLAS INTERDOBLADAS  C/100 PZAS</t>
  </si>
  <si>
    <t>KLEENEX SELLAPACK DE 8 BOLSAS CON 15/PZA C/U DE DOBLE HOJA (DE BOLSILLO)</t>
  </si>
  <si>
    <t>ROLLO HIGIENICO JUMBO CON DOBLE HOJA C/6 PZAS</t>
  </si>
  <si>
    <t>GARRAFON DE AGUA PURIFICADA</t>
  </si>
  <si>
    <t>REFRESCO DE LATA DE 355 ML</t>
  </si>
  <si>
    <t>AGUA ENBOTELLADA 24 PZS DE 330 ML C/U</t>
  </si>
  <si>
    <t>CAFÉ TOSTADO MOLIDO REGULAR BOLSA DE 1 KG</t>
  </si>
  <si>
    <t>BOLSA DE CARAMELO MENTOS (CARAMELO MACIZO)</t>
  </si>
  <si>
    <t xml:space="preserve">AZUCAR REFINADA CAJA CON  1000 SOBRES DE 5 GR </t>
  </si>
  <si>
    <t>CAJAS DE TÉ SURTIDO 120 PIEZAS</t>
  </si>
  <si>
    <t xml:space="preserve"> CÀPSUAS DE CAFÈ CAPPUCINO 48 PZAS</t>
  </si>
  <si>
    <t>CÀPSUAS DE CAFÈ EXPRESSO INTENSO 16 PZAS</t>
  </si>
  <si>
    <t>CONSUMOS DE ALIMENTOS DURANTE LAS GIRAS DE TRABAJO</t>
  </si>
  <si>
    <t>CHAROLA</t>
  </si>
  <si>
    <t>BOLSA</t>
  </si>
  <si>
    <t>GEL ANTIBACTERIAL  DE 70 ML ( DE BOLSILLO)</t>
  </si>
  <si>
    <t>GEL ANTIBACTERIAL  PARA MANOS  DE 4 LTS</t>
  </si>
  <si>
    <t>BOLSA CELOFAN CON BLISTEK 10X20</t>
  </si>
  <si>
    <t>BOLSA CELOFAN CON BLISTEK 15X20</t>
  </si>
  <si>
    <t>BOLSA CELOFAN CON BLISTEK 20X30</t>
  </si>
  <si>
    <t xml:space="preserve">TAPETE HULE TRASERO URVAN </t>
  </si>
  <si>
    <t>IMPRESIONES Y ENGARGOLADOS</t>
  </si>
  <si>
    <t>FOLLETOS , TRIPTICOS DIPTICOS, CARTELES</t>
  </si>
  <si>
    <t>DIVERSAS REPARACIONES Y MANTENIMIENTO DE MUEBLES DE OFCINA</t>
  </si>
  <si>
    <t xml:space="preserve">LAVADO DE VEHICULOS </t>
  </si>
  <si>
    <t>SERVICIO DE REPARACION</t>
  </si>
  <si>
    <t>SERVCIO DE LANCHA, PANGA</t>
  </si>
  <si>
    <t>PARTICIPACIONES EN FERIAS Y EXPOSICIONES</t>
  </si>
  <si>
    <t>EVENTOS</t>
  </si>
  <si>
    <t>DIVERSOS APOYOS A CENTROS, ISNTITUCIONES, ASOCIACIONES, ENTRE OTROS</t>
  </si>
  <si>
    <t xml:space="preserve">EQUIPO ELÉCTRICO PARA OFICINAS
</t>
  </si>
  <si>
    <t>SONIDO EMBOLVENTE PARA LA SALA DE JUNTAS</t>
  </si>
  <si>
    <t>ARCHIVERO 2 GAVETAS TAMAÑO CARTA COLOR NEGRO</t>
  </si>
  <si>
    <t>ENGARGOLADORA DE ARILLO DE METAL</t>
  </si>
  <si>
    <t>TRANSPARENCIA</t>
  </si>
  <si>
    <t xml:space="preserve">ORGANIZADOR PARA ESCRITORIO </t>
  </si>
  <si>
    <t>KIT DE TECLADO Y MOUSE MEDIA COMBO MK 120, ESTANDAR, NEGRO, 1000 DPI</t>
  </si>
  <si>
    <t>MEMORIA USB 3.0 64 gb</t>
  </si>
  <si>
    <t>COMPUTADORA ALL IN ONE CB00011A/AMD RYZEN 3/23.8 PULGADAS 256 GB SSD 1TB 8GB RAM BLANCO</t>
  </si>
  <si>
    <t xml:space="preserve">MARCATEXTOS DE COLORES </t>
  </si>
  <si>
    <t xml:space="preserve">MARCADOR MAGISTRAL  PARA PINTARRON </t>
  </si>
  <si>
    <t xml:space="preserve">RESISTOL LIQUIDO </t>
  </si>
  <si>
    <t>GRAPAS ESTANDAR</t>
  </si>
  <si>
    <t>ENGRAPADORA</t>
  </si>
  <si>
    <t>BROCHES BACO</t>
  </si>
  <si>
    <t>BICOLOR</t>
  </si>
  <si>
    <t xml:space="preserve">CORRECTOR </t>
  </si>
  <si>
    <t>LAPIZ MIRADO 2</t>
  </si>
  <si>
    <t>BOLIGRAFOS AZUL</t>
  </si>
  <si>
    <t xml:space="preserve">BOLIGRAFO NEGRO </t>
  </si>
  <si>
    <t>LAPIZ ADHESIVO JUMBO</t>
  </si>
  <si>
    <t>CLIP NUMERO 1</t>
  </si>
  <si>
    <t>CLIP NUMERO  2</t>
  </si>
  <si>
    <t>CLIP EJECUTIVO JUMBO</t>
  </si>
  <si>
    <t>CLIP CUADRADO NO 1</t>
  </si>
  <si>
    <t>CLIP CUADRADO NO 2</t>
  </si>
  <si>
    <t xml:space="preserve">MARCADOR PERMANENTE </t>
  </si>
  <si>
    <t>CINTA CANELA 48 X 50</t>
  </si>
  <si>
    <t xml:space="preserve">CINTA TRANSPARENTE DE 44 MM. DE ANCHO </t>
  </si>
  <si>
    <t>REGLA DE 30 cms</t>
  </si>
  <si>
    <t xml:space="preserve">CUTTER </t>
  </si>
  <si>
    <t>LIBRETA PASTA DURA (FRANCESA)</t>
  </si>
  <si>
    <t>MARCADOR DE CERA</t>
  </si>
  <si>
    <t xml:space="preserve">SUJETADOCUMENTOS GRANDES </t>
  </si>
  <si>
    <t xml:space="preserve">SUJETADOCUMENTOS MEDIANOS </t>
  </si>
  <si>
    <t>TIJERAS</t>
  </si>
  <si>
    <t>CINTA PARA SUMADORAS</t>
  </si>
  <si>
    <t xml:space="preserve">ROLLO PARA SUMADORAS </t>
  </si>
  <si>
    <t>CALCULADORA ELECTRONICA 12 DIGITOS</t>
  </si>
  <si>
    <t xml:space="preserve">PERFORADORA DE PAPEL 2 ORIFICIOS PARA 100 HOJAS  MEDIDAS 25.4 LARGO X17.1 DE ANCHO X 14.6 CM. DE ALTO </t>
  </si>
  <si>
    <t>RODILLO ENTINTADOR PARA CALCULADORA CASIO RF26/50 RC</t>
  </si>
  <si>
    <t>TINTA PARA SELLOS NEGRO AZUL Y ROJO</t>
  </si>
  <si>
    <t>Piezas</t>
  </si>
  <si>
    <t>Litros</t>
  </si>
  <si>
    <t>piezas</t>
  </si>
  <si>
    <t xml:space="preserve">HOJAS BLANCAS TAMAÑO CARTA </t>
  </si>
  <si>
    <t>HOJAS BLANCAS TAMAÑO OFICIO</t>
  </si>
  <si>
    <t>HOJA OPALINA 120 GR. T/CARTA</t>
  </si>
  <si>
    <t xml:space="preserve">POSTIC TORRE DE COLORES </t>
  </si>
  <si>
    <t>FOLDER T/CARTA</t>
  </si>
  <si>
    <t>FOLDER TAMAÑO OFICIO</t>
  </si>
  <si>
    <t xml:space="preserve">CAJA DE ARCHIVO MUERTO, CARTA </t>
  </si>
  <si>
    <t>CAJA DE ARCHIVO MUERTO OFICIO</t>
  </si>
  <si>
    <t>SOBRE AMARILLO t/DOBLE OFICIO</t>
  </si>
  <si>
    <t>SACAPUNTAS ELÉCTRICO</t>
  </si>
  <si>
    <t xml:space="preserve">LIGAS GRANDE </t>
  </si>
  <si>
    <t>PAPEL CARBON  O PASANTE T/ CARTA</t>
  </si>
  <si>
    <t>SOBRES PARA CD</t>
  </si>
  <si>
    <t>PAQ DE ETIQUETAS ADHESIVAS PARA CD´S</t>
  </si>
  <si>
    <t>PAPEL BOND AZUL DE 70X95 CM DE 50 GK</t>
  </si>
  <si>
    <t>Bolsa</t>
  </si>
  <si>
    <t>Pliegos</t>
  </si>
  <si>
    <t>CARTUCHO DE TONER PARA IMPRESORA  CF248ACOMP-AI</t>
  </si>
  <si>
    <t>MOUSE ALAMBRICO 100, CABLE DE CONEXIÓN  USB NEGRO</t>
  </si>
  <si>
    <t>NO BREACK UPS (RESPALDO DE ENERGIA) (700 BAS)</t>
  </si>
  <si>
    <t>Torre</t>
  </si>
  <si>
    <t>ANUALIDAD MODULO FACTURA ELECTRONICA</t>
  </si>
  <si>
    <t>SILLA SECRETARIAL DE OFICINA, RECLINABLE, ASIENTO TAPIZADO EN TELA Y RESPALDO EN MALLA, CON DESCANSABRAZOS EN POLIPROPILENO, AJUSTE DE ALTURA POR PISTON NEUMATICO, BASE NYLON DE 5 PUNTAS CON RODAJAS.</t>
  </si>
  <si>
    <t>ARCHIVERO DE 4 GABETAS CON CORRADERAS DE EXTENSION, CHAPA Y LLAVE DE SEGURIDAD EN GAVETA SUPERIOR, FABRICADO EN MELAMINA DE 28/16 MM</t>
  </si>
  <si>
    <t xml:space="preserve">DISPENSADOR DE AGUA FRIA Y CALIENTE CON GARRAFON OCULTO, CON LLAVES FACILES DE MANEJAR Y SEGURO CONTRA NIÑOS, INDICADOR DE CAMBIO DE GARRAFÓN. </t>
  </si>
  <si>
    <t>RECURSOS FINANCIEROS</t>
  </si>
  <si>
    <t>VINCULACION GUBERNAMENTAL</t>
  </si>
  <si>
    <t>BOLIGRAFO AZUL</t>
  </si>
  <si>
    <t>BOLIGRAFO NEGRO</t>
  </si>
  <si>
    <t>BORRADOR DE MIGAJON</t>
  </si>
  <si>
    <t>CALCULADORA CIENTIFICA</t>
  </si>
  <si>
    <t>CINTA ADESIVA CHICA</t>
  </si>
  <si>
    <t>CINTA ADESIVA GRANDE</t>
  </si>
  <si>
    <t>CINTA CANELA</t>
  </si>
  <si>
    <t>CORRECTOR LIQUIDO</t>
  </si>
  <si>
    <t>CUTTER GRANDE</t>
  </si>
  <si>
    <t>LAPIZ ADESIVO</t>
  </si>
  <si>
    <t>LAPIZ BICOLOR</t>
  </si>
  <si>
    <t>LAPIZ MARCADOR DE CERA</t>
  </si>
  <si>
    <t>LIBRETA PASTA DURA</t>
  </si>
  <si>
    <t xml:space="preserve">MARCADOR NEGRO </t>
  </si>
  <si>
    <t xml:space="preserve">MARCA TEXTO FLORECENTE </t>
  </si>
  <si>
    <t>TIJERA DE OFICINA</t>
  </si>
  <si>
    <t xml:space="preserve">CAJA DE GRAPAS </t>
  </si>
  <si>
    <t>LAPIZ GRAFITO</t>
  </si>
  <si>
    <t>MARCADOR  P/ PINTARRON</t>
  </si>
  <si>
    <t>AGENDA EJECUTIVA</t>
  </si>
  <si>
    <t>AGENDA CLASICA</t>
  </si>
  <si>
    <t>TABLA DE  ACRILICO T/OFICIO</t>
  </si>
  <si>
    <t xml:space="preserve">CINTA SCOTCH DE 18 MM </t>
  </si>
  <si>
    <t>CINTA SCOTCH 24MM</t>
  </si>
  <si>
    <t>REPUESTO DE NAVAJA PARA CUTER</t>
  </si>
  <si>
    <t>pza</t>
  </si>
  <si>
    <t>Pqt</t>
  </si>
  <si>
    <t>pqt</t>
  </si>
  <si>
    <t>NOTAS ADHESIVAS POST-IT DE CUBO</t>
  </si>
  <si>
    <t>PAPEL T/CARTA</t>
  </si>
  <si>
    <t>CAJA DE ARCHIVO MUERTO</t>
  </si>
  <si>
    <t>RECOPILADOR T/CARTA</t>
  </si>
  <si>
    <t>POST-IT BANDERITAS DE COLORES</t>
  </si>
  <si>
    <t>SECRETARIA TECNICA</t>
  </si>
  <si>
    <t>MARCATEXTOS PUNTO GRUESO VARIOS COLORES. CAJA 12 PIEZAS</t>
  </si>
  <si>
    <t xml:space="preserve">MARCADOR PERMANENTE PUNTO FINO COLOR NEGRO </t>
  </si>
  <si>
    <t xml:space="preserve">PIEZA </t>
  </si>
  <si>
    <t xml:space="preserve">CAJA </t>
  </si>
  <si>
    <t>FOLDERS MANILA TAMAÑO CARTA</t>
  </si>
  <si>
    <t>ARILLO DE PLASTICO TIPO GUSANO DE 5/8"   C/25 PZAS</t>
  </si>
  <si>
    <t>FOLDERS TAMAÑO CARTA C/100 PZAS COLOR BEIGE</t>
  </si>
  <si>
    <t xml:space="preserve">SOBRE MANILA TAÑANO OFICIO </t>
  </si>
  <si>
    <t>HOJA OPALINA GRUESA BLANCA C/100 PZAS 220 GRS APROX</t>
  </si>
  <si>
    <t xml:space="preserve">RECOPILADOR TAMAÑO CARTA </t>
  </si>
  <si>
    <t xml:space="preserve">POST-IT DE BANDERITA DE COLORES </t>
  </si>
  <si>
    <t xml:space="preserve">PAQUETES </t>
  </si>
  <si>
    <t xml:space="preserve">DIPTICOS Y POSTER </t>
  </si>
  <si>
    <t>SERVICIO DE ALIMENTACION, EN HORAS EXTRAORDINARIAS</t>
  </si>
  <si>
    <t xml:space="preserve">SURTIDO DE GALLETA </t>
  </si>
  <si>
    <t xml:space="preserve">TE DE LIMON CON 200 SOBRES </t>
  </si>
  <si>
    <t xml:space="preserve">REFRESCOS VARIOS DE 600 ML TAPA ROSCA </t>
  </si>
  <si>
    <t xml:space="preserve">CHOCOLATE AMARGO A GRANEL </t>
  </si>
  <si>
    <t>CHAROLA TERMICA RECTANGULAR C/50 PZA</t>
  </si>
  <si>
    <t>PLATO TERMICO HONDO GDE. PAQ/50 PZAS</t>
  </si>
  <si>
    <t>SERVILLETAS C/100</t>
  </si>
  <si>
    <t>TENEDOR DESECHABLE PAQ. CON 50 PZA</t>
  </si>
  <si>
    <t>PLATO TERMICO BIO # 855 PAQUETE CON 500 PIEZAS</t>
  </si>
  <si>
    <t>VAJILLA DE 24 PIEZAS</t>
  </si>
  <si>
    <t>MANTELES</t>
  </si>
  <si>
    <t>TECLADO INALAMBRICO KB55 BLUETOOH MULTI DISPOSITIVO</t>
  </si>
  <si>
    <t>SOPORTE PARA AUDIFONOS HA 300 SCEPTER PRO, RGB HEADSET STAND</t>
  </si>
  <si>
    <t>MOUSE INALAMBRICO, ECO MOUSE PC-044796</t>
  </si>
  <si>
    <t>APUNTADOR LASER Y PRESENTACION INALAMBRICA COLOR NEGRO</t>
  </si>
  <si>
    <t xml:space="preserve">MEMORIA USB 2.0 64 GB </t>
  </si>
  <si>
    <t>LAPTOP : INTEL CORE i5 RAM 8GB SSD 240 GB PANTALLA DE 15.6"</t>
  </si>
  <si>
    <t>CAFETERA DE 45 TAZAS</t>
  </si>
  <si>
    <t>SECRETARIA PARTICULAR</t>
  </si>
  <si>
    <t>MARCATEXTOS FLUORECENTES PUNTO DELGADO COLORES  ( ROSA, AMARILLO Y NARANJA,VERDE) 22 PZAS. DE CADA COLOR.</t>
  </si>
  <si>
    <t>LAPIZ MIRADO #2 C/12 PZAS</t>
  </si>
  <si>
    <t>CINTA CANELA  TRANSPARENTE 48 MM X 50 M</t>
  </si>
  <si>
    <t>CLIPS MARIPOSA NO. 2 C/50 PZAS</t>
  </si>
  <si>
    <t>CLIPS METALICO REDONDO JUMBO C/100 PZAS</t>
  </si>
  <si>
    <t>PLUMA CORRECTORA CON PUNTA DE ACERO</t>
  </si>
  <si>
    <t>RECOPILADOR T/CARTA COLOR VERDE MARMOLEADO</t>
  </si>
  <si>
    <t>RECOPILADOR T/OFICIO COLOR VERDE MARMOLEADO</t>
  </si>
  <si>
    <t>LUPA PARA OFICINA REDONDA DE 75 MM</t>
  </si>
  <si>
    <t>GRAPA ESTANDAR  C/5000 PZAS</t>
  </si>
  <si>
    <t>SACAPUNTAS ELECTRICO</t>
  </si>
  <si>
    <t>TINTA  PARA COJIN GIRAPLICA  60 ML  NEGRA</t>
  </si>
  <si>
    <t>TINTA LIQUIDA  PARA   SELLOS 60 ML AZUL</t>
  </si>
  <si>
    <t>TINTA LIQUIDA PARA  SELLOS  60 ML ROJA</t>
  </si>
  <si>
    <t>COJIN PARA SELLO T/MEDIANO DE PLASTICO</t>
  </si>
  <si>
    <t>MARCADOR PARA PINTARRON  DE VARIOS COLORESC/4 PZAS</t>
  </si>
  <si>
    <t>PISTOLA DE SILICON  GRANDE DE USO RUDO</t>
  </si>
  <si>
    <t>BARRA DE SILICON GRUESA</t>
  </si>
  <si>
    <t>MOÑO PARA REGALO MAGICO METALICO T/GRANDE C/10  COLOR ROSA MEXICANO, VERDE BANDERA, AMARILLO, PLATA CON 50 PZAS.</t>
  </si>
  <si>
    <t>MOÑO PARA REGALO MAGICO METALICO T/MEDIANO C/10  COLOR ROSA MEXICANO, VERDE BANDERA, AMARILLO, PLATA CON 50 PZAS.</t>
  </si>
  <si>
    <t>MOÑO PARA REGALO MAGICO METALICO T/CHICO C/10  COLOR ROSA MEXICANO, VERDE BANDERA, AMARILLO, PLATACON/50 PZAS.</t>
  </si>
  <si>
    <t>ARILLO METALICO  MEDIDA 08 MM PAQ. CON 25 PZAS</t>
  </si>
  <si>
    <t>ARILLO DE METALICO 12MM   CON 25</t>
  </si>
  <si>
    <t>TAPETE MOUSE PAD CON REPOSAMUÑECAS</t>
  </si>
  <si>
    <t>GUILLOTINA DE ACERO INOXIDABLE 15" X 12"</t>
  </si>
  <si>
    <t>NOTAS ADHESIVAS (POST-IT) 400 HOJAS 5.1CMx5.1cm (CUBO) COLORES FLUORESCENTES</t>
  </si>
  <si>
    <t>NOTAS ADHESIVAS (POST-IT) CON 6 BLOCK (90 HOJAS) 3X3" COLORES FLUORESCENTES PARA DISPENSADOR</t>
  </si>
  <si>
    <t xml:space="preserve"> HOJA OPALINA DELGADA BLANCA C/100 PZAS 120 GRS APROX</t>
  </si>
  <si>
    <t>PASTA PARA ENGARGOLAR TAMAÑO CARTA C/25 JUEGOS COLOR ROSA MEXICANO</t>
  </si>
  <si>
    <t xml:space="preserve"> PAPEL KRAFT CAFÉ PARA ENVOLTURA DE 43CM DE ANCHO, 30.5 METROS DE LARGO</t>
  </si>
  <si>
    <t>PASTA PARA ENGARGOLAR TAMAÑO CARTA C/25 JUEGOS COLOR TRANSPARENTE</t>
  </si>
  <si>
    <t>LIBRETA PASTA DURA FRANCESA RAYADA. C/100 HOJAS</t>
  </si>
  <si>
    <t>LIBRETA EJECUTIVA ACABADO PIEL 9X14 COLOR  ROSITA, MOSTAZA, CHEDRON Y NEGRO</t>
  </si>
  <si>
    <t>SERVILLETAS C/100 PZAS.</t>
  </si>
  <si>
    <t>SERVILLETAS CUADRADA C/200 PZAS.</t>
  </si>
  <si>
    <t>BOLSAS HERMETICAS MULTIUSOS TRANSPARENTES DE 17,7CM X19,5 CM / CON 25 PZAS. ABRE  FÁCIL.</t>
  </si>
  <si>
    <t xml:space="preserve">ESPUMA LIMPIADORA </t>
  </si>
  <si>
    <t>LIMPIADOR DE PANTALLAS</t>
  </si>
  <si>
    <t>TINTAS PARA IMPRESORAS CON 4 PIEZAS MODELO L3150, COLOR NEGRO, AMARILLO, MAGENTA Y CIAN</t>
  </si>
  <si>
    <t>LIMPIADOR PARA PISOS DE MADERA DE 750 ML</t>
  </si>
  <si>
    <t>BLANQUEADOR DESINFECTANTE DE 3.75 LTS</t>
  </si>
  <si>
    <t>LAVATRASTES LIQUIDO DE 1.2 LT</t>
  </si>
  <si>
    <t>SPRAY SOLUCIÓN ANTIBACTERIAL DE 75 ML. ( DE BOLSILLO)</t>
  </si>
  <si>
    <t>SPRAY SOLUCIÓN ANTIBACTERIAL DE  200ML</t>
  </si>
  <si>
    <t>INSECTICIDA EN AEROSOL  DE 400 ML.</t>
  </si>
  <si>
    <t xml:space="preserve"> TOALLAS ANTIBACTERIALES DE BOLSILLO C/10PZAS.</t>
  </si>
  <si>
    <t>PAPEL HIGIENICO  C/32 PZAS</t>
  </si>
  <si>
    <t>PAÑUELOS FACIALES BOUTIQUE C/60 PZAS</t>
  </si>
  <si>
    <t>PAÑUELOS FACIALES BOUTIQUE  C/90 PZAS</t>
  </si>
  <si>
    <t>PAÑUELOS FACIALES  SELLA-PACK  8  PAQUETES CON 15/PZA C/U DE BOLSILLO)</t>
  </si>
  <si>
    <t xml:space="preserve"> FAJILLAS DE TOALLAS INTERDOBLADAS  C/100 PZAS</t>
  </si>
  <si>
    <t>SEMILLAS MIX ANTIOXIDANTE  1 70 GR.</t>
  </si>
  <si>
    <t>NUEZ DE LA  INDIA 170 GR.</t>
  </si>
  <si>
    <t>CIRUELA PASA DE  250 GR</t>
  </si>
  <si>
    <t>CAFÉ MOLIDO  C/ 1..36KG</t>
  </si>
  <si>
    <t>SUSTITUTO DE AZUCAR PAQ.CON  C/100 PZAS.</t>
  </si>
  <si>
    <t>GALLETA SURTIDA RICO DE 436 G.</t>
  </si>
  <si>
    <t>GALLETAS DE MANTEQUILLA DE 750 G.</t>
  </si>
  <si>
    <t xml:space="preserve"> GALLETAS SABOR LIMON Y SABOR VAINILLA C/6 PAKETINES( 11 CAJAS DE CADA SABOR)</t>
  </si>
  <si>
    <t xml:space="preserve"> AGUA MINERALIZADA LIMON &amp; NADA DE   600 ML. C/24 PZAS.</t>
  </si>
  <si>
    <t xml:space="preserve"> AGUA MINERAL SABOR FRESA Y NATURAL DE 355 ML. C/24PZAS.( 2 CHAROLAS DE CADA SABOR)</t>
  </si>
  <si>
    <t xml:space="preserve"> NECTAR DE DURAZNO DE 355ML, C/12PZAS.</t>
  </si>
  <si>
    <t xml:space="preserve"> AGUA EMBOTELLADA DE 500 ML. C/ 24 PZAS.</t>
  </si>
  <si>
    <t>REFRESCO LIGH DE LATA DE  355 ML. PACK/12PZAS.</t>
  </si>
  <si>
    <t xml:space="preserve"> BEBIDA DE RAIZ DE 600 ML.  C/12 PZAS.</t>
  </si>
  <si>
    <t xml:space="preserve"> TE DE LIMON  C/25 SOBRES  </t>
  </si>
  <si>
    <t xml:space="preserve"> TE DE MANZANILLA C/25 SOBRES</t>
  </si>
  <si>
    <t xml:space="preserve"> TE RELAX  C/20 SOBRES  </t>
  </si>
  <si>
    <t xml:space="preserve"> TE  DE HIERBABUENA C/25 SOBRES</t>
  </si>
  <si>
    <t>CARAMELO DE CAFE C/100 PZAS</t>
  </si>
  <si>
    <t xml:space="preserve"> BOCADILLOS (CANAPES) C/ 25 PZAS</t>
  </si>
  <si>
    <t>ALIMENTOS PREPARADOS</t>
  </si>
  <si>
    <t>LATA</t>
  </si>
  <si>
    <t>JUEGO DE CUBIERTOS DE ACERO INOXIDABLE C/20 PZAS.                             (TENEDOR Y CUCHARA CAFETERA)</t>
  </si>
  <si>
    <t>JUEGO DE CUCHILOS DE COCINA C/ 6 PZAS</t>
  </si>
  <si>
    <t>ORGANIZADOR DE CUBIERTOS</t>
  </si>
  <si>
    <t>JUEGO DE TAZAS CON PLATILLOS DE 6 JUEGOS, PORCELANA 8 ONZAS COLOR BLANCO</t>
  </si>
  <si>
    <t>JUEGO DE VASOS DE VIDRIO C/6 PZAS.</t>
  </si>
  <si>
    <t>CAFETERA PROGRAMABLE POR GOTEO PARA 6 TAZAS COLOR NEGRO/PLATA</t>
  </si>
  <si>
    <t xml:space="preserve"> KIT CARGADOR DE PILAS RECARGABLES  CON  4 PILAS AA + 4 PILAS RECARGABLES AAA</t>
  </si>
  <si>
    <t xml:space="preserve">  LOSARTAN DE 50 MG. CON 30 TABLETAS</t>
  </si>
  <si>
    <t xml:space="preserve">LOPERAMIDA DE 2 MG. CON 8 TABLETAS </t>
  </si>
  <si>
    <t>LORATIDINA DE 10 MG. CON 10 TABLETAS</t>
  </si>
  <si>
    <t xml:space="preserve">TYLEX DE 750 MG. CON 20 TABLETAS  </t>
  </si>
  <si>
    <t xml:space="preserve"> OMEPRAZOL DE 20 MG. CON 30 CAPSULAS  </t>
  </si>
  <si>
    <t xml:space="preserve"> IBUPROFENO DE  800 MG CON 10 TABLETAS. </t>
  </si>
  <si>
    <t xml:space="preserve"> FEXOFENADINA DE 120 MG. CON 10 TABLETAS</t>
  </si>
  <si>
    <t>BUSCAPINA COMPUESTA 10/250 MG. CON 20 TABLETAS</t>
  </si>
  <si>
    <t>SAL DE UVAS PICOT C/10 SOBRES</t>
  </si>
  <si>
    <t>BOTIQUIN PARA PRIMEROS AUXILIOS</t>
  </si>
  <si>
    <t>CINTA MICROPORE BLANCA DE 1.25X5M</t>
  </si>
  <si>
    <t>BLUSAS  MANGA LARGA  CON  LOGO OFICIAL</t>
  </si>
  <si>
    <t>TOALLA DE BAÑO PARA MANOS DE  COLOR BEICH DE 40X70 CM.</t>
  </si>
  <si>
    <t>TOALLITAS FACIALES LIMPIADORES  DE TELA DE ALGODÓN C/4 PZAS</t>
  </si>
  <si>
    <t>ROLLO  DE LISTON SATINADO DE 4 CM C/25 MTR ROSA MEXICANO</t>
  </si>
  <si>
    <t>ROLLO  DE LISTON SATINADO DE 3 CM C/25 MTR AMARILLO</t>
  </si>
  <si>
    <t>ROLLO  DE LISTON SATINADO DE  1CM C/25 MTR ROJO</t>
  </si>
  <si>
    <t>TECLADO Y MOUSE INALAMBRICO ESTANDAR COLOR NEGRO</t>
  </si>
  <si>
    <t xml:space="preserve">MEMORIA USB 128GB </t>
  </si>
  <si>
    <t>ARREGLO FLORAL</t>
  </si>
  <si>
    <t>INFORME DE ACTIVIDADES</t>
  </si>
  <si>
    <t>ESCRITORIO  EJECUTIVO  EN FORMA  L</t>
  </si>
  <si>
    <t>SILLA EJECUTIVA</t>
  </si>
  <si>
    <t>SILLA DE VISITA PARA OFICINA</t>
  </si>
  <si>
    <t xml:space="preserve">COMPUTADORA ALL IN ONE  205 G4/7F5K0LT/21.5 PULGADA 4K UHD AMD RYZEN 3, 8 GB RAM 256 GB SSD, COLOR INDISTINTO </t>
  </si>
  <si>
    <t>VIVIR A LO GRANDE</t>
  </si>
  <si>
    <t>MARCATEXTOS FLUORESCENTES PUNTO DELGADO COLORES VARIOS</t>
  </si>
  <si>
    <t>COLORES DE  MADERA LARGOS C/24 PZAS</t>
  </si>
  <si>
    <t>BOLÍGRAFO PUNTO FINO AZUL C/12 PZAS</t>
  </si>
  <si>
    <t>BOLÍGRAFO PUNTO FINO NEGRO C/12 PZAS</t>
  </si>
  <si>
    <t>LÁPIZ GRAFITO DEL NO. 2 C/12 PZAS</t>
  </si>
  <si>
    <t>TIJERA DE OFICINA DE ACERO INOXIDABLE CON AGARRADERA DE PLÁSTICO</t>
  </si>
  <si>
    <t>ENGRAPADORA  TIRA COMPLETA METÁLICA</t>
  </si>
  <si>
    <t>GRAPA ESTÁNDAR 26/6,  C/5000 PZAS</t>
  </si>
  <si>
    <t>MARCADOR PERMANENTE DE COLORES DELGADOS DE AGUA</t>
  </si>
  <si>
    <t>LÁPIZ ADHESIVO 40 GR (JUMBO)</t>
  </si>
  <si>
    <t>CÚTER GRANDE DE PLÁSTICO</t>
  </si>
  <si>
    <t>TINTA PARA COJÍN DE SELLOS 60 ML NEGRA</t>
  </si>
  <si>
    <t>COJÍN PARA SELLOS DEL NO. 1 MEDIANO DE PLÁSTICO</t>
  </si>
  <si>
    <t xml:space="preserve"> SILICÓN   LIQUIDO FRIO  100ML</t>
  </si>
  <si>
    <t>CINTA DOBLE CARA</t>
  </si>
  <si>
    <t>ABRILLANTADOR DE GLOBOS</t>
  </si>
  <si>
    <t>BOLSA C/100GLOBOS</t>
  </si>
  <si>
    <t xml:space="preserve">INFLADOR DE GLOBOS ELECTRICO </t>
  </si>
  <si>
    <t>PAQUETE DE HOJA OPALINA DELGADA BLANCA C/100 PZAS 120 GRS APROXIMADAMENTE.</t>
  </si>
  <si>
    <t>PAPEL BOND COLOR ROSA DE 70 X 95 DE 50 KG</t>
  </si>
  <si>
    <t>PAPEL CREPE DIFERENTES COLORES</t>
  </si>
  <si>
    <t>FOMY DIAMANTADOS TAMAÑO CARTA</t>
  </si>
  <si>
    <t>FOMY  VARIOS COLORES TAMAÑO CARTA</t>
  </si>
  <si>
    <t xml:space="preserve">SERVILLETA  DE MANTA  PARA BORDAR  A MANO 45X50 CM </t>
  </si>
  <si>
    <t xml:space="preserve">PELOTAS LISAS 22CM </t>
  </si>
  <si>
    <t>AGUJAS PARA BORDAR  PAQUETE DE 25</t>
  </si>
  <si>
    <t xml:space="preserve">BOLITA DE ESTAMBRE DE COLORES PARA BORDAR </t>
  </si>
  <si>
    <t>AROS DE MADERA PARA BORDAR (MEDIANO)</t>
  </si>
  <si>
    <t>BOLSA PLANA DE 46*35 TRANSPARENTE</t>
  </si>
  <si>
    <t>REGULADOR DE VOLTAJE</t>
  </si>
  <si>
    <t>MEMORIA DE USB DE 16 GB</t>
  </si>
  <si>
    <t>CARTUCHO DE LASER JET PRO M404N MODELO 58 A COLOR NEGRO</t>
  </si>
  <si>
    <t>RENTA DE MUEBLES</t>
  </si>
  <si>
    <t>LONA 2X1.50</t>
  </si>
  <si>
    <t>LONA 2.4 4 MTRS X 4.88 MTRS.</t>
  </si>
  <si>
    <t>EVENTO DE VIVIR A LO GRANDE</t>
  </si>
  <si>
    <t>COMPUTADORA DE ESCRITORIO CON MONITOR 24" MOUSE Y TECLADO INALÁMBRICO  PROCESADOR CORE I5 11VA GENERACIÓN SSD 500 GB HDD 1 TERA TARJETA VIDEO RAM 16 GB</t>
  </si>
  <si>
    <t>IMPRESORA MULTIFUNCIONAL ESCÁNER, COPIADORA E IMPRESIONES, SMART TANK 500 DE TINTA CONTINUA IMPRESORA A COLOR WIFI SMART QUE INCLUYA UN JUEGO ADICIONAL DE REPUESTO DE TÓNER ORIGINAL</t>
  </si>
  <si>
    <t>PLANEACION</t>
  </si>
  <si>
    <t>COMPRESOR DE AIRE ELECTRICO 120 LTS. 3HP COD.19359</t>
  </si>
  <si>
    <t>CLIP CUADRADO NO. 1  C/100 PZAS</t>
  </si>
  <si>
    <t>AGENDA DE EJECUTIVA</t>
  </si>
  <si>
    <t>LIBRETA  PASTA DURA 1/4 FORMA FRANCESA 96 HOJAS</t>
  </si>
  <si>
    <t>SUJETADOR DOCUMENTOS 32MM C/12 PIEZAS</t>
  </si>
  <si>
    <t>BOLIGRAFO TINTA NEGRA</t>
  </si>
  <si>
    <t xml:space="preserve">BOLIGRAFO TINTA AZUL </t>
  </si>
  <si>
    <t>LAPIZ GRAFITO AMARILLO</t>
  </si>
  <si>
    <t>LAPIZ ADHESIVO 40GR (JUMBO)</t>
  </si>
  <si>
    <t>MARCA TEXTOS FLUORECENTES PUNTO DELGADO COLORES VARIOS</t>
  </si>
  <si>
    <t>CORRECTOR LIQUIDO EN LAPIZ</t>
  </si>
  <si>
    <t>BORRADOR DE MIGAJON  MEDIDAS 4X2.5X1.5CM M-20</t>
  </si>
  <si>
    <t xml:space="preserve">CERA CUENTA FACIL </t>
  </si>
  <si>
    <t>CINTA CANELA DE 48 MM. X 50 M</t>
  </si>
  <si>
    <t>CINTA ADHESIVA TRANSP. DE 48 MM. X50 M</t>
  </si>
  <si>
    <t>GRAPA ESTÁNDAR 26/6  C/5000 PZAS</t>
  </si>
  <si>
    <t xml:space="preserve">HOJAS BLANCAS TAMAÑO OFICIO </t>
  </si>
  <si>
    <t>FOLDER CARTA  COLOR CREMA C/100</t>
  </si>
  <si>
    <t xml:space="preserve">SOBRES MANILA AMARILLO TAMAÑO OFICIO </t>
  </si>
  <si>
    <t>PAQUETE DE HOJA OPALINA DELGADA BLANCA C/100 PZAS 120 GRS APROX</t>
  </si>
  <si>
    <t>NOTAS  ADHESIVAS (POS-IT) 400  HOJAS  7.6X7.6 C.M</t>
  </si>
  <si>
    <t xml:space="preserve">POST.IT DE BANDERITAS DE COLORES </t>
  </si>
  <si>
    <t xml:space="preserve">CAJA DE ARCHIVO MUERTO TAMAÑO OFICIO </t>
  </si>
  <si>
    <t xml:space="preserve">PAQUETE </t>
  </si>
  <si>
    <t>MOUSE ALAMBRICO OPTICO</t>
  </si>
  <si>
    <t>MEMORIA USB DE 32 GB</t>
  </si>
  <si>
    <t>SERVICIO DE CAPACITACION DE PRESUPUESTACION</t>
  </si>
  <si>
    <t>EVALUACION Y ASESORIA A LA OPERACIÓN DE LA APORTACION FEDERAL PARA LA ASISTENCIA SOCIAL (FAM)</t>
  </si>
  <si>
    <t>ARCHIVO</t>
  </si>
  <si>
    <t>CLIP MARIPOSA NO.2</t>
  </si>
  <si>
    <t>MARCATEXTO  AMARILLO</t>
  </si>
  <si>
    <t>DISCO DURO EXTERNO 2TB</t>
  </si>
  <si>
    <t>SALUD</t>
  </si>
  <si>
    <t>BARRA DE SILICON DELGADA</t>
  </si>
  <si>
    <t>BARRA DE SILICON  GRUESO</t>
  </si>
  <si>
    <t>BOLIGRAFO PUNTA MEDIANA COLOR AZUL c/12</t>
  </si>
  <si>
    <t>BOLIGRAFO PUNTA MEDIANA COLOR NEGRO c/12</t>
  </si>
  <si>
    <t>BORRADOR DE MIGAJON MEDIDAS 4X2.5X1.5CM M-20 c/20</t>
  </si>
  <si>
    <t>CINTA ADHESIVA TRANSPARENTE GRANDE 24 MM X 65 M</t>
  </si>
  <si>
    <t>CINTA MASKINGTAPE</t>
  </si>
  <si>
    <t>CINTA ADHESIVA TRANSPARENTE CHICA 48 MM X 50 M</t>
  </si>
  <si>
    <t>CLIPS CUADRADOS NO. 3 C/100 PZAS</t>
  </si>
  <si>
    <t>CLIPS JUMBO c/100</t>
  </si>
  <si>
    <t xml:space="preserve"> CUTER GRANDE CON 10 PZA</t>
  </si>
  <si>
    <t>ENGRAPADORA  MEDIA TIRA METALICA</t>
  </si>
  <si>
    <t>LAPIZ MIRADO No. 2 C/12</t>
  </si>
  <si>
    <t>LIBRETA PROFESIONAL CON 100 HOJAS</t>
  </si>
  <si>
    <t>LIGAS CHICAS NO. 33</t>
  </si>
  <si>
    <t>MARCADOR PERMANETE DE COLORES DELGADOS DE AGUA</t>
  </si>
  <si>
    <t>SEPARADOR DE LA A-Z TAMAÑO CARTA</t>
  </si>
  <si>
    <t>COJIN PARA HUELLAS</t>
  </si>
  <si>
    <t>TINTA PARA COJIN NEGRO</t>
  </si>
  <si>
    <t>CHINCHETA C/100 P</t>
  </si>
  <si>
    <t>PAPEL CREPÉ DIFERENTES COLORES</t>
  </si>
  <si>
    <t>HOJA OPALINA DELGAD BLANCA C/100 PZAS  220 GRS APROX</t>
  </si>
  <si>
    <t>PAPEL T/CARTA COMPATIBLE CON IMPRESORAS LASER E INKJET, FOTOCOPIADORAS, FAXES, ETC CAJA C/10 PAQUETES DE 500 HOJAS</t>
  </si>
  <si>
    <t>PAPEL T/OFICIO COMPATIBLE CON IMPRESORAS LASER E INKJET, FOTOCOPIADORAS, FAXES, ETC CAJA C/10 PAQUETES DE 500 HOJAS</t>
  </si>
  <si>
    <t xml:space="preserve">PAPEL CHINA COLORES </t>
  </si>
  <si>
    <t>PAPEL LUSTRE</t>
  </si>
  <si>
    <t>CARPETA BLANCA VINILICA DE 3 ARGOLLA DE 3" T/CARTA</t>
  </si>
  <si>
    <t>CARPETA BLANCA VINILICA DE 3 ARGOLLA DE 2" T/CARTA</t>
  </si>
  <si>
    <t>CARPETA BLANCA VINILICA DE 3 ARGOLLA DE 5" T/CARTA</t>
  </si>
  <si>
    <t>FÓMIX PLIEGO LISO 70X95</t>
  </si>
  <si>
    <t>FÓMIX PLIEGO ADIAMANTADO DIFERENTES COLORES 70X95</t>
  </si>
  <si>
    <t>PEGAMENTO BLANCO LIQUIDO 1 LTRO</t>
  </si>
  <si>
    <t>PLIEGO</t>
  </si>
  <si>
    <t>FRASCOS</t>
  </si>
  <si>
    <t>TONER DE COLOR</t>
  </si>
  <si>
    <t xml:space="preserve">TONER NEGRO </t>
  </si>
  <si>
    <t>CLORO 1L.</t>
  </si>
  <si>
    <t xml:space="preserve">PINOL 1L. </t>
  </si>
  <si>
    <t xml:space="preserve">JABÓN LÍQUIDO P/MANOS </t>
  </si>
  <si>
    <t>JABON EN POLVO 1 KG.</t>
  </si>
  <si>
    <t>GUANTES DE LATEX ROJO</t>
  </si>
  <si>
    <t>GALON</t>
  </si>
  <si>
    <t>PAR</t>
  </si>
  <si>
    <t>CRAYOLAS C/24 PZAS GRUESA VARIOS COLORES</t>
  </si>
  <si>
    <t>PLASTILINA VARIOS COLORES</t>
  </si>
  <si>
    <t>JUEGO DE MESA (ADIVINA QUIEN)</t>
  </si>
  <si>
    <t>JUEGOS DE MESA (MEMORAMA)</t>
  </si>
  <si>
    <t>LIBRO INFANTIL PARA COLOREAR 190 hojas</t>
  </si>
  <si>
    <t>LIBRO DE CUENTOS (CENICIENTA, BLANCA NIEVES, RAPUNSEL, 5 DE CADA UNO )</t>
  </si>
  <si>
    <t>PERSIANAS DE PVC VARIAS MEDIDAS</t>
  </si>
  <si>
    <t>ACIDO ACETILSALICILICO DE LIBERACIÓN  PROLONGADA  300 MG. C/30 TABLETAS</t>
  </si>
  <si>
    <t>ALOPURINOL 300 MG. C/20 TABLETAS</t>
  </si>
  <si>
    <t xml:space="preserve">AMBROXOL/DEXTROMETORFANO 150/113mg    C/120ml JARABE </t>
  </si>
  <si>
    <t>AMLODIPINO 5mg. C/10 TABLETAS</t>
  </si>
  <si>
    <t>AMOXICILINA /AC. CLAVULANICO SUSPENCION 250mg/62.5/ 5ml  C/75ML</t>
  </si>
  <si>
    <t>AMOXICILINA /AC. CLAVULANICO 500mg./125 mg.   C/15 caps.</t>
  </si>
  <si>
    <t>AMOXICILINA  500 MG. C/12 CAPTSULAS</t>
  </si>
  <si>
    <t>AMOXICILINA SUSP. 500 mg./5ml  C/75 ml.</t>
  </si>
  <si>
    <t>ATORVASTATINA TABL. 20 MG. C/10 TABLETAS</t>
  </si>
  <si>
    <t>AZITROMICINA 500mg  C/3 TABLETAS</t>
  </si>
  <si>
    <t>BEZAFIBRATO  200 MG. C/30 TBLETAS</t>
  </si>
  <si>
    <t>CAPTOPRIL  25 MG. C/30 TBLETAS</t>
  </si>
  <si>
    <t>CEFALEXINA SUSP. 250 MG. /5ML C/100ML</t>
  </si>
  <si>
    <t>CEFALEXINA CAPS. 500 MG. C/12 CAPSULAS</t>
  </si>
  <si>
    <t>CIPROFLOXACINO TABL. 500 MG. C/14 TABLETAS</t>
  </si>
  <si>
    <t>CLARITROMICINA TABL. 250 MG. C/10 TABLETAS</t>
  </si>
  <si>
    <t>CLINDAMICINA TABL. 300 MG. C/16 TABLETAS</t>
  </si>
  <si>
    <t>DICLOFENACO TABL. 100 MG. C/20 TABLETAS</t>
  </si>
  <si>
    <t>DICLOXACILINA CAPS. 500 MG. C/20 CAPSULAS</t>
  </si>
  <si>
    <t>DICLOXACILINA SUSP. 250mg/ 5ml    C/60ml</t>
  </si>
  <si>
    <t>DICLOFENACO CREMA GEL 1.235% C/60 GRS.</t>
  </si>
  <si>
    <t>ERITROMICINA SUSPENSION 25mg/5ml C/100ml</t>
  </si>
  <si>
    <t xml:space="preserve">ERITRIMICINA 500MG.C/20 TABLETAS   </t>
  </si>
  <si>
    <t>HIDROCLORITIAZIDA  25 MG. C/30 TABLETAS</t>
  </si>
  <si>
    <t>IBUPROFECNO SUSP. 2 G/100ML. CC/120ML</t>
  </si>
  <si>
    <t>IBUPROFENO  600 MG. C/10 TABLETAS</t>
  </si>
  <si>
    <t>KETOROLACO TABL. 10 MG. C/10 TABLETAS</t>
  </si>
  <si>
    <t>KETOROLACO TABL. 30 MG. C/6 TABLETAS SUBLINGUALES</t>
  </si>
  <si>
    <t>LOPERAMIDA 2MG C/12 TABLETAS</t>
  </si>
  <si>
    <t>LORATADINA JARABE 100MG/100 ML.</t>
  </si>
  <si>
    <t>LORATADINA 10 MG.  C/10 TABLETAS</t>
  </si>
  <si>
    <t>METFORMINA TABL. 850 MG. C/30 TABLETAS</t>
  </si>
  <si>
    <t>METOCARBAMOL CON IBUPROFENO 500/200 MG C/30 TABLETAS</t>
  </si>
  <si>
    <t>METOCLOPRAMIDA SOLUCION ORAL 400MG C/20  ML</t>
  </si>
  <si>
    <t xml:space="preserve">METOCLOPRAMIDA 10 MG C/20 TABLETAS </t>
  </si>
  <si>
    <t>METOPROLOL TABL. 100 MG. C/20 TABLETAS</t>
  </si>
  <si>
    <t>NAPROXEN SODICO TAB. 250 MG. C/30 TABLETAS</t>
  </si>
  <si>
    <t>NAPROXEN SODICO TAB. 500 MG. C/30 TABLETAS</t>
  </si>
  <si>
    <t>NAPROXEN/PARACETAMOL 300/275 MG C/10 TABLETAS</t>
  </si>
  <si>
    <t>NAPROXEN/PARACETAMOL 125/100 MG 100ML SUSPENSIÓN</t>
  </si>
  <si>
    <t>OMEPRAZOL CAPS. 20 MG. C/14 CAPSULAS</t>
  </si>
  <si>
    <t>PARACETAMOL 500 MG C/10 TABLETAS</t>
  </si>
  <si>
    <t>PARACETAMOL GOTAS 100mg/ml   C/30ml</t>
  </si>
  <si>
    <t>PARACETAMOL JARABE 3.2/100 ML C/120 ML</t>
  </si>
  <si>
    <t>PIOGLITAZONA 30MG C/7 TABLETAS</t>
  </si>
  <si>
    <t>PIROXICAM TABL. 20 MG. C/20 TABLETAS</t>
  </si>
  <si>
    <t>PROPANOLOL TABL. 40 MG. C/30 TABLETAS</t>
  </si>
  <si>
    <t>ROSEL-T JARABE. 30g/0.5g/0.2g  C/60 ml</t>
  </si>
  <si>
    <t>ROSEL-T TABL. 50/3/300 MG. c/15 TABLETAS</t>
  </si>
  <si>
    <t xml:space="preserve">SUERO ORAL    C/25 SOBRES </t>
  </si>
  <si>
    <t>TRIMETOPRIMA/SULFAMETOXAZOL SUSP. 40mg 200mg/5ml  120ML</t>
  </si>
  <si>
    <t>TRIMETOPRIMA/SULFAMETOXAZOL  800  MG./160 MG. C/20 TABLETAS</t>
  </si>
  <si>
    <t>ETORICOXIB  90mg C/14 MG</t>
  </si>
  <si>
    <t>CELECOXIB 200MG  C/10 TABLETAS</t>
  </si>
  <si>
    <t>IBUPROFENO 400 MG C/10 TABLETAS</t>
  </si>
  <si>
    <t>TRIMERBUTINA/SIMETICONA 200/75MG. COMPRIMIDOS C/24</t>
  </si>
  <si>
    <t>LOSARTAN 50MG  C/30 TABLETAS</t>
  </si>
  <si>
    <t>COMPLEJO B CON DICLOFENACO 50/50/1.00MG. c/30 TAB LETAS</t>
  </si>
  <si>
    <t>COMPLEJO B KETOPROFENO  100/50/5/100 MG   C/30 TABLETAS</t>
  </si>
  <si>
    <t>COMPLEJO B TABLETAS 100/5MG/50MCG</t>
  </si>
  <si>
    <t>ANESTECIA SCANDONES AL 2% SIN VASO CONSTRICTOR</t>
  </si>
  <si>
    <t>ANESTECIA SCANDONES AL 3% SIN VASO CONSTRICTOR</t>
  </si>
  <si>
    <t>ANESTECIA DENTOCAIN 2% CAJA C/50</t>
  </si>
  <si>
    <t>ANESTECIA DENTOCAIN 3% CAJA C/50</t>
  </si>
  <si>
    <t>LIDOCAINA SIMPLE 2% SPRAY</t>
  </si>
  <si>
    <t>FRASCO</t>
  </si>
  <si>
    <t xml:space="preserve">FRASCO </t>
  </si>
  <si>
    <t>ABATELENGUAS DE MADERA DE 18X15 CM C/100</t>
  </si>
  <si>
    <t>ACIDO GRAVADOR JUMBO JERINGA 30 ML</t>
  </si>
  <si>
    <t>AGUA OXIGENADA 220 ML</t>
  </si>
  <si>
    <t>AGUJA HIPODERMICA DESECHABLE DE 22GX32MM (NEGRO)</t>
  </si>
  <si>
    <t>AGUJA DENTAL LARGA 27MM</t>
  </si>
  <si>
    <t>AGUJA DENTAL EXTRA CORTA 30X12MM</t>
  </si>
  <si>
    <t xml:space="preserve">AGUJAS SEPTOJET CORTA </t>
  </si>
  <si>
    <t>ALGODÓN PLISADO 100 GRMS</t>
  </si>
  <si>
    <t>ALVEOGYL</t>
  </si>
  <si>
    <t xml:space="preserve">ARCO DE JOUNG METALICO </t>
  </si>
  <si>
    <t>BATA QUIRURGICA PARA CIRUJANO DESECHABLE DEMEVA C/10 PZAS MANGA Y PUÑO</t>
  </si>
  <si>
    <t xml:space="preserve">BOTA FRESA TIPO JAPONES </t>
  </si>
  <si>
    <t>BROCHA (CEPILLO PARA PROFILAXIS)</t>
  </si>
  <si>
    <t>CAJA PARA LIMAS VERTICAL MINIENDO</t>
  </si>
  <si>
    <t xml:space="preserve">BANDA MATRIZ </t>
  </si>
  <si>
    <t xml:space="preserve">CINTA TESTIGO  </t>
  </si>
  <si>
    <t xml:space="preserve">GANCHO RADIOGRAFIA </t>
  </si>
  <si>
    <t>CLORURO DE SODIO SOL. FCO. 1L (SOLUCIÓN FISIOLOGICA)</t>
  </si>
  <si>
    <t>COPA PARA PROFILAXIS C/100PZA</t>
  </si>
  <si>
    <t xml:space="preserve">CTZ CEMENTO PEDIATRICO 40 CAPSULAS </t>
  </si>
  <si>
    <t xml:space="preserve">CUBRE BOCAS AZUL </t>
  </si>
  <si>
    <t>CUCHARILLA PARA FLUOR, DOBLE. SURTIDA GRANDE, IONITE</t>
  </si>
  <si>
    <t>CURITA C/100PZ TRANSPIEL</t>
  </si>
  <si>
    <t>DENTOCAIN SIMPLE MEPIVACAINA 3% S/VASOCONT BLISTER</t>
  </si>
  <si>
    <t>DIQUE  6X6 MEDIO AZUL CAJA C/36</t>
  </si>
  <si>
    <t>ELEVADORES BEIN 2 MM</t>
  </si>
  <si>
    <t>ELEVADORES RECTOS APICAL 301</t>
  </si>
  <si>
    <t>ELEVADORES RECTOS APICAL 303 DER.</t>
  </si>
  <si>
    <t>EUGENOL 30ML</t>
  </si>
  <si>
    <t>FC REDONDA NO. 2 FG</t>
  </si>
  <si>
    <t>FC REDONDA NO. 4 FG</t>
  </si>
  <si>
    <t>FC REDONDA NO. 6 FG</t>
  </si>
  <si>
    <t>FIJADOR SEYCO FRASCO 250ML PARA PREPARAR 1.25L</t>
  </si>
  <si>
    <t xml:space="preserve">FORCEPS 150SK P/DIENTE SUPERIOR </t>
  </si>
  <si>
    <t xml:space="preserve">FORCEPS 235K P/DIENTES SUPERIOR </t>
  </si>
  <si>
    <t>FORCEPS ADULTO PARA MOLARES INFERIORES UNIVERSAL NO.23</t>
  </si>
  <si>
    <t>FORCEPS ADULTO PARA MOLARES SUPERIOR, DERECHO NO. 88R</t>
  </si>
  <si>
    <t>FORMOCRESOL 10 ML</t>
  </si>
  <si>
    <t>FRESA DE CARBURO FGOS 6</t>
  </si>
  <si>
    <t>FRESA DE CARBURO FGOS 703</t>
  </si>
  <si>
    <t>FRESA DE CARBURO HP 703</t>
  </si>
  <si>
    <t>FRESA DE CARBURO HP 8</t>
  </si>
  <si>
    <t>FRESA DIAMANTE BR 31 REDONDA GRANO MEDIO 001-018</t>
  </si>
  <si>
    <t>FRESA DIAMANTE BR 45 REDONDA GRANO MEDIO 001-010</t>
  </si>
  <si>
    <t xml:space="preserve">FRESA DIAMANTE GF TC 11F FIS PTA LARGA </t>
  </si>
  <si>
    <t>FRESA DIAMANTE TR 13 FISURA GD GRANO MEDIO 198-018</t>
  </si>
  <si>
    <t>FRESA GATES SURTIDA 1-6 DE 32 MM C/6 PZ</t>
  </si>
  <si>
    <t>FRESA PEESO SURTIDA  1-6 DE 32 MM MANI</t>
  </si>
  <si>
    <t>FRESA PIEDRA VERDE</t>
  </si>
  <si>
    <t>FRESON DE ACERO BARRIL MOD.E06</t>
  </si>
  <si>
    <t>FUJI I IONOMERO GC GOLDEN LABEL 1 GRANDE VERDE</t>
  </si>
  <si>
    <t>FUJI II AUTO STS GOLDEN LABEL 21 GRANDE15GR CON 8ML ROJO</t>
  </si>
  <si>
    <t>FUJI II LC GRANDE A2 NEGRO</t>
  </si>
  <si>
    <t>GASA ESTERIL DE ALGODÓN 10X10 CMS 12 PLIEGOS TRAMA 20X12</t>
  </si>
  <si>
    <t>GASA NO ESTERIL 5X5 P/200 PZ</t>
  </si>
  <si>
    <t>GEL ANTIBACTERIAL 70% ALCOHOL 1GL CON BOMBA</t>
  </si>
  <si>
    <t xml:space="preserve">GELATAM BLISTER ESPONJAS </t>
  </si>
  <si>
    <t>GERMISIN ESPUMA 1LT</t>
  </si>
  <si>
    <t>GORRO PLISADO AZUL 10 GR- BOLSAC/100PZ</t>
  </si>
  <si>
    <t>GRAPA PARA DIQUE DE HULE #2 CON ALETA</t>
  </si>
  <si>
    <t>GRAPA PARA DIQUE DE HULE #212 SIN ALETA</t>
  </si>
  <si>
    <t>GRAPA PARA DIQUE DE HULE #7 CON ALETA</t>
  </si>
  <si>
    <t xml:space="preserve">GUANTE PLUS LISO VIOLETA CHICO BAJO EN POLVO, NO ESTERIL </t>
  </si>
  <si>
    <t xml:space="preserve">GUANTE PLUS LISO VIOLETA MEDIANO BAJO EN POLVO, NO ESTERIL </t>
  </si>
  <si>
    <t>GUANTE LATEX ESTERILES</t>
  </si>
  <si>
    <t>PINZA PORTA GRAPA</t>
  </si>
  <si>
    <t>GUTAPERCHA  FM c/100</t>
  </si>
  <si>
    <t>GUTAPERCHA 15-40 C/120PZ</t>
  </si>
  <si>
    <t>GUTTAPERCHA FF</t>
  </si>
  <si>
    <t>HIDROXIDO DE CALCIO 45G.</t>
  </si>
  <si>
    <t>HOJA DE BISTURI NO. 15 DLP</t>
  </si>
  <si>
    <t>HOJA DE BISTURI NO. 20 DLP</t>
  </si>
  <si>
    <t>INTRO KIT Z250 XT C/4 JERINGAS, 3M</t>
  </si>
  <si>
    <t xml:space="preserve">IRM PAQUETE COLOR MARFIL </t>
  </si>
  <si>
    <t>JACQUETTE SU15/336, HU-FRIEDY</t>
  </si>
  <si>
    <t>JERINGA 10 ML SIN AGUJA</t>
  </si>
  <si>
    <t>JERINGA DL 20 ML. SIN AGUJA 50PZ</t>
  </si>
  <si>
    <t>JERINGA DL 3 ML. SIN AGUJA 50PZ</t>
  </si>
  <si>
    <t>JERINGA DL 5 ML. CON AGUJA 50PZ</t>
  </si>
  <si>
    <t>KIT DE PIEZA DE MANO DE ALTA Y BAJA TIPO E, MEDYDENTAL</t>
  </si>
  <si>
    <t xml:space="preserve">KIT ESPATULA PARA RESINA CON RECUBRIMIENTO DE TITANIO </t>
  </si>
  <si>
    <t xml:space="preserve">KRIT 500ML </t>
  </si>
  <si>
    <t>LENTE DE SEGURIDAD CLARO 2783</t>
  </si>
  <si>
    <t xml:space="preserve">LENTE NARANJA PARA LAMPARA </t>
  </si>
  <si>
    <t>LIJAS TERMINACIÓN PROXIMAL -100 TIRAS 4 MMX170MM</t>
  </si>
  <si>
    <t>LIMA K SURTIDA 15-40 25 MM C/6PZ</t>
  </si>
  <si>
    <t xml:space="preserve">MD-TEMP PLUS (CAVIT)WHITE </t>
  </si>
  <si>
    <t>MICROAPLICADOR FINO C/100PZ</t>
  </si>
  <si>
    <t xml:space="preserve">MINUTE FLUORS VARIOS SABORES 250ML </t>
  </si>
  <si>
    <t>OXIDO DE ZINC CON ENDURECEDOR 50GR.</t>
  </si>
  <si>
    <t>PAPEL P/ARTICULAR (1/2 ARCADA) 80 MIC.A/R</t>
  </si>
  <si>
    <t>PASTA DIAMANTADA EXCEL 2GR FGM</t>
  </si>
  <si>
    <t>PASTA PROFILACTICA VARIOS SABORES C/100G.</t>
  </si>
  <si>
    <t>PIEDRA DE ARKANAS BOLA</t>
  </si>
  <si>
    <t>PIEDRA DE ARKANZAS CONO (PINO)</t>
  </si>
  <si>
    <t>PIEDRA DE ARKANZAS FLAMA</t>
  </si>
  <si>
    <t>PIEDRA ROSA MONTADA NO. 1</t>
  </si>
  <si>
    <t>PINZA PERFORADORA PARA DIQUE</t>
  </si>
  <si>
    <t>PORTA TOALLA SURTIDA COLORES</t>
  </si>
  <si>
    <t>RESINA FLUIDA 2 grs</t>
  </si>
  <si>
    <t>REVELADOR SEYCO FRASCO DE 250 ML P/PREPARAR  1.25L</t>
  </si>
  <si>
    <t>SEDA NEGRA 2 0 75CM 26MM 1/2 CIRCULO</t>
  </si>
  <si>
    <t>CANULA ORAL MINI EYECTOR PAQUETE CON 25 PZAS</t>
  </si>
  <si>
    <t>SUTURA SEDA 3/0 C/12 PZA</t>
  </si>
  <si>
    <t>TERACAL LC JERINGA  DE 1GR</t>
  </si>
  <si>
    <t xml:space="preserve">TIRA DE CELULOIDE </t>
  </si>
  <si>
    <t>TIRA NERVIOS CORTOS 21MM ©</t>
  </si>
  <si>
    <t>TOPICAINA BENZOCAINA 20% SABOR MENTA FRASCO 30G.</t>
  </si>
  <si>
    <t>TORUNDA DE ALGODÓN 500 GR.</t>
  </si>
  <si>
    <t>TURBINA PARA PIEZA  DE MANO JAPONESA DE ALTA VELOCIDAD.</t>
  </si>
  <si>
    <t>VENDA ELASTICA 15X5</t>
  </si>
  <si>
    <t>VENDA ELASTICA 20X5</t>
  </si>
  <si>
    <t>VENDA ELASTICA 30X5</t>
  </si>
  <si>
    <t>VENDA ELASTICA 5X5</t>
  </si>
  <si>
    <t xml:space="preserve">VIARZONI-T 250ML </t>
  </si>
  <si>
    <t>VENDA YESO 10X10</t>
  </si>
  <si>
    <t>LIDOCAINA EN SPRAY 2%</t>
  </si>
  <si>
    <t xml:space="preserve">PUNTA DE PAPEL  15-40 </t>
  </si>
  <si>
    <t>PUNTA DE PAPEL 45-80</t>
  </si>
  <si>
    <t>Frasco</t>
  </si>
  <si>
    <t>BIDON</t>
  </si>
  <si>
    <t>PELICULA DE RX CON 150</t>
  </si>
  <si>
    <t>PELICULA RX INFANTIL CON 100</t>
  </si>
  <si>
    <t>LISTON CLOSEDA 2 CM VARIOS COLORES</t>
  </si>
  <si>
    <t>MEMORIA FLASH USB DE 16GB</t>
  </si>
  <si>
    <t>MEMORIA FLASH USB DE 8GB</t>
  </si>
  <si>
    <t>Disco Duro Externo Portátil, USB 2.0 1TB 2TB 4TB Disco Duro Externo de Alta Velocidad HDD</t>
  </si>
  <si>
    <t>LECTOR DE CD DVD EXTERNO</t>
  </si>
  <si>
    <t>TECLADO PARA COMPUTADORA</t>
  </si>
  <si>
    <t>FLORES DE TODO TIPO</t>
  </si>
  <si>
    <t xml:space="preserve">IMPRESIONES Y FORMATERIA OFICIALES </t>
  </si>
  <si>
    <t>DISPLAY REFORZADO</t>
  </si>
  <si>
    <t>TRIPTICOS</t>
  </si>
  <si>
    <t>DIPTICOS</t>
  </si>
  <si>
    <t>MANTENIMIENTO DE EQUIPO DENTAL</t>
  </si>
  <si>
    <t>SERVICIO DE LAVANDERIA, LIMPIEZA E HIGIENE</t>
  </si>
  <si>
    <t>LONAS IMPRESAS VARIAS MEDIDAS</t>
  </si>
  <si>
    <t>SILLAS DE ESCRITORIO SALA DE ESPERA TAPIZADA VINIPIEL</t>
  </si>
  <si>
    <t>NO BREAK TRIPP-LITE OMNISMART700M, 700 VA</t>
  </si>
  <si>
    <t>GLUCOMETRO</t>
  </si>
  <si>
    <t>INSTRUMENTAL MÉDICO Y DE LABORATORIO</t>
  </si>
  <si>
    <t>APARATOS E INSTRUMENTOS DE LABORATORIO</t>
  </si>
  <si>
    <t>OTOSCOPIO</t>
  </si>
  <si>
    <t>OTROS EQUIPOS</t>
  </si>
  <si>
    <t>OTROS APARATOS Y OTROS INSTRUMENTOS CIENTÍFICOS Y DE LABORATORIO</t>
  </si>
  <si>
    <t xml:space="preserve">BAUMANOMETRO DIGITAL </t>
  </si>
  <si>
    <t>TERMOMETRO ELECTRICO DIGITAL</t>
  </si>
  <si>
    <t>LITROS</t>
  </si>
  <si>
    <t>ASESORIA DEL SISTEMA ACTUALIZADO</t>
  </si>
  <si>
    <t>CREE</t>
  </si>
  <si>
    <t>CECAP</t>
  </si>
  <si>
    <t xml:space="preserve">PLUMA  NEGRA PUNTO MEDIANO </t>
  </si>
  <si>
    <t>PLUMA AZUL PUNTO MEDIANO</t>
  </si>
  <si>
    <t>PLUMA ROJA PUNTO MEDIANO</t>
  </si>
  <si>
    <t>TIJERAS CON MANGO ERGONOMICO</t>
  </si>
  <si>
    <t>CAJA DE BROCHES BACO</t>
  </si>
  <si>
    <t>GRAPAS ESTÁNDAR</t>
  </si>
  <si>
    <t>CINTA SCOTH GRANDE</t>
  </si>
  <si>
    <t>CINTA MASKING TAPE</t>
  </si>
  <si>
    <t>LIGAS ESTÁNDAR No. 18</t>
  </si>
  <si>
    <t>CLIPS CUADRADITO No. 1</t>
  </si>
  <si>
    <t>CLIPS JUMBO</t>
  </si>
  <si>
    <t>LAPIZ MIRADO No. 2 (12 PIEZAS)</t>
  </si>
  <si>
    <t xml:space="preserve">BORRADOR DE MIGAJON </t>
  </si>
  <si>
    <t xml:space="preserve">MARCA TEXTOS </t>
  </si>
  <si>
    <t>SELLO PARA SOBRE AUTOADHERIBLE</t>
  </si>
  <si>
    <t xml:space="preserve">BICOLOR </t>
  </si>
  <si>
    <t>CUENTAFACIL</t>
  </si>
  <si>
    <t xml:space="preserve">SACAPUNTAS DE METAL </t>
  </si>
  <si>
    <t>AGENDA 2024 EJECUTIVA</t>
  </si>
  <si>
    <t>MARCADOR SHARPIE COLOR NEGRO</t>
  </si>
  <si>
    <t>CINTA PARA MAQUINA DE ESCRIBIR</t>
  </si>
  <si>
    <t>LIBRETA PASTA DURA 1/4 FORMA FRANCESA</t>
  </si>
  <si>
    <t>REGLA DE METAL DE 30 CM.</t>
  </si>
  <si>
    <t>DETECTOR DE BILLETES</t>
  </si>
  <si>
    <t>LIBRETA PROFESIONAL</t>
  </si>
  <si>
    <t xml:space="preserve">LIBRO FLORETE DIARIO </t>
  </si>
  <si>
    <t> HOJAS BLANCAS  TAMAÑO CARTA (PQTE. C/500)</t>
  </si>
  <si>
    <t> HOJAS BLANCAS  TAMAÑO OFICIO</t>
  </si>
  <si>
    <t> FOLDERS  TAMAÑO CARTA</t>
  </si>
  <si>
    <t> FOLDERS  TAMAÑO  OFICIO (PQTE.C/100)</t>
  </si>
  <si>
    <t> HOJA OPALINA DELGADA C/100 DE 120G</t>
  </si>
  <si>
    <t> HOJA OPALINA GRUESA C/100 DE 200G</t>
  </si>
  <si>
    <t> SOBRE DE PAPEL MANILA TAMAÑO  DOBLE OFICIO</t>
  </si>
  <si>
    <t> SOBRE DE PAPEL CELOFÁN PARA INVITACIÓN</t>
  </si>
  <si>
    <t> ETIQUETA AUTOADHERIBLES</t>
  </si>
  <si>
    <t> BLOCK POST-IT CUBO  C/400 HOJAS</t>
  </si>
  <si>
    <t>PAQUETE DE HOJAS PARA ROTAFOLIO</t>
  </si>
  <si>
    <t> CAJA DE ARCHIVO MUERTO TAMAÑO CARTA</t>
  </si>
  <si>
    <t> RECOPILADOR TAMAÑO CARTA</t>
  </si>
  <si>
    <t> RECOPILDOR TAMAÑO OFICIO</t>
  </si>
  <si>
    <t>FABULOSO (BIDON 20 LT)</t>
  </si>
  <si>
    <t>CEPILLO PARA BAÑO</t>
  </si>
  <si>
    <t>CLORO ( BIDON 20 LT)</t>
  </si>
  <si>
    <t xml:space="preserve">ESCOBA ATRAPA POLVO </t>
  </si>
  <si>
    <t xml:space="preserve">TRAPEADOR DE PABILO </t>
  </si>
  <si>
    <t>FIBRA VERDE</t>
  </si>
  <si>
    <t>GUANTES LATEX ROJO MEDIANO</t>
  </si>
  <si>
    <t xml:space="preserve">JABON EN POLVO </t>
  </si>
  <si>
    <t>JABÓN LIQUIDO PARA MANOS (20 LTS</t>
  </si>
  <si>
    <t>RECOGEDOR</t>
  </si>
  <si>
    <t xml:space="preserve">PASTILLAS DE CLORO </t>
  </si>
  <si>
    <t xml:space="preserve">PINOL </t>
  </si>
  <si>
    <t>ROLLO SANITARIO DE BOBINA GRANDE</t>
  </si>
  <si>
    <t>PAGO DE ASENTAMIENTO DE FIRMAS Y REGISTRO DE LA S.E.</t>
  </si>
  <si>
    <t>VARIOS DIPLOMAS</t>
  </si>
  <si>
    <t>EVENTO CECAP</t>
  </si>
  <si>
    <t>PAMAR</t>
  </si>
  <si>
    <t>MARCADOR PARA PINTARRON NEGRO C/4 PIEZAS</t>
  </si>
  <si>
    <t xml:space="preserve">FOLIADOR AUTOMATICO DE 6 DIGITOS </t>
  </si>
  <si>
    <t xml:space="preserve">LIQUIDO LIMPIADOR PARA PINTARRON </t>
  </si>
  <si>
    <t xml:space="preserve">MARCADOR PARA PINTARRON ROJO </t>
  </si>
  <si>
    <t xml:space="preserve">MARCA TEXTOS PUNTO GRUESO VARIOS COLORES </t>
  </si>
  <si>
    <t>CUTTER DE25 MM COD. 17901</t>
  </si>
  <si>
    <t xml:space="preserve">FOLDERS TAMAÑO OFICIO C/100 PZAS COLOR BEIGE </t>
  </si>
  <si>
    <t>NOTAS ADHESIVAS (POST-IT) 400 HOJAS 7.6X7.6 CM ( CUBO)</t>
  </si>
  <si>
    <t>PAPEL T/ OFICIO COMPATIBLE CON IMPRESORAS LASER E INJEKT, FOTOCOPIADORAS, FAXES, ETC PAQ. C/500 PZAS</t>
  </si>
  <si>
    <t>PAPEL T/ CARTA COMPATIBLE CON IMPRESORAS LASER E INJEKT, FOTOCOPIADORAS, FAXES, ETC PAQ. C/500 PZAS</t>
  </si>
  <si>
    <t>PAQ. DE HOJA OPALINA DELGADA BLANCA C/100 PZAS 120 GRS APROX.</t>
  </si>
  <si>
    <t>PAPEL BOND COLOR AZUL  DE 70X95 DE 50KG</t>
  </si>
  <si>
    <t>PAPEL BOND COLOR AMARILLO DE 70X95 DE 50KG</t>
  </si>
  <si>
    <t>PAPEL BOND COLOR ROSA DE 70X95 DE 50KG</t>
  </si>
  <si>
    <t>HOJA OPALINA GRUESA BLANCA C/100 PIEZAS 220 GRS APROX</t>
  </si>
  <si>
    <t>PLIEGO DE PAPEL AUTOCOPIABLE  ORIGINAL BLANCO DE 70X95</t>
  </si>
  <si>
    <t>PLIEGO DE PAPEL AUTOCOPIABLE  INTERMEDIO AZUL  DE 70X95</t>
  </si>
  <si>
    <t>PLIEGO DE PAPEL AUTOCOPIABLE  FINAL AMARILLO DE 70X95</t>
  </si>
  <si>
    <t>PAPEL CARBON CON 100 HOJAS</t>
  </si>
  <si>
    <t>HOJAS DE COLORES TAMAÑO CARTA CON 500 PIEZAS</t>
  </si>
  <si>
    <t xml:space="preserve">SOBRE DE PAPEL CELOFAN PARA INVITACION DE 23X15 CM CON 100 PIEZAS </t>
  </si>
  <si>
    <t xml:space="preserve">ETIQUETA AUTOADHERIBLE 10.30 CMX 4.30 CM </t>
  </si>
  <si>
    <t>TARJETAS PARA RELOJ CHECADOR CON  100 PIEZAS</t>
  </si>
  <si>
    <t>BOLSA DE ESTRAZA CON ASA 16X15.5X7 CM</t>
  </si>
  <si>
    <t xml:space="preserve">CAJA DE ARCHIVO TAMAÑO CARTA </t>
  </si>
  <si>
    <t>BOLSA DE CELOFAN CON BLISTEK 20X30</t>
  </si>
  <si>
    <t>CLORO C/20LT</t>
  </si>
  <si>
    <t xml:space="preserve">FABULOSO C/20 LT </t>
  </si>
  <si>
    <t xml:space="preserve">CUBETA DE ARO NO.8 </t>
  </si>
  <si>
    <t xml:space="preserve">CEPILLO PARA WC CON BASE </t>
  </si>
  <si>
    <t xml:space="preserve">DESTAPACAÑOS LIQUIDO </t>
  </si>
  <si>
    <t xml:space="preserve">PLUMERO DE BASTON LARGO </t>
  </si>
  <si>
    <t>FIBRA VERDE CON 12 PZAS</t>
  </si>
  <si>
    <t xml:space="preserve">QUITAGRASA PARA COCINA DE 600 ML </t>
  </si>
  <si>
    <t xml:space="preserve">ESCOBA ABANICO </t>
  </si>
  <si>
    <t>JABON LIQUIDO P/TRASTES</t>
  </si>
  <si>
    <t>RECOGEDOR DE PLASTICA</t>
  </si>
  <si>
    <t xml:space="preserve">TRAPEADOR </t>
  </si>
  <si>
    <t>AGUA EMBOTELLADA DE 500 ML</t>
  </si>
  <si>
    <t xml:space="preserve">FOMY VARIOS COLORES T/CARTA </t>
  </si>
  <si>
    <t>PAPEL LUSTRE COLORES VARIOS</t>
  </si>
  <si>
    <t>GLOBOS VARIOS COLORES PAQUETE c100 PIEZAS #7</t>
  </si>
  <si>
    <t>GLOBOS VARIOS COLORES PAQUETE c100 PIEZAS #18</t>
  </si>
  <si>
    <t>GLOBOS VARIOS COLORES PAQUETE c100 PIEZAS #9</t>
  </si>
  <si>
    <t>CRAYOLAS C/24 PZA GRUESA</t>
  </si>
  <si>
    <t xml:space="preserve">SERVILLETAS C/500 PIEZAS </t>
  </si>
  <si>
    <t>FILIPINAS</t>
  </si>
  <si>
    <t>INSTALACIÓN, REPARACIÓN Y MANTENIMIENTO DE EQUIPO E INSTRUMENTAL MÉDICO Y DE LABORATORIO (MANTENIMIENTO PARA EQUIPO DENTAL )</t>
  </si>
  <si>
    <t xml:space="preserve">SERVICIO DE MANEJO DE DESECHOS </t>
  </si>
  <si>
    <t>BOMBA ELECTRICA DE AGUA DE ELEVACION DE UN CABALLO Y MEDIO DE FUERZA VOLTAJE 1/10  56206</t>
  </si>
  <si>
    <t>MAQUINARIA Y EQUIPO DE CONSTRUCCIÓN</t>
  </si>
  <si>
    <t>MAQUINARIA Y EQUIPO PARA LA CONSTRUCCIÓN</t>
  </si>
  <si>
    <t>CASA DEL ABUELO</t>
  </si>
  <si>
    <t>CLIPS CUADRADO  #1</t>
  </si>
  <si>
    <t>CLIPS CUADRADO  #2</t>
  </si>
  <si>
    <t>CLIPS MARIPOSA  #1</t>
  </si>
  <si>
    <t>CLIPS MARIPOSA  #2</t>
  </si>
  <si>
    <t>CORRECTOR LIQUIDO DE BROCHA</t>
  </si>
  <si>
    <t xml:space="preserve">CORRECTOR LIQUIDO EN LAPIZ </t>
  </si>
  <si>
    <t>AGENDA  CLASICA</t>
  </si>
  <si>
    <t>MARCADOR PERMANENTE PUNTO FINO</t>
  </si>
  <si>
    <t>CINTA CANELA 48 MM X50 M</t>
  </si>
  <si>
    <t>MARCA TEXTO FLUORECENTES PUNTO DELGADO COLORES VARIOS</t>
  </si>
  <si>
    <t>MARCADOR PERMANETE PUNTO FINO NEGRO</t>
  </si>
  <si>
    <t xml:space="preserve">ENGARGOLADORA MANUAL </t>
  </si>
  <si>
    <t>GUILLOTINA</t>
  </si>
  <si>
    <t>LIBRO FLORETE FOMA ITALIANA</t>
  </si>
  <si>
    <t>PINTARRON BLANCO 90X120 CM</t>
  </si>
  <si>
    <t>PZAS</t>
  </si>
  <si>
    <t>PQTE</t>
  </si>
  <si>
    <t>FOLDERS MANILA TAMAÑO CARTA C/100 PIEZAS COLOR BEIGE</t>
  </si>
  <si>
    <t>FOLDERS TAMAÑO OFICIO C/100 PIEZAS COLOR BEIGE</t>
  </si>
  <si>
    <t>SOBRE MANILA COIN (DINERO) PQTE C/50</t>
  </si>
  <si>
    <t>NOTAS ADHESIVAS (POST-IT) 400 HOJAS 7. 6X7. 6 CM (CUBO)</t>
  </si>
  <si>
    <t>paq</t>
  </si>
  <si>
    <t>ESCOBAS</t>
  </si>
  <si>
    <t>TRAPEADORES</t>
  </si>
  <si>
    <t>PINOL C/20LT</t>
  </si>
  <si>
    <t>FABULOSO C/20LT</t>
  </si>
  <si>
    <t>DETERGENTE  1KG BOLSAS</t>
  </si>
  <si>
    <t>JABON LIQUIDO PARA MANOS DE 525ML</t>
  </si>
  <si>
    <t>AROMATIZANTE AMBIENTAL EN AEROSOL 400ML</t>
  </si>
  <si>
    <t>PASTILLAS PARA BAÑO</t>
  </si>
  <si>
    <t>RECOGEDORES DE PLASTICO</t>
  </si>
  <si>
    <t>ESTROPAJOS</t>
  </si>
  <si>
    <t>ESCOBELLON</t>
  </si>
  <si>
    <t>CEPILLOS PARA ROPA</t>
  </si>
  <si>
    <t>FIBRA  FINA PARA TRASTE DE COCINA</t>
  </si>
  <si>
    <t>DETERGENTE LIQUIDO DE ROPA</t>
  </si>
  <si>
    <t>SUAVIZANTE DE ROPA</t>
  </si>
  <si>
    <t>QUITA GRASA PARA COCINA DE 650ML</t>
  </si>
  <si>
    <t xml:space="preserve">ATOMIZADOR </t>
  </si>
  <si>
    <t>LIMPIADOR DE CRISTAL LIQUIDO DE 650ML</t>
  </si>
  <si>
    <t>EMBUDO PARA BIDON</t>
  </si>
  <si>
    <t>PAR DE GUANTES DE PLASTICO</t>
  </si>
  <si>
    <t>JERGAS PIEZAS</t>
  </si>
  <si>
    <t>LIJA DE AGUA 220</t>
  </si>
  <si>
    <t>KGS</t>
  </si>
  <si>
    <t>PARES</t>
  </si>
  <si>
    <t>SANITAS</t>
  </si>
  <si>
    <t>PAPEL HIGIENICO ROLLO DE BOBINA C/12 PIEZAS</t>
  </si>
  <si>
    <t>SERVITOALLAS PAQUETES DE 6 ROLLOS</t>
  </si>
  <si>
    <t>SERVILLETAS CON 500 HOJAS SENCILLAS</t>
  </si>
  <si>
    <t>ESPONJA BORPORAL</t>
  </si>
  <si>
    <t>JABÓN LIQUIDO CORPORAL DE 591ML</t>
  </si>
  <si>
    <t>FOAMY  DIAMANTADO TAMAÑO CARTA</t>
  </si>
  <si>
    <t>ROLLO PAPEL CORRUGADO C/10 MTS</t>
  </si>
  <si>
    <t xml:space="preserve">FOAMY DIFERENTE COLOR TAMAÑO CARTA </t>
  </si>
  <si>
    <t>PAPEL CHINA COLORES</t>
  </si>
  <si>
    <t>GUATA BOLSA DE 10 KILOS</t>
  </si>
  <si>
    <t>BOLAS DE UNICEL DE 2 CM (BOLSA CON 50 PIEZAS)</t>
  </si>
  <si>
    <t>BOLAS DE UNICEL DE 3 CM (BOLSA CON 50 PIEZAS)</t>
  </si>
  <si>
    <t>BOLAS DE UNICEL DE 5 CM (BOLSA CON 50 PIEZAS)</t>
  </si>
  <si>
    <t>BOLAS DE UNICEL DE 6 CM (BOLSA CON 50 PIEZAS)</t>
  </si>
  <si>
    <t>OJOS MOVIBLES VARIOS TAMAÑOS CON 800 PIEZAS</t>
  </si>
  <si>
    <t>LIMPIA PIPAS DE COLORES SET DE 650 PIEZAS</t>
  </si>
  <si>
    <t xml:space="preserve">ROLLO DE LISTON DECORATIVO 7CM X 91 MTRO COLOR ROJO </t>
  </si>
  <si>
    <t>CINTAS FLORALES PARA FLORESTERIA CON 5 ROLLOS</t>
  </si>
  <si>
    <t>FLORES ARTIFICIALES DE COLORES PAQUETE</t>
  </si>
  <si>
    <t>PERLAS ARTISTICAS TAMAÑO SURTIDO CON 500 PIEZAS</t>
  </si>
  <si>
    <t>PALITOS DE BAMBU PARA BROCHETA CON 200 PIEZAS</t>
  </si>
  <si>
    <t>PEGAMENTO BLANCO LIQUIDO LITRO</t>
  </si>
  <si>
    <t>BARRA DE SILICON GRANDE</t>
  </si>
  <si>
    <t>CARRETE DE LISTON SATINADO DIFERENTES COLORES 3.5 CM</t>
  </si>
  <si>
    <t>SILICON LIQUIDO 100 ML</t>
  </si>
  <si>
    <t>GLOBOS No.9 C/100 PZAS DIFERENTES COLORES</t>
  </si>
  <si>
    <t>PINTURA ACRILICA DIFERENTES COLORES de 100ML PAQ. 6 PIEZAS</t>
  </si>
  <si>
    <t>PINCELES DE DIFERENTES TAMAÑOS PAQ. CON 10</t>
  </si>
  <si>
    <t xml:space="preserve"> TABLAS DE LIENZO (PARA PINTAR, JUEGOS CON 12 )</t>
  </si>
  <si>
    <t>COLORES DE MADERA LARGOS C/24 PZAS</t>
  </si>
  <si>
    <t>BOLSAS</t>
  </si>
  <si>
    <t>CARNE DE RES MOLIDA</t>
  </si>
  <si>
    <t>MILANESA DE POLLO</t>
  </si>
  <si>
    <t>JITOMATE</t>
  </si>
  <si>
    <t>CEBOLLA</t>
  </si>
  <si>
    <t>LECHUGA</t>
  </si>
  <si>
    <t>PAPA</t>
  </si>
  <si>
    <t>LIMON</t>
  </si>
  <si>
    <t>ZANAHORIA</t>
  </si>
  <si>
    <t>MELON</t>
  </si>
  <si>
    <t>MANZANA</t>
  </si>
  <si>
    <t>TOMATE DE HOJA</t>
  </si>
  <si>
    <t>CILANTRO FRESCO</t>
  </si>
  <si>
    <t>EJOTE</t>
  </si>
  <si>
    <t>CHAYOTE</t>
  </si>
  <si>
    <t>CHILE POBLANO</t>
  </si>
  <si>
    <t>CHILE SERRANO FRESCO NATURAL</t>
  </si>
  <si>
    <t>PLATANO PORTA LIMON</t>
  </si>
  <si>
    <t>PEPINO</t>
  </si>
  <si>
    <t>PLATANO MACHO</t>
  </si>
  <si>
    <t>ARROZ</t>
  </si>
  <si>
    <t>LENTEJAS</t>
  </si>
  <si>
    <t>CIRUELA</t>
  </si>
  <si>
    <t>MANOJO</t>
  </si>
  <si>
    <t>COSTAL</t>
  </si>
  <si>
    <t>SOYA TEXTURIZADA C/12 KILOS</t>
  </si>
  <si>
    <t xml:space="preserve">GALLETAS MARIAS </t>
  </si>
  <si>
    <t>TORTILLAS</t>
  </si>
  <si>
    <t>GELATINAS DE SABOR</t>
  </si>
  <si>
    <t>LECHE DESLACTOSADA ULTRA PASTEURIZADA C/12 PZAS DE 1 LT</t>
  </si>
  <si>
    <t>NESCAFE DESCAFEINADO DE 120 GRS</t>
  </si>
  <si>
    <t>NESCAFE CLASICO DE 200 GRS</t>
  </si>
  <si>
    <t>AZUCAR ESTÁNDAR BOLSA DE 1 KILO</t>
  </si>
  <si>
    <t>CEBADA</t>
  </si>
  <si>
    <t>MAYONESA CON JUGO DE LIMON 2.8 KG</t>
  </si>
  <si>
    <t>HORCHATA</t>
  </si>
  <si>
    <t>HOJUELAS DE AVENA 1kg</t>
  </si>
  <si>
    <t>ATUN EN LATA EN AGUA 140 GRS</t>
  </si>
  <si>
    <t>AZUCAR STEVIA (SUSTITUTO DE AZUCAR PAQ. DE 100 SOBRES 1GR</t>
  </si>
  <si>
    <t>PURE DE TOMATE DE  1 KG</t>
  </si>
  <si>
    <t>SAL YODADA REFINADA DE 1 KG</t>
  </si>
  <si>
    <t>FECULA DE MAIZ PARA ATOLE 47 GR</t>
  </si>
  <si>
    <t>FECULA DE MAIZ NATURAL 1kg</t>
  </si>
  <si>
    <t>LECHE EVAPORADA</t>
  </si>
  <si>
    <t>MOLE DE 235GRS</t>
  </si>
  <si>
    <t>CREMA  DE LECHE DE VACA 4 LT.</t>
  </si>
  <si>
    <t>PIPIAN DE 230 GRS</t>
  </si>
  <si>
    <t>VINAGRE BLANCO DE ALCOHOL DE CAÑA 3.7 LT</t>
  </si>
  <si>
    <t>CHICHAROS EN LATA 200G</t>
  </si>
  <si>
    <t>MANTEQUILLA</t>
  </si>
  <si>
    <t>TAPIOCA DE 500 G</t>
  </si>
  <si>
    <t>AJO</t>
  </si>
  <si>
    <t>PIMIENTA MOLIDA A GRANDEL</t>
  </si>
  <si>
    <t>OREGANO ENTERO A GRANEL</t>
  </si>
  <si>
    <t>CLAVO DE OLOR A GRANEL</t>
  </si>
  <si>
    <t xml:space="preserve">LAUREL ENTERO A GRANEL </t>
  </si>
  <si>
    <t>COMINO</t>
  </si>
  <si>
    <t xml:space="preserve">CANELA  ENTERA C/4 </t>
  </si>
  <si>
    <t>ACHIOTE</t>
  </si>
  <si>
    <t>PILONCILLO</t>
  </si>
  <si>
    <t>AMARANTO</t>
  </si>
  <si>
    <t>TE DE SABORES</t>
  </si>
  <si>
    <t>HARINA</t>
  </si>
  <si>
    <t>CREMA PARA CAFÉ</t>
  </si>
  <si>
    <t>PAN INTEGRAL  EN REBANADAS 680 GR</t>
  </si>
  <si>
    <t>QUESO OAXACA</t>
  </si>
  <si>
    <t>QUESO COTIJA</t>
  </si>
  <si>
    <t>VASOS DE PLASTICO #10 (50 PZAS) PAQUETE</t>
  </si>
  <si>
    <t>CHAROLA TERMICA RECTANGULAR C/50 PZAS</t>
  </si>
  <si>
    <t>VASO TERMICO DE 1/2 LITRO CON 500 PIEZAS</t>
  </si>
  <si>
    <t>TAPA PLASTICA DE 1/2 LITRO CON 500 PIEZAS</t>
  </si>
  <si>
    <t>PQTES</t>
  </si>
  <si>
    <t>LUCES LED SOLAR CON 200 LUCES PARA EXTERIOR</t>
  </si>
  <si>
    <t>GEL ANTIBACTERIAL 600 ML</t>
  </si>
  <si>
    <t>RECARGA DE OXIGENO</t>
  </si>
  <si>
    <t>PARACETAMOL DE 500 MG</t>
  </si>
  <si>
    <t>IBUOPROFENO DE 600 MG</t>
  </si>
  <si>
    <t>DICLOFENACO 100 MG</t>
  </si>
  <si>
    <t>NAPROXENO 250 MG</t>
  </si>
  <si>
    <t>HIOSCINA/METAMIZOL 250 MG/10MG</t>
  </si>
  <si>
    <t>LORATADINA 10 MG</t>
  </si>
  <si>
    <t>LOPERAMIDA 10MG</t>
  </si>
  <si>
    <t>METOCLOPRAMIDA 10 MG</t>
  </si>
  <si>
    <t>COMPLEJO B CON DICLOFENACO 50/50/1.00 MG  C/30 TABLETAS</t>
  </si>
  <si>
    <t>OMEPRAZOL 20MG</t>
  </si>
  <si>
    <t>HIDROXIDO DE MAGNESIO</t>
  </si>
  <si>
    <t>DIFENIDOL 10 MG</t>
  </si>
  <si>
    <t>LACTOBASILUOS LB POLVO PARA SUSPENSION ORAL 340MG</t>
  </si>
  <si>
    <t>SIMETICONA/TRIMEBUTINA 10MG/375MG</t>
  </si>
  <si>
    <t>ADENOSINA I.V.</t>
  </si>
  <si>
    <t>ADRENALINA I.V.</t>
  </si>
  <si>
    <t>AMIODARONA I.V.</t>
  </si>
  <si>
    <t>ATRACURIO BESILATO I.V.</t>
  </si>
  <si>
    <t>ATROPINA I.V.</t>
  </si>
  <si>
    <t>BICARBONATO SODICO I.V.</t>
  </si>
  <si>
    <t>CALCIO CLORURO I.V.</t>
  </si>
  <si>
    <t>DIAZEPAM I.V.</t>
  </si>
  <si>
    <t xml:space="preserve">BECLOMETAZONA EN SPRAY </t>
  </si>
  <si>
    <t>CARBON ACTIVADO</t>
  </si>
  <si>
    <t>DIGOXINA 0.5 MG SOL. INY.</t>
  </si>
  <si>
    <t>GLUCOSA AL 50%</t>
  </si>
  <si>
    <t>SALBUTAMOL  EN SPRAY</t>
  </si>
  <si>
    <t>VERAPAMIL SOL NY</t>
  </si>
  <si>
    <t>XILOCAINA AL 1% SIMPLE</t>
  </si>
  <si>
    <t>XILOCAINA AL 2% SIMPLE</t>
  </si>
  <si>
    <t>HIDROCORTISONA 100 MG SOL. INY</t>
  </si>
  <si>
    <t>HIDROCORTISONA 500 MG SOL. INY</t>
  </si>
  <si>
    <t>AGUA INYECTABLE 10 ML</t>
  </si>
  <si>
    <t>XILOCAINA AL 10% SPRAY</t>
  </si>
  <si>
    <t>SOLUCION CLORURO DE SODIO 0.9% 1000 ML</t>
  </si>
  <si>
    <t>SOLUCION CLORURO DE SODIO 0.9% 500 ML</t>
  </si>
  <si>
    <t>SOLUCION HARTMAN 1000 ML</t>
  </si>
  <si>
    <t>SOLUCION HARTMAN 500 ML</t>
  </si>
  <si>
    <t>SOLUCION GLUCOSADA AL 5% 1000 ML</t>
  </si>
  <si>
    <t>SOLUCION GLUCOSADA AL 5%500 ML</t>
  </si>
  <si>
    <t>ENVASE</t>
  </si>
  <si>
    <t>ML</t>
  </si>
  <si>
    <t>TIRAS REACTIVAS C/50PIEZAS ACCU-CHECK ACTIVE</t>
  </si>
  <si>
    <t xml:space="preserve">LANCETAS ACCU-CHEK C/100 PIEZAS  SOFTCLIX </t>
  </si>
  <si>
    <t>CUBRE BOCAS T/GRANDE COLOR NEGRO C/100 PZAS</t>
  </si>
  <si>
    <t>ABATELENGUAS C/50 PIEZAS</t>
  </si>
  <si>
    <t>GASAS ESTERIL C/100 PIEZAS</t>
  </si>
  <si>
    <t>AGUA OXIGENADA DE 750 ML</t>
  </si>
  <si>
    <t>ISODINE ESPUMA 250 ML.</t>
  </si>
  <si>
    <t>SANITIZANTE</t>
  </si>
  <si>
    <t>GEL CONDUCTOR (ULTRASONIDO) TARRO 3.785 ML</t>
  </si>
  <si>
    <t>AGUJAS HIPODERMICAS</t>
  </si>
  <si>
    <t>CATETER LARGO 17 G</t>
  </si>
  <si>
    <t>CATETER LARGO 18 G</t>
  </si>
  <si>
    <t>CATETER LARGO 19 G</t>
  </si>
  <si>
    <t>ELECTROGEL</t>
  </si>
  <si>
    <t>ELECTRODOS</t>
  </si>
  <si>
    <t>JERINGA DESECHABLE DE 1 ML</t>
  </si>
  <si>
    <t>JERINGA DESECHABLE DE 3 ML</t>
  </si>
  <si>
    <t>JERINGA DESECHABLE DE 5 ML</t>
  </si>
  <si>
    <t>JERINGA DESECHABLE DE 10 ML</t>
  </si>
  <si>
    <t>JERINGA DESECHABLE DE 20 ML</t>
  </si>
  <si>
    <t>PUNZOCAT NO 20</t>
  </si>
  <si>
    <t>PUNZOCAT NO 22</t>
  </si>
  <si>
    <t>EQUIPO PARA VENICLISIS NORMOGOTERO</t>
  </si>
  <si>
    <t xml:space="preserve">PARAFINA CERA TERAPEUTICA 5 KG </t>
  </si>
  <si>
    <t>CANULAS ENDOTRAQUEALES 5 FR</t>
  </si>
  <si>
    <t>CANULAS ENDOTRAQUEALES 5.5 FR</t>
  </si>
  <si>
    <t>CANULAS ENDOTRAQUEALES 6.5 FR</t>
  </si>
  <si>
    <t>CANULAS ENDOTRAQUEALES 7 FR</t>
  </si>
  <si>
    <t>CANULAS ENDOTRAQUEALES 7.5 FR</t>
  </si>
  <si>
    <t>CANULAS ENDOTRAQUEALES 8 FR</t>
  </si>
  <si>
    <t>SET DE CANULAS DE GUEDEL</t>
  </si>
  <si>
    <t>RESUCITADOR MANUAL PARA ADULTO (AMBU)</t>
  </si>
  <si>
    <t>FCO</t>
  </si>
  <si>
    <t>KIT</t>
  </si>
  <si>
    <t>FILIPINAS CLINICAS TAMAÑO XL  PARA DAMA COLOR AZUL INSTITUCIONAL</t>
  </si>
  <si>
    <t>FILIPINAS CLINICAS TAMAÑO L PARA DAMA COLOR VERDE INSTITUCIONAL</t>
  </si>
  <si>
    <t>FILIPLINAS CLINICAS TAMAÑO M PARA DAMA COLOR ROSA INSTITUCIONAL</t>
  </si>
  <si>
    <t>FILIPINAS CLINICAS TAMAÑO S PARA DAMA COLOR AMARILLO INSTITUCIONAL</t>
  </si>
  <si>
    <t>FILIPINAS CLINICAS TAMAÑO M PARA CABALLERO COLOR AZUL INSTITUCIONAL</t>
  </si>
  <si>
    <t>FILIPINAS DE CHEF TAMAÑO XL DE CABALLERO COLOR BLANCO</t>
  </si>
  <si>
    <t>GORRO DE CHEF UNISEX</t>
  </si>
  <si>
    <t>CAMISAS DE VESTIR MANGA LARGA TALLA M COLOR BLANCO</t>
  </si>
  <si>
    <t>FRAZADAS COBERTOR INDIVIDUALES</t>
  </si>
  <si>
    <t>MARTILLO UÑA CURVA DE 10 OZ. COD. 22291</t>
  </si>
  <si>
    <t xml:space="preserve">SOPORTE PARA PROYECTOR </t>
  </si>
  <si>
    <t>MEMORIA USB 32GB</t>
  </si>
  <si>
    <t>DIABLITOS DE CARGA</t>
  </si>
  <si>
    <t>EXTINTOR APAGA FUEGO EMERGENCIA POLVO ABC RECARGABLE 6 KG</t>
  </si>
  <si>
    <t>SERVICIO PROFESIONAL</t>
  </si>
  <si>
    <t>SEGURO CONTRA INCENDIOS</t>
  </si>
  <si>
    <t>VINIL MICROPERFORADO IMPRESO</t>
  </si>
  <si>
    <t xml:space="preserve">TRIPTICOS </t>
  </si>
  <si>
    <t>METROS</t>
  </si>
  <si>
    <t>MILLARES</t>
  </si>
  <si>
    <t>CASA DE LOS ABUELOS</t>
  </si>
  <si>
    <t>BOLSAS DE MANO</t>
  </si>
  <si>
    <t>CHALINAS</t>
  </si>
  <si>
    <t>GORRAS PARA CABALLERO</t>
  </si>
  <si>
    <t>LOCION PARA CUERPO</t>
  </si>
  <si>
    <t>CREMAS PARA CUERPO</t>
  </si>
  <si>
    <t>CALCETIN PARA DIABETICO</t>
  </si>
  <si>
    <t>CARRO ROJO MEDICO DE EMERGENCIAS</t>
  </si>
  <si>
    <t>OTROS EQUIPOS Y HERRAMIENTAS</t>
  </si>
  <si>
    <t>CAJA DE HERRAMIENTA GENERICA  DE 108 PIEZAS</t>
  </si>
  <si>
    <t>CAJA REGISTRADORA (KIT PUNTO DE VENTA PLUS)</t>
  </si>
  <si>
    <t>APARATOS DEPORTIVOS</t>
  </si>
  <si>
    <t>CAMINADORA</t>
  </si>
  <si>
    <t>PARAFINERO PARA USO TERAPEUTICO DE 12  LIBRS DE ACERO INOXIDABLE</t>
  </si>
  <si>
    <t>COMPRESERO DE 4 COMPRESAS FABRICADO CON ACERO INOXIDABLE</t>
  </si>
  <si>
    <t>LARINGOSCOPIO PRO 12 HOJAS CALIDAD PREMIUM</t>
  </si>
  <si>
    <t>EQUIPOS DE GENERACIÓN ELÉCTRICA, APARATOS Y ACCESORIOS ELÉCTRICOS</t>
  </si>
  <si>
    <t>EQUIPOS, APARATOS Y ACCESORIOS ELÉCTRICOS</t>
  </si>
  <si>
    <t>PLANTA DE LUZ</t>
  </si>
  <si>
    <t>BLOCK CALCOMANIAS (PERSONAJES INFANTILES PARA NIÑA)</t>
  </si>
  <si>
    <t>BLOCK CALCOMANIAS (PERSONAJES INFANTILES PARA NIÑO)</t>
  </si>
  <si>
    <t>BOLIGRAFO DE GEL TINTA AZUL</t>
  </si>
  <si>
    <t>BOLIGRAFO DE GEL TINTA NEGRA</t>
  </si>
  <si>
    <t>BOLIGRAFO PUNTO FINO AZUL</t>
  </si>
  <si>
    <t>BOLIGRAFO PUNTO FINO NEGRO</t>
  </si>
  <si>
    <t>BOLIGRAFO PUNTO FINO ROJA</t>
  </si>
  <si>
    <t>MARCATEXTOS PUNTO GRUESO AZUL C/12</t>
  </si>
  <si>
    <t>MARCATEXTOS PUNTO GRUESO C/12 ROSA</t>
  </si>
  <si>
    <t>MARCATEXTOS PUNTO GRUESO C/12 AMARILLO</t>
  </si>
  <si>
    <t>CESTO 42 L SIN TAPA</t>
  </si>
  <si>
    <t>CESTO PARA LA BASURA DE 26 LT</t>
  </si>
  <si>
    <t>CESTO PARA LA BASURA DE 120 LT</t>
  </si>
  <si>
    <t>CESTO PAPELERO RECTANGULAR DE 14 LT</t>
  </si>
  <si>
    <t>CINTA CANELA OD 48X50PK</t>
  </si>
  <si>
    <t>CINTA METRICA 150 CM</t>
  </si>
  <si>
    <t>CINTA PARA MAQUINAS DE OFICINA EPSON (LX-300)</t>
  </si>
  <si>
    <t>CORRECTOR KORES</t>
  </si>
  <si>
    <t>HOJAS BLANCAS ADHESIVAS C/100</t>
  </si>
  <si>
    <t>MARCADOR DE CERA PUNTILLA BASE DE CERA RECUBIERTA  (AZUL )</t>
  </si>
  <si>
    <t>MARCADOR DE CERA VERDE</t>
  </si>
  <si>
    <t>MARCADOR PARA PINTARRON (PAQ DE 4 COLORES)</t>
  </si>
  <si>
    <t>MARCADOR PHANO CERA ROJO B/2</t>
  </si>
  <si>
    <t>ORGANIZADOR DE ESCRITORIO</t>
  </si>
  <si>
    <t>PAQ 6 LÁPIZ ADHESIVO 40 GR</t>
  </si>
  <si>
    <t>SELLO DE RECIBIDO</t>
  </si>
  <si>
    <t>MARCADOR PERMANENTE METALICO DE PUNTO FINO</t>
  </si>
  <si>
    <t>SUJETA PAPEL JUMBO</t>
  </si>
  <si>
    <t>CHINCHETAS C/50</t>
  </si>
  <si>
    <t>PEGAMENTO DE CONTACTO Vl2000 AMARILLO 107ml</t>
  </si>
  <si>
    <t>NOTAS ADHESIVAS 400 HOJAS 7.6X7.6CM (CUBO)</t>
  </si>
  <si>
    <t>FOLDER COLGANTE T/C C/25</t>
  </si>
  <si>
    <t>FOLDER COLGANTE T/O C/25</t>
  </si>
  <si>
    <t>FOLDER T/C ROSA C/100</t>
  </si>
  <si>
    <t>FOLDER T/C AZUL CIELO C/25PZAS</t>
  </si>
  <si>
    <t xml:space="preserve">PAPEL T/CARTA COMPATIBLE CON IMPRESORAS LASER E INKJET, FOTOCOPIADORAS, FAXES, ETC PAQ C/500 </t>
  </si>
  <si>
    <t xml:space="preserve">PAPEL T/OFICIO COMPATIBLE CON IMPRESORAS LASER E INKJET, FOTOCOPIADORAS, FAXES, ETC  PAQ C/500 </t>
  </si>
  <si>
    <t>HOJA T/C AMARILLA PASTEL C/100 HOJAS</t>
  </si>
  <si>
    <t>HOJA T/C ROSA PASTEL C/100 HOJAS</t>
  </si>
  <si>
    <t>HOJA T/C VERDE PASTEL C/100 HOJAS</t>
  </si>
  <si>
    <t>LIBRO TABULAR 12 COLUMNAS</t>
  </si>
  <si>
    <t>NOTAS ADHESIVAS SEMITRANSPARENTES REMOVIBLES C/ 160 HOJAS DE 8x45mm (20 DE 8 COLORES DIFERENETES)</t>
  </si>
  <si>
    <t>PLIEGO BOND BLANCO GRAFICO 70X95 VERDE PASTEL 60K</t>
  </si>
  <si>
    <t>PLIEGO BOND BLANCO GRAFICO 70X95 AMARILLOPASTEL 60K</t>
  </si>
  <si>
    <t>PAQ DE SOBRE PARA CD´S CON 50 PZAS</t>
  </si>
  <si>
    <t>CAMPANA CD C-R VERBATIM C/50 PZAS</t>
  </si>
  <si>
    <t>KIT DE LIMPIEZA PARA ZEBRA ZC300</t>
  </si>
  <si>
    <t>TONER HP LASERJET NEGRO 55A DUAL MODELO CE285AD</t>
  </si>
  <si>
    <t>RIBBON ZEBRA ZC300</t>
  </si>
  <si>
    <t>CARTUCHO DE TINTA HP 122 NEGRO ORIGINAL</t>
  </si>
  <si>
    <t>CARTUCHO HP 934 XL ORIGINAL NEGRO</t>
  </si>
  <si>
    <t>CARTUCHO HP 935 XL ORIGINAL AMARILLO</t>
  </si>
  <si>
    <t>CARTUCHO HP 935 XL ORIGINAL CYAN</t>
  </si>
  <si>
    <t>CARTUCHO HP 935 XL ORIGINAL MAGENTA</t>
  </si>
  <si>
    <t>INYECCION DE TINTA 564</t>
  </si>
  <si>
    <t>TINTA 504 INYECCION DE TINTA</t>
  </si>
  <si>
    <t>CAMPANA DVD VERBATIM C/25 PZAS</t>
  </si>
  <si>
    <t>PORTA ANUNCIOS</t>
  </si>
  <si>
    <t>ACEITE PARA MOPEADOR</t>
  </si>
  <si>
    <t>ALGEN PLUS 1LT</t>
  </si>
  <si>
    <t>ALGICIDA 4 LT</t>
  </si>
  <si>
    <t>BASTON DE MADERA 1.37 D7/8" P/METALICA (3/4")</t>
  </si>
  <si>
    <t>BICARBONATO DE SODIO</t>
  </si>
  <si>
    <t>BOTELLA PARA AGUA 1LT (PARA ATOMIZADOR)</t>
  </si>
  <si>
    <t>BROMO EN TABLETA TIRA CON 10</t>
  </si>
  <si>
    <t xml:space="preserve">CEPILLO LAVA COCHES </t>
  </si>
  <si>
    <t>CLARIFICADOR 4 LTS</t>
  </si>
  <si>
    <t>DPD No. 1</t>
  </si>
  <si>
    <t>DPD No. 3</t>
  </si>
  <si>
    <t>DPD PH</t>
  </si>
  <si>
    <t>ESCOBA METALICA CON 24 DIENTES CABEZA RECTA</t>
  </si>
  <si>
    <t>FUNDA PARA MOPEADOR  60CM PROF</t>
  </si>
  <si>
    <t>GERMOL</t>
  </si>
  <si>
    <t>GOLD AND CLEAR 4 LT</t>
  </si>
  <si>
    <t>INSECTICIDA RAID 480 ML. SPRAY DOMESTICO ACCION INMEDIATA</t>
  </si>
  <si>
    <t>KRISTAL</t>
  </si>
  <si>
    <t>JABON LIRIO NEUTRO (HOTELERO) C/200</t>
  </si>
  <si>
    <t>JABON PARA MANOS LIQUIDO BIDON DE 20 LTS</t>
  </si>
  <si>
    <t>JABON EN BARRA (200 GR)</t>
  </si>
  <si>
    <t>LIMPIADORA ANTIGRASA</t>
  </si>
  <si>
    <t>MULTILIM</t>
  </si>
  <si>
    <t xml:space="preserve">PAÑO MICROFIBRA AMARILLO 40 X 40 CM </t>
  </si>
  <si>
    <t>PASTILLA EN CANASTILLA PARA WC</t>
  </si>
  <si>
    <t>PH- CLAREN 10 KG</t>
  </si>
  <si>
    <t>PH+ CLAREN 10 KG</t>
  </si>
  <si>
    <t>TIJERA PARA PODA TIPO AMERICANO 58 CM MANO DE MADERA</t>
  </si>
  <si>
    <t>TRAPEADOR DE MICROFIBRA MORADO</t>
  </si>
  <si>
    <t>Litro</t>
  </si>
  <si>
    <t>Galon</t>
  </si>
  <si>
    <t>Kg</t>
  </si>
  <si>
    <t>Bidón</t>
  </si>
  <si>
    <t>PAPEL HIGIENICO JUNIOR DALIA CAJA C/12 DE 200 MTS</t>
  </si>
  <si>
    <t>PAPEL HIGIENICO DALIA HD400 MTS</t>
  </si>
  <si>
    <t>TOALLA INTERDOBLADA BLANCA 20/100 PZAS</t>
  </si>
  <si>
    <t>LIBRO PARA COLOREAR DESTREZA MAGICA TOMO 1</t>
  </si>
  <si>
    <t>LIBRO PARA COLOREAR DESTREZA MAGICA TOMO 2</t>
  </si>
  <si>
    <t>LIBRO PARA COLOREAR DESTREZA MAGICA TOMO 3</t>
  </si>
  <si>
    <t>MATERIAL DE DEMOSTRACION</t>
  </si>
  <si>
    <t>Servicio</t>
  </si>
  <si>
    <t>CUCHARA DESECHABLE C/50 PZAS</t>
  </si>
  <si>
    <t>VASO TERMICO No. 8 C/25 PZAS</t>
  </si>
  <si>
    <t>24102</t>
  </si>
  <si>
    <t>ALUMINIO</t>
  </si>
  <si>
    <t>PARAFINA WAXWEL 1 LB (454 GRS)</t>
  </si>
  <si>
    <t>ARENA</t>
  </si>
  <si>
    <t>ESTAÑO</t>
  </si>
  <si>
    <t>GRAVA</t>
  </si>
  <si>
    <t>M3</t>
  </si>
  <si>
    <t>Rollo</t>
  </si>
  <si>
    <t>CALIDRA DE 50 KG</t>
  </si>
  <si>
    <t>YESO SUPREMO DE 50 KG</t>
  </si>
  <si>
    <t>MADRA DE PINO 1RA</t>
  </si>
  <si>
    <t>MADRA DE PINO 2DA</t>
  </si>
  <si>
    <t>TRIPLAY DE 12mm</t>
  </si>
  <si>
    <t>FOCO CACAHUATE 12V</t>
  </si>
  <si>
    <t>BATERIA RECARGABLE DE ACIDIO SELLADA</t>
  </si>
  <si>
    <t>FOCO ESPIRAL</t>
  </si>
  <si>
    <t>CONTACTO DUPLEX</t>
  </si>
  <si>
    <t>CLAVIJA CAUCHO TERMINAL POLO TIERRA</t>
  </si>
  <si>
    <t>CLAVIJA INDUSTRIALES</t>
  </si>
  <si>
    <t xml:space="preserve">CLAVIJA REDONDA </t>
  </si>
  <si>
    <t>CABLE No. 12</t>
  </si>
  <si>
    <t>CONTACTOR TRIFASICO SK132 STECK 220V</t>
  </si>
  <si>
    <t>FOCO INFRARROJO</t>
  </si>
  <si>
    <t>INTERRUPTOR TERMOMAGNETICO</t>
  </si>
  <si>
    <t>PASTILLA PARA CENTRO DE CARGA</t>
  </si>
  <si>
    <t>PILA DURACEL AA C/4</t>
  </si>
  <si>
    <t>PILA DURACEL AAA C/4</t>
  </si>
  <si>
    <t>PILA DURACEL C C/2</t>
  </si>
  <si>
    <t>PILA DURACEL V</t>
  </si>
  <si>
    <t>BROCA 1/4 PARA CONCRETO</t>
  </si>
  <si>
    <t>CONEXIÓN HEMBRA DE COBRE</t>
  </si>
  <si>
    <t xml:space="preserve">MEZCLADORA PARA FREGADERO </t>
  </si>
  <si>
    <t>GRAPAS 1/2 PARA T50</t>
  </si>
  <si>
    <t>BROCA SDS PLUS 1 4X6</t>
  </si>
  <si>
    <t>BROCA DE DIAMANTE 1/4 PARA VITROPISO</t>
  </si>
  <si>
    <t>JUEGO DE HERRAJE CERO FUGA PARA W.C.</t>
  </si>
  <si>
    <t>JALADERA METALICA</t>
  </si>
  <si>
    <t>JUNTAS DE EXPANSION Y METALICAS PARA TUBERIA</t>
  </si>
  <si>
    <t>LAVAMANOS</t>
  </si>
  <si>
    <t>VIDRIO TEMPLADO-LUNA</t>
  </si>
  <si>
    <t>Juego</t>
  </si>
  <si>
    <t>ABRAZADERA OMEGA 1/2</t>
  </si>
  <si>
    <t>ABRAZADERAS</t>
  </si>
  <si>
    <t>COPLE DE 1/2 INT</t>
  </si>
  <si>
    <t>VARILLA 3/8</t>
  </si>
  <si>
    <t>PERSIANAS (TODO TIPO DE MATERIAL)</t>
  </si>
  <si>
    <t>PLASTICO POR METRO</t>
  </si>
  <si>
    <t>PLASTICO CRISTAL</t>
  </si>
  <si>
    <t>MANGUERA ECONOMICA P/FREGADERO</t>
  </si>
  <si>
    <t>MANGUERA KITEK 1/2</t>
  </si>
  <si>
    <t>MANGUERA MULTIUSOS NEOPRENO 315 ROJA</t>
  </si>
  <si>
    <t>COFLEX MANGUERA VINILO GRIS 1/2 X  1/2  X 40</t>
  </si>
  <si>
    <t>MANGUERA INDUSTRIAL 5/16"</t>
  </si>
  <si>
    <t>CODO 90° PVC 2"</t>
  </si>
  <si>
    <t>MANGUERAS Y ACCESORIOS DE PLASTICO</t>
  </si>
  <si>
    <t>TUBERIAS PVC 1"</t>
  </si>
  <si>
    <t>TUBERIAS PVC 2"</t>
  </si>
  <si>
    <t>TUBERIAS PVC 3"</t>
  </si>
  <si>
    <t>VALVULAS PVC</t>
  </si>
  <si>
    <t>Mt</t>
  </si>
  <si>
    <t>Tramo</t>
  </si>
  <si>
    <t xml:space="preserve">DISCO DE CORTE </t>
  </si>
  <si>
    <t>CINTA TEFLON</t>
  </si>
  <si>
    <t>TORINILLO CABEZAL HEXAGONAL 2 1/2" X 5/16 C/30PZAS COD. 44724</t>
  </si>
  <si>
    <t>GRAPA PARA ET-50 1/2" TRUPER 17968</t>
  </si>
  <si>
    <t>LIJAS 220</t>
  </si>
  <si>
    <t>LIJAS 320</t>
  </si>
  <si>
    <t xml:space="preserve">ESMALTE ALUMINIO SECADO RAPIDO </t>
  </si>
  <si>
    <t>TUBO DE SILICON TRANSPARENTE</t>
  </si>
  <si>
    <t>SILICON 732 EMPAQUES</t>
  </si>
  <si>
    <t>SILICON RESISTENTE A LA HUMEDAD</t>
  </si>
  <si>
    <t>PEGAMENTO PARA PVC</t>
  </si>
  <si>
    <t>KIT DE EMPAQUE PARA FLOXOMETRO URREA</t>
  </si>
  <si>
    <t>IMPERCOAT CEMENTO N</t>
  </si>
  <si>
    <t>GASOLINA BLANCA</t>
  </si>
  <si>
    <t>ESPUMA DE POLIURETANO</t>
  </si>
  <si>
    <t xml:space="preserve">ESMALTE LITRO COLOR GRIS </t>
  </si>
  <si>
    <t>SELLADOR SISTA ANTIHONGOS</t>
  </si>
  <si>
    <t>LACA INDUSTRIAL BALNCA LI-0101.30</t>
  </si>
  <si>
    <t>Lata</t>
  </si>
  <si>
    <t>Cubeta</t>
  </si>
  <si>
    <t>FLUORURO DE SODIO 500 ML</t>
  </si>
  <si>
    <t>ALCOHOL DE 500 ML</t>
  </si>
  <si>
    <t>PEROXIDO DE HIDROGENO</t>
  </si>
  <si>
    <t>Bidon</t>
  </si>
  <si>
    <t>FERTILIZANTES COMPUESTOS (NITROGENO, FOSFORO Y POTASIO)</t>
  </si>
  <si>
    <t>GAS NATURAL (FERTILIZANTE)</t>
  </si>
  <si>
    <t>NITRATO DE AMONIO. GRADO FERTILIZANTES</t>
  </si>
  <si>
    <t>PLAGUICIDAS (INSECTICIDAS)</t>
  </si>
  <si>
    <t>Saco</t>
  </si>
  <si>
    <t>GEL CONDUCTOR DE 3.785ML</t>
  </si>
  <si>
    <t xml:space="preserve">ELECTRO GEL ECI </t>
  </si>
  <si>
    <t>PASTA CONDUCTROA TEN 20 TARRO 8oz.</t>
  </si>
  <si>
    <t>PASTA DERMOABRASIVA NUPREP DE 4oz.</t>
  </si>
  <si>
    <t>CUADRO BÁSICO CATÁLOGO DE MEDICAMENTOS DEL SECTOR SALUD</t>
  </si>
  <si>
    <t xml:space="preserve">CAPTOPRIL 25MG 30TAB </t>
  </si>
  <si>
    <t xml:space="preserve">LOSARTAN POTASICO 50MG 30TAB </t>
  </si>
  <si>
    <t>BETAMETASONA 8MG/AML 1AMP+JER</t>
  </si>
  <si>
    <t xml:space="preserve">LORATADINA 10MG 20TAB </t>
  </si>
  <si>
    <t>DIFENHIDRAMINA 25MG 30CAP</t>
  </si>
  <si>
    <t xml:space="preserve">CLORFENAMINA 4MG 20TAB </t>
  </si>
  <si>
    <t>DICLOFENACO 100MG 20TAB</t>
  </si>
  <si>
    <t xml:space="preserve">DICLOFENACO SOD 75MG/3ML 2AMP </t>
  </si>
  <si>
    <t xml:space="preserve">KETEROLACO 10MG 10TAB </t>
  </si>
  <si>
    <t xml:space="preserve">KETEROLACO 30MG/1ML 3 AMP </t>
  </si>
  <si>
    <t xml:space="preserve">METAMIZOL 1GR 3AMP </t>
  </si>
  <si>
    <t xml:space="preserve">PARACETAMOL 500MG 10TAB </t>
  </si>
  <si>
    <t>METAMIZOL 500MG 10COMP</t>
  </si>
  <si>
    <t xml:space="preserve">IBUPROENO 800MG 10TAB </t>
  </si>
  <si>
    <t xml:space="preserve">METOCLOPRAMIDA 10MG 6 AMP </t>
  </si>
  <si>
    <t>BULTILHIOSCINA 20 MG/1ML 3 AMP</t>
  </si>
  <si>
    <t xml:space="preserve">BUTILHIOSCINA 10MG 10TAB </t>
  </si>
  <si>
    <t>DEXAMETASONA 8MG/2ML 1AMP</t>
  </si>
  <si>
    <t xml:space="preserve">DEXAMETASONA 0.50MG 30TAB </t>
  </si>
  <si>
    <t xml:space="preserve">ISOSORBIDA 10MG 20TAB </t>
  </si>
  <si>
    <t>BAUMANOMETRO DIGITAL</t>
  </si>
  <si>
    <t>CAJA CUBREBOCAS TRICAPA COLOR NEGRO C/50 PZAS</t>
  </si>
  <si>
    <t>CARETA DE ACRILICO</t>
  </si>
  <si>
    <t>CUBREBOCAS KN95</t>
  </si>
  <si>
    <t>DESINFECTANTE EN AEROSOL</t>
  </si>
  <si>
    <t>BIDON GEL ANTIBACTERIAL 20 LTS</t>
  </si>
  <si>
    <t>DURAPORE 2.5 CM C/12 PZAS</t>
  </si>
  <si>
    <t>DURAPORE 5 CM C/6 PZAS</t>
  </si>
  <si>
    <t xml:space="preserve">ROLLO PARA MESA DE EXPLORACION </t>
  </si>
  <si>
    <t>ABATELENGUAS DE MADERA 18x15 CM C/100 , AMBIDERM</t>
  </si>
  <si>
    <t>ACIDO GRABADOR JUMBO JERINGA</t>
  </si>
  <si>
    <t>ADHESIVO (BONDING) 7  ML., PRIME-DENT</t>
  </si>
  <si>
    <t>ADHESIVO SINGLE BOND 3 GR UNIVERSAL 3M</t>
  </si>
  <si>
    <t>AGUA TRISTILADA</t>
  </si>
  <si>
    <t>AGUJA DESECHABLE 27g x 13mm GRIS BD</t>
  </si>
  <si>
    <t>AGUJAS SEPTOJECT 30 CORTA, SEPTODONT</t>
  </si>
  <si>
    <t>AGUJAS SEPTOJECT 30 EXTRA CORTA, SEPTODONT</t>
  </si>
  <si>
    <t>ALCOHOL ETILICO 90° 970 ML</t>
  </si>
  <si>
    <t>ALGODÓN EN TORUNDAS PAQ. DE 500 GRS</t>
  </si>
  <si>
    <t>AMALGAMA ARISTALLOY 21 PASTILLA, ETALLOY</t>
  </si>
  <si>
    <t xml:space="preserve">AMALGAMA ARISTALOY 21 POLVO </t>
  </si>
  <si>
    <t xml:space="preserve">AMALGAMA DISPERSALLOY </t>
  </si>
  <si>
    <t>ANILLO POT BANDA</t>
  </si>
  <si>
    <t>APLICADORES FINO REPUESTO (AMARILLO) C/100 PZ. MICROBRUSH</t>
  </si>
  <si>
    <t>AQUA FLOUR EN GOTAS 10 ML</t>
  </si>
  <si>
    <t>ARCO DE YOUNG METALICO, GERMANY</t>
  </si>
  <si>
    <t>BANDA MATRIZ EN ROLLO 0.05x5x3 MTS. KARVIR</t>
  </si>
  <si>
    <t>BOLSA PARA ESTERILIZAR 3 1/2 X 10</t>
  </si>
  <si>
    <t>BOTAFRESA JAPONESA/CONCENTRIX</t>
  </si>
  <si>
    <t>BROCHA (CEPILLO) PARA PROFILAXIS, EHROS</t>
  </si>
  <si>
    <t>CAIMAN METALICO , VOR</t>
  </si>
  <si>
    <t>CAMPOS, EURODENT</t>
  </si>
  <si>
    <t>CEPILLO P/LAVAR INSTRUMENTAL (QUIRURGICO), STEEL</t>
  </si>
  <si>
    <t>CHLORIHEXIDINA VICDENT</t>
  </si>
  <si>
    <t>CK6</t>
  </si>
  <si>
    <t>GANCHO PARA RADIOGRAFÍA INDIVIDUAL, ORTHO TECH</t>
  </si>
  <si>
    <t>CLORHSEPSIS 15 ML, VICDENT</t>
  </si>
  <si>
    <t>COPA PARA PULIR RESINA FINA</t>
  </si>
  <si>
    <t>COPA PARA PULIR RESINA MEDIA FINA</t>
  </si>
  <si>
    <t xml:space="preserve">KIT PULIDO 4110V ARKAN/CONOS P/RESINA, ORTHO PREM </t>
  </si>
  <si>
    <t>CRANE KAPLAN C.K.6, ORSA</t>
  </si>
  <si>
    <t>CUCHARILLA DE DENTINA CHICA</t>
  </si>
  <si>
    <t>CUÑAS</t>
  </si>
  <si>
    <t>CURETAS 30/3</t>
  </si>
  <si>
    <t>DESMOLDANTES DE SILICONA</t>
  </si>
  <si>
    <t>DIQUE 6X6 MEDIO AZUL NICTONE, MDC DENTAL</t>
  </si>
  <si>
    <t xml:space="preserve">DIQUE DE HULE </t>
  </si>
  <si>
    <t>DISCO P/PULIR RESINA FINO, ULTRADENT</t>
  </si>
  <si>
    <t>DISCO P/PULIR RESINA MEDIA FINO, ULTRADENT</t>
  </si>
  <si>
    <t>DYCAL FORMULA AVANZADA II REPUESTO, DENTSPLY</t>
  </si>
  <si>
    <t>ELEVADORES SELDIN 345, ORSA</t>
  </si>
  <si>
    <t>ESPATULA DORADA P/RESINA N2GFT3, ORTHO PREM</t>
  </si>
  <si>
    <t>ESPEJO # 5 PLANO, HAHNENKRA</t>
  </si>
  <si>
    <t>MANGO PARA ESPEJO No. 5 PLANO HEHNENKRA</t>
  </si>
  <si>
    <t xml:space="preserve">ESPONJA DE GASA ESTERIL DE 10X10 </t>
  </si>
  <si>
    <t xml:space="preserve">ESTUCHE PARA RESINA C/5 DIVISIONES, STEEL </t>
  </si>
  <si>
    <t>EUGENOL</t>
  </si>
  <si>
    <t>EXCAVADOR DE DENTINA No. 17, ORSA</t>
  </si>
  <si>
    <t>EXPLORADOR No. 5 ORSA</t>
  </si>
  <si>
    <t>EXPLORADOR WILKINS 17/23 ANTIADHERENTE MANGO 6</t>
  </si>
  <si>
    <t>EYECTORES DE SALIVA TRANSPARENTE 15 CM C/100 PZA</t>
  </si>
  <si>
    <t>FD LIDOCAINA 2% C/EPINEFRINA BLISTER PLASTICO, ZEYCO</t>
  </si>
  <si>
    <t xml:space="preserve">FLUORIMAX, ELEVATE </t>
  </si>
  <si>
    <t xml:space="preserve">MINUTE FLUOR S/CHICLE 480 ML, VIARDEM </t>
  </si>
  <si>
    <t>FRESA DE DIAMANTE MANI</t>
  </si>
  <si>
    <t>FRESA DIAMANTE BR 45 REDONDA GRANO MEDIO 001-010,MANI</t>
  </si>
  <si>
    <t>FRESA DIAMANTE BR 46 REDONDA GRANO MEDIO 001-012, MANI</t>
  </si>
  <si>
    <t xml:space="preserve">FRESA DIAMANTE MANI </t>
  </si>
  <si>
    <t>FRESA DIAMANTE SI 47 CONO INVERTIDO GRANO MEDIO 010-014</t>
  </si>
  <si>
    <t>GASA 7.5 X 5</t>
  </si>
  <si>
    <t>GASA DENTAL TELA NO TEJIDA 5X5 C/200PZ NO ESTERIL, AMBIDERM</t>
  </si>
  <si>
    <t>GASA ESTERIL CHICA</t>
  </si>
  <si>
    <t xml:space="preserve">SS GASA 2X2 C/200, SUNSET </t>
  </si>
  <si>
    <t>GRACEY 7-8 ACERO INOX, MONTANA</t>
  </si>
  <si>
    <t>GRAPAS S/N ALETA FIESTA COLOR, HYGENIC</t>
  </si>
  <si>
    <t>GUANTE DE LATEX NO ESTERIL LIBRE DE POLVO MEDIANO</t>
  </si>
  <si>
    <t>GUANTE DE LATEX NO ESTERIL LIBRE DE POLVO GRANDE</t>
  </si>
  <si>
    <t>GUANTE DE LATEX NO ESTERIL LIBRE DE POLVO EXTRACHICO</t>
  </si>
  <si>
    <t>GUANTE DE LATEX NO ESTERIL CHICO</t>
  </si>
  <si>
    <t xml:space="preserve">GUANTE NITRILO AZUL COBALTO EXTRACHICO, AMBIDERM </t>
  </si>
  <si>
    <t xml:space="preserve">GUANTE NITRILO SOFT NEGRO MEDIANO, AMBIDERM </t>
  </si>
  <si>
    <t>HILO DENTAL SIN CERA CON 50 MTS., ORALB</t>
  </si>
  <si>
    <t>HOJA DE BISTURI No. 15 ESTERIL, AESCULAP</t>
  </si>
  <si>
    <t>INOMERO FOTOCURABLE</t>
  </si>
  <si>
    <t>IONESEAL, VOCO</t>
  </si>
  <si>
    <t>IONOMERO DE VIDRIO</t>
  </si>
  <si>
    <t>JERINGA CONSEPSIS SIN PUNTAS -CLOREXIDINA, UTLRADENT</t>
  </si>
  <si>
    <t>JERINGA DESECH DE 10 ML</t>
  </si>
  <si>
    <t>JERINGA TIPO BAYER CON ANILLO Y MULETA, ORSA</t>
  </si>
  <si>
    <t>GENHESIS 4 JERINGAS -GLUCONATO CLORHEXIDINA AL 2% JERINGA 1.2 ML.</t>
  </si>
  <si>
    <t xml:space="preserve">CILINDRO SEALANT JERINGA REPUESTO, 3M </t>
  </si>
  <si>
    <t xml:space="preserve">KRIT 500 ML. ALTAMIRANO </t>
  </si>
  <si>
    <t>LÁMPARA PARA FOTOCURAR RESINA</t>
  </si>
  <si>
    <t>LOSETA DE VIDIRO PARA USO DENTAL DE 0.09mm, REYSA</t>
  </si>
  <si>
    <t>MANGO PARA BISTURI NO. 3, ORSA</t>
  </si>
  <si>
    <t>MERCURIO FRASCO</t>
  </si>
  <si>
    <t>MICRO-BRUSH REGULAR</t>
  </si>
  <si>
    <t>MICROBURSH FINA REPUESTO</t>
  </si>
  <si>
    <t>OXIDO DE ZINC CON ENDURECEDOR</t>
  </si>
  <si>
    <t>PAÑO PARA EXPRIMIR AMALGAMA</t>
  </si>
  <si>
    <t>PAPEL/ARTICULAR (1/2 ARCADA) 80 MICA/R ROEKO</t>
  </si>
  <si>
    <t>PASTA PROFILACTICA 100 GR VAINILLA GELATO</t>
  </si>
  <si>
    <t xml:space="preserve">PEGAMENTO </t>
  </si>
  <si>
    <t>PELICULA PERIAPICAL E-SPEED EP-21 ADULTO 30.5x40.5 CARESTREAM</t>
  </si>
  <si>
    <t>PERFORADORA DE DIQUE DE HULE, UNION</t>
  </si>
  <si>
    <t>PIEDRA ARKANSAS DE ALT VELOCIDAD</t>
  </si>
  <si>
    <t>PIEZA DE MANO DE ALTA VELOCIDAD MED Y DENTAL</t>
  </si>
  <si>
    <t>PIEZA DE MANO DE BAJA VELOCIDAD C/CONTRANGULO</t>
  </si>
  <si>
    <t>PINZA CURACION FLAG, ORSA</t>
  </si>
  <si>
    <t>PISTILO</t>
  </si>
  <si>
    <t>PORTA AGUJAS MAYO 14 cm, ORSA</t>
  </si>
  <si>
    <t>PORTA AMALGAMA DOBLE, ORSA</t>
  </si>
  <si>
    <t>PORTA MATRIZ ARAIN</t>
  </si>
  <si>
    <t xml:space="preserve">PORTA VASO DE PLÁSTICO </t>
  </si>
  <si>
    <t>PORTAGRAPA PAKISTANA TIPO IVORY, ARAIN</t>
  </si>
  <si>
    <t>PROVISIT</t>
  </si>
  <si>
    <t>PULIDOR DE RESINA DISCO, FLAMA, COPA VERDE-AMARILLA</t>
  </si>
  <si>
    <t>PUNTA P/PULIR MEDIA G. FORMA DE P., ULTRADENT</t>
  </si>
  <si>
    <t>PUNTA P/PULIR MEDIA GRUESA DISCO, ULTRADENT</t>
  </si>
  <si>
    <t>PUNTA P/PULIR RESINA FINA, ULTRADENT</t>
  </si>
  <si>
    <t>PUNTA P/PULIR RESINA MEDIA FINA, ULTRADENT</t>
  </si>
  <si>
    <t>PUNTA PARA PULIR AMARILLA</t>
  </si>
  <si>
    <t>PUNTA PARA PULIR BLANCA</t>
  </si>
  <si>
    <t>PUNTA PARA PULIR MEDIA GRUESA COPA</t>
  </si>
  <si>
    <t>PUNTA PARA PULIR MEDIA GRUESA DE DISCO</t>
  </si>
  <si>
    <t>PUNTA PARA PULIR MEDIANA FINA G FORMA P ULTRADENT</t>
  </si>
  <si>
    <t>PUNTA PARA PULIR MEDIANA G FORMA DE P ULTRADENT</t>
  </si>
  <si>
    <t>PUNTA PARA PULIR RESINA FINA G FOMRA DE P ULTRADENT</t>
  </si>
  <si>
    <t>PUNTAS P/PULIR RESINA AMARILLA</t>
  </si>
  <si>
    <t>PUNTAS P/PULIR RESINA VERDE</t>
  </si>
  <si>
    <t>RATON MINI, OLIVAS</t>
  </si>
  <si>
    <t>RECOLECTOR PUNZO CORTANTE</t>
  </si>
  <si>
    <t>RESINA CLEARFIL JERINGA</t>
  </si>
  <si>
    <t>RESINA FLOWA2</t>
  </si>
  <si>
    <t xml:space="preserve">RESINA HIBRIDA, PRIME-DEMT </t>
  </si>
  <si>
    <t xml:space="preserve">RESINA FLUIDA </t>
  </si>
  <si>
    <t>RESINA SPECTRA SMAT A2</t>
  </si>
  <si>
    <t>SANI-CLOTH PLUS BOTE C/160 TOALLITAS, SULTAN</t>
  </si>
  <si>
    <t>SELLADOR DE FOSAS Y FISURAS (CLINPRO)</t>
  </si>
  <si>
    <t>SPECTRA SMART JERINGA A1 4GR, DENTSPLY</t>
  </si>
  <si>
    <t>SPECTRA SMART JERINGA A2 4GR, DENRSPLY</t>
  </si>
  <si>
    <t>SPECTRA SMART JERINGA A3 4GR, DENTSPLY</t>
  </si>
  <si>
    <t>SUTURA SEDA 4/0 SURGEASY</t>
  </si>
  <si>
    <t xml:space="preserve">SEDA NEGRA 3 0 75 CM 19MM, DEMETECH </t>
  </si>
  <si>
    <t>TOPICAINA BENZOCAINA 20% SABOR CEREZA FRASCO 30 GR. ZEYCO</t>
  </si>
  <si>
    <t>ULTRA-ETCH 35% XTRA PACK 1.25 SIN PUNTA, ULTRADENT</t>
  </si>
  <si>
    <t>VASO DAPPEN VIDRIO</t>
  </si>
  <si>
    <t>WEDJETS CORDON ESTABILIZADOR CHICO, HYGENIC</t>
  </si>
  <si>
    <t>ELECTRODO DE 9mm PARA OREJA CON SOCKET</t>
  </si>
  <si>
    <t>VENDA DE MALLA TUBULAR CAL 6</t>
  </si>
  <si>
    <t>VENDA ELASTICA 5 CM</t>
  </si>
  <si>
    <t xml:space="preserve">VENDA DE FIBRA DE VIDRIO </t>
  </si>
  <si>
    <t xml:space="preserve">VENDA DE 10 CM </t>
  </si>
  <si>
    <t>VENDA ELASTICA DE 15</t>
  </si>
  <si>
    <t>BERMUDA</t>
  </si>
  <si>
    <t>IND LV DPD #1 RAPID (TIRA CON 10 PASTILLAS)</t>
  </si>
  <si>
    <t>IND LV PH RF RD 6.5 A 8.4 (TIRA CON 10 PASTILLAS)</t>
  </si>
  <si>
    <t>IND SP # 3 ENVASE 250cc</t>
  </si>
  <si>
    <t>IND SP # 4 ENVASE 250cc</t>
  </si>
  <si>
    <t>IND SP # 5 ENVASE 250cc</t>
  </si>
  <si>
    <t>IND SP # 6 ENVASE 250cc</t>
  </si>
  <si>
    <t>IND SP # 7 ENVASE 250cc</t>
  </si>
  <si>
    <t xml:space="preserve">MANCUERNA ACUÁTICA LIVIANA CON AGARRE </t>
  </si>
  <si>
    <t xml:space="preserve">MANCUERNA ACUÁTICA MEDIA CON AGARRE </t>
  </si>
  <si>
    <t>SET PARA NATACION</t>
  </si>
  <si>
    <t>ADHESIVO RESISTOL 3080 17 LTS</t>
  </si>
  <si>
    <t>CERA LIQUIDA DOLORFIEL</t>
  </si>
  <si>
    <t>CINTA DE GANCHO</t>
  </si>
  <si>
    <t>CUTTER CUCHICHA DE 25 mm CUT-7XX TRUPPER</t>
  </si>
  <si>
    <t>CUTTER NV/7X TRUPPER</t>
  </si>
  <si>
    <t>ELASTICO GRUESO</t>
  </si>
  <si>
    <t xml:space="preserve">EQUIPO DE CORTE PARA SIERRA STIKER </t>
  </si>
  <si>
    <t>ESPUMA DE POLIUTETANO DE 6 FIERROS</t>
  </si>
  <si>
    <t>EVA LISO 3mm</t>
  </si>
  <si>
    <t>EVA LISO 4.5mm</t>
  </si>
  <si>
    <t>EVA LISO 5mm</t>
  </si>
  <si>
    <t>EVA LISO 6mm</t>
  </si>
  <si>
    <t>EVA LISO 10mm</t>
  </si>
  <si>
    <t>EVA LISO 12mm</t>
  </si>
  <si>
    <t>EVA LISO 15mm</t>
  </si>
  <si>
    <t xml:space="preserve">EVA PERFORADO 3mm </t>
  </si>
  <si>
    <t>EVA PERFORADO 5mm</t>
  </si>
  <si>
    <t xml:space="preserve">HILO PARA MAQUINA DE COSER THERA </t>
  </si>
  <si>
    <t>GUAYUL SUPERIOR 17 LTS</t>
  </si>
  <si>
    <t>LAMINA DE HULE 15MM</t>
  </si>
  <si>
    <t>LAMINA DE HULE 18MM</t>
  </si>
  <si>
    <t>LAMINA DE HULE 3MM</t>
  </si>
  <si>
    <t>LAMINA DE HULE 5MM</t>
  </si>
  <si>
    <t>LAMINA DE POLIPROPILENO 3MM</t>
  </si>
  <si>
    <t>LAMINA DE POLIPROPILENO 5MM</t>
  </si>
  <si>
    <t>LIJAS TERMINACION PROXIMAL-100 TIRAS 4 MM X170MM, TDV</t>
  </si>
  <si>
    <t xml:space="preserve">LIJA CILINDRICA </t>
  </si>
  <si>
    <t>MORTERO</t>
  </si>
  <si>
    <t>NEOLITE 3mm</t>
  </si>
  <si>
    <t>NEOLITE 5mm</t>
  </si>
  <si>
    <t>POLIETILENO CAL 60</t>
  </si>
  <si>
    <t>PROPILENO DE 3mm</t>
  </si>
  <si>
    <t>PROPILENO DE 5mm</t>
  </si>
  <si>
    <t>REPUESTO DE NAVAJAS PARA CUTTER 7XX</t>
  </si>
  <si>
    <t>REPUESTO DE NAVAJAS PARA CUTTER NV-7X</t>
  </si>
  <si>
    <t>ROLLO CONTACTEL CON PEGAMENTO</t>
  </si>
  <si>
    <t>ROLLO CONTACTEL DE 2"</t>
  </si>
  <si>
    <t>SUELA HULE ESPUMA 12 FIERROS</t>
  </si>
  <si>
    <t>SUELA HULE ESPUMA 24 FIERROS</t>
  </si>
  <si>
    <t>SUELA HULE ESPUMA 36 FIERROS</t>
  </si>
  <si>
    <t>SUELA HULE ESPUMA 6 FIERROS</t>
  </si>
  <si>
    <t xml:space="preserve">SURFORM MEDIA CUNA </t>
  </si>
  <si>
    <t xml:space="preserve">SUFORM MEDIA REDONDO </t>
  </si>
  <si>
    <t xml:space="preserve">SUFORM MEDIA PLANO </t>
  </si>
  <si>
    <t>ACEITE PARA BEBE JOHNSONS</t>
  </si>
  <si>
    <t xml:space="preserve">TALCO BEBE MENNEN </t>
  </si>
  <si>
    <t>TELA AHULADA</t>
  </si>
  <si>
    <t>TIJERAS No. 12 TRUPPER</t>
  </si>
  <si>
    <t>VENDA ENYESADA GYPSONA 1 cm</t>
  </si>
  <si>
    <t xml:space="preserve">VENDA DE YESO 10 cm </t>
  </si>
  <si>
    <t>VENDA ENYESADA GYPSONA 15 cm</t>
  </si>
  <si>
    <t>ELECTRODOS CUADRADOS DE 5 CM C/4</t>
  </si>
  <si>
    <t>Tira</t>
  </si>
  <si>
    <t>Set</t>
  </si>
  <si>
    <t>Kit</t>
  </si>
  <si>
    <t>Lamina</t>
  </si>
  <si>
    <t xml:space="preserve">Lamina </t>
  </si>
  <si>
    <t>Mts</t>
  </si>
  <si>
    <t>BOLSA 10x20</t>
  </si>
  <si>
    <t>BOLSA 20x30</t>
  </si>
  <si>
    <t>BOLSA NEGRA JUMBO 70 + 30 1.20</t>
  </si>
  <si>
    <t>BOLSA NEGRA 50 X 70</t>
  </si>
  <si>
    <t>BOLSA NEGRA 70 X 90</t>
  </si>
  <si>
    <t>GASOLINA MAGNA</t>
  </si>
  <si>
    <t>ACEITE HP ULTRA 100 ML</t>
  </si>
  <si>
    <t>GRASA</t>
  </si>
  <si>
    <t>AFLOJATODO</t>
  </si>
  <si>
    <t>DIESEL</t>
  </si>
  <si>
    <t>LUBRICANTE</t>
  </si>
  <si>
    <t>Botella</t>
  </si>
  <si>
    <t>CHALECO SALVAVIDAS TIPO HERRADURA</t>
  </si>
  <si>
    <t>TABLA DE NATACION BASICA</t>
  </si>
  <si>
    <t>UNIFORMES DE TRABAJO</t>
  </si>
  <si>
    <t>ALMOHADAS Y COJINES</t>
  </si>
  <si>
    <t>SABANAS</t>
  </si>
  <si>
    <t>CUÑAS GRANDES</t>
  </si>
  <si>
    <t>CARRETILLA</t>
  </si>
  <si>
    <t>PIJAS P/TRABLAROCA SURTIDO (MEDIDAS VARIAS)</t>
  </si>
  <si>
    <t>REPUESTO P/CUTTER</t>
  </si>
  <si>
    <t xml:space="preserve">HILO P/DESBROZADORA </t>
  </si>
  <si>
    <t>REJOJ DE PARED</t>
  </si>
  <si>
    <t>CANDADO DE HIERRO 45MM COD. 43319</t>
  </si>
  <si>
    <t>COPLES P/MANGUERA KITEK</t>
  </si>
  <si>
    <t>CONECTORES PARA MANGUERA</t>
  </si>
  <si>
    <t>DUPLICADO DE LLAVE</t>
  </si>
  <si>
    <t>BROCHA DE 1"</t>
  </si>
  <si>
    <t xml:space="preserve">BANCO ALTO CON RESPALDO PARA TALLERES </t>
  </si>
  <si>
    <t>SUPERSOR 6c 540J 91M NEGRO</t>
  </si>
  <si>
    <t>TAQUETE DE 1/4</t>
  </si>
  <si>
    <t>TAQUETES P/TABLA ROCA</t>
  </si>
  <si>
    <t>ESPATULA</t>
  </si>
  <si>
    <t>BROCHA DE 2"</t>
  </si>
  <si>
    <t>BROCHA DE 3"</t>
  </si>
  <si>
    <t>BROCHA DE 5"</t>
  </si>
  <si>
    <t>BOLSA  DE TAQUETES</t>
  </si>
  <si>
    <t>TACHUELA MAE TCC PAQUETE CON 100 PZAS</t>
  </si>
  <si>
    <t>DISCO DURO PARA MICROCOMPUTADORA</t>
  </si>
  <si>
    <t>PANTALLA ANTIREFLEJANTE</t>
  </si>
  <si>
    <t>PORTATECLADO PARA MICROCOMPUTADORAS</t>
  </si>
  <si>
    <t>UNIDAD LECTORA Y/O GRABADORA DE DISCO COMPACTO PARA MICROCOMPUTADORA</t>
  </si>
  <si>
    <t>DISCO DE CORTE</t>
  </si>
  <si>
    <t>DISCO DE CORTE DE 14"</t>
  </si>
  <si>
    <t>DISCO DE CORTE DE 4 1/2</t>
  </si>
  <si>
    <t>GUIAS PARA PAQUETERIA</t>
  </si>
  <si>
    <t>UNIDAD</t>
  </si>
  <si>
    <t>SEGUROS DEVEHICULOS</t>
  </si>
  <si>
    <t>INSTALACION DE CRISTAL DE 5 CM PARA ULTRASONIDO</t>
  </si>
  <si>
    <t>INSTALACION DE CHAPA DE CERROJO PARA PUERTA DE CUARTO FRIO</t>
  </si>
  <si>
    <t>INS. REP Y MANNTO. DE EQ. COMPUTO Y TEC. DE LA INF.</t>
  </si>
  <si>
    <t>REPARACION EQUIPO DE RAYOS XS</t>
  </si>
  <si>
    <t>SERVICIO SE CAMBIO DE ACUMULADOR L 24530</t>
  </si>
  <si>
    <t>REP. Y MANTTO. DE EQ DE TRANSPORTE</t>
  </si>
  <si>
    <t>MANTENIMIENTO IMPRESORA</t>
  </si>
  <si>
    <t>SERVICIO DE CAMBIO DE CAMARA PARA LLANTA DE CARRETILLA</t>
  </si>
  <si>
    <t>MANTENIMIENTO DE PODADORA</t>
  </si>
  <si>
    <t>MANTENIMIENTO DE EQUIPO PARA SOLDAR</t>
  </si>
  <si>
    <t>SERVICIO DE CAMBIO DE CABEZAL DE CORTE AUTOCUT</t>
  </si>
  <si>
    <t>SERVICIO DE CAMBIO DE BALEROS Y SELLO A BOMBA</t>
  </si>
  <si>
    <t>SERVICIO DE CAMBIO SELLO MECÁNICO</t>
  </si>
  <si>
    <t>CAMBIO DE LLANTA DE CARRETILLA</t>
  </si>
  <si>
    <t>Piea</t>
  </si>
  <si>
    <t>RECOLECCION DE DESECHOS SOLIDOS Y LIQUIDOS</t>
  </si>
  <si>
    <t>EVENTO CREE</t>
  </si>
  <si>
    <t>ESPIROMETRO Y ASPIROMETRO</t>
  </si>
  <si>
    <t>IMPRESORA</t>
  </si>
  <si>
    <t>IMPRESORA DE CB</t>
  </si>
  <si>
    <t>LECTOR DE HUELLA</t>
  </si>
  <si>
    <t>MULTIFUNCIONAL</t>
  </si>
  <si>
    <t>EQUIPO CONTRA INCENDIO</t>
  </si>
  <si>
    <t>ANDADERA ORTOPEDICA</t>
  </si>
  <si>
    <t>ANDADERA ORTOPEDICA INFANTIL</t>
  </si>
  <si>
    <t>CONTROLADOR DE AGUA CALIENTE</t>
  </si>
  <si>
    <t>LIMPIADOR ULTRASONICO</t>
  </si>
  <si>
    <t>CALADORA</t>
  </si>
  <si>
    <t>AMALGAMADOR</t>
  </si>
  <si>
    <t>se le quito a la Coordiancion de Aquí nos vemos</t>
  </si>
  <si>
    <t>FEBRERO</t>
  </si>
  <si>
    <t>MAYO</t>
  </si>
  <si>
    <t>AGOSTO</t>
  </si>
  <si>
    <t>OCTUBRE</t>
  </si>
  <si>
    <t>MARZO</t>
  </si>
  <si>
    <t>LIBRETA TAMAÑO PROFESIONAL, RAYA. C/100 HOJAS</t>
  </si>
  <si>
    <t>CINTA METRICA</t>
  </si>
  <si>
    <t>ACUMULADORES (BATERIAS)</t>
  </si>
  <si>
    <t>FOCOS PARA UNIDADES</t>
  </si>
  <si>
    <t>CALAVERAS PARA UNIDADES</t>
  </si>
  <si>
    <t xml:space="preserve">LLANTAS </t>
  </si>
  <si>
    <t>SERVICIO DE AFINACION MAYOR</t>
  </si>
  <si>
    <t>SERVICIO DE AFINACION MENOR</t>
  </si>
  <si>
    <t>SERVICIO DE TAPIZADO</t>
  </si>
  <si>
    <t>SERVICIO DE REPARACION DE FRENOS</t>
  </si>
  <si>
    <t>SERVICIO ELECTRICO</t>
  </si>
  <si>
    <t>SERVICIO DE SUSPENSION</t>
  </si>
  <si>
    <t>SERVICIO DE AIRE ACONDICIONADO</t>
  </si>
  <si>
    <t>TENENCIA Y CANJE DE PLACAS DE VEHICULOS OFICIALES</t>
  </si>
  <si>
    <t>PAGOS DE DEDUBLE</t>
  </si>
  <si>
    <t>SILLON EJECUTIVO</t>
  </si>
  <si>
    <t>BLACKHORSE-RACING ASIENTO DE CUENTAS DE NEUMÁTICO DE AIRE DE 5 GALONES, INFLADOR DE ASIENTO DE HERRAMIENTA DE 145 PSI CON CALIBRE PARA AUTOMÓVIL, CAMIÓN, ATV, TANQUE RESISTENTE</t>
  </si>
  <si>
    <t>GATO HIDRAULICO</t>
  </si>
  <si>
    <t>CARGADOR DE ACUMULADOR</t>
  </si>
  <si>
    <t>ARRANCADOR PARA VEHICULO</t>
  </si>
  <si>
    <t>HIDROLAVADORA INDUSTRIAL</t>
  </si>
  <si>
    <t>CINTA ADHESIVA TRANSPARENTE DE 48x50 MM  C/6</t>
  </si>
  <si>
    <t>CINTA CANELA  C/6</t>
  </si>
  <si>
    <t>CORRECTOR TIPO PLUMA </t>
  </si>
  <si>
    <t>TIJERA DEL NO. 6 PARA OFICINAS </t>
  </si>
  <si>
    <t xml:space="preserve">CUENTA FACIL  </t>
  </si>
  <si>
    <t>MARCATEXTO DE DIFERENTES COLORES</t>
  </si>
  <si>
    <t>MARCADOR P. FINO C/ 10 COLORES</t>
  </si>
  <si>
    <t>CAJA DE BROCHE PARA ARCHIVO DE 8 CM</t>
  </si>
  <si>
    <t>LAPIZ ADHESIVO 36 GRS CON 12 PIEZAS</t>
  </si>
  <si>
    <t>REGLA DE METAL DE 30 CM</t>
  </si>
  <si>
    <t>SEPARADOR DE PLASTICO COLORES PASTEL CON 12 PIEZAS TAMAÑO CARTA</t>
  </si>
  <si>
    <t>BOLIGRAFOS P. MEDIANO C/12 PIEZAS AZUL Y NEGRA</t>
  </si>
  <si>
    <t>LAPIZ CON BORRADOR DEL NO. 2 CON 12 PIEZAS</t>
  </si>
  <si>
    <t>CUTTER MEDIANO</t>
  </si>
  <si>
    <t>CLIP ESTANDAR DEL NO. 3</t>
  </si>
  <si>
    <t>CLIP GIGANTE DEL NO. 1 (MARIPOSA)</t>
  </si>
  <si>
    <t>CLIP GIGANTE DEL NO. 2 (MARIPOSA)</t>
  </si>
  <si>
    <t xml:space="preserve">ENGRAPADORA </t>
  </si>
  <si>
    <t>GRAPAS ESTANDAR C/5000</t>
  </si>
  <si>
    <t>GRAPAS PARA ENGRAPADORA DE TAPICERIA MODELO JT27" MEDIDA 5/16" 8MM</t>
  </si>
  <si>
    <t>PORTA PAPELERIA DE 3 NIVELES T/CARTA</t>
  </si>
  <si>
    <t>PERFORADORA MEDIANA TRABAJO PESADO 2 ORIFICIOS</t>
  </si>
  <si>
    <t>MARCADOR  TINTA PERMANENTE DELGADO NEGRO</t>
  </si>
  <si>
    <t>MARCADOR TINTA PERMANENTE GRUESO NEGRO</t>
  </si>
  <si>
    <t xml:space="preserve">MARCADORES DE AGUA C/12 PIEZAS DIFERENTES COLORES </t>
  </si>
  <si>
    <t>SACAPUNTAS DE METAL TIPO ESCOLAR</t>
  </si>
  <si>
    <t>LIBRETA DE PASTA DURA F/FRANCESA DE 96 HJS</t>
  </si>
  <si>
    <t>AGENDA</t>
  </si>
  <si>
    <t xml:space="preserve">COJIN NO.1 PLASTICO SIN TINTA </t>
  </si>
  <si>
    <t xml:space="preserve"> HOJAS BLANCASTAMAÑO CARTA caja c/10 paquetes C/500 hojas.</t>
  </si>
  <si>
    <t xml:space="preserve"> HOJAS BLANCAS T/OFICIO caja c/10 paquetes C/500 hojas.</t>
  </si>
  <si>
    <t>FOLDER T/CARTA CREMA C/100</t>
  </si>
  <si>
    <t xml:space="preserve"> FOLDER T/OFICIO  CREMA C/100</t>
  </si>
  <si>
    <t xml:space="preserve"> HOJAS OPALINA T/CARTA GRUESA  COLOR ROSA FUSHIA C/100A</t>
  </si>
  <si>
    <t xml:space="preserve">NOTAS ADHESIVAS 75 GR M/2 400 HOJAS DE COLORES PASTEL </t>
  </si>
  <si>
    <t xml:space="preserve">RECOPILADOR T/CARTA </t>
  </si>
  <si>
    <t xml:space="preserve">RECOPILADOR T/OFICIO  </t>
  </si>
  <si>
    <t>LIGAS DE HULE DEL NO. 36</t>
  </si>
  <si>
    <t>LIGAS DE HULE DEL NO. 18</t>
  </si>
  <si>
    <t xml:space="preserve">servicios </t>
  </si>
  <si>
    <t>ARRENDAMIENTOS DE BIENES Y MUEBLES INFORMATICOS</t>
  </si>
  <si>
    <t>IMPRESIÓN DE FORMATERIA (MILLAR DE CADA FORMATO)</t>
  </si>
  <si>
    <t xml:space="preserve">LONA IMPRESA 2*2.5 MTRS </t>
  </si>
  <si>
    <t xml:space="preserve">PENDON IMPRESO 0.80¨1.80 MTS AVISO DE PRIVACIDAD Y DE LA COORDINACION </t>
  </si>
  <si>
    <t xml:space="preserve">DISPLAY ARAÑA DE 0.80*1.80 </t>
  </si>
  <si>
    <t>PEAJE</t>
  </si>
  <si>
    <t>COORDINADOR  ACUDE A LOS 18 MUNICPIOS 4 VECES AL AÑO</t>
  </si>
  <si>
    <t>CHOFER TRASLADA AL PERSONAL A 13 MUNICIPIOS (ZONA ORDINARIA ) 4 VECES AL AÑO</t>
  </si>
  <si>
    <t>CHOFER TRASLADA AL PERSONAL A 5 MUNICIPIOS (ZONA CARA ) 4 VECES AL AÑO</t>
  </si>
  <si>
    <t xml:space="preserve"> 2  AUXILIAR ADMINISTRATIVO ACUDE A LOS 18 MUNICIPIOS 4 VECES AL AÑO</t>
  </si>
  <si>
    <t>ARCHIVERO DE CUATRO GAVETAS 1.40 ALTO X 50 DE FONDO X 47 DE ANCHO CON CORREDERAS DE EXTENSION CHAPA Y LLAVE DE SEGURIDAD EN GAVETA SUPERIOR FABRICADO EN MELAMINA DE 28/16 MM</t>
  </si>
  <si>
    <t xml:space="preserve">DESTINO DE LOS BIENES Y SERVCIOS </t>
  </si>
  <si>
    <t>DIRECCION GENERAL, SUBDIRECCION GENERAL ADMINISTRATIVA, SUBDIRECCION GENERAL OPERATIVA, SUBDIRECCION GENERAL DE PROGRAMAS SOCIALES Y COORDINACIONES.</t>
  </si>
  <si>
    <t>PAQUET</t>
  </si>
  <si>
    <t>PÍEZA</t>
  </si>
  <si>
    <t>PIEza</t>
  </si>
  <si>
    <t>PIeza</t>
  </si>
  <si>
    <t>KG</t>
  </si>
  <si>
    <t>ENERO</t>
  </si>
  <si>
    <t>NOVIEMBRE</t>
  </si>
  <si>
    <t>DICIEMBRE</t>
  </si>
  <si>
    <t>ABRIL</t>
  </si>
  <si>
    <t>JUNIO</t>
  </si>
  <si>
    <t>JULIO</t>
  </si>
  <si>
    <t>SEPTIEMBRE</t>
  </si>
  <si>
    <t xml:space="preserve">
CANTIDAD DE BIENES Y/O SERVICIOS REQUERIDOS</t>
  </si>
  <si>
    <t xml:space="preserve">
VALOR TOTAL (PESOS)</t>
  </si>
  <si>
    <t>GOBIERNO DEL ESTADO DE NAYARIT 
PROGRAMA ANUAL DE ADQUISICIONES, ARRENDAMIENTOS Y PRESTACIÓN DE SERVICIOS PARA EL EJERCICIO FISCAL 2024                                                                                          DEL SISTEMA PARA EL DESARROLLO INTEGRAL DE LA FAMILIA DEL ESTADO DE NAYARIT</t>
  </si>
  <si>
    <t>PARA LA OPERATIVIDAD DE TODAS LAS AREAS DE SERVICIO DE ASISTENCIA SOCIAL, EN BENEFICIO DE LA CIUDADANIA</t>
  </si>
  <si>
    <t>PARA LAS FUNCIONES Y NECESIDADES DE TODAS LAS AREA DE DIF ESTATAL</t>
  </si>
  <si>
    <t>CLAVE DEL OBJETO DEL GASTO 
(CAP/CONCEP/PDA)</t>
  </si>
  <si>
    <t>VALOR TOTAL ANUAL ESTIMADO 
(PESOS)</t>
  </si>
  <si>
    <t>Enero</t>
  </si>
  <si>
    <t>Febrero</t>
  </si>
  <si>
    <t>Marzo</t>
  </si>
  <si>
    <t>Mayo</t>
  </si>
  <si>
    <t>Junio</t>
  </si>
  <si>
    <t>Agosto</t>
  </si>
  <si>
    <t>Septiembre</t>
  </si>
  <si>
    <t>Noviembre</t>
  </si>
  <si>
    <t>Diciembre</t>
  </si>
  <si>
    <t>Cantidad</t>
  </si>
  <si>
    <t>Monto</t>
  </si>
  <si>
    <t>Cinta adhesiva transparente chica 12 mm x 65 m</t>
  </si>
  <si>
    <t>Operatividad de los Programas Sociales</t>
  </si>
  <si>
    <t>Cinta adhesiva transprente grande 48mmx50m</t>
  </si>
  <si>
    <t xml:space="preserve">Desengrapador </t>
  </si>
  <si>
    <t>Engrapadora Tira completa metalica</t>
  </si>
  <si>
    <t>Tinta para cojin de sellos 60 ml negra</t>
  </si>
  <si>
    <t>Cuenta facil</t>
  </si>
  <si>
    <t>Marcador para Pintarron negro c/4 pzas</t>
  </si>
  <si>
    <t>Marcador para pintarron azul</t>
  </si>
  <si>
    <t>Marcador para pintarron rojo</t>
  </si>
  <si>
    <t>Marcador para pintarron verde</t>
  </si>
  <si>
    <t>Marcador grueso permanente negro c/12 pzas</t>
  </si>
  <si>
    <t>BOLIGRAFOS COLOR AZUL CON 12 PIEZAS</t>
  </si>
  <si>
    <t>BOLIGRAFOS COLOR NEGRO CON 12 PIEZAS</t>
  </si>
  <si>
    <t>LAPIZ NO.2 CON 12 PIEZAS</t>
  </si>
  <si>
    <t>LAPIZ ADHESIVO EN  BARRA DE 40G (JUMBO)</t>
  </si>
  <si>
    <t>TINTA PARA SELLO COLOR ROJO</t>
  </si>
  <si>
    <t xml:space="preserve">REGLAS DE PLASTICO 30 cm </t>
  </si>
  <si>
    <t>Liquido limpiador para pintarron</t>
  </si>
  <si>
    <t>Cojin para sellos de No. 1 mediano de plastico</t>
  </si>
  <si>
    <t>Cuaderno profesional rayado c/100 hojas</t>
  </si>
  <si>
    <t>Borrador para pintarron</t>
  </si>
  <si>
    <t>Pintarron blanco de malamina 40x60</t>
  </si>
  <si>
    <t>PINTARRON BLANCO 1.20 X 90 CM</t>
  </si>
  <si>
    <t>PINTARRON BLANCO/ CORCHO MIXTO 40X60 CM</t>
  </si>
  <si>
    <t>PINTARRON BLANCO/CORCHO MIXTO 90X60 CM</t>
  </si>
  <si>
    <t>PINTARRON BLANCO 90X60 CM</t>
  </si>
  <si>
    <t>Perforadoras de 2 orificios</t>
  </si>
  <si>
    <t>Perforadora de 3 orificios p/40 hojas</t>
  </si>
  <si>
    <t>CORRERCTOR DE BROCHA DE 20 ML</t>
  </si>
  <si>
    <t>CINTA PARA MAQUINA DE ESCRIBIR MECANICA</t>
  </si>
  <si>
    <t xml:space="preserve">Libro florete forma italiana con 192 hojas </t>
  </si>
  <si>
    <t>Regla de metal de 30 cms</t>
  </si>
  <si>
    <t xml:space="preserve">Libreta de taquigrafia corta con 80 horas </t>
  </si>
  <si>
    <t>Marcador grueso permanente negro c/12 piezas</t>
  </si>
  <si>
    <t>Lapiz adhesivo  de 42 grs. c/u paquete con 5 pzas.</t>
  </si>
  <si>
    <t>Quitagrapas magnetico de escritorio</t>
  </si>
  <si>
    <t>Rotafolio</t>
  </si>
  <si>
    <t>Cortador de papel con proteccion de seguridad para corte estándar</t>
  </si>
  <si>
    <t>Caja de cinta diurex 19x33 3m  transparente c/ 6 pzas.</t>
  </si>
  <si>
    <t>Crayolas c/24</t>
  </si>
  <si>
    <t xml:space="preserve">pistola para silicon </t>
  </si>
  <si>
    <t>clips blinder 25 mm.</t>
  </si>
  <si>
    <t>clips blinder de 2"</t>
  </si>
  <si>
    <t>Cajas de  colores  c/ 24</t>
  </si>
  <si>
    <t>Bolsa de silicón en barra delgada de 1 kg</t>
  </si>
  <si>
    <t>Agenda clasica 2024</t>
  </si>
  <si>
    <t>Caja de marcador de cera rojo c/10 pz</t>
  </si>
  <si>
    <t>Organizador de escritorio con 4 niveles con dos portalapices</t>
  </si>
  <si>
    <t>Papel t/carta compatible con impresora laser e injet, fotocopiadora, faxes, etc paq. c/500 pzas.</t>
  </si>
  <si>
    <t>Papel t/oficio compatible con impresora laser e injet, fotocopiadora, faxes, etc paq. c/500 pzas.</t>
  </si>
  <si>
    <t>Folder manila tamaño carta c/100  pz color beige</t>
  </si>
  <si>
    <t>Juego de carpeta colgante para archivo tam oficio</t>
  </si>
  <si>
    <t>Paquetes de folder tamaño oficio c/100 pzas.</t>
  </si>
  <si>
    <t xml:space="preserve">Pliegos de papel fomix de todos los colores </t>
  </si>
  <si>
    <t>Organizador De Escritorio De Malla Negro Mae Porta Lápiz</t>
  </si>
  <si>
    <t>Pliegos de papel crepe de varios colores</t>
  </si>
  <si>
    <t>Pliegos de papel de china varios colores</t>
  </si>
  <si>
    <t>Paquete de papel opalina grueso c/100</t>
  </si>
  <si>
    <t>Pliegos de fomix con diamantina diferentes colores</t>
  </si>
  <si>
    <t xml:space="preserve">papel lustre con 50 hojas de 21x28 cm. </t>
  </si>
  <si>
    <t>Pliegos de cartulina</t>
  </si>
  <si>
    <t>Sobre manila Coin (dinero)</t>
  </si>
  <si>
    <t xml:space="preserve">Papel bond blanco de 70 x 95 cms de 50 grs. </t>
  </si>
  <si>
    <t xml:space="preserve">Papel mina gris 79 x 95 cms </t>
  </si>
  <si>
    <t>SERVILLETA PETALO C/500</t>
  </si>
  <si>
    <t>Sobre papel manila t/carta c/40 pzas</t>
  </si>
  <si>
    <t>Separador plastificada t/carta c/15 pzas</t>
  </si>
  <si>
    <t>LIGAS CHICAS NO. 10</t>
  </si>
  <si>
    <t>Cabezal X4e75a smart tank 500 515 670 720 750 790 Bk, Negro</t>
  </si>
  <si>
    <t xml:space="preserve">Cabezal tricolor original smart tank 790, tricolor </t>
  </si>
  <si>
    <t>BOTELLAS DE TINTA</t>
  </si>
  <si>
    <t>Toner laser jet mod. P1102W</t>
  </si>
  <si>
    <t>Botella de tinta COLOR NEGRO hp ink tank 115</t>
  </si>
  <si>
    <t>Botella de tinta COLOR AMARILLO hp ink tank 115</t>
  </si>
  <si>
    <t>Botella de tinta color CIAN hp ink tank 115</t>
  </si>
  <si>
    <t>Botella| de tinta COLOR MAGENTA hp ink tank 115</t>
  </si>
  <si>
    <t>Memoria USB de 32 g</t>
  </si>
  <si>
    <t>ESPUMA LIMPIADORA 454 mg</t>
  </si>
  <si>
    <t xml:space="preserve">MATERIALES Y ARTÍCULOS DE LIMPIEZA </t>
  </si>
  <si>
    <t>Blanqueador desinfectante 3.75 L</t>
  </si>
  <si>
    <t>Quita grasa para cocina de 650 ml</t>
  </si>
  <si>
    <t>Limpiador multiusos, antibacterial y antiviral (20ltrs)</t>
  </si>
  <si>
    <t>Fibra verde c/12 pzas</t>
  </si>
  <si>
    <t>Fibra  verde sin esponja</t>
  </si>
  <si>
    <t>Jabon liquido p/ropa c/20 lt</t>
  </si>
  <si>
    <t>liquido cristales</t>
  </si>
  <si>
    <t>Atomizador de uso rudo 1 lt industrial</t>
  </si>
  <si>
    <t>Insecticida</t>
  </si>
  <si>
    <t>Escobeta</t>
  </si>
  <si>
    <t>Jalador de agua para piso</t>
  </si>
  <si>
    <t>Jalador con esponja mini</t>
  </si>
  <si>
    <t xml:space="preserve">Paño de Microfibra 40x40 </t>
  </si>
  <si>
    <t xml:space="preserve">Paño manopla resistente al calor </t>
  </si>
  <si>
    <t xml:space="preserve">Despachador de papel higienico jumbo </t>
  </si>
  <si>
    <t>LIMPIA VIDRIOS</t>
  </si>
  <si>
    <t xml:space="preserve">LIQUIDO LIMPIADOR DE PIEL PARA MUEBLES </t>
  </si>
  <si>
    <t>RECOGEDOR DE PLASTICO</t>
  </si>
  <si>
    <t>TRAPEADOR</t>
  </si>
  <si>
    <t>ESCOBA ARAÑA REFORZADA</t>
  </si>
  <si>
    <t>ESCOBA ABANICO</t>
  </si>
  <si>
    <t>CEPILLO DE IXTLE C/BASE DE MADERA</t>
  </si>
  <si>
    <t>Cubeta de plastico #12 con asa metalica</t>
  </si>
  <si>
    <t xml:space="preserve">PRODUCTOS DE PAPEL PARA LIMPIEZA </t>
  </si>
  <si>
    <t>Rollo higienico jumbo con doble hoja c/6 pzas</t>
  </si>
  <si>
    <t xml:space="preserve">Toalla interdoblada c/20 pzas </t>
  </si>
  <si>
    <t>Rollo de papel grande para manos c/6 pzas.</t>
  </si>
  <si>
    <t>Shampoo en sobre, presentacion individual, con 288 sobres</t>
  </si>
  <si>
    <t>Pasta dental de 150 ml</t>
  </si>
  <si>
    <t>Cepillo dental, 100 piezas</t>
  </si>
  <si>
    <t>Papel higienico jumbo c/12 pzas</t>
  </si>
  <si>
    <t>Cajas de pañuelos faciales de 90 pzas</t>
  </si>
  <si>
    <t>Caja Toallas Sanitaria de papel (sanitas) con 20 paquetes de 100 piezas</t>
  </si>
  <si>
    <t xml:space="preserve">PRODUCTOS TEXTILES PARA LIMPIEZA </t>
  </si>
  <si>
    <t>FRANELA</t>
  </si>
  <si>
    <t xml:space="preserve">MICROFIBRA </t>
  </si>
  <si>
    <t xml:space="preserve">MATERIALES PARA ENSEÑANZA </t>
  </si>
  <si>
    <t>Material didáctico para el Programa</t>
  </si>
  <si>
    <t xml:space="preserve">Hair spray fijación </t>
  </si>
  <si>
    <t>Hidra gel</t>
  </si>
  <si>
    <t>Tijera para corte de cabello profesional</t>
  </si>
  <si>
    <t>Cera cristal</t>
  </si>
  <si>
    <t>Sílica</t>
  </si>
  <si>
    <t>Kit brocha y peine</t>
  </si>
  <si>
    <t>Talco</t>
  </si>
  <si>
    <t>Cepillo pulidor</t>
  </si>
  <si>
    <t>Bledo</t>
  </si>
  <si>
    <t>Pinzas para cabello colores</t>
  </si>
  <si>
    <t xml:space="preserve">Pasadores con goma para cabello </t>
  </si>
  <si>
    <t>Pico de garza</t>
  </si>
  <si>
    <t>Tratamiento abrillantador</t>
  </si>
  <si>
    <t>Capas de tela</t>
  </si>
  <si>
    <t>Tablero de practica de silicona modelo de cara maquillaje</t>
  </si>
  <si>
    <t xml:space="preserve">Estuche de peines </t>
  </si>
  <si>
    <t>Atomizador barber/tijera</t>
  </si>
  <si>
    <t>Cabeza de maniqui calva diseño de mujer</t>
  </si>
  <si>
    <t xml:space="preserve">Maniquí de cabello natural </t>
  </si>
  <si>
    <t>Paquete para manicure y pedicure con sus accesorios</t>
  </si>
  <si>
    <t>Paquete para aplicación de uñas con sus accesorios</t>
  </si>
  <si>
    <t>Paquete de maquillaje con sus accesorios</t>
  </si>
  <si>
    <t>Mano de practica para uñas</t>
  </si>
  <si>
    <t>Bolsa de globo No 12 c/100 pzas rosa pastel</t>
  </si>
  <si>
    <t>Bolsa de globo No 12 c/100 pzas rosa mexicano</t>
  </si>
  <si>
    <t>Bolsa de globo No 12 c/100 pzas rosa fucsia</t>
  </si>
  <si>
    <t>Bolsa de globo No 12 c/100 pzas azul cielo</t>
  </si>
  <si>
    <t>Bolsa de globo No 12 c/100 pzas azul cobalto</t>
  </si>
  <si>
    <t>Bolsa de globo No 12 c/100 pzas verde bandera</t>
  </si>
  <si>
    <t>Bolsa de globo No 12 c/100 pzas verde limon</t>
  </si>
  <si>
    <t>Bolsa de globo No 12 c/100 pzas rojo escarlata</t>
  </si>
  <si>
    <t>Bolsa de globo No 12 c/100 pzas amarillo</t>
  </si>
  <si>
    <t>Bolsa de globo No 12 c/100 pzas anaranjado</t>
  </si>
  <si>
    <t>Bolsa de globo No 12 c/100 pzas negro</t>
  </si>
  <si>
    <t>Bolsa de globo No 12 c/100 pzas dorado</t>
  </si>
  <si>
    <t>Bolsa de globo No 12 c/100 pzas plateado</t>
  </si>
  <si>
    <t>Bolsa de globo No 12 c/100 pzas blanco</t>
  </si>
  <si>
    <t>Bolsa de globo No 9 c/100 pzas rosa pastel</t>
  </si>
  <si>
    <t>Bolsa de globo No 9 c/100 pzas rosa mexicano</t>
  </si>
  <si>
    <t>Bolsa de globo No 9 c/100 pzas rosa fucsia</t>
  </si>
  <si>
    <t>Bolsa de globo No 9 c/100 pzas azul cielo</t>
  </si>
  <si>
    <t>Bolsa de globo No 9 c/100 pzas azul cobalto</t>
  </si>
  <si>
    <t>Bolsa de globo No 9 c/100 pzas verde bandera</t>
  </si>
  <si>
    <t>Bolsa de globo No 9 c/100 pzas verde limon</t>
  </si>
  <si>
    <t>Bolsa de globo No 9 c/100 pzas rojo escarlata</t>
  </si>
  <si>
    <t>Bolsa de globo No 9 c/100 pzas amarillo</t>
  </si>
  <si>
    <t>Bolsa de globo No 9 c/100 pzas anaranjado</t>
  </si>
  <si>
    <t>Bolsa de globo No 9 c/100 pzas negro</t>
  </si>
  <si>
    <t>Bolsa de globo No 9 c/100 pzas dorado</t>
  </si>
  <si>
    <t>Bolsa de globo No 9 c/100 pzas plateado</t>
  </si>
  <si>
    <t>Bolsa de globo No 9 c/100 pzas blanco</t>
  </si>
  <si>
    <t xml:space="preserve">Cartulina </t>
  </si>
  <si>
    <t xml:space="preserve">Cartoncillo </t>
  </si>
  <si>
    <t>Pliego de papel crepé  color rojo</t>
  </si>
  <si>
    <t>Pliego de papel crepé  color amarillo</t>
  </si>
  <si>
    <t>Pliego de papel crepé  color anaranjado</t>
  </si>
  <si>
    <t>Pliego de papel crepé  color morado</t>
  </si>
  <si>
    <t>Pliego de papel crepé  color rosa fucsia</t>
  </si>
  <si>
    <t>Pliego de papel crepé  color rosa mexicano</t>
  </si>
  <si>
    <t xml:space="preserve">Pliego de papel crepé  color café </t>
  </si>
  <si>
    <t>Pliego de papel crepé  color azul cielo</t>
  </si>
  <si>
    <t>Pliego de papel crepé  color verde</t>
  </si>
  <si>
    <t>Pliego de papel crepé  color  blanco</t>
  </si>
  <si>
    <t xml:space="preserve">Rollo de Papel metalico color plata </t>
  </si>
  <si>
    <t>Rollo de Papel metalico color dorado</t>
  </si>
  <si>
    <t>RolloPapel metalico color azul rey</t>
  </si>
  <si>
    <t>Rollo Papel metalico  color verde bandera</t>
  </si>
  <si>
    <t xml:space="preserve">Rollo Papel metalico color morado </t>
  </si>
  <si>
    <t>Rollo Papel metalico color rojo</t>
  </si>
  <si>
    <t>Rollo Papel metalico  color azul cielo</t>
  </si>
  <si>
    <t>Rollo Papel metalico  color rosa fucsia</t>
  </si>
  <si>
    <t>Rollo Papel metalico  color rosa bajito</t>
  </si>
  <si>
    <t>Rollo Papel metalico  color verde limon</t>
  </si>
  <si>
    <t>Pliego fomix liso color rojo</t>
  </si>
  <si>
    <t>Pliego fomix liso color amarillo</t>
  </si>
  <si>
    <t>Pliego fomix liso color verde</t>
  </si>
  <si>
    <t>Pliego fomix liso color anaranjado</t>
  </si>
  <si>
    <t>Pliego fomix liso color rosa mexicano</t>
  </si>
  <si>
    <t xml:space="preserve">Pliego fomix liso color  morado </t>
  </si>
  <si>
    <t xml:space="preserve">Pliego fomix liso color rosa fucsia </t>
  </si>
  <si>
    <t>Pliego fomix liso color  azul cielo</t>
  </si>
  <si>
    <t>Pliego fomix liso color  negro</t>
  </si>
  <si>
    <t>Pliego fomix liso color  blanco</t>
  </si>
  <si>
    <t>Pliego fomix liso color café</t>
  </si>
  <si>
    <t>Fomix diamantado t/carta color rojo</t>
  </si>
  <si>
    <t>Fomix diamantado t/carta color dorado</t>
  </si>
  <si>
    <t>Fomix diamantado t/carta color plateado</t>
  </si>
  <si>
    <t xml:space="preserve">Fomix diamantado t/carta color verde </t>
  </si>
  <si>
    <t>Fomix diamantado t/carta color azul rey</t>
  </si>
  <si>
    <t>Fomix diamantado t/carta color rosa fucsia</t>
  </si>
  <si>
    <t>Fomix diamantado t/carta color anaranjado</t>
  </si>
  <si>
    <t>Bolsa diamantina de 1 kg dorada</t>
  </si>
  <si>
    <t>Kilogramo</t>
  </si>
  <si>
    <t>Bolsa diamantina de 1 kg  plata</t>
  </si>
  <si>
    <t xml:space="preserve">Bolsa silicón en barra delgada </t>
  </si>
  <si>
    <t>Pegamento blanco 850 de 1 ltr</t>
  </si>
  <si>
    <t>Cinta Masking tape 110 plus .12mmx50 m</t>
  </si>
  <si>
    <t>Juego de pinceles c/ 12 piezas</t>
  </si>
  <si>
    <t xml:space="preserve">Pistola de silicón </t>
  </si>
  <si>
    <t xml:space="preserve">Gancho para tejer estambre </t>
  </si>
  <si>
    <t>Regla curva</t>
  </si>
  <si>
    <t>Regla L</t>
  </si>
  <si>
    <t>Aros de madera para bordar (medianos)</t>
  </si>
  <si>
    <t>Aguja para máquina industrial c/10 pzas</t>
  </si>
  <si>
    <t>Aguja para máquina manual c/5 pzas</t>
  </si>
  <si>
    <t>Ensartador de agujas</t>
  </si>
  <si>
    <t>Paquete alfiler roseta c45</t>
  </si>
  <si>
    <t>Cinta métrica 150 cm</t>
  </si>
  <si>
    <t xml:space="preserve">Descocedor chico bordado y costura </t>
  </si>
  <si>
    <t>Paquete de Aguja No 1 c/50 piezas</t>
  </si>
  <si>
    <t xml:space="preserve">Gis de tela </t>
  </si>
  <si>
    <t>Tijera profesional de 10" para tela</t>
  </si>
  <si>
    <t>Chaquira por mazo blanco</t>
  </si>
  <si>
    <t>Mazo</t>
  </si>
  <si>
    <t>Chaquira por mazo negro</t>
  </si>
  <si>
    <t>Chaquira por mazo opaca color rojo escarlata</t>
  </si>
  <si>
    <t>Chaquira por mazo opaca color  verde</t>
  </si>
  <si>
    <t>Chaquira por mazo opaca color amarillo</t>
  </si>
  <si>
    <t>Chaquira por mazo opaca color azul claro</t>
  </si>
  <si>
    <t>Chaquira por mazo opaca color morado</t>
  </si>
  <si>
    <t>Chaquira por mazo opaca color  rosa mexicano</t>
  </si>
  <si>
    <t>Chaquira por mazo opaca color anaranjado</t>
  </si>
  <si>
    <t>Chaquira por mazo opaca color azul cobalto</t>
  </si>
  <si>
    <t xml:space="preserve">Chaquira por mazo brillosa color azul celeste </t>
  </si>
  <si>
    <t xml:space="preserve">Chaquira por mazo brillosa color  rojo escarlata </t>
  </si>
  <si>
    <t xml:space="preserve">Chaquira por mazo brillosa color verde </t>
  </si>
  <si>
    <t>Chaquira por mazo brillosa color amarillo</t>
  </si>
  <si>
    <t>Chaquira por mazo brillosa color azul claro</t>
  </si>
  <si>
    <t xml:space="preserve">Chaquira por mazo brillosa color morado </t>
  </si>
  <si>
    <t>Chaquira por mazo brillosa color rosa mexicano</t>
  </si>
  <si>
    <t>Chaquira por mazo brillosa color anaranjado</t>
  </si>
  <si>
    <t>Chaquira por mazo brillosa color azul cobalto</t>
  </si>
  <si>
    <t>Chaquira por mazo brillosa color rosa pastel</t>
  </si>
  <si>
    <t xml:space="preserve">Agujas para chaquira No.15 </t>
  </si>
  <si>
    <t>Cera de campeche de 1 kilo</t>
  </si>
  <si>
    <t xml:space="preserve">Bolsas arillo africano c/100 piezas </t>
  </si>
  <si>
    <t xml:space="preserve">Bolsas argolla de metal c/100 piezas </t>
  </si>
  <si>
    <t>Alambre  calibre 22 para flores</t>
  </si>
  <si>
    <t xml:space="preserve">Bolsa palitos de madera delgado c/100 piezas  </t>
  </si>
  <si>
    <t>Hoja de maiz natural de primera calidad en manojo</t>
  </si>
  <si>
    <t>Manojo</t>
  </si>
  <si>
    <t>Pintura textil para telas c/30ml color rojo escarlata</t>
  </si>
  <si>
    <t>Pintura textil para telas c/30ml color amarillo</t>
  </si>
  <si>
    <t xml:space="preserve">Pintura textil para telas c/30ml color anaranjado </t>
  </si>
  <si>
    <t>Pintura textil para telas c/30ml color verde</t>
  </si>
  <si>
    <t>Pintura textil para telas c/30ml color morado</t>
  </si>
  <si>
    <t>Pintura textil para telas c/30ml color rosa fucsia</t>
  </si>
  <si>
    <t>Pintura textil para telas c/30ml color rosa mexicano</t>
  </si>
  <si>
    <t>Pintura textil para telas c/30ml color rosa pastel</t>
  </si>
  <si>
    <t>Pintura textil para telas c/30ml color azul cielo</t>
  </si>
  <si>
    <t>Pintura textil para telas c/30ml color negro</t>
  </si>
  <si>
    <t>Pintura textil para telas c/30ml color blanco</t>
  </si>
  <si>
    <t>Pintura textil para telas c/30ml color azul marino</t>
  </si>
  <si>
    <t>Pintura colorante para telas de 32 gr color  verde</t>
  </si>
  <si>
    <t>Pintura colorante para telas de 32 gr color  amarillo</t>
  </si>
  <si>
    <t>Pintura colorante para telas de 32 gr color  azul claro</t>
  </si>
  <si>
    <t>Pintura colorante para telas de 32 gr color  morado</t>
  </si>
  <si>
    <t xml:space="preserve">Pintura colorante para telas de 32 gr color  rosa mexicano </t>
  </si>
  <si>
    <t>Pintura colorante para telas de 32 gr color  anaranjado</t>
  </si>
  <si>
    <t>Pintura colorante para telas de 32 gr color  azul cobalto</t>
  </si>
  <si>
    <t>Pintura colorante para telas de 32 gr color  azul celeste</t>
  </si>
  <si>
    <t>Pintura colorante para telas de 32 gr color  negro</t>
  </si>
  <si>
    <t>Pintura acrilica con 250 ml  color rojo escarlata</t>
  </si>
  <si>
    <t>Pintura acrilica con 250 ml  color amarillo</t>
  </si>
  <si>
    <t>Pintura acrilica con 250 ml  color azul claro</t>
  </si>
  <si>
    <t>Pintura acrilica con 250 ml  color verde</t>
  </si>
  <si>
    <t>Pintura acrilica con 250 ml  color azul marino</t>
  </si>
  <si>
    <t>Pintura acrilica con 250 ml  color morado</t>
  </si>
  <si>
    <t>Pintura acrilica con 250 ml  color azul cobalto</t>
  </si>
  <si>
    <t>pintura acrilica con 250 ml  color rosa mexicano</t>
  </si>
  <si>
    <t>Pintura acrilica con 250 ml  color negro</t>
  </si>
  <si>
    <t xml:space="preserve">Figura de yeso </t>
  </si>
  <si>
    <t>Bomba para inflar globos</t>
  </si>
  <si>
    <t>Cubo de la caja del calibrador pegable portatil para globos</t>
  </si>
  <si>
    <t xml:space="preserve">Rollo hilaza bola </t>
  </si>
  <si>
    <t xml:space="preserve">Rollo hilo cono </t>
  </si>
  <si>
    <t>Rollo hilo crochet omega rojo escarlata</t>
  </si>
  <si>
    <t>Rollo hilo crochet omega amarillo</t>
  </si>
  <si>
    <t>Rollo hilo crochet omega anaranjado</t>
  </si>
  <si>
    <t>Rollo hilo crochet omega verde</t>
  </si>
  <si>
    <t>Rollo hilo crochet omega rosa fucsia</t>
  </si>
  <si>
    <t>Rollo hilo crochet omega rosa mexicano</t>
  </si>
  <si>
    <t>Rollo hilo crochet omega morado</t>
  </si>
  <si>
    <t>Rollo hilo crochet omega azul cobalto</t>
  </si>
  <si>
    <t>Rollo hilo crochet omega azul celeste</t>
  </si>
  <si>
    <t>Rollo hilo crochet omega azul marino</t>
  </si>
  <si>
    <t>Rollo hilo elástico para collar c/100 mtrs</t>
  </si>
  <si>
    <t>Rollo hilo elástico para Pulsera c/100 mtrs</t>
  </si>
  <si>
    <t>Rollo de encaje elástico de 100 mts de largo  de 60 mm de ancho negro</t>
  </si>
  <si>
    <t>Rollo de encaje elástico de 100 mts de largo  de 60 mm de ancho café</t>
  </si>
  <si>
    <t>Rollo de encaje con silicon de 100 mts  largo y 6 cmt de ancho negro</t>
  </si>
  <si>
    <t>Rollo de encaje con silicon de 100 mts  largo y 6 cmt de ancho café</t>
  </si>
  <si>
    <t>Rollo listón satin de 1 cm de ancho rojo escarlata</t>
  </si>
  <si>
    <t>Rollo listón satin de 1 cm de ancho verde</t>
  </si>
  <si>
    <t>Rollo listón satin de 1 cm de ancho amarillo</t>
  </si>
  <si>
    <t>Rollo listón satin de 1 cm de ancho azul claro</t>
  </si>
  <si>
    <t>Rollo listón satin de 1 cm de ancho morado</t>
  </si>
  <si>
    <t>Rollo listón satin de 1 cm de ancho rosa mexicano</t>
  </si>
  <si>
    <t>Rollo listón satin de 1 cm de ancho anaranjado</t>
  </si>
  <si>
    <t>Rollo listón satin de 1 cm de ancho azul cobalto</t>
  </si>
  <si>
    <t>Rollo listón satin de 1 cm de ancho azul celeste</t>
  </si>
  <si>
    <t>Rollo listón satin de 1 cm de ancho negro</t>
  </si>
  <si>
    <t>Rollo liston curling de 1 cm rojo escarlata</t>
  </si>
  <si>
    <t>Rollo liston curling de 1 cm amarillo</t>
  </si>
  <si>
    <t xml:space="preserve">Rollo liston curling de 1 cm verde </t>
  </si>
  <si>
    <t>Rollo liston curling de 1 cm morado</t>
  </si>
  <si>
    <t>Rollo liston curling de 1 cm plateado</t>
  </si>
  <si>
    <t>Rollo liston curling de 1 cm rosa mexicano</t>
  </si>
  <si>
    <t>Rollo liston curling de 1 cm anaranjado</t>
  </si>
  <si>
    <t>Rollo liston curling de 1 cm azul cobalto</t>
  </si>
  <si>
    <t>Rollo liston curling de 1 cm azul celeste</t>
  </si>
  <si>
    <t>Rollo liston curling de 1 cm dorado</t>
  </si>
  <si>
    <t>Rollo liston celoseda 4 cm rojo escarlata</t>
  </si>
  <si>
    <t>Rollo liston celoseda 4 cm verde</t>
  </si>
  <si>
    <t>Rollo liston celoseda 4 cm amarillo</t>
  </si>
  <si>
    <t>Rollo liston celoseda 4 cm plateado</t>
  </si>
  <si>
    <t>Rollo liston celoseda 4 cm morado</t>
  </si>
  <si>
    <t>Rollo liston celoseda 4 cm rosa mexicano</t>
  </si>
  <si>
    <t>Rollo liston celoseda 4 cm anaranjado</t>
  </si>
  <si>
    <t>Rollo liston celoseda 4 cm azul cobalto</t>
  </si>
  <si>
    <t>Rollo liston celoseda 4 cm azul cielo</t>
  </si>
  <si>
    <t>Rollo liston celoseda 4 cm dorado</t>
  </si>
  <si>
    <t>Rollo liston celoseda 6 cm rojo escarlata</t>
  </si>
  <si>
    <t>Rollo liston celoseda 6 cm verde</t>
  </si>
  <si>
    <t>Rollo liston celoseda 6 cm amarillo</t>
  </si>
  <si>
    <t>Rollo liston celoseda 6 cm plateado</t>
  </si>
  <si>
    <t>Rollo liston celoseda 6 cm morado</t>
  </si>
  <si>
    <t>Rollo liston celoseda 6 cm rosa mexicano</t>
  </si>
  <si>
    <t>Rollo liston celoseda 6 cm anaranjado</t>
  </si>
  <si>
    <t>Rollo liston celoseda 6 cm azul cobalto</t>
  </si>
  <si>
    <t>Rollo liston celoseda 6 cm azul cielo</t>
  </si>
  <si>
    <t>Rollo liston celoseda 6 cm dorado</t>
  </si>
  <si>
    <t>Rollo liston navideño estampado</t>
  </si>
  <si>
    <t>Rollo liston navideño dorado</t>
  </si>
  <si>
    <t>Rollo liston navideño plata</t>
  </si>
  <si>
    <t>Rollo de liston tafeta 2 cm colores variados</t>
  </si>
  <si>
    <t>Rollo de liston tafeta 4 cm colores variados</t>
  </si>
  <si>
    <t>Rollo de liston tafeta 6 cm colores variados</t>
  </si>
  <si>
    <t>Telas tergal en mtrs</t>
  </si>
  <si>
    <t>Metro</t>
  </si>
  <si>
    <t>Escarcha color rojo</t>
  </si>
  <si>
    <t xml:space="preserve">Rollo </t>
  </si>
  <si>
    <t>Escarcha color dorado</t>
  </si>
  <si>
    <t>Escarcha color plateado</t>
  </si>
  <si>
    <t>Escarcha color verde</t>
  </si>
  <si>
    <t>Escarcha color azul</t>
  </si>
  <si>
    <t>Bola de rafia blanca</t>
  </si>
  <si>
    <t>Estambre acrilan azul cielo</t>
  </si>
  <si>
    <t>Estambre acrilan anaranjado</t>
  </si>
  <si>
    <t>Estambre acrilan morado</t>
  </si>
  <si>
    <t>Estambre acrilan rosa mexicano</t>
  </si>
  <si>
    <t>Estambre acrilan rosa fucsia</t>
  </si>
  <si>
    <t>Estambre acrilan negro</t>
  </si>
  <si>
    <t>Estambre acrilan blanco</t>
  </si>
  <si>
    <t xml:space="preserve">Tela cuadrille </t>
  </si>
  <si>
    <t>Hilo cañamo para artesanias</t>
  </si>
  <si>
    <t>Servilletas de manta 40x40</t>
  </si>
  <si>
    <t>Margarina barras</t>
  </si>
  <si>
    <t>Harina de trigo</t>
  </si>
  <si>
    <t>Relleno horneable de fresa</t>
  </si>
  <si>
    <t xml:space="preserve">Relleno horneable de cajeta </t>
  </si>
  <si>
    <t>Relleno horneable de piña</t>
  </si>
  <si>
    <t xml:space="preserve">Gragea de colores </t>
  </si>
  <si>
    <t>Pasas</t>
  </si>
  <si>
    <t>Coco rayado</t>
  </si>
  <si>
    <t>Nuez mitades</t>
  </si>
  <si>
    <t>Almendras enteras</t>
  </si>
  <si>
    <t>Azucar refinada de 1 kg</t>
  </si>
  <si>
    <t>Azucar glass de 1 kg</t>
  </si>
  <si>
    <t>Azucar mascabada de 1 kg</t>
  </si>
  <si>
    <t>Levadura para pan de 1 kilo</t>
  </si>
  <si>
    <t>Queso crema barra de 1 kilo</t>
  </si>
  <si>
    <t>Aceite vegetal 1 Lt</t>
  </si>
  <si>
    <t>Royal 110 g</t>
  </si>
  <si>
    <t>Bicarbonato de 500 g</t>
  </si>
  <si>
    <t xml:space="preserve">Vainilla 60ml </t>
  </si>
  <si>
    <t>Sal refinada  kilo</t>
  </si>
  <si>
    <t>Manteca vegetal kilo</t>
  </si>
  <si>
    <t>Capacillos paquete con 24 pzas metalica p/hornear</t>
  </si>
  <si>
    <t>Especias de 77g (canela en polvo)</t>
  </si>
  <si>
    <t>Leche evaporada de 1 litro</t>
  </si>
  <si>
    <t xml:space="preserve">Leche condensada de lata </t>
  </si>
  <si>
    <t>Leche entera de 1 litro</t>
  </si>
  <si>
    <t>Almibar de durazno( lata de 1 kilo)</t>
  </si>
  <si>
    <t>Almibar de piña (lata de 1 kilo)</t>
  </si>
  <si>
    <t>Almibar de mango (lata de 1 kilo)</t>
  </si>
  <si>
    <t>Almibar de cerezas( lata de 1 kilo)</t>
  </si>
  <si>
    <t>Mix de frutos secos (bolsa de 1 kilo)</t>
  </si>
  <si>
    <t>Frutos cristalizados (bolsas de 1 kilo)</t>
  </si>
  <si>
    <t>Color vegetal gotero de 250 ml (rojo)</t>
  </si>
  <si>
    <t>Color vegetal gotero de 250 ml (amarillo)</t>
  </si>
  <si>
    <t>Color vegetal gotero de 250 ml (morado)</t>
  </si>
  <si>
    <t>Color vegetal gotero de 250ml (rosa mexicano )</t>
  </si>
  <si>
    <t>Color vegetal gotero de 250 ml (azul)</t>
  </si>
  <si>
    <t xml:space="preserve">Papel encerado( rollo) </t>
  </si>
  <si>
    <t xml:space="preserve">Martillo de uña recta </t>
  </si>
  <si>
    <t>Grapadora uso rudo</t>
  </si>
  <si>
    <t>Caja de grapa uso rudo</t>
  </si>
  <si>
    <t>Segueta de acero para aluminio y madera</t>
  </si>
  <si>
    <t>Juego de brocas perforadoras inoxidables para carpinteria</t>
  </si>
  <si>
    <t>Blíster para madera.</t>
  </si>
  <si>
    <t>Lija para madera</t>
  </si>
  <si>
    <t>Cincel de corte frio</t>
  </si>
  <si>
    <t>Juego de cardas para taladro</t>
  </si>
  <si>
    <t>Barniz entintado de 1 ltro</t>
  </si>
  <si>
    <t>Thinner de 1 ltro</t>
  </si>
  <si>
    <t>Pegamento profesional para madera 850 1 kg</t>
  </si>
  <si>
    <t>Tabla de madera tratada</t>
  </si>
  <si>
    <t>Botiquin para primeros auxilios</t>
  </si>
  <si>
    <t>Estuche disección/satura acero inox (juego 20 pz)</t>
  </si>
  <si>
    <t>Bata desechable para paciente</t>
  </si>
  <si>
    <t>Paquete campo estéril c/5 piezas</t>
  </si>
  <si>
    <t>Caja de guantes de latex medianos c/50 pares</t>
  </si>
  <si>
    <t>Caja con gasas c/100 piezas</t>
  </si>
  <si>
    <t>Torniquete en broche</t>
  </si>
  <si>
    <t>Isodine espuma 1000 ml</t>
  </si>
  <si>
    <t>Agua inyectable 500 ml</t>
  </si>
  <si>
    <t>Jeringa 5 cm C/ 100 PZAS</t>
  </si>
  <si>
    <t>Venda 5 cm C/24 PZAS</t>
  </si>
  <si>
    <t>Vendas 10 cm C/10 PZAS</t>
  </si>
  <si>
    <t>Venda 15 cm C/12 PZAS</t>
  </si>
  <si>
    <t>Paquete compresas para vientre c/5 piezas</t>
  </si>
  <si>
    <t>Apositos quirurgico</t>
  </si>
  <si>
    <t>Cabestrillo adulto</t>
  </si>
  <si>
    <t>Collarin cervical ortopedico</t>
  </si>
  <si>
    <t>Cinta durapore 2.5 cm</t>
  </si>
  <si>
    <t>Cinta micropore blanca de 2.5 cm</t>
  </si>
  <si>
    <t>Alcohol etilico de 96° 1 ltro</t>
  </si>
  <si>
    <t>Kit Baumanometro con estetoscopio</t>
  </si>
  <si>
    <t xml:space="preserve">ARTÍCULOS DIDÁCTICOS </t>
  </si>
  <si>
    <t xml:space="preserve">CARNE FRESCA </t>
  </si>
  <si>
    <t>Carne de res, milanesa pulpa bola</t>
  </si>
  <si>
    <t>Carne de res, platanillo</t>
  </si>
  <si>
    <t>Carne de cerdo, pierna</t>
  </si>
  <si>
    <t>Carde de res, faja</t>
  </si>
  <si>
    <t>Costilla de cerdo, cargada</t>
  </si>
  <si>
    <t>Milanesa de pollo con hueso</t>
  </si>
  <si>
    <t xml:space="preserve">PRODUCTOS AGRÍCOLAS PARA ALIMENTACIÓN DE PERSONAS </t>
  </si>
  <si>
    <t>Jitomate</t>
  </si>
  <si>
    <t>Cebolla Blanca</t>
  </si>
  <si>
    <t>Calabaza de buche</t>
  </si>
  <si>
    <t>Ejote</t>
  </si>
  <si>
    <t>Nopales</t>
  </si>
  <si>
    <t>Brócoli</t>
  </si>
  <si>
    <t>Coliflor</t>
  </si>
  <si>
    <t>Pimiento morron verde</t>
  </si>
  <si>
    <t>Chile Serrano</t>
  </si>
  <si>
    <t>Papa</t>
  </si>
  <si>
    <t>Chayote</t>
  </si>
  <si>
    <t>Chile poblano</t>
  </si>
  <si>
    <t>Limon</t>
  </si>
  <si>
    <t>Tomate de Hoja</t>
  </si>
  <si>
    <t>Repollo</t>
  </si>
  <si>
    <t>Zanahoria</t>
  </si>
  <si>
    <t>Lechuga</t>
  </si>
  <si>
    <t>Apio</t>
  </si>
  <si>
    <t>Jicama</t>
  </si>
  <si>
    <t>Piña</t>
  </si>
  <si>
    <t>Ajo (diente grande)</t>
  </si>
  <si>
    <t>Frijol pinto a granel c/25 kg</t>
  </si>
  <si>
    <t>Costal</t>
  </si>
  <si>
    <t xml:space="preserve">Lenteja a granel   </t>
  </si>
  <si>
    <t>Laurel seco a granel</t>
  </si>
  <si>
    <t xml:space="preserve">Oregano seco a granel </t>
  </si>
  <si>
    <t xml:space="preserve">Comino a granel </t>
  </si>
  <si>
    <t xml:space="preserve">Pimienta molida  a granel </t>
  </si>
  <si>
    <t>Chile seco guajillo a granel</t>
  </si>
  <si>
    <t>Soya texturizada 12 Kilogramo</t>
  </si>
  <si>
    <t>Arroz blanco, grano entero</t>
  </si>
  <si>
    <t xml:space="preserve">PRODUCTOS DIVERSOS PARA ALIMENTACIÓN DE PERSONAS </t>
  </si>
  <si>
    <t>Aceite vegetal comestible 5 lt</t>
  </si>
  <si>
    <t xml:space="preserve">Jamaica </t>
  </si>
  <si>
    <t>Alimento el polvo para preparar bebida sabor chocolate 700 gr</t>
  </si>
  <si>
    <t>Consome de pollo a granel</t>
  </si>
  <si>
    <t>Harina de arroz para preparar bebida sabor horchata 500 gr</t>
  </si>
  <si>
    <t>Cebada para preparar bebida 500 gr</t>
  </si>
  <si>
    <t>Chiles chipotles adobados 22 gr</t>
  </si>
  <si>
    <t>Lata elote  en grano 2.9 Kilogramo</t>
  </si>
  <si>
    <t>Mayonesa con limon  2.8 Kilogramo</t>
  </si>
  <si>
    <t>Leche en polvo deslactosada 450 gr</t>
  </si>
  <si>
    <t>Pan blanco en rebanadas 680 gr</t>
  </si>
  <si>
    <t>Pasta para sopa plumilla # 1 caja  con 24 pzas.</t>
  </si>
  <si>
    <t>Pasta para sopa conchitas #1 caja con 24 pzas</t>
  </si>
  <si>
    <t>Pasta para sopa coditos #2 caja con 24 pzas</t>
  </si>
  <si>
    <t>Polvo para preparar gelatina c/25 gr</t>
  </si>
  <si>
    <t xml:space="preserve">Polvo para bebidas de sabores c/8 sobres </t>
  </si>
  <si>
    <t>Pasta de achiote condimentado 100 gr</t>
  </si>
  <si>
    <t>Ensalada de legumbres 400 gr</t>
  </si>
  <si>
    <t xml:space="preserve">Jugo de naranja en caja de litro </t>
  </si>
  <si>
    <t xml:space="preserve">Bolillo Grande </t>
  </si>
  <si>
    <t>Puré de tomate condimentado 1lt</t>
  </si>
  <si>
    <t>Sal yodada refinada1 kg</t>
  </si>
  <si>
    <t xml:space="preserve">Fecula de maiz natural </t>
  </si>
  <si>
    <t>Vinagre blanco  de alcohol de caña 3.7 Lt</t>
  </si>
  <si>
    <t>Lomo de atún, aleta amarilla, en agua 1880 g</t>
  </si>
  <si>
    <t xml:space="preserve">Totopos de maíz </t>
  </si>
  <si>
    <t>Tortilla de maíz</t>
  </si>
  <si>
    <t>Tortilla de Harina 10 Piezas</t>
  </si>
  <si>
    <t>Tostadas 40 pzs</t>
  </si>
  <si>
    <t>Crema de leche de vaca 4 kg</t>
  </si>
  <si>
    <t>Harina para hot cakes 850 gr</t>
  </si>
  <si>
    <t>Margarina pasteurizada multiusos</t>
  </si>
  <si>
    <t>Mermelada 1.2 kg</t>
  </si>
  <si>
    <t>Queso tipo asadero (para fundir)</t>
  </si>
  <si>
    <t xml:space="preserve">Queso cotija a granel </t>
  </si>
  <si>
    <t>Azucar estandar</t>
  </si>
  <si>
    <t>BOTELLA DE REFRESCO DE 2 LTS</t>
  </si>
  <si>
    <t>Alimentos preparados</t>
  </si>
  <si>
    <t xml:space="preserve">PRODUCTOS DE ANIMALES INDUSTRIALIZABLES </t>
  </si>
  <si>
    <t xml:space="preserve">Chorizo de cerdo, Ranchero </t>
  </si>
  <si>
    <t>Jamon cocido 1 kg</t>
  </si>
  <si>
    <t>Salchicha estilo vienea 3 kg</t>
  </si>
  <si>
    <t>Tocino a agranel</t>
  </si>
  <si>
    <t>Huevo blanco</t>
  </si>
  <si>
    <t>Plato termico  #855 paquete 500 pz</t>
  </si>
  <si>
    <t>Cuchara mediana caja 1000 piezas</t>
  </si>
  <si>
    <t>Tenedor mediano caja con 1000 Piezas</t>
  </si>
  <si>
    <t>Vasos biodegradables  #10 c/1000 piezas</t>
  </si>
  <si>
    <t>Vaso termico #10, 1000 PZ</t>
  </si>
  <si>
    <t>Envase termicio s/tapa 16 oz/473 ML, c/500 piezas</t>
  </si>
  <si>
    <t>Encendedor de gas multiusos recargable</t>
  </si>
  <si>
    <t>Plastico para envolver 30x600 grado alimentario</t>
  </si>
  <si>
    <t>Palangana cuadrada 36.5 x 30 x 14 cm</t>
  </si>
  <si>
    <t>Cuchara de servicio 42 cm, plastico rigido</t>
  </si>
  <si>
    <t>Pelador de verduras</t>
  </si>
  <si>
    <t>Tabla para picar, de polietileno, grande</t>
  </si>
  <si>
    <t>Pinzas de acero inoxidable, grande reforzada</t>
  </si>
  <si>
    <t>Martajedor de frijoles, grande, reforzado</t>
  </si>
  <si>
    <t xml:space="preserve">Papel aluminio 400 mtrs </t>
  </si>
  <si>
    <t xml:space="preserve">SERVILLETA DE PAPEL C/500 </t>
  </si>
  <si>
    <t xml:space="preserve">Vaso térmico #8 con 25 pz </t>
  </si>
  <si>
    <t>VASO DE PLASTICO No. 10 C/50</t>
  </si>
  <si>
    <t>Vaso desechable  #8 con 25 pz</t>
  </si>
  <si>
    <t>Cuchara plástico mediana con 50 pz</t>
  </si>
  <si>
    <t>Tenedor plástico mediano con 50 pz</t>
  </si>
  <si>
    <t>charola grande de unicel con 50 pz</t>
  </si>
  <si>
    <t xml:space="preserve">OTROS ARTÍCULOS DE CARÁCTER COMERCIAL ADQUIRIDOS COMO MATERIA PRIMA </t>
  </si>
  <si>
    <t>VELAS PARA FUNERAL</t>
  </si>
  <si>
    <t xml:space="preserve">CAL, YESO Y PRODUCTOS DE YESO </t>
  </si>
  <si>
    <t>Plafon acustico de lana mineral caja con 16 pzas</t>
  </si>
  <si>
    <t xml:space="preserve">Multicontacto c/6 entradas </t>
  </si>
  <si>
    <t>Extención uso rudo calibre 16 color naranja 20 mtrs</t>
  </si>
  <si>
    <t>Clavija convertidora 3A color naranja</t>
  </si>
  <si>
    <t>Tubo PVC 3/8</t>
  </si>
  <si>
    <t>Codo 3/8</t>
  </si>
  <si>
    <t>Cople 3/8</t>
  </si>
  <si>
    <t>Llave de paso 1/2</t>
  </si>
  <si>
    <t>Llave de chorro</t>
  </si>
  <si>
    <t xml:space="preserve">PINTURA VINILICA BLANCA 19 LTS. </t>
  </si>
  <si>
    <t>CUBETA</t>
  </si>
  <si>
    <t>GEL ANTIBACTERIAL 600 ML.</t>
  </si>
  <si>
    <t>ALCOHOL ETILICO 96 1LT</t>
  </si>
  <si>
    <t>ARTICULOS PAR SERVICIOS GNERALES EN EL AREA MEDIA</t>
  </si>
  <si>
    <t>BOLSA DE ALGODÓN CON 500 GRS.</t>
  </si>
  <si>
    <t>BISTURÍ NO. 24 CAJA C/100</t>
  </si>
  <si>
    <t>CUBREBOCAS CAJA C/50</t>
  </si>
  <si>
    <t>GUANTE CAJA C/50 PARES</t>
  </si>
  <si>
    <t>HILO SUTURA 00 NILON CAJA C/12</t>
  </si>
  <si>
    <t>AGUA OXIGENADA 750 ML.</t>
  </si>
  <si>
    <t>CINTA TELA ADHESIVA 5 CM</t>
  </si>
  <si>
    <t>CAJA GASAS C/100 PZAS.</t>
  </si>
  <si>
    <t>ISODINE ESPUMA 100 ML</t>
  </si>
  <si>
    <t>VENDA 5CM</t>
  </si>
  <si>
    <t>CINTA MICROPOR BLANCA 2.5CM.</t>
  </si>
  <si>
    <t>MATERIALES QUIRÚRGICOS Y DE LABORATORIOS</t>
  </si>
  <si>
    <t>Pelicula de RX con 150</t>
  </si>
  <si>
    <t>Pelicula RX infantil con 100</t>
  </si>
  <si>
    <t>Bolsa negra 60x90</t>
  </si>
  <si>
    <t>Bolsa plana transparente 60x90 en rollo</t>
  </si>
  <si>
    <t>Kilogramos</t>
  </si>
  <si>
    <t>FIBRAS SINTETICAS, HULES, PLASTICOS Y DERIVADOS</t>
  </si>
  <si>
    <t xml:space="preserve">Bolsa negra jumbo </t>
  </si>
  <si>
    <t>Bolsa camiseta jumbo</t>
  </si>
  <si>
    <t>Bolsa camiseta grande</t>
  </si>
  <si>
    <t>Bolsa plana de 25x35  transparente</t>
  </si>
  <si>
    <t>Bolsa plana de 50x70 transparente</t>
  </si>
  <si>
    <t>QUIMICO PARA EMBALSAMAR CAJA C/24</t>
  </si>
  <si>
    <t>Camisas manga larga big bang modelo superior color a elegir</t>
  </si>
  <si>
    <t>SACOS</t>
  </si>
  <si>
    <t>UNIFORME DE ENFERMERIA (FILIPINA)</t>
  </si>
  <si>
    <t>CAMISA CON LOGOTIPO DEL PROGRAMA</t>
  </si>
  <si>
    <t xml:space="preserve">UNIFORME DE ENFERMERIA </t>
  </si>
  <si>
    <t>ARTICULOS PARAR SERVICIO GENERAL  PARA SEGURIDAD Y PROTECCION PERSONAL</t>
  </si>
  <si>
    <t xml:space="preserve">Paraguas  grandes y reforzados </t>
  </si>
  <si>
    <t>Par</t>
  </si>
  <si>
    <t xml:space="preserve">MATERIAL QUIRURGICO Y DE LABORATORIO PARA PROTECCION PERSONAL </t>
  </si>
  <si>
    <t>Cubrebocas de tres pliegos c/elastico c/50 piezas</t>
  </si>
  <si>
    <t>Gorro desechable paquete 100 piezas</t>
  </si>
  <si>
    <t xml:space="preserve">Guantes desechables de latex tamaño mediano  </t>
  </si>
  <si>
    <t>PRODUCTOS TEXTILES PARA SEGURIDAD Y PROTECCIÓN PERSONAL</t>
  </si>
  <si>
    <t xml:space="preserve">Impermeables con gorro, tipo gabardin, para lluvia, largo diferentes tallas </t>
  </si>
  <si>
    <t>MANDIL DE HULE</t>
  </si>
  <si>
    <t>VIBRADOR (PARA MODELO DE YESO9</t>
  </si>
  <si>
    <t>LAMPARA PARA RESINA</t>
  </si>
  <si>
    <t xml:space="preserve">PUNTAS PARA LAMPARA DE RESINA </t>
  </si>
  <si>
    <t xml:space="preserve">CAJAS PARA REVELAR RADIOGRAFIAS </t>
  </si>
  <si>
    <t>Cerradura tipo esfera para recamara interior Cod. 23660</t>
  </si>
  <si>
    <t>Kit instalacion de gas (incluye manguera, regulador y niple)</t>
  </si>
  <si>
    <t>Chapa de pomo</t>
  </si>
  <si>
    <t>Cerradura de barra</t>
  </si>
  <si>
    <t>Cerradura de sobreponer</t>
  </si>
  <si>
    <t>MATERIAL MENOR DE FERRETERIA PARA MOBILIARIO Y EQUIPO</t>
  </si>
  <si>
    <t>SILLA PLEGABLE COLOR NEGRA</t>
  </si>
  <si>
    <t>REFACCIONES Y ACCESORIOS MENORES DE CARÁCTER INFORMATICO</t>
  </si>
  <si>
    <t>Memoria USB, 16 GB</t>
  </si>
  <si>
    <t>No Break C/ Reg y Sup T1500 Resp 55min 700w</t>
  </si>
  <si>
    <t>ENERGÍA ELECTRICA</t>
  </si>
  <si>
    <t>SERVICIO DE ENERGIA ELECTRICA (EL SERVICIO ES A CONSUMO DE LUZ EN EL PERIODO)</t>
  </si>
  <si>
    <t>Servico Bimestral</t>
  </si>
  <si>
    <t xml:space="preserve">Gas L.P. para Cilindro 30 lts </t>
  </si>
  <si>
    <t>Cilindro</t>
  </si>
  <si>
    <t>Gas L.P. tanque estacionario</t>
  </si>
  <si>
    <t>TELEFONIA CELULAR</t>
  </si>
  <si>
    <t>SERVICIOS DE INTERNET: TELCEL PLUS CC7</t>
  </si>
  <si>
    <t xml:space="preserve">OTRAS ASESORIAS PARA LA OPERACIÓN DE PROGRAMAS </t>
  </si>
  <si>
    <t>Agua potable</t>
  </si>
  <si>
    <t>OTRAS ASESORIAS PARA LA OPERACIÓN DE PROGRAMAS</t>
  </si>
  <si>
    <t>Servicio de asesoria profesional en materia administrativa para la operación de programas (12 meses)</t>
  </si>
  <si>
    <t>Servicios de capacitación</t>
  </si>
  <si>
    <t>Diseño y planeación de entrenamiento neuro emocional.
Capacitación para 25 personas con costo de $700.00
por persona. (25x700x10)</t>
  </si>
  <si>
    <t>IMPRESIÓN Y ELABORACION DE MATERIAL INFORMATIVO DERIVADO DE LA OPERACIÓN Y ADMINISTRAION DE LOS ENTES PUBLICOS</t>
  </si>
  <si>
    <t>IMPRESIÓN DE TRIPTICO PUBLICITARIO</t>
  </si>
  <si>
    <t>IMPRESIÓN DE CARTEL PUBLICITARIO</t>
  </si>
  <si>
    <t>BANER PUBLICITARIO</t>
  </si>
  <si>
    <t>Dipticos de papel couche</t>
  </si>
  <si>
    <t xml:space="preserve">Cuadernillo media cuartilla de 4 hojas </t>
  </si>
  <si>
    <t xml:space="preserve">Lonas impresa de .60 x .90  mts. </t>
  </si>
  <si>
    <t>DIFUSION POR RADIO, TELEVISION Y OTROS MEDIOS DE MENSAJES SOBRE PROGRAMAS Y ACTIVIDADES GUBERNAMENTALES</t>
  </si>
  <si>
    <t>Lona impresa en medida de 1.80 x 1.00 mtr</t>
  </si>
  <si>
    <t>Muro espandible POP UP en medida de 2.25 x 2.25 con tela impresa y velcro</t>
  </si>
  <si>
    <t>Millar de volantes 1/2 carta a color con impresión a color solo frente</t>
  </si>
  <si>
    <t>Millar</t>
  </si>
  <si>
    <t xml:space="preserve">Pasajes aereos  </t>
  </si>
  <si>
    <t>Vuelos</t>
  </si>
  <si>
    <t>Viaticos</t>
  </si>
  <si>
    <t>Viatico</t>
  </si>
  <si>
    <t>PEAJE TERRESTRES</t>
  </si>
  <si>
    <t>Peaje</t>
  </si>
  <si>
    <t>Evento dia del discapacitado</t>
  </si>
  <si>
    <t>Evento</t>
  </si>
  <si>
    <t>Lente de lectura</t>
  </si>
  <si>
    <t>Lente graduado monofocal antireflejante</t>
  </si>
  <si>
    <t xml:space="preserve">Lente graduado bifocal antireflejante </t>
  </si>
  <si>
    <t>DESPENSA ARMADA CON 16 PRODUCTOS</t>
  </si>
  <si>
    <t>Medicamentos</t>
  </si>
  <si>
    <t xml:space="preserve">CEFTRIAXONA 1gr. Ampula </t>
  </si>
  <si>
    <t>PARACETAMOL SOLUCIÓN DE 1g/100 ml INYECTABLE</t>
  </si>
  <si>
    <t>KETOROLACO TROMETAMOL NORMON 30 MG/ML SOLUCIÓN INYECTABLE EFG</t>
  </si>
  <si>
    <t>MELOXICAM 7.5 mg C/10 TABLETAS</t>
  </si>
  <si>
    <t>APIXABAN DE 5mg C/20</t>
  </si>
  <si>
    <t>Silla de ruedas todo terreno, 18 pulgadas con llanta neumatica</t>
  </si>
  <si>
    <t xml:space="preserve">Silla de ruedas infantil 12 pulgadas  rueda trasera neumatica </t>
  </si>
  <si>
    <t>Silla de ruedas infantil 14 pulgadas trasera neumatica</t>
  </si>
  <si>
    <t>Silla de ruedas todo terreno 16 pulgadas rueda trasera neumatica</t>
  </si>
  <si>
    <t>silla de ruedas PCI 14" (infantil)</t>
  </si>
  <si>
    <t>Silla de ruedas PCA 18" (adulto)</t>
  </si>
  <si>
    <t>Silla de ruedas para sobrepeso de 22"  doble cruceta</t>
  </si>
  <si>
    <t>silla de ruedas clinica para adulto 18 pulgadas</t>
  </si>
  <si>
    <t>Silla de ruedas con descansabrazos abatiles,  20 pulgadas con llanta neumatica</t>
  </si>
  <si>
    <t>Silla WC auxiliar equipada 3 en uno</t>
  </si>
  <si>
    <t>Silla de ruedas sobrepeso 24" doble cruceta</t>
  </si>
  <si>
    <t>Baston sencillo aluminio de 1 apoyo</t>
  </si>
  <si>
    <t>Baston de aluminio de 4 puntos</t>
  </si>
  <si>
    <t>Baston plegable para invidente con correa</t>
  </si>
  <si>
    <t>Andadera fija de aluminio plegable altura ajustable</t>
  </si>
  <si>
    <t>Andadera con asiento tipo rollator con ruedas</t>
  </si>
  <si>
    <t>par de muletas de aluminio</t>
  </si>
  <si>
    <t>par</t>
  </si>
  <si>
    <t>Cama hospitalaria manual basica con accesorios</t>
  </si>
  <si>
    <t>Colchon seccionado en 3 partes para cama hospitalaria</t>
  </si>
  <si>
    <t>Pañal predoblado para adulto paquete con 10 piezas</t>
  </si>
  <si>
    <t>Pañal para adulto, tipo calzon,  talla grande.  paquete con 10 piezas</t>
  </si>
  <si>
    <t>Pañal para adulto tipo calzon, talla mediana paquete con 10 piezas</t>
  </si>
  <si>
    <t>Pañal desechable infantil extra jumbo etapa 7 paquete con 40 piezas</t>
  </si>
  <si>
    <t>Pañal desechable infantil etapa 6 XL, paquete con 40 piezas</t>
  </si>
  <si>
    <t>Pañal desechable infantil etapa 5 jumbo paquete con 40 piezas</t>
  </si>
  <si>
    <t>Prótesis</t>
  </si>
  <si>
    <t>Triciclos de trabajo</t>
  </si>
  <si>
    <t xml:space="preserve">Lámiina de fibra cemento P7-3.05 6 mm gris </t>
  </si>
  <si>
    <t>Apoyos de atención prioritaria a personas vulnerables</t>
  </si>
  <si>
    <t>Apoyo</t>
  </si>
  <si>
    <t>Material Quirugico y Dental</t>
  </si>
  <si>
    <t>AGUA OXIGENADA 1L</t>
  </si>
  <si>
    <t>AGUJA HIPODERMICA DESECHABLE DE 20GX32MM (AMARILLO)</t>
  </si>
  <si>
    <t>AGUJA HIPODERMICA DESECHABLE DE 21GX32MM (VERDE)</t>
  </si>
  <si>
    <t xml:space="preserve">ARCO DE YOUNG METALICO </t>
  </si>
  <si>
    <t>BROCHA (CEPILLO PARA PROFILAXIS)C/100 PZA.</t>
  </si>
  <si>
    <t>CAJA.</t>
  </si>
  <si>
    <t>CAMPOS PARA CHAROLA DENTAL CAJA CON 10 PAQUETES DE 50</t>
  </si>
  <si>
    <t>COPA PARA PROFILAXIS</t>
  </si>
  <si>
    <t>GUTAPERCHA  FM</t>
  </si>
  <si>
    <t>LIDOCAINA SIMPLE 2% 50 ML FRASCO AMPOLLETA</t>
  </si>
  <si>
    <t>LUBRICANTE EN SPRAY</t>
  </si>
  <si>
    <t>MICRODACYN 240ML</t>
  </si>
  <si>
    <t>MICROPORE BLANCO 5 CM C/6 PIEZAS</t>
  </si>
  <si>
    <t xml:space="preserve">MEDICAINE 1/100000OMNICAINA </t>
  </si>
  <si>
    <t>PIEZA DE MANO DE ALTA VELOCIDAD MEDYDENTAL.</t>
  </si>
  <si>
    <t>TELA ADHESIVA BSN 1"</t>
  </si>
  <si>
    <t xml:space="preserve">TIJERA RECTA CHICA </t>
  </si>
  <si>
    <t>PUNTAS DE CABITRON C/10 PZA</t>
  </si>
  <si>
    <t>LENTULO DENTAL C/4</t>
  </si>
  <si>
    <t>EYECTORES DE SALIBA</t>
  </si>
  <si>
    <t>ADHESIVO JUMBO PARA RESINA 3MM</t>
  </si>
  <si>
    <t xml:space="preserve">REGLA MILIMETRICA DE METAL </t>
  </si>
  <si>
    <t>ABREBOCAS</t>
  </si>
  <si>
    <t>CERA ROSA DENTAL</t>
  </si>
  <si>
    <t xml:space="preserve">CERA ROJA DENTAL </t>
  </si>
  <si>
    <t>FRESA DE DIAMANTE EN FORMA DE RUEDA</t>
  </si>
  <si>
    <t>CLOREXIDINA ENJUAGE BUCAL 500ml</t>
  </si>
  <si>
    <t>FORCEPS INFERIORES 151</t>
  </si>
  <si>
    <t>CURETA DE LUCAS</t>
  </si>
  <si>
    <t>ELEVADORES BEIN 3MM</t>
  </si>
  <si>
    <t>ELEVADORES DENTALES CURVOS DERECHO</t>
  </si>
  <si>
    <t>ELEVADORES DENTALES CURVOS IZQUIERDOS</t>
  </si>
  <si>
    <t>ELEVADORES DE BANDERA GRANDE DERECHO</t>
  </si>
  <si>
    <t>ELEVADORES DE BANDERA GRANDE IZQUIERDO</t>
  </si>
  <si>
    <t>BARNIZ DE FLUOR EN GEL</t>
  </si>
  <si>
    <t>SUJETADOR PARA CAMPÓS DE ESPIRAL</t>
  </si>
  <si>
    <t>FORCEPS INFANTIL PARA MOLARES INFERIORES UNIVERSAL NO.23</t>
  </si>
  <si>
    <t>FORCEPS INFANTIL PARA MOLARES SUPERIOR, DERECHO NO. 88R</t>
  </si>
  <si>
    <t>KIT PARA PULIR RESINA RAO 309</t>
  </si>
  <si>
    <t xml:space="preserve">ESPEJOS DENTALES </t>
  </si>
  <si>
    <t xml:space="preserve">PORTA AGUJAS DENTALES </t>
  </si>
  <si>
    <t>ALGINATO (ALGINOPLAS) 500grs</t>
  </si>
  <si>
    <t>POLSA</t>
  </si>
  <si>
    <t xml:space="preserve">YESO PIEDRA </t>
  </si>
  <si>
    <t>YESO VELMIX</t>
  </si>
  <si>
    <t xml:space="preserve">HILO DENTAL </t>
  </si>
  <si>
    <t>PORTA JERINGA PARA RESINA</t>
  </si>
  <si>
    <t>CEPILLO PARA LIMPIEZA DE INSTRUMENTAL DENTAL</t>
  </si>
  <si>
    <t>JABON QUIRUJICO ANTIBENZIL 3.850 LITROS</t>
  </si>
  <si>
    <t>VENDA TIPO SMARCH 15 CM</t>
  </si>
  <si>
    <t>LAPIZ DE ELECTROCAUTERIO DESECHABLE</t>
  </si>
  <si>
    <t>ESTICIDE ANTISEPTICO DE IRRIGACIÓN QUIRÚRGICA 500ML</t>
  </si>
  <si>
    <t>GEL ANTISEPTICO DE CLORHEXIDINA JABONOSA 4% 500ML</t>
  </si>
  <si>
    <t xml:space="preserve">GRAPADORA DÉRMICA ANCHA DE 35 GRAPAS </t>
  </si>
  <si>
    <t>PAPEL PARA ELECTROCARDIOGRAMA DE 1 CANAL 8.00CM X30M</t>
  </si>
  <si>
    <t>ESTERICIDE ANTISEPTICO SOLUCIÓN  GARRAFA 5 LTS</t>
  </si>
  <si>
    <t>ESTERICIDE QX  5 LITROS</t>
  </si>
  <si>
    <t>VASO PARA PLASTICO COLOR AZUL  C/100</t>
  </si>
  <si>
    <t>VASO DAPENT DE VIDRIO</t>
  </si>
  <si>
    <t>RECOLECTOR DE RPBI DE 3 LTRS.PUNZO CORTANTES BIOLOGICOS-INFECCIOSOS</t>
  </si>
  <si>
    <t>BOTE</t>
  </si>
  <si>
    <t>Bolsas RPBI para Residuos Peligrosos Biológico Infecciosos de 55 x 60 cm P/100</t>
  </si>
  <si>
    <t xml:space="preserve">AGUJAS DESECHABLE DE MARIPOSA </t>
  </si>
  <si>
    <t>Aparatos Auditivos</t>
  </si>
  <si>
    <t>Expansor de mama</t>
  </si>
  <si>
    <t>Protesis Mamarias</t>
  </si>
  <si>
    <t>METÁLICO ADULTO</t>
  </si>
  <si>
    <t>METÁLICO JUMBO</t>
  </si>
  <si>
    <t>METÁLICO SEMI JUMBO</t>
  </si>
  <si>
    <t>INFANTIL 50 CMS.</t>
  </si>
  <si>
    <t>INFANTIL 60 CMS.</t>
  </si>
  <si>
    <t>INFANTIL 80 CMS.</t>
  </si>
  <si>
    <t>INFANTIL 1.00 MTS.</t>
  </si>
  <si>
    <t>INFANTIL 1.20 MTS.</t>
  </si>
  <si>
    <t>INFANTIL 1.40 MTS.</t>
  </si>
  <si>
    <t>INFANTIL 1.60 MTS.</t>
  </si>
  <si>
    <t>ATAUDES MADERA PINO</t>
  </si>
  <si>
    <t>Lava cabezas portatil</t>
  </si>
  <si>
    <t>Estacion de peluqueria para estetica</t>
  </si>
  <si>
    <t>Tina hidromasaje para pedicure</t>
  </si>
  <si>
    <t>Banco de pedicure</t>
  </si>
  <si>
    <t>Carrito auxiliar de corte</t>
  </si>
  <si>
    <t>Silla Hidraulica o de corte para adulto</t>
  </si>
  <si>
    <t>Silla Hidraulica o de corte para niños</t>
  </si>
  <si>
    <t>Combo de maquina de corte</t>
  </si>
  <si>
    <t>Mesa para uñas</t>
  </si>
  <si>
    <t xml:space="preserve">Combo de màquinas de corte profesional </t>
  </si>
  <si>
    <t>Làmpara UV led para aplicaciòn de uñas</t>
  </si>
  <si>
    <t>Mesa de trabajo acero inoxidable</t>
  </si>
  <si>
    <t>Maquina domestica con costura recta  120 voltios</t>
  </si>
  <si>
    <t>Refrigerador 11"</t>
  </si>
  <si>
    <t xml:space="preserve">Batidora industrial 10 velocidades </t>
  </si>
  <si>
    <t>Horno panadero industrial para 2 charolas</t>
  </si>
  <si>
    <t>Parrilla de 3 quemadores en linea acero inoxidable con plancha</t>
  </si>
  <si>
    <t>Licuadora profesional 1.5 lts con vaso de vidrio, 2 velocidades</t>
  </si>
  <si>
    <t>Freidora electrica de mesa acero inoxidable 5 ltr 220 w</t>
  </si>
  <si>
    <t>Microondas  2 Pies</t>
  </si>
  <si>
    <t>Cilindros de gas L.P. 30 kg</t>
  </si>
  <si>
    <t>Parrilla de 3 quemadores en linea acero inoxidable</t>
  </si>
  <si>
    <t>Mercadito Artesanal</t>
  </si>
  <si>
    <t>APOYO A ENLACES MUNICIPALES DEL PROGRAMA</t>
  </si>
  <si>
    <t>Apoyos</t>
  </si>
  <si>
    <t>Mobiliario y equipo</t>
  </si>
  <si>
    <t>Mesa plagable tipo portafolio 2.44 mtr</t>
  </si>
  <si>
    <t>ANAQUEL USO RUDO 6 NIVELES</t>
  </si>
  <si>
    <t>MUEBLES EXCEPTO DE OFICINA Y ESTANTERIA</t>
  </si>
  <si>
    <t>EQUIPO DE VELACION EN DOMICILIO</t>
  </si>
  <si>
    <t>TOLDO DE 3X6 A DOS AGUAS</t>
  </si>
  <si>
    <t>EQUIPO DE COMPUTO</t>
  </si>
  <si>
    <t>IMPRESORA MULTIFUNCIONAL</t>
  </si>
  <si>
    <t>EQUIPO DE CAMARAS DE VIGILANCIA</t>
  </si>
  <si>
    <t>OTRO MOBILIARIO Y EQUIPOS</t>
  </si>
  <si>
    <t>Olla expres de 21 litros</t>
  </si>
  <si>
    <t xml:space="preserve">DISPENSADOR DE AGUA FRIA Y CALIENTE CON GARRAFON OCULTO, CON LLAVES FACILES DE MANEJAR Y SEGURO CONTRA NIÑOS </t>
  </si>
  <si>
    <t xml:space="preserve">EQUIPO E INSTRUMENTAL MEDICO Y DE LABORATORIO </t>
  </si>
  <si>
    <t xml:space="preserve">EQUIPO MEDICO Y DE LABORATORIO </t>
  </si>
  <si>
    <t xml:space="preserve">LENSOMETRO- MAQUINA- INSTRUMENTOS-OPTICOS- OTOMETRIA </t>
  </si>
  <si>
    <t>INSTRUMENTAL MEDICO Y DE LABORATORIO</t>
  </si>
  <si>
    <t>VACUOM (ASPIRADOR PARA GUARDAS)</t>
  </si>
  <si>
    <t>EQUIPO DE RX PORTATIL</t>
  </si>
  <si>
    <t>VEHICULOS Y EQUIPO TERRESTRE</t>
  </si>
  <si>
    <t>CAMION TIPO RABON DE 8 TONELADAS</t>
  </si>
  <si>
    <t>Anaquel metalico reforzado con 5 charolas de 60x30 cm, cal 22 y 4 postes de 2.20 mts. cal. 18</t>
  </si>
  <si>
    <t>Escritorio secretarial linea tradicional de 1.20 x 60 mts. con dos cajones (lapicero y archivero) terminado en melamina de 28/16 mm.</t>
  </si>
  <si>
    <t>Pintarron blanco medidas 120 x 90 cms</t>
  </si>
  <si>
    <t>ALL IN ONE  205 G8 AMD Ryzen 3 8 GB 512 GB SSD 23.8" WINDOWS 11 HOME HP 7F5K1L</t>
  </si>
  <si>
    <t>COSTO UNITARIO</t>
  </si>
  <si>
    <t>CANTIDAD DE BIENES Y/O SERVICIOS REQUERIDOS</t>
  </si>
  <si>
    <t>VALOR TOTAL (PESOS)</t>
  </si>
  <si>
    <t>Para Las Funciones Y Necesidades De Todas Las Area De Dif Estatal</t>
  </si>
  <si>
    <t>VALOR TOTAL ANUAL</t>
  </si>
  <si>
    <t>GRUPOS PRIORITARIOS, MIL DIAS, ALIMENTACION ESCOLAR, PORGRAMA DE ATENCION EMERGENCIA Y DESASTRE, SALUD Y BIENESTAR</t>
  </si>
  <si>
    <t>REGLAS DE OPERACION DIF NACIONAL</t>
  </si>
  <si>
    <t>CLIPS ESTANDAR NO.2</t>
  </si>
  <si>
    <t>CLIPS ESTANDAR</t>
  </si>
  <si>
    <t>Cajas de Archivo t/carta</t>
  </si>
  <si>
    <t>cajas de Archivo t/oficio</t>
  </si>
  <si>
    <t xml:space="preserve">FOAMY VARIOS COLORES TAMAÑO CARTA </t>
  </si>
  <si>
    <t>PAPEL BOND COLOR AMARILLO DE 70 X 95 DE 50 KG</t>
  </si>
  <si>
    <t>MATERIALES Y ÚTILES DE ENSEÑANZA</t>
  </si>
  <si>
    <t>FRUTAS, VERDURAS, CONNOS, BANDERINES DE PLASTICO</t>
  </si>
  <si>
    <t xml:space="preserve">
ALIMENTOS Y UTENSILIOS </t>
  </si>
  <si>
    <t xml:space="preserve">PRODUCTOS ALIMENTICIOS PARA PERSONAS </t>
  </si>
  <si>
    <t>ALIMENTOS PARA PERSONAL</t>
  </si>
  <si>
    <t>UNIFORMES Y PLAYERAS</t>
  </si>
  <si>
    <t>UNIFORMES</t>
  </si>
  <si>
    <t>CHALECOS Y CAMISAS ESTAMPADOS</t>
  </si>
  <si>
    <t>ARTICULOS PARA SEGURIDAD Y PROTECCION PERSONAL</t>
  </si>
  <si>
    <t>VARIOS ARTICULOS</t>
  </si>
  <si>
    <t>PRODUCTOS</t>
  </si>
  <si>
    <t>REFACCIONES Y ACCESORIOS MENORES DE EQUIPO DE CÓMPUTO Y TECNOLOGÍAS DE LA
INFORMACIÓN</t>
  </si>
  <si>
    <t>REFACCIONES Y ACCESORIOS MENORES DE CARÁCTER INFORMÁTICO</t>
  </si>
  <si>
    <t>SERVICIOS DE ACCESO DE INTERNET, REDES Y PROCESAMIETO DE INFORMACION</t>
  </si>
  <si>
    <t>ARRENDAMIENTO DE MOBILIARIO Y EQUIPO DE ADMINISTRACIÓN, EDUCACIONAL Y RECREATIVO</t>
  </si>
  <si>
    <t>RENTA DE PLANTA DE LUZ</t>
  </si>
  <si>
    <t>SERVICIOS PROFESIONALES, CIENTÍFICOS, TÉCNICOS Y OTROS SERVICIOS</t>
  </si>
  <si>
    <t>ASESORIAS DE PROGRAMA</t>
  </si>
  <si>
    <t>CONTRATACION DE PERSONAL</t>
  </si>
  <si>
    <t>LONA IMPRESA</t>
  </si>
  <si>
    <t>CALCOMANIA IMPRESA</t>
  </si>
  <si>
    <t xml:space="preserve">LONA  FRONT ALTA MATE 1.5 X 2.5 M </t>
  </si>
  <si>
    <t>PENDOS DE 1.80 X.80 M</t>
  </si>
  <si>
    <t xml:space="preserve">PLACA PARA CASA </t>
  </si>
  <si>
    <t>CALCOMANIAS 7X.20 CM</t>
  </si>
  <si>
    <t>CALCOMANIAS 20.42CM</t>
  </si>
  <si>
    <t>PASAJES AEREOS</t>
  </si>
  <si>
    <t>VUELOS</t>
  </si>
  <si>
    <t>PEAJES</t>
  </si>
  <si>
    <t>VIÁTICOS EN EL PAÍS</t>
  </si>
  <si>
    <t>VIATICOS</t>
  </si>
  <si>
    <t>HORAS DE SERVICIO DE ESPECTACULO DE ANIMACIÓN</t>
  </si>
  <si>
    <t>AYUDAS SOCIALES A PERSONAS</t>
  </si>
  <si>
    <t>DOTACIONES ALIMENTARIAS</t>
  </si>
  <si>
    <t>PERSONAS</t>
  </si>
  <si>
    <t>EQUIPAMIENTO A HOGARES</t>
  </si>
  <si>
    <t>HOGARES</t>
  </si>
  <si>
    <t>Casa de la Mujer, Aquí Nos Vemos, Recuerdos de la Alegria, Apoyo a Grupos Prioritarios, Velatorio, Salud Familiar, PAB, Alimenta la Esperanza y Mercadito Artesanal</t>
  </si>
  <si>
    <t>GOBIERNO DEL ESTADO DE NAYARIT 
     PROGRAMA ANUAL DE ADQUISICIONES, ARRENDAMIENTOS Y PRESTACIÓN DE SERVICIOS PARA EL EJERCICIO FISCAL 2024                                                                                                                                                                                                                                                                                                                         DEL SISTEMA PARA EL DESARROLLO INTEGRAL DE LA FAMILIA DEL ESTADO DE NAYARIT</t>
  </si>
  <si>
    <t>UNIDAD ADMINISTRATIVA</t>
  </si>
  <si>
    <t>PROYECTO</t>
  </si>
  <si>
    <t>FUENTE DE FINANCIAMIENTO</t>
  </si>
  <si>
    <t>PROGRAMA PRESUPUESTAL</t>
  </si>
  <si>
    <t>CALENDARIZACION</t>
  </si>
  <si>
    <t>VALOR TOTAL</t>
  </si>
  <si>
    <t>CANTIDAD</t>
  </si>
  <si>
    <t>MONTO</t>
  </si>
  <si>
    <t>D101</t>
  </si>
  <si>
    <t>Y001</t>
  </si>
  <si>
    <t>ARBOL DE NAVIDAD DE 2.20 METROS</t>
  </si>
  <si>
    <t xml:space="preserve">ESTRELLA PARA ARBOL DE NAVIDAD </t>
  </si>
  <si>
    <t>CORONA DE ADVIENTO</t>
  </si>
  <si>
    <t>ESFERAS NAVIDEÑAS  ROJAS 60 PIEZAS</t>
  </si>
  <si>
    <t>ESFERAS NAVIDEÑAS DORADAS 60 PIEZAS</t>
  </si>
  <si>
    <t>ADORNO NAVIDEÑO 50 MINIPIÑATAS COLGANTES DECORATIVAS</t>
  </si>
  <si>
    <t>MALLA DECORATIVA NAVIDEÑA DE 10 MTRS</t>
  </si>
  <si>
    <t>ROLLO DE ESCARCHA NAVIDEÑA DE 100 MTRS</t>
  </si>
  <si>
    <t>GUILLOTINA MANUAL PARA OFICINA</t>
  </si>
  <si>
    <t>TELEFONO INTERSECRETARIAL</t>
  </si>
  <si>
    <t>BOLIGRAFOS DETECTOR DE BILLETES FALSOS</t>
  </si>
  <si>
    <t>BOTE DE BASURA CON TAPA DE 15 X 11 X 20"</t>
  </si>
  <si>
    <t>BOTE DE BASURA CON TAPA DE 11 X 8 X 12"</t>
  </si>
  <si>
    <t>BLOCK</t>
  </si>
  <si>
    <t>CARRETE</t>
  </si>
  <si>
    <t>CESTO CHICO PARA BASURA C/TAPA D/17 LT</t>
  </si>
  <si>
    <t>CONTENEDOR DE BASURA DE 135 LT C/TAPA Y RUEDAS</t>
  </si>
  <si>
    <t>CUADERNO LISTA DE ASISTENCIA</t>
  </si>
  <si>
    <t>CLIPS FORRADO DE VINIL DE COLORES # 1  C/100 PZAS</t>
  </si>
  <si>
    <t>CLIPS FORRADO DE VINIL DE COLORES JUMBO  C/100 PZAS</t>
  </si>
  <si>
    <t>ENSARTADOR DE AGUJA</t>
  </si>
  <si>
    <t>MARCADOR PERMANENTE DOBLE PUNTO C/12 PZAS</t>
  </si>
  <si>
    <t>PERFORADORA</t>
  </si>
  <si>
    <t xml:space="preserve">SELLO </t>
  </si>
  <si>
    <t>SELLADOR BLANCO PARA PIEZAS DE CHAQUIRA 600 ML</t>
  </si>
  <si>
    <t>SILICON LIQUIDO 250ML</t>
  </si>
  <si>
    <t>TRITURADORA DE PAPEL</t>
  </si>
  <si>
    <t>CINTA ANTIDERRAPANTE 50MM X 18 MTS. COD. 101441</t>
  </si>
  <si>
    <t>CINTA AMARILLA DE PRECAUCION</t>
  </si>
  <si>
    <t xml:space="preserve">FLEXOMETRO </t>
  </si>
  <si>
    <t xml:space="preserve">REGLA 1 METRO </t>
  </si>
  <si>
    <t>BOLETOS DE PARA TICKTERA</t>
  </si>
  <si>
    <t>PAQUETE C/20000</t>
  </si>
  <si>
    <t>CAJA DE PLASTICO  MULTIUSOS  CON TAPA RECTANGULAR DE 5 LITROS  L33 X 22 CM DE ANCHO Y ALTO 9.5 CM</t>
  </si>
  <si>
    <t>CARPETA PARA ACHIVO COLOR BLANCA CON ARILLO METALICO DE 5"</t>
  </si>
  <si>
    <t>ETIQUETAS COLGANTES #104</t>
  </si>
  <si>
    <t>HOJAS DE COLORES T/CARTA C/100 PZAS.</t>
  </si>
  <si>
    <t>NOTAS REMISION</t>
  </si>
  <si>
    <t>BLOC</t>
  </si>
  <si>
    <t>PAPEL MANILA AMARILLO</t>
  </si>
  <si>
    <t>PAQEUETE</t>
  </si>
  <si>
    <t>ROLLOS DE PAPEL PARA IMPRESORA DE ETIQUETAS 29 MM X 90.3 MM</t>
  </si>
  <si>
    <t>ROLLOS DE PAPEL TERMICO 50 MM</t>
  </si>
  <si>
    <t>ROLLOS DE PAPEL TERMICO 80 MM</t>
  </si>
  <si>
    <t>SOBRE MANILA TAMAÑO CARTA pieza</t>
  </si>
  <si>
    <t>SOBRE MANILA TAMAÑO CARTA PAQ</t>
  </si>
  <si>
    <t>SOBRE MANILA TAMAÑO OFICIO pieza</t>
  </si>
  <si>
    <t>TARJETAS DE ALMACEN</t>
  </si>
  <si>
    <t>TARJETAS VARIAS</t>
  </si>
  <si>
    <t>ARTICULOS DIDACTICOS</t>
  </si>
  <si>
    <t>DULCE ESPANTASUEGRAS</t>
  </si>
  <si>
    <t>GLOBO No. 9 SURTIDO</t>
  </si>
  <si>
    <t>PALETA CEREZA 20x30 25/1KG</t>
  </si>
  <si>
    <t>PALETA JUMBO CEREZA</t>
  </si>
  <si>
    <t xml:space="preserve">PELOTA LISA 8.5 </t>
  </si>
  <si>
    <t>SILBATOS</t>
  </si>
  <si>
    <t>AIRE COMPRIMIDO</t>
  </si>
  <si>
    <t>ALCOHOL ISOPROPILICO EN AEROSOL</t>
  </si>
  <si>
    <t>CABLE USB TIPO C a jack USB 3.0</t>
  </si>
  <si>
    <t>CAMPANA DVD C/25 PZAS</t>
  </si>
  <si>
    <t>CARTUCHO DE TINTA PARA IMPRESORA HP 122 NEGRO</t>
  </si>
  <si>
    <t>CARTUCHO PARA IMPRESORA HP 934 XL ORIGINAL</t>
  </si>
  <si>
    <t>CARTUCHO PARA IMPRESORA HP 935 XL AMARILLO</t>
  </si>
  <si>
    <t>CARTUCHOPARA IMPRESORA  HP 935 XL ORIGINAL CYAN</t>
  </si>
  <si>
    <t>CARTUCHO PARA IMPRESORA HP 935 XL  MAGENTA</t>
  </si>
  <si>
    <t>LIMPIADOR DE PANTALLAS, 170 ml</t>
  </si>
  <si>
    <t>PASTA TERMICA THERMAL GREASE, 0.8 W/m.K, 2.37 GRAMOS</t>
  </si>
  <si>
    <t>TINTA PARA IMPRESION</t>
  </si>
  <si>
    <t>TINTA PARA IMPRESORA EPSON ECOTANK L3210 COLOR NEGRO</t>
  </si>
  <si>
    <t>TINTA PARA IMPRESORA EPSON ECOTANK L3210 COLOR CIAN</t>
  </si>
  <si>
    <t>TINTA PARA IMPRESORA EPSON ECOTANK L3210 COLOR MAGENTA</t>
  </si>
  <si>
    <t>TINTA PARA IMPRESORA EPSON ECOTANK L3210 COLOR AMARILLO</t>
  </si>
  <si>
    <t>TONER TN660COMP-S</t>
  </si>
  <si>
    <t>LONA COORDINACIÓN 1X1.8</t>
  </si>
  <si>
    <t>PORTA-ANUNCIOS</t>
  </si>
  <si>
    <t>ATOMIZADOR DE PLASTICO DE 1 LITRO</t>
  </si>
  <si>
    <t xml:space="preserve">BURRO DE PLACHAR </t>
  </si>
  <si>
    <t>CUADRITELA ESTROPAJO PARA TRASTES Y TAPICERIA 22 X 24 CM</t>
  </si>
  <si>
    <t>DESPACHADOR DE JABON LIQUIDO</t>
  </si>
  <si>
    <t>DESPACHADOR MANUAL DE TOALLA DE PAPEL EN ROLLO</t>
  </si>
  <si>
    <t>BIDOÓN</t>
  </si>
  <si>
    <t>DONA METALICA PARA LAVAR TRASTES GRANDE</t>
  </si>
  <si>
    <t xml:space="preserve">EMBUDO P/BIDON </t>
  </si>
  <si>
    <t>ESCOBETA DE PLASTICO</t>
  </si>
  <si>
    <t>GIS DE TELA</t>
  </si>
  <si>
    <t>GUANTES DE PLASTICO</t>
  </si>
  <si>
    <t>JABÓN LÍQUIDO P/TRASTES litro</t>
  </si>
  <si>
    <t>BIDÓN</t>
  </si>
  <si>
    <t>JALADOR CON ESPONJA MINI</t>
  </si>
  <si>
    <t>JERGAS</t>
  </si>
  <si>
    <t>KLIN SSPRAY SOLUCION ANTISEPTICA</t>
  </si>
  <si>
    <t>LIQUIDO DESENGRASANTE litro</t>
  </si>
  <si>
    <t>LÍQUIDO PARA CRISTALES</t>
  </si>
  <si>
    <t>PASTILLAS DE CLORO</t>
  </si>
  <si>
    <t>PASTILLA C/APLICADOR PARA WC</t>
  </si>
  <si>
    <t>PLUMERO</t>
  </si>
  <si>
    <t>ROLLO DE PAPEL GRANDE PARA MANOS C/6 PZAS</t>
  </si>
  <si>
    <t>ESPONJA CORPORAL</t>
  </si>
  <si>
    <t>TOALLAS DESINFECTANTES C/60 PZAS</t>
  </si>
  <si>
    <t>PRODUCTOS TEXTILES PARA LIMPIEZA</t>
  </si>
  <si>
    <t>ESTOPA</t>
  </si>
  <si>
    <t xml:space="preserve">ESTOPA EN COLOR CREMA </t>
  </si>
  <si>
    <t>PAÑO MICROFIBRA</t>
  </si>
  <si>
    <t>PAPEL CELOFÁN</t>
  </si>
  <si>
    <t>PAPEL CREPÉ DIFERENTES COLORES 100 PIEZAS</t>
  </si>
  <si>
    <t>PIZARRON BLANCO MARCO Y PORTA/M DE ALUMINIO 120 X 240 CM</t>
  </si>
  <si>
    <t>ALGODÓN TORUNDA DE 500 GR.</t>
  </si>
  <si>
    <t>PLUMONES PARA DIBUJO ACUARELO JUNIOR C/12 PZAS</t>
  </si>
  <si>
    <t>SILICON LIQUIDO 250 ML</t>
  </si>
  <si>
    <t>BARRA DE SILICON DELGADO</t>
  </si>
  <si>
    <t>BARRA DE SILICON GRUESO</t>
  </si>
  <si>
    <t>CRAYOLAS GRUESAS MARCA CRAYOLA C/12</t>
  </si>
  <si>
    <t>BARRA DE PLASTILINA DE 140 GR BEIGE</t>
  </si>
  <si>
    <t>BARRA DE PLASTILINA DE 140 GR NARANJA</t>
  </si>
  <si>
    <t>BARRA DE PLASTILINA DE 140 GR CAFÉ</t>
  </si>
  <si>
    <t>BARRA DE PLASTILINA DE 140 GR AMARILLO</t>
  </si>
  <si>
    <t>BARRA DE PLASTILINA DE 140 GR AZUL CLARO</t>
  </si>
  <si>
    <t>BARRA DE PLASTILINA DE 140 GR ROJO</t>
  </si>
  <si>
    <t>BARRA DE PLASTILINA DE 140 GR ROSA CLARO</t>
  </si>
  <si>
    <t>BARRA DE PLASTILINA DE 140 GR VERDE CLARO</t>
  </si>
  <si>
    <t>BARRA DE PLASTILINA DE 140 GR MORADO</t>
  </si>
  <si>
    <t>BARRA DE PLASTILINA DE 140 GR LILA</t>
  </si>
  <si>
    <t>BARRA DE PLASTILINA DE 140 GR BLANCO</t>
  </si>
  <si>
    <t>BARRA DE PLASTILINA DE 140 GR PIEL</t>
  </si>
  <si>
    <t>BARRA DE PLASTILINA DE 140 GR NEGRA</t>
  </si>
  <si>
    <t>PINCEL #12</t>
  </si>
  <si>
    <t>PINCEL #18</t>
  </si>
  <si>
    <t>LIMPIAPIPAS DE COLORES VARIOS C/30 PZAS</t>
  </si>
  <si>
    <t>POMPONES DE COLORES VARIOS 25 MM</t>
  </si>
  <si>
    <t>PINTURA PHILADELPHIA 120 ML  COLOR MORADO</t>
  </si>
  <si>
    <t>PINTURA PHILADELPHIA 120 ML  COLOR CAFÉ</t>
  </si>
  <si>
    <t>PINTURA PHILADELPHIA 120 ML  COLOR NEGRO</t>
  </si>
  <si>
    <t>PINTURA PHILADELPHIA 120 ML  COLOR BLANCO</t>
  </si>
  <si>
    <t>PINTURA PHILADELPHIA 120 ML  COLOR ROSA</t>
  </si>
  <si>
    <t>PINTURA PHILADELPHIA 120 ML  COLOR LILA</t>
  </si>
  <si>
    <t xml:space="preserve">PINTURA PHILADELPHIA 120 ML  COLOR VERDE BANDERA </t>
  </si>
  <si>
    <t>PINTURA PHILADELPHIA 120 ML  COLOR VERDE LIMON</t>
  </si>
  <si>
    <t>PINTURA PHILADELPHIA 120 ML  COLOR AZUL REY</t>
  </si>
  <si>
    <t>PINTURA PHILADELPHIA 120 ML  COLOR AZUL ELECTRICO</t>
  </si>
  <si>
    <t>PINTURA PHILADELPHIA 120 ML  COLOR AZUL CIELO</t>
  </si>
  <si>
    <t>PLIEGO DE CARTULINA IRIS AMARILLO</t>
  </si>
  <si>
    <t>PLIEGO DE CARTULINA IRIS MORADO</t>
  </si>
  <si>
    <t>PLIEGO DE CARTULINA IRIS AZUL CIELO</t>
  </si>
  <si>
    <t>PLIEGO DE CARTULINA IRIS LILA</t>
  </si>
  <si>
    <t>PLIEGO DE CARTULINA IRIS NARANJA</t>
  </si>
  <si>
    <t>PLIEGO DE CARTULINA ROSA PASTEL</t>
  </si>
  <si>
    <t>PLIEGO DE CARTULINA IRIS ROSA FUSHA</t>
  </si>
  <si>
    <t xml:space="preserve">PLIEGO CARTULINA COLOR  BLANCA </t>
  </si>
  <si>
    <t xml:space="preserve">PLIEGO CARTULINA COLOR AMARILLA </t>
  </si>
  <si>
    <t>PLIEGO CARTULINA COLOR ROSA</t>
  </si>
  <si>
    <t>PLIEGO CARTULINA COLOR AZUL CIELO</t>
  </si>
  <si>
    <t xml:space="preserve">PLIEGO CARTULINA COLOR MORADO </t>
  </si>
  <si>
    <t>PLIEGO DE CARTULINA FLORESCENTE ROSA</t>
  </si>
  <si>
    <t>PLIEGO DE CARTULINA FLORESCENTE AMARILLO</t>
  </si>
  <si>
    <t xml:space="preserve">PLIEGO DE CARTULINA FLORESCENTE NARANJA </t>
  </si>
  <si>
    <t xml:space="preserve">PLIEGO DE FOAMY  DIAMANTADO 70 X 95 CM AZUL CIELO </t>
  </si>
  <si>
    <t>PLIEGO DE FOAMY  DIAMANTADO 70 X 95 CM AZUL REY</t>
  </si>
  <si>
    <t>PLIEGO DE FOAMY  DIAMANTADO 70 X 95 CM BLANCO</t>
  </si>
  <si>
    <t>PLIEGO DE FOAMY  DIAMANTADO 70 X 95 CM CAFÉ</t>
  </si>
  <si>
    <t>PLIEGO DE FOAMY  DIAMANTADO 70 X 95 CM DORADO</t>
  </si>
  <si>
    <t>PLIEGO DE FOAMY  DIAMANTADO 70 X 95 CM MORADO</t>
  </si>
  <si>
    <t>PLIEGO DE FOAMY  DIAMANTADO 70 X 95 CM NARANJA</t>
  </si>
  <si>
    <t>PLIEGO DE FOAMY  DIAMANTADO 70 X 95 CM NEGRO</t>
  </si>
  <si>
    <t>PLIEGO DE FOAMY  DIAMANTADO 70 X 95 CM ROJO</t>
  </si>
  <si>
    <t>PLIEGO DE FOAMY  DIAMANTADO 70 X 95 CM ROSA CLARO</t>
  </si>
  <si>
    <t>PLIEGO DE FOAMY  DIAMANTADO 70 X 95 CM ROSA FUSHIA</t>
  </si>
  <si>
    <t xml:space="preserve">PLIEGO DE FOAMY  DIAMANTADO 70 X 95 CM  VERDE BANDERA </t>
  </si>
  <si>
    <t xml:space="preserve">PLIEGO DE FOAMY  DIAMANTADO 70 X 95 CM VERDE LIMON </t>
  </si>
  <si>
    <t>PLIEGO DE FOAMY  DIAMANTADO 70 X 95 CM LILA</t>
  </si>
  <si>
    <t>PLIEGO DE FOAMY  DIAMANTADO 70 X 95 CM PLATA</t>
  </si>
  <si>
    <t>PLIEGO DE FOAMY  DIAMANTADO 70 X 95 CM GRIS</t>
  </si>
  <si>
    <t xml:space="preserve">PLIEGO DE FOAMY  DIAMANTADO 70 X 95 CM AMARILLO </t>
  </si>
  <si>
    <t xml:space="preserve">PLIEGO DE FOAMY  LISO   AZUL CIELO </t>
  </si>
  <si>
    <t>PLIEGO DE FOAMY  LISO  AZUL REY</t>
  </si>
  <si>
    <t>PLIEGO DE FOAMY  LISO  BLANCO</t>
  </si>
  <si>
    <t>PLIEGO DE FOAMY  LISO  CAFÉ</t>
  </si>
  <si>
    <t>PLIEGO DE FOAMY   DORADO</t>
  </si>
  <si>
    <t>PLIEGO DE FOAMY  LISO  MORADO</t>
  </si>
  <si>
    <t>PLIEGO DE FOAMY  LISO  NARANJA</t>
  </si>
  <si>
    <t>PLIEGO DE FOAMY  LISO  NEGRO</t>
  </si>
  <si>
    <t>PLIEGO DE FOAMY  LISO  ROJO</t>
  </si>
  <si>
    <t>PLIEGO DE FOAMY  LISO  ROSA CLARO</t>
  </si>
  <si>
    <t>PLIEGO DE FOAMY  LISO  ROSA FUSHIA</t>
  </si>
  <si>
    <t xml:space="preserve">PLIEGO DE FOAMY  LISO   VERDE BANDERA </t>
  </si>
  <si>
    <t xml:space="preserve">PLIEGO DE FOAMY  LISO  VERDE LIMON </t>
  </si>
  <si>
    <t>PLIEGO DE FOAMY  LISO  LILA</t>
  </si>
  <si>
    <t>PLIEGO DE FOAMY  LISO  PLATA</t>
  </si>
  <si>
    <t>PLIEGO DE FOAMY  LISO  GRIS</t>
  </si>
  <si>
    <t>PLIEGO DE FOAMY  LISO  PIEL</t>
  </si>
  <si>
    <t xml:space="preserve">PLIEGO DE FOAMY  LISO  AMARILLO </t>
  </si>
  <si>
    <t xml:space="preserve">FOAMY  DIAMANTADO T/CARTA  AZUL CIELO </t>
  </si>
  <si>
    <t>PLIEGO DE FOAMY  DIAMANTADO T/CARTA AZUL REY</t>
  </si>
  <si>
    <t>FOAMY  DIAMANTADO T/CARTA BLANCO</t>
  </si>
  <si>
    <t>FOAMY  DIAMANTADO T/CARTA CAFÉ</t>
  </si>
  <si>
    <t>FOAMY  DIAMANTADO T/CARTA DORADO</t>
  </si>
  <si>
    <t>FOAMY  DIAMANTADO T/CARTA MORADO</t>
  </si>
  <si>
    <t>FOAMY  DIAMANTADO T/CARTA NARANJA</t>
  </si>
  <si>
    <t>FOAMY  DIAMANTADO T/CARTA NEGRO</t>
  </si>
  <si>
    <t>FOAMY DIAMANTADO T/CARTA ROJO</t>
  </si>
  <si>
    <t>FOAMY  DIAMANTADO T/CARTA ROSA CLARO</t>
  </si>
  <si>
    <t>FOAMY  DIAMANTADO T/CARTA ROSA FUSHIA</t>
  </si>
  <si>
    <t xml:space="preserve">FOAMY  DIAMANTADO T/CARRTA  VERDE BANDERA </t>
  </si>
  <si>
    <t xml:space="preserve">FOAMY  DIAMANTADO T/CARTA VERDE LIMON </t>
  </si>
  <si>
    <t>FOAMY  DIAMANTADO T/CARTA LILA</t>
  </si>
  <si>
    <t>FOAMY  DIAMANTADO T/CARTA PLATA</t>
  </si>
  <si>
    <t>FOAMY  DIAMANTADO T/CARTA GRIS</t>
  </si>
  <si>
    <t xml:space="preserve">FOAMY  DIAMANTADO T/CARTA AMARILLO </t>
  </si>
  <si>
    <t>FOAMY  LISO T/CARTA BLANCO</t>
  </si>
  <si>
    <t>FOAMY  LISO T/CARTA CAFÉ</t>
  </si>
  <si>
    <t>FOAMY  LISO T/CARTA DORADO</t>
  </si>
  <si>
    <t>FOAMY  LISO T/CARTA MORADO</t>
  </si>
  <si>
    <t>FOAMY  LISO T/CARTA NARANJA</t>
  </si>
  <si>
    <t>FOAMY  LISO T/CARTA NEGRO</t>
  </si>
  <si>
    <t>FOAMY LISO T/CARTA ROJO</t>
  </si>
  <si>
    <t>FOAMY  LISO T/CARTA ROSA CLARO</t>
  </si>
  <si>
    <t>FOAMY  LISO T/CARTA ROSA FUSHIA</t>
  </si>
  <si>
    <t xml:space="preserve">FOAMY  LISO T/CARRTA  VERDE BANDERA </t>
  </si>
  <si>
    <t xml:space="preserve">FOAMY  LISO T/CARTA VERDE LIMON </t>
  </si>
  <si>
    <t>FOAMY  LISO T/CARTA LILA</t>
  </si>
  <si>
    <t>FOAMY  LISO T/CARTA PLATA</t>
  </si>
  <si>
    <t>FOAMY  LISO T/CARTA GRIS</t>
  </si>
  <si>
    <t xml:space="preserve">FOAMY  LISO T/CARTA AMARILLO </t>
  </si>
  <si>
    <t>PAPEL CHINA COLOR AMARILLO</t>
  </si>
  <si>
    <t xml:space="preserve">PAPEL CHINA COLOR AZUL CIELO </t>
  </si>
  <si>
    <t>PAPEL CHINA AZUL REY</t>
  </si>
  <si>
    <t>PAPEL CHINA BLANCO</t>
  </si>
  <si>
    <t>PAPEL CHINA MORADO</t>
  </si>
  <si>
    <t>PAPEL CHINA NARANJA</t>
  </si>
  <si>
    <t>PLIEGO DE PAPEL CREPE AMARILLO</t>
  </si>
  <si>
    <t>PLIEGO DE PAPEL CREPE AZUL REY</t>
  </si>
  <si>
    <t>PLIEGO DE PAPEL CREPE MORADO</t>
  </si>
  <si>
    <t>PLIEGO DE PAPEL CREPE NARANJA</t>
  </si>
  <si>
    <t>PLIEGO DE PAPEL CREPE NEGRO</t>
  </si>
  <si>
    <t>PLIEGO DE PAPEL CREPE ROJO</t>
  </si>
  <si>
    <t>PLIEGO DE PAPEL CREPE ROSA PASTEL</t>
  </si>
  <si>
    <t>PLIEGO DE PAPEL CREPE ROSA FUSHIA</t>
  </si>
  <si>
    <t>PAPEL LUSTRE AZUL CIELO</t>
  </si>
  <si>
    <t>PAPEL LUSTRE LILA</t>
  </si>
  <si>
    <t xml:space="preserve">PAPEL LUSTRE AMARILLO </t>
  </si>
  <si>
    <t>PAPEL LUSTRE NARANJA</t>
  </si>
  <si>
    <t>PAPEL PICADO</t>
  </si>
  <si>
    <t>PAPEL  CORRUGADO COLOR NATURAL C/1O MTS</t>
  </si>
  <si>
    <t>PAPEL  CORRUGADO COLOR AMARILLO C/10 MTS</t>
  </si>
  <si>
    <t>PAPEL  CORRUGADO COLOR AZUL C/10 MTS</t>
  </si>
  <si>
    <t>PAPEL  CORRUGADO COLOR ROJO C/10 MTS</t>
  </si>
  <si>
    <t>PASTA PARA ENGARGOLAR TAMAÑO OFICIO C/25 JUEGOS</t>
  </si>
  <si>
    <t>ROLLO LISTON  CURLING  HOLOGRAFICO COLOR VERDE 1 CM</t>
  </si>
  <si>
    <t xml:space="preserve"> ROLLO CURLING  HOLOGRAFICO COLOR BLANCO 1 CM</t>
  </si>
  <si>
    <t>ROLLO CURLING  HOLOGRAFICO COLOR ROJO 1 CM</t>
  </si>
  <si>
    <t>ROLLO CURLING  HOLOGRAFICO COLOR DORADO 1 CM</t>
  </si>
  <si>
    <t>ROLLO CURLING  HOLOGRAFICO COLOR PLATA 1 CM</t>
  </si>
  <si>
    <t xml:space="preserve"> ROLLO CURLING  HOLOGRAFICO COLOR ROSA FUSHIA 1 CM</t>
  </si>
  <si>
    <t>ROLLO CURLING  HOLOGRAFICO AMARILLO VERDE 1 CM</t>
  </si>
  <si>
    <t>ROLLO CURLING  HOLOGRAFICO LILA VERDE 1 CM</t>
  </si>
  <si>
    <t xml:space="preserve">PALILLOS DE MADERA DE .40 PULGADA DE ANCHO POR 60 CM DE LARGO </t>
  </si>
  <si>
    <t>HILO DEL GATO NEGRO</t>
  </si>
  <si>
    <t>HILO DEL GATO VERDE</t>
  </si>
  <si>
    <t>HILO DEL GATO BLANCO</t>
  </si>
  <si>
    <t>HILO DEL GATO CAFÉ</t>
  </si>
  <si>
    <t>HILO DEL GATO</t>
  </si>
  <si>
    <t>HILO DEL GATO AMARILLO</t>
  </si>
  <si>
    <t>LAPIZ MADERA MIRADO NO.2 C/12 PZAS</t>
  </si>
  <si>
    <t>LAPIZ  PREESCOLAR TRIANGULAR TRICARDEROGA C/12</t>
  </si>
  <si>
    <t>TERMOMETRO CLINICO DE MERCURIO</t>
  </si>
  <si>
    <t xml:space="preserve">TIJERA ZIG ZAG GRECA C/12 PZAS DIFERENTES </t>
  </si>
  <si>
    <t xml:space="preserve">PISTOLA DE SILICON USO RUDO MARCA TRUPER GRANDE </t>
  </si>
  <si>
    <t xml:space="preserve">PISTOLA DE SILICON USO RUDO MARCA TRUPER CHICA </t>
  </si>
  <si>
    <t xml:space="preserve">TIJERA DE OFICINA DE ACERO INOXIDABLE CON AGARRADERA DE PLASTICO </t>
  </si>
  <si>
    <t>MARCADOR PERMANENTE COLORES  C/24 PZAS</t>
  </si>
  <si>
    <t>MARCADOR  LAVABLE ACUACOLOR PUNTA BISELADA C/12 PIEZAS</t>
  </si>
  <si>
    <t>CORRECTOR LIQUIDO  LAPIZ</t>
  </si>
  <si>
    <t>REGLA ALUMINIO  60 CM.</t>
  </si>
  <si>
    <t>BORRADOR PARA PIZARRON BLANCO</t>
  </si>
  <si>
    <t>LIBRETA PASTA DURA RAYADO ITALIANA</t>
  </si>
  <si>
    <t>LIBRETA DE TAQUIGRAFIA 12.6 X 20.2 CM</t>
  </si>
  <si>
    <t>LIBRETA DE CONTABILIDAD 4 COLUMNAS</t>
  </si>
  <si>
    <t>LIBRETA DE CONTABILIDAD 8 COLUMNAS</t>
  </si>
  <si>
    <t xml:space="preserve">CINTA ADHESIVA MASKING TAPE 48 MM X50 M </t>
  </si>
  <si>
    <t xml:space="preserve">CINTA ADHESIVA MASKING TAPE 18 MM X50 M </t>
  </si>
  <si>
    <t xml:space="preserve">CINTA ADHESIVA MASKING TAPE 36 MM X50 M </t>
  </si>
  <si>
    <t>MANTEL DE  PLASTICO DECORADO</t>
  </si>
  <si>
    <t>FIELTRO COLOR AZUL CIELO</t>
  </si>
  <si>
    <t>FIELTRO COLOR AZUL REY</t>
  </si>
  <si>
    <t xml:space="preserve">FIELTRO COLOR VERDE BANDERA </t>
  </si>
  <si>
    <t>FIELTRO COLOR AMARILLO</t>
  </si>
  <si>
    <t>FIELTRO COLOR ROJO</t>
  </si>
  <si>
    <t>FIELTRO COLOR BLANCO</t>
  </si>
  <si>
    <t>FIELTRO COLOR MORADO</t>
  </si>
  <si>
    <t>FIELTRO COLOR ROSA</t>
  </si>
  <si>
    <t>FIELTRO COLOR NARANJA</t>
  </si>
  <si>
    <t>FIELTRO COLOR VERDE LIMON</t>
  </si>
  <si>
    <t>FIELTRO COLOR NEGRO</t>
  </si>
  <si>
    <t>FIELTRO COLOR CAFÉ</t>
  </si>
  <si>
    <t>FIELTRO COLOR PIEL</t>
  </si>
  <si>
    <t>PEYON  COLOR AZUL CIELO</t>
  </si>
  <si>
    <t xml:space="preserve">PEYON  COLOR  VERDE LIMON </t>
  </si>
  <si>
    <t xml:space="preserve">PEYON  COLOR  VERDE BANDERA </t>
  </si>
  <si>
    <t>PEYON  COLOR ROSA FUSHA</t>
  </si>
  <si>
    <t>PEYON  COLOR  ROSA CLARO</t>
  </si>
  <si>
    <t>PEYON  COLOR  NEGRO</t>
  </si>
  <si>
    <t>PEYON  COLOR AZUL REY</t>
  </si>
  <si>
    <t>PEYON  COLOR  AMARILLO</t>
  </si>
  <si>
    <t>PEYON  COLOR  NARANJA</t>
  </si>
  <si>
    <t>PEYON  COLOR  ROJO</t>
  </si>
  <si>
    <t>PEYON  COLOR  MORADO</t>
  </si>
  <si>
    <t>PEYON  COLOR  CAFÉ</t>
  </si>
  <si>
    <t>PEYON  COLOR  PIEL</t>
  </si>
  <si>
    <t>PIEZAS DE ANTICEPTICO EN SPRAY DE 500ML.</t>
  </si>
  <si>
    <t xml:space="preserve">TITERES ( VARIOS PERSONAJES) </t>
  </si>
  <si>
    <t xml:space="preserve">KILO </t>
  </si>
  <si>
    <t>KIWI</t>
  </si>
  <si>
    <t xml:space="preserve">HARINA DE ARROZ PARA PREPARAR BEBIDA SABOR CHOCOLATE </t>
  </si>
  <si>
    <t>JUGO ZASONADOR PARA ALIMENTOS 800 ML</t>
  </si>
  <si>
    <t>CHILES JALAPEÑOS EN ESCABECHE DE 2.8 KG</t>
  </si>
  <si>
    <t>LECHE PASTEURIZADA</t>
  </si>
  <si>
    <t>CAFÉ SOLUBLE</t>
  </si>
  <si>
    <t xml:space="preserve">MARGARINA PASTEURIZADA MULTIUSOS </t>
  </si>
  <si>
    <t>AZUCAR ESTANDAR</t>
  </si>
  <si>
    <t xml:space="preserve">MERMELADA 1.2 KG </t>
  </si>
  <si>
    <t>GALLETAS SABOR VAINILLA 112 GR C/20 PZAS</t>
  </si>
  <si>
    <t>CHOCOLATE PARA MESA 540GR</t>
  </si>
  <si>
    <t xml:space="preserve">POLVO PARA GELATINA </t>
  </si>
  <si>
    <t>HARINA DE TRIGO</t>
  </si>
  <si>
    <t xml:space="preserve">PILONCILLO A GRANEL </t>
  </si>
  <si>
    <t>REBANADAS DE PIÑA EN ALMIBAR 800GR</t>
  </si>
  <si>
    <t xml:space="preserve">LATA </t>
  </si>
  <si>
    <t>REBANADAS DE DURAZNO EN ALMIBAR 800 GR</t>
  </si>
  <si>
    <t>HARINA PÁRA HOT CAKES 850 GR</t>
  </si>
  <si>
    <t>YOGURTH CON TROZOS DE FRUTAS 900. GR</t>
  </si>
  <si>
    <t>MARGARINA SIN SAL 800 GR</t>
  </si>
  <si>
    <t>CREMA ACIDA DE LECHE DE VACA</t>
  </si>
  <si>
    <t xml:space="preserve">COCOA EN POLVO A GRANEL </t>
  </si>
  <si>
    <t>GRENETINA NATURAL EN POLVO A GRANEL</t>
  </si>
  <si>
    <t xml:space="preserve">CACAHUATE NATURAL A GRANEL </t>
  </si>
  <si>
    <t>CREMA VEGETAL PARA BATIR SABOR VAINILLA</t>
  </si>
  <si>
    <t xml:space="preserve">SABORIZANTE ARTIFICIAL LIQUIDO PARA ALIMENTOS SABOR VAINILLA </t>
  </si>
  <si>
    <t>KILOS</t>
  </si>
  <si>
    <t xml:space="preserve">COLORANTE VEGETAL EN GEL </t>
  </si>
  <si>
    <t>LECHE CONDENSADA 397 GR</t>
  </si>
  <si>
    <t>LATAS</t>
  </si>
  <si>
    <t>LECHE EVAPORADA 270 GR</t>
  </si>
  <si>
    <t xml:space="preserve">LAUREL SECO A GRANEL </t>
  </si>
  <si>
    <t xml:space="preserve">CANELA EN VARITA A GRANEL </t>
  </si>
  <si>
    <t>HOJUELAS DE AVENA 1KG</t>
  </si>
  <si>
    <t>AVENA</t>
  </si>
  <si>
    <t xml:space="preserve">FRIJOL </t>
  </si>
  <si>
    <t xml:space="preserve">ALPISTE </t>
  </si>
  <si>
    <t xml:space="preserve">HUEVO BLANCO </t>
  </si>
  <si>
    <t xml:space="preserve">JAMON COCIDO 1 KG </t>
  </si>
  <si>
    <t>SALCHICHA TIPO VIENA 3 KG</t>
  </si>
  <si>
    <t>MEDIA CREMA  220 GR</t>
  </si>
  <si>
    <t>QUESO CREMA 1KG</t>
  </si>
  <si>
    <t xml:space="preserve">QUESO TIPO COTIJA A GRANEL </t>
  </si>
  <si>
    <t>QUESO TIPO ASADERO ( PARA FUNDIR)</t>
  </si>
  <si>
    <t>ARTÍCULOS DEDÁCTICOS</t>
  </si>
  <si>
    <t>EXHIBIDOR DE PLASTICO CON 8 PRODUCTOS DIDACTICOS MAS 8 CHAROLAS  MEDIDAS 85X8 CM TUBO 2"</t>
  </si>
  <si>
    <t>DIDACTIX ENSAMBLE TUERCAS Y TORNILLOS C30 PZAS DIMENSIONES 33X33X40 CM</t>
  </si>
  <si>
    <t>JUGUETES PARA NIÑOS DE COCINA, COMIDA, GRAN VARIEDAD DE FRUTAS Y VERDURAS DE 38 PZAS, DIMENSIONES 19.4X16.1X12.12.7 CM</t>
  </si>
  <si>
    <t>TUBOS DE JUGUETES SENSORIALES PLASTICO DE COLORES C/12 PZAS, DIMENSIONES 12X4X13 CM</t>
  </si>
  <si>
    <t>FIGET TOYS PACK/JUGUETE SENSORIAL DE 32 PZAS DE SILICONA DIFERENTES COLORES</t>
  </si>
  <si>
    <t>CUBOS DE MADERA DE COLORES CON CINTA PARA ENSARTAR, IDEAL PARA DESARROLLAR LA PSICOMOTRICIDALINA MEDIDAS 16.5X11 CM</t>
  </si>
  <si>
    <t>ESTUCHE PLASTICO DE CHANGUITOS C/100 PZS DE COLORES TAMAÑO 4X6 CM PARA ENSAMBLE</t>
  </si>
  <si>
    <t>ESTRELLA GIGANTE DE COLORES CON CHAROLA DE PLASTICO C/45 PZAS 13X8 CM</t>
  </si>
  <si>
    <t>BOTON GEOMETRICO DIFERENTES FORMAS GEOMETRICAS PARA ENSARTAR 7X7 M</t>
  </si>
  <si>
    <t>TRIANGULOS Y CUADROS PSICOMOTORES DE FORMAS GEOMETRICAS EN 2 O 3 DIMENSIONES PARA EL DESARROLLO DE HABILIDADES MOTORAS GRUESAS C/30 PZAS EN BOLSA TAMAÑO DE LOS TRIANGULOS DE 17X17 CM Y DE 20.5X20.5 CM</t>
  </si>
  <si>
    <t>ORUGA ARCOIRIS, TRENES DE FORMAS Y UBICACIÓN ESPACIAL C/CHAROLA DE PLASTICO C/35 PZAS TAMAÑO 24.5CM, AROS 8CM</t>
  </si>
  <si>
    <t>GATO MULTIPLE MATERIAL DE PLASTICO CON PIJAS CONICAS CON GRABADO EN LA PARTE POSTERIOR DE ENSAMBLE 1PZA BASE DE 15 CM Y PIJA DE 2CM</t>
  </si>
  <si>
    <t>TARJETAS PVC PARA IMPRESORA ZEBRA ZC300 C/500 PZAS</t>
  </si>
  <si>
    <t>ALIMENTOS Y UTENSILIOS</t>
  </si>
  <si>
    <t>PRODUCTOS ALIMENTICIOS PARA PERSONAS</t>
  </si>
  <si>
    <t>CARNE FRESCA</t>
  </si>
  <si>
    <t>PECHUGA DE POLLO DESHUESADA</t>
  </si>
  <si>
    <t>CARNE MOLIDA DE RES (PULPA BOLA)</t>
  </si>
  <si>
    <t xml:space="preserve">FAJITA DE POLLO </t>
  </si>
  <si>
    <t xml:space="preserve">TOCINO AHUMADO A GRANEL </t>
  </si>
  <si>
    <t xml:space="preserve">CARNE DE RES PICADA </t>
  </si>
  <si>
    <t>PESCADO</t>
  </si>
  <si>
    <t>FILETE DE PESCADO TILAPIA</t>
  </si>
  <si>
    <t>PAPA AMARILLA</t>
  </si>
  <si>
    <t>BETABEL</t>
  </si>
  <si>
    <t>CALABAZA REGIONAL</t>
  </si>
  <si>
    <t>CEBOLLA BLANCA</t>
  </si>
  <si>
    <t>CILANTRO</t>
  </si>
  <si>
    <t>ESPINACA</t>
  </si>
  <si>
    <t>GUAYABA AMARILLA</t>
  </si>
  <si>
    <t>JITOMATE SALADET</t>
  </si>
  <si>
    <t>LECHUGA ESCAROLA</t>
  </si>
  <si>
    <t>LIMÓN PERSA</t>
  </si>
  <si>
    <t>MANDARINA MIEL</t>
  </si>
  <si>
    <t>MANGO TOMY</t>
  </si>
  <si>
    <t>MANZANA GALA</t>
  </si>
  <si>
    <t>NARANJA VALENCIA</t>
  </si>
  <si>
    <t>PAPAYA MARADOL</t>
  </si>
  <si>
    <t>PIÑA MIEL</t>
  </si>
  <si>
    <t>PLATANO PORTA LIMÓN</t>
  </si>
  <si>
    <t>SANDÍA GRANDE</t>
  </si>
  <si>
    <t>ACEITE VEGETAL COMESTIBLE 850ML.</t>
  </si>
  <si>
    <t xml:space="preserve">AGUA PURIFICADA DE GARRAFON </t>
  </si>
  <si>
    <t>GARRAFÓN</t>
  </si>
  <si>
    <t>AJO A GRANEL</t>
  </si>
  <si>
    <t xml:space="preserve">AMARANTO A GRANEL </t>
  </si>
  <si>
    <t>AZÚCAR ESTANDAR. 1KG.</t>
  </si>
  <si>
    <t>AZUCAR REFINADA (1000 Sobres De 4 Gr.)</t>
  </si>
  <si>
    <t xml:space="preserve">BOLILLO </t>
  </si>
  <si>
    <t xml:space="preserve">BOTELLAS DE AGUA DE 330 ML </t>
  </si>
  <si>
    <t>BOTELLAS DE AGUA DE 600 ML</t>
  </si>
  <si>
    <t>CAFÉ TOSTADO MOLDO</t>
  </si>
  <si>
    <t>CALDO DE POLLO EN POLVO 1KG.</t>
  </si>
  <si>
    <t>CANELA EN POLVO A GRANEL</t>
  </si>
  <si>
    <t>CANELA EN VARITA A GRANEL</t>
  </si>
  <si>
    <t>CHILE HUAJILLO A GRANEL</t>
  </si>
  <si>
    <t>COFFE MATE 400 GR</t>
  </si>
  <si>
    <t xml:space="preserve">COLORANTE VEGETAL EN GEL PARA ALIMENTOS </t>
  </si>
  <si>
    <t>COMIDAS AL PERSONAL EN HORARIOS EXTRALABORAL</t>
  </si>
  <si>
    <t>COMIDAS</t>
  </si>
  <si>
    <t>COMINO A GRANEL</t>
  </si>
  <si>
    <t>CREMA ACIDA DE LECHE DE VACA PASTEURIZADA</t>
  </si>
  <si>
    <t>DURAZNO EN ALMIBAR</t>
  </si>
  <si>
    <t>ELABORACION DE ALIMIENTOS PARA EVENTO</t>
  </si>
  <si>
    <t>EMPANIZADOR EMPANIZADOR GRANULADO.</t>
  </si>
  <si>
    <t>FECULA DE MAIZ NATURAL, 1 KG</t>
  </si>
  <si>
    <t>GALLETAS</t>
  </si>
  <si>
    <t>GALLETAS MARIAS GAMESA</t>
  </si>
  <si>
    <t xml:space="preserve">GALLETAS SALADA/ UNA PORCION DE 30G </t>
  </si>
  <si>
    <t>GRANOS DE ELOTE 410GR.</t>
  </si>
  <si>
    <t xml:space="preserve">GRENETINA NATRUAL EN POLVO A GRANEL </t>
  </si>
  <si>
    <t>HARINA DE TRIGO 1kg.</t>
  </si>
  <si>
    <t>LAUREL A GRANEL</t>
  </si>
  <si>
    <t>LECHE CONDENSADA/LECHE PARCIALMENTE DESCREMADA CONDENSADA AZUCARADA PASTEURIZADA.</t>
  </si>
  <si>
    <t>LECHE PARCIALMENTE DESCREMADA DE VACA EVAPORADA</t>
  </si>
  <si>
    <t>MANTEQUILLA DE MESA CON ACEITE VEGETAL 1kG.</t>
  </si>
  <si>
    <t>MAYONESA ORIGINAL DE 3.4 KG</t>
  </si>
  <si>
    <t>MIEL DE ABEJA</t>
  </si>
  <si>
    <t>OREGANO A GRANEL</t>
  </si>
  <si>
    <t>PASTA DE SÉMOLA DE TRIGO DURO SPAGHETTI.</t>
  </si>
  <si>
    <t>PASTA TORNILLO, SEMOLA DE TRIGO TIPO TORNILLO.</t>
  </si>
  <si>
    <t>PIMIENTA ENTERA NEGRA A GRANEL</t>
  </si>
  <si>
    <t>PIMIENTA MOLIDA A GRANEL</t>
  </si>
  <si>
    <t>POLVO PARA PREPARA GELATINA, EMBASE DE 844G.</t>
  </si>
  <si>
    <t>POLVO PARA PREPARAR POSTRE ESTILO FLAN SABOR VAINILLA, EMBASE DE 136G.</t>
  </si>
  <si>
    <t xml:space="preserve">PURE DE TOMATE </t>
  </si>
  <si>
    <t>QUESO ASADERO PARA FUNDIR</t>
  </si>
  <si>
    <t>ROYAL POLVO PARA HORNEAR A GRANEL</t>
  </si>
  <si>
    <t>SABORIZANTE ARTIFICIAL LÍQUIDO PARA ALIMENTOS SABOR VAINILLA.</t>
  </si>
  <si>
    <t>SAL YODADA FLUORURADA REFINADA 1KG.</t>
  </si>
  <si>
    <t>SERVICIOS DE ALIMENTACION</t>
  </si>
  <si>
    <t>SERVILLETAS DESECHABLES</t>
  </si>
  <si>
    <t>SOYA TEXTURIZADA A GRANEL</t>
  </si>
  <si>
    <t>TORTILLA DE HARINA 100 % NATURAL LIBRE DE CONSERVADORES  10pzs</t>
  </si>
  <si>
    <t>TORTILLAS DE MAIZ</t>
  </si>
  <si>
    <t>TOSTADA C/40 PZAS</t>
  </si>
  <si>
    <t>TOTOPOS DE MAIZ 1 KG</t>
  </si>
  <si>
    <t>VINAGRE BLANCO DE ALCOHOL DE CAÑA 1LT.</t>
  </si>
  <si>
    <t>YOGURT NATURAL ENDULZADO DE 900G</t>
  </si>
  <si>
    <t>HUEVO</t>
  </si>
  <si>
    <t xml:space="preserve">CHORIZO CASERO DE SOYA </t>
  </si>
  <si>
    <t>JAMON DE PAVO 450 GRS</t>
  </si>
  <si>
    <t>ABRELATAS ELECTRICO</t>
  </si>
  <si>
    <t>ABRELATAS EN ACERO INOXIDABLE</t>
  </si>
  <si>
    <t>BATIDORA de inmersion ELECTRICA</t>
  </si>
  <si>
    <t>BOWLS DE ACERO INOXIDABLE #13</t>
  </si>
  <si>
    <t>BOWLS DE ACERO INOXIDABLE #16</t>
  </si>
  <si>
    <t>BOWLS DE ACERO INOXIDABLE #20</t>
  </si>
  <si>
    <t>BOWLS DE ACERO INOXIDABLE #23</t>
  </si>
  <si>
    <t>BUDINERA DE ACERO INOXIDABLE 30 CV</t>
  </si>
  <si>
    <t>CAJA DE PLASTICO TRASNSPARENTE CON TAPA CUADRADAS DE 30 LITROS</t>
  </si>
  <si>
    <t>CHAROLA CUADRADA DE 4 DIVISIONES MELAMINA #811</t>
  </si>
  <si>
    <t xml:space="preserve">COLADOR DE ACERO INOXIDABLE CON BASE Y AGARRADERA 19.5 CM DE DIAMETRO </t>
  </si>
  <si>
    <t>COLADOR DE ACERO INOXIDABLE DOBLE MALLA 27 CM</t>
  </si>
  <si>
    <t xml:space="preserve">CUBETA LECHERA  C/TAPA 15 LTS </t>
  </si>
  <si>
    <t xml:space="preserve">CUCHARA DE PLASTICO PARA ESPAGUETI </t>
  </si>
  <si>
    <t>CUCHARA DE SERVICIO DE 43 CMDE ACERO INOXIDABLE</t>
  </si>
  <si>
    <t xml:space="preserve">CUCHARA DE SILICONA ANTIADHERENTE </t>
  </si>
  <si>
    <t xml:space="preserve">CUCHARA DESECHABLE, MEDIANA CAJA CON 1000 PIEZAS </t>
  </si>
  <si>
    <t>ENCENDEDOR DE GAS MULTIUSOS RECARGABLE PETRUL PIEZA</t>
  </si>
  <si>
    <t>ESCURRIDOR DE PORTAVASOS DE PLASTICO</t>
  </si>
  <si>
    <t>ESPATULA DE COCINA DE ACERO INOXIDABLE</t>
  </si>
  <si>
    <t xml:space="preserve">EXPRIMIDOR PARA LIMON GRANDE </t>
  </si>
  <si>
    <t>GRADILLAS DE PLASTICO PARA 60 TUBOS</t>
  </si>
  <si>
    <t>JUEGO DE CUCHILLOS 15PZAS</t>
  </si>
  <si>
    <t>MOSTASERO TRASPARENTE DE PLASTICO GRANDE 1 LITRO</t>
  </si>
  <si>
    <t>PALANGANA  36.5 X 30 X 14 CM</t>
  </si>
  <si>
    <t>PALANGANA RECTANGULAR  DE 30 LITROS CON  MEDIDAS LARGO 56.5 CM POR ANCHO 41.5 CM POR ALTO 22 CM</t>
  </si>
  <si>
    <t>PALAS DE ACERO INOXIDABLE MEDIANAS CON MANGO DE MADERA</t>
  </si>
  <si>
    <t>PAPEL ALUMINIO DE 400 METROS</t>
  </si>
  <si>
    <t>Pelador acero inox mango de plastico</t>
  </si>
  <si>
    <t>PELADOR DE ACERO INOX MANGO DE PLASTICO</t>
  </si>
  <si>
    <t xml:space="preserve">PINZAS DE COCINA DIFERENTES COLORES </t>
  </si>
  <si>
    <t xml:space="preserve">PINZAS PARA TENDEDERO DIFERENTES COLORES PQT 50 PZS </t>
  </si>
  <si>
    <t>PLASTICO PARA ENVOLVER/PELICULA ESTIRABLE 30X600</t>
  </si>
  <si>
    <t>PLATO CHICO PARA GELATINA  DE MELAMINA 4.5"</t>
  </si>
  <si>
    <t>POCILLO DE ACERO INOXIDABLE 1 LITRO</t>
  </si>
  <si>
    <t>PORTA GARRAFON DE PLASTICO</t>
  </si>
  <si>
    <t>PRENSA PARA TORTILLAS</t>
  </si>
  <si>
    <t>RALLADOR 9" 6 CARAS DIFERENTES ACERO INOXIDABLE</t>
  </si>
  <si>
    <t xml:space="preserve">REFRACTARIO DE PLASTICO CON TAPA </t>
  </si>
  <si>
    <t>RODILLO DE MADERA</t>
  </si>
  <si>
    <t>SERVILLETAS DE PAPEL C/50 PIEZAS</t>
  </si>
  <si>
    <t xml:space="preserve">TABLA PARA PICAR DE POLIITENO </t>
  </si>
  <si>
    <t xml:space="preserve">TAZA DE MELAMINA CHICA </t>
  </si>
  <si>
    <t xml:space="preserve">TERMOMETRO DIGITAL CON CABLE PARA INTERIORES Y EXTERIORES  PARA REFRIGERADOR </t>
  </si>
  <si>
    <t>TINAS DE PLASTICO CON TAPA CUADRADAS DE 22 LITROS</t>
  </si>
  <si>
    <t>VASO TERMICO #10 CAJA CON 1000 PIEZAS</t>
  </si>
  <si>
    <t>BIES AMARILLO 25 MT</t>
  </si>
  <si>
    <t>BIES AMARILLO ORO 25 MT</t>
  </si>
  <si>
    <t>BIES AZUL CIELO  25 MT</t>
  </si>
  <si>
    <t>BIES AZUL MARINO 25 MT</t>
  </si>
  <si>
    <t>BIES MORADO 25 MT</t>
  </si>
  <si>
    <t>BIES NARANJA 25 MT</t>
  </si>
  <si>
    <t>BIES ROJO 25 MT</t>
  </si>
  <si>
    <t>BIES ROSA 25 MT</t>
  </si>
  <si>
    <t>BIES VERDE BANDERA 25 MT</t>
  </si>
  <si>
    <t>BIES VERDE LIMON 25 MT</t>
  </si>
  <si>
    <t>BORRA</t>
  </si>
  <si>
    <t>CABECITAS DE PLASTICO DE HOMBRE</t>
  </si>
  <si>
    <t>CABECITAS DE PLASTICO DE MUJER</t>
  </si>
  <si>
    <t>CHAQUIRA BRILLOSA POR MAZO COLOR AMARILLO</t>
  </si>
  <si>
    <t>CHAQUIRA BRILLOSA POR MAZO COLOR ANARANJADO</t>
  </si>
  <si>
    <t>CHAQUIRA BRILLOSA POR MAZO COLOR AZUL CELESTE</t>
  </si>
  <si>
    <t>CHAQUIRA BRILLOSA POR MAZO COLOR AZUL CLARO</t>
  </si>
  <si>
    <t>CHAQUIRA BRILLOSA POR MAZO COLOR AZUL COBALTO</t>
  </si>
  <si>
    <t>CHAQUIRA BRILLOSA POR MAZO COLOR MORADO</t>
  </si>
  <si>
    <t>CHAQUIRA BRILLOSA POR MAZO COLOR ROJO ESCARLATA</t>
  </si>
  <si>
    <t>CHAQUIRA BRILLOSA POR MAZO COLOR ROSA MEXICANO</t>
  </si>
  <si>
    <t>CHAQUIRA BRILLOSA POR MAZO COLOR ROSA PASTEL</t>
  </si>
  <si>
    <t>CHAQUIRA BRILLOSA POR MAZO COLOR VERDE</t>
  </si>
  <si>
    <t>CHAQUIRA OPACA POR MAZO COLOR AMARILLO</t>
  </si>
  <si>
    <t>CHAQUIRA OPACA POR MAZO COLOR ANARANJADO</t>
  </si>
  <si>
    <t>CHAQUIRA OPACA POR MAZO COLOR AZUL CLARO</t>
  </si>
  <si>
    <t>CHAQUIRA OPACA POR MAZO COLOR AZUL COBALTO</t>
  </si>
  <si>
    <t>CHAQUIRA OPACA POR MAZO COLOR MORADO</t>
  </si>
  <si>
    <t>CHAQUIRA OPACA POR MAZO COLOR ROJO ESCARLATA</t>
  </si>
  <si>
    <t>CHAQUIRA OPACA POR MAZO COLOR ROSA MEXICANO</t>
  </si>
  <si>
    <t>CHAQUIRA OPACA POR MAZO COLOR VERDE</t>
  </si>
  <si>
    <t>CHAQUIRA POR MAZO BLANCO</t>
  </si>
  <si>
    <t>CHAQUIRA POR MAZO NEGRO</t>
  </si>
  <si>
    <t>Cono de hilo Blanco ( Algodón)</t>
  </si>
  <si>
    <t>Cono de hilo Café ( Algodón)</t>
  </si>
  <si>
    <t xml:space="preserve">CONO DE HILO COLOR BEIGE PARA MAQUINA INDUSTRIAL </t>
  </si>
  <si>
    <t xml:space="preserve">CONO DE HILO COLOR BLANCO PARA MAQUINA INDUSTRIAL </t>
  </si>
  <si>
    <t>Cono de hilo Negro ( Algodón)</t>
  </si>
  <si>
    <t>CUERDA</t>
  </si>
  <si>
    <t xml:space="preserve">ELASTICO 1 CMS ANCHO </t>
  </si>
  <si>
    <t xml:space="preserve">ELASTICO 2 CMS ANCHO </t>
  </si>
  <si>
    <t xml:space="preserve">ELASTICO 3 CMS ANCHO </t>
  </si>
  <si>
    <t>ESTAMBRE ACRILAN COLOR AMARILLO</t>
  </si>
  <si>
    <t>MAZO</t>
  </si>
  <si>
    <t>ESTAMBRE ACRILAN COLOR AZUL</t>
  </si>
  <si>
    <t>ESTAMBRE ACRILAN COLOR AZUL CIELO</t>
  </si>
  <si>
    <t>ESTAMBRE ACRILAN COLOR AZUL REY</t>
  </si>
  <si>
    <t>ESTAMBRE ACRILAN COLOR FIUSHA</t>
  </si>
  <si>
    <t>ESTAMBRE ACRILAN COLOR LILA</t>
  </si>
  <si>
    <t>ESTAMBRE ACRILAN COLOR MORADO</t>
  </si>
  <si>
    <t>ESTAMBRE ACRILAN COLOR NARANJA</t>
  </si>
  <si>
    <t>ESTAMBRE ACRILAN COLOR NARANJA NEON</t>
  </si>
  <si>
    <t>ESTAMBRE ACRILAN COLOR ROJO CEREZA</t>
  </si>
  <si>
    <t>ESTAMBRE ACRILAN COLOR ROSA</t>
  </si>
  <si>
    <t>ESTAMBRE ACRILAN COLOR ROSA PALO</t>
  </si>
  <si>
    <t>ESTAMBRE ACRILAN COLOR TURQUEZA CLARO</t>
  </si>
  <si>
    <t>ESTAMBRE ACRILAN COLOR TURQUEZA OSCURO</t>
  </si>
  <si>
    <t>ESTAMBRE ACRILAN COLOR VERDE</t>
  </si>
  <si>
    <t>ESTAMBRE ACRILAN COLOR VERDE BANDERA</t>
  </si>
  <si>
    <t>ESTAMBRE ACRILAN COLOR VERDE LIMON</t>
  </si>
  <si>
    <t>ETAMINA FINA BLANCA</t>
  </si>
  <si>
    <t>Fieltro color  naranja</t>
  </si>
  <si>
    <t>Fieltro color  rosa</t>
  </si>
  <si>
    <t>Fieltro color  verde limón</t>
  </si>
  <si>
    <t>Fieltro color amarillo</t>
  </si>
  <si>
    <t>Fieltro color azul cielo</t>
  </si>
  <si>
    <t>Fieltro color azul rey</t>
  </si>
  <si>
    <t>Fieltro color blanco</t>
  </si>
  <si>
    <t>Fieltro color morado</t>
  </si>
  <si>
    <t>Fieltro color negro</t>
  </si>
  <si>
    <t>Fieltro color rojo</t>
  </si>
  <si>
    <t>Fieltro color verde bandera</t>
  </si>
  <si>
    <t>FLECO O MADROÑO AZUL</t>
  </si>
  <si>
    <t>FLECO O MADROÑO ROSA</t>
  </si>
  <si>
    <t>FLECO O MADROÑO VERDE</t>
  </si>
  <si>
    <t>GASA BEIGE</t>
  </si>
  <si>
    <t xml:space="preserve">HILILLO </t>
  </si>
  <si>
    <t>HILO CONO COLOR CAFÉ</t>
  </si>
  <si>
    <t>HILO CONO COLOR NEGRO</t>
  </si>
  <si>
    <t>LINO 100% BEIGE</t>
  </si>
  <si>
    <t>LINO 100% BLANCO</t>
  </si>
  <si>
    <t xml:space="preserve">LINO 100% MONACO BLANCO </t>
  </si>
  <si>
    <t>LINO 80/20 BEIGE</t>
  </si>
  <si>
    <t xml:space="preserve">LINO 80/20 BLANCO </t>
  </si>
  <si>
    <t xml:space="preserve">LINO BLANCO </t>
  </si>
  <si>
    <t xml:space="preserve">LINO MANTA BLANCA </t>
  </si>
  <si>
    <t xml:space="preserve">LINO NEGRO </t>
  </si>
  <si>
    <t>MANTA ARTESANAL 250 CRUDA</t>
  </si>
  <si>
    <t xml:space="preserve">MANTA MARQUISET FINA EN COLOR BLANCO </t>
  </si>
  <si>
    <t xml:space="preserve">MANTA MARQUISET FINA EN COLOR HUESO </t>
  </si>
  <si>
    <t>MANTA SAN MARTIN 250</t>
  </si>
  <si>
    <t xml:space="preserve">MANTA SUECA </t>
  </si>
  <si>
    <t>MANTA SUPERIOR CAMEL</t>
  </si>
  <si>
    <t>POPELINA BLANCA</t>
  </si>
  <si>
    <t>TELA CUADRILLE</t>
  </si>
  <si>
    <t>TELA TERGAL COLOR BLANCO</t>
  </si>
  <si>
    <t xml:space="preserve">TRICOT ENGOMADO BLANCO </t>
  </si>
  <si>
    <t>CAFÉ</t>
  </si>
  <si>
    <t>BEBIDA ARTESANAL JAMAICA</t>
  </si>
  <si>
    <t>BEBIDA ARTESANAL NANCHI</t>
  </si>
  <si>
    <t>BEBIDA ARTESANAL CON ALCOHOL</t>
  </si>
  <si>
    <t>CABLE</t>
  </si>
  <si>
    <t>CERA DE  CAMPECHE DE 1/2 KILO</t>
  </si>
  <si>
    <t>KLEENEX</t>
  </si>
  <si>
    <t>PALITO DE MADERA DELGADO C/100 PZAS</t>
  </si>
  <si>
    <t xml:space="preserve">SALSAS HUICHOL </t>
  </si>
  <si>
    <t>TABLAS DE MADERA AGLOMERADA DE 15X20 FORRADA CON YUTE</t>
  </si>
  <si>
    <t>TABLAS DE MADERA AGLOMERADA DE 15X30 FORRADA CON YUTE</t>
  </si>
  <si>
    <t>TABLAS DE MADERA AGLOMERADA DE 20X20 FORRADA CON YUTE</t>
  </si>
  <si>
    <t>TABLAS DE MADERA AGLOMERADA DE 20X25 FORRADA CON YUTE</t>
  </si>
  <si>
    <t>TABLAS DE MADERA AGLOMERADA DE 20X30 FORRADA CON YUTE</t>
  </si>
  <si>
    <t>TABLAS DE MADERA AGLOMERADA DE 25X25 FORRADA CON YUTE</t>
  </si>
  <si>
    <t>TABLAS DE MADERA AGLOMERADA DE 25X30 FORRADA CON YUTE</t>
  </si>
  <si>
    <t>TABLAS DE MADERA AGLOMERADA DE 30X30 FORRADA CON YUTE</t>
  </si>
  <si>
    <t>TABLAS DE MADERA AGLOMERADA DE 30X40 FORRADA CON YUTE</t>
  </si>
  <si>
    <t>TABLAS DE MADERA AGLOMERADA DE 30X45 FORRADA CON YUTE</t>
  </si>
  <si>
    <t>TABLAS DE MADERA AGLOMERADA DE 35X35 FORRADA CON YUTE</t>
  </si>
  <si>
    <t>TABLAS DE MADERA AGLOMERADA DE 40X40 FORRADA CON YUTE</t>
  </si>
  <si>
    <t>TABLAS DE MADERA AGLOMERADA DE 40X45 FORRADA CON YUTE</t>
  </si>
  <si>
    <t>TABLAS DE MADERA AGLOMERADA DE 40X50 FORRADA CON YUTE</t>
  </si>
  <si>
    <t>TABLAS DE MADERA AGLOMERADA DE 40X55 FORRADA CON YUTE</t>
  </si>
  <si>
    <t>TABLAS DE MADERA AGLOMERADA DE 45X45 FORRADA CON YUTE</t>
  </si>
  <si>
    <t>TABLAS DE MADERA AGLOMERADA DE 50X30 FORRADA CON YUTE</t>
  </si>
  <si>
    <t>TABLAS DE MADERA AGLOMERADA DE 50X35 FORRADA CON YUTE</t>
  </si>
  <si>
    <t>ALAMBRE GALVANIZADO DE 1 KG (CAL.22)</t>
  </si>
  <si>
    <t>BOTON AMARILLOSS 1.5</t>
  </si>
  <si>
    <t>BOTON AZUL CIELO  1.5</t>
  </si>
  <si>
    <t>BOTON AZUL TURQUEZA 1.5</t>
  </si>
  <si>
    <t>BOTON BEIGE 1.5</t>
  </si>
  <si>
    <t>BOTON BLANCO 1.5</t>
  </si>
  <si>
    <t>BOTON CAMELL 1.5</t>
  </si>
  <si>
    <t>BOTON FIUSHA 1.5</t>
  </si>
  <si>
    <t>BOTON ROSA 1.5</t>
  </si>
  <si>
    <t>BOTON TRANSPARENTE CON DOS HOYOS #22</t>
  </si>
  <si>
    <t>BOTONENEGROS 1.5</t>
  </si>
  <si>
    <t>BOTONES CONCHANACAR #20</t>
  </si>
  <si>
    <t>BOTONES CONCHANACAR #22</t>
  </si>
  <si>
    <t>BOTONES TRANSPARENTES #22</t>
  </si>
  <si>
    <t>CIERRES DE 35 CM FIUSHA</t>
  </si>
  <si>
    <t>CIERRES DE 50 CM BLANCO</t>
  </si>
  <si>
    <t>CIERRES DE 50 CM NEGROS</t>
  </si>
  <si>
    <t>CIERRE COLOR BEIGE 25</t>
  </si>
  <si>
    <t>CIERRE COLOR BEIGE 60</t>
  </si>
  <si>
    <t>CIERRE INVISIBLE DE 40 CM COLOR AMARILLO</t>
  </si>
  <si>
    <t xml:space="preserve">CIERRE INVISIBLE DE 40 CM COLOR AZUL CIELO </t>
  </si>
  <si>
    <t>CIERRE INVISIBLE DE 40 CM COLOR BIEGE</t>
  </si>
  <si>
    <t>CIERRE INVISIBLE DE 40 CM COLOR BLANCO</t>
  </si>
  <si>
    <t>CIERRE INVISIBLE DE 40 CM COLOR CAMELL</t>
  </si>
  <si>
    <t>CIERRE INVISIBLE DE 40 CM COLOR FIUSHA</t>
  </si>
  <si>
    <t>CIERRE INVISIBLE DE 40 CM COLOR NEGRO</t>
  </si>
  <si>
    <t>CIERRE INVISIBLE DE 40 CM COLOR ROSA</t>
  </si>
  <si>
    <t>CIERRE INVISIBLE DE 40 CM COLOR TURQUEZA</t>
  </si>
  <si>
    <t xml:space="preserve">CIERRES DE 70 CM BLANCOS </t>
  </si>
  <si>
    <t>ROLLO HILAZA BOLA</t>
  </si>
  <si>
    <t>TRAMO</t>
  </si>
  <si>
    <t>VIAJE</t>
  </si>
  <si>
    <t>COBRE</t>
  </si>
  <si>
    <t>JAL</t>
  </si>
  <si>
    <t>JUNTEADOR</t>
  </si>
  <si>
    <t>PIEDRA DE CANTERA</t>
  </si>
  <si>
    <t>M2</t>
  </si>
  <si>
    <t>AZULEJO</t>
  </si>
  <si>
    <t>LADRILLO</t>
  </si>
  <si>
    <t>CEMENTO BLANCO DE 25 KG</t>
  </si>
  <si>
    <t>SACO</t>
  </si>
  <si>
    <t>CEMENTO GRIS 50 KG</t>
  </si>
  <si>
    <t>PEGAZULEJO  ADE1000 20 KG</t>
  </si>
  <si>
    <t>TEXTUCOS</t>
  </si>
  <si>
    <t>CAL 50 KG</t>
  </si>
  <si>
    <t>TABLA ULTRA LIGTH TABLARROCA</t>
  </si>
  <si>
    <t>COMPRA DE MADERA</t>
  </si>
  <si>
    <t xml:space="preserve">REPISAS DE MADERA </t>
  </si>
  <si>
    <t>TRIPLAY</t>
  </si>
  <si>
    <t>HOJA</t>
  </si>
  <si>
    <t>PUERTAS DE MADERA</t>
  </si>
  <si>
    <t>CRISTALES CON REFLEJATE</t>
  </si>
  <si>
    <t>VIDRIO PLANO TEMPLADO</t>
  </si>
  <si>
    <t>APAGADOR SENCILLO</t>
  </si>
  <si>
    <t xml:space="preserve">CINTA AISLANTE 9 M X 19 MM NEGRA </t>
  </si>
  <si>
    <t xml:space="preserve">CLAVIJA  SENCILLA DE HULE </t>
  </si>
  <si>
    <t>CLAVIJA INDUSTRIAL COD.46202</t>
  </si>
  <si>
    <t>CONTACTO DUPLEX CON PLACA DE PLASTICO COLOR BLANCO</t>
  </si>
  <si>
    <t>ENCHUFES DE DOS CONTACTO COLOR BLANCO</t>
  </si>
  <si>
    <t>ENCHUFES DE UN CONTACTO COLOR BLANCO</t>
  </si>
  <si>
    <t>FOCOS LED 250 WATS</t>
  </si>
  <si>
    <t>MULTICONTACTO DE 8 ENTRADAS</t>
  </si>
  <si>
    <t xml:space="preserve">PILA  ALCALINA  AA C/4 </t>
  </si>
  <si>
    <t>PILA  ALCALINA  AAA C/4</t>
  </si>
  <si>
    <t>PILA  V</t>
  </si>
  <si>
    <t>PILA C PAQ. DE 2</t>
  </si>
  <si>
    <t>PILA D PAQ DE 2</t>
  </si>
  <si>
    <t>PILA DD PAQUETE DE 2</t>
  </si>
  <si>
    <t xml:space="preserve"> PILA ALCALINA AA C/40 PIEZAS</t>
  </si>
  <si>
    <t xml:space="preserve"> PILA ALCALINA AAA  C/40 PIEZAS</t>
  </si>
  <si>
    <t>LUCES NAVIDEÑAS DE 95 PIES Y 240 LED PARA INTERIORES/EXTERIORES</t>
  </si>
  <si>
    <t>BOMBA PARA INFLAR GLOBOS ELECTRICA DOBLE INFLADOR/FIESTAS</t>
  </si>
  <si>
    <t>REPUESTO DE LAMPARAS LUZ LED WTV-003/6500</t>
  </si>
  <si>
    <t>UGREEN CABLE DE MICROFONO CABLE XLR, CABLE CANON MACHO A HEMBRA PARA MICROFONO DE CONDESADOR MEZCLADO, BEHRINGER, PREAMPLIFICADOR ALTAVOCES FULL HD MIC CABLE AUDIO GRABACION 3M</t>
  </si>
  <si>
    <t>FOCO LED DE 10W LUZ BLANCA</t>
  </si>
  <si>
    <t>LAMPARAZ LUZ LED 50 WTS</t>
  </si>
  <si>
    <t>LAMPARA LUZ DETECTOR DE BILLETES FALSOS</t>
  </si>
  <si>
    <t>CABLE DE INTERCONEXION</t>
  </si>
  <si>
    <t xml:space="preserve">CONTACTO TRIFASICO </t>
  </si>
  <si>
    <t>PASTA PARA SOLDA DE 30 GR. COD.19338</t>
  </si>
  <si>
    <t>REGLETA TUBO DOBLE LED</t>
  </si>
  <si>
    <t>CINTA AISLANTE DE 9M X 19MM NEGRA</t>
  </si>
  <si>
    <t>LAMPARA MINERA</t>
  </si>
  <si>
    <t xml:space="preserve">SOLDADURA </t>
  </si>
  <si>
    <t>CANALETA C/PEGAMENTO</t>
  </si>
  <si>
    <t>CINTA AISLANTE 3M</t>
  </si>
  <si>
    <t>CINTA DOBLE CARA 3 M</t>
  </si>
  <si>
    <t>CINTA DE DUCTO GRIS</t>
  </si>
  <si>
    <t>INTERRUPTOR TERMO MAGNÉTICO SQUARDE 1X30 A</t>
  </si>
  <si>
    <t>INTERRUPTOR TERMO MAGNÉTICO SQUARDE 2X40 A</t>
  </si>
  <si>
    <t>GRAPA CURVA PARA CABLE COXIAL C/100 PZAS</t>
  </si>
  <si>
    <t>BROCA FRESA P/ ROUTER 1/4 COD.102720</t>
  </si>
  <si>
    <t>CLAVO ESTÁNDAR DE 2 1/2" KG</t>
  </si>
  <si>
    <t>CLAVO PARA CONCRETO 1 1/2 KG</t>
  </si>
  <si>
    <t>KIT BROCAS PARA CEMETO Y METAL 11</t>
  </si>
  <si>
    <t>KIT DE BROCA SIERRA C/14 PZS. COD. 151411</t>
  </si>
  <si>
    <t>LAVABO BLANCO CON REBOSADERO 60 CM</t>
  </si>
  <si>
    <t>MINGITORIO ECOLOGICO SECO</t>
  </si>
  <si>
    <t>TORNILLO CABEZA COCHE 5/16" X 2" COD. 44723</t>
  </si>
  <si>
    <t>TORNILLO CABEZA HEXAGONAL 2 1/2" X 5/16 C/30 PZAS COD. 44724</t>
  </si>
  <si>
    <t>ABRAZADERA SIN FIN 1/2"</t>
  </si>
  <si>
    <t xml:space="preserve">ALAMBRE RECOCIDO </t>
  </si>
  <si>
    <t>TUBO PLUS DE 32 MM</t>
  </si>
  <si>
    <t>TUBO PLUS DE 25 MM</t>
  </si>
  <si>
    <t>TUBULAR CUADRADO (PTR 2X2 CAL 14) TRAMO X 6 MTS.</t>
  </si>
  <si>
    <t>PTR 2" X 2" X 6 MTS.</t>
  </si>
  <si>
    <t>ALAMBRE GALVANIZADO</t>
  </si>
  <si>
    <t>BARRERA DE ESTACIONAMIENTO</t>
  </si>
  <si>
    <t>POSTE METALICO PTR 4X4 CAL. 11 TRAMO DE 6 MTS.</t>
  </si>
  <si>
    <t>PERSIANAS</t>
  </si>
  <si>
    <t>BIOMBO MAMPARA PLEGABLE DE MADERA 3 HOJAS</t>
  </si>
  <si>
    <t xml:space="preserve">TRIPLAY CAOBILLA 1.22 X 2.44 DE 6MM </t>
  </si>
  <si>
    <t>CODO 45</t>
  </si>
  <si>
    <t>CODO DE 1" X 90 CPVC</t>
  </si>
  <si>
    <t>CODO DE 3/4" X 90 CPVC</t>
  </si>
  <si>
    <t>CODOS 90</t>
  </si>
  <si>
    <t>COPLE DE 1" CPVC</t>
  </si>
  <si>
    <t>COPLE DE 1/2"CPVC</t>
  </si>
  <si>
    <t>COPLE DE 3/4" CPVC</t>
  </si>
  <si>
    <t>COPLE R/E 3/4" CPVC</t>
  </si>
  <si>
    <t>COPLE R/E CPVC DE 1/2"</t>
  </si>
  <si>
    <t>COPLE R/I 1" CPVC</t>
  </si>
  <si>
    <t>MALLA</t>
  </si>
  <si>
    <t>MANGUERA FLEXIBLE PARA LAVAPELO</t>
  </si>
  <si>
    <t>MANGUERA VERDE TRAMADA DE 1" X 100 M</t>
  </si>
  <si>
    <t>MANGUERA FLEXIBLE PARA W.C. COFLEX</t>
  </si>
  <si>
    <t>MANGUERA P/LAVABO 40 CM COFLEX</t>
  </si>
  <si>
    <t xml:space="preserve">MANGUERA VERDE TRAMADA </t>
  </si>
  <si>
    <t xml:space="preserve">MANGUERAS </t>
  </si>
  <si>
    <t xml:space="preserve">TEE </t>
  </si>
  <si>
    <t>TEE DE 1" CPVC</t>
  </si>
  <si>
    <t>TEE DE 1/2" CPVC</t>
  </si>
  <si>
    <t>TUBO 3/4" X 3 MTS. CPVC</t>
  </si>
  <si>
    <t>TUBO 4" X 6 MTS. SANITARIO</t>
  </si>
  <si>
    <t>TUBO DE 1" X 3 MTS. CPVC RD 13.5</t>
  </si>
  <si>
    <t>TUBO PVC 2"</t>
  </si>
  <si>
    <t>TUBO PVC 3"</t>
  </si>
  <si>
    <t>TUBO PVC 4"</t>
  </si>
  <si>
    <t>TUBO PVC 6"</t>
  </si>
  <si>
    <t>TUBO PVC 8"</t>
  </si>
  <si>
    <t>BROCHA MANGO PLASTICO 3/A</t>
  </si>
  <si>
    <t>LIJA # 100</t>
  </si>
  <si>
    <t>LIJA # 180</t>
  </si>
  <si>
    <t>LIJA DE AGUA 220 PIEZA</t>
  </si>
  <si>
    <t>LIJA DE AGUA GRANO # 120</t>
  </si>
  <si>
    <t>LIJA DE BANDA 4X4 #60</t>
  </si>
  <si>
    <t>LIJA ORBITALES DEL #100</t>
  </si>
  <si>
    <t>LIJA ORBITALES DEL #80</t>
  </si>
  <si>
    <t xml:space="preserve">PIEDRA DE AFILAR </t>
  </si>
  <si>
    <t>AEROSO SECADO RAPIDO ROSA COD.12734</t>
  </si>
  <si>
    <t>AEROSOL SECADO RAPIDO DORADO COD.19066</t>
  </si>
  <si>
    <t>AEROSOL SECADO RAPIDO VERDE ECOLOGICO COD.19048</t>
  </si>
  <si>
    <t>BARNIZ MARINO</t>
  </si>
  <si>
    <t>IMPERMEABILIZANTE DE 20 LTS</t>
  </si>
  <si>
    <t>PINTURA DE ACEITE  ESMALTE SECADO RAPIDO DE BLANCA 4 LITROS</t>
  </si>
  <si>
    <t>PINTURA DE ACEITE  ESMALTE SECADO RAPIDO DE NEGRA 4 LITROS</t>
  </si>
  <si>
    <t>PINTURA ESMALTE GRIS 20 LTS</t>
  </si>
  <si>
    <t>PINTURA VINILICA BLANCA 19 LTS</t>
  </si>
  <si>
    <t>PINTURA VINILICA BLANCA</t>
  </si>
  <si>
    <t xml:space="preserve">PINTURA VINILICA COLORES VARIOS 5 LTS </t>
  </si>
  <si>
    <t>PINTURAS PARA TRANSITO (REFLEJANTES)</t>
  </si>
  <si>
    <t>PLASTIACERO TIPO JERINGA MARCA DEVCON</t>
  </si>
  <si>
    <t>RESISTOL VL2000</t>
  </si>
  <si>
    <t>ROLLO DE IMPERMEHABILIZANTE PREFABRICADO ROJO 1X10</t>
  </si>
  <si>
    <t>THINER DE PRIMERA</t>
  </si>
  <si>
    <t xml:space="preserve">TINTA NOGAL CAFÉ DE ACEITE </t>
  </si>
  <si>
    <t>SILICON TRANSPARENTE CARTUCHO 300ML</t>
  </si>
  <si>
    <t>ALCOHOL ETILICO DE 96° 1 LITRO</t>
  </si>
  <si>
    <t xml:space="preserve">ALCOHOL </t>
  </si>
  <si>
    <t>TANQUE</t>
  </si>
  <si>
    <t xml:space="preserve">GEL ANTIBACTERIAL </t>
  </si>
  <si>
    <t>FAENA FUERTE</t>
  </si>
  <si>
    <t>HERBICIDA</t>
  </si>
  <si>
    <t>RATICIDA</t>
  </si>
  <si>
    <t>TROMPA  HORMIGAS</t>
  </si>
  <si>
    <t>AMLODIPINO 5MG C/10 TABLETAS</t>
  </si>
  <si>
    <t xml:space="preserve">CLORANFENICOL 5 MG/ML SOLUCIÓN OFTÁLMICA </t>
  </si>
  <si>
    <t xml:space="preserve">DEXAMETASONA/NEOMICINA SOLUCIÓN 1 MG/3.5MG/1 ML </t>
  </si>
  <si>
    <t xml:space="preserve">HIDROCORTISONA/CLORANFENICOL/BENZOCAÍNA SOLUCION 10 ML </t>
  </si>
  <si>
    <t>ETERICOXIB 90MG C/14 TABLETAS</t>
  </si>
  <si>
    <t>CELECOXIB 200 MG c/10 TABLETAS</t>
  </si>
  <si>
    <t>AMOXICILINA/ACIDO CLAVULINICO 250 MG/62.5 MG/ 5 ML C/75 ML</t>
  </si>
  <si>
    <t>TRIMERBUTINA/SIMETICONA 200/75 MG COMPRIMIDOS C/24 TABLETAS</t>
  </si>
  <si>
    <t>LOSARTAN 50 MG/25 MG C/30 TABLETAS</t>
  </si>
  <si>
    <t>COMPLEJO 8 CON DICLOFENACO 50/50/1.00 MG C/30 TABLETAS</t>
  </si>
  <si>
    <t>AMOXICILINA /AC CLAVULINICO 500MG/125ML C/15 CAPSULAS</t>
  </si>
  <si>
    <t>AMOXICILINA SUSP 500 MG C/75ML</t>
  </si>
  <si>
    <t>ATORVASTATINA 20MG C/10 TABLETAS</t>
  </si>
  <si>
    <t>AZITROMICINA 500MG C/3 TABLETAS</t>
  </si>
  <si>
    <t>BEZAFIBRATO TAB 200 MG C/3</t>
  </si>
  <si>
    <t>CEFALEXINA SUPS. 250 MG 5 ML C/100 ML</t>
  </si>
  <si>
    <t>CEFALEXINA CAPS 500 MG CON 12 CAPSULAS</t>
  </si>
  <si>
    <t>CIPROFLOXACINO TAB 500MG C/14 TABLETAS</t>
  </si>
  <si>
    <t>CLARITROMICINO TAM 250 MG</t>
  </si>
  <si>
    <t>DICLOXACILINA 250MG C/ CAPSULAS</t>
  </si>
  <si>
    <t>DICLOXACILINA 500NG C/20 CAPSULAS</t>
  </si>
  <si>
    <t xml:space="preserve">HIDROCLORITIAZIDA 25 MG C_/ 30 TABLETAS </t>
  </si>
  <si>
    <t>IBUPROFENO SUSP.  2 MG/100ML C/120 ML</t>
  </si>
  <si>
    <t>IBUPROFENO TAB 600 MG C / 10 TABLETAS</t>
  </si>
  <si>
    <t>LOPERAMIDA 2 MG C/12 TABLETAS</t>
  </si>
  <si>
    <t>METFORMINA 850 MG C/30 TABLETAS</t>
  </si>
  <si>
    <t>METOCARBAMOL CON IBUPROFENO 500/200MG C/30 TABLETAS</t>
  </si>
  <si>
    <t>METOPROLOL 100 MG  C/20 TABLETAS</t>
  </si>
  <si>
    <t>PIOGLITAZONA 30 MG  C/7 TABLETAS</t>
  </si>
  <si>
    <t xml:space="preserve">SULFADIAZINA DE PLATA CREMA 1% TARRO 28 GR </t>
  </si>
  <si>
    <t xml:space="preserve">METAMIZOL SÓDICO JARABE C/100 ML </t>
  </si>
  <si>
    <t xml:space="preserve">BUTILHIOSCINA 6.67 MG/ML SOLUCION GOTAS </t>
  </si>
  <si>
    <t xml:space="preserve">AMBROXOL/CLENBUTEROL SOLUCIÓN C/120 ML </t>
  </si>
  <si>
    <t xml:space="preserve">DEXTROMETORFANO 0.3 GR JARABE C/120 ML </t>
  </si>
  <si>
    <t xml:space="preserve">AMANTADINA, CLORFENAMINA, PARACETAMOL 0.5/0.02/3 GR/100ML INFANTIL FCO 60 ML </t>
  </si>
  <si>
    <t xml:space="preserve">YODOPOVIDONA ANTISÉPTICA C/120 ML </t>
  </si>
  <si>
    <t xml:space="preserve">PARACETAMOL SOLUCION 120 ML   </t>
  </si>
  <si>
    <t xml:space="preserve">LORATADINA JARABE 60 ML  </t>
  </si>
  <si>
    <t>ROSEL-T TAB 50/3/300 MG C/20 TABLETAS</t>
  </si>
  <si>
    <t>TRIMETOPRIMA/SULFAMETAXOL t/800 MG/160 MG C/20 TAB</t>
  </si>
  <si>
    <t>ASPIRINA</t>
  </si>
  <si>
    <t>CUADRO BÁSICO Y CATÁLOGO DE MEDICAMENTOS DEL SECTOR SALUD</t>
  </si>
  <si>
    <t>NEBULIZADOR</t>
  </si>
  <si>
    <t xml:space="preserve">ABATELENGUAS CON 50 PIEZAS </t>
  </si>
  <si>
    <t>ABATE LENGUAS CAJAC/100 PZAS</t>
  </si>
  <si>
    <t>ACEITE LUBRICANTE SPRAY</t>
  </si>
  <si>
    <t>AGUA OXIGENADA DE 750 ML.</t>
  </si>
  <si>
    <t xml:space="preserve">APLICADORES FINO RESPUESTO AMARILLO  CON 100 PIEZAS MICROBRUSH PAQ. </t>
  </si>
  <si>
    <t>BOTIQUIN METALICO GRANDE PARA PARED</t>
  </si>
  <si>
    <t xml:space="preserve">BANDA DE CELULOIDE CAJA </t>
  </si>
  <si>
    <t>BARNIZ DE COPAL</t>
  </si>
  <si>
    <t>BOTA FRESA</t>
  </si>
  <si>
    <t>BROCHA ( CEPILLO) PARA PROFILAXIS EHROS, CAJA C/144 PZS</t>
  </si>
  <si>
    <t xml:space="preserve">CABESTRILLO INFANTIL </t>
  </si>
  <si>
    <t>CAMPOS</t>
  </si>
  <si>
    <t xml:space="preserve">CEMENTO IONOMERO ROJO </t>
  </si>
  <si>
    <t>CEPILLO DE LAVADO QUIRURGICO PARA UÑAS</t>
  </si>
  <si>
    <t>CINTA MICROPORE 2.5X9.1 3M</t>
  </si>
  <si>
    <t>CINTA TESTIGO</t>
  </si>
  <si>
    <t xml:space="preserve">CLORURO DE SODIO SOLUCION 1000 ML </t>
  </si>
  <si>
    <t>CUBREBOCAS DE TRES PLIEGOS c7 ELASTICO C/ 50 PIEZAS</t>
  </si>
  <si>
    <t xml:space="preserve">CUBREBOCAS TALLA GRANDE COLOR NEGRO CON 100 PIEZAS </t>
  </si>
  <si>
    <t>CUCHARILLA PARA APLICACIÓN DE FLOUR C/50</t>
  </si>
  <si>
    <t xml:space="preserve">CURITAS 100 PIEZAS </t>
  </si>
  <si>
    <t xml:space="preserve">ESTERICIDE SOLUCION ANTISEPTICA </t>
  </si>
  <si>
    <t>ESTUCHE DISECCION/SATUR A ACERO INOX ( JUEGO 20 PZAS)</t>
  </si>
  <si>
    <t xml:space="preserve">EUGENOL </t>
  </si>
  <si>
    <t xml:space="preserve">EYECTORES </t>
  </si>
  <si>
    <t>FC REDONDA NO.4 MIDWEST PAQ. C/10 PZAS</t>
  </si>
  <si>
    <t xml:space="preserve">FIJADOR RAPIDO </t>
  </si>
  <si>
    <t>FRASCO ANESTECIA TOPICA</t>
  </si>
  <si>
    <t xml:space="preserve">FRASCO FORMACRESOL </t>
  </si>
  <si>
    <t>FRASCO SUERO FISIOCIOLOGICO</t>
  </si>
  <si>
    <t xml:space="preserve">FRESA DIAMANTE </t>
  </si>
  <si>
    <t xml:space="preserve">FRESA DIAMANTE 010-012 GM CORTA SIS 46 CONO MANI PZ. </t>
  </si>
  <si>
    <t>FRESA DE DIAMANTE NO.3210 PZAS.</t>
  </si>
  <si>
    <t>FRESA DIAMANTE EX 41 PERA CHICA GRANO MEDIO MANI, PZ</t>
  </si>
  <si>
    <t>FRESA DIAMANTE FO 32 FLAMA MED GRANDO MEDIO 257-018 MANI, PZ</t>
  </si>
  <si>
    <t xml:space="preserve">FORRO CAVITARIO DE HIDROXIDO DE CALCIA FOTOCURABLE ESTUCHE CON 2 JERIGAS ( UNA OPACA Y OTRA TRASLUCIDA) DE 1.2 ML C/U MAS PUNTAS </t>
  </si>
  <si>
    <t>FUJI IX MINI GC,PZ</t>
  </si>
  <si>
    <t xml:space="preserve">GASA SECA CORTADA NO ESTERIL PAQUETE CON 200 PIEZAS </t>
  </si>
  <si>
    <t xml:space="preserve">GASA NO ESTERIL PAQ 10X10 200 PZAS </t>
  </si>
  <si>
    <t>GEL ANTIBACTERIAL 20 LTS</t>
  </si>
  <si>
    <t>GUANTES DE LATEX MEDIANOS C/50 PARES</t>
  </si>
  <si>
    <t>GUANTE PLUS LISO VIOLETA MEDIANO BAJO EN POLO NO ESTERIL AMBIDERM</t>
  </si>
  <si>
    <t>INTRO KIDZ250 XT</t>
  </si>
  <si>
    <t>IONOMERO DE VIDRIO FOTOCURABLE TIPO 2</t>
  </si>
  <si>
    <t>ISODINE ESPUMA 250 ML</t>
  </si>
  <si>
    <t>KIT DE PUNTAS PARA PULIR RESINA (MEDIA FINO)</t>
  </si>
  <si>
    <t>KIT DE PUNTAS PARA PULIR RESINA (FINO)</t>
  </si>
  <si>
    <t>JERINGAS 5 CM CON 100 PZS</t>
  </si>
  <si>
    <t>LANCETAS ACCU-CHEK  C/100 PIEZAS SOFT CLIX</t>
  </si>
  <si>
    <t>LENTE ANTIEMPAÑANTE</t>
  </si>
  <si>
    <t xml:space="preserve">LENTES PARA FOTO RESINA </t>
  </si>
  <si>
    <t>LIDOCAINA SOLUCION 2%</t>
  </si>
  <si>
    <t>MALLA PARA CABELLO C/100 PZAS</t>
  </si>
  <si>
    <t>MICROBRUSH FINO</t>
  </si>
  <si>
    <t xml:space="preserve">OXIDO DE ZINC TARRO 45 GR </t>
  </si>
  <si>
    <t>PASTA DIAMANTADA</t>
  </si>
  <si>
    <t>PASTA PROFILACTICA SABOR CEREZA FRASCO C/200 G PROPHYTECH, FRASCO.</t>
  </si>
  <si>
    <t>PAQUETE CAMPO ESTERIL  C/5 PZAS</t>
  </si>
  <si>
    <t>PIEDRA PARA ARKANSAS CONO</t>
  </si>
  <si>
    <t>PIEDRA PARA ARKANSAS FLAMA</t>
  </si>
  <si>
    <t>POMADA DE LA CAMPANA 50 GR</t>
  </si>
  <si>
    <t>RESINA A2</t>
  </si>
  <si>
    <t>REVELADOR ZEYCO 250 ML</t>
  </si>
  <si>
    <t xml:space="preserve">SANI-CLOTH SUPER BOTE C/160 TOALLITAS(MORADO) SULTAN PIEZA </t>
  </si>
  <si>
    <t>SI-47</t>
  </si>
  <si>
    <t>SUTURA DE SEDA 3/0 SEGEASY, PZ.</t>
  </si>
  <si>
    <t xml:space="preserve">TARRO DE COTONETES C/100 PZA </t>
  </si>
  <si>
    <t xml:space="preserve">TELA ADHESIVA 2.5CM X 9.1 MTS </t>
  </si>
  <si>
    <t>TIRA DE CELULOIDE TIREN CON 100 PIEZAS</t>
  </si>
  <si>
    <t xml:space="preserve">TIRAS REACTIVAS CON 50 PIEZAS ACCU CHEK ACTIVE </t>
  </si>
  <si>
    <t>ULTRATECH35% CON PUNTAS ULTRADENT, ESTUCHE</t>
  </si>
  <si>
    <t>ESTUCHE</t>
  </si>
  <si>
    <t>VENDAS  5CM</t>
  </si>
  <si>
    <t>TIRA</t>
  </si>
  <si>
    <t>SET</t>
  </si>
  <si>
    <t>LAMINA</t>
  </si>
  <si>
    <t xml:space="preserve">VITACILINA 28 GR </t>
  </si>
  <si>
    <t>BOLSA CELOFAN CON BLISTEK 10X14</t>
  </si>
  <si>
    <t>BOLSA CELOFAN CON BLISTEK 24X29</t>
  </si>
  <si>
    <t>BOLSA CELOFAN CON BLISTEK 5X20</t>
  </si>
  <si>
    <t>BOLSA CELOFAN CON BLISTEK 7X10</t>
  </si>
  <si>
    <t>BOLSA CELOFAN CON BLISTEK 8X20</t>
  </si>
  <si>
    <t>BOLSA DE ESTRAZA CON ASA 31X23X10 CM</t>
  </si>
  <si>
    <t>BOLSA DE ESTRAZA CON ASA 38X27 CM</t>
  </si>
  <si>
    <t>BOLSA NEGRA CAMISETA GRANDE</t>
  </si>
  <si>
    <t>Rollo De Burbuja Poliburbuja Chica 3/16 1.22 X 123m</t>
  </si>
  <si>
    <t>ROLLO PVC</t>
  </si>
  <si>
    <t>BOLSA DE PLASTICO GRANDE  PARA BASURA</t>
  </si>
  <si>
    <t xml:space="preserve">ACEITE </t>
  </si>
  <si>
    <t>ACEITE 2 TIEMPOS SINTENTICO</t>
  </si>
  <si>
    <t>BOTELLA</t>
  </si>
  <si>
    <t>FILIPINAS COLOR ROSA INSTITUCIONAL</t>
  </si>
  <si>
    <t>JUEGO BANDERA MEXICO REGLAMENTARIA DOS TELAS ESCOLTA, ASTA,MOÑO</t>
  </si>
  <si>
    <t xml:space="preserve">CAMISAS MANGA LARGA </t>
  </si>
  <si>
    <t>GUANTES DE CARNAZA LARGOS</t>
  </si>
  <si>
    <t>GUANTES</t>
  </si>
  <si>
    <t>CASCO</t>
  </si>
  <si>
    <t>CHALECOS DE PROTECCION REFLEJANTES</t>
  </si>
  <si>
    <t>CARETA SOLDADOR ELECTRICA PROFESIONAL COD.102228</t>
  </si>
  <si>
    <t>LENTE DE PROTECCION TRANSPARENTE COD.14293</t>
  </si>
  <si>
    <t>IMPERMEABLES</t>
  </si>
  <si>
    <t>ROLLO DE HILO DE CAÑAMO PARA ARTESANIAS</t>
  </si>
  <si>
    <t>TELAS DIFERENTES COLORES</t>
  </si>
  <si>
    <t>LISTON CLOSEDA 4 CM COLOR AMARILLO</t>
  </si>
  <si>
    <t>LISTON CLOSEDA 4 CM COLOR AZUL CIELO</t>
  </si>
  <si>
    <t>LISTON CLOSEDA 4 CM COLOR DORADO</t>
  </si>
  <si>
    <t>LISTON CLOSEDA 4 CM COLOR PLATEADO</t>
  </si>
  <si>
    <t>LISTON CLOSEDA 4 CM COLOR ROJO ESCARLATA</t>
  </si>
  <si>
    <t>LISTON CLOSEDA 4 CM COLOR ROSA MEXICANO</t>
  </si>
  <si>
    <t>LISTON CLOSEDA 4 CM COLOR VERDE</t>
  </si>
  <si>
    <t>LISTON CLOSEDA 6 CM COLOR DORADO</t>
  </si>
  <si>
    <t>LISTON CLOSEDA 6 CM COLOR PLATEADO</t>
  </si>
  <si>
    <t>LISTON CLOSEDA 6 CM COLOR ROSA MEXICANO</t>
  </si>
  <si>
    <t>LISTON CLOSEDA 6 CM COLOR VERDE</t>
  </si>
  <si>
    <t>COLCHON INDIVIDUAL</t>
  </si>
  <si>
    <t>CUBRE COLCHON DE ALGODON  TAMAÑO INDIVIDUAL</t>
  </si>
  <si>
    <t>CUBRECOLCHON IMPERMEABLE INDIVIDUAL</t>
  </si>
  <si>
    <t>COBERTORES INDIVIDUAL</t>
  </si>
  <si>
    <t>SET DE 2 ALMOHADAS INDIVIDUAL</t>
  </si>
  <si>
    <t>EDREDON TAMAÑO INDIVIDUAL</t>
  </si>
  <si>
    <t>SABANAS INDIVIDUAL (JUEGO)</t>
  </si>
  <si>
    <t>EQUIPO CONTRA INCENDIO FORESTAL</t>
  </si>
  <si>
    <t>REFLECTOR</t>
  </si>
  <si>
    <t>BUZÓN METALICO</t>
  </si>
  <si>
    <t>COPLE RAPIDO PARA MANGUERA DE COMPRESOR HEMBRA COD. 27028</t>
  </si>
  <si>
    <t>COPLE RAPIDO PARA MANGUERA DE COMPRESOR MACHO COD. 19085</t>
  </si>
  <si>
    <t>DESARMADOR DE CRUZ 1"/4/4</t>
  </si>
  <si>
    <t>DESARMADOR DE PLANO 1"/4/5</t>
  </si>
  <si>
    <t>JGO. C/ 15 DESARMADOR DE PRESICION COD. 14157</t>
  </si>
  <si>
    <t>JUEGO DE LLAVES ALLEN MM COD.21851</t>
  </si>
  <si>
    <t>MARRO OCTAGONAL DE14 LBS. COD16514</t>
  </si>
  <si>
    <t>PIJAS P/TABLAROCA SURTIDO (MEDIDAS VARIAS)</t>
  </si>
  <si>
    <t>SOGA DE POLIPROPILENO KG</t>
  </si>
  <si>
    <t>TIJERA PARA JARDINERIA  COD. 18377</t>
  </si>
  <si>
    <t>CARRETILLA 8 H3 LLANTA NEUMATICA REFORZADA</t>
  </si>
  <si>
    <t xml:space="preserve">MARTILLO CON AGARRE </t>
  </si>
  <si>
    <t>KIT DE TIJERAS PODADORAS MANUAL PARA JARDIN</t>
  </si>
  <si>
    <t>PALA</t>
  </si>
  <si>
    <t>ZAPAPICO</t>
  </si>
  <si>
    <t>ENCENDEDOR DESECHABLE</t>
  </si>
  <si>
    <t>AGUJA PARA CHAQUIRA No.15</t>
  </si>
  <si>
    <t>AGUJA PARA MAQUINA INDUSTRIAL #11</t>
  </si>
  <si>
    <t>AGUJA PARA MAQUINA INDUSTRIAL #14</t>
  </si>
  <si>
    <t>AGUJA PARA MAQUINA INDUSTRIAL #16</t>
  </si>
  <si>
    <t>AGUJA PARA MAQUINA INDUSTRIAL #9</t>
  </si>
  <si>
    <t>AGUJA PARA MAQUINA MANUAL C/5 PZAS</t>
  </si>
  <si>
    <t>AGUJAS DE MANO DE MODISTA CON PUNTA #22</t>
  </si>
  <si>
    <t>AGUJAS DE MANO DE MODISTA CON PUNTA #4</t>
  </si>
  <si>
    <t>AGUJAS DE MANO DE MODISTA CON PUNTA #6</t>
  </si>
  <si>
    <t>ALFILERILLOS DE CABECITA</t>
  </si>
  <si>
    <t xml:space="preserve">ALFILERILLOS DORADOS </t>
  </si>
  <si>
    <t>DESCOSEDOR CHICO BORDADO Y COSTURA</t>
  </si>
  <si>
    <t>GANCHO PARA TEJER ESTAMBRE No. 3</t>
  </si>
  <si>
    <t>GANCHO PARA TEJER ESTAMBRE No. 4</t>
  </si>
  <si>
    <t>PAQUETE DE AGUJA No. 1 C/50 PZAS</t>
  </si>
  <si>
    <t>TIJERA PROFESIONAL DE 10" PARA TELA</t>
  </si>
  <si>
    <t>BOLSA MANTENIMIENTO MINI SPLIT DE 2/3 TONELADAS</t>
  </si>
  <si>
    <t>ESCALERA 4 ESCALONES</t>
  </si>
  <si>
    <t>PISTOLA PARA HIDROLAVADORA PORTATIL INALAMBRICA ELECTRICA</t>
  </si>
  <si>
    <t>ESPEJO DE PARED PARA BAÑO</t>
  </si>
  <si>
    <t xml:space="preserve">ASIENTOS PARA W.C. </t>
  </si>
  <si>
    <t>CANDADO</t>
  </si>
  <si>
    <t>CERRADURA DE EMBUTIR PARA PERFILES DE ALUMINIO MARCA PHILIPS 549ABL</t>
  </si>
  <si>
    <t>CERRADURA TIPO ESFERA</t>
  </si>
  <si>
    <t>CERRADURA DE BARRA LIBRE  DER. HERMEX COD.43519</t>
  </si>
  <si>
    <t>CERRADURA DE SOBRE PONER CLASICA FACIL INSTALACION DERECHA</t>
  </si>
  <si>
    <t>CERRADURA DE SOBRE PONER CLASICA FACIL INSTALACION IZQUIERDA</t>
  </si>
  <si>
    <t>CONTRACANASTA INDUSTRIAL</t>
  </si>
  <si>
    <t>FLOTADOR DE CONTRAPESO MARCA FOSET</t>
  </si>
  <si>
    <t>LLAVE DE BALBULA  DE ESFERA PARA AGUA, ACEITE Y GAS</t>
  </si>
  <si>
    <t>JGO</t>
  </si>
  <si>
    <t>LLAVE LAVABO INDUSTRIAL</t>
  </si>
  <si>
    <t>MEZCLADORA LLAVE INDUSTRIAL CUELLO ACERO INOX.</t>
  </si>
  <si>
    <t>PALANCA PARA INODORO 2.9X29.5X5.9 CM PLATA</t>
  </si>
  <si>
    <t>SAPITOS 2 PULGADAS MARCA FLUIDMASTER</t>
  </si>
  <si>
    <t>REGADERA PARA LAVAPELO </t>
  </si>
  <si>
    <t>BROCHA DE 6"</t>
  </si>
  <si>
    <t>BROCHA MANGO PLASTICO 6"</t>
  </si>
  <si>
    <t>BROCHAS DE POLIESTER 6 PULGADAS HDX</t>
  </si>
  <si>
    <t>FELPA PARA RODILLO 9"</t>
  </si>
  <si>
    <t>FELPA PARA RODILLO 4"</t>
  </si>
  <si>
    <t>PIJA CABEZA EXAGONAL PUNTA DE BROCA 14X1" COD.44406</t>
  </si>
  <si>
    <t xml:space="preserve">TAQUETE DE SUJECIÓN 1/4 </t>
  </si>
  <si>
    <t>TAQUETE DE SUJECIÓN 3/8</t>
  </si>
  <si>
    <t>REPUESTO PARA RODILLO ESPUMA DE3.1 X7.6 CM FOAM PRO</t>
  </si>
  <si>
    <t>RODILLO PARA PINTAR 9´ PERFECT MOD. PR149</t>
  </si>
  <si>
    <t>CEPILLO ALAMBRE</t>
  </si>
  <si>
    <t>CLAVO ACERO 2 "</t>
  </si>
  <si>
    <t>AURICULARES BLUETOOTH INHALAMBRICOS CON MICROFONO</t>
  </si>
  <si>
    <t>CABLES XRL BALANCEADO MACHO HEMBRA</t>
  </si>
  <si>
    <t>CAJON ELECTRONICO PARA DINERO EC LINE NEGRO, 4 BILLETES, 8 MONEDAS</t>
  </si>
  <si>
    <t>CONVERTIDOR VGA/HDMI</t>
  </si>
  <si>
    <t>DISCO DURO EXTERNO 2 TB PARA COMPUTADORA</t>
  </si>
  <si>
    <t>JUEGO DE BOCINAS MULTIMEDIA ENTRADA 3.5 MM PARA COMPUTADORA</t>
  </si>
  <si>
    <t>MEMORIA USB 16 GB</t>
  </si>
  <si>
    <t>MEMORIA USB 128 GIGAS</t>
  </si>
  <si>
    <t>MOUSE</t>
  </si>
  <si>
    <t>PLUGS RJ-45 CAT 5E C/100</t>
  </si>
  <si>
    <t>REGULADOR UPS RESPALDO DE ENERGIA DE 700-800V.</t>
  </si>
  <si>
    <t>REGULADORES DE 600W, DE 4 ENTRADAS</t>
  </si>
  <si>
    <t>RECEPTOR DE AUDIO</t>
  </si>
  <si>
    <t>REPETIDOR WIFI PARA COMPUTADORA</t>
  </si>
  <si>
    <t xml:space="preserve">REGULADOR DE ALTO VOLTAJE PARA COMPUTO </t>
  </si>
  <si>
    <t>SWICH DE 16 PUERTOS DE 10/100 MB</t>
  </si>
  <si>
    <t>TECLADO ALAMBRICO USB</t>
  </si>
  <si>
    <t>ALTAVOCES PARA COMPUTADORA SONIDO ENVOLVENTE MINI SUBWOOFER ALTAVOZ DE MUSICA PARA PC PORTATIL CON BLUETOOH ALIMENTADO POR USB (1)</t>
  </si>
  <si>
    <t>REGULADOR DE VOLTAJE (2)</t>
  </si>
  <si>
    <t>CABLES XRL BALANCEADO MACHO HEMBRA (10)</t>
  </si>
  <si>
    <t xml:space="preserve">MEMORIA USB 2.0 64GB </t>
  </si>
  <si>
    <t>CABLES BUJIAS (JUEGO)</t>
  </si>
  <si>
    <t>CABLES PASA CORRIENTE</t>
  </si>
  <si>
    <t>DIABLO DE CARGA</t>
  </si>
  <si>
    <t>LLANTA NEUMATICA COMPLETA 16" COD. 11852</t>
  </si>
  <si>
    <t xml:space="preserve">CORREAS Y BANDAS </t>
  </si>
  <si>
    <t>EMPAQUE DE HULE</t>
  </si>
  <si>
    <t>HILO PARA DESBROZADORA 3.3 COD. 17630</t>
  </si>
  <si>
    <t>EMPAQUES</t>
  </si>
  <si>
    <t>VALVULA</t>
  </si>
  <si>
    <t xml:space="preserve">FLORERO (ADORNOS CENTROS DE MESA ) </t>
  </si>
  <si>
    <t>ARREGLO FLORAL PARA PODIUM</t>
  </si>
  <si>
    <t>CINCHOS PARA ETIQUETADORA DE PRENDAS</t>
  </si>
  <si>
    <t>ENERGIA ELECTRICA</t>
  </si>
  <si>
    <t>CONTRATO</t>
  </si>
  <si>
    <t>GAS SERVICIO</t>
  </si>
  <si>
    <t xml:space="preserve">GAS 30 KG </t>
  </si>
  <si>
    <t>CILINDRO</t>
  </si>
  <si>
    <t>AGUA POTABLE</t>
  </si>
  <si>
    <t>CONTRATO DE AGUA POTABLE</t>
  </si>
  <si>
    <t>SERVICIO DE PIPAS DE AGUA</t>
  </si>
  <si>
    <t>PIPAS DE AGUA</t>
  </si>
  <si>
    <t>TELEFONIA TRADICIONAL</t>
  </si>
  <si>
    <t>TELEFONO</t>
  </si>
  <si>
    <t>SERVICIO DE CABLE, INTERNET Y TELEFONO</t>
  </si>
  <si>
    <t>SERVICIOS DE ACCESO DE INTERNET</t>
  </si>
  <si>
    <t>INTERNET</t>
  </si>
  <si>
    <t>GASTOS DE ENVÍO</t>
  </si>
  <si>
    <t>SERVICIO POSTAL</t>
  </si>
  <si>
    <t>TEATRO (ARRENDAMIENTO)</t>
  </si>
  <si>
    <t>ARRENDEMIENTO DE COPIADORA</t>
  </si>
  <si>
    <t>ARRENDAMIENTO DE EQUIPO Y BIENES INFORMATICOS</t>
  </si>
  <si>
    <t>ARRENDAMIENTO DE EQUIPOS Y BIENES INFORMATICOS (COPIADORA)</t>
  </si>
  <si>
    <t>ARRENDAMIENTO DE IMPRESORA</t>
  </si>
  <si>
    <t>LICENCIAMIENTO PROGRAMAS</t>
  </si>
  <si>
    <t>RENTA DE MUEBLES (MESAS,SILLAS Y MANTELERIA)</t>
  </si>
  <si>
    <t>SILLAS arrendados</t>
  </si>
  <si>
    <t xml:space="preserve">ARRENDAMIENTO DE 4 TOLDOS  (LONA ) </t>
  </si>
  <si>
    <t>PERSONAL CLASES DE PINTURA</t>
  </si>
  <si>
    <t>PERSONAL DE INTENDENCIA</t>
  </si>
  <si>
    <t>SISTEMA DE INVENTARIOS</t>
  </si>
  <si>
    <t>SISTEMA DE VENTAS</t>
  </si>
  <si>
    <t>LICENCIA PARA TIENDA</t>
  </si>
  <si>
    <t>CAPACITACION</t>
  </si>
  <si>
    <t>SERVICIOS DE CAPACITACION</t>
  </si>
  <si>
    <t xml:space="preserve">SERVICIO DE FOTOCOPIADO </t>
  </si>
  <si>
    <t xml:space="preserve">SERVICIO ENGARGOLADO </t>
  </si>
  <si>
    <t>DIPLOMAS OFICIALES, DIPLOMAS VARIOS</t>
  </si>
  <si>
    <t xml:space="preserve">LONAS </t>
  </si>
  <si>
    <t xml:space="preserve">PUBLICIDAD VARIA </t>
  </si>
  <si>
    <t xml:space="preserve">SERVICIOS DE MANTENIMIENTO Y REPARACION DEL EQUIPO DE  CAMARAS DE VIDEO VIGILANCIA </t>
  </si>
  <si>
    <t>SUBCONTRATACION DE SERVICIOS CON TERCEROS</t>
  </si>
  <si>
    <t>SEGURO DE VEHICULOS</t>
  </si>
  <si>
    <t>SEGURO PARA ALUMNADO</t>
  </si>
  <si>
    <t>SEGURO GASTOS MEDICOS DENTRO DEL PLANTEL</t>
  </si>
  <si>
    <t>SERVICIOS VARIOS DE MANTENIMIENTO HERRERIA, CONSTRUCCION</t>
  </si>
  <si>
    <t>REPARACION EQUIPO DE ELECTROMIOGRAFIA</t>
  </si>
  <si>
    <t>RELLENO DE RUEDAS</t>
  </si>
  <si>
    <t>SERVICIOS CRUZETAS</t>
  </si>
  <si>
    <t>EJE PARA MAQUINA</t>
  </si>
  <si>
    <t>SERVICIOS BALEROS</t>
  </si>
  <si>
    <t>TIRANTE</t>
  </si>
  <si>
    <t>SERVICIOS VARIOS TREN</t>
  </si>
  <si>
    <t xml:space="preserve">EXTINTORES  CON LLENADO  </t>
  </si>
  <si>
    <t>MANTENIMIENTO DE AIRES ACONDICIONADOS</t>
  </si>
  <si>
    <t xml:space="preserve">SERVICIO DE LAVANDERIA </t>
  </si>
  <si>
    <t>FLORES PARA AREAS VERDES</t>
  </si>
  <si>
    <t>FUMIGACION</t>
  </si>
  <si>
    <t>FUMIGACION VELATORIO</t>
  </si>
  <si>
    <t xml:space="preserve">FUMIGACION ARTESANIAS IYARI INSURGENTES, MERIDA, PALACIO Y TALLER </t>
  </si>
  <si>
    <t>SERVICIOS DE FUMIGACION</t>
  </si>
  <si>
    <t>IMPRESIONES EN LONAS 1.50 X 2 MTS</t>
  </si>
  <si>
    <t>SEÑALETICAS</t>
  </si>
  <si>
    <t>LONA IMPRESA GRANDE PARA EXTERIOR DE PLANTEL</t>
  </si>
  <si>
    <t>LONA IMPRESA PARA EVENTOS DE CLAUSURA</t>
  </si>
  <si>
    <t>LONA 1X2 MT</t>
  </si>
  <si>
    <t>LONA 3.5X 4.5 MT</t>
  </si>
  <si>
    <t>MILLAR DE FOLLETO A COLOR T/MEDIA CARTA</t>
  </si>
  <si>
    <t xml:space="preserve">VOLANTES( FLYERS) </t>
  </si>
  <si>
    <t>VÍATICOS EN EL PAÍS</t>
  </si>
  <si>
    <t>SERVICIOS DE HOSPEDAJE Y TRANSPORTE</t>
  </si>
  <si>
    <t>VIATICOS EN EL ESTADO</t>
  </si>
  <si>
    <t>VIATICOS FUERA DEL ESTADO</t>
  </si>
  <si>
    <t xml:space="preserve">VÍATICOS </t>
  </si>
  <si>
    <t>FESTEJO DEL DIA DEL ABUELO</t>
  </si>
  <si>
    <t>FESTEJO POSADA DE LOS ABUELOS</t>
  </si>
  <si>
    <t>DECORACION CON FLORES CON FECHAS CONMEMORATIVAS</t>
  </si>
  <si>
    <t>SERVIICO</t>
  </si>
  <si>
    <t>GORROS INVIERNO UNISEX</t>
  </si>
  <si>
    <t>BUFANDAS</t>
  </si>
  <si>
    <t>COMIDA, GRADUACIÓN, DIAS FESTIVOS</t>
  </si>
  <si>
    <t>PANTUFLAS</t>
  </si>
  <si>
    <t>EVENTO PARA NAVIDAD</t>
  </si>
  <si>
    <t>EVENTO</t>
  </si>
  <si>
    <t>EVENTO DIA DE LAS MADRES</t>
  </si>
  <si>
    <t xml:space="preserve">EVENTO DIA DEL NIÑO </t>
  </si>
  <si>
    <t>FLORES FRESCAS</t>
  </si>
  <si>
    <t xml:space="preserve">LICENCIA DE FUNCIONAMIENTO </t>
  </si>
  <si>
    <t>OTROS GASTOS DE RESPONSABILIDAD</t>
  </si>
  <si>
    <t>Ayudas sociales a personas</t>
  </si>
  <si>
    <t>APOYOS ECONOMICOS POR ELABORACIÓN DE ARTESANIA</t>
  </si>
  <si>
    <t>APOYO</t>
  </si>
  <si>
    <t>MOBILIARIO Y EQUIPO MEDICO QUIRURGICO</t>
  </si>
  <si>
    <t>ARCHIVERO METALICO DE 4 GAVETAS</t>
  </si>
  <si>
    <t>Escritorio ejecutivo de 1.15 x .50x.75 mts. con cajonera ( 2 lapicero y 1 de archivo) terminado en melamina de color madera de 28/16 mm</t>
  </si>
  <si>
    <t xml:space="preserve">SILLA DE 3 PLAZAS CROMADA </t>
  </si>
  <si>
    <t>SILLA EJECUTIVA POLIPIEL NEGRO CON DESCANSABRAZOS SISTEMA DE RECLINAMIENTO, ELEBACIÓN POR PISTON NEUMATICO, ASIENTO Y RESPALDO TAPIZADOS</t>
  </si>
  <si>
    <t>Silla plegable, estructura tubular, asiento y respaldo fabricado en polipropileno de alta resistencia</t>
  </si>
  <si>
    <t>VENTILADOR DE TORRE DE 3 VELOCIDADES, CON TEMPORIZADOR HASTA DE 7 HORAS, MODO NOCTURNO</t>
  </si>
  <si>
    <t>ALL in One  22-dd1506la COLOR NEGRO PROCESADOR INTEL CORE i3 DE 11.a GENERACION. WINDOWS 11 HOME  SINGLE LANGUAGE UNIDAD DE ESTADO SOLIDO PCle NVMe M.2 DE 256 GB, 8 GB INTEL UHD 21,5" PULGADAS</t>
  </si>
  <si>
    <t>EQUIPO DE COMPUTO DE ESCRITORIO DISCO DURO 240 GB SSD, 8 GB RAM PROCESADOR INTEL CORE I5 WIFI MONITOR 21" CON HDMI TECLADO MOUSE</t>
  </si>
  <si>
    <t>IMPRESORA TERMICA EC-PM-80250 TERMICA DIRECTA, 250MM/ALAMBRICO</t>
  </si>
  <si>
    <t>LECTOR TARJETAS</t>
  </si>
  <si>
    <t>PC DE ESCRITORIO PROCESADOR INTEL CORE ¡5 10 GENERACIÓN MEMORIA RAM 8 GB DISCO DURO DE ESTADO SOLIDO 240 GB WINDOWS 11, MONITOR CON ENTRADA HDMI MOUSE, TECLADO Y WIFI</t>
  </si>
  <si>
    <t>COMPUTADORA DE ESCRITORIO PROCESADOR INTEL CORE I5 8GB MEMORIA RAM, DISCO DURO 128 GB 0 240 GB DE ESTADO SOLIDO WIFI QUE INCLUYA MOUSE, TECLADO Y MONITOR DE 20" DMI CON HDMI (1)</t>
  </si>
  <si>
    <t>EXTINTOR</t>
  </si>
  <si>
    <t>ASPIRADORA</t>
  </si>
  <si>
    <t>AIRE ACONDICIONADO</t>
  </si>
  <si>
    <t>AIRE ACONDICIONADO 1 TON.</t>
  </si>
  <si>
    <t xml:space="preserve">AIRE ACONDICIONADO PARA OFICINA </t>
  </si>
  <si>
    <t>BATIDORA DE 10VEL 4.5Q</t>
  </si>
  <si>
    <t>CAMA INDIVIDUAL</t>
  </si>
  <si>
    <t>CALEFACTOR ELECTRICO DE CUARZO PARA EXTERIOR HQ1500EXR CALEFACTOR</t>
  </si>
  <si>
    <t>CAJA SEPARA DINERO REGISTRADORA</t>
  </si>
  <si>
    <t>CONTENEDOR DE BASURA DE 135 LTS CON TAPA Y RUEDAS</t>
  </si>
  <si>
    <t>LICUADORA MAX 3 VEL 1100W T/PROFESIONAL</t>
  </si>
  <si>
    <t>MÁQUINA PARA CORTE DE CABELLO con aditamentos</t>
  </si>
  <si>
    <t xml:space="preserve">MAQUINA OVERLOK </t>
  </si>
  <si>
    <t>MAQUINA DE COSER INDUSTRIAL  </t>
  </si>
  <si>
    <t>MAQUINA DE COSER ELECTRICA ZIG  </t>
  </si>
  <si>
    <t>MAQUINA CONTAR BILLETES</t>
  </si>
  <si>
    <t>MAQUINA CONTADORA DE MONEDAS</t>
  </si>
  <si>
    <t>PLANCHA INDUSTRIAL</t>
  </si>
  <si>
    <t>VENTILADOR DE PEDESTAL ASPAS METALICAS DE 18”</t>
  </si>
  <si>
    <t>SOPORTE PARA MICROFONO MEDIDA ESTANDAR PARA CANTAR (10)</t>
  </si>
  <si>
    <t>RELOJ CHECADOR ELECTRONICO MCA. A MANO</t>
  </si>
  <si>
    <t xml:space="preserve">REFRIGERADOR 11 PIES </t>
  </si>
  <si>
    <t xml:space="preserve">HORNO DE MICROONDAS </t>
  </si>
  <si>
    <t>BOCINA PROFESIONAL DE 15 PULGADAS CON 18000 WATSS DE POTENCIA MUSICAL BLUTOOH RADIO FM LECTOR USB Y SD SALIDA PARA CONECTAR BAFLE ENTRADA DE MIFROFONO</t>
  </si>
  <si>
    <t>PROYECTOR PROFESIONAL</t>
  </si>
  <si>
    <t>MICROFONO INALAMBRICO BLX24/B58 BETA 58 INALAMBRICO DE MANO (4)</t>
  </si>
  <si>
    <t>MICROFONO BLX24R/SM58 COLOR NEGRO 1 CANAL  (4)</t>
  </si>
  <si>
    <t>MICROFONO DE INSTRUMENTO ALAMBRICO PGA57-XLR (4)</t>
  </si>
  <si>
    <t>BAFLE 15" ELECTRO VOICE BT ZLX-15BT (2)</t>
  </si>
  <si>
    <t>MEZCLADORA DE 24 CANALES DIGITAL - 1</t>
  </si>
  <si>
    <t>MONITOR DE AUDIO AMPLIFICADO -2</t>
  </si>
  <si>
    <t>KIT CCTV 16 CAMARAS HIKVISION 5 MP COLORVU MICROFONO 4 TB</t>
  </si>
  <si>
    <t>CAMARA REFLEX EOS EBEL T7 CON LENTE EF-S 18-55 MM IS</t>
  </si>
  <si>
    <t xml:space="preserve">OTRO MOBILIARIO EDUCACIONAL Y RECREATIVO </t>
  </si>
  <si>
    <t xml:space="preserve">JUEGOS INFANTILES </t>
  </si>
  <si>
    <t>COLUMPIOS PARA INFANTES</t>
  </si>
  <si>
    <t>RESBALADILLA PARA INFANTES</t>
  </si>
  <si>
    <t>EQUIPO E INSTRUMENTAL MÉDICO Y DE LABORATORIO</t>
  </si>
  <si>
    <t>EQUIPO MÉDICO Y DE LABORATORIO</t>
  </si>
  <si>
    <t>SILLA DE RUEDAS 22"</t>
  </si>
  <si>
    <t>MAQUINARIA, OTROS EQUIPOS Y HERRAMIENTAS</t>
  </si>
  <si>
    <t>CORTADORA DE HILO DE CESPED POTENTE ELECTRICA DE 450 VOTIOS, CORTADORA DE MALEZAS</t>
  </si>
  <si>
    <t>DESBROZADORA DESMALEZADAORA A GASOLINA COD. 11031</t>
  </si>
  <si>
    <t>MAQUINARIA Y EQPO. INDUSTRIAL</t>
  </si>
  <si>
    <t>MAQUINARIA, EQPO. Y HERRAMIENTAS PARA IND.</t>
  </si>
  <si>
    <t xml:space="preserve">COMPRESOR DE AIRE </t>
  </si>
  <si>
    <t>HIDROLAVADORA K3</t>
  </si>
  <si>
    <t xml:space="preserve">MAQUINARIA Y EQUIPO DE CONSTRUCCION </t>
  </si>
  <si>
    <t xml:space="preserve">MAQUINARIA Y EQUIPO PARA LA CONSTRUCCION </t>
  </si>
  <si>
    <t>ANDAMIO</t>
  </si>
  <si>
    <t>REVOLVEDORAS PARA MEZCLA DE CONCRETO</t>
  </si>
  <si>
    <t xml:space="preserve">EQUIPO DE COMUNICACIÓN Y TELECOMUNICACION </t>
  </si>
  <si>
    <t xml:space="preserve">EQUIPO DE COMUNICACIÓN </t>
  </si>
  <si>
    <t xml:space="preserve">REGULADOR/CONTROLADOR DE CARGA </t>
  </si>
  <si>
    <t>TELEFONOS PACK DE 2 TELEFONOS PANASONIC KX-TGC 212 MED</t>
  </si>
  <si>
    <t xml:space="preserve">EQUIPO ELECTRICO DIVERSO </t>
  </si>
  <si>
    <t xml:space="preserve">ECUALIZADOR </t>
  </si>
  <si>
    <t>NO BREAK 700 W PARA RESPALDO DE ENERGIA (2)</t>
  </si>
  <si>
    <t xml:space="preserve"> HERRAMIENTAS Y MÁQUINAS - HERRAMIENTA</t>
  </si>
  <si>
    <t>BIRDGATE BARRERA</t>
  </si>
  <si>
    <t>PKT. KIT TALADRO ROTOMARTILLO Y DE IMPACTO DEWALT 20V INALAMBRICO</t>
  </si>
  <si>
    <t>SIERRA CISCULAR DE MANO 1500 WTT. TRUPER COD. 11004</t>
  </si>
  <si>
    <t>ESMERILADORA DE MANO 1250 W COD. 12873</t>
  </si>
  <si>
    <t>PISTOLA GRAVEDAD VASO ALUMINIO 400 ML. COD.11095</t>
  </si>
  <si>
    <t>TERMOFUSORA 600W CON DADOS 20, 25, 32 MM</t>
  </si>
  <si>
    <t xml:space="preserve">SOLDADOR INVERSOR </t>
  </si>
  <si>
    <t>TALADRO ROTOMARTILLO CINCELADOR 6 JOULES TRUPER COD. 101221</t>
  </si>
  <si>
    <t>TORNILLO BANCO</t>
  </si>
  <si>
    <t>OTROS APARATOS Y OTROS INSTRUMENTOS CIENTIFICOS Y DE LABORATORIO</t>
  </si>
  <si>
    <t>OTRO MOBILIARIO Y EQUIPO</t>
  </si>
  <si>
    <t>MASAJEADOR CORPORAL  BIOLECTRICO</t>
  </si>
  <si>
    <t>SOFTWARE</t>
  </si>
  <si>
    <t xml:space="preserve">SERVICIO INSTALACION DE SISTEMA </t>
  </si>
  <si>
    <t>LICENCIAS INFORMATICAS E INTELECTUALES</t>
  </si>
  <si>
    <t xml:space="preserve">LICENCIA INFORMATICA </t>
  </si>
  <si>
    <t>VELATORIO, CASA DEL ABUELO, CECAP, LA LOMA, ESTACIONAMIENTO, CENTRO DE COPIADO, ARTESANIAS, CENDI, CREE, PAMAR</t>
  </si>
  <si>
    <t>PARA EFICIENTAR LOS SERVICIOS DE ASISTENCIA SOCIAL QUE BRINDA LA INSTITUCIÓN EN BENEFICIO DE LAS PERSONAS EN SITUACIÓN DE VULNERABILIDAD</t>
  </si>
  <si>
    <t>PARA LAS FUNCIONES Y NECESIDADES DEL AREA USUARIA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</si>
</sst>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&quot;$&quot;#,##0.00"/>
    <numFmt numFmtId="165" formatCode="_-* #,##0_-;\-* #,##0_-;_-* &quot;-&quot;??_-;_-@_-"/>
    <numFmt numFmtId="166" formatCode="0_ ;\-0\ 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13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theme="1" tint="4.9989318521683403E-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8"/>
      <color rgb="FF000000"/>
      <name val="Calibri"/>
      <family val="2"/>
    </font>
    <font>
      <sz val="8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 Narrow"/>
      <family val="2"/>
    </font>
    <font>
      <sz val="8"/>
      <color rgb="FF3E3E3E"/>
      <name val="Arial Narrow"/>
      <family val="2"/>
    </font>
    <font>
      <sz val="8"/>
      <color rgb="FF000000"/>
      <name val="Arial Narrow"/>
      <family val="2"/>
    </font>
    <font>
      <sz val="10"/>
      <color theme="1"/>
      <name val="Calibri"/>
      <family val="2"/>
      <scheme val="minor"/>
    </font>
    <font>
      <sz val="9"/>
      <color rgb="FFFF000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6"/>
      <name val="Arial"/>
      <family val="2"/>
    </font>
    <font>
      <sz val="6"/>
      <color rgb="FF00000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7"/>
      <name val="Arial"/>
      <family val="2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Arial"/>
      <family val="2"/>
    </font>
    <font>
      <sz val="9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1DFF1"/>
        <bgColor indexed="64"/>
      </patternFill>
    </fill>
    <fill>
      <patternFill patternType="solid">
        <fgColor rgb="FFFAFAD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17" fillId="0" borderId="0" applyNumberFormat="0" applyBorder="0" applyProtection="0"/>
    <xf numFmtId="0" fontId="1" fillId="0" borderId="0"/>
    <xf numFmtId="0" fontId="1" fillId="0" borderId="0"/>
    <xf numFmtId="0" fontId="15" fillId="0" borderId="0"/>
    <xf numFmtId="43" fontId="1" fillId="0" borderId="0" applyFont="0" applyFill="0" applyBorder="0" applyAlignment="0" applyProtection="0"/>
  </cellStyleXfs>
  <cellXfs count="1416">
    <xf numFmtId="0" fontId="0" fillId="0" borderId="0" xfId="0"/>
    <xf numFmtId="0" fontId="3" fillId="0" borderId="0" xfId="0" applyFont="1" applyFill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6" fillId="7" borderId="2" xfId="1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vertical="center" wrapText="1"/>
    </xf>
    <xf numFmtId="43" fontId="7" fillId="0" borderId="2" xfId="1" applyFont="1" applyFill="1" applyBorder="1" applyAlignment="1">
      <alignment horizontal="center" vertical="center" wrapText="1"/>
    </xf>
    <xf numFmtId="43" fontId="7" fillId="0" borderId="2" xfId="1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Fill="1" applyBorder="1" applyAlignment="1">
      <alignment vertical="center" wrapText="1"/>
    </xf>
    <xf numFmtId="43" fontId="6" fillId="0" borderId="2" xfId="1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43" fontId="6" fillId="0" borderId="2" xfId="1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43" fontId="12" fillId="0" borderId="2" xfId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43" fontId="11" fillId="0" borderId="2" xfId="1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8" fillId="0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/>
    <xf numFmtId="43" fontId="8" fillId="0" borderId="2" xfId="1" applyFont="1" applyFill="1" applyBorder="1" applyAlignment="1">
      <alignment horizontal="center" wrapText="1"/>
    </xf>
    <xf numFmtId="0" fontId="7" fillId="0" borderId="12" xfId="0" applyFont="1" applyFill="1" applyBorder="1" applyAlignment="1">
      <alignment horizontal="left" vertical="center" wrapText="1"/>
    </xf>
    <xf numFmtId="0" fontId="10" fillId="0" borderId="7" xfId="4" applyFont="1" applyFill="1" applyBorder="1" applyAlignment="1"/>
    <xf numFmtId="0" fontId="8" fillId="0" borderId="2" xfId="0" applyFont="1" applyBorder="1"/>
    <xf numFmtId="0" fontId="13" fillId="7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vertical="center" wrapText="1"/>
    </xf>
    <xf numFmtId="0" fontId="6" fillId="7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 wrapText="1"/>
    </xf>
    <xf numFmtId="0" fontId="1" fillId="0" borderId="2" xfId="5" applyFill="1" applyBorder="1" applyAlignment="1" applyProtection="1">
      <alignment horizontal="center" vertical="center"/>
      <protection hidden="1"/>
    </xf>
    <xf numFmtId="0" fontId="1" fillId="0" borderId="6" xfId="5" applyFill="1" applyBorder="1" applyAlignment="1" applyProtection="1">
      <alignment horizontal="center" vertical="center"/>
      <protection hidden="1"/>
    </xf>
    <xf numFmtId="0" fontId="8" fillId="0" borderId="12" xfId="0" applyFont="1" applyBorder="1" applyAlignment="1">
      <alignment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6" xfId="5" applyFont="1" applyFill="1" applyBorder="1" applyAlignment="1" applyProtection="1">
      <alignment horizontal="center" vertical="center"/>
      <protection hidden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43" fontId="7" fillId="0" borderId="2" xfId="1" applyFont="1" applyFill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0" fontId="6" fillId="0" borderId="7" xfId="0" applyFont="1" applyFill="1" applyBorder="1" applyAlignment="1">
      <alignment horizontal="left" vertical="center" wrapText="1"/>
    </xf>
    <xf numFmtId="0" fontId="8" fillId="0" borderId="0" xfId="0" applyFont="1" applyFill="1"/>
    <xf numFmtId="43" fontId="8" fillId="0" borderId="0" xfId="1" applyFont="1" applyFill="1"/>
    <xf numFmtId="0" fontId="6" fillId="0" borderId="2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3" fillId="0" borderId="2" xfId="0" applyFont="1" applyFill="1" applyBorder="1"/>
    <xf numFmtId="0" fontId="3" fillId="0" borderId="2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/>
    </xf>
    <xf numFmtId="0" fontId="7" fillId="0" borderId="17" xfId="2" applyFont="1" applyFill="1" applyBorder="1" applyAlignment="1">
      <alignment horizontal="left" vertical="top" wrapText="1"/>
    </xf>
    <xf numFmtId="0" fontId="7" fillId="0" borderId="2" xfId="2" applyFont="1" applyFill="1" applyBorder="1" applyAlignment="1">
      <alignment horizontal="left" vertical="top" wrapText="1"/>
    </xf>
    <xf numFmtId="0" fontId="7" fillId="8" borderId="2" xfId="0" applyFont="1" applyFill="1" applyBorder="1" applyAlignment="1">
      <alignment horizontal="center" vertical="center" wrapText="1"/>
    </xf>
    <xf numFmtId="0" fontId="7" fillId="0" borderId="12" xfId="2" applyFont="1" applyFill="1" applyBorder="1" applyAlignment="1">
      <alignment horizontal="left" vertical="top" wrapText="1"/>
    </xf>
    <xf numFmtId="0" fontId="7" fillId="8" borderId="1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3" fillId="0" borderId="0" xfId="0" applyFont="1"/>
    <xf numFmtId="0" fontId="2" fillId="0" borderId="2" xfId="5" applyFont="1" applyFill="1" applyBorder="1" applyAlignment="1" applyProtection="1">
      <alignment horizontal="center" vertical="center"/>
      <protection hidden="1"/>
    </xf>
    <xf numFmtId="0" fontId="1" fillId="0" borderId="6" xfId="5" applyFont="1" applyFill="1" applyBorder="1" applyAlignment="1" applyProtection="1">
      <alignment horizontal="center" vertical="center"/>
      <protection hidden="1"/>
    </xf>
    <xf numFmtId="0" fontId="7" fillId="0" borderId="2" xfId="0" applyFont="1" applyBorder="1" applyAlignment="1">
      <alignment horizontal="center" vertical="center"/>
    </xf>
    <xf numFmtId="0" fontId="10" fillId="0" borderId="16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 wrapText="1" shrinkToFit="1"/>
      <protection locked="0"/>
    </xf>
    <xf numFmtId="0" fontId="7" fillId="8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3" fontId="0" fillId="0" borderId="0" xfId="1" applyFont="1"/>
    <xf numFmtId="0" fontId="2" fillId="0" borderId="0" xfId="0" applyFont="1" applyAlignment="1">
      <alignment horizontal="center"/>
    </xf>
    <xf numFmtId="0" fontId="0" fillId="0" borderId="0" xfId="0" applyFill="1"/>
    <xf numFmtId="0" fontId="2" fillId="9" borderId="2" xfId="0" applyFont="1" applyFill="1" applyBorder="1" applyAlignment="1">
      <alignment horizontal="center"/>
    </xf>
    <xf numFmtId="0" fontId="0" fillId="0" borderId="2" xfId="0" applyBorder="1"/>
    <xf numFmtId="43" fontId="0" fillId="0" borderId="2" xfId="1" applyFont="1" applyBorder="1"/>
    <xf numFmtId="0" fontId="2" fillId="0" borderId="2" xfId="0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7" fillId="0" borderId="0" xfId="0" applyFont="1" applyFill="1" applyBorder="1" applyAlignment="1">
      <alignment horizontal="center" vertical="center" wrapText="1"/>
    </xf>
    <xf numFmtId="0" fontId="1" fillId="0" borderId="12" xfId="5" applyFill="1" applyBorder="1" applyAlignment="1" applyProtection="1">
      <alignment horizontal="center" vertical="center"/>
      <protection hidden="1"/>
    </xf>
    <xf numFmtId="0" fontId="3" fillId="0" borderId="12" xfId="0" applyFont="1" applyFill="1" applyBorder="1" applyAlignment="1">
      <alignment horizontal="center" vertical="center"/>
    </xf>
    <xf numFmtId="0" fontId="3" fillId="0" borderId="2" xfId="0" applyFont="1" applyBorder="1"/>
    <xf numFmtId="43" fontId="2" fillId="0" borderId="0" xfId="1" applyFont="1"/>
    <xf numFmtId="43" fontId="0" fillId="0" borderId="1" xfId="1" applyFont="1" applyBorder="1"/>
    <xf numFmtId="49" fontId="0" fillId="9" borderId="2" xfId="1" applyNumberFormat="1" applyFont="1" applyFill="1" applyBorder="1" applyAlignment="1">
      <alignment horizontal="center"/>
    </xf>
    <xf numFmtId="0" fontId="7" fillId="0" borderId="2" xfId="2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wrapText="1"/>
    </xf>
    <xf numFmtId="0" fontId="7" fillId="8" borderId="2" xfId="2" applyFont="1" applyFill="1" applyBorder="1" applyAlignment="1">
      <alignment horizontal="left" vertical="top" wrapText="1"/>
    </xf>
    <xf numFmtId="0" fontId="8" fillId="0" borderId="12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left" wrapText="1"/>
    </xf>
    <xf numFmtId="49" fontId="2" fillId="9" borderId="2" xfId="1" applyNumberFormat="1" applyFont="1" applyFill="1" applyBorder="1" applyAlignment="1">
      <alignment horizontal="center"/>
    </xf>
    <xf numFmtId="0" fontId="7" fillId="8" borderId="12" xfId="0" applyFont="1" applyFill="1" applyBorder="1" applyAlignment="1">
      <alignment horizontal="left" wrapText="1"/>
    </xf>
    <xf numFmtId="0" fontId="8" fillId="8" borderId="2" xfId="0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left" vertical="center" wrapText="1"/>
    </xf>
    <xf numFmtId="0" fontId="0" fillId="0" borderId="2" xfId="0" applyFill="1" applyBorder="1"/>
    <xf numFmtId="43" fontId="0" fillId="0" borderId="2" xfId="1" applyFont="1" applyFill="1" applyBorder="1"/>
    <xf numFmtId="43" fontId="26" fillId="0" borderId="2" xfId="1" applyFont="1" applyBorder="1"/>
    <xf numFmtId="43" fontId="26" fillId="0" borderId="0" xfId="1" applyFont="1"/>
    <xf numFmtId="43" fontId="27" fillId="0" borderId="0" xfId="1" applyFont="1"/>
    <xf numFmtId="0" fontId="7" fillId="0" borderId="2" xfId="0" applyFont="1" applyBorder="1" applyAlignment="1">
      <alignment horizontal="left" vertical="center"/>
    </xf>
    <xf numFmtId="0" fontId="7" fillId="8" borderId="2" xfId="2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wrapText="1"/>
    </xf>
    <xf numFmtId="43" fontId="1" fillId="0" borderId="0" xfId="1" applyFont="1"/>
    <xf numFmtId="43" fontId="1" fillId="0" borderId="2" xfId="1" applyFont="1" applyFill="1" applyBorder="1" applyAlignment="1">
      <alignment horizontal="center"/>
    </xf>
    <xf numFmtId="43" fontId="1" fillId="0" borderId="13" xfId="1" applyFont="1" applyBorder="1"/>
    <xf numFmtId="43" fontId="1" fillId="0" borderId="0" xfId="1" applyFont="1" applyFill="1"/>
    <xf numFmtId="0" fontId="6" fillId="0" borderId="1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7" fillId="0" borderId="2" xfId="2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8" borderId="2" xfId="0" applyFont="1" applyFill="1" applyBorder="1" applyAlignment="1">
      <alignment horizontal="left" vertical="center"/>
    </xf>
    <xf numFmtId="0" fontId="7" fillId="8" borderId="2" xfId="2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8" borderId="2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left" wrapText="1"/>
    </xf>
    <xf numFmtId="0" fontId="7" fillId="0" borderId="2" xfId="2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wrapText="1"/>
    </xf>
    <xf numFmtId="3" fontId="7" fillId="8" borderId="2" xfId="2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/>
    </xf>
    <xf numFmtId="0" fontId="7" fillId="8" borderId="10" xfId="2" applyFont="1" applyFill="1" applyBorder="1" applyAlignment="1">
      <alignment horizontal="left" vertical="top" wrapText="1"/>
    </xf>
    <xf numFmtId="43" fontId="0" fillId="0" borderId="8" xfId="1" applyFont="1" applyFill="1" applyBorder="1" applyAlignment="1">
      <alignment horizontal="center"/>
    </xf>
    <xf numFmtId="43" fontId="0" fillId="0" borderId="0" xfId="1" applyFont="1" applyFill="1"/>
    <xf numFmtId="43" fontId="28" fillId="0" borderId="0" xfId="1" applyFont="1"/>
    <xf numFmtId="0" fontId="7" fillId="0" borderId="2" xfId="0" applyFont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2" fillId="0" borderId="0" xfId="0" applyFont="1"/>
    <xf numFmtId="43" fontId="0" fillId="0" borderId="0" xfId="1" applyFont="1" applyAlignment="1">
      <alignment horizontal="center"/>
    </xf>
    <xf numFmtId="43" fontId="0" fillId="0" borderId="0" xfId="0" applyNumberFormat="1"/>
    <xf numFmtId="2" fontId="10" fillId="8" borderId="2" xfId="0" applyNumberFormat="1" applyFont="1" applyFill="1" applyBorder="1" applyAlignment="1">
      <alignment horizontal="left" vertical="center" wrapText="1"/>
    </xf>
    <xf numFmtId="43" fontId="2" fillId="0" borderId="2" xfId="0" applyNumberFormat="1" applyFont="1" applyFill="1" applyBorder="1" applyAlignment="1">
      <alignment horizontal="center"/>
    </xf>
    <xf numFmtId="43" fontId="2" fillId="2" borderId="2" xfId="0" applyNumberFormat="1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2" fontId="7" fillId="0" borderId="12" xfId="0" applyNumberFormat="1" applyFont="1" applyFill="1" applyBorder="1" applyAlignment="1">
      <alignment horizontal="left" vertical="center" wrapText="1"/>
    </xf>
    <xf numFmtId="2" fontId="8" fillId="0" borderId="16" xfId="0" applyNumberFormat="1" applyFont="1" applyFill="1" applyBorder="1" applyAlignment="1">
      <alignment horizontal="left" vertical="center" wrapText="1"/>
    </xf>
    <xf numFmtId="43" fontId="0" fillId="0" borderId="10" xfId="1" applyFont="1" applyFill="1" applyBorder="1" applyAlignment="1">
      <alignment horizontal="center"/>
    </xf>
    <xf numFmtId="43" fontId="0" fillId="0" borderId="2" xfId="1" applyFont="1" applyFill="1" applyBorder="1" applyAlignment="1">
      <alignment horizontal="center"/>
    </xf>
    <xf numFmtId="43" fontId="1" fillId="0" borderId="10" xfId="1" applyFont="1" applyFill="1" applyBorder="1" applyAlignment="1">
      <alignment horizontal="center"/>
    </xf>
    <xf numFmtId="43" fontId="1" fillId="0" borderId="2" xfId="1" applyFont="1" applyFill="1" applyBorder="1"/>
    <xf numFmtId="43" fontId="26" fillId="0" borderId="2" xfId="1" applyFont="1" applyFill="1" applyBorder="1"/>
    <xf numFmtId="0" fontId="8" fillId="0" borderId="10" xfId="0" applyFont="1" applyBorder="1" applyAlignment="1">
      <alignment vertical="center" wrapText="1"/>
    </xf>
    <xf numFmtId="0" fontId="7" fillId="0" borderId="19" xfId="0" applyFont="1" applyFill="1" applyBorder="1" applyAlignment="1">
      <alignment horizontal="left" wrapText="1"/>
    </xf>
    <xf numFmtId="0" fontId="7" fillId="0" borderId="10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43" fontId="2" fillId="0" borderId="2" xfId="1" applyFont="1" applyBorder="1"/>
    <xf numFmtId="0" fontId="2" fillId="0" borderId="2" xfId="0" applyFont="1" applyBorder="1"/>
    <xf numFmtId="0" fontId="0" fillId="11" borderId="0" xfId="0" applyFill="1"/>
    <xf numFmtId="0" fontId="2" fillId="11" borderId="2" xfId="0" applyFont="1" applyFill="1" applyBorder="1" applyAlignment="1">
      <alignment horizontal="center" vertical="center"/>
    </xf>
    <xf numFmtId="0" fontId="0" fillId="11" borderId="2" xfId="0" applyFont="1" applyFill="1" applyBorder="1" applyAlignment="1">
      <alignment horizontal="center"/>
    </xf>
    <xf numFmtId="43" fontId="0" fillId="11" borderId="2" xfId="0" applyNumberFormat="1" applyFont="1" applyFill="1" applyBorder="1" applyAlignment="1">
      <alignment horizontal="center"/>
    </xf>
    <xf numFmtId="43" fontId="2" fillId="11" borderId="2" xfId="0" applyNumberFormat="1" applyFont="1" applyFill="1" applyBorder="1" applyAlignment="1">
      <alignment horizontal="center"/>
    </xf>
    <xf numFmtId="43" fontId="0" fillId="11" borderId="0" xfId="1" applyFont="1" applyFill="1"/>
    <xf numFmtId="43" fontId="0" fillId="11" borderId="0" xfId="0" applyNumberFormat="1" applyFill="1"/>
    <xf numFmtId="43" fontId="1" fillId="0" borderId="10" xfId="1" applyFont="1" applyBorder="1" applyAlignment="1">
      <alignment horizontal="center" vertical="center" wrapText="1"/>
    </xf>
    <xf numFmtId="43" fontId="1" fillId="0" borderId="2" xfId="1" applyFont="1" applyBorder="1"/>
    <xf numFmtId="0" fontId="2" fillId="9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7" fillId="0" borderId="2" xfId="2" applyFont="1" applyBorder="1" applyAlignment="1">
      <alignment horizontal="left" vertical="top" wrapText="1"/>
    </xf>
    <xf numFmtId="0" fontId="7" fillId="0" borderId="0" xfId="2" applyFont="1" applyFill="1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34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0" fontId="25" fillId="0" borderId="2" xfId="0" applyFont="1" applyBorder="1" applyAlignment="1">
      <alignment horizontal="left" vertical="center" wrapText="1"/>
    </xf>
    <xf numFmtId="0" fontId="8" fillId="0" borderId="2" xfId="2" applyFont="1" applyBorder="1" applyAlignment="1">
      <alignment horizontal="left" vertical="center" wrapText="1"/>
    </xf>
    <xf numFmtId="0" fontId="7" fillId="0" borderId="12" xfId="2" applyFont="1" applyBorder="1" applyAlignment="1">
      <alignment horizontal="left" vertical="center" wrapText="1"/>
    </xf>
    <xf numFmtId="0" fontId="7" fillId="0" borderId="12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38" fillId="0" borderId="2" xfId="6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6" fillId="0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7" fillId="0" borderId="7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left" wrapText="1"/>
    </xf>
    <xf numFmtId="0" fontId="16" fillId="0" borderId="7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wrapText="1"/>
    </xf>
    <xf numFmtId="43" fontId="0" fillId="0" borderId="2" xfId="0" applyNumberFormat="1" applyFont="1" applyFill="1" applyBorder="1" applyAlignment="1">
      <alignment horizontal="center"/>
    </xf>
    <xf numFmtId="49" fontId="2" fillId="0" borderId="2" xfId="1" applyNumberFormat="1" applyFont="1" applyFill="1" applyBorder="1" applyAlignment="1">
      <alignment horizontal="center"/>
    </xf>
    <xf numFmtId="43" fontId="7" fillId="0" borderId="12" xfId="0" applyNumberFormat="1" applyFont="1" applyBorder="1" applyAlignment="1">
      <alignment horizontal="left" vertical="center" wrapText="1"/>
    </xf>
    <xf numFmtId="43" fontId="12" fillId="0" borderId="0" xfId="1" applyFont="1"/>
    <xf numFmtId="43" fontId="11" fillId="0" borderId="0" xfId="1" applyFont="1"/>
    <xf numFmtId="0" fontId="12" fillId="0" borderId="0" xfId="0" applyFont="1"/>
    <xf numFmtId="43" fontId="12" fillId="0" borderId="1" xfId="1" applyFont="1" applyBorder="1"/>
    <xf numFmtId="43" fontId="14" fillId="0" borderId="0" xfId="1" applyFont="1"/>
    <xf numFmtId="0" fontId="0" fillId="0" borderId="1" xfId="0" applyBorder="1"/>
    <xf numFmtId="43" fontId="12" fillId="0" borderId="0" xfId="1" applyFont="1" applyBorder="1"/>
    <xf numFmtId="43" fontId="42" fillId="0" borderId="2" xfId="0" applyNumberFormat="1" applyFont="1" applyFill="1" applyBorder="1" applyAlignment="1">
      <alignment horizontal="center"/>
    </xf>
    <xf numFmtId="0" fontId="28" fillId="0" borderId="0" xfId="0" applyFont="1"/>
    <xf numFmtId="0" fontId="42" fillId="0" borderId="0" xfId="0" applyFont="1"/>
    <xf numFmtId="0" fontId="42" fillId="0" borderId="0" xfId="0" applyFont="1" applyAlignment="1">
      <alignment horizontal="center"/>
    </xf>
    <xf numFmtId="0" fontId="28" fillId="0" borderId="0" xfId="0" applyFont="1" applyFill="1"/>
    <xf numFmtId="2" fontId="7" fillId="0" borderId="12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0" fontId="8" fillId="0" borderId="12" xfId="0" applyFont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43" fontId="7" fillId="0" borderId="12" xfId="0" applyNumberFormat="1" applyFont="1" applyBorder="1" applyAlignment="1">
      <alignment horizontal="center" vertical="center" wrapText="1"/>
    </xf>
    <xf numFmtId="0" fontId="7" fillId="0" borderId="16" xfId="0" applyNumberFormat="1" applyFont="1" applyFill="1" applyBorder="1" applyAlignment="1">
      <alignment horizontal="center" vertical="center" wrapText="1"/>
    </xf>
    <xf numFmtId="43" fontId="16" fillId="0" borderId="12" xfId="0" applyNumberFormat="1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wrapText="1"/>
    </xf>
    <xf numFmtId="0" fontId="10" fillId="0" borderId="12" xfId="4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/>
    </xf>
    <xf numFmtId="0" fontId="3" fillId="6" borderId="12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7" borderId="12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wrapText="1"/>
    </xf>
    <xf numFmtId="0" fontId="45" fillId="0" borderId="12" xfId="0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wrapText="1"/>
    </xf>
    <xf numFmtId="0" fontId="44" fillId="8" borderId="12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 wrapText="1"/>
    </xf>
    <xf numFmtId="0" fontId="46" fillId="0" borderId="12" xfId="0" applyFont="1" applyFill="1" applyBorder="1" applyAlignment="1">
      <alignment horizontal="center" wrapText="1"/>
    </xf>
    <xf numFmtId="0" fontId="46" fillId="6" borderId="12" xfId="0" applyFont="1" applyFill="1" applyBorder="1" applyAlignment="1">
      <alignment horizontal="center" wrapText="1"/>
    </xf>
    <xf numFmtId="0" fontId="46" fillId="0" borderId="0" xfId="0" applyFont="1" applyFill="1" applyAlignment="1">
      <alignment horizontal="center"/>
    </xf>
    <xf numFmtId="0" fontId="46" fillId="0" borderId="12" xfId="0" applyFont="1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4" fillId="0" borderId="7" xfId="0" applyFont="1" applyFill="1" applyBorder="1" applyAlignment="1">
      <alignment horizontal="center" vertical="center" wrapText="1"/>
    </xf>
    <xf numFmtId="0" fontId="44" fillId="8" borderId="0" xfId="0" applyFont="1" applyFill="1" applyAlignment="1">
      <alignment horizontal="center" vertical="center" wrapText="1"/>
    </xf>
    <xf numFmtId="0" fontId="0" fillId="9" borderId="0" xfId="0" applyFill="1"/>
    <xf numFmtId="2" fontId="0" fillId="0" borderId="0" xfId="0" applyNumberFormat="1" applyFill="1"/>
    <xf numFmtId="0" fontId="0" fillId="12" borderId="0" xfId="0" applyFill="1"/>
    <xf numFmtId="2" fontId="0" fillId="12" borderId="0" xfId="0" applyNumberFormat="1" applyFill="1"/>
    <xf numFmtId="164" fontId="0" fillId="0" borderId="0" xfId="0" applyNumberFormat="1"/>
    <xf numFmtId="43" fontId="0" fillId="12" borderId="2" xfId="1" applyFont="1" applyFill="1" applyBorder="1"/>
    <xf numFmtId="0" fontId="44" fillId="9" borderId="12" xfId="0" applyFont="1" applyFill="1" applyBorder="1" applyAlignment="1">
      <alignment horizontal="center" vertical="center" wrapText="1"/>
    </xf>
    <xf numFmtId="43" fontId="0" fillId="9" borderId="2" xfId="1" applyFont="1" applyFill="1" applyBorder="1"/>
    <xf numFmtId="0" fontId="6" fillId="13" borderId="2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12" xfId="0" applyFont="1" applyFill="1" applyBorder="1" applyAlignment="1">
      <alignment horizontal="center" vertical="center" wrapText="1"/>
    </xf>
    <xf numFmtId="0" fontId="44" fillId="13" borderId="12" xfId="0" applyFont="1" applyFill="1" applyBorder="1" applyAlignment="1">
      <alignment horizontal="center" vertical="center" wrapText="1"/>
    </xf>
    <xf numFmtId="43" fontId="0" fillId="13" borderId="2" xfId="1" applyFont="1" applyFill="1" applyBorder="1"/>
    <xf numFmtId="0" fontId="0" fillId="13" borderId="0" xfId="0" applyFill="1"/>
    <xf numFmtId="0" fontId="6" fillId="14" borderId="2" xfId="0" applyFont="1" applyFill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12" xfId="0" applyFont="1" applyFill="1" applyBorder="1" applyAlignment="1">
      <alignment horizontal="center" vertical="center" wrapText="1"/>
    </xf>
    <xf numFmtId="0" fontId="44" fillId="14" borderId="12" xfId="0" applyFont="1" applyFill="1" applyBorder="1" applyAlignment="1">
      <alignment horizontal="center" vertical="center" wrapText="1"/>
    </xf>
    <xf numFmtId="43" fontId="0" fillId="14" borderId="2" xfId="1" applyFont="1" applyFill="1" applyBorder="1"/>
    <xf numFmtId="0" fontId="6" fillId="11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12" xfId="0" applyFont="1" applyFill="1" applyBorder="1" applyAlignment="1">
      <alignment horizontal="center" vertical="center" wrapText="1"/>
    </xf>
    <xf numFmtId="0" fontId="44" fillId="11" borderId="12" xfId="0" applyFont="1" applyFill="1" applyBorder="1" applyAlignment="1">
      <alignment horizontal="center" vertical="center" wrapText="1"/>
    </xf>
    <xf numFmtId="43" fontId="0" fillId="11" borderId="2" xfId="1" applyFont="1" applyFill="1" applyBorder="1"/>
    <xf numFmtId="0" fontId="6" fillId="15" borderId="2" xfId="0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center" vertical="center" wrapText="1"/>
    </xf>
    <xf numFmtId="43" fontId="0" fillId="15" borderId="2" xfId="1" applyFont="1" applyFill="1" applyBorder="1"/>
    <xf numFmtId="0" fontId="7" fillId="15" borderId="12" xfId="0" applyFont="1" applyFill="1" applyBorder="1" applyAlignment="1">
      <alignment horizontal="center" vertical="center" wrapText="1"/>
    </xf>
    <xf numFmtId="0" fontId="44" fillId="15" borderId="12" xfId="0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0" fontId="7" fillId="15" borderId="4" xfId="0" applyFont="1" applyFill="1" applyBorder="1" applyAlignment="1">
      <alignment horizontal="center" vertical="center" wrapText="1"/>
    </xf>
    <xf numFmtId="0" fontId="44" fillId="15" borderId="4" xfId="0" applyFont="1" applyFill="1" applyBorder="1" applyAlignment="1">
      <alignment horizontal="center" vertical="center" wrapText="1"/>
    </xf>
    <xf numFmtId="0" fontId="7" fillId="14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44" fillId="14" borderId="4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wrapText="1"/>
    </xf>
    <xf numFmtId="0" fontId="8" fillId="14" borderId="12" xfId="0" applyFont="1" applyFill="1" applyBorder="1" applyAlignment="1">
      <alignment horizontal="center" wrapText="1"/>
    </xf>
    <xf numFmtId="0" fontId="45" fillId="14" borderId="12" xfId="0" applyFont="1" applyFill="1" applyBorder="1" applyAlignment="1">
      <alignment horizontal="center" wrapText="1"/>
    </xf>
    <xf numFmtId="43" fontId="7" fillId="0" borderId="12" xfId="0" applyNumberFormat="1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wrapText="1"/>
    </xf>
    <xf numFmtId="0" fontId="8" fillId="15" borderId="4" xfId="0" applyFont="1" applyFill="1" applyBorder="1" applyAlignment="1">
      <alignment horizontal="center" wrapText="1"/>
    </xf>
    <xf numFmtId="0" fontId="45" fillId="15" borderId="4" xfId="0" applyFont="1" applyFill="1" applyBorder="1" applyAlignment="1">
      <alignment horizontal="center" wrapText="1"/>
    </xf>
    <xf numFmtId="43" fontId="0" fillId="0" borderId="3" xfId="1" applyFont="1" applyBorder="1"/>
    <xf numFmtId="2" fontId="0" fillId="0" borderId="2" xfId="0" applyNumberFormat="1" applyFill="1" applyBorder="1"/>
    <xf numFmtId="1" fontId="0" fillId="0" borderId="2" xfId="0" applyNumberFormat="1" applyFill="1" applyBorder="1"/>
    <xf numFmtId="43" fontId="7" fillId="0" borderId="2" xfId="0" applyNumberFormat="1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vertical="center" wrapText="1"/>
    </xf>
    <xf numFmtId="0" fontId="7" fillId="14" borderId="10" xfId="0" applyFont="1" applyFill="1" applyBorder="1" applyAlignment="1">
      <alignment horizontal="center" vertical="center" wrapText="1"/>
    </xf>
    <xf numFmtId="0" fontId="7" fillId="14" borderId="7" xfId="0" applyFont="1" applyFill="1" applyBorder="1" applyAlignment="1">
      <alignment horizontal="center" vertical="center" wrapText="1"/>
    </xf>
    <xf numFmtId="0" fontId="44" fillId="14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44" fillId="2" borderId="12" xfId="0" applyFont="1" applyFill="1" applyBorder="1" applyAlignment="1">
      <alignment horizontal="center" vertical="center" wrapText="1"/>
    </xf>
    <xf numFmtId="43" fontId="0" fillId="2" borderId="2" xfId="1" applyFont="1" applyFill="1" applyBorder="1"/>
    <xf numFmtId="0" fontId="0" fillId="2" borderId="0" xfId="0" applyFill="1"/>
    <xf numFmtId="43" fontId="8" fillId="0" borderId="12" xfId="0" applyNumberFormat="1" applyFont="1" applyFill="1" applyBorder="1" applyAlignment="1">
      <alignment horizontal="left" vertical="center" wrapText="1"/>
    </xf>
    <xf numFmtId="0" fontId="3" fillId="13" borderId="0" xfId="0" applyFont="1" applyFill="1" applyAlignment="1">
      <alignment horizontal="center" wrapText="1"/>
    </xf>
    <xf numFmtId="0" fontId="46" fillId="13" borderId="0" xfId="0" applyFont="1" applyFill="1" applyAlignment="1">
      <alignment horizontal="center" wrapText="1"/>
    </xf>
    <xf numFmtId="0" fontId="6" fillId="15" borderId="3" xfId="0" applyFont="1" applyFill="1" applyBorder="1" applyAlignment="1">
      <alignment horizontal="left" vertical="center" wrapText="1"/>
    </xf>
    <xf numFmtId="0" fontId="6" fillId="15" borderId="2" xfId="0" applyFont="1" applyFill="1" applyBorder="1" applyAlignment="1">
      <alignment horizontal="left" vertical="center" wrapText="1"/>
    </xf>
    <xf numFmtId="0" fontId="7" fillId="15" borderId="0" xfId="0" applyFont="1" applyFill="1" applyBorder="1" applyAlignment="1">
      <alignment horizontal="center" vertical="center" wrapText="1"/>
    </xf>
    <xf numFmtId="0" fontId="3" fillId="15" borderId="0" xfId="0" applyFont="1" applyFill="1"/>
    <xf numFmtId="0" fontId="6" fillId="15" borderId="2" xfId="0" applyFont="1" applyFill="1" applyBorder="1" applyAlignment="1">
      <alignment horizontal="left" vertical="top" wrapText="1"/>
    </xf>
    <xf numFmtId="0" fontId="7" fillId="15" borderId="7" xfId="0" applyFont="1" applyFill="1" applyBorder="1" applyAlignment="1">
      <alignment horizontal="center" vertical="center" wrapText="1"/>
    </xf>
    <xf numFmtId="0" fontId="44" fillId="15" borderId="7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4" fillId="15" borderId="2" xfId="0" applyFont="1" applyFill="1" applyBorder="1" applyAlignment="1">
      <alignment horizontal="center" vertical="center" wrapText="1"/>
    </xf>
    <xf numFmtId="0" fontId="44" fillId="14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wrapText="1"/>
    </xf>
    <xf numFmtId="0" fontId="46" fillId="14" borderId="2" xfId="0" applyFont="1" applyFill="1" applyBorder="1" applyAlignment="1">
      <alignment horizont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44" fillId="11" borderId="2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wrapText="1"/>
    </xf>
    <xf numFmtId="0" fontId="46" fillId="11" borderId="2" xfId="0" applyFont="1" applyFill="1" applyBorder="1" applyAlignment="1">
      <alignment horizontal="center" wrapText="1"/>
    </xf>
    <xf numFmtId="0" fontId="6" fillId="11" borderId="3" xfId="0" applyFont="1" applyFill="1" applyBorder="1" applyAlignment="1">
      <alignment horizontal="left" vertical="center" wrapText="1"/>
    </xf>
    <xf numFmtId="0" fontId="6" fillId="11" borderId="2" xfId="0" applyFont="1" applyFill="1" applyBorder="1" applyAlignment="1">
      <alignment horizontal="left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7" fillId="16" borderId="12" xfId="0" applyFont="1" applyFill="1" applyBorder="1" applyAlignment="1">
      <alignment horizontal="center" vertical="center" wrapText="1"/>
    </xf>
    <xf numFmtId="0" fontId="44" fillId="16" borderId="12" xfId="0" applyFont="1" applyFill="1" applyBorder="1" applyAlignment="1">
      <alignment horizontal="center" vertical="center" wrapText="1"/>
    </xf>
    <xf numFmtId="43" fontId="0" fillId="16" borderId="2" xfId="1" applyFont="1" applyFill="1" applyBorder="1"/>
    <xf numFmtId="0" fontId="3" fillId="11" borderId="0" xfId="0" applyFont="1" applyFill="1"/>
    <xf numFmtId="0" fontId="7" fillId="11" borderId="0" xfId="0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center" vertical="center" wrapText="1"/>
    </xf>
    <xf numFmtId="0" fontId="44" fillId="11" borderId="4" xfId="0" applyFont="1" applyFill="1" applyBorder="1" applyAlignment="1">
      <alignment horizontal="center" vertical="center" wrapText="1"/>
    </xf>
    <xf numFmtId="0" fontId="0" fillId="9" borderId="2" xfId="0" applyFill="1" applyBorder="1"/>
    <xf numFmtId="0" fontId="0" fillId="13" borderId="2" xfId="0" applyFill="1" applyBorder="1"/>
    <xf numFmtId="0" fontId="0" fillId="14" borderId="2" xfId="0" applyFill="1" applyBorder="1"/>
    <xf numFmtId="0" fontId="0" fillId="11" borderId="2" xfId="0" applyFill="1" applyBorder="1"/>
    <xf numFmtId="0" fontId="6" fillId="15" borderId="10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vertical="center" wrapText="1"/>
    </xf>
    <xf numFmtId="0" fontId="10" fillId="0" borderId="2" xfId="4" applyFont="1" applyFill="1" applyBorder="1" applyAlignment="1">
      <alignment horizontal="left"/>
    </xf>
    <xf numFmtId="0" fontId="10" fillId="0" borderId="2" xfId="0" applyFont="1" applyFill="1" applyBorder="1" applyAlignment="1"/>
    <xf numFmtId="0" fontId="6" fillId="13" borderId="2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center" vertical="center"/>
    </xf>
    <xf numFmtId="43" fontId="26" fillId="11" borderId="2" xfId="1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44" fillId="2" borderId="4" xfId="0" applyFont="1" applyFill="1" applyBorder="1" applyAlignment="1">
      <alignment horizontal="center" vertical="center" wrapText="1"/>
    </xf>
    <xf numFmtId="0" fontId="1" fillId="0" borderId="4" xfId="5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1" fillId="0" borderId="10" xfId="5" applyFill="1" applyBorder="1" applyAlignment="1" applyProtection="1">
      <alignment horizontal="center" vertical="center"/>
      <protection hidden="1"/>
    </xf>
    <xf numFmtId="0" fontId="3" fillId="0" borderId="8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26" fillId="11" borderId="2" xfId="0" applyFont="1" applyFill="1" applyBorder="1"/>
    <xf numFmtId="2" fontId="26" fillId="11" borderId="2" xfId="0" applyNumberFormat="1" applyFont="1" applyFill="1" applyBorder="1"/>
    <xf numFmtId="1" fontId="26" fillId="11" borderId="2" xfId="0" applyNumberFormat="1" applyFont="1" applyFill="1" applyBorder="1"/>
    <xf numFmtId="0" fontId="6" fillId="11" borderId="2" xfId="0" applyFont="1" applyFill="1" applyBorder="1"/>
    <xf numFmtId="0" fontId="6" fillId="11" borderId="10" xfId="0" applyFont="1" applyFill="1" applyBorder="1" applyAlignment="1">
      <alignment horizontal="center" vertical="center" wrapText="1"/>
    </xf>
    <xf numFmtId="0" fontId="6" fillId="11" borderId="10" xfId="0" applyFont="1" applyFill="1" applyBorder="1" applyAlignment="1">
      <alignment horizontal="left" vertical="center" wrapText="1"/>
    </xf>
    <xf numFmtId="0" fontId="7" fillId="11" borderId="10" xfId="0" applyFont="1" applyFill="1" applyBorder="1" applyAlignment="1">
      <alignment horizontal="center" vertical="center" wrapText="1"/>
    </xf>
    <xf numFmtId="0" fontId="7" fillId="11" borderId="7" xfId="0" applyFont="1" applyFill="1" applyBorder="1" applyAlignment="1">
      <alignment horizontal="center" vertical="center" wrapText="1"/>
    </xf>
    <xf numFmtId="0" fontId="44" fillId="11" borderId="7" xfId="0" applyFont="1" applyFill="1" applyBorder="1" applyAlignment="1">
      <alignment horizontal="center" vertical="center" wrapText="1"/>
    </xf>
    <xf numFmtId="0" fontId="0" fillId="2" borderId="2" xfId="0" applyFill="1" applyBorder="1"/>
    <xf numFmtId="2" fontId="0" fillId="2" borderId="2" xfId="0" applyNumberFormat="1" applyFill="1" applyBorder="1"/>
    <xf numFmtId="1" fontId="0" fillId="2" borderId="2" xfId="0" applyNumberFormat="1" applyFill="1" applyBorder="1"/>
    <xf numFmtId="0" fontId="7" fillId="16" borderId="2" xfId="0" applyFont="1" applyFill="1" applyBorder="1" applyAlignment="1">
      <alignment horizontal="center" vertical="center" wrapText="1"/>
    </xf>
    <xf numFmtId="0" fontId="44" fillId="16" borderId="2" xfId="0" applyFont="1" applyFill="1" applyBorder="1" applyAlignment="1">
      <alignment horizontal="center" vertical="center" wrapText="1"/>
    </xf>
    <xf numFmtId="0" fontId="0" fillId="16" borderId="2" xfId="0" applyFill="1" applyBorder="1"/>
    <xf numFmtId="2" fontId="0" fillId="16" borderId="2" xfId="0" applyNumberFormat="1" applyFill="1" applyBorder="1"/>
    <xf numFmtId="1" fontId="0" fillId="16" borderId="2" xfId="0" applyNumberFormat="1" applyFill="1" applyBorder="1"/>
    <xf numFmtId="2" fontId="0" fillId="11" borderId="2" xfId="0" applyNumberFormat="1" applyFill="1" applyBorder="1"/>
    <xf numFmtId="1" fontId="0" fillId="11" borderId="2" xfId="0" applyNumberFormat="1" applyFill="1" applyBorder="1"/>
    <xf numFmtId="0" fontId="6" fillId="16" borderId="3" xfId="0" applyFont="1" applyFill="1" applyBorder="1" applyAlignment="1">
      <alignment horizontal="center" vertical="center" wrapText="1"/>
    </xf>
    <xf numFmtId="0" fontId="7" fillId="16" borderId="4" xfId="0" applyFont="1" applyFill="1" applyBorder="1" applyAlignment="1">
      <alignment horizontal="center" vertical="center" wrapText="1"/>
    </xf>
    <xf numFmtId="0" fontId="44" fillId="16" borderId="4" xfId="0" applyFont="1" applyFill="1" applyBorder="1" applyAlignment="1">
      <alignment horizontal="center" vertical="center" wrapText="1"/>
    </xf>
    <xf numFmtId="0" fontId="0" fillId="16" borderId="0" xfId="0" applyFill="1"/>
    <xf numFmtId="43" fontId="0" fillId="0" borderId="13" xfId="1" applyFont="1" applyBorder="1"/>
    <xf numFmtId="0" fontId="3" fillId="0" borderId="7" xfId="0" applyFont="1" applyFill="1" applyBorder="1" applyAlignment="1">
      <alignment horizontal="center"/>
    </xf>
    <xf numFmtId="0" fontId="1" fillId="0" borderId="8" xfId="5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7" fillId="8" borderId="10" xfId="2" applyFont="1" applyFill="1" applyBorder="1" applyAlignment="1">
      <alignment horizontal="left" wrapText="1"/>
    </xf>
    <xf numFmtId="2" fontId="0" fillId="0" borderId="13" xfId="1" applyNumberFormat="1" applyFont="1" applyFill="1" applyBorder="1"/>
    <xf numFmtId="43" fontId="0" fillId="0" borderId="13" xfId="1" applyFont="1" applyFill="1" applyBorder="1"/>
    <xf numFmtId="43" fontId="0" fillId="0" borderId="5" xfId="1" applyFont="1" applyFill="1" applyBorder="1"/>
    <xf numFmtId="0" fontId="0" fillId="0" borderId="13" xfId="0" applyFill="1" applyBorder="1"/>
    <xf numFmtId="43" fontId="0" fillId="11" borderId="13" xfId="1" applyFont="1" applyFill="1" applyBorder="1"/>
    <xf numFmtId="43" fontId="26" fillId="11" borderId="13" xfId="1" applyFont="1" applyFill="1" applyBorder="1"/>
    <xf numFmtId="0" fontId="26" fillId="11" borderId="13" xfId="0" applyFont="1" applyFill="1" applyBorder="1"/>
    <xf numFmtId="0" fontId="0" fillId="16" borderId="13" xfId="0" applyFill="1" applyBorder="1"/>
    <xf numFmtId="0" fontId="0" fillId="11" borderId="13" xfId="0" applyFill="1" applyBorder="1"/>
    <xf numFmtId="0" fontId="0" fillId="2" borderId="13" xfId="0" applyFill="1" applyBorder="1"/>
    <xf numFmtId="43" fontId="0" fillId="15" borderId="13" xfId="1" applyFont="1" applyFill="1" applyBorder="1"/>
    <xf numFmtId="2" fontId="0" fillId="0" borderId="2" xfId="0" applyNumberFormat="1" applyBorder="1"/>
    <xf numFmtId="1" fontId="0" fillId="0" borderId="2" xfId="0" applyNumberFormat="1" applyBorder="1"/>
    <xf numFmtId="0" fontId="0" fillId="15" borderId="2" xfId="0" applyFill="1" applyBorder="1"/>
    <xf numFmtId="2" fontId="0" fillId="15" borderId="2" xfId="0" applyNumberFormat="1" applyFill="1" applyBorder="1"/>
    <xf numFmtId="1" fontId="0" fillId="15" borderId="2" xfId="0" applyNumberFormat="1" applyFill="1" applyBorder="1"/>
    <xf numFmtId="2" fontId="0" fillId="14" borderId="2" xfId="0" applyNumberFormat="1" applyFill="1" applyBorder="1"/>
    <xf numFmtId="1" fontId="0" fillId="14" borderId="2" xfId="0" applyNumberFormat="1" applyFill="1" applyBorder="1"/>
    <xf numFmtId="2" fontId="0" fillId="13" borderId="2" xfId="0" applyNumberFormat="1" applyFill="1" applyBorder="1"/>
    <xf numFmtId="1" fontId="0" fillId="13" borderId="2" xfId="0" applyNumberFormat="1" applyFill="1" applyBorder="1"/>
    <xf numFmtId="2" fontId="0" fillId="9" borderId="2" xfId="0" applyNumberFormat="1" applyFill="1" applyBorder="1"/>
    <xf numFmtId="1" fontId="0" fillId="9" borderId="2" xfId="0" applyNumberFormat="1" applyFill="1" applyBorder="1"/>
    <xf numFmtId="0" fontId="8" fillId="0" borderId="0" xfId="0" applyFont="1" applyFill="1" applyAlignment="1">
      <alignment horizontal="center" vertical="center" wrapText="1"/>
    </xf>
    <xf numFmtId="43" fontId="0" fillId="0" borderId="2" xfId="1" applyFont="1" applyBorder="1" applyAlignment="1">
      <alignment horizontal="center" vertical="center"/>
    </xf>
    <xf numFmtId="2" fontId="0" fillId="12" borderId="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1" borderId="0" xfId="0" applyFill="1" applyAlignment="1">
      <alignment horizontal="center" vertical="center"/>
    </xf>
    <xf numFmtId="43" fontId="0" fillId="11" borderId="0" xfId="1" applyFont="1" applyFill="1" applyAlignment="1">
      <alignment horizontal="center" vertical="center"/>
    </xf>
    <xf numFmtId="43" fontId="0" fillId="0" borderId="2" xfId="1" applyFon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 wrapText="1"/>
    </xf>
    <xf numFmtId="0" fontId="6" fillId="9" borderId="2" xfId="0" applyFont="1" applyFill="1" applyBorder="1" applyAlignment="1">
      <alignment horizontal="left" vertical="center" wrapText="1"/>
    </xf>
    <xf numFmtId="0" fontId="6" fillId="13" borderId="2" xfId="0" applyFont="1" applyFill="1" applyBorder="1" applyAlignment="1">
      <alignment horizontal="left" vertical="center" wrapText="1"/>
    </xf>
    <xf numFmtId="0" fontId="9" fillId="14" borderId="2" xfId="0" applyFont="1" applyFill="1" applyBorder="1" applyAlignment="1">
      <alignment horizontal="left" vertical="center" wrapText="1"/>
    </xf>
    <xf numFmtId="0" fontId="9" fillId="11" borderId="2" xfId="0" applyFont="1" applyFill="1" applyBorder="1" applyAlignment="1">
      <alignment horizontal="left" vertical="center" wrapText="1"/>
    </xf>
    <xf numFmtId="0" fontId="9" fillId="15" borderId="10" xfId="0" applyFont="1" applyFill="1" applyBorder="1" applyAlignment="1">
      <alignment horizontal="left" vertical="center" wrapText="1"/>
    </xf>
    <xf numFmtId="2" fontId="10" fillId="0" borderId="2" xfId="0" applyNumberFormat="1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25" fillId="0" borderId="2" xfId="0" applyFont="1" applyFill="1" applyBorder="1" applyAlignment="1">
      <alignment horizontal="left" vertical="distributed" wrapText="1"/>
    </xf>
    <xf numFmtId="0" fontId="31" fillId="0" borderId="12" xfId="0" applyFont="1" applyFill="1" applyBorder="1" applyAlignment="1">
      <alignment horizontal="left" vertical="distributed" wrapText="1"/>
    </xf>
    <xf numFmtId="0" fontId="8" fillId="0" borderId="2" xfId="0" applyFont="1" applyBorder="1" applyAlignment="1">
      <alignment horizontal="left"/>
    </xf>
    <xf numFmtId="0" fontId="8" fillId="0" borderId="2" xfId="4" applyFont="1" applyBorder="1" applyAlignment="1">
      <alignment horizontal="left"/>
    </xf>
    <xf numFmtId="0" fontId="8" fillId="0" borderId="2" xfId="4" applyFont="1" applyFill="1" applyBorder="1" applyAlignment="1">
      <alignment horizontal="left"/>
    </xf>
    <xf numFmtId="0" fontId="8" fillId="0" borderId="14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10" fillId="10" borderId="2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/>
    </xf>
    <xf numFmtId="0" fontId="8" fillId="0" borderId="1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 wrapText="1"/>
    </xf>
    <xf numFmtId="0" fontId="0" fillId="0" borderId="2" xfId="0" applyFill="1" applyBorder="1" applyAlignment="1">
      <alignment horizontal="left" vertical="center" wrapText="1"/>
    </xf>
    <xf numFmtId="0" fontId="0" fillId="8" borderId="2" xfId="0" applyFill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0" fillId="0" borderId="2" xfId="0" applyFont="1" applyBorder="1" applyAlignment="1">
      <alignment horizontal="left"/>
    </xf>
    <xf numFmtId="0" fontId="10" fillId="0" borderId="2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43" fontId="10" fillId="0" borderId="2" xfId="0" applyNumberFormat="1" applyFont="1" applyBorder="1" applyAlignment="1">
      <alignment horizontal="left" vertical="center" wrapText="1"/>
    </xf>
    <xf numFmtId="0" fontId="36" fillId="0" borderId="25" xfId="0" applyFont="1" applyFill="1" applyBorder="1" applyAlignment="1">
      <alignment horizontal="left"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39" fillId="0" borderId="13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9" fillId="15" borderId="2" xfId="0" applyFont="1" applyFill="1" applyBorder="1" applyAlignment="1">
      <alignment horizontal="left" vertical="center" wrapText="1"/>
    </xf>
    <xf numFmtId="0" fontId="8" fillId="8" borderId="2" xfId="0" applyFont="1" applyFill="1" applyBorder="1" applyAlignment="1">
      <alignment horizontal="left" wrapText="1"/>
    </xf>
    <xf numFmtId="2" fontId="8" fillId="0" borderId="2" xfId="0" applyNumberFormat="1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distributed" wrapText="1"/>
    </xf>
    <xf numFmtId="0" fontId="8" fillId="0" borderId="10" xfId="0" applyFont="1" applyFill="1" applyBorder="1" applyAlignment="1">
      <alignment horizontal="left" vertical="distributed" wrapText="1"/>
    </xf>
    <xf numFmtId="0" fontId="10" fillId="0" borderId="1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/>
    </xf>
    <xf numFmtId="0" fontId="10" fillId="0" borderId="0" xfId="0" applyFont="1" applyAlignment="1">
      <alignment horizontal="left" wrapText="1"/>
    </xf>
    <xf numFmtId="0" fontId="3" fillId="14" borderId="2" xfId="0" applyFont="1" applyFill="1" applyBorder="1" applyAlignment="1">
      <alignment horizontal="left" vertical="center" wrapText="1"/>
    </xf>
    <xf numFmtId="0" fontId="3" fillId="15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15" borderId="3" xfId="0" applyFont="1" applyFill="1" applyBorder="1" applyAlignment="1">
      <alignment horizontal="left" wrapText="1"/>
    </xf>
    <xf numFmtId="43" fontId="10" fillId="0" borderId="2" xfId="0" applyNumberFormat="1" applyFont="1" applyFill="1" applyBorder="1" applyAlignment="1">
      <alignment horizontal="left" vertical="center" wrapText="1"/>
    </xf>
    <xf numFmtId="0" fontId="9" fillId="14" borderId="7" xfId="0" applyFont="1" applyFill="1" applyBorder="1" applyAlignment="1">
      <alignment horizontal="left" vertical="center" wrapText="1"/>
    </xf>
    <xf numFmtId="0" fontId="9" fillId="15" borderId="12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 vertical="center" wrapText="1"/>
    </xf>
    <xf numFmtId="0" fontId="16" fillId="8" borderId="10" xfId="0" applyFont="1" applyFill="1" applyBorder="1" applyAlignment="1">
      <alignment horizontal="left" wrapText="1"/>
    </xf>
    <xf numFmtId="0" fontId="16" fillId="8" borderId="2" xfId="0" applyFont="1" applyFill="1" applyBorder="1" applyAlignment="1">
      <alignment horizontal="left" wrapText="1"/>
    </xf>
    <xf numFmtId="0" fontId="16" fillId="0" borderId="2" xfId="0" applyFont="1" applyFill="1" applyBorder="1" applyAlignment="1">
      <alignment horizontal="left" wrapText="1"/>
    </xf>
    <xf numFmtId="0" fontId="8" fillId="0" borderId="12" xfId="0" applyFont="1" applyFill="1" applyBorder="1" applyAlignment="1">
      <alignment horizontal="left" wrapText="1"/>
    </xf>
    <xf numFmtId="0" fontId="18" fillId="0" borderId="2" xfId="0" applyFont="1" applyBorder="1" applyAlignment="1">
      <alignment horizontal="left" vertical="center"/>
    </xf>
    <xf numFmtId="0" fontId="18" fillId="0" borderId="3" xfId="0" applyFont="1" applyBorder="1" applyAlignment="1">
      <alignment horizontal="left" vertical="center"/>
    </xf>
    <xf numFmtId="0" fontId="36" fillId="8" borderId="12" xfId="0" applyFont="1" applyFill="1" applyBorder="1" applyAlignment="1">
      <alignment horizontal="left" wrapText="1"/>
    </xf>
    <xf numFmtId="0" fontId="8" fillId="8" borderId="12" xfId="0" applyFont="1" applyFill="1" applyBorder="1" applyAlignment="1">
      <alignment horizontal="left" wrapText="1"/>
    </xf>
    <xf numFmtId="43" fontId="10" fillId="0" borderId="12" xfId="0" applyNumberFormat="1" applyFont="1" applyBorder="1" applyAlignment="1">
      <alignment horizontal="left" vertical="center" wrapText="1"/>
    </xf>
    <xf numFmtId="43" fontId="16" fillId="0" borderId="12" xfId="0" applyNumberFormat="1" applyFont="1" applyBorder="1" applyAlignment="1">
      <alignment horizontal="left" vertical="center" wrapText="1"/>
    </xf>
    <xf numFmtId="0" fontId="25" fillId="8" borderId="2" xfId="0" applyFont="1" applyFill="1" applyBorder="1" applyAlignment="1">
      <alignment horizontal="left" vertical="distributed" wrapText="1"/>
    </xf>
    <xf numFmtId="0" fontId="25" fillId="8" borderId="12" xfId="0" applyFont="1" applyFill="1" applyBorder="1" applyAlignment="1">
      <alignment horizontal="left" vertical="distributed" wrapText="1"/>
    </xf>
    <xf numFmtId="0" fontId="7" fillId="8" borderId="2" xfId="0" applyFont="1" applyFill="1" applyBorder="1" applyAlignment="1">
      <alignment horizontal="left" wrapText="1"/>
    </xf>
    <xf numFmtId="0" fontId="7" fillId="0" borderId="12" xfId="0" applyFont="1" applyBorder="1" applyAlignment="1">
      <alignment horizontal="left" wrapText="1"/>
    </xf>
    <xf numFmtId="0" fontId="10" fillId="8" borderId="12" xfId="0" applyFont="1" applyFill="1" applyBorder="1" applyAlignment="1">
      <alignment horizontal="left" wrapText="1"/>
    </xf>
    <xf numFmtId="0" fontId="8" fillId="0" borderId="10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wrapText="1"/>
    </xf>
    <xf numFmtId="0" fontId="10" fillId="0" borderId="4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9" fillId="13" borderId="12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5" fillId="8" borderId="2" xfId="0" applyFont="1" applyFill="1" applyBorder="1" applyAlignment="1">
      <alignment horizontal="left" vertical="distributed"/>
    </xf>
    <xf numFmtId="0" fontId="31" fillId="0" borderId="2" xfId="2" applyFont="1" applyBorder="1" applyAlignment="1">
      <alignment horizontal="left" vertical="distributed"/>
    </xf>
    <xf numFmtId="0" fontId="25" fillId="0" borderId="20" xfId="0" applyFont="1" applyBorder="1" applyAlignment="1">
      <alignment horizontal="left" vertical="distributed"/>
    </xf>
    <xf numFmtId="0" fontId="32" fillId="0" borderId="2" xfId="0" applyFont="1" applyBorder="1" applyAlignment="1">
      <alignment horizontal="left" vertical="distributed" wrapText="1"/>
    </xf>
    <xf numFmtId="0" fontId="10" fillId="8" borderId="12" xfId="0" applyFont="1" applyFill="1" applyBorder="1" applyAlignment="1">
      <alignment horizontal="left" vertical="center" wrapText="1"/>
    </xf>
    <xf numFmtId="0" fontId="9" fillId="14" borderId="12" xfId="0" applyFont="1" applyFill="1" applyBorder="1" applyAlignment="1">
      <alignment horizontal="left" vertical="center" wrapText="1"/>
    </xf>
    <xf numFmtId="0" fontId="9" fillId="11" borderId="12" xfId="0" applyFont="1" applyFill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/>
    </xf>
    <xf numFmtId="0" fontId="9" fillId="6" borderId="12" xfId="0" applyFont="1" applyFill="1" applyBorder="1" applyAlignment="1">
      <alignment horizontal="left" vertical="center" wrapText="1"/>
    </xf>
    <xf numFmtId="43" fontId="8" fillId="0" borderId="7" xfId="0" applyNumberFormat="1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11" borderId="4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43" fontId="8" fillId="0" borderId="2" xfId="1" applyFont="1" applyFill="1" applyBorder="1" applyAlignment="1">
      <alignment horizontal="left" wrapText="1"/>
    </xf>
    <xf numFmtId="0" fontId="7" fillId="0" borderId="13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/>
    </xf>
    <xf numFmtId="0" fontId="7" fillId="0" borderId="12" xfId="0" applyFont="1" applyBorder="1" applyAlignment="1">
      <alignment horizontal="left"/>
    </xf>
    <xf numFmtId="0" fontId="9" fillId="16" borderId="12" xfId="0" applyFont="1" applyFill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 wrapText="1"/>
    </xf>
    <xf numFmtId="0" fontId="37" fillId="0" borderId="13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8" fillId="0" borderId="12" xfId="0" applyFont="1" applyBorder="1" applyAlignment="1">
      <alignment horizontal="left"/>
    </xf>
    <xf numFmtId="0" fontId="24" fillId="0" borderId="2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horizontal="left" wrapText="1"/>
    </xf>
    <xf numFmtId="0" fontId="8" fillId="0" borderId="15" xfId="0" applyFont="1" applyFill="1" applyBorder="1" applyAlignment="1">
      <alignment horizontal="left"/>
    </xf>
    <xf numFmtId="0" fontId="8" fillId="0" borderId="20" xfId="0" applyFont="1" applyFill="1" applyBorder="1" applyAlignment="1">
      <alignment horizontal="left"/>
    </xf>
    <xf numFmtId="0" fontId="33" fillId="0" borderId="2" xfId="0" applyFont="1" applyFill="1" applyBorder="1" applyAlignment="1">
      <alignment horizontal="left" vertical="center" wrapText="1"/>
    </xf>
    <xf numFmtId="1" fontId="7" fillId="0" borderId="2" xfId="0" applyNumberFormat="1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 wrapText="1"/>
    </xf>
    <xf numFmtId="0" fontId="21" fillId="0" borderId="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9" fillId="2" borderId="12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/>
    </xf>
    <xf numFmtId="0" fontId="9" fillId="16" borderId="2" xfId="0" applyFont="1" applyFill="1" applyBorder="1" applyAlignment="1">
      <alignment horizontal="left" vertical="center" wrapText="1"/>
    </xf>
    <xf numFmtId="0" fontId="9" fillId="16" borderId="4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/>
    </xf>
    <xf numFmtId="0" fontId="8" fillId="0" borderId="1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2" fontId="8" fillId="0" borderId="7" xfId="0" applyNumberFormat="1" applyFont="1" applyFill="1" applyBorder="1" applyAlignment="1">
      <alignment horizontal="left" vertical="center" wrapText="1"/>
    </xf>
    <xf numFmtId="0" fontId="10" fillId="8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3" fillId="0" borderId="0" xfId="0" applyFont="1" applyFill="1" applyAlignment="1">
      <alignment horizontal="left"/>
    </xf>
    <xf numFmtId="0" fontId="8" fillId="8" borderId="2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/>
    </xf>
    <xf numFmtId="43" fontId="8" fillId="0" borderId="2" xfId="0" applyNumberFormat="1" applyFont="1" applyBorder="1" applyAlignment="1">
      <alignment horizontal="left" vertical="center"/>
    </xf>
    <xf numFmtId="0" fontId="40" fillId="0" borderId="7" xfId="0" applyFont="1" applyFill="1" applyBorder="1" applyAlignment="1">
      <alignment horizontal="left" vertical="center" wrapText="1"/>
    </xf>
    <xf numFmtId="1" fontId="7" fillId="0" borderId="2" xfId="0" applyNumberFormat="1" applyFont="1" applyFill="1" applyBorder="1" applyAlignment="1">
      <alignment horizontal="left" vertical="center" wrapText="1"/>
    </xf>
    <xf numFmtId="0" fontId="8" fillId="8" borderId="7" xfId="0" applyFont="1" applyFill="1" applyBorder="1" applyAlignment="1">
      <alignment horizontal="left" wrapText="1"/>
    </xf>
    <xf numFmtId="0" fontId="8" fillId="0" borderId="7" xfId="0" applyFont="1" applyFill="1" applyBorder="1" applyAlignment="1">
      <alignment horizontal="left"/>
    </xf>
    <xf numFmtId="1" fontId="7" fillId="0" borderId="7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/>
    </xf>
    <xf numFmtId="0" fontId="8" fillId="8" borderId="7" xfId="0" applyFont="1" applyFill="1" applyBorder="1" applyAlignment="1">
      <alignment horizontal="left" vertical="center"/>
    </xf>
    <xf numFmtId="0" fontId="8" fillId="0" borderId="6" xfId="5" applyFont="1" applyFill="1" applyBorder="1" applyAlignment="1" applyProtection="1">
      <alignment horizontal="left"/>
      <protection hidden="1"/>
    </xf>
    <xf numFmtId="0" fontId="16" fillId="0" borderId="12" xfId="0" applyFont="1" applyBorder="1" applyAlignment="1">
      <alignment horizontal="left" wrapText="1"/>
    </xf>
    <xf numFmtId="0" fontId="16" fillId="0" borderId="12" xfId="0" applyFont="1" applyBorder="1" applyAlignment="1">
      <alignment horizontal="left"/>
    </xf>
    <xf numFmtId="0" fontId="8" fillId="0" borderId="16" xfId="0" applyFont="1" applyBorder="1" applyAlignment="1">
      <alignment horizontal="left" vertical="center"/>
    </xf>
    <xf numFmtId="0" fontId="33" fillId="0" borderId="16" xfId="0" applyFont="1" applyFill="1" applyBorder="1" applyAlignment="1">
      <alignment horizontal="left" vertical="justify"/>
    </xf>
    <xf numFmtId="0" fontId="8" fillId="0" borderId="16" xfId="0" applyFont="1" applyBorder="1" applyAlignment="1">
      <alignment horizontal="left" wrapText="1"/>
    </xf>
    <xf numFmtId="0" fontId="8" fillId="0" borderId="13" xfId="0" applyFont="1" applyBorder="1" applyAlignment="1">
      <alignment horizontal="left" wrapText="1"/>
    </xf>
    <xf numFmtId="0" fontId="12" fillId="0" borderId="2" xfId="0" applyFont="1" applyFill="1" applyBorder="1" applyAlignment="1">
      <alignment horizontal="left" wrapText="1"/>
    </xf>
    <xf numFmtId="0" fontId="35" fillId="0" borderId="2" xfId="0" applyFont="1" applyFill="1" applyBorder="1" applyAlignment="1">
      <alignment horizontal="left" wrapText="1"/>
    </xf>
    <xf numFmtId="0" fontId="26" fillId="0" borderId="2" xfId="0" applyFont="1" applyFill="1" applyBorder="1" applyAlignment="1">
      <alignment horizontal="left" wrapText="1"/>
    </xf>
    <xf numFmtId="0" fontId="10" fillId="0" borderId="18" xfId="0" applyFont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wrapText="1"/>
    </xf>
    <xf numFmtId="0" fontId="10" fillId="0" borderId="16" xfId="0" applyFont="1" applyFill="1" applyBorder="1" applyAlignment="1">
      <alignment horizontal="left"/>
    </xf>
    <xf numFmtId="0" fontId="9" fillId="15" borderId="2" xfId="0" applyFont="1" applyFill="1" applyBorder="1" applyAlignment="1">
      <alignment horizontal="left" wrapText="1"/>
    </xf>
    <xf numFmtId="0" fontId="8" fillId="0" borderId="13" xfId="0" applyFont="1" applyFill="1" applyBorder="1" applyAlignment="1">
      <alignment horizontal="left" vertical="center" wrapText="1"/>
    </xf>
    <xf numFmtId="0" fontId="10" fillId="0" borderId="16" xfId="0" applyFont="1" applyBorder="1" applyAlignment="1">
      <alignment horizontal="left" wrapText="1"/>
    </xf>
    <xf numFmtId="0" fontId="10" fillId="0" borderId="16" xfId="0" applyFont="1" applyBorder="1" applyAlignment="1">
      <alignment horizontal="left" vertical="center"/>
    </xf>
    <xf numFmtId="0" fontId="9" fillId="13" borderId="16" xfId="0" applyFont="1" applyFill="1" applyBorder="1" applyAlignment="1">
      <alignment horizontal="left" vertical="center"/>
    </xf>
    <xf numFmtId="0" fontId="9" fillId="11" borderId="16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left"/>
    </xf>
    <xf numFmtId="0" fontId="9" fillId="0" borderId="16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3" fillId="16" borderId="0" xfId="0" applyFont="1" applyFill="1"/>
    <xf numFmtId="0" fontId="8" fillId="16" borderId="12" xfId="0" applyFont="1" applyFill="1" applyBorder="1" applyAlignment="1">
      <alignment horizontal="center"/>
    </xf>
    <xf numFmtId="0" fontId="45" fillId="16" borderId="12" xfId="0" applyFont="1" applyFill="1" applyBorder="1" applyAlignment="1">
      <alignment horizontal="center"/>
    </xf>
    <xf numFmtId="0" fontId="6" fillId="16" borderId="2" xfId="0" applyFont="1" applyFill="1" applyBorder="1" applyAlignment="1">
      <alignment horizontal="left" vertical="center" wrapText="1"/>
    </xf>
    <xf numFmtId="0" fontId="6" fillId="17" borderId="2" xfId="0" applyFont="1" applyFill="1" applyBorder="1" applyAlignment="1">
      <alignment horizontal="center" vertical="center" wrapText="1"/>
    </xf>
    <xf numFmtId="0" fontId="6" fillId="17" borderId="2" xfId="0" applyFont="1" applyFill="1" applyBorder="1" applyAlignment="1">
      <alignment horizontal="left" vertical="center" wrapText="1"/>
    </xf>
    <xf numFmtId="0" fontId="7" fillId="17" borderId="12" xfId="0" applyFont="1" applyFill="1" applyBorder="1" applyAlignment="1">
      <alignment horizontal="center" vertical="center" wrapText="1"/>
    </xf>
    <xf numFmtId="0" fontId="44" fillId="17" borderId="12" xfId="0" applyFont="1" applyFill="1" applyBorder="1" applyAlignment="1">
      <alignment horizontal="center" vertical="center" wrapText="1"/>
    </xf>
    <xf numFmtId="43" fontId="0" fillId="17" borderId="2" xfId="1" applyFont="1" applyFill="1" applyBorder="1"/>
    <xf numFmtId="2" fontId="0" fillId="17" borderId="2" xfId="0" applyNumberFormat="1" applyFill="1" applyBorder="1"/>
    <xf numFmtId="0" fontId="0" fillId="17" borderId="2" xfId="0" applyFill="1" applyBorder="1"/>
    <xf numFmtId="0" fontId="6" fillId="18" borderId="2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left" vertical="center" wrapText="1"/>
    </xf>
    <xf numFmtId="0" fontId="7" fillId="18" borderId="12" xfId="0" applyFont="1" applyFill="1" applyBorder="1" applyAlignment="1">
      <alignment horizontal="center" vertical="center" wrapText="1"/>
    </xf>
    <xf numFmtId="0" fontId="44" fillId="18" borderId="12" xfId="0" applyFont="1" applyFill="1" applyBorder="1" applyAlignment="1">
      <alignment horizontal="center" vertical="center" wrapText="1"/>
    </xf>
    <xf numFmtId="43" fontId="0" fillId="18" borderId="2" xfId="1" applyFont="1" applyFill="1" applyBorder="1"/>
    <xf numFmtId="2" fontId="0" fillId="18" borderId="2" xfId="0" applyNumberFormat="1" applyFill="1" applyBorder="1"/>
    <xf numFmtId="0" fontId="0" fillId="18" borderId="2" xfId="0" applyFill="1" applyBorder="1"/>
    <xf numFmtId="0" fontId="8" fillId="0" borderId="16" xfId="0" applyFont="1" applyBorder="1" applyAlignment="1">
      <alignment horizontal="left" vertical="center" wrapText="1"/>
    </xf>
    <xf numFmtId="0" fontId="6" fillId="18" borderId="2" xfId="0" applyFont="1" applyFill="1" applyBorder="1" applyAlignment="1">
      <alignment horizontal="center" vertical="center"/>
    </xf>
    <xf numFmtId="0" fontId="9" fillId="18" borderId="16" xfId="0" applyFont="1" applyFill="1" applyBorder="1" applyAlignment="1">
      <alignment horizontal="left" vertical="center" wrapText="1"/>
    </xf>
    <xf numFmtId="0" fontId="6" fillId="18" borderId="18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43" fillId="18" borderId="0" xfId="0" applyFont="1" applyFill="1"/>
    <xf numFmtId="0" fontId="6" fillId="18" borderId="12" xfId="0" applyFont="1" applyFill="1" applyBorder="1" applyAlignment="1">
      <alignment horizontal="left" vertical="center" wrapText="1"/>
    </xf>
    <xf numFmtId="0" fontId="9" fillId="18" borderId="16" xfId="0" applyFont="1" applyFill="1" applyBorder="1" applyAlignment="1">
      <alignment horizontal="left" vertical="center"/>
    </xf>
    <xf numFmtId="0" fontId="7" fillId="18" borderId="2" xfId="0" applyFont="1" applyFill="1" applyBorder="1" applyAlignment="1">
      <alignment horizontal="center" vertical="center"/>
    </xf>
    <xf numFmtId="0" fontId="6" fillId="18" borderId="12" xfId="0" applyFont="1" applyFill="1" applyBorder="1" applyAlignment="1">
      <alignment horizontal="center" vertical="center" wrapText="1"/>
    </xf>
    <xf numFmtId="0" fontId="47" fillId="18" borderId="1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/>
    </xf>
    <xf numFmtId="0" fontId="9" fillId="16" borderId="16" xfId="0" applyFont="1" applyFill="1" applyBorder="1" applyAlignment="1">
      <alignment horizontal="left" vertical="center" wrapText="1"/>
    </xf>
    <xf numFmtId="0" fontId="6" fillId="16" borderId="18" xfId="0" applyFont="1" applyFill="1" applyBorder="1" applyAlignment="1">
      <alignment horizontal="center" vertical="center" wrapText="1"/>
    </xf>
    <xf numFmtId="0" fontId="41" fillId="16" borderId="2" xfId="0" applyFont="1" applyFill="1" applyBorder="1" applyAlignment="1">
      <alignment horizontal="left"/>
    </xf>
    <xf numFmtId="0" fontId="6" fillId="16" borderId="12" xfId="0" applyFont="1" applyFill="1" applyBorder="1" applyAlignment="1">
      <alignment horizontal="left" vertical="center" wrapText="1"/>
    </xf>
    <xf numFmtId="0" fontId="7" fillId="16" borderId="18" xfId="0" applyFont="1" applyFill="1" applyBorder="1" applyAlignment="1">
      <alignment horizontal="center" vertical="center" wrapText="1"/>
    </xf>
    <xf numFmtId="0" fontId="44" fillId="16" borderId="18" xfId="0" applyFont="1" applyFill="1" applyBorder="1" applyAlignment="1">
      <alignment horizontal="center" vertical="center" wrapText="1"/>
    </xf>
    <xf numFmtId="0" fontId="9" fillId="16" borderId="16" xfId="0" applyFont="1" applyFill="1" applyBorder="1" applyAlignment="1">
      <alignment horizontal="left" vertical="center"/>
    </xf>
    <xf numFmtId="0" fontId="7" fillId="16" borderId="2" xfId="0" applyFont="1" applyFill="1" applyBorder="1" applyAlignment="1">
      <alignment horizontal="center" vertical="center"/>
    </xf>
    <xf numFmtId="0" fontId="3" fillId="16" borderId="16" xfId="0" applyFont="1" applyFill="1" applyBorder="1" applyAlignment="1">
      <alignment horizontal="left"/>
    </xf>
    <xf numFmtId="0" fontId="3" fillId="16" borderId="12" xfId="0" applyFont="1" applyFill="1" applyBorder="1" applyAlignment="1">
      <alignment horizontal="center"/>
    </xf>
    <xf numFmtId="0" fontId="46" fillId="16" borderId="12" xfId="0" applyFont="1" applyFill="1" applyBorder="1" applyAlignment="1">
      <alignment horizontal="center"/>
    </xf>
    <xf numFmtId="0" fontId="3" fillId="18" borderId="16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6" fillId="2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45" fillId="16" borderId="0" xfId="0" applyFont="1" applyFill="1" applyAlignment="1">
      <alignment horizontal="center"/>
    </xf>
    <xf numFmtId="0" fontId="3" fillId="16" borderId="0" xfId="0" applyFont="1" applyFill="1" applyAlignment="1">
      <alignment horizontal="center"/>
    </xf>
    <xf numFmtId="0" fontId="46" fillId="16" borderId="0" xfId="0" applyFont="1" applyFill="1" applyAlignment="1">
      <alignment horizontal="center"/>
    </xf>
    <xf numFmtId="43" fontId="10" fillId="0" borderId="12" xfId="0" applyNumberFormat="1" applyFont="1" applyFill="1" applyBorder="1" applyAlignment="1">
      <alignment horizontal="left" vertical="center" wrapText="1"/>
    </xf>
    <xf numFmtId="0" fontId="7" fillId="0" borderId="3" xfId="2" applyFont="1" applyFill="1" applyBorder="1" applyAlignment="1">
      <alignment horizontal="left" vertical="center" wrapText="1"/>
    </xf>
    <xf numFmtId="43" fontId="8" fillId="0" borderId="7" xfId="0" applyNumberFormat="1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7" fillId="0" borderId="12" xfId="2" applyFont="1" applyFill="1" applyBorder="1" applyAlignment="1">
      <alignment horizontal="left" vertical="center" wrapText="1"/>
    </xf>
    <xf numFmtId="0" fontId="39" fillId="0" borderId="2" xfId="0" applyFont="1" applyFill="1" applyBorder="1" applyAlignment="1">
      <alignment horizontal="left" vertical="center" wrapText="1"/>
    </xf>
    <xf numFmtId="0" fontId="0" fillId="8" borderId="2" xfId="5" applyFont="1" applyFill="1" applyBorder="1" applyAlignment="1" applyProtection="1">
      <alignment horizontal="center" vertical="center"/>
      <protection hidden="1"/>
    </xf>
    <xf numFmtId="0" fontId="10" fillId="8" borderId="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left" wrapText="1"/>
    </xf>
    <xf numFmtId="0" fontId="6" fillId="11" borderId="3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43" fontId="8" fillId="0" borderId="2" xfId="0" applyNumberFormat="1" applyFont="1" applyFill="1" applyBorder="1" applyAlignment="1">
      <alignment horizontal="left" vertical="center"/>
    </xf>
    <xf numFmtId="43" fontId="8" fillId="0" borderId="2" xfId="0" applyNumberFormat="1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left" vertical="justify" wrapText="1"/>
    </xf>
    <xf numFmtId="0" fontId="8" fillId="0" borderId="13" xfId="0" applyFont="1" applyFill="1" applyBorder="1" applyAlignment="1">
      <alignment horizontal="left" wrapText="1"/>
    </xf>
    <xf numFmtId="0" fontId="8" fillId="0" borderId="16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left"/>
    </xf>
    <xf numFmtId="0" fontId="9" fillId="18" borderId="2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/>
    </xf>
    <xf numFmtId="0" fontId="3" fillId="11" borderId="2" xfId="0" applyFont="1" applyFill="1" applyBorder="1" applyAlignment="1">
      <alignment wrapText="1"/>
    </xf>
    <xf numFmtId="0" fontId="46" fillId="11" borderId="2" xfId="0" applyFont="1" applyFill="1" applyBorder="1" applyAlignment="1">
      <alignment wrapText="1"/>
    </xf>
    <xf numFmtId="0" fontId="46" fillId="0" borderId="2" xfId="0" applyFont="1" applyFill="1" applyBorder="1" applyAlignment="1">
      <alignment wrapText="1"/>
    </xf>
    <xf numFmtId="0" fontId="46" fillId="0" borderId="2" xfId="0" applyFont="1" applyFill="1" applyBorder="1" applyAlignment="1">
      <alignment horizontal="center"/>
    </xf>
    <xf numFmtId="0" fontId="12" fillId="8" borderId="2" xfId="0" applyFont="1" applyFill="1" applyBorder="1" applyAlignment="1">
      <alignment horizontal="left" vertical="center" wrapText="1"/>
    </xf>
    <xf numFmtId="0" fontId="12" fillId="0" borderId="2" xfId="4" applyFont="1" applyFill="1" applyBorder="1" applyAlignment="1">
      <alignment horizontal="left" vertical="center"/>
    </xf>
    <xf numFmtId="43" fontId="12" fillId="9" borderId="2" xfId="1" applyFont="1" applyFill="1" applyBorder="1"/>
    <xf numFmtId="43" fontId="12" fillId="13" borderId="2" xfId="1" applyFont="1" applyFill="1" applyBorder="1"/>
    <xf numFmtId="43" fontId="12" fillId="14" borderId="2" xfId="1" applyFont="1" applyFill="1" applyBorder="1"/>
    <xf numFmtId="43" fontId="12" fillId="18" borderId="2" xfId="1" applyFont="1" applyFill="1" applyBorder="1"/>
    <xf numFmtId="43" fontId="12" fillId="0" borderId="2" xfId="1" applyFont="1" applyBorder="1" applyAlignment="1">
      <alignment horizontal="center" vertical="center"/>
    </xf>
    <xf numFmtId="43" fontId="12" fillId="15" borderId="10" xfId="1" applyFont="1" applyFill="1" applyBorder="1" applyAlignment="1">
      <alignment horizontal="center" vertical="center"/>
    </xf>
    <xf numFmtId="43" fontId="12" fillId="0" borderId="2" xfId="1" applyFont="1" applyBorder="1"/>
    <xf numFmtId="43" fontId="12" fillId="0" borderId="2" xfId="1" applyFont="1" applyBorder="1" applyAlignment="1">
      <alignment horizontal="center"/>
    </xf>
    <xf numFmtId="43" fontId="12" fillId="0" borderId="2" xfId="1" applyFont="1" applyFill="1" applyBorder="1"/>
    <xf numFmtId="43" fontId="11" fillId="15" borderId="2" xfId="1" applyFont="1" applyFill="1" applyBorder="1" applyAlignment="1">
      <alignment horizontal="center" vertical="center" wrapText="1"/>
    </xf>
    <xf numFmtId="43" fontId="12" fillId="15" borderId="2" xfId="1" applyFont="1" applyFill="1" applyBorder="1"/>
    <xf numFmtId="43" fontId="12" fillId="15" borderId="3" xfId="1" applyFont="1" applyFill="1" applyBorder="1"/>
    <xf numFmtId="43" fontId="12" fillId="14" borderId="10" xfId="1" applyFont="1" applyFill="1" applyBorder="1"/>
    <xf numFmtId="43" fontId="12" fillId="0" borderId="10" xfId="1" applyFont="1" applyBorder="1"/>
    <xf numFmtId="43" fontId="12" fillId="0" borderId="10" xfId="1" applyFont="1" applyFill="1" applyBorder="1"/>
    <xf numFmtId="43" fontId="12" fillId="11" borderId="2" xfId="1" applyFont="1" applyFill="1" applyBorder="1"/>
    <xf numFmtId="43" fontId="12" fillId="14" borderId="3" xfId="1" applyFont="1" applyFill="1" applyBorder="1"/>
    <xf numFmtId="43" fontId="12" fillId="0" borderId="3" xfId="1" applyFont="1" applyBorder="1"/>
    <xf numFmtId="43" fontId="12" fillId="0" borderId="3" xfId="1" applyFont="1" applyFill="1" applyBorder="1"/>
    <xf numFmtId="43" fontId="12" fillId="8" borderId="2" xfId="1" applyFont="1" applyFill="1" applyBorder="1" applyAlignment="1">
      <alignment horizontal="center" vertical="center" wrapText="1"/>
    </xf>
    <xf numFmtId="43" fontId="12" fillId="16" borderId="2" xfId="1" applyFont="1" applyFill="1" applyBorder="1"/>
    <xf numFmtId="43" fontId="12" fillId="0" borderId="2" xfId="1" applyFont="1" applyBorder="1" applyAlignment="1">
      <alignment vertical="center"/>
    </xf>
    <xf numFmtId="43" fontId="12" fillId="8" borderId="2" xfId="1" applyFont="1" applyFill="1" applyBorder="1"/>
    <xf numFmtId="43" fontId="12" fillId="2" borderId="2" xfId="1" applyFont="1" applyFill="1" applyBorder="1"/>
    <xf numFmtId="43" fontId="12" fillId="2" borderId="3" xfId="1" applyFont="1" applyFill="1" applyBorder="1"/>
    <xf numFmtId="43" fontId="11" fillId="11" borderId="2" xfId="1" applyFont="1" applyFill="1" applyBorder="1"/>
    <xf numFmtId="43" fontId="12" fillId="0" borderId="8" xfId="1" applyFont="1" applyBorder="1"/>
    <xf numFmtId="43" fontId="12" fillId="16" borderId="3" xfId="1" applyFont="1" applyFill="1" applyBorder="1"/>
    <xf numFmtId="43" fontId="12" fillId="0" borderId="2" xfId="1" applyFont="1" applyFill="1" applyBorder="1" applyAlignment="1">
      <alignment horizontal="right"/>
    </xf>
    <xf numFmtId="43" fontId="12" fillId="0" borderId="8" xfId="1" applyFont="1" applyFill="1" applyBorder="1"/>
    <xf numFmtId="43" fontId="12" fillId="11" borderId="10" xfId="1" applyFont="1" applyFill="1" applyBorder="1"/>
    <xf numFmtId="43" fontId="12" fillId="11" borderId="3" xfId="1" applyFont="1" applyFill="1" applyBorder="1"/>
    <xf numFmtId="43" fontId="11" fillId="0" borderId="2" xfId="1" applyFont="1" applyFill="1" applyBorder="1" applyAlignment="1">
      <alignment horizontal="center" vertical="center"/>
    </xf>
    <xf numFmtId="43" fontId="20" fillId="8" borderId="2" xfId="1" applyFont="1" applyFill="1" applyBorder="1" applyAlignment="1">
      <alignment vertical="center"/>
    </xf>
    <xf numFmtId="43" fontId="12" fillId="17" borderId="2" xfId="1" applyFont="1" applyFill="1" applyBorder="1"/>
    <xf numFmtId="43" fontId="12" fillId="0" borderId="0" xfId="1" applyFont="1" applyAlignment="1">
      <alignment horizontal="center"/>
    </xf>
    <xf numFmtId="43" fontId="13" fillId="9" borderId="16" xfId="1" applyFont="1" applyFill="1" applyBorder="1" applyAlignment="1">
      <alignment horizontal="right" vertical="center" wrapText="1"/>
    </xf>
    <xf numFmtId="43" fontId="13" fillId="13" borderId="16" xfId="1" applyFont="1" applyFill="1" applyBorder="1" applyAlignment="1">
      <alignment horizontal="right" vertical="center" wrapText="1"/>
    </xf>
    <xf numFmtId="43" fontId="13" fillId="14" borderId="16" xfId="1" applyFont="1" applyFill="1" applyBorder="1" applyAlignment="1">
      <alignment horizontal="right" vertical="center" wrapText="1"/>
    </xf>
    <xf numFmtId="43" fontId="13" fillId="18" borderId="16" xfId="1" applyFont="1" applyFill="1" applyBorder="1" applyAlignment="1">
      <alignment horizontal="right" vertical="center" wrapText="1"/>
    </xf>
    <xf numFmtId="43" fontId="14" fillId="15" borderId="0" xfId="1" applyFont="1" applyFill="1" applyAlignment="1">
      <alignment horizontal="center" vertical="center" wrapText="1"/>
    </xf>
    <xf numFmtId="43" fontId="12" fillId="0" borderId="16" xfId="1" applyFont="1" applyFill="1" applyBorder="1" applyAlignment="1">
      <alignment horizontal="center" vertical="center" wrapText="1"/>
    </xf>
    <xf numFmtId="43" fontId="11" fillId="0" borderId="16" xfId="1" applyFont="1" applyFill="1" applyBorder="1" applyAlignment="1">
      <alignment horizontal="right" vertical="center" wrapText="1"/>
    </xf>
    <xf numFmtId="43" fontId="11" fillId="0" borderId="2" xfId="1" applyFont="1" applyFill="1" applyBorder="1" applyAlignment="1">
      <alignment horizontal="right" vertical="center" wrapText="1"/>
    </xf>
    <xf numFmtId="43" fontId="12" fillId="0" borderId="12" xfId="1" applyFont="1" applyFill="1" applyBorder="1" applyAlignment="1">
      <alignment horizontal="right" wrapText="1"/>
    </xf>
    <xf numFmtId="43" fontId="11" fillId="0" borderId="12" xfId="1" applyFont="1" applyFill="1" applyBorder="1" applyAlignment="1">
      <alignment horizontal="right" vertical="center" wrapText="1"/>
    </xf>
    <xf numFmtId="43" fontId="12" fillId="0" borderId="16" xfId="1" applyFont="1" applyFill="1" applyBorder="1" applyAlignment="1">
      <alignment horizontal="right" vertical="center" wrapText="1"/>
    </xf>
    <xf numFmtId="43" fontId="13" fillId="15" borderId="12" xfId="1" applyFont="1" applyFill="1" applyBorder="1" applyAlignment="1">
      <alignment horizontal="center" vertical="center" wrapText="1"/>
    </xf>
    <xf numFmtId="43" fontId="13" fillId="15" borderId="16" xfId="1" applyFont="1" applyFill="1" applyBorder="1" applyAlignment="1">
      <alignment horizontal="right" vertical="center" wrapText="1"/>
    </xf>
    <xf numFmtId="43" fontId="13" fillId="0" borderId="16" xfId="1" applyFont="1" applyFill="1" applyBorder="1" applyAlignment="1">
      <alignment horizontal="right" vertical="center" wrapText="1"/>
    </xf>
    <xf numFmtId="43" fontId="11" fillId="15" borderId="12" xfId="1" applyFont="1" applyFill="1" applyBorder="1" applyAlignment="1">
      <alignment horizontal="center" vertical="center" wrapText="1"/>
    </xf>
    <xf numFmtId="43" fontId="11" fillId="0" borderId="18" xfId="1" applyFont="1" applyFill="1" applyBorder="1" applyAlignment="1">
      <alignment horizontal="right" vertical="center" wrapText="1"/>
    </xf>
    <xf numFmtId="43" fontId="13" fillId="15" borderId="18" xfId="1" applyFont="1" applyFill="1" applyBorder="1" applyAlignment="1">
      <alignment horizontal="right" vertical="center" wrapText="1"/>
    </xf>
    <xf numFmtId="43" fontId="13" fillId="0" borderId="18" xfId="1" applyFont="1" applyFill="1" applyBorder="1" applyAlignment="1">
      <alignment horizontal="right" vertical="center" wrapText="1"/>
    </xf>
    <xf numFmtId="43" fontId="13" fillId="14" borderId="18" xfId="1" applyFont="1" applyFill="1" applyBorder="1" applyAlignment="1">
      <alignment horizontal="right" vertical="center" wrapText="1"/>
    </xf>
    <xf numFmtId="43" fontId="14" fillId="14" borderId="16" xfId="1" applyFont="1" applyFill="1" applyBorder="1" applyAlignment="1">
      <alignment horizontal="right" wrapText="1"/>
    </xf>
    <xf numFmtId="43" fontId="14" fillId="15" borderId="0" xfId="1" applyFont="1" applyFill="1" applyAlignment="1">
      <alignment horizontal="right" wrapText="1"/>
    </xf>
    <xf numFmtId="43" fontId="13" fillId="0" borderId="12" xfId="1" applyFont="1" applyFill="1" applyBorder="1" applyAlignment="1">
      <alignment horizontal="right" vertical="center" wrapText="1"/>
    </xf>
    <xf numFmtId="43" fontId="13" fillId="14" borderId="1" xfId="1" applyFont="1" applyFill="1" applyBorder="1" applyAlignment="1">
      <alignment horizontal="right" vertical="center" wrapText="1"/>
    </xf>
    <xf numFmtId="43" fontId="14" fillId="0" borderId="0" xfId="1" applyFont="1" applyFill="1" applyAlignment="1">
      <alignment horizontal="right" wrapText="1"/>
    </xf>
    <xf numFmtId="43" fontId="13" fillId="15" borderId="12" xfId="1" applyFont="1" applyFill="1" applyBorder="1" applyAlignment="1">
      <alignment horizontal="right" vertical="center" wrapText="1"/>
    </xf>
    <xf numFmtId="43" fontId="13" fillId="0" borderId="1" xfId="1" applyFont="1" applyFill="1" applyBorder="1" applyAlignment="1">
      <alignment horizontal="right" vertical="center" wrapText="1"/>
    </xf>
    <xf numFmtId="43" fontId="11" fillId="0" borderId="1" xfId="1" applyFont="1" applyFill="1" applyBorder="1" applyAlignment="1">
      <alignment horizontal="right" vertical="center" wrapText="1"/>
    </xf>
    <xf numFmtId="43" fontId="11" fillId="15" borderId="12" xfId="1" applyFont="1" applyFill="1" applyBorder="1" applyAlignment="1">
      <alignment horizontal="right" vertical="center" wrapText="1"/>
    </xf>
    <xf numFmtId="43" fontId="14" fillId="14" borderId="12" xfId="1" applyFont="1" applyFill="1" applyBorder="1" applyAlignment="1">
      <alignment horizontal="right" wrapText="1"/>
    </xf>
    <xf numFmtId="43" fontId="12" fillId="0" borderId="1" xfId="1" applyFont="1" applyFill="1" applyBorder="1" applyAlignment="1">
      <alignment horizontal="right" wrapText="1"/>
    </xf>
    <xf numFmtId="43" fontId="12" fillId="0" borderId="16" xfId="1" applyFont="1" applyFill="1" applyBorder="1" applyAlignment="1">
      <alignment horizontal="right" wrapText="1"/>
    </xf>
    <xf numFmtId="43" fontId="14" fillId="15" borderId="12" xfId="1" applyFont="1" applyFill="1" applyBorder="1" applyAlignment="1">
      <alignment horizontal="right" wrapText="1"/>
    </xf>
    <xf numFmtId="43" fontId="11" fillId="0" borderId="16" xfId="1" applyFont="1" applyBorder="1" applyAlignment="1">
      <alignment horizontal="right" vertical="center" wrapText="1"/>
    </xf>
    <xf numFmtId="43" fontId="11" fillId="11" borderId="12" xfId="1" applyFont="1" applyFill="1" applyBorder="1" applyAlignment="1">
      <alignment horizontal="right" vertical="center" wrapText="1"/>
    </xf>
    <xf numFmtId="43" fontId="14" fillId="13" borderId="0" xfId="1" applyFont="1" applyFill="1" applyAlignment="1">
      <alignment horizontal="right" wrapText="1"/>
    </xf>
    <xf numFmtId="43" fontId="11" fillId="14" borderId="18" xfId="1" applyFont="1" applyFill="1" applyBorder="1" applyAlignment="1">
      <alignment horizontal="right" vertical="center" wrapText="1"/>
    </xf>
    <xf numFmtId="43" fontId="13" fillId="0" borderId="0" xfId="1" applyFont="1" applyFill="1" applyAlignment="1">
      <alignment horizontal="right" wrapText="1"/>
    </xf>
    <xf numFmtId="43" fontId="12" fillId="0" borderId="18" xfId="1" applyFont="1" applyFill="1" applyBorder="1" applyAlignment="1">
      <alignment horizontal="right" wrapText="1"/>
    </xf>
    <xf numFmtId="43" fontId="14" fillId="11" borderId="7" xfId="1" applyFont="1" applyFill="1" applyBorder="1" applyAlignment="1">
      <alignment horizontal="right" wrapText="1"/>
    </xf>
    <xf numFmtId="43" fontId="11" fillId="0" borderId="4" xfId="1" applyFont="1" applyFill="1" applyBorder="1" applyAlignment="1">
      <alignment horizontal="right" vertical="center" wrapText="1"/>
    </xf>
    <xf numFmtId="43" fontId="14" fillId="11" borderId="12" xfId="1" applyFont="1" applyFill="1" applyBorder="1" applyAlignment="1">
      <alignment horizontal="right" wrapText="1"/>
    </xf>
    <xf numFmtId="43" fontId="20" fillId="0" borderId="16" xfId="1" applyFont="1" applyFill="1" applyBorder="1" applyAlignment="1">
      <alignment horizontal="right" vertical="center"/>
    </xf>
    <xf numFmtId="43" fontId="11" fillId="11" borderId="16" xfId="1" applyFont="1" applyFill="1" applyBorder="1" applyAlignment="1">
      <alignment horizontal="right" vertical="center" wrapText="1"/>
    </xf>
    <xf numFmtId="43" fontId="14" fillId="11" borderId="0" xfId="1" applyFont="1" applyFill="1" applyAlignment="1">
      <alignment horizontal="right" wrapText="1"/>
    </xf>
    <xf numFmtId="43" fontId="11" fillId="13" borderId="16" xfId="1" applyFont="1" applyFill="1" applyBorder="1" applyAlignment="1">
      <alignment horizontal="right" vertical="center" wrapText="1"/>
    </xf>
    <xf numFmtId="43" fontId="11" fillId="11" borderId="2" xfId="1" applyFont="1" applyFill="1" applyBorder="1" applyAlignment="1">
      <alignment horizontal="right" vertical="center" wrapText="1"/>
    </xf>
    <xf numFmtId="43" fontId="14" fillId="11" borderId="2" xfId="1" applyFont="1" applyFill="1" applyBorder="1" applyAlignment="1">
      <alignment horizontal="right" wrapText="1"/>
    </xf>
    <xf numFmtId="43" fontId="14" fillId="0" borderId="2" xfId="1" applyFont="1" applyFill="1" applyBorder="1" applyAlignment="1">
      <alignment horizontal="right" wrapText="1"/>
    </xf>
    <xf numFmtId="43" fontId="13" fillId="7" borderId="16" xfId="1" applyFont="1" applyFill="1" applyBorder="1" applyAlignment="1">
      <alignment horizontal="right" vertical="center" wrapText="1"/>
    </xf>
    <xf numFmtId="43" fontId="14" fillId="0" borderId="0" xfId="1" applyFont="1" applyAlignment="1">
      <alignment horizontal="right" wrapText="1"/>
    </xf>
    <xf numFmtId="43" fontId="13" fillId="11" borderId="16" xfId="1" applyFont="1" applyFill="1" applyBorder="1" applyAlignment="1">
      <alignment horizontal="right" vertical="center" wrapText="1"/>
    </xf>
    <xf numFmtId="43" fontId="13" fillId="6" borderId="16" xfId="1" applyFont="1" applyFill="1" applyBorder="1" applyAlignment="1">
      <alignment horizontal="right" vertical="center" wrapText="1"/>
    </xf>
    <xf numFmtId="43" fontId="12" fillId="0" borderId="0" xfId="1" applyFont="1" applyFill="1" applyAlignment="1">
      <alignment horizontal="right" wrapText="1"/>
    </xf>
    <xf numFmtId="43" fontId="14" fillId="0" borderId="16" xfId="1" applyFont="1" applyFill="1" applyBorder="1" applyAlignment="1">
      <alignment horizontal="right" wrapText="1"/>
    </xf>
    <xf numFmtId="43" fontId="14" fillId="16" borderId="0" xfId="1" applyFont="1" applyFill="1" applyAlignment="1">
      <alignment horizontal="right" wrapText="1"/>
    </xf>
    <xf numFmtId="43" fontId="11" fillId="8" borderId="16" xfId="1" applyFont="1" applyFill="1" applyBorder="1" applyAlignment="1">
      <alignment horizontal="right" vertical="center" wrapText="1"/>
    </xf>
    <xf numFmtId="43" fontId="13" fillId="16" borderId="16" xfId="1" applyFont="1" applyFill="1" applyBorder="1" applyAlignment="1">
      <alignment horizontal="right" vertical="center" wrapText="1"/>
    </xf>
    <xf numFmtId="43" fontId="14" fillId="16" borderId="16" xfId="1" applyFont="1" applyFill="1" applyBorder="1" applyAlignment="1">
      <alignment horizontal="right" wrapText="1"/>
    </xf>
    <xf numFmtId="43" fontId="13" fillId="8" borderId="16" xfId="1" applyFont="1" applyFill="1" applyBorder="1" applyAlignment="1">
      <alignment horizontal="right" vertical="center" wrapText="1"/>
    </xf>
    <xf numFmtId="43" fontId="14" fillId="0" borderId="0" xfId="1" applyFont="1" applyFill="1" applyAlignment="1">
      <alignment horizontal="right"/>
    </xf>
    <xf numFmtId="43" fontId="14" fillId="11" borderId="0" xfId="1" applyFont="1" applyFill="1" applyAlignment="1">
      <alignment horizontal="right" vertical="center"/>
    </xf>
    <xf numFmtId="43" fontId="13" fillId="2" borderId="16" xfId="1" applyFont="1" applyFill="1" applyBorder="1" applyAlignment="1">
      <alignment horizontal="right" vertical="center" wrapText="1"/>
    </xf>
    <xf numFmtId="43" fontId="14" fillId="0" borderId="16" xfId="1" applyFont="1" applyFill="1" applyBorder="1" applyAlignment="1">
      <alignment horizontal="right"/>
    </xf>
    <xf numFmtId="43" fontId="11" fillId="0" borderId="16" xfId="1" applyFont="1" applyFill="1" applyBorder="1" applyAlignment="1">
      <alignment horizontal="right" vertical="center"/>
    </xf>
    <xf numFmtId="43" fontId="11" fillId="0" borderId="2" xfId="1" applyFont="1" applyFill="1" applyBorder="1" applyAlignment="1">
      <alignment horizontal="right" vertical="center"/>
    </xf>
    <xf numFmtId="43" fontId="14" fillId="0" borderId="2" xfId="1" applyFont="1" applyFill="1" applyBorder="1" applyAlignment="1">
      <alignment horizontal="right"/>
    </xf>
    <xf numFmtId="43" fontId="13" fillId="0" borderId="16" xfId="1" applyFont="1" applyFill="1" applyBorder="1" applyAlignment="1">
      <alignment horizontal="right" vertical="center"/>
    </xf>
    <xf numFmtId="43" fontId="13" fillId="2" borderId="18" xfId="1" applyFont="1" applyFill="1" applyBorder="1" applyAlignment="1">
      <alignment horizontal="right" vertical="center" wrapText="1"/>
    </xf>
    <xf numFmtId="43" fontId="13" fillId="11" borderId="12" xfId="1" applyFont="1" applyFill="1" applyBorder="1" applyAlignment="1">
      <alignment horizontal="right" vertical="center" wrapText="1"/>
    </xf>
    <xf numFmtId="43" fontId="12" fillId="0" borderId="0" xfId="1" applyFont="1" applyFill="1" applyAlignment="1">
      <alignment horizontal="right"/>
    </xf>
    <xf numFmtId="43" fontId="12" fillId="0" borderId="16" xfId="1" applyFont="1" applyFill="1" applyBorder="1" applyAlignment="1">
      <alignment horizontal="right"/>
    </xf>
    <xf numFmtId="43" fontId="12" fillId="0" borderId="18" xfId="1" applyFont="1" applyFill="1" applyBorder="1" applyAlignment="1">
      <alignment horizontal="right"/>
    </xf>
    <xf numFmtId="43" fontId="13" fillId="16" borderId="12" xfId="1" applyFont="1" applyFill="1" applyBorder="1" applyAlignment="1">
      <alignment horizontal="right" vertical="center" wrapText="1"/>
    </xf>
    <xf numFmtId="43" fontId="11" fillId="0" borderId="1" xfId="1" applyFont="1" applyFill="1" applyBorder="1" applyAlignment="1">
      <alignment horizontal="right" vertical="center"/>
    </xf>
    <xf numFmtId="43" fontId="13" fillId="16" borderId="18" xfId="1" applyFont="1" applyFill="1" applyBorder="1" applyAlignment="1">
      <alignment horizontal="right" vertical="center" wrapText="1"/>
    </xf>
    <xf numFmtId="43" fontId="13" fillId="11" borderId="12" xfId="1" applyFont="1" applyFill="1" applyBorder="1" applyAlignment="1">
      <alignment horizontal="right" vertical="center"/>
    </xf>
    <xf numFmtId="43" fontId="11" fillId="16" borderId="2" xfId="1" applyFont="1" applyFill="1" applyBorder="1" applyAlignment="1">
      <alignment horizontal="right" vertical="center" wrapText="1"/>
    </xf>
    <xf numFmtId="43" fontId="12" fillId="0" borderId="12" xfId="1" applyFont="1" applyFill="1" applyBorder="1" applyAlignment="1">
      <alignment horizontal="right"/>
    </xf>
    <xf numFmtId="43" fontId="13" fillId="0" borderId="0" xfId="1" applyFont="1" applyFill="1" applyBorder="1" applyAlignment="1">
      <alignment horizontal="right" vertical="center"/>
    </xf>
    <xf numFmtId="43" fontId="11" fillId="0" borderId="18" xfId="1" applyFont="1" applyFill="1" applyBorder="1" applyAlignment="1">
      <alignment horizontal="right" vertical="center"/>
    </xf>
    <xf numFmtId="43" fontId="13" fillId="2" borderId="12" xfId="1" applyFont="1" applyFill="1" applyBorder="1" applyAlignment="1">
      <alignment horizontal="right" vertical="center" wrapText="1"/>
    </xf>
    <xf numFmtId="43" fontId="13" fillId="11" borderId="1" xfId="1" applyFont="1" applyFill="1" applyBorder="1" applyAlignment="1">
      <alignment horizontal="right" vertical="center" wrapText="1"/>
    </xf>
    <xf numFmtId="43" fontId="13" fillId="11" borderId="18" xfId="1" applyFont="1" applyFill="1" applyBorder="1" applyAlignment="1">
      <alignment horizontal="right" vertical="center" wrapText="1"/>
    </xf>
    <xf numFmtId="43" fontId="13" fillId="0" borderId="2" xfId="1" applyFont="1" applyFill="1" applyBorder="1" applyAlignment="1">
      <alignment horizontal="right" vertical="center" wrapText="1"/>
    </xf>
    <xf numFmtId="43" fontId="13" fillId="0" borderId="2" xfId="1" applyFont="1" applyFill="1" applyBorder="1" applyAlignment="1">
      <alignment horizontal="right" vertical="center"/>
    </xf>
    <xf numFmtId="43" fontId="14" fillId="16" borderId="0" xfId="1" applyFont="1" applyFill="1" applyAlignment="1">
      <alignment horizontal="right"/>
    </xf>
    <xf numFmtId="43" fontId="14" fillId="15" borderId="0" xfId="1" applyFont="1" applyFill="1" applyAlignment="1">
      <alignment horizontal="right" vertical="center"/>
    </xf>
    <xf numFmtId="43" fontId="11" fillId="0" borderId="0" xfId="1" applyFont="1" applyFill="1" applyBorder="1" applyAlignment="1">
      <alignment horizontal="right" vertical="center" wrapText="1"/>
    </xf>
    <xf numFmtId="43" fontId="14" fillId="16" borderId="0" xfId="1" applyFont="1" applyFill="1" applyAlignment="1">
      <alignment horizontal="right" vertical="center"/>
    </xf>
    <xf numFmtId="43" fontId="11" fillId="18" borderId="16" xfId="1" applyFont="1" applyFill="1" applyBorder="1" applyAlignment="1">
      <alignment horizontal="right" vertical="center" wrapText="1"/>
    </xf>
    <xf numFmtId="43" fontId="11" fillId="16" borderId="16" xfId="1" applyFont="1" applyFill="1" applyBorder="1" applyAlignment="1">
      <alignment horizontal="right" vertical="center" wrapText="1"/>
    </xf>
    <xf numFmtId="43" fontId="14" fillId="0" borderId="0" xfId="1" applyFont="1" applyFill="1" applyAlignment="1">
      <alignment horizontal="right" vertical="center"/>
    </xf>
    <xf numFmtId="43" fontId="11" fillId="18" borderId="18" xfId="1" applyFont="1" applyFill="1" applyBorder="1" applyAlignment="1">
      <alignment horizontal="right" vertical="center" wrapText="1"/>
    </xf>
    <xf numFmtId="43" fontId="14" fillId="0" borderId="16" xfId="1" applyFont="1" applyFill="1" applyBorder="1" applyAlignment="1">
      <alignment horizontal="right" vertical="center"/>
    </xf>
    <xf numFmtId="43" fontId="14" fillId="18" borderId="0" xfId="1" applyFont="1" applyFill="1" applyAlignment="1">
      <alignment horizontal="right" vertical="center"/>
    </xf>
    <xf numFmtId="43" fontId="14" fillId="16" borderId="16" xfId="1" applyFont="1" applyFill="1" applyBorder="1" applyAlignment="1">
      <alignment horizontal="right" vertical="center"/>
    </xf>
    <xf numFmtId="43" fontId="14" fillId="0" borderId="0" xfId="1" applyFont="1" applyAlignment="1">
      <alignment horizontal="right" vertical="center"/>
    </xf>
    <xf numFmtId="43" fontId="13" fillId="11" borderId="16" xfId="1" applyFont="1" applyFill="1" applyBorder="1" applyAlignment="1">
      <alignment horizontal="right" vertical="center"/>
    </xf>
    <xf numFmtId="43" fontId="14" fillId="2" borderId="0" xfId="1" applyFont="1" applyFill="1" applyAlignment="1">
      <alignment horizontal="right"/>
    </xf>
    <xf numFmtId="43" fontId="12" fillId="0" borderId="16" xfId="1" applyFont="1" applyFill="1" applyBorder="1" applyAlignment="1">
      <alignment horizontal="right" vertical="center"/>
    </xf>
    <xf numFmtId="43" fontId="12" fillId="2" borderId="16" xfId="1" applyFont="1" applyFill="1" applyBorder="1" applyAlignment="1">
      <alignment horizontal="right" vertical="center"/>
    </xf>
    <xf numFmtId="43" fontId="13" fillId="17" borderId="16" xfId="1" applyFont="1" applyFill="1" applyBorder="1" applyAlignment="1">
      <alignment horizontal="right" vertical="center" wrapText="1"/>
    </xf>
    <xf numFmtId="43" fontId="12" fillId="13" borderId="16" xfId="1" applyFont="1" applyFill="1" applyBorder="1" applyAlignment="1">
      <alignment horizontal="right" vertical="center"/>
    </xf>
    <xf numFmtId="43" fontId="12" fillId="16" borderId="16" xfId="1" applyFont="1" applyFill="1" applyBorder="1" applyAlignment="1">
      <alignment horizontal="right"/>
    </xf>
    <xf numFmtId="43" fontId="11" fillId="18" borderId="16" xfId="1" applyFont="1" applyFill="1" applyBorder="1" applyAlignment="1">
      <alignment horizontal="right" vertical="center"/>
    </xf>
    <xf numFmtId="43" fontId="13" fillId="16" borderId="18" xfId="1" applyFont="1" applyFill="1" applyBorder="1" applyAlignment="1">
      <alignment horizontal="right" vertical="center"/>
    </xf>
    <xf numFmtId="43" fontId="13" fillId="16" borderId="16" xfId="1" applyFont="1" applyFill="1" applyBorder="1" applyAlignment="1">
      <alignment horizontal="right" vertical="center"/>
    </xf>
    <xf numFmtId="43" fontId="14" fillId="16" borderId="16" xfId="1" applyFont="1" applyFill="1" applyBorder="1" applyAlignment="1">
      <alignment horizontal="right"/>
    </xf>
    <xf numFmtId="43" fontId="11" fillId="16" borderId="16" xfId="1" applyFont="1" applyFill="1" applyBorder="1" applyAlignment="1">
      <alignment horizontal="right" vertical="center"/>
    </xf>
    <xf numFmtId="43" fontId="13" fillId="18" borderId="16" xfId="1" applyFont="1" applyFill="1" applyBorder="1" applyAlignment="1">
      <alignment horizontal="right" vertical="center"/>
    </xf>
    <xf numFmtId="43" fontId="14" fillId="0" borderId="0" xfId="1" applyFont="1" applyAlignment="1">
      <alignment horizontal="right"/>
    </xf>
    <xf numFmtId="43" fontId="12" fillId="0" borderId="0" xfId="1" applyFont="1" applyAlignment="1">
      <alignment horizontal="right"/>
    </xf>
    <xf numFmtId="0" fontId="49" fillId="0" borderId="0" xfId="0" applyFont="1"/>
    <xf numFmtId="0" fontId="15" fillId="9" borderId="2" xfId="0" applyFont="1" applyFill="1" applyBorder="1" applyAlignment="1">
      <alignment horizontal="center" vertical="center" wrapText="1"/>
    </xf>
    <xf numFmtId="0" fontId="15" fillId="13" borderId="2" xfId="0" applyFont="1" applyFill="1" applyBorder="1" applyAlignment="1">
      <alignment horizontal="center" vertical="center" wrapText="1"/>
    </xf>
    <xf numFmtId="0" fontId="15" fillId="14" borderId="2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vertical="center" wrapText="1"/>
    </xf>
    <xf numFmtId="1" fontId="15" fillId="15" borderId="10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Fill="1" applyBorder="1" applyAlignment="1">
      <alignment horizontal="center" vertical="center" wrapText="1"/>
    </xf>
    <xf numFmtId="1" fontId="49" fillId="0" borderId="2" xfId="1" applyNumberFormat="1" applyFont="1" applyFill="1" applyBorder="1" applyAlignment="1">
      <alignment horizontal="center" wrapText="1"/>
    </xf>
    <xf numFmtId="1" fontId="49" fillId="0" borderId="2" xfId="0" applyNumberFormat="1" applyFont="1" applyFill="1" applyBorder="1" applyAlignment="1">
      <alignment horizontal="center" vertical="center"/>
    </xf>
    <xf numFmtId="1" fontId="15" fillId="0" borderId="10" xfId="0" applyNumberFormat="1" applyFont="1" applyFill="1" applyBorder="1" applyAlignment="1">
      <alignment horizontal="center" vertical="center" wrapText="1"/>
    </xf>
    <xf numFmtId="1" fontId="15" fillId="0" borderId="3" xfId="0" applyNumberFormat="1" applyFont="1" applyFill="1" applyBorder="1" applyAlignment="1">
      <alignment horizontal="center" vertical="center" wrapText="1"/>
    </xf>
    <xf numFmtId="1" fontId="49" fillId="0" borderId="2" xfId="0" applyNumberFormat="1" applyFont="1" applyBorder="1" applyAlignment="1">
      <alignment horizontal="center"/>
    </xf>
    <xf numFmtId="1" fontId="49" fillId="0" borderId="2" xfId="0" applyNumberFormat="1" applyFont="1" applyFill="1" applyBorder="1" applyAlignment="1">
      <alignment horizontal="center"/>
    </xf>
    <xf numFmtId="1" fontId="49" fillId="0" borderId="23" xfId="0" applyNumberFormat="1" applyFont="1" applyBorder="1" applyAlignment="1">
      <alignment horizontal="center"/>
    </xf>
    <xf numFmtId="1" fontId="49" fillId="0" borderId="20" xfId="0" applyNumberFormat="1" applyFont="1" applyBorder="1" applyAlignment="1">
      <alignment horizontal="center"/>
    </xf>
    <xf numFmtId="1" fontId="49" fillId="0" borderId="24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center"/>
    </xf>
    <xf numFmtId="1" fontId="15" fillId="0" borderId="13" xfId="0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center" vertical="center" wrapText="1"/>
    </xf>
    <xf numFmtId="0" fontId="15" fillId="15" borderId="2" xfId="0" applyFont="1" applyFill="1" applyBorder="1" applyAlignment="1">
      <alignment horizontal="center" vertical="center" wrapText="1"/>
    </xf>
    <xf numFmtId="1" fontId="15" fillId="15" borderId="2" xfId="0" applyNumberFormat="1" applyFont="1" applyFill="1" applyBorder="1" applyAlignment="1">
      <alignment horizontal="center" vertical="center" wrapText="1"/>
    </xf>
    <xf numFmtId="1" fontId="15" fillId="0" borderId="3" xfId="0" applyNumberFormat="1" applyFont="1" applyBorder="1" applyAlignment="1">
      <alignment horizontal="center" vertical="center" wrapText="1"/>
    </xf>
    <xf numFmtId="1" fontId="49" fillId="0" borderId="0" xfId="0" applyNumberFormat="1" applyFont="1" applyAlignment="1">
      <alignment horizontal="center" wrapText="1"/>
    </xf>
    <xf numFmtId="1" fontId="15" fillId="15" borderId="3" xfId="0" applyNumberFormat="1" applyFont="1" applyFill="1" applyBorder="1" applyAlignment="1">
      <alignment horizontal="center" vertical="center" wrapText="1"/>
    </xf>
    <xf numFmtId="1" fontId="15" fillId="14" borderId="3" xfId="0" applyNumberFormat="1" applyFont="1" applyFill="1" applyBorder="1" applyAlignment="1">
      <alignment horizontal="center" vertical="center" wrapText="1"/>
    </xf>
    <xf numFmtId="1" fontId="49" fillId="14" borderId="2" xfId="0" applyNumberFormat="1" applyFont="1" applyFill="1" applyBorder="1" applyAlignment="1">
      <alignment horizontal="center" wrapText="1"/>
    </xf>
    <xf numFmtId="1" fontId="49" fillId="15" borderId="3" xfId="0" applyNumberFormat="1" applyFont="1" applyFill="1" applyBorder="1" applyAlignment="1">
      <alignment horizontal="center" wrapText="1"/>
    </xf>
    <xf numFmtId="1" fontId="15" fillId="14" borderId="10" xfId="0" applyNumberFormat="1" applyFont="1" applyFill="1" applyBorder="1" applyAlignment="1">
      <alignment horizontal="center" vertical="center" wrapText="1"/>
    </xf>
    <xf numFmtId="1" fontId="52" fillId="0" borderId="0" xfId="0" applyNumberFormat="1" applyFont="1" applyFill="1" applyAlignment="1">
      <alignment wrapText="1"/>
    </xf>
    <xf numFmtId="1" fontId="15" fillId="0" borderId="10" xfId="0" applyNumberFormat="1" applyFont="1" applyBorder="1" applyAlignment="1">
      <alignment horizontal="center" vertical="center" wrapText="1"/>
    </xf>
    <xf numFmtId="1" fontId="52" fillId="14" borderId="2" xfId="0" applyNumberFormat="1" applyFont="1" applyFill="1" applyBorder="1" applyAlignment="1">
      <alignment wrapText="1"/>
    </xf>
    <xf numFmtId="1" fontId="15" fillId="8" borderId="2" xfId="0" applyNumberFormat="1" applyFont="1" applyFill="1" applyBorder="1" applyAlignment="1">
      <alignment horizontal="center" vertical="center" wrapText="1"/>
    </xf>
    <xf numFmtId="1" fontId="51" fillId="0" borderId="2" xfId="0" applyNumberFormat="1" applyFont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wrapText="1"/>
    </xf>
    <xf numFmtId="1" fontId="15" fillId="14" borderId="2" xfId="0" applyNumberFormat="1" applyFont="1" applyFill="1" applyBorder="1" applyAlignment="1">
      <alignment horizontal="center" vertical="center" wrapText="1"/>
    </xf>
    <xf numFmtId="1" fontId="15" fillId="0" borderId="13" xfId="0" applyNumberFormat="1" applyFont="1" applyFill="1" applyBorder="1" applyAlignment="1">
      <alignment horizontal="center" vertical="center" wrapText="1"/>
    </xf>
    <xf numFmtId="1" fontId="15" fillId="11" borderId="2" xfId="0" applyNumberFormat="1" applyFont="1" applyFill="1" applyBorder="1" applyAlignment="1">
      <alignment horizontal="center" vertical="center" wrapText="1"/>
    </xf>
    <xf numFmtId="1" fontId="52" fillId="13" borderId="0" xfId="0" applyNumberFormat="1" applyFont="1" applyFill="1" applyAlignment="1">
      <alignment wrapText="1"/>
    </xf>
    <xf numFmtId="1" fontId="50" fillId="0" borderId="0" xfId="0" applyNumberFormat="1" applyFont="1" applyFill="1" applyAlignment="1">
      <alignment wrapText="1"/>
    </xf>
    <xf numFmtId="1" fontId="49" fillId="0" borderId="0" xfId="0" applyNumberFormat="1" applyFont="1" applyFill="1" applyAlignment="1">
      <alignment horizontal="center" wrapText="1"/>
    </xf>
    <xf numFmtId="1" fontId="52" fillId="11" borderId="2" xfId="0" applyNumberFormat="1" applyFont="1" applyFill="1" applyBorder="1" applyAlignment="1">
      <alignment wrapText="1"/>
    </xf>
    <xf numFmtId="0" fontId="15" fillId="8" borderId="2" xfId="0" applyFont="1" applyFill="1" applyBorder="1" applyAlignment="1">
      <alignment horizontal="center" vertical="center" wrapText="1"/>
    </xf>
    <xf numFmtId="1" fontId="52" fillId="0" borderId="0" xfId="0" applyNumberFormat="1" applyFont="1" applyFill="1" applyAlignment="1">
      <alignment horizontal="center" wrapText="1"/>
    </xf>
    <xf numFmtId="1" fontId="15" fillId="13" borderId="2" xfId="0" applyNumberFormat="1" applyFont="1" applyFill="1" applyBorder="1" applyAlignment="1">
      <alignment horizontal="center" vertical="center" wrapText="1"/>
    </xf>
    <xf numFmtId="1" fontId="15" fillId="7" borderId="2" xfId="0" applyNumberFormat="1" applyFont="1" applyFill="1" applyBorder="1" applyAlignment="1">
      <alignment horizontal="center" vertical="center" wrapText="1"/>
    </xf>
    <xf numFmtId="1" fontId="52" fillId="0" borderId="2" xfId="0" applyNumberFormat="1" applyFont="1" applyFill="1" applyBorder="1" applyAlignment="1">
      <alignment wrapText="1"/>
    </xf>
    <xf numFmtId="1" fontId="17" fillId="0" borderId="2" xfId="0" applyNumberFormat="1" applyFont="1" applyFill="1" applyBorder="1" applyAlignment="1">
      <alignment horizontal="center" vertical="center" wrapText="1"/>
    </xf>
    <xf numFmtId="1" fontId="17" fillId="0" borderId="12" xfId="0" applyNumberFormat="1" applyFont="1" applyFill="1" applyBorder="1" applyAlignment="1">
      <alignment horizontal="center" vertical="center" wrapText="1"/>
    </xf>
    <xf numFmtId="1" fontId="52" fillId="0" borderId="0" xfId="0" applyNumberFormat="1" applyFont="1" applyAlignment="1">
      <alignment wrapText="1"/>
    </xf>
    <xf numFmtId="1" fontId="17" fillId="11" borderId="12" xfId="0" applyNumberFormat="1" applyFont="1" applyFill="1" applyBorder="1" applyAlignment="1">
      <alignment horizontal="center" vertical="center" wrapText="1"/>
    </xf>
    <xf numFmtId="1" fontId="15" fillId="0" borderId="12" xfId="0" applyNumberFormat="1" applyFont="1" applyFill="1" applyBorder="1" applyAlignment="1">
      <alignment horizontal="center" vertical="center" wrapText="1"/>
    </xf>
    <xf numFmtId="1" fontId="17" fillId="6" borderId="12" xfId="0" applyNumberFormat="1" applyFont="1" applyFill="1" applyBorder="1" applyAlignment="1">
      <alignment horizontal="center" vertical="center" wrapText="1"/>
    </xf>
    <xf numFmtId="1" fontId="50" fillId="8" borderId="2" xfId="0" applyNumberFormat="1" applyFont="1" applyFill="1" applyBorder="1" applyAlignment="1">
      <alignment horizontal="center" vertical="center" wrapText="1"/>
    </xf>
    <xf numFmtId="1" fontId="49" fillId="8" borderId="2" xfId="1" applyNumberFormat="1" applyFont="1" applyFill="1" applyBorder="1" applyAlignment="1">
      <alignment horizontal="center" vertical="center"/>
    </xf>
    <xf numFmtId="1" fontId="49" fillId="8" borderId="12" xfId="1" applyNumberFormat="1" applyFont="1" applyFill="1" applyBorder="1" applyAlignment="1">
      <alignment horizontal="center" vertical="center"/>
    </xf>
    <xf numFmtId="1" fontId="15" fillId="16" borderId="2" xfId="0" applyNumberFormat="1" applyFont="1" applyFill="1" applyBorder="1" applyAlignment="1">
      <alignment horizontal="center" vertical="center" wrapText="1"/>
    </xf>
    <xf numFmtId="1" fontId="15" fillId="0" borderId="12" xfId="0" applyNumberFormat="1" applyFont="1" applyBorder="1" applyAlignment="1">
      <alignment horizontal="center" vertical="center" wrapText="1"/>
    </xf>
    <xf numFmtId="1" fontId="49" fillId="0" borderId="0" xfId="0" applyNumberFormat="1" applyFont="1" applyAlignment="1">
      <alignment horizontal="center" vertical="center" wrapText="1"/>
    </xf>
    <xf numFmtId="1" fontId="52" fillId="6" borderId="2" xfId="0" applyNumberFormat="1" applyFont="1" applyFill="1" applyBorder="1" applyAlignment="1">
      <alignment wrapText="1"/>
    </xf>
    <xf numFmtId="1" fontId="17" fillId="13" borderId="12" xfId="0" applyNumberFormat="1" applyFont="1" applyFill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wrapText="1"/>
    </xf>
    <xf numFmtId="1" fontId="17" fillId="16" borderId="12" xfId="0" applyNumberFormat="1" applyFont="1" applyFill="1" applyBorder="1" applyAlignment="1">
      <alignment horizontal="center" vertical="center" wrapText="1"/>
    </xf>
    <xf numFmtId="1" fontId="49" fillId="0" borderId="0" xfId="0" applyNumberFormat="1" applyFont="1" applyFill="1" applyAlignment="1">
      <alignment wrapText="1"/>
    </xf>
    <xf numFmtId="1" fontId="52" fillId="0" borderId="0" xfId="0" applyNumberFormat="1" applyFont="1" applyFill="1"/>
    <xf numFmtId="1" fontId="15" fillId="9" borderId="2" xfId="0" applyNumberFormat="1" applyFont="1" applyFill="1" applyBorder="1" applyAlignment="1">
      <alignment horizontal="center" vertical="center" wrapText="1"/>
    </xf>
    <xf numFmtId="1" fontId="17" fillId="14" borderId="12" xfId="0" applyNumberFormat="1" applyFont="1" applyFill="1" applyBorder="1" applyAlignment="1">
      <alignment horizontal="center" vertical="center" wrapText="1"/>
    </xf>
    <xf numFmtId="1" fontId="17" fillId="2" borderId="12" xfId="0" applyNumberFormat="1" applyFont="1" applyFill="1" applyBorder="1" applyAlignment="1">
      <alignment horizontal="center" vertical="center" wrapText="1"/>
    </xf>
    <xf numFmtId="1" fontId="52" fillId="0" borderId="2" xfId="0" applyNumberFormat="1" applyFont="1" applyFill="1" applyBorder="1"/>
    <xf numFmtId="1" fontId="17" fillId="2" borderId="2" xfId="0" applyNumberFormat="1" applyFont="1" applyFill="1" applyBorder="1" applyAlignment="1">
      <alignment horizontal="center" vertical="center" wrapText="1"/>
    </xf>
    <xf numFmtId="0" fontId="49" fillId="8" borderId="1" xfId="0" applyFont="1" applyFill="1" applyBorder="1" applyAlignment="1">
      <alignment horizontal="center" wrapText="1"/>
    </xf>
    <xf numFmtId="1" fontId="17" fillId="2" borderId="4" xfId="0" applyNumberFormat="1" applyFont="1" applyFill="1" applyBorder="1" applyAlignment="1">
      <alignment horizontal="center" vertical="center" wrapText="1"/>
    </xf>
    <xf numFmtId="1" fontId="49" fillId="0" borderId="2" xfId="0" applyNumberFormat="1" applyFont="1" applyFill="1" applyBorder="1"/>
    <xf numFmtId="1" fontId="49" fillId="0" borderId="3" xfId="0" applyNumberFormat="1" applyFont="1" applyFill="1" applyBorder="1"/>
    <xf numFmtId="1" fontId="49" fillId="0" borderId="0" xfId="0" applyNumberFormat="1" applyFont="1" applyFill="1" applyAlignment="1">
      <alignment horizontal="center"/>
    </xf>
    <xf numFmtId="1" fontId="17" fillId="16" borderId="2" xfId="0" applyNumberFormat="1" applyFont="1" applyFill="1" applyBorder="1" applyAlignment="1">
      <alignment horizontal="center" vertical="center" wrapText="1"/>
    </xf>
    <xf numFmtId="1" fontId="17" fillId="16" borderId="4" xfId="0" applyNumberFormat="1" applyFont="1" applyFill="1" applyBorder="1" applyAlignment="1">
      <alignment horizontal="center" vertical="center" wrapText="1"/>
    </xf>
    <xf numFmtId="1" fontId="49" fillId="0" borderId="3" xfId="0" applyNumberFormat="1" applyFont="1" applyFill="1" applyBorder="1" applyAlignment="1">
      <alignment horizontal="center"/>
    </xf>
    <xf numFmtId="1" fontId="15" fillId="0" borderId="8" xfId="0" applyNumberFormat="1" applyFont="1" applyFill="1" applyBorder="1" applyAlignment="1">
      <alignment horizontal="center" vertical="center" wrapText="1"/>
    </xf>
    <xf numFmtId="0" fontId="15" fillId="8" borderId="3" xfId="0" applyFont="1" applyFill="1" applyBorder="1" applyAlignment="1">
      <alignment horizontal="center" vertical="center" wrapText="1"/>
    </xf>
    <xf numFmtId="1" fontId="15" fillId="0" borderId="8" xfId="0" applyNumberFormat="1" applyFont="1" applyBorder="1" applyAlignment="1">
      <alignment horizontal="center" vertical="center" wrapText="1"/>
    </xf>
    <xf numFmtId="1" fontId="15" fillId="11" borderId="1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1" fontId="15" fillId="11" borderId="3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1" fontId="52" fillId="16" borderId="0" xfId="0" applyNumberFormat="1" applyFont="1" applyFill="1"/>
    <xf numFmtId="0" fontId="49" fillId="0" borderId="14" xfId="0" applyFont="1" applyBorder="1" applyAlignment="1">
      <alignment horizontal="center" vertical="center"/>
    </xf>
    <xf numFmtId="0" fontId="49" fillId="0" borderId="14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1" fontId="15" fillId="18" borderId="2" xfId="0" applyNumberFormat="1" applyFont="1" applyFill="1" applyBorder="1" applyAlignment="1">
      <alignment horizontal="center" vertical="center" wrapText="1"/>
    </xf>
    <xf numFmtId="3" fontId="15" fillId="8" borderId="2" xfId="0" applyNumberFormat="1" applyFont="1" applyFill="1" applyBorder="1" applyAlignment="1">
      <alignment horizontal="center" vertical="center" wrapText="1"/>
    </xf>
    <xf numFmtId="1" fontId="49" fillId="16" borderId="0" xfId="0" applyNumberFormat="1" applyFont="1" applyFill="1" applyAlignment="1">
      <alignment horizontal="center"/>
    </xf>
    <xf numFmtId="1" fontId="49" fillId="16" borderId="2" xfId="0" applyNumberFormat="1" applyFont="1" applyFill="1" applyBorder="1" applyAlignment="1">
      <alignment horizontal="center"/>
    </xf>
    <xf numFmtId="1" fontId="15" fillId="2" borderId="2" xfId="0" applyNumberFormat="1" applyFont="1" applyFill="1" applyBorder="1" applyAlignment="1">
      <alignment horizontal="center" vertical="center" wrapText="1"/>
    </xf>
    <xf numFmtId="1" fontId="52" fillId="2" borderId="0" xfId="0" applyNumberFormat="1" applyFont="1" applyFill="1"/>
    <xf numFmtId="1" fontId="15" fillId="17" borderId="2" xfId="0" applyNumberFormat="1" applyFont="1" applyFill="1" applyBorder="1" applyAlignment="1">
      <alignment horizontal="center" vertical="center" wrapText="1"/>
    </xf>
    <xf numFmtId="1" fontId="52" fillId="16" borderId="2" xfId="0" applyNumberFormat="1" applyFont="1" applyFill="1" applyBorder="1"/>
    <xf numFmtId="1" fontId="50" fillId="18" borderId="2" xfId="0" applyNumberFormat="1" applyFont="1" applyFill="1" applyBorder="1" applyAlignment="1">
      <alignment horizontal="center" vertical="center" wrapText="1"/>
    </xf>
    <xf numFmtId="1" fontId="15" fillId="16" borderId="18" xfId="0" applyNumberFormat="1" applyFont="1" applyFill="1" applyBorder="1" applyAlignment="1">
      <alignment horizontal="center" vertical="center" wrapText="1"/>
    </xf>
    <xf numFmtId="1" fontId="15" fillId="18" borderId="2" xfId="0" applyNumberFormat="1" applyFont="1" applyFill="1" applyBorder="1" applyAlignment="1">
      <alignment vertical="center" wrapText="1"/>
    </xf>
    <xf numFmtId="1" fontId="52" fillId="0" borderId="2" xfId="0" applyNumberFormat="1" applyFont="1" applyFill="1" applyBorder="1" applyAlignment="1">
      <alignment horizontal="center"/>
    </xf>
    <xf numFmtId="1" fontId="15" fillId="8" borderId="0" xfId="0" applyNumberFormat="1" applyFont="1" applyFill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0" xfId="0" applyFont="1"/>
    <xf numFmtId="0" fontId="8" fillId="0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/>
    </xf>
    <xf numFmtId="0" fontId="8" fillId="18" borderId="0" xfId="0" applyFont="1" applyFill="1"/>
    <xf numFmtId="1" fontId="52" fillId="2" borderId="0" xfId="0" applyNumberFormat="1" applyFont="1" applyFill="1" applyAlignment="1">
      <alignment wrapText="1"/>
    </xf>
    <xf numFmtId="0" fontId="3" fillId="2" borderId="0" xfId="0" applyFont="1" applyFill="1" applyAlignment="1">
      <alignment wrapText="1"/>
    </xf>
    <xf numFmtId="0" fontId="46" fillId="2" borderId="0" xfId="0" applyFont="1" applyFill="1" applyAlignment="1">
      <alignment wrapText="1"/>
    </xf>
    <xf numFmtId="43" fontId="14" fillId="2" borderId="0" xfId="1" applyFont="1" applyFill="1" applyAlignment="1">
      <alignment horizontal="right" wrapText="1"/>
    </xf>
    <xf numFmtId="0" fontId="6" fillId="2" borderId="12" xfId="0" applyFont="1" applyFill="1" applyBorder="1" applyAlignment="1">
      <alignment horizontal="center" vertical="center" wrapText="1"/>
    </xf>
    <xf numFmtId="0" fontId="6" fillId="16" borderId="12" xfId="0" applyFont="1" applyFill="1" applyBorder="1" applyAlignment="1">
      <alignment horizontal="center" vertical="center" wrapText="1"/>
    </xf>
    <xf numFmtId="1" fontId="52" fillId="16" borderId="2" xfId="0" applyNumberFormat="1" applyFont="1" applyFill="1" applyBorder="1" applyAlignment="1">
      <alignment wrapText="1"/>
    </xf>
    <xf numFmtId="0" fontId="3" fillId="16" borderId="12" xfId="0" applyFont="1" applyFill="1" applyBorder="1" applyAlignment="1">
      <alignment horizontal="center" wrapText="1"/>
    </xf>
    <xf numFmtId="0" fontId="46" fillId="16" borderId="12" xfId="0" applyFont="1" applyFill="1" applyBorder="1" applyAlignment="1">
      <alignment horizontal="center" wrapText="1"/>
    </xf>
    <xf numFmtId="43" fontId="13" fillId="4" borderId="16" xfId="1" applyFont="1" applyFill="1" applyBorder="1" applyAlignment="1">
      <alignment horizontal="right" vertical="center" wrapText="1"/>
    </xf>
    <xf numFmtId="43" fontId="0" fillId="4" borderId="2" xfId="1" applyFont="1" applyFill="1" applyBorder="1"/>
    <xf numFmtId="2" fontId="0" fillId="4" borderId="2" xfId="0" applyNumberFormat="1" applyFill="1" applyBorder="1"/>
    <xf numFmtId="0" fontId="0" fillId="4" borderId="2" xfId="0" applyFill="1" applyBorder="1"/>
    <xf numFmtId="0" fontId="6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1" fontId="15" fillId="4" borderId="2" xfId="0" applyNumberFormat="1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horizontal="center" vertical="center" wrapText="1"/>
    </xf>
    <xf numFmtId="43" fontId="12" fillId="4" borderId="2" xfId="1" applyFont="1" applyFill="1" applyBorder="1"/>
    <xf numFmtId="43" fontId="11" fillId="2" borderId="16" xfId="1" applyFont="1" applyFill="1" applyBorder="1" applyAlignment="1">
      <alignment horizontal="right" vertical="center" wrapText="1"/>
    </xf>
    <xf numFmtId="1" fontId="50" fillId="2" borderId="2" xfId="0" applyNumberFormat="1" applyFont="1" applyFill="1" applyBorder="1" applyAlignment="1">
      <alignment horizontal="center" vertical="center" wrapText="1"/>
    </xf>
    <xf numFmtId="0" fontId="47" fillId="2" borderId="12" xfId="0" applyFont="1" applyFill="1" applyBorder="1" applyAlignment="1">
      <alignment horizontal="center" vertical="center" wrapText="1"/>
    </xf>
    <xf numFmtId="43" fontId="14" fillId="2" borderId="2" xfId="1" applyFont="1" applyFill="1" applyBorder="1"/>
    <xf numFmtId="43" fontId="2" fillId="2" borderId="2" xfId="1" applyFont="1" applyFill="1" applyBorder="1"/>
    <xf numFmtId="2" fontId="2" fillId="2" borderId="2" xfId="0" applyNumberFormat="1" applyFont="1" applyFill="1" applyBorder="1"/>
    <xf numFmtId="0" fontId="2" fillId="2" borderId="2" xfId="0" applyFont="1" applyFill="1" applyBorder="1"/>
    <xf numFmtId="0" fontId="9" fillId="11" borderId="12" xfId="0" applyFont="1" applyFill="1" applyBorder="1" applyAlignment="1">
      <alignment horizontal="center" vertical="center" wrapText="1"/>
    </xf>
    <xf numFmtId="0" fontId="10" fillId="11" borderId="12" xfId="0" applyFont="1" applyFill="1" applyBorder="1" applyAlignment="1">
      <alignment horizontal="center" vertical="center" wrapText="1"/>
    </xf>
    <xf numFmtId="0" fontId="48" fillId="11" borderId="12" xfId="0" applyFont="1" applyFill="1" applyBorder="1" applyAlignment="1">
      <alignment horizontal="center" vertical="center" wrapText="1"/>
    </xf>
    <xf numFmtId="43" fontId="19" fillId="11" borderId="16" xfId="1" applyFont="1" applyFill="1" applyBorder="1" applyAlignment="1">
      <alignment horizontal="right" vertical="center" wrapText="1"/>
    </xf>
    <xf numFmtId="43" fontId="11" fillId="2" borderId="2" xfId="1" applyFont="1" applyFill="1" applyBorder="1" applyAlignment="1">
      <alignment horizontal="right" vertical="center" wrapText="1"/>
    </xf>
    <xf numFmtId="1" fontId="52" fillId="16" borderId="0" xfId="0" applyNumberFormat="1" applyFont="1" applyFill="1" applyAlignment="1">
      <alignment wrapText="1"/>
    </xf>
    <xf numFmtId="0" fontId="3" fillId="16" borderId="0" xfId="0" applyFont="1" applyFill="1" applyAlignment="1">
      <alignment wrapText="1"/>
    </xf>
    <xf numFmtId="0" fontId="46" fillId="16" borderId="0" xfId="0" applyFont="1" applyFill="1" applyAlignment="1">
      <alignment wrapText="1"/>
    </xf>
    <xf numFmtId="0" fontId="33" fillId="0" borderId="2" xfId="0" applyFont="1" applyFill="1" applyBorder="1" applyAlignment="1">
      <alignment horizontal="left" vertical="distributed" wrapText="1"/>
    </xf>
    <xf numFmtId="43" fontId="0" fillId="0" borderId="2" xfId="0" applyNumberFormat="1" applyBorder="1" applyAlignment="1">
      <alignment horizontal="center" vertical="center"/>
    </xf>
    <xf numFmtId="0" fontId="3" fillId="16" borderId="0" xfId="0" applyFont="1" applyFill="1" applyAlignment="1">
      <alignment horizontal="center" wrapText="1"/>
    </xf>
    <xf numFmtId="0" fontId="46" fillId="16" borderId="0" xfId="0" applyFont="1" applyFill="1" applyAlignment="1">
      <alignment horizontal="center" wrapText="1"/>
    </xf>
    <xf numFmtId="2" fontId="0" fillId="0" borderId="2" xfId="0" applyNumberFormat="1" applyFill="1" applyBorder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2" xfId="1" applyFont="1" applyFill="1" applyBorder="1"/>
    <xf numFmtId="2" fontId="2" fillId="0" borderId="2" xfId="0" applyNumberFormat="1" applyFont="1" applyFill="1" applyBorder="1"/>
    <xf numFmtId="2" fontId="26" fillId="0" borderId="2" xfId="0" applyNumberFormat="1" applyFont="1" applyFill="1" applyBorder="1"/>
    <xf numFmtId="0" fontId="7" fillId="7" borderId="1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/>
    </xf>
    <xf numFmtId="0" fontId="6" fillId="0" borderId="0" xfId="0" applyFont="1" applyBorder="1" applyAlignment="1" applyProtection="1">
      <alignment horizontal="left" vertical="center" wrapText="1" shrinkToFit="1"/>
      <protection locked="0"/>
    </xf>
    <xf numFmtId="0" fontId="44" fillId="8" borderId="10" xfId="0" applyFont="1" applyFill="1" applyBorder="1" applyAlignment="1">
      <alignment horizontal="center" vertical="center" wrapText="1"/>
    </xf>
    <xf numFmtId="43" fontId="54" fillId="0" borderId="0" xfId="1" applyFont="1" applyFill="1"/>
    <xf numFmtId="0" fontId="54" fillId="0" borderId="0" xfId="0" applyFont="1" applyFill="1"/>
    <xf numFmtId="0" fontId="54" fillId="9" borderId="0" xfId="0" applyFont="1" applyFill="1"/>
    <xf numFmtId="43" fontId="54" fillId="0" borderId="0" xfId="1" applyFont="1" applyFill="1" applyAlignment="1">
      <alignment horizontal="right"/>
    </xf>
    <xf numFmtId="43" fontId="54" fillId="9" borderId="26" xfId="1" applyFont="1" applyFill="1" applyBorder="1" applyAlignment="1">
      <alignment horizontal="right"/>
    </xf>
    <xf numFmtId="43" fontId="54" fillId="9" borderId="28" xfId="1" applyFont="1" applyFill="1" applyBorder="1" applyAlignment="1">
      <alignment horizontal="right"/>
    </xf>
    <xf numFmtId="0" fontId="55" fillId="0" borderId="2" xfId="0" applyFont="1" applyBorder="1" applyAlignment="1">
      <alignment horizontal="center" vertical="center" wrapText="1"/>
    </xf>
    <xf numFmtId="0" fontId="56" fillId="2" borderId="27" xfId="0" applyFont="1" applyFill="1" applyBorder="1" applyAlignment="1">
      <alignment horizontal="center" vertical="center"/>
    </xf>
    <xf numFmtId="0" fontId="56" fillId="2" borderId="34" xfId="0" applyFont="1" applyFill="1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36" xfId="0" applyBorder="1"/>
    <xf numFmtId="0" fontId="0" fillId="0" borderId="31" xfId="0" applyBorder="1" applyAlignment="1">
      <alignment horizontal="center" vertical="center"/>
    </xf>
    <xf numFmtId="0" fontId="0" fillId="0" borderId="32" xfId="0" applyBorder="1"/>
    <xf numFmtId="0" fontId="0" fillId="0" borderId="33" xfId="0" applyBorder="1" applyAlignment="1">
      <alignment horizontal="center" vertical="center"/>
    </xf>
    <xf numFmtId="0" fontId="0" fillId="0" borderId="27" xfId="0" applyBorder="1"/>
    <xf numFmtId="0" fontId="0" fillId="0" borderId="27" xfId="0" applyBorder="1" applyAlignment="1">
      <alignment horizontal="center" vertical="center"/>
    </xf>
    <xf numFmtId="0" fontId="0" fillId="0" borderId="34" xfId="0" applyBorder="1"/>
    <xf numFmtId="43" fontId="0" fillId="0" borderId="10" xfId="1" applyFont="1" applyBorder="1"/>
    <xf numFmtId="43" fontId="0" fillId="0" borderId="27" xfId="1" applyFont="1" applyBorder="1"/>
    <xf numFmtId="43" fontId="0" fillId="9" borderId="27" xfId="1" applyFont="1" applyFill="1" applyBorder="1"/>
    <xf numFmtId="0" fontId="58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2" fillId="0" borderId="31" xfId="0" applyFont="1" applyBorder="1" applyAlignment="1">
      <alignment horizontal="center" vertical="center"/>
    </xf>
    <xf numFmtId="0" fontId="2" fillId="0" borderId="2" xfId="0" applyFont="1" applyBorder="1" applyAlignment="1">
      <alignment wrapText="1"/>
    </xf>
    <xf numFmtId="0" fontId="2" fillId="0" borderId="35" xfId="0" applyFont="1" applyBorder="1" applyAlignment="1">
      <alignment horizontal="center" vertical="center"/>
    </xf>
    <xf numFmtId="0" fontId="2" fillId="0" borderId="10" xfId="0" applyFont="1" applyBorder="1"/>
    <xf numFmtId="0" fontId="52" fillId="0" borderId="0" xfId="0" applyFont="1" applyAlignment="1">
      <alignment vertical="center" wrapText="1"/>
    </xf>
    <xf numFmtId="0" fontId="52" fillId="0" borderId="1" xfId="0" applyFont="1" applyBorder="1" applyAlignment="1">
      <alignment vertical="center" wrapText="1"/>
    </xf>
    <xf numFmtId="0" fontId="52" fillId="0" borderId="0" xfId="0" applyFont="1" applyBorder="1" applyAlignment="1">
      <alignment vertical="center" wrapText="1"/>
    </xf>
    <xf numFmtId="43" fontId="14" fillId="0" borderId="0" xfId="1" applyFont="1" applyBorder="1" applyAlignment="1">
      <alignment horizontal="right" vertical="center"/>
    </xf>
    <xf numFmtId="0" fontId="6" fillId="9" borderId="2" xfId="0" applyFont="1" applyFill="1" applyBorder="1" applyAlignment="1">
      <alignment vertical="center" wrapText="1"/>
    </xf>
    <xf numFmtId="0" fontId="0" fillId="9" borderId="2" xfId="0" applyFill="1" applyBorder="1" applyAlignment="1">
      <alignment horizontal="center"/>
    </xf>
    <xf numFmtId="43" fontId="2" fillId="9" borderId="2" xfId="0" applyNumberFormat="1" applyFont="1" applyFill="1" applyBorder="1"/>
    <xf numFmtId="43" fontId="0" fillId="9" borderId="2" xfId="1" applyFont="1" applyFill="1" applyBorder="1" applyAlignment="1">
      <alignment horizontal="center"/>
    </xf>
    <xf numFmtId="0" fontId="6" fillId="13" borderId="2" xfId="0" applyFont="1" applyFill="1" applyBorder="1" applyAlignment="1">
      <alignment vertical="center" wrapText="1"/>
    </xf>
    <xf numFmtId="0" fontId="0" fillId="13" borderId="2" xfId="0" applyFill="1" applyBorder="1" applyAlignment="1">
      <alignment horizontal="center"/>
    </xf>
    <xf numFmtId="0" fontId="2" fillId="13" borderId="2" xfId="0" applyFont="1" applyFill="1" applyBorder="1"/>
    <xf numFmtId="43" fontId="0" fillId="13" borderId="2" xfId="1" applyFont="1" applyFill="1" applyBorder="1" applyAlignment="1">
      <alignment horizontal="center"/>
    </xf>
    <xf numFmtId="0" fontId="9" fillId="11" borderId="2" xfId="0" applyFont="1" applyFill="1" applyBorder="1" applyAlignment="1">
      <alignment vertical="center" wrapText="1"/>
    </xf>
    <xf numFmtId="0" fontId="59" fillId="11" borderId="2" xfId="0" applyFont="1" applyFill="1" applyBorder="1" applyAlignment="1">
      <alignment horizontal="center"/>
    </xf>
    <xf numFmtId="0" fontId="59" fillId="11" borderId="2" xfId="0" applyFont="1" applyFill="1" applyBorder="1"/>
    <xf numFmtId="43" fontId="59" fillId="11" borderId="2" xfId="0" applyNumberFormat="1" applyFont="1" applyFill="1" applyBorder="1"/>
    <xf numFmtId="43" fontId="59" fillId="11" borderId="2" xfId="1" applyFont="1" applyFill="1" applyBorder="1"/>
    <xf numFmtId="0" fontId="59" fillId="0" borderId="2" xfId="0" applyFont="1" applyBorder="1"/>
    <xf numFmtId="43" fontId="59" fillId="11" borderId="2" xfId="1" applyFont="1" applyFill="1" applyBorder="1" applyAlignment="1">
      <alignment horizontal="center"/>
    </xf>
    <xf numFmtId="0" fontId="59" fillId="0" borderId="0" xfId="0" applyFont="1"/>
    <xf numFmtId="43" fontId="0" fillId="0" borderId="2" xfId="0" applyNumberFormat="1" applyBorder="1"/>
    <xf numFmtId="43" fontId="0" fillId="0" borderId="2" xfId="0" applyNumberFormat="1" applyBorder="1" applyAlignment="1">
      <alignment horizontal="center"/>
    </xf>
    <xf numFmtId="43" fontId="0" fillId="0" borderId="2" xfId="1" applyFont="1" applyBorder="1" applyAlignment="1">
      <alignment horizontal="center"/>
    </xf>
    <xf numFmtId="0" fontId="8" fillId="8" borderId="3" xfId="0" applyFont="1" applyFill="1" applyBorder="1" applyAlignment="1">
      <alignment vertical="center" wrapText="1"/>
    </xf>
    <xf numFmtId="0" fontId="3" fillId="11" borderId="2" xfId="0" applyFont="1" applyFill="1" applyBorder="1" applyAlignment="1">
      <alignment horizontal="center"/>
    </xf>
    <xf numFmtId="0" fontId="23" fillId="11" borderId="2" xfId="0" applyFont="1" applyFill="1" applyBorder="1" applyAlignment="1">
      <alignment horizontal="center"/>
    </xf>
    <xf numFmtId="0" fontId="23" fillId="11" borderId="2" xfId="0" applyFont="1" applyFill="1" applyBorder="1"/>
    <xf numFmtId="43" fontId="23" fillId="11" borderId="2" xfId="1" applyFont="1" applyFill="1" applyBorder="1"/>
    <xf numFmtId="0" fontId="23" fillId="0" borderId="2" xfId="0" applyFont="1" applyBorder="1"/>
    <xf numFmtId="43" fontId="23" fillId="11" borderId="2" xfId="1" applyFont="1" applyFill="1" applyBorder="1" applyAlignment="1">
      <alignment horizontal="center"/>
    </xf>
    <xf numFmtId="0" fontId="23" fillId="0" borderId="0" xfId="0" applyFont="1"/>
    <xf numFmtId="0" fontId="0" fillId="0" borderId="3" xfId="0" applyBorder="1" applyAlignment="1">
      <alignment horizontal="center"/>
    </xf>
    <xf numFmtId="43" fontId="0" fillId="0" borderId="3" xfId="0" applyNumberFormat="1" applyBorder="1"/>
    <xf numFmtId="0" fontId="9" fillId="16" borderId="12" xfId="0" applyFont="1" applyFill="1" applyBorder="1" applyAlignment="1">
      <alignment vertical="center" wrapText="1"/>
    </xf>
    <xf numFmtId="0" fontId="0" fillId="16" borderId="2" xfId="0" applyFill="1" applyBorder="1" applyAlignment="1">
      <alignment horizontal="center"/>
    </xf>
    <xf numFmtId="43" fontId="0" fillId="16" borderId="2" xfId="0" applyNumberFormat="1" applyFill="1" applyBorder="1"/>
    <xf numFmtId="43" fontId="0" fillId="16" borderId="2" xfId="1" applyFont="1" applyFill="1" applyBorder="1" applyAlignment="1">
      <alignment horizontal="center"/>
    </xf>
    <xf numFmtId="0" fontId="10" fillId="11" borderId="12" xfId="0" applyFont="1" applyFill="1" applyBorder="1" applyAlignment="1">
      <alignment vertical="center" wrapText="1"/>
    </xf>
    <xf numFmtId="43" fontId="23" fillId="0" borderId="2" xfId="1" applyFont="1" applyBorder="1"/>
    <xf numFmtId="0" fontId="9" fillId="13" borderId="12" xfId="0" applyFont="1" applyFill="1" applyBorder="1" applyAlignment="1">
      <alignment vertical="center" wrapText="1"/>
    </xf>
    <xf numFmtId="43" fontId="0" fillId="13" borderId="2" xfId="0" applyNumberFormat="1" applyFill="1" applyBorder="1"/>
    <xf numFmtId="0" fontId="22" fillId="11" borderId="2" xfId="0" applyFont="1" applyFill="1" applyBorder="1" applyAlignment="1">
      <alignment horizontal="center" vertical="center" wrapText="1"/>
    </xf>
    <xf numFmtId="0" fontId="60" fillId="11" borderId="12" xfId="0" applyFont="1" applyFill="1" applyBorder="1" applyAlignment="1">
      <alignment vertical="center" wrapText="1"/>
    </xf>
    <xf numFmtId="43" fontId="2" fillId="11" borderId="2" xfId="0" applyNumberFormat="1" applyFont="1" applyFill="1" applyBorder="1"/>
    <xf numFmtId="0" fontId="0" fillId="11" borderId="2" xfId="0" applyFont="1" applyFill="1" applyBorder="1"/>
    <xf numFmtId="0" fontId="0" fillId="0" borderId="2" xfId="0" applyFont="1" applyBorder="1"/>
    <xf numFmtId="43" fontId="0" fillId="11" borderId="2" xfId="1" applyFont="1" applyFill="1" applyBorder="1" applyAlignment="1">
      <alignment horizontal="center"/>
    </xf>
    <xf numFmtId="43" fontId="2" fillId="11" borderId="2" xfId="1" applyFont="1" applyFill="1" applyBorder="1"/>
    <xf numFmtId="0" fontId="0" fillId="0" borderId="0" xfId="0" applyFont="1"/>
    <xf numFmtId="165" fontId="0" fillId="0" borderId="2" xfId="1" applyNumberFormat="1" applyFont="1" applyBorder="1" applyAlignment="1">
      <alignment horizontal="center"/>
    </xf>
    <xf numFmtId="0" fontId="61" fillId="11" borderId="2" xfId="0" applyFont="1" applyFill="1" applyBorder="1" applyAlignment="1">
      <alignment horizontal="center" vertical="center" wrapText="1"/>
    </xf>
    <xf numFmtId="0" fontId="62" fillId="11" borderId="12" xfId="0" applyFont="1" applyFill="1" applyBorder="1" applyAlignment="1">
      <alignment vertical="center" wrapText="1"/>
    </xf>
    <xf numFmtId="0" fontId="61" fillId="19" borderId="2" xfId="0" applyFont="1" applyFill="1" applyBorder="1" applyAlignment="1">
      <alignment horizontal="center" vertical="center" wrapText="1"/>
    </xf>
    <xf numFmtId="0" fontId="61" fillId="19" borderId="12" xfId="0" applyFont="1" applyFill="1" applyBorder="1" applyAlignment="1">
      <alignment horizontal="left" vertical="center" wrapText="1"/>
    </xf>
    <xf numFmtId="0" fontId="23" fillId="19" borderId="2" xfId="0" applyFont="1" applyFill="1" applyBorder="1" applyAlignment="1">
      <alignment horizontal="center"/>
    </xf>
    <xf numFmtId="43" fontId="59" fillId="19" borderId="2" xfId="1" applyFont="1" applyFill="1" applyBorder="1"/>
    <xf numFmtId="0" fontId="23" fillId="19" borderId="2" xfId="0" applyFont="1" applyFill="1" applyBorder="1"/>
    <xf numFmtId="165" fontId="0" fillId="0" borderId="2" xfId="0" applyNumberFormat="1" applyBorder="1" applyAlignment="1">
      <alignment horizontal="center"/>
    </xf>
    <xf numFmtId="0" fontId="62" fillId="19" borderId="12" xfId="0" applyFont="1" applyFill="1" applyBorder="1" applyAlignment="1">
      <alignment vertical="center" wrapText="1"/>
    </xf>
    <xf numFmtId="43" fontId="23" fillId="19" borderId="2" xfId="0" applyNumberFormat="1" applyFont="1" applyFill="1" applyBorder="1" applyAlignment="1">
      <alignment horizontal="center"/>
    </xf>
    <xf numFmtId="43" fontId="0" fillId="0" borderId="2" xfId="0" applyNumberForma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59" fillId="11" borderId="2" xfId="0" applyFont="1" applyFill="1" applyBorder="1" applyAlignment="1">
      <alignment wrapText="1"/>
    </xf>
    <xf numFmtId="0" fontId="23" fillId="9" borderId="2" xfId="0" applyFont="1" applyFill="1" applyBorder="1" applyAlignment="1">
      <alignment horizontal="center"/>
    </xf>
    <xf numFmtId="43" fontId="23" fillId="9" borderId="2" xfId="1" applyFont="1" applyFill="1" applyBorder="1"/>
    <xf numFmtId="43" fontId="59" fillId="9" borderId="2" xfId="0" applyNumberFormat="1" applyFont="1" applyFill="1" applyBorder="1"/>
    <xf numFmtId="0" fontId="23" fillId="9" borderId="2" xfId="0" applyFont="1" applyFill="1" applyBorder="1"/>
    <xf numFmtId="43" fontId="23" fillId="9" borderId="2" xfId="1" applyFont="1" applyFill="1" applyBorder="1" applyAlignment="1">
      <alignment horizontal="center"/>
    </xf>
    <xf numFmtId="0" fontId="6" fillId="16" borderId="2" xfId="0" applyFont="1" applyFill="1" applyBorder="1" applyAlignment="1">
      <alignment vertical="center" wrapText="1"/>
    </xf>
    <xf numFmtId="0" fontId="3" fillId="11" borderId="7" xfId="0" applyFont="1" applyFill="1" applyBorder="1" applyAlignment="1">
      <alignment vertical="center" wrapText="1"/>
    </xf>
    <xf numFmtId="43" fontId="7" fillId="0" borderId="2" xfId="0" applyNumberFormat="1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11" borderId="2" xfId="0" applyFont="1" applyFill="1" applyBorder="1" applyAlignment="1">
      <alignment vertical="center" wrapText="1"/>
    </xf>
    <xf numFmtId="0" fontId="0" fillId="11" borderId="2" xfId="0" applyFill="1" applyBorder="1" applyAlignment="1">
      <alignment horizontal="center"/>
    </xf>
    <xf numFmtId="0" fontId="3" fillId="11" borderId="2" xfId="0" applyFont="1" applyFill="1" applyBorder="1" applyAlignment="1">
      <alignment vertical="center"/>
    </xf>
    <xf numFmtId="0" fontId="3" fillId="11" borderId="2" xfId="0" applyFont="1" applyFill="1" applyBorder="1" applyAlignment="1">
      <alignment vertical="center" wrapText="1"/>
    </xf>
    <xf numFmtId="0" fontId="0" fillId="0" borderId="12" xfId="0" applyBorder="1"/>
    <xf numFmtId="0" fontId="2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vertical="center" wrapText="1"/>
    </xf>
    <xf numFmtId="0" fontId="0" fillId="2" borderId="2" xfId="0" applyFill="1" applyBorder="1" applyAlignment="1">
      <alignment horizontal="center"/>
    </xf>
    <xf numFmtId="43" fontId="0" fillId="2" borderId="2" xfId="0" applyNumberFormat="1" applyFill="1" applyBorder="1"/>
    <xf numFmtId="166" fontId="52" fillId="11" borderId="2" xfId="1" applyNumberFormat="1" applyFont="1" applyFill="1" applyBorder="1" applyAlignment="1">
      <alignment horizontal="center" vertical="center"/>
    </xf>
    <xf numFmtId="43" fontId="3" fillId="11" borderId="13" xfId="1" applyFont="1" applyFill="1" applyBorder="1" applyAlignment="1">
      <alignment horizontal="left" vertical="center" wrapText="1"/>
    </xf>
    <xf numFmtId="166" fontId="34" fillId="0" borderId="2" xfId="1" applyNumberFormat="1" applyFont="1" applyFill="1" applyBorder="1" applyAlignment="1">
      <alignment horizontal="center" vertical="center"/>
    </xf>
    <xf numFmtId="43" fontId="8" fillId="0" borderId="13" xfId="1" applyFont="1" applyFill="1" applyBorder="1" applyAlignment="1">
      <alignment horizontal="left" vertical="center" wrapText="1"/>
    </xf>
    <xf numFmtId="166" fontId="41" fillId="2" borderId="2" xfId="1" applyNumberFormat="1" applyFont="1" applyFill="1" applyBorder="1" applyAlignment="1">
      <alignment horizontal="center" vertical="center"/>
    </xf>
    <xf numFmtId="43" fontId="3" fillId="2" borderId="13" xfId="1" applyFont="1" applyFill="1" applyBorder="1" applyAlignment="1">
      <alignment horizontal="left" vertical="center" wrapText="1"/>
    </xf>
    <xf numFmtId="166" fontId="41" fillId="0" borderId="2" xfId="1" applyNumberFormat="1" applyFont="1" applyFill="1" applyBorder="1" applyAlignment="1">
      <alignment horizontal="center" vertical="center"/>
    </xf>
    <xf numFmtId="166" fontId="41" fillId="16" borderId="2" xfId="1" applyNumberFormat="1" applyFont="1" applyFill="1" applyBorder="1" applyAlignment="1">
      <alignment horizontal="center" vertical="center"/>
    </xf>
    <xf numFmtId="43" fontId="3" fillId="16" borderId="13" xfId="1" applyFont="1" applyFill="1" applyBorder="1" applyAlignment="1">
      <alignment horizontal="left" vertical="center" wrapText="1"/>
    </xf>
    <xf numFmtId="166" fontId="41" fillId="11" borderId="2" xfId="1" applyNumberFormat="1" applyFont="1" applyFill="1" applyBorder="1" applyAlignment="1">
      <alignment horizontal="center" vertical="center"/>
    </xf>
    <xf numFmtId="43" fontId="41" fillId="11" borderId="13" xfId="1" applyFont="1" applyFill="1" applyBorder="1" applyAlignment="1">
      <alignment horizontal="left" vertical="center" wrapText="1"/>
    </xf>
    <xf numFmtId="43" fontId="0" fillId="11" borderId="2" xfId="0" applyNumberFormat="1" applyFill="1" applyBorder="1"/>
    <xf numFmtId="43" fontId="8" fillId="0" borderId="2" xfId="1" applyFont="1" applyFill="1" applyBorder="1" applyAlignment="1">
      <alignment horizontal="left" vertical="center" wrapText="1"/>
    </xf>
    <xf numFmtId="0" fontId="9" fillId="16" borderId="2" xfId="0" applyFont="1" applyFill="1" applyBorder="1" applyAlignment="1">
      <alignment vertical="center" wrapText="1"/>
    </xf>
    <xf numFmtId="0" fontId="9" fillId="11" borderId="2" xfId="0" applyFont="1" applyFill="1" applyBorder="1" applyAlignment="1">
      <alignment vertical="center"/>
    </xf>
    <xf numFmtId="0" fontId="2" fillId="11" borderId="2" xfId="0" applyFont="1" applyFill="1" applyBorder="1" applyAlignment="1">
      <alignment horizontal="center"/>
    </xf>
    <xf numFmtId="0" fontId="2" fillId="11" borderId="2" xfId="0" applyFont="1" applyFill="1" applyBorder="1"/>
    <xf numFmtId="1" fontId="8" fillId="0" borderId="2" xfId="0" applyNumberFormat="1" applyFont="1" applyBorder="1" applyAlignment="1">
      <alignment horizontal="center"/>
    </xf>
    <xf numFmtId="165" fontId="0" fillId="0" borderId="2" xfId="1" applyNumberFormat="1" applyFont="1" applyBorder="1"/>
    <xf numFmtId="43" fontId="8" fillId="0" borderId="2" xfId="0" applyNumberFormat="1" applyFont="1" applyBorder="1" applyAlignment="1">
      <alignment horizontal="center"/>
    </xf>
    <xf numFmtId="1" fontId="7" fillId="0" borderId="2" xfId="1" applyNumberFormat="1" applyFont="1" applyFill="1" applyBorder="1" applyAlignment="1">
      <alignment horizontal="center" vertical="center"/>
    </xf>
    <xf numFmtId="0" fontId="63" fillId="9" borderId="2" xfId="0" applyFont="1" applyFill="1" applyBorder="1"/>
    <xf numFmtId="0" fontId="53" fillId="9" borderId="2" xfId="0" applyFont="1" applyFill="1" applyBorder="1" applyAlignment="1">
      <alignment horizontal="right" vertical="center"/>
    </xf>
    <xf numFmtId="0" fontId="63" fillId="9" borderId="2" xfId="0" applyFont="1" applyFill="1" applyBorder="1" applyAlignment="1">
      <alignment horizontal="center"/>
    </xf>
    <xf numFmtId="43" fontId="63" fillId="9" borderId="2" xfId="1" applyFont="1" applyFill="1" applyBorder="1"/>
    <xf numFmtId="43" fontId="54" fillId="9" borderId="2" xfId="0" applyNumberFormat="1" applyFont="1" applyFill="1" applyBorder="1"/>
    <xf numFmtId="0" fontId="63" fillId="9" borderId="10" xfId="0" applyFont="1" applyFill="1" applyBorder="1"/>
    <xf numFmtId="43" fontId="63" fillId="9" borderId="0" xfId="1" applyFont="1" applyFill="1" applyBorder="1"/>
    <xf numFmtId="0" fontId="63" fillId="0" borderId="0" xfId="0" applyFont="1"/>
    <xf numFmtId="0" fontId="63" fillId="0" borderId="0" xfId="0" applyFont="1" applyFill="1" applyAlignment="1">
      <alignment horizontal="center"/>
    </xf>
    <xf numFmtId="43" fontId="63" fillId="0" borderId="0" xfId="0" applyNumberFormat="1" applyFont="1" applyFill="1" applyAlignment="1">
      <alignment horizontal="center"/>
    </xf>
    <xf numFmtId="0" fontId="63" fillId="0" borderId="0" xfId="0" applyFont="1" applyFill="1"/>
    <xf numFmtId="43" fontId="28" fillId="0" borderId="0" xfId="0" applyNumberFormat="1" applyFont="1"/>
    <xf numFmtId="0" fontId="5" fillId="0" borderId="0" xfId="0" applyFont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43" fontId="52" fillId="0" borderId="0" xfId="1" applyFont="1" applyAlignment="1">
      <alignment vertical="center" wrapText="1"/>
    </xf>
    <xf numFmtId="43" fontId="52" fillId="0" borderId="0" xfId="1" applyFont="1" applyBorder="1" applyAlignment="1">
      <alignment vertical="center" wrapText="1"/>
    </xf>
    <xf numFmtId="43" fontId="0" fillId="9" borderId="0" xfId="0" applyNumberFormat="1" applyFill="1"/>
    <xf numFmtId="0" fontId="64" fillId="0" borderId="0" xfId="0" applyFont="1" applyAlignment="1">
      <alignment vertical="center" wrapText="1"/>
    </xf>
    <xf numFmtId="0" fontId="0" fillId="0" borderId="0" xfId="1" applyNumberFormat="1" applyFont="1"/>
    <xf numFmtId="0" fontId="0" fillId="0" borderId="0" xfId="1" applyNumberFormat="1" applyFont="1" applyAlignment="1">
      <alignment horizontal="center"/>
    </xf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3" fontId="13" fillId="2" borderId="2" xfId="1" applyFont="1" applyFill="1" applyBorder="1" applyAlignment="1">
      <alignment horizontal="center" vertical="center" wrapText="1"/>
    </xf>
    <xf numFmtId="0" fontId="13" fillId="2" borderId="2" xfId="1" applyNumberFormat="1" applyFont="1" applyFill="1" applyBorder="1" applyAlignment="1">
      <alignment horizontal="center" vertical="center" wrapText="1"/>
    </xf>
    <xf numFmtId="43" fontId="13" fillId="2" borderId="2" xfId="7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wrapText="1"/>
    </xf>
    <xf numFmtId="0" fontId="13" fillId="3" borderId="2" xfId="0" applyNumberFormat="1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vertical="center" wrapText="1"/>
    </xf>
    <xf numFmtId="43" fontId="11" fillId="3" borderId="2" xfId="1" applyFont="1" applyFill="1" applyBorder="1" applyAlignment="1">
      <alignment vertical="center" wrapText="1"/>
    </xf>
    <xf numFmtId="43" fontId="11" fillId="3" borderId="2" xfId="1" applyFont="1" applyFill="1" applyBorder="1" applyAlignment="1">
      <alignment horizontal="center" vertical="center" wrapText="1"/>
    </xf>
    <xf numFmtId="0" fontId="11" fillId="3" borderId="2" xfId="1" applyNumberFormat="1" applyFont="1" applyFill="1" applyBorder="1" applyAlignment="1">
      <alignment horizontal="center" wrapText="1"/>
    </xf>
    <xf numFmtId="0" fontId="11" fillId="3" borderId="2" xfId="1" applyNumberFormat="1" applyFont="1" applyFill="1" applyBorder="1" applyAlignment="1">
      <alignment horizontal="center" vertical="center" wrapText="1"/>
    </xf>
    <xf numFmtId="0" fontId="11" fillId="3" borderId="2" xfId="1" applyNumberFormat="1" applyFont="1" applyFill="1" applyBorder="1" applyAlignment="1">
      <alignment vertical="center" wrapText="1"/>
    </xf>
    <xf numFmtId="0" fontId="11" fillId="3" borderId="2" xfId="0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13" fillId="4" borderId="0" xfId="0" applyFont="1" applyFill="1" applyAlignment="1">
      <alignment wrapText="1"/>
    </xf>
    <xf numFmtId="0" fontId="13" fillId="5" borderId="2" xfId="0" applyFont="1" applyFill="1" applyBorder="1" applyAlignment="1">
      <alignment horizontal="center" wrapText="1"/>
    </xf>
    <xf numFmtId="0" fontId="13" fillId="5" borderId="2" xfId="0" applyNumberFormat="1" applyFont="1" applyFill="1" applyBorder="1" applyAlignment="1">
      <alignment horizontal="left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2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wrapText="1"/>
    </xf>
    <xf numFmtId="43" fontId="11" fillId="5" borderId="2" xfId="1" applyFont="1" applyFill="1" applyBorder="1" applyAlignment="1">
      <alignment horizontal="center" vertical="center" wrapText="1"/>
    </xf>
    <xf numFmtId="43" fontId="11" fillId="5" borderId="2" xfId="1" applyFont="1" applyFill="1" applyBorder="1" applyAlignment="1">
      <alignment horizontal="center" wrapText="1"/>
    </xf>
    <xf numFmtId="0" fontId="11" fillId="5" borderId="2" xfId="1" applyNumberFormat="1" applyFont="1" applyFill="1" applyBorder="1" applyAlignment="1">
      <alignment horizontal="center" wrapText="1"/>
    </xf>
    <xf numFmtId="0" fontId="11" fillId="5" borderId="2" xfId="1" applyNumberFormat="1" applyFont="1" applyFill="1" applyBorder="1" applyAlignment="1">
      <alignment horizontal="center" vertical="center" wrapText="1"/>
    </xf>
    <xf numFmtId="0" fontId="11" fillId="5" borderId="2" xfId="1" applyNumberFormat="1" applyFont="1" applyFill="1" applyBorder="1" applyAlignment="1">
      <alignment wrapText="1"/>
    </xf>
    <xf numFmtId="2" fontId="11" fillId="5" borderId="2" xfId="0" applyNumberFormat="1" applyFont="1" applyFill="1" applyBorder="1" applyAlignment="1">
      <alignment wrapText="1"/>
    </xf>
    <xf numFmtId="0" fontId="11" fillId="5" borderId="2" xfId="0" applyNumberFormat="1" applyFont="1" applyFill="1" applyBorder="1" applyAlignment="1">
      <alignment wrapText="1"/>
    </xf>
    <xf numFmtId="43" fontId="11" fillId="5" borderId="2" xfId="1" applyFont="1" applyFill="1" applyBorder="1" applyAlignment="1">
      <alignment wrapText="1"/>
    </xf>
    <xf numFmtId="0" fontId="13" fillId="5" borderId="0" xfId="0" applyFont="1" applyFill="1" applyAlignment="1">
      <alignment wrapText="1"/>
    </xf>
    <xf numFmtId="0" fontId="13" fillId="6" borderId="2" xfId="0" applyFont="1" applyFill="1" applyBorder="1" applyAlignment="1">
      <alignment horizontal="center" wrapText="1"/>
    </xf>
    <xf numFmtId="0" fontId="13" fillId="6" borderId="2" xfId="0" applyNumberFormat="1" applyFont="1" applyFill="1" applyBorder="1" applyAlignment="1">
      <alignment horizontal="left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2" xfId="0" applyNumberFormat="1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wrapText="1"/>
    </xf>
    <xf numFmtId="43" fontId="11" fillId="6" borderId="2" xfId="1" applyFont="1" applyFill="1" applyBorder="1" applyAlignment="1">
      <alignment horizontal="center" vertical="center" textRotation="90" wrapText="1"/>
    </xf>
    <xf numFmtId="43" fontId="11" fillId="6" borderId="2" xfId="1" applyFont="1" applyFill="1" applyBorder="1" applyAlignment="1">
      <alignment horizontal="center" vertical="center" wrapText="1"/>
    </xf>
    <xf numFmtId="43" fontId="11" fillId="6" borderId="2" xfId="1" applyFont="1" applyFill="1" applyBorder="1" applyAlignment="1">
      <alignment horizontal="center" wrapText="1"/>
    </xf>
    <xf numFmtId="0" fontId="11" fillId="6" borderId="2" xfId="1" applyNumberFormat="1" applyFont="1" applyFill="1" applyBorder="1" applyAlignment="1">
      <alignment horizontal="center" wrapText="1"/>
    </xf>
    <xf numFmtId="0" fontId="11" fillId="6" borderId="2" xfId="1" applyNumberFormat="1" applyFont="1" applyFill="1" applyBorder="1" applyAlignment="1">
      <alignment horizontal="center" vertical="center" wrapText="1"/>
    </xf>
    <xf numFmtId="0" fontId="11" fillId="6" borderId="2" xfId="1" applyNumberFormat="1" applyFont="1" applyFill="1" applyBorder="1" applyAlignment="1">
      <alignment wrapText="1"/>
    </xf>
    <xf numFmtId="2" fontId="11" fillId="6" borderId="2" xfId="0" applyNumberFormat="1" applyFont="1" applyFill="1" applyBorder="1" applyAlignment="1">
      <alignment wrapText="1"/>
    </xf>
    <xf numFmtId="0" fontId="11" fillId="6" borderId="2" xfId="0" applyNumberFormat="1" applyFont="1" applyFill="1" applyBorder="1" applyAlignment="1">
      <alignment wrapText="1"/>
    </xf>
    <xf numFmtId="43" fontId="11" fillId="6" borderId="2" xfId="1" applyFont="1" applyFill="1" applyBorder="1" applyAlignment="1">
      <alignment wrapText="1"/>
    </xf>
    <xf numFmtId="0" fontId="13" fillId="6" borderId="0" xfId="0" applyFont="1" applyFill="1" applyAlignment="1">
      <alignment wrapText="1"/>
    </xf>
    <xf numFmtId="0" fontId="13" fillId="20" borderId="2" xfId="0" applyFont="1" applyFill="1" applyBorder="1" applyAlignment="1">
      <alignment horizontal="center" wrapText="1"/>
    </xf>
    <xf numFmtId="0" fontId="13" fillId="20" borderId="2" xfId="0" applyNumberFormat="1" applyFont="1" applyFill="1" applyBorder="1" applyAlignment="1">
      <alignment horizontal="left" vertical="center" wrapText="1"/>
    </xf>
    <xf numFmtId="0" fontId="11" fillId="20" borderId="2" xfId="0" applyFont="1" applyFill="1" applyBorder="1" applyAlignment="1">
      <alignment horizontal="center" vertical="center" wrapText="1"/>
    </xf>
    <xf numFmtId="0" fontId="11" fillId="20" borderId="2" xfId="0" applyNumberFormat="1" applyFont="1" applyFill="1" applyBorder="1" applyAlignment="1">
      <alignment horizontal="center" vertical="center" wrapText="1"/>
    </xf>
    <xf numFmtId="0" fontId="11" fillId="20" borderId="2" xfId="0" applyFont="1" applyFill="1" applyBorder="1" applyAlignment="1">
      <alignment horizontal="center" vertical="center" textRotation="90" wrapText="1"/>
    </xf>
    <xf numFmtId="43" fontId="11" fillId="20" borderId="2" xfId="1" applyFont="1" applyFill="1" applyBorder="1" applyAlignment="1">
      <alignment horizontal="center" vertical="center" wrapText="1"/>
    </xf>
    <xf numFmtId="43" fontId="11" fillId="20" borderId="2" xfId="1" applyFont="1" applyFill="1" applyBorder="1" applyAlignment="1">
      <alignment horizontal="center" wrapText="1"/>
    </xf>
    <xf numFmtId="0" fontId="11" fillId="20" borderId="2" xfId="1" applyNumberFormat="1" applyFont="1" applyFill="1" applyBorder="1" applyAlignment="1">
      <alignment horizontal="center" wrapText="1"/>
    </xf>
    <xf numFmtId="0" fontId="11" fillId="20" borderId="2" xfId="1" applyNumberFormat="1" applyFont="1" applyFill="1" applyBorder="1" applyAlignment="1">
      <alignment horizontal="center" vertical="center" wrapText="1"/>
    </xf>
    <xf numFmtId="0" fontId="11" fillId="20" borderId="2" xfId="1" applyNumberFormat="1" applyFont="1" applyFill="1" applyBorder="1" applyAlignment="1">
      <alignment wrapText="1"/>
    </xf>
    <xf numFmtId="2" fontId="11" fillId="20" borderId="2" xfId="0" applyNumberFormat="1" applyFont="1" applyFill="1" applyBorder="1" applyAlignment="1">
      <alignment wrapText="1"/>
    </xf>
    <xf numFmtId="0" fontId="11" fillId="20" borderId="2" xfId="0" applyNumberFormat="1" applyFont="1" applyFill="1" applyBorder="1" applyAlignment="1">
      <alignment wrapText="1"/>
    </xf>
    <xf numFmtId="43" fontId="11" fillId="20" borderId="2" xfId="1" applyFont="1" applyFill="1" applyBorder="1" applyAlignment="1">
      <alignment wrapText="1"/>
    </xf>
    <xf numFmtId="0" fontId="13" fillId="7" borderId="0" xfId="0" applyFont="1" applyFill="1" applyAlignment="1">
      <alignment wrapText="1"/>
    </xf>
    <xf numFmtId="0" fontId="13" fillId="0" borderId="2" xfId="0" applyFont="1" applyFill="1" applyBorder="1" applyAlignment="1">
      <alignment horizontal="center" wrapText="1"/>
    </xf>
    <xf numFmtId="43" fontId="0" fillId="0" borderId="2" xfId="1" applyFont="1" applyBorder="1" applyAlignment="1">
      <alignment horizontal="left"/>
    </xf>
    <xf numFmtId="0" fontId="0" fillId="0" borderId="2" xfId="1" applyNumberFormat="1" applyFont="1" applyBorder="1" applyAlignment="1">
      <alignment horizontal="center"/>
    </xf>
    <xf numFmtId="4" fontId="0" fillId="0" borderId="2" xfId="1" applyNumberFormat="1" applyFont="1" applyBorder="1"/>
    <xf numFmtId="0" fontId="0" fillId="0" borderId="2" xfId="1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13" fillId="20" borderId="2" xfId="0" applyNumberFormat="1" applyFont="1" applyFill="1" applyBorder="1" applyAlignment="1">
      <alignment horizontal="center" wrapText="1"/>
    </xf>
    <xf numFmtId="43" fontId="0" fillId="20" borderId="2" xfId="1" applyFont="1" applyFill="1" applyBorder="1"/>
    <xf numFmtId="0" fontId="0" fillId="20" borderId="2" xfId="1" applyNumberFormat="1" applyFont="1" applyFill="1" applyBorder="1" applyAlignment="1">
      <alignment horizontal="center"/>
    </xf>
    <xf numFmtId="4" fontId="0" fillId="20" borderId="2" xfId="1" applyNumberFormat="1" applyFont="1" applyFill="1" applyBorder="1"/>
    <xf numFmtId="0" fontId="0" fillId="20" borderId="2" xfId="1" applyNumberFormat="1" applyFont="1" applyFill="1" applyBorder="1" applyAlignment="1">
      <alignment horizontal="center" vertical="center"/>
    </xf>
    <xf numFmtId="0" fontId="13" fillId="0" borderId="12" xfId="0" applyFont="1" applyBorder="1" applyAlignment="1">
      <alignment horizontal="center" wrapText="1"/>
    </xf>
    <xf numFmtId="0" fontId="13" fillId="6" borderId="2" xfId="0" applyFont="1" applyFill="1" applyBorder="1" applyAlignment="1">
      <alignment horizontal="left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12" borderId="2" xfId="0" applyFont="1" applyFill="1" applyBorder="1" applyAlignment="1">
      <alignment horizontal="center" wrapText="1"/>
    </xf>
    <xf numFmtId="0" fontId="13" fillId="12" borderId="2" xfId="0" applyFont="1" applyFill="1" applyBorder="1" applyAlignment="1">
      <alignment horizontal="left" wrapText="1"/>
    </xf>
    <xf numFmtId="1" fontId="11" fillId="0" borderId="2" xfId="0" applyNumberFormat="1" applyFont="1" applyFill="1" applyBorder="1" applyAlignment="1">
      <alignment horizontal="center" wrapText="1"/>
    </xf>
    <xf numFmtId="0" fontId="13" fillId="20" borderId="3" xfId="0" applyFont="1" applyFill="1" applyBorder="1" applyAlignment="1">
      <alignment horizontal="center" wrapText="1"/>
    </xf>
    <xf numFmtId="0" fontId="13" fillId="20" borderId="2" xfId="0" applyFont="1" applyFill="1" applyBorder="1" applyAlignment="1">
      <alignment horizontal="left" vertical="center" wrapText="1"/>
    </xf>
    <xf numFmtId="0" fontId="13" fillId="2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wrapText="1"/>
    </xf>
    <xf numFmtId="0" fontId="13" fillId="6" borderId="2" xfId="0" applyFont="1" applyFill="1" applyBorder="1" applyAlignment="1">
      <alignment horizontal="left" wrapText="1"/>
    </xf>
    <xf numFmtId="0" fontId="13" fillId="20" borderId="2" xfId="0" applyFont="1" applyFill="1" applyBorder="1" applyAlignment="1">
      <alignment horizontal="left" wrapText="1"/>
    </xf>
    <xf numFmtId="1" fontId="13" fillId="0" borderId="2" xfId="0" applyNumberFormat="1" applyFont="1" applyBorder="1" applyAlignment="1">
      <alignment horizontal="center" wrapText="1"/>
    </xf>
    <xf numFmtId="0" fontId="13" fillId="12" borderId="12" xfId="0" applyNumberFormat="1" applyFont="1" applyFill="1" applyBorder="1" applyAlignment="1">
      <alignment horizontal="center" wrapText="1"/>
    </xf>
    <xf numFmtId="0" fontId="13" fillId="12" borderId="2" xfId="0" applyNumberFormat="1" applyFont="1" applyFill="1" applyBorder="1" applyAlignment="1">
      <alignment horizontal="left" wrapText="1"/>
    </xf>
    <xf numFmtId="0" fontId="13" fillId="12" borderId="2" xfId="0" applyNumberFormat="1" applyFont="1" applyFill="1" applyBorder="1" applyAlignment="1">
      <alignment horizontal="center" wrapText="1"/>
    </xf>
    <xf numFmtId="0" fontId="13" fillId="5" borderId="2" xfId="0" applyFont="1" applyFill="1" applyBorder="1" applyAlignment="1">
      <alignment horizontal="left" wrapText="1"/>
    </xf>
    <xf numFmtId="0" fontId="11" fillId="0" borderId="2" xfId="0" applyNumberFormat="1" applyFont="1" applyFill="1" applyBorder="1" applyAlignment="1">
      <alignment horizontal="center" wrapText="1"/>
    </xf>
    <xf numFmtId="0" fontId="67" fillId="0" borderId="2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 wrapText="1"/>
    </xf>
    <xf numFmtId="1" fontId="13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12" xfId="0" applyFont="1" applyBorder="1" applyAlignment="1">
      <alignment horizontal="center" wrapText="1"/>
    </xf>
    <xf numFmtId="0" fontId="13" fillId="6" borderId="12" xfId="0" applyNumberFormat="1" applyFont="1" applyFill="1" applyBorder="1" applyAlignment="1">
      <alignment horizontal="center" wrapText="1"/>
    </xf>
    <xf numFmtId="0" fontId="13" fillId="6" borderId="2" xfId="0" applyNumberFormat="1" applyFont="1" applyFill="1" applyBorder="1" applyAlignment="1">
      <alignment horizontal="left" wrapText="1"/>
    </xf>
    <xf numFmtId="0" fontId="13" fillId="6" borderId="2" xfId="0" applyNumberFormat="1" applyFont="1" applyFill="1" applyBorder="1" applyAlignment="1">
      <alignment horizontal="center" wrapText="1"/>
    </xf>
    <xf numFmtId="0" fontId="67" fillId="0" borderId="2" xfId="0" applyFont="1" applyBorder="1" applyAlignment="1">
      <alignment horizontal="center"/>
    </xf>
    <xf numFmtId="0" fontId="67" fillId="0" borderId="2" xfId="5" applyFont="1" applyFill="1" applyBorder="1" applyAlignment="1" applyProtection="1">
      <alignment horizontal="center"/>
      <protection hidden="1"/>
    </xf>
    <xf numFmtId="43" fontId="0" fillId="0" borderId="2" xfId="1" applyFont="1" applyBorder="1" applyAlignment="1">
      <alignment horizontal="left" wrapText="1"/>
    </xf>
    <xf numFmtId="0" fontId="67" fillId="0" borderId="6" xfId="5" applyFont="1" applyFill="1" applyBorder="1" applyAlignment="1" applyProtection="1">
      <alignment horizontal="center"/>
      <protection hidden="1"/>
    </xf>
    <xf numFmtId="0" fontId="13" fillId="12" borderId="13" xfId="0" applyFont="1" applyFill="1" applyBorder="1" applyAlignment="1">
      <alignment horizontal="center" wrapText="1"/>
    </xf>
    <xf numFmtId="0" fontId="13" fillId="3" borderId="2" xfId="0" applyFont="1" applyFill="1" applyBorder="1" applyAlignment="1">
      <alignment horizontal="left" wrapText="1"/>
    </xf>
    <xf numFmtId="0" fontId="13" fillId="0" borderId="2" xfId="0" applyFont="1" applyFill="1" applyBorder="1" applyAlignment="1">
      <alignment horizontal="center"/>
    </xf>
    <xf numFmtId="1" fontId="13" fillId="6" borderId="2" xfId="0" applyNumberFormat="1" applyFont="1" applyFill="1" applyBorder="1" applyAlignment="1">
      <alignment horizontal="center" wrapText="1"/>
    </xf>
    <xf numFmtId="1" fontId="13" fillId="6" borderId="2" xfId="0" applyNumberFormat="1" applyFont="1" applyFill="1" applyBorder="1" applyAlignment="1">
      <alignment horizontal="left" wrapText="1"/>
    </xf>
    <xf numFmtId="1" fontId="13" fillId="0" borderId="2" xfId="0" applyNumberFormat="1" applyFont="1" applyFill="1" applyBorder="1" applyAlignment="1">
      <alignment horizontal="center" wrapText="1"/>
    </xf>
    <xf numFmtId="1" fontId="13" fillId="12" borderId="2" xfId="0" applyNumberFormat="1" applyFont="1" applyFill="1" applyBorder="1" applyAlignment="1">
      <alignment horizontal="center" wrapText="1"/>
    </xf>
    <xf numFmtId="1" fontId="13" fillId="12" borderId="2" xfId="0" applyNumberFormat="1" applyFont="1" applyFill="1" applyBorder="1" applyAlignment="1">
      <alignment horizontal="left" wrapText="1"/>
    </xf>
    <xf numFmtId="1" fontId="67" fillId="0" borderId="2" xfId="5" applyNumberFormat="1" applyFont="1" applyFill="1" applyBorder="1" applyAlignment="1" applyProtection="1">
      <alignment horizontal="center"/>
      <protection hidden="1"/>
    </xf>
    <xf numFmtId="0" fontId="13" fillId="0" borderId="0" xfId="0" applyFont="1" applyFill="1" applyBorder="1" applyAlignment="1">
      <alignment horizontal="center" wrapText="1"/>
    </xf>
    <xf numFmtId="0" fontId="13" fillId="12" borderId="3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1" fontId="13" fillId="0" borderId="2" xfId="0" applyNumberFormat="1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13" fillId="6" borderId="12" xfId="0" applyFont="1" applyFill="1" applyBorder="1" applyAlignment="1">
      <alignment horizontal="center" wrapText="1"/>
    </xf>
    <xf numFmtId="0" fontId="11" fillId="0" borderId="2" xfId="5" applyNumberFormat="1" applyFont="1" applyFill="1" applyBorder="1" applyAlignment="1" applyProtection="1">
      <alignment horizontal="center"/>
      <protection hidden="1"/>
    </xf>
    <xf numFmtId="4" fontId="0" fillId="9" borderId="2" xfId="1" applyNumberFormat="1" applyFont="1" applyFill="1" applyBorder="1" applyAlignment="1">
      <alignment horizontal="center"/>
    </xf>
    <xf numFmtId="4" fontId="0" fillId="9" borderId="2" xfId="1" applyNumberFormat="1" applyFont="1" applyFill="1" applyBorder="1"/>
    <xf numFmtId="4" fontId="0" fillId="9" borderId="2" xfId="1" applyNumberFormat="1" applyFont="1" applyFill="1" applyBorder="1" applyAlignment="1">
      <alignment horizontal="center" vertical="center"/>
    </xf>
    <xf numFmtId="43" fontId="0" fillId="0" borderId="0" xfId="1" applyFont="1" applyAlignment="1">
      <alignment horizontal="left"/>
    </xf>
    <xf numFmtId="4" fontId="0" fillId="0" borderId="0" xfId="1" applyNumberFormat="1" applyFont="1"/>
    <xf numFmtId="0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center"/>
    </xf>
    <xf numFmtId="43" fontId="2" fillId="20" borderId="2" xfId="1" applyFont="1" applyFill="1" applyBorder="1" applyAlignment="1">
      <alignment horizontal="left"/>
    </xf>
    <xf numFmtId="43" fontId="0" fillId="21" borderId="2" xfId="1" applyFont="1" applyFill="1" applyBorder="1"/>
    <xf numFmtId="0" fontId="0" fillId="21" borderId="2" xfId="1" applyNumberFormat="1" applyFont="1" applyFill="1" applyBorder="1" applyAlignment="1">
      <alignment horizontal="center"/>
    </xf>
    <xf numFmtId="4" fontId="0" fillId="21" borderId="2" xfId="1" applyNumberFormat="1" applyFont="1" applyFill="1" applyBorder="1"/>
    <xf numFmtId="0" fontId="0" fillId="21" borderId="2" xfId="1" applyNumberFormat="1" applyFont="1" applyFill="1" applyBorder="1" applyAlignment="1">
      <alignment horizontal="center" vertical="center"/>
    </xf>
    <xf numFmtId="43" fontId="2" fillId="21" borderId="2" xfId="1" applyFont="1" applyFill="1" applyBorder="1" applyAlignment="1">
      <alignment horizontal="left"/>
    </xf>
    <xf numFmtId="4" fontId="2" fillId="9" borderId="2" xfId="1" applyNumberFormat="1" applyFont="1" applyFill="1" applyBorder="1"/>
    <xf numFmtId="43" fontId="36" fillId="0" borderId="2" xfId="1" applyFont="1" applyBorder="1" applyAlignment="1">
      <alignment wrapText="1"/>
    </xf>
    <xf numFmtId="43" fontId="36" fillId="21" borderId="2" xfId="1" applyFont="1" applyFill="1" applyBorder="1" applyAlignment="1">
      <alignment wrapText="1"/>
    </xf>
    <xf numFmtId="43" fontId="36" fillId="5" borderId="2" xfId="1" applyFont="1" applyFill="1" applyBorder="1" applyAlignment="1">
      <alignment wrapText="1"/>
    </xf>
    <xf numFmtId="0" fontId="11" fillId="20" borderId="12" xfId="0" applyFont="1" applyFill="1" applyBorder="1" applyAlignment="1">
      <alignment horizontal="center" vertical="center" wrapText="1"/>
    </xf>
    <xf numFmtId="43" fontId="0" fillId="20" borderId="12" xfId="1" applyFont="1" applyFill="1" applyBorder="1" applyAlignment="1">
      <alignment horizontal="center"/>
    </xf>
    <xf numFmtId="43" fontId="0" fillId="0" borderId="12" xfId="1" applyFont="1" applyBorder="1" applyAlignment="1">
      <alignment horizontal="center"/>
    </xf>
    <xf numFmtId="43" fontId="6" fillId="2" borderId="3" xfId="1" applyFont="1" applyFill="1" applyBorder="1" applyAlignment="1">
      <alignment horizontal="right" vertical="center" wrapText="1"/>
    </xf>
    <xf numFmtId="43" fontId="6" fillId="2" borderId="8" xfId="1" applyFont="1" applyFill="1" applyBorder="1" applyAlignment="1">
      <alignment horizontal="right" vertical="center" wrapText="1"/>
    </xf>
    <xf numFmtId="43" fontId="6" fillId="2" borderId="10" xfId="1" applyFont="1" applyFill="1" applyBorder="1" applyAlignment="1">
      <alignment horizontal="right" vertical="center" wrapText="1"/>
    </xf>
    <xf numFmtId="0" fontId="3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53" fillId="9" borderId="12" xfId="0" applyFont="1" applyFill="1" applyBorder="1" applyAlignment="1">
      <alignment horizontal="center" vertical="center"/>
    </xf>
    <xf numFmtId="0" fontId="53" fillId="9" borderId="16" xfId="0" applyFont="1" applyFill="1" applyBorder="1" applyAlignment="1">
      <alignment horizontal="center" vertical="center"/>
    </xf>
    <xf numFmtId="0" fontId="53" fillId="9" borderId="13" xfId="0" applyFont="1" applyFill="1" applyBorder="1" applyAlignment="1">
      <alignment horizontal="center" vertical="center"/>
    </xf>
    <xf numFmtId="43" fontId="6" fillId="2" borderId="2" xfId="1" applyFont="1" applyFill="1" applyBorder="1" applyAlignment="1">
      <alignment horizontal="center" vertical="center" wrapText="1"/>
    </xf>
    <xf numFmtId="43" fontId="6" fillId="2" borderId="3" xfId="1" applyFont="1" applyFill="1" applyBorder="1" applyAlignment="1">
      <alignment horizontal="center" vertical="center" wrapText="1"/>
    </xf>
    <xf numFmtId="43" fontId="6" fillId="2" borderId="8" xfId="1" applyFont="1" applyFill="1" applyBorder="1" applyAlignment="1">
      <alignment horizontal="center" vertical="center" wrapText="1"/>
    </xf>
    <xf numFmtId="43" fontId="6" fillId="2" borderId="10" xfId="1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56" fillId="9" borderId="39" xfId="0" applyFont="1" applyFill="1" applyBorder="1" applyAlignment="1">
      <alignment horizontal="center"/>
    </xf>
    <xf numFmtId="0" fontId="56" fillId="9" borderId="40" xfId="0" applyFont="1" applyFill="1" applyBorder="1" applyAlignment="1">
      <alignment horizontal="center"/>
    </xf>
    <xf numFmtId="0" fontId="56" fillId="9" borderId="41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56" fillId="2" borderId="17" xfId="0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6" fillId="2" borderId="17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27" xfId="0" applyFont="1" applyFill="1" applyBorder="1" applyAlignment="1">
      <alignment horizontal="center" vertical="center" wrapText="1"/>
    </xf>
    <xf numFmtId="43" fontId="56" fillId="2" borderId="17" xfId="1" applyFont="1" applyFill="1" applyBorder="1" applyAlignment="1">
      <alignment horizontal="center" vertical="center" wrapText="1"/>
    </xf>
    <xf numFmtId="43" fontId="56" fillId="2" borderId="2" xfId="1" applyFont="1" applyFill="1" applyBorder="1" applyAlignment="1">
      <alignment horizontal="center" vertical="center" wrapText="1"/>
    </xf>
    <xf numFmtId="43" fontId="56" fillId="2" borderId="27" xfId="1" applyFont="1" applyFill="1" applyBorder="1" applyAlignment="1">
      <alignment horizontal="center" vertical="center" wrapText="1"/>
    </xf>
    <xf numFmtId="43" fontId="56" fillId="2" borderId="17" xfId="1" applyFont="1" applyFill="1" applyBorder="1" applyAlignment="1">
      <alignment horizontal="center" wrapText="1"/>
    </xf>
    <xf numFmtId="43" fontId="56" fillId="2" borderId="2" xfId="1" applyFont="1" applyFill="1" applyBorder="1" applyAlignment="1">
      <alignment horizontal="center" wrapText="1"/>
    </xf>
    <xf numFmtId="43" fontId="56" fillId="2" borderId="27" xfId="1" applyFont="1" applyFill="1" applyBorder="1" applyAlignment="1">
      <alignment horizontal="center" wrapText="1"/>
    </xf>
    <xf numFmtId="0" fontId="56" fillId="2" borderId="30" xfId="0" applyFont="1" applyFill="1" applyBorder="1" applyAlignment="1">
      <alignment horizontal="center" vertical="center"/>
    </xf>
    <xf numFmtId="0" fontId="56" fillId="2" borderId="32" xfId="0" applyFont="1" applyFill="1" applyBorder="1" applyAlignment="1">
      <alignment horizontal="center" vertical="center"/>
    </xf>
    <xf numFmtId="0" fontId="56" fillId="2" borderId="38" xfId="0" applyFont="1" applyFill="1" applyBorder="1" applyAlignment="1">
      <alignment horizontal="center" vertical="center"/>
    </xf>
    <xf numFmtId="0" fontId="56" fillId="2" borderId="25" xfId="0" applyFont="1" applyFill="1" applyBorder="1" applyAlignment="1">
      <alignment horizontal="center" vertical="center"/>
    </xf>
    <xf numFmtId="0" fontId="57" fillId="2" borderId="3" xfId="0" applyFont="1" applyFill="1" applyBorder="1" applyAlignment="1">
      <alignment horizontal="center" vertical="center" wrapText="1"/>
    </xf>
    <xf numFmtId="0" fontId="57" fillId="2" borderId="8" xfId="0" applyFont="1" applyFill="1" applyBorder="1" applyAlignment="1">
      <alignment horizontal="center" vertical="center" wrapText="1"/>
    </xf>
    <xf numFmtId="0" fontId="57" fillId="2" borderId="37" xfId="0" applyFont="1" applyFill="1" applyBorder="1" applyAlignment="1">
      <alignment horizontal="center" vertical="center" wrapText="1"/>
    </xf>
    <xf numFmtId="43" fontId="57" fillId="2" borderId="3" xfId="1" applyFont="1" applyFill="1" applyBorder="1" applyAlignment="1">
      <alignment horizontal="center" vertical="center" wrapText="1"/>
    </xf>
    <xf numFmtId="43" fontId="57" fillId="2" borderId="8" xfId="1" applyFont="1" applyFill="1" applyBorder="1" applyAlignment="1">
      <alignment horizontal="center" vertical="center" wrapText="1"/>
    </xf>
    <xf numFmtId="43" fontId="57" fillId="2" borderId="37" xfId="1" applyFont="1" applyFill="1" applyBorder="1" applyAlignment="1">
      <alignment horizontal="center" vertical="center" wrapText="1"/>
    </xf>
    <xf numFmtId="0" fontId="56" fillId="2" borderId="29" xfId="0" applyFont="1" applyFill="1" applyBorder="1" applyAlignment="1">
      <alignment horizontal="center" vertical="center" wrapText="1"/>
    </xf>
    <xf numFmtId="0" fontId="56" fillId="2" borderId="31" xfId="0" applyFont="1" applyFill="1" applyBorder="1" applyAlignment="1">
      <alignment horizontal="center" vertical="center" wrapText="1"/>
    </xf>
    <xf numFmtId="0" fontId="56" fillId="2" borderId="33" xfId="0" applyFont="1" applyFill="1" applyBorder="1" applyAlignment="1">
      <alignment horizontal="center" vertical="center" wrapText="1"/>
    </xf>
    <xf numFmtId="0" fontId="56" fillId="2" borderId="17" xfId="0" applyFont="1" applyFill="1" applyBorder="1" applyAlignment="1">
      <alignment horizontal="center" wrapText="1"/>
    </xf>
    <xf numFmtId="0" fontId="56" fillId="2" borderId="2" xfId="0" applyFont="1" applyFill="1" applyBorder="1" applyAlignment="1">
      <alignment horizontal="center" wrapText="1"/>
    </xf>
    <xf numFmtId="0" fontId="56" fillId="2" borderId="27" xfId="0" applyFont="1" applyFill="1" applyBorder="1" applyAlignment="1">
      <alignment horizontal="center" wrapText="1"/>
    </xf>
    <xf numFmtId="0" fontId="59" fillId="2" borderId="2" xfId="0" applyFont="1" applyFill="1" applyBorder="1" applyAlignment="1">
      <alignment horizontal="center"/>
    </xf>
    <xf numFmtId="43" fontId="2" fillId="2" borderId="2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5" fillId="0" borderId="2" xfId="0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13" fillId="2" borderId="10" xfId="0" applyFont="1" applyFill="1" applyBorder="1" applyAlignment="1">
      <alignment horizontal="center" wrapText="1"/>
    </xf>
    <xf numFmtId="0" fontId="13" fillId="2" borderId="3" xfId="0" applyNumberFormat="1" applyFont="1" applyFill="1" applyBorder="1" applyAlignment="1">
      <alignment horizontal="left" vertical="center" wrapText="1"/>
    </xf>
    <xf numFmtId="0" fontId="13" fillId="2" borderId="8" xfId="0" applyNumberFormat="1" applyFont="1" applyFill="1" applyBorder="1" applyAlignment="1">
      <alignment horizontal="left" vertical="center" wrapText="1"/>
    </xf>
    <xf numFmtId="0" fontId="13" fillId="2" borderId="10" xfId="0" applyNumberFormat="1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3" xfId="0" applyNumberFormat="1" applyFont="1" applyFill="1" applyBorder="1" applyAlignment="1">
      <alignment horizontal="center" vertical="center" wrapText="1"/>
    </xf>
    <xf numFmtId="0" fontId="13" fillId="2" borderId="8" xfId="0" applyNumberFormat="1" applyFont="1" applyFill="1" applyBorder="1" applyAlignment="1">
      <alignment horizontal="center" vertical="center" wrapText="1"/>
    </xf>
    <xf numFmtId="0" fontId="13" fillId="2" borderId="10" xfId="0" applyNumberFormat="1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43" fontId="13" fillId="2" borderId="10" xfId="1" applyFont="1" applyFill="1" applyBorder="1" applyAlignment="1">
      <alignment horizontal="center" vertical="center" wrapText="1"/>
    </xf>
    <xf numFmtId="43" fontId="13" fillId="2" borderId="2" xfId="1" applyFont="1" applyFill="1" applyBorder="1" applyAlignment="1">
      <alignment horizontal="center" vertical="center" wrapText="1"/>
    </xf>
    <xf numFmtId="43" fontId="13" fillId="2" borderId="8" xfId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2" xfId="1" applyNumberFormat="1" applyFont="1" applyFill="1" applyBorder="1" applyAlignment="1">
      <alignment horizontal="center" vertical="center" wrapText="1"/>
    </xf>
    <xf numFmtId="4" fontId="56" fillId="9" borderId="12" xfId="1" applyNumberFormat="1" applyFont="1" applyFill="1" applyBorder="1" applyAlignment="1">
      <alignment horizontal="center"/>
    </xf>
    <xf numFmtId="4" fontId="56" fillId="9" borderId="16" xfId="1" applyNumberFormat="1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43" fontId="13" fillId="2" borderId="3" xfId="1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4" fontId="2" fillId="0" borderId="0" xfId="1" applyNumberFormat="1" applyFont="1" applyFill="1" applyAlignment="1">
      <alignment horizontal="center" vertical="center"/>
    </xf>
  </cellXfs>
  <cellStyles count="8">
    <cellStyle name="Millares" xfId="1" builtinId="3"/>
    <cellStyle name="Millares 2" xfId="7"/>
    <cellStyle name="Normal" xfId="0" builtinId="0"/>
    <cellStyle name="Normal 10 4" xfId="6"/>
    <cellStyle name="Normal 2 2" xfId="2"/>
    <cellStyle name="Normal 2 3" xfId="4"/>
    <cellStyle name="Normal 3" xfId="3"/>
    <cellStyle name="Normal 3 2" xfId="5"/>
  </cellStyles>
  <dxfs count="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412750</xdr:colOff>
      <xdr:row>1187</xdr:row>
      <xdr:rowOff>84667</xdr:rowOff>
    </xdr:from>
    <xdr:to>
      <xdr:col>46</xdr:col>
      <xdr:colOff>448053</xdr:colOff>
      <xdr:row>1190</xdr:row>
      <xdr:rowOff>134125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4FF84F71-BCA6-4877-BA13-E054DBCA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0225" y="950574892"/>
          <a:ext cx="2321303" cy="620958"/>
        </a:xfrm>
        <a:prstGeom prst="rect">
          <a:avLst/>
        </a:prstGeom>
      </xdr:spPr>
    </xdr:pic>
    <xdr:clientData/>
  </xdr:twoCellAnchor>
  <xdr:twoCellAnchor editAs="oneCell">
    <xdr:from>
      <xdr:col>52</xdr:col>
      <xdr:colOff>630767</xdr:colOff>
      <xdr:row>1366</xdr:row>
      <xdr:rowOff>158750</xdr:rowOff>
    </xdr:from>
    <xdr:to>
      <xdr:col>56</xdr:col>
      <xdr:colOff>25867</xdr:colOff>
      <xdr:row>1370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8981B17-5744-405D-9DB9-36845697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6242" y="1098095975"/>
          <a:ext cx="24431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47625</xdr:rowOff>
    </xdr:from>
    <xdr:to>
      <xdr:col>1</xdr:col>
      <xdr:colOff>1368123</xdr:colOff>
      <xdr:row>3</xdr:row>
      <xdr:rowOff>112958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7625"/>
          <a:ext cx="2320623" cy="636833"/>
        </a:xfrm>
        <a:prstGeom prst="rect">
          <a:avLst/>
        </a:prstGeom>
      </xdr:spPr>
    </xdr:pic>
    <xdr:clientData/>
  </xdr:twoCellAnchor>
  <xdr:twoCellAnchor editAs="oneCell">
    <xdr:from>
      <xdr:col>27</xdr:col>
      <xdr:colOff>7937</xdr:colOff>
      <xdr:row>0</xdr:row>
      <xdr:rowOff>63501</xdr:rowOff>
    </xdr:from>
    <xdr:to>
      <xdr:col>31</xdr:col>
      <xdr:colOff>425450</xdr:colOff>
      <xdr:row>3</xdr:row>
      <xdr:rowOff>111656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0162" y="63501"/>
          <a:ext cx="2284413" cy="619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866775</xdr:colOff>
      <xdr:row>0</xdr:row>
      <xdr:rowOff>114300</xdr:rowOff>
    </xdr:from>
    <xdr:to>
      <xdr:col>1</xdr:col>
      <xdr:colOff>1434798</xdr:colOff>
      <xdr:row>3</xdr:row>
      <xdr:rowOff>179633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114300"/>
          <a:ext cx="2320623" cy="6368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95250</xdr:rowOff>
    </xdr:from>
    <xdr:to>
      <xdr:col>23</xdr:col>
      <xdr:colOff>895350</xdr:colOff>
      <xdr:row>3</xdr:row>
      <xdr:rowOff>174624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02425" y="95250"/>
          <a:ext cx="2667000" cy="650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23812</xdr:rowOff>
    </xdr:from>
    <xdr:to>
      <xdr:col>1</xdr:col>
      <xdr:colOff>1657048</xdr:colOff>
      <xdr:row>3</xdr:row>
      <xdr:rowOff>89145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812"/>
          <a:ext cx="2323798" cy="636833"/>
        </a:xfrm>
        <a:prstGeom prst="rect">
          <a:avLst/>
        </a:prstGeom>
      </xdr:spPr>
    </xdr:pic>
    <xdr:clientData/>
  </xdr:twoCellAnchor>
  <xdr:twoCellAnchor editAs="oneCell">
    <xdr:from>
      <xdr:col>26</xdr:col>
      <xdr:colOff>702469</xdr:colOff>
      <xdr:row>0</xdr:row>
      <xdr:rowOff>83344</xdr:rowOff>
    </xdr:from>
    <xdr:to>
      <xdr:col>29</xdr:col>
      <xdr:colOff>458537</xdr:colOff>
      <xdr:row>3</xdr:row>
      <xdr:rowOff>131499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8769" y="83344"/>
          <a:ext cx="2442118" cy="619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701329</xdr:colOff>
      <xdr:row>3</xdr:row>
      <xdr:rowOff>38336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463454" cy="609836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1</xdr:row>
      <xdr:rowOff>0</xdr:rowOff>
    </xdr:from>
    <xdr:to>
      <xdr:col>40</xdr:col>
      <xdr:colOff>592136</xdr:colOff>
      <xdr:row>4</xdr:row>
      <xdr:rowOff>53944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653075" y="190500"/>
          <a:ext cx="2335211" cy="625444"/>
        </a:xfrm>
        <a:prstGeom prst="rect">
          <a:avLst/>
        </a:prstGeom>
      </xdr:spPr>
    </xdr:pic>
    <xdr:clientData/>
  </xdr:twoCellAnchor>
  <xdr:twoCellAnchor editAs="oneCell">
    <xdr:from>
      <xdr:col>5</xdr:col>
      <xdr:colOff>187816</xdr:colOff>
      <xdr:row>0</xdr:row>
      <xdr:rowOff>120739</xdr:rowOff>
    </xdr:from>
    <xdr:to>
      <xdr:col>5</xdr:col>
      <xdr:colOff>3340457</xdr:colOff>
      <xdr:row>4</xdr:row>
      <xdr:rowOff>64394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191" y="120739"/>
          <a:ext cx="3152641" cy="705655"/>
        </a:xfrm>
        <a:prstGeom prst="rect">
          <a:avLst/>
        </a:prstGeom>
      </xdr:spPr>
    </xdr:pic>
    <xdr:clientData/>
  </xdr:twoCellAnchor>
  <xdr:twoCellAnchor editAs="oneCell">
    <xdr:from>
      <xdr:col>21</xdr:col>
      <xdr:colOff>590279</xdr:colOff>
      <xdr:row>0</xdr:row>
      <xdr:rowOff>134155</xdr:rowOff>
    </xdr:from>
    <xdr:to>
      <xdr:col>30</xdr:col>
      <xdr:colOff>882741</xdr:colOff>
      <xdr:row>4</xdr:row>
      <xdr:rowOff>77810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13079" y="134155"/>
          <a:ext cx="2692491" cy="705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381"/>
  <sheetViews>
    <sheetView topLeftCell="E4365" workbookViewId="0">
      <selection activeCell="AF4384" sqref="AF4384"/>
    </sheetView>
  </sheetViews>
  <sheetFormatPr baseColWidth="10" defaultRowHeight="15" x14ac:dyDescent="0.25"/>
  <cols>
    <col min="1" max="1" width="16.85546875" style="105" customWidth="1"/>
    <col min="2" max="2" width="52.85546875" style="631" customWidth="1"/>
    <col min="3" max="3" width="16.140625" style="92" customWidth="1"/>
    <col min="4" max="4" width="14.28515625" style="967" customWidth="1"/>
    <col min="5" max="5" width="12.85546875" style="91" customWidth="1"/>
    <col min="6" max="6" width="18.42578125" style="288" customWidth="1"/>
    <col min="7" max="8" width="17.28515625" style="288" customWidth="1"/>
    <col min="9" max="9" width="16.5703125" style="235" customWidth="1"/>
    <col min="10" max="10" width="18.42578125" style="846" customWidth="1"/>
    <col min="11" max="11" width="19.42578125" style="160" hidden="1" customWidth="1"/>
    <col min="12" max="12" width="24.28515625" style="108" hidden="1" customWidth="1"/>
    <col min="13" max="13" width="13.140625" hidden="1" customWidth="1"/>
    <col min="14" max="14" width="14.42578125" hidden="1" customWidth="1"/>
    <col min="15" max="15" width="10.7109375" hidden="1" customWidth="1"/>
    <col min="16" max="16" width="13" hidden="1" customWidth="1"/>
    <col min="17" max="17" width="11.140625" customWidth="1"/>
    <col min="18" max="18" width="17.42578125" style="106" bestFit="1" customWidth="1"/>
    <col min="19" max="20" width="13" hidden="1" customWidth="1"/>
    <col min="21" max="21" width="11.85546875" customWidth="1"/>
    <col min="22" max="22" width="16" style="106" bestFit="1" customWidth="1"/>
    <col min="23" max="26" width="15.28515625" hidden="1" customWidth="1"/>
    <col min="27" max="27" width="11.42578125" customWidth="1"/>
    <col min="28" max="28" width="16" style="106" bestFit="1" customWidth="1"/>
    <col min="29" max="30" width="14.28515625" hidden="1" customWidth="1"/>
    <col min="31" max="31" width="12" customWidth="1"/>
    <col min="32" max="32" width="16" style="106" bestFit="1" customWidth="1"/>
    <col min="33" max="33" width="10.85546875" customWidth="1"/>
    <col min="34" max="34" width="12.5703125" customWidth="1"/>
    <col min="35" max="36" width="10.85546875" hidden="1" customWidth="1"/>
    <col min="37" max="37" width="19.85546875" style="106" customWidth="1"/>
    <col min="38" max="40" width="11.42578125" hidden="1" customWidth="1"/>
    <col min="41" max="41" width="29.85546875" style="160" customWidth="1"/>
    <col min="42" max="42" width="14.7109375" style="106" customWidth="1"/>
  </cols>
  <sheetData>
    <row r="1" spans="1:42" ht="15" customHeight="1" x14ac:dyDescent="0.25">
      <c r="A1" s="2"/>
      <c r="B1" s="466"/>
      <c r="C1"/>
      <c r="D1" s="862"/>
      <c r="E1" s="969"/>
      <c r="F1" s="1339" t="s">
        <v>3461</v>
      </c>
      <c r="G1" s="1339"/>
      <c r="H1" s="1339"/>
      <c r="I1" s="1339"/>
      <c r="J1" s="1339"/>
      <c r="K1" s="1339"/>
      <c r="L1" s="1339"/>
      <c r="M1" s="1339"/>
      <c r="N1" s="1339"/>
      <c r="O1" s="1339"/>
      <c r="P1" s="1339"/>
      <c r="Q1" s="1339"/>
      <c r="R1" s="1339"/>
      <c r="S1" s="1339"/>
      <c r="T1" s="1339"/>
      <c r="U1" s="1339"/>
      <c r="V1" s="1339"/>
      <c r="W1" s="1339"/>
      <c r="X1" s="1339"/>
      <c r="Y1" s="1339"/>
      <c r="Z1" s="1339"/>
    </row>
    <row r="2" spans="1:42" ht="15" customHeight="1" x14ac:dyDescent="0.25">
      <c r="A2" s="2"/>
      <c r="B2" s="467"/>
      <c r="C2"/>
      <c r="D2" s="862"/>
      <c r="E2" s="969"/>
      <c r="F2" s="1339"/>
      <c r="G2" s="1339"/>
      <c r="H2" s="1339"/>
      <c r="I2" s="1339"/>
      <c r="J2" s="1339"/>
      <c r="K2" s="1339"/>
      <c r="L2" s="1339"/>
      <c r="M2" s="1339"/>
      <c r="N2" s="1339"/>
      <c r="O2" s="1339"/>
      <c r="P2" s="1339"/>
      <c r="Q2" s="1339"/>
      <c r="R2" s="1339"/>
      <c r="S2" s="1339"/>
      <c r="T2" s="1339"/>
      <c r="U2" s="1339"/>
      <c r="V2" s="1339"/>
      <c r="W2" s="1339"/>
      <c r="X2" s="1339"/>
      <c r="Y2" s="1339"/>
      <c r="Z2" s="1339"/>
      <c r="AO2"/>
      <c r="AP2"/>
    </row>
    <row r="3" spans="1:42" ht="15" customHeight="1" x14ac:dyDescent="0.25">
      <c r="A3" s="2"/>
      <c r="B3" s="467"/>
      <c r="C3"/>
      <c r="D3" s="862"/>
      <c r="E3" s="969"/>
      <c r="F3" s="1339"/>
      <c r="G3" s="1339"/>
      <c r="H3" s="1339"/>
      <c r="I3" s="1339"/>
      <c r="J3" s="1339"/>
      <c r="K3" s="1339"/>
      <c r="L3" s="1339"/>
      <c r="M3" s="1339"/>
      <c r="N3" s="1339"/>
      <c r="O3" s="1339"/>
      <c r="P3" s="1339"/>
      <c r="Q3" s="1339"/>
      <c r="R3" s="1339"/>
      <c r="S3" s="1339"/>
      <c r="T3" s="1339"/>
      <c r="U3" s="1339"/>
      <c r="V3" s="1339"/>
      <c r="W3" s="1339"/>
      <c r="X3" s="1339"/>
      <c r="Y3" s="1339"/>
      <c r="Z3" s="1339"/>
      <c r="AO3"/>
      <c r="AP3"/>
    </row>
    <row r="4" spans="1:42" ht="15" customHeight="1" x14ac:dyDescent="0.25">
      <c r="A4" s="3"/>
      <c r="B4" s="467"/>
      <c r="C4"/>
      <c r="D4" s="862"/>
      <c r="E4" s="969"/>
      <c r="F4" s="1340"/>
      <c r="G4" s="1340"/>
      <c r="H4" s="1340"/>
      <c r="I4" s="1340"/>
      <c r="J4" s="1340"/>
      <c r="K4" s="1340"/>
      <c r="L4" s="1340"/>
      <c r="M4" s="1340"/>
      <c r="N4" s="1340"/>
      <c r="O4" s="1340"/>
      <c r="P4" s="1340"/>
      <c r="Q4" s="1340"/>
      <c r="R4" s="1340"/>
      <c r="S4" s="1340"/>
      <c r="T4" s="1340"/>
      <c r="U4" s="1340"/>
      <c r="V4" s="1340"/>
      <c r="W4" s="1340"/>
      <c r="X4" s="1340"/>
      <c r="Y4" s="1340"/>
      <c r="Z4" s="1340"/>
      <c r="AO4"/>
      <c r="AP4"/>
    </row>
    <row r="5" spans="1:42" s="969" customFormat="1" ht="11.25" x14ac:dyDescent="0.2">
      <c r="A5" s="1341" t="s">
        <v>0</v>
      </c>
      <c r="B5" s="1344" t="s">
        <v>1</v>
      </c>
      <c r="C5" s="1341" t="s">
        <v>2</v>
      </c>
      <c r="D5" s="1341" t="s">
        <v>3</v>
      </c>
      <c r="E5" s="1341" t="s">
        <v>4</v>
      </c>
      <c r="F5" s="1341" t="s">
        <v>3445</v>
      </c>
      <c r="G5" s="1341" t="s">
        <v>6</v>
      </c>
      <c r="H5" s="1331" t="s">
        <v>7</v>
      </c>
      <c r="I5" s="1335" t="s">
        <v>8</v>
      </c>
      <c r="J5" s="1327" t="s">
        <v>9</v>
      </c>
      <c r="K5" s="73"/>
      <c r="L5" s="72"/>
      <c r="M5" s="1330" t="s">
        <v>3452</v>
      </c>
      <c r="N5" s="1330"/>
      <c r="O5" s="1330" t="s">
        <v>3368</v>
      </c>
      <c r="P5" s="1330"/>
      <c r="Q5" s="1330" t="s">
        <v>3372</v>
      </c>
      <c r="R5" s="1330"/>
      <c r="S5" s="1330" t="s">
        <v>3455</v>
      </c>
      <c r="T5" s="1330"/>
      <c r="U5" s="1330" t="s">
        <v>3369</v>
      </c>
      <c r="V5" s="1330"/>
      <c r="W5" s="1330" t="s">
        <v>3456</v>
      </c>
      <c r="X5" s="1330"/>
      <c r="Y5" s="1330" t="s">
        <v>3457</v>
      </c>
      <c r="Z5" s="1330"/>
      <c r="AA5" s="1330" t="s">
        <v>3370</v>
      </c>
      <c r="AB5" s="1330"/>
      <c r="AC5" s="1330" t="s">
        <v>3458</v>
      </c>
      <c r="AD5" s="1330"/>
      <c r="AE5" s="1330" t="s">
        <v>3371</v>
      </c>
      <c r="AF5" s="1330"/>
      <c r="AG5" s="1330" t="s">
        <v>3453</v>
      </c>
      <c r="AH5" s="1330"/>
      <c r="AI5" s="1330" t="s">
        <v>3454</v>
      </c>
      <c r="AJ5" s="1330"/>
      <c r="AK5" s="1336" t="s">
        <v>9</v>
      </c>
      <c r="AO5" s="72"/>
    </row>
    <row r="6" spans="1:42" s="969" customFormat="1" ht="15" customHeight="1" x14ac:dyDescent="0.2">
      <c r="A6" s="1342"/>
      <c r="B6" s="1345"/>
      <c r="C6" s="1342"/>
      <c r="D6" s="1342"/>
      <c r="E6" s="1342"/>
      <c r="F6" s="1342"/>
      <c r="G6" s="1342"/>
      <c r="H6" s="1331"/>
      <c r="I6" s="1335"/>
      <c r="J6" s="1328"/>
      <c r="K6" s="73"/>
      <c r="L6" s="72"/>
      <c r="M6" s="1331" t="s">
        <v>3459</v>
      </c>
      <c r="N6" s="1331" t="s">
        <v>3460</v>
      </c>
      <c r="O6" s="1331" t="s">
        <v>3459</v>
      </c>
      <c r="P6" s="1331" t="s">
        <v>3460</v>
      </c>
      <c r="Q6" s="1331" t="s">
        <v>3459</v>
      </c>
      <c r="R6" s="1335" t="s">
        <v>3460</v>
      </c>
      <c r="S6" s="1331" t="s">
        <v>3459</v>
      </c>
      <c r="T6" s="1331" t="s">
        <v>3460</v>
      </c>
      <c r="U6" s="1331" t="s">
        <v>3459</v>
      </c>
      <c r="V6" s="1335" t="s">
        <v>3460</v>
      </c>
      <c r="W6" s="1331" t="s">
        <v>3459</v>
      </c>
      <c r="X6" s="1331" t="s">
        <v>3460</v>
      </c>
      <c r="Y6" s="1331" t="s">
        <v>3459</v>
      </c>
      <c r="Z6" s="1331" t="s">
        <v>3460</v>
      </c>
      <c r="AA6" s="1331" t="s">
        <v>3459</v>
      </c>
      <c r="AB6" s="1335" t="s">
        <v>3460</v>
      </c>
      <c r="AC6" s="1331" t="s">
        <v>3459</v>
      </c>
      <c r="AD6" s="1331" t="s">
        <v>3460</v>
      </c>
      <c r="AE6" s="1331" t="s">
        <v>3459</v>
      </c>
      <c r="AF6" s="1335" t="s">
        <v>3460</v>
      </c>
      <c r="AG6" s="1331" t="s">
        <v>3459</v>
      </c>
      <c r="AH6" s="1331" t="s">
        <v>3460</v>
      </c>
      <c r="AI6" s="1331" t="s">
        <v>3459</v>
      </c>
      <c r="AJ6" s="1331" t="s">
        <v>3460</v>
      </c>
      <c r="AK6" s="1337"/>
    </row>
    <row r="7" spans="1:42" s="969" customFormat="1" ht="66.75" customHeight="1" x14ac:dyDescent="0.2">
      <c r="A7" s="1343"/>
      <c r="B7" s="1346"/>
      <c r="C7" s="1343"/>
      <c r="D7" s="1343"/>
      <c r="E7" s="1343"/>
      <c r="F7" s="1343"/>
      <c r="G7" s="1343"/>
      <c r="H7" s="1331"/>
      <c r="I7" s="1335"/>
      <c r="J7" s="1329"/>
      <c r="K7" s="73"/>
      <c r="L7" s="72"/>
      <c r="M7" s="1331"/>
      <c r="N7" s="1331"/>
      <c r="O7" s="1331"/>
      <c r="P7" s="1331"/>
      <c r="Q7" s="1331"/>
      <c r="R7" s="1335"/>
      <c r="S7" s="1331"/>
      <c r="T7" s="1331"/>
      <c r="U7" s="1331"/>
      <c r="V7" s="1335"/>
      <c r="W7" s="1331"/>
      <c r="X7" s="1331"/>
      <c r="Y7" s="1331"/>
      <c r="Z7" s="1331"/>
      <c r="AA7" s="1331"/>
      <c r="AB7" s="1335"/>
      <c r="AC7" s="1331"/>
      <c r="AD7" s="1331"/>
      <c r="AE7" s="1331"/>
      <c r="AF7" s="1335"/>
      <c r="AG7" s="1331"/>
      <c r="AH7" s="1331"/>
      <c r="AI7" s="1331"/>
      <c r="AJ7" s="1331"/>
      <c r="AK7" s="1338"/>
    </row>
    <row r="8" spans="1:42" s="108" customFormat="1" x14ac:dyDescent="0.25">
      <c r="A8" s="100">
        <v>2000</v>
      </c>
      <c r="B8" s="468" t="s">
        <v>10</v>
      </c>
      <c r="C8" s="100"/>
      <c r="D8" s="863"/>
      <c r="E8" s="18"/>
      <c r="F8" s="297"/>
      <c r="G8" s="297"/>
      <c r="H8" s="297"/>
      <c r="I8" s="714"/>
      <c r="J8" s="750"/>
      <c r="K8" s="131"/>
      <c r="L8" s="130"/>
      <c r="M8" s="384"/>
      <c r="N8" s="384"/>
      <c r="O8" s="384"/>
      <c r="P8" s="384"/>
      <c r="Q8" s="384"/>
      <c r="R8" s="298"/>
      <c r="S8" s="384"/>
      <c r="T8" s="384"/>
      <c r="U8" s="384"/>
      <c r="V8" s="298"/>
      <c r="W8" s="384"/>
      <c r="X8" s="384"/>
      <c r="Y8" s="384"/>
      <c r="Z8" s="384"/>
      <c r="AA8" s="384"/>
      <c r="AB8" s="298"/>
      <c r="AC8" s="384"/>
      <c r="AD8" s="384"/>
      <c r="AE8" s="384"/>
      <c r="AF8" s="298"/>
      <c r="AG8" s="384"/>
      <c r="AH8" s="384"/>
      <c r="AI8" s="384"/>
      <c r="AJ8" s="384"/>
      <c r="AK8" s="298"/>
      <c r="AL8" s="130"/>
      <c r="AM8" s="130"/>
      <c r="AN8" s="130"/>
      <c r="AO8" s="130"/>
    </row>
    <row r="9" spans="1:42" ht="22.5" x14ac:dyDescent="0.25">
      <c r="A9" s="299">
        <v>2100</v>
      </c>
      <c r="B9" s="469" t="s">
        <v>11</v>
      </c>
      <c r="C9" s="300"/>
      <c r="D9" s="864"/>
      <c r="E9" s="301"/>
      <c r="F9" s="302"/>
      <c r="G9" s="302"/>
      <c r="H9" s="302"/>
      <c r="I9" s="715"/>
      <c r="J9" s="751"/>
      <c r="K9" s="131"/>
      <c r="L9" s="130"/>
      <c r="M9" s="385"/>
      <c r="N9" s="385"/>
      <c r="O9" s="385"/>
      <c r="P9" s="385"/>
      <c r="Q9" s="385"/>
      <c r="R9" s="303"/>
      <c r="S9" s="385"/>
      <c r="T9" s="385"/>
      <c r="U9" s="385"/>
      <c r="V9" s="303"/>
      <c r="W9" s="385"/>
      <c r="X9" s="385"/>
      <c r="Y9" s="385"/>
      <c r="Z9" s="385"/>
      <c r="AA9" s="385"/>
      <c r="AB9" s="303"/>
      <c r="AC9" s="385"/>
      <c r="AD9" s="385"/>
      <c r="AE9" s="385"/>
      <c r="AF9" s="303"/>
      <c r="AG9" s="385"/>
      <c r="AH9" s="385"/>
      <c r="AI9" s="385"/>
      <c r="AJ9" s="385"/>
      <c r="AK9" s="303"/>
      <c r="AL9" s="385"/>
      <c r="AM9" s="385"/>
      <c r="AN9" s="385"/>
      <c r="AO9" s="130"/>
      <c r="AP9"/>
    </row>
    <row r="10" spans="1:42" x14ac:dyDescent="0.25">
      <c r="A10" s="305">
        <v>211</v>
      </c>
      <c r="B10" s="470" t="s">
        <v>12</v>
      </c>
      <c r="C10" s="306"/>
      <c r="D10" s="865"/>
      <c r="E10" s="307"/>
      <c r="F10" s="308"/>
      <c r="G10" s="308"/>
      <c r="H10" s="308"/>
      <c r="I10" s="716"/>
      <c r="J10" s="752"/>
      <c r="K10" s="131"/>
      <c r="L10" s="130"/>
      <c r="M10" s="386"/>
      <c r="N10" s="386"/>
      <c r="O10" s="386"/>
      <c r="P10" s="386"/>
      <c r="Q10" s="386"/>
      <c r="R10" s="309"/>
      <c r="S10" s="386"/>
      <c r="T10" s="386"/>
      <c r="U10" s="386"/>
      <c r="V10" s="309"/>
      <c r="W10" s="386"/>
      <c r="X10" s="386"/>
      <c r="Y10" s="386"/>
      <c r="Z10" s="386"/>
      <c r="AA10" s="386"/>
      <c r="AB10" s="309"/>
      <c r="AC10" s="386"/>
      <c r="AD10" s="386"/>
      <c r="AE10" s="386"/>
      <c r="AF10" s="309"/>
      <c r="AG10" s="386"/>
      <c r="AH10" s="386"/>
      <c r="AI10" s="386"/>
      <c r="AJ10" s="386"/>
      <c r="AK10" s="309"/>
      <c r="AL10" s="386"/>
      <c r="AM10" s="386"/>
      <c r="AN10" s="386"/>
      <c r="AO10" s="130"/>
      <c r="AP10"/>
    </row>
    <row r="11" spans="1:42" s="108" customFormat="1" x14ac:dyDescent="0.25">
      <c r="A11" s="643">
        <v>21101</v>
      </c>
      <c r="B11" s="706" t="s">
        <v>13</v>
      </c>
      <c r="C11" s="654"/>
      <c r="D11" s="866"/>
      <c r="E11" s="645"/>
      <c r="F11" s="646"/>
      <c r="G11" s="646"/>
      <c r="H11" s="646"/>
      <c r="I11" s="717"/>
      <c r="J11" s="753"/>
      <c r="K11" s="131"/>
      <c r="L11" s="130"/>
      <c r="M11" s="649"/>
      <c r="N11" s="649"/>
      <c r="O11" s="649"/>
      <c r="P11" s="649"/>
      <c r="Q11" s="649"/>
      <c r="R11" s="647"/>
      <c r="S11" s="649"/>
      <c r="T11" s="649"/>
      <c r="U11" s="649"/>
      <c r="V11" s="647"/>
      <c r="W11" s="649"/>
      <c r="X11" s="649"/>
      <c r="Y11" s="649"/>
      <c r="Z11" s="649"/>
      <c r="AA11" s="649"/>
      <c r="AB11" s="647"/>
      <c r="AC11" s="649"/>
      <c r="AD11" s="649"/>
      <c r="AE11" s="649"/>
      <c r="AF11" s="647"/>
      <c r="AG11" s="649"/>
      <c r="AH11" s="649"/>
      <c r="AI11" s="649"/>
      <c r="AJ11" s="649"/>
      <c r="AK11" s="647"/>
      <c r="AL11" s="130"/>
      <c r="AM11" s="130"/>
      <c r="AN11" s="130"/>
      <c r="AO11" s="130"/>
    </row>
    <row r="12" spans="1:42" s="460" customFormat="1" ht="66" x14ac:dyDescent="0.25">
      <c r="A12" s="9"/>
      <c r="B12" s="34" t="s">
        <v>1794</v>
      </c>
      <c r="C12" s="1029"/>
      <c r="D12" s="867">
        <f>2+1+1</f>
        <v>4</v>
      </c>
      <c r="E12" s="206" t="s">
        <v>1721</v>
      </c>
      <c r="F12" s="273" t="s">
        <v>3446</v>
      </c>
      <c r="G12" s="1040" t="s">
        <v>3463</v>
      </c>
      <c r="H12" s="273" t="s">
        <v>3462</v>
      </c>
      <c r="I12" s="718">
        <f>+J12/D12</f>
        <v>2930</v>
      </c>
      <c r="J12" s="21">
        <f>4000+2500+5220</f>
        <v>11720</v>
      </c>
      <c r="K12" s="463">
        <f>+D12*I12</f>
        <v>11720</v>
      </c>
      <c r="L12" s="1013">
        <f>+J12-K12</f>
        <v>0</v>
      </c>
      <c r="M12" s="433"/>
      <c r="N12" s="433"/>
      <c r="O12" s="433"/>
      <c r="P12" s="433"/>
      <c r="Q12" s="433">
        <v>0</v>
      </c>
      <c r="R12" s="458">
        <v>0</v>
      </c>
      <c r="S12" s="433"/>
      <c r="T12" s="433"/>
      <c r="U12" s="433">
        <v>0</v>
      </c>
      <c r="V12" s="458">
        <v>0</v>
      </c>
      <c r="W12" s="433"/>
      <c r="X12" s="433"/>
      <c r="Y12" s="433"/>
      <c r="Z12" s="433"/>
      <c r="AA12" s="433">
        <v>0</v>
      </c>
      <c r="AB12" s="458">
        <v>0</v>
      </c>
      <c r="AC12" s="433"/>
      <c r="AD12" s="433"/>
      <c r="AE12" s="433">
        <v>0</v>
      </c>
      <c r="AF12" s="458">
        <v>0</v>
      </c>
      <c r="AG12" s="433">
        <v>4</v>
      </c>
      <c r="AH12" s="1010">
        <f>J12</f>
        <v>11720</v>
      </c>
      <c r="AI12" s="433"/>
      <c r="AJ12" s="433"/>
      <c r="AK12" s="458">
        <f>AH12</f>
        <v>11720</v>
      </c>
      <c r="AL12" s="464">
        <f>+J12-AK12</f>
        <v>0</v>
      </c>
      <c r="AM12" s="433">
        <f>+Q12+U12+AA12+AE12</f>
        <v>0</v>
      </c>
      <c r="AN12" s="465">
        <f t="shared" ref="AN12" si="0">+D12-AM12</f>
        <v>4</v>
      </c>
      <c r="AO12" s="459">
        <f>+J12</f>
        <v>11720</v>
      </c>
    </row>
    <row r="13" spans="1:42" s="460" customFormat="1" x14ac:dyDescent="0.25">
      <c r="A13" s="388">
        <v>21102</v>
      </c>
      <c r="B13" s="472" t="s">
        <v>14</v>
      </c>
      <c r="C13" s="389"/>
      <c r="D13" s="868"/>
      <c r="E13" s="355"/>
      <c r="F13" s="356"/>
      <c r="G13" s="356"/>
      <c r="H13" s="356"/>
      <c r="I13" s="719"/>
      <c r="J13" s="754"/>
      <c r="K13" s="1014"/>
      <c r="L13" s="1015"/>
      <c r="M13" s="461"/>
      <c r="N13" s="461"/>
      <c r="O13" s="461"/>
      <c r="P13" s="461"/>
      <c r="Q13" s="461"/>
      <c r="R13" s="462"/>
      <c r="S13" s="461"/>
      <c r="T13" s="461"/>
      <c r="U13" s="461"/>
      <c r="V13" s="462"/>
      <c r="W13" s="461"/>
      <c r="X13" s="461"/>
      <c r="Y13" s="461"/>
      <c r="Z13" s="461"/>
      <c r="AA13" s="461"/>
      <c r="AB13" s="462"/>
      <c r="AC13" s="461"/>
      <c r="AD13" s="461"/>
      <c r="AE13" s="461"/>
      <c r="AF13" s="462"/>
      <c r="AG13" s="461"/>
      <c r="AH13" s="461"/>
      <c r="AI13" s="461"/>
      <c r="AJ13" s="461"/>
      <c r="AK13" s="462"/>
      <c r="AL13" s="461"/>
      <c r="AM13" s="461"/>
      <c r="AN13" s="461"/>
      <c r="AO13" s="463">
        <f>SUM(J15:J766)</f>
        <v>486943.82490826689</v>
      </c>
      <c r="AP13" s="458"/>
    </row>
    <row r="14" spans="1:42" s="460" customFormat="1" x14ac:dyDescent="0.25">
      <c r="A14" s="9"/>
      <c r="B14" s="37"/>
      <c r="C14" s="1024"/>
      <c r="D14" s="869"/>
      <c r="E14" s="1027"/>
      <c r="F14" s="272"/>
      <c r="G14" s="272"/>
      <c r="H14" s="272"/>
      <c r="I14" s="718"/>
      <c r="J14" s="755"/>
      <c r="K14" s="463"/>
      <c r="L14" s="58"/>
      <c r="M14" s="433"/>
      <c r="N14" s="433"/>
      <c r="O14" s="433"/>
      <c r="P14" s="433"/>
      <c r="Q14" s="433">
        <f t="shared" ref="Q14:Q72" si="1">+$D14/4</f>
        <v>0</v>
      </c>
      <c r="R14" s="458">
        <f t="shared" ref="R14:R77" si="2">+J14/4</f>
        <v>0</v>
      </c>
      <c r="S14" s="433"/>
      <c r="T14" s="433"/>
      <c r="U14" s="433">
        <f t="shared" ref="U14:U72" si="3">+$D14/4</f>
        <v>0</v>
      </c>
      <c r="V14" s="458">
        <f t="shared" ref="V14:V77" si="4">+J14/4</f>
        <v>0</v>
      </c>
      <c r="W14" s="433"/>
      <c r="X14" s="433"/>
      <c r="Y14" s="433"/>
      <c r="Z14" s="433"/>
      <c r="AA14" s="433">
        <f t="shared" ref="AA14:AE72" si="5">+$D14/4</f>
        <v>0</v>
      </c>
      <c r="AB14" s="458"/>
      <c r="AC14" s="433"/>
      <c r="AD14" s="433"/>
      <c r="AE14" s="433">
        <f t="shared" si="5"/>
        <v>0</v>
      </c>
      <c r="AF14" s="458"/>
      <c r="AG14" s="433"/>
      <c r="AH14" s="433"/>
      <c r="AI14" s="433"/>
      <c r="AJ14" s="433"/>
      <c r="AK14" s="458"/>
      <c r="AL14" s="433"/>
      <c r="AM14" s="433"/>
      <c r="AN14" s="433"/>
    </row>
    <row r="15" spans="1:42" s="460" customFormat="1" ht="66" x14ac:dyDescent="0.25">
      <c r="A15" s="9"/>
      <c r="B15" s="34" t="s">
        <v>16</v>
      </c>
      <c r="C15" s="1024"/>
      <c r="D15" s="869">
        <f>4+74</f>
        <v>78</v>
      </c>
      <c r="E15" s="457" t="s">
        <v>1721</v>
      </c>
      <c r="F15" s="273" t="s">
        <v>3446</v>
      </c>
      <c r="G15" s="1040" t="s">
        <v>3463</v>
      </c>
      <c r="H15" s="273" t="s">
        <v>3462</v>
      </c>
      <c r="I15" s="718">
        <f t="shared" ref="I15:I61" si="6">+J15/D15</f>
        <v>169.72756410256412</v>
      </c>
      <c r="J15" s="755">
        <f>599.04+12639.71</f>
        <v>13238.75</v>
      </c>
      <c r="K15" s="463">
        <f t="shared" ref="K15:K78" si="7">+D15*I15</f>
        <v>13238.750000000002</v>
      </c>
      <c r="L15" s="1013">
        <f>+J15-K15</f>
        <v>0</v>
      </c>
      <c r="M15" s="464"/>
      <c r="N15" s="464"/>
      <c r="O15" s="464"/>
      <c r="P15" s="464"/>
      <c r="Q15" s="433">
        <v>78</v>
      </c>
      <c r="R15" s="458">
        <f t="shared" si="2"/>
        <v>3309.6875</v>
      </c>
      <c r="S15" s="433"/>
      <c r="T15" s="433"/>
      <c r="U15" s="433">
        <v>0</v>
      </c>
      <c r="V15" s="458">
        <f t="shared" si="4"/>
        <v>3309.6875</v>
      </c>
      <c r="W15" s="433"/>
      <c r="X15" s="433"/>
      <c r="Y15" s="433"/>
      <c r="Z15" s="433"/>
      <c r="AA15" s="433">
        <v>0</v>
      </c>
      <c r="AB15" s="458">
        <f>+J15/4</f>
        <v>3309.6875</v>
      </c>
      <c r="AC15" s="433"/>
      <c r="AD15" s="433"/>
      <c r="AE15" s="433">
        <v>0</v>
      </c>
      <c r="AF15" s="458">
        <f t="shared" ref="AF15:AF78" si="8">+J15/4</f>
        <v>3309.6875</v>
      </c>
      <c r="AG15" s="433"/>
      <c r="AH15" s="433"/>
      <c r="AI15" s="433"/>
      <c r="AJ15" s="433"/>
      <c r="AK15" s="458">
        <f>+R15+V15+AB15+AF15</f>
        <v>13238.75</v>
      </c>
      <c r="AL15" s="464">
        <f>+J15-AK15</f>
        <v>0</v>
      </c>
      <c r="AM15" s="433">
        <f>+Q15+U15+AA15+AE15</f>
        <v>78</v>
      </c>
      <c r="AN15" s="465">
        <f t="shared" ref="AN15:AN78" si="9">+D15-AM15</f>
        <v>0</v>
      </c>
    </row>
    <row r="16" spans="1:42" s="460" customFormat="1" ht="66" x14ac:dyDescent="0.25">
      <c r="A16" s="9"/>
      <c r="B16" s="37" t="s">
        <v>1132</v>
      </c>
      <c r="C16" s="1024"/>
      <c r="D16" s="869">
        <f>2</f>
        <v>2</v>
      </c>
      <c r="E16" s="1027" t="s">
        <v>1725</v>
      </c>
      <c r="F16" s="273" t="s">
        <v>3446</v>
      </c>
      <c r="G16" s="1040" t="s">
        <v>3463</v>
      </c>
      <c r="H16" s="273" t="s">
        <v>3462</v>
      </c>
      <c r="I16" s="718">
        <f t="shared" si="6"/>
        <v>55.125</v>
      </c>
      <c r="J16" s="755">
        <f>110.25</f>
        <v>110.25</v>
      </c>
      <c r="K16" s="463">
        <f t="shared" si="7"/>
        <v>110.25</v>
      </c>
      <c r="L16" s="1013">
        <f t="shared" ref="L16:L79" si="10">+J16-K16</f>
        <v>0</v>
      </c>
      <c r="M16" s="464"/>
      <c r="N16" s="464"/>
      <c r="O16" s="464"/>
      <c r="P16" s="464"/>
      <c r="Q16" s="433">
        <v>1</v>
      </c>
      <c r="R16" s="458">
        <f t="shared" si="2"/>
        <v>27.5625</v>
      </c>
      <c r="S16" s="433"/>
      <c r="T16" s="433"/>
      <c r="U16" s="433">
        <v>1</v>
      </c>
      <c r="V16" s="458">
        <f t="shared" si="4"/>
        <v>27.5625</v>
      </c>
      <c r="W16" s="433"/>
      <c r="X16" s="433"/>
      <c r="Y16" s="433"/>
      <c r="Z16" s="433"/>
      <c r="AA16" s="433">
        <v>0</v>
      </c>
      <c r="AB16" s="458">
        <f t="shared" ref="AB16:AB79" si="11">+J16/4</f>
        <v>27.5625</v>
      </c>
      <c r="AC16" s="433"/>
      <c r="AD16" s="433"/>
      <c r="AE16" s="433">
        <v>0</v>
      </c>
      <c r="AF16" s="458">
        <f t="shared" si="8"/>
        <v>27.5625</v>
      </c>
      <c r="AG16" s="433"/>
      <c r="AH16" s="433"/>
      <c r="AI16" s="433"/>
      <c r="AJ16" s="433"/>
      <c r="AK16" s="458">
        <f t="shared" ref="AK16:AK79" si="12">+R16+V16+AB16+AF16</f>
        <v>110.25</v>
      </c>
      <c r="AL16" s="464">
        <f t="shared" ref="AL16:AL79" si="13">+J16-AK16</f>
        <v>0</v>
      </c>
      <c r="AM16" s="433">
        <f t="shared" ref="AM16:AM79" si="14">+Q16+U16+AA16+AE16</f>
        <v>2</v>
      </c>
      <c r="AN16" s="465">
        <f t="shared" si="9"/>
        <v>0</v>
      </c>
    </row>
    <row r="17" spans="1:42" s="460" customFormat="1" ht="66" x14ac:dyDescent="0.25">
      <c r="A17" s="9"/>
      <c r="B17" s="37" t="s">
        <v>1133</v>
      </c>
      <c r="C17" s="1024"/>
      <c r="D17" s="869">
        <f>2</f>
        <v>2</v>
      </c>
      <c r="E17" s="1027" t="s">
        <v>1725</v>
      </c>
      <c r="F17" s="273" t="s">
        <v>3446</v>
      </c>
      <c r="G17" s="1040" t="s">
        <v>3463</v>
      </c>
      <c r="H17" s="273" t="s">
        <v>3462</v>
      </c>
      <c r="I17" s="718">
        <f t="shared" si="6"/>
        <v>161.74</v>
      </c>
      <c r="J17" s="755">
        <f>323.48</f>
        <v>323.48</v>
      </c>
      <c r="K17" s="463">
        <f t="shared" si="7"/>
        <v>323.48</v>
      </c>
      <c r="L17" s="1013">
        <f t="shared" si="10"/>
        <v>0</v>
      </c>
      <c r="M17" s="464"/>
      <c r="N17" s="464"/>
      <c r="O17" s="464"/>
      <c r="P17" s="464"/>
      <c r="Q17" s="433">
        <v>1</v>
      </c>
      <c r="R17" s="458">
        <f t="shared" si="2"/>
        <v>80.87</v>
      </c>
      <c r="S17" s="433"/>
      <c r="T17" s="433"/>
      <c r="U17" s="433">
        <v>1</v>
      </c>
      <c r="V17" s="458">
        <f t="shared" si="4"/>
        <v>80.87</v>
      </c>
      <c r="W17" s="433"/>
      <c r="X17" s="433"/>
      <c r="Y17" s="433"/>
      <c r="Z17" s="433"/>
      <c r="AA17" s="433">
        <v>0</v>
      </c>
      <c r="AB17" s="458">
        <f t="shared" si="11"/>
        <v>80.87</v>
      </c>
      <c r="AC17" s="433"/>
      <c r="AD17" s="433"/>
      <c r="AE17" s="433">
        <v>0</v>
      </c>
      <c r="AF17" s="458">
        <f t="shared" si="8"/>
        <v>80.87</v>
      </c>
      <c r="AG17" s="433"/>
      <c r="AH17" s="433"/>
      <c r="AI17" s="433"/>
      <c r="AJ17" s="433"/>
      <c r="AK17" s="458">
        <f t="shared" si="12"/>
        <v>323.48</v>
      </c>
      <c r="AL17" s="464">
        <f t="shared" si="13"/>
        <v>0</v>
      </c>
      <c r="AM17" s="433">
        <f t="shared" si="14"/>
        <v>2</v>
      </c>
      <c r="AN17" s="465">
        <f t="shared" si="9"/>
        <v>0</v>
      </c>
    </row>
    <row r="18" spans="1:42" s="460" customFormat="1" ht="66" x14ac:dyDescent="0.25">
      <c r="A18" s="9"/>
      <c r="B18" s="37" t="s">
        <v>1134</v>
      </c>
      <c r="C18" s="1024"/>
      <c r="D18" s="869">
        <f>2</f>
        <v>2</v>
      </c>
      <c r="E18" s="1027" t="s">
        <v>1725</v>
      </c>
      <c r="F18" s="273" t="s">
        <v>3446</v>
      </c>
      <c r="G18" s="1040" t="s">
        <v>3463</v>
      </c>
      <c r="H18" s="273" t="s">
        <v>3462</v>
      </c>
      <c r="I18" s="718">
        <f t="shared" si="6"/>
        <v>89.575000000000003</v>
      </c>
      <c r="J18" s="755">
        <f>179.15</f>
        <v>179.15</v>
      </c>
      <c r="K18" s="463">
        <f t="shared" si="7"/>
        <v>179.15</v>
      </c>
      <c r="L18" s="1013">
        <f t="shared" si="10"/>
        <v>0</v>
      </c>
      <c r="M18" s="464"/>
      <c r="N18" s="464"/>
      <c r="O18" s="464"/>
      <c r="P18" s="464"/>
      <c r="Q18" s="433">
        <v>1</v>
      </c>
      <c r="R18" s="458">
        <f t="shared" si="2"/>
        <v>44.787500000000001</v>
      </c>
      <c r="S18" s="433"/>
      <c r="T18" s="433"/>
      <c r="U18" s="433">
        <v>1</v>
      </c>
      <c r="V18" s="458">
        <f t="shared" si="4"/>
        <v>44.787500000000001</v>
      </c>
      <c r="W18" s="433"/>
      <c r="X18" s="433"/>
      <c r="Y18" s="433"/>
      <c r="Z18" s="433"/>
      <c r="AA18" s="433">
        <v>0</v>
      </c>
      <c r="AB18" s="458">
        <f t="shared" si="11"/>
        <v>44.787500000000001</v>
      </c>
      <c r="AC18" s="433"/>
      <c r="AD18" s="433"/>
      <c r="AE18" s="433">
        <v>0</v>
      </c>
      <c r="AF18" s="458">
        <f t="shared" si="8"/>
        <v>44.787500000000001</v>
      </c>
      <c r="AG18" s="433"/>
      <c r="AH18" s="433"/>
      <c r="AI18" s="433"/>
      <c r="AJ18" s="433"/>
      <c r="AK18" s="458">
        <f t="shared" si="12"/>
        <v>179.15</v>
      </c>
      <c r="AL18" s="464">
        <f t="shared" si="13"/>
        <v>0</v>
      </c>
      <c r="AM18" s="433">
        <f t="shared" si="14"/>
        <v>2</v>
      </c>
      <c r="AN18" s="465">
        <f t="shared" si="9"/>
        <v>0</v>
      </c>
    </row>
    <row r="19" spans="1:42" ht="66" x14ac:dyDescent="0.25">
      <c r="A19" s="9"/>
      <c r="B19" s="34" t="s">
        <v>18</v>
      </c>
      <c r="C19" s="1024"/>
      <c r="D19" s="869">
        <f>2+17</f>
        <v>19</v>
      </c>
      <c r="E19" s="1027" t="s">
        <v>1722</v>
      </c>
      <c r="F19" s="273" t="s">
        <v>3446</v>
      </c>
      <c r="G19" s="1040" t="s">
        <v>3463</v>
      </c>
      <c r="H19" s="273" t="s">
        <v>3462</v>
      </c>
      <c r="I19" s="720">
        <f t="shared" si="6"/>
        <v>51.842631578947369</v>
      </c>
      <c r="J19" s="756">
        <f>99.18+985.01-99.18</f>
        <v>985.01</v>
      </c>
      <c r="K19" s="131">
        <f t="shared" si="7"/>
        <v>985.01</v>
      </c>
      <c r="L19" s="335">
        <f t="shared" si="10"/>
        <v>0</v>
      </c>
      <c r="M19" s="446"/>
      <c r="N19" s="446"/>
      <c r="O19" s="446"/>
      <c r="P19" s="446"/>
      <c r="Q19" s="110">
        <v>5</v>
      </c>
      <c r="R19" s="111">
        <f t="shared" si="2"/>
        <v>246.2525</v>
      </c>
      <c r="S19" s="110"/>
      <c r="T19" s="110"/>
      <c r="U19" s="110">
        <v>5</v>
      </c>
      <c r="V19" s="111">
        <f t="shared" si="4"/>
        <v>246.2525</v>
      </c>
      <c r="W19" s="110"/>
      <c r="X19" s="110"/>
      <c r="Y19" s="110"/>
      <c r="Z19" s="110"/>
      <c r="AA19" s="110">
        <v>5</v>
      </c>
      <c r="AB19" s="111">
        <f t="shared" si="11"/>
        <v>246.2525</v>
      </c>
      <c r="AC19" s="110"/>
      <c r="AD19" s="110"/>
      <c r="AE19" s="110">
        <v>4</v>
      </c>
      <c r="AF19" s="111">
        <f t="shared" si="8"/>
        <v>246.2525</v>
      </c>
      <c r="AG19" s="110"/>
      <c r="AH19" s="110"/>
      <c r="AI19" s="110"/>
      <c r="AJ19" s="110"/>
      <c r="AK19" s="111">
        <f t="shared" si="12"/>
        <v>985.01</v>
      </c>
      <c r="AL19" s="446">
        <f t="shared" si="13"/>
        <v>0</v>
      </c>
      <c r="AM19" s="110">
        <f t="shared" si="14"/>
        <v>19</v>
      </c>
      <c r="AN19" s="447">
        <f t="shared" si="9"/>
        <v>0</v>
      </c>
      <c r="AO19"/>
      <c r="AP19"/>
    </row>
    <row r="20" spans="1:42" ht="66" x14ac:dyDescent="0.25">
      <c r="A20" s="9"/>
      <c r="B20" s="34" t="s">
        <v>19</v>
      </c>
      <c r="C20" s="1024"/>
      <c r="D20" s="869">
        <f>22+25</f>
        <v>47</v>
      </c>
      <c r="E20" s="1027" t="s">
        <v>1722</v>
      </c>
      <c r="F20" s="273" t="s">
        <v>3446</v>
      </c>
      <c r="G20" s="1040" t="s">
        <v>3463</v>
      </c>
      <c r="H20" s="273" t="s">
        <v>3462</v>
      </c>
      <c r="I20" s="720">
        <f t="shared" si="6"/>
        <v>40.341702127659573</v>
      </c>
      <c r="J20" s="756">
        <f>1103.92+1218.04-425.9</f>
        <v>1896.06</v>
      </c>
      <c r="K20" s="131">
        <f t="shared" si="7"/>
        <v>1896.06</v>
      </c>
      <c r="L20" s="335">
        <f t="shared" si="10"/>
        <v>0</v>
      </c>
      <c r="M20" s="446"/>
      <c r="N20" s="446"/>
      <c r="O20" s="446"/>
      <c r="P20" s="446"/>
      <c r="Q20" s="110">
        <v>12</v>
      </c>
      <c r="R20" s="111">
        <f t="shared" si="2"/>
        <v>474.01499999999999</v>
      </c>
      <c r="S20" s="110"/>
      <c r="T20" s="110"/>
      <c r="U20" s="110">
        <v>12</v>
      </c>
      <c r="V20" s="111">
        <f t="shared" si="4"/>
        <v>474.01499999999999</v>
      </c>
      <c r="W20" s="110"/>
      <c r="X20" s="110"/>
      <c r="Y20" s="110"/>
      <c r="Z20" s="110"/>
      <c r="AA20" s="110">
        <v>12</v>
      </c>
      <c r="AB20" s="111">
        <f t="shared" si="11"/>
        <v>474.01499999999999</v>
      </c>
      <c r="AC20" s="110"/>
      <c r="AD20" s="110"/>
      <c r="AE20" s="110">
        <v>11</v>
      </c>
      <c r="AF20" s="111">
        <f t="shared" si="8"/>
        <v>474.01499999999999</v>
      </c>
      <c r="AG20" s="110"/>
      <c r="AH20" s="110"/>
      <c r="AI20" s="110"/>
      <c r="AJ20" s="110"/>
      <c r="AK20" s="111">
        <f t="shared" si="12"/>
        <v>1896.06</v>
      </c>
      <c r="AL20" s="446">
        <f t="shared" si="13"/>
        <v>0</v>
      </c>
      <c r="AM20" s="110">
        <f t="shared" si="14"/>
        <v>47</v>
      </c>
      <c r="AN20" s="447">
        <f t="shared" si="9"/>
        <v>0</v>
      </c>
      <c r="AO20"/>
      <c r="AP20"/>
    </row>
    <row r="21" spans="1:42" ht="66" x14ac:dyDescent="0.25">
      <c r="A21" s="9"/>
      <c r="B21" s="34" t="s">
        <v>20</v>
      </c>
      <c r="C21" s="1024"/>
      <c r="D21" s="869">
        <f>20+180+2+6</f>
        <v>208</v>
      </c>
      <c r="E21" s="1027" t="s">
        <v>1722</v>
      </c>
      <c r="F21" s="273" t="s">
        <v>3446</v>
      </c>
      <c r="G21" s="1040" t="s">
        <v>3463</v>
      </c>
      <c r="H21" s="273" t="s">
        <v>3462</v>
      </c>
      <c r="I21" s="720">
        <f t="shared" si="6"/>
        <v>50.37379807692308</v>
      </c>
      <c r="J21" s="756">
        <f>588.42+9595.74+122.77+170.82</f>
        <v>10477.75</v>
      </c>
      <c r="K21" s="131">
        <f t="shared" si="7"/>
        <v>10477.75</v>
      </c>
      <c r="L21" s="335">
        <f t="shared" si="10"/>
        <v>0</v>
      </c>
      <c r="M21" s="446"/>
      <c r="N21" s="446"/>
      <c r="O21" s="446"/>
      <c r="P21" s="446"/>
      <c r="Q21" s="110">
        <f t="shared" si="1"/>
        <v>52</v>
      </c>
      <c r="R21" s="111">
        <f t="shared" si="2"/>
        <v>2619.4375</v>
      </c>
      <c r="S21" s="110"/>
      <c r="T21" s="110"/>
      <c r="U21" s="110">
        <f t="shared" si="3"/>
        <v>52</v>
      </c>
      <c r="V21" s="111">
        <f t="shared" si="4"/>
        <v>2619.4375</v>
      </c>
      <c r="W21" s="110"/>
      <c r="X21" s="110"/>
      <c r="Y21" s="110"/>
      <c r="Z21" s="110"/>
      <c r="AA21" s="110">
        <f t="shared" si="5"/>
        <v>52</v>
      </c>
      <c r="AB21" s="111">
        <f t="shared" si="11"/>
        <v>2619.4375</v>
      </c>
      <c r="AC21" s="110"/>
      <c r="AD21" s="110"/>
      <c r="AE21" s="110">
        <f t="shared" si="5"/>
        <v>52</v>
      </c>
      <c r="AF21" s="111">
        <f t="shared" si="8"/>
        <v>2619.4375</v>
      </c>
      <c r="AG21" s="110"/>
      <c r="AH21" s="110"/>
      <c r="AI21" s="110"/>
      <c r="AJ21" s="110"/>
      <c r="AK21" s="111">
        <f t="shared" si="12"/>
        <v>10477.75</v>
      </c>
      <c r="AL21" s="446">
        <f t="shared" si="13"/>
        <v>0</v>
      </c>
      <c r="AM21" s="110">
        <f t="shared" si="14"/>
        <v>208</v>
      </c>
      <c r="AN21" s="447">
        <f t="shared" si="9"/>
        <v>0</v>
      </c>
      <c r="AO21"/>
      <c r="AP21"/>
    </row>
    <row r="22" spans="1:42" ht="66" x14ac:dyDescent="0.25">
      <c r="A22" s="9"/>
      <c r="B22" s="34" t="s">
        <v>21</v>
      </c>
      <c r="C22" s="1024"/>
      <c r="D22" s="869">
        <f>14+46</f>
        <v>60</v>
      </c>
      <c r="E22" s="1027" t="s">
        <v>1722</v>
      </c>
      <c r="F22" s="273" t="s">
        <v>3446</v>
      </c>
      <c r="G22" s="1040" t="s">
        <v>3463</v>
      </c>
      <c r="H22" s="273" t="s">
        <v>3462</v>
      </c>
      <c r="I22" s="720">
        <f t="shared" si="6"/>
        <v>31.400166666666667</v>
      </c>
      <c r="J22" s="756">
        <f>412.75+1471.26</f>
        <v>1884.01</v>
      </c>
      <c r="K22" s="131">
        <f t="shared" si="7"/>
        <v>1884.01</v>
      </c>
      <c r="L22" s="335">
        <f t="shared" si="10"/>
        <v>0</v>
      </c>
      <c r="M22" s="446"/>
      <c r="N22" s="446"/>
      <c r="O22" s="446"/>
      <c r="P22" s="446"/>
      <c r="Q22" s="110">
        <f t="shared" si="1"/>
        <v>15</v>
      </c>
      <c r="R22" s="111">
        <f t="shared" si="2"/>
        <v>471.0025</v>
      </c>
      <c r="S22" s="110"/>
      <c r="T22" s="110"/>
      <c r="U22" s="110">
        <f t="shared" si="3"/>
        <v>15</v>
      </c>
      <c r="V22" s="111">
        <f t="shared" si="4"/>
        <v>471.0025</v>
      </c>
      <c r="W22" s="110"/>
      <c r="X22" s="110"/>
      <c r="Y22" s="110"/>
      <c r="Z22" s="110"/>
      <c r="AA22" s="110">
        <f t="shared" si="5"/>
        <v>15</v>
      </c>
      <c r="AB22" s="111">
        <f t="shared" si="11"/>
        <v>471.0025</v>
      </c>
      <c r="AC22" s="110"/>
      <c r="AD22" s="110"/>
      <c r="AE22" s="110">
        <f t="shared" si="5"/>
        <v>15</v>
      </c>
      <c r="AF22" s="111">
        <f t="shared" si="8"/>
        <v>471.0025</v>
      </c>
      <c r="AG22" s="110"/>
      <c r="AH22" s="110"/>
      <c r="AI22" s="110"/>
      <c r="AJ22" s="110"/>
      <c r="AK22" s="111">
        <f t="shared" si="12"/>
        <v>1884.01</v>
      </c>
      <c r="AL22" s="446">
        <f t="shared" si="13"/>
        <v>0</v>
      </c>
      <c r="AM22" s="110">
        <f t="shared" si="14"/>
        <v>60</v>
      </c>
      <c r="AN22" s="447">
        <f t="shared" si="9"/>
        <v>0</v>
      </c>
      <c r="AO22"/>
      <c r="AP22"/>
    </row>
    <row r="23" spans="1:42" ht="66" x14ac:dyDescent="0.25">
      <c r="A23" s="9"/>
      <c r="B23" s="34" t="s">
        <v>22</v>
      </c>
      <c r="C23" s="1024"/>
      <c r="D23" s="869">
        <f>1+3+7</f>
        <v>11</v>
      </c>
      <c r="E23" s="1027" t="s">
        <v>1722</v>
      </c>
      <c r="F23" s="273" t="s">
        <v>3446</v>
      </c>
      <c r="G23" s="1040" t="s">
        <v>3463</v>
      </c>
      <c r="H23" s="273" t="s">
        <v>3462</v>
      </c>
      <c r="I23" s="720">
        <f t="shared" si="6"/>
        <v>48.31454545454546</v>
      </c>
      <c r="J23" s="756">
        <f>56.55+79.39+395.52</f>
        <v>531.46</v>
      </c>
      <c r="K23" s="131">
        <f t="shared" si="7"/>
        <v>531.46</v>
      </c>
      <c r="L23" s="335">
        <f t="shared" si="10"/>
        <v>0</v>
      </c>
      <c r="M23" s="446"/>
      <c r="N23" s="446"/>
      <c r="O23" s="446"/>
      <c r="P23" s="446"/>
      <c r="Q23" s="110">
        <v>3</v>
      </c>
      <c r="R23" s="111">
        <f t="shared" si="2"/>
        <v>132.86500000000001</v>
      </c>
      <c r="S23" s="110"/>
      <c r="T23" s="110"/>
      <c r="U23" s="110">
        <v>3</v>
      </c>
      <c r="V23" s="111">
        <f t="shared" si="4"/>
        <v>132.86500000000001</v>
      </c>
      <c r="W23" s="110"/>
      <c r="X23" s="110"/>
      <c r="Y23" s="110"/>
      <c r="Z23" s="110"/>
      <c r="AA23" s="110">
        <v>3</v>
      </c>
      <c r="AB23" s="111">
        <f t="shared" si="11"/>
        <v>132.86500000000001</v>
      </c>
      <c r="AC23" s="110"/>
      <c r="AD23" s="110"/>
      <c r="AE23" s="110">
        <v>2</v>
      </c>
      <c r="AF23" s="111">
        <f t="shared" si="8"/>
        <v>132.86500000000001</v>
      </c>
      <c r="AG23" s="110"/>
      <c r="AH23" s="110"/>
      <c r="AI23" s="110"/>
      <c r="AJ23" s="110"/>
      <c r="AK23" s="111">
        <f t="shared" si="12"/>
        <v>531.46</v>
      </c>
      <c r="AL23" s="446">
        <f t="shared" si="13"/>
        <v>0</v>
      </c>
      <c r="AM23" s="110">
        <f t="shared" si="14"/>
        <v>11</v>
      </c>
      <c r="AN23" s="447">
        <f t="shared" si="9"/>
        <v>0</v>
      </c>
      <c r="AO23"/>
      <c r="AP23"/>
    </row>
    <row r="24" spans="1:42" ht="66" x14ac:dyDescent="0.25">
      <c r="A24" s="9"/>
      <c r="B24" s="34" t="s">
        <v>23</v>
      </c>
      <c r="C24" s="1024"/>
      <c r="D24" s="869">
        <f>32+34+133+5</f>
        <v>204</v>
      </c>
      <c r="E24" s="1027" t="s">
        <v>1749</v>
      </c>
      <c r="F24" s="273" t="s">
        <v>3446</v>
      </c>
      <c r="G24" s="1040" t="s">
        <v>3463</v>
      </c>
      <c r="H24" s="273" t="s">
        <v>3462</v>
      </c>
      <c r="I24" s="720">
        <f t="shared" si="6"/>
        <v>19.569558823529409</v>
      </c>
      <c r="J24" s="756">
        <f>100+77.92+153.57+766.5+2894.2</f>
        <v>3992.1899999999996</v>
      </c>
      <c r="K24" s="131">
        <f t="shared" si="7"/>
        <v>3992.1899999999996</v>
      </c>
      <c r="L24" s="335">
        <f t="shared" si="10"/>
        <v>0</v>
      </c>
      <c r="M24" s="446"/>
      <c r="N24" s="446"/>
      <c r="O24" s="446"/>
      <c r="P24" s="446"/>
      <c r="Q24" s="110">
        <f t="shared" si="1"/>
        <v>51</v>
      </c>
      <c r="R24" s="111">
        <f t="shared" si="2"/>
        <v>998.0474999999999</v>
      </c>
      <c r="S24" s="110"/>
      <c r="T24" s="110"/>
      <c r="U24" s="110">
        <f t="shared" si="3"/>
        <v>51</v>
      </c>
      <c r="V24" s="111">
        <f t="shared" si="4"/>
        <v>998.0474999999999</v>
      </c>
      <c r="W24" s="110"/>
      <c r="X24" s="110"/>
      <c r="Y24" s="110"/>
      <c r="Z24" s="110"/>
      <c r="AA24" s="110">
        <f t="shared" si="5"/>
        <v>51</v>
      </c>
      <c r="AB24" s="111">
        <f t="shared" si="11"/>
        <v>998.0474999999999</v>
      </c>
      <c r="AC24" s="110"/>
      <c r="AD24" s="110"/>
      <c r="AE24" s="110">
        <f t="shared" si="5"/>
        <v>51</v>
      </c>
      <c r="AF24" s="111">
        <f t="shared" si="8"/>
        <v>998.0474999999999</v>
      </c>
      <c r="AG24" s="110"/>
      <c r="AH24" s="110"/>
      <c r="AI24" s="110"/>
      <c r="AJ24" s="110"/>
      <c r="AK24" s="111">
        <f t="shared" si="12"/>
        <v>3992.1899999999996</v>
      </c>
      <c r="AL24" s="446">
        <f t="shared" si="13"/>
        <v>0</v>
      </c>
      <c r="AM24" s="110">
        <f t="shared" si="14"/>
        <v>204</v>
      </c>
      <c r="AN24" s="447">
        <f t="shared" si="9"/>
        <v>0</v>
      </c>
      <c r="AO24"/>
      <c r="AP24"/>
    </row>
    <row r="25" spans="1:42" ht="66" x14ac:dyDescent="0.25">
      <c r="A25" s="9"/>
      <c r="B25" s="34" t="s">
        <v>24</v>
      </c>
      <c r="C25" s="1024"/>
      <c r="D25" s="869">
        <f>11+7+1</f>
        <v>19</v>
      </c>
      <c r="E25" s="1027" t="s">
        <v>1725</v>
      </c>
      <c r="F25" s="273" t="s">
        <v>3446</v>
      </c>
      <c r="G25" s="1040" t="s">
        <v>3463</v>
      </c>
      <c r="H25" s="273" t="s">
        <v>3462</v>
      </c>
      <c r="I25" s="720">
        <f t="shared" si="6"/>
        <v>9.8800000000000008</v>
      </c>
      <c r="J25" s="756">
        <f>115.41+85.25+12-24.94</f>
        <v>187.72</v>
      </c>
      <c r="K25" s="131">
        <f t="shared" si="7"/>
        <v>187.72000000000003</v>
      </c>
      <c r="L25" s="335">
        <f t="shared" si="10"/>
        <v>0</v>
      </c>
      <c r="M25" s="446"/>
      <c r="N25" s="446"/>
      <c r="O25" s="446"/>
      <c r="P25" s="446"/>
      <c r="Q25" s="110">
        <v>5</v>
      </c>
      <c r="R25" s="111">
        <f t="shared" si="2"/>
        <v>46.93</v>
      </c>
      <c r="S25" s="110"/>
      <c r="T25" s="110"/>
      <c r="U25" s="110">
        <v>5</v>
      </c>
      <c r="V25" s="111">
        <f t="shared" si="4"/>
        <v>46.93</v>
      </c>
      <c r="W25" s="110"/>
      <c r="X25" s="110"/>
      <c r="Y25" s="110"/>
      <c r="Z25" s="110"/>
      <c r="AA25" s="110">
        <v>5</v>
      </c>
      <c r="AB25" s="111">
        <f t="shared" si="11"/>
        <v>46.93</v>
      </c>
      <c r="AC25" s="110"/>
      <c r="AD25" s="110"/>
      <c r="AE25" s="110">
        <v>4</v>
      </c>
      <c r="AF25" s="111">
        <f t="shared" si="8"/>
        <v>46.93</v>
      </c>
      <c r="AG25" s="110"/>
      <c r="AH25" s="110"/>
      <c r="AI25" s="110"/>
      <c r="AJ25" s="110"/>
      <c r="AK25" s="111">
        <f t="shared" si="12"/>
        <v>187.72</v>
      </c>
      <c r="AL25" s="446">
        <f t="shared" si="13"/>
        <v>0</v>
      </c>
      <c r="AM25" s="110">
        <f t="shared" si="14"/>
        <v>19</v>
      </c>
      <c r="AN25" s="447">
        <f t="shared" si="9"/>
        <v>0</v>
      </c>
      <c r="AO25"/>
      <c r="AP25"/>
    </row>
    <row r="26" spans="1:42" ht="66" x14ac:dyDescent="0.25">
      <c r="A26" s="9"/>
      <c r="B26" s="34" t="s">
        <v>25</v>
      </c>
      <c r="C26" s="1024"/>
      <c r="D26" s="869">
        <f>28+72+7+23</f>
        <v>130</v>
      </c>
      <c r="E26" s="1027" t="s">
        <v>1722</v>
      </c>
      <c r="F26" s="273" t="s">
        <v>3446</v>
      </c>
      <c r="G26" s="1040" t="s">
        <v>3463</v>
      </c>
      <c r="H26" s="273" t="s">
        <v>3462</v>
      </c>
      <c r="I26" s="720">
        <f t="shared" si="6"/>
        <v>125.1656923076923</v>
      </c>
      <c r="J26" s="756">
        <f>1119.4+3162.71+589.81+11713.22-313.6</f>
        <v>16271.539999999999</v>
      </c>
      <c r="K26" s="131">
        <f t="shared" si="7"/>
        <v>16271.539999999999</v>
      </c>
      <c r="L26" s="335">
        <f t="shared" si="10"/>
        <v>0</v>
      </c>
      <c r="M26" s="446"/>
      <c r="N26" s="446"/>
      <c r="O26" s="446"/>
      <c r="P26" s="446"/>
      <c r="Q26" s="110">
        <v>50</v>
      </c>
      <c r="R26" s="111">
        <f t="shared" si="2"/>
        <v>4067.8849999999998</v>
      </c>
      <c r="S26" s="110"/>
      <c r="T26" s="110"/>
      <c r="U26" s="110">
        <v>50</v>
      </c>
      <c r="V26" s="111">
        <f t="shared" si="4"/>
        <v>4067.8849999999998</v>
      </c>
      <c r="W26" s="110"/>
      <c r="X26" s="110"/>
      <c r="Y26" s="110"/>
      <c r="Z26" s="110"/>
      <c r="AA26" s="110">
        <v>28</v>
      </c>
      <c r="AB26" s="111">
        <f t="shared" si="11"/>
        <v>4067.8849999999998</v>
      </c>
      <c r="AC26" s="110"/>
      <c r="AD26" s="110"/>
      <c r="AE26" s="110">
        <v>2</v>
      </c>
      <c r="AF26" s="111">
        <f t="shared" si="8"/>
        <v>4067.8849999999998</v>
      </c>
      <c r="AG26" s="110"/>
      <c r="AH26" s="110"/>
      <c r="AI26" s="110"/>
      <c r="AJ26" s="110"/>
      <c r="AK26" s="111">
        <f t="shared" si="12"/>
        <v>16271.539999999999</v>
      </c>
      <c r="AL26" s="446">
        <f t="shared" si="13"/>
        <v>0</v>
      </c>
      <c r="AM26" s="110">
        <f t="shared" si="14"/>
        <v>130</v>
      </c>
      <c r="AN26" s="447">
        <f t="shared" si="9"/>
        <v>0</v>
      </c>
      <c r="AO26"/>
      <c r="AP26"/>
    </row>
    <row r="27" spans="1:42" ht="66" x14ac:dyDescent="0.25">
      <c r="A27" s="9"/>
      <c r="B27" s="34" t="s">
        <v>26</v>
      </c>
      <c r="C27" s="1024"/>
      <c r="D27" s="869">
        <v>6</v>
      </c>
      <c r="E27" s="1027" t="s">
        <v>1722</v>
      </c>
      <c r="F27" s="273" t="s">
        <v>3446</v>
      </c>
      <c r="G27" s="1040" t="s">
        <v>3463</v>
      </c>
      <c r="H27" s="273" t="s">
        <v>3462</v>
      </c>
      <c r="I27" s="720">
        <f t="shared" si="6"/>
        <v>22.55</v>
      </c>
      <c r="J27" s="756">
        <v>135.30000000000001</v>
      </c>
      <c r="K27" s="131">
        <f t="shared" si="7"/>
        <v>135.30000000000001</v>
      </c>
      <c r="L27" s="335">
        <f t="shared" si="10"/>
        <v>0</v>
      </c>
      <c r="M27" s="446"/>
      <c r="N27" s="446"/>
      <c r="O27" s="446"/>
      <c r="P27" s="446"/>
      <c r="Q27" s="110">
        <v>2</v>
      </c>
      <c r="R27" s="111">
        <f t="shared" si="2"/>
        <v>33.825000000000003</v>
      </c>
      <c r="S27" s="110"/>
      <c r="T27" s="110"/>
      <c r="U27" s="110">
        <v>2</v>
      </c>
      <c r="V27" s="111">
        <f t="shared" si="4"/>
        <v>33.825000000000003</v>
      </c>
      <c r="W27" s="110"/>
      <c r="X27" s="110"/>
      <c r="Y27" s="110"/>
      <c r="Z27" s="110"/>
      <c r="AA27" s="110">
        <v>1</v>
      </c>
      <c r="AB27" s="111">
        <f t="shared" si="11"/>
        <v>33.825000000000003</v>
      </c>
      <c r="AC27" s="110"/>
      <c r="AD27" s="110"/>
      <c r="AE27" s="110">
        <v>1</v>
      </c>
      <c r="AF27" s="111">
        <f t="shared" si="8"/>
        <v>33.825000000000003</v>
      </c>
      <c r="AG27" s="110"/>
      <c r="AH27" s="110"/>
      <c r="AI27" s="110"/>
      <c r="AJ27" s="110"/>
      <c r="AK27" s="111">
        <f t="shared" si="12"/>
        <v>135.30000000000001</v>
      </c>
      <c r="AL27" s="446">
        <f t="shared" si="13"/>
        <v>0</v>
      </c>
      <c r="AM27" s="110">
        <f t="shared" si="14"/>
        <v>6</v>
      </c>
      <c r="AN27" s="447">
        <f t="shared" si="9"/>
        <v>0</v>
      </c>
      <c r="AO27"/>
      <c r="AP27"/>
    </row>
    <row r="28" spans="1:42" ht="66" x14ac:dyDescent="0.25">
      <c r="A28" s="9"/>
      <c r="B28" s="34" t="s">
        <v>27</v>
      </c>
      <c r="C28" s="1024"/>
      <c r="D28" s="869">
        <v>4</v>
      </c>
      <c r="E28" s="1027" t="s">
        <v>1722</v>
      </c>
      <c r="F28" s="273" t="s">
        <v>3446</v>
      </c>
      <c r="G28" s="1040" t="s">
        <v>3463</v>
      </c>
      <c r="H28" s="273" t="s">
        <v>3462</v>
      </c>
      <c r="I28" s="720">
        <f t="shared" si="6"/>
        <v>38.49</v>
      </c>
      <c r="J28" s="756">
        <v>153.96</v>
      </c>
      <c r="K28" s="131">
        <f t="shared" si="7"/>
        <v>153.96</v>
      </c>
      <c r="L28" s="335">
        <f t="shared" si="10"/>
        <v>0</v>
      </c>
      <c r="M28" s="446"/>
      <c r="N28" s="446"/>
      <c r="O28" s="446"/>
      <c r="P28" s="446"/>
      <c r="Q28" s="110">
        <f t="shared" si="1"/>
        <v>1</v>
      </c>
      <c r="R28" s="111">
        <f t="shared" si="2"/>
        <v>38.49</v>
      </c>
      <c r="S28" s="110"/>
      <c r="T28" s="110"/>
      <c r="U28" s="110">
        <f t="shared" si="3"/>
        <v>1</v>
      </c>
      <c r="V28" s="111">
        <f t="shared" si="4"/>
        <v>38.49</v>
      </c>
      <c r="W28" s="110"/>
      <c r="X28" s="110"/>
      <c r="Y28" s="110"/>
      <c r="Z28" s="110"/>
      <c r="AA28" s="110">
        <f t="shared" si="5"/>
        <v>1</v>
      </c>
      <c r="AB28" s="111">
        <f t="shared" si="11"/>
        <v>38.49</v>
      </c>
      <c r="AC28" s="110"/>
      <c r="AD28" s="110"/>
      <c r="AE28" s="110">
        <f t="shared" si="5"/>
        <v>1</v>
      </c>
      <c r="AF28" s="111">
        <f t="shared" si="8"/>
        <v>38.49</v>
      </c>
      <c r="AG28" s="110"/>
      <c r="AH28" s="110"/>
      <c r="AI28" s="110"/>
      <c r="AJ28" s="110"/>
      <c r="AK28" s="111">
        <f t="shared" si="12"/>
        <v>153.96</v>
      </c>
      <c r="AL28" s="446">
        <f t="shared" si="13"/>
        <v>0</v>
      </c>
      <c r="AM28" s="110">
        <f t="shared" si="14"/>
        <v>4</v>
      </c>
      <c r="AN28" s="447">
        <f t="shared" si="9"/>
        <v>0</v>
      </c>
      <c r="AO28"/>
      <c r="AP28"/>
    </row>
    <row r="29" spans="1:42" ht="66" x14ac:dyDescent="0.25">
      <c r="A29" s="9"/>
      <c r="B29" s="121" t="s">
        <v>1401</v>
      </c>
      <c r="C29" s="1024"/>
      <c r="D29" s="869">
        <v>25</v>
      </c>
      <c r="E29" s="1027" t="s">
        <v>1722</v>
      </c>
      <c r="F29" s="273" t="s">
        <v>3446</v>
      </c>
      <c r="G29" s="1040" t="s">
        <v>3463</v>
      </c>
      <c r="H29" s="273" t="s">
        <v>3462</v>
      </c>
      <c r="I29" s="720">
        <f t="shared" si="6"/>
        <v>130</v>
      </c>
      <c r="J29" s="756">
        <v>3250</v>
      </c>
      <c r="K29" s="131">
        <f t="shared" si="7"/>
        <v>3250</v>
      </c>
      <c r="L29" s="335">
        <f t="shared" si="10"/>
        <v>0</v>
      </c>
      <c r="M29" s="446"/>
      <c r="N29" s="446"/>
      <c r="O29" s="446"/>
      <c r="P29" s="446"/>
      <c r="Q29" s="110">
        <v>7</v>
      </c>
      <c r="R29" s="111">
        <v>812.5</v>
      </c>
      <c r="S29" s="110"/>
      <c r="T29" s="110"/>
      <c r="U29" s="110">
        <v>6</v>
      </c>
      <c r="V29" s="111">
        <v>812.5</v>
      </c>
      <c r="W29" s="110"/>
      <c r="X29" s="110"/>
      <c r="Y29" s="110"/>
      <c r="Z29" s="110"/>
      <c r="AA29" s="110">
        <v>6</v>
      </c>
      <c r="AB29" s="111">
        <f t="shared" si="11"/>
        <v>812.5</v>
      </c>
      <c r="AC29" s="110"/>
      <c r="AD29" s="110"/>
      <c r="AE29" s="110">
        <v>6</v>
      </c>
      <c r="AF29" s="111">
        <f t="shared" si="8"/>
        <v>812.5</v>
      </c>
      <c r="AG29" s="110"/>
      <c r="AH29" s="110"/>
      <c r="AI29" s="110"/>
      <c r="AJ29" s="110"/>
      <c r="AK29" s="111">
        <f t="shared" si="12"/>
        <v>3250</v>
      </c>
      <c r="AL29" s="446">
        <f t="shared" si="13"/>
        <v>0</v>
      </c>
      <c r="AM29" s="110">
        <f t="shared" si="14"/>
        <v>25</v>
      </c>
      <c r="AN29" s="447">
        <f t="shared" si="9"/>
        <v>0</v>
      </c>
      <c r="AO29"/>
      <c r="AP29"/>
    </row>
    <row r="30" spans="1:42" ht="66" x14ac:dyDescent="0.25">
      <c r="A30" s="9"/>
      <c r="B30" s="34" t="s">
        <v>28</v>
      </c>
      <c r="C30" s="1024"/>
      <c r="D30" s="869">
        <f>4+3+2+2</f>
        <v>11</v>
      </c>
      <c r="E30" s="1027" t="s">
        <v>1721</v>
      </c>
      <c r="F30" s="273" t="s">
        <v>3446</v>
      </c>
      <c r="G30" s="1040" t="s">
        <v>3463</v>
      </c>
      <c r="H30" s="273" t="s">
        <v>3462</v>
      </c>
      <c r="I30" s="720">
        <f t="shared" si="6"/>
        <v>116.73090909090909</v>
      </c>
      <c r="J30" s="756">
        <f>434.34+349.87+284+215.83</f>
        <v>1284.04</v>
      </c>
      <c r="K30" s="131">
        <f t="shared" si="7"/>
        <v>1284.04</v>
      </c>
      <c r="L30" s="335">
        <f t="shared" si="10"/>
        <v>0</v>
      </c>
      <c r="M30" s="446"/>
      <c r="N30" s="446"/>
      <c r="O30" s="446"/>
      <c r="P30" s="446"/>
      <c r="Q30" s="110">
        <v>3</v>
      </c>
      <c r="R30" s="111">
        <f t="shared" si="2"/>
        <v>321.01</v>
      </c>
      <c r="S30" s="110"/>
      <c r="T30" s="110"/>
      <c r="U30" s="110">
        <v>3</v>
      </c>
      <c r="V30" s="111">
        <f t="shared" si="4"/>
        <v>321.01</v>
      </c>
      <c r="W30" s="110"/>
      <c r="X30" s="110"/>
      <c r="Y30" s="110"/>
      <c r="Z30" s="110"/>
      <c r="AA30" s="110">
        <v>3</v>
      </c>
      <c r="AB30" s="111">
        <f t="shared" si="11"/>
        <v>321.01</v>
      </c>
      <c r="AC30" s="110"/>
      <c r="AD30" s="110"/>
      <c r="AE30" s="110">
        <v>2</v>
      </c>
      <c r="AF30" s="111">
        <f t="shared" si="8"/>
        <v>321.01</v>
      </c>
      <c r="AG30" s="110"/>
      <c r="AH30" s="110"/>
      <c r="AI30" s="110"/>
      <c r="AJ30" s="110"/>
      <c r="AK30" s="111">
        <f t="shared" si="12"/>
        <v>1284.04</v>
      </c>
      <c r="AL30" s="446">
        <f t="shared" si="13"/>
        <v>0</v>
      </c>
      <c r="AM30" s="110">
        <f t="shared" si="14"/>
        <v>11</v>
      </c>
      <c r="AN30" s="447">
        <f t="shared" si="9"/>
        <v>0</v>
      </c>
      <c r="AO30"/>
      <c r="AP30"/>
    </row>
    <row r="31" spans="1:42" ht="66" x14ac:dyDescent="0.25">
      <c r="A31" s="9"/>
      <c r="B31" s="34" t="s">
        <v>1402</v>
      </c>
      <c r="C31" s="1024"/>
      <c r="D31" s="869">
        <f>2</f>
        <v>2</v>
      </c>
      <c r="E31" s="1027" t="s">
        <v>1721</v>
      </c>
      <c r="F31" s="273" t="s">
        <v>3446</v>
      </c>
      <c r="G31" s="1040" t="s">
        <v>3463</v>
      </c>
      <c r="H31" s="273" t="s">
        <v>3462</v>
      </c>
      <c r="I31" s="720">
        <f t="shared" si="6"/>
        <v>754</v>
      </c>
      <c r="J31" s="756">
        <f>1508</f>
        <v>1508</v>
      </c>
      <c r="K31" s="131">
        <f t="shared" si="7"/>
        <v>1508</v>
      </c>
      <c r="L31" s="335">
        <f t="shared" si="10"/>
        <v>0</v>
      </c>
      <c r="M31" s="446"/>
      <c r="N31" s="446"/>
      <c r="O31" s="446"/>
      <c r="P31" s="446"/>
      <c r="Q31" s="110">
        <v>1</v>
      </c>
      <c r="R31" s="111">
        <f t="shared" si="2"/>
        <v>377</v>
      </c>
      <c r="S31" s="110"/>
      <c r="T31" s="110"/>
      <c r="U31" s="110">
        <v>1</v>
      </c>
      <c r="V31" s="111">
        <f t="shared" si="4"/>
        <v>377</v>
      </c>
      <c r="W31" s="110"/>
      <c r="X31" s="110"/>
      <c r="Y31" s="110"/>
      <c r="Z31" s="110"/>
      <c r="AA31" s="110">
        <v>0</v>
      </c>
      <c r="AB31" s="111">
        <f t="shared" si="11"/>
        <v>377</v>
      </c>
      <c r="AC31" s="110"/>
      <c r="AD31" s="110"/>
      <c r="AE31" s="110">
        <v>0</v>
      </c>
      <c r="AF31" s="111">
        <f t="shared" si="8"/>
        <v>377</v>
      </c>
      <c r="AG31" s="110"/>
      <c r="AH31" s="110"/>
      <c r="AI31" s="110"/>
      <c r="AJ31" s="110"/>
      <c r="AK31" s="111">
        <f t="shared" si="12"/>
        <v>1508</v>
      </c>
      <c r="AL31" s="446">
        <f t="shared" si="13"/>
        <v>0</v>
      </c>
      <c r="AM31" s="110">
        <f t="shared" si="14"/>
        <v>2</v>
      </c>
      <c r="AN31" s="447">
        <f t="shared" si="9"/>
        <v>0</v>
      </c>
      <c r="AO31"/>
      <c r="AP31"/>
    </row>
    <row r="32" spans="1:42" ht="66" x14ac:dyDescent="0.25">
      <c r="A32" s="9"/>
      <c r="B32" s="34" t="s">
        <v>30</v>
      </c>
      <c r="C32" s="1024"/>
      <c r="D32" s="869">
        <f>1+8</f>
        <v>9</v>
      </c>
      <c r="E32" s="1027" t="s">
        <v>1721</v>
      </c>
      <c r="F32" s="273" t="s">
        <v>3446</v>
      </c>
      <c r="G32" s="1040" t="s">
        <v>3463</v>
      </c>
      <c r="H32" s="273" t="s">
        <v>3462</v>
      </c>
      <c r="I32" s="720">
        <f t="shared" si="6"/>
        <v>25.169999999999998</v>
      </c>
      <c r="J32" s="756">
        <f>20.89+205.64</f>
        <v>226.52999999999997</v>
      </c>
      <c r="K32" s="131">
        <f t="shared" si="7"/>
        <v>226.52999999999997</v>
      </c>
      <c r="L32" s="335">
        <f t="shared" si="10"/>
        <v>0</v>
      </c>
      <c r="M32" s="446"/>
      <c r="N32" s="446"/>
      <c r="O32" s="446"/>
      <c r="P32" s="446"/>
      <c r="Q32" s="110">
        <v>3</v>
      </c>
      <c r="R32" s="111">
        <f t="shared" si="2"/>
        <v>56.632499999999993</v>
      </c>
      <c r="S32" s="110"/>
      <c r="T32" s="110"/>
      <c r="U32" s="110">
        <v>2</v>
      </c>
      <c r="V32" s="111">
        <f t="shared" si="4"/>
        <v>56.632499999999993</v>
      </c>
      <c r="W32" s="110"/>
      <c r="X32" s="110"/>
      <c r="Y32" s="110"/>
      <c r="Z32" s="110"/>
      <c r="AA32" s="110">
        <v>2</v>
      </c>
      <c r="AB32" s="111">
        <f t="shared" si="11"/>
        <v>56.632499999999993</v>
      </c>
      <c r="AC32" s="110"/>
      <c r="AD32" s="110"/>
      <c r="AE32" s="110">
        <v>2</v>
      </c>
      <c r="AF32" s="111">
        <f t="shared" si="8"/>
        <v>56.632499999999993</v>
      </c>
      <c r="AG32" s="110"/>
      <c r="AH32" s="110"/>
      <c r="AI32" s="110"/>
      <c r="AJ32" s="110"/>
      <c r="AK32" s="111">
        <f t="shared" si="12"/>
        <v>226.52999999999997</v>
      </c>
      <c r="AL32" s="446">
        <f t="shared" si="13"/>
        <v>0</v>
      </c>
      <c r="AM32" s="110">
        <f t="shared" si="14"/>
        <v>9</v>
      </c>
      <c r="AN32" s="447">
        <f t="shared" si="9"/>
        <v>0</v>
      </c>
      <c r="AO32"/>
      <c r="AP32"/>
    </row>
    <row r="33" spans="1:42" ht="66" x14ac:dyDescent="0.25">
      <c r="A33" s="9"/>
      <c r="B33" s="34" t="s">
        <v>31</v>
      </c>
      <c r="C33" s="1024"/>
      <c r="D33" s="869">
        <f>300+8</f>
        <v>308</v>
      </c>
      <c r="E33" s="1027" t="s">
        <v>1725</v>
      </c>
      <c r="F33" s="273" t="s">
        <v>3446</v>
      </c>
      <c r="G33" s="1040" t="s">
        <v>3463</v>
      </c>
      <c r="H33" s="273" t="s">
        <v>3462</v>
      </c>
      <c r="I33" s="721">
        <f t="shared" si="6"/>
        <v>33.071590909090908</v>
      </c>
      <c r="J33" s="756">
        <f>9921.48+264.57</f>
        <v>10186.049999999999</v>
      </c>
      <c r="K33" s="131">
        <f t="shared" si="7"/>
        <v>10186.049999999999</v>
      </c>
      <c r="L33" s="335">
        <f t="shared" si="10"/>
        <v>0</v>
      </c>
      <c r="M33" s="446"/>
      <c r="N33" s="446"/>
      <c r="O33" s="446"/>
      <c r="P33" s="446"/>
      <c r="Q33" s="110">
        <f t="shared" si="1"/>
        <v>77</v>
      </c>
      <c r="R33" s="111">
        <f t="shared" si="2"/>
        <v>2546.5124999999998</v>
      </c>
      <c r="S33" s="110"/>
      <c r="T33" s="110"/>
      <c r="U33" s="110">
        <f t="shared" si="3"/>
        <v>77</v>
      </c>
      <c r="V33" s="111">
        <f t="shared" si="4"/>
        <v>2546.5124999999998</v>
      </c>
      <c r="W33" s="110"/>
      <c r="X33" s="110"/>
      <c r="Y33" s="110"/>
      <c r="Z33" s="110"/>
      <c r="AA33" s="110">
        <f t="shared" si="5"/>
        <v>77</v>
      </c>
      <c r="AB33" s="111">
        <f t="shared" si="11"/>
        <v>2546.5124999999998</v>
      </c>
      <c r="AC33" s="110"/>
      <c r="AD33" s="110"/>
      <c r="AE33" s="110">
        <f t="shared" si="5"/>
        <v>77</v>
      </c>
      <c r="AF33" s="111">
        <f t="shared" si="8"/>
        <v>2546.5124999999998</v>
      </c>
      <c r="AG33" s="110"/>
      <c r="AH33" s="110"/>
      <c r="AI33" s="110"/>
      <c r="AJ33" s="110"/>
      <c r="AK33" s="111">
        <f t="shared" si="12"/>
        <v>10186.049999999999</v>
      </c>
      <c r="AL33" s="446">
        <f t="shared" si="13"/>
        <v>0</v>
      </c>
      <c r="AM33" s="110">
        <f t="shared" si="14"/>
        <v>308</v>
      </c>
      <c r="AN33" s="447">
        <f t="shared" si="9"/>
        <v>0</v>
      </c>
      <c r="AO33"/>
      <c r="AP33"/>
    </row>
    <row r="34" spans="1:42" ht="66" x14ac:dyDescent="0.25">
      <c r="A34" s="9"/>
      <c r="B34" s="34" t="s">
        <v>32</v>
      </c>
      <c r="C34" s="1024"/>
      <c r="D34" s="869">
        <f>31+98+20+31</f>
        <v>180</v>
      </c>
      <c r="E34" s="1027" t="s">
        <v>1725</v>
      </c>
      <c r="F34" s="273" t="s">
        <v>3446</v>
      </c>
      <c r="G34" s="1040" t="s">
        <v>3463</v>
      </c>
      <c r="H34" s="273" t="s">
        <v>3462</v>
      </c>
      <c r="I34" s="720">
        <f t="shared" si="6"/>
        <v>15.872888888888887</v>
      </c>
      <c r="J34" s="756">
        <f>511.92+1600.14+431.69+518.87-205.5</f>
        <v>2857.12</v>
      </c>
      <c r="K34" s="131">
        <f t="shared" si="7"/>
        <v>2857.12</v>
      </c>
      <c r="L34" s="335">
        <f t="shared" si="10"/>
        <v>0</v>
      </c>
      <c r="M34" s="446"/>
      <c r="N34" s="446"/>
      <c r="O34" s="446"/>
      <c r="P34" s="446"/>
      <c r="Q34" s="110">
        <f t="shared" si="1"/>
        <v>45</v>
      </c>
      <c r="R34" s="111">
        <f t="shared" si="2"/>
        <v>714.28</v>
      </c>
      <c r="S34" s="110"/>
      <c r="T34" s="110"/>
      <c r="U34" s="110">
        <f t="shared" si="3"/>
        <v>45</v>
      </c>
      <c r="V34" s="111">
        <f t="shared" si="4"/>
        <v>714.28</v>
      </c>
      <c r="W34" s="110"/>
      <c r="X34" s="110"/>
      <c r="Y34" s="110"/>
      <c r="Z34" s="110"/>
      <c r="AA34" s="110">
        <f t="shared" si="5"/>
        <v>45</v>
      </c>
      <c r="AB34" s="111">
        <f t="shared" si="11"/>
        <v>714.28</v>
      </c>
      <c r="AC34" s="110"/>
      <c r="AD34" s="110"/>
      <c r="AE34" s="110">
        <f t="shared" si="5"/>
        <v>45</v>
      </c>
      <c r="AF34" s="111">
        <f t="shared" si="8"/>
        <v>714.28</v>
      </c>
      <c r="AG34" s="110"/>
      <c r="AH34" s="110"/>
      <c r="AI34" s="110"/>
      <c r="AJ34" s="110"/>
      <c r="AK34" s="111">
        <f t="shared" si="12"/>
        <v>2857.12</v>
      </c>
      <c r="AL34" s="446">
        <f t="shared" si="13"/>
        <v>0</v>
      </c>
      <c r="AM34" s="110">
        <f t="shared" si="14"/>
        <v>180</v>
      </c>
      <c r="AN34" s="447">
        <f t="shared" si="9"/>
        <v>0</v>
      </c>
      <c r="AO34"/>
      <c r="AP34"/>
    </row>
    <row r="35" spans="1:42" ht="66" x14ac:dyDescent="0.25">
      <c r="A35" s="9"/>
      <c r="B35" s="34" t="s">
        <v>33</v>
      </c>
      <c r="C35" s="1024"/>
      <c r="D35" s="869">
        <f>6</f>
        <v>6</v>
      </c>
      <c r="E35" s="1027" t="s">
        <v>1725</v>
      </c>
      <c r="F35" s="273" t="s">
        <v>3446</v>
      </c>
      <c r="G35" s="1040" t="s">
        <v>3463</v>
      </c>
      <c r="H35" s="273" t="s">
        <v>3462</v>
      </c>
      <c r="I35" s="720">
        <f t="shared" si="6"/>
        <v>72.62833333333333</v>
      </c>
      <c r="J35" s="756">
        <f>435.77</f>
        <v>435.77</v>
      </c>
      <c r="K35" s="131">
        <f t="shared" si="7"/>
        <v>435.77</v>
      </c>
      <c r="L35" s="335">
        <f t="shared" si="10"/>
        <v>0</v>
      </c>
      <c r="M35" s="446"/>
      <c r="N35" s="446"/>
      <c r="O35" s="446"/>
      <c r="P35" s="446"/>
      <c r="Q35" s="110">
        <v>2</v>
      </c>
      <c r="R35" s="111">
        <f t="shared" si="2"/>
        <v>108.9425</v>
      </c>
      <c r="S35" s="110"/>
      <c r="T35" s="110"/>
      <c r="U35" s="110">
        <v>2</v>
      </c>
      <c r="V35" s="111">
        <f t="shared" si="4"/>
        <v>108.9425</v>
      </c>
      <c r="W35" s="110"/>
      <c r="X35" s="110"/>
      <c r="Y35" s="110"/>
      <c r="Z35" s="110"/>
      <c r="AA35" s="110">
        <v>1</v>
      </c>
      <c r="AB35" s="111">
        <f t="shared" si="11"/>
        <v>108.9425</v>
      </c>
      <c r="AC35" s="110"/>
      <c r="AD35" s="110"/>
      <c r="AE35" s="110">
        <v>1</v>
      </c>
      <c r="AF35" s="111">
        <f t="shared" si="8"/>
        <v>108.9425</v>
      </c>
      <c r="AG35" s="110"/>
      <c r="AH35" s="110"/>
      <c r="AI35" s="110"/>
      <c r="AJ35" s="110"/>
      <c r="AK35" s="111">
        <f t="shared" si="12"/>
        <v>435.77</v>
      </c>
      <c r="AL35" s="446">
        <f t="shared" si="13"/>
        <v>0</v>
      </c>
      <c r="AM35" s="110">
        <f t="shared" si="14"/>
        <v>6</v>
      </c>
      <c r="AN35" s="447">
        <f t="shared" si="9"/>
        <v>0</v>
      </c>
      <c r="AO35"/>
      <c r="AP35"/>
    </row>
    <row r="36" spans="1:42" ht="66" x14ac:dyDescent="0.25">
      <c r="A36" s="11"/>
      <c r="B36" s="34" t="s">
        <v>34</v>
      </c>
      <c r="C36" s="1024"/>
      <c r="D36" s="869">
        <f>29+62</f>
        <v>91</v>
      </c>
      <c r="E36" s="1027" t="s">
        <v>1725</v>
      </c>
      <c r="F36" s="273" t="s">
        <v>3446</v>
      </c>
      <c r="G36" s="1040" t="s">
        <v>3463</v>
      </c>
      <c r="H36" s="273" t="s">
        <v>3462</v>
      </c>
      <c r="I36" s="720">
        <f t="shared" si="6"/>
        <v>38.92934065934066</v>
      </c>
      <c r="J36" s="756">
        <f>225.28+3408.97-91.68</f>
        <v>3542.57</v>
      </c>
      <c r="K36" s="131">
        <f t="shared" si="7"/>
        <v>3542.57</v>
      </c>
      <c r="L36" s="335">
        <f t="shared" si="10"/>
        <v>0</v>
      </c>
      <c r="M36" s="446"/>
      <c r="N36" s="446"/>
      <c r="O36" s="446"/>
      <c r="P36" s="446"/>
      <c r="Q36" s="110">
        <v>23</v>
      </c>
      <c r="R36" s="111">
        <f t="shared" si="2"/>
        <v>885.64250000000004</v>
      </c>
      <c r="S36" s="110"/>
      <c r="T36" s="110"/>
      <c r="U36" s="110">
        <v>23</v>
      </c>
      <c r="V36" s="111">
        <f t="shared" si="4"/>
        <v>885.64250000000004</v>
      </c>
      <c r="W36" s="110"/>
      <c r="X36" s="110"/>
      <c r="Y36" s="110"/>
      <c r="Z36" s="110"/>
      <c r="AA36" s="110">
        <v>23</v>
      </c>
      <c r="AB36" s="111">
        <f t="shared" si="11"/>
        <v>885.64250000000004</v>
      </c>
      <c r="AC36" s="110"/>
      <c r="AD36" s="110"/>
      <c r="AE36" s="110">
        <v>22</v>
      </c>
      <c r="AF36" s="111">
        <f t="shared" si="8"/>
        <v>885.64250000000004</v>
      </c>
      <c r="AG36" s="110"/>
      <c r="AH36" s="110"/>
      <c r="AI36" s="110"/>
      <c r="AJ36" s="110"/>
      <c r="AK36" s="111">
        <f t="shared" si="12"/>
        <v>3542.57</v>
      </c>
      <c r="AL36" s="446">
        <f t="shared" si="13"/>
        <v>0</v>
      </c>
      <c r="AM36" s="110">
        <f t="shared" si="14"/>
        <v>91</v>
      </c>
      <c r="AN36" s="447">
        <f t="shared" si="9"/>
        <v>0</v>
      </c>
      <c r="AO36"/>
      <c r="AP36"/>
    </row>
    <row r="37" spans="1:42" ht="66" x14ac:dyDescent="0.25">
      <c r="A37" s="11"/>
      <c r="B37" s="34" t="s">
        <v>35</v>
      </c>
      <c r="C37" s="1024"/>
      <c r="D37" s="869">
        <f>40+100+210+75</f>
        <v>425</v>
      </c>
      <c r="E37" s="1027" t="s">
        <v>1725</v>
      </c>
      <c r="F37" s="273" t="s">
        <v>3446</v>
      </c>
      <c r="G37" s="1040" t="s">
        <v>3463</v>
      </c>
      <c r="H37" s="273" t="s">
        <v>3462</v>
      </c>
      <c r="I37" s="720">
        <f t="shared" si="6"/>
        <v>19.05830588235294</v>
      </c>
      <c r="J37" s="756">
        <f>624.56+1616.63+4941.37+1040.52-123.3</f>
        <v>8099.78</v>
      </c>
      <c r="K37" s="131">
        <f t="shared" si="7"/>
        <v>8099.78</v>
      </c>
      <c r="L37" s="335">
        <f t="shared" si="10"/>
        <v>0</v>
      </c>
      <c r="M37" s="446"/>
      <c r="N37" s="446"/>
      <c r="O37" s="446"/>
      <c r="P37" s="446"/>
      <c r="Q37" s="110">
        <v>107</v>
      </c>
      <c r="R37" s="111">
        <f t="shared" si="2"/>
        <v>2024.9449999999999</v>
      </c>
      <c r="S37" s="110"/>
      <c r="T37" s="110"/>
      <c r="U37" s="110">
        <v>106</v>
      </c>
      <c r="V37" s="111">
        <f t="shared" si="4"/>
        <v>2024.9449999999999</v>
      </c>
      <c r="W37" s="110"/>
      <c r="X37" s="110"/>
      <c r="Y37" s="110"/>
      <c r="Z37" s="110"/>
      <c r="AA37" s="110">
        <v>106</v>
      </c>
      <c r="AB37" s="111">
        <f t="shared" si="11"/>
        <v>2024.9449999999999</v>
      </c>
      <c r="AC37" s="110"/>
      <c r="AD37" s="110"/>
      <c r="AE37" s="110">
        <v>106</v>
      </c>
      <c r="AF37" s="111">
        <f t="shared" si="8"/>
        <v>2024.9449999999999</v>
      </c>
      <c r="AG37" s="110"/>
      <c r="AH37" s="110"/>
      <c r="AI37" s="110"/>
      <c r="AJ37" s="110"/>
      <c r="AK37" s="111">
        <f t="shared" si="12"/>
        <v>8099.78</v>
      </c>
      <c r="AL37" s="446">
        <f t="shared" si="13"/>
        <v>0</v>
      </c>
      <c r="AM37" s="110">
        <f t="shared" si="14"/>
        <v>425</v>
      </c>
      <c r="AN37" s="447">
        <f t="shared" si="9"/>
        <v>0</v>
      </c>
      <c r="AO37"/>
      <c r="AP37"/>
    </row>
    <row r="38" spans="1:42" ht="66" x14ac:dyDescent="0.25">
      <c r="A38" s="9"/>
      <c r="B38" s="34" t="s">
        <v>1403</v>
      </c>
      <c r="C38" s="1024"/>
      <c r="D38" s="869">
        <f>2+1</f>
        <v>3</v>
      </c>
      <c r="E38" s="1027" t="s">
        <v>1725</v>
      </c>
      <c r="F38" s="273" t="s">
        <v>3446</v>
      </c>
      <c r="G38" s="1040" t="s">
        <v>3463</v>
      </c>
      <c r="H38" s="273" t="s">
        <v>3462</v>
      </c>
      <c r="I38" s="720">
        <f t="shared" si="6"/>
        <v>168.40333333333334</v>
      </c>
      <c r="J38" s="756">
        <f>266+239.21</f>
        <v>505.21000000000004</v>
      </c>
      <c r="K38" s="131">
        <f t="shared" si="7"/>
        <v>505.21000000000004</v>
      </c>
      <c r="L38" s="335">
        <f t="shared" si="10"/>
        <v>0</v>
      </c>
      <c r="M38" s="446"/>
      <c r="N38" s="446"/>
      <c r="O38" s="446"/>
      <c r="P38" s="446"/>
      <c r="Q38" s="110">
        <v>1</v>
      </c>
      <c r="R38" s="111">
        <f t="shared" si="2"/>
        <v>126.30250000000001</v>
      </c>
      <c r="S38" s="110"/>
      <c r="T38" s="110"/>
      <c r="U38" s="110">
        <v>1</v>
      </c>
      <c r="V38" s="111">
        <f t="shared" si="4"/>
        <v>126.30250000000001</v>
      </c>
      <c r="W38" s="110"/>
      <c r="X38" s="110"/>
      <c r="Y38" s="110"/>
      <c r="Z38" s="110"/>
      <c r="AA38" s="110">
        <v>1</v>
      </c>
      <c r="AB38" s="111">
        <f t="shared" si="11"/>
        <v>126.30250000000001</v>
      </c>
      <c r="AC38" s="110"/>
      <c r="AD38" s="110"/>
      <c r="AE38" s="110">
        <v>0</v>
      </c>
      <c r="AF38" s="111">
        <f t="shared" si="8"/>
        <v>126.30250000000001</v>
      </c>
      <c r="AG38" s="110"/>
      <c r="AH38" s="110"/>
      <c r="AI38" s="110"/>
      <c r="AJ38" s="110"/>
      <c r="AK38" s="111">
        <f t="shared" si="12"/>
        <v>505.21000000000004</v>
      </c>
      <c r="AL38" s="446">
        <f t="shared" si="13"/>
        <v>0</v>
      </c>
      <c r="AM38" s="110">
        <f t="shared" si="14"/>
        <v>3</v>
      </c>
      <c r="AN38" s="447">
        <f t="shared" si="9"/>
        <v>0</v>
      </c>
      <c r="AO38"/>
      <c r="AP38"/>
    </row>
    <row r="39" spans="1:42" ht="66" x14ac:dyDescent="0.25">
      <c r="A39" s="9"/>
      <c r="B39" s="34" t="s">
        <v>36</v>
      </c>
      <c r="C39" s="1024"/>
      <c r="D39" s="869">
        <f>1+3+1</f>
        <v>5</v>
      </c>
      <c r="E39" s="1027" t="s">
        <v>1721</v>
      </c>
      <c r="F39" s="273" t="s">
        <v>3446</v>
      </c>
      <c r="G39" s="1040" t="s">
        <v>3463</v>
      </c>
      <c r="H39" s="273" t="s">
        <v>3462</v>
      </c>
      <c r="I39" s="720">
        <f t="shared" si="6"/>
        <v>1742.4860000000001</v>
      </c>
      <c r="J39" s="756">
        <f>1392+6064+1256.43</f>
        <v>8712.43</v>
      </c>
      <c r="K39" s="131">
        <f t="shared" si="7"/>
        <v>8712.43</v>
      </c>
      <c r="L39" s="335">
        <f t="shared" si="10"/>
        <v>0</v>
      </c>
      <c r="M39" s="446"/>
      <c r="N39" s="446"/>
      <c r="O39" s="446"/>
      <c r="P39" s="446"/>
      <c r="Q39" s="110">
        <v>2</v>
      </c>
      <c r="R39" s="111">
        <f t="shared" si="2"/>
        <v>2178.1075000000001</v>
      </c>
      <c r="S39" s="110"/>
      <c r="T39" s="110"/>
      <c r="U39" s="110">
        <v>1</v>
      </c>
      <c r="V39" s="111">
        <f t="shared" si="4"/>
        <v>2178.1075000000001</v>
      </c>
      <c r="W39" s="110"/>
      <c r="X39" s="110"/>
      <c r="Y39" s="110"/>
      <c r="Z39" s="110"/>
      <c r="AA39" s="110">
        <v>1</v>
      </c>
      <c r="AB39" s="111">
        <f t="shared" si="11"/>
        <v>2178.1075000000001</v>
      </c>
      <c r="AC39" s="110"/>
      <c r="AD39" s="110"/>
      <c r="AE39" s="110">
        <v>1</v>
      </c>
      <c r="AF39" s="111">
        <f t="shared" si="8"/>
        <v>2178.1075000000001</v>
      </c>
      <c r="AG39" s="110"/>
      <c r="AH39" s="110"/>
      <c r="AI39" s="110"/>
      <c r="AJ39" s="110"/>
      <c r="AK39" s="111">
        <f t="shared" si="12"/>
        <v>8712.43</v>
      </c>
      <c r="AL39" s="446">
        <f t="shared" si="13"/>
        <v>0</v>
      </c>
      <c r="AM39" s="110">
        <f t="shared" si="14"/>
        <v>5</v>
      </c>
      <c r="AN39" s="447">
        <f t="shared" si="9"/>
        <v>0</v>
      </c>
      <c r="AO39"/>
      <c r="AP39"/>
    </row>
    <row r="40" spans="1:42" ht="66" x14ac:dyDescent="0.25">
      <c r="A40" s="11"/>
      <c r="B40" s="34" t="s">
        <v>37</v>
      </c>
      <c r="C40" s="1024"/>
      <c r="D40" s="869">
        <f>2+6+15</f>
        <v>23</v>
      </c>
      <c r="E40" s="1027" t="s">
        <v>1721</v>
      </c>
      <c r="F40" s="273" t="s">
        <v>3446</v>
      </c>
      <c r="G40" s="1040" t="s">
        <v>3463</v>
      </c>
      <c r="H40" s="273" t="s">
        <v>3462</v>
      </c>
      <c r="I40" s="720">
        <f t="shared" si="6"/>
        <v>36.024782608695652</v>
      </c>
      <c r="J40" s="756">
        <f>55.7+194.15+578.72</f>
        <v>828.57</v>
      </c>
      <c r="K40" s="131">
        <f t="shared" si="7"/>
        <v>828.57</v>
      </c>
      <c r="L40" s="335">
        <f t="shared" si="10"/>
        <v>0</v>
      </c>
      <c r="M40" s="446"/>
      <c r="N40" s="446"/>
      <c r="O40" s="446"/>
      <c r="P40" s="446"/>
      <c r="Q40" s="110">
        <v>6</v>
      </c>
      <c r="R40" s="111">
        <f t="shared" si="2"/>
        <v>207.14250000000001</v>
      </c>
      <c r="S40" s="110"/>
      <c r="T40" s="110"/>
      <c r="U40" s="110">
        <v>6</v>
      </c>
      <c r="V40" s="111">
        <f t="shared" si="4"/>
        <v>207.14250000000001</v>
      </c>
      <c r="W40" s="110"/>
      <c r="X40" s="110"/>
      <c r="Y40" s="110"/>
      <c r="Z40" s="110"/>
      <c r="AA40" s="110">
        <v>6</v>
      </c>
      <c r="AB40" s="111">
        <f t="shared" si="11"/>
        <v>207.14250000000001</v>
      </c>
      <c r="AC40" s="110"/>
      <c r="AD40" s="110"/>
      <c r="AE40" s="110">
        <v>5</v>
      </c>
      <c r="AF40" s="111">
        <f t="shared" si="8"/>
        <v>207.14250000000001</v>
      </c>
      <c r="AG40" s="110"/>
      <c r="AH40" s="110"/>
      <c r="AI40" s="110"/>
      <c r="AJ40" s="110"/>
      <c r="AK40" s="111">
        <f t="shared" si="12"/>
        <v>828.57</v>
      </c>
      <c r="AL40" s="446">
        <f t="shared" si="13"/>
        <v>0</v>
      </c>
      <c r="AM40" s="110">
        <f t="shared" si="14"/>
        <v>23</v>
      </c>
      <c r="AN40" s="447">
        <f t="shared" si="9"/>
        <v>0</v>
      </c>
      <c r="AO40"/>
      <c r="AP40"/>
    </row>
    <row r="41" spans="1:42" ht="66" x14ac:dyDescent="0.25">
      <c r="A41" s="9"/>
      <c r="B41" s="34" t="s">
        <v>39</v>
      </c>
      <c r="C41" s="1024"/>
      <c r="D41" s="869">
        <f>55+8</f>
        <v>63</v>
      </c>
      <c r="E41" s="1027" t="s">
        <v>1721</v>
      </c>
      <c r="F41" s="273" t="s">
        <v>3446</v>
      </c>
      <c r="G41" s="1040" t="s">
        <v>3463</v>
      </c>
      <c r="H41" s="273" t="s">
        <v>3462</v>
      </c>
      <c r="I41" s="720">
        <f t="shared" si="6"/>
        <v>12.353968253968254</v>
      </c>
      <c r="J41" s="756">
        <f>679.47+98.83</f>
        <v>778.30000000000007</v>
      </c>
      <c r="K41" s="131">
        <f t="shared" si="7"/>
        <v>778.30000000000007</v>
      </c>
      <c r="L41" s="335">
        <f t="shared" si="10"/>
        <v>0</v>
      </c>
      <c r="M41" s="446"/>
      <c r="N41" s="446"/>
      <c r="O41" s="446"/>
      <c r="P41" s="446"/>
      <c r="Q41" s="110">
        <v>16</v>
      </c>
      <c r="R41" s="111">
        <f t="shared" si="2"/>
        <v>194.57500000000002</v>
      </c>
      <c r="S41" s="110"/>
      <c r="T41" s="110"/>
      <c r="U41" s="110">
        <v>16</v>
      </c>
      <c r="V41" s="111">
        <f t="shared" si="4"/>
        <v>194.57500000000002</v>
      </c>
      <c r="W41" s="110"/>
      <c r="X41" s="110"/>
      <c r="Y41" s="110"/>
      <c r="Z41" s="110"/>
      <c r="AA41" s="110">
        <v>16</v>
      </c>
      <c r="AB41" s="111">
        <f t="shared" si="11"/>
        <v>194.57500000000002</v>
      </c>
      <c r="AC41" s="110"/>
      <c r="AD41" s="110"/>
      <c r="AE41" s="110">
        <v>15</v>
      </c>
      <c r="AF41" s="111">
        <f t="shared" si="8"/>
        <v>194.57500000000002</v>
      </c>
      <c r="AG41" s="110"/>
      <c r="AH41" s="110"/>
      <c r="AI41" s="110"/>
      <c r="AJ41" s="110"/>
      <c r="AK41" s="111">
        <f t="shared" si="12"/>
        <v>778.30000000000007</v>
      </c>
      <c r="AL41" s="446">
        <f t="shared" si="13"/>
        <v>0</v>
      </c>
      <c r="AM41" s="110">
        <f t="shared" si="14"/>
        <v>63</v>
      </c>
      <c r="AN41" s="447">
        <f t="shared" si="9"/>
        <v>0</v>
      </c>
      <c r="AO41"/>
      <c r="AP41"/>
    </row>
    <row r="42" spans="1:42" ht="66" x14ac:dyDescent="0.25">
      <c r="A42" s="9"/>
      <c r="B42" s="34" t="s">
        <v>40</v>
      </c>
      <c r="C42" s="1024"/>
      <c r="D42" s="869">
        <f>18+35+8+6</f>
        <v>67</v>
      </c>
      <c r="E42" s="1027" t="s">
        <v>1721</v>
      </c>
      <c r="F42" s="273" t="s">
        <v>3446</v>
      </c>
      <c r="G42" s="1040" t="s">
        <v>3463</v>
      </c>
      <c r="H42" s="273" t="s">
        <v>3462</v>
      </c>
      <c r="I42" s="720">
        <f t="shared" si="6"/>
        <v>14.535970149253732</v>
      </c>
      <c r="J42" s="756">
        <f>325.95+673.82+107.18-133.04</f>
        <v>973.91000000000008</v>
      </c>
      <c r="K42" s="131">
        <f t="shared" si="7"/>
        <v>973.91000000000008</v>
      </c>
      <c r="L42" s="335">
        <f t="shared" si="10"/>
        <v>0</v>
      </c>
      <c r="M42" s="446"/>
      <c r="N42" s="446"/>
      <c r="O42" s="446"/>
      <c r="P42" s="446"/>
      <c r="Q42" s="110">
        <v>17</v>
      </c>
      <c r="R42" s="111">
        <f t="shared" si="2"/>
        <v>243.47750000000002</v>
      </c>
      <c r="S42" s="110"/>
      <c r="T42" s="110"/>
      <c r="U42" s="110">
        <v>17</v>
      </c>
      <c r="V42" s="111">
        <f t="shared" si="4"/>
        <v>243.47750000000002</v>
      </c>
      <c r="W42" s="110"/>
      <c r="X42" s="110"/>
      <c r="Y42" s="110"/>
      <c r="Z42" s="110"/>
      <c r="AA42" s="110">
        <v>17</v>
      </c>
      <c r="AB42" s="111">
        <f t="shared" si="11"/>
        <v>243.47750000000002</v>
      </c>
      <c r="AC42" s="110"/>
      <c r="AD42" s="110"/>
      <c r="AE42" s="110">
        <v>16</v>
      </c>
      <c r="AF42" s="111">
        <f t="shared" si="8"/>
        <v>243.47750000000002</v>
      </c>
      <c r="AG42" s="110"/>
      <c r="AH42" s="110"/>
      <c r="AI42" s="110"/>
      <c r="AJ42" s="110"/>
      <c r="AK42" s="111">
        <f t="shared" si="12"/>
        <v>973.91000000000008</v>
      </c>
      <c r="AL42" s="446">
        <f t="shared" si="13"/>
        <v>0</v>
      </c>
      <c r="AM42" s="110">
        <f t="shared" si="14"/>
        <v>67</v>
      </c>
      <c r="AN42" s="447">
        <f t="shared" si="9"/>
        <v>0</v>
      </c>
      <c r="AO42"/>
      <c r="AP42"/>
    </row>
    <row r="43" spans="1:42" ht="66" x14ac:dyDescent="0.25">
      <c r="A43" s="9"/>
      <c r="B43" s="34" t="s">
        <v>41</v>
      </c>
      <c r="C43" s="1024"/>
      <c r="D43" s="869">
        <f>4</f>
        <v>4</v>
      </c>
      <c r="E43" s="1027" t="s">
        <v>1722</v>
      </c>
      <c r="F43" s="273" t="s">
        <v>3446</v>
      </c>
      <c r="G43" s="1040" t="s">
        <v>3463</v>
      </c>
      <c r="H43" s="273" t="s">
        <v>3462</v>
      </c>
      <c r="I43" s="720">
        <f t="shared" si="6"/>
        <v>256.25</v>
      </c>
      <c r="J43" s="756">
        <f>1025</f>
        <v>1025</v>
      </c>
      <c r="K43" s="131">
        <f t="shared" si="7"/>
        <v>1025</v>
      </c>
      <c r="L43" s="335">
        <f t="shared" si="10"/>
        <v>0</v>
      </c>
      <c r="M43" s="446"/>
      <c r="N43" s="446"/>
      <c r="O43" s="446"/>
      <c r="P43" s="446"/>
      <c r="Q43" s="110">
        <f t="shared" si="1"/>
        <v>1</v>
      </c>
      <c r="R43" s="111">
        <f t="shared" si="2"/>
        <v>256.25</v>
      </c>
      <c r="S43" s="110"/>
      <c r="T43" s="110"/>
      <c r="U43" s="110">
        <f t="shared" si="3"/>
        <v>1</v>
      </c>
      <c r="V43" s="111">
        <f t="shared" si="4"/>
        <v>256.25</v>
      </c>
      <c r="W43" s="110"/>
      <c r="X43" s="110"/>
      <c r="Y43" s="110"/>
      <c r="Z43" s="110"/>
      <c r="AA43" s="110">
        <f t="shared" si="5"/>
        <v>1</v>
      </c>
      <c r="AB43" s="111">
        <f t="shared" si="11"/>
        <v>256.25</v>
      </c>
      <c r="AC43" s="110"/>
      <c r="AD43" s="110"/>
      <c r="AE43" s="110">
        <f t="shared" si="5"/>
        <v>1</v>
      </c>
      <c r="AF43" s="111">
        <f t="shared" si="8"/>
        <v>256.25</v>
      </c>
      <c r="AG43" s="110"/>
      <c r="AH43" s="110"/>
      <c r="AI43" s="110"/>
      <c r="AJ43" s="110"/>
      <c r="AK43" s="111">
        <f t="shared" si="12"/>
        <v>1025</v>
      </c>
      <c r="AL43" s="446">
        <f t="shared" si="13"/>
        <v>0</v>
      </c>
      <c r="AM43" s="110">
        <f t="shared" si="14"/>
        <v>4</v>
      </c>
      <c r="AN43" s="447">
        <f t="shared" si="9"/>
        <v>0</v>
      </c>
      <c r="AO43"/>
      <c r="AP43"/>
    </row>
    <row r="44" spans="1:42" ht="66" x14ac:dyDescent="0.25">
      <c r="A44" s="11"/>
      <c r="B44" s="34" t="s">
        <v>42</v>
      </c>
      <c r="C44" s="1024"/>
      <c r="D44" s="869">
        <f>5</f>
        <v>5</v>
      </c>
      <c r="E44" s="1027" t="s">
        <v>1721</v>
      </c>
      <c r="F44" s="273" t="s">
        <v>3446</v>
      </c>
      <c r="G44" s="1040" t="s">
        <v>3463</v>
      </c>
      <c r="H44" s="273" t="s">
        <v>3462</v>
      </c>
      <c r="I44" s="720">
        <f t="shared" si="6"/>
        <v>30.322000000000003</v>
      </c>
      <c r="J44" s="756">
        <f>151.61</f>
        <v>151.61000000000001</v>
      </c>
      <c r="K44" s="131">
        <f t="shared" si="7"/>
        <v>151.61000000000001</v>
      </c>
      <c r="L44" s="335">
        <f t="shared" si="10"/>
        <v>0</v>
      </c>
      <c r="M44" s="446"/>
      <c r="N44" s="446"/>
      <c r="O44" s="446"/>
      <c r="P44" s="446"/>
      <c r="Q44" s="110">
        <v>2</v>
      </c>
      <c r="R44" s="111">
        <f t="shared" si="2"/>
        <v>37.902500000000003</v>
      </c>
      <c r="S44" s="110"/>
      <c r="T44" s="110"/>
      <c r="U44" s="110">
        <v>1</v>
      </c>
      <c r="V44" s="111">
        <f t="shared" si="4"/>
        <v>37.902500000000003</v>
      </c>
      <c r="W44" s="110"/>
      <c r="X44" s="110"/>
      <c r="Y44" s="110"/>
      <c r="Z44" s="110"/>
      <c r="AA44" s="110">
        <v>1</v>
      </c>
      <c r="AB44" s="111">
        <f t="shared" si="11"/>
        <v>37.902500000000003</v>
      </c>
      <c r="AC44" s="110"/>
      <c r="AD44" s="110"/>
      <c r="AE44" s="110">
        <v>1</v>
      </c>
      <c r="AF44" s="111">
        <f t="shared" si="8"/>
        <v>37.902500000000003</v>
      </c>
      <c r="AG44" s="110"/>
      <c r="AH44" s="110"/>
      <c r="AI44" s="110"/>
      <c r="AJ44" s="110"/>
      <c r="AK44" s="111">
        <f t="shared" si="12"/>
        <v>151.61000000000001</v>
      </c>
      <c r="AL44" s="446">
        <f t="shared" si="13"/>
        <v>0</v>
      </c>
      <c r="AM44" s="110">
        <f t="shared" si="14"/>
        <v>5</v>
      </c>
      <c r="AN44" s="447">
        <f t="shared" si="9"/>
        <v>0</v>
      </c>
      <c r="AO44"/>
      <c r="AP44"/>
    </row>
    <row r="45" spans="1:42" ht="66" x14ac:dyDescent="0.25">
      <c r="A45" s="9"/>
      <c r="B45" s="34" t="s">
        <v>43</v>
      </c>
      <c r="C45" s="1024"/>
      <c r="D45" s="869">
        <f>29+12+12+9</f>
        <v>62</v>
      </c>
      <c r="E45" s="1027" t="s">
        <v>1722</v>
      </c>
      <c r="F45" s="273" t="s">
        <v>3446</v>
      </c>
      <c r="G45" s="1040" t="s">
        <v>3463</v>
      </c>
      <c r="H45" s="273" t="s">
        <v>3462</v>
      </c>
      <c r="I45" s="720">
        <f t="shared" si="6"/>
        <v>75.330645161290334</v>
      </c>
      <c r="J45" s="756">
        <f>517.79+160.9+159.53+4082.76-250.48</f>
        <v>4670.5000000000009</v>
      </c>
      <c r="K45" s="131">
        <f t="shared" si="7"/>
        <v>4670.5000000000009</v>
      </c>
      <c r="L45" s="335">
        <f t="shared" si="10"/>
        <v>0</v>
      </c>
      <c r="M45" s="446"/>
      <c r="N45" s="446"/>
      <c r="O45" s="446"/>
      <c r="P45" s="446"/>
      <c r="Q45" s="110">
        <v>16</v>
      </c>
      <c r="R45" s="111">
        <f t="shared" si="2"/>
        <v>1167.6250000000002</v>
      </c>
      <c r="S45" s="110"/>
      <c r="T45" s="110"/>
      <c r="U45" s="110">
        <v>16</v>
      </c>
      <c r="V45" s="111">
        <f t="shared" si="4"/>
        <v>1167.6250000000002</v>
      </c>
      <c r="W45" s="110"/>
      <c r="X45" s="110"/>
      <c r="Y45" s="110"/>
      <c r="Z45" s="110"/>
      <c r="AA45" s="110">
        <v>15</v>
      </c>
      <c r="AB45" s="111">
        <f t="shared" si="11"/>
        <v>1167.6250000000002</v>
      </c>
      <c r="AC45" s="110"/>
      <c r="AD45" s="110"/>
      <c r="AE45" s="110">
        <v>15</v>
      </c>
      <c r="AF45" s="111">
        <f t="shared" si="8"/>
        <v>1167.6250000000002</v>
      </c>
      <c r="AG45" s="110"/>
      <c r="AH45" s="110"/>
      <c r="AI45" s="110"/>
      <c r="AJ45" s="110"/>
      <c r="AK45" s="111">
        <f t="shared" si="12"/>
        <v>4670.5000000000009</v>
      </c>
      <c r="AL45" s="446">
        <f t="shared" si="13"/>
        <v>0</v>
      </c>
      <c r="AM45" s="110">
        <f t="shared" si="14"/>
        <v>62</v>
      </c>
      <c r="AN45" s="447">
        <f t="shared" si="9"/>
        <v>0</v>
      </c>
      <c r="AO45"/>
      <c r="AP45"/>
    </row>
    <row r="46" spans="1:42" ht="66" x14ac:dyDescent="0.25">
      <c r="A46" s="9"/>
      <c r="B46" s="34" t="s">
        <v>44</v>
      </c>
      <c r="C46" s="1024"/>
      <c r="D46" s="869">
        <f>11+51+267</f>
        <v>329</v>
      </c>
      <c r="E46" s="1027" t="s">
        <v>1721</v>
      </c>
      <c r="F46" s="273" t="s">
        <v>3446</v>
      </c>
      <c r="G46" s="1040" t="s">
        <v>3463</v>
      </c>
      <c r="H46" s="273" t="s">
        <v>3462</v>
      </c>
      <c r="I46" s="720">
        <f t="shared" si="6"/>
        <v>4.1106990881458962</v>
      </c>
      <c r="J46" s="756">
        <f>115.66+658.62+327.04+314.52-63.42</f>
        <v>1352.4199999999998</v>
      </c>
      <c r="K46" s="131">
        <f t="shared" si="7"/>
        <v>1352.4199999999998</v>
      </c>
      <c r="L46" s="335">
        <f t="shared" si="10"/>
        <v>0</v>
      </c>
      <c r="M46" s="446"/>
      <c r="N46" s="446"/>
      <c r="O46" s="446"/>
      <c r="P46" s="446"/>
      <c r="Q46" s="110">
        <v>83</v>
      </c>
      <c r="R46" s="111">
        <f t="shared" si="2"/>
        <v>338.10499999999996</v>
      </c>
      <c r="S46" s="110"/>
      <c r="T46" s="110"/>
      <c r="U46" s="110">
        <v>82</v>
      </c>
      <c r="V46" s="111">
        <f t="shared" si="4"/>
        <v>338.10499999999996</v>
      </c>
      <c r="W46" s="110"/>
      <c r="X46" s="110"/>
      <c r="Y46" s="110"/>
      <c r="Z46" s="110"/>
      <c r="AA46" s="110">
        <v>82</v>
      </c>
      <c r="AB46" s="111">
        <f t="shared" si="11"/>
        <v>338.10499999999996</v>
      </c>
      <c r="AC46" s="110"/>
      <c r="AD46" s="110"/>
      <c r="AE46" s="110">
        <v>82</v>
      </c>
      <c r="AF46" s="111">
        <f t="shared" si="8"/>
        <v>338.10499999999996</v>
      </c>
      <c r="AG46" s="110"/>
      <c r="AH46" s="110"/>
      <c r="AI46" s="110"/>
      <c r="AJ46" s="110"/>
      <c r="AK46" s="111">
        <f t="shared" si="12"/>
        <v>1352.4199999999998</v>
      </c>
      <c r="AL46" s="446">
        <f t="shared" si="13"/>
        <v>0</v>
      </c>
      <c r="AM46" s="110">
        <f t="shared" si="14"/>
        <v>329</v>
      </c>
      <c r="AN46" s="447">
        <f t="shared" si="9"/>
        <v>0</v>
      </c>
      <c r="AO46"/>
      <c r="AP46"/>
    </row>
    <row r="47" spans="1:42" ht="66" x14ac:dyDescent="0.25">
      <c r="A47" s="9"/>
      <c r="B47" s="34" t="s">
        <v>45</v>
      </c>
      <c r="C47" s="1024"/>
      <c r="D47" s="869">
        <f>25+140+12+8</f>
        <v>185</v>
      </c>
      <c r="E47" s="1027" t="s">
        <v>1722</v>
      </c>
      <c r="F47" s="273" t="s">
        <v>3446</v>
      </c>
      <c r="G47" s="1040" t="s">
        <v>3463</v>
      </c>
      <c r="H47" s="273" t="s">
        <v>3462</v>
      </c>
      <c r="I47" s="720">
        <f t="shared" si="6"/>
        <v>15.818054054054056</v>
      </c>
      <c r="J47" s="756">
        <f>287.8+2162.31+321.9+154.33</f>
        <v>2926.34</v>
      </c>
      <c r="K47" s="131">
        <f t="shared" si="7"/>
        <v>2926.34</v>
      </c>
      <c r="L47" s="335">
        <f t="shared" si="10"/>
        <v>0</v>
      </c>
      <c r="M47" s="446"/>
      <c r="N47" s="446"/>
      <c r="O47" s="446"/>
      <c r="P47" s="446"/>
      <c r="Q47" s="110">
        <v>47</v>
      </c>
      <c r="R47" s="111">
        <f t="shared" si="2"/>
        <v>731.58500000000004</v>
      </c>
      <c r="S47" s="110"/>
      <c r="T47" s="110"/>
      <c r="U47" s="110">
        <v>46</v>
      </c>
      <c r="V47" s="111">
        <f t="shared" si="4"/>
        <v>731.58500000000004</v>
      </c>
      <c r="W47" s="110"/>
      <c r="X47" s="110"/>
      <c r="Y47" s="110"/>
      <c r="Z47" s="110"/>
      <c r="AA47" s="110">
        <v>46</v>
      </c>
      <c r="AB47" s="111">
        <f t="shared" si="11"/>
        <v>731.58500000000004</v>
      </c>
      <c r="AC47" s="110"/>
      <c r="AD47" s="110"/>
      <c r="AE47" s="110">
        <v>46</v>
      </c>
      <c r="AF47" s="111">
        <f t="shared" si="8"/>
        <v>731.58500000000004</v>
      </c>
      <c r="AG47" s="110"/>
      <c r="AH47" s="110"/>
      <c r="AI47" s="110"/>
      <c r="AJ47" s="110"/>
      <c r="AK47" s="111">
        <f t="shared" si="12"/>
        <v>2926.34</v>
      </c>
      <c r="AL47" s="446">
        <f t="shared" si="13"/>
        <v>0</v>
      </c>
      <c r="AM47" s="110">
        <f t="shared" si="14"/>
        <v>185</v>
      </c>
      <c r="AN47" s="447">
        <f t="shared" si="9"/>
        <v>0</v>
      </c>
      <c r="AO47"/>
      <c r="AP47"/>
    </row>
    <row r="48" spans="1:42" ht="66" x14ac:dyDescent="0.25">
      <c r="A48" s="9"/>
      <c r="B48" s="34" t="s">
        <v>46</v>
      </c>
      <c r="C48" s="1024"/>
      <c r="D48" s="869">
        <f>35+30+7+18</f>
        <v>90</v>
      </c>
      <c r="E48" s="1027" t="s">
        <v>1722</v>
      </c>
      <c r="F48" s="273" t="s">
        <v>3446</v>
      </c>
      <c r="G48" s="1040" t="s">
        <v>3463</v>
      </c>
      <c r="H48" s="273" t="s">
        <v>3462</v>
      </c>
      <c r="I48" s="720">
        <f t="shared" si="6"/>
        <v>76.685555555555567</v>
      </c>
      <c r="J48" s="756">
        <f>356.95+376.1+236.97+5931.68</f>
        <v>6901.7000000000007</v>
      </c>
      <c r="K48" s="131">
        <f t="shared" si="7"/>
        <v>6901.7000000000007</v>
      </c>
      <c r="L48" s="335">
        <f t="shared" si="10"/>
        <v>0</v>
      </c>
      <c r="M48" s="446"/>
      <c r="N48" s="446"/>
      <c r="O48" s="446"/>
      <c r="P48" s="446"/>
      <c r="Q48" s="110">
        <v>23</v>
      </c>
      <c r="R48" s="111">
        <f t="shared" si="2"/>
        <v>1725.4250000000002</v>
      </c>
      <c r="S48" s="110"/>
      <c r="T48" s="110"/>
      <c r="U48" s="110">
        <v>23</v>
      </c>
      <c r="V48" s="111">
        <f t="shared" si="4"/>
        <v>1725.4250000000002</v>
      </c>
      <c r="W48" s="110"/>
      <c r="X48" s="110"/>
      <c r="Y48" s="110"/>
      <c r="Z48" s="110"/>
      <c r="AA48" s="110">
        <v>22</v>
      </c>
      <c r="AB48" s="111">
        <f t="shared" si="11"/>
        <v>1725.4250000000002</v>
      </c>
      <c r="AC48" s="110"/>
      <c r="AD48" s="110"/>
      <c r="AE48" s="110">
        <v>22</v>
      </c>
      <c r="AF48" s="111">
        <f t="shared" si="8"/>
        <v>1725.4250000000002</v>
      </c>
      <c r="AG48" s="110"/>
      <c r="AH48" s="110"/>
      <c r="AI48" s="110"/>
      <c r="AJ48" s="110"/>
      <c r="AK48" s="111">
        <f t="shared" si="12"/>
        <v>6901.7000000000007</v>
      </c>
      <c r="AL48" s="446">
        <f t="shared" si="13"/>
        <v>0</v>
      </c>
      <c r="AM48" s="110">
        <f t="shared" si="14"/>
        <v>90</v>
      </c>
      <c r="AN48" s="447">
        <f t="shared" si="9"/>
        <v>0</v>
      </c>
      <c r="AO48"/>
      <c r="AP48"/>
    </row>
    <row r="49" spans="1:42" ht="66" x14ac:dyDescent="0.25">
      <c r="A49" s="9"/>
      <c r="B49" s="34" t="s">
        <v>1135</v>
      </c>
      <c r="C49" s="1024"/>
      <c r="D49" s="869">
        <f>66+4</f>
        <v>70</v>
      </c>
      <c r="E49" s="1027" t="s">
        <v>1722</v>
      </c>
      <c r="F49" s="273" t="s">
        <v>3446</v>
      </c>
      <c r="G49" s="1040" t="s">
        <v>3463</v>
      </c>
      <c r="H49" s="273" t="s">
        <v>3462</v>
      </c>
      <c r="I49" s="720">
        <f t="shared" si="6"/>
        <v>28.245999999999999</v>
      </c>
      <c r="J49" s="756">
        <f>1864.24+112.98</f>
        <v>1977.22</v>
      </c>
      <c r="K49" s="131">
        <f t="shared" si="7"/>
        <v>1977.2199999999998</v>
      </c>
      <c r="L49" s="335">
        <f t="shared" si="10"/>
        <v>0</v>
      </c>
      <c r="M49" s="446"/>
      <c r="N49" s="446"/>
      <c r="O49" s="446"/>
      <c r="P49" s="446"/>
      <c r="Q49" s="110">
        <v>18</v>
      </c>
      <c r="R49" s="111">
        <f t="shared" si="2"/>
        <v>494.30500000000001</v>
      </c>
      <c r="S49" s="110"/>
      <c r="T49" s="110"/>
      <c r="U49" s="110">
        <v>18</v>
      </c>
      <c r="V49" s="111">
        <f t="shared" si="4"/>
        <v>494.30500000000001</v>
      </c>
      <c r="W49" s="110"/>
      <c r="X49" s="110"/>
      <c r="Y49" s="110"/>
      <c r="Z49" s="110"/>
      <c r="AA49" s="110">
        <v>17</v>
      </c>
      <c r="AB49" s="111">
        <f t="shared" si="11"/>
        <v>494.30500000000001</v>
      </c>
      <c r="AC49" s="110"/>
      <c r="AD49" s="110"/>
      <c r="AE49" s="110">
        <v>17</v>
      </c>
      <c r="AF49" s="111">
        <f t="shared" si="8"/>
        <v>494.30500000000001</v>
      </c>
      <c r="AG49" s="110"/>
      <c r="AH49" s="110"/>
      <c r="AI49" s="110"/>
      <c r="AJ49" s="110"/>
      <c r="AK49" s="111">
        <f t="shared" si="12"/>
        <v>1977.22</v>
      </c>
      <c r="AL49" s="446">
        <f t="shared" si="13"/>
        <v>0</v>
      </c>
      <c r="AM49" s="110">
        <f t="shared" si="14"/>
        <v>70</v>
      </c>
      <c r="AN49" s="447">
        <f t="shared" si="9"/>
        <v>0</v>
      </c>
      <c r="AO49"/>
      <c r="AP49"/>
    </row>
    <row r="50" spans="1:42" ht="66" x14ac:dyDescent="0.25">
      <c r="A50" s="9"/>
      <c r="B50" s="43" t="s">
        <v>47</v>
      </c>
      <c r="C50" s="1024"/>
      <c r="D50" s="869">
        <f>30+139+5+8</f>
        <v>182</v>
      </c>
      <c r="E50" s="1027" t="s">
        <v>1722</v>
      </c>
      <c r="F50" s="273" t="s">
        <v>3446</v>
      </c>
      <c r="G50" s="1040" t="s">
        <v>3463</v>
      </c>
      <c r="H50" s="273" t="s">
        <v>3462</v>
      </c>
      <c r="I50" s="720">
        <f t="shared" si="6"/>
        <v>14.057582417582415</v>
      </c>
      <c r="J50" s="756">
        <f>536.26+1959.52+81.95+248.05-267.3</f>
        <v>2558.4799999999996</v>
      </c>
      <c r="K50" s="131">
        <f t="shared" si="7"/>
        <v>2558.4799999999996</v>
      </c>
      <c r="L50" s="335">
        <f t="shared" si="10"/>
        <v>0</v>
      </c>
      <c r="M50" s="446"/>
      <c r="N50" s="446"/>
      <c r="O50" s="446"/>
      <c r="P50" s="446"/>
      <c r="Q50" s="110">
        <v>46</v>
      </c>
      <c r="R50" s="111">
        <f t="shared" si="2"/>
        <v>639.61999999999989</v>
      </c>
      <c r="S50" s="110"/>
      <c r="T50" s="110"/>
      <c r="U50" s="110">
        <v>46</v>
      </c>
      <c r="V50" s="111">
        <f t="shared" si="4"/>
        <v>639.61999999999989</v>
      </c>
      <c r="W50" s="110"/>
      <c r="X50" s="110"/>
      <c r="Y50" s="110"/>
      <c r="Z50" s="110"/>
      <c r="AA50" s="110">
        <v>45</v>
      </c>
      <c r="AB50" s="111">
        <f t="shared" si="11"/>
        <v>639.61999999999989</v>
      </c>
      <c r="AC50" s="110"/>
      <c r="AD50" s="110"/>
      <c r="AE50" s="110">
        <v>45</v>
      </c>
      <c r="AF50" s="111">
        <f t="shared" si="8"/>
        <v>639.61999999999989</v>
      </c>
      <c r="AG50" s="110"/>
      <c r="AH50" s="110"/>
      <c r="AI50" s="110"/>
      <c r="AJ50" s="110"/>
      <c r="AK50" s="111">
        <f t="shared" si="12"/>
        <v>2558.4799999999996</v>
      </c>
      <c r="AL50" s="446">
        <f t="shared" si="13"/>
        <v>0</v>
      </c>
      <c r="AM50" s="110">
        <f t="shared" si="14"/>
        <v>182</v>
      </c>
      <c r="AN50" s="447">
        <f t="shared" si="9"/>
        <v>0</v>
      </c>
      <c r="AO50"/>
      <c r="AP50"/>
    </row>
    <row r="51" spans="1:42" ht="66" x14ac:dyDescent="0.25">
      <c r="A51" s="9"/>
      <c r="B51" s="34" t="s">
        <v>48</v>
      </c>
      <c r="C51" s="1024"/>
      <c r="D51" s="869">
        <f>31+148+23+13</f>
        <v>215</v>
      </c>
      <c r="E51" s="1027" t="s">
        <v>1722</v>
      </c>
      <c r="F51" s="273" t="s">
        <v>3446</v>
      </c>
      <c r="G51" s="1040" t="s">
        <v>3463</v>
      </c>
      <c r="H51" s="273" t="s">
        <v>3462</v>
      </c>
      <c r="I51" s="720">
        <f t="shared" si="6"/>
        <v>33.63325581395349</v>
      </c>
      <c r="J51" s="756">
        <f>833.1+2689.13+804.74+3224.94-320.76</f>
        <v>7231.15</v>
      </c>
      <c r="K51" s="131">
        <f t="shared" si="7"/>
        <v>7231.1500000000005</v>
      </c>
      <c r="L51" s="335">
        <f t="shared" si="10"/>
        <v>0</v>
      </c>
      <c r="M51" s="446"/>
      <c r="N51" s="446"/>
      <c r="O51" s="446"/>
      <c r="P51" s="446"/>
      <c r="Q51" s="110">
        <v>54</v>
      </c>
      <c r="R51" s="111">
        <f t="shared" si="2"/>
        <v>1807.7874999999999</v>
      </c>
      <c r="S51" s="110"/>
      <c r="T51" s="110"/>
      <c r="U51" s="110">
        <v>54</v>
      </c>
      <c r="V51" s="111">
        <f t="shared" si="4"/>
        <v>1807.7874999999999</v>
      </c>
      <c r="W51" s="110"/>
      <c r="X51" s="110"/>
      <c r="Y51" s="110"/>
      <c r="Z51" s="110"/>
      <c r="AA51" s="110">
        <v>54</v>
      </c>
      <c r="AB51" s="111">
        <f t="shared" si="11"/>
        <v>1807.7874999999999</v>
      </c>
      <c r="AC51" s="110"/>
      <c r="AD51" s="110"/>
      <c r="AE51" s="110">
        <v>53</v>
      </c>
      <c r="AF51" s="111">
        <f t="shared" si="8"/>
        <v>1807.7874999999999</v>
      </c>
      <c r="AG51" s="110"/>
      <c r="AH51" s="110"/>
      <c r="AI51" s="110"/>
      <c r="AJ51" s="110"/>
      <c r="AK51" s="111">
        <f t="shared" si="12"/>
        <v>7231.15</v>
      </c>
      <c r="AL51" s="446">
        <f t="shared" si="13"/>
        <v>0</v>
      </c>
      <c r="AM51" s="110">
        <f t="shared" si="14"/>
        <v>215</v>
      </c>
      <c r="AN51" s="447">
        <f t="shared" si="9"/>
        <v>0</v>
      </c>
      <c r="AO51"/>
      <c r="AP51"/>
    </row>
    <row r="52" spans="1:42" ht="66" x14ac:dyDescent="0.25">
      <c r="A52" s="11"/>
      <c r="B52" s="34" t="s">
        <v>49</v>
      </c>
      <c r="C52" s="1024"/>
      <c r="D52" s="869">
        <f>19</f>
        <v>19</v>
      </c>
      <c r="E52" s="1027" t="s">
        <v>1722</v>
      </c>
      <c r="F52" s="273" t="s">
        <v>3446</v>
      </c>
      <c r="G52" s="1040" t="s">
        <v>3463</v>
      </c>
      <c r="H52" s="273" t="s">
        <v>3462</v>
      </c>
      <c r="I52" s="720">
        <f t="shared" si="6"/>
        <v>11.97842105263158</v>
      </c>
      <c r="J52" s="756">
        <f>227.59</f>
        <v>227.59</v>
      </c>
      <c r="K52" s="131">
        <f t="shared" si="7"/>
        <v>227.59000000000003</v>
      </c>
      <c r="L52" s="335">
        <f t="shared" si="10"/>
        <v>0</v>
      </c>
      <c r="M52" s="446"/>
      <c r="N52" s="446"/>
      <c r="O52" s="446"/>
      <c r="P52" s="446"/>
      <c r="Q52" s="110">
        <v>5</v>
      </c>
      <c r="R52" s="111">
        <f t="shared" si="2"/>
        <v>56.897500000000001</v>
      </c>
      <c r="S52" s="110"/>
      <c r="T52" s="110"/>
      <c r="U52" s="110">
        <v>5</v>
      </c>
      <c r="V52" s="111">
        <f t="shared" si="4"/>
        <v>56.897500000000001</v>
      </c>
      <c r="W52" s="110"/>
      <c r="X52" s="110"/>
      <c r="Y52" s="110"/>
      <c r="Z52" s="110"/>
      <c r="AA52" s="110">
        <v>5</v>
      </c>
      <c r="AB52" s="111">
        <f t="shared" si="11"/>
        <v>56.897500000000001</v>
      </c>
      <c r="AC52" s="110"/>
      <c r="AD52" s="110"/>
      <c r="AE52" s="110">
        <v>4</v>
      </c>
      <c r="AF52" s="111">
        <f t="shared" si="8"/>
        <v>56.897500000000001</v>
      </c>
      <c r="AG52" s="110"/>
      <c r="AH52" s="110"/>
      <c r="AI52" s="110"/>
      <c r="AJ52" s="110"/>
      <c r="AK52" s="111">
        <f t="shared" si="12"/>
        <v>227.59</v>
      </c>
      <c r="AL52" s="446">
        <f t="shared" si="13"/>
        <v>0</v>
      </c>
      <c r="AM52" s="110">
        <f t="shared" si="14"/>
        <v>19</v>
      </c>
      <c r="AN52" s="447">
        <f t="shared" si="9"/>
        <v>0</v>
      </c>
      <c r="AO52"/>
      <c r="AP52"/>
    </row>
    <row r="53" spans="1:42" ht="66" x14ac:dyDescent="0.25">
      <c r="A53" s="11"/>
      <c r="B53" s="34" t="s">
        <v>50</v>
      </c>
      <c r="C53" s="1024"/>
      <c r="D53" s="869">
        <f>4</f>
        <v>4</v>
      </c>
      <c r="E53" s="1027" t="s">
        <v>1722</v>
      </c>
      <c r="F53" s="273" t="s">
        <v>3446</v>
      </c>
      <c r="G53" s="1040" t="s">
        <v>3463</v>
      </c>
      <c r="H53" s="273" t="s">
        <v>3462</v>
      </c>
      <c r="I53" s="720">
        <f t="shared" si="6"/>
        <v>25.462499999999999</v>
      </c>
      <c r="J53" s="756">
        <f>101.85</f>
        <v>101.85</v>
      </c>
      <c r="K53" s="131">
        <f t="shared" si="7"/>
        <v>101.85</v>
      </c>
      <c r="L53" s="335">
        <f t="shared" si="10"/>
        <v>0</v>
      </c>
      <c r="M53" s="446"/>
      <c r="N53" s="446"/>
      <c r="O53" s="446"/>
      <c r="P53" s="446"/>
      <c r="Q53" s="110">
        <f t="shared" si="1"/>
        <v>1</v>
      </c>
      <c r="R53" s="111">
        <f t="shared" si="2"/>
        <v>25.462499999999999</v>
      </c>
      <c r="S53" s="110"/>
      <c r="T53" s="110"/>
      <c r="U53" s="110">
        <f t="shared" si="3"/>
        <v>1</v>
      </c>
      <c r="V53" s="111">
        <f t="shared" si="4"/>
        <v>25.462499999999999</v>
      </c>
      <c r="W53" s="110"/>
      <c r="X53" s="110"/>
      <c r="Y53" s="110"/>
      <c r="Z53" s="110"/>
      <c r="AA53" s="110">
        <f t="shared" si="5"/>
        <v>1</v>
      </c>
      <c r="AB53" s="111">
        <f t="shared" si="11"/>
        <v>25.462499999999999</v>
      </c>
      <c r="AC53" s="110"/>
      <c r="AD53" s="110"/>
      <c r="AE53" s="110">
        <f t="shared" si="5"/>
        <v>1</v>
      </c>
      <c r="AF53" s="111">
        <f t="shared" si="8"/>
        <v>25.462499999999999</v>
      </c>
      <c r="AG53" s="110"/>
      <c r="AH53" s="110"/>
      <c r="AI53" s="110"/>
      <c r="AJ53" s="110"/>
      <c r="AK53" s="111">
        <f t="shared" si="12"/>
        <v>101.85</v>
      </c>
      <c r="AL53" s="446">
        <f t="shared" si="13"/>
        <v>0</v>
      </c>
      <c r="AM53" s="110">
        <f t="shared" si="14"/>
        <v>4</v>
      </c>
      <c r="AN53" s="447">
        <f t="shared" si="9"/>
        <v>0</v>
      </c>
      <c r="AO53"/>
      <c r="AP53"/>
    </row>
    <row r="54" spans="1:42" ht="66" x14ac:dyDescent="0.25">
      <c r="A54" s="9"/>
      <c r="B54" s="34" t="s">
        <v>51</v>
      </c>
      <c r="C54" s="1024"/>
      <c r="D54" s="869">
        <f>7+13+8+3+1</f>
        <v>32</v>
      </c>
      <c r="E54" s="1027" t="s">
        <v>1721</v>
      </c>
      <c r="F54" s="273" t="s">
        <v>3446</v>
      </c>
      <c r="G54" s="1040" t="s">
        <v>3463</v>
      </c>
      <c r="H54" s="273" t="s">
        <v>3462</v>
      </c>
      <c r="I54" s="720">
        <f t="shared" si="6"/>
        <v>316.54874999999998</v>
      </c>
      <c r="J54" s="756">
        <f>2230.24+4592.3+2889.2+540+578.74-700.92</f>
        <v>10129.56</v>
      </c>
      <c r="K54" s="131">
        <f t="shared" si="7"/>
        <v>10129.56</v>
      </c>
      <c r="L54" s="335">
        <f t="shared" si="10"/>
        <v>0</v>
      </c>
      <c r="M54" s="446"/>
      <c r="N54" s="446"/>
      <c r="O54" s="446"/>
      <c r="P54" s="446"/>
      <c r="Q54" s="110">
        <f t="shared" si="1"/>
        <v>8</v>
      </c>
      <c r="R54" s="111">
        <f t="shared" si="2"/>
        <v>2532.39</v>
      </c>
      <c r="S54" s="110"/>
      <c r="T54" s="110"/>
      <c r="U54" s="110">
        <f t="shared" si="3"/>
        <v>8</v>
      </c>
      <c r="V54" s="111">
        <f t="shared" si="4"/>
        <v>2532.39</v>
      </c>
      <c r="W54" s="110"/>
      <c r="X54" s="110"/>
      <c r="Y54" s="110"/>
      <c r="Z54" s="110"/>
      <c r="AA54" s="110">
        <f t="shared" si="5"/>
        <v>8</v>
      </c>
      <c r="AB54" s="111">
        <f t="shared" si="11"/>
        <v>2532.39</v>
      </c>
      <c r="AC54" s="110"/>
      <c r="AD54" s="110"/>
      <c r="AE54" s="110">
        <f t="shared" si="5"/>
        <v>8</v>
      </c>
      <c r="AF54" s="111">
        <f t="shared" si="8"/>
        <v>2532.39</v>
      </c>
      <c r="AG54" s="110"/>
      <c r="AH54" s="110"/>
      <c r="AI54" s="110"/>
      <c r="AJ54" s="110"/>
      <c r="AK54" s="111">
        <f t="shared" si="12"/>
        <v>10129.56</v>
      </c>
      <c r="AL54" s="446">
        <f t="shared" si="13"/>
        <v>0</v>
      </c>
      <c r="AM54" s="110">
        <f t="shared" si="14"/>
        <v>32</v>
      </c>
      <c r="AN54" s="447">
        <f t="shared" si="9"/>
        <v>0</v>
      </c>
      <c r="AO54"/>
      <c r="AP54"/>
    </row>
    <row r="55" spans="1:42" ht="66" x14ac:dyDescent="0.25">
      <c r="A55" s="9"/>
      <c r="B55" s="34" t="s">
        <v>1071</v>
      </c>
      <c r="C55" s="1024"/>
      <c r="D55" s="869">
        <v>4</v>
      </c>
      <c r="E55" s="1027" t="s">
        <v>1722</v>
      </c>
      <c r="F55" s="273" t="s">
        <v>3446</v>
      </c>
      <c r="G55" s="1040" t="s">
        <v>3463</v>
      </c>
      <c r="H55" s="273" t="s">
        <v>3462</v>
      </c>
      <c r="I55" s="720">
        <f t="shared" si="6"/>
        <v>34.395000000000003</v>
      </c>
      <c r="J55" s="756">
        <f>33.26+137.58-33.26</f>
        <v>137.58000000000001</v>
      </c>
      <c r="K55" s="131">
        <f t="shared" si="7"/>
        <v>137.58000000000001</v>
      </c>
      <c r="L55" s="335">
        <f t="shared" si="10"/>
        <v>0</v>
      </c>
      <c r="M55" s="446"/>
      <c r="N55" s="446"/>
      <c r="O55" s="446"/>
      <c r="P55" s="446"/>
      <c r="Q55" s="110">
        <f t="shared" si="1"/>
        <v>1</v>
      </c>
      <c r="R55" s="111">
        <f t="shared" si="2"/>
        <v>34.395000000000003</v>
      </c>
      <c r="S55" s="110"/>
      <c r="T55" s="110"/>
      <c r="U55" s="110">
        <f t="shared" si="3"/>
        <v>1</v>
      </c>
      <c r="V55" s="111">
        <f t="shared" si="4"/>
        <v>34.395000000000003</v>
      </c>
      <c r="W55" s="110"/>
      <c r="X55" s="110"/>
      <c r="Y55" s="110"/>
      <c r="Z55" s="110"/>
      <c r="AA55" s="110">
        <f t="shared" si="5"/>
        <v>1</v>
      </c>
      <c r="AB55" s="111">
        <f t="shared" si="11"/>
        <v>34.395000000000003</v>
      </c>
      <c r="AC55" s="110"/>
      <c r="AD55" s="110"/>
      <c r="AE55" s="110">
        <f t="shared" si="5"/>
        <v>1</v>
      </c>
      <c r="AF55" s="111">
        <f t="shared" si="8"/>
        <v>34.395000000000003</v>
      </c>
      <c r="AG55" s="110"/>
      <c r="AH55" s="110"/>
      <c r="AI55" s="110"/>
      <c r="AJ55" s="110"/>
      <c r="AK55" s="111">
        <f t="shared" si="12"/>
        <v>137.58000000000001</v>
      </c>
      <c r="AL55" s="446">
        <f t="shared" si="13"/>
        <v>0</v>
      </c>
      <c r="AM55" s="110">
        <f t="shared" si="14"/>
        <v>4</v>
      </c>
      <c r="AN55" s="447">
        <f t="shared" si="9"/>
        <v>0</v>
      </c>
      <c r="AO55"/>
      <c r="AP55"/>
    </row>
    <row r="56" spans="1:42" ht="66" x14ac:dyDescent="0.25">
      <c r="A56" s="9"/>
      <c r="B56" s="34" t="s">
        <v>52</v>
      </c>
      <c r="C56" s="1024"/>
      <c r="D56" s="869">
        <f>20+13+4+10</f>
        <v>47</v>
      </c>
      <c r="E56" s="1027" t="s">
        <v>1721</v>
      </c>
      <c r="F56" s="273" t="s">
        <v>3446</v>
      </c>
      <c r="G56" s="1040" t="s">
        <v>3463</v>
      </c>
      <c r="H56" s="273" t="s">
        <v>3462</v>
      </c>
      <c r="I56" s="720">
        <f t="shared" si="6"/>
        <v>12.455531914893619</v>
      </c>
      <c r="J56" s="756">
        <f>313.2+212.76+65.99+160.96-167.5</f>
        <v>585.41000000000008</v>
      </c>
      <c r="K56" s="131">
        <f t="shared" si="7"/>
        <v>585.41000000000008</v>
      </c>
      <c r="L56" s="335">
        <f t="shared" si="10"/>
        <v>0</v>
      </c>
      <c r="M56" s="446"/>
      <c r="N56" s="446"/>
      <c r="O56" s="446"/>
      <c r="P56" s="446"/>
      <c r="Q56" s="110">
        <v>12</v>
      </c>
      <c r="R56" s="111">
        <f t="shared" si="2"/>
        <v>146.35250000000002</v>
      </c>
      <c r="S56" s="110"/>
      <c r="T56" s="110"/>
      <c r="U56" s="110">
        <v>12</v>
      </c>
      <c r="V56" s="111">
        <f t="shared" si="4"/>
        <v>146.35250000000002</v>
      </c>
      <c r="W56" s="110"/>
      <c r="X56" s="110"/>
      <c r="Y56" s="110"/>
      <c r="Z56" s="110"/>
      <c r="AA56" s="110">
        <v>12</v>
      </c>
      <c r="AB56" s="111">
        <f t="shared" si="11"/>
        <v>146.35250000000002</v>
      </c>
      <c r="AC56" s="110"/>
      <c r="AD56" s="110"/>
      <c r="AE56" s="110">
        <v>11</v>
      </c>
      <c r="AF56" s="111">
        <f t="shared" si="8"/>
        <v>146.35250000000002</v>
      </c>
      <c r="AG56" s="110"/>
      <c r="AH56" s="110"/>
      <c r="AI56" s="110"/>
      <c r="AJ56" s="110"/>
      <c r="AK56" s="111">
        <f t="shared" si="12"/>
        <v>585.41000000000008</v>
      </c>
      <c r="AL56" s="446">
        <f t="shared" si="13"/>
        <v>0</v>
      </c>
      <c r="AM56" s="110">
        <f t="shared" si="14"/>
        <v>47</v>
      </c>
      <c r="AN56" s="447">
        <f t="shared" si="9"/>
        <v>0</v>
      </c>
      <c r="AO56"/>
      <c r="AP56"/>
    </row>
    <row r="57" spans="1:42" ht="66" x14ac:dyDescent="0.25">
      <c r="A57" s="11"/>
      <c r="B57" s="34" t="s">
        <v>53</v>
      </c>
      <c r="C57" s="1024"/>
      <c r="D57" s="869">
        <f>1+1</f>
        <v>2</v>
      </c>
      <c r="E57" s="1027" t="s">
        <v>1721</v>
      </c>
      <c r="F57" s="273" t="s">
        <v>3446</v>
      </c>
      <c r="G57" s="1040" t="s">
        <v>3463</v>
      </c>
      <c r="H57" s="273" t="s">
        <v>3462</v>
      </c>
      <c r="I57" s="720">
        <f t="shared" si="6"/>
        <v>84.61</v>
      </c>
      <c r="J57" s="756">
        <f>84.61+84.61</f>
        <v>169.22</v>
      </c>
      <c r="K57" s="131">
        <f t="shared" si="7"/>
        <v>169.22</v>
      </c>
      <c r="L57" s="335">
        <f t="shared" si="10"/>
        <v>0</v>
      </c>
      <c r="M57" s="446"/>
      <c r="N57" s="446"/>
      <c r="O57" s="446"/>
      <c r="P57" s="446"/>
      <c r="Q57" s="110">
        <v>1</v>
      </c>
      <c r="R57" s="111">
        <f t="shared" si="2"/>
        <v>42.305</v>
      </c>
      <c r="S57" s="110"/>
      <c r="T57" s="110"/>
      <c r="U57" s="110">
        <v>1</v>
      </c>
      <c r="V57" s="111">
        <f t="shared" si="4"/>
        <v>42.305</v>
      </c>
      <c r="W57" s="110"/>
      <c r="X57" s="110"/>
      <c r="Y57" s="110"/>
      <c r="Z57" s="110"/>
      <c r="AA57" s="110">
        <v>0</v>
      </c>
      <c r="AB57" s="111">
        <f t="shared" si="11"/>
        <v>42.305</v>
      </c>
      <c r="AC57" s="110"/>
      <c r="AD57" s="110"/>
      <c r="AE57" s="110">
        <v>0</v>
      </c>
      <c r="AF57" s="111">
        <f t="shared" si="8"/>
        <v>42.305</v>
      </c>
      <c r="AG57" s="110"/>
      <c r="AH57" s="110"/>
      <c r="AI57" s="110"/>
      <c r="AJ57" s="110"/>
      <c r="AK57" s="111">
        <f t="shared" si="12"/>
        <v>169.22</v>
      </c>
      <c r="AL57" s="446">
        <f t="shared" si="13"/>
        <v>0</v>
      </c>
      <c r="AM57" s="110">
        <f t="shared" si="14"/>
        <v>2</v>
      </c>
      <c r="AN57" s="447">
        <f t="shared" si="9"/>
        <v>0</v>
      </c>
      <c r="AO57"/>
      <c r="AP57"/>
    </row>
    <row r="58" spans="1:42" ht="66" x14ac:dyDescent="0.25">
      <c r="A58" s="11"/>
      <c r="B58" s="34" t="s">
        <v>54</v>
      </c>
      <c r="C58" s="1024"/>
      <c r="D58" s="869">
        <v>1</v>
      </c>
      <c r="E58" s="1027" t="s">
        <v>1721</v>
      </c>
      <c r="F58" s="273" t="s">
        <v>3446</v>
      </c>
      <c r="G58" s="1040" t="s">
        <v>3463</v>
      </c>
      <c r="H58" s="273" t="s">
        <v>3462</v>
      </c>
      <c r="I58" s="720">
        <f t="shared" si="6"/>
        <v>696</v>
      </c>
      <c r="J58" s="756">
        <v>696</v>
      </c>
      <c r="K58" s="131">
        <f t="shared" si="7"/>
        <v>696</v>
      </c>
      <c r="L58" s="335">
        <f t="shared" si="10"/>
        <v>0</v>
      </c>
      <c r="M58" s="446"/>
      <c r="N58" s="446"/>
      <c r="O58" s="446"/>
      <c r="P58" s="446"/>
      <c r="Q58" s="110">
        <v>1</v>
      </c>
      <c r="R58" s="111">
        <f t="shared" si="2"/>
        <v>174</v>
      </c>
      <c r="S58" s="110"/>
      <c r="T58" s="110"/>
      <c r="U58" s="110">
        <v>0</v>
      </c>
      <c r="V58" s="111">
        <f t="shared" si="4"/>
        <v>174</v>
      </c>
      <c r="W58" s="110"/>
      <c r="X58" s="110"/>
      <c r="Y58" s="110"/>
      <c r="Z58" s="110"/>
      <c r="AA58" s="110">
        <v>0</v>
      </c>
      <c r="AB58" s="111">
        <f t="shared" si="11"/>
        <v>174</v>
      </c>
      <c r="AC58" s="110"/>
      <c r="AD58" s="110"/>
      <c r="AE58" s="110">
        <v>0</v>
      </c>
      <c r="AF58" s="111">
        <f t="shared" si="8"/>
        <v>174</v>
      </c>
      <c r="AG58" s="110"/>
      <c r="AH58" s="110"/>
      <c r="AI58" s="110"/>
      <c r="AJ58" s="110"/>
      <c r="AK58" s="111">
        <f t="shared" si="12"/>
        <v>696</v>
      </c>
      <c r="AL58" s="446">
        <f t="shared" si="13"/>
        <v>0</v>
      </c>
      <c r="AM58" s="110">
        <f t="shared" si="14"/>
        <v>1</v>
      </c>
      <c r="AN58" s="447">
        <f t="shared" si="9"/>
        <v>0</v>
      </c>
      <c r="AO58"/>
      <c r="AP58"/>
    </row>
    <row r="59" spans="1:42" ht="66" x14ac:dyDescent="0.25">
      <c r="A59" s="11"/>
      <c r="B59" s="34" t="s">
        <v>55</v>
      </c>
      <c r="C59" s="1024"/>
      <c r="D59" s="869">
        <f>6+11+37+38+8</f>
        <v>100</v>
      </c>
      <c r="E59" s="1027" t="s">
        <v>1721</v>
      </c>
      <c r="F59" s="273" t="s">
        <v>3446</v>
      </c>
      <c r="G59" s="1040" t="s">
        <v>3463</v>
      </c>
      <c r="H59" s="273" t="s">
        <v>3462</v>
      </c>
      <c r="I59" s="720">
        <f t="shared" si="6"/>
        <v>122.0558</v>
      </c>
      <c r="J59" s="756">
        <f>578.82+1013.93+3842.37+4165.68+3183.6-578.82</f>
        <v>12205.58</v>
      </c>
      <c r="K59" s="131">
        <f t="shared" si="7"/>
        <v>12205.58</v>
      </c>
      <c r="L59" s="335">
        <f t="shared" si="10"/>
        <v>0</v>
      </c>
      <c r="M59" s="446"/>
      <c r="N59" s="446"/>
      <c r="O59" s="446"/>
      <c r="P59" s="446"/>
      <c r="Q59" s="110">
        <v>30</v>
      </c>
      <c r="R59" s="111">
        <f t="shared" si="2"/>
        <v>3051.395</v>
      </c>
      <c r="S59" s="110"/>
      <c r="T59" s="110"/>
      <c r="U59" s="110">
        <v>30</v>
      </c>
      <c r="V59" s="111">
        <f t="shared" si="4"/>
        <v>3051.395</v>
      </c>
      <c r="W59" s="110"/>
      <c r="X59" s="110"/>
      <c r="Y59" s="110"/>
      <c r="Z59" s="110"/>
      <c r="AA59" s="110">
        <v>30</v>
      </c>
      <c r="AB59" s="111">
        <f t="shared" si="11"/>
        <v>3051.395</v>
      </c>
      <c r="AC59" s="110"/>
      <c r="AD59" s="110"/>
      <c r="AE59" s="110">
        <v>10</v>
      </c>
      <c r="AF59" s="111">
        <f t="shared" si="8"/>
        <v>3051.395</v>
      </c>
      <c r="AG59" s="110"/>
      <c r="AH59" s="110"/>
      <c r="AI59" s="110"/>
      <c r="AJ59" s="110"/>
      <c r="AK59" s="111">
        <f t="shared" si="12"/>
        <v>12205.58</v>
      </c>
      <c r="AL59" s="446">
        <f t="shared" si="13"/>
        <v>0</v>
      </c>
      <c r="AM59" s="110">
        <f t="shared" si="14"/>
        <v>100</v>
      </c>
      <c r="AN59" s="447">
        <f t="shared" si="9"/>
        <v>0</v>
      </c>
      <c r="AO59"/>
      <c r="AP59"/>
    </row>
    <row r="60" spans="1:42" ht="66" x14ac:dyDescent="0.25">
      <c r="A60" s="11"/>
      <c r="B60" s="34" t="s">
        <v>56</v>
      </c>
      <c r="C60" s="1024"/>
      <c r="D60" s="869">
        <f>6+1+1</f>
        <v>8</v>
      </c>
      <c r="E60" s="1027" t="s">
        <v>1721</v>
      </c>
      <c r="F60" s="273" t="s">
        <v>3446</v>
      </c>
      <c r="G60" s="1040" t="s">
        <v>3463</v>
      </c>
      <c r="H60" s="273" t="s">
        <v>3462</v>
      </c>
      <c r="I60" s="720">
        <f t="shared" si="6"/>
        <v>349.61</v>
      </c>
      <c r="J60" s="756">
        <f>1809.46+355.21+632.21</f>
        <v>2796.88</v>
      </c>
      <c r="K60" s="131">
        <f t="shared" si="7"/>
        <v>2796.88</v>
      </c>
      <c r="L60" s="335">
        <f t="shared" si="10"/>
        <v>0</v>
      </c>
      <c r="M60" s="446"/>
      <c r="N60" s="446"/>
      <c r="O60" s="446"/>
      <c r="P60" s="446"/>
      <c r="Q60" s="110">
        <f t="shared" si="1"/>
        <v>2</v>
      </c>
      <c r="R60" s="111">
        <f t="shared" si="2"/>
        <v>699.22</v>
      </c>
      <c r="S60" s="110"/>
      <c r="T60" s="110"/>
      <c r="U60" s="110">
        <f t="shared" si="3"/>
        <v>2</v>
      </c>
      <c r="V60" s="111">
        <f t="shared" si="4"/>
        <v>699.22</v>
      </c>
      <c r="W60" s="110"/>
      <c r="X60" s="110"/>
      <c r="Y60" s="110"/>
      <c r="Z60" s="110"/>
      <c r="AA60" s="110">
        <f t="shared" si="5"/>
        <v>2</v>
      </c>
      <c r="AB60" s="111">
        <f t="shared" si="11"/>
        <v>699.22</v>
      </c>
      <c r="AC60" s="110"/>
      <c r="AD60" s="110"/>
      <c r="AE60" s="110">
        <f t="shared" si="5"/>
        <v>2</v>
      </c>
      <c r="AF60" s="111">
        <f t="shared" si="8"/>
        <v>699.22</v>
      </c>
      <c r="AG60" s="110"/>
      <c r="AH60" s="110"/>
      <c r="AI60" s="110"/>
      <c r="AJ60" s="110"/>
      <c r="AK60" s="111">
        <f t="shared" si="12"/>
        <v>2796.88</v>
      </c>
      <c r="AL60" s="446">
        <f t="shared" si="13"/>
        <v>0</v>
      </c>
      <c r="AM60" s="110">
        <f t="shared" si="14"/>
        <v>8</v>
      </c>
      <c r="AN60" s="447">
        <f t="shared" si="9"/>
        <v>0</v>
      </c>
      <c r="AO60"/>
      <c r="AP60"/>
    </row>
    <row r="61" spans="1:42" ht="66" x14ac:dyDescent="0.25">
      <c r="A61" s="11"/>
      <c r="B61" s="34" t="s">
        <v>57</v>
      </c>
      <c r="C61" s="1024"/>
      <c r="D61" s="869">
        <f>25+102+13+5</f>
        <v>145</v>
      </c>
      <c r="E61" s="1027" t="s">
        <v>1722</v>
      </c>
      <c r="F61" s="273" t="s">
        <v>3446</v>
      </c>
      <c r="G61" s="1040" t="s">
        <v>3463</v>
      </c>
      <c r="H61" s="273" t="s">
        <v>3462</v>
      </c>
      <c r="I61" s="720">
        <f t="shared" si="6"/>
        <v>37.014068965517239</v>
      </c>
      <c r="J61" s="756">
        <f>606.63+4267.61+417.28+156.43-80.91</f>
        <v>5367.04</v>
      </c>
      <c r="K61" s="131">
        <f t="shared" si="7"/>
        <v>5367.04</v>
      </c>
      <c r="L61" s="335">
        <f t="shared" si="10"/>
        <v>0</v>
      </c>
      <c r="M61" s="446"/>
      <c r="N61" s="446"/>
      <c r="O61" s="446"/>
      <c r="P61" s="446"/>
      <c r="Q61" s="110">
        <v>37</v>
      </c>
      <c r="R61" s="111">
        <f t="shared" si="2"/>
        <v>1341.76</v>
      </c>
      <c r="S61" s="110"/>
      <c r="T61" s="110"/>
      <c r="U61" s="110">
        <v>36</v>
      </c>
      <c r="V61" s="111">
        <f t="shared" si="4"/>
        <v>1341.76</v>
      </c>
      <c r="W61" s="110"/>
      <c r="X61" s="110"/>
      <c r="Y61" s="110"/>
      <c r="Z61" s="110"/>
      <c r="AA61" s="110">
        <v>36</v>
      </c>
      <c r="AB61" s="111">
        <f t="shared" si="11"/>
        <v>1341.76</v>
      </c>
      <c r="AC61" s="110"/>
      <c r="AD61" s="110"/>
      <c r="AE61" s="110">
        <v>36</v>
      </c>
      <c r="AF61" s="111">
        <f t="shared" si="8"/>
        <v>1341.76</v>
      </c>
      <c r="AG61" s="110"/>
      <c r="AH61" s="110"/>
      <c r="AI61" s="110"/>
      <c r="AJ61" s="110"/>
      <c r="AK61" s="111">
        <f t="shared" si="12"/>
        <v>5367.04</v>
      </c>
      <c r="AL61" s="446">
        <f t="shared" si="13"/>
        <v>0</v>
      </c>
      <c r="AM61" s="110">
        <f t="shared" si="14"/>
        <v>145</v>
      </c>
      <c r="AN61" s="447">
        <f t="shared" si="9"/>
        <v>0</v>
      </c>
      <c r="AO61"/>
      <c r="AP61"/>
    </row>
    <row r="62" spans="1:42" ht="66" x14ac:dyDescent="0.25">
      <c r="A62" s="9"/>
      <c r="B62" s="34" t="s">
        <v>59</v>
      </c>
      <c r="C62" s="1024"/>
      <c r="D62" s="869">
        <f>39+149+169+10</f>
        <v>367</v>
      </c>
      <c r="E62" s="1027" t="s">
        <v>1725</v>
      </c>
      <c r="F62" s="273" t="s">
        <v>3446</v>
      </c>
      <c r="G62" s="1040" t="s">
        <v>3463</v>
      </c>
      <c r="H62" s="273" t="s">
        <v>3462</v>
      </c>
      <c r="I62" s="720">
        <f>+J62/D62</f>
        <v>30.493487738419621</v>
      </c>
      <c r="J62" s="756">
        <f>1101.22+4507.18+5878.57+149.64-445.5</f>
        <v>11191.11</v>
      </c>
      <c r="K62" s="131">
        <f t="shared" si="7"/>
        <v>11191.11</v>
      </c>
      <c r="L62" s="335">
        <f t="shared" si="10"/>
        <v>0</v>
      </c>
      <c r="M62" s="446"/>
      <c r="N62" s="446"/>
      <c r="O62" s="446"/>
      <c r="P62" s="446"/>
      <c r="Q62" s="110">
        <v>92</v>
      </c>
      <c r="R62" s="111">
        <f t="shared" si="2"/>
        <v>2797.7775000000001</v>
      </c>
      <c r="S62" s="110"/>
      <c r="T62" s="110"/>
      <c r="U62" s="110">
        <v>92</v>
      </c>
      <c r="V62" s="111">
        <f t="shared" si="4"/>
        <v>2797.7775000000001</v>
      </c>
      <c r="W62" s="110"/>
      <c r="X62" s="110"/>
      <c r="Y62" s="110"/>
      <c r="Z62" s="110"/>
      <c r="AA62" s="110">
        <v>92</v>
      </c>
      <c r="AB62" s="111">
        <f t="shared" si="11"/>
        <v>2797.7775000000001</v>
      </c>
      <c r="AC62" s="110"/>
      <c r="AD62" s="110"/>
      <c r="AE62" s="110">
        <v>91</v>
      </c>
      <c r="AF62" s="111">
        <f t="shared" si="8"/>
        <v>2797.7775000000001</v>
      </c>
      <c r="AG62" s="110"/>
      <c r="AH62" s="110"/>
      <c r="AI62" s="110"/>
      <c r="AJ62" s="110"/>
      <c r="AK62" s="111">
        <f t="shared" si="12"/>
        <v>11191.11</v>
      </c>
      <c r="AL62" s="446">
        <f t="shared" si="13"/>
        <v>0</v>
      </c>
      <c r="AM62" s="110">
        <f t="shared" si="14"/>
        <v>367</v>
      </c>
      <c r="AN62" s="447">
        <f t="shared" si="9"/>
        <v>0</v>
      </c>
      <c r="AO62"/>
      <c r="AP62"/>
    </row>
    <row r="63" spans="1:42" ht="66" x14ac:dyDescent="0.25">
      <c r="A63" s="9"/>
      <c r="B63" s="34" t="s">
        <v>60</v>
      </c>
      <c r="C63" s="1024"/>
      <c r="D63" s="869">
        <f>17+20+20</f>
        <v>57</v>
      </c>
      <c r="E63" s="1027" t="s">
        <v>1722</v>
      </c>
      <c r="F63" s="273" t="s">
        <v>3446</v>
      </c>
      <c r="G63" s="1040" t="s">
        <v>3463</v>
      </c>
      <c r="H63" s="273" t="s">
        <v>3462</v>
      </c>
      <c r="I63" s="720">
        <f>+J63/D63</f>
        <v>10.552456140350877</v>
      </c>
      <c r="J63" s="756">
        <f>315.9+153.35+132.24</f>
        <v>601.49</v>
      </c>
      <c r="K63" s="131">
        <f t="shared" si="7"/>
        <v>601.49</v>
      </c>
      <c r="L63" s="335">
        <f t="shared" si="10"/>
        <v>0</v>
      </c>
      <c r="M63" s="446"/>
      <c r="N63" s="446"/>
      <c r="O63" s="446"/>
      <c r="P63" s="446"/>
      <c r="Q63" s="110">
        <v>15</v>
      </c>
      <c r="R63" s="111">
        <f t="shared" si="2"/>
        <v>150.3725</v>
      </c>
      <c r="S63" s="110"/>
      <c r="T63" s="110"/>
      <c r="U63" s="110">
        <v>14</v>
      </c>
      <c r="V63" s="111">
        <f t="shared" si="4"/>
        <v>150.3725</v>
      </c>
      <c r="W63" s="110"/>
      <c r="X63" s="110"/>
      <c r="Y63" s="110"/>
      <c r="Z63" s="110"/>
      <c r="AA63" s="110">
        <v>14</v>
      </c>
      <c r="AB63" s="111">
        <f t="shared" si="11"/>
        <v>150.3725</v>
      </c>
      <c r="AC63" s="110"/>
      <c r="AD63" s="110"/>
      <c r="AE63" s="110">
        <v>14</v>
      </c>
      <c r="AF63" s="111">
        <f t="shared" si="8"/>
        <v>150.3725</v>
      </c>
      <c r="AG63" s="110"/>
      <c r="AH63" s="110"/>
      <c r="AI63" s="110"/>
      <c r="AJ63" s="110"/>
      <c r="AK63" s="111">
        <f t="shared" si="12"/>
        <v>601.49</v>
      </c>
      <c r="AL63" s="446">
        <f t="shared" si="13"/>
        <v>0</v>
      </c>
      <c r="AM63" s="110">
        <f t="shared" si="14"/>
        <v>57</v>
      </c>
      <c r="AN63" s="447">
        <f t="shared" si="9"/>
        <v>0</v>
      </c>
      <c r="AO63"/>
      <c r="AP63"/>
    </row>
    <row r="64" spans="1:42" ht="66" x14ac:dyDescent="0.25">
      <c r="A64" s="9"/>
      <c r="B64" s="34" t="s">
        <v>61</v>
      </c>
      <c r="C64" s="1024"/>
      <c r="D64" s="869">
        <f>23+21+32+6</f>
        <v>82</v>
      </c>
      <c r="E64" s="1027" t="s">
        <v>1722</v>
      </c>
      <c r="F64" s="273" t="s">
        <v>3446</v>
      </c>
      <c r="G64" s="1040" t="s">
        <v>3463</v>
      </c>
      <c r="H64" s="273" t="s">
        <v>3462</v>
      </c>
      <c r="I64" s="720">
        <f>+J64/D64</f>
        <v>40.784146341463419</v>
      </c>
      <c r="J64" s="756">
        <f>729.29+701.24+1835.6+343.82-265.65</f>
        <v>3344.3</v>
      </c>
      <c r="K64" s="131">
        <f t="shared" si="7"/>
        <v>3344.3</v>
      </c>
      <c r="L64" s="335">
        <f t="shared" si="10"/>
        <v>0</v>
      </c>
      <c r="M64" s="446"/>
      <c r="N64" s="446"/>
      <c r="O64" s="446"/>
      <c r="P64" s="446"/>
      <c r="Q64" s="110">
        <v>21</v>
      </c>
      <c r="R64" s="111">
        <f t="shared" si="2"/>
        <v>836.07500000000005</v>
      </c>
      <c r="S64" s="110"/>
      <c r="T64" s="110"/>
      <c r="U64" s="110">
        <v>21</v>
      </c>
      <c r="V64" s="111">
        <f t="shared" si="4"/>
        <v>836.07500000000005</v>
      </c>
      <c r="W64" s="110"/>
      <c r="X64" s="110"/>
      <c r="Y64" s="110"/>
      <c r="Z64" s="110"/>
      <c r="AA64" s="110">
        <v>20</v>
      </c>
      <c r="AB64" s="111">
        <f t="shared" si="11"/>
        <v>836.07500000000005</v>
      </c>
      <c r="AC64" s="110"/>
      <c r="AD64" s="110"/>
      <c r="AE64" s="110">
        <v>20</v>
      </c>
      <c r="AF64" s="111">
        <f t="shared" si="8"/>
        <v>836.07500000000005</v>
      </c>
      <c r="AG64" s="110"/>
      <c r="AH64" s="110"/>
      <c r="AI64" s="110"/>
      <c r="AJ64" s="110"/>
      <c r="AK64" s="111">
        <f t="shared" si="12"/>
        <v>3344.3</v>
      </c>
      <c r="AL64" s="446">
        <f t="shared" si="13"/>
        <v>0</v>
      </c>
      <c r="AM64" s="110">
        <f t="shared" si="14"/>
        <v>82</v>
      </c>
      <c r="AN64" s="447">
        <f t="shared" si="9"/>
        <v>0</v>
      </c>
      <c r="AO64"/>
      <c r="AP64"/>
    </row>
    <row r="65" spans="1:42" ht="66" x14ac:dyDescent="0.25">
      <c r="A65" s="9"/>
      <c r="B65" s="34" t="s">
        <v>62</v>
      </c>
      <c r="C65" s="1024"/>
      <c r="D65" s="869">
        <f>6+39+88+5+3+8</f>
        <v>149</v>
      </c>
      <c r="E65" s="1027" t="s">
        <v>1721</v>
      </c>
      <c r="F65" s="273" t="s">
        <v>3446</v>
      </c>
      <c r="G65" s="1040" t="s">
        <v>3463</v>
      </c>
      <c r="H65" s="273" t="s">
        <v>3462</v>
      </c>
      <c r="I65" s="720">
        <f>+J65/D65</f>
        <v>25.396107382550337</v>
      </c>
      <c r="J65" s="756">
        <f>98.4+639.66+1674.11+246.04+399+726.81</f>
        <v>3784.02</v>
      </c>
      <c r="K65" s="131">
        <f t="shared" si="7"/>
        <v>3784.02</v>
      </c>
      <c r="L65" s="335">
        <f t="shared" si="10"/>
        <v>0</v>
      </c>
      <c r="M65" s="446"/>
      <c r="N65" s="446"/>
      <c r="O65" s="446"/>
      <c r="P65" s="446"/>
      <c r="Q65" s="110">
        <v>38</v>
      </c>
      <c r="R65" s="111">
        <f t="shared" si="2"/>
        <v>946.005</v>
      </c>
      <c r="S65" s="110"/>
      <c r="T65" s="110"/>
      <c r="U65" s="110">
        <v>37</v>
      </c>
      <c r="V65" s="111">
        <f t="shared" si="4"/>
        <v>946.005</v>
      </c>
      <c r="W65" s="110"/>
      <c r="X65" s="110"/>
      <c r="Y65" s="110"/>
      <c r="Z65" s="110"/>
      <c r="AA65" s="110">
        <v>37</v>
      </c>
      <c r="AB65" s="111">
        <f t="shared" si="11"/>
        <v>946.005</v>
      </c>
      <c r="AC65" s="110"/>
      <c r="AD65" s="110"/>
      <c r="AE65" s="110">
        <v>37</v>
      </c>
      <c r="AF65" s="111">
        <f t="shared" si="8"/>
        <v>946.005</v>
      </c>
      <c r="AG65" s="110"/>
      <c r="AH65" s="110"/>
      <c r="AI65" s="110"/>
      <c r="AJ65" s="110"/>
      <c r="AK65" s="111">
        <f t="shared" si="12"/>
        <v>3784.02</v>
      </c>
      <c r="AL65" s="446">
        <f t="shared" si="13"/>
        <v>0</v>
      </c>
      <c r="AM65" s="110">
        <f t="shared" si="14"/>
        <v>149</v>
      </c>
      <c r="AN65" s="447">
        <f t="shared" si="9"/>
        <v>0</v>
      </c>
      <c r="AO65"/>
      <c r="AP65"/>
    </row>
    <row r="66" spans="1:42" ht="66" x14ac:dyDescent="0.25">
      <c r="A66" s="9"/>
      <c r="B66" s="34" t="s">
        <v>63</v>
      </c>
      <c r="C66" s="1024"/>
      <c r="D66" s="869">
        <f>14+69+35+20</f>
        <v>138</v>
      </c>
      <c r="E66" s="1027" t="s">
        <v>1721</v>
      </c>
      <c r="F66" s="273" t="s">
        <v>3446</v>
      </c>
      <c r="G66" s="1040" t="s">
        <v>3463</v>
      </c>
      <c r="H66" s="273" t="s">
        <v>3462</v>
      </c>
      <c r="I66" s="720">
        <f>+J66/D66</f>
        <v>56.703913043478266</v>
      </c>
      <c r="J66" s="756">
        <f>711.46+4074.31+2069.15+970.22</f>
        <v>7825.14</v>
      </c>
      <c r="K66" s="131">
        <f t="shared" si="7"/>
        <v>7825.14</v>
      </c>
      <c r="L66" s="335">
        <f t="shared" si="10"/>
        <v>0</v>
      </c>
      <c r="M66" s="446"/>
      <c r="N66" s="446"/>
      <c r="O66" s="446"/>
      <c r="P66" s="446"/>
      <c r="Q66" s="110">
        <v>35</v>
      </c>
      <c r="R66" s="111">
        <f t="shared" si="2"/>
        <v>1956.2850000000001</v>
      </c>
      <c r="S66" s="110"/>
      <c r="T66" s="110"/>
      <c r="U66" s="110">
        <v>35</v>
      </c>
      <c r="V66" s="111">
        <f t="shared" si="4"/>
        <v>1956.2850000000001</v>
      </c>
      <c r="W66" s="110"/>
      <c r="X66" s="110"/>
      <c r="Y66" s="110"/>
      <c r="Z66" s="110"/>
      <c r="AA66" s="110">
        <v>34</v>
      </c>
      <c r="AB66" s="111">
        <f t="shared" si="11"/>
        <v>1956.2850000000001</v>
      </c>
      <c r="AC66" s="110"/>
      <c r="AD66" s="110"/>
      <c r="AE66" s="110">
        <v>34</v>
      </c>
      <c r="AF66" s="111">
        <f t="shared" si="8"/>
        <v>1956.2850000000001</v>
      </c>
      <c r="AG66" s="110"/>
      <c r="AH66" s="110"/>
      <c r="AI66" s="110"/>
      <c r="AJ66" s="110"/>
      <c r="AK66" s="111">
        <f t="shared" si="12"/>
        <v>7825.14</v>
      </c>
      <c r="AL66" s="446">
        <f t="shared" si="13"/>
        <v>0</v>
      </c>
      <c r="AM66" s="110">
        <f t="shared" si="14"/>
        <v>138</v>
      </c>
      <c r="AN66" s="447">
        <f t="shared" si="9"/>
        <v>0</v>
      </c>
      <c r="AO66"/>
      <c r="AP66"/>
    </row>
    <row r="67" spans="1:42" ht="66" x14ac:dyDescent="0.25">
      <c r="A67" s="9"/>
      <c r="B67" s="34" t="s">
        <v>64</v>
      </c>
      <c r="C67" s="1024"/>
      <c r="D67" s="869">
        <f>2</f>
        <v>2</v>
      </c>
      <c r="E67" s="1027" t="s">
        <v>1721</v>
      </c>
      <c r="F67" s="273" t="s">
        <v>3446</v>
      </c>
      <c r="G67" s="1040" t="s">
        <v>3463</v>
      </c>
      <c r="H67" s="273" t="s">
        <v>3462</v>
      </c>
      <c r="I67" s="720">
        <f t="shared" ref="I67:I86" si="15">+J67/D67</f>
        <v>18.190000000000001</v>
      </c>
      <c r="J67" s="756">
        <f>36.38</f>
        <v>36.380000000000003</v>
      </c>
      <c r="K67" s="131">
        <f t="shared" si="7"/>
        <v>36.380000000000003</v>
      </c>
      <c r="L67" s="335">
        <f t="shared" si="10"/>
        <v>0</v>
      </c>
      <c r="M67" s="446"/>
      <c r="N67" s="446"/>
      <c r="O67" s="446"/>
      <c r="P67" s="446"/>
      <c r="Q67" s="110">
        <v>1</v>
      </c>
      <c r="R67" s="111">
        <f t="shared" si="2"/>
        <v>9.0950000000000006</v>
      </c>
      <c r="S67" s="110"/>
      <c r="T67" s="110"/>
      <c r="U67" s="110">
        <v>1</v>
      </c>
      <c r="V67" s="111">
        <f t="shared" si="4"/>
        <v>9.0950000000000006</v>
      </c>
      <c r="W67" s="110"/>
      <c r="X67" s="110"/>
      <c r="Y67" s="110"/>
      <c r="Z67" s="110"/>
      <c r="AA67" s="110">
        <v>0</v>
      </c>
      <c r="AB67" s="111">
        <f t="shared" si="11"/>
        <v>9.0950000000000006</v>
      </c>
      <c r="AC67" s="110"/>
      <c r="AD67" s="110"/>
      <c r="AE67" s="110">
        <v>0</v>
      </c>
      <c r="AF67" s="111">
        <f t="shared" si="8"/>
        <v>9.0950000000000006</v>
      </c>
      <c r="AG67" s="110"/>
      <c r="AH67" s="110"/>
      <c r="AI67" s="110"/>
      <c r="AJ67" s="110"/>
      <c r="AK67" s="111">
        <f t="shared" si="12"/>
        <v>36.380000000000003</v>
      </c>
      <c r="AL67" s="446">
        <f t="shared" si="13"/>
        <v>0</v>
      </c>
      <c r="AM67" s="110">
        <f t="shared" si="14"/>
        <v>2</v>
      </c>
      <c r="AN67" s="447">
        <f t="shared" si="9"/>
        <v>0</v>
      </c>
      <c r="AO67"/>
      <c r="AP67"/>
    </row>
    <row r="68" spans="1:42" ht="66" x14ac:dyDescent="0.25">
      <c r="A68" s="9"/>
      <c r="B68" s="34" t="s">
        <v>65</v>
      </c>
      <c r="C68" s="1024"/>
      <c r="D68" s="869">
        <f>7+1+4+2</f>
        <v>14</v>
      </c>
      <c r="E68" s="1027" t="s">
        <v>1722</v>
      </c>
      <c r="F68" s="273" t="s">
        <v>3446</v>
      </c>
      <c r="G68" s="1040" t="s">
        <v>3463</v>
      </c>
      <c r="H68" s="273" t="s">
        <v>3462</v>
      </c>
      <c r="I68" s="720">
        <f t="shared" si="15"/>
        <v>50.495714285714293</v>
      </c>
      <c r="J68" s="756">
        <f>310.62+41.93+275.62+137.81-59.04</f>
        <v>706.94</v>
      </c>
      <c r="K68" s="131">
        <f t="shared" si="7"/>
        <v>706.94</v>
      </c>
      <c r="L68" s="335">
        <f t="shared" si="10"/>
        <v>0</v>
      </c>
      <c r="M68" s="446"/>
      <c r="N68" s="446"/>
      <c r="O68" s="446"/>
      <c r="P68" s="446"/>
      <c r="Q68" s="110">
        <v>4</v>
      </c>
      <c r="R68" s="111">
        <f t="shared" si="2"/>
        <v>176.73500000000001</v>
      </c>
      <c r="S68" s="110"/>
      <c r="T68" s="110"/>
      <c r="U68" s="110">
        <v>4</v>
      </c>
      <c r="V68" s="111">
        <f t="shared" si="4"/>
        <v>176.73500000000001</v>
      </c>
      <c r="W68" s="110"/>
      <c r="X68" s="110"/>
      <c r="Y68" s="110"/>
      <c r="Z68" s="110"/>
      <c r="AA68" s="110">
        <v>3</v>
      </c>
      <c r="AB68" s="111">
        <f t="shared" si="11"/>
        <v>176.73500000000001</v>
      </c>
      <c r="AC68" s="110"/>
      <c r="AD68" s="110"/>
      <c r="AE68" s="110">
        <v>3</v>
      </c>
      <c r="AF68" s="111">
        <f t="shared" si="8"/>
        <v>176.73500000000001</v>
      </c>
      <c r="AG68" s="110"/>
      <c r="AH68" s="110"/>
      <c r="AI68" s="110"/>
      <c r="AJ68" s="110"/>
      <c r="AK68" s="111">
        <f t="shared" si="12"/>
        <v>706.94</v>
      </c>
      <c r="AL68" s="446">
        <f t="shared" si="13"/>
        <v>0</v>
      </c>
      <c r="AM68" s="110">
        <f t="shared" si="14"/>
        <v>14</v>
      </c>
      <c r="AN68" s="447">
        <f t="shared" si="9"/>
        <v>0</v>
      </c>
      <c r="AO68"/>
      <c r="AP68"/>
    </row>
    <row r="69" spans="1:42" ht="66" x14ac:dyDescent="0.25">
      <c r="A69" s="9"/>
      <c r="B69" s="34" t="s">
        <v>66</v>
      </c>
      <c r="C69" s="1024"/>
      <c r="D69" s="869">
        <f>6+2+4+3</f>
        <v>15</v>
      </c>
      <c r="E69" s="1027" t="s">
        <v>1722</v>
      </c>
      <c r="F69" s="273" t="s">
        <v>3446</v>
      </c>
      <c r="G69" s="1040" t="s">
        <v>3463</v>
      </c>
      <c r="H69" s="273" t="s">
        <v>3462</v>
      </c>
      <c r="I69" s="720">
        <f t="shared" si="15"/>
        <v>66.804666666666662</v>
      </c>
      <c r="J69" s="756">
        <f>405.6+330.74+276.78+79.92+239.77-330.74</f>
        <v>1002.0699999999999</v>
      </c>
      <c r="K69" s="131">
        <f t="shared" si="7"/>
        <v>1002.0699999999999</v>
      </c>
      <c r="L69" s="335">
        <f t="shared" si="10"/>
        <v>0</v>
      </c>
      <c r="M69" s="446"/>
      <c r="N69" s="446"/>
      <c r="O69" s="446"/>
      <c r="P69" s="446"/>
      <c r="Q69" s="110">
        <v>4</v>
      </c>
      <c r="R69" s="111">
        <f t="shared" si="2"/>
        <v>250.51749999999998</v>
      </c>
      <c r="S69" s="110"/>
      <c r="T69" s="110"/>
      <c r="U69" s="110">
        <v>4</v>
      </c>
      <c r="V69" s="111">
        <f t="shared" si="4"/>
        <v>250.51749999999998</v>
      </c>
      <c r="W69" s="110"/>
      <c r="X69" s="110"/>
      <c r="Y69" s="110"/>
      <c r="Z69" s="110"/>
      <c r="AA69" s="110">
        <v>4</v>
      </c>
      <c r="AB69" s="111">
        <f t="shared" si="11"/>
        <v>250.51749999999998</v>
      </c>
      <c r="AC69" s="110"/>
      <c r="AD69" s="110"/>
      <c r="AE69" s="110">
        <v>3</v>
      </c>
      <c r="AF69" s="111">
        <f t="shared" si="8"/>
        <v>250.51749999999998</v>
      </c>
      <c r="AG69" s="110"/>
      <c r="AH69" s="110"/>
      <c r="AI69" s="110"/>
      <c r="AJ69" s="110"/>
      <c r="AK69" s="111">
        <f t="shared" si="12"/>
        <v>1002.0699999999999</v>
      </c>
      <c r="AL69" s="446">
        <f t="shared" si="13"/>
        <v>0</v>
      </c>
      <c r="AM69" s="110">
        <f t="shared" si="14"/>
        <v>15</v>
      </c>
      <c r="AN69" s="447">
        <f t="shared" si="9"/>
        <v>0</v>
      </c>
      <c r="AO69"/>
      <c r="AP69"/>
    </row>
    <row r="70" spans="1:42" ht="66" x14ac:dyDescent="0.25">
      <c r="A70" s="9"/>
      <c r="B70" s="34" t="s">
        <v>67</v>
      </c>
      <c r="C70" s="1024"/>
      <c r="D70" s="869">
        <f>24+19+2</f>
        <v>45</v>
      </c>
      <c r="E70" s="1027" t="s">
        <v>1725</v>
      </c>
      <c r="F70" s="273" t="s">
        <v>3446</v>
      </c>
      <c r="G70" s="1040" t="s">
        <v>3463</v>
      </c>
      <c r="H70" s="273" t="s">
        <v>3462</v>
      </c>
      <c r="I70" s="720">
        <f t="shared" si="15"/>
        <v>16.621111111111112</v>
      </c>
      <c r="J70" s="756">
        <f>310.82+302.04+105.33+38.58-8.82</f>
        <v>747.95</v>
      </c>
      <c r="K70" s="131">
        <f t="shared" si="7"/>
        <v>747.95</v>
      </c>
      <c r="L70" s="335">
        <f t="shared" si="10"/>
        <v>0</v>
      </c>
      <c r="M70" s="446"/>
      <c r="N70" s="446"/>
      <c r="O70" s="446"/>
      <c r="P70" s="446"/>
      <c r="Q70" s="110">
        <v>12</v>
      </c>
      <c r="R70" s="111">
        <f t="shared" si="2"/>
        <v>186.98750000000001</v>
      </c>
      <c r="S70" s="110"/>
      <c r="T70" s="110"/>
      <c r="U70" s="110">
        <v>11</v>
      </c>
      <c r="V70" s="111">
        <f t="shared" si="4"/>
        <v>186.98750000000001</v>
      </c>
      <c r="W70" s="110"/>
      <c r="X70" s="110"/>
      <c r="Y70" s="110"/>
      <c r="Z70" s="110"/>
      <c r="AA70" s="110">
        <v>11</v>
      </c>
      <c r="AB70" s="111">
        <f t="shared" si="11"/>
        <v>186.98750000000001</v>
      </c>
      <c r="AC70" s="110"/>
      <c r="AD70" s="110"/>
      <c r="AE70" s="110">
        <v>11</v>
      </c>
      <c r="AF70" s="111">
        <f t="shared" si="8"/>
        <v>186.98750000000001</v>
      </c>
      <c r="AG70" s="110"/>
      <c r="AH70" s="110"/>
      <c r="AI70" s="110"/>
      <c r="AJ70" s="110"/>
      <c r="AK70" s="111">
        <f t="shared" si="12"/>
        <v>747.95</v>
      </c>
      <c r="AL70" s="446">
        <f t="shared" si="13"/>
        <v>0</v>
      </c>
      <c r="AM70" s="110">
        <f t="shared" si="14"/>
        <v>45</v>
      </c>
      <c r="AN70" s="447">
        <f t="shared" si="9"/>
        <v>0</v>
      </c>
      <c r="AO70"/>
      <c r="AP70"/>
    </row>
    <row r="71" spans="1:42" ht="66" x14ac:dyDescent="0.25">
      <c r="A71" s="9"/>
      <c r="B71" s="34" t="s">
        <v>68</v>
      </c>
      <c r="C71" s="1024"/>
      <c r="D71" s="869">
        <f>17+12+5+2</f>
        <v>36</v>
      </c>
      <c r="E71" s="1027" t="s">
        <v>1722</v>
      </c>
      <c r="F71" s="273" t="s">
        <v>3446</v>
      </c>
      <c r="G71" s="1040" t="s">
        <v>3463</v>
      </c>
      <c r="H71" s="273" t="s">
        <v>3462</v>
      </c>
      <c r="I71" s="720">
        <f t="shared" si="15"/>
        <v>15.441388888888891</v>
      </c>
      <c r="J71" s="756">
        <f>248.8+194.46+105.33+38.58-31.28</f>
        <v>555.8900000000001</v>
      </c>
      <c r="K71" s="131">
        <f t="shared" si="7"/>
        <v>555.8900000000001</v>
      </c>
      <c r="L71" s="335">
        <f t="shared" si="10"/>
        <v>0</v>
      </c>
      <c r="M71" s="446"/>
      <c r="N71" s="446"/>
      <c r="O71" s="446"/>
      <c r="P71" s="446"/>
      <c r="Q71" s="110">
        <f t="shared" si="1"/>
        <v>9</v>
      </c>
      <c r="R71" s="111">
        <f t="shared" si="2"/>
        <v>138.97250000000003</v>
      </c>
      <c r="S71" s="110"/>
      <c r="T71" s="110"/>
      <c r="U71" s="110">
        <f t="shared" si="3"/>
        <v>9</v>
      </c>
      <c r="V71" s="111">
        <f t="shared" si="4"/>
        <v>138.97250000000003</v>
      </c>
      <c r="W71" s="110"/>
      <c r="X71" s="110"/>
      <c r="Y71" s="110"/>
      <c r="Z71" s="110"/>
      <c r="AA71" s="110">
        <f t="shared" si="5"/>
        <v>9</v>
      </c>
      <c r="AB71" s="111">
        <f t="shared" si="11"/>
        <v>138.97250000000003</v>
      </c>
      <c r="AC71" s="110"/>
      <c r="AD71" s="110"/>
      <c r="AE71" s="110">
        <f t="shared" si="5"/>
        <v>9</v>
      </c>
      <c r="AF71" s="111">
        <f t="shared" si="8"/>
        <v>138.97250000000003</v>
      </c>
      <c r="AG71" s="110"/>
      <c r="AH71" s="110"/>
      <c r="AI71" s="110"/>
      <c r="AJ71" s="110"/>
      <c r="AK71" s="111">
        <f t="shared" si="12"/>
        <v>555.8900000000001</v>
      </c>
      <c r="AL71" s="446">
        <f t="shared" si="13"/>
        <v>0</v>
      </c>
      <c r="AM71" s="110">
        <f t="shared" si="14"/>
        <v>36</v>
      </c>
      <c r="AN71" s="447">
        <f t="shared" si="9"/>
        <v>0</v>
      </c>
      <c r="AO71"/>
      <c r="AP71"/>
    </row>
    <row r="72" spans="1:42" ht="66" x14ac:dyDescent="0.25">
      <c r="A72" s="9"/>
      <c r="B72" s="34" t="s">
        <v>69</v>
      </c>
      <c r="C72" s="1024"/>
      <c r="D72" s="869">
        <f>16+10+4+2</f>
        <v>32</v>
      </c>
      <c r="E72" s="1027" t="s">
        <v>1722</v>
      </c>
      <c r="F72" s="273" t="s">
        <v>3446</v>
      </c>
      <c r="G72" s="1040" t="s">
        <v>3463</v>
      </c>
      <c r="H72" s="273" t="s">
        <v>3462</v>
      </c>
      <c r="I72" s="720">
        <f t="shared" si="15"/>
        <v>14.852500000000001</v>
      </c>
      <c r="J72" s="756">
        <f>331.04+166.3+77.16+38.58-137.8</f>
        <v>475.28000000000003</v>
      </c>
      <c r="K72" s="131">
        <f t="shared" si="7"/>
        <v>475.28000000000003</v>
      </c>
      <c r="L72" s="335">
        <f t="shared" si="10"/>
        <v>0</v>
      </c>
      <c r="M72" s="446"/>
      <c r="N72" s="446"/>
      <c r="O72" s="446"/>
      <c r="P72" s="446"/>
      <c r="Q72" s="110">
        <f t="shared" si="1"/>
        <v>8</v>
      </c>
      <c r="R72" s="111">
        <f t="shared" si="2"/>
        <v>118.82000000000001</v>
      </c>
      <c r="S72" s="110"/>
      <c r="T72" s="110"/>
      <c r="U72" s="110">
        <f t="shared" si="3"/>
        <v>8</v>
      </c>
      <c r="V72" s="111">
        <f t="shared" si="4"/>
        <v>118.82000000000001</v>
      </c>
      <c r="W72" s="110"/>
      <c r="X72" s="110"/>
      <c r="Y72" s="110"/>
      <c r="Z72" s="110"/>
      <c r="AA72" s="110">
        <f t="shared" si="5"/>
        <v>8</v>
      </c>
      <c r="AB72" s="111">
        <f t="shared" si="11"/>
        <v>118.82000000000001</v>
      </c>
      <c r="AC72" s="110"/>
      <c r="AD72" s="110"/>
      <c r="AE72" s="110">
        <f t="shared" si="5"/>
        <v>8</v>
      </c>
      <c r="AF72" s="111">
        <f t="shared" si="8"/>
        <v>118.82000000000001</v>
      </c>
      <c r="AG72" s="110"/>
      <c r="AH72" s="110"/>
      <c r="AI72" s="110"/>
      <c r="AJ72" s="110"/>
      <c r="AK72" s="111">
        <f t="shared" si="12"/>
        <v>475.28000000000003</v>
      </c>
      <c r="AL72" s="446">
        <f t="shared" si="13"/>
        <v>0</v>
      </c>
      <c r="AM72" s="110">
        <f t="shared" si="14"/>
        <v>32</v>
      </c>
      <c r="AN72" s="447">
        <f t="shared" si="9"/>
        <v>0</v>
      </c>
      <c r="AO72"/>
      <c r="AP72"/>
    </row>
    <row r="73" spans="1:42" ht="66" x14ac:dyDescent="0.25">
      <c r="A73" s="9"/>
      <c r="B73" s="34" t="s">
        <v>70</v>
      </c>
      <c r="C73" s="1024"/>
      <c r="D73" s="869">
        <f>16+135+44+30</f>
        <v>225</v>
      </c>
      <c r="E73" s="1027" t="s">
        <v>1721</v>
      </c>
      <c r="F73" s="273" t="s">
        <v>3446</v>
      </c>
      <c r="G73" s="1040" t="s">
        <v>3463</v>
      </c>
      <c r="H73" s="273" t="s">
        <v>3462</v>
      </c>
      <c r="I73" s="720">
        <f t="shared" si="15"/>
        <v>18.141377777777777</v>
      </c>
      <c r="J73" s="756">
        <f>172.84+1672.8+1739.92+496.25</f>
        <v>4081.81</v>
      </c>
      <c r="K73" s="131">
        <f t="shared" si="7"/>
        <v>4081.81</v>
      </c>
      <c r="L73" s="335">
        <f t="shared" si="10"/>
        <v>0</v>
      </c>
      <c r="M73" s="446"/>
      <c r="N73" s="446"/>
      <c r="O73" s="446"/>
      <c r="P73" s="446"/>
      <c r="Q73" s="110">
        <v>57</v>
      </c>
      <c r="R73" s="111">
        <f t="shared" si="2"/>
        <v>1020.4525</v>
      </c>
      <c r="S73" s="110"/>
      <c r="T73" s="110"/>
      <c r="U73" s="110">
        <v>56</v>
      </c>
      <c r="V73" s="111">
        <f t="shared" si="4"/>
        <v>1020.4525</v>
      </c>
      <c r="W73" s="110"/>
      <c r="X73" s="110"/>
      <c r="Y73" s="110"/>
      <c r="Z73" s="110"/>
      <c r="AA73" s="110">
        <v>56</v>
      </c>
      <c r="AB73" s="111">
        <f t="shared" si="11"/>
        <v>1020.4525</v>
      </c>
      <c r="AC73" s="110"/>
      <c r="AD73" s="110"/>
      <c r="AE73" s="110">
        <v>56</v>
      </c>
      <c r="AF73" s="111">
        <f t="shared" si="8"/>
        <v>1020.4525</v>
      </c>
      <c r="AG73" s="110"/>
      <c r="AH73" s="110"/>
      <c r="AI73" s="110"/>
      <c r="AJ73" s="110"/>
      <c r="AK73" s="111">
        <f t="shared" si="12"/>
        <v>4081.81</v>
      </c>
      <c r="AL73" s="446">
        <f t="shared" si="13"/>
        <v>0</v>
      </c>
      <c r="AM73" s="110">
        <f t="shared" si="14"/>
        <v>225</v>
      </c>
      <c r="AN73" s="447">
        <f t="shared" si="9"/>
        <v>0</v>
      </c>
      <c r="AO73"/>
      <c r="AP73"/>
    </row>
    <row r="74" spans="1:42" ht="66" x14ac:dyDescent="0.25">
      <c r="A74" s="9"/>
      <c r="B74" s="34" t="s">
        <v>71</v>
      </c>
      <c r="C74" s="1024"/>
      <c r="D74" s="869">
        <f>5+104+22+3</f>
        <v>134</v>
      </c>
      <c r="E74" s="1027" t="s">
        <v>1721</v>
      </c>
      <c r="F74" s="273" t="s">
        <v>3446</v>
      </c>
      <c r="G74" s="1040" t="s">
        <v>3463</v>
      </c>
      <c r="H74" s="273" t="s">
        <v>3462</v>
      </c>
      <c r="I74" s="720">
        <f t="shared" si="15"/>
        <v>118.88962686567164</v>
      </c>
      <c r="J74" s="756">
        <f>163.27+12485.3+2843.17+496.11-56.64</f>
        <v>15931.210000000001</v>
      </c>
      <c r="K74" s="131">
        <f t="shared" si="7"/>
        <v>15931.210000000001</v>
      </c>
      <c r="L74" s="335">
        <f t="shared" si="10"/>
        <v>0</v>
      </c>
      <c r="M74" s="446"/>
      <c r="N74" s="446"/>
      <c r="O74" s="446"/>
      <c r="P74" s="446"/>
      <c r="Q74" s="110">
        <v>34</v>
      </c>
      <c r="R74" s="111">
        <f t="shared" si="2"/>
        <v>3982.8025000000002</v>
      </c>
      <c r="S74" s="110"/>
      <c r="T74" s="110"/>
      <c r="U74" s="110">
        <v>34</v>
      </c>
      <c r="V74" s="111">
        <f t="shared" si="4"/>
        <v>3982.8025000000002</v>
      </c>
      <c r="W74" s="110"/>
      <c r="X74" s="110"/>
      <c r="Y74" s="110"/>
      <c r="Z74" s="110"/>
      <c r="AA74" s="110">
        <v>33</v>
      </c>
      <c r="AB74" s="111">
        <f t="shared" si="11"/>
        <v>3982.8025000000002</v>
      </c>
      <c r="AC74" s="110"/>
      <c r="AD74" s="110"/>
      <c r="AE74" s="110">
        <v>33</v>
      </c>
      <c r="AF74" s="111">
        <f t="shared" si="8"/>
        <v>3982.8025000000002</v>
      </c>
      <c r="AG74" s="110"/>
      <c r="AH74" s="110"/>
      <c r="AI74" s="110"/>
      <c r="AJ74" s="110"/>
      <c r="AK74" s="111">
        <f t="shared" si="12"/>
        <v>15931.210000000001</v>
      </c>
      <c r="AL74" s="446">
        <f t="shared" si="13"/>
        <v>0</v>
      </c>
      <c r="AM74" s="110">
        <f t="shared" si="14"/>
        <v>134</v>
      </c>
      <c r="AN74" s="447">
        <f t="shared" si="9"/>
        <v>0</v>
      </c>
      <c r="AO74"/>
      <c r="AP74"/>
    </row>
    <row r="75" spans="1:42" ht="66" x14ac:dyDescent="0.25">
      <c r="A75" s="9"/>
      <c r="B75" s="34" t="s">
        <v>72</v>
      </c>
      <c r="C75" s="1024"/>
      <c r="D75" s="869">
        <f>22+3</f>
        <v>25</v>
      </c>
      <c r="E75" s="1027" t="s">
        <v>1721</v>
      </c>
      <c r="F75" s="273" t="s">
        <v>3446</v>
      </c>
      <c r="G75" s="1040" t="s">
        <v>3463</v>
      </c>
      <c r="H75" s="273" t="s">
        <v>3462</v>
      </c>
      <c r="I75" s="720">
        <f t="shared" si="15"/>
        <v>10.657999999999999</v>
      </c>
      <c r="J75" s="756">
        <f>195.39+71.06</f>
        <v>266.45</v>
      </c>
      <c r="K75" s="131">
        <f t="shared" si="7"/>
        <v>266.45</v>
      </c>
      <c r="L75" s="335">
        <f t="shared" si="10"/>
        <v>0</v>
      </c>
      <c r="M75" s="446"/>
      <c r="N75" s="446"/>
      <c r="O75" s="446"/>
      <c r="P75" s="446"/>
      <c r="Q75" s="110">
        <v>7</v>
      </c>
      <c r="R75" s="111">
        <f t="shared" si="2"/>
        <v>66.612499999999997</v>
      </c>
      <c r="S75" s="110"/>
      <c r="T75" s="110"/>
      <c r="U75" s="110">
        <v>6</v>
      </c>
      <c r="V75" s="111">
        <f t="shared" si="4"/>
        <v>66.612499999999997</v>
      </c>
      <c r="W75" s="110"/>
      <c r="X75" s="110"/>
      <c r="Y75" s="110"/>
      <c r="Z75" s="110"/>
      <c r="AA75" s="110">
        <v>6</v>
      </c>
      <c r="AB75" s="111">
        <f t="shared" si="11"/>
        <v>66.612499999999997</v>
      </c>
      <c r="AC75" s="110"/>
      <c r="AD75" s="110"/>
      <c r="AE75" s="110">
        <v>6</v>
      </c>
      <c r="AF75" s="111">
        <f t="shared" si="8"/>
        <v>66.612499999999997</v>
      </c>
      <c r="AG75" s="110"/>
      <c r="AH75" s="110"/>
      <c r="AI75" s="110"/>
      <c r="AJ75" s="110"/>
      <c r="AK75" s="111">
        <f t="shared" si="12"/>
        <v>266.45</v>
      </c>
      <c r="AL75" s="446">
        <f t="shared" si="13"/>
        <v>0</v>
      </c>
      <c r="AM75" s="110">
        <f t="shared" si="14"/>
        <v>25</v>
      </c>
      <c r="AN75" s="447">
        <f t="shared" si="9"/>
        <v>0</v>
      </c>
      <c r="AO75"/>
      <c r="AP75"/>
    </row>
    <row r="76" spans="1:42" ht="66" x14ac:dyDescent="0.25">
      <c r="A76" s="9"/>
      <c r="B76" s="34" t="s">
        <v>73</v>
      </c>
      <c r="C76" s="1024"/>
      <c r="D76" s="869">
        <f>6+6+40+4+9+20</f>
        <v>85</v>
      </c>
      <c r="E76" s="1027" t="s">
        <v>1725</v>
      </c>
      <c r="F76" s="273" t="s">
        <v>3446</v>
      </c>
      <c r="G76" s="1040" t="s">
        <v>3463</v>
      </c>
      <c r="H76" s="273" t="s">
        <v>3462</v>
      </c>
      <c r="I76" s="720">
        <f t="shared" si="15"/>
        <v>21.25094117647059</v>
      </c>
      <c r="J76" s="756">
        <f>63.66+63.67+395.25+84.89+986.58+212.28</f>
        <v>1806.3300000000002</v>
      </c>
      <c r="K76" s="131">
        <f t="shared" si="7"/>
        <v>1806.3300000000002</v>
      </c>
      <c r="L76" s="335">
        <f t="shared" si="10"/>
        <v>0</v>
      </c>
      <c r="M76" s="446"/>
      <c r="N76" s="446"/>
      <c r="O76" s="446"/>
      <c r="P76" s="446"/>
      <c r="Q76" s="110">
        <v>22</v>
      </c>
      <c r="R76" s="111">
        <f t="shared" si="2"/>
        <v>451.58250000000004</v>
      </c>
      <c r="S76" s="110"/>
      <c r="T76" s="110"/>
      <c r="U76" s="110">
        <v>21</v>
      </c>
      <c r="V76" s="111">
        <f t="shared" si="4"/>
        <v>451.58250000000004</v>
      </c>
      <c r="W76" s="110"/>
      <c r="X76" s="110"/>
      <c r="Y76" s="110"/>
      <c r="Z76" s="110"/>
      <c r="AA76" s="110">
        <v>21</v>
      </c>
      <c r="AB76" s="111">
        <f t="shared" si="11"/>
        <v>451.58250000000004</v>
      </c>
      <c r="AC76" s="110"/>
      <c r="AD76" s="110"/>
      <c r="AE76" s="110">
        <v>21</v>
      </c>
      <c r="AF76" s="111">
        <f t="shared" si="8"/>
        <v>451.58250000000004</v>
      </c>
      <c r="AG76" s="110"/>
      <c r="AH76" s="110"/>
      <c r="AI76" s="110"/>
      <c r="AJ76" s="110"/>
      <c r="AK76" s="111">
        <f t="shared" si="12"/>
        <v>1806.3300000000002</v>
      </c>
      <c r="AL76" s="446">
        <f t="shared" si="13"/>
        <v>0</v>
      </c>
      <c r="AM76" s="110">
        <f t="shared" si="14"/>
        <v>85</v>
      </c>
      <c r="AN76" s="447">
        <f t="shared" si="9"/>
        <v>0</v>
      </c>
      <c r="AO76"/>
      <c r="AP76"/>
    </row>
    <row r="77" spans="1:42" ht="66" x14ac:dyDescent="0.25">
      <c r="A77" s="9"/>
      <c r="B77" s="34" t="s">
        <v>1072</v>
      </c>
      <c r="C77" s="1024"/>
      <c r="D77" s="869">
        <f>5+11+9+3+10</f>
        <v>38</v>
      </c>
      <c r="E77" s="1027" t="s">
        <v>1725</v>
      </c>
      <c r="F77" s="273" t="s">
        <v>3446</v>
      </c>
      <c r="G77" s="1040" t="s">
        <v>3463</v>
      </c>
      <c r="H77" s="273" t="s">
        <v>3462</v>
      </c>
      <c r="I77" s="720">
        <f t="shared" si="15"/>
        <v>102.05500000000001</v>
      </c>
      <c r="J77" s="756">
        <f>391.98+1090.6+769.22+401.98+1224.31</f>
        <v>3878.09</v>
      </c>
      <c r="K77" s="131">
        <f t="shared" si="7"/>
        <v>3878.09</v>
      </c>
      <c r="L77" s="335">
        <f t="shared" si="10"/>
        <v>0</v>
      </c>
      <c r="M77" s="446"/>
      <c r="N77" s="446"/>
      <c r="O77" s="446"/>
      <c r="P77" s="446"/>
      <c r="Q77" s="110">
        <v>10</v>
      </c>
      <c r="R77" s="111">
        <f t="shared" si="2"/>
        <v>969.52250000000004</v>
      </c>
      <c r="S77" s="110"/>
      <c r="T77" s="110"/>
      <c r="U77" s="110">
        <v>10</v>
      </c>
      <c r="V77" s="111">
        <f t="shared" si="4"/>
        <v>969.52250000000004</v>
      </c>
      <c r="W77" s="110"/>
      <c r="X77" s="110"/>
      <c r="Y77" s="110"/>
      <c r="Z77" s="110"/>
      <c r="AA77" s="110">
        <v>9</v>
      </c>
      <c r="AB77" s="111">
        <f t="shared" si="11"/>
        <v>969.52250000000004</v>
      </c>
      <c r="AC77" s="110"/>
      <c r="AD77" s="110"/>
      <c r="AE77" s="110">
        <v>9</v>
      </c>
      <c r="AF77" s="111">
        <f t="shared" si="8"/>
        <v>969.52250000000004</v>
      </c>
      <c r="AG77" s="110"/>
      <c r="AH77" s="110"/>
      <c r="AI77" s="110"/>
      <c r="AJ77" s="110"/>
      <c r="AK77" s="111">
        <f t="shared" si="12"/>
        <v>3878.09</v>
      </c>
      <c r="AL77" s="446">
        <f t="shared" si="13"/>
        <v>0</v>
      </c>
      <c r="AM77" s="110">
        <f t="shared" si="14"/>
        <v>38</v>
      </c>
      <c r="AN77" s="447">
        <f t="shared" si="9"/>
        <v>0</v>
      </c>
      <c r="AO77"/>
      <c r="AP77"/>
    </row>
    <row r="78" spans="1:42" ht="66" x14ac:dyDescent="0.25">
      <c r="A78" s="9"/>
      <c r="B78" s="34" t="s">
        <v>1404</v>
      </c>
      <c r="C78" s="1024"/>
      <c r="D78" s="869">
        <f>2+20</f>
        <v>22</v>
      </c>
      <c r="E78" s="1027" t="s">
        <v>1725</v>
      </c>
      <c r="F78" s="273" t="s">
        <v>3446</v>
      </c>
      <c r="G78" s="1040" t="s">
        <v>3463</v>
      </c>
      <c r="H78" s="273" t="s">
        <v>3462</v>
      </c>
      <c r="I78" s="720">
        <f t="shared" si="15"/>
        <v>754.96909090909094</v>
      </c>
      <c r="J78" s="756">
        <f>2600+14009.32</f>
        <v>16609.32</v>
      </c>
      <c r="K78" s="131">
        <f t="shared" si="7"/>
        <v>16609.32</v>
      </c>
      <c r="L78" s="335">
        <f t="shared" si="10"/>
        <v>0</v>
      </c>
      <c r="M78" s="446"/>
      <c r="N78" s="446"/>
      <c r="O78" s="446"/>
      <c r="P78" s="446"/>
      <c r="Q78" s="110">
        <v>6</v>
      </c>
      <c r="R78" s="111">
        <f t="shared" ref="R78:R141" si="16">+J78/4</f>
        <v>4152.33</v>
      </c>
      <c r="S78" s="110"/>
      <c r="T78" s="110"/>
      <c r="U78" s="110">
        <v>6</v>
      </c>
      <c r="V78" s="111">
        <f t="shared" ref="V78:V141" si="17">+J78/4</f>
        <v>4152.33</v>
      </c>
      <c r="W78" s="110"/>
      <c r="X78" s="110"/>
      <c r="Y78" s="110"/>
      <c r="Z78" s="110"/>
      <c r="AA78" s="110">
        <v>5</v>
      </c>
      <c r="AB78" s="111">
        <f t="shared" si="11"/>
        <v>4152.33</v>
      </c>
      <c r="AC78" s="110"/>
      <c r="AD78" s="110"/>
      <c r="AE78" s="110">
        <v>5</v>
      </c>
      <c r="AF78" s="111">
        <f t="shared" si="8"/>
        <v>4152.33</v>
      </c>
      <c r="AG78" s="110"/>
      <c r="AH78" s="110"/>
      <c r="AI78" s="110"/>
      <c r="AJ78" s="110"/>
      <c r="AK78" s="111">
        <f t="shared" si="12"/>
        <v>16609.32</v>
      </c>
      <c r="AL78" s="446">
        <f t="shared" si="13"/>
        <v>0</v>
      </c>
      <c r="AM78" s="110">
        <f t="shared" si="14"/>
        <v>22</v>
      </c>
      <c r="AN78" s="447">
        <f t="shared" si="9"/>
        <v>0</v>
      </c>
      <c r="AO78"/>
      <c r="AP78"/>
    </row>
    <row r="79" spans="1:42" ht="66" x14ac:dyDescent="0.25">
      <c r="A79" s="9"/>
      <c r="B79" s="137" t="s">
        <v>1405</v>
      </c>
      <c r="C79" s="1024"/>
      <c r="D79" s="869">
        <f>20</f>
        <v>20</v>
      </c>
      <c r="E79" s="1024" t="s">
        <v>1721</v>
      </c>
      <c r="F79" s="273" t="s">
        <v>3446</v>
      </c>
      <c r="G79" s="1040" t="s">
        <v>3463</v>
      </c>
      <c r="H79" s="273" t="s">
        <v>3462</v>
      </c>
      <c r="I79" s="720">
        <f t="shared" si="15"/>
        <v>25</v>
      </c>
      <c r="J79" s="757">
        <f>500</f>
        <v>500</v>
      </c>
      <c r="K79" s="131">
        <f t="shared" ref="K79:K142" si="18">+D79*I79</f>
        <v>500</v>
      </c>
      <c r="L79" s="335">
        <f t="shared" si="10"/>
        <v>0</v>
      </c>
      <c r="M79" s="446"/>
      <c r="N79" s="446"/>
      <c r="O79" s="446"/>
      <c r="P79" s="446"/>
      <c r="Q79" s="110">
        <f t="shared" ref="Q79:Q122" si="19">+$D79/4</f>
        <v>5</v>
      </c>
      <c r="R79" s="111">
        <f t="shared" si="16"/>
        <v>125</v>
      </c>
      <c r="S79" s="110"/>
      <c r="T79" s="110"/>
      <c r="U79" s="110">
        <f t="shared" ref="U79:U122" si="20">+$D79/4</f>
        <v>5</v>
      </c>
      <c r="V79" s="111">
        <f t="shared" si="17"/>
        <v>125</v>
      </c>
      <c r="W79" s="110"/>
      <c r="X79" s="110"/>
      <c r="Y79" s="110"/>
      <c r="Z79" s="110"/>
      <c r="AA79" s="110">
        <f t="shared" ref="AA79:AE122" si="21">+$D79/4</f>
        <v>5</v>
      </c>
      <c r="AB79" s="111">
        <f t="shared" si="11"/>
        <v>125</v>
      </c>
      <c r="AC79" s="110"/>
      <c r="AD79" s="110"/>
      <c r="AE79" s="110">
        <f t="shared" si="21"/>
        <v>5</v>
      </c>
      <c r="AF79" s="111">
        <f t="shared" ref="AF79:AF142" si="22">+J79/4</f>
        <v>125</v>
      </c>
      <c r="AG79" s="110"/>
      <c r="AH79" s="110"/>
      <c r="AI79" s="110"/>
      <c r="AJ79" s="110"/>
      <c r="AK79" s="111">
        <f t="shared" si="12"/>
        <v>500</v>
      </c>
      <c r="AL79" s="446">
        <f t="shared" si="13"/>
        <v>0</v>
      </c>
      <c r="AM79" s="110">
        <f t="shared" si="14"/>
        <v>20</v>
      </c>
      <c r="AN79" s="447">
        <f t="shared" ref="AN79:AN142" si="23">+D79-AM79</f>
        <v>0</v>
      </c>
      <c r="AO79"/>
      <c r="AP79"/>
    </row>
    <row r="80" spans="1:42" ht="66" x14ac:dyDescent="0.25">
      <c r="A80" s="9"/>
      <c r="B80" s="152" t="s">
        <v>75</v>
      </c>
      <c r="C80" s="42"/>
      <c r="D80" s="870">
        <f>36+2</f>
        <v>38</v>
      </c>
      <c r="E80" s="48" t="s">
        <v>1721</v>
      </c>
      <c r="F80" s="273" t="s">
        <v>3446</v>
      </c>
      <c r="G80" s="1040" t="s">
        <v>3463</v>
      </c>
      <c r="H80" s="273" t="s">
        <v>3462</v>
      </c>
      <c r="I80" s="720">
        <f t="shared" si="15"/>
        <v>46.168157894736837</v>
      </c>
      <c r="J80" s="758">
        <f>1662.05+92.34</f>
        <v>1754.3899999999999</v>
      </c>
      <c r="K80" s="131">
        <f t="shared" si="18"/>
        <v>1754.3899999999999</v>
      </c>
      <c r="L80" s="335">
        <f t="shared" ref="L80:L143" si="24">+J80-K80</f>
        <v>0</v>
      </c>
      <c r="M80" s="446"/>
      <c r="N80" s="446"/>
      <c r="O80" s="446"/>
      <c r="P80" s="446"/>
      <c r="Q80" s="110">
        <v>10</v>
      </c>
      <c r="R80" s="111">
        <f t="shared" si="16"/>
        <v>438.59749999999997</v>
      </c>
      <c r="S80" s="110"/>
      <c r="T80" s="110"/>
      <c r="U80" s="110">
        <v>10</v>
      </c>
      <c r="V80" s="111">
        <f t="shared" si="17"/>
        <v>438.59749999999997</v>
      </c>
      <c r="W80" s="110"/>
      <c r="X80" s="110"/>
      <c r="Y80" s="110"/>
      <c r="Z80" s="110"/>
      <c r="AA80" s="110">
        <v>9</v>
      </c>
      <c r="AB80" s="111">
        <f t="shared" ref="AB80:AB143" si="25">+J80/4</f>
        <v>438.59749999999997</v>
      </c>
      <c r="AC80" s="110"/>
      <c r="AD80" s="110"/>
      <c r="AE80" s="110">
        <v>9</v>
      </c>
      <c r="AF80" s="111">
        <f t="shared" si="22"/>
        <v>438.59749999999997</v>
      </c>
      <c r="AG80" s="110"/>
      <c r="AH80" s="110"/>
      <c r="AI80" s="110"/>
      <c r="AJ80" s="110"/>
      <c r="AK80" s="111">
        <f t="shared" ref="AK80:AK143" si="26">+R80+V80+AB80+AF80</f>
        <v>1754.3899999999999</v>
      </c>
      <c r="AL80" s="446">
        <f t="shared" ref="AL80:AL143" si="27">+J80-AK80</f>
        <v>0</v>
      </c>
      <c r="AM80" s="110">
        <f t="shared" ref="AM80:AM143" si="28">+Q80+U80+AA80+AE80</f>
        <v>38</v>
      </c>
      <c r="AN80" s="447">
        <f t="shared" si="23"/>
        <v>0</v>
      </c>
      <c r="AO80"/>
      <c r="AP80"/>
    </row>
    <row r="81" spans="1:42" ht="66" x14ac:dyDescent="0.25">
      <c r="A81" s="9"/>
      <c r="B81" s="34" t="s">
        <v>76</v>
      </c>
      <c r="C81" s="1024"/>
      <c r="D81" s="869">
        <f>11+13+5+4</f>
        <v>33</v>
      </c>
      <c r="E81" s="48" t="s">
        <v>1721</v>
      </c>
      <c r="F81" s="273" t="s">
        <v>3446</v>
      </c>
      <c r="G81" s="1040" t="s">
        <v>3463</v>
      </c>
      <c r="H81" s="273" t="s">
        <v>3462</v>
      </c>
      <c r="I81" s="720">
        <f t="shared" si="15"/>
        <v>158.09393939393937</v>
      </c>
      <c r="J81" s="759">
        <f>1218.25+1677.49+751.5+1569.86</f>
        <v>5217.0999999999995</v>
      </c>
      <c r="K81" s="131">
        <f t="shared" si="18"/>
        <v>5217.0999999999995</v>
      </c>
      <c r="L81" s="335">
        <f t="shared" si="24"/>
        <v>0</v>
      </c>
      <c r="M81" s="446"/>
      <c r="N81" s="446"/>
      <c r="O81" s="446"/>
      <c r="P81" s="446"/>
      <c r="Q81" s="110">
        <v>9</v>
      </c>
      <c r="R81" s="111">
        <f t="shared" si="16"/>
        <v>1304.2749999999999</v>
      </c>
      <c r="S81" s="110"/>
      <c r="T81" s="110"/>
      <c r="U81" s="110">
        <v>8</v>
      </c>
      <c r="V81" s="111">
        <f t="shared" si="17"/>
        <v>1304.2749999999999</v>
      </c>
      <c r="W81" s="110"/>
      <c r="X81" s="110"/>
      <c r="Y81" s="110"/>
      <c r="Z81" s="110"/>
      <c r="AA81" s="110">
        <v>8</v>
      </c>
      <c r="AB81" s="111">
        <f t="shared" si="25"/>
        <v>1304.2749999999999</v>
      </c>
      <c r="AC81" s="110"/>
      <c r="AD81" s="110"/>
      <c r="AE81" s="110">
        <v>8</v>
      </c>
      <c r="AF81" s="111">
        <f t="shared" si="22"/>
        <v>1304.2749999999999</v>
      </c>
      <c r="AG81" s="110"/>
      <c r="AH81" s="110"/>
      <c r="AI81" s="110"/>
      <c r="AJ81" s="110"/>
      <c r="AK81" s="111">
        <f t="shared" si="26"/>
        <v>5217.0999999999995</v>
      </c>
      <c r="AL81" s="446">
        <f t="shared" si="27"/>
        <v>0</v>
      </c>
      <c r="AM81" s="110">
        <f t="shared" si="28"/>
        <v>33</v>
      </c>
      <c r="AN81" s="447">
        <f t="shared" si="23"/>
        <v>0</v>
      </c>
      <c r="AO81"/>
      <c r="AP81"/>
    </row>
    <row r="82" spans="1:42" ht="66" x14ac:dyDescent="0.25">
      <c r="A82" s="9"/>
      <c r="B82" s="121" t="s">
        <v>1406</v>
      </c>
      <c r="C82" s="1024"/>
      <c r="D82" s="869">
        <v>1</v>
      </c>
      <c r="E82" s="48" t="s">
        <v>1721</v>
      </c>
      <c r="F82" s="273" t="s">
        <v>3446</v>
      </c>
      <c r="G82" s="1040" t="s">
        <v>3463</v>
      </c>
      <c r="H82" s="273" t="s">
        <v>3462</v>
      </c>
      <c r="I82" s="720">
        <f t="shared" si="15"/>
        <v>987</v>
      </c>
      <c r="J82" s="759">
        <f>987</f>
        <v>987</v>
      </c>
      <c r="K82" s="131">
        <f t="shared" si="18"/>
        <v>987</v>
      </c>
      <c r="L82" s="335">
        <f t="shared" si="24"/>
        <v>0</v>
      </c>
      <c r="M82" s="446"/>
      <c r="N82" s="446"/>
      <c r="O82" s="446"/>
      <c r="P82" s="446"/>
      <c r="Q82" s="110">
        <v>1</v>
      </c>
      <c r="R82" s="111">
        <f t="shared" si="16"/>
        <v>246.75</v>
      </c>
      <c r="S82" s="110"/>
      <c r="T82" s="110"/>
      <c r="U82" s="110">
        <v>0</v>
      </c>
      <c r="V82" s="111">
        <f t="shared" si="17"/>
        <v>246.75</v>
      </c>
      <c r="W82" s="110"/>
      <c r="X82" s="110"/>
      <c r="Y82" s="110"/>
      <c r="Z82" s="110"/>
      <c r="AA82" s="110">
        <v>0</v>
      </c>
      <c r="AB82" s="111">
        <f t="shared" si="25"/>
        <v>246.75</v>
      </c>
      <c r="AC82" s="110"/>
      <c r="AD82" s="110"/>
      <c r="AE82" s="110">
        <v>0</v>
      </c>
      <c r="AF82" s="111">
        <f t="shared" si="22"/>
        <v>246.75</v>
      </c>
      <c r="AG82" s="110"/>
      <c r="AH82" s="110"/>
      <c r="AI82" s="110"/>
      <c r="AJ82" s="110"/>
      <c r="AK82" s="111">
        <f t="shared" si="26"/>
        <v>987</v>
      </c>
      <c r="AL82" s="446">
        <f t="shared" si="27"/>
        <v>0</v>
      </c>
      <c r="AM82" s="110">
        <f t="shared" si="28"/>
        <v>1</v>
      </c>
      <c r="AN82" s="447">
        <f t="shared" si="23"/>
        <v>0</v>
      </c>
      <c r="AO82"/>
      <c r="AP82"/>
    </row>
    <row r="83" spans="1:42" ht="66" x14ac:dyDescent="0.25">
      <c r="A83" s="9"/>
      <c r="B83" s="34" t="s">
        <v>77</v>
      </c>
      <c r="C83" s="1024"/>
      <c r="D83" s="869">
        <v>3</v>
      </c>
      <c r="E83" s="48" t="s">
        <v>1721</v>
      </c>
      <c r="F83" s="273" t="s">
        <v>3446</v>
      </c>
      <c r="G83" s="1040" t="s">
        <v>3463</v>
      </c>
      <c r="H83" s="273" t="s">
        <v>3462</v>
      </c>
      <c r="I83" s="720">
        <f t="shared" si="15"/>
        <v>85.990000000000009</v>
      </c>
      <c r="J83" s="759">
        <v>257.97000000000003</v>
      </c>
      <c r="K83" s="131">
        <f t="shared" si="18"/>
        <v>257.97000000000003</v>
      </c>
      <c r="L83" s="335">
        <f t="shared" si="24"/>
        <v>0</v>
      </c>
      <c r="M83" s="446"/>
      <c r="N83" s="446"/>
      <c r="O83" s="446"/>
      <c r="P83" s="446"/>
      <c r="Q83" s="110">
        <v>1</v>
      </c>
      <c r="R83" s="111">
        <f t="shared" si="16"/>
        <v>64.492500000000007</v>
      </c>
      <c r="S83" s="110"/>
      <c r="T83" s="110"/>
      <c r="U83" s="110">
        <v>1</v>
      </c>
      <c r="V83" s="111">
        <f t="shared" si="17"/>
        <v>64.492500000000007</v>
      </c>
      <c r="W83" s="110"/>
      <c r="X83" s="110"/>
      <c r="Y83" s="110"/>
      <c r="Z83" s="110"/>
      <c r="AA83" s="110">
        <v>1</v>
      </c>
      <c r="AB83" s="111">
        <f t="shared" si="25"/>
        <v>64.492500000000007</v>
      </c>
      <c r="AC83" s="110"/>
      <c r="AD83" s="110"/>
      <c r="AE83" s="110">
        <v>0</v>
      </c>
      <c r="AF83" s="111">
        <f t="shared" si="22"/>
        <v>64.492500000000007</v>
      </c>
      <c r="AG83" s="110"/>
      <c r="AH83" s="110"/>
      <c r="AI83" s="110"/>
      <c r="AJ83" s="110"/>
      <c r="AK83" s="111">
        <f t="shared" si="26"/>
        <v>257.97000000000003</v>
      </c>
      <c r="AL83" s="446">
        <f t="shared" si="27"/>
        <v>0</v>
      </c>
      <c r="AM83" s="110">
        <f t="shared" si="28"/>
        <v>3</v>
      </c>
      <c r="AN83" s="447">
        <f t="shared" si="23"/>
        <v>0</v>
      </c>
      <c r="AO83"/>
      <c r="AP83"/>
    </row>
    <row r="84" spans="1:42" ht="66" x14ac:dyDescent="0.25">
      <c r="A84" s="9"/>
      <c r="B84" s="34" t="s">
        <v>78</v>
      </c>
      <c r="C84" s="1024"/>
      <c r="D84" s="869">
        <f>2+10</f>
        <v>12</v>
      </c>
      <c r="E84" s="48" t="s">
        <v>1721</v>
      </c>
      <c r="F84" s="273" t="s">
        <v>3446</v>
      </c>
      <c r="G84" s="1040" t="s">
        <v>3463</v>
      </c>
      <c r="H84" s="273" t="s">
        <v>3462</v>
      </c>
      <c r="I84" s="720">
        <f t="shared" si="15"/>
        <v>54.904166666666669</v>
      </c>
      <c r="J84" s="759">
        <f>296+362.85</f>
        <v>658.85</v>
      </c>
      <c r="K84" s="131">
        <f t="shared" si="18"/>
        <v>658.85</v>
      </c>
      <c r="L84" s="335">
        <f t="shared" si="24"/>
        <v>0</v>
      </c>
      <c r="M84" s="446"/>
      <c r="N84" s="446"/>
      <c r="O84" s="446"/>
      <c r="P84" s="446"/>
      <c r="Q84" s="110">
        <f t="shared" si="19"/>
        <v>3</v>
      </c>
      <c r="R84" s="111">
        <f t="shared" si="16"/>
        <v>164.71250000000001</v>
      </c>
      <c r="S84" s="110"/>
      <c r="T84" s="110"/>
      <c r="U84" s="110">
        <f t="shared" si="20"/>
        <v>3</v>
      </c>
      <c r="V84" s="111">
        <f t="shared" si="17"/>
        <v>164.71250000000001</v>
      </c>
      <c r="W84" s="110"/>
      <c r="X84" s="110"/>
      <c r="Y84" s="110"/>
      <c r="Z84" s="110"/>
      <c r="AA84" s="110">
        <f t="shared" si="21"/>
        <v>3</v>
      </c>
      <c r="AB84" s="111">
        <f t="shared" si="25"/>
        <v>164.71250000000001</v>
      </c>
      <c r="AC84" s="110"/>
      <c r="AD84" s="110"/>
      <c r="AE84" s="110">
        <f t="shared" si="21"/>
        <v>3</v>
      </c>
      <c r="AF84" s="111">
        <f t="shared" si="22"/>
        <v>164.71250000000001</v>
      </c>
      <c r="AG84" s="110"/>
      <c r="AH84" s="110"/>
      <c r="AI84" s="110"/>
      <c r="AJ84" s="110"/>
      <c r="AK84" s="111">
        <f t="shared" si="26"/>
        <v>658.85</v>
      </c>
      <c r="AL84" s="446">
        <f t="shared" si="27"/>
        <v>0</v>
      </c>
      <c r="AM84" s="110">
        <f t="shared" si="28"/>
        <v>12</v>
      </c>
      <c r="AN84" s="447">
        <f t="shared" si="23"/>
        <v>0</v>
      </c>
      <c r="AO84"/>
      <c r="AP84"/>
    </row>
    <row r="85" spans="1:42" ht="66" x14ac:dyDescent="0.25">
      <c r="A85" s="9"/>
      <c r="B85" s="34" t="s">
        <v>79</v>
      </c>
      <c r="C85" s="1024"/>
      <c r="D85" s="869">
        <f>4</f>
        <v>4</v>
      </c>
      <c r="E85" s="1024" t="s">
        <v>1725</v>
      </c>
      <c r="F85" s="273" t="s">
        <v>3446</v>
      </c>
      <c r="G85" s="1040" t="s">
        <v>3463</v>
      </c>
      <c r="H85" s="273" t="s">
        <v>3462</v>
      </c>
      <c r="I85" s="720">
        <f t="shared" si="15"/>
        <v>30.37</v>
      </c>
      <c r="J85" s="759">
        <f>121.48</f>
        <v>121.48</v>
      </c>
      <c r="K85" s="131">
        <f t="shared" si="18"/>
        <v>121.48</v>
      </c>
      <c r="L85" s="335">
        <f t="shared" si="24"/>
        <v>0</v>
      </c>
      <c r="M85" s="446"/>
      <c r="N85" s="446"/>
      <c r="O85" s="446"/>
      <c r="P85" s="446"/>
      <c r="Q85" s="110">
        <f t="shared" si="19"/>
        <v>1</v>
      </c>
      <c r="R85" s="111">
        <f t="shared" si="16"/>
        <v>30.37</v>
      </c>
      <c r="S85" s="110"/>
      <c r="T85" s="110"/>
      <c r="U85" s="110">
        <f t="shared" si="20"/>
        <v>1</v>
      </c>
      <c r="V85" s="111">
        <f t="shared" si="17"/>
        <v>30.37</v>
      </c>
      <c r="W85" s="110"/>
      <c r="X85" s="110"/>
      <c r="Y85" s="110"/>
      <c r="Z85" s="110"/>
      <c r="AA85" s="110">
        <f t="shared" si="21"/>
        <v>1</v>
      </c>
      <c r="AB85" s="111">
        <f t="shared" si="25"/>
        <v>30.37</v>
      </c>
      <c r="AC85" s="110"/>
      <c r="AD85" s="110"/>
      <c r="AE85" s="110">
        <f t="shared" si="21"/>
        <v>1</v>
      </c>
      <c r="AF85" s="111">
        <f t="shared" si="22"/>
        <v>30.37</v>
      </c>
      <c r="AG85" s="110"/>
      <c r="AH85" s="110"/>
      <c r="AI85" s="110"/>
      <c r="AJ85" s="110"/>
      <c r="AK85" s="111">
        <f t="shared" si="26"/>
        <v>121.48</v>
      </c>
      <c r="AL85" s="446">
        <f t="shared" si="27"/>
        <v>0</v>
      </c>
      <c r="AM85" s="110">
        <f t="shared" si="28"/>
        <v>4</v>
      </c>
      <c r="AN85" s="447">
        <f t="shared" si="23"/>
        <v>0</v>
      </c>
      <c r="AO85"/>
      <c r="AP85"/>
    </row>
    <row r="86" spans="1:42" ht="66" x14ac:dyDescent="0.25">
      <c r="A86" s="9"/>
      <c r="B86" s="34" t="s">
        <v>80</v>
      </c>
      <c r="C86" s="1024"/>
      <c r="D86" s="869">
        <f>2+36+34+6</f>
        <v>78</v>
      </c>
      <c r="E86" s="1024" t="s">
        <v>1723</v>
      </c>
      <c r="F86" s="273" t="s">
        <v>3446</v>
      </c>
      <c r="G86" s="1040" t="s">
        <v>3463</v>
      </c>
      <c r="H86" s="273" t="s">
        <v>3462</v>
      </c>
      <c r="I86" s="720">
        <f t="shared" si="15"/>
        <v>11.415897435897437</v>
      </c>
      <c r="J86" s="759">
        <f>21.94+519.19+249.5+99.81</f>
        <v>890.44</v>
      </c>
      <c r="K86" s="131">
        <f t="shared" si="18"/>
        <v>890.44</v>
      </c>
      <c r="L86" s="335">
        <f t="shared" si="24"/>
        <v>0</v>
      </c>
      <c r="M86" s="446"/>
      <c r="N86" s="446"/>
      <c r="O86" s="446"/>
      <c r="P86" s="446"/>
      <c r="Q86" s="110">
        <v>19</v>
      </c>
      <c r="R86" s="111">
        <f t="shared" si="16"/>
        <v>222.61</v>
      </c>
      <c r="S86" s="110"/>
      <c r="T86" s="110"/>
      <c r="U86" s="110">
        <v>19</v>
      </c>
      <c r="V86" s="111">
        <f t="shared" si="17"/>
        <v>222.61</v>
      </c>
      <c r="W86" s="110"/>
      <c r="X86" s="110"/>
      <c r="Y86" s="110"/>
      <c r="Z86" s="110"/>
      <c r="AA86" s="110">
        <v>20</v>
      </c>
      <c r="AB86" s="111">
        <f t="shared" si="25"/>
        <v>222.61</v>
      </c>
      <c r="AC86" s="110"/>
      <c r="AD86" s="110"/>
      <c r="AE86" s="110">
        <v>20</v>
      </c>
      <c r="AF86" s="111">
        <f t="shared" si="22"/>
        <v>222.61</v>
      </c>
      <c r="AG86" s="110"/>
      <c r="AH86" s="110"/>
      <c r="AI86" s="110"/>
      <c r="AJ86" s="110"/>
      <c r="AK86" s="111">
        <f t="shared" si="26"/>
        <v>890.44</v>
      </c>
      <c r="AL86" s="446">
        <f t="shared" si="27"/>
        <v>0</v>
      </c>
      <c r="AM86" s="110">
        <f t="shared" si="28"/>
        <v>78</v>
      </c>
      <c r="AN86" s="447">
        <f t="shared" si="23"/>
        <v>0</v>
      </c>
      <c r="AO86"/>
      <c r="AP86"/>
    </row>
    <row r="87" spans="1:42" ht="66" x14ac:dyDescent="0.25">
      <c r="A87" s="9"/>
      <c r="B87" s="34" t="s">
        <v>1407</v>
      </c>
      <c r="C87" s="1024"/>
      <c r="D87" s="869">
        <v>1</v>
      </c>
      <c r="E87" s="1024" t="s">
        <v>1721</v>
      </c>
      <c r="F87" s="273" t="s">
        <v>3446</v>
      </c>
      <c r="G87" s="1040" t="s">
        <v>3463</v>
      </c>
      <c r="H87" s="273" t="s">
        <v>3462</v>
      </c>
      <c r="I87" s="720">
        <f>+J87/D87</f>
        <v>1581</v>
      </c>
      <c r="J87" s="759">
        <f>1581</f>
        <v>1581</v>
      </c>
      <c r="K87" s="131">
        <f t="shared" si="18"/>
        <v>1581</v>
      </c>
      <c r="L87" s="335">
        <f t="shared" si="24"/>
        <v>0</v>
      </c>
      <c r="M87" s="446"/>
      <c r="N87" s="446"/>
      <c r="O87" s="446"/>
      <c r="P87" s="446"/>
      <c r="Q87" s="110">
        <v>1</v>
      </c>
      <c r="R87" s="111">
        <f t="shared" si="16"/>
        <v>395.25</v>
      </c>
      <c r="S87" s="110"/>
      <c r="T87" s="110"/>
      <c r="U87" s="110">
        <v>0</v>
      </c>
      <c r="V87" s="111">
        <f t="shared" si="17"/>
        <v>395.25</v>
      </c>
      <c r="W87" s="110"/>
      <c r="X87" s="110"/>
      <c r="Y87" s="110"/>
      <c r="Z87" s="110"/>
      <c r="AA87" s="110">
        <v>0</v>
      </c>
      <c r="AB87" s="111">
        <f t="shared" si="25"/>
        <v>395.25</v>
      </c>
      <c r="AC87" s="110"/>
      <c r="AD87" s="110"/>
      <c r="AE87" s="110">
        <v>0</v>
      </c>
      <c r="AF87" s="111">
        <f t="shared" si="22"/>
        <v>395.25</v>
      </c>
      <c r="AG87" s="110"/>
      <c r="AH87" s="110"/>
      <c r="AI87" s="110"/>
      <c r="AJ87" s="110"/>
      <c r="AK87" s="111">
        <f t="shared" si="26"/>
        <v>1581</v>
      </c>
      <c r="AL87" s="446">
        <f t="shared" si="27"/>
        <v>0</v>
      </c>
      <c r="AM87" s="110">
        <f t="shared" si="28"/>
        <v>1</v>
      </c>
      <c r="AN87" s="447">
        <f t="shared" si="23"/>
        <v>0</v>
      </c>
      <c r="AO87"/>
      <c r="AP87"/>
    </row>
    <row r="88" spans="1:42" ht="66" x14ac:dyDescent="0.25">
      <c r="A88" s="9"/>
      <c r="B88" s="34" t="s">
        <v>81</v>
      </c>
      <c r="C88" s="1024"/>
      <c r="D88" s="869">
        <f>9+50+58</f>
        <v>117</v>
      </c>
      <c r="E88" s="1024" t="s">
        <v>1721</v>
      </c>
      <c r="F88" s="273" t="s">
        <v>3446</v>
      </c>
      <c r="G88" s="1040" t="s">
        <v>3463</v>
      </c>
      <c r="H88" s="273" t="s">
        <v>3462</v>
      </c>
      <c r="I88" s="720">
        <f>+J88/D88</f>
        <v>5.640769230769231</v>
      </c>
      <c r="J88" s="759">
        <f>30.12+203.58+426.27</f>
        <v>659.97</v>
      </c>
      <c r="K88" s="131">
        <f t="shared" si="18"/>
        <v>659.97</v>
      </c>
      <c r="L88" s="335">
        <f t="shared" si="24"/>
        <v>0</v>
      </c>
      <c r="M88" s="446"/>
      <c r="N88" s="446"/>
      <c r="O88" s="446"/>
      <c r="P88" s="446"/>
      <c r="Q88" s="110">
        <v>30</v>
      </c>
      <c r="R88" s="111">
        <f t="shared" si="16"/>
        <v>164.99250000000001</v>
      </c>
      <c r="S88" s="110"/>
      <c r="T88" s="110"/>
      <c r="U88" s="110">
        <v>29</v>
      </c>
      <c r="V88" s="111">
        <f t="shared" si="17"/>
        <v>164.99250000000001</v>
      </c>
      <c r="W88" s="110"/>
      <c r="X88" s="110"/>
      <c r="Y88" s="110"/>
      <c r="Z88" s="110"/>
      <c r="AA88" s="110">
        <v>29</v>
      </c>
      <c r="AB88" s="111">
        <f t="shared" si="25"/>
        <v>164.99250000000001</v>
      </c>
      <c r="AC88" s="110"/>
      <c r="AD88" s="110"/>
      <c r="AE88" s="110">
        <v>29</v>
      </c>
      <c r="AF88" s="111">
        <f t="shared" si="22"/>
        <v>164.99250000000001</v>
      </c>
      <c r="AG88" s="110"/>
      <c r="AH88" s="110"/>
      <c r="AI88" s="110"/>
      <c r="AJ88" s="110"/>
      <c r="AK88" s="111">
        <f t="shared" si="26"/>
        <v>659.97</v>
      </c>
      <c r="AL88" s="446">
        <f t="shared" si="27"/>
        <v>0</v>
      </c>
      <c r="AM88" s="110">
        <f t="shared" si="28"/>
        <v>117</v>
      </c>
      <c r="AN88" s="447">
        <f t="shared" si="23"/>
        <v>0</v>
      </c>
      <c r="AO88"/>
      <c r="AP88"/>
    </row>
    <row r="89" spans="1:42" ht="66" x14ac:dyDescent="0.25">
      <c r="A89" s="9"/>
      <c r="B89" s="34" t="s">
        <v>83</v>
      </c>
      <c r="C89" s="1024"/>
      <c r="D89" s="869">
        <f>1+3</f>
        <v>4</v>
      </c>
      <c r="E89" s="1027" t="s">
        <v>1721</v>
      </c>
      <c r="F89" s="273" t="s">
        <v>3446</v>
      </c>
      <c r="G89" s="1040" t="s">
        <v>3463</v>
      </c>
      <c r="H89" s="273" t="s">
        <v>3462</v>
      </c>
      <c r="I89" s="720">
        <f>+J89/D89</f>
        <v>544.32249999999999</v>
      </c>
      <c r="J89" s="756">
        <f>689.04+2177.29-689.04</f>
        <v>2177.29</v>
      </c>
      <c r="K89" s="131">
        <f t="shared" si="18"/>
        <v>2177.29</v>
      </c>
      <c r="L89" s="335">
        <f t="shared" si="24"/>
        <v>0</v>
      </c>
      <c r="M89" s="446"/>
      <c r="N89" s="446"/>
      <c r="O89" s="446"/>
      <c r="P89" s="446"/>
      <c r="Q89" s="110">
        <f t="shared" si="19"/>
        <v>1</v>
      </c>
      <c r="R89" s="111">
        <f t="shared" si="16"/>
        <v>544.32249999999999</v>
      </c>
      <c r="S89" s="110"/>
      <c r="T89" s="110"/>
      <c r="U89" s="110">
        <f t="shared" si="20"/>
        <v>1</v>
      </c>
      <c r="V89" s="111">
        <f t="shared" si="17"/>
        <v>544.32249999999999</v>
      </c>
      <c r="W89" s="110"/>
      <c r="X89" s="110"/>
      <c r="Y89" s="110"/>
      <c r="Z89" s="110"/>
      <c r="AA89" s="110">
        <f t="shared" si="21"/>
        <v>1</v>
      </c>
      <c r="AB89" s="111">
        <f t="shared" si="25"/>
        <v>544.32249999999999</v>
      </c>
      <c r="AC89" s="110"/>
      <c r="AD89" s="110"/>
      <c r="AE89" s="110">
        <f t="shared" si="21"/>
        <v>1</v>
      </c>
      <c r="AF89" s="111">
        <f t="shared" si="22"/>
        <v>544.32249999999999</v>
      </c>
      <c r="AG89" s="110"/>
      <c r="AH89" s="110"/>
      <c r="AI89" s="110"/>
      <c r="AJ89" s="110"/>
      <c r="AK89" s="111">
        <f t="shared" si="26"/>
        <v>2177.29</v>
      </c>
      <c r="AL89" s="446">
        <f t="shared" si="27"/>
        <v>0</v>
      </c>
      <c r="AM89" s="110">
        <f t="shared" si="28"/>
        <v>4</v>
      </c>
      <c r="AN89" s="447">
        <f t="shared" si="23"/>
        <v>0</v>
      </c>
      <c r="AO89"/>
      <c r="AP89"/>
    </row>
    <row r="90" spans="1:42" ht="66" x14ac:dyDescent="0.25">
      <c r="A90" s="9"/>
      <c r="B90" s="34" t="s">
        <v>84</v>
      </c>
      <c r="C90" s="1024"/>
      <c r="D90" s="869">
        <f>1+3</f>
        <v>4</v>
      </c>
      <c r="E90" s="1027" t="s">
        <v>1721</v>
      </c>
      <c r="F90" s="273" t="s">
        <v>3446</v>
      </c>
      <c r="G90" s="1040" t="s">
        <v>3463</v>
      </c>
      <c r="H90" s="273" t="s">
        <v>3462</v>
      </c>
      <c r="I90" s="720">
        <f>+J90/D90</f>
        <v>310.39250000000004</v>
      </c>
      <c r="J90" s="756">
        <f>464+777.57</f>
        <v>1241.5700000000002</v>
      </c>
      <c r="K90" s="131">
        <f t="shared" si="18"/>
        <v>1241.5700000000002</v>
      </c>
      <c r="L90" s="335">
        <f t="shared" si="24"/>
        <v>0</v>
      </c>
      <c r="M90" s="446"/>
      <c r="N90" s="446"/>
      <c r="O90" s="446"/>
      <c r="P90" s="446"/>
      <c r="Q90" s="110">
        <f t="shared" si="19"/>
        <v>1</v>
      </c>
      <c r="R90" s="111">
        <f t="shared" si="16"/>
        <v>310.39250000000004</v>
      </c>
      <c r="S90" s="110"/>
      <c r="T90" s="110"/>
      <c r="U90" s="110">
        <f t="shared" si="20"/>
        <v>1</v>
      </c>
      <c r="V90" s="111">
        <f t="shared" si="17"/>
        <v>310.39250000000004</v>
      </c>
      <c r="W90" s="110"/>
      <c r="X90" s="110"/>
      <c r="Y90" s="110"/>
      <c r="Z90" s="110"/>
      <c r="AA90" s="110">
        <f t="shared" si="21"/>
        <v>1</v>
      </c>
      <c r="AB90" s="111">
        <f t="shared" si="25"/>
        <v>310.39250000000004</v>
      </c>
      <c r="AC90" s="110"/>
      <c r="AD90" s="110"/>
      <c r="AE90" s="110">
        <f t="shared" si="21"/>
        <v>1</v>
      </c>
      <c r="AF90" s="111">
        <f t="shared" si="22"/>
        <v>310.39250000000004</v>
      </c>
      <c r="AG90" s="110"/>
      <c r="AH90" s="110"/>
      <c r="AI90" s="110"/>
      <c r="AJ90" s="110"/>
      <c r="AK90" s="111">
        <f t="shared" si="26"/>
        <v>1241.5700000000002</v>
      </c>
      <c r="AL90" s="446">
        <f t="shared" si="27"/>
        <v>0</v>
      </c>
      <c r="AM90" s="110">
        <f t="shared" si="28"/>
        <v>4</v>
      </c>
      <c r="AN90" s="447">
        <f t="shared" si="23"/>
        <v>0</v>
      </c>
      <c r="AO90"/>
      <c r="AP90"/>
    </row>
    <row r="91" spans="1:42" ht="66" x14ac:dyDescent="0.25">
      <c r="A91" s="9"/>
      <c r="B91" s="1031" t="s">
        <v>87</v>
      </c>
      <c r="C91" s="1024"/>
      <c r="D91" s="869">
        <v>9</v>
      </c>
      <c r="E91" s="1027" t="s">
        <v>1834</v>
      </c>
      <c r="F91" s="273" t="s">
        <v>3446</v>
      </c>
      <c r="G91" s="1040" t="s">
        <v>3463</v>
      </c>
      <c r="H91" s="273" t="s">
        <v>3462</v>
      </c>
      <c r="I91" s="720">
        <f>+J91/D91</f>
        <v>169.31333333333333</v>
      </c>
      <c r="J91" s="756">
        <v>1523.82</v>
      </c>
      <c r="K91" s="131">
        <f t="shared" si="18"/>
        <v>1523.82</v>
      </c>
      <c r="L91" s="335">
        <f t="shared" si="24"/>
        <v>0</v>
      </c>
      <c r="M91" s="446"/>
      <c r="N91" s="446"/>
      <c r="O91" s="446"/>
      <c r="P91" s="446"/>
      <c r="Q91" s="110">
        <v>3</v>
      </c>
      <c r="R91" s="111">
        <f t="shared" si="16"/>
        <v>380.95499999999998</v>
      </c>
      <c r="S91" s="110"/>
      <c r="T91" s="110"/>
      <c r="U91" s="110">
        <v>2</v>
      </c>
      <c r="V91" s="111">
        <f t="shared" si="17"/>
        <v>380.95499999999998</v>
      </c>
      <c r="W91" s="110"/>
      <c r="X91" s="110"/>
      <c r="Y91" s="110"/>
      <c r="Z91" s="110"/>
      <c r="AA91" s="110">
        <v>2</v>
      </c>
      <c r="AB91" s="111">
        <f t="shared" si="25"/>
        <v>380.95499999999998</v>
      </c>
      <c r="AC91" s="110"/>
      <c r="AD91" s="110"/>
      <c r="AE91" s="110">
        <v>2</v>
      </c>
      <c r="AF91" s="111">
        <f t="shared" si="22"/>
        <v>380.95499999999998</v>
      </c>
      <c r="AG91" s="110"/>
      <c r="AH91" s="110"/>
      <c r="AI91" s="110"/>
      <c r="AJ91" s="110"/>
      <c r="AK91" s="111">
        <f t="shared" si="26"/>
        <v>1523.82</v>
      </c>
      <c r="AL91" s="446">
        <f t="shared" si="27"/>
        <v>0</v>
      </c>
      <c r="AM91" s="110">
        <f t="shared" si="28"/>
        <v>9</v>
      </c>
      <c r="AN91" s="447">
        <f t="shared" si="23"/>
        <v>0</v>
      </c>
      <c r="AO91"/>
      <c r="AP91"/>
    </row>
    <row r="92" spans="1:42" ht="66" x14ac:dyDescent="0.25">
      <c r="A92" s="9"/>
      <c r="B92" s="1031" t="s">
        <v>89</v>
      </c>
      <c r="C92" s="1024"/>
      <c r="D92" s="869">
        <v>10</v>
      </c>
      <c r="E92" s="1027" t="s">
        <v>1721</v>
      </c>
      <c r="F92" s="273" t="s">
        <v>3446</v>
      </c>
      <c r="G92" s="1040" t="s">
        <v>3463</v>
      </c>
      <c r="H92" s="273" t="s">
        <v>3462</v>
      </c>
      <c r="I92" s="720">
        <f t="shared" ref="I92:I155" si="29">+J92/D92</f>
        <v>84.064999999999998</v>
      </c>
      <c r="J92" s="756">
        <v>840.65</v>
      </c>
      <c r="K92" s="131">
        <f t="shared" si="18"/>
        <v>840.65</v>
      </c>
      <c r="L92" s="335">
        <f t="shared" si="24"/>
        <v>0</v>
      </c>
      <c r="M92" s="446"/>
      <c r="N92" s="446"/>
      <c r="O92" s="446"/>
      <c r="P92" s="446"/>
      <c r="Q92" s="110">
        <v>3</v>
      </c>
      <c r="R92" s="111">
        <f t="shared" si="16"/>
        <v>210.16249999999999</v>
      </c>
      <c r="S92" s="110"/>
      <c r="T92" s="110"/>
      <c r="U92" s="110">
        <v>3</v>
      </c>
      <c r="V92" s="111">
        <f t="shared" si="17"/>
        <v>210.16249999999999</v>
      </c>
      <c r="W92" s="110"/>
      <c r="X92" s="110"/>
      <c r="Y92" s="110"/>
      <c r="Z92" s="110"/>
      <c r="AA92" s="110">
        <v>2</v>
      </c>
      <c r="AB92" s="111">
        <f t="shared" si="25"/>
        <v>210.16249999999999</v>
      </c>
      <c r="AC92" s="110"/>
      <c r="AD92" s="110"/>
      <c r="AE92" s="110">
        <v>2</v>
      </c>
      <c r="AF92" s="111">
        <f t="shared" si="22"/>
        <v>210.16249999999999</v>
      </c>
      <c r="AG92" s="110"/>
      <c r="AH92" s="110"/>
      <c r="AI92" s="110"/>
      <c r="AJ92" s="110"/>
      <c r="AK92" s="111">
        <f t="shared" si="26"/>
        <v>840.65</v>
      </c>
      <c r="AL92" s="446">
        <f t="shared" si="27"/>
        <v>0</v>
      </c>
      <c r="AM92" s="110">
        <f t="shared" si="28"/>
        <v>10</v>
      </c>
      <c r="AN92" s="447">
        <f t="shared" si="23"/>
        <v>0</v>
      </c>
      <c r="AO92"/>
      <c r="AP92"/>
    </row>
    <row r="93" spans="1:42" ht="66" x14ac:dyDescent="0.25">
      <c r="A93" s="9"/>
      <c r="B93" s="34" t="s">
        <v>90</v>
      </c>
      <c r="C93" s="1024"/>
      <c r="D93" s="869">
        <f>3</f>
        <v>3</v>
      </c>
      <c r="E93" s="1027" t="s">
        <v>1721</v>
      </c>
      <c r="F93" s="273" t="s">
        <v>3446</v>
      </c>
      <c r="G93" s="1040" t="s">
        <v>3463</v>
      </c>
      <c r="H93" s="273" t="s">
        <v>3462</v>
      </c>
      <c r="I93" s="720">
        <f t="shared" si="29"/>
        <v>18.97</v>
      </c>
      <c r="J93" s="756">
        <f>56.91</f>
        <v>56.91</v>
      </c>
      <c r="K93" s="131">
        <f t="shared" si="18"/>
        <v>56.91</v>
      </c>
      <c r="L93" s="335">
        <f t="shared" si="24"/>
        <v>0</v>
      </c>
      <c r="M93" s="446"/>
      <c r="N93" s="446"/>
      <c r="O93" s="446"/>
      <c r="P93" s="446"/>
      <c r="Q93" s="110">
        <v>1</v>
      </c>
      <c r="R93" s="111">
        <f t="shared" si="16"/>
        <v>14.227499999999999</v>
      </c>
      <c r="S93" s="110"/>
      <c r="T93" s="110"/>
      <c r="U93" s="110">
        <v>1</v>
      </c>
      <c r="V93" s="111">
        <f t="shared" si="17"/>
        <v>14.227499999999999</v>
      </c>
      <c r="W93" s="110"/>
      <c r="X93" s="110"/>
      <c r="Y93" s="110"/>
      <c r="Z93" s="110"/>
      <c r="AA93" s="110">
        <v>1</v>
      </c>
      <c r="AB93" s="111">
        <f t="shared" si="25"/>
        <v>14.227499999999999</v>
      </c>
      <c r="AC93" s="110"/>
      <c r="AD93" s="110"/>
      <c r="AE93" s="110">
        <v>0</v>
      </c>
      <c r="AF93" s="111">
        <f t="shared" si="22"/>
        <v>14.227499999999999</v>
      </c>
      <c r="AG93" s="110"/>
      <c r="AH93" s="110"/>
      <c r="AI93" s="110"/>
      <c r="AJ93" s="110"/>
      <c r="AK93" s="111">
        <f t="shared" si="26"/>
        <v>56.91</v>
      </c>
      <c r="AL93" s="446">
        <f t="shared" si="27"/>
        <v>0</v>
      </c>
      <c r="AM93" s="110">
        <f t="shared" si="28"/>
        <v>3</v>
      </c>
      <c r="AN93" s="447">
        <f t="shared" si="23"/>
        <v>0</v>
      </c>
      <c r="AO93"/>
      <c r="AP93"/>
    </row>
    <row r="94" spans="1:42" ht="66" x14ac:dyDescent="0.25">
      <c r="A94" s="9"/>
      <c r="B94" s="34" t="s">
        <v>91</v>
      </c>
      <c r="C94" s="1024"/>
      <c r="D94" s="869">
        <f>12+16+5</f>
        <v>33</v>
      </c>
      <c r="E94" s="1027" t="s">
        <v>1722</v>
      </c>
      <c r="F94" s="273" t="s">
        <v>3446</v>
      </c>
      <c r="G94" s="1040" t="s">
        <v>3463</v>
      </c>
      <c r="H94" s="273" t="s">
        <v>3462</v>
      </c>
      <c r="I94" s="720">
        <f t="shared" si="29"/>
        <v>11.112727272727271</v>
      </c>
      <c r="J94" s="756">
        <f>178.74+191.54+103.36-106.92</f>
        <v>366.71999999999997</v>
      </c>
      <c r="K94" s="131">
        <f t="shared" si="18"/>
        <v>366.71999999999997</v>
      </c>
      <c r="L94" s="335">
        <f t="shared" si="24"/>
        <v>0</v>
      </c>
      <c r="M94" s="446"/>
      <c r="N94" s="446"/>
      <c r="O94" s="446"/>
      <c r="P94" s="446"/>
      <c r="Q94" s="110">
        <v>9</v>
      </c>
      <c r="R94" s="111">
        <f t="shared" si="16"/>
        <v>91.679999999999993</v>
      </c>
      <c r="S94" s="110"/>
      <c r="T94" s="110"/>
      <c r="U94" s="110">
        <v>8</v>
      </c>
      <c r="V94" s="111">
        <f t="shared" si="17"/>
        <v>91.679999999999993</v>
      </c>
      <c r="W94" s="110"/>
      <c r="X94" s="110"/>
      <c r="Y94" s="110"/>
      <c r="Z94" s="110"/>
      <c r="AA94" s="110">
        <v>8</v>
      </c>
      <c r="AB94" s="111">
        <f t="shared" si="25"/>
        <v>91.679999999999993</v>
      </c>
      <c r="AC94" s="110"/>
      <c r="AD94" s="110"/>
      <c r="AE94" s="110">
        <v>8</v>
      </c>
      <c r="AF94" s="111">
        <f t="shared" si="22"/>
        <v>91.679999999999993</v>
      </c>
      <c r="AG94" s="110"/>
      <c r="AH94" s="110"/>
      <c r="AI94" s="110"/>
      <c r="AJ94" s="110"/>
      <c r="AK94" s="111">
        <f t="shared" si="26"/>
        <v>366.71999999999997</v>
      </c>
      <c r="AL94" s="446">
        <f t="shared" si="27"/>
        <v>0</v>
      </c>
      <c r="AM94" s="110">
        <f t="shared" si="28"/>
        <v>33</v>
      </c>
      <c r="AN94" s="447">
        <f t="shared" si="23"/>
        <v>0</v>
      </c>
      <c r="AO94"/>
      <c r="AP94"/>
    </row>
    <row r="95" spans="1:42" ht="66" x14ac:dyDescent="0.25">
      <c r="A95" s="9"/>
      <c r="B95" s="34" t="s">
        <v>92</v>
      </c>
      <c r="C95" s="1024"/>
      <c r="D95" s="869">
        <f>24+28+5</f>
        <v>57</v>
      </c>
      <c r="E95" s="1027" t="s">
        <v>1722</v>
      </c>
      <c r="F95" s="273" t="s">
        <v>3446</v>
      </c>
      <c r="G95" s="1040" t="s">
        <v>3463</v>
      </c>
      <c r="H95" s="273" t="s">
        <v>3462</v>
      </c>
      <c r="I95" s="720">
        <f t="shared" si="29"/>
        <v>25.749824561403511</v>
      </c>
      <c r="J95" s="756">
        <f>672.29+802.58+206.71-213.84</f>
        <v>1467.74</v>
      </c>
      <c r="K95" s="131">
        <f t="shared" si="18"/>
        <v>1467.74</v>
      </c>
      <c r="L95" s="335">
        <f t="shared" si="24"/>
        <v>0</v>
      </c>
      <c r="M95" s="446"/>
      <c r="N95" s="446"/>
      <c r="O95" s="446"/>
      <c r="P95" s="446"/>
      <c r="Q95" s="110">
        <v>15</v>
      </c>
      <c r="R95" s="111">
        <f t="shared" si="16"/>
        <v>366.935</v>
      </c>
      <c r="S95" s="110"/>
      <c r="T95" s="110"/>
      <c r="U95" s="110">
        <v>14</v>
      </c>
      <c r="V95" s="111">
        <f t="shared" si="17"/>
        <v>366.935</v>
      </c>
      <c r="W95" s="110"/>
      <c r="X95" s="110"/>
      <c r="Y95" s="110"/>
      <c r="Z95" s="110"/>
      <c r="AA95" s="110">
        <v>14</v>
      </c>
      <c r="AB95" s="111">
        <f t="shared" si="25"/>
        <v>366.935</v>
      </c>
      <c r="AC95" s="110"/>
      <c r="AD95" s="110"/>
      <c r="AE95" s="110">
        <v>14</v>
      </c>
      <c r="AF95" s="111">
        <f t="shared" si="22"/>
        <v>366.935</v>
      </c>
      <c r="AG95" s="110"/>
      <c r="AH95" s="110"/>
      <c r="AI95" s="110"/>
      <c r="AJ95" s="110"/>
      <c r="AK95" s="111">
        <f t="shared" si="26"/>
        <v>1467.74</v>
      </c>
      <c r="AL95" s="446">
        <f t="shared" si="27"/>
        <v>0</v>
      </c>
      <c r="AM95" s="110">
        <f t="shared" si="28"/>
        <v>57</v>
      </c>
      <c r="AN95" s="447">
        <f t="shared" si="23"/>
        <v>0</v>
      </c>
      <c r="AO95"/>
      <c r="AP95"/>
    </row>
    <row r="96" spans="1:42" ht="66" x14ac:dyDescent="0.25">
      <c r="A96" s="9"/>
      <c r="B96" s="34" t="s">
        <v>93</v>
      </c>
      <c r="C96" s="1024"/>
      <c r="D96" s="869">
        <f>6+32+5</f>
        <v>43</v>
      </c>
      <c r="E96" s="1027" t="s">
        <v>1722</v>
      </c>
      <c r="F96" s="273" t="s">
        <v>3446</v>
      </c>
      <c r="G96" s="1040" t="s">
        <v>3463</v>
      </c>
      <c r="H96" s="273" t="s">
        <v>3462</v>
      </c>
      <c r="I96" s="720">
        <f t="shared" si="29"/>
        <v>73.06511627906977</v>
      </c>
      <c r="J96" s="756">
        <f>386.34+2397.14+358.32</f>
        <v>3141.8</v>
      </c>
      <c r="K96" s="131">
        <f t="shared" si="18"/>
        <v>3141.8</v>
      </c>
      <c r="L96" s="335">
        <f t="shared" si="24"/>
        <v>0</v>
      </c>
      <c r="M96" s="446"/>
      <c r="N96" s="446"/>
      <c r="O96" s="446"/>
      <c r="P96" s="446"/>
      <c r="Q96" s="110">
        <v>11</v>
      </c>
      <c r="R96" s="111">
        <f t="shared" si="16"/>
        <v>785.45</v>
      </c>
      <c r="S96" s="110"/>
      <c r="T96" s="110"/>
      <c r="U96" s="110">
        <v>11</v>
      </c>
      <c r="V96" s="111">
        <f t="shared" si="17"/>
        <v>785.45</v>
      </c>
      <c r="W96" s="110"/>
      <c r="X96" s="110"/>
      <c r="Y96" s="110"/>
      <c r="Z96" s="110"/>
      <c r="AA96" s="110">
        <v>11</v>
      </c>
      <c r="AB96" s="111">
        <f t="shared" si="25"/>
        <v>785.45</v>
      </c>
      <c r="AC96" s="110"/>
      <c r="AD96" s="110"/>
      <c r="AE96" s="110">
        <v>10</v>
      </c>
      <c r="AF96" s="111">
        <f t="shared" si="22"/>
        <v>785.45</v>
      </c>
      <c r="AG96" s="110"/>
      <c r="AH96" s="110"/>
      <c r="AI96" s="110"/>
      <c r="AJ96" s="110"/>
      <c r="AK96" s="111">
        <f t="shared" si="26"/>
        <v>3141.8</v>
      </c>
      <c r="AL96" s="446">
        <f t="shared" si="27"/>
        <v>0</v>
      </c>
      <c r="AM96" s="110">
        <f t="shared" si="28"/>
        <v>43</v>
      </c>
      <c r="AN96" s="447">
        <f t="shared" si="23"/>
        <v>0</v>
      </c>
      <c r="AO96"/>
      <c r="AP96"/>
    </row>
    <row r="97" spans="1:42" ht="66" x14ac:dyDescent="0.25">
      <c r="A97" s="9"/>
      <c r="B97" s="34" t="s">
        <v>94</v>
      </c>
      <c r="C97" s="1024"/>
      <c r="D97" s="869">
        <f>3+22</f>
        <v>25</v>
      </c>
      <c r="E97" s="1027" t="s">
        <v>1721</v>
      </c>
      <c r="F97" s="273" t="s">
        <v>3446</v>
      </c>
      <c r="G97" s="1040" t="s">
        <v>3463</v>
      </c>
      <c r="H97" s="273" t="s">
        <v>3462</v>
      </c>
      <c r="I97" s="720">
        <f t="shared" si="29"/>
        <v>85.988399999999999</v>
      </c>
      <c r="J97" s="756">
        <f>297.69+2436.54-584.52</f>
        <v>2149.71</v>
      </c>
      <c r="K97" s="131">
        <f t="shared" si="18"/>
        <v>2149.71</v>
      </c>
      <c r="L97" s="335">
        <f t="shared" si="24"/>
        <v>0</v>
      </c>
      <c r="M97" s="446"/>
      <c r="N97" s="446"/>
      <c r="O97" s="446"/>
      <c r="P97" s="446"/>
      <c r="Q97" s="110">
        <v>7</v>
      </c>
      <c r="R97" s="111">
        <f t="shared" si="16"/>
        <v>537.42750000000001</v>
      </c>
      <c r="S97" s="110"/>
      <c r="T97" s="110"/>
      <c r="U97" s="110">
        <v>6</v>
      </c>
      <c r="V97" s="111">
        <f t="shared" si="17"/>
        <v>537.42750000000001</v>
      </c>
      <c r="W97" s="110"/>
      <c r="X97" s="110"/>
      <c r="Y97" s="110"/>
      <c r="Z97" s="110"/>
      <c r="AA97" s="110">
        <v>6</v>
      </c>
      <c r="AB97" s="111">
        <f t="shared" si="25"/>
        <v>537.42750000000001</v>
      </c>
      <c r="AC97" s="110"/>
      <c r="AD97" s="110"/>
      <c r="AE97" s="110">
        <v>6</v>
      </c>
      <c r="AF97" s="111">
        <f t="shared" si="22"/>
        <v>537.42750000000001</v>
      </c>
      <c r="AG97" s="110"/>
      <c r="AH97" s="110"/>
      <c r="AI97" s="110"/>
      <c r="AJ97" s="110"/>
      <c r="AK97" s="111">
        <f t="shared" si="26"/>
        <v>2149.71</v>
      </c>
      <c r="AL97" s="446">
        <f t="shared" si="27"/>
        <v>0</v>
      </c>
      <c r="AM97" s="110">
        <f t="shared" si="28"/>
        <v>25</v>
      </c>
      <c r="AN97" s="447">
        <f t="shared" si="23"/>
        <v>0</v>
      </c>
      <c r="AO97"/>
      <c r="AP97"/>
    </row>
    <row r="98" spans="1:42" ht="66" x14ac:dyDescent="0.25">
      <c r="A98" s="9"/>
      <c r="B98" s="34" t="s">
        <v>1074</v>
      </c>
      <c r="C98" s="1024"/>
      <c r="D98" s="869">
        <f>6+22+36</f>
        <v>64</v>
      </c>
      <c r="E98" s="1027" t="s">
        <v>1721</v>
      </c>
      <c r="F98" s="273" t="s">
        <v>3446</v>
      </c>
      <c r="G98" s="1040" t="s">
        <v>3463</v>
      </c>
      <c r="H98" s="273" t="s">
        <v>3462</v>
      </c>
      <c r="I98" s="720">
        <f t="shared" si="29"/>
        <v>120.9465625</v>
      </c>
      <c r="J98" s="756">
        <f>584.52+2883.76+4272.3</f>
        <v>7740.58</v>
      </c>
      <c r="K98" s="131">
        <f t="shared" si="18"/>
        <v>7740.58</v>
      </c>
      <c r="L98" s="335">
        <f t="shared" si="24"/>
        <v>0</v>
      </c>
      <c r="M98" s="446"/>
      <c r="N98" s="446"/>
      <c r="O98" s="446"/>
      <c r="P98" s="446"/>
      <c r="Q98" s="110">
        <f t="shared" si="19"/>
        <v>16</v>
      </c>
      <c r="R98" s="111">
        <f t="shared" si="16"/>
        <v>1935.145</v>
      </c>
      <c r="S98" s="110"/>
      <c r="T98" s="110"/>
      <c r="U98" s="110">
        <f t="shared" si="20"/>
        <v>16</v>
      </c>
      <c r="V98" s="111">
        <f t="shared" si="17"/>
        <v>1935.145</v>
      </c>
      <c r="W98" s="110"/>
      <c r="X98" s="110"/>
      <c r="Y98" s="110"/>
      <c r="Z98" s="110"/>
      <c r="AA98" s="110">
        <f t="shared" si="21"/>
        <v>16</v>
      </c>
      <c r="AB98" s="111">
        <f t="shared" si="25"/>
        <v>1935.145</v>
      </c>
      <c r="AC98" s="110"/>
      <c r="AD98" s="110"/>
      <c r="AE98" s="110">
        <f t="shared" si="21"/>
        <v>16</v>
      </c>
      <c r="AF98" s="111">
        <f t="shared" si="22"/>
        <v>1935.145</v>
      </c>
      <c r="AG98" s="110"/>
      <c r="AH98" s="110"/>
      <c r="AI98" s="110"/>
      <c r="AJ98" s="110"/>
      <c r="AK98" s="111">
        <f t="shared" si="26"/>
        <v>7740.58</v>
      </c>
      <c r="AL98" s="446">
        <f t="shared" si="27"/>
        <v>0</v>
      </c>
      <c r="AM98" s="110">
        <f t="shared" si="28"/>
        <v>64</v>
      </c>
      <c r="AN98" s="447">
        <f t="shared" si="23"/>
        <v>0</v>
      </c>
      <c r="AO98"/>
      <c r="AP98"/>
    </row>
    <row r="99" spans="1:42" ht="66" x14ac:dyDescent="0.25">
      <c r="A99" s="9"/>
      <c r="B99" s="34" t="s">
        <v>95</v>
      </c>
      <c r="C99" s="1024"/>
      <c r="D99" s="869">
        <f>12+60+13+10</f>
        <v>95</v>
      </c>
      <c r="E99" s="1027" t="s">
        <v>1721</v>
      </c>
      <c r="F99" s="273" t="s">
        <v>3446</v>
      </c>
      <c r="G99" s="1040" t="s">
        <v>3463</v>
      </c>
      <c r="H99" s="273" t="s">
        <v>3462</v>
      </c>
      <c r="I99" s="720">
        <f t="shared" si="29"/>
        <v>28.276210526315786</v>
      </c>
      <c r="J99" s="756">
        <f>313.2+1788.52+404.62+244.06-64.16</f>
        <v>2686.24</v>
      </c>
      <c r="K99" s="131">
        <f t="shared" si="18"/>
        <v>2686.24</v>
      </c>
      <c r="L99" s="335">
        <f t="shared" si="24"/>
        <v>0</v>
      </c>
      <c r="M99" s="446"/>
      <c r="N99" s="446"/>
      <c r="O99" s="446"/>
      <c r="P99" s="446"/>
      <c r="Q99" s="110">
        <v>24</v>
      </c>
      <c r="R99" s="111">
        <f t="shared" si="16"/>
        <v>671.56</v>
      </c>
      <c r="S99" s="110"/>
      <c r="T99" s="110"/>
      <c r="U99" s="110">
        <v>24</v>
      </c>
      <c r="V99" s="111">
        <f t="shared" si="17"/>
        <v>671.56</v>
      </c>
      <c r="W99" s="110"/>
      <c r="X99" s="110"/>
      <c r="Y99" s="110"/>
      <c r="Z99" s="110"/>
      <c r="AA99" s="110">
        <v>24</v>
      </c>
      <c r="AB99" s="111">
        <f t="shared" si="25"/>
        <v>671.56</v>
      </c>
      <c r="AC99" s="110"/>
      <c r="AD99" s="110"/>
      <c r="AE99" s="110">
        <v>23</v>
      </c>
      <c r="AF99" s="111">
        <f t="shared" si="22"/>
        <v>671.56</v>
      </c>
      <c r="AG99" s="110"/>
      <c r="AH99" s="110"/>
      <c r="AI99" s="110"/>
      <c r="AJ99" s="110"/>
      <c r="AK99" s="111">
        <f t="shared" si="26"/>
        <v>2686.24</v>
      </c>
      <c r="AL99" s="446">
        <f t="shared" si="27"/>
        <v>0</v>
      </c>
      <c r="AM99" s="110">
        <f t="shared" si="28"/>
        <v>95</v>
      </c>
      <c r="AN99" s="447">
        <f t="shared" si="23"/>
        <v>0</v>
      </c>
      <c r="AO99"/>
      <c r="AP99"/>
    </row>
    <row r="100" spans="1:42" ht="66" x14ac:dyDescent="0.25">
      <c r="A100" s="9"/>
      <c r="B100" s="34" t="s">
        <v>97</v>
      </c>
      <c r="C100" s="1024"/>
      <c r="D100" s="869">
        <f>6+5</f>
        <v>11</v>
      </c>
      <c r="E100" s="1027" t="s">
        <v>1721</v>
      </c>
      <c r="F100" s="273" t="s">
        <v>3446</v>
      </c>
      <c r="G100" s="1040" t="s">
        <v>3463</v>
      </c>
      <c r="H100" s="273" t="s">
        <v>3462</v>
      </c>
      <c r="I100" s="720">
        <f t="shared" si="29"/>
        <v>28.187272727272727</v>
      </c>
      <c r="J100" s="756">
        <f>197.2+172.26-59.4</f>
        <v>310.06</v>
      </c>
      <c r="K100" s="131">
        <f t="shared" si="18"/>
        <v>310.06</v>
      </c>
      <c r="L100" s="335">
        <f t="shared" si="24"/>
        <v>0</v>
      </c>
      <c r="M100" s="446"/>
      <c r="N100" s="446"/>
      <c r="O100" s="446"/>
      <c r="P100" s="446"/>
      <c r="Q100" s="110">
        <v>3</v>
      </c>
      <c r="R100" s="111">
        <f t="shared" si="16"/>
        <v>77.515000000000001</v>
      </c>
      <c r="S100" s="110"/>
      <c r="T100" s="110"/>
      <c r="U100" s="110">
        <v>3</v>
      </c>
      <c r="V100" s="111">
        <f t="shared" si="17"/>
        <v>77.515000000000001</v>
      </c>
      <c r="W100" s="110"/>
      <c r="X100" s="110"/>
      <c r="Y100" s="110"/>
      <c r="Z100" s="110"/>
      <c r="AA100" s="110">
        <v>3</v>
      </c>
      <c r="AB100" s="111">
        <f t="shared" si="25"/>
        <v>77.515000000000001</v>
      </c>
      <c r="AC100" s="110"/>
      <c r="AD100" s="110"/>
      <c r="AE100" s="110">
        <v>2</v>
      </c>
      <c r="AF100" s="111">
        <f t="shared" si="22"/>
        <v>77.515000000000001</v>
      </c>
      <c r="AG100" s="110"/>
      <c r="AH100" s="110"/>
      <c r="AI100" s="110"/>
      <c r="AJ100" s="110"/>
      <c r="AK100" s="111">
        <f t="shared" si="26"/>
        <v>310.06</v>
      </c>
      <c r="AL100" s="446">
        <f t="shared" si="27"/>
        <v>0</v>
      </c>
      <c r="AM100" s="110">
        <f t="shared" si="28"/>
        <v>11</v>
      </c>
      <c r="AN100" s="447">
        <f t="shared" si="23"/>
        <v>0</v>
      </c>
      <c r="AO100"/>
      <c r="AP100"/>
    </row>
    <row r="101" spans="1:42" ht="66" x14ac:dyDescent="0.25">
      <c r="A101" s="9"/>
      <c r="B101" s="34" t="s">
        <v>96</v>
      </c>
      <c r="C101" s="1024"/>
      <c r="D101" s="869">
        <f>2+5+1</f>
        <v>8</v>
      </c>
      <c r="E101" s="1027" t="s">
        <v>1721</v>
      </c>
      <c r="F101" s="273" t="s">
        <v>3446</v>
      </c>
      <c r="G101" s="1040" t="s">
        <v>3463</v>
      </c>
      <c r="H101" s="273" t="s">
        <v>3462</v>
      </c>
      <c r="I101" s="720">
        <f t="shared" si="29"/>
        <v>45.868750000000006</v>
      </c>
      <c r="J101" s="756">
        <f>137.81+160.24+68.9</f>
        <v>366.95000000000005</v>
      </c>
      <c r="K101" s="131">
        <f t="shared" si="18"/>
        <v>366.95000000000005</v>
      </c>
      <c r="L101" s="335">
        <f t="shared" si="24"/>
        <v>0</v>
      </c>
      <c r="M101" s="446"/>
      <c r="N101" s="446"/>
      <c r="O101" s="446"/>
      <c r="P101" s="446"/>
      <c r="Q101" s="110">
        <f t="shared" si="19"/>
        <v>2</v>
      </c>
      <c r="R101" s="111">
        <f t="shared" si="16"/>
        <v>91.737500000000011</v>
      </c>
      <c r="S101" s="110"/>
      <c r="T101" s="110"/>
      <c r="U101" s="110">
        <f t="shared" si="20"/>
        <v>2</v>
      </c>
      <c r="V101" s="111">
        <f t="shared" si="17"/>
        <v>91.737500000000011</v>
      </c>
      <c r="W101" s="110"/>
      <c r="X101" s="110"/>
      <c r="Y101" s="110"/>
      <c r="Z101" s="110"/>
      <c r="AA101" s="110">
        <f t="shared" si="21"/>
        <v>2</v>
      </c>
      <c r="AB101" s="111">
        <f t="shared" si="25"/>
        <v>91.737500000000011</v>
      </c>
      <c r="AC101" s="110"/>
      <c r="AD101" s="110"/>
      <c r="AE101" s="110">
        <f t="shared" si="21"/>
        <v>2</v>
      </c>
      <c r="AF101" s="111">
        <f t="shared" si="22"/>
        <v>91.737500000000011</v>
      </c>
      <c r="AG101" s="110"/>
      <c r="AH101" s="110"/>
      <c r="AI101" s="110"/>
      <c r="AJ101" s="110"/>
      <c r="AK101" s="111">
        <f t="shared" si="26"/>
        <v>366.95000000000005</v>
      </c>
      <c r="AL101" s="446">
        <f t="shared" si="27"/>
        <v>0</v>
      </c>
      <c r="AM101" s="110">
        <f t="shared" si="28"/>
        <v>8</v>
      </c>
      <c r="AN101" s="447">
        <f t="shared" si="23"/>
        <v>0</v>
      </c>
      <c r="AO101"/>
      <c r="AP101"/>
    </row>
    <row r="102" spans="1:42" ht="66" x14ac:dyDescent="0.25">
      <c r="A102" s="9"/>
      <c r="B102" s="34" t="s">
        <v>98</v>
      </c>
      <c r="C102" s="1024"/>
      <c r="D102" s="869">
        <f>6+2+6</f>
        <v>14</v>
      </c>
      <c r="E102" s="1027" t="s">
        <v>1721</v>
      </c>
      <c r="F102" s="273" t="s">
        <v>3446</v>
      </c>
      <c r="G102" s="1040" t="s">
        <v>3463</v>
      </c>
      <c r="H102" s="273" t="s">
        <v>3462</v>
      </c>
      <c r="I102" s="720">
        <f t="shared" si="29"/>
        <v>27.068571428571431</v>
      </c>
      <c r="J102" s="756">
        <f>128.3+68.9+241.16-59.4</f>
        <v>378.96000000000004</v>
      </c>
      <c r="K102" s="131">
        <f t="shared" si="18"/>
        <v>378.96000000000004</v>
      </c>
      <c r="L102" s="335">
        <f t="shared" si="24"/>
        <v>0</v>
      </c>
      <c r="M102" s="446"/>
      <c r="N102" s="446"/>
      <c r="O102" s="446"/>
      <c r="P102" s="446"/>
      <c r="Q102" s="110">
        <v>4</v>
      </c>
      <c r="R102" s="111">
        <f t="shared" si="16"/>
        <v>94.740000000000009</v>
      </c>
      <c r="S102" s="110"/>
      <c r="T102" s="110"/>
      <c r="U102" s="110">
        <v>4</v>
      </c>
      <c r="V102" s="111">
        <f t="shared" si="17"/>
        <v>94.740000000000009</v>
      </c>
      <c r="W102" s="110"/>
      <c r="X102" s="110"/>
      <c r="Y102" s="110"/>
      <c r="Z102" s="110"/>
      <c r="AA102" s="110">
        <v>3</v>
      </c>
      <c r="AB102" s="111">
        <f t="shared" si="25"/>
        <v>94.740000000000009</v>
      </c>
      <c r="AC102" s="110"/>
      <c r="AD102" s="110"/>
      <c r="AE102" s="110">
        <v>3</v>
      </c>
      <c r="AF102" s="111">
        <f t="shared" si="22"/>
        <v>94.740000000000009</v>
      </c>
      <c r="AG102" s="110"/>
      <c r="AH102" s="110"/>
      <c r="AI102" s="110"/>
      <c r="AJ102" s="110"/>
      <c r="AK102" s="111">
        <f t="shared" si="26"/>
        <v>378.96000000000004</v>
      </c>
      <c r="AL102" s="446">
        <f t="shared" si="27"/>
        <v>0</v>
      </c>
      <c r="AM102" s="110">
        <f t="shared" si="28"/>
        <v>14</v>
      </c>
      <c r="AN102" s="447">
        <f t="shared" si="23"/>
        <v>0</v>
      </c>
      <c r="AO102"/>
      <c r="AP102"/>
    </row>
    <row r="103" spans="1:42" ht="66" x14ac:dyDescent="0.25">
      <c r="A103" s="9"/>
      <c r="B103" s="473" t="s">
        <v>25</v>
      </c>
      <c r="C103" s="1024"/>
      <c r="D103" s="869">
        <v>4</v>
      </c>
      <c r="E103" s="1027" t="s">
        <v>1722</v>
      </c>
      <c r="F103" s="273" t="s">
        <v>3446</v>
      </c>
      <c r="G103" s="1040" t="s">
        <v>3463</v>
      </c>
      <c r="H103" s="273" t="s">
        <v>3462</v>
      </c>
      <c r="I103" s="720">
        <f t="shared" si="29"/>
        <v>40.286799999999992</v>
      </c>
      <c r="J103" s="756">
        <v>161.14719999999997</v>
      </c>
      <c r="K103" s="131">
        <f t="shared" si="18"/>
        <v>161.14719999999997</v>
      </c>
      <c r="L103" s="335">
        <f t="shared" si="24"/>
        <v>0</v>
      </c>
      <c r="M103" s="446"/>
      <c r="N103" s="446"/>
      <c r="O103" s="446"/>
      <c r="P103" s="446"/>
      <c r="Q103" s="110">
        <f t="shared" si="19"/>
        <v>1</v>
      </c>
      <c r="R103" s="111">
        <f t="shared" si="16"/>
        <v>40.286799999999992</v>
      </c>
      <c r="S103" s="110"/>
      <c r="T103" s="110"/>
      <c r="U103" s="110">
        <f t="shared" si="20"/>
        <v>1</v>
      </c>
      <c r="V103" s="111">
        <f t="shared" si="17"/>
        <v>40.286799999999992</v>
      </c>
      <c r="W103" s="110"/>
      <c r="X103" s="110"/>
      <c r="Y103" s="110"/>
      <c r="Z103" s="110"/>
      <c r="AA103" s="110">
        <f t="shared" si="21"/>
        <v>1</v>
      </c>
      <c r="AB103" s="111">
        <f t="shared" si="25"/>
        <v>40.286799999999992</v>
      </c>
      <c r="AC103" s="110"/>
      <c r="AD103" s="110"/>
      <c r="AE103" s="110">
        <f t="shared" si="21"/>
        <v>1</v>
      </c>
      <c r="AF103" s="111">
        <f t="shared" si="22"/>
        <v>40.286799999999992</v>
      </c>
      <c r="AG103" s="110"/>
      <c r="AH103" s="110"/>
      <c r="AI103" s="110"/>
      <c r="AJ103" s="110"/>
      <c r="AK103" s="111">
        <f t="shared" si="26"/>
        <v>161.14719999999997</v>
      </c>
      <c r="AL103" s="446">
        <f t="shared" si="27"/>
        <v>0</v>
      </c>
      <c r="AM103" s="110">
        <f t="shared" si="28"/>
        <v>4</v>
      </c>
      <c r="AN103" s="447">
        <f t="shared" si="23"/>
        <v>0</v>
      </c>
      <c r="AO103"/>
      <c r="AP103"/>
    </row>
    <row r="104" spans="1:42" ht="66" x14ac:dyDescent="0.25">
      <c r="A104" s="9"/>
      <c r="B104" s="473" t="s">
        <v>52</v>
      </c>
      <c r="C104" s="1024"/>
      <c r="D104" s="869">
        <v>3</v>
      </c>
      <c r="E104" s="1027" t="s">
        <v>1721</v>
      </c>
      <c r="F104" s="273" t="s">
        <v>3446</v>
      </c>
      <c r="G104" s="1040" t="s">
        <v>3463</v>
      </c>
      <c r="H104" s="273" t="s">
        <v>3462</v>
      </c>
      <c r="I104" s="720">
        <f t="shared" si="29"/>
        <v>14.9872</v>
      </c>
      <c r="J104" s="756">
        <v>44.961599999999997</v>
      </c>
      <c r="K104" s="131">
        <f t="shared" si="18"/>
        <v>44.961599999999997</v>
      </c>
      <c r="L104" s="335">
        <f t="shared" si="24"/>
        <v>0</v>
      </c>
      <c r="M104" s="446"/>
      <c r="N104" s="446"/>
      <c r="O104" s="446"/>
      <c r="P104" s="446"/>
      <c r="Q104" s="110">
        <v>1</v>
      </c>
      <c r="R104" s="111">
        <f t="shared" si="16"/>
        <v>11.240399999999999</v>
      </c>
      <c r="S104" s="110"/>
      <c r="T104" s="110"/>
      <c r="U104" s="110">
        <v>1</v>
      </c>
      <c r="V104" s="111">
        <f t="shared" si="17"/>
        <v>11.240399999999999</v>
      </c>
      <c r="W104" s="110"/>
      <c r="X104" s="110"/>
      <c r="Y104" s="110"/>
      <c r="Z104" s="110"/>
      <c r="AA104" s="110">
        <v>1</v>
      </c>
      <c r="AB104" s="111">
        <f t="shared" si="25"/>
        <v>11.240399999999999</v>
      </c>
      <c r="AC104" s="110"/>
      <c r="AD104" s="110"/>
      <c r="AE104" s="110">
        <v>0</v>
      </c>
      <c r="AF104" s="111">
        <f t="shared" si="22"/>
        <v>11.240399999999999</v>
      </c>
      <c r="AG104" s="110"/>
      <c r="AH104" s="110"/>
      <c r="AI104" s="110"/>
      <c r="AJ104" s="110"/>
      <c r="AK104" s="111">
        <f t="shared" si="26"/>
        <v>44.961599999999997</v>
      </c>
      <c r="AL104" s="446">
        <f t="shared" si="27"/>
        <v>0</v>
      </c>
      <c r="AM104" s="110">
        <f t="shared" si="28"/>
        <v>3</v>
      </c>
      <c r="AN104" s="447">
        <f t="shared" si="23"/>
        <v>0</v>
      </c>
      <c r="AO104"/>
      <c r="AP104"/>
    </row>
    <row r="105" spans="1:42" ht="66" x14ac:dyDescent="0.25">
      <c r="A105" s="9"/>
      <c r="B105" s="473" t="s">
        <v>46</v>
      </c>
      <c r="C105" s="1024"/>
      <c r="D105" s="869">
        <v>4</v>
      </c>
      <c r="E105" s="1027" t="s">
        <v>1722</v>
      </c>
      <c r="F105" s="273" t="s">
        <v>3446</v>
      </c>
      <c r="G105" s="1040" t="s">
        <v>3463</v>
      </c>
      <c r="H105" s="273" t="s">
        <v>3462</v>
      </c>
      <c r="I105" s="720">
        <f t="shared" si="29"/>
        <v>10.486399999999998</v>
      </c>
      <c r="J105" s="756">
        <v>41.945599999999992</v>
      </c>
      <c r="K105" s="131">
        <f t="shared" si="18"/>
        <v>41.945599999999992</v>
      </c>
      <c r="L105" s="335">
        <f t="shared" si="24"/>
        <v>0</v>
      </c>
      <c r="M105" s="446"/>
      <c r="N105" s="446"/>
      <c r="O105" s="446"/>
      <c r="P105" s="446"/>
      <c r="Q105" s="110">
        <f t="shared" si="19"/>
        <v>1</v>
      </c>
      <c r="R105" s="111">
        <f t="shared" si="16"/>
        <v>10.486399999999998</v>
      </c>
      <c r="S105" s="110"/>
      <c r="T105" s="110"/>
      <c r="U105" s="110">
        <f t="shared" si="20"/>
        <v>1</v>
      </c>
      <c r="V105" s="111">
        <f t="shared" si="17"/>
        <v>10.486399999999998</v>
      </c>
      <c r="W105" s="110"/>
      <c r="X105" s="110"/>
      <c r="Y105" s="110"/>
      <c r="Z105" s="110"/>
      <c r="AA105" s="110">
        <f t="shared" si="21"/>
        <v>1</v>
      </c>
      <c r="AB105" s="111">
        <f t="shared" si="25"/>
        <v>10.486399999999998</v>
      </c>
      <c r="AC105" s="110"/>
      <c r="AD105" s="110"/>
      <c r="AE105" s="110">
        <f t="shared" si="21"/>
        <v>1</v>
      </c>
      <c r="AF105" s="111">
        <f t="shared" si="22"/>
        <v>10.486399999999998</v>
      </c>
      <c r="AG105" s="110"/>
      <c r="AH105" s="110"/>
      <c r="AI105" s="110"/>
      <c r="AJ105" s="110"/>
      <c r="AK105" s="111">
        <f t="shared" si="26"/>
        <v>41.945599999999992</v>
      </c>
      <c r="AL105" s="446">
        <f t="shared" si="27"/>
        <v>0</v>
      </c>
      <c r="AM105" s="110">
        <f t="shared" si="28"/>
        <v>4</v>
      </c>
      <c r="AN105" s="447">
        <f t="shared" si="23"/>
        <v>0</v>
      </c>
      <c r="AO105"/>
      <c r="AP105"/>
    </row>
    <row r="106" spans="1:42" ht="66" x14ac:dyDescent="0.25">
      <c r="A106" s="9"/>
      <c r="B106" s="473" t="s">
        <v>44</v>
      </c>
      <c r="C106" s="1024"/>
      <c r="D106" s="869">
        <v>2</v>
      </c>
      <c r="E106" s="1027" t="s">
        <v>1721</v>
      </c>
      <c r="F106" s="273" t="s">
        <v>3446</v>
      </c>
      <c r="G106" s="1040" t="s">
        <v>3463</v>
      </c>
      <c r="H106" s="273" t="s">
        <v>3462</v>
      </c>
      <c r="I106" s="720">
        <f t="shared" si="29"/>
        <v>11.3912</v>
      </c>
      <c r="J106" s="756">
        <v>22.782399999999999</v>
      </c>
      <c r="K106" s="131">
        <f t="shared" si="18"/>
        <v>22.782399999999999</v>
      </c>
      <c r="L106" s="335">
        <f t="shared" si="24"/>
        <v>0</v>
      </c>
      <c r="M106" s="446"/>
      <c r="N106" s="446"/>
      <c r="O106" s="446"/>
      <c r="P106" s="446"/>
      <c r="Q106" s="110">
        <v>1</v>
      </c>
      <c r="R106" s="111">
        <f t="shared" si="16"/>
        <v>5.6955999999999998</v>
      </c>
      <c r="S106" s="110"/>
      <c r="T106" s="110"/>
      <c r="U106" s="110">
        <v>1</v>
      </c>
      <c r="V106" s="111">
        <f t="shared" si="17"/>
        <v>5.6955999999999998</v>
      </c>
      <c r="W106" s="110"/>
      <c r="X106" s="110"/>
      <c r="Y106" s="110"/>
      <c r="Z106" s="110"/>
      <c r="AA106" s="110">
        <v>0</v>
      </c>
      <c r="AB106" s="111">
        <f t="shared" si="25"/>
        <v>5.6955999999999998</v>
      </c>
      <c r="AC106" s="110"/>
      <c r="AD106" s="110"/>
      <c r="AE106" s="110">
        <v>0</v>
      </c>
      <c r="AF106" s="111">
        <f t="shared" si="22"/>
        <v>5.6955999999999998</v>
      </c>
      <c r="AG106" s="110"/>
      <c r="AH106" s="110"/>
      <c r="AI106" s="110"/>
      <c r="AJ106" s="110"/>
      <c r="AK106" s="111">
        <f t="shared" si="26"/>
        <v>22.782399999999999</v>
      </c>
      <c r="AL106" s="446">
        <f t="shared" si="27"/>
        <v>0</v>
      </c>
      <c r="AM106" s="110">
        <f t="shared" si="28"/>
        <v>2</v>
      </c>
      <c r="AN106" s="447">
        <f t="shared" si="23"/>
        <v>0</v>
      </c>
      <c r="AO106"/>
      <c r="AP106"/>
    </row>
    <row r="107" spans="1:42" ht="66" x14ac:dyDescent="0.25">
      <c r="A107" s="9"/>
      <c r="B107" s="473" t="s">
        <v>48</v>
      </c>
      <c r="C107" s="1024"/>
      <c r="D107" s="869">
        <v>4</v>
      </c>
      <c r="E107" s="1027" t="s">
        <v>1722</v>
      </c>
      <c r="F107" s="273" t="s">
        <v>3446</v>
      </c>
      <c r="G107" s="1040" t="s">
        <v>3463</v>
      </c>
      <c r="H107" s="273" t="s">
        <v>3462</v>
      </c>
      <c r="I107" s="720">
        <f t="shared" si="29"/>
        <v>24.36</v>
      </c>
      <c r="J107" s="756">
        <v>97.44</v>
      </c>
      <c r="K107" s="131">
        <f t="shared" si="18"/>
        <v>97.44</v>
      </c>
      <c r="L107" s="335">
        <f t="shared" si="24"/>
        <v>0</v>
      </c>
      <c r="M107" s="446"/>
      <c r="N107" s="446"/>
      <c r="O107" s="446"/>
      <c r="P107" s="446"/>
      <c r="Q107" s="110">
        <f t="shared" si="19"/>
        <v>1</v>
      </c>
      <c r="R107" s="111">
        <f t="shared" si="16"/>
        <v>24.36</v>
      </c>
      <c r="S107" s="110"/>
      <c r="T107" s="110"/>
      <c r="U107" s="110">
        <f t="shared" si="20"/>
        <v>1</v>
      </c>
      <c r="V107" s="111">
        <f t="shared" si="17"/>
        <v>24.36</v>
      </c>
      <c r="W107" s="110"/>
      <c r="X107" s="110"/>
      <c r="Y107" s="110"/>
      <c r="Z107" s="110"/>
      <c r="AA107" s="110">
        <f t="shared" si="21"/>
        <v>1</v>
      </c>
      <c r="AB107" s="111">
        <f t="shared" si="25"/>
        <v>24.36</v>
      </c>
      <c r="AC107" s="110"/>
      <c r="AD107" s="110"/>
      <c r="AE107" s="110">
        <f t="shared" si="21"/>
        <v>1</v>
      </c>
      <c r="AF107" s="111">
        <f t="shared" si="22"/>
        <v>24.36</v>
      </c>
      <c r="AG107" s="110"/>
      <c r="AH107" s="110"/>
      <c r="AI107" s="110"/>
      <c r="AJ107" s="110"/>
      <c r="AK107" s="111">
        <f t="shared" si="26"/>
        <v>97.44</v>
      </c>
      <c r="AL107" s="446">
        <f t="shared" si="27"/>
        <v>0</v>
      </c>
      <c r="AM107" s="110">
        <f t="shared" si="28"/>
        <v>4</v>
      </c>
      <c r="AN107" s="447">
        <f t="shared" si="23"/>
        <v>0</v>
      </c>
      <c r="AO107"/>
      <c r="AP107"/>
    </row>
    <row r="108" spans="1:42" ht="66" x14ac:dyDescent="0.25">
      <c r="A108" s="9"/>
      <c r="B108" s="473" t="s">
        <v>32</v>
      </c>
      <c r="C108" s="1024"/>
      <c r="D108" s="869">
        <v>2</v>
      </c>
      <c r="E108" s="1027" t="s">
        <v>1722</v>
      </c>
      <c r="F108" s="273" t="s">
        <v>3446</v>
      </c>
      <c r="G108" s="1040" t="s">
        <v>3463</v>
      </c>
      <c r="H108" s="273" t="s">
        <v>3462</v>
      </c>
      <c r="I108" s="720">
        <f t="shared" si="29"/>
        <v>14.9872</v>
      </c>
      <c r="J108" s="756">
        <v>29.974399999999999</v>
      </c>
      <c r="K108" s="131">
        <f t="shared" si="18"/>
        <v>29.974399999999999</v>
      </c>
      <c r="L108" s="335">
        <f t="shared" si="24"/>
        <v>0</v>
      </c>
      <c r="M108" s="446"/>
      <c r="N108" s="446"/>
      <c r="O108" s="446"/>
      <c r="P108" s="446"/>
      <c r="Q108" s="110">
        <v>1</v>
      </c>
      <c r="R108" s="111">
        <f t="shared" si="16"/>
        <v>7.4935999999999998</v>
      </c>
      <c r="S108" s="110"/>
      <c r="T108" s="110"/>
      <c r="U108" s="110">
        <v>1</v>
      </c>
      <c r="V108" s="111">
        <f t="shared" si="17"/>
        <v>7.4935999999999998</v>
      </c>
      <c r="W108" s="110"/>
      <c r="X108" s="110"/>
      <c r="Y108" s="110"/>
      <c r="Z108" s="110"/>
      <c r="AA108" s="110">
        <v>0</v>
      </c>
      <c r="AB108" s="111">
        <f t="shared" si="25"/>
        <v>7.4935999999999998</v>
      </c>
      <c r="AC108" s="110"/>
      <c r="AD108" s="110"/>
      <c r="AE108" s="110">
        <v>0</v>
      </c>
      <c r="AF108" s="111">
        <f t="shared" si="22"/>
        <v>7.4935999999999998</v>
      </c>
      <c r="AG108" s="110"/>
      <c r="AH108" s="110"/>
      <c r="AI108" s="110"/>
      <c r="AJ108" s="110"/>
      <c r="AK108" s="111">
        <f t="shared" si="26"/>
        <v>29.974399999999999</v>
      </c>
      <c r="AL108" s="446">
        <f t="shared" si="27"/>
        <v>0</v>
      </c>
      <c r="AM108" s="110">
        <f t="shared" si="28"/>
        <v>2</v>
      </c>
      <c r="AN108" s="447">
        <f t="shared" si="23"/>
        <v>0</v>
      </c>
      <c r="AO108"/>
      <c r="AP108"/>
    </row>
    <row r="109" spans="1:42" ht="66" x14ac:dyDescent="0.25">
      <c r="A109" s="9"/>
      <c r="B109" s="473" t="s">
        <v>61</v>
      </c>
      <c r="C109" s="1024"/>
      <c r="D109" s="869">
        <v>20</v>
      </c>
      <c r="E109" s="1027" t="s">
        <v>1722</v>
      </c>
      <c r="F109" s="273" t="s">
        <v>3446</v>
      </c>
      <c r="G109" s="1040" t="s">
        <v>3463</v>
      </c>
      <c r="H109" s="273" t="s">
        <v>3462</v>
      </c>
      <c r="I109" s="720">
        <f t="shared" si="29"/>
        <v>26.157999999999998</v>
      </c>
      <c r="J109" s="756">
        <v>523.16</v>
      </c>
      <c r="K109" s="131">
        <f t="shared" si="18"/>
        <v>523.16</v>
      </c>
      <c r="L109" s="335">
        <f t="shared" si="24"/>
        <v>0</v>
      </c>
      <c r="M109" s="446"/>
      <c r="N109" s="446"/>
      <c r="O109" s="446"/>
      <c r="P109" s="446"/>
      <c r="Q109" s="110">
        <f t="shared" si="19"/>
        <v>5</v>
      </c>
      <c r="R109" s="111">
        <f t="shared" si="16"/>
        <v>130.79</v>
      </c>
      <c r="S109" s="110"/>
      <c r="T109" s="110"/>
      <c r="U109" s="110">
        <f t="shared" si="20"/>
        <v>5</v>
      </c>
      <c r="V109" s="111">
        <f t="shared" si="17"/>
        <v>130.79</v>
      </c>
      <c r="W109" s="110"/>
      <c r="X109" s="110"/>
      <c r="Y109" s="110"/>
      <c r="Z109" s="110"/>
      <c r="AA109" s="110">
        <f t="shared" si="21"/>
        <v>5</v>
      </c>
      <c r="AB109" s="111">
        <f t="shared" si="25"/>
        <v>130.79</v>
      </c>
      <c r="AC109" s="110"/>
      <c r="AD109" s="110"/>
      <c r="AE109" s="110">
        <f t="shared" si="21"/>
        <v>5</v>
      </c>
      <c r="AF109" s="111">
        <f t="shared" si="22"/>
        <v>130.79</v>
      </c>
      <c r="AG109" s="110"/>
      <c r="AH109" s="110"/>
      <c r="AI109" s="110"/>
      <c r="AJ109" s="110"/>
      <c r="AK109" s="111">
        <f t="shared" si="26"/>
        <v>523.16</v>
      </c>
      <c r="AL109" s="446">
        <f t="shared" si="27"/>
        <v>0</v>
      </c>
      <c r="AM109" s="110">
        <f t="shared" si="28"/>
        <v>20</v>
      </c>
      <c r="AN109" s="447">
        <f t="shared" si="23"/>
        <v>0</v>
      </c>
      <c r="AO109"/>
      <c r="AP109"/>
    </row>
    <row r="110" spans="1:42" ht="66" x14ac:dyDescent="0.25">
      <c r="A110" s="9"/>
      <c r="B110" s="473" t="s">
        <v>1699</v>
      </c>
      <c r="C110" s="1024"/>
      <c r="D110" s="869">
        <v>2</v>
      </c>
      <c r="E110" s="1027" t="s">
        <v>1721</v>
      </c>
      <c r="F110" s="273" t="s">
        <v>3446</v>
      </c>
      <c r="G110" s="1040" t="s">
        <v>3463</v>
      </c>
      <c r="H110" s="273" t="s">
        <v>3462</v>
      </c>
      <c r="I110" s="720">
        <f t="shared" si="29"/>
        <v>96.465599999999995</v>
      </c>
      <c r="J110" s="756">
        <v>192.93119999999999</v>
      </c>
      <c r="K110" s="131">
        <f t="shared" si="18"/>
        <v>192.93119999999999</v>
      </c>
      <c r="L110" s="335">
        <f t="shared" si="24"/>
        <v>0</v>
      </c>
      <c r="M110" s="446"/>
      <c r="N110" s="446"/>
      <c r="O110" s="446"/>
      <c r="P110" s="446"/>
      <c r="Q110" s="110">
        <v>1</v>
      </c>
      <c r="R110" s="111">
        <f t="shared" si="16"/>
        <v>48.232799999999997</v>
      </c>
      <c r="S110" s="110"/>
      <c r="T110" s="110"/>
      <c r="U110" s="110">
        <v>1</v>
      </c>
      <c r="V110" s="111">
        <f t="shared" si="17"/>
        <v>48.232799999999997</v>
      </c>
      <c r="W110" s="110"/>
      <c r="X110" s="110"/>
      <c r="Y110" s="110"/>
      <c r="Z110" s="110"/>
      <c r="AA110" s="110">
        <v>0</v>
      </c>
      <c r="AB110" s="111">
        <f t="shared" si="25"/>
        <v>48.232799999999997</v>
      </c>
      <c r="AC110" s="110"/>
      <c r="AD110" s="110"/>
      <c r="AE110" s="110">
        <v>0</v>
      </c>
      <c r="AF110" s="111">
        <f t="shared" si="22"/>
        <v>48.232799999999997</v>
      </c>
      <c r="AG110" s="110"/>
      <c r="AH110" s="110"/>
      <c r="AI110" s="110"/>
      <c r="AJ110" s="110"/>
      <c r="AK110" s="111">
        <f t="shared" si="26"/>
        <v>192.93119999999999</v>
      </c>
      <c r="AL110" s="446">
        <f t="shared" si="27"/>
        <v>0</v>
      </c>
      <c r="AM110" s="110">
        <f t="shared" si="28"/>
        <v>2</v>
      </c>
      <c r="AN110" s="447">
        <f t="shared" si="23"/>
        <v>0</v>
      </c>
      <c r="AO110"/>
      <c r="AP110"/>
    </row>
    <row r="111" spans="1:42" ht="66" x14ac:dyDescent="0.25">
      <c r="A111" s="9"/>
      <c r="B111" s="473" t="s">
        <v>1700</v>
      </c>
      <c r="C111" s="1024"/>
      <c r="D111" s="869">
        <v>4</v>
      </c>
      <c r="E111" s="1027" t="s">
        <v>1722</v>
      </c>
      <c r="F111" s="273" t="s">
        <v>3446</v>
      </c>
      <c r="G111" s="1040" t="s">
        <v>3463</v>
      </c>
      <c r="H111" s="273" t="s">
        <v>3462</v>
      </c>
      <c r="I111" s="720">
        <f t="shared" si="29"/>
        <v>64.391599999999997</v>
      </c>
      <c r="J111" s="756">
        <v>257.56639999999999</v>
      </c>
      <c r="K111" s="131">
        <f t="shared" si="18"/>
        <v>257.56639999999999</v>
      </c>
      <c r="L111" s="335">
        <f t="shared" si="24"/>
        <v>0</v>
      </c>
      <c r="M111" s="446"/>
      <c r="N111" s="446"/>
      <c r="O111" s="446"/>
      <c r="P111" s="446"/>
      <c r="Q111" s="110">
        <f t="shared" si="19"/>
        <v>1</v>
      </c>
      <c r="R111" s="111">
        <f t="shared" si="16"/>
        <v>64.391599999999997</v>
      </c>
      <c r="S111" s="110"/>
      <c r="T111" s="110"/>
      <c r="U111" s="110">
        <f t="shared" si="20"/>
        <v>1</v>
      </c>
      <c r="V111" s="111">
        <f t="shared" si="17"/>
        <v>64.391599999999997</v>
      </c>
      <c r="W111" s="110"/>
      <c r="X111" s="110"/>
      <c r="Y111" s="110"/>
      <c r="Z111" s="110"/>
      <c r="AA111" s="110">
        <f t="shared" si="21"/>
        <v>1</v>
      </c>
      <c r="AB111" s="111">
        <f t="shared" si="25"/>
        <v>64.391599999999997</v>
      </c>
      <c r="AC111" s="110"/>
      <c r="AD111" s="110"/>
      <c r="AE111" s="110">
        <f t="shared" si="21"/>
        <v>1</v>
      </c>
      <c r="AF111" s="111">
        <f t="shared" si="22"/>
        <v>64.391599999999997</v>
      </c>
      <c r="AG111" s="110"/>
      <c r="AH111" s="110"/>
      <c r="AI111" s="110"/>
      <c r="AJ111" s="110"/>
      <c r="AK111" s="111">
        <f t="shared" si="26"/>
        <v>257.56639999999999</v>
      </c>
      <c r="AL111" s="446">
        <f t="shared" si="27"/>
        <v>0</v>
      </c>
      <c r="AM111" s="110">
        <f t="shared" si="28"/>
        <v>4</v>
      </c>
      <c r="AN111" s="447">
        <f t="shared" si="23"/>
        <v>0</v>
      </c>
      <c r="AO111"/>
      <c r="AP111"/>
    </row>
    <row r="112" spans="1:42" ht="66" x14ac:dyDescent="0.25">
      <c r="A112" s="9"/>
      <c r="B112" s="473" t="s">
        <v>1701</v>
      </c>
      <c r="C112" s="1024"/>
      <c r="D112" s="869">
        <v>1</v>
      </c>
      <c r="E112" s="1027" t="s">
        <v>1721</v>
      </c>
      <c r="F112" s="273" t="s">
        <v>3446</v>
      </c>
      <c r="G112" s="1040" t="s">
        <v>3463</v>
      </c>
      <c r="H112" s="273" t="s">
        <v>3462</v>
      </c>
      <c r="I112" s="720">
        <f t="shared" si="29"/>
        <v>927.99999999999989</v>
      </c>
      <c r="J112" s="756">
        <v>927.99999999999989</v>
      </c>
      <c r="K112" s="131">
        <f t="shared" si="18"/>
        <v>927.99999999999989</v>
      </c>
      <c r="L112" s="335">
        <f t="shared" si="24"/>
        <v>0</v>
      </c>
      <c r="M112" s="446"/>
      <c r="N112" s="446"/>
      <c r="O112" s="446"/>
      <c r="P112" s="446"/>
      <c r="Q112" s="110">
        <v>1</v>
      </c>
      <c r="R112" s="111">
        <f t="shared" si="16"/>
        <v>231.99999999999997</v>
      </c>
      <c r="S112" s="110"/>
      <c r="T112" s="110"/>
      <c r="U112" s="110">
        <v>0</v>
      </c>
      <c r="V112" s="111">
        <f t="shared" si="17"/>
        <v>231.99999999999997</v>
      </c>
      <c r="W112" s="110"/>
      <c r="X112" s="110"/>
      <c r="Y112" s="110"/>
      <c r="Z112" s="110"/>
      <c r="AA112" s="110">
        <v>0</v>
      </c>
      <c r="AB112" s="111">
        <f t="shared" si="25"/>
        <v>231.99999999999997</v>
      </c>
      <c r="AC112" s="110"/>
      <c r="AD112" s="110"/>
      <c r="AE112" s="110">
        <v>0</v>
      </c>
      <c r="AF112" s="111">
        <f t="shared" si="22"/>
        <v>231.99999999999997</v>
      </c>
      <c r="AG112" s="110"/>
      <c r="AH112" s="110"/>
      <c r="AI112" s="110"/>
      <c r="AJ112" s="110"/>
      <c r="AK112" s="111">
        <f t="shared" si="26"/>
        <v>927.99999999999989</v>
      </c>
      <c r="AL112" s="446">
        <f t="shared" si="27"/>
        <v>0</v>
      </c>
      <c r="AM112" s="110">
        <f t="shared" si="28"/>
        <v>1</v>
      </c>
      <c r="AN112" s="447">
        <f t="shared" si="23"/>
        <v>0</v>
      </c>
      <c r="AO112"/>
      <c r="AP112"/>
    </row>
    <row r="113" spans="1:42" ht="66" x14ac:dyDescent="0.25">
      <c r="A113" s="9"/>
      <c r="B113" s="473" t="s">
        <v>1702</v>
      </c>
      <c r="C113" s="1024"/>
      <c r="D113" s="869">
        <v>1</v>
      </c>
      <c r="E113" s="1027" t="s">
        <v>1721</v>
      </c>
      <c r="F113" s="273" t="s">
        <v>3446</v>
      </c>
      <c r="G113" s="1040" t="s">
        <v>3463</v>
      </c>
      <c r="H113" s="273" t="s">
        <v>3462</v>
      </c>
      <c r="I113" s="720">
        <f t="shared" si="29"/>
        <v>1392</v>
      </c>
      <c r="J113" s="756">
        <v>1392</v>
      </c>
      <c r="K113" s="131">
        <f t="shared" si="18"/>
        <v>1392</v>
      </c>
      <c r="L113" s="335">
        <f t="shared" si="24"/>
        <v>0</v>
      </c>
      <c r="M113" s="446"/>
      <c r="N113" s="446"/>
      <c r="O113" s="446"/>
      <c r="P113" s="446"/>
      <c r="Q113" s="110">
        <v>1</v>
      </c>
      <c r="R113" s="111">
        <f t="shared" si="16"/>
        <v>348</v>
      </c>
      <c r="S113" s="110"/>
      <c r="T113" s="110"/>
      <c r="U113" s="110">
        <v>0</v>
      </c>
      <c r="V113" s="111">
        <f t="shared" si="17"/>
        <v>348</v>
      </c>
      <c r="W113" s="110"/>
      <c r="X113" s="110"/>
      <c r="Y113" s="110"/>
      <c r="Z113" s="110"/>
      <c r="AA113" s="110">
        <v>0</v>
      </c>
      <c r="AB113" s="111">
        <f t="shared" si="25"/>
        <v>348</v>
      </c>
      <c r="AC113" s="110"/>
      <c r="AD113" s="110"/>
      <c r="AE113" s="110">
        <v>0</v>
      </c>
      <c r="AF113" s="111">
        <f t="shared" si="22"/>
        <v>348</v>
      </c>
      <c r="AG113" s="110"/>
      <c r="AH113" s="110"/>
      <c r="AI113" s="110"/>
      <c r="AJ113" s="110"/>
      <c r="AK113" s="111">
        <f t="shared" si="26"/>
        <v>1392</v>
      </c>
      <c r="AL113" s="446">
        <f t="shared" si="27"/>
        <v>0</v>
      </c>
      <c r="AM113" s="110">
        <f t="shared" si="28"/>
        <v>1</v>
      </c>
      <c r="AN113" s="447">
        <f t="shared" si="23"/>
        <v>0</v>
      </c>
      <c r="AO113"/>
      <c r="AP113"/>
    </row>
    <row r="114" spans="1:42" ht="66" x14ac:dyDescent="0.25">
      <c r="A114" s="9"/>
      <c r="B114" s="473" t="s">
        <v>88</v>
      </c>
      <c r="C114" s="1024"/>
      <c r="D114" s="869">
        <v>1</v>
      </c>
      <c r="E114" s="1027" t="s">
        <v>1834</v>
      </c>
      <c r="F114" s="273" t="s">
        <v>3446</v>
      </c>
      <c r="G114" s="1040" t="s">
        <v>3463</v>
      </c>
      <c r="H114" s="273" t="s">
        <v>3462</v>
      </c>
      <c r="I114" s="720">
        <f t="shared" si="29"/>
        <v>166.37879999999998</v>
      </c>
      <c r="J114" s="756">
        <v>166.37879999999998</v>
      </c>
      <c r="K114" s="131">
        <f t="shared" si="18"/>
        <v>166.37879999999998</v>
      </c>
      <c r="L114" s="335">
        <f t="shared" si="24"/>
        <v>0</v>
      </c>
      <c r="M114" s="446"/>
      <c r="N114" s="446"/>
      <c r="O114" s="446"/>
      <c r="P114" s="446"/>
      <c r="Q114" s="110">
        <v>1</v>
      </c>
      <c r="R114" s="111">
        <f t="shared" si="16"/>
        <v>41.594699999999996</v>
      </c>
      <c r="S114" s="110"/>
      <c r="T114" s="110"/>
      <c r="U114" s="110">
        <v>0</v>
      </c>
      <c r="V114" s="111">
        <f t="shared" si="17"/>
        <v>41.594699999999996</v>
      </c>
      <c r="W114" s="110"/>
      <c r="X114" s="110"/>
      <c r="Y114" s="110"/>
      <c r="Z114" s="110"/>
      <c r="AA114" s="110">
        <v>0</v>
      </c>
      <c r="AB114" s="111">
        <f t="shared" si="25"/>
        <v>41.594699999999996</v>
      </c>
      <c r="AC114" s="110"/>
      <c r="AD114" s="110"/>
      <c r="AE114" s="110">
        <v>0</v>
      </c>
      <c r="AF114" s="111">
        <f t="shared" si="22"/>
        <v>41.594699999999996</v>
      </c>
      <c r="AG114" s="110"/>
      <c r="AH114" s="110"/>
      <c r="AI114" s="110"/>
      <c r="AJ114" s="110"/>
      <c r="AK114" s="111">
        <f t="shared" si="26"/>
        <v>166.37879999999998</v>
      </c>
      <c r="AL114" s="446">
        <f t="shared" si="27"/>
        <v>0</v>
      </c>
      <c r="AM114" s="110">
        <f t="shared" si="28"/>
        <v>1</v>
      </c>
      <c r="AN114" s="447">
        <f t="shared" si="23"/>
        <v>0</v>
      </c>
      <c r="AO114"/>
      <c r="AP114"/>
    </row>
    <row r="115" spans="1:42" ht="66" x14ac:dyDescent="0.25">
      <c r="A115" s="9"/>
      <c r="B115" s="34" t="s">
        <v>1703</v>
      </c>
      <c r="C115" s="1024"/>
      <c r="D115" s="869">
        <v>1</v>
      </c>
      <c r="E115" s="1027" t="s">
        <v>1721</v>
      </c>
      <c r="F115" s="273" t="s">
        <v>3446</v>
      </c>
      <c r="G115" s="1040" t="s">
        <v>3463</v>
      </c>
      <c r="H115" s="273" t="s">
        <v>3462</v>
      </c>
      <c r="I115" s="720">
        <f t="shared" si="29"/>
        <v>172.26</v>
      </c>
      <c r="J115" s="756">
        <v>172.26</v>
      </c>
      <c r="K115" s="131">
        <f t="shared" si="18"/>
        <v>172.26</v>
      </c>
      <c r="L115" s="335">
        <f t="shared" si="24"/>
        <v>0</v>
      </c>
      <c r="M115" s="446"/>
      <c r="N115" s="446"/>
      <c r="O115" s="446"/>
      <c r="P115" s="446"/>
      <c r="Q115" s="110">
        <v>1</v>
      </c>
      <c r="R115" s="111">
        <f t="shared" si="16"/>
        <v>43.064999999999998</v>
      </c>
      <c r="S115" s="110"/>
      <c r="T115" s="110"/>
      <c r="U115" s="110">
        <v>0</v>
      </c>
      <c r="V115" s="111">
        <f t="shared" si="17"/>
        <v>43.064999999999998</v>
      </c>
      <c r="W115" s="110"/>
      <c r="X115" s="110"/>
      <c r="Y115" s="110"/>
      <c r="Z115" s="110"/>
      <c r="AA115" s="110">
        <v>0</v>
      </c>
      <c r="AB115" s="111">
        <f t="shared" si="25"/>
        <v>43.064999999999998</v>
      </c>
      <c r="AC115" s="110"/>
      <c r="AD115" s="110"/>
      <c r="AE115" s="110">
        <v>0</v>
      </c>
      <c r="AF115" s="111">
        <f t="shared" si="22"/>
        <v>43.064999999999998</v>
      </c>
      <c r="AG115" s="110"/>
      <c r="AH115" s="110"/>
      <c r="AI115" s="110"/>
      <c r="AJ115" s="110"/>
      <c r="AK115" s="111">
        <f t="shared" si="26"/>
        <v>172.26</v>
      </c>
      <c r="AL115" s="446">
        <f t="shared" si="27"/>
        <v>0</v>
      </c>
      <c r="AM115" s="110">
        <f t="shared" si="28"/>
        <v>1</v>
      </c>
      <c r="AN115" s="447">
        <f t="shared" si="23"/>
        <v>0</v>
      </c>
      <c r="AO115"/>
      <c r="AP115"/>
    </row>
    <row r="116" spans="1:42" s="108" customFormat="1" ht="66" x14ac:dyDescent="0.25">
      <c r="A116" s="9"/>
      <c r="B116" s="34" t="s">
        <v>16</v>
      </c>
      <c r="C116" s="1024"/>
      <c r="D116" s="871">
        <v>1</v>
      </c>
      <c r="E116" s="1027" t="s">
        <v>1721</v>
      </c>
      <c r="F116" s="278" t="s">
        <v>3446</v>
      </c>
      <c r="G116" s="1040" t="s">
        <v>3463</v>
      </c>
      <c r="H116" s="273" t="s">
        <v>3462</v>
      </c>
      <c r="I116" s="722">
        <f t="shared" si="29"/>
        <v>149.75971200000001</v>
      </c>
      <c r="J116" s="760">
        <v>149.75971200000001</v>
      </c>
      <c r="K116" s="131">
        <f t="shared" si="18"/>
        <v>149.75971200000001</v>
      </c>
      <c r="L116" s="335">
        <f t="shared" si="24"/>
        <v>0</v>
      </c>
      <c r="M116" s="335"/>
      <c r="N116" s="335"/>
      <c r="O116" s="335"/>
      <c r="P116" s="335"/>
      <c r="Q116" s="130">
        <v>1</v>
      </c>
      <c r="R116" s="131">
        <f t="shared" si="16"/>
        <v>37.439928000000002</v>
      </c>
      <c r="S116" s="130"/>
      <c r="T116" s="130"/>
      <c r="U116" s="110">
        <v>0</v>
      </c>
      <c r="V116" s="131">
        <f t="shared" si="17"/>
        <v>37.439928000000002</v>
      </c>
      <c r="W116" s="130"/>
      <c r="X116" s="130"/>
      <c r="Y116" s="130"/>
      <c r="Z116" s="130"/>
      <c r="AA116" s="110">
        <v>0</v>
      </c>
      <c r="AB116" s="131">
        <f t="shared" si="25"/>
        <v>37.439928000000002</v>
      </c>
      <c r="AC116" s="130"/>
      <c r="AD116" s="130"/>
      <c r="AE116" s="110">
        <v>0</v>
      </c>
      <c r="AF116" s="131">
        <f t="shared" si="22"/>
        <v>37.439928000000002</v>
      </c>
      <c r="AG116" s="130"/>
      <c r="AH116" s="130"/>
      <c r="AI116" s="130"/>
      <c r="AJ116" s="130"/>
      <c r="AK116" s="131">
        <f t="shared" si="26"/>
        <v>149.75971200000001</v>
      </c>
      <c r="AL116" s="335">
        <f t="shared" si="27"/>
        <v>0</v>
      </c>
      <c r="AM116" s="130">
        <f t="shared" si="28"/>
        <v>1</v>
      </c>
      <c r="AN116" s="336">
        <f t="shared" si="23"/>
        <v>0</v>
      </c>
    </row>
    <row r="117" spans="1:42" s="108" customFormat="1" ht="66" x14ac:dyDescent="0.25">
      <c r="A117" s="9"/>
      <c r="B117" s="34" t="s">
        <v>20</v>
      </c>
      <c r="C117" s="1024"/>
      <c r="D117" s="871">
        <v>2</v>
      </c>
      <c r="E117" s="1027" t="s">
        <v>1722</v>
      </c>
      <c r="F117" s="278" t="s">
        <v>3446</v>
      </c>
      <c r="G117" s="1040" t="s">
        <v>3463</v>
      </c>
      <c r="H117" s="273" t="s">
        <v>3462</v>
      </c>
      <c r="I117" s="722">
        <f t="shared" si="29"/>
        <v>30.6936</v>
      </c>
      <c r="J117" s="760">
        <v>61.3872</v>
      </c>
      <c r="K117" s="131">
        <f t="shared" si="18"/>
        <v>61.3872</v>
      </c>
      <c r="L117" s="335">
        <f t="shared" si="24"/>
        <v>0</v>
      </c>
      <c r="M117" s="335"/>
      <c r="N117" s="335"/>
      <c r="O117" s="335"/>
      <c r="P117" s="335"/>
      <c r="Q117" s="130">
        <v>1</v>
      </c>
      <c r="R117" s="131">
        <f t="shared" si="16"/>
        <v>15.3468</v>
      </c>
      <c r="S117" s="130"/>
      <c r="T117" s="130"/>
      <c r="U117" s="130">
        <v>1</v>
      </c>
      <c r="V117" s="131">
        <f t="shared" si="17"/>
        <v>15.3468</v>
      </c>
      <c r="W117" s="130"/>
      <c r="X117" s="130"/>
      <c r="Y117" s="130"/>
      <c r="Z117" s="130"/>
      <c r="AA117" s="130">
        <v>0</v>
      </c>
      <c r="AB117" s="131">
        <f t="shared" si="25"/>
        <v>15.3468</v>
      </c>
      <c r="AC117" s="130"/>
      <c r="AD117" s="130"/>
      <c r="AE117" s="130">
        <v>0</v>
      </c>
      <c r="AF117" s="131">
        <f t="shared" si="22"/>
        <v>15.3468</v>
      </c>
      <c r="AG117" s="130"/>
      <c r="AH117" s="130"/>
      <c r="AI117" s="130"/>
      <c r="AJ117" s="130"/>
      <c r="AK117" s="131">
        <f t="shared" si="26"/>
        <v>61.3872</v>
      </c>
      <c r="AL117" s="335">
        <f t="shared" si="27"/>
        <v>0</v>
      </c>
      <c r="AM117" s="130">
        <f t="shared" si="28"/>
        <v>2</v>
      </c>
      <c r="AN117" s="336">
        <f t="shared" si="23"/>
        <v>0</v>
      </c>
    </row>
    <row r="118" spans="1:42" s="108" customFormat="1" ht="66" x14ac:dyDescent="0.25">
      <c r="A118" s="9"/>
      <c r="B118" s="34" t="s">
        <v>21</v>
      </c>
      <c r="C118" s="1024"/>
      <c r="D118" s="871">
        <v>2</v>
      </c>
      <c r="E118" s="1027" t="s">
        <v>1722</v>
      </c>
      <c r="F118" s="278" t="s">
        <v>3446</v>
      </c>
      <c r="G118" s="1040" t="s">
        <v>3463</v>
      </c>
      <c r="H118" s="273" t="s">
        <v>3462</v>
      </c>
      <c r="I118" s="722">
        <f t="shared" si="29"/>
        <v>30.6936</v>
      </c>
      <c r="J118" s="760">
        <v>61.3872</v>
      </c>
      <c r="K118" s="131">
        <f t="shared" si="18"/>
        <v>61.3872</v>
      </c>
      <c r="L118" s="335">
        <f t="shared" si="24"/>
        <v>0</v>
      </c>
      <c r="M118" s="335"/>
      <c r="N118" s="335"/>
      <c r="O118" s="335"/>
      <c r="P118" s="335"/>
      <c r="Q118" s="130">
        <v>1</v>
      </c>
      <c r="R118" s="131">
        <f t="shared" si="16"/>
        <v>15.3468</v>
      </c>
      <c r="S118" s="130"/>
      <c r="T118" s="130"/>
      <c r="U118" s="130">
        <v>1</v>
      </c>
      <c r="V118" s="131">
        <f t="shared" si="17"/>
        <v>15.3468</v>
      </c>
      <c r="W118" s="130"/>
      <c r="X118" s="130"/>
      <c r="Y118" s="130"/>
      <c r="Z118" s="130"/>
      <c r="AA118" s="130">
        <v>0</v>
      </c>
      <c r="AB118" s="131">
        <f t="shared" si="25"/>
        <v>15.3468</v>
      </c>
      <c r="AC118" s="130"/>
      <c r="AD118" s="130"/>
      <c r="AE118" s="130">
        <v>0</v>
      </c>
      <c r="AF118" s="131">
        <f t="shared" si="22"/>
        <v>15.3468</v>
      </c>
      <c r="AG118" s="130"/>
      <c r="AH118" s="130"/>
      <c r="AI118" s="130"/>
      <c r="AJ118" s="130"/>
      <c r="AK118" s="131">
        <f t="shared" si="26"/>
        <v>61.3872</v>
      </c>
      <c r="AL118" s="335">
        <f t="shared" si="27"/>
        <v>0</v>
      </c>
      <c r="AM118" s="130">
        <f t="shared" si="28"/>
        <v>2</v>
      </c>
      <c r="AN118" s="336">
        <f t="shared" si="23"/>
        <v>0</v>
      </c>
    </row>
    <row r="119" spans="1:42" s="108" customFormat="1" ht="66" x14ac:dyDescent="0.25">
      <c r="A119" s="9"/>
      <c r="B119" s="34" t="s">
        <v>23</v>
      </c>
      <c r="C119" s="1024"/>
      <c r="D119" s="871">
        <v>2</v>
      </c>
      <c r="E119" s="1027" t="s">
        <v>1723</v>
      </c>
      <c r="F119" s="278" t="s">
        <v>3446</v>
      </c>
      <c r="G119" s="1040" t="s">
        <v>3463</v>
      </c>
      <c r="H119" s="273" t="s">
        <v>3462</v>
      </c>
      <c r="I119" s="722">
        <f t="shared" si="29"/>
        <v>3.6080640000000002</v>
      </c>
      <c r="J119" s="760">
        <v>7.2161280000000003</v>
      </c>
      <c r="K119" s="131">
        <f t="shared" si="18"/>
        <v>7.2161280000000003</v>
      </c>
      <c r="L119" s="335">
        <f t="shared" si="24"/>
        <v>0</v>
      </c>
      <c r="M119" s="335"/>
      <c r="N119" s="335"/>
      <c r="O119" s="335"/>
      <c r="P119" s="335"/>
      <c r="Q119" s="130">
        <v>1</v>
      </c>
      <c r="R119" s="131">
        <f t="shared" si="16"/>
        <v>1.8040320000000001</v>
      </c>
      <c r="S119" s="130"/>
      <c r="T119" s="130"/>
      <c r="U119" s="130">
        <v>1</v>
      </c>
      <c r="V119" s="131">
        <f t="shared" si="17"/>
        <v>1.8040320000000001</v>
      </c>
      <c r="W119" s="130"/>
      <c r="X119" s="130"/>
      <c r="Y119" s="130"/>
      <c r="Z119" s="130"/>
      <c r="AA119" s="130">
        <v>0</v>
      </c>
      <c r="AB119" s="131">
        <f t="shared" si="25"/>
        <v>1.8040320000000001</v>
      </c>
      <c r="AC119" s="130"/>
      <c r="AD119" s="130"/>
      <c r="AE119" s="130">
        <v>0</v>
      </c>
      <c r="AF119" s="131">
        <f t="shared" si="22"/>
        <v>1.8040320000000001</v>
      </c>
      <c r="AG119" s="130"/>
      <c r="AH119" s="130"/>
      <c r="AI119" s="130"/>
      <c r="AJ119" s="130"/>
      <c r="AK119" s="131">
        <f t="shared" si="26"/>
        <v>7.2161280000000003</v>
      </c>
      <c r="AL119" s="335">
        <f t="shared" si="27"/>
        <v>0</v>
      </c>
      <c r="AM119" s="130">
        <f t="shared" si="28"/>
        <v>2</v>
      </c>
      <c r="AN119" s="336">
        <f t="shared" si="23"/>
        <v>0</v>
      </c>
    </row>
    <row r="120" spans="1:42" s="108" customFormat="1" ht="66" x14ac:dyDescent="0.25">
      <c r="A120" s="9"/>
      <c r="B120" s="34" t="s">
        <v>25</v>
      </c>
      <c r="C120" s="1024"/>
      <c r="D120" s="871">
        <v>2</v>
      </c>
      <c r="E120" s="1027" t="s">
        <v>1722</v>
      </c>
      <c r="F120" s="278" t="s">
        <v>3446</v>
      </c>
      <c r="G120" s="1040" t="s">
        <v>3463</v>
      </c>
      <c r="H120" s="273" t="s">
        <v>3462</v>
      </c>
      <c r="I120" s="722">
        <f t="shared" si="29"/>
        <v>40.290047999999999</v>
      </c>
      <c r="J120" s="760">
        <v>80.580095999999998</v>
      </c>
      <c r="K120" s="131">
        <f t="shared" si="18"/>
        <v>80.580095999999998</v>
      </c>
      <c r="L120" s="335">
        <f t="shared" si="24"/>
        <v>0</v>
      </c>
      <c r="M120" s="335"/>
      <c r="N120" s="335"/>
      <c r="O120" s="335"/>
      <c r="P120" s="335"/>
      <c r="Q120" s="130">
        <v>1</v>
      </c>
      <c r="R120" s="131">
        <f t="shared" si="16"/>
        <v>20.145023999999999</v>
      </c>
      <c r="S120" s="130"/>
      <c r="T120" s="130"/>
      <c r="U120" s="130">
        <v>1</v>
      </c>
      <c r="V120" s="131">
        <f t="shared" si="17"/>
        <v>20.145023999999999</v>
      </c>
      <c r="W120" s="130"/>
      <c r="X120" s="130"/>
      <c r="Y120" s="130"/>
      <c r="Z120" s="130"/>
      <c r="AA120" s="130">
        <v>0</v>
      </c>
      <c r="AB120" s="131">
        <f t="shared" si="25"/>
        <v>20.145023999999999</v>
      </c>
      <c r="AC120" s="130"/>
      <c r="AD120" s="130"/>
      <c r="AE120" s="130">
        <v>0</v>
      </c>
      <c r="AF120" s="131">
        <f t="shared" si="22"/>
        <v>20.145023999999999</v>
      </c>
      <c r="AG120" s="130"/>
      <c r="AH120" s="130"/>
      <c r="AI120" s="130"/>
      <c r="AJ120" s="130"/>
      <c r="AK120" s="131">
        <f t="shared" si="26"/>
        <v>80.580095999999998</v>
      </c>
      <c r="AL120" s="335">
        <f t="shared" si="27"/>
        <v>0</v>
      </c>
      <c r="AM120" s="130">
        <f t="shared" si="28"/>
        <v>2</v>
      </c>
      <c r="AN120" s="336">
        <f t="shared" si="23"/>
        <v>0</v>
      </c>
    </row>
    <row r="121" spans="1:42" s="108" customFormat="1" ht="66" x14ac:dyDescent="0.25">
      <c r="A121" s="9"/>
      <c r="B121" s="34" t="s">
        <v>28</v>
      </c>
      <c r="C121" s="1024"/>
      <c r="D121" s="871">
        <v>2</v>
      </c>
      <c r="E121" s="1027" t="s">
        <v>1723</v>
      </c>
      <c r="F121" s="278" t="s">
        <v>3446</v>
      </c>
      <c r="G121" s="1040" t="s">
        <v>3463</v>
      </c>
      <c r="H121" s="273" t="s">
        <v>3462</v>
      </c>
      <c r="I121" s="722">
        <f t="shared" si="29"/>
        <v>116.623152</v>
      </c>
      <c r="J121" s="760">
        <v>233.24630400000001</v>
      </c>
      <c r="K121" s="131">
        <f t="shared" si="18"/>
        <v>233.24630400000001</v>
      </c>
      <c r="L121" s="335">
        <f t="shared" si="24"/>
        <v>0</v>
      </c>
      <c r="M121" s="335"/>
      <c r="N121" s="335"/>
      <c r="O121" s="335"/>
      <c r="P121" s="335"/>
      <c r="Q121" s="130">
        <v>1</v>
      </c>
      <c r="R121" s="131">
        <f t="shared" si="16"/>
        <v>58.311576000000002</v>
      </c>
      <c r="S121" s="130"/>
      <c r="T121" s="130"/>
      <c r="U121" s="130">
        <v>1</v>
      </c>
      <c r="V121" s="131">
        <f t="shared" si="17"/>
        <v>58.311576000000002</v>
      </c>
      <c r="W121" s="130"/>
      <c r="X121" s="130"/>
      <c r="Y121" s="130"/>
      <c r="Z121" s="130"/>
      <c r="AA121" s="130">
        <v>0</v>
      </c>
      <c r="AB121" s="131">
        <f t="shared" si="25"/>
        <v>58.311576000000002</v>
      </c>
      <c r="AC121" s="130"/>
      <c r="AD121" s="130"/>
      <c r="AE121" s="130">
        <v>0</v>
      </c>
      <c r="AF121" s="131">
        <f t="shared" si="22"/>
        <v>58.311576000000002</v>
      </c>
      <c r="AG121" s="130"/>
      <c r="AH121" s="130"/>
      <c r="AI121" s="130"/>
      <c r="AJ121" s="130"/>
      <c r="AK121" s="131">
        <f t="shared" si="26"/>
        <v>233.24630400000001</v>
      </c>
      <c r="AL121" s="335">
        <f t="shared" si="27"/>
        <v>0</v>
      </c>
      <c r="AM121" s="130">
        <f t="shared" si="28"/>
        <v>2</v>
      </c>
      <c r="AN121" s="336">
        <f t="shared" si="23"/>
        <v>0</v>
      </c>
    </row>
    <row r="122" spans="1:42" s="108" customFormat="1" ht="66" x14ac:dyDescent="0.25">
      <c r="A122" s="9"/>
      <c r="B122" s="34" t="s">
        <v>51</v>
      </c>
      <c r="C122" s="1024"/>
      <c r="D122" s="871">
        <v>4</v>
      </c>
      <c r="E122" s="1027" t="s">
        <v>1721</v>
      </c>
      <c r="F122" s="278" t="s">
        <v>3446</v>
      </c>
      <c r="G122" s="1040" t="s">
        <v>3463</v>
      </c>
      <c r="H122" s="273" t="s">
        <v>3462</v>
      </c>
      <c r="I122" s="722">
        <f t="shared" si="29"/>
        <v>314.54049600000002</v>
      </c>
      <c r="J122" s="760">
        <v>1258.1619840000001</v>
      </c>
      <c r="K122" s="131">
        <f t="shared" si="18"/>
        <v>1258.1619840000001</v>
      </c>
      <c r="L122" s="335">
        <f t="shared" si="24"/>
        <v>0</v>
      </c>
      <c r="M122" s="335"/>
      <c r="N122" s="335"/>
      <c r="O122" s="335"/>
      <c r="P122" s="335"/>
      <c r="Q122" s="130">
        <f t="shared" si="19"/>
        <v>1</v>
      </c>
      <c r="R122" s="131">
        <f t="shared" si="16"/>
        <v>314.54049600000002</v>
      </c>
      <c r="S122" s="130"/>
      <c r="T122" s="130"/>
      <c r="U122" s="130">
        <f t="shared" si="20"/>
        <v>1</v>
      </c>
      <c r="V122" s="131">
        <f t="shared" si="17"/>
        <v>314.54049600000002</v>
      </c>
      <c r="W122" s="130"/>
      <c r="X122" s="130"/>
      <c r="Y122" s="130"/>
      <c r="Z122" s="130"/>
      <c r="AA122" s="130">
        <f t="shared" si="21"/>
        <v>1</v>
      </c>
      <c r="AB122" s="131">
        <f t="shared" si="25"/>
        <v>314.54049600000002</v>
      </c>
      <c r="AC122" s="130"/>
      <c r="AD122" s="130"/>
      <c r="AE122" s="130">
        <f t="shared" si="21"/>
        <v>1</v>
      </c>
      <c r="AF122" s="131">
        <f t="shared" si="22"/>
        <v>314.54049600000002</v>
      </c>
      <c r="AG122" s="130"/>
      <c r="AH122" s="130"/>
      <c r="AI122" s="130"/>
      <c r="AJ122" s="130"/>
      <c r="AK122" s="131">
        <f t="shared" si="26"/>
        <v>1258.1619840000001</v>
      </c>
      <c r="AL122" s="335">
        <f t="shared" si="27"/>
        <v>0</v>
      </c>
      <c r="AM122" s="130">
        <f t="shared" si="28"/>
        <v>4</v>
      </c>
      <c r="AN122" s="336">
        <f t="shared" si="23"/>
        <v>0</v>
      </c>
    </row>
    <row r="123" spans="1:42" s="108" customFormat="1" ht="66" x14ac:dyDescent="0.25">
      <c r="A123" s="9"/>
      <c r="B123" s="34" t="s">
        <v>31</v>
      </c>
      <c r="C123" s="1024"/>
      <c r="D123" s="871">
        <v>10</v>
      </c>
      <c r="E123" s="1027" t="s">
        <v>1721</v>
      </c>
      <c r="F123" s="278" t="s">
        <v>3446</v>
      </c>
      <c r="G123" s="1040" t="s">
        <v>3463</v>
      </c>
      <c r="H123" s="273" t="s">
        <v>3462</v>
      </c>
      <c r="I123" s="722">
        <f t="shared" si="29"/>
        <v>28.300751999999999</v>
      </c>
      <c r="J123" s="760">
        <v>283.00752</v>
      </c>
      <c r="K123" s="131">
        <f t="shared" si="18"/>
        <v>283.00752</v>
      </c>
      <c r="L123" s="335">
        <f t="shared" si="24"/>
        <v>0</v>
      </c>
      <c r="M123" s="335"/>
      <c r="N123" s="335"/>
      <c r="O123" s="335"/>
      <c r="P123" s="335"/>
      <c r="Q123" s="130">
        <v>3</v>
      </c>
      <c r="R123" s="131">
        <f t="shared" si="16"/>
        <v>70.75188</v>
      </c>
      <c r="S123" s="130"/>
      <c r="T123" s="130"/>
      <c r="U123" s="130">
        <v>3</v>
      </c>
      <c r="V123" s="131">
        <f t="shared" si="17"/>
        <v>70.75188</v>
      </c>
      <c r="W123" s="130"/>
      <c r="X123" s="130"/>
      <c r="Y123" s="130"/>
      <c r="Z123" s="130"/>
      <c r="AA123" s="130">
        <v>2</v>
      </c>
      <c r="AB123" s="131">
        <f t="shared" si="25"/>
        <v>70.75188</v>
      </c>
      <c r="AC123" s="130"/>
      <c r="AD123" s="130"/>
      <c r="AE123" s="130">
        <v>2</v>
      </c>
      <c r="AF123" s="131">
        <f t="shared" si="22"/>
        <v>70.75188</v>
      </c>
      <c r="AG123" s="130"/>
      <c r="AH123" s="130"/>
      <c r="AI123" s="130"/>
      <c r="AJ123" s="130"/>
      <c r="AK123" s="131">
        <f t="shared" si="26"/>
        <v>283.00752</v>
      </c>
      <c r="AL123" s="335">
        <f t="shared" si="27"/>
        <v>0</v>
      </c>
      <c r="AM123" s="130">
        <f t="shared" si="28"/>
        <v>10</v>
      </c>
      <c r="AN123" s="336">
        <f t="shared" si="23"/>
        <v>0</v>
      </c>
    </row>
    <row r="124" spans="1:42" s="108" customFormat="1" ht="66" x14ac:dyDescent="0.25">
      <c r="A124" s="9"/>
      <c r="B124" s="34" t="s">
        <v>45</v>
      </c>
      <c r="C124" s="1024"/>
      <c r="D124" s="871">
        <v>6</v>
      </c>
      <c r="E124" s="1027" t="s">
        <v>1722</v>
      </c>
      <c r="F124" s="278" t="s">
        <v>3446</v>
      </c>
      <c r="G124" s="1040" t="s">
        <v>3463</v>
      </c>
      <c r="H124" s="273" t="s">
        <v>3462</v>
      </c>
      <c r="I124" s="722">
        <f t="shared" si="29"/>
        <v>11.976768</v>
      </c>
      <c r="J124" s="760">
        <v>71.860607999999999</v>
      </c>
      <c r="K124" s="131">
        <f t="shared" si="18"/>
        <v>71.860607999999999</v>
      </c>
      <c r="L124" s="335">
        <f t="shared" si="24"/>
        <v>0</v>
      </c>
      <c r="M124" s="335"/>
      <c r="N124" s="335"/>
      <c r="O124" s="335"/>
      <c r="P124" s="335"/>
      <c r="Q124" s="130">
        <v>2</v>
      </c>
      <c r="R124" s="131">
        <f t="shared" si="16"/>
        <v>17.965152</v>
      </c>
      <c r="S124" s="130"/>
      <c r="T124" s="130"/>
      <c r="U124" s="130">
        <v>2</v>
      </c>
      <c r="V124" s="131">
        <f t="shared" si="17"/>
        <v>17.965152</v>
      </c>
      <c r="W124" s="130"/>
      <c r="X124" s="130"/>
      <c r="Y124" s="130"/>
      <c r="Z124" s="130"/>
      <c r="AA124" s="130">
        <v>1</v>
      </c>
      <c r="AB124" s="131">
        <f t="shared" si="25"/>
        <v>17.965152</v>
      </c>
      <c r="AC124" s="130"/>
      <c r="AD124" s="130"/>
      <c r="AE124" s="130">
        <v>1</v>
      </c>
      <c r="AF124" s="131">
        <f t="shared" si="22"/>
        <v>17.965152</v>
      </c>
      <c r="AG124" s="130"/>
      <c r="AH124" s="130"/>
      <c r="AI124" s="130"/>
      <c r="AJ124" s="130"/>
      <c r="AK124" s="131">
        <f t="shared" si="26"/>
        <v>71.860607999999999</v>
      </c>
      <c r="AL124" s="335">
        <f t="shared" si="27"/>
        <v>0</v>
      </c>
      <c r="AM124" s="130">
        <f t="shared" si="28"/>
        <v>6</v>
      </c>
      <c r="AN124" s="336">
        <f t="shared" si="23"/>
        <v>0</v>
      </c>
    </row>
    <row r="125" spans="1:42" s="108" customFormat="1" ht="66" x14ac:dyDescent="0.25">
      <c r="A125" s="9"/>
      <c r="B125" s="34" t="s">
        <v>46</v>
      </c>
      <c r="C125" s="1024"/>
      <c r="D125" s="871">
        <v>6</v>
      </c>
      <c r="E125" s="1027" t="s">
        <v>1723</v>
      </c>
      <c r="F125" s="278" t="s">
        <v>3446</v>
      </c>
      <c r="G125" s="1040" t="s">
        <v>3463</v>
      </c>
      <c r="H125" s="273" t="s">
        <v>3462</v>
      </c>
      <c r="I125" s="722">
        <f t="shared" si="29"/>
        <v>10.485936000000001</v>
      </c>
      <c r="J125" s="760">
        <v>62.915616</v>
      </c>
      <c r="K125" s="131">
        <f t="shared" si="18"/>
        <v>62.915616</v>
      </c>
      <c r="L125" s="335">
        <f t="shared" si="24"/>
        <v>0</v>
      </c>
      <c r="M125" s="335"/>
      <c r="N125" s="335"/>
      <c r="O125" s="335"/>
      <c r="P125" s="335"/>
      <c r="Q125" s="130">
        <v>2</v>
      </c>
      <c r="R125" s="131">
        <f t="shared" si="16"/>
        <v>15.728904</v>
      </c>
      <c r="S125" s="130"/>
      <c r="T125" s="130"/>
      <c r="U125" s="130">
        <v>2</v>
      </c>
      <c r="V125" s="131">
        <f t="shared" si="17"/>
        <v>15.728904</v>
      </c>
      <c r="W125" s="130"/>
      <c r="X125" s="130"/>
      <c r="Y125" s="130"/>
      <c r="Z125" s="130"/>
      <c r="AA125" s="130">
        <v>1</v>
      </c>
      <c r="AB125" s="131">
        <f t="shared" si="25"/>
        <v>15.728904</v>
      </c>
      <c r="AC125" s="130"/>
      <c r="AD125" s="130"/>
      <c r="AE125" s="130">
        <v>1</v>
      </c>
      <c r="AF125" s="131">
        <f t="shared" si="22"/>
        <v>15.728904</v>
      </c>
      <c r="AG125" s="130"/>
      <c r="AH125" s="130"/>
      <c r="AI125" s="130"/>
      <c r="AJ125" s="130"/>
      <c r="AK125" s="131">
        <f t="shared" si="26"/>
        <v>62.915616</v>
      </c>
      <c r="AL125" s="335">
        <f t="shared" si="27"/>
        <v>0</v>
      </c>
      <c r="AM125" s="130">
        <f t="shared" si="28"/>
        <v>6</v>
      </c>
      <c r="AN125" s="336">
        <f t="shared" si="23"/>
        <v>0</v>
      </c>
    </row>
    <row r="126" spans="1:42" s="108" customFormat="1" ht="66" x14ac:dyDescent="0.25">
      <c r="A126" s="9"/>
      <c r="B126" s="34" t="s">
        <v>1714</v>
      </c>
      <c r="C126" s="1024"/>
      <c r="D126" s="871">
        <v>3</v>
      </c>
      <c r="E126" s="1027" t="s">
        <v>1722</v>
      </c>
      <c r="F126" s="278" t="s">
        <v>3446</v>
      </c>
      <c r="G126" s="1040" t="s">
        <v>3463</v>
      </c>
      <c r="H126" s="273" t="s">
        <v>3462</v>
      </c>
      <c r="I126" s="722">
        <f t="shared" si="29"/>
        <v>14.131583999999998</v>
      </c>
      <c r="J126" s="760">
        <v>42.394751999999997</v>
      </c>
      <c r="K126" s="131">
        <f t="shared" si="18"/>
        <v>42.394751999999997</v>
      </c>
      <c r="L126" s="335">
        <f t="shared" si="24"/>
        <v>0</v>
      </c>
      <c r="M126" s="335"/>
      <c r="N126" s="335"/>
      <c r="O126" s="335"/>
      <c r="P126" s="335"/>
      <c r="Q126" s="130">
        <v>1</v>
      </c>
      <c r="R126" s="131">
        <f t="shared" si="16"/>
        <v>10.598687999999999</v>
      </c>
      <c r="S126" s="130"/>
      <c r="T126" s="130"/>
      <c r="U126" s="130">
        <v>1</v>
      </c>
      <c r="V126" s="131">
        <f t="shared" si="17"/>
        <v>10.598687999999999</v>
      </c>
      <c r="W126" s="130"/>
      <c r="X126" s="130"/>
      <c r="Y126" s="130"/>
      <c r="Z126" s="130"/>
      <c r="AA126" s="130">
        <v>1</v>
      </c>
      <c r="AB126" s="131">
        <f t="shared" si="25"/>
        <v>10.598687999999999</v>
      </c>
      <c r="AC126" s="130"/>
      <c r="AD126" s="130"/>
      <c r="AE126" s="130">
        <v>0</v>
      </c>
      <c r="AF126" s="131">
        <f t="shared" si="22"/>
        <v>10.598687999999999</v>
      </c>
      <c r="AG126" s="130"/>
      <c r="AH126" s="130"/>
      <c r="AI126" s="130"/>
      <c r="AJ126" s="130"/>
      <c r="AK126" s="131">
        <f t="shared" si="26"/>
        <v>42.394751999999997</v>
      </c>
      <c r="AL126" s="335">
        <f t="shared" si="27"/>
        <v>0</v>
      </c>
      <c r="AM126" s="130">
        <f t="shared" si="28"/>
        <v>3</v>
      </c>
      <c r="AN126" s="336">
        <f t="shared" si="23"/>
        <v>0</v>
      </c>
    </row>
    <row r="127" spans="1:42" s="108" customFormat="1" ht="66" x14ac:dyDescent="0.25">
      <c r="A127" s="9"/>
      <c r="B127" s="34" t="s">
        <v>48</v>
      </c>
      <c r="C127" s="1024"/>
      <c r="D127" s="871">
        <v>3</v>
      </c>
      <c r="E127" s="1027" t="s">
        <v>1722</v>
      </c>
      <c r="F127" s="278" t="s">
        <v>3446</v>
      </c>
      <c r="G127" s="1040" t="s">
        <v>3463</v>
      </c>
      <c r="H127" s="273" t="s">
        <v>3462</v>
      </c>
      <c r="I127" s="722">
        <f t="shared" si="29"/>
        <v>24.354431999999999</v>
      </c>
      <c r="J127" s="760">
        <v>73.063295999999994</v>
      </c>
      <c r="K127" s="131">
        <f t="shared" si="18"/>
        <v>73.063295999999994</v>
      </c>
      <c r="L127" s="335">
        <f t="shared" si="24"/>
        <v>0</v>
      </c>
      <c r="M127" s="335"/>
      <c r="N127" s="335"/>
      <c r="O127" s="335"/>
      <c r="P127" s="335"/>
      <c r="Q127" s="130">
        <v>1</v>
      </c>
      <c r="R127" s="131">
        <f t="shared" si="16"/>
        <v>18.265823999999999</v>
      </c>
      <c r="S127" s="130"/>
      <c r="T127" s="130"/>
      <c r="U127" s="130">
        <v>1</v>
      </c>
      <c r="V127" s="131">
        <f t="shared" si="17"/>
        <v>18.265823999999999</v>
      </c>
      <c r="W127" s="130"/>
      <c r="X127" s="130"/>
      <c r="Y127" s="130"/>
      <c r="Z127" s="130"/>
      <c r="AA127" s="130">
        <v>1</v>
      </c>
      <c r="AB127" s="131">
        <f t="shared" si="25"/>
        <v>18.265823999999999</v>
      </c>
      <c r="AC127" s="130"/>
      <c r="AD127" s="130"/>
      <c r="AE127" s="130">
        <v>0</v>
      </c>
      <c r="AF127" s="131">
        <f t="shared" si="22"/>
        <v>18.265823999999999</v>
      </c>
      <c r="AG127" s="130"/>
      <c r="AH127" s="130"/>
      <c r="AI127" s="130"/>
      <c r="AJ127" s="130"/>
      <c r="AK127" s="131">
        <f t="shared" si="26"/>
        <v>73.063295999999994</v>
      </c>
      <c r="AL127" s="335">
        <f t="shared" si="27"/>
        <v>0</v>
      </c>
      <c r="AM127" s="130">
        <f t="shared" si="28"/>
        <v>3</v>
      </c>
      <c r="AN127" s="336">
        <f t="shared" si="23"/>
        <v>0</v>
      </c>
    </row>
    <row r="128" spans="1:42" s="108" customFormat="1" ht="66" x14ac:dyDescent="0.25">
      <c r="A128" s="9"/>
      <c r="B128" s="34" t="s">
        <v>40</v>
      </c>
      <c r="C128" s="1024"/>
      <c r="D128" s="871">
        <v>4</v>
      </c>
      <c r="E128" s="1027" t="s">
        <v>1723</v>
      </c>
      <c r="F128" s="278" t="s">
        <v>3446</v>
      </c>
      <c r="G128" s="1040" t="s">
        <v>3463</v>
      </c>
      <c r="H128" s="273" t="s">
        <v>3462</v>
      </c>
      <c r="I128" s="722">
        <f t="shared" si="29"/>
        <v>19.2925</v>
      </c>
      <c r="J128" s="760">
        <v>77.17</v>
      </c>
      <c r="K128" s="131">
        <f t="shared" si="18"/>
        <v>77.17</v>
      </c>
      <c r="L128" s="335">
        <f t="shared" si="24"/>
        <v>0</v>
      </c>
      <c r="M128" s="335"/>
      <c r="N128" s="335"/>
      <c r="O128" s="335"/>
      <c r="P128" s="335"/>
      <c r="Q128" s="130">
        <f t="shared" ref="Q128:Q190" si="30">+$D128/4</f>
        <v>1</v>
      </c>
      <c r="R128" s="131">
        <f t="shared" si="16"/>
        <v>19.2925</v>
      </c>
      <c r="S128" s="130"/>
      <c r="T128" s="130"/>
      <c r="U128" s="130">
        <f t="shared" ref="U128:U190" si="31">+$D128/4</f>
        <v>1</v>
      </c>
      <c r="V128" s="131">
        <f t="shared" si="17"/>
        <v>19.2925</v>
      </c>
      <c r="W128" s="130"/>
      <c r="X128" s="130"/>
      <c r="Y128" s="130"/>
      <c r="Z128" s="130"/>
      <c r="AA128" s="130">
        <f t="shared" ref="AA128:AE190" si="32">+$D128/4</f>
        <v>1</v>
      </c>
      <c r="AB128" s="131">
        <f t="shared" si="25"/>
        <v>19.2925</v>
      </c>
      <c r="AC128" s="130"/>
      <c r="AD128" s="130"/>
      <c r="AE128" s="130">
        <f t="shared" si="32"/>
        <v>1</v>
      </c>
      <c r="AF128" s="131">
        <f t="shared" si="22"/>
        <v>19.2925</v>
      </c>
      <c r="AG128" s="130"/>
      <c r="AH128" s="130"/>
      <c r="AI128" s="130"/>
      <c r="AJ128" s="130"/>
      <c r="AK128" s="131">
        <f t="shared" si="26"/>
        <v>77.17</v>
      </c>
      <c r="AL128" s="335">
        <f t="shared" si="27"/>
        <v>0</v>
      </c>
      <c r="AM128" s="130">
        <f t="shared" si="28"/>
        <v>4</v>
      </c>
      <c r="AN128" s="336">
        <f t="shared" si="23"/>
        <v>0</v>
      </c>
    </row>
    <row r="129" spans="1:40" s="108" customFormat="1" ht="66" x14ac:dyDescent="0.25">
      <c r="A129" s="9"/>
      <c r="B129" s="34" t="s">
        <v>43</v>
      </c>
      <c r="C129" s="1024"/>
      <c r="D129" s="871">
        <v>4</v>
      </c>
      <c r="E129" s="1027" t="s">
        <v>1723</v>
      </c>
      <c r="F129" s="278" t="s">
        <v>3446</v>
      </c>
      <c r="G129" s="1040" t="s">
        <v>3463</v>
      </c>
      <c r="H129" s="273" t="s">
        <v>3462</v>
      </c>
      <c r="I129" s="722">
        <f t="shared" si="29"/>
        <v>12.728448</v>
      </c>
      <c r="J129" s="760">
        <v>50.913792000000001</v>
      </c>
      <c r="K129" s="131">
        <f t="shared" si="18"/>
        <v>50.913792000000001</v>
      </c>
      <c r="L129" s="335">
        <f t="shared" si="24"/>
        <v>0</v>
      </c>
      <c r="M129" s="335"/>
      <c r="N129" s="335"/>
      <c r="O129" s="335"/>
      <c r="P129" s="335"/>
      <c r="Q129" s="130">
        <f t="shared" si="30"/>
        <v>1</v>
      </c>
      <c r="R129" s="131">
        <f t="shared" si="16"/>
        <v>12.728448</v>
      </c>
      <c r="S129" s="130"/>
      <c r="T129" s="130"/>
      <c r="U129" s="130">
        <f t="shared" si="31"/>
        <v>1</v>
      </c>
      <c r="V129" s="131">
        <f t="shared" si="17"/>
        <v>12.728448</v>
      </c>
      <c r="W129" s="130"/>
      <c r="X129" s="130"/>
      <c r="Y129" s="130"/>
      <c r="Z129" s="130"/>
      <c r="AA129" s="130">
        <f t="shared" si="32"/>
        <v>1</v>
      </c>
      <c r="AB129" s="131">
        <f t="shared" si="25"/>
        <v>12.728448</v>
      </c>
      <c r="AC129" s="130"/>
      <c r="AD129" s="130"/>
      <c r="AE129" s="130">
        <f t="shared" si="32"/>
        <v>1</v>
      </c>
      <c r="AF129" s="131">
        <f t="shared" si="22"/>
        <v>12.728448</v>
      </c>
      <c r="AG129" s="130"/>
      <c r="AH129" s="130"/>
      <c r="AI129" s="130"/>
      <c r="AJ129" s="130"/>
      <c r="AK129" s="131">
        <f t="shared" si="26"/>
        <v>50.913792000000001</v>
      </c>
      <c r="AL129" s="335">
        <f t="shared" si="27"/>
        <v>0</v>
      </c>
      <c r="AM129" s="130">
        <f t="shared" si="28"/>
        <v>4</v>
      </c>
      <c r="AN129" s="336">
        <f t="shared" si="23"/>
        <v>0</v>
      </c>
    </row>
    <row r="130" spans="1:40" s="108" customFormat="1" ht="66" x14ac:dyDescent="0.25">
      <c r="A130" s="9"/>
      <c r="B130" s="34" t="s">
        <v>52</v>
      </c>
      <c r="C130" s="1024"/>
      <c r="D130" s="871">
        <v>4</v>
      </c>
      <c r="E130" s="1027" t="s">
        <v>1723</v>
      </c>
      <c r="F130" s="278" t="s">
        <v>3446</v>
      </c>
      <c r="G130" s="1040" t="s">
        <v>3463</v>
      </c>
      <c r="H130" s="273" t="s">
        <v>3462</v>
      </c>
      <c r="I130" s="722">
        <f t="shared" si="29"/>
        <v>14.983487999999999</v>
      </c>
      <c r="J130" s="760">
        <v>59.933951999999998</v>
      </c>
      <c r="K130" s="131">
        <f t="shared" si="18"/>
        <v>59.933951999999998</v>
      </c>
      <c r="L130" s="335">
        <f t="shared" si="24"/>
        <v>0</v>
      </c>
      <c r="M130" s="335"/>
      <c r="N130" s="335"/>
      <c r="O130" s="335"/>
      <c r="P130" s="335"/>
      <c r="Q130" s="130">
        <f t="shared" si="30"/>
        <v>1</v>
      </c>
      <c r="R130" s="131">
        <f t="shared" si="16"/>
        <v>14.983487999999999</v>
      </c>
      <c r="S130" s="130"/>
      <c r="T130" s="130"/>
      <c r="U130" s="130">
        <f t="shared" si="31"/>
        <v>1</v>
      </c>
      <c r="V130" s="131">
        <f t="shared" si="17"/>
        <v>14.983487999999999</v>
      </c>
      <c r="W130" s="130"/>
      <c r="X130" s="130"/>
      <c r="Y130" s="130"/>
      <c r="Z130" s="130"/>
      <c r="AA130" s="130">
        <f t="shared" si="32"/>
        <v>1</v>
      </c>
      <c r="AB130" s="131">
        <f t="shared" si="25"/>
        <v>14.983487999999999</v>
      </c>
      <c r="AC130" s="130"/>
      <c r="AD130" s="130"/>
      <c r="AE130" s="130">
        <f t="shared" si="32"/>
        <v>1</v>
      </c>
      <c r="AF130" s="131">
        <f t="shared" si="22"/>
        <v>14.983487999999999</v>
      </c>
      <c r="AG130" s="130"/>
      <c r="AH130" s="130"/>
      <c r="AI130" s="130"/>
      <c r="AJ130" s="130"/>
      <c r="AK130" s="131">
        <f t="shared" si="26"/>
        <v>59.933951999999998</v>
      </c>
      <c r="AL130" s="335">
        <f t="shared" si="27"/>
        <v>0</v>
      </c>
      <c r="AM130" s="130">
        <f t="shared" si="28"/>
        <v>4</v>
      </c>
      <c r="AN130" s="336">
        <f t="shared" si="23"/>
        <v>0</v>
      </c>
    </row>
    <row r="131" spans="1:40" s="108" customFormat="1" ht="66" x14ac:dyDescent="0.25">
      <c r="A131" s="9"/>
      <c r="B131" s="34" t="s">
        <v>1715</v>
      </c>
      <c r="C131" s="1024"/>
      <c r="D131" s="871">
        <v>2</v>
      </c>
      <c r="E131" s="1027" t="s">
        <v>1723</v>
      </c>
      <c r="F131" s="278" t="s">
        <v>3446</v>
      </c>
      <c r="G131" s="1040" t="s">
        <v>3463</v>
      </c>
      <c r="H131" s="273" t="s">
        <v>3462</v>
      </c>
      <c r="I131" s="722">
        <f t="shared" si="29"/>
        <v>96.465599999999995</v>
      </c>
      <c r="J131" s="760">
        <v>192.93119999999999</v>
      </c>
      <c r="K131" s="131">
        <f t="shared" si="18"/>
        <v>192.93119999999999</v>
      </c>
      <c r="L131" s="335">
        <f t="shared" si="24"/>
        <v>0</v>
      </c>
      <c r="M131" s="335"/>
      <c r="N131" s="335"/>
      <c r="O131" s="335"/>
      <c r="P131" s="335"/>
      <c r="Q131" s="130">
        <v>1</v>
      </c>
      <c r="R131" s="131">
        <f t="shared" si="16"/>
        <v>48.232799999999997</v>
      </c>
      <c r="S131" s="130"/>
      <c r="T131" s="130"/>
      <c r="U131" s="130">
        <v>1</v>
      </c>
      <c r="V131" s="131">
        <f t="shared" si="17"/>
        <v>48.232799999999997</v>
      </c>
      <c r="W131" s="130"/>
      <c r="X131" s="130"/>
      <c r="Y131" s="130"/>
      <c r="Z131" s="130"/>
      <c r="AA131" s="130">
        <v>0</v>
      </c>
      <c r="AB131" s="131">
        <f t="shared" si="25"/>
        <v>48.232799999999997</v>
      </c>
      <c r="AC131" s="130"/>
      <c r="AD131" s="130"/>
      <c r="AE131" s="130">
        <v>0</v>
      </c>
      <c r="AF131" s="131">
        <f t="shared" si="22"/>
        <v>48.232799999999997</v>
      </c>
      <c r="AG131" s="130"/>
      <c r="AH131" s="130"/>
      <c r="AI131" s="130"/>
      <c r="AJ131" s="130"/>
      <c r="AK131" s="131">
        <f t="shared" si="26"/>
        <v>192.93119999999999</v>
      </c>
      <c r="AL131" s="335">
        <f t="shared" si="27"/>
        <v>0</v>
      </c>
      <c r="AM131" s="130">
        <f t="shared" si="28"/>
        <v>2</v>
      </c>
      <c r="AN131" s="336">
        <f t="shared" si="23"/>
        <v>0</v>
      </c>
    </row>
    <row r="132" spans="1:40" s="108" customFormat="1" ht="66" x14ac:dyDescent="0.25">
      <c r="A132" s="9"/>
      <c r="B132" s="34" t="s">
        <v>57</v>
      </c>
      <c r="C132" s="1024"/>
      <c r="D132" s="871">
        <v>4</v>
      </c>
      <c r="E132" s="1027" t="s">
        <v>1722</v>
      </c>
      <c r="F132" s="278" t="s">
        <v>3446</v>
      </c>
      <c r="G132" s="1040" t="s">
        <v>3463</v>
      </c>
      <c r="H132" s="273" t="s">
        <v>3462</v>
      </c>
      <c r="I132" s="722">
        <f t="shared" si="29"/>
        <v>24.354431999999999</v>
      </c>
      <c r="J132" s="760">
        <v>97.417727999999997</v>
      </c>
      <c r="K132" s="131">
        <f t="shared" si="18"/>
        <v>97.417727999999997</v>
      </c>
      <c r="L132" s="335">
        <f t="shared" si="24"/>
        <v>0</v>
      </c>
      <c r="M132" s="335"/>
      <c r="N132" s="335"/>
      <c r="O132" s="335"/>
      <c r="P132" s="335"/>
      <c r="Q132" s="130">
        <f t="shared" si="30"/>
        <v>1</v>
      </c>
      <c r="R132" s="131">
        <f t="shared" si="16"/>
        <v>24.354431999999999</v>
      </c>
      <c r="S132" s="130"/>
      <c r="T132" s="130"/>
      <c r="U132" s="130">
        <f t="shared" si="31"/>
        <v>1</v>
      </c>
      <c r="V132" s="131">
        <f t="shared" si="17"/>
        <v>24.354431999999999</v>
      </c>
      <c r="W132" s="130"/>
      <c r="X132" s="130"/>
      <c r="Y132" s="130"/>
      <c r="Z132" s="130"/>
      <c r="AA132" s="130">
        <f t="shared" si="32"/>
        <v>1</v>
      </c>
      <c r="AB132" s="131">
        <f t="shared" si="25"/>
        <v>24.354431999999999</v>
      </c>
      <c r="AC132" s="130"/>
      <c r="AD132" s="130"/>
      <c r="AE132" s="130">
        <f t="shared" si="32"/>
        <v>1</v>
      </c>
      <c r="AF132" s="131">
        <f t="shared" si="22"/>
        <v>24.354431999999999</v>
      </c>
      <c r="AG132" s="130"/>
      <c r="AH132" s="130"/>
      <c r="AI132" s="130"/>
      <c r="AJ132" s="130"/>
      <c r="AK132" s="131">
        <f t="shared" si="26"/>
        <v>97.417727999999997</v>
      </c>
      <c r="AL132" s="335">
        <f t="shared" si="27"/>
        <v>0</v>
      </c>
      <c r="AM132" s="130">
        <f t="shared" si="28"/>
        <v>4</v>
      </c>
      <c r="AN132" s="336">
        <f t="shared" si="23"/>
        <v>0</v>
      </c>
    </row>
    <row r="133" spans="1:40" s="108" customFormat="1" ht="66" x14ac:dyDescent="0.25">
      <c r="A133" s="9"/>
      <c r="B133" s="34" t="s">
        <v>59</v>
      </c>
      <c r="C133" s="1024"/>
      <c r="D133" s="869">
        <v>2</v>
      </c>
      <c r="E133" s="1027" t="s">
        <v>1723</v>
      </c>
      <c r="F133" s="278" t="s">
        <v>3446</v>
      </c>
      <c r="G133" s="1040" t="s">
        <v>3463</v>
      </c>
      <c r="H133" s="273" t="s">
        <v>3462</v>
      </c>
      <c r="I133" s="722">
        <f t="shared" si="29"/>
        <v>27.273568000000001</v>
      </c>
      <c r="J133" s="760">
        <v>54.547136000000002</v>
      </c>
      <c r="K133" s="131">
        <f t="shared" si="18"/>
        <v>54.547136000000002</v>
      </c>
      <c r="L133" s="335">
        <f t="shared" si="24"/>
        <v>0</v>
      </c>
      <c r="M133" s="335"/>
      <c r="N133" s="335"/>
      <c r="O133" s="335"/>
      <c r="P133" s="335"/>
      <c r="Q133" s="130">
        <v>1</v>
      </c>
      <c r="R133" s="131">
        <f t="shared" si="16"/>
        <v>13.636784</v>
      </c>
      <c r="S133" s="130"/>
      <c r="T133" s="130"/>
      <c r="U133" s="130">
        <v>1</v>
      </c>
      <c r="V133" s="131">
        <f t="shared" si="17"/>
        <v>13.636784</v>
      </c>
      <c r="W133" s="130"/>
      <c r="X133" s="130"/>
      <c r="Y133" s="130"/>
      <c r="Z133" s="130"/>
      <c r="AA133" s="130">
        <v>0</v>
      </c>
      <c r="AB133" s="131">
        <f t="shared" si="25"/>
        <v>13.636784</v>
      </c>
      <c r="AC133" s="130"/>
      <c r="AD133" s="130"/>
      <c r="AE133" s="130">
        <v>0</v>
      </c>
      <c r="AF133" s="131">
        <f t="shared" si="22"/>
        <v>13.636784</v>
      </c>
      <c r="AG133" s="130"/>
      <c r="AH133" s="130"/>
      <c r="AI133" s="130"/>
      <c r="AJ133" s="130"/>
      <c r="AK133" s="131">
        <f t="shared" si="26"/>
        <v>54.547136000000002</v>
      </c>
      <c r="AL133" s="335">
        <f t="shared" si="27"/>
        <v>0</v>
      </c>
      <c r="AM133" s="130">
        <f t="shared" si="28"/>
        <v>2</v>
      </c>
      <c r="AN133" s="336">
        <f t="shared" si="23"/>
        <v>0</v>
      </c>
    </row>
    <row r="134" spans="1:40" s="108" customFormat="1" ht="66" x14ac:dyDescent="0.25">
      <c r="A134" s="9"/>
      <c r="B134" s="34" t="s">
        <v>60</v>
      </c>
      <c r="C134" s="1024"/>
      <c r="D134" s="869">
        <v>12</v>
      </c>
      <c r="E134" s="1027" t="s">
        <v>1721</v>
      </c>
      <c r="F134" s="278" t="s">
        <v>3446</v>
      </c>
      <c r="G134" s="1040" t="s">
        <v>3463</v>
      </c>
      <c r="H134" s="273" t="s">
        <v>3462</v>
      </c>
      <c r="I134" s="722">
        <f t="shared" si="29"/>
        <v>18.579024</v>
      </c>
      <c r="J134" s="760">
        <v>222.94828799999999</v>
      </c>
      <c r="K134" s="131">
        <f t="shared" si="18"/>
        <v>222.94828799999999</v>
      </c>
      <c r="L134" s="335">
        <f t="shared" si="24"/>
        <v>0</v>
      </c>
      <c r="M134" s="335"/>
      <c r="N134" s="335"/>
      <c r="O134" s="335"/>
      <c r="P134" s="335"/>
      <c r="Q134" s="130">
        <f t="shared" si="30"/>
        <v>3</v>
      </c>
      <c r="R134" s="131">
        <f t="shared" si="16"/>
        <v>55.737071999999998</v>
      </c>
      <c r="S134" s="130"/>
      <c r="T134" s="130"/>
      <c r="U134" s="130">
        <f t="shared" si="31"/>
        <v>3</v>
      </c>
      <c r="V134" s="131">
        <f t="shared" si="17"/>
        <v>55.737071999999998</v>
      </c>
      <c r="W134" s="130"/>
      <c r="X134" s="130"/>
      <c r="Y134" s="130"/>
      <c r="Z134" s="130"/>
      <c r="AA134" s="130">
        <f t="shared" si="32"/>
        <v>3</v>
      </c>
      <c r="AB134" s="131">
        <f t="shared" si="25"/>
        <v>55.737071999999998</v>
      </c>
      <c r="AC134" s="130"/>
      <c r="AD134" s="130"/>
      <c r="AE134" s="130">
        <f t="shared" si="32"/>
        <v>3</v>
      </c>
      <c r="AF134" s="131">
        <f t="shared" si="22"/>
        <v>55.737071999999998</v>
      </c>
      <c r="AG134" s="130"/>
      <c r="AH134" s="130"/>
      <c r="AI134" s="130"/>
      <c r="AJ134" s="130"/>
      <c r="AK134" s="131">
        <f t="shared" si="26"/>
        <v>222.94828799999999</v>
      </c>
      <c r="AL134" s="335">
        <f t="shared" si="27"/>
        <v>0</v>
      </c>
      <c r="AM134" s="130">
        <f t="shared" si="28"/>
        <v>12</v>
      </c>
      <c r="AN134" s="336">
        <f t="shared" si="23"/>
        <v>0</v>
      </c>
    </row>
    <row r="135" spans="1:40" s="108" customFormat="1" ht="66" x14ac:dyDescent="0.25">
      <c r="A135" s="9"/>
      <c r="B135" s="34" t="s">
        <v>61</v>
      </c>
      <c r="C135" s="1024"/>
      <c r="D135" s="869">
        <v>1</v>
      </c>
      <c r="E135" s="1027" t="s">
        <v>1722</v>
      </c>
      <c r="F135" s="278" t="s">
        <v>3446</v>
      </c>
      <c r="G135" s="1040" t="s">
        <v>3463</v>
      </c>
      <c r="H135" s="273" t="s">
        <v>3462</v>
      </c>
      <c r="I135" s="722">
        <f t="shared" si="29"/>
        <v>26.158463999999999</v>
      </c>
      <c r="J135" s="760">
        <v>26.158463999999999</v>
      </c>
      <c r="K135" s="131">
        <f t="shared" si="18"/>
        <v>26.158463999999999</v>
      </c>
      <c r="L135" s="335">
        <f t="shared" si="24"/>
        <v>0</v>
      </c>
      <c r="M135" s="335"/>
      <c r="N135" s="335"/>
      <c r="O135" s="335"/>
      <c r="P135" s="335"/>
      <c r="Q135" s="130">
        <v>1</v>
      </c>
      <c r="R135" s="131">
        <v>0</v>
      </c>
      <c r="S135" s="130"/>
      <c r="T135" s="130"/>
      <c r="U135" s="110">
        <v>0</v>
      </c>
      <c r="V135" s="131">
        <v>26.16</v>
      </c>
      <c r="W135" s="130"/>
      <c r="X135" s="130"/>
      <c r="Y135" s="130"/>
      <c r="Z135" s="130"/>
      <c r="AA135" s="110">
        <v>0</v>
      </c>
      <c r="AB135" s="131">
        <v>0</v>
      </c>
      <c r="AC135" s="130"/>
      <c r="AD135" s="130"/>
      <c r="AE135" s="110">
        <v>0</v>
      </c>
      <c r="AF135" s="131">
        <v>0</v>
      </c>
      <c r="AG135" s="130"/>
      <c r="AH135" s="130"/>
      <c r="AI135" s="130"/>
      <c r="AJ135" s="130"/>
      <c r="AK135" s="298">
        <f t="shared" si="26"/>
        <v>26.16</v>
      </c>
      <c r="AL135" s="335">
        <f t="shared" si="27"/>
        <v>-1.5360000000015361E-3</v>
      </c>
      <c r="AM135" s="130">
        <f t="shared" si="28"/>
        <v>1</v>
      </c>
      <c r="AN135" s="336">
        <f t="shared" si="23"/>
        <v>0</v>
      </c>
    </row>
    <row r="136" spans="1:40" s="108" customFormat="1" ht="66" x14ac:dyDescent="0.25">
      <c r="A136" s="9"/>
      <c r="B136" s="34" t="s">
        <v>62</v>
      </c>
      <c r="C136" s="1024"/>
      <c r="D136" s="869">
        <v>6</v>
      </c>
      <c r="E136" s="1027" t="s">
        <v>1721</v>
      </c>
      <c r="F136" s="278" t="s">
        <v>3446</v>
      </c>
      <c r="G136" s="1040" t="s">
        <v>3463</v>
      </c>
      <c r="H136" s="273" t="s">
        <v>3462</v>
      </c>
      <c r="I136" s="722">
        <f t="shared" si="29"/>
        <v>16.399152000000001</v>
      </c>
      <c r="J136" s="760">
        <v>98.394912000000005</v>
      </c>
      <c r="K136" s="131">
        <f t="shared" si="18"/>
        <v>98.394912000000005</v>
      </c>
      <c r="L136" s="335">
        <f t="shared" si="24"/>
        <v>0</v>
      </c>
      <c r="M136" s="335"/>
      <c r="N136" s="335"/>
      <c r="O136" s="335"/>
      <c r="P136" s="335"/>
      <c r="Q136" s="130">
        <v>2</v>
      </c>
      <c r="R136" s="131">
        <f t="shared" si="16"/>
        <v>24.598728000000001</v>
      </c>
      <c r="S136" s="130"/>
      <c r="T136" s="130"/>
      <c r="U136" s="130">
        <v>2</v>
      </c>
      <c r="V136" s="131">
        <f t="shared" si="17"/>
        <v>24.598728000000001</v>
      </c>
      <c r="W136" s="130"/>
      <c r="X136" s="130"/>
      <c r="Y136" s="130"/>
      <c r="Z136" s="130"/>
      <c r="AA136" s="130">
        <v>1</v>
      </c>
      <c r="AB136" s="131">
        <f t="shared" si="25"/>
        <v>24.598728000000001</v>
      </c>
      <c r="AC136" s="130"/>
      <c r="AD136" s="130"/>
      <c r="AE136" s="130">
        <v>1</v>
      </c>
      <c r="AF136" s="131">
        <f t="shared" si="22"/>
        <v>24.598728000000001</v>
      </c>
      <c r="AG136" s="130"/>
      <c r="AH136" s="130"/>
      <c r="AI136" s="130"/>
      <c r="AJ136" s="130"/>
      <c r="AK136" s="131">
        <f t="shared" si="26"/>
        <v>98.394912000000005</v>
      </c>
      <c r="AL136" s="335">
        <f t="shared" si="27"/>
        <v>0</v>
      </c>
      <c r="AM136" s="130">
        <f t="shared" si="28"/>
        <v>6</v>
      </c>
      <c r="AN136" s="336">
        <f t="shared" si="23"/>
        <v>0</v>
      </c>
    </row>
    <row r="137" spans="1:40" s="108" customFormat="1" ht="66" x14ac:dyDescent="0.25">
      <c r="A137" s="9"/>
      <c r="B137" s="34" t="s">
        <v>63</v>
      </c>
      <c r="C137" s="1024"/>
      <c r="D137" s="869">
        <v>4</v>
      </c>
      <c r="E137" s="1027" t="s">
        <v>1723</v>
      </c>
      <c r="F137" s="278" t="s">
        <v>3446</v>
      </c>
      <c r="G137" s="1040" t="s">
        <v>3463</v>
      </c>
      <c r="H137" s="273" t="s">
        <v>3462</v>
      </c>
      <c r="I137" s="722">
        <f t="shared" si="29"/>
        <v>52.367040000000003</v>
      </c>
      <c r="J137" s="760">
        <v>209.46816000000001</v>
      </c>
      <c r="K137" s="131">
        <f t="shared" si="18"/>
        <v>209.46816000000001</v>
      </c>
      <c r="L137" s="335">
        <f t="shared" si="24"/>
        <v>0</v>
      </c>
      <c r="M137" s="335"/>
      <c r="N137" s="335"/>
      <c r="O137" s="335"/>
      <c r="P137" s="335"/>
      <c r="Q137" s="130">
        <f t="shared" si="30"/>
        <v>1</v>
      </c>
      <c r="R137" s="131">
        <f t="shared" si="16"/>
        <v>52.367040000000003</v>
      </c>
      <c r="S137" s="130"/>
      <c r="T137" s="130"/>
      <c r="U137" s="130">
        <f t="shared" si="31"/>
        <v>1</v>
      </c>
      <c r="V137" s="131">
        <f t="shared" si="17"/>
        <v>52.367040000000003</v>
      </c>
      <c r="W137" s="130"/>
      <c r="X137" s="130"/>
      <c r="Y137" s="130"/>
      <c r="Z137" s="130"/>
      <c r="AA137" s="130">
        <f t="shared" si="32"/>
        <v>1</v>
      </c>
      <c r="AB137" s="131">
        <f t="shared" si="25"/>
        <v>52.367040000000003</v>
      </c>
      <c r="AC137" s="130"/>
      <c r="AD137" s="130"/>
      <c r="AE137" s="130">
        <f t="shared" si="32"/>
        <v>1</v>
      </c>
      <c r="AF137" s="131">
        <f t="shared" si="22"/>
        <v>52.367040000000003</v>
      </c>
      <c r="AG137" s="130"/>
      <c r="AH137" s="130"/>
      <c r="AI137" s="130"/>
      <c r="AJ137" s="130"/>
      <c r="AK137" s="131">
        <f t="shared" si="26"/>
        <v>209.46816000000001</v>
      </c>
      <c r="AL137" s="335">
        <f t="shared" si="27"/>
        <v>0</v>
      </c>
      <c r="AM137" s="130">
        <f t="shared" si="28"/>
        <v>4</v>
      </c>
      <c r="AN137" s="336">
        <f t="shared" si="23"/>
        <v>0</v>
      </c>
    </row>
    <row r="138" spans="1:40" s="108" customFormat="1" ht="66" x14ac:dyDescent="0.25">
      <c r="A138" s="9"/>
      <c r="B138" s="34" t="s">
        <v>71</v>
      </c>
      <c r="C138" s="1024"/>
      <c r="D138" s="871">
        <v>1</v>
      </c>
      <c r="E138" s="1027" t="s">
        <v>1722</v>
      </c>
      <c r="F138" s="278" t="s">
        <v>3446</v>
      </c>
      <c r="G138" s="1040" t="s">
        <v>3463</v>
      </c>
      <c r="H138" s="273" t="s">
        <v>3462</v>
      </c>
      <c r="I138" s="722">
        <f t="shared" si="29"/>
        <v>106.62580800000001</v>
      </c>
      <c r="J138" s="760">
        <v>106.62580800000001</v>
      </c>
      <c r="K138" s="131">
        <f t="shared" si="18"/>
        <v>106.62580800000001</v>
      </c>
      <c r="L138" s="335">
        <f t="shared" si="24"/>
        <v>0</v>
      </c>
      <c r="M138" s="335"/>
      <c r="N138" s="335"/>
      <c r="O138" s="335"/>
      <c r="P138" s="335"/>
      <c r="Q138" s="130">
        <v>1</v>
      </c>
      <c r="R138" s="131">
        <f t="shared" si="16"/>
        <v>26.656452000000002</v>
      </c>
      <c r="S138" s="130"/>
      <c r="T138" s="130"/>
      <c r="U138" s="110">
        <v>0</v>
      </c>
      <c r="V138" s="131">
        <f t="shared" si="17"/>
        <v>26.656452000000002</v>
      </c>
      <c r="W138" s="130"/>
      <c r="X138" s="130"/>
      <c r="Y138" s="130"/>
      <c r="Z138" s="130"/>
      <c r="AA138" s="110">
        <v>0</v>
      </c>
      <c r="AB138" s="131">
        <f t="shared" si="25"/>
        <v>26.656452000000002</v>
      </c>
      <c r="AC138" s="130"/>
      <c r="AD138" s="130"/>
      <c r="AE138" s="110">
        <v>0</v>
      </c>
      <c r="AF138" s="131">
        <f t="shared" si="22"/>
        <v>26.656452000000002</v>
      </c>
      <c r="AG138" s="130"/>
      <c r="AH138" s="130"/>
      <c r="AI138" s="130"/>
      <c r="AJ138" s="130"/>
      <c r="AK138" s="131">
        <f t="shared" si="26"/>
        <v>106.62580800000001</v>
      </c>
      <c r="AL138" s="335">
        <f t="shared" si="27"/>
        <v>0</v>
      </c>
      <c r="AM138" s="130">
        <f t="shared" si="28"/>
        <v>1</v>
      </c>
      <c r="AN138" s="336">
        <f t="shared" si="23"/>
        <v>0</v>
      </c>
    </row>
    <row r="139" spans="1:40" s="108" customFormat="1" ht="66" x14ac:dyDescent="0.25">
      <c r="A139" s="9"/>
      <c r="B139" s="34" t="s">
        <v>1716</v>
      </c>
      <c r="C139" s="1024"/>
      <c r="D139" s="871">
        <v>1</v>
      </c>
      <c r="E139" s="1027" t="s">
        <v>1724</v>
      </c>
      <c r="F139" s="278" t="s">
        <v>3446</v>
      </c>
      <c r="G139" s="1040" t="s">
        <v>3463</v>
      </c>
      <c r="H139" s="273" t="s">
        <v>3462</v>
      </c>
      <c r="I139" s="722">
        <f t="shared" si="29"/>
        <v>304.55568</v>
      </c>
      <c r="J139" s="760">
        <v>304.55568</v>
      </c>
      <c r="K139" s="131">
        <f t="shared" si="18"/>
        <v>304.55568</v>
      </c>
      <c r="L139" s="335">
        <f t="shared" si="24"/>
        <v>0</v>
      </c>
      <c r="M139" s="335"/>
      <c r="N139" s="335"/>
      <c r="O139" s="335"/>
      <c r="P139" s="335"/>
      <c r="Q139" s="130">
        <v>1</v>
      </c>
      <c r="R139" s="131">
        <f t="shared" si="16"/>
        <v>76.138919999999999</v>
      </c>
      <c r="S139" s="130"/>
      <c r="T139" s="130"/>
      <c r="U139" s="110">
        <v>0</v>
      </c>
      <c r="V139" s="131">
        <f t="shared" si="17"/>
        <v>76.138919999999999</v>
      </c>
      <c r="W139" s="130"/>
      <c r="X139" s="130"/>
      <c r="Y139" s="130"/>
      <c r="Z139" s="130"/>
      <c r="AA139" s="110">
        <v>0</v>
      </c>
      <c r="AB139" s="131">
        <f t="shared" si="25"/>
        <v>76.138919999999999</v>
      </c>
      <c r="AC139" s="130"/>
      <c r="AD139" s="130"/>
      <c r="AE139" s="110">
        <v>0</v>
      </c>
      <c r="AF139" s="131">
        <f t="shared" si="22"/>
        <v>76.138919999999999</v>
      </c>
      <c r="AG139" s="130"/>
      <c r="AH139" s="130"/>
      <c r="AI139" s="130"/>
      <c r="AJ139" s="130"/>
      <c r="AK139" s="131">
        <f t="shared" si="26"/>
        <v>304.55568</v>
      </c>
      <c r="AL139" s="335">
        <f t="shared" si="27"/>
        <v>0</v>
      </c>
      <c r="AM139" s="130">
        <f t="shared" si="28"/>
        <v>1</v>
      </c>
      <c r="AN139" s="336">
        <f t="shared" si="23"/>
        <v>0</v>
      </c>
    </row>
    <row r="140" spans="1:40" s="108" customFormat="1" ht="66" x14ac:dyDescent="0.25">
      <c r="A140" s="9"/>
      <c r="B140" s="34" t="s">
        <v>1717</v>
      </c>
      <c r="C140" s="1024"/>
      <c r="D140" s="871">
        <v>2</v>
      </c>
      <c r="E140" s="1027" t="s">
        <v>1722</v>
      </c>
      <c r="F140" s="278" t="s">
        <v>3446</v>
      </c>
      <c r="G140" s="1040" t="s">
        <v>3463</v>
      </c>
      <c r="H140" s="273" t="s">
        <v>3462</v>
      </c>
      <c r="I140" s="722">
        <f t="shared" si="29"/>
        <v>85.466015999999996</v>
      </c>
      <c r="J140" s="760">
        <v>170.93203199999999</v>
      </c>
      <c r="K140" s="131">
        <f t="shared" si="18"/>
        <v>170.93203199999999</v>
      </c>
      <c r="L140" s="335">
        <f t="shared" si="24"/>
        <v>0</v>
      </c>
      <c r="M140" s="335"/>
      <c r="N140" s="335"/>
      <c r="O140" s="335"/>
      <c r="P140" s="335"/>
      <c r="Q140" s="130">
        <v>1</v>
      </c>
      <c r="R140" s="131">
        <f t="shared" si="16"/>
        <v>42.733007999999998</v>
      </c>
      <c r="S140" s="130"/>
      <c r="T140" s="130"/>
      <c r="U140" s="130">
        <v>1</v>
      </c>
      <c r="V140" s="131">
        <f t="shared" si="17"/>
        <v>42.733007999999998</v>
      </c>
      <c r="W140" s="130"/>
      <c r="X140" s="130"/>
      <c r="Y140" s="130"/>
      <c r="Z140" s="130"/>
      <c r="AA140" s="130">
        <v>0</v>
      </c>
      <c r="AB140" s="131">
        <f t="shared" si="25"/>
        <v>42.733007999999998</v>
      </c>
      <c r="AC140" s="130"/>
      <c r="AD140" s="130"/>
      <c r="AE140" s="130">
        <v>0</v>
      </c>
      <c r="AF140" s="131">
        <f t="shared" si="22"/>
        <v>42.733007999999998</v>
      </c>
      <c r="AG140" s="130"/>
      <c r="AH140" s="130"/>
      <c r="AI140" s="130"/>
      <c r="AJ140" s="130"/>
      <c r="AK140" s="131">
        <f t="shared" si="26"/>
        <v>170.93203199999999</v>
      </c>
      <c r="AL140" s="335">
        <f t="shared" si="27"/>
        <v>0</v>
      </c>
      <c r="AM140" s="130">
        <f t="shared" si="28"/>
        <v>2</v>
      </c>
      <c r="AN140" s="336">
        <f t="shared" si="23"/>
        <v>0</v>
      </c>
    </row>
    <row r="141" spans="1:40" s="108" customFormat="1" ht="66" x14ac:dyDescent="0.25">
      <c r="A141" s="9"/>
      <c r="B141" s="34" t="s">
        <v>74</v>
      </c>
      <c r="C141" s="1024"/>
      <c r="D141" s="871">
        <v>1</v>
      </c>
      <c r="E141" s="1027" t="s">
        <v>1725</v>
      </c>
      <c r="F141" s="278" t="s">
        <v>3446</v>
      </c>
      <c r="G141" s="1040" t="s">
        <v>3463</v>
      </c>
      <c r="H141" s="273" t="s">
        <v>3462</v>
      </c>
      <c r="I141" s="722">
        <f t="shared" si="29"/>
        <v>21.122208000000001</v>
      </c>
      <c r="J141" s="760">
        <v>21.122208000000001</v>
      </c>
      <c r="K141" s="131">
        <f t="shared" si="18"/>
        <v>21.122208000000001</v>
      </c>
      <c r="L141" s="335">
        <f t="shared" si="24"/>
        <v>0</v>
      </c>
      <c r="M141" s="335"/>
      <c r="N141" s="335"/>
      <c r="O141" s="335"/>
      <c r="P141" s="335"/>
      <c r="Q141" s="130">
        <v>1</v>
      </c>
      <c r="R141" s="131">
        <f t="shared" si="16"/>
        <v>5.2805520000000001</v>
      </c>
      <c r="S141" s="130"/>
      <c r="T141" s="130"/>
      <c r="U141" s="110">
        <v>0</v>
      </c>
      <c r="V141" s="131">
        <f t="shared" si="17"/>
        <v>5.2805520000000001</v>
      </c>
      <c r="W141" s="130"/>
      <c r="X141" s="130"/>
      <c r="Y141" s="130"/>
      <c r="Z141" s="130"/>
      <c r="AA141" s="110">
        <v>0</v>
      </c>
      <c r="AB141" s="131">
        <f t="shared" si="25"/>
        <v>5.2805520000000001</v>
      </c>
      <c r="AC141" s="130"/>
      <c r="AD141" s="130"/>
      <c r="AE141" s="110">
        <v>0</v>
      </c>
      <c r="AF141" s="131">
        <f t="shared" si="22"/>
        <v>5.2805520000000001</v>
      </c>
      <c r="AG141" s="130"/>
      <c r="AH141" s="130"/>
      <c r="AI141" s="130"/>
      <c r="AJ141" s="130"/>
      <c r="AK141" s="131">
        <f t="shared" si="26"/>
        <v>21.122208000000001</v>
      </c>
      <c r="AL141" s="335">
        <f t="shared" si="27"/>
        <v>0</v>
      </c>
      <c r="AM141" s="130">
        <f t="shared" si="28"/>
        <v>1</v>
      </c>
      <c r="AN141" s="336">
        <f t="shared" si="23"/>
        <v>0</v>
      </c>
    </row>
    <row r="142" spans="1:40" s="108" customFormat="1" ht="66" x14ac:dyDescent="0.25">
      <c r="A142" s="9"/>
      <c r="B142" s="34" t="s">
        <v>112</v>
      </c>
      <c r="C142" s="1024"/>
      <c r="D142" s="871">
        <v>1</v>
      </c>
      <c r="E142" s="1027" t="s">
        <v>1721</v>
      </c>
      <c r="F142" s="278" t="s">
        <v>3446</v>
      </c>
      <c r="G142" s="1040" t="s">
        <v>3463</v>
      </c>
      <c r="H142" s="273" t="s">
        <v>3462</v>
      </c>
      <c r="I142" s="722">
        <f t="shared" si="29"/>
        <v>353.84960160000003</v>
      </c>
      <c r="J142" s="760">
        <v>353.84960160000003</v>
      </c>
      <c r="K142" s="131">
        <f t="shared" si="18"/>
        <v>353.84960160000003</v>
      </c>
      <c r="L142" s="335">
        <f t="shared" si="24"/>
        <v>0</v>
      </c>
      <c r="M142" s="335"/>
      <c r="N142" s="335"/>
      <c r="O142" s="335"/>
      <c r="P142" s="335"/>
      <c r="Q142" s="130">
        <v>1</v>
      </c>
      <c r="R142" s="131">
        <f t="shared" ref="R142:R205" si="33">+J142/4</f>
        <v>88.462400400000007</v>
      </c>
      <c r="S142" s="130"/>
      <c r="T142" s="130"/>
      <c r="U142" s="110">
        <v>0</v>
      </c>
      <c r="V142" s="131">
        <f t="shared" ref="V142:V205" si="34">+J142/4</f>
        <v>88.462400400000007</v>
      </c>
      <c r="W142" s="130"/>
      <c r="X142" s="130"/>
      <c r="Y142" s="130"/>
      <c r="Z142" s="130"/>
      <c r="AA142" s="110">
        <v>0</v>
      </c>
      <c r="AB142" s="131">
        <f t="shared" si="25"/>
        <v>88.462400400000007</v>
      </c>
      <c r="AC142" s="130"/>
      <c r="AD142" s="130"/>
      <c r="AE142" s="110">
        <v>0</v>
      </c>
      <c r="AF142" s="131">
        <f t="shared" si="22"/>
        <v>88.462400400000007</v>
      </c>
      <c r="AG142" s="130"/>
      <c r="AH142" s="130"/>
      <c r="AI142" s="130"/>
      <c r="AJ142" s="130"/>
      <c r="AK142" s="131">
        <f t="shared" si="26"/>
        <v>353.84960160000003</v>
      </c>
      <c r="AL142" s="335">
        <f t="shared" si="27"/>
        <v>0</v>
      </c>
      <c r="AM142" s="130">
        <f t="shared" si="28"/>
        <v>1</v>
      </c>
      <c r="AN142" s="336">
        <f t="shared" si="23"/>
        <v>0</v>
      </c>
    </row>
    <row r="143" spans="1:40" s="108" customFormat="1" ht="66" x14ac:dyDescent="0.25">
      <c r="A143" s="9"/>
      <c r="B143" s="34" t="s">
        <v>80</v>
      </c>
      <c r="C143" s="1024"/>
      <c r="D143" s="871">
        <v>5</v>
      </c>
      <c r="E143" s="1027" t="s">
        <v>1723</v>
      </c>
      <c r="F143" s="278" t="s">
        <v>3446</v>
      </c>
      <c r="G143" s="1040" t="s">
        <v>3463</v>
      </c>
      <c r="H143" s="273" t="s">
        <v>3462</v>
      </c>
      <c r="I143" s="722">
        <f t="shared" si="29"/>
        <v>12.728448</v>
      </c>
      <c r="J143" s="760">
        <v>63.642240000000001</v>
      </c>
      <c r="K143" s="131">
        <f t="shared" ref="K143:K206" si="35">+D143*I143</f>
        <v>63.642240000000001</v>
      </c>
      <c r="L143" s="335">
        <f t="shared" si="24"/>
        <v>0</v>
      </c>
      <c r="M143" s="335"/>
      <c r="N143" s="335"/>
      <c r="O143" s="335"/>
      <c r="P143" s="335"/>
      <c r="Q143" s="110">
        <v>2</v>
      </c>
      <c r="R143" s="131">
        <f t="shared" si="33"/>
        <v>15.91056</v>
      </c>
      <c r="S143" s="130"/>
      <c r="T143" s="130"/>
      <c r="U143" s="110">
        <v>1</v>
      </c>
      <c r="V143" s="131">
        <f t="shared" si="34"/>
        <v>15.91056</v>
      </c>
      <c r="W143" s="130"/>
      <c r="X143" s="130"/>
      <c r="Y143" s="130"/>
      <c r="Z143" s="130"/>
      <c r="AA143" s="110">
        <v>1</v>
      </c>
      <c r="AB143" s="131">
        <f t="shared" si="25"/>
        <v>15.91056</v>
      </c>
      <c r="AC143" s="130"/>
      <c r="AD143" s="130"/>
      <c r="AE143" s="110">
        <v>1</v>
      </c>
      <c r="AF143" s="131">
        <f t="shared" ref="AF143:AF206" si="36">+J143/4</f>
        <v>15.91056</v>
      </c>
      <c r="AG143" s="130"/>
      <c r="AH143" s="130"/>
      <c r="AI143" s="130"/>
      <c r="AJ143" s="130"/>
      <c r="AK143" s="131">
        <f t="shared" si="26"/>
        <v>63.642240000000001</v>
      </c>
      <c r="AL143" s="335">
        <f t="shared" si="27"/>
        <v>0</v>
      </c>
      <c r="AM143" s="130">
        <f t="shared" si="28"/>
        <v>5</v>
      </c>
      <c r="AN143" s="336">
        <f t="shared" ref="AN143:AN206" si="37">+D143-AM143</f>
        <v>0</v>
      </c>
    </row>
    <row r="144" spans="1:40" s="108" customFormat="1" ht="66" x14ac:dyDescent="0.25">
      <c r="A144" s="9"/>
      <c r="B144" s="34" t="s">
        <v>91</v>
      </c>
      <c r="C144" s="1024"/>
      <c r="D144" s="871">
        <v>5</v>
      </c>
      <c r="E144" s="1027" t="s">
        <v>1722</v>
      </c>
      <c r="F144" s="278" t="s">
        <v>3446</v>
      </c>
      <c r="G144" s="1040" t="s">
        <v>3463</v>
      </c>
      <c r="H144" s="273" t="s">
        <v>3462</v>
      </c>
      <c r="I144" s="722">
        <f t="shared" si="29"/>
        <v>11.976768</v>
      </c>
      <c r="J144" s="760">
        <v>59.883839999999999</v>
      </c>
      <c r="K144" s="131">
        <f t="shared" si="35"/>
        <v>59.883839999999999</v>
      </c>
      <c r="L144" s="335">
        <f t="shared" ref="L144:L207" si="38">+J144-K144</f>
        <v>0</v>
      </c>
      <c r="M144" s="335"/>
      <c r="N144" s="335"/>
      <c r="O144" s="335"/>
      <c r="P144" s="335"/>
      <c r="Q144" s="110">
        <v>2</v>
      </c>
      <c r="R144" s="131">
        <f t="shared" si="33"/>
        <v>14.97096</v>
      </c>
      <c r="S144" s="130"/>
      <c r="T144" s="130"/>
      <c r="U144" s="110">
        <v>1</v>
      </c>
      <c r="V144" s="131">
        <f t="shared" si="34"/>
        <v>14.97096</v>
      </c>
      <c r="W144" s="130"/>
      <c r="X144" s="130"/>
      <c r="Y144" s="130"/>
      <c r="Z144" s="130"/>
      <c r="AA144" s="110">
        <v>1</v>
      </c>
      <c r="AB144" s="131">
        <f t="shared" ref="AB144:AB207" si="39">+J144/4</f>
        <v>14.97096</v>
      </c>
      <c r="AC144" s="130"/>
      <c r="AD144" s="130"/>
      <c r="AE144" s="110">
        <v>1</v>
      </c>
      <c r="AF144" s="131">
        <f t="shared" si="36"/>
        <v>14.97096</v>
      </c>
      <c r="AG144" s="130"/>
      <c r="AH144" s="130"/>
      <c r="AI144" s="130"/>
      <c r="AJ144" s="130"/>
      <c r="AK144" s="131">
        <f t="shared" ref="AK144:AK207" si="40">+R144+V144+AB144+AF144</f>
        <v>59.883839999999999</v>
      </c>
      <c r="AL144" s="335">
        <f t="shared" ref="AL144:AL207" si="41">+J144-AK144</f>
        <v>0</v>
      </c>
      <c r="AM144" s="130">
        <f t="shared" ref="AM144:AM207" si="42">+Q144+U144+AA144+AE144</f>
        <v>5</v>
      </c>
      <c r="AN144" s="336">
        <f t="shared" si="37"/>
        <v>0</v>
      </c>
    </row>
    <row r="145" spans="1:40" s="108" customFormat="1" ht="66" x14ac:dyDescent="0.25">
      <c r="A145" s="9"/>
      <c r="B145" s="34" t="s">
        <v>92</v>
      </c>
      <c r="C145" s="1024"/>
      <c r="D145" s="871">
        <v>5</v>
      </c>
      <c r="E145" s="1027" t="s">
        <v>1722</v>
      </c>
      <c r="F145" s="278" t="s">
        <v>3446</v>
      </c>
      <c r="G145" s="1040" t="s">
        <v>3463</v>
      </c>
      <c r="H145" s="273" t="s">
        <v>3462</v>
      </c>
      <c r="I145" s="722">
        <f t="shared" si="29"/>
        <v>25.469424</v>
      </c>
      <c r="J145" s="760">
        <v>127.34712</v>
      </c>
      <c r="K145" s="131">
        <f t="shared" si="35"/>
        <v>127.34712</v>
      </c>
      <c r="L145" s="335">
        <f t="shared" si="38"/>
        <v>0</v>
      </c>
      <c r="M145" s="335"/>
      <c r="N145" s="335"/>
      <c r="O145" s="335"/>
      <c r="P145" s="335"/>
      <c r="Q145" s="110">
        <v>2</v>
      </c>
      <c r="R145" s="131">
        <f t="shared" si="33"/>
        <v>31.836780000000001</v>
      </c>
      <c r="S145" s="130"/>
      <c r="T145" s="130"/>
      <c r="U145" s="110">
        <v>1</v>
      </c>
      <c r="V145" s="131">
        <f t="shared" si="34"/>
        <v>31.836780000000001</v>
      </c>
      <c r="W145" s="130"/>
      <c r="X145" s="130"/>
      <c r="Y145" s="130"/>
      <c r="Z145" s="130"/>
      <c r="AA145" s="110">
        <v>1</v>
      </c>
      <c r="AB145" s="131">
        <f t="shared" si="39"/>
        <v>31.836780000000001</v>
      </c>
      <c r="AC145" s="130"/>
      <c r="AD145" s="130"/>
      <c r="AE145" s="110">
        <v>1</v>
      </c>
      <c r="AF145" s="131">
        <f t="shared" si="36"/>
        <v>31.836780000000001</v>
      </c>
      <c r="AG145" s="130"/>
      <c r="AH145" s="130"/>
      <c r="AI145" s="130"/>
      <c r="AJ145" s="130"/>
      <c r="AK145" s="131">
        <f t="shared" si="40"/>
        <v>127.34712</v>
      </c>
      <c r="AL145" s="335">
        <f t="shared" si="41"/>
        <v>0</v>
      </c>
      <c r="AM145" s="130">
        <f t="shared" si="42"/>
        <v>5</v>
      </c>
      <c r="AN145" s="336">
        <f t="shared" si="37"/>
        <v>0</v>
      </c>
    </row>
    <row r="146" spans="1:40" s="108" customFormat="1" ht="66" x14ac:dyDescent="0.25">
      <c r="A146" s="9"/>
      <c r="B146" s="34" t="s">
        <v>1700</v>
      </c>
      <c r="C146" s="1024"/>
      <c r="D146" s="871">
        <v>5</v>
      </c>
      <c r="E146" s="1027" t="s">
        <v>1722</v>
      </c>
      <c r="F146" s="278" t="s">
        <v>3446</v>
      </c>
      <c r="G146" s="1040" t="s">
        <v>3463</v>
      </c>
      <c r="H146" s="273" t="s">
        <v>3462</v>
      </c>
      <c r="I146" s="722">
        <f t="shared" si="29"/>
        <v>64.393920000000008</v>
      </c>
      <c r="J146" s="760">
        <v>321.96960000000001</v>
      </c>
      <c r="K146" s="131">
        <f t="shared" si="35"/>
        <v>321.96960000000001</v>
      </c>
      <c r="L146" s="335">
        <f t="shared" si="38"/>
        <v>0</v>
      </c>
      <c r="M146" s="335"/>
      <c r="N146" s="335"/>
      <c r="O146" s="335"/>
      <c r="P146" s="335"/>
      <c r="Q146" s="110">
        <v>2</v>
      </c>
      <c r="R146" s="131">
        <f t="shared" si="33"/>
        <v>80.492400000000004</v>
      </c>
      <c r="S146" s="130"/>
      <c r="T146" s="130"/>
      <c r="U146" s="110">
        <v>1</v>
      </c>
      <c r="V146" s="131">
        <f t="shared" si="34"/>
        <v>80.492400000000004</v>
      </c>
      <c r="W146" s="130"/>
      <c r="X146" s="130"/>
      <c r="Y146" s="130"/>
      <c r="Z146" s="130"/>
      <c r="AA146" s="110">
        <v>1</v>
      </c>
      <c r="AB146" s="131">
        <f t="shared" si="39"/>
        <v>80.492400000000004</v>
      </c>
      <c r="AC146" s="130"/>
      <c r="AD146" s="130"/>
      <c r="AE146" s="110">
        <v>1</v>
      </c>
      <c r="AF146" s="131">
        <f t="shared" si="36"/>
        <v>80.492400000000004</v>
      </c>
      <c r="AG146" s="130"/>
      <c r="AH146" s="130"/>
      <c r="AI146" s="130"/>
      <c r="AJ146" s="130"/>
      <c r="AK146" s="131">
        <f t="shared" si="40"/>
        <v>321.96960000000001</v>
      </c>
      <c r="AL146" s="335">
        <f t="shared" si="41"/>
        <v>0</v>
      </c>
      <c r="AM146" s="130">
        <f t="shared" si="42"/>
        <v>5</v>
      </c>
      <c r="AN146" s="336">
        <f t="shared" si="37"/>
        <v>0</v>
      </c>
    </row>
    <row r="147" spans="1:40" s="108" customFormat="1" ht="66" x14ac:dyDescent="0.25">
      <c r="A147" s="9"/>
      <c r="B147" s="43" t="s">
        <v>94</v>
      </c>
      <c r="C147" s="1024"/>
      <c r="D147" s="869">
        <v>4</v>
      </c>
      <c r="E147" s="1027" t="s">
        <v>1721</v>
      </c>
      <c r="F147" s="278" t="s">
        <v>3446</v>
      </c>
      <c r="G147" s="1040" t="s">
        <v>3463</v>
      </c>
      <c r="H147" s="273" t="s">
        <v>3462</v>
      </c>
      <c r="I147" s="722">
        <f t="shared" si="29"/>
        <v>99.221760000000003</v>
      </c>
      <c r="J147" s="760">
        <v>396.88704000000001</v>
      </c>
      <c r="K147" s="131">
        <f t="shared" si="35"/>
        <v>396.88704000000001</v>
      </c>
      <c r="L147" s="335">
        <f t="shared" si="38"/>
        <v>0</v>
      </c>
      <c r="M147" s="335"/>
      <c r="N147" s="335"/>
      <c r="O147" s="335"/>
      <c r="P147" s="335"/>
      <c r="Q147" s="130">
        <f t="shared" si="30"/>
        <v>1</v>
      </c>
      <c r="R147" s="131">
        <f t="shared" si="33"/>
        <v>99.221760000000003</v>
      </c>
      <c r="S147" s="130"/>
      <c r="T147" s="130"/>
      <c r="U147" s="130">
        <f t="shared" si="31"/>
        <v>1</v>
      </c>
      <c r="V147" s="131">
        <f t="shared" si="34"/>
        <v>99.221760000000003</v>
      </c>
      <c r="W147" s="130"/>
      <c r="X147" s="130"/>
      <c r="Y147" s="130"/>
      <c r="Z147" s="130"/>
      <c r="AA147" s="130">
        <f t="shared" si="32"/>
        <v>1</v>
      </c>
      <c r="AB147" s="131">
        <f t="shared" si="39"/>
        <v>99.221760000000003</v>
      </c>
      <c r="AC147" s="130"/>
      <c r="AD147" s="130"/>
      <c r="AE147" s="130">
        <f t="shared" si="32"/>
        <v>1</v>
      </c>
      <c r="AF147" s="131">
        <f t="shared" si="36"/>
        <v>99.221760000000003</v>
      </c>
      <c r="AG147" s="130"/>
      <c r="AH147" s="130"/>
      <c r="AI147" s="130"/>
      <c r="AJ147" s="130"/>
      <c r="AK147" s="131">
        <f t="shared" si="40"/>
        <v>396.88704000000001</v>
      </c>
      <c r="AL147" s="335">
        <f t="shared" si="41"/>
        <v>0</v>
      </c>
      <c r="AM147" s="130">
        <f t="shared" si="42"/>
        <v>4</v>
      </c>
      <c r="AN147" s="336">
        <f t="shared" si="37"/>
        <v>0</v>
      </c>
    </row>
    <row r="148" spans="1:40" s="108" customFormat="1" ht="66" x14ac:dyDescent="0.25">
      <c r="A148" s="9"/>
      <c r="B148" s="43" t="s">
        <v>1074</v>
      </c>
      <c r="C148" s="1024"/>
      <c r="D148" s="869">
        <v>4</v>
      </c>
      <c r="E148" s="1027" t="s">
        <v>1721</v>
      </c>
      <c r="F148" s="278" t="s">
        <v>3446</v>
      </c>
      <c r="G148" s="1040" t="s">
        <v>3463</v>
      </c>
      <c r="H148" s="273" t="s">
        <v>3462</v>
      </c>
      <c r="I148" s="722">
        <f t="shared" si="29"/>
        <v>113.00256</v>
      </c>
      <c r="J148" s="760">
        <v>452.01024000000001</v>
      </c>
      <c r="K148" s="131">
        <f t="shared" si="35"/>
        <v>452.01024000000001</v>
      </c>
      <c r="L148" s="335">
        <f t="shared" si="38"/>
        <v>0</v>
      </c>
      <c r="M148" s="335"/>
      <c r="N148" s="335"/>
      <c r="O148" s="335"/>
      <c r="P148" s="335"/>
      <c r="Q148" s="130">
        <f t="shared" si="30"/>
        <v>1</v>
      </c>
      <c r="R148" s="131">
        <f t="shared" si="33"/>
        <v>113.00256</v>
      </c>
      <c r="S148" s="130"/>
      <c r="T148" s="130"/>
      <c r="U148" s="130">
        <f t="shared" si="31"/>
        <v>1</v>
      </c>
      <c r="V148" s="131">
        <f t="shared" si="34"/>
        <v>113.00256</v>
      </c>
      <c r="W148" s="130"/>
      <c r="X148" s="130"/>
      <c r="Y148" s="130"/>
      <c r="Z148" s="130"/>
      <c r="AA148" s="130">
        <f t="shared" si="32"/>
        <v>1</v>
      </c>
      <c r="AB148" s="131">
        <f t="shared" si="39"/>
        <v>113.00256</v>
      </c>
      <c r="AC148" s="130"/>
      <c r="AD148" s="130"/>
      <c r="AE148" s="130">
        <f t="shared" si="32"/>
        <v>1</v>
      </c>
      <c r="AF148" s="131">
        <f t="shared" si="36"/>
        <v>113.00256</v>
      </c>
      <c r="AG148" s="130"/>
      <c r="AH148" s="130"/>
      <c r="AI148" s="130"/>
      <c r="AJ148" s="130"/>
      <c r="AK148" s="131">
        <f t="shared" si="40"/>
        <v>452.01024000000001</v>
      </c>
      <c r="AL148" s="335">
        <f t="shared" si="41"/>
        <v>0</v>
      </c>
      <c r="AM148" s="130">
        <f t="shared" si="42"/>
        <v>4</v>
      </c>
      <c r="AN148" s="336">
        <f t="shared" si="37"/>
        <v>0</v>
      </c>
    </row>
    <row r="149" spans="1:40" s="108" customFormat="1" ht="66" x14ac:dyDescent="0.25">
      <c r="A149" s="9"/>
      <c r="B149" s="43" t="s">
        <v>95</v>
      </c>
      <c r="C149" s="1024"/>
      <c r="D149" s="869">
        <v>2</v>
      </c>
      <c r="E149" s="1027" t="s">
        <v>1721</v>
      </c>
      <c r="F149" s="278" t="s">
        <v>3446</v>
      </c>
      <c r="G149" s="1040" t="s">
        <v>3463</v>
      </c>
      <c r="H149" s="273" t="s">
        <v>3462</v>
      </c>
      <c r="I149" s="722">
        <f t="shared" si="29"/>
        <v>26.358912</v>
      </c>
      <c r="J149" s="760">
        <v>52.717824</v>
      </c>
      <c r="K149" s="131">
        <f t="shared" si="35"/>
        <v>52.717824</v>
      </c>
      <c r="L149" s="335">
        <f t="shared" si="38"/>
        <v>0</v>
      </c>
      <c r="M149" s="335"/>
      <c r="N149" s="335"/>
      <c r="O149" s="335"/>
      <c r="P149" s="335"/>
      <c r="Q149" s="130">
        <v>1</v>
      </c>
      <c r="R149" s="131">
        <f t="shared" si="33"/>
        <v>13.179456</v>
      </c>
      <c r="S149" s="130"/>
      <c r="T149" s="130"/>
      <c r="U149" s="130">
        <v>1</v>
      </c>
      <c r="V149" s="131">
        <f t="shared" si="34"/>
        <v>13.179456</v>
      </c>
      <c r="W149" s="130"/>
      <c r="X149" s="130"/>
      <c r="Y149" s="130"/>
      <c r="Z149" s="130"/>
      <c r="AA149" s="130">
        <v>0</v>
      </c>
      <c r="AB149" s="131">
        <f t="shared" si="39"/>
        <v>13.179456</v>
      </c>
      <c r="AC149" s="130"/>
      <c r="AD149" s="130"/>
      <c r="AE149" s="130">
        <v>0</v>
      </c>
      <c r="AF149" s="131">
        <f t="shared" si="36"/>
        <v>13.179456</v>
      </c>
      <c r="AG149" s="130"/>
      <c r="AH149" s="130"/>
      <c r="AI149" s="130"/>
      <c r="AJ149" s="130"/>
      <c r="AK149" s="131">
        <f t="shared" si="40"/>
        <v>52.717824</v>
      </c>
      <c r="AL149" s="335">
        <f t="shared" si="41"/>
        <v>0</v>
      </c>
      <c r="AM149" s="130">
        <f t="shared" si="42"/>
        <v>2</v>
      </c>
      <c r="AN149" s="336">
        <f t="shared" si="37"/>
        <v>0</v>
      </c>
    </row>
    <row r="150" spans="1:40" s="108" customFormat="1" ht="66" x14ac:dyDescent="0.25">
      <c r="A150" s="9"/>
      <c r="B150" s="34" t="s">
        <v>1718</v>
      </c>
      <c r="C150" s="1024"/>
      <c r="D150" s="869">
        <v>1</v>
      </c>
      <c r="E150" s="1027" t="s">
        <v>1722</v>
      </c>
      <c r="F150" s="278" t="s">
        <v>3446</v>
      </c>
      <c r="G150" s="1040" t="s">
        <v>3463</v>
      </c>
      <c r="H150" s="273" t="s">
        <v>3462</v>
      </c>
      <c r="I150" s="722">
        <f t="shared" si="29"/>
        <v>1411.3488</v>
      </c>
      <c r="J150" s="760">
        <v>1411.3488</v>
      </c>
      <c r="K150" s="131">
        <f t="shared" si="35"/>
        <v>1411.3488</v>
      </c>
      <c r="L150" s="335">
        <f t="shared" si="38"/>
        <v>0</v>
      </c>
      <c r="M150" s="335"/>
      <c r="N150" s="335"/>
      <c r="O150" s="335"/>
      <c r="P150" s="335"/>
      <c r="Q150" s="130">
        <v>1</v>
      </c>
      <c r="R150" s="131">
        <f t="shared" si="33"/>
        <v>352.8372</v>
      </c>
      <c r="S150" s="130"/>
      <c r="T150" s="130"/>
      <c r="U150" s="110">
        <v>0</v>
      </c>
      <c r="V150" s="131">
        <f t="shared" si="34"/>
        <v>352.8372</v>
      </c>
      <c r="W150" s="130"/>
      <c r="X150" s="130"/>
      <c r="Y150" s="130"/>
      <c r="Z150" s="130"/>
      <c r="AA150" s="110">
        <v>0</v>
      </c>
      <c r="AB150" s="131">
        <f t="shared" si="39"/>
        <v>352.8372</v>
      </c>
      <c r="AC150" s="130"/>
      <c r="AD150" s="130"/>
      <c r="AE150" s="110">
        <v>0</v>
      </c>
      <c r="AF150" s="131">
        <f t="shared" si="36"/>
        <v>352.8372</v>
      </c>
      <c r="AG150" s="130"/>
      <c r="AH150" s="130"/>
      <c r="AI150" s="130"/>
      <c r="AJ150" s="130"/>
      <c r="AK150" s="131">
        <f t="shared" si="40"/>
        <v>1411.3488</v>
      </c>
      <c r="AL150" s="335">
        <f t="shared" si="41"/>
        <v>0</v>
      </c>
      <c r="AM150" s="130">
        <f t="shared" si="42"/>
        <v>1</v>
      </c>
      <c r="AN150" s="336">
        <f t="shared" si="37"/>
        <v>0</v>
      </c>
    </row>
    <row r="151" spans="1:40" s="108" customFormat="1" ht="66" x14ac:dyDescent="0.25">
      <c r="A151" s="9"/>
      <c r="B151" s="34" t="s">
        <v>1719</v>
      </c>
      <c r="C151" s="1024"/>
      <c r="D151" s="871">
        <v>1</v>
      </c>
      <c r="E151" s="1027" t="s">
        <v>1722</v>
      </c>
      <c r="F151" s="278" t="s">
        <v>3446</v>
      </c>
      <c r="G151" s="1040" t="s">
        <v>3463</v>
      </c>
      <c r="H151" s="273" t="s">
        <v>3462</v>
      </c>
      <c r="I151" s="722">
        <f t="shared" si="29"/>
        <v>1411.3488</v>
      </c>
      <c r="J151" s="760">
        <v>1411.3488</v>
      </c>
      <c r="K151" s="131">
        <f t="shared" si="35"/>
        <v>1411.3488</v>
      </c>
      <c r="L151" s="335">
        <f t="shared" si="38"/>
        <v>0</v>
      </c>
      <c r="M151" s="335"/>
      <c r="N151" s="335"/>
      <c r="O151" s="335"/>
      <c r="P151" s="335"/>
      <c r="Q151" s="130">
        <v>1</v>
      </c>
      <c r="R151" s="131">
        <f t="shared" si="33"/>
        <v>352.8372</v>
      </c>
      <c r="S151" s="130"/>
      <c r="T151" s="130"/>
      <c r="U151" s="110">
        <v>0</v>
      </c>
      <c r="V151" s="131">
        <f t="shared" si="34"/>
        <v>352.8372</v>
      </c>
      <c r="W151" s="130"/>
      <c r="X151" s="130"/>
      <c r="Y151" s="130"/>
      <c r="Z151" s="130"/>
      <c r="AA151" s="110">
        <v>0</v>
      </c>
      <c r="AB151" s="131">
        <f t="shared" si="39"/>
        <v>352.8372</v>
      </c>
      <c r="AC151" s="130"/>
      <c r="AD151" s="130"/>
      <c r="AE151" s="110">
        <v>0</v>
      </c>
      <c r="AF151" s="131">
        <f t="shared" si="36"/>
        <v>352.8372</v>
      </c>
      <c r="AG151" s="130"/>
      <c r="AH151" s="130"/>
      <c r="AI151" s="130"/>
      <c r="AJ151" s="130"/>
      <c r="AK151" s="131">
        <f t="shared" si="40"/>
        <v>1411.3488</v>
      </c>
      <c r="AL151" s="335">
        <f t="shared" si="41"/>
        <v>0</v>
      </c>
      <c r="AM151" s="130">
        <f t="shared" si="42"/>
        <v>1</v>
      </c>
      <c r="AN151" s="336">
        <f t="shared" si="37"/>
        <v>0</v>
      </c>
    </row>
    <row r="152" spans="1:40" s="108" customFormat="1" ht="66" x14ac:dyDescent="0.25">
      <c r="A152" s="9"/>
      <c r="B152" s="34" t="s">
        <v>1301</v>
      </c>
      <c r="C152" s="1024"/>
      <c r="D152" s="871">
        <v>4</v>
      </c>
      <c r="E152" s="1027" t="s">
        <v>1721</v>
      </c>
      <c r="F152" s="278" t="s">
        <v>3446</v>
      </c>
      <c r="G152" s="1040" t="s">
        <v>3463</v>
      </c>
      <c r="H152" s="273" t="s">
        <v>3462</v>
      </c>
      <c r="I152" s="722">
        <f t="shared" si="29"/>
        <v>378.97199999999998</v>
      </c>
      <c r="J152" s="760">
        <v>1515.8879999999999</v>
      </c>
      <c r="K152" s="131">
        <f t="shared" si="35"/>
        <v>1515.8879999999999</v>
      </c>
      <c r="L152" s="335">
        <f t="shared" si="38"/>
        <v>0</v>
      </c>
      <c r="M152" s="335"/>
      <c r="N152" s="335"/>
      <c r="O152" s="335"/>
      <c r="P152" s="335"/>
      <c r="Q152" s="130">
        <f t="shared" si="30"/>
        <v>1</v>
      </c>
      <c r="R152" s="131">
        <f t="shared" si="33"/>
        <v>378.97199999999998</v>
      </c>
      <c r="S152" s="130"/>
      <c r="T152" s="130"/>
      <c r="U152" s="130">
        <f t="shared" si="31"/>
        <v>1</v>
      </c>
      <c r="V152" s="131">
        <f t="shared" si="34"/>
        <v>378.97199999999998</v>
      </c>
      <c r="W152" s="130"/>
      <c r="X152" s="130"/>
      <c r="Y152" s="130"/>
      <c r="Z152" s="130"/>
      <c r="AA152" s="130">
        <f t="shared" si="32"/>
        <v>1</v>
      </c>
      <c r="AB152" s="131">
        <f t="shared" si="39"/>
        <v>378.97199999999998</v>
      </c>
      <c r="AC152" s="130"/>
      <c r="AD152" s="130"/>
      <c r="AE152" s="130">
        <f t="shared" si="32"/>
        <v>1</v>
      </c>
      <c r="AF152" s="131">
        <f t="shared" si="36"/>
        <v>378.97199999999998</v>
      </c>
      <c r="AG152" s="130"/>
      <c r="AH152" s="130"/>
      <c r="AI152" s="130"/>
      <c r="AJ152" s="130"/>
      <c r="AK152" s="131">
        <f t="shared" si="40"/>
        <v>1515.8879999999999</v>
      </c>
      <c r="AL152" s="335">
        <f t="shared" si="41"/>
        <v>0</v>
      </c>
      <c r="AM152" s="130">
        <f t="shared" si="42"/>
        <v>4</v>
      </c>
      <c r="AN152" s="336">
        <f t="shared" si="37"/>
        <v>0</v>
      </c>
    </row>
    <row r="153" spans="1:40" s="108" customFormat="1" ht="66" x14ac:dyDescent="0.25">
      <c r="A153" s="9"/>
      <c r="B153" s="34" t="s">
        <v>1720</v>
      </c>
      <c r="C153" s="1024"/>
      <c r="D153" s="871">
        <v>1</v>
      </c>
      <c r="E153" s="1027" t="s">
        <v>1721</v>
      </c>
      <c r="F153" s="278" t="s">
        <v>3446</v>
      </c>
      <c r="G153" s="1040" t="s">
        <v>3463</v>
      </c>
      <c r="H153" s="273" t="s">
        <v>3462</v>
      </c>
      <c r="I153" s="722">
        <f t="shared" si="29"/>
        <v>689.04</v>
      </c>
      <c r="J153" s="760">
        <v>689.04</v>
      </c>
      <c r="K153" s="131">
        <f t="shared" si="35"/>
        <v>689.04</v>
      </c>
      <c r="L153" s="335">
        <f t="shared" si="38"/>
        <v>0</v>
      </c>
      <c r="M153" s="335"/>
      <c r="N153" s="335"/>
      <c r="O153" s="335"/>
      <c r="P153" s="335"/>
      <c r="Q153" s="130">
        <v>1</v>
      </c>
      <c r="R153" s="131">
        <f t="shared" si="33"/>
        <v>172.26</v>
      </c>
      <c r="S153" s="130"/>
      <c r="T153" s="130"/>
      <c r="U153" s="110">
        <v>0</v>
      </c>
      <c r="V153" s="131">
        <f t="shared" si="34"/>
        <v>172.26</v>
      </c>
      <c r="W153" s="130"/>
      <c r="X153" s="130"/>
      <c r="Y153" s="130"/>
      <c r="Z153" s="130"/>
      <c r="AA153" s="110">
        <v>0</v>
      </c>
      <c r="AB153" s="131">
        <f t="shared" si="39"/>
        <v>172.26</v>
      </c>
      <c r="AC153" s="130"/>
      <c r="AD153" s="130"/>
      <c r="AE153" s="110">
        <v>0</v>
      </c>
      <c r="AF153" s="131">
        <f t="shared" si="36"/>
        <v>172.26</v>
      </c>
      <c r="AG153" s="130"/>
      <c r="AH153" s="130"/>
      <c r="AI153" s="130"/>
      <c r="AJ153" s="130"/>
      <c r="AK153" s="131">
        <f t="shared" si="40"/>
        <v>689.04</v>
      </c>
      <c r="AL153" s="335">
        <f t="shared" si="41"/>
        <v>0</v>
      </c>
      <c r="AM153" s="130">
        <f t="shared" si="42"/>
        <v>1</v>
      </c>
      <c r="AN153" s="336">
        <f t="shared" si="37"/>
        <v>0</v>
      </c>
    </row>
    <row r="154" spans="1:40" s="108" customFormat="1" ht="66" x14ac:dyDescent="0.25">
      <c r="A154" s="9"/>
      <c r="B154" s="41" t="s">
        <v>61</v>
      </c>
      <c r="C154" s="1024"/>
      <c r="D154" s="871">
        <v>2</v>
      </c>
      <c r="E154" s="1027" t="s">
        <v>1747</v>
      </c>
      <c r="F154" s="278" t="s">
        <v>3446</v>
      </c>
      <c r="G154" s="1040" t="s">
        <v>3463</v>
      </c>
      <c r="H154" s="273" t="s">
        <v>3462</v>
      </c>
      <c r="I154" s="722">
        <f t="shared" si="29"/>
        <v>42.59</v>
      </c>
      <c r="J154" s="756">
        <v>85.18</v>
      </c>
      <c r="K154" s="131">
        <f t="shared" si="35"/>
        <v>85.18</v>
      </c>
      <c r="L154" s="335">
        <f t="shared" si="38"/>
        <v>0</v>
      </c>
      <c r="M154" s="335"/>
      <c r="N154" s="335"/>
      <c r="O154" s="335"/>
      <c r="P154" s="335"/>
      <c r="Q154" s="130">
        <v>1</v>
      </c>
      <c r="R154" s="131">
        <f t="shared" si="33"/>
        <v>21.295000000000002</v>
      </c>
      <c r="S154" s="130"/>
      <c r="T154" s="130"/>
      <c r="U154" s="130">
        <v>1</v>
      </c>
      <c r="V154" s="131">
        <f t="shared" si="34"/>
        <v>21.295000000000002</v>
      </c>
      <c r="W154" s="130"/>
      <c r="X154" s="130"/>
      <c r="Y154" s="130"/>
      <c r="Z154" s="130"/>
      <c r="AA154" s="130">
        <v>0</v>
      </c>
      <c r="AB154" s="131">
        <f t="shared" si="39"/>
        <v>21.295000000000002</v>
      </c>
      <c r="AC154" s="130"/>
      <c r="AD154" s="130"/>
      <c r="AE154" s="130">
        <v>0</v>
      </c>
      <c r="AF154" s="131">
        <f t="shared" si="36"/>
        <v>21.295000000000002</v>
      </c>
      <c r="AG154" s="130"/>
      <c r="AH154" s="130"/>
      <c r="AI154" s="130"/>
      <c r="AJ154" s="130"/>
      <c r="AK154" s="131">
        <f t="shared" si="40"/>
        <v>85.18</v>
      </c>
      <c r="AL154" s="335">
        <f t="shared" si="41"/>
        <v>0</v>
      </c>
      <c r="AM154" s="130">
        <f t="shared" si="42"/>
        <v>2</v>
      </c>
      <c r="AN154" s="336">
        <f t="shared" si="37"/>
        <v>0</v>
      </c>
    </row>
    <row r="155" spans="1:40" s="108" customFormat="1" ht="66" x14ac:dyDescent="0.25">
      <c r="A155" s="9"/>
      <c r="B155" s="474" t="s">
        <v>20</v>
      </c>
      <c r="C155" s="1024"/>
      <c r="D155" s="871">
        <v>4</v>
      </c>
      <c r="E155" s="1027" t="s">
        <v>1747</v>
      </c>
      <c r="F155" s="278" t="s">
        <v>3446</v>
      </c>
      <c r="G155" s="1040" t="s">
        <v>3463</v>
      </c>
      <c r="H155" s="273" t="s">
        <v>3462</v>
      </c>
      <c r="I155" s="722">
        <f t="shared" si="29"/>
        <v>42.59</v>
      </c>
      <c r="J155" s="756">
        <v>170.36</v>
      </c>
      <c r="K155" s="131">
        <f t="shared" si="35"/>
        <v>170.36</v>
      </c>
      <c r="L155" s="335">
        <f t="shared" si="38"/>
        <v>0</v>
      </c>
      <c r="M155" s="335"/>
      <c r="N155" s="335"/>
      <c r="O155" s="335"/>
      <c r="P155" s="335"/>
      <c r="Q155" s="130">
        <f t="shared" si="30"/>
        <v>1</v>
      </c>
      <c r="R155" s="131">
        <f t="shared" si="33"/>
        <v>42.59</v>
      </c>
      <c r="S155" s="130"/>
      <c r="T155" s="130"/>
      <c r="U155" s="130">
        <f t="shared" si="31"/>
        <v>1</v>
      </c>
      <c r="V155" s="131">
        <f t="shared" si="34"/>
        <v>42.59</v>
      </c>
      <c r="W155" s="130"/>
      <c r="X155" s="130"/>
      <c r="Y155" s="130"/>
      <c r="Z155" s="130"/>
      <c r="AA155" s="130">
        <f t="shared" si="32"/>
        <v>1</v>
      </c>
      <c r="AB155" s="131">
        <f t="shared" si="39"/>
        <v>42.59</v>
      </c>
      <c r="AC155" s="130"/>
      <c r="AD155" s="130"/>
      <c r="AE155" s="130">
        <f t="shared" si="32"/>
        <v>1</v>
      </c>
      <c r="AF155" s="131">
        <f t="shared" si="36"/>
        <v>42.59</v>
      </c>
      <c r="AG155" s="130"/>
      <c r="AH155" s="130"/>
      <c r="AI155" s="130"/>
      <c r="AJ155" s="130"/>
      <c r="AK155" s="131">
        <f t="shared" si="40"/>
        <v>170.36</v>
      </c>
      <c r="AL155" s="335">
        <f t="shared" si="41"/>
        <v>0</v>
      </c>
      <c r="AM155" s="130">
        <f t="shared" si="42"/>
        <v>4</v>
      </c>
      <c r="AN155" s="336">
        <f t="shared" si="37"/>
        <v>0</v>
      </c>
    </row>
    <row r="156" spans="1:40" s="108" customFormat="1" ht="66" x14ac:dyDescent="0.25">
      <c r="A156" s="9"/>
      <c r="B156" s="34" t="s">
        <v>45</v>
      </c>
      <c r="C156" s="1024"/>
      <c r="D156" s="871">
        <v>8</v>
      </c>
      <c r="E156" s="1027" t="s">
        <v>1748</v>
      </c>
      <c r="F156" s="278" t="s">
        <v>3446</v>
      </c>
      <c r="G156" s="1040" t="s">
        <v>3463</v>
      </c>
      <c r="H156" s="273" t="s">
        <v>3462</v>
      </c>
      <c r="I156" s="722">
        <f t="shared" ref="I156:I219" si="43">+J156/D156</f>
        <v>16.63</v>
      </c>
      <c r="J156" s="756">
        <v>133.04</v>
      </c>
      <c r="K156" s="131">
        <f t="shared" si="35"/>
        <v>133.04</v>
      </c>
      <c r="L156" s="335">
        <f t="shared" si="38"/>
        <v>0</v>
      </c>
      <c r="M156" s="335"/>
      <c r="N156" s="335"/>
      <c r="O156" s="335"/>
      <c r="P156" s="335"/>
      <c r="Q156" s="130">
        <f t="shared" si="30"/>
        <v>2</v>
      </c>
      <c r="R156" s="131">
        <f t="shared" si="33"/>
        <v>33.26</v>
      </c>
      <c r="S156" s="130"/>
      <c r="T156" s="130"/>
      <c r="U156" s="130">
        <f t="shared" si="31"/>
        <v>2</v>
      </c>
      <c r="V156" s="131">
        <f t="shared" si="34"/>
        <v>33.26</v>
      </c>
      <c r="W156" s="130"/>
      <c r="X156" s="130"/>
      <c r="Y156" s="130"/>
      <c r="Z156" s="130"/>
      <c r="AA156" s="130">
        <f t="shared" si="32"/>
        <v>2</v>
      </c>
      <c r="AB156" s="131">
        <f t="shared" si="39"/>
        <v>33.26</v>
      </c>
      <c r="AC156" s="130"/>
      <c r="AD156" s="130"/>
      <c r="AE156" s="130">
        <f t="shared" si="32"/>
        <v>2</v>
      </c>
      <c r="AF156" s="131">
        <f t="shared" si="36"/>
        <v>33.26</v>
      </c>
      <c r="AG156" s="130"/>
      <c r="AH156" s="130"/>
      <c r="AI156" s="130"/>
      <c r="AJ156" s="130"/>
      <c r="AK156" s="131">
        <f t="shared" si="40"/>
        <v>133.04</v>
      </c>
      <c r="AL156" s="335">
        <f t="shared" si="41"/>
        <v>0</v>
      </c>
      <c r="AM156" s="130">
        <f t="shared" si="42"/>
        <v>8</v>
      </c>
      <c r="AN156" s="336">
        <f t="shared" si="37"/>
        <v>0</v>
      </c>
    </row>
    <row r="157" spans="1:40" s="108" customFormat="1" ht="66" x14ac:dyDescent="0.25">
      <c r="A157" s="9"/>
      <c r="B157" s="34" t="s">
        <v>31</v>
      </c>
      <c r="C157" s="1024"/>
      <c r="D157" s="871">
        <v>4</v>
      </c>
      <c r="E157" s="1027" t="s">
        <v>1749</v>
      </c>
      <c r="F157" s="278" t="s">
        <v>3446</v>
      </c>
      <c r="G157" s="1040" t="s">
        <v>3463</v>
      </c>
      <c r="H157" s="273" t="s">
        <v>3462</v>
      </c>
      <c r="I157" s="722">
        <f t="shared" si="43"/>
        <v>35.637500000000003</v>
      </c>
      <c r="J157" s="756">
        <v>142.55000000000001</v>
      </c>
      <c r="K157" s="131">
        <f t="shared" si="35"/>
        <v>142.55000000000001</v>
      </c>
      <c r="L157" s="335">
        <f t="shared" si="38"/>
        <v>0</v>
      </c>
      <c r="M157" s="335"/>
      <c r="N157" s="335"/>
      <c r="O157" s="335"/>
      <c r="P157" s="335"/>
      <c r="Q157" s="130">
        <f t="shared" si="30"/>
        <v>1</v>
      </c>
      <c r="R157" s="131">
        <f t="shared" si="33"/>
        <v>35.637500000000003</v>
      </c>
      <c r="S157" s="130"/>
      <c r="T157" s="130"/>
      <c r="U157" s="130">
        <f t="shared" si="31"/>
        <v>1</v>
      </c>
      <c r="V157" s="131">
        <f t="shared" si="34"/>
        <v>35.637500000000003</v>
      </c>
      <c r="W157" s="130"/>
      <c r="X157" s="130"/>
      <c r="Y157" s="130"/>
      <c r="Z157" s="130"/>
      <c r="AA157" s="130">
        <f t="shared" si="32"/>
        <v>1</v>
      </c>
      <c r="AB157" s="131">
        <f t="shared" si="39"/>
        <v>35.637500000000003</v>
      </c>
      <c r="AC157" s="130"/>
      <c r="AD157" s="130"/>
      <c r="AE157" s="130">
        <f t="shared" si="32"/>
        <v>1</v>
      </c>
      <c r="AF157" s="131">
        <f t="shared" si="36"/>
        <v>35.637500000000003</v>
      </c>
      <c r="AG157" s="130"/>
      <c r="AH157" s="130"/>
      <c r="AI157" s="130"/>
      <c r="AJ157" s="130"/>
      <c r="AK157" s="131">
        <f t="shared" si="40"/>
        <v>142.55000000000001</v>
      </c>
      <c r="AL157" s="335">
        <f t="shared" si="41"/>
        <v>0</v>
      </c>
      <c r="AM157" s="130">
        <f t="shared" si="42"/>
        <v>4</v>
      </c>
      <c r="AN157" s="336">
        <f t="shared" si="37"/>
        <v>0</v>
      </c>
    </row>
    <row r="158" spans="1:40" s="108" customFormat="1" ht="66" x14ac:dyDescent="0.25">
      <c r="A158" s="9"/>
      <c r="B158" s="34" t="s">
        <v>32</v>
      </c>
      <c r="C158" s="1024"/>
      <c r="D158" s="871">
        <v>8</v>
      </c>
      <c r="E158" s="1027" t="s">
        <v>1749</v>
      </c>
      <c r="F158" s="278" t="s">
        <v>3446</v>
      </c>
      <c r="G158" s="1040" t="s">
        <v>3463</v>
      </c>
      <c r="H158" s="273" t="s">
        <v>3462</v>
      </c>
      <c r="I158" s="722">
        <f t="shared" si="43"/>
        <v>20.55</v>
      </c>
      <c r="J158" s="756">
        <v>164.4</v>
      </c>
      <c r="K158" s="131">
        <f t="shared" si="35"/>
        <v>164.4</v>
      </c>
      <c r="L158" s="335">
        <f t="shared" si="38"/>
        <v>0</v>
      </c>
      <c r="M158" s="335"/>
      <c r="N158" s="335"/>
      <c r="O158" s="335"/>
      <c r="P158" s="335"/>
      <c r="Q158" s="130">
        <f t="shared" si="30"/>
        <v>2</v>
      </c>
      <c r="R158" s="131">
        <f t="shared" si="33"/>
        <v>41.1</v>
      </c>
      <c r="S158" s="130"/>
      <c r="T158" s="130"/>
      <c r="U158" s="130">
        <f t="shared" si="31"/>
        <v>2</v>
      </c>
      <c r="V158" s="131">
        <f t="shared" si="34"/>
        <v>41.1</v>
      </c>
      <c r="W158" s="130"/>
      <c r="X158" s="130"/>
      <c r="Y158" s="130"/>
      <c r="Z158" s="130"/>
      <c r="AA158" s="130">
        <f t="shared" si="32"/>
        <v>2</v>
      </c>
      <c r="AB158" s="131">
        <f t="shared" si="39"/>
        <v>41.1</v>
      </c>
      <c r="AC158" s="130"/>
      <c r="AD158" s="130"/>
      <c r="AE158" s="130">
        <f t="shared" si="32"/>
        <v>2</v>
      </c>
      <c r="AF158" s="131">
        <f t="shared" si="36"/>
        <v>41.1</v>
      </c>
      <c r="AG158" s="130"/>
      <c r="AH158" s="130"/>
      <c r="AI158" s="130"/>
      <c r="AJ158" s="130"/>
      <c r="AK158" s="131">
        <f t="shared" si="40"/>
        <v>164.4</v>
      </c>
      <c r="AL158" s="335">
        <f t="shared" si="41"/>
        <v>0</v>
      </c>
      <c r="AM158" s="130">
        <f t="shared" si="42"/>
        <v>8</v>
      </c>
      <c r="AN158" s="336">
        <f t="shared" si="37"/>
        <v>0</v>
      </c>
    </row>
    <row r="159" spans="1:40" s="108" customFormat="1" ht="66" x14ac:dyDescent="0.25">
      <c r="A159" s="9"/>
      <c r="B159" s="34" t="s">
        <v>35</v>
      </c>
      <c r="C159" s="1024"/>
      <c r="D159" s="871">
        <v>5</v>
      </c>
      <c r="E159" s="1027" t="s">
        <v>1749</v>
      </c>
      <c r="F159" s="278" t="s">
        <v>3446</v>
      </c>
      <c r="G159" s="1040" t="s">
        <v>3463</v>
      </c>
      <c r="H159" s="273" t="s">
        <v>3462</v>
      </c>
      <c r="I159" s="722">
        <f t="shared" si="43"/>
        <v>20.55</v>
      </c>
      <c r="J159" s="756">
        <v>102.75</v>
      </c>
      <c r="K159" s="131">
        <f t="shared" si="35"/>
        <v>102.75</v>
      </c>
      <c r="L159" s="335">
        <f t="shared" si="38"/>
        <v>0</v>
      </c>
      <c r="M159" s="335"/>
      <c r="N159" s="335"/>
      <c r="O159" s="335"/>
      <c r="P159" s="335"/>
      <c r="Q159" s="110">
        <v>2</v>
      </c>
      <c r="R159" s="131">
        <f t="shared" si="33"/>
        <v>25.6875</v>
      </c>
      <c r="S159" s="130"/>
      <c r="T159" s="130"/>
      <c r="U159" s="110">
        <v>1</v>
      </c>
      <c r="V159" s="131">
        <f t="shared" si="34"/>
        <v>25.6875</v>
      </c>
      <c r="W159" s="130"/>
      <c r="X159" s="130"/>
      <c r="Y159" s="130"/>
      <c r="Z159" s="130"/>
      <c r="AA159" s="110">
        <v>1</v>
      </c>
      <c r="AB159" s="131">
        <f t="shared" si="39"/>
        <v>25.6875</v>
      </c>
      <c r="AC159" s="130"/>
      <c r="AD159" s="130"/>
      <c r="AE159" s="110">
        <v>1</v>
      </c>
      <c r="AF159" s="131">
        <f t="shared" si="36"/>
        <v>25.6875</v>
      </c>
      <c r="AG159" s="130"/>
      <c r="AH159" s="130"/>
      <c r="AI159" s="130"/>
      <c r="AJ159" s="130"/>
      <c r="AK159" s="131">
        <f t="shared" si="40"/>
        <v>102.75</v>
      </c>
      <c r="AL159" s="335">
        <f t="shared" si="41"/>
        <v>0</v>
      </c>
      <c r="AM159" s="130">
        <f t="shared" si="42"/>
        <v>5</v>
      </c>
      <c r="AN159" s="336">
        <f t="shared" si="37"/>
        <v>0</v>
      </c>
    </row>
    <row r="160" spans="1:40" s="108" customFormat="1" ht="66" x14ac:dyDescent="0.25">
      <c r="A160" s="9"/>
      <c r="B160" s="34" t="s">
        <v>23</v>
      </c>
      <c r="C160" s="1024"/>
      <c r="D160" s="871">
        <v>4</v>
      </c>
      <c r="E160" s="1027" t="s">
        <v>1749</v>
      </c>
      <c r="F160" s="278" t="s">
        <v>3446</v>
      </c>
      <c r="G160" s="1040" t="s">
        <v>3463</v>
      </c>
      <c r="H160" s="273" t="s">
        <v>3462</v>
      </c>
      <c r="I160" s="722">
        <f t="shared" si="43"/>
        <v>5.12</v>
      </c>
      <c r="J160" s="756">
        <v>20.48</v>
      </c>
      <c r="K160" s="131">
        <f t="shared" si="35"/>
        <v>20.48</v>
      </c>
      <c r="L160" s="335">
        <f t="shared" si="38"/>
        <v>0</v>
      </c>
      <c r="M160" s="335"/>
      <c r="N160" s="335"/>
      <c r="O160" s="335"/>
      <c r="P160" s="335"/>
      <c r="Q160" s="130">
        <f t="shared" si="30"/>
        <v>1</v>
      </c>
      <c r="R160" s="131">
        <f t="shared" si="33"/>
        <v>5.12</v>
      </c>
      <c r="S160" s="130"/>
      <c r="T160" s="130"/>
      <c r="U160" s="130">
        <f t="shared" si="31"/>
        <v>1</v>
      </c>
      <c r="V160" s="131">
        <f t="shared" si="34"/>
        <v>5.12</v>
      </c>
      <c r="W160" s="130"/>
      <c r="X160" s="130"/>
      <c r="Y160" s="130"/>
      <c r="Z160" s="130"/>
      <c r="AA160" s="130">
        <f t="shared" si="32"/>
        <v>1</v>
      </c>
      <c r="AB160" s="131">
        <f t="shared" si="39"/>
        <v>5.12</v>
      </c>
      <c r="AC160" s="130"/>
      <c r="AD160" s="130"/>
      <c r="AE160" s="130">
        <f t="shared" si="32"/>
        <v>1</v>
      </c>
      <c r="AF160" s="131">
        <f t="shared" si="36"/>
        <v>5.12</v>
      </c>
      <c r="AG160" s="130"/>
      <c r="AH160" s="130"/>
      <c r="AI160" s="130"/>
      <c r="AJ160" s="130"/>
      <c r="AK160" s="131">
        <f t="shared" si="40"/>
        <v>20.48</v>
      </c>
      <c r="AL160" s="335">
        <f t="shared" si="41"/>
        <v>0</v>
      </c>
      <c r="AM160" s="130">
        <f t="shared" si="42"/>
        <v>4</v>
      </c>
      <c r="AN160" s="336">
        <f t="shared" si="37"/>
        <v>0</v>
      </c>
    </row>
    <row r="161" spans="1:40" s="108" customFormat="1" ht="66" x14ac:dyDescent="0.25">
      <c r="A161" s="9"/>
      <c r="B161" s="34" t="s">
        <v>73</v>
      </c>
      <c r="C161" s="1024"/>
      <c r="D161" s="871">
        <v>7</v>
      </c>
      <c r="E161" s="1027" t="s">
        <v>1749</v>
      </c>
      <c r="F161" s="278" t="s">
        <v>3446</v>
      </c>
      <c r="G161" s="1040" t="s">
        <v>3463</v>
      </c>
      <c r="H161" s="273" t="s">
        <v>3462</v>
      </c>
      <c r="I161" s="722">
        <f t="shared" si="43"/>
        <v>9.15</v>
      </c>
      <c r="J161" s="756">
        <v>64.05</v>
      </c>
      <c r="K161" s="131">
        <f t="shared" si="35"/>
        <v>64.05</v>
      </c>
      <c r="L161" s="335">
        <f t="shared" si="38"/>
        <v>0</v>
      </c>
      <c r="M161" s="335"/>
      <c r="N161" s="335"/>
      <c r="O161" s="335"/>
      <c r="P161" s="335"/>
      <c r="Q161" s="130">
        <v>2</v>
      </c>
      <c r="R161" s="131">
        <f t="shared" si="33"/>
        <v>16.012499999999999</v>
      </c>
      <c r="S161" s="130"/>
      <c r="T161" s="130"/>
      <c r="U161" s="130">
        <v>2</v>
      </c>
      <c r="V161" s="131">
        <f t="shared" si="34"/>
        <v>16.012499999999999</v>
      </c>
      <c r="W161" s="130"/>
      <c r="X161" s="130"/>
      <c r="Y161" s="130"/>
      <c r="Z161" s="130"/>
      <c r="AA161" s="130">
        <v>2</v>
      </c>
      <c r="AB161" s="131">
        <f t="shared" si="39"/>
        <v>16.012499999999999</v>
      </c>
      <c r="AC161" s="130"/>
      <c r="AD161" s="130"/>
      <c r="AE161" s="130">
        <v>1</v>
      </c>
      <c r="AF161" s="131">
        <f t="shared" si="36"/>
        <v>16.012499999999999</v>
      </c>
      <c r="AG161" s="130"/>
      <c r="AH161" s="130"/>
      <c r="AI161" s="130"/>
      <c r="AJ161" s="130"/>
      <c r="AK161" s="131">
        <f t="shared" si="40"/>
        <v>64.05</v>
      </c>
      <c r="AL161" s="335">
        <f t="shared" si="41"/>
        <v>0</v>
      </c>
      <c r="AM161" s="130">
        <f t="shared" si="42"/>
        <v>7</v>
      </c>
      <c r="AN161" s="336">
        <f t="shared" si="37"/>
        <v>0</v>
      </c>
    </row>
    <row r="162" spans="1:40" s="108" customFormat="1" ht="66" x14ac:dyDescent="0.25">
      <c r="A162" s="9"/>
      <c r="B162" s="34" t="s">
        <v>55</v>
      </c>
      <c r="C162" s="1024"/>
      <c r="D162" s="871">
        <v>1</v>
      </c>
      <c r="E162" s="1027" t="s">
        <v>1749</v>
      </c>
      <c r="F162" s="278" t="s">
        <v>3446</v>
      </c>
      <c r="G162" s="1040" t="s">
        <v>3463</v>
      </c>
      <c r="H162" s="273" t="s">
        <v>3462</v>
      </c>
      <c r="I162" s="722">
        <f t="shared" si="43"/>
        <v>83.16</v>
      </c>
      <c r="J162" s="756">
        <v>83.16</v>
      </c>
      <c r="K162" s="131">
        <f t="shared" si="35"/>
        <v>83.16</v>
      </c>
      <c r="L162" s="335">
        <f t="shared" si="38"/>
        <v>0</v>
      </c>
      <c r="M162" s="335"/>
      <c r="N162" s="335"/>
      <c r="O162" s="335"/>
      <c r="P162" s="335"/>
      <c r="Q162" s="130">
        <v>1</v>
      </c>
      <c r="R162" s="131">
        <f t="shared" si="33"/>
        <v>20.79</v>
      </c>
      <c r="S162" s="130"/>
      <c r="T162" s="130"/>
      <c r="U162" s="110">
        <v>0</v>
      </c>
      <c r="V162" s="131">
        <f t="shared" si="34"/>
        <v>20.79</v>
      </c>
      <c r="W162" s="130"/>
      <c r="X162" s="130"/>
      <c r="Y162" s="130"/>
      <c r="Z162" s="130"/>
      <c r="AA162" s="110">
        <v>0</v>
      </c>
      <c r="AB162" s="131">
        <f t="shared" si="39"/>
        <v>20.79</v>
      </c>
      <c r="AC162" s="130"/>
      <c r="AD162" s="130"/>
      <c r="AE162" s="110">
        <v>0</v>
      </c>
      <c r="AF162" s="131">
        <f t="shared" si="36"/>
        <v>20.79</v>
      </c>
      <c r="AG162" s="130"/>
      <c r="AH162" s="130"/>
      <c r="AI162" s="130"/>
      <c r="AJ162" s="130"/>
      <c r="AK162" s="131">
        <f t="shared" si="40"/>
        <v>83.16</v>
      </c>
      <c r="AL162" s="335">
        <f t="shared" si="41"/>
        <v>0</v>
      </c>
      <c r="AM162" s="130">
        <f t="shared" si="42"/>
        <v>1</v>
      </c>
      <c r="AN162" s="336">
        <f t="shared" si="37"/>
        <v>0</v>
      </c>
    </row>
    <row r="163" spans="1:40" s="108" customFormat="1" ht="66" x14ac:dyDescent="0.25">
      <c r="A163" s="9"/>
      <c r="B163" s="34" t="s">
        <v>57</v>
      </c>
      <c r="C163" s="1024"/>
      <c r="D163" s="871">
        <v>2</v>
      </c>
      <c r="E163" s="1027" t="s">
        <v>1748</v>
      </c>
      <c r="F163" s="278" t="s">
        <v>3446</v>
      </c>
      <c r="G163" s="1040" t="s">
        <v>3463</v>
      </c>
      <c r="H163" s="273" t="s">
        <v>3462</v>
      </c>
      <c r="I163" s="722">
        <f t="shared" si="43"/>
        <v>26.97</v>
      </c>
      <c r="J163" s="756">
        <v>53.94</v>
      </c>
      <c r="K163" s="131">
        <f t="shared" si="35"/>
        <v>53.94</v>
      </c>
      <c r="L163" s="335">
        <f t="shared" si="38"/>
        <v>0</v>
      </c>
      <c r="M163" s="335"/>
      <c r="N163" s="335"/>
      <c r="O163" s="335"/>
      <c r="P163" s="335"/>
      <c r="Q163" s="130">
        <v>1</v>
      </c>
      <c r="R163" s="131">
        <f t="shared" si="33"/>
        <v>13.484999999999999</v>
      </c>
      <c r="S163" s="130"/>
      <c r="T163" s="130"/>
      <c r="U163" s="130">
        <v>1</v>
      </c>
      <c r="V163" s="131">
        <f t="shared" si="34"/>
        <v>13.484999999999999</v>
      </c>
      <c r="W163" s="130"/>
      <c r="X163" s="130"/>
      <c r="Y163" s="130"/>
      <c r="Z163" s="130"/>
      <c r="AA163" s="130">
        <v>0</v>
      </c>
      <c r="AB163" s="131">
        <f t="shared" si="39"/>
        <v>13.484999999999999</v>
      </c>
      <c r="AC163" s="130"/>
      <c r="AD163" s="130"/>
      <c r="AE163" s="130">
        <v>0</v>
      </c>
      <c r="AF163" s="131">
        <f t="shared" si="36"/>
        <v>13.484999999999999</v>
      </c>
      <c r="AG163" s="130"/>
      <c r="AH163" s="130"/>
      <c r="AI163" s="130"/>
      <c r="AJ163" s="130"/>
      <c r="AK163" s="131">
        <f t="shared" si="40"/>
        <v>53.94</v>
      </c>
      <c r="AL163" s="335">
        <f t="shared" si="41"/>
        <v>0</v>
      </c>
      <c r="AM163" s="130">
        <f t="shared" si="42"/>
        <v>2</v>
      </c>
      <c r="AN163" s="336">
        <f t="shared" si="37"/>
        <v>0</v>
      </c>
    </row>
    <row r="164" spans="1:40" s="108" customFormat="1" ht="66" x14ac:dyDescent="0.25">
      <c r="A164" s="9"/>
      <c r="B164" s="1031" t="s">
        <v>86</v>
      </c>
      <c r="C164" s="1024"/>
      <c r="D164" s="871">
        <v>15</v>
      </c>
      <c r="E164" s="1027" t="s">
        <v>1747</v>
      </c>
      <c r="F164" s="278" t="s">
        <v>3446</v>
      </c>
      <c r="G164" s="1040" t="s">
        <v>3463</v>
      </c>
      <c r="H164" s="273" t="s">
        <v>3462</v>
      </c>
      <c r="I164" s="722">
        <f t="shared" si="43"/>
        <v>77.733333333333334</v>
      </c>
      <c r="J164" s="756">
        <v>1166</v>
      </c>
      <c r="K164" s="131">
        <f t="shared" si="35"/>
        <v>1166</v>
      </c>
      <c r="L164" s="335">
        <f t="shared" si="38"/>
        <v>0</v>
      </c>
      <c r="M164" s="335"/>
      <c r="N164" s="335"/>
      <c r="O164" s="335"/>
      <c r="P164" s="335"/>
      <c r="Q164" s="110">
        <v>4</v>
      </c>
      <c r="R164" s="131">
        <f t="shared" si="33"/>
        <v>291.5</v>
      </c>
      <c r="S164" s="130"/>
      <c r="T164" s="130"/>
      <c r="U164" s="110">
        <v>4</v>
      </c>
      <c r="V164" s="131">
        <f t="shared" si="34"/>
        <v>291.5</v>
      </c>
      <c r="W164" s="130"/>
      <c r="X164" s="130"/>
      <c r="Y164" s="130"/>
      <c r="Z164" s="130"/>
      <c r="AA164" s="110">
        <v>4</v>
      </c>
      <c r="AB164" s="131">
        <f t="shared" si="39"/>
        <v>291.5</v>
      </c>
      <c r="AC164" s="130"/>
      <c r="AD164" s="130"/>
      <c r="AE164" s="110">
        <v>3</v>
      </c>
      <c r="AF164" s="131">
        <f t="shared" si="36"/>
        <v>291.5</v>
      </c>
      <c r="AG164" s="130"/>
      <c r="AH164" s="130"/>
      <c r="AI164" s="130"/>
      <c r="AJ164" s="130"/>
      <c r="AK164" s="131">
        <f t="shared" si="40"/>
        <v>1166</v>
      </c>
      <c r="AL164" s="335">
        <f t="shared" si="41"/>
        <v>0</v>
      </c>
      <c r="AM164" s="130">
        <f t="shared" si="42"/>
        <v>15</v>
      </c>
      <c r="AN164" s="336">
        <f t="shared" si="37"/>
        <v>0</v>
      </c>
    </row>
    <row r="165" spans="1:40" s="108" customFormat="1" ht="66" x14ac:dyDescent="0.25">
      <c r="A165" s="9"/>
      <c r="B165" s="34" t="s">
        <v>82</v>
      </c>
      <c r="C165" s="1024"/>
      <c r="D165" s="871">
        <v>5</v>
      </c>
      <c r="E165" s="1027" t="s">
        <v>1749</v>
      </c>
      <c r="F165" s="278" t="s">
        <v>3446</v>
      </c>
      <c r="G165" s="1040" t="s">
        <v>3463</v>
      </c>
      <c r="H165" s="273" t="s">
        <v>3462</v>
      </c>
      <c r="I165" s="722">
        <f t="shared" si="43"/>
        <v>1.19</v>
      </c>
      <c r="J165" s="756">
        <v>5.95</v>
      </c>
      <c r="K165" s="131">
        <f t="shared" si="35"/>
        <v>5.9499999999999993</v>
      </c>
      <c r="L165" s="335">
        <f t="shared" si="38"/>
        <v>0</v>
      </c>
      <c r="M165" s="335"/>
      <c r="N165" s="335"/>
      <c r="O165" s="335"/>
      <c r="P165" s="335"/>
      <c r="Q165" s="110">
        <v>2</v>
      </c>
      <c r="R165" s="131">
        <f t="shared" si="33"/>
        <v>1.4875</v>
      </c>
      <c r="S165" s="130"/>
      <c r="T165" s="130"/>
      <c r="U165" s="110">
        <v>1</v>
      </c>
      <c r="V165" s="131">
        <f t="shared" si="34"/>
        <v>1.4875</v>
      </c>
      <c r="W165" s="130"/>
      <c r="X165" s="130"/>
      <c r="Y165" s="130"/>
      <c r="Z165" s="130"/>
      <c r="AA165" s="110">
        <v>1</v>
      </c>
      <c r="AB165" s="131">
        <f t="shared" si="39"/>
        <v>1.4875</v>
      </c>
      <c r="AC165" s="130"/>
      <c r="AD165" s="130"/>
      <c r="AE165" s="110">
        <v>1</v>
      </c>
      <c r="AF165" s="131">
        <f t="shared" si="36"/>
        <v>1.4875</v>
      </c>
      <c r="AG165" s="130"/>
      <c r="AH165" s="130"/>
      <c r="AI165" s="130"/>
      <c r="AJ165" s="130"/>
      <c r="AK165" s="131">
        <f t="shared" si="40"/>
        <v>5.95</v>
      </c>
      <c r="AL165" s="335">
        <f t="shared" si="41"/>
        <v>0</v>
      </c>
      <c r="AM165" s="130">
        <f t="shared" si="42"/>
        <v>5</v>
      </c>
      <c r="AN165" s="336">
        <f t="shared" si="37"/>
        <v>0</v>
      </c>
    </row>
    <row r="166" spans="1:40" s="108" customFormat="1" ht="66" x14ac:dyDescent="0.25">
      <c r="A166" s="9"/>
      <c r="B166" s="34" t="s">
        <v>52</v>
      </c>
      <c r="C166" s="1024"/>
      <c r="D166" s="871">
        <v>1</v>
      </c>
      <c r="E166" s="1027" t="s">
        <v>1749</v>
      </c>
      <c r="F166" s="278" t="s">
        <v>3446</v>
      </c>
      <c r="G166" s="1040" t="s">
        <v>3463</v>
      </c>
      <c r="H166" s="273" t="s">
        <v>3462</v>
      </c>
      <c r="I166" s="722">
        <f t="shared" si="43"/>
        <v>16.75</v>
      </c>
      <c r="J166" s="756">
        <v>16.75</v>
      </c>
      <c r="K166" s="131">
        <f t="shared" si="35"/>
        <v>16.75</v>
      </c>
      <c r="L166" s="335">
        <f t="shared" si="38"/>
        <v>0</v>
      </c>
      <c r="M166" s="335"/>
      <c r="N166" s="335"/>
      <c r="O166" s="335"/>
      <c r="P166" s="335"/>
      <c r="Q166" s="130">
        <v>1</v>
      </c>
      <c r="R166" s="131">
        <f t="shared" si="33"/>
        <v>4.1875</v>
      </c>
      <c r="S166" s="130"/>
      <c r="T166" s="130"/>
      <c r="U166" s="110">
        <v>0</v>
      </c>
      <c r="V166" s="131">
        <f t="shared" si="34"/>
        <v>4.1875</v>
      </c>
      <c r="W166" s="130"/>
      <c r="X166" s="130"/>
      <c r="Y166" s="130"/>
      <c r="Z166" s="130"/>
      <c r="AA166" s="110">
        <v>0</v>
      </c>
      <c r="AB166" s="131">
        <f t="shared" si="39"/>
        <v>4.1875</v>
      </c>
      <c r="AC166" s="130"/>
      <c r="AD166" s="130"/>
      <c r="AE166" s="110">
        <v>0</v>
      </c>
      <c r="AF166" s="131">
        <f t="shared" si="36"/>
        <v>4.1875</v>
      </c>
      <c r="AG166" s="130"/>
      <c r="AH166" s="130"/>
      <c r="AI166" s="130"/>
      <c r="AJ166" s="130"/>
      <c r="AK166" s="131">
        <f t="shared" si="40"/>
        <v>16.75</v>
      </c>
      <c r="AL166" s="335">
        <f t="shared" si="41"/>
        <v>0</v>
      </c>
      <c r="AM166" s="130">
        <f t="shared" si="42"/>
        <v>1</v>
      </c>
      <c r="AN166" s="336">
        <f t="shared" si="37"/>
        <v>0</v>
      </c>
    </row>
    <row r="167" spans="1:40" s="108" customFormat="1" ht="66" x14ac:dyDescent="0.25">
      <c r="A167" s="9"/>
      <c r="B167" s="34" t="s">
        <v>59</v>
      </c>
      <c r="C167" s="1024"/>
      <c r="D167" s="871">
        <v>2</v>
      </c>
      <c r="E167" s="1027" t="s">
        <v>1749</v>
      </c>
      <c r="F167" s="278" t="s">
        <v>3446</v>
      </c>
      <c r="G167" s="1040" t="s">
        <v>3463</v>
      </c>
      <c r="H167" s="273" t="s">
        <v>3462</v>
      </c>
      <c r="I167" s="722">
        <f t="shared" si="43"/>
        <v>29.7</v>
      </c>
      <c r="J167" s="756">
        <v>59.4</v>
      </c>
      <c r="K167" s="131">
        <f t="shared" si="35"/>
        <v>59.4</v>
      </c>
      <c r="L167" s="335">
        <f t="shared" si="38"/>
        <v>0</v>
      </c>
      <c r="M167" s="335"/>
      <c r="N167" s="335"/>
      <c r="O167" s="335"/>
      <c r="P167" s="335"/>
      <c r="Q167" s="130">
        <v>1</v>
      </c>
      <c r="R167" s="131">
        <f t="shared" si="33"/>
        <v>14.85</v>
      </c>
      <c r="S167" s="130"/>
      <c r="T167" s="130"/>
      <c r="U167" s="130">
        <v>1</v>
      </c>
      <c r="V167" s="131">
        <f t="shared" si="34"/>
        <v>14.85</v>
      </c>
      <c r="W167" s="130"/>
      <c r="X167" s="130"/>
      <c r="Y167" s="130"/>
      <c r="Z167" s="130"/>
      <c r="AA167" s="130">
        <v>0</v>
      </c>
      <c r="AB167" s="131">
        <f t="shared" si="39"/>
        <v>14.85</v>
      </c>
      <c r="AC167" s="130"/>
      <c r="AD167" s="130"/>
      <c r="AE167" s="130">
        <v>0</v>
      </c>
      <c r="AF167" s="131">
        <f t="shared" si="36"/>
        <v>14.85</v>
      </c>
      <c r="AG167" s="130"/>
      <c r="AH167" s="130"/>
      <c r="AI167" s="130"/>
      <c r="AJ167" s="130"/>
      <c r="AK167" s="131">
        <f t="shared" si="40"/>
        <v>59.4</v>
      </c>
      <c r="AL167" s="335">
        <f t="shared" si="41"/>
        <v>0</v>
      </c>
      <c r="AM167" s="130">
        <f t="shared" si="42"/>
        <v>2</v>
      </c>
      <c r="AN167" s="336">
        <f t="shared" si="37"/>
        <v>0</v>
      </c>
    </row>
    <row r="168" spans="1:40" s="108" customFormat="1" ht="66" x14ac:dyDescent="0.25">
      <c r="A168" s="9"/>
      <c r="B168" s="34" t="s">
        <v>29</v>
      </c>
      <c r="C168" s="1024"/>
      <c r="D168" s="869">
        <v>2</v>
      </c>
      <c r="E168" s="1027" t="s">
        <v>1749</v>
      </c>
      <c r="F168" s="278" t="s">
        <v>3446</v>
      </c>
      <c r="G168" s="1040" t="s">
        <v>3463</v>
      </c>
      <c r="H168" s="273" t="s">
        <v>3462</v>
      </c>
      <c r="I168" s="722">
        <f t="shared" si="43"/>
        <v>77.28</v>
      </c>
      <c r="J168" s="756">
        <v>154.56</v>
      </c>
      <c r="K168" s="131">
        <f t="shared" si="35"/>
        <v>154.56</v>
      </c>
      <c r="L168" s="335">
        <f t="shared" si="38"/>
        <v>0</v>
      </c>
      <c r="M168" s="335"/>
      <c r="N168" s="335"/>
      <c r="O168" s="335"/>
      <c r="P168" s="335"/>
      <c r="Q168" s="130">
        <v>1</v>
      </c>
      <c r="R168" s="131">
        <f t="shared" si="33"/>
        <v>38.64</v>
      </c>
      <c r="S168" s="130"/>
      <c r="T168" s="130"/>
      <c r="U168" s="130">
        <v>1</v>
      </c>
      <c r="V168" s="131">
        <f t="shared" si="34"/>
        <v>38.64</v>
      </c>
      <c r="W168" s="130"/>
      <c r="X168" s="130"/>
      <c r="Y168" s="130"/>
      <c r="Z168" s="130"/>
      <c r="AA168" s="130">
        <v>0</v>
      </c>
      <c r="AB168" s="131">
        <f t="shared" si="39"/>
        <v>38.64</v>
      </c>
      <c r="AC168" s="130"/>
      <c r="AD168" s="130"/>
      <c r="AE168" s="130">
        <v>0</v>
      </c>
      <c r="AF168" s="131">
        <f t="shared" si="36"/>
        <v>38.64</v>
      </c>
      <c r="AG168" s="130"/>
      <c r="AH168" s="130"/>
      <c r="AI168" s="130"/>
      <c r="AJ168" s="130"/>
      <c r="AK168" s="131">
        <f t="shared" si="40"/>
        <v>154.56</v>
      </c>
      <c r="AL168" s="335">
        <f t="shared" si="41"/>
        <v>0</v>
      </c>
      <c r="AM168" s="130">
        <f t="shared" si="42"/>
        <v>2</v>
      </c>
      <c r="AN168" s="336">
        <f t="shared" si="37"/>
        <v>0</v>
      </c>
    </row>
    <row r="169" spans="1:40" s="108" customFormat="1" ht="66" x14ac:dyDescent="0.25">
      <c r="A169" s="9"/>
      <c r="B169" s="34" t="s">
        <v>1744</v>
      </c>
      <c r="C169" s="1024"/>
      <c r="D169" s="869">
        <v>25</v>
      </c>
      <c r="E169" s="1027" t="s">
        <v>1749</v>
      </c>
      <c r="F169" s="278" t="s">
        <v>3446</v>
      </c>
      <c r="G169" s="1040" t="s">
        <v>3463</v>
      </c>
      <c r="H169" s="273" t="s">
        <v>3462</v>
      </c>
      <c r="I169" s="722">
        <f t="shared" si="43"/>
        <v>15.68</v>
      </c>
      <c r="J169" s="756">
        <v>392</v>
      </c>
      <c r="K169" s="131">
        <f t="shared" si="35"/>
        <v>392</v>
      </c>
      <c r="L169" s="335">
        <f t="shared" si="38"/>
        <v>0</v>
      </c>
      <c r="M169" s="335"/>
      <c r="N169" s="335"/>
      <c r="O169" s="335"/>
      <c r="P169" s="335"/>
      <c r="Q169" s="110">
        <v>7</v>
      </c>
      <c r="R169" s="131">
        <f t="shared" si="33"/>
        <v>98</v>
      </c>
      <c r="S169" s="130"/>
      <c r="T169" s="130"/>
      <c r="U169" s="110">
        <v>6</v>
      </c>
      <c r="V169" s="131">
        <f t="shared" si="34"/>
        <v>98</v>
      </c>
      <c r="W169" s="130"/>
      <c r="X169" s="130"/>
      <c r="Y169" s="130"/>
      <c r="Z169" s="130"/>
      <c r="AA169" s="110">
        <v>6</v>
      </c>
      <c r="AB169" s="131">
        <f t="shared" si="39"/>
        <v>98</v>
      </c>
      <c r="AC169" s="130"/>
      <c r="AD169" s="130"/>
      <c r="AE169" s="110">
        <v>6</v>
      </c>
      <c r="AF169" s="131">
        <f t="shared" si="36"/>
        <v>98</v>
      </c>
      <c r="AG169" s="130"/>
      <c r="AH169" s="130"/>
      <c r="AI169" s="130"/>
      <c r="AJ169" s="130"/>
      <c r="AK169" s="131">
        <f t="shared" si="40"/>
        <v>392</v>
      </c>
      <c r="AL169" s="335">
        <f t="shared" si="41"/>
        <v>0</v>
      </c>
      <c r="AM169" s="130">
        <f t="shared" si="42"/>
        <v>25</v>
      </c>
      <c r="AN169" s="336">
        <f t="shared" si="37"/>
        <v>0</v>
      </c>
    </row>
    <row r="170" spans="1:40" s="108" customFormat="1" ht="66" x14ac:dyDescent="0.25">
      <c r="A170" s="9"/>
      <c r="B170" s="34" t="s">
        <v>21</v>
      </c>
      <c r="C170" s="1024"/>
      <c r="D170" s="869">
        <v>3</v>
      </c>
      <c r="E170" s="1027" t="s">
        <v>1748</v>
      </c>
      <c r="F170" s="278" t="s">
        <v>3446</v>
      </c>
      <c r="G170" s="1040" t="s">
        <v>3463</v>
      </c>
      <c r="H170" s="273" t="s">
        <v>3462</v>
      </c>
      <c r="I170" s="722">
        <f t="shared" si="43"/>
        <v>42.589999999999996</v>
      </c>
      <c r="J170" s="756">
        <v>127.77</v>
      </c>
      <c r="K170" s="131">
        <f t="shared" si="35"/>
        <v>127.76999999999998</v>
      </c>
      <c r="L170" s="335">
        <f t="shared" si="38"/>
        <v>0</v>
      </c>
      <c r="M170" s="335"/>
      <c r="N170" s="335"/>
      <c r="O170" s="335"/>
      <c r="P170" s="335"/>
      <c r="Q170" s="130">
        <v>1</v>
      </c>
      <c r="R170" s="131">
        <f t="shared" si="33"/>
        <v>31.942499999999999</v>
      </c>
      <c r="S170" s="130"/>
      <c r="T170" s="130"/>
      <c r="U170" s="130">
        <v>1</v>
      </c>
      <c r="V170" s="131">
        <f t="shared" si="34"/>
        <v>31.942499999999999</v>
      </c>
      <c r="W170" s="130"/>
      <c r="X170" s="130"/>
      <c r="Y170" s="130"/>
      <c r="Z170" s="130"/>
      <c r="AA170" s="130">
        <v>1</v>
      </c>
      <c r="AB170" s="131">
        <f t="shared" si="39"/>
        <v>31.942499999999999</v>
      </c>
      <c r="AC170" s="130"/>
      <c r="AD170" s="130"/>
      <c r="AE170" s="130">
        <v>0</v>
      </c>
      <c r="AF170" s="131">
        <f t="shared" si="36"/>
        <v>31.942499999999999</v>
      </c>
      <c r="AG170" s="130"/>
      <c r="AH170" s="130"/>
      <c r="AI170" s="130"/>
      <c r="AJ170" s="130"/>
      <c r="AK170" s="131">
        <f t="shared" si="40"/>
        <v>127.77</v>
      </c>
      <c r="AL170" s="335">
        <f t="shared" si="41"/>
        <v>0</v>
      </c>
      <c r="AM170" s="130">
        <f t="shared" si="42"/>
        <v>3</v>
      </c>
      <c r="AN170" s="336">
        <f t="shared" si="37"/>
        <v>0</v>
      </c>
    </row>
    <row r="171" spans="1:40" s="108" customFormat="1" ht="66" x14ac:dyDescent="0.25">
      <c r="A171" s="9"/>
      <c r="B171" s="34" t="s">
        <v>67</v>
      </c>
      <c r="C171" s="1024"/>
      <c r="D171" s="869">
        <v>3</v>
      </c>
      <c r="E171" s="1027" t="s">
        <v>1749</v>
      </c>
      <c r="F171" s="278" t="s">
        <v>3446</v>
      </c>
      <c r="G171" s="1040" t="s">
        <v>3463</v>
      </c>
      <c r="H171" s="273" t="s">
        <v>3462</v>
      </c>
      <c r="I171" s="722">
        <f t="shared" si="43"/>
        <v>16.63</v>
      </c>
      <c r="J171" s="756">
        <v>49.89</v>
      </c>
      <c r="K171" s="131">
        <f t="shared" si="35"/>
        <v>49.89</v>
      </c>
      <c r="L171" s="335">
        <f t="shared" si="38"/>
        <v>0</v>
      </c>
      <c r="M171" s="335"/>
      <c r="N171" s="335"/>
      <c r="O171" s="335"/>
      <c r="P171" s="335"/>
      <c r="Q171" s="130">
        <v>1</v>
      </c>
      <c r="R171" s="131">
        <f t="shared" si="33"/>
        <v>12.4725</v>
      </c>
      <c r="S171" s="130"/>
      <c r="T171" s="130"/>
      <c r="U171" s="130">
        <v>1</v>
      </c>
      <c r="V171" s="131">
        <f t="shared" si="34"/>
        <v>12.4725</v>
      </c>
      <c r="W171" s="130"/>
      <c r="X171" s="130"/>
      <c r="Y171" s="130"/>
      <c r="Z171" s="130"/>
      <c r="AA171" s="130">
        <v>1</v>
      </c>
      <c r="AB171" s="131">
        <f t="shared" si="39"/>
        <v>12.4725</v>
      </c>
      <c r="AC171" s="130"/>
      <c r="AD171" s="130"/>
      <c r="AE171" s="130">
        <v>0</v>
      </c>
      <c r="AF171" s="131">
        <f t="shared" si="36"/>
        <v>12.4725</v>
      </c>
      <c r="AG171" s="130"/>
      <c r="AH171" s="130"/>
      <c r="AI171" s="130"/>
      <c r="AJ171" s="130"/>
      <c r="AK171" s="131">
        <f t="shared" si="40"/>
        <v>49.89</v>
      </c>
      <c r="AL171" s="335">
        <f t="shared" si="41"/>
        <v>0</v>
      </c>
      <c r="AM171" s="130">
        <f t="shared" si="42"/>
        <v>3</v>
      </c>
      <c r="AN171" s="336">
        <f t="shared" si="37"/>
        <v>0</v>
      </c>
    </row>
    <row r="172" spans="1:40" s="108" customFormat="1" ht="66" x14ac:dyDescent="0.25">
      <c r="A172" s="9"/>
      <c r="B172" s="34" t="s">
        <v>68</v>
      </c>
      <c r="C172" s="1024"/>
      <c r="D172" s="869">
        <v>3</v>
      </c>
      <c r="E172" s="1027" t="s">
        <v>1749</v>
      </c>
      <c r="F172" s="278" t="s">
        <v>3446</v>
      </c>
      <c r="G172" s="1040" t="s">
        <v>3463</v>
      </c>
      <c r="H172" s="273" t="s">
        <v>3462</v>
      </c>
      <c r="I172" s="722">
        <f t="shared" si="43"/>
        <v>16.63</v>
      </c>
      <c r="J172" s="756">
        <v>49.89</v>
      </c>
      <c r="K172" s="131">
        <f t="shared" si="35"/>
        <v>49.89</v>
      </c>
      <c r="L172" s="335">
        <f t="shared" si="38"/>
        <v>0</v>
      </c>
      <c r="M172" s="335"/>
      <c r="N172" s="335"/>
      <c r="O172" s="335"/>
      <c r="P172" s="335"/>
      <c r="Q172" s="130">
        <v>1</v>
      </c>
      <c r="R172" s="131">
        <f t="shared" si="33"/>
        <v>12.4725</v>
      </c>
      <c r="S172" s="130"/>
      <c r="T172" s="130"/>
      <c r="U172" s="130">
        <v>1</v>
      </c>
      <c r="V172" s="131">
        <f t="shared" si="34"/>
        <v>12.4725</v>
      </c>
      <c r="W172" s="130"/>
      <c r="X172" s="130"/>
      <c r="Y172" s="130"/>
      <c r="Z172" s="130"/>
      <c r="AA172" s="130">
        <v>1</v>
      </c>
      <c r="AB172" s="131">
        <f t="shared" si="39"/>
        <v>12.4725</v>
      </c>
      <c r="AC172" s="130"/>
      <c r="AD172" s="130"/>
      <c r="AE172" s="130">
        <v>0</v>
      </c>
      <c r="AF172" s="131">
        <f t="shared" si="36"/>
        <v>12.4725</v>
      </c>
      <c r="AG172" s="130"/>
      <c r="AH172" s="130"/>
      <c r="AI172" s="130"/>
      <c r="AJ172" s="130"/>
      <c r="AK172" s="131">
        <f t="shared" si="40"/>
        <v>49.89</v>
      </c>
      <c r="AL172" s="335">
        <f t="shared" si="41"/>
        <v>0</v>
      </c>
      <c r="AM172" s="130">
        <f t="shared" si="42"/>
        <v>3</v>
      </c>
      <c r="AN172" s="336">
        <f t="shared" si="37"/>
        <v>0</v>
      </c>
    </row>
    <row r="173" spans="1:40" s="108" customFormat="1" ht="66" x14ac:dyDescent="0.25">
      <c r="A173" s="9"/>
      <c r="B173" s="34" t="s">
        <v>69</v>
      </c>
      <c r="C173" s="1024"/>
      <c r="D173" s="869">
        <v>3</v>
      </c>
      <c r="E173" s="1027" t="s">
        <v>1749</v>
      </c>
      <c r="F173" s="278" t="s">
        <v>3446</v>
      </c>
      <c r="G173" s="1040" t="s">
        <v>3463</v>
      </c>
      <c r="H173" s="273" t="s">
        <v>3462</v>
      </c>
      <c r="I173" s="722">
        <f t="shared" si="43"/>
        <v>16.63</v>
      </c>
      <c r="J173" s="756">
        <v>49.89</v>
      </c>
      <c r="K173" s="131">
        <f t="shared" si="35"/>
        <v>49.89</v>
      </c>
      <c r="L173" s="335">
        <f t="shared" si="38"/>
        <v>0</v>
      </c>
      <c r="M173" s="335"/>
      <c r="N173" s="335"/>
      <c r="O173" s="335"/>
      <c r="P173" s="335"/>
      <c r="Q173" s="130">
        <v>1</v>
      </c>
      <c r="R173" s="131">
        <f t="shared" si="33"/>
        <v>12.4725</v>
      </c>
      <c r="S173" s="130"/>
      <c r="T173" s="130"/>
      <c r="U173" s="130">
        <v>1</v>
      </c>
      <c r="V173" s="131">
        <f t="shared" si="34"/>
        <v>12.4725</v>
      </c>
      <c r="W173" s="130"/>
      <c r="X173" s="130"/>
      <c r="Y173" s="130"/>
      <c r="Z173" s="130"/>
      <c r="AA173" s="130">
        <v>1</v>
      </c>
      <c r="AB173" s="131">
        <f t="shared" si="39"/>
        <v>12.4725</v>
      </c>
      <c r="AC173" s="130"/>
      <c r="AD173" s="130"/>
      <c r="AE173" s="130">
        <v>0</v>
      </c>
      <c r="AF173" s="131">
        <f t="shared" si="36"/>
        <v>12.4725</v>
      </c>
      <c r="AG173" s="130"/>
      <c r="AH173" s="130"/>
      <c r="AI173" s="130"/>
      <c r="AJ173" s="130"/>
      <c r="AK173" s="131">
        <f t="shared" si="40"/>
        <v>49.89</v>
      </c>
      <c r="AL173" s="335">
        <f t="shared" si="41"/>
        <v>0</v>
      </c>
      <c r="AM173" s="130">
        <f t="shared" si="42"/>
        <v>3</v>
      </c>
      <c r="AN173" s="336">
        <f t="shared" si="37"/>
        <v>0</v>
      </c>
    </row>
    <row r="174" spans="1:40" s="108" customFormat="1" ht="66" x14ac:dyDescent="0.25">
      <c r="A174" s="9"/>
      <c r="B174" s="34" t="s">
        <v>65</v>
      </c>
      <c r="C174" s="1024"/>
      <c r="D174" s="869">
        <v>1</v>
      </c>
      <c r="E174" s="1027" t="s">
        <v>1749</v>
      </c>
      <c r="F174" s="278" t="s">
        <v>3446</v>
      </c>
      <c r="G174" s="1040" t="s">
        <v>3463</v>
      </c>
      <c r="H174" s="273" t="s">
        <v>3462</v>
      </c>
      <c r="I174" s="722">
        <f t="shared" si="43"/>
        <v>59.4</v>
      </c>
      <c r="J174" s="756">
        <v>59.4</v>
      </c>
      <c r="K174" s="131">
        <f t="shared" si="35"/>
        <v>59.4</v>
      </c>
      <c r="L174" s="335">
        <f t="shared" si="38"/>
        <v>0</v>
      </c>
      <c r="M174" s="335"/>
      <c r="N174" s="335"/>
      <c r="O174" s="335"/>
      <c r="P174" s="335"/>
      <c r="Q174" s="130">
        <v>1</v>
      </c>
      <c r="R174" s="131">
        <f t="shared" si="33"/>
        <v>14.85</v>
      </c>
      <c r="S174" s="130"/>
      <c r="T174" s="130"/>
      <c r="U174" s="110">
        <v>0</v>
      </c>
      <c r="V174" s="131">
        <f t="shared" si="34"/>
        <v>14.85</v>
      </c>
      <c r="W174" s="130"/>
      <c r="X174" s="130"/>
      <c r="Y174" s="130"/>
      <c r="Z174" s="130"/>
      <c r="AA174" s="110">
        <v>0</v>
      </c>
      <c r="AB174" s="131">
        <f t="shared" si="39"/>
        <v>14.85</v>
      </c>
      <c r="AC174" s="130"/>
      <c r="AD174" s="130"/>
      <c r="AE174" s="110">
        <v>0</v>
      </c>
      <c r="AF174" s="131">
        <f t="shared" si="36"/>
        <v>14.85</v>
      </c>
      <c r="AG174" s="130"/>
      <c r="AH174" s="130"/>
      <c r="AI174" s="130"/>
      <c r="AJ174" s="130"/>
      <c r="AK174" s="131">
        <f t="shared" si="40"/>
        <v>59.4</v>
      </c>
      <c r="AL174" s="335">
        <f t="shared" si="41"/>
        <v>0</v>
      </c>
      <c r="AM174" s="130">
        <f t="shared" si="42"/>
        <v>1</v>
      </c>
      <c r="AN174" s="336">
        <f t="shared" si="37"/>
        <v>0</v>
      </c>
    </row>
    <row r="175" spans="1:40" s="108" customFormat="1" ht="66" x14ac:dyDescent="0.25">
      <c r="A175" s="9"/>
      <c r="B175" s="34" t="s">
        <v>117</v>
      </c>
      <c r="C175" s="1024"/>
      <c r="D175" s="869">
        <v>1</v>
      </c>
      <c r="E175" s="1027" t="s">
        <v>1725</v>
      </c>
      <c r="F175" s="278" t="s">
        <v>3446</v>
      </c>
      <c r="G175" s="1040" t="s">
        <v>3463</v>
      </c>
      <c r="H175" s="273" t="s">
        <v>3462</v>
      </c>
      <c r="I175" s="722">
        <f t="shared" si="43"/>
        <v>118.8</v>
      </c>
      <c r="J175" s="756">
        <v>118.8</v>
      </c>
      <c r="K175" s="131">
        <f t="shared" si="35"/>
        <v>118.8</v>
      </c>
      <c r="L175" s="335">
        <f t="shared" si="38"/>
        <v>0</v>
      </c>
      <c r="M175" s="335"/>
      <c r="N175" s="335"/>
      <c r="O175" s="335"/>
      <c r="P175" s="335"/>
      <c r="Q175" s="130">
        <v>1</v>
      </c>
      <c r="R175" s="131">
        <f t="shared" si="33"/>
        <v>29.7</v>
      </c>
      <c r="S175" s="130"/>
      <c r="T175" s="130"/>
      <c r="U175" s="110">
        <v>0</v>
      </c>
      <c r="V175" s="131">
        <f t="shared" si="34"/>
        <v>29.7</v>
      </c>
      <c r="W175" s="130"/>
      <c r="X175" s="130"/>
      <c r="Y175" s="130"/>
      <c r="Z175" s="130"/>
      <c r="AA175" s="110">
        <v>0</v>
      </c>
      <c r="AB175" s="131">
        <f t="shared" si="39"/>
        <v>29.7</v>
      </c>
      <c r="AC175" s="130"/>
      <c r="AD175" s="130"/>
      <c r="AE175" s="110">
        <v>0</v>
      </c>
      <c r="AF175" s="131">
        <f t="shared" si="36"/>
        <v>29.7</v>
      </c>
      <c r="AG175" s="130"/>
      <c r="AH175" s="130"/>
      <c r="AI175" s="130"/>
      <c r="AJ175" s="130"/>
      <c r="AK175" s="131">
        <f t="shared" si="40"/>
        <v>118.8</v>
      </c>
      <c r="AL175" s="335">
        <f t="shared" si="41"/>
        <v>0</v>
      </c>
      <c r="AM175" s="130">
        <f t="shared" si="42"/>
        <v>1</v>
      </c>
      <c r="AN175" s="336">
        <f t="shared" si="37"/>
        <v>0</v>
      </c>
    </row>
    <row r="176" spans="1:40" s="108" customFormat="1" ht="66" x14ac:dyDescent="0.25">
      <c r="A176" s="9"/>
      <c r="B176" s="34" t="s">
        <v>1745</v>
      </c>
      <c r="C176" s="1024"/>
      <c r="D176" s="869">
        <v>2</v>
      </c>
      <c r="E176" s="1027" t="s">
        <v>1749</v>
      </c>
      <c r="F176" s="278" t="s">
        <v>3446</v>
      </c>
      <c r="G176" s="1040" t="s">
        <v>3463</v>
      </c>
      <c r="H176" s="273" t="s">
        <v>3462</v>
      </c>
      <c r="I176" s="722">
        <f t="shared" si="43"/>
        <v>59.4</v>
      </c>
      <c r="J176" s="756">
        <v>118.8</v>
      </c>
      <c r="K176" s="131">
        <f t="shared" si="35"/>
        <v>118.8</v>
      </c>
      <c r="L176" s="335">
        <f t="shared" si="38"/>
        <v>0</v>
      </c>
      <c r="M176" s="335"/>
      <c r="N176" s="335"/>
      <c r="O176" s="335"/>
      <c r="P176" s="335"/>
      <c r="Q176" s="130">
        <v>1</v>
      </c>
      <c r="R176" s="131">
        <f t="shared" si="33"/>
        <v>29.7</v>
      </c>
      <c r="S176" s="130"/>
      <c r="T176" s="130"/>
      <c r="U176" s="130">
        <v>1</v>
      </c>
      <c r="V176" s="131">
        <f t="shared" si="34"/>
        <v>29.7</v>
      </c>
      <c r="W176" s="130"/>
      <c r="X176" s="130"/>
      <c r="Y176" s="130"/>
      <c r="Z176" s="130"/>
      <c r="AA176" s="130">
        <v>0</v>
      </c>
      <c r="AB176" s="131">
        <f t="shared" si="39"/>
        <v>29.7</v>
      </c>
      <c r="AC176" s="130"/>
      <c r="AD176" s="130"/>
      <c r="AE176" s="130">
        <v>0</v>
      </c>
      <c r="AF176" s="131">
        <f t="shared" si="36"/>
        <v>29.7</v>
      </c>
      <c r="AG176" s="130"/>
      <c r="AH176" s="130"/>
      <c r="AI176" s="130"/>
      <c r="AJ176" s="130"/>
      <c r="AK176" s="131">
        <f t="shared" si="40"/>
        <v>118.8</v>
      </c>
      <c r="AL176" s="335">
        <f t="shared" si="41"/>
        <v>0</v>
      </c>
      <c r="AM176" s="130">
        <f t="shared" si="42"/>
        <v>2</v>
      </c>
      <c r="AN176" s="336">
        <f t="shared" si="37"/>
        <v>0</v>
      </c>
    </row>
    <row r="177" spans="1:42" s="108" customFormat="1" ht="66" x14ac:dyDescent="0.25">
      <c r="A177" s="9"/>
      <c r="B177" s="34" t="s">
        <v>1746</v>
      </c>
      <c r="C177" s="1024"/>
      <c r="D177" s="869">
        <v>2</v>
      </c>
      <c r="E177" s="1027" t="s">
        <v>1749</v>
      </c>
      <c r="F177" s="278" t="s">
        <v>3446</v>
      </c>
      <c r="G177" s="1040" t="s">
        <v>3463</v>
      </c>
      <c r="H177" s="273" t="s">
        <v>3462</v>
      </c>
      <c r="I177" s="722">
        <f t="shared" si="43"/>
        <v>59.4</v>
      </c>
      <c r="J177" s="756">
        <v>118.8</v>
      </c>
      <c r="K177" s="131">
        <f t="shared" si="35"/>
        <v>118.8</v>
      </c>
      <c r="L177" s="335">
        <f t="shared" si="38"/>
        <v>0</v>
      </c>
      <c r="M177" s="335"/>
      <c r="N177" s="335"/>
      <c r="O177" s="335"/>
      <c r="P177" s="335"/>
      <c r="Q177" s="130">
        <v>1</v>
      </c>
      <c r="R177" s="131">
        <f t="shared" si="33"/>
        <v>29.7</v>
      </c>
      <c r="S177" s="130"/>
      <c r="T177" s="130"/>
      <c r="U177" s="130">
        <v>1</v>
      </c>
      <c r="V177" s="131">
        <f t="shared" si="34"/>
        <v>29.7</v>
      </c>
      <c r="W177" s="130"/>
      <c r="X177" s="130"/>
      <c r="Y177" s="130"/>
      <c r="Z177" s="130"/>
      <c r="AA177" s="130">
        <v>0</v>
      </c>
      <c r="AB177" s="131">
        <f t="shared" si="39"/>
        <v>29.7</v>
      </c>
      <c r="AC177" s="130"/>
      <c r="AD177" s="130"/>
      <c r="AE177" s="130">
        <v>0</v>
      </c>
      <c r="AF177" s="131">
        <f t="shared" si="36"/>
        <v>29.7</v>
      </c>
      <c r="AG177" s="130"/>
      <c r="AH177" s="130"/>
      <c r="AI177" s="130"/>
      <c r="AJ177" s="130"/>
      <c r="AK177" s="131">
        <f t="shared" si="40"/>
        <v>118.8</v>
      </c>
      <c r="AL177" s="335">
        <f t="shared" si="41"/>
        <v>0</v>
      </c>
      <c r="AM177" s="130">
        <f t="shared" si="42"/>
        <v>2</v>
      </c>
      <c r="AN177" s="336">
        <f t="shared" si="37"/>
        <v>0</v>
      </c>
    </row>
    <row r="178" spans="1:42" ht="66" x14ac:dyDescent="0.25">
      <c r="A178" s="9"/>
      <c r="B178" s="37" t="s">
        <v>15</v>
      </c>
      <c r="C178" s="1024"/>
      <c r="D178" s="869">
        <v>3</v>
      </c>
      <c r="E178" s="1025" t="s">
        <v>1749</v>
      </c>
      <c r="F178" s="273" t="s">
        <v>3446</v>
      </c>
      <c r="G178" s="1040" t="s">
        <v>3463</v>
      </c>
      <c r="H178" s="273" t="s">
        <v>3462</v>
      </c>
      <c r="I178" s="720">
        <f t="shared" si="43"/>
        <v>190.08</v>
      </c>
      <c r="J178" s="756">
        <v>570.24</v>
      </c>
      <c r="K178" s="131">
        <f t="shared" si="35"/>
        <v>570.24</v>
      </c>
      <c r="L178" s="335">
        <f t="shared" si="38"/>
        <v>0</v>
      </c>
      <c r="M178" s="446"/>
      <c r="N178" s="446"/>
      <c r="O178" s="446"/>
      <c r="P178" s="446"/>
      <c r="Q178" s="130">
        <v>1</v>
      </c>
      <c r="R178" s="111">
        <f t="shared" si="33"/>
        <v>142.56</v>
      </c>
      <c r="S178" s="110"/>
      <c r="T178" s="110"/>
      <c r="U178" s="130">
        <v>1</v>
      </c>
      <c r="V178" s="111">
        <f t="shared" si="34"/>
        <v>142.56</v>
      </c>
      <c r="W178" s="110"/>
      <c r="X178" s="110"/>
      <c r="Y178" s="110"/>
      <c r="Z178" s="110"/>
      <c r="AA178" s="130">
        <v>1</v>
      </c>
      <c r="AB178" s="111">
        <f t="shared" si="39"/>
        <v>142.56</v>
      </c>
      <c r="AC178" s="110"/>
      <c r="AD178" s="110"/>
      <c r="AE178" s="130">
        <v>0</v>
      </c>
      <c r="AF178" s="111">
        <f t="shared" si="36"/>
        <v>142.56</v>
      </c>
      <c r="AG178" s="110"/>
      <c r="AH178" s="110"/>
      <c r="AI178" s="110"/>
      <c r="AJ178" s="110"/>
      <c r="AK178" s="111">
        <f t="shared" si="40"/>
        <v>570.24</v>
      </c>
      <c r="AL178" s="446">
        <f t="shared" si="41"/>
        <v>0</v>
      </c>
      <c r="AM178" s="110">
        <f t="shared" si="42"/>
        <v>3</v>
      </c>
      <c r="AN178" s="447">
        <f t="shared" si="37"/>
        <v>0</v>
      </c>
      <c r="AO178"/>
      <c r="AP178"/>
    </row>
    <row r="179" spans="1:42" ht="66" x14ac:dyDescent="0.25">
      <c r="A179" s="9"/>
      <c r="B179" s="475" t="s">
        <v>20</v>
      </c>
      <c r="C179" s="1024"/>
      <c r="D179" s="872">
        <v>6</v>
      </c>
      <c r="E179" s="265" t="s">
        <v>1766</v>
      </c>
      <c r="F179" s="273" t="s">
        <v>3446</v>
      </c>
      <c r="G179" s="1040" t="s">
        <v>3463</v>
      </c>
      <c r="H179" s="273" t="s">
        <v>3462</v>
      </c>
      <c r="I179" s="720">
        <f t="shared" si="43"/>
        <v>26.459999999999997</v>
      </c>
      <c r="J179" s="756">
        <v>158.76</v>
      </c>
      <c r="K179" s="131">
        <f t="shared" si="35"/>
        <v>158.76</v>
      </c>
      <c r="L179" s="335">
        <f t="shared" si="38"/>
        <v>0</v>
      </c>
      <c r="M179" s="446"/>
      <c r="N179" s="446"/>
      <c r="O179" s="446"/>
      <c r="P179" s="446"/>
      <c r="Q179" s="130">
        <v>2</v>
      </c>
      <c r="R179" s="111">
        <f t="shared" si="33"/>
        <v>39.69</v>
      </c>
      <c r="S179" s="110"/>
      <c r="T179" s="110"/>
      <c r="U179" s="130">
        <v>2</v>
      </c>
      <c r="V179" s="111">
        <f t="shared" si="34"/>
        <v>39.69</v>
      </c>
      <c r="W179" s="110"/>
      <c r="X179" s="110"/>
      <c r="Y179" s="110"/>
      <c r="Z179" s="110"/>
      <c r="AA179" s="130">
        <v>1</v>
      </c>
      <c r="AB179" s="111">
        <f t="shared" si="39"/>
        <v>39.69</v>
      </c>
      <c r="AC179" s="110"/>
      <c r="AD179" s="110"/>
      <c r="AE179" s="130">
        <v>1</v>
      </c>
      <c r="AF179" s="111">
        <f t="shared" si="36"/>
        <v>39.69</v>
      </c>
      <c r="AG179" s="110"/>
      <c r="AH179" s="110"/>
      <c r="AI179" s="110"/>
      <c r="AJ179" s="110"/>
      <c r="AK179" s="111">
        <f t="shared" si="40"/>
        <v>158.76</v>
      </c>
      <c r="AL179" s="446">
        <f t="shared" si="41"/>
        <v>0</v>
      </c>
      <c r="AM179" s="110">
        <f t="shared" si="42"/>
        <v>6</v>
      </c>
      <c r="AN179" s="447">
        <f t="shared" si="37"/>
        <v>0</v>
      </c>
      <c r="AO179"/>
      <c r="AP179"/>
    </row>
    <row r="180" spans="1:42" ht="66" x14ac:dyDescent="0.25">
      <c r="A180" s="9"/>
      <c r="B180" s="37" t="s">
        <v>21</v>
      </c>
      <c r="C180" s="1024"/>
      <c r="D180" s="869">
        <v>1</v>
      </c>
      <c r="E180" s="1027" t="s">
        <v>1766</v>
      </c>
      <c r="F180" s="273" t="s">
        <v>3446</v>
      </c>
      <c r="G180" s="1040" t="s">
        <v>3463</v>
      </c>
      <c r="H180" s="273" t="s">
        <v>3462</v>
      </c>
      <c r="I180" s="720">
        <f t="shared" si="43"/>
        <v>26.46</v>
      </c>
      <c r="J180" s="756">
        <v>26.46</v>
      </c>
      <c r="K180" s="131">
        <f t="shared" si="35"/>
        <v>26.46</v>
      </c>
      <c r="L180" s="335">
        <f t="shared" si="38"/>
        <v>0</v>
      </c>
      <c r="M180" s="446"/>
      <c r="N180" s="446"/>
      <c r="O180" s="446"/>
      <c r="P180" s="446"/>
      <c r="Q180" s="110">
        <v>1</v>
      </c>
      <c r="R180" s="111">
        <f t="shared" si="33"/>
        <v>6.6150000000000002</v>
      </c>
      <c r="S180" s="110"/>
      <c r="T180" s="110"/>
      <c r="U180" s="110">
        <v>0</v>
      </c>
      <c r="V180" s="111">
        <f t="shared" si="34"/>
        <v>6.6150000000000002</v>
      </c>
      <c r="W180" s="110"/>
      <c r="X180" s="110"/>
      <c r="Y180" s="110"/>
      <c r="Z180" s="110"/>
      <c r="AA180" s="110">
        <v>0</v>
      </c>
      <c r="AB180" s="111">
        <f t="shared" si="39"/>
        <v>6.6150000000000002</v>
      </c>
      <c r="AC180" s="110"/>
      <c r="AD180" s="110"/>
      <c r="AE180" s="110">
        <v>0</v>
      </c>
      <c r="AF180" s="111">
        <f t="shared" si="36"/>
        <v>6.6150000000000002</v>
      </c>
      <c r="AG180" s="110"/>
      <c r="AH180" s="110"/>
      <c r="AI180" s="110"/>
      <c r="AJ180" s="110"/>
      <c r="AK180" s="111">
        <f t="shared" si="40"/>
        <v>26.46</v>
      </c>
      <c r="AL180" s="446">
        <f t="shared" si="41"/>
        <v>0</v>
      </c>
      <c r="AM180" s="110">
        <f t="shared" si="42"/>
        <v>1</v>
      </c>
      <c r="AN180" s="447">
        <f t="shared" si="37"/>
        <v>0</v>
      </c>
      <c r="AO180"/>
      <c r="AP180"/>
    </row>
    <row r="181" spans="1:42" ht="66" x14ac:dyDescent="0.25">
      <c r="A181" s="9"/>
      <c r="B181" s="37" t="s">
        <v>25</v>
      </c>
      <c r="C181" s="1024"/>
      <c r="D181" s="869">
        <v>5</v>
      </c>
      <c r="E181" s="1027" t="s">
        <v>1766</v>
      </c>
      <c r="F181" s="273" t="s">
        <v>3446</v>
      </c>
      <c r="G181" s="1040" t="s">
        <v>3463</v>
      </c>
      <c r="H181" s="273" t="s">
        <v>3462</v>
      </c>
      <c r="I181" s="720">
        <f t="shared" si="43"/>
        <v>34.729999999999997</v>
      </c>
      <c r="J181" s="756">
        <v>173.64999999999998</v>
      </c>
      <c r="K181" s="131">
        <f t="shared" si="35"/>
        <v>173.64999999999998</v>
      </c>
      <c r="L181" s="335">
        <f t="shared" si="38"/>
        <v>0</v>
      </c>
      <c r="M181" s="446"/>
      <c r="N181" s="446"/>
      <c r="O181" s="446"/>
      <c r="P181" s="446"/>
      <c r="Q181" s="110">
        <v>2</v>
      </c>
      <c r="R181" s="111">
        <f t="shared" si="33"/>
        <v>43.412499999999994</v>
      </c>
      <c r="S181" s="110"/>
      <c r="T181" s="110"/>
      <c r="U181" s="110">
        <v>1</v>
      </c>
      <c r="V181" s="111">
        <f t="shared" si="34"/>
        <v>43.412499999999994</v>
      </c>
      <c r="W181" s="110"/>
      <c r="X181" s="110"/>
      <c r="Y181" s="110"/>
      <c r="Z181" s="110"/>
      <c r="AA181" s="110">
        <v>1</v>
      </c>
      <c r="AB181" s="111">
        <f t="shared" si="39"/>
        <v>43.412499999999994</v>
      </c>
      <c r="AC181" s="110"/>
      <c r="AD181" s="110"/>
      <c r="AE181" s="110">
        <v>1</v>
      </c>
      <c r="AF181" s="111">
        <f t="shared" si="36"/>
        <v>43.412499999999994</v>
      </c>
      <c r="AG181" s="110"/>
      <c r="AH181" s="110"/>
      <c r="AI181" s="110"/>
      <c r="AJ181" s="110"/>
      <c r="AK181" s="111">
        <f t="shared" si="40"/>
        <v>173.64999999999998</v>
      </c>
      <c r="AL181" s="446">
        <f t="shared" si="41"/>
        <v>0</v>
      </c>
      <c r="AM181" s="110">
        <f t="shared" si="42"/>
        <v>5</v>
      </c>
      <c r="AN181" s="447">
        <f t="shared" si="37"/>
        <v>0</v>
      </c>
      <c r="AO181"/>
      <c r="AP181"/>
    </row>
    <row r="182" spans="1:42" ht="66" x14ac:dyDescent="0.25">
      <c r="A182" s="9"/>
      <c r="B182" s="37" t="s">
        <v>31</v>
      </c>
      <c r="C182" s="1024"/>
      <c r="D182" s="869">
        <v>6</v>
      </c>
      <c r="E182" s="1027" t="s">
        <v>1767</v>
      </c>
      <c r="F182" s="273" t="s">
        <v>3446</v>
      </c>
      <c r="G182" s="1040" t="s">
        <v>3463</v>
      </c>
      <c r="H182" s="273" t="s">
        <v>3462</v>
      </c>
      <c r="I182" s="720">
        <f t="shared" si="43"/>
        <v>24.399999999999995</v>
      </c>
      <c r="J182" s="756">
        <v>146.39999999999998</v>
      </c>
      <c r="K182" s="131">
        <f t="shared" si="35"/>
        <v>146.39999999999998</v>
      </c>
      <c r="L182" s="335">
        <f t="shared" si="38"/>
        <v>0</v>
      </c>
      <c r="M182" s="446"/>
      <c r="N182" s="446"/>
      <c r="O182" s="446"/>
      <c r="P182" s="446"/>
      <c r="Q182" s="130">
        <v>2</v>
      </c>
      <c r="R182" s="111">
        <f t="shared" si="33"/>
        <v>36.599999999999994</v>
      </c>
      <c r="S182" s="110"/>
      <c r="T182" s="110"/>
      <c r="U182" s="130">
        <v>2</v>
      </c>
      <c r="V182" s="111">
        <f t="shared" si="34"/>
        <v>36.599999999999994</v>
      </c>
      <c r="W182" s="110"/>
      <c r="X182" s="110"/>
      <c r="Y182" s="110"/>
      <c r="Z182" s="110"/>
      <c r="AA182" s="130">
        <v>1</v>
      </c>
      <c r="AB182" s="111">
        <f t="shared" si="39"/>
        <v>36.599999999999994</v>
      </c>
      <c r="AC182" s="110"/>
      <c r="AD182" s="110"/>
      <c r="AE182" s="130">
        <v>1</v>
      </c>
      <c r="AF182" s="111">
        <f t="shared" si="36"/>
        <v>36.599999999999994</v>
      </c>
      <c r="AG182" s="110"/>
      <c r="AH182" s="110"/>
      <c r="AI182" s="110"/>
      <c r="AJ182" s="110"/>
      <c r="AK182" s="111">
        <f t="shared" si="40"/>
        <v>146.39999999999998</v>
      </c>
      <c r="AL182" s="446">
        <f t="shared" si="41"/>
        <v>0</v>
      </c>
      <c r="AM182" s="110">
        <f t="shared" si="42"/>
        <v>6</v>
      </c>
      <c r="AN182" s="447">
        <f t="shared" si="37"/>
        <v>0</v>
      </c>
      <c r="AO182"/>
      <c r="AP182"/>
    </row>
    <row r="183" spans="1:42" ht="66" x14ac:dyDescent="0.25">
      <c r="A183" s="9"/>
      <c r="B183" s="37" t="s">
        <v>35</v>
      </c>
      <c r="C183" s="1024"/>
      <c r="D183" s="869">
        <v>3</v>
      </c>
      <c r="E183" s="1027" t="s">
        <v>1767</v>
      </c>
      <c r="F183" s="273" t="s">
        <v>3446</v>
      </c>
      <c r="G183" s="1040" t="s">
        <v>3463</v>
      </c>
      <c r="H183" s="273" t="s">
        <v>3462</v>
      </c>
      <c r="I183" s="720">
        <f t="shared" si="43"/>
        <v>12.92</v>
      </c>
      <c r="J183" s="756">
        <v>38.76</v>
      </c>
      <c r="K183" s="131">
        <f t="shared" si="35"/>
        <v>38.76</v>
      </c>
      <c r="L183" s="335">
        <f t="shared" si="38"/>
        <v>0</v>
      </c>
      <c r="M183" s="446"/>
      <c r="N183" s="446"/>
      <c r="O183" s="446"/>
      <c r="P183" s="446"/>
      <c r="Q183" s="130">
        <v>1</v>
      </c>
      <c r="R183" s="111">
        <f t="shared" si="33"/>
        <v>9.69</v>
      </c>
      <c r="S183" s="110"/>
      <c r="T183" s="110"/>
      <c r="U183" s="130">
        <v>1</v>
      </c>
      <c r="V183" s="111">
        <f t="shared" si="34"/>
        <v>9.69</v>
      </c>
      <c r="W183" s="110"/>
      <c r="X183" s="110"/>
      <c r="Y183" s="110"/>
      <c r="Z183" s="110"/>
      <c r="AA183" s="130">
        <v>1</v>
      </c>
      <c r="AB183" s="111">
        <f t="shared" si="39"/>
        <v>9.69</v>
      </c>
      <c r="AC183" s="110"/>
      <c r="AD183" s="110"/>
      <c r="AE183" s="130">
        <v>0</v>
      </c>
      <c r="AF183" s="111">
        <f t="shared" si="36"/>
        <v>9.69</v>
      </c>
      <c r="AG183" s="110"/>
      <c r="AH183" s="110"/>
      <c r="AI183" s="110"/>
      <c r="AJ183" s="110"/>
      <c r="AK183" s="111">
        <f t="shared" si="40"/>
        <v>38.76</v>
      </c>
      <c r="AL183" s="446">
        <f t="shared" si="41"/>
        <v>0</v>
      </c>
      <c r="AM183" s="110">
        <f t="shared" si="42"/>
        <v>3</v>
      </c>
      <c r="AN183" s="447">
        <f t="shared" si="37"/>
        <v>0</v>
      </c>
      <c r="AO183"/>
      <c r="AP183"/>
    </row>
    <row r="184" spans="1:42" ht="66" x14ac:dyDescent="0.25">
      <c r="A184" s="9"/>
      <c r="B184" s="37" t="s">
        <v>1714</v>
      </c>
      <c r="C184" s="1024"/>
      <c r="D184" s="869">
        <v>3</v>
      </c>
      <c r="E184" s="1027" t="s">
        <v>1766</v>
      </c>
      <c r="F184" s="273" t="s">
        <v>3446</v>
      </c>
      <c r="G184" s="1040" t="s">
        <v>3463</v>
      </c>
      <c r="H184" s="273" t="s">
        <v>3462</v>
      </c>
      <c r="I184" s="720">
        <f t="shared" si="43"/>
        <v>12.18</v>
      </c>
      <c r="J184" s="756">
        <v>36.54</v>
      </c>
      <c r="K184" s="131">
        <f t="shared" si="35"/>
        <v>36.54</v>
      </c>
      <c r="L184" s="335">
        <f t="shared" si="38"/>
        <v>0</v>
      </c>
      <c r="M184" s="446"/>
      <c r="N184" s="446"/>
      <c r="O184" s="446"/>
      <c r="P184" s="446"/>
      <c r="Q184" s="130">
        <v>1</v>
      </c>
      <c r="R184" s="111">
        <f t="shared" si="33"/>
        <v>9.1349999999999998</v>
      </c>
      <c r="S184" s="110"/>
      <c r="T184" s="110"/>
      <c r="U184" s="130">
        <v>1</v>
      </c>
      <c r="V184" s="111">
        <f t="shared" si="34"/>
        <v>9.1349999999999998</v>
      </c>
      <c r="W184" s="110"/>
      <c r="X184" s="110"/>
      <c r="Y184" s="110"/>
      <c r="Z184" s="110"/>
      <c r="AA184" s="130">
        <v>1</v>
      </c>
      <c r="AB184" s="111">
        <f t="shared" si="39"/>
        <v>9.1349999999999998</v>
      </c>
      <c r="AC184" s="110"/>
      <c r="AD184" s="110"/>
      <c r="AE184" s="130">
        <v>0</v>
      </c>
      <c r="AF184" s="111">
        <f t="shared" si="36"/>
        <v>9.1349999999999998</v>
      </c>
      <c r="AG184" s="110"/>
      <c r="AH184" s="110"/>
      <c r="AI184" s="110"/>
      <c r="AJ184" s="110"/>
      <c r="AK184" s="111">
        <f t="shared" si="40"/>
        <v>36.54</v>
      </c>
      <c r="AL184" s="446">
        <f t="shared" si="41"/>
        <v>0</v>
      </c>
      <c r="AM184" s="110">
        <f t="shared" si="42"/>
        <v>3</v>
      </c>
      <c r="AN184" s="447">
        <f t="shared" si="37"/>
        <v>0</v>
      </c>
      <c r="AO184"/>
      <c r="AP184"/>
    </row>
    <row r="185" spans="1:42" ht="66" x14ac:dyDescent="0.25">
      <c r="A185" s="9"/>
      <c r="B185" s="37" t="s">
        <v>48</v>
      </c>
      <c r="C185" s="1024"/>
      <c r="D185" s="869">
        <v>6</v>
      </c>
      <c r="E185" s="1027" t="s">
        <v>1766</v>
      </c>
      <c r="F185" s="273" t="s">
        <v>3446</v>
      </c>
      <c r="G185" s="1040" t="s">
        <v>3463</v>
      </c>
      <c r="H185" s="273" t="s">
        <v>3462</v>
      </c>
      <c r="I185" s="720">
        <f t="shared" si="43"/>
        <v>21</v>
      </c>
      <c r="J185" s="756">
        <v>126</v>
      </c>
      <c r="K185" s="131">
        <f t="shared" si="35"/>
        <v>126</v>
      </c>
      <c r="L185" s="335">
        <f t="shared" si="38"/>
        <v>0</v>
      </c>
      <c r="M185" s="446"/>
      <c r="N185" s="446"/>
      <c r="O185" s="446"/>
      <c r="P185" s="446"/>
      <c r="Q185" s="130">
        <v>2</v>
      </c>
      <c r="R185" s="111">
        <f t="shared" si="33"/>
        <v>31.5</v>
      </c>
      <c r="S185" s="110"/>
      <c r="T185" s="110"/>
      <c r="U185" s="130">
        <v>2</v>
      </c>
      <c r="V185" s="111">
        <f t="shared" si="34"/>
        <v>31.5</v>
      </c>
      <c r="W185" s="110"/>
      <c r="X185" s="110"/>
      <c r="Y185" s="110"/>
      <c r="Z185" s="110"/>
      <c r="AA185" s="130">
        <v>1</v>
      </c>
      <c r="AB185" s="111">
        <f t="shared" si="39"/>
        <v>31.5</v>
      </c>
      <c r="AC185" s="110"/>
      <c r="AD185" s="110"/>
      <c r="AE185" s="130">
        <v>1</v>
      </c>
      <c r="AF185" s="111">
        <f t="shared" si="36"/>
        <v>31.5</v>
      </c>
      <c r="AG185" s="110"/>
      <c r="AH185" s="110"/>
      <c r="AI185" s="110"/>
      <c r="AJ185" s="110"/>
      <c r="AK185" s="111">
        <f t="shared" si="40"/>
        <v>126</v>
      </c>
      <c r="AL185" s="446">
        <f t="shared" si="41"/>
        <v>0</v>
      </c>
      <c r="AM185" s="110">
        <f t="shared" si="42"/>
        <v>6</v>
      </c>
      <c r="AN185" s="447">
        <f t="shared" si="37"/>
        <v>0</v>
      </c>
      <c r="AO185"/>
      <c r="AP185"/>
    </row>
    <row r="186" spans="1:42" ht="66" x14ac:dyDescent="0.25">
      <c r="A186" s="9"/>
      <c r="B186" s="37" t="s">
        <v>40</v>
      </c>
      <c r="C186" s="1024"/>
      <c r="D186" s="869">
        <v>4</v>
      </c>
      <c r="E186" s="1027" t="s">
        <v>1767</v>
      </c>
      <c r="F186" s="273" t="s">
        <v>3446</v>
      </c>
      <c r="G186" s="1040" t="s">
        <v>3463</v>
      </c>
      <c r="H186" s="273" t="s">
        <v>3462</v>
      </c>
      <c r="I186" s="720">
        <f t="shared" si="43"/>
        <v>16.63</v>
      </c>
      <c r="J186" s="756">
        <v>66.52</v>
      </c>
      <c r="K186" s="131">
        <f t="shared" si="35"/>
        <v>66.52</v>
      </c>
      <c r="L186" s="335">
        <f t="shared" si="38"/>
        <v>0</v>
      </c>
      <c r="M186" s="446"/>
      <c r="N186" s="446"/>
      <c r="O186" s="446"/>
      <c r="P186" s="446"/>
      <c r="Q186" s="110">
        <f t="shared" si="30"/>
        <v>1</v>
      </c>
      <c r="R186" s="111">
        <f t="shared" si="33"/>
        <v>16.63</v>
      </c>
      <c r="S186" s="110"/>
      <c r="T186" s="110"/>
      <c r="U186" s="110">
        <f t="shared" si="31"/>
        <v>1</v>
      </c>
      <c r="V186" s="111">
        <f t="shared" si="34"/>
        <v>16.63</v>
      </c>
      <c r="W186" s="110"/>
      <c r="X186" s="110"/>
      <c r="Y186" s="110"/>
      <c r="Z186" s="110"/>
      <c r="AA186" s="110">
        <f t="shared" si="32"/>
        <v>1</v>
      </c>
      <c r="AB186" s="111">
        <f t="shared" si="39"/>
        <v>16.63</v>
      </c>
      <c r="AC186" s="110"/>
      <c r="AD186" s="110"/>
      <c r="AE186" s="110">
        <f t="shared" si="32"/>
        <v>1</v>
      </c>
      <c r="AF186" s="111">
        <f t="shared" si="36"/>
        <v>16.63</v>
      </c>
      <c r="AG186" s="110"/>
      <c r="AH186" s="110"/>
      <c r="AI186" s="110"/>
      <c r="AJ186" s="110"/>
      <c r="AK186" s="111">
        <f t="shared" si="40"/>
        <v>66.52</v>
      </c>
      <c r="AL186" s="446">
        <f t="shared" si="41"/>
        <v>0</v>
      </c>
      <c r="AM186" s="110">
        <f t="shared" si="42"/>
        <v>4</v>
      </c>
      <c r="AN186" s="447">
        <f t="shared" si="37"/>
        <v>0</v>
      </c>
      <c r="AO186"/>
      <c r="AP186"/>
    </row>
    <row r="187" spans="1:42" ht="66" x14ac:dyDescent="0.25">
      <c r="A187" s="9"/>
      <c r="B187" s="37" t="s">
        <v>52</v>
      </c>
      <c r="C187" s="1024"/>
      <c r="D187" s="869">
        <v>1</v>
      </c>
      <c r="E187" s="1027" t="s">
        <v>1767</v>
      </c>
      <c r="F187" s="273" t="s">
        <v>3446</v>
      </c>
      <c r="G187" s="1040" t="s">
        <v>3463</v>
      </c>
      <c r="H187" s="273" t="s">
        <v>3462</v>
      </c>
      <c r="I187" s="720">
        <f t="shared" si="43"/>
        <v>12.92</v>
      </c>
      <c r="J187" s="756">
        <v>12.92</v>
      </c>
      <c r="K187" s="131">
        <f t="shared" si="35"/>
        <v>12.92</v>
      </c>
      <c r="L187" s="335">
        <f t="shared" si="38"/>
        <v>0</v>
      </c>
      <c r="M187" s="446"/>
      <c r="N187" s="446"/>
      <c r="O187" s="446"/>
      <c r="P187" s="446"/>
      <c r="Q187" s="110">
        <v>1</v>
      </c>
      <c r="R187" s="111">
        <f t="shared" si="33"/>
        <v>3.23</v>
      </c>
      <c r="S187" s="110"/>
      <c r="T187" s="110"/>
      <c r="U187" s="110">
        <v>0</v>
      </c>
      <c r="V187" s="111">
        <f t="shared" si="34"/>
        <v>3.23</v>
      </c>
      <c r="W187" s="110"/>
      <c r="X187" s="110"/>
      <c r="Y187" s="110"/>
      <c r="Z187" s="110"/>
      <c r="AA187" s="110">
        <v>0</v>
      </c>
      <c r="AB187" s="111">
        <f t="shared" si="39"/>
        <v>3.23</v>
      </c>
      <c r="AC187" s="110"/>
      <c r="AD187" s="110"/>
      <c r="AE187" s="110">
        <v>0</v>
      </c>
      <c r="AF187" s="111">
        <f t="shared" si="36"/>
        <v>3.23</v>
      </c>
      <c r="AG187" s="110"/>
      <c r="AH187" s="110"/>
      <c r="AI187" s="110"/>
      <c r="AJ187" s="110"/>
      <c r="AK187" s="111">
        <f t="shared" si="40"/>
        <v>12.92</v>
      </c>
      <c r="AL187" s="446">
        <f t="shared" si="41"/>
        <v>0</v>
      </c>
      <c r="AM187" s="110">
        <f t="shared" si="42"/>
        <v>1</v>
      </c>
      <c r="AN187" s="447">
        <f t="shared" si="37"/>
        <v>0</v>
      </c>
      <c r="AO187"/>
      <c r="AP187"/>
    </row>
    <row r="188" spans="1:42" ht="66" x14ac:dyDescent="0.25">
      <c r="A188" s="9"/>
      <c r="B188" s="37" t="s">
        <v>1715</v>
      </c>
      <c r="C188" s="1024"/>
      <c r="D188" s="869">
        <v>1</v>
      </c>
      <c r="E188" s="1027" t="s">
        <v>1767</v>
      </c>
      <c r="F188" s="273" t="s">
        <v>3446</v>
      </c>
      <c r="G188" s="1040" t="s">
        <v>3463</v>
      </c>
      <c r="H188" s="273" t="s">
        <v>3462</v>
      </c>
      <c r="I188" s="720">
        <f t="shared" si="43"/>
        <v>83.16</v>
      </c>
      <c r="J188" s="756">
        <v>83.16</v>
      </c>
      <c r="K188" s="131">
        <f t="shared" si="35"/>
        <v>83.16</v>
      </c>
      <c r="L188" s="335">
        <f t="shared" si="38"/>
        <v>0</v>
      </c>
      <c r="M188" s="446"/>
      <c r="N188" s="446"/>
      <c r="O188" s="446"/>
      <c r="P188" s="446"/>
      <c r="Q188" s="110">
        <v>1</v>
      </c>
      <c r="R188" s="111">
        <f t="shared" si="33"/>
        <v>20.79</v>
      </c>
      <c r="S188" s="110"/>
      <c r="T188" s="110"/>
      <c r="U188" s="110">
        <v>0</v>
      </c>
      <c r="V188" s="111">
        <f t="shared" si="34"/>
        <v>20.79</v>
      </c>
      <c r="W188" s="110"/>
      <c r="X188" s="110"/>
      <c r="Y188" s="110"/>
      <c r="Z188" s="110"/>
      <c r="AA188" s="110">
        <v>0</v>
      </c>
      <c r="AB188" s="111">
        <f t="shared" si="39"/>
        <v>20.79</v>
      </c>
      <c r="AC188" s="110"/>
      <c r="AD188" s="110"/>
      <c r="AE188" s="110">
        <v>0</v>
      </c>
      <c r="AF188" s="111">
        <f t="shared" si="36"/>
        <v>20.79</v>
      </c>
      <c r="AG188" s="110"/>
      <c r="AH188" s="110"/>
      <c r="AI188" s="110"/>
      <c r="AJ188" s="110"/>
      <c r="AK188" s="111">
        <f t="shared" si="40"/>
        <v>83.16</v>
      </c>
      <c r="AL188" s="446">
        <f t="shared" si="41"/>
        <v>0</v>
      </c>
      <c r="AM188" s="110">
        <f t="shared" si="42"/>
        <v>1</v>
      </c>
      <c r="AN188" s="447">
        <f t="shared" si="37"/>
        <v>0</v>
      </c>
      <c r="AO188"/>
      <c r="AP188"/>
    </row>
    <row r="189" spans="1:42" ht="66" x14ac:dyDescent="0.25">
      <c r="A189" s="9"/>
      <c r="B189" s="37" t="s">
        <v>57</v>
      </c>
      <c r="C189" s="1024"/>
      <c r="D189" s="869">
        <v>1</v>
      </c>
      <c r="E189" s="1027" t="s">
        <v>1767</v>
      </c>
      <c r="F189" s="273" t="s">
        <v>3446</v>
      </c>
      <c r="G189" s="1040" t="s">
        <v>3463</v>
      </c>
      <c r="H189" s="273" t="s">
        <v>3462</v>
      </c>
      <c r="I189" s="720">
        <f t="shared" si="43"/>
        <v>21</v>
      </c>
      <c r="J189" s="756">
        <v>21</v>
      </c>
      <c r="K189" s="131">
        <f t="shared" si="35"/>
        <v>21</v>
      </c>
      <c r="L189" s="335">
        <f t="shared" si="38"/>
        <v>0</v>
      </c>
      <c r="M189" s="446"/>
      <c r="N189" s="446"/>
      <c r="O189" s="446"/>
      <c r="P189" s="446"/>
      <c r="Q189" s="110">
        <v>1</v>
      </c>
      <c r="R189" s="111">
        <f t="shared" si="33"/>
        <v>5.25</v>
      </c>
      <c r="S189" s="110"/>
      <c r="T189" s="110"/>
      <c r="U189" s="110">
        <v>0</v>
      </c>
      <c r="V189" s="111">
        <f t="shared" si="34"/>
        <v>5.25</v>
      </c>
      <c r="W189" s="110"/>
      <c r="X189" s="110"/>
      <c r="Y189" s="110"/>
      <c r="Z189" s="110"/>
      <c r="AA189" s="110">
        <v>0</v>
      </c>
      <c r="AB189" s="111">
        <f t="shared" si="39"/>
        <v>5.25</v>
      </c>
      <c r="AC189" s="110"/>
      <c r="AD189" s="110"/>
      <c r="AE189" s="110">
        <v>0</v>
      </c>
      <c r="AF189" s="111">
        <f t="shared" si="36"/>
        <v>5.25</v>
      </c>
      <c r="AG189" s="110"/>
      <c r="AH189" s="110"/>
      <c r="AI189" s="110"/>
      <c r="AJ189" s="110"/>
      <c r="AK189" s="111">
        <f t="shared" si="40"/>
        <v>21</v>
      </c>
      <c r="AL189" s="446">
        <f t="shared" si="41"/>
        <v>0</v>
      </c>
      <c r="AM189" s="110">
        <f t="shared" si="42"/>
        <v>1</v>
      </c>
      <c r="AN189" s="447">
        <f t="shared" si="37"/>
        <v>0</v>
      </c>
      <c r="AO189"/>
      <c r="AP189"/>
    </row>
    <row r="190" spans="1:42" ht="66" x14ac:dyDescent="0.25">
      <c r="A190" s="9"/>
      <c r="B190" s="37" t="s">
        <v>59</v>
      </c>
      <c r="C190" s="1024"/>
      <c r="D190" s="869">
        <v>4</v>
      </c>
      <c r="E190" s="1027" t="s">
        <v>1767</v>
      </c>
      <c r="F190" s="273" t="s">
        <v>3446</v>
      </c>
      <c r="G190" s="1040" t="s">
        <v>3463</v>
      </c>
      <c r="H190" s="273" t="s">
        <v>3462</v>
      </c>
      <c r="I190" s="720">
        <f t="shared" si="43"/>
        <v>23.55</v>
      </c>
      <c r="J190" s="756">
        <v>94.2</v>
      </c>
      <c r="K190" s="131">
        <f t="shared" si="35"/>
        <v>94.2</v>
      </c>
      <c r="L190" s="335">
        <f t="shared" si="38"/>
        <v>0</v>
      </c>
      <c r="M190" s="446"/>
      <c r="N190" s="446"/>
      <c r="O190" s="446"/>
      <c r="P190" s="446"/>
      <c r="Q190" s="110">
        <f t="shared" si="30"/>
        <v>1</v>
      </c>
      <c r="R190" s="111">
        <f t="shared" si="33"/>
        <v>23.55</v>
      </c>
      <c r="S190" s="110"/>
      <c r="T190" s="110"/>
      <c r="U190" s="110">
        <f t="shared" si="31"/>
        <v>1</v>
      </c>
      <c r="V190" s="111">
        <f t="shared" si="34"/>
        <v>23.55</v>
      </c>
      <c r="W190" s="110"/>
      <c r="X190" s="110"/>
      <c r="Y190" s="110"/>
      <c r="Z190" s="110"/>
      <c r="AA190" s="110">
        <f t="shared" si="32"/>
        <v>1</v>
      </c>
      <c r="AB190" s="111">
        <f t="shared" si="39"/>
        <v>23.55</v>
      </c>
      <c r="AC190" s="110"/>
      <c r="AD190" s="110"/>
      <c r="AE190" s="110">
        <f t="shared" si="32"/>
        <v>1</v>
      </c>
      <c r="AF190" s="111">
        <f t="shared" si="36"/>
        <v>23.55</v>
      </c>
      <c r="AG190" s="110"/>
      <c r="AH190" s="110"/>
      <c r="AI190" s="110"/>
      <c r="AJ190" s="110"/>
      <c r="AK190" s="111">
        <f t="shared" si="40"/>
        <v>94.2</v>
      </c>
      <c r="AL190" s="446">
        <f t="shared" si="41"/>
        <v>0</v>
      </c>
      <c r="AM190" s="110">
        <f t="shared" si="42"/>
        <v>4</v>
      </c>
      <c r="AN190" s="447">
        <f t="shared" si="37"/>
        <v>0</v>
      </c>
      <c r="AO190"/>
      <c r="AP190"/>
    </row>
    <row r="191" spans="1:42" ht="66" x14ac:dyDescent="0.25">
      <c r="A191" s="9"/>
      <c r="B191" s="37" t="s">
        <v>63</v>
      </c>
      <c r="C191" s="1024"/>
      <c r="D191" s="869">
        <v>2</v>
      </c>
      <c r="E191" s="1027" t="s">
        <v>1767</v>
      </c>
      <c r="F191" s="273" t="s">
        <v>3446</v>
      </c>
      <c r="G191" s="1040" t="s">
        <v>3463</v>
      </c>
      <c r="H191" s="273" t="s">
        <v>3462</v>
      </c>
      <c r="I191" s="720">
        <f t="shared" si="43"/>
        <v>45.14</v>
      </c>
      <c r="J191" s="756">
        <v>90.28</v>
      </c>
      <c r="K191" s="131">
        <f t="shared" si="35"/>
        <v>90.28</v>
      </c>
      <c r="L191" s="335">
        <f t="shared" si="38"/>
        <v>0</v>
      </c>
      <c r="M191" s="446"/>
      <c r="N191" s="446"/>
      <c r="O191" s="446"/>
      <c r="P191" s="446"/>
      <c r="Q191" s="130">
        <v>1</v>
      </c>
      <c r="R191" s="111">
        <f t="shared" si="33"/>
        <v>22.57</v>
      </c>
      <c r="S191" s="110"/>
      <c r="T191" s="110"/>
      <c r="U191" s="130">
        <v>1</v>
      </c>
      <c r="V191" s="111">
        <f t="shared" si="34"/>
        <v>22.57</v>
      </c>
      <c r="W191" s="110"/>
      <c r="X191" s="110"/>
      <c r="Y191" s="110"/>
      <c r="Z191" s="110"/>
      <c r="AA191" s="130">
        <v>0</v>
      </c>
      <c r="AB191" s="111">
        <f t="shared" si="39"/>
        <v>22.57</v>
      </c>
      <c r="AC191" s="110"/>
      <c r="AD191" s="110"/>
      <c r="AE191" s="130">
        <v>0</v>
      </c>
      <c r="AF191" s="111">
        <f t="shared" si="36"/>
        <v>22.57</v>
      </c>
      <c r="AG191" s="110"/>
      <c r="AH191" s="110"/>
      <c r="AI191" s="110"/>
      <c r="AJ191" s="110"/>
      <c r="AK191" s="111">
        <f t="shared" si="40"/>
        <v>90.28</v>
      </c>
      <c r="AL191" s="446">
        <f t="shared" si="41"/>
        <v>0</v>
      </c>
      <c r="AM191" s="110">
        <f t="shared" si="42"/>
        <v>2</v>
      </c>
      <c r="AN191" s="447">
        <f t="shared" si="37"/>
        <v>0</v>
      </c>
      <c r="AO191"/>
      <c r="AP191"/>
    </row>
    <row r="192" spans="1:42" ht="66" x14ac:dyDescent="0.25">
      <c r="A192" s="9"/>
      <c r="B192" s="37" t="s">
        <v>70</v>
      </c>
      <c r="C192" s="1024"/>
      <c r="D192" s="869">
        <v>3</v>
      </c>
      <c r="E192" s="1027" t="s">
        <v>1767</v>
      </c>
      <c r="F192" s="273" t="s">
        <v>3446</v>
      </c>
      <c r="G192" s="1040" t="s">
        <v>3463</v>
      </c>
      <c r="H192" s="273" t="s">
        <v>3462</v>
      </c>
      <c r="I192" s="720">
        <f t="shared" si="43"/>
        <v>9.56</v>
      </c>
      <c r="J192" s="756">
        <v>28.68</v>
      </c>
      <c r="K192" s="131">
        <f t="shared" si="35"/>
        <v>28.68</v>
      </c>
      <c r="L192" s="335">
        <f t="shared" si="38"/>
        <v>0</v>
      </c>
      <c r="M192" s="446"/>
      <c r="N192" s="446"/>
      <c r="O192" s="446"/>
      <c r="P192" s="446"/>
      <c r="Q192" s="130">
        <v>1</v>
      </c>
      <c r="R192" s="111">
        <f t="shared" si="33"/>
        <v>7.17</v>
      </c>
      <c r="S192" s="110"/>
      <c r="T192" s="110"/>
      <c r="U192" s="130">
        <v>1</v>
      </c>
      <c r="V192" s="111">
        <f t="shared" si="34"/>
        <v>7.17</v>
      </c>
      <c r="W192" s="110"/>
      <c r="X192" s="110"/>
      <c r="Y192" s="110"/>
      <c r="Z192" s="110"/>
      <c r="AA192" s="130">
        <v>1</v>
      </c>
      <c r="AB192" s="111">
        <f t="shared" si="39"/>
        <v>7.17</v>
      </c>
      <c r="AC192" s="110"/>
      <c r="AD192" s="110"/>
      <c r="AE192" s="130">
        <v>0</v>
      </c>
      <c r="AF192" s="111">
        <f t="shared" si="36"/>
        <v>7.17</v>
      </c>
      <c r="AG192" s="110"/>
      <c r="AH192" s="110"/>
      <c r="AI192" s="110"/>
      <c r="AJ192" s="110"/>
      <c r="AK192" s="111">
        <f t="shared" si="40"/>
        <v>28.68</v>
      </c>
      <c r="AL192" s="446">
        <f t="shared" si="41"/>
        <v>0</v>
      </c>
      <c r="AM192" s="110">
        <f t="shared" si="42"/>
        <v>3</v>
      </c>
      <c r="AN192" s="447">
        <f t="shared" si="37"/>
        <v>0</v>
      </c>
      <c r="AO192"/>
      <c r="AP192"/>
    </row>
    <row r="193" spans="1:42" ht="66" x14ac:dyDescent="0.25">
      <c r="A193" s="9"/>
      <c r="B193" s="37" t="s">
        <v>125</v>
      </c>
      <c r="C193" s="1024"/>
      <c r="D193" s="869">
        <v>3</v>
      </c>
      <c r="E193" s="1027" t="s">
        <v>1767</v>
      </c>
      <c r="F193" s="273" t="s">
        <v>3446</v>
      </c>
      <c r="G193" s="1040" t="s">
        <v>3463</v>
      </c>
      <c r="H193" s="273" t="s">
        <v>3462</v>
      </c>
      <c r="I193" s="720">
        <f t="shared" si="43"/>
        <v>30.06</v>
      </c>
      <c r="J193" s="756">
        <v>90.179999999999993</v>
      </c>
      <c r="K193" s="131">
        <f t="shared" si="35"/>
        <v>90.179999999999993</v>
      </c>
      <c r="L193" s="335">
        <f t="shared" si="38"/>
        <v>0</v>
      </c>
      <c r="M193" s="446"/>
      <c r="N193" s="446"/>
      <c r="O193" s="446"/>
      <c r="P193" s="446"/>
      <c r="Q193" s="130">
        <v>1</v>
      </c>
      <c r="R193" s="111">
        <f t="shared" si="33"/>
        <v>22.544999999999998</v>
      </c>
      <c r="S193" s="110"/>
      <c r="T193" s="110"/>
      <c r="U193" s="130">
        <v>1</v>
      </c>
      <c r="V193" s="111">
        <f t="shared" si="34"/>
        <v>22.544999999999998</v>
      </c>
      <c r="W193" s="110"/>
      <c r="X193" s="110"/>
      <c r="Y193" s="110"/>
      <c r="Z193" s="110"/>
      <c r="AA193" s="130">
        <v>1</v>
      </c>
      <c r="AB193" s="111">
        <f t="shared" si="39"/>
        <v>22.544999999999998</v>
      </c>
      <c r="AC193" s="110"/>
      <c r="AD193" s="110"/>
      <c r="AE193" s="130">
        <v>0</v>
      </c>
      <c r="AF193" s="111">
        <f t="shared" si="36"/>
        <v>22.544999999999998</v>
      </c>
      <c r="AG193" s="110"/>
      <c r="AH193" s="110"/>
      <c r="AI193" s="110"/>
      <c r="AJ193" s="110"/>
      <c r="AK193" s="111">
        <f t="shared" si="40"/>
        <v>90.179999999999993</v>
      </c>
      <c r="AL193" s="446">
        <f t="shared" si="41"/>
        <v>0</v>
      </c>
      <c r="AM193" s="110">
        <f t="shared" si="42"/>
        <v>3</v>
      </c>
      <c r="AN193" s="447">
        <f t="shared" si="37"/>
        <v>0</v>
      </c>
      <c r="AO193"/>
      <c r="AP193"/>
    </row>
    <row r="194" spans="1:42" ht="66" x14ac:dyDescent="0.25">
      <c r="A194" s="9"/>
      <c r="B194" s="37" t="s">
        <v>126</v>
      </c>
      <c r="C194" s="1024"/>
      <c r="D194" s="869">
        <v>1</v>
      </c>
      <c r="E194" s="1027" t="s">
        <v>1767</v>
      </c>
      <c r="F194" s="273" t="s">
        <v>3446</v>
      </c>
      <c r="G194" s="1040" t="s">
        <v>3463</v>
      </c>
      <c r="H194" s="273" t="s">
        <v>3462</v>
      </c>
      <c r="I194" s="720">
        <f t="shared" si="43"/>
        <v>31</v>
      </c>
      <c r="J194" s="756">
        <v>31</v>
      </c>
      <c r="K194" s="131">
        <f t="shared" si="35"/>
        <v>31</v>
      </c>
      <c r="L194" s="335">
        <f t="shared" si="38"/>
        <v>0</v>
      </c>
      <c r="M194" s="446"/>
      <c r="N194" s="446"/>
      <c r="O194" s="446"/>
      <c r="P194" s="446"/>
      <c r="Q194" s="110">
        <v>1</v>
      </c>
      <c r="R194" s="111">
        <f t="shared" si="33"/>
        <v>7.75</v>
      </c>
      <c r="S194" s="110"/>
      <c r="T194" s="110"/>
      <c r="U194" s="110">
        <v>0</v>
      </c>
      <c r="V194" s="111">
        <f t="shared" si="34"/>
        <v>7.75</v>
      </c>
      <c r="W194" s="110"/>
      <c r="X194" s="110"/>
      <c r="Y194" s="110"/>
      <c r="Z194" s="110"/>
      <c r="AA194" s="110">
        <v>0</v>
      </c>
      <c r="AB194" s="111">
        <f t="shared" si="39"/>
        <v>7.75</v>
      </c>
      <c r="AC194" s="110"/>
      <c r="AD194" s="110"/>
      <c r="AE194" s="110">
        <v>0</v>
      </c>
      <c r="AF194" s="111">
        <f t="shared" si="36"/>
        <v>7.75</v>
      </c>
      <c r="AG194" s="110"/>
      <c r="AH194" s="110"/>
      <c r="AI194" s="110"/>
      <c r="AJ194" s="110"/>
      <c r="AK194" s="111">
        <f t="shared" si="40"/>
        <v>31</v>
      </c>
      <c r="AL194" s="446">
        <f t="shared" si="41"/>
        <v>0</v>
      </c>
      <c r="AM194" s="110">
        <f t="shared" si="42"/>
        <v>1</v>
      </c>
      <c r="AN194" s="447">
        <f t="shared" si="37"/>
        <v>0</v>
      </c>
      <c r="AO194"/>
      <c r="AP194"/>
    </row>
    <row r="195" spans="1:42" ht="66" x14ac:dyDescent="0.25">
      <c r="A195" s="9"/>
      <c r="B195" s="37" t="s">
        <v>80</v>
      </c>
      <c r="C195" s="1024"/>
      <c r="D195" s="869">
        <v>2</v>
      </c>
      <c r="E195" s="1027" t="s">
        <v>1767</v>
      </c>
      <c r="F195" s="273" t="s">
        <v>3446</v>
      </c>
      <c r="G195" s="1040" t="s">
        <v>3463</v>
      </c>
      <c r="H195" s="273" t="s">
        <v>3462</v>
      </c>
      <c r="I195" s="720">
        <f t="shared" si="43"/>
        <v>10.97</v>
      </c>
      <c r="J195" s="756">
        <v>21.94</v>
      </c>
      <c r="K195" s="131">
        <f t="shared" si="35"/>
        <v>21.94</v>
      </c>
      <c r="L195" s="335">
        <f t="shared" si="38"/>
        <v>0</v>
      </c>
      <c r="M195" s="446"/>
      <c r="N195" s="446"/>
      <c r="O195" s="446"/>
      <c r="P195" s="446"/>
      <c r="Q195" s="130">
        <v>1</v>
      </c>
      <c r="R195" s="111">
        <f t="shared" si="33"/>
        <v>5.4850000000000003</v>
      </c>
      <c r="S195" s="110"/>
      <c r="T195" s="110"/>
      <c r="U195" s="130">
        <v>1</v>
      </c>
      <c r="V195" s="111">
        <f t="shared" si="34"/>
        <v>5.4850000000000003</v>
      </c>
      <c r="W195" s="110"/>
      <c r="X195" s="110"/>
      <c r="Y195" s="110"/>
      <c r="Z195" s="110"/>
      <c r="AA195" s="130">
        <v>0</v>
      </c>
      <c r="AB195" s="111">
        <f t="shared" si="39"/>
        <v>5.4850000000000003</v>
      </c>
      <c r="AC195" s="110"/>
      <c r="AD195" s="110"/>
      <c r="AE195" s="130">
        <v>0</v>
      </c>
      <c r="AF195" s="111">
        <f t="shared" si="36"/>
        <v>5.4850000000000003</v>
      </c>
      <c r="AG195" s="110"/>
      <c r="AH195" s="110"/>
      <c r="AI195" s="110"/>
      <c r="AJ195" s="110"/>
      <c r="AK195" s="111">
        <f t="shared" si="40"/>
        <v>21.94</v>
      </c>
      <c r="AL195" s="446">
        <f t="shared" si="41"/>
        <v>0</v>
      </c>
      <c r="AM195" s="110">
        <f t="shared" si="42"/>
        <v>2</v>
      </c>
      <c r="AN195" s="447">
        <f t="shared" si="37"/>
        <v>0</v>
      </c>
      <c r="AO195"/>
      <c r="AP195"/>
    </row>
    <row r="196" spans="1:42" ht="66" x14ac:dyDescent="0.25">
      <c r="A196" s="9"/>
      <c r="B196" s="37" t="s">
        <v>61</v>
      </c>
      <c r="C196" s="1024"/>
      <c r="D196" s="869">
        <v>2</v>
      </c>
      <c r="E196" s="1027" t="s">
        <v>1766</v>
      </c>
      <c r="F196" s="273" t="s">
        <v>3446</v>
      </c>
      <c r="G196" s="1040" t="s">
        <v>3463</v>
      </c>
      <c r="H196" s="273" t="s">
        <v>3462</v>
      </c>
      <c r="I196" s="720">
        <f t="shared" si="43"/>
        <v>22.55</v>
      </c>
      <c r="J196" s="756">
        <v>45.1</v>
      </c>
      <c r="K196" s="131">
        <f t="shared" si="35"/>
        <v>45.1</v>
      </c>
      <c r="L196" s="335">
        <f t="shared" si="38"/>
        <v>0</v>
      </c>
      <c r="M196" s="446"/>
      <c r="N196" s="446"/>
      <c r="O196" s="446"/>
      <c r="P196" s="446"/>
      <c r="Q196" s="130">
        <v>1</v>
      </c>
      <c r="R196" s="111">
        <f t="shared" si="33"/>
        <v>11.275</v>
      </c>
      <c r="S196" s="110"/>
      <c r="T196" s="110"/>
      <c r="U196" s="130">
        <v>1</v>
      </c>
      <c r="V196" s="111">
        <f t="shared" si="34"/>
        <v>11.275</v>
      </c>
      <c r="W196" s="110"/>
      <c r="X196" s="110"/>
      <c r="Y196" s="110"/>
      <c r="Z196" s="110"/>
      <c r="AA196" s="130">
        <v>0</v>
      </c>
      <c r="AB196" s="111">
        <f t="shared" si="39"/>
        <v>11.275</v>
      </c>
      <c r="AC196" s="110"/>
      <c r="AD196" s="110"/>
      <c r="AE196" s="130">
        <v>0</v>
      </c>
      <c r="AF196" s="111">
        <f t="shared" si="36"/>
        <v>11.275</v>
      </c>
      <c r="AG196" s="110"/>
      <c r="AH196" s="110"/>
      <c r="AI196" s="110"/>
      <c r="AJ196" s="110"/>
      <c r="AK196" s="111">
        <f t="shared" si="40"/>
        <v>45.1</v>
      </c>
      <c r="AL196" s="446">
        <f t="shared" si="41"/>
        <v>0</v>
      </c>
      <c r="AM196" s="110">
        <f t="shared" si="42"/>
        <v>2</v>
      </c>
      <c r="AN196" s="447">
        <f t="shared" si="37"/>
        <v>0</v>
      </c>
      <c r="AO196"/>
      <c r="AP196"/>
    </row>
    <row r="197" spans="1:42" ht="66" x14ac:dyDescent="0.25">
      <c r="A197" s="9"/>
      <c r="B197" s="37" t="s">
        <v>43</v>
      </c>
      <c r="C197" s="1024"/>
      <c r="D197" s="869">
        <v>2</v>
      </c>
      <c r="E197" s="1027" t="s">
        <v>1767</v>
      </c>
      <c r="F197" s="273" t="s">
        <v>3446</v>
      </c>
      <c r="G197" s="1040" t="s">
        <v>3463</v>
      </c>
      <c r="H197" s="273" t="s">
        <v>3462</v>
      </c>
      <c r="I197" s="720">
        <f t="shared" si="43"/>
        <v>10.97</v>
      </c>
      <c r="J197" s="756">
        <v>21.94</v>
      </c>
      <c r="K197" s="131">
        <f t="shared" si="35"/>
        <v>21.94</v>
      </c>
      <c r="L197" s="335">
        <f t="shared" si="38"/>
        <v>0</v>
      </c>
      <c r="M197" s="446"/>
      <c r="N197" s="446"/>
      <c r="O197" s="446"/>
      <c r="P197" s="446"/>
      <c r="Q197" s="130">
        <v>1</v>
      </c>
      <c r="R197" s="111">
        <f t="shared" si="33"/>
        <v>5.4850000000000003</v>
      </c>
      <c r="S197" s="110"/>
      <c r="T197" s="110"/>
      <c r="U197" s="130">
        <v>1</v>
      </c>
      <c r="V197" s="111">
        <f t="shared" si="34"/>
        <v>5.4850000000000003</v>
      </c>
      <c r="W197" s="110"/>
      <c r="X197" s="110"/>
      <c r="Y197" s="110"/>
      <c r="Z197" s="110"/>
      <c r="AA197" s="130">
        <v>0</v>
      </c>
      <c r="AB197" s="111">
        <f t="shared" si="39"/>
        <v>5.4850000000000003</v>
      </c>
      <c r="AC197" s="110"/>
      <c r="AD197" s="110"/>
      <c r="AE197" s="130">
        <v>0</v>
      </c>
      <c r="AF197" s="111">
        <f t="shared" si="36"/>
        <v>5.4850000000000003</v>
      </c>
      <c r="AG197" s="110"/>
      <c r="AH197" s="110"/>
      <c r="AI197" s="110"/>
      <c r="AJ197" s="110"/>
      <c r="AK197" s="111">
        <f t="shared" si="40"/>
        <v>21.94</v>
      </c>
      <c r="AL197" s="446">
        <f t="shared" si="41"/>
        <v>0</v>
      </c>
      <c r="AM197" s="110">
        <f t="shared" si="42"/>
        <v>2</v>
      </c>
      <c r="AN197" s="447">
        <f t="shared" si="37"/>
        <v>0</v>
      </c>
      <c r="AO197"/>
      <c r="AP197"/>
    </row>
    <row r="198" spans="1:42" ht="66" x14ac:dyDescent="0.25">
      <c r="A198" s="9"/>
      <c r="B198" s="37" t="s">
        <v>41</v>
      </c>
      <c r="C198" s="1024"/>
      <c r="D198" s="873">
        <v>5</v>
      </c>
      <c r="E198" s="1023" t="s">
        <v>1766</v>
      </c>
      <c r="F198" s="273" t="s">
        <v>3446</v>
      </c>
      <c r="G198" s="1040" t="s">
        <v>3463</v>
      </c>
      <c r="H198" s="273" t="s">
        <v>3462</v>
      </c>
      <c r="I198" s="720">
        <f t="shared" si="43"/>
        <v>36.74</v>
      </c>
      <c r="J198" s="756">
        <v>183.70000000000002</v>
      </c>
      <c r="K198" s="131">
        <f t="shared" si="35"/>
        <v>183.70000000000002</v>
      </c>
      <c r="L198" s="335">
        <f t="shared" si="38"/>
        <v>0</v>
      </c>
      <c r="M198" s="446"/>
      <c r="N198" s="446"/>
      <c r="O198" s="446"/>
      <c r="P198" s="446"/>
      <c r="Q198" s="110">
        <v>2</v>
      </c>
      <c r="R198" s="111">
        <f t="shared" si="33"/>
        <v>45.925000000000004</v>
      </c>
      <c r="S198" s="110"/>
      <c r="T198" s="110"/>
      <c r="U198" s="110">
        <v>1</v>
      </c>
      <c r="V198" s="111">
        <f t="shared" si="34"/>
        <v>45.925000000000004</v>
      </c>
      <c r="W198" s="110"/>
      <c r="X198" s="110"/>
      <c r="Y198" s="110"/>
      <c r="Z198" s="110"/>
      <c r="AA198" s="110">
        <v>1</v>
      </c>
      <c r="AB198" s="111">
        <f t="shared" si="39"/>
        <v>45.925000000000004</v>
      </c>
      <c r="AC198" s="110"/>
      <c r="AD198" s="110"/>
      <c r="AE198" s="110">
        <v>1</v>
      </c>
      <c r="AF198" s="111">
        <f t="shared" si="36"/>
        <v>45.925000000000004</v>
      </c>
      <c r="AG198" s="110"/>
      <c r="AH198" s="110"/>
      <c r="AI198" s="110"/>
      <c r="AJ198" s="110"/>
      <c r="AK198" s="111">
        <f t="shared" si="40"/>
        <v>183.70000000000002</v>
      </c>
      <c r="AL198" s="446">
        <f t="shared" si="41"/>
        <v>0</v>
      </c>
      <c r="AM198" s="110">
        <f t="shared" si="42"/>
        <v>5</v>
      </c>
      <c r="AN198" s="447">
        <f t="shared" si="37"/>
        <v>0</v>
      </c>
      <c r="AO198"/>
      <c r="AP198"/>
    </row>
    <row r="199" spans="1:42" ht="66" x14ac:dyDescent="0.25">
      <c r="A199" s="9"/>
      <c r="B199" s="217" t="s">
        <v>1074</v>
      </c>
      <c r="C199" s="1024"/>
      <c r="D199" s="869">
        <v>1</v>
      </c>
      <c r="E199" s="1027" t="s">
        <v>1767</v>
      </c>
      <c r="F199" s="273" t="s">
        <v>3446</v>
      </c>
      <c r="G199" s="1040" t="s">
        <v>3463</v>
      </c>
      <c r="H199" s="273" t="s">
        <v>3462</v>
      </c>
      <c r="I199" s="720">
        <f t="shared" si="43"/>
        <v>85.54</v>
      </c>
      <c r="J199" s="756">
        <v>85.54</v>
      </c>
      <c r="K199" s="131">
        <f t="shared" si="35"/>
        <v>85.54</v>
      </c>
      <c r="L199" s="335">
        <f t="shared" si="38"/>
        <v>0</v>
      </c>
      <c r="M199" s="446"/>
      <c r="N199" s="446"/>
      <c r="O199" s="446"/>
      <c r="P199" s="446"/>
      <c r="Q199" s="110">
        <v>1</v>
      </c>
      <c r="R199" s="111">
        <f t="shared" si="33"/>
        <v>21.385000000000002</v>
      </c>
      <c r="S199" s="110"/>
      <c r="T199" s="110"/>
      <c r="U199" s="110">
        <v>0</v>
      </c>
      <c r="V199" s="111">
        <f t="shared" si="34"/>
        <v>21.385000000000002</v>
      </c>
      <c r="W199" s="110"/>
      <c r="X199" s="110"/>
      <c r="Y199" s="110"/>
      <c r="Z199" s="110"/>
      <c r="AA199" s="110">
        <v>0</v>
      </c>
      <c r="AB199" s="111">
        <f t="shared" si="39"/>
        <v>21.385000000000002</v>
      </c>
      <c r="AC199" s="110"/>
      <c r="AD199" s="110"/>
      <c r="AE199" s="110">
        <v>0</v>
      </c>
      <c r="AF199" s="111">
        <f t="shared" si="36"/>
        <v>21.385000000000002</v>
      </c>
      <c r="AG199" s="110"/>
      <c r="AH199" s="110"/>
      <c r="AI199" s="110"/>
      <c r="AJ199" s="110"/>
      <c r="AK199" s="111">
        <f t="shared" si="40"/>
        <v>85.54</v>
      </c>
      <c r="AL199" s="446">
        <f t="shared" si="41"/>
        <v>0</v>
      </c>
      <c r="AM199" s="110">
        <f t="shared" si="42"/>
        <v>1</v>
      </c>
      <c r="AN199" s="447">
        <f t="shared" si="37"/>
        <v>0</v>
      </c>
      <c r="AO199"/>
      <c r="AP199"/>
    </row>
    <row r="200" spans="1:42" ht="66" x14ac:dyDescent="0.25">
      <c r="A200" s="40"/>
      <c r="B200" s="149" t="s">
        <v>1779</v>
      </c>
      <c r="C200" s="1028"/>
      <c r="D200" s="869">
        <v>2</v>
      </c>
      <c r="E200" s="1027" t="s">
        <v>1722</v>
      </c>
      <c r="F200" s="273" t="s">
        <v>3446</v>
      </c>
      <c r="G200" s="1040" t="s">
        <v>3463</v>
      </c>
      <c r="H200" s="273" t="s">
        <v>3462</v>
      </c>
      <c r="I200" s="720">
        <f t="shared" si="43"/>
        <v>79.930000000000007</v>
      </c>
      <c r="J200" s="756">
        <v>159.86000000000001</v>
      </c>
      <c r="K200" s="131">
        <f t="shared" si="35"/>
        <v>159.86000000000001</v>
      </c>
      <c r="L200" s="335">
        <f t="shared" si="38"/>
        <v>0</v>
      </c>
      <c r="M200" s="446"/>
      <c r="N200" s="446"/>
      <c r="O200" s="446"/>
      <c r="P200" s="446"/>
      <c r="Q200" s="130">
        <v>1</v>
      </c>
      <c r="R200" s="111">
        <f t="shared" si="33"/>
        <v>39.965000000000003</v>
      </c>
      <c r="S200" s="110"/>
      <c r="T200" s="110"/>
      <c r="U200" s="130">
        <v>1</v>
      </c>
      <c r="V200" s="111">
        <f t="shared" si="34"/>
        <v>39.965000000000003</v>
      </c>
      <c r="W200" s="110"/>
      <c r="X200" s="110"/>
      <c r="Y200" s="110"/>
      <c r="Z200" s="110"/>
      <c r="AA200" s="130">
        <v>0</v>
      </c>
      <c r="AB200" s="111">
        <f t="shared" si="39"/>
        <v>39.965000000000003</v>
      </c>
      <c r="AC200" s="110"/>
      <c r="AD200" s="110"/>
      <c r="AE200" s="130">
        <v>0</v>
      </c>
      <c r="AF200" s="111">
        <f t="shared" si="36"/>
        <v>39.965000000000003</v>
      </c>
      <c r="AG200" s="110"/>
      <c r="AH200" s="110"/>
      <c r="AI200" s="110"/>
      <c r="AJ200" s="110"/>
      <c r="AK200" s="111">
        <f t="shared" si="40"/>
        <v>159.86000000000001</v>
      </c>
      <c r="AL200" s="446">
        <f t="shared" si="41"/>
        <v>0</v>
      </c>
      <c r="AM200" s="110">
        <f t="shared" si="42"/>
        <v>2</v>
      </c>
      <c r="AN200" s="447">
        <f t="shared" si="37"/>
        <v>0</v>
      </c>
      <c r="AO200"/>
      <c r="AP200"/>
    </row>
    <row r="201" spans="1:42" ht="66" x14ac:dyDescent="0.25">
      <c r="A201" s="40"/>
      <c r="B201" s="149" t="s">
        <v>125</v>
      </c>
      <c r="C201" s="1028"/>
      <c r="D201" s="869">
        <v>6</v>
      </c>
      <c r="E201" s="1027" t="s">
        <v>1767</v>
      </c>
      <c r="F201" s="273" t="s">
        <v>3446</v>
      </c>
      <c r="G201" s="1040" t="s">
        <v>3463</v>
      </c>
      <c r="H201" s="273" t="s">
        <v>3462</v>
      </c>
      <c r="I201" s="720">
        <f t="shared" si="43"/>
        <v>46.169999999999995</v>
      </c>
      <c r="J201" s="756">
        <v>277.02</v>
      </c>
      <c r="K201" s="131">
        <f t="shared" si="35"/>
        <v>277.02</v>
      </c>
      <c r="L201" s="335">
        <f t="shared" si="38"/>
        <v>0</v>
      </c>
      <c r="M201" s="446"/>
      <c r="N201" s="446"/>
      <c r="O201" s="446"/>
      <c r="P201" s="446"/>
      <c r="Q201" s="130">
        <v>2</v>
      </c>
      <c r="R201" s="111">
        <f t="shared" si="33"/>
        <v>69.254999999999995</v>
      </c>
      <c r="S201" s="110"/>
      <c r="T201" s="110"/>
      <c r="U201" s="130">
        <v>2</v>
      </c>
      <c r="V201" s="111">
        <f t="shared" si="34"/>
        <v>69.254999999999995</v>
      </c>
      <c r="W201" s="110"/>
      <c r="X201" s="110"/>
      <c r="Y201" s="110"/>
      <c r="Z201" s="110"/>
      <c r="AA201" s="130">
        <v>1</v>
      </c>
      <c r="AB201" s="111">
        <f t="shared" si="39"/>
        <v>69.254999999999995</v>
      </c>
      <c r="AC201" s="110"/>
      <c r="AD201" s="110"/>
      <c r="AE201" s="130">
        <v>1</v>
      </c>
      <c r="AF201" s="111">
        <f t="shared" si="36"/>
        <v>69.254999999999995</v>
      </c>
      <c r="AG201" s="110"/>
      <c r="AH201" s="110"/>
      <c r="AI201" s="110"/>
      <c r="AJ201" s="110"/>
      <c r="AK201" s="111">
        <f t="shared" si="40"/>
        <v>277.02</v>
      </c>
      <c r="AL201" s="446">
        <f t="shared" si="41"/>
        <v>0</v>
      </c>
      <c r="AM201" s="110">
        <f t="shared" si="42"/>
        <v>6</v>
      </c>
      <c r="AN201" s="447">
        <f t="shared" si="37"/>
        <v>0</v>
      </c>
      <c r="AO201"/>
      <c r="AP201"/>
    </row>
    <row r="202" spans="1:42" ht="66" x14ac:dyDescent="0.25">
      <c r="A202" s="40"/>
      <c r="B202" s="149" t="s">
        <v>1780</v>
      </c>
      <c r="C202" s="1028"/>
      <c r="D202" s="869">
        <v>1</v>
      </c>
      <c r="E202" s="1027" t="s">
        <v>1767</v>
      </c>
      <c r="F202" s="273" t="s">
        <v>3446</v>
      </c>
      <c r="G202" s="1040" t="s">
        <v>3463</v>
      </c>
      <c r="H202" s="273" t="s">
        <v>3462</v>
      </c>
      <c r="I202" s="720">
        <f t="shared" si="43"/>
        <v>34.450000000000003</v>
      </c>
      <c r="J202" s="756">
        <v>34.450000000000003</v>
      </c>
      <c r="K202" s="131">
        <f t="shared" si="35"/>
        <v>34.450000000000003</v>
      </c>
      <c r="L202" s="335">
        <f t="shared" si="38"/>
        <v>0</v>
      </c>
      <c r="M202" s="446"/>
      <c r="N202" s="446"/>
      <c r="O202" s="446"/>
      <c r="P202" s="446"/>
      <c r="Q202" s="110">
        <v>1</v>
      </c>
      <c r="R202" s="111">
        <f t="shared" si="33"/>
        <v>8.6125000000000007</v>
      </c>
      <c r="S202" s="110"/>
      <c r="T202" s="110"/>
      <c r="U202" s="110">
        <v>0</v>
      </c>
      <c r="V202" s="111">
        <f t="shared" si="34"/>
        <v>8.6125000000000007</v>
      </c>
      <c r="W202" s="110"/>
      <c r="X202" s="110"/>
      <c r="Y202" s="110"/>
      <c r="Z202" s="110"/>
      <c r="AA202" s="110">
        <v>0</v>
      </c>
      <c r="AB202" s="111">
        <f t="shared" si="39"/>
        <v>8.6125000000000007</v>
      </c>
      <c r="AC202" s="110"/>
      <c r="AD202" s="110"/>
      <c r="AE202" s="110">
        <v>0</v>
      </c>
      <c r="AF202" s="111">
        <f t="shared" si="36"/>
        <v>8.6125000000000007</v>
      </c>
      <c r="AG202" s="110"/>
      <c r="AH202" s="110"/>
      <c r="AI202" s="110"/>
      <c r="AJ202" s="110"/>
      <c r="AK202" s="111">
        <f t="shared" si="40"/>
        <v>34.450000000000003</v>
      </c>
      <c r="AL202" s="446">
        <f t="shared" si="41"/>
        <v>0</v>
      </c>
      <c r="AM202" s="110">
        <f t="shared" si="42"/>
        <v>1</v>
      </c>
      <c r="AN202" s="447">
        <f t="shared" si="37"/>
        <v>0</v>
      </c>
      <c r="AO202"/>
      <c r="AP202"/>
    </row>
    <row r="203" spans="1:42" ht="66" x14ac:dyDescent="0.25">
      <c r="A203" s="40"/>
      <c r="B203" s="149" t="s">
        <v>1781</v>
      </c>
      <c r="C203" s="1028"/>
      <c r="D203" s="869">
        <v>1</v>
      </c>
      <c r="E203" s="1027" t="s">
        <v>1767</v>
      </c>
      <c r="F203" s="273" t="s">
        <v>3446</v>
      </c>
      <c r="G203" s="1040" t="s">
        <v>3463</v>
      </c>
      <c r="H203" s="273" t="s">
        <v>3462</v>
      </c>
      <c r="I203" s="720">
        <f t="shared" si="43"/>
        <v>34.450000000000003</v>
      </c>
      <c r="J203" s="756">
        <v>34.450000000000003</v>
      </c>
      <c r="K203" s="131">
        <f t="shared" si="35"/>
        <v>34.450000000000003</v>
      </c>
      <c r="L203" s="335">
        <f t="shared" si="38"/>
        <v>0</v>
      </c>
      <c r="M203" s="446"/>
      <c r="N203" s="446"/>
      <c r="O203" s="446"/>
      <c r="P203" s="446"/>
      <c r="Q203" s="110">
        <v>1</v>
      </c>
      <c r="R203" s="111">
        <f t="shared" si="33"/>
        <v>8.6125000000000007</v>
      </c>
      <c r="S203" s="110"/>
      <c r="T203" s="110"/>
      <c r="U203" s="110">
        <v>0</v>
      </c>
      <c r="V203" s="111">
        <f t="shared" si="34"/>
        <v>8.6125000000000007</v>
      </c>
      <c r="W203" s="110"/>
      <c r="X203" s="110"/>
      <c r="Y203" s="110"/>
      <c r="Z203" s="110"/>
      <c r="AA203" s="110">
        <v>0</v>
      </c>
      <c r="AB203" s="111">
        <f t="shared" si="39"/>
        <v>8.6125000000000007</v>
      </c>
      <c r="AC203" s="110"/>
      <c r="AD203" s="110"/>
      <c r="AE203" s="110">
        <v>0</v>
      </c>
      <c r="AF203" s="111">
        <f t="shared" si="36"/>
        <v>8.6125000000000007</v>
      </c>
      <c r="AG203" s="110"/>
      <c r="AH203" s="110"/>
      <c r="AI203" s="110"/>
      <c r="AJ203" s="110"/>
      <c r="AK203" s="111">
        <f t="shared" si="40"/>
        <v>34.450000000000003</v>
      </c>
      <c r="AL203" s="446">
        <f t="shared" si="41"/>
        <v>0</v>
      </c>
      <c r="AM203" s="110">
        <f t="shared" si="42"/>
        <v>1</v>
      </c>
      <c r="AN203" s="447">
        <f t="shared" si="37"/>
        <v>0</v>
      </c>
      <c r="AO203"/>
      <c r="AP203"/>
    </row>
    <row r="204" spans="1:42" ht="66" x14ac:dyDescent="0.25">
      <c r="A204" s="40"/>
      <c r="B204" s="149" t="s">
        <v>1782</v>
      </c>
      <c r="C204" s="1028"/>
      <c r="D204" s="869">
        <v>3</v>
      </c>
      <c r="E204" s="1027" t="s">
        <v>1722</v>
      </c>
      <c r="F204" s="273" t="s">
        <v>3446</v>
      </c>
      <c r="G204" s="1040" t="s">
        <v>3463</v>
      </c>
      <c r="H204" s="273" t="s">
        <v>3462</v>
      </c>
      <c r="I204" s="720">
        <f t="shared" si="43"/>
        <v>17.920000000000002</v>
      </c>
      <c r="J204" s="756">
        <v>53.760000000000005</v>
      </c>
      <c r="K204" s="131">
        <f t="shared" si="35"/>
        <v>53.760000000000005</v>
      </c>
      <c r="L204" s="335">
        <f t="shared" si="38"/>
        <v>0</v>
      </c>
      <c r="M204" s="446"/>
      <c r="N204" s="446"/>
      <c r="O204" s="446"/>
      <c r="P204" s="446"/>
      <c r="Q204" s="130">
        <v>1</v>
      </c>
      <c r="R204" s="111">
        <f t="shared" si="33"/>
        <v>13.440000000000001</v>
      </c>
      <c r="S204" s="110"/>
      <c r="T204" s="110"/>
      <c r="U204" s="130">
        <v>1</v>
      </c>
      <c r="V204" s="111">
        <f t="shared" si="34"/>
        <v>13.440000000000001</v>
      </c>
      <c r="W204" s="110"/>
      <c r="X204" s="110"/>
      <c r="Y204" s="110"/>
      <c r="Z204" s="110"/>
      <c r="AA204" s="130">
        <v>1</v>
      </c>
      <c r="AB204" s="111">
        <f t="shared" si="39"/>
        <v>13.440000000000001</v>
      </c>
      <c r="AC204" s="110"/>
      <c r="AD204" s="110"/>
      <c r="AE204" s="130">
        <v>0</v>
      </c>
      <c r="AF204" s="111">
        <f t="shared" si="36"/>
        <v>13.440000000000001</v>
      </c>
      <c r="AG204" s="110"/>
      <c r="AH204" s="110"/>
      <c r="AI204" s="110"/>
      <c r="AJ204" s="110"/>
      <c r="AK204" s="111">
        <f t="shared" si="40"/>
        <v>53.760000000000005</v>
      </c>
      <c r="AL204" s="446">
        <f t="shared" si="41"/>
        <v>0</v>
      </c>
      <c r="AM204" s="110">
        <f t="shared" si="42"/>
        <v>3</v>
      </c>
      <c r="AN204" s="447">
        <f t="shared" si="37"/>
        <v>0</v>
      </c>
      <c r="AO204"/>
      <c r="AP204"/>
    </row>
    <row r="205" spans="1:42" ht="66" x14ac:dyDescent="0.25">
      <c r="A205" s="40"/>
      <c r="B205" s="149" t="s">
        <v>1783</v>
      </c>
      <c r="C205" s="1028"/>
      <c r="D205" s="869">
        <v>1</v>
      </c>
      <c r="E205" s="1027" t="s">
        <v>1722</v>
      </c>
      <c r="F205" s="273" t="s">
        <v>3446</v>
      </c>
      <c r="G205" s="1040" t="s">
        <v>3463</v>
      </c>
      <c r="H205" s="273" t="s">
        <v>3462</v>
      </c>
      <c r="I205" s="720">
        <f t="shared" si="43"/>
        <v>31.28</v>
      </c>
      <c r="J205" s="756">
        <v>31.28</v>
      </c>
      <c r="K205" s="131">
        <f t="shared" si="35"/>
        <v>31.28</v>
      </c>
      <c r="L205" s="335">
        <f t="shared" si="38"/>
        <v>0</v>
      </c>
      <c r="M205" s="446"/>
      <c r="N205" s="446"/>
      <c r="O205" s="446"/>
      <c r="P205" s="446"/>
      <c r="Q205" s="110">
        <v>1</v>
      </c>
      <c r="R205" s="111">
        <f t="shared" si="33"/>
        <v>7.82</v>
      </c>
      <c r="S205" s="110"/>
      <c r="T205" s="110"/>
      <c r="U205" s="110">
        <v>0</v>
      </c>
      <c r="V205" s="111">
        <f t="shared" si="34"/>
        <v>7.82</v>
      </c>
      <c r="W205" s="110"/>
      <c r="X205" s="110"/>
      <c r="Y205" s="110"/>
      <c r="Z205" s="110"/>
      <c r="AA205" s="110">
        <v>0</v>
      </c>
      <c r="AB205" s="111">
        <f t="shared" si="39"/>
        <v>7.82</v>
      </c>
      <c r="AC205" s="110"/>
      <c r="AD205" s="110"/>
      <c r="AE205" s="110">
        <v>0</v>
      </c>
      <c r="AF205" s="111">
        <f t="shared" si="36"/>
        <v>7.82</v>
      </c>
      <c r="AG205" s="110"/>
      <c r="AH205" s="110"/>
      <c r="AI205" s="110"/>
      <c r="AJ205" s="110"/>
      <c r="AK205" s="111">
        <f t="shared" si="40"/>
        <v>31.28</v>
      </c>
      <c r="AL205" s="446">
        <f t="shared" si="41"/>
        <v>0</v>
      </c>
      <c r="AM205" s="110">
        <f t="shared" si="42"/>
        <v>1</v>
      </c>
      <c r="AN205" s="447">
        <f t="shared" si="37"/>
        <v>0</v>
      </c>
      <c r="AO205"/>
      <c r="AP205"/>
    </row>
    <row r="206" spans="1:42" ht="66" x14ac:dyDescent="0.25">
      <c r="A206" s="40"/>
      <c r="B206" s="149" t="s">
        <v>1784</v>
      </c>
      <c r="C206" s="1028"/>
      <c r="D206" s="869">
        <v>6</v>
      </c>
      <c r="E206" s="1027" t="s">
        <v>1792</v>
      </c>
      <c r="F206" s="273" t="s">
        <v>3446</v>
      </c>
      <c r="G206" s="1040" t="s">
        <v>3463</v>
      </c>
      <c r="H206" s="273" t="s">
        <v>3462</v>
      </c>
      <c r="I206" s="720">
        <f t="shared" si="43"/>
        <v>23.84</v>
      </c>
      <c r="J206" s="756">
        <v>143.04</v>
      </c>
      <c r="K206" s="131">
        <f t="shared" si="35"/>
        <v>143.04</v>
      </c>
      <c r="L206" s="335">
        <f t="shared" si="38"/>
        <v>0</v>
      </c>
      <c r="M206" s="446"/>
      <c r="N206" s="446"/>
      <c r="O206" s="446"/>
      <c r="P206" s="446"/>
      <c r="Q206" s="130">
        <v>2</v>
      </c>
      <c r="R206" s="111">
        <f t="shared" ref="R206:R269" si="44">+J206/4</f>
        <v>35.76</v>
      </c>
      <c r="S206" s="110"/>
      <c r="T206" s="110"/>
      <c r="U206" s="130">
        <v>2</v>
      </c>
      <c r="V206" s="111">
        <f t="shared" ref="V206:V269" si="45">+J206/4</f>
        <v>35.76</v>
      </c>
      <c r="W206" s="110"/>
      <c r="X206" s="110"/>
      <c r="Y206" s="110"/>
      <c r="Z206" s="110"/>
      <c r="AA206" s="130">
        <v>1</v>
      </c>
      <c r="AB206" s="111">
        <f t="shared" si="39"/>
        <v>35.76</v>
      </c>
      <c r="AC206" s="110"/>
      <c r="AD206" s="110"/>
      <c r="AE206" s="130">
        <v>1</v>
      </c>
      <c r="AF206" s="111">
        <f t="shared" si="36"/>
        <v>35.76</v>
      </c>
      <c r="AG206" s="110"/>
      <c r="AH206" s="110"/>
      <c r="AI206" s="110"/>
      <c r="AJ206" s="110"/>
      <c r="AK206" s="111">
        <f t="shared" si="40"/>
        <v>143.04</v>
      </c>
      <c r="AL206" s="446">
        <f t="shared" si="41"/>
        <v>0</v>
      </c>
      <c r="AM206" s="110">
        <f t="shared" si="42"/>
        <v>6</v>
      </c>
      <c r="AN206" s="447">
        <f t="shared" si="37"/>
        <v>0</v>
      </c>
      <c r="AO206"/>
      <c r="AP206"/>
    </row>
    <row r="207" spans="1:42" ht="66" x14ac:dyDescent="0.25">
      <c r="A207" s="40"/>
      <c r="B207" s="149" t="s">
        <v>1785</v>
      </c>
      <c r="C207" s="1028"/>
      <c r="D207" s="869">
        <v>6</v>
      </c>
      <c r="E207" s="1027" t="s">
        <v>1793</v>
      </c>
      <c r="F207" s="273" t="s">
        <v>3446</v>
      </c>
      <c r="G207" s="1040" t="s">
        <v>3463</v>
      </c>
      <c r="H207" s="273" t="s">
        <v>3462</v>
      </c>
      <c r="I207" s="720">
        <f t="shared" si="43"/>
        <v>23.84</v>
      </c>
      <c r="J207" s="756">
        <v>143.04</v>
      </c>
      <c r="K207" s="131">
        <f t="shared" ref="K207:K270" si="46">+D207*I207</f>
        <v>143.04</v>
      </c>
      <c r="L207" s="335">
        <f t="shared" si="38"/>
        <v>0</v>
      </c>
      <c r="M207" s="446"/>
      <c r="N207" s="446"/>
      <c r="O207" s="446"/>
      <c r="P207" s="446"/>
      <c r="Q207" s="130">
        <v>2</v>
      </c>
      <c r="R207" s="111">
        <f t="shared" si="44"/>
        <v>35.76</v>
      </c>
      <c r="S207" s="110"/>
      <c r="T207" s="110"/>
      <c r="U207" s="130">
        <v>2</v>
      </c>
      <c r="V207" s="111">
        <f t="shared" si="45"/>
        <v>35.76</v>
      </c>
      <c r="W207" s="110"/>
      <c r="X207" s="110"/>
      <c r="Y207" s="110"/>
      <c r="Z207" s="110"/>
      <c r="AA207" s="130">
        <v>1</v>
      </c>
      <c r="AB207" s="111">
        <f t="shared" si="39"/>
        <v>35.76</v>
      </c>
      <c r="AC207" s="110"/>
      <c r="AD207" s="110"/>
      <c r="AE207" s="130">
        <v>1</v>
      </c>
      <c r="AF207" s="111">
        <f t="shared" ref="AF207:AF270" si="47">+J207/4</f>
        <v>35.76</v>
      </c>
      <c r="AG207" s="110"/>
      <c r="AH207" s="110"/>
      <c r="AI207" s="110"/>
      <c r="AJ207" s="110"/>
      <c r="AK207" s="111">
        <f t="shared" si="40"/>
        <v>143.04</v>
      </c>
      <c r="AL207" s="446">
        <f t="shared" si="41"/>
        <v>0</v>
      </c>
      <c r="AM207" s="110">
        <f t="shared" si="42"/>
        <v>6</v>
      </c>
      <c r="AN207" s="447">
        <f t="shared" ref="AN207:AN270" si="48">+D207-AM207</f>
        <v>0</v>
      </c>
      <c r="AO207"/>
      <c r="AP207"/>
    </row>
    <row r="208" spans="1:42" ht="66" x14ac:dyDescent="0.25">
      <c r="A208" s="40"/>
      <c r="B208" s="149" t="s">
        <v>1786</v>
      </c>
      <c r="C208" s="1028"/>
      <c r="D208" s="869">
        <v>4</v>
      </c>
      <c r="E208" s="1027" t="s">
        <v>1722</v>
      </c>
      <c r="F208" s="273" t="s">
        <v>3446</v>
      </c>
      <c r="G208" s="1040" t="s">
        <v>3463</v>
      </c>
      <c r="H208" s="273" t="s">
        <v>3462</v>
      </c>
      <c r="I208" s="720">
        <f t="shared" si="43"/>
        <v>49.4</v>
      </c>
      <c r="J208" s="756">
        <v>197.6</v>
      </c>
      <c r="K208" s="131">
        <f t="shared" si="46"/>
        <v>197.6</v>
      </c>
      <c r="L208" s="335">
        <f t="shared" ref="L208:L271" si="49">+J208-K208</f>
        <v>0</v>
      </c>
      <c r="M208" s="446"/>
      <c r="N208" s="446"/>
      <c r="O208" s="446"/>
      <c r="P208" s="446"/>
      <c r="Q208" s="110">
        <f t="shared" ref="Q208:Q253" si="50">+$D208/4</f>
        <v>1</v>
      </c>
      <c r="R208" s="111">
        <f t="shared" si="44"/>
        <v>49.4</v>
      </c>
      <c r="S208" s="110"/>
      <c r="T208" s="110"/>
      <c r="U208" s="110">
        <f t="shared" ref="U208:U253" si="51">+$D208/4</f>
        <v>1</v>
      </c>
      <c r="V208" s="111">
        <f t="shared" si="45"/>
        <v>49.4</v>
      </c>
      <c r="W208" s="110"/>
      <c r="X208" s="110"/>
      <c r="Y208" s="110"/>
      <c r="Z208" s="110"/>
      <c r="AA208" s="110">
        <f t="shared" ref="AA208:AE253" si="52">+$D208/4</f>
        <v>1</v>
      </c>
      <c r="AB208" s="111">
        <f t="shared" ref="AB208:AB270" si="53">+J208/4</f>
        <v>49.4</v>
      </c>
      <c r="AC208" s="110"/>
      <c r="AD208" s="110"/>
      <c r="AE208" s="110">
        <f t="shared" si="52"/>
        <v>1</v>
      </c>
      <c r="AF208" s="111">
        <f t="shared" si="47"/>
        <v>49.4</v>
      </c>
      <c r="AG208" s="110"/>
      <c r="AH208" s="110"/>
      <c r="AI208" s="110"/>
      <c r="AJ208" s="110"/>
      <c r="AK208" s="111">
        <f t="shared" ref="AK208:AK271" si="54">+R208+V208+AB208+AF208</f>
        <v>197.6</v>
      </c>
      <c r="AL208" s="446">
        <f t="shared" ref="AL208:AL271" si="55">+J208-AK208</f>
        <v>0</v>
      </c>
      <c r="AM208" s="110">
        <f t="shared" ref="AM208:AM271" si="56">+Q208+U208+AA208+AE208</f>
        <v>4</v>
      </c>
      <c r="AN208" s="447">
        <f t="shared" si="48"/>
        <v>0</v>
      </c>
      <c r="AO208"/>
      <c r="AP208"/>
    </row>
    <row r="209" spans="1:42" ht="66" x14ac:dyDescent="0.25">
      <c r="A209" s="40"/>
      <c r="B209" s="149" t="s">
        <v>1787</v>
      </c>
      <c r="C209" s="1028"/>
      <c r="D209" s="869">
        <v>2</v>
      </c>
      <c r="E209" s="1027" t="s">
        <v>1793</v>
      </c>
      <c r="F209" s="273" t="s">
        <v>3446</v>
      </c>
      <c r="G209" s="1040" t="s">
        <v>3463</v>
      </c>
      <c r="H209" s="273" t="s">
        <v>3462</v>
      </c>
      <c r="I209" s="720">
        <f t="shared" si="43"/>
        <v>68.900000000000006</v>
      </c>
      <c r="J209" s="756">
        <v>137.80000000000001</v>
      </c>
      <c r="K209" s="131">
        <f t="shared" si="46"/>
        <v>137.80000000000001</v>
      </c>
      <c r="L209" s="335">
        <f t="shared" si="49"/>
        <v>0</v>
      </c>
      <c r="M209" s="446"/>
      <c r="N209" s="446"/>
      <c r="O209" s="446"/>
      <c r="P209" s="446"/>
      <c r="Q209" s="130">
        <v>1</v>
      </c>
      <c r="R209" s="111">
        <f t="shared" si="44"/>
        <v>34.450000000000003</v>
      </c>
      <c r="S209" s="110"/>
      <c r="T209" s="110"/>
      <c r="U209" s="130">
        <v>1</v>
      </c>
      <c r="V209" s="111">
        <f t="shared" si="45"/>
        <v>34.450000000000003</v>
      </c>
      <c r="W209" s="110"/>
      <c r="X209" s="110"/>
      <c r="Y209" s="110"/>
      <c r="Z209" s="110"/>
      <c r="AA209" s="130">
        <v>0</v>
      </c>
      <c r="AB209" s="111">
        <f t="shared" si="53"/>
        <v>34.450000000000003</v>
      </c>
      <c r="AC209" s="110"/>
      <c r="AD209" s="110"/>
      <c r="AE209" s="130">
        <v>0</v>
      </c>
      <c r="AF209" s="111">
        <f t="shared" si="47"/>
        <v>34.450000000000003</v>
      </c>
      <c r="AG209" s="110"/>
      <c r="AH209" s="110"/>
      <c r="AI209" s="110"/>
      <c r="AJ209" s="110"/>
      <c r="AK209" s="111">
        <f t="shared" si="54"/>
        <v>137.80000000000001</v>
      </c>
      <c r="AL209" s="446">
        <f t="shared" si="55"/>
        <v>0</v>
      </c>
      <c r="AM209" s="110">
        <f t="shared" si="56"/>
        <v>2</v>
      </c>
      <c r="AN209" s="447">
        <f t="shared" si="48"/>
        <v>0</v>
      </c>
      <c r="AO209"/>
      <c r="AP209"/>
    </row>
    <row r="210" spans="1:42" ht="66" x14ac:dyDescent="0.25">
      <c r="A210" s="40"/>
      <c r="B210" s="149" t="s">
        <v>1788</v>
      </c>
      <c r="C210" s="1028"/>
      <c r="D210" s="869">
        <v>2</v>
      </c>
      <c r="E210" s="1027" t="s">
        <v>1793</v>
      </c>
      <c r="F210" s="273" t="s">
        <v>3446</v>
      </c>
      <c r="G210" s="1040" t="s">
        <v>3463</v>
      </c>
      <c r="H210" s="273" t="s">
        <v>3462</v>
      </c>
      <c r="I210" s="720">
        <f t="shared" si="43"/>
        <v>25.7</v>
      </c>
      <c r="J210" s="756">
        <v>51.4</v>
      </c>
      <c r="K210" s="131">
        <f t="shared" si="46"/>
        <v>51.4</v>
      </c>
      <c r="L210" s="335">
        <f t="shared" si="49"/>
        <v>0</v>
      </c>
      <c r="M210" s="446"/>
      <c r="N210" s="446"/>
      <c r="O210" s="446"/>
      <c r="P210" s="446"/>
      <c r="Q210" s="130">
        <v>1</v>
      </c>
      <c r="R210" s="111">
        <f t="shared" si="44"/>
        <v>12.85</v>
      </c>
      <c r="S210" s="110"/>
      <c r="T210" s="110"/>
      <c r="U210" s="130">
        <v>1</v>
      </c>
      <c r="V210" s="111">
        <f t="shared" si="45"/>
        <v>12.85</v>
      </c>
      <c r="W210" s="110"/>
      <c r="X210" s="110"/>
      <c r="Y210" s="110"/>
      <c r="Z210" s="110"/>
      <c r="AA210" s="130">
        <v>0</v>
      </c>
      <c r="AB210" s="111">
        <f t="shared" si="53"/>
        <v>12.85</v>
      </c>
      <c r="AC210" s="110"/>
      <c r="AD210" s="110"/>
      <c r="AE210" s="130">
        <v>0</v>
      </c>
      <c r="AF210" s="111">
        <f t="shared" si="47"/>
        <v>12.85</v>
      </c>
      <c r="AG210" s="110"/>
      <c r="AH210" s="110"/>
      <c r="AI210" s="110"/>
      <c r="AJ210" s="110"/>
      <c r="AK210" s="111">
        <f t="shared" si="54"/>
        <v>51.4</v>
      </c>
      <c r="AL210" s="446">
        <f t="shared" si="55"/>
        <v>0</v>
      </c>
      <c r="AM210" s="110">
        <f t="shared" si="56"/>
        <v>2</v>
      </c>
      <c r="AN210" s="447">
        <f t="shared" si="48"/>
        <v>0</v>
      </c>
      <c r="AO210"/>
      <c r="AP210"/>
    </row>
    <row r="211" spans="1:42" ht="66" x14ac:dyDescent="0.25">
      <c r="A211" s="40"/>
      <c r="B211" s="149" t="s">
        <v>1789</v>
      </c>
      <c r="C211" s="1028"/>
      <c r="D211" s="869">
        <v>1</v>
      </c>
      <c r="E211" s="1027" t="s">
        <v>1722</v>
      </c>
      <c r="F211" s="273" t="s">
        <v>3446</v>
      </c>
      <c r="G211" s="1040" t="s">
        <v>3463</v>
      </c>
      <c r="H211" s="273" t="s">
        <v>3462</v>
      </c>
      <c r="I211" s="720">
        <f t="shared" si="43"/>
        <v>49.4</v>
      </c>
      <c r="J211" s="756">
        <v>49.4</v>
      </c>
      <c r="K211" s="131">
        <f t="shared" si="46"/>
        <v>49.4</v>
      </c>
      <c r="L211" s="335">
        <f t="shared" si="49"/>
        <v>0</v>
      </c>
      <c r="M211" s="446"/>
      <c r="N211" s="446"/>
      <c r="O211" s="446"/>
      <c r="P211" s="446"/>
      <c r="Q211" s="110">
        <v>1</v>
      </c>
      <c r="R211" s="111">
        <f t="shared" si="44"/>
        <v>12.35</v>
      </c>
      <c r="S211" s="110"/>
      <c r="T211" s="110"/>
      <c r="U211" s="110">
        <v>0</v>
      </c>
      <c r="V211" s="111">
        <f t="shared" si="45"/>
        <v>12.35</v>
      </c>
      <c r="W211" s="110"/>
      <c r="X211" s="110"/>
      <c r="Y211" s="110"/>
      <c r="Z211" s="110"/>
      <c r="AA211" s="110">
        <v>0</v>
      </c>
      <c r="AB211" s="111">
        <f t="shared" si="53"/>
        <v>12.35</v>
      </c>
      <c r="AC211" s="110"/>
      <c r="AD211" s="110"/>
      <c r="AE211" s="110">
        <v>0</v>
      </c>
      <c r="AF211" s="111">
        <f t="shared" si="47"/>
        <v>12.35</v>
      </c>
      <c r="AG211" s="110"/>
      <c r="AH211" s="110"/>
      <c r="AI211" s="110"/>
      <c r="AJ211" s="110"/>
      <c r="AK211" s="111">
        <f t="shared" si="54"/>
        <v>49.4</v>
      </c>
      <c r="AL211" s="446">
        <f t="shared" si="55"/>
        <v>0</v>
      </c>
      <c r="AM211" s="110">
        <f t="shared" si="56"/>
        <v>1</v>
      </c>
      <c r="AN211" s="447">
        <f t="shared" si="48"/>
        <v>0</v>
      </c>
      <c r="AO211"/>
      <c r="AP211"/>
    </row>
    <row r="212" spans="1:42" ht="66" x14ac:dyDescent="0.25">
      <c r="A212" s="40"/>
      <c r="B212" s="37" t="s">
        <v>1790</v>
      </c>
      <c r="C212" s="1028"/>
      <c r="D212" s="869">
        <v>6</v>
      </c>
      <c r="E212" s="1027" t="s">
        <v>1767</v>
      </c>
      <c r="F212" s="273" t="s">
        <v>3446</v>
      </c>
      <c r="G212" s="1040" t="s">
        <v>3463</v>
      </c>
      <c r="H212" s="273" t="s">
        <v>3462</v>
      </c>
      <c r="I212" s="720">
        <f t="shared" si="43"/>
        <v>26.820000000000004</v>
      </c>
      <c r="J212" s="756">
        <v>160.92000000000002</v>
      </c>
      <c r="K212" s="131">
        <f t="shared" si="46"/>
        <v>160.92000000000002</v>
      </c>
      <c r="L212" s="335">
        <f t="shared" si="49"/>
        <v>0</v>
      </c>
      <c r="M212" s="446"/>
      <c r="N212" s="446"/>
      <c r="O212" s="446"/>
      <c r="P212" s="446"/>
      <c r="Q212" s="130">
        <v>2</v>
      </c>
      <c r="R212" s="111">
        <f t="shared" si="44"/>
        <v>40.230000000000004</v>
      </c>
      <c r="S212" s="110"/>
      <c r="T212" s="110"/>
      <c r="U212" s="130">
        <v>2</v>
      </c>
      <c r="V212" s="111">
        <f t="shared" si="45"/>
        <v>40.230000000000004</v>
      </c>
      <c r="W212" s="110"/>
      <c r="X212" s="110"/>
      <c r="Y212" s="110"/>
      <c r="Z212" s="110"/>
      <c r="AA212" s="130">
        <v>1</v>
      </c>
      <c r="AB212" s="111">
        <f t="shared" si="53"/>
        <v>40.230000000000004</v>
      </c>
      <c r="AC212" s="110"/>
      <c r="AD212" s="110"/>
      <c r="AE212" s="130">
        <v>1</v>
      </c>
      <c r="AF212" s="111">
        <f t="shared" si="47"/>
        <v>40.230000000000004</v>
      </c>
      <c r="AG212" s="110"/>
      <c r="AH212" s="110"/>
      <c r="AI212" s="110"/>
      <c r="AJ212" s="110"/>
      <c r="AK212" s="111">
        <f t="shared" si="54"/>
        <v>160.92000000000002</v>
      </c>
      <c r="AL212" s="446">
        <f t="shared" si="55"/>
        <v>0</v>
      </c>
      <c r="AM212" s="110">
        <f t="shared" si="56"/>
        <v>6</v>
      </c>
      <c r="AN212" s="447">
        <f t="shared" si="48"/>
        <v>0</v>
      </c>
      <c r="AO212"/>
      <c r="AP212"/>
    </row>
    <row r="213" spans="1:42" ht="66" x14ac:dyDescent="0.25">
      <c r="A213" s="40"/>
      <c r="B213" s="476" t="s">
        <v>20</v>
      </c>
      <c r="C213" s="1028"/>
      <c r="D213" s="869">
        <v>18</v>
      </c>
      <c r="E213" s="250" t="s">
        <v>1722</v>
      </c>
      <c r="F213" s="273" t="s">
        <v>3446</v>
      </c>
      <c r="G213" s="1040" t="s">
        <v>3463</v>
      </c>
      <c r="H213" s="273" t="s">
        <v>3462</v>
      </c>
      <c r="I213" s="720">
        <f t="shared" si="43"/>
        <v>49.4</v>
      </c>
      <c r="J213" s="756">
        <v>889.19999999999993</v>
      </c>
      <c r="K213" s="131">
        <f t="shared" si="46"/>
        <v>889.19999999999993</v>
      </c>
      <c r="L213" s="335">
        <f t="shared" si="49"/>
        <v>0</v>
      </c>
      <c r="M213" s="446"/>
      <c r="N213" s="446"/>
      <c r="O213" s="446"/>
      <c r="P213" s="446"/>
      <c r="Q213" s="110">
        <v>5</v>
      </c>
      <c r="R213" s="111">
        <f t="shared" si="44"/>
        <v>222.29999999999998</v>
      </c>
      <c r="S213" s="110"/>
      <c r="T213" s="110"/>
      <c r="U213" s="110">
        <v>5</v>
      </c>
      <c r="V213" s="111">
        <f t="shared" si="45"/>
        <v>222.29999999999998</v>
      </c>
      <c r="W213" s="110"/>
      <c r="X213" s="110"/>
      <c r="Y213" s="110"/>
      <c r="Z213" s="110"/>
      <c r="AA213" s="110">
        <v>4</v>
      </c>
      <c r="AB213" s="111">
        <f t="shared" si="53"/>
        <v>222.29999999999998</v>
      </c>
      <c r="AC213" s="110"/>
      <c r="AD213" s="110"/>
      <c r="AE213" s="110">
        <v>4</v>
      </c>
      <c r="AF213" s="111">
        <f t="shared" si="47"/>
        <v>222.29999999999998</v>
      </c>
      <c r="AG213" s="110"/>
      <c r="AH213" s="110"/>
      <c r="AI213" s="110"/>
      <c r="AJ213" s="110"/>
      <c r="AK213" s="111">
        <f t="shared" si="54"/>
        <v>889.19999999999993</v>
      </c>
      <c r="AL213" s="446">
        <f t="shared" si="55"/>
        <v>0</v>
      </c>
      <c r="AM213" s="110">
        <f t="shared" si="56"/>
        <v>18</v>
      </c>
      <c r="AN213" s="447">
        <f t="shared" si="48"/>
        <v>0</v>
      </c>
      <c r="AO213"/>
      <c r="AP213"/>
    </row>
    <row r="214" spans="1:42" ht="66" x14ac:dyDescent="0.25">
      <c r="A214" s="40"/>
      <c r="B214" s="476" t="s">
        <v>113</v>
      </c>
      <c r="C214" s="1028"/>
      <c r="D214" s="869">
        <v>2</v>
      </c>
      <c r="E214" s="250" t="s">
        <v>1721</v>
      </c>
      <c r="F214" s="273" t="s">
        <v>3446</v>
      </c>
      <c r="G214" s="1040" t="s">
        <v>3463</v>
      </c>
      <c r="H214" s="273" t="s">
        <v>3462</v>
      </c>
      <c r="I214" s="720">
        <f t="shared" si="43"/>
        <v>275.62</v>
      </c>
      <c r="J214" s="756">
        <v>551.24</v>
      </c>
      <c r="K214" s="131">
        <f t="shared" si="46"/>
        <v>551.24</v>
      </c>
      <c r="L214" s="335">
        <f t="shared" si="49"/>
        <v>0</v>
      </c>
      <c r="M214" s="446"/>
      <c r="N214" s="446"/>
      <c r="O214" s="446"/>
      <c r="P214" s="446"/>
      <c r="Q214" s="130">
        <v>1</v>
      </c>
      <c r="R214" s="111">
        <f t="shared" si="44"/>
        <v>137.81</v>
      </c>
      <c r="S214" s="110"/>
      <c r="T214" s="110"/>
      <c r="U214" s="130">
        <v>1</v>
      </c>
      <c r="V214" s="111">
        <f t="shared" si="45"/>
        <v>137.81</v>
      </c>
      <c r="W214" s="110"/>
      <c r="X214" s="110"/>
      <c r="Y214" s="110"/>
      <c r="Z214" s="110"/>
      <c r="AA214" s="130">
        <v>0</v>
      </c>
      <c r="AB214" s="111">
        <f t="shared" si="53"/>
        <v>137.81</v>
      </c>
      <c r="AC214" s="110"/>
      <c r="AD214" s="110"/>
      <c r="AE214" s="130">
        <v>0</v>
      </c>
      <c r="AF214" s="111">
        <f t="shared" si="47"/>
        <v>137.81</v>
      </c>
      <c r="AG214" s="110"/>
      <c r="AH214" s="110"/>
      <c r="AI214" s="110"/>
      <c r="AJ214" s="110"/>
      <c r="AK214" s="111">
        <f t="shared" si="54"/>
        <v>551.24</v>
      </c>
      <c r="AL214" s="446">
        <f t="shared" si="55"/>
        <v>0</v>
      </c>
      <c r="AM214" s="110">
        <f t="shared" si="56"/>
        <v>2</v>
      </c>
      <c r="AN214" s="447">
        <f t="shared" si="48"/>
        <v>0</v>
      </c>
      <c r="AO214"/>
      <c r="AP214"/>
    </row>
    <row r="215" spans="1:42" ht="66" x14ac:dyDescent="0.25">
      <c r="A215" s="40"/>
      <c r="B215" s="476" t="s">
        <v>21</v>
      </c>
      <c r="C215" s="1028"/>
      <c r="D215" s="869">
        <v>12</v>
      </c>
      <c r="E215" s="250" t="s">
        <v>1722</v>
      </c>
      <c r="F215" s="273" t="s">
        <v>3446</v>
      </c>
      <c r="G215" s="1040" t="s">
        <v>3463</v>
      </c>
      <c r="H215" s="273" t="s">
        <v>3462</v>
      </c>
      <c r="I215" s="720">
        <f t="shared" si="43"/>
        <v>49.4</v>
      </c>
      <c r="J215" s="756">
        <v>592.79999999999995</v>
      </c>
      <c r="K215" s="131">
        <f t="shared" si="46"/>
        <v>592.79999999999995</v>
      </c>
      <c r="L215" s="335">
        <f t="shared" si="49"/>
        <v>0</v>
      </c>
      <c r="M215" s="446"/>
      <c r="N215" s="446"/>
      <c r="O215" s="446"/>
      <c r="P215" s="446"/>
      <c r="Q215" s="110">
        <f t="shared" si="50"/>
        <v>3</v>
      </c>
      <c r="R215" s="111">
        <f t="shared" si="44"/>
        <v>148.19999999999999</v>
      </c>
      <c r="S215" s="110"/>
      <c r="T215" s="110"/>
      <c r="U215" s="110">
        <f t="shared" si="51"/>
        <v>3</v>
      </c>
      <c r="V215" s="111">
        <f t="shared" si="45"/>
        <v>148.19999999999999</v>
      </c>
      <c r="W215" s="110"/>
      <c r="X215" s="110"/>
      <c r="Y215" s="110"/>
      <c r="Z215" s="110"/>
      <c r="AA215" s="110">
        <f t="shared" si="52"/>
        <v>3</v>
      </c>
      <c r="AB215" s="111">
        <f t="shared" si="53"/>
        <v>148.19999999999999</v>
      </c>
      <c r="AC215" s="110"/>
      <c r="AD215" s="110"/>
      <c r="AE215" s="110">
        <f t="shared" si="52"/>
        <v>3</v>
      </c>
      <c r="AF215" s="111">
        <f t="shared" si="47"/>
        <v>148.19999999999999</v>
      </c>
      <c r="AG215" s="110"/>
      <c r="AH215" s="110"/>
      <c r="AI215" s="110"/>
      <c r="AJ215" s="110"/>
      <c r="AK215" s="111">
        <f t="shared" si="54"/>
        <v>592.79999999999995</v>
      </c>
      <c r="AL215" s="446">
        <f t="shared" si="55"/>
        <v>0</v>
      </c>
      <c r="AM215" s="110">
        <f t="shared" si="56"/>
        <v>12</v>
      </c>
      <c r="AN215" s="447">
        <f t="shared" si="48"/>
        <v>0</v>
      </c>
      <c r="AO215"/>
      <c r="AP215"/>
    </row>
    <row r="216" spans="1:42" ht="66" x14ac:dyDescent="0.25">
      <c r="A216" s="40"/>
      <c r="B216" s="476" t="s">
        <v>23</v>
      </c>
      <c r="C216" s="1028"/>
      <c r="D216" s="869">
        <v>12</v>
      </c>
      <c r="E216" s="250" t="s">
        <v>1723</v>
      </c>
      <c r="F216" s="273" t="s">
        <v>3446</v>
      </c>
      <c r="G216" s="1040" t="s">
        <v>3463</v>
      </c>
      <c r="H216" s="273" t="s">
        <v>3462</v>
      </c>
      <c r="I216" s="720">
        <f t="shared" si="43"/>
        <v>5.94</v>
      </c>
      <c r="J216" s="756">
        <v>71.28</v>
      </c>
      <c r="K216" s="131">
        <f>+D216*I216</f>
        <v>71.28</v>
      </c>
      <c r="L216" s="335">
        <f t="shared" si="49"/>
        <v>0</v>
      </c>
      <c r="M216" s="446"/>
      <c r="N216" s="446"/>
      <c r="O216" s="446"/>
      <c r="P216" s="446"/>
      <c r="Q216" s="110">
        <f t="shared" si="50"/>
        <v>3</v>
      </c>
      <c r="R216" s="111">
        <f t="shared" si="44"/>
        <v>17.82</v>
      </c>
      <c r="S216" s="110"/>
      <c r="T216" s="110"/>
      <c r="U216" s="110">
        <f t="shared" si="51"/>
        <v>3</v>
      </c>
      <c r="V216" s="111">
        <f t="shared" si="45"/>
        <v>17.82</v>
      </c>
      <c r="W216" s="110"/>
      <c r="X216" s="110"/>
      <c r="Y216" s="110"/>
      <c r="Z216" s="110"/>
      <c r="AA216" s="110">
        <f t="shared" si="52"/>
        <v>3</v>
      </c>
      <c r="AB216" s="111">
        <f t="shared" si="53"/>
        <v>17.82</v>
      </c>
      <c r="AC216" s="110"/>
      <c r="AD216" s="110"/>
      <c r="AE216" s="110">
        <f t="shared" si="52"/>
        <v>3</v>
      </c>
      <c r="AF216" s="111">
        <f t="shared" si="47"/>
        <v>17.82</v>
      </c>
      <c r="AG216" s="110"/>
      <c r="AH216" s="110"/>
      <c r="AI216" s="110"/>
      <c r="AJ216" s="110"/>
      <c r="AK216" s="111">
        <f t="shared" si="54"/>
        <v>71.28</v>
      </c>
      <c r="AL216" s="446">
        <f t="shared" si="55"/>
        <v>0</v>
      </c>
      <c r="AM216" s="110">
        <f t="shared" si="56"/>
        <v>12</v>
      </c>
      <c r="AN216" s="447">
        <f t="shared" si="48"/>
        <v>0</v>
      </c>
      <c r="AO216"/>
      <c r="AP216"/>
    </row>
    <row r="217" spans="1:42" ht="66" x14ac:dyDescent="0.25">
      <c r="A217" s="40"/>
      <c r="B217" s="476" t="s">
        <v>25</v>
      </c>
      <c r="C217" s="1028"/>
      <c r="D217" s="869">
        <v>12</v>
      </c>
      <c r="E217" s="250" t="s">
        <v>1722</v>
      </c>
      <c r="F217" s="273" t="s">
        <v>3446</v>
      </c>
      <c r="G217" s="1040" t="s">
        <v>3463</v>
      </c>
      <c r="H217" s="273" t="s">
        <v>3462</v>
      </c>
      <c r="I217" s="720">
        <f t="shared" si="43"/>
        <v>45.48</v>
      </c>
      <c r="J217" s="756">
        <v>545.76</v>
      </c>
      <c r="K217" s="131">
        <f t="shared" si="46"/>
        <v>545.76</v>
      </c>
      <c r="L217" s="335">
        <f t="shared" si="49"/>
        <v>0</v>
      </c>
      <c r="M217" s="446"/>
      <c r="N217" s="446"/>
      <c r="O217" s="446"/>
      <c r="P217" s="446"/>
      <c r="Q217" s="110">
        <f t="shared" si="50"/>
        <v>3</v>
      </c>
      <c r="R217" s="111">
        <f t="shared" si="44"/>
        <v>136.44</v>
      </c>
      <c r="S217" s="110"/>
      <c r="T217" s="110"/>
      <c r="U217" s="110">
        <f t="shared" si="51"/>
        <v>3</v>
      </c>
      <c r="V217" s="111">
        <f t="shared" si="45"/>
        <v>136.44</v>
      </c>
      <c r="W217" s="110"/>
      <c r="X217" s="110"/>
      <c r="Y217" s="110"/>
      <c r="Z217" s="110"/>
      <c r="AA217" s="110">
        <f t="shared" si="52"/>
        <v>3</v>
      </c>
      <c r="AB217" s="111">
        <f t="shared" si="53"/>
        <v>136.44</v>
      </c>
      <c r="AC217" s="110"/>
      <c r="AD217" s="110"/>
      <c r="AE217" s="110">
        <f t="shared" si="52"/>
        <v>3</v>
      </c>
      <c r="AF217" s="111">
        <f t="shared" si="47"/>
        <v>136.44</v>
      </c>
      <c r="AG217" s="110"/>
      <c r="AH217" s="110"/>
      <c r="AI217" s="110"/>
      <c r="AJ217" s="110"/>
      <c r="AK217" s="111">
        <f t="shared" si="54"/>
        <v>545.76</v>
      </c>
      <c r="AL217" s="446">
        <f t="shared" si="55"/>
        <v>0</v>
      </c>
      <c r="AM217" s="110">
        <f t="shared" si="56"/>
        <v>12</v>
      </c>
      <c r="AN217" s="447">
        <f t="shared" si="48"/>
        <v>0</v>
      </c>
      <c r="AO217"/>
      <c r="AP217"/>
    </row>
    <row r="218" spans="1:42" ht="66" x14ac:dyDescent="0.25">
      <c r="A218" s="40"/>
      <c r="B218" s="476" t="s">
        <v>34</v>
      </c>
      <c r="C218" s="1028"/>
      <c r="D218" s="869">
        <v>6</v>
      </c>
      <c r="E218" s="250" t="s">
        <v>1723</v>
      </c>
      <c r="F218" s="273" t="s">
        <v>3446</v>
      </c>
      <c r="G218" s="1040" t="s">
        <v>3463</v>
      </c>
      <c r="H218" s="273" t="s">
        <v>3462</v>
      </c>
      <c r="I218" s="720">
        <f t="shared" si="43"/>
        <v>17.420000000000002</v>
      </c>
      <c r="J218" s="756">
        <v>104.52000000000001</v>
      </c>
      <c r="K218" s="131">
        <f t="shared" si="46"/>
        <v>104.52000000000001</v>
      </c>
      <c r="L218" s="335">
        <f t="shared" si="49"/>
        <v>0</v>
      </c>
      <c r="M218" s="446"/>
      <c r="N218" s="446"/>
      <c r="O218" s="446"/>
      <c r="P218" s="446"/>
      <c r="Q218" s="130">
        <v>2</v>
      </c>
      <c r="R218" s="111">
        <f t="shared" si="44"/>
        <v>26.130000000000003</v>
      </c>
      <c r="S218" s="110"/>
      <c r="T218" s="110"/>
      <c r="U218" s="130">
        <v>2</v>
      </c>
      <c r="V218" s="111">
        <f t="shared" si="45"/>
        <v>26.130000000000003</v>
      </c>
      <c r="W218" s="110"/>
      <c r="X218" s="110"/>
      <c r="Y218" s="110"/>
      <c r="Z218" s="110"/>
      <c r="AA218" s="130">
        <v>1</v>
      </c>
      <c r="AB218" s="111">
        <f t="shared" si="53"/>
        <v>26.130000000000003</v>
      </c>
      <c r="AC218" s="110"/>
      <c r="AD218" s="110"/>
      <c r="AE218" s="130">
        <v>1</v>
      </c>
      <c r="AF218" s="111">
        <f t="shared" si="47"/>
        <v>26.130000000000003</v>
      </c>
      <c r="AG218" s="110"/>
      <c r="AH218" s="110"/>
      <c r="AI218" s="110"/>
      <c r="AJ218" s="110"/>
      <c r="AK218" s="111">
        <f t="shared" si="54"/>
        <v>104.52000000000001</v>
      </c>
      <c r="AL218" s="446">
        <f t="shared" si="55"/>
        <v>0</v>
      </c>
      <c r="AM218" s="110">
        <f t="shared" si="56"/>
        <v>6</v>
      </c>
      <c r="AN218" s="447">
        <f t="shared" si="48"/>
        <v>0</v>
      </c>
      <c r="AO218"/>
      <c r="AP218"/>
    </row>
    <row r="219" spans="1:42" ht="66" x14ac:dyDescent="0.25">
      <c r="A219" s="40"/>
      <c r="B219" s="476" t="s">
        <v>35</v>
      </c>
      <c r="C219" s="1028"/>
      <c r="D219" s="869">
        <v>12</v>
      </c>
      <c r="E219" s="250" t="s">
        <v>1723</v>
      </c>
      <c r="F219" s="273" t="s">
        <v>3446</v>
      </c>
      <c r="G219" s="1040" t="s">
        <v>3463</v>
      </c>
      <c r="H219" s="273" t="s">
        <v>3462</v>
      </c>
      <c r="I219" s="720">
        <f t="shared" si="43"/>
        <v>23.84</v>
      </c>
      <c r="J219" s="756">
        <v>286.08</v>
      </c>
      <c r="K219" s="131">
        <f t="shared" si="46"/>
        <v>286.08</v>
      </c>
      <c r="L219" s="335">
        <f t="shared" si="49"/>
        <v>0</v>
      </c>
      <c r="M219" s="446"/>
      <c r="N219" s="446"/>
      <c r="O219" s="446"/>
      <c r="P219" s="446"/>
      <c r="Q219" s="110">
        <f t="shared" si="50"/>
        <v>3</v>
      </c>
      <c r="R219" s="111">
        <f t="shared" si="44"/>
        <v>71.52</v>
      </c>
      <c r="S219" s="110"/>
      <c r="T219" s="110"/>
      <c r="U219" s="110">
        <f t="shared" si="51"/>
        <v>3</v>
      </c>
      <c r="V219" s="111">
        <f t="shared" si="45"/>
        <v>71.52</v>
      </c>
      <c r="W219" s="110"/>
      <c r="X219" s="110"/>
      <c r="Y219" s="110"/>
      <c r="Z219" s="110"/>
      <c r="AA219" s="110">
        <f t="shared" si="52"/>
        <v>3</v>
      </c>
      <c r="AB219" s="111">
        <f t="shared" si="53"/>
        <v>71.52</v>
      </c>
      <c r="AC219" s="110"/>
      <c r="AD219" s="110"/>
      <c r="AE219" s="110">
        <f t="shared" si="52"/>
        <v>3</v>
      </c>
      <c r="AF219" s="111">
        <f t="shared" si="47"/>
        <v>71.52</v>
      </c>
      <c r="AG219" s="110"/>
      <c r="AH219" s="110"/>
      <c r="AI219" s="110"/>
      <c r="AJ219" s="110"/>
      <c r="AK219" s="111">
        <f t="shared" si="54"/>
        <v>286.08</v>
      </c>
      <c r="AL219" s="446">
        <f t="shared" si="55"/>
        <v>0</v>
      </c>
      <c r="AM219" s="110">
        <f t="shared" si="56"/>
        <v>12</v>
      </c>
      <c r="AN219" s="447">
        <f t="shared" si="48"/>
        <v>0</v>
      </c>
      <c r="AO219"/>
      <c r="AP219"/>
    </row>
    <row r="220" spans="1:42" ht="66" x14ac:dyDescent="0.25">
      <c r="A220" s="40"/>
      <c r="B220" s="476" t="s">
        <v>32</v>
      </c>
      <c r="C220" s="1028"/>
      <c r="D220" s="869">
        <v>6</v>
      </c>
      <c r="E220" s="250" t="s">
        <v>1723</v>
      </c>
      <c r="F220" s="273" t="s">
        <v>3446</v>
      </c>
      <c r="G220" s="1040" t="s">
        <v>3463</v>
      </c>
      <c r="H220" s="273" t="s">
        <v>3462</v>
      </c>
      <c r="I220" s="720">
        <f t="shared" ref="I220:I283" si="57">+J220/D220</f>
        <v>23.84</v>
      </c>
      <c r="J220" s="756">
        <v>143.04</v>
      </c>
      <c r="K220" s="131">
        <f t="shared" si="46"/>
        <v>143.04</v>
      </c>
      <c r="L220" s="335">
        <f t="shared" si="49"/>
        <v>0</v>
      </c>
      <c r="M220" s="446"/>
      <c r="N220" s="446"/>
      <c r="O220" s="446"/>
      <c r="P220" s="446"/>
      <c r="Q220" s="130">
        <v>2</v>
      </c>
      <c r="R220" s="111">
        <f t="shared" si="44"/>
        <v>35.76</v>
      </c>
      <c r="S220" s="110"/>
      <c r="T220" s="110"/>
      <c r="U220" s="130">
        <v>2</v>
      </c>
      <c r="V220" s="111">
        <f t="shared" si="45"/>
        <v>35.76</v>
      </c>
      <c r="W220" s="110"/>
      <c r="X220" s="110"/>
      <c r="Y220" s="110"/>
      <c r="Z220" s="110"/>
      <c r="AA220" s="130">
        <v>1</v>
      </c>
      <c r="AB220" s="111">
        <f t="shared" si="53"/>
        <v>35.76</v>
      </c>
      <c r="AC220" s="110"/>
      <c r="AD220" s="110"/>
      <c r="AE220" s="130">
        <v>1</v>
      </c>
      <c r="AF220" s="111">
        <f t="shared" si="47"/>
        <v>35.76</v>
      </c>
      <c r="AG220" s="110"/>
      <c r="AH220" s="110"/>
      <c r="AI220" s="110"/>
      <c r="AJ220" s="110"/>
      <c r="AK220" s="111">
        <f t="shared" si="54"/>
        <v>143.04</v>
      </c>
      <c r="AL220" s="446">
        <f t="shared" si="55"/>
        <v>0</v>
      </c>
      <c r="AM220" s="110">
        <f t="shared" si="56"/>
        <v>6</v>
      </c>
      <c r="AN220" s="447">
        <f t="shared" si="48"/>
        <v>0</v>
      </c>
      <c r="AO220"/>
      <c r="AP220"/>
    </row>
    <row r="221" spans="1:42" ht="66" x14ac:dyDescent="0.25">
      <c r="A221" s="40"/>
      <c r="B221" s="476" t="s">
        <v>1714</v>
      </c>
      <c r="C221" s="1028"/>
      <c r="D221" s="869">
        <v>12</v>
      </c>
      <c r="E221" s="250" t="s">
        <v>1722</v>
      </c>
      <c r="F221" s="273" t="s">
        <v>3446</v>
      </c>
      <c r="G221" s="1040" t="s">
        <v>3463</v>
      </c>
      <c r="H221" s="273" t="s">
        <v>3462</v>
      </c>
      <c r="I221" s="720">
        <f t="shared" si="57"/>
        <v>31.01</v>
      </c>
      <c r="J221" s="756">
        <v>372.12</v>
      </c>
      <c r="K221" s="131">
        <f t="shared" si="46"/>
        <v>372.12</v>
      </c>
      <c r="L221" s="335">
        <f t="shared" si="49"/>
        <v>0</v>
      </c>
      <c r="M221" s="446"/>
      <c r="N221" s="446"/>
      <c r="O221" s="446"/>
      <c r="P221" s="446"/>
      <c r="Q221" s="110">
        <f t="shared" si="50"/>
        <v>3</v>
      </c>
      <c r="R221" s="111">
        <f t="shared" si="44"/>
        <v>93.03</v>
      </c>
      <c r="S221" s="110"/>
      <c r="T221" s="110"/>
      <c r="U221" s="110">
        <f t="shared" si="51"/>
        <v>3</v>
      </c>
      <c r="V221" s="111">
        <f t="shared" si="45"/>
        <v>93.03</v>
      </c>
      <c r="W221" s="110"/>
      <c r="X221" s="110"/>
      <c r="Y221" s="110"/>
      <c r="Z221" s="110"/>
      <c r="AA221" s="110">
        <f t="shared" si="52"/>
        <v>3</v>
      </c>
      <c r="AB221" s="111">
        <f t="shared" si="53"/>
        <v>93.03</v>
      </c>
      <c r="AC221" s="110"/>
      <c r="AD221" s="110"/>
      <c r="AE221" s="110">
        <f t="shared" si="52"/>
        <v>3</v>
      </c>
      <c r="AF221" s="111">
        <f t="shared" si="47"/>
        <v>93.03</v>
      </c>
      <c r="AG221" s="110"/>
      <c r="AH221" s="110"/>
      <c r="AI221" s="110"/>
      <c r="AJ221" s="110"/>
      <c r="AK221" s="111">
        <f t="shared" si="54"/>
        <v>372.12</v>
      </c>
      <c r="AL221" s="446">
        <f t="shared" si="55"/>
        <v>0</v>
      </c>
      <c r="AM221" s="110">
        <f t="shared" si="56"/>
        <v>12</v>
      </c>
      <c r="AN221" s="447">
        <f t="shared" si="48"/>
        <v>0</v>
      </c>
      <c r="AO221"/>
      <c r="AP221"/>
    </row>
    <row r="222" spans="1:42" ht="66" x14ac:dyDescent="0.25">
      <c r="A222" s="40"/>
      <c r="B222" s="476" t="s">
        <v>48</v>
      </c>
      <c r="C222" s="1028"/>
      <c r="D222" s="869">
        <v>12</v>
      </c>
      <c r="E222" s="250" t="s">
        <v>1722</v>
      </c>
      <c r="F222" s="273" t="s">
        <v>3446</v>
      </c>
      <c r="G222" s="1040" t="s">
        <v>3463</v>
      </c>
      <c r="H222" s="273" t="s">
        <v>3462</v>
      </c>
      <c r="I222" s="720">
        <f t="shared" si="57"/>
        <v>41.34</v>
      </c>
      <c r="J222" s="756">
        <v>496.08000000000004</v>
      </c>
      <c r="K222" s="131">
        <f t="shared" si="46"/>
        <v>496.08000000000004</v>
      </c>
      <c r="L222" s="335">
        <f t="shared" si="49"/>
        <v>0</v>
      </c>
      <c r="M222" s="446"/>
      <c r="N222" s="446"/>
      <c r="O222" s="446"/>
      <c r="P222" s="446"/>
      <c r="Q222" s="110">
        <f t="shared" si="50"/>
        <v>3</v>
      </c>
      <c r="R222" s="111">
        <f t="shared" si="44"/>
        <v>124.02000000000001</v>
      </c>
      <c r="S222" s="110"/>
      <c r="T222" s="110"/>
      <c r="U222" s="110">
        <f t="shared" si="51"/>
        <v>3</v>
      </c>
      <c r="V222" s="111">
        <f t="shared" si="45"/>
        <v>124.02000000000001</v>
      </c>
      <c r="W222" s="110"/>
      <c r="X222" s="110"/>
      <c r="Y222" s="110"/>
      <c r="Z222" s="110"/>
      <c r="AA222" s="110">
        <f t="shared" si="52"/>
        <v>3</v>
      </c>
      <c r="AB222" s="111">
        <f t="shared" si="53"/>
        <v>124.02000000000001</v>
      </c>
      <c r="AC222" s="110"/>
      <c r="AD222" s="110"/>
      <c r="AE222" s="110">
        <f t="shared" si="52"/>
        <v>3</v>
      </c>
      <c r="AF222" s="111">
        <f t="shared" si="47"/>
        <v>124.02000000000001</v>
      </c>
      <c r="AG222" s="110"/>
      <c r="AH222" s="110"/>
      <c r="AI222" s="110"/>
      <c r="AJ222" s="110"/>
      <c r="AK222" s="111">
        <f t="shared" si="54"/>
        <v>496.08000000000004</v>
      </c>
      <c r="AL222" s="446">
        <f t="shared" si="55"/>
        <v>0</v>
      </c>
      <c r="AM222" s="110">
        <f t="shared" si="56"/>
        <v>12</v>
      </c>
      <c r="AN222" s="447">
        <f t="shared" si="48"/>
        <v>0</v>
      </c>
      <c r="AO222"/>
      <c r="AP222"/>
    </row>
    <row r="223" spans="1:42" ht="66" x14ac:dyDescent="0.25">
      <c r="A223" s="40"/>
      <c r="B223" s="476" t="s">
        <v>45</v>
      </c>
      <c r="C223" s="1028"/>
      <c r="D223" s="869">
        <v>24</v>
      </c>
      <c r="E223" s="250" t="s">
        <v>1722</v>
      </c>
      <c r="F223" s="273" t="s">
        <v>3446</v>
      </c>
      <c r="G223" s="1040" t="s">
        <v>3463</v>
      </c>
      <c r="H223" s="273" t="s">
        <v>3462</v>
      </c>
      <c r="I223" s="720">
        <f t="shared" si="57"/>
        <v>19.29</v>
      </c>
      <c r="J223" s="756">
        <v>462.96</v>
      </c>
      <c r="K223" s="131">
        <f t="shared" si="46"/>
        <v>462.96</v>
      </c>
      <c r="L223" s="335">
        <f t="shared" si="49"/>
        <v>0</v>
      </c>
      <c r="M223" s="446"/>
      <c r="N223" s="446"/>
      <c r="O223" s="446"/>
      <c r="P223" s="446"/>
      <c r="Q223" s="110">
        <f t="shared" si="50"/>
        <v>6</v>
      </c>
      <c r="R223" s="111">
        <f t="shared" si="44"/>
        <v>115.74</v>
      </c>
      <c r="S223" s="110"/>
      <c r="T223" s="110"/>
      <c r="U223" s="110">
        <f t="shared" si="51"/>
        <v>6</v>
      </c>
      <c r="V223" s="111">
        <f t="shared" si="45"/>
        <v>115.74</v>
      </c>
      <c r="W223" s="110"/>
      <c r="X223" s="110"/>
      <c r="Y223" s="110"/>
      <c r="Z223" s="110"/>
      <c r="AA223" s="110">
        <f t="shared" si="52"/>
        <v>6</v>
      </c>
      <c r="AB223" s="111">
        <f t="shared" si="53"/>
        <v>115.74</v>
      </c>
      <c r="AC223" s="110"/>
      <c r="AD223" s="110"/>
      <c r="AE223" s="110">
        <f t="shared" si="52"/>
        <v>6</v>
      </c>
      <c r="AF223" s="111">
        <f t="shared" si="47"/>
        <v>115.74</v>
      </c>
      <c r="AG223" s="110"/>
      <c r="AH223" s="110"/>
      <c r="AI223" s="110"/>
      <c r="AJ223" s="110"/>
      <c r="AK223" s="111">
        <f t="shared" si="54"/>
        <v>462.96</v>
      </c>
      <c r="AL223" s="446">
        <f t="shared" si="55"/>
        <v>0</v>
      </c>
      <c r="AM223" s="110">
        <f t="shared" si="56"/>
        <v>24</v>
      </c>
      <c r="AN223" s="447">
        <f t="shared" si="48"/>
        <v>0</v>
      </c>
      <c r="AO223"/>
      <c r="AP223"/>
    </row>
    <row r="224" spans="1:42" ht="66" x14ac:dyDescent="0.25">
      <c r="A224" s="40"/>
      <c r="B224" s="476" t="s">
        <v>46</v>
      </c>
      <c r="C224" s="1028"/>
      <c r="D224" s="869">
        <v>24</v>
      </c>
      <c r="E224" s="250" t="s">
        <v>1723</v>
      </c>
      <c r="F224" s="273" t="s">
        <v>3446</v>
      </c>
      <c r="G224" s="1040" t="s">
        <v>3463</v>
      </c>
      <c r="H224" s="273" t="s">
        <v>3462</v>
      </c>
      <c r="I224" s="720">
        <f t="shared" si="57"/>
        <v>17.920000000000002</v>
      </c>
      <c r="J224" s="756">
        <v>430.08000000000004</v>
      </c>
      <c r="K224" s="131">
        <f t="shared" si="46"/>
        <v>430.08000000000004</v>
      </c>
      <c r="L224" s="335">
        <f t="shared" si="49"/>
        <v>0</v>
      </c>
      <c r="M224" s="446"/>
      <c r="N224" s="446"/>
      <c r="O224" s="446"/>
      <c r="P224" s="446"/>
      <c r="Q224" s="110">
        <f t="shared" si="50"/>
        <v>6</v>
      </c>
      <c r="R224" s="111">
        <f t="shared" si="44"/>
        <v>107.52000000000001</v>
      </c>
      <c r="S224" s="110"/>
      <c r="T224" s="110"/>
      <c r="U224" s="110">
        <f t="shared" si="51"/>
        <v>6</v>
      </c>
      <c r="V224" s="111">
        <f t="shared" si="45"/>
        <v>107.52000000000001</v>
      </c>
      <c r="W224" s="110"/>
      <c r="X224" s="110"/>
      <c r="Y224" s="110"/>
      <c r="Z224" s="110"/>
      <c r="AA224" s="110">
        <f t="shared" si="52"/>
        <v>6</v>
      </c>
      <c r="AB224" s="111">
        <f t="shared" si="53"/>
        <v>107.52000000000001</v>
      </c>
      <c r="AC224" s="110"/>
      <c r="AD224" s="110"/>
      <c r="AE224" s="110">
        <f t="shared" si="52"/>
        <v>6</v>
      </c>
      <c r="AF224" s="111">
        <f t="shared" si="47"/>
        <v>107.52000000000001</v>
      </c>
      <c r="AG224" s="110"/>
      <c r="AH224" s="110"/>
      <c r="AI224" s="110"/>
      <c r="AJ224" s="110"/>
      <c r="AK224" s="111">
        <f t="shared" si="54"/>
        <v>430.08000000000004</v>
      </c>
      <c r="AL224" s="446">
        <f t="shared" si="55"/>
        <v>0</v>
      </c>
      <c r="AM224" s="110">
        <f t="shared" si="56"/>
        <v>24</v>
      </c>
      <c r="AN224" s="447">
        <f t="shared" si="48"/>
        <v>0</v>
      </c>
      <c r="AO224"/>
      <c r="AP224"/>
    </row>
    <row r="225" spans="1:42" ht="66" x14ac:dyDescent="0.25">
      <c r="A225" s="40"/>
      <c r="B225" s="476" t="s">
        <v>40</v>
      </c>
      <c r="C225" s="1028"/>
      <c r="D225" s="869">
        <v>6</v>
      </c>
      <c r="E225" s="250" t="s">
        <v>1723</v>
      </c>
      <c r="F225" s="273" t="s">
        <v>3446</v>
      </c>
      <c r="G225" s="1040" t="s">
        <v>3463</v>
      </c>
      <c r="H225" s="273" t="s">
        <v>3462</v>
      </c>
      <c r="I225" s="720">
        <f t="shared" si="57"/>
        <v>19.29</v>
      </c>
      <c r="J225" s="756">
        <v>115.74</v>
      </c>
      <c r="K225" s="131">
        <f t="shared" si="46"/>
        <v>115.74</v>
      </c>
      <c r="L225" s="335">
        <f t="shared" si="49"/>
        <v>0</v>
      </c>
      <c r="M225" s="446"/>
      <c r="N225" s="446"/>
      <c r="O225" s="446"/>
      <c r="P225" s="446"/>
      <c r="Q225" s="130">
        <v>2</v>
      </c>
      <c r="R225" s="111">
        <f t="shared" si="44"/>
        <v>28.934999999999999</v>
      </c>
      <c r="S225" s="110"/>
      <c r="T225" s="110"/>
      <c r="U225" s="130">
        <v>2</v>
      </c>
      <c r="V225" s="111">
        <f t="shared" si="45"/>
        <v>28.934999999999999</v>
      </c>
      <c r="W225" s="110"/>
      <c r="X225" s="110"/>
      <c r="Y225" s="110"/>
      <c r="Z225" s="110"/>
      <c r="AA225" s="130">
        <v>1</v>
      </c>
      <c r="AB225" s="111">
        <f t="shared" si="53"/>
        <v>28.934999999999999</v>
      </c>
      <c r="AC225" s="110"/>
      <c r="AD225" s="110"/>
      <c r="AE225" s="130">
        <v>1</v>
      </c>
      <c r="AF225" s="111">
        <f t="shared" si="47"/>
        <v>28.934999999999999</v>
      </c>
      <c r="AG225" s="110"/>
      <c r="AH225" s="110"/>
      <c r="AI225" s="110"/>
      <c r="AJ225" s="110"/>
      <c r="AK225" s="111">
        <f t="shared" si="54"/>
        <v>115.74</v>
      </c>
      <c r="AL225" s="446">
        <f t="shared" si="55"/>
        <v>0</v>
      </c>
      <c r="AM225" s="110">
        <f t="shared" si="56"/>
        <v>6</v>
      </c>
      <c r="AN225" s="447">
        <f t="shared" si="48"/>
        <v>0</v>
      </c>
      <c r="AO225"/>
      <c r="AP225"/>
    </row>
    <row r="226" spans="1:42" ht="66" x14ac:dyDescent="0.25">
      <c r="A226" s="40"/>
      <c r="B226" s="476" t="s">
        <v>44</v>
      </c>
      <c r="C226" s="1028"/>
      <c r="D226" s="869">
        <v>6</v>
      </c>
      <c r="E226" s="250" t="s">
        <v>1723</v>
      </c>
      <c r="F226" s="273" t="s">
        <v>3446</v>
      </c>
      <c r="G226" s="1040" t="s">
        <v>3463</v>
      </c>
      <c r="H226" s="273" t="s">
        <v>3462</v>
      </c>
      <c r="I226" s="720">
        <f t="shared" si="57"/>
        <v>12.26</v>
      </c>
      <c r="J226" s="756">
        <v>73.56</v>
      </c>
      <c r="K226" s="131">
        <f t="shared" si="46"/>
        <v>73.56</v>
      </c>
      <c r="L226" s="335">
        <f t="shared" si="49"/>
        <v>0</v>
      </c>
      <c r="M226" s="446"/>
      <c r="N226" s="446"/>
      <c r="O226" s="446"/>
      <c r="P226" s="446"/>
      <c r="Q226" s="130">
        <v>2</v>
      </c>
      <c r="R226" s="111">
        <f t="shared" si="44"/>
        <v>18.39</v>
      </c>
      <c r="S226" s="110"/>
      <c r="T226" s="110"/>
      <c r="U226" s="130">
        <v>2</v>
      </c>
      <c r="V226" s="111">
        <f t="shared" si="45"/>
        <v>18.39</v>
      </c>
      <c r="W226" s="110"/>
      <c r="X226" s="110"/>
      <c r="Y226" s="110"/>
      <c r="Z226" s="110"/>
      <c r="AA226" s="130">
        <v>1</v>
      </c>
      <c r="AB226" s="111">
        <f t="shared" si="53"/>
        <v>18.39</v>
      </c>
      <c r="AC226" s="110"/>
      <c r="AD226" s="110"/>
      <c r="AE226" s="130">
        <v>1</v>
      </c>
      <c r="AF226" s="111">
        <f t="shared" si="47"/>
        <v>18.39</v>
      </c>
      <c r="AG226" s="110"/>
      <c r="AH226" s="110"/>
      <c r="AI226" s="110"/>
      <c r="AJ226" s="110"/>
      <c r="AK226" s="111">
        <f t="shared" si="54"/>
        <v>73.56</v>
      </c>
      <c r="AL226" s="446">
        <f t="shared" si="55"/>
        <v>0</v>
      </c>
      <c r="AM226" s="110">
        <f t="shared" si="56"/>
        <v>6</v>
      </c>
      <c r="AN226" s="447">
        <f t="shared" si="48"/>
        <v>0</v>
      </c>
      <c r="AO226"/>
      <c r="AP226"/>
    </row>
    <row r="227" spans="1:42" ht="66" x14ac:dyDescent="0.25">
      <c r="A227" s="40"/>
      <c r="B227" s="476" t="s">
        <v>52</v>
      </c>
      <c r="C227" s="1028"/>
      <c r="D227" s="869">
        <v>6</v>
      </c>
      <c r="E227" s="250" t="s">
        <v>1723</v>
      </c>
      <c r="F227" s="273" t="s">
        <v>3446</v>
      </c>
      <c r="G227" s="1040" t="s">
        <v>3463</v>
      </c>
      <c r="H227" s="273" t="s">
        <v>3462</v>
      </c>
      <c r="I227" s="720">
        <f t="shared" si="57"/>
        <v>19.43</v>
      </c>
      <c r="J227" s="756">
        <v>116.58</v>
      </c>
      <c r="K227" s="131">
        <f t="shared" si="46"/>
        <v>116.58</v>
      </c>
      <c r="L227" s="335">
        <f t="shared" si="49"/>
        <v>0</v>
      </c>
      <c r="M227" s="446"/>
      <c r="N227" s="446"/>
      <c r="O227" s="446"/>
      <c r="P227" s="446"/>
      <c r="Q227" s="130">
        <v>2</v>
      </c>
      <c r="R227" s="111">
        <f t="shared" si="44"/>
        <v>29.145</v>
      </c>
      <c r="S227" s="110"/>
      <c r="T227" s="110"/>
      <c r="U227" s="130">
        <v>2</v>
      </c>
      <c r="V227" s="111">
        <f t="shared" si="45"/>
        <v>29.145</v>
      </c>
      <c r="W227" s="110"/>
      <c r="X227" s="110"/>
      <c r="Y227" s="110"/>
      <c r="Z227" s="110"/>
      <c r="AA227" s="130">
        <v>1</v>
      </c>
      <c r="AB227" s="111">
        <f t="shared" si="53"/>
        <v>29.145</v>
      </c>
      <c r="AC227" s="110"/>
      <c r="AD227" s="110"/>
      <c r="AE227" s="130">
        <v>1</v>
      </c>
      <c r="AF227" s="111">
        <f t="shared" si="47"/>
        <v>29.145</v>
      </c>
      <c r="AG227" s="110"/>
      <c r="AH227" s="110"/>
      <c r="AI227" s="110"/>
      <c r="AJ227" s="110"/>
      <c r="AK227" s="111">
        <f t="shared" si="54"/>
        <v>116.58</v>
      </c>
      <c r="AL227" s="446">
        <f t="shared" si="55"/>
        <v>0</v>
      </c>
      <c r="AM227" s="110">
        <f t="shared" si="56"/>
        <v>6</v>
      </c>
      <c r="AN227" s="447">
        <f t="shared" si="48"/>
        <v>0</v>
      </c>
      <c r="AO227"/>
      <c r="AP227"/>
    </row>
    <row r="228" spans="1:42" ht="66" x14ac:dyDescent="0.25">
      <c r="A228" s="40"/>
      <c r="B228" s="476" t="s">
        <v>1715</v>
      </c>
      <c r="C228" s="1028"/>
      <c r="D228" s="869">
        <v>2</v>
      </c>
      <c r="E228" s="250" t="s">
        <v>1723</v>
      </c>
      <c r="F228" s="273" t="s">
        <v>3446</v>
      </c>
      <c r="G228" s="1040" t="s">
        <v>3463</v>
      </c>
      <c r="H228" s="273" t="s">
        <v>3462</v>
      </c>
      <c r="I228" s="720">
        <f t="shared" si="57"/>
        <v>96.47</v>
      </c>
      <c r="J228" s="756">
        <v>192.94</v>
      </c>
      <c r="K228" s="131">
        <f t="shared" si="46"/>
        <v>192.94</v>
      </c>
      <c r="L228" s="335">
        <f t="shared" si="49"/>
        <v>0</v>
      </c>
      <c r="M228" s="446"/>
      <c r="N228" s="446"/>
      <c r="O228" s="446"/>
      <c r="P228" s="446"/>
      <c r="Q228" s="130">
        <v>1</v>
      </c>
      <c r="R228" s="111">
        <f t="shared" si="44"/>
        <v>48.234999999999999</v>
      </c>
      <c r="S228" s="110"/>
      <c r="T228" s="110"/>
      <c r="U228" s="130">
        <v>1</v>
      </c>
      <c r="V228" s="111">
        <f t="shared" si="45"/>
        <v>48.234999999999999</v>
      </c>
      <c r="W228" s="110"/>
      <c r="X228" s="110"/>
      <c r="Y228" s="110"/>
      <c r="Z228" s="110"/>
      <c r="AA228" s="130">
        <v>0</v>
      </c>
      <c r="AB228" s="111">
        <f t="shared" si="53"/>
        <v>48.234999999999999</v>
      </c>
      <c r="AC228" s="110"/>
      <c r="AD228" s="110"/>
      <c r="AE228" s="130">
        <v>0</v>
      </c>
      <c r="AF228" s="111">
        <f t="shared" si="47"/>
        <v>48.234999999999999</v>
      </c>
      <c r="AG228" s="110"/>
      <c r="AH228" s="110"/>
      <c r="AI228" s="110"/>
      <c r="AJ228" s="110"/>
      <c r="AK228" s="111">
        <f t="shared" si="54"/>
        <v>192.94</v>
      </c>
      <c r="AL228" s="446">
        <f t="shared" si="55"/>
        <v>0</v>
      </c>
      <c r="AM228" s="110">
        <f t="shared" si="56"/>
        <v>2</v>
      </c>
      <c r="AN228" s="447">
        <f t="shared" si="48"/>
        <v>0</v>
      </c>
      <c r="AO228"/>
      <c r="AP228"/>
    </row>
    <row r="229" spans="1:42" ht="66" x14ac:dyDescent="0.25">
      <c r="A229" s="40"/>
      <c r="B229" s="476" t="s">
        <v>57</v>
      </c>
      <c r="C229" s="1028"/>
      <c r="D229" s="869">
        <v>6</v>
      </c>
      <c r="E229" s="250" t="s">
        <v>1722</v>
      </c>
      <c r="F229" s="273" t="s">
        <v>3446</v>
      </c>
      <c r="G229" s="1040" t="s">
        <v>3463</v>
      </c>
      <c r="H229" s="273" t="s">
        <v>3462</v>
      </c>
      <c r="I229" s="720">
        <f t="shared" si="57"/>
        <v>31.28</v>
      </c>
      <c r="J229" s="756">
        <v>187.68</v>
      </c>
      <c r="K229" s="131">
        <f t="shared" si="46"/>
        <v>187.68</v>
      </c>
      <c r="L229" s="335">
        <f t="shared" si="49"/>
        <v>0</v>
      </c>
      <c r="M229" s="446"/>
      <c r="N229" s="446"/>
      <c r="O229" s="446"/>
      <c r="P229" s="446"/>
      <c r="Q229" s="130">
        <v>2</v>
      </c>
      <c r="R229" s="111">
        <f t="shared" si="44"/>
        <v>46.92</v>
      </c>
      <c r="S229" s="110"/>
      <c r="T229" s="110"/>
      <c r="U229" s="130">
        <v>2</v>
      </c>
      <c r="V229" s="111">
        <f t="shared" si="45"/>
        <v>46.92</v>
      </c>
      <c r="W229" s="110"/>
      <c r="X229" s="110"/>
      <c r="Y229" s="110"/>
      <c r="Z229" s="110"/>
      <c r="AA229" s="130">
        <v>1</v>
      </c>
      <c r="AB229" s="111">
        <f t="shared" si="53"/>
        <v>46.92</v>
      </c>
      <c r="AC229" s="110"/>
      <c r="AD229" s="110"/>
      <c r="AE229" s="130">
        <v>1</v>
      </c>
      <c r="AF229" s="111">
        <f t="shared" si="47"/>
        <v>46.92</v>
      </c>
      <c r="AG229" s="110"/>
      <c r="AH229" s="110"/>
      <c r="AI229" s="110"/>
      <c r="AJ229" s="110"/>
      <c r="AK229" s="111">
        <f t="shared" si="54"/>
        <v>187.68</v>
      </c>
      <c r="AL229" s="446">
        <f t="shared" si="55"/>
        <v>0</v>
      </c>
      <c r="AM229" s="110">
        <f t="shared" si="56"/>
        <v>6</v>
      </c>
      <c r="AN229" s="447">
        <f t="shared" si="48"/>
        <v>0</v>
      </c>
      <c r="AO229"/>
      <c r="AP229"/>
    </row>
    <row r="230" spans="1:42" ht="66" x14ac:dyDescent="0.25">
      <c r="A230" s="40"/>
      <c r="B230" s="476" t="s">
        <v>59</v>
      </c>
      <c r="C230" s="1028"/>
      <c r="D230" s="869">
        <v>12</v>
      </c>
      <c r="E230" s="250" t="s">
        <v>1723</v>
      </c>
      <c r="F230" s="273" t="s">
        <v>3446</v>
      </c>
      <c r="G230" s="1040" t="s">
        <v>3463</v>
      </c>
      <c r="H230" s="273" t="s">
        <v>3462</v>
      </c>
      <c r="I230" s="720">
        <f t="shared" si="57"/>
        <v>34.450000000000003</v>
      </c>
      <c r="J230" s="756">
        <v>413.40000000000003</v>
      </c>
      <c r="K230" s="131">
        <f t="shared" si="46"/>
        <v>413.40000000000003</v>
      </c>
      <c r="L230" s="335">
        <f t="shared" si="49"/>
        <v>0</v>
      </c>
      <c r="M230" s="446"/>
      <c r="N230" s="446"/>
      <c r="O230" s="446"/>
      <c r="P230" s="446"/>
      <c r="Q230" s="110">
        <f t="shared" si="50"/>
        <v>3</v>
      </c>
      <c r="R230" s="111">
        <f t="shared" si="44"/>
        <v>103.35000000000001</v>
      </c>
      <c r="S230" s="110"/>
      <c r="T230" s="110"/>
      <c r="U230" s="110">
        <f t="shared" si="51"/>
        <v>3</v>
      </c>
      <c r="V230" s="111">
        <f t="shared" si="45"/>
        <v>103.35000000000001</v>
      </c>
      <c r="W230" s="110"/>
      <c r="X230" s="110"/>
      <c r="Y230" s="110"/>
      <c r="Z230" s="110"/>
      <c r="AA230" s="110">
        <f t="shared" si="52"/>
        <v>3</v>
      </c>
      <c r="AB230" s="111">
        <f t="shared" si="53"/>
        <v>103.35000000000001</v>
      </c>
      <c r="AC230" s="110"/>
      <c r="AD230" s="110"/>
      <c r="AE230" s="110">
        <f t="shared" si="52"/>
        <v>3</v>
      </c>
      <c r="AF230" s="111">
        <f t="shared" si="47"/>
        <v>103.35000000000001</v>
      </c>
      <c r="AG230" s="110"/>
      <c r="AH230" s="110"/>
      <c r="AI230" s="110"/>
      <c r="AJ230" s="110"/>
      <c r="AK230" s="111">
        <f t="shared" si="54"/>
        <v>413.40000000000003</v>
      </c>
      <c r="AL230" s="446">
        <f t="shared" si="55"/>
        <v>0</v>
      </c>
      <c r="AM230" s="110">
        <f t="shared" si="56"/>
        <v>12</v>
      </c>
      <c r="AN230" s="447">
        <f t="shared" si="48"/>
        <v>0</v>
      </c>
      <c r="AO230"/>
      <c r="AP230"/>
    </row>
    <row r="231" spans="1:42" ht="66" x14ac:dyDescent="0.25">
      <c r="A231" s="40"/>
      <c r="B231" s="476" t="s">
        <v>60</v>
      </c>
      <c r="C231" s="1028"/>
      <c r="D231" s="869">
        <v>12</v>
      </c>
      <c r="E231" s="250" t="s">
        <v>1723</v>
      </c>
      <c r="F231" s="273" t="s">
        <v>3446</v>
      </c>
      <c r="G231" s="1040" t="s">
        <v>3463</v>
      </c>
      <c r="H231" s="273" t="s">
        <v>3462</v>
      </c>
      <c r="I231" s="720">
        <f t="shared" si="57"/>
        <v>6.61</v>
      </c>
      <c r="J231" s="756">
        <v>79.320000000000007</v>
      </c>
      <c r="K231" s="131">
        <f t="shared" si="46"/>
        <v>79.320000000000007</v>
      </c>
      <c r="L231" s="335">
        <f t="shared" si="49"/>
        <v>0</v>
      </c>
      <c r="M231" s="446"/>
      <c r="N231" s="446"/>
      <c r="O231" s="446"/>
      <c r="P231" s="446"/>
      <c r="Q231" s="110">
        <f t="shared" si="50"/>
        <v>3</v>
      </c>
      <c r="R231" s="111">
        <f t="shared" si="44"/>
        <v>19.830000000000002</v>
      </c>
      <c r="S231" s="110"/>
      <c r="T231" s="110"/>
      <c r="U231" s="110">
        <f t="shared" si="51"/>
        <v>3</v>
      </c>
      <c r="V231" s="111">
        <f t="shared" si="45"/>
        <v>19.830000000000002</v>
      </c>
      <c r="W231" s="110"/>
      <c r="X231" s="110"/>
      <c r="Y231" s="110"/>
      <c r="Z231" s="110"/>
      <c r="AA231" s="110">
        <f t="shared" si="52"/>
        <v>3</v>
      </c>
      <c r="AB231" s="111">
        <f t="shared" si="53"/>
        <v>19.830000000000002</v>
      </c>
      <c r="AC231" s="110"/>
      <c r="AD231" s="110"/>
      <c r="AE231" s="110">
        <f t="shared" si="52"/>
        <v>3</v>
      </c>
      <c r="AF231" s="111">
        <f t="shared" si="47"/>
        <v>19.830000000000002</v>
      </c>
      <c r="AG231" s="110"/>
      <c r="AH231" s="110"/>
      <c r="AI231" s="110"/>
      <c r="AJ231" s="110"/>
      <c r="AK231" s="111">
        <f t="shared" si="54"/>
        <v>79.320000000000007</v>
      </c>
      <c r="AL231" s="446">
        <f t="shared" si="55"/>
        <v>0</v>
      </c>
      <c r="AM231" s="110">
        <f t="shared" si="56"/>
        <v>12</v>
      </c>
      <c r="AN231" s="447">
        <f t="shared" si="48"/>
        <v>0</v>
      </c>
      <c r="AO231"/>
      <c r="AP231"/>
    </row>
    <row r="232" spans="1:42" ht="66" x14ac:dyDescent="0.25">
      <c r="A232" s="40"/>
      <c r="B232" s="476" t="s">
        <v>62</v>
      </c>
      <c r="C232" s="1028"/>
      <c r="D232" s="869">
        <v>12</v>
      </c>
      <c r="E232" s="250" t="s">
        <v>1723</v>
      </c>
      <c r="F232" s="273" t="s">
        <v>3446</v>
      </c>
      <c r="G232" s="1040" t="s">
        <v>3463</v>
      </c>
      <c r="H232" s="273" t="s">
        <v>3462</v>
      </c>
      <c r="I232" s="720">
        <f t="shared" si="57"/>
        <v>16.399999999999999</v>
      </c>
      <c r="J232" s="756">
        <v>196.79999999999998</v>
      </c>
      <c r="K232" s="131">
        <f t="shared" si="46"/>
        <v>196.79999999999998</v>
      </c>
      <c r="L232" s="335">
        <f t="shared" si="49"/>
        <v>0</v>
      </c>
      <c r="M232" s="446"/>
      <c r="N232" s="446"/>
      <c r="O232" s="446"/>
      <c r="P232" s="446"/>
      <c r="Q232" s="110">
        <f t="shared" si="50"/>
        <v>3</v>
      </c>
      <c r="R232" s="111">
        <f t="shared" si="44"/>
        <v>49.199999999999996</v>
      </c>
      <c r="S232" s="110"/>
      <c r="T232" s="110"/>
      <c r="U232" s="110">
        <f t="shared" si="51"/>
        <v>3</v>
      </c>
      <c r="V232" s="111">
        <f t="shared" si="45"/>
        <v>49.199999999999996</v>
      </c>
      <c r="W232" s="110"/>
      <c r="X232" s="110"/>
      <c r="Y232" s="110"/>
      <c r="Z232" s="110"/>
      <c r="AA232" s="110">
        <f t="shared" si="52"/>
        <v>3</v>
      </c>
      <c r="AB232" s="111">
        <f t="shared" si="53"/>
        <v>49.199999999999996</v>
      </c>
      <c r="AC232" s="110"/>
      <c r="AD232" s="110"/>
      <c r="AE232" s="110">
        <f t="shared" si="52"/>
        <v>3</v>
      </c>
      <c r="AF232" s="111">
        <f t="shared" si="47"/>
        <v>49.199999999999996</v>
      </c>
      <c r="AG232" s="110"/>
      <c r="AH232" s="110"/>
      <c r="AI232" s="110"/>
      <c r="AJ232" s="110"/>
      <c r="AK232" s="111">
        <f t="shared" si="54"/>
        <v>196.79999999999998</v>
      </c>
      <c r="AL232" s="446">
        <f t="shared" si="55"/>
        <v>0</v>
      </c>
      <c r="AM232" s="110">
        <f t="shared" si="56"/>
        <v>12</v>
      </c>
      <c r="AN232" s="447">
        <f t="shared" si="48"/>
        <v>0</v>
      </c>
      <c r="AO232"/>
      <c r="AP232"/>
    </row>
    <row r="233" spans="1:42" ht="66" x14ac:dyDescent="0.25">
      <c r="A233" s="40"/>
      <c r="B233" s="476" t="s">
        <v>63</v>
      </c>
      <c r="C233" s="1028"/>
      <c r="D233" s="869">
        <v>10</v>
      </c>
      <c r="E233" s="250" t="s">
        <v>1723</v>
      </c>
      <c r="F233" s="273" t="s">
        <v>3446</v>
      </c>
      <c r="G233" s="1040" t="s">
        <v>3463</v>
      </c>
      <c r="H233" s="273" t="s">
        <v>3462</v>
      </c>
      <c r="I233" s="720">
        <f t="shared" si="57"/>
        <v>52.36999999999999</v>
      </c>
      <c r="J233" s="756">
        <v>523.69999999999993</v>
      </c>
      <c r="K233" s="131">
        <f t="shared" si="46"/>
        <v>523.69999999999993</v>
      </c>
      <c r="L233" s="335">
        <f t="shared" si="49"/>
        <v>0</v>
      </c>
      <c r="M233" s="446"/>
      <c r="N233" s="446"/>
      <c r="O233" s="446"/>
      <c r="P233" s="446"/>
      <c r="Q233" s="130">
        <v>3</v>
      </c>
      <c r="R233" s="111">
        <f t="shared" si="44"/>
        <v>130.92499999999998</v>
      </c>
      <c r="S233" s="110"/>
      <c r="T233" s="110"/>
      <c r="U233" s="130">
        <v>3</v>
      </c>
      <c r="V233" s="111">
        <f t="shared" si="45"/>
        <v>130.92499999999998</v>
      </c>
      <c r="W233" s="110"/>
      <c r="X233" s="110"/>
      <c r="Y233" s="110"/>
      <c r="Z233" s="110"/>
      <c r="AA233" s="130">
        <v>2</v>
      </c>
      <c r="AB233" s="111">
        <f t="shared" si="53"/>
        <v>130.92499999999998</v>
      </c>
      <c r="AC233" s="110"/>
      <c r="AD233" s="110"/>
      <c r="AE233" s="130">
        <v>2</v>
      </c>
      <c r="AF233" s="111">
        <f t="shared" si="47"/>
        <v>130.92499999999998</v>
      </c>
      <c r="AG233" s="110"/>
      <c r="AH233" s="110"/>
      <c r="AI233" s="110"/>
      <c r="AJ233" s="110"/>
      <c r="AK233" s="111">
        <f t="shared" si="54"/>
        <v>523.69999999999993</v>
      </c>
      <c r="AL233" s="446">
        <f t="shared" si="55"/>
        <v>0</v>
      </c>
      <c r="AM233" s="110">
        <f t="shared" si="56"/>
        <v>10</v>
      </c>
      <c r="AN233" s="447">
        <f t="shared" si="48"/>
        <v>0</v>
      </c>
      <c r="AO233"/>
      <c r="AP233"/>
    </row>
    <row r="234" spans="1:42" ht="66" x14ac:dyDescent="0.25">
      <c r="A234" s="40"/>
      <c r="B234" s="476" t="s">
        <v>70</v>
      </c>
      <c r="C234" s="1028"/>
      <c r="D234" s="869">
        <v>24</v>
      </c>
      <c r="E234" s="250" t="s">
        <v>1723</v>
      </c>
      <c r="F234" s="273" t="s">
        <v>3446</v>
      </c>
      <c r="G234" s="1040" t="s">
        <v>3463</v>
      </c>
      <c r="H234" s="273" t="s">
        <v>3462</v>
      </c>
      <c r="I234" s="720">
        <f t="shared" si="57"/>
        <v>16.54</v>
      </c>
      <c r="J234" s="756">
        <v>396.96</v>
      </c>
      <c r="K234" s="131">
        <f t="shared" si="46"/>
        <v>396.96</v>
      </c>
      <c r="L234" s="335">
        <f t="shared" si="49"/>
        <v>0</v>
      </c>
      <c r="M234" s="446"/>
      <c r="N234" s="446"/>
      <c r="O234" s="446"/>
      <c r="P234" s="446"/>
      <c r="Q234" s="110">
        <f t="shared" si="50"/>
        <v>6</v>
      </c>
      <c r="R234" s="111">
        <f t="shared" si="44"/>
        <v>99.24</v>
      </c>
      <c r="S234" s="110"/>
      <c r="T234" s="110"/>
      <c r="U234" s="110">
        <f t="shared" si="51"/>
        <v>6</v>
      </c>
      <c r="V234" s="111">
        <f t="shared" si="45"/>
        <v>99.24</v>
      </c>
      <c r="W234" s="110"/>
      <c r="X234" s="110"/>
      <c r="Y234" s="110"/>
      <c r="Z234" s="110"/>
      <c r="AA234" s="110">
        <f t="shared" si="52"/>
        <v>6</v>
      </c>
      <c r="AB234" s="111">
        <f t="shared" si="53"/>
        <v>99.24</v>
      </c>
      <c r="AC234" s="110"/>
      <c r="AD234" s="110"/>
      <c r="AE234" s="110">
        <f t="shared" si="52"/>
        <v>6</v>
      </c>
      <c r="AF234" s="111">
        <f t="shared" si="47"/>
        <v>99.24</v>
      </c>
      <c r="AG234" s="110"/>
      <c r="AH234" s="110"/>
      <c r="AI234" s="110"/>
      <c r="AJ234" s="110"/>
      <c r="AK234" s="111">
        <f t="shared" si="54"/>
        <v>396.96</v>
      </c>
      <c r="AL234" s="446">
        <f t="shared" si="55"/>
        <v>0</v>
      </c>
      <c r="AM234" s="110">
        <f t="shared" si="56"/>
        <v>24</v>
      </c>
      <c r="AN234" s="447">
        <f t="shared" si="48"/>
        <v>0</v>
      </c>
      <c r="AO234"/>
      <c r="AP234"/>
    </row>
    <row r="235" spans="1:42" ht="66" x14ac:dyDescent="0.25">
      <c r="A235" s="40"/>
      <c r="B235" s="476" t="s">
        <v>1700</v>
      </c>
      <c r="C235" s="1028"/>
      <c r="D235" s="869">
        <v>6</v>
      </c>
      <c r="E235" s="250" t="s">
        <v>1722</v>
      </c>
      <c r="F235" s="273" t="s">
        <v>3446</v>
      </c>
      <c r="G235" s="1040" t="s">
        <v>3463</v>
      </c>
      <c r="H235" s="273" t="s">
        <v>3462</v>
      </c>
      <c r="I235" s="720">
        <f t="shared" si="57"/>
        <v>71.66</v>
      </c>
      <c r="J235" s="756">
        <v>429.96</v>
      </c>
      <c r="K235" s="131">
        <f t="shared" si="46"/>
        <v>429.96</v>
      </c>
      <c r="L235" s="335">
        <f t="shared" si="49"/>
        <v>0</v>
      </c>
      <c r="M235" s="446"/>
      <c r="N235" s="446"/>
      <c r="O235" s="446"/>
      <c r="P235" s="446"/>
      <c r="Q235" s="130">
        <v>2</v>
      </c>
      <c r="R235" s="111">
        <f t="shared" si="44"/>
        <v>107.49</v>
      </c>
      <c r="S235" s="110"/>
      <c r="T235" s="110"/>
      <c r="U235" s="130">
        <v>2</v>
      </c>
      <c r="V235" s="111">
        <f t="shared" si="45"/>
        <v>107.49</v>
      </c>
      <c r="W235" s="110"/>
      <c r="X235" s="110"/>
      <c r="Y235" s="110"/>
      <c r="Z235" s="110"/>
      <c r="AA235" s="130">
        <v>1</v>
      </c>
      <c r="AB235" s="111">
        <f t="shared" si="53"/>
        <v>107.49</v>
      </c>
      <c r="AC235" s="110"/>
      <c r="AD235" s="110"/>
      <c r="AE235" s="130">
        <v>1</v>
      </c>
      <c r="AF235" s="111">
        <f t="shared" si="47"/>
        <v>107.49</v>
      </c>
      <c r="AG235" s="110"/>
      <c r="AH235" s="110"/>
      <c r="AI235" s="110"/>
      <c r="AJ235" s="110"/>
      <c r="AK235" s="111">
        <f t="shared" si="54"/>
        <v>429.96</v>
      </c>
      <c r="AL235" s="446">
        <f t="shared" si="55"/>
        <v>0</v>
      </c>
      <c r="AM235" s="110">
        <f t="shared" si="56"/>
        <v>6</v>
      </c>
      <c r="AN235" s="447">
        <f t="shared" si="48"/>
        <v>0</v>
      </c>
      <c r="AO235"/>
      <c r="AP235"/>
    </row>
    <row r="236" spans="1:42" ht="66" x14ac:dyDescent="0.25">
      <c r="A236" s="40"/>
      <c r="B236" s="476" t="s">
        <v>80</v>
      </c>
      <c r="C236" s="1028"/>
      <c r="D236" s="869">
        <v>6</v>
      </c>
      <c r="E236" s="250" t="s">
        <v>1723</v>
      </c>
      <c r="F236" s="273" t="s">
        <v>3446</v>
      </c>
      <c r="G236" s="1040" t="s">
        <v>3463</v>
      </c>
      <c r="H236" s="273" t="s">
        <v>3462</v>
      </c>
      <c r="I236" s="720">
        <f t="shared" si="57"/>
        <v>16.63</v>
      </c>
      <c r="J236" s="756">
        <v>99.78</v>
      </c>
      <c r="K236" s="131">
        <f t="shared" si="46"/>
        <v>99.78</v>
      </c>
      <c r="L236" s="335">
        <f t="shared" si="49"/>
        <v>0</v>
      </c>
      <c r="M236" s="446"/>
      <c r="N236" s="446"/>
      <c r="O236" s="446"/>
      <c r="P236" s="446"/>
      <c r="Q236" s="130">
        <v>2</v>
      </c>
      <c r="R236" s="111">
        <f t="shared" si="44"/>
        <v>24.945</v>
      </c>
      <c r="S236" s="110"/>
      <c r="T236" s="110"/>
      <c r="U236" s="130">
        <v>2</v>
      </c>
      <c r="V236" s="111">
        <f t="shared" si="45"/>
        <v>24.945</v>
      </c>
      <c r="W236" s="110"/>
      <c r="X236" s="110"/>
      <c r="Y236" s="110"/>
      <c r="Z236" s="110"/>
      <c r="AA236" s="130">
        <v>1</v>
      </c>
      <c r="AB236" s="111">
        <f t="shared" si="53"/>
        <v>24.945</v>
      </c>
      <c r="AC236" s="110"/>
      <c r="AD236" s="110"/>
      <c r="AE236" s="130">
        <v>1</v>
      </c>
      <c r="AF236" s="111">
        <f t="shared" si="47"/>
        <v>24.945</v>
      </c>
      <c r="AG236" s="110"/>
      <c r="AH236" s="110"/>
      <c r="AI236" s="110"/>
      <c r="AJ236" s="110"/>
      <c r="AK236" s="111">
        <f t="shared" si="54"/>
        <v>99.78</v>
      </c>
      <c r="AL236" s="446">
        <f t="shared" si="55"/>
        <v>0</v>
      </c>
      <c r="AM236" s="110">
        <f t="shared" si="56"/>
        <v>6</v>
      </c>
      <c r="AN236" s="447">
        <f t="shared" si="48"/>
        <v>0</v>
      </c>
      <c r="AO236"/>
      <c r="AP236"/>
    </row>
    <row r="237" spans="1:42" ht="66" x14ac:dyDescent="0.25">
      <c r="A237" s="40"/>
      <c r="B237" s="476" t="s">
        <v>81</v>
      </c>
      <c r="C237" s="1028"/>
      <c r="D237" s="869">
        <v>6</v>
      </c>
      <c r="E237" s="250" t="s">
        <v>1723</v>
      </c>
      <c r="F237" s="273" t="s">
        <v>3446</v>
      </c>
      <c r="G237" s="1040" t="s">
        <v>3463</v>
      </c>
      <c r="H237" s="273" t="s">
        <v>3462</v>
      </c>
      <c r="I237" s="720">
        <f t="shared" si="57"/>
        <v>4.41</v>
      </c>
      <c r="J237" s="756">
        <v>26.46</v>
      </c>
      <c r="K237" s="131">
        <f t="shared" si="46"/>
        <v>26.46</v>
      </c>
      <c r="L237" s="335">
        <f t="shared" si="49"/>
        <v>0</v>
      </c>
      <c r="M237" s="446"/>
      <c r="N237" s="446"/>
      <c r="O237" s="446"/>
      <c r="P237" s="446"/>
      <c r="Q237" s="130">
        <v>2</v>
      </c>
      <c r="R237" s="111">
        <f t="shared" si="44"/>
        <v>6.6150000000000002</v>
      </c>
      <c r="S237" s="110"/>
      <c r="T237" s="110"/>
      <c r="U237" s="130">
        <v>2</v>
      </c>
      <c r="V237" s="111">
        <f t="shared" si="45"/>
        <v>6.6150000000000002</v>
      </c>
      <c r="W237" s="110"/>
      <c r="X237" s="110"/>
      <c r="Y237" s="110"/>
      <c r="Z237" s="110"/>
      <c r="AA237" s="130">
        <v>1</v>
      </c>
      <c r="AB237" s="111">
        <f t="shared" si="53"/>
        <v>6.6150000000000002</v>
      </c>
      <c r="AC237" s="110"/>
      <c r="AD237" s="110"/>
      <c r="AE237" s="130">
        <v>1</v>
      </c>
      <c r="AF237" s="111">
        <f t="shared" si="47"/>
        <v>6.6150000000000002</v>
      </c>
      <c r="AG237" s="110"/>
      <c r="AH237" s="110"/>
      <c r="AI237" s="110"/>
      <c r="AJ237" s="110"/>
      <c r="AK237" s="111">
        <f t="shared" si="54"/>
        <v>26.46</v>
      </c>
      <c r="AL237" s="446">
        <f t="shared" si="55"/>
        <v>0</v>
      </c>
      <c r="AM237" s="110">
        <f t="shared" si="56"/>
        <v>6</v>
      </c>
      <c r="AN237" s="447">
        <f t="shared" si="48"/>
        <v>0</v>
      </c>
      <c r="AO237"/>
      <c r="AP237"/>
    </row>
    <row r="238" spans="1:42" ht="66" x14ac:dyDescent="0.25">
      <c r="A238" s="40"/>
      <c r="B238" s="476" t="s">
        <v>95</v>
      </c>
      <c r="C238" s="1028"/>
      <c r="D238" s="869">
        <v>6</v>
      </c>
      <c r="E238" s="250" t="s">
        <v>1723</v>
      </c>
      <c r="F238" s="273" t="s">
        <v>3446</v>
      </c>
      <c r="G238" s="1040" t="s">
        <v>3463</v>
      </c>
      <c r="H238" s="273" t="s">
        <v>3462</v>
      </c>
      <c r="I238" s="720">
        <f t="shared" si="57"/>
        <v>37.21</v>
      </c>
      <c r="J238" s="756">
        <v>223.26</v>
      </c>
      <c r="K238" s="131">
        <f t="shared" si="46"/>
        <v>223.26</v>
      </c>
      <c r="L238" s="335">
        <f t="shared" si="49"/>
        <v>0</v>
      </c>
      <c r="M238" s="446"/>
      <c r="N238" s="446"/>
      <c r="O238" s="446"/>
      <c r="P238" s="446"/>
      <c r="Q238" s="130">
        <v>2</v>
      </c>
      <c r="R238" s="111">
        <f t="shared" si="44"/>
        <v>55.814999999999998</v>
      </c>
      <c r="S238" s="110"/>
      <c r="T238" s="110"/>
      <c r="U238" s="130">
        <v>2</v>
      </c>
      <c r="V238" s="111">
        <f t="shared" si="45"/>
        <v>55.814999999999998</v>
      </c>
      <c r="W238" s="110"/>
      <c r="X238" s="110"/>
      <c r="Y238" s="110"/>
      <c r="Z238" s="110"/>
      <c r="AA238" s="130">
        <v>1</v>
      </c>
      <c r="AB238" s="111">
        <f t="shared" si="53"/>
        <v>55.814999999999998</v>
      </c>
      <c r="AC238" s="110"/>
      <c r="AD238" s="110"/>
      <c r="AE238" s="130">
        <v>1</v>
      </c>
      <c r="AF238" s="111">
        <f t="shared" si="47"/>
        <v>55.814999999999998</v>
      </c>
      <c r="AG238" s="110"/>
      <c r="AH238" s="110"/>
      <c r="AI238" s="110"/>
      <c r="AJ238" s="110"/>
      <c r="AK238" s="111">
        <f t="shared" si="54"/>
        <v>223.26</v>
      </c>
      <c r="AL238" s="446">
        <f t="shared" si="55"/>
        <v>0</v>
      </c>
      <c r="AM238" s="110">
        <f t="shared" si="56"/>
        <v>6</v>
      </c>
      <c r="AN238" s="447">
        <f t="shared" si="48"/>
        <v>0</v>
      </c>
      <c r="AO238"/>
      <c r="AP238"/>
    </row>
    <row r="239" spans="1:42" ht="66" x14ac:dyDescent="0.25">
      <c r="A239" s="40"/>
      <c r="B239" s="476" t="s">
        <v>1846</v>
      </c>
      <c r="C239" s="1028"/>
      <c r="D239" s="869">
        <v>6</v>
      </c>
      <c r="E239" s="250" t="s">
        <v>1723</v>
      </c>
      <c r="F239" s="273" t="s">
        <v>3446</v>
      </c>
      <c r="G239" s="1040" t="s">
        <v>3463</v>
      </c>
      <c r="H239" s="273" t="s">
        <v>3462</v>
      </c>
      <c r="I239" s="720">
        <f t="shared" si="57"/>
        <v>34.450000000000003</v>
      </c>
      <c r="J239" s="756">
        <v>206.70000000000002</v>
      </c>
      <c r="K239" s="131">
        <f t="shared" si="46"/>
        <v>206.70000000000002</v>
      </c>
      <c r="L239" s="335">
        <f t="shared" si="49"/>
        <v>0</v>
      </c>
      <c r="M239" s="446"/>
      <c r="N239" s="446"/>
      <c r="O239" s="446"/>
      <c r="P239" s="446"/>
      <c r="Q239" s="130">
        <v>2</v>
      </c>
      <c r="R239" s="111">
        <f t="shared" si="44"/>
        <v>51.675000000000004</v>
      </c>
      <c r="S239" s="110"/>
      <c r="T239" s="110"/>
      <c r="U239" s="130">
        <v>2</v>
      </c>
      <c r="V239" s="111">
        <f t="shared" si="45"/>
        <v>51.675000000000004</v>
      </c>
      <c r="W239" s="110"/>
      <c r="X239" s="110"/>
      <c r="Y239" s="110"/>
      <c r="Z239" s="110"/>
      <c r="AA239" s="130">
        <v>1</v>
      </c>
      <c r="AB239" s="111">
        <f t="shared" si="53"/>
        <v>51.675000000000004</v>
      </c>
      <c r="AC239" s="110"/>
      <c r="AD239" s="110"/>
      <c r="AE239" s="130">
        <v>1</v>
      </c>
      <c r="AF239" s="111">
        <f t="shared" si="47"/>
        <v>51.675000000000004</v>
      </c>
      <c r="AG239" s="110"/>
      <c r="AH239" s="110"/>
      <c r="AI239" s="110"/>
      <c r="AJ239" s="110"/>
      <c r="AK239" s="111">
        <f t="shared" si="54"/>
        <v>206.70000000000002</v>
      </c>
      <c r="AL239" s="446">
        <f t="shared" si="55"/>
        <v>0</v>
      </c>
      <c r="AM239" s="110">
        <f t="shared" si="56"/>
        <v>6</v>
      </c>
      <c r="AN239" s="447">
        <f t="shared" si="48"/>
        <v>0</v>
      </c>
      <c r="AO239"/>
      <c r="AP239"/>
    </row>
    <row r="240" spans="1:42" ht="66" x14ac:dyDescent="0.25">
      <c r="A240" s="40"/>
      <c r="B240" s="476" t="s">
        <v>97</v>
      </c>
      <c r="C240" s="1028"/>
      <c r="D240" s="869">
        <v>6</v>
      </c>
      <c r="E240" s="250" t="s">
        <v>1723</v>
      </c>
      <c r="F240" s="273" t="s">
        <v>3446</v>
      </c>
      <c r="G240" s="1040" t="s">
        <v>3463</v>
      </c>
      <c r="H240" s="273" t="s">
        <v>3462</v>
      </c>
      <c r="I240" s="720">
        <f t="shared" si="57"/>
        <v>34.450000000000003</v>
      </c>
      <c r="J240" s="756">
        <v>206.70000000000002</v>
      </c>
      <c r="K240" s="131">
        <f t="shared" si="46"/>
        <v>206.70000000000002</v>
      </c>
      <c r="L240" s="335">
        <f t="shared" si="49"/>
        <v>0</v>
      </c>
      <c r="M240" s="446"/>
      <c r="N240" s="446"/>
      <c r="O240" s="446"/>
      <c r="P240" s="446"/>
      <c r="Q240" s="130">
        <v>2</v>
      </c>
      <c r="R240" s="111">
        <f t="shared" si="44"/>
        <v>51.675000000000004</v>
      </c>
      <c r="S240" s="110"/>
      <c r="T240" s="110"/>
      <c r="U240" s="130">
        <v>2</v>
      </c>
      <c r="V240" s="111">
        <f t="shared" si="45"/>
        <v>51.675000000000004</v>
      </c>
      <c r="W240" s="110"/>
      <c r="X240" s="110"/>
      <c r="Y240" s="110"/>
      <c r="Z240" s="110"/>
      <c r="AA240" s="130">
        <v>1</v>
      </c>
      <c r="AB240" s="111">
        <f t="shared" si="53"/>
        <v>51.675000000000004</v>
      </c>
      <c r="AC240" s="110"/>
      <c r="AD240" s="110"/>
      <c r="AE240" s="130">
        <v>1</v>
      </c>
      <c r="AF240" s="111">
        <f t="shared" si="47"/>
        <v>51.675000000000004</v>
      </c>
      <c r="AG240" s="110"/>
      <c r="AH240" s="110"/>
      <c r="AI240" s="110"/>
      <c r="AJ240" s="110"/>
      <c r="AK240" s="111">
        <f t="shared" si="54"/>
        <v>206.70000000000002</v>
      </c>
      <c r="AL240" s="446">
        <f t="shared" si="55"/>
        <v>0</v>
      </c>
      <c r="AM240" s="110">
        <f t="shared" si="56"/>
        <v>6</v>
      </c>
      <c r="AN240" s="447">
        <f t="shared" si="48"/>
        <v>0</v>
      </c>
      <c r="AO240"/>
      <c r="AP240"/>
    </row>
    <row r="241" spans="1:42" ht="66" x14ac:dyDescent="0.25">
      <c r="A241" s="40"/>
      <c r="B241" s="476" t="s">
        <v>98</v>
      </c>
      <c r="C241" s="1028"/>
      <c r="D241" s="869">
        <v>6</v>
      </c>
      <c r="E241" s="250" t="s">
        <v>1723</v>
      </c>
      <c r="F241" s="273" t="s">
        <v>3446</v>
      </c>
      <c r="G241" s="1040" t="s">
        <v>3463</v>
      </c>
      <c r="H241" s="273" t="s">
        <v>3462</v>
      </c>
      <c r="I241" s="720">
        <f t="shared" si="57"/>
        <v>34.450000000000003</v>
      </c>
      <c r="J241" s="756">
        <v>206.70000000000002</v>
      </c>
      <c r="K241" s="131">
        <f t="shared" si="46"/>
        <v>206.70000000000002</v>
      </c>
      <c r="L241" s="335">
        <f t="shared" si="49"/>
        <v>0</v>
      </c>
      <c r="M241" s="446"/>
      <c r="N241" s="446"/>
      <c r="O241" s="446"/>
      <c r="P241" s="446"/>
      <c r="Q241" s="130">
        <v>2</v>
      </c>
      <c r="R241" s="111">
        <f t="shared" si="44"/>
        <v>51.675000000000004</v>
      </c>
      <c r="S241" s="110"/>
      <c r="T241" s="110"/>
      <c r="U241" s="130">
        <v>2</v>
      </c>
      <c r="V241" s="111">
        <f t="shared" si="45"/>
        <v>51.675000000000004</v>
      </c>
      <c r="W241" s="110"/>
      <c r="X241" s="110"/>
      <c r="Y241" s="110"/>
      <c r="Z241" s="110"/>
      <c r="AA241" s="130">
        <v>1</v>
      </c>
      <c r="AB241" s="111">
        <f t="shared" si="53"/>
        <v>51.675000000000004</v>
      </c>
      <c r="AC241" s="110"/>
      <c r="AD241" s="110"/>
      <c r="AE241" s="130">
        <v>1</v>
      </c>
      <c r="AF241" s="111">
        <f t="shared" si="47"/>
        <v>51.675000000000004</v>
      </c>
      <c r="AG241" s="110"/>
      <c r="AH241" s="110"/>
      <c r="AI241" s="110"/>
      <c r="AJ241" s="110"/>
      <c r="AK241" s="111">
        <f t="shared" si="54"/>
        <v>206.70000000000002</v>
      </c>
      <c r="AL241" s="446">
        <f t="shared" si="55"/>
        <v>0</v>
      </c>
      <c r="AM241" s="110">
        <f t="shared" si="56"/>
        <v>6</v>
      </c>
      <c r="AN241" s="447">
        <f t="shared" si="48"/>
        <v>0</v>
      </c>
      <c r="AO241"/>
      <c r="AP241"/>
    </row>
    <row r="242" spans="1:42" ht="66" x14ac:dyDescent="0.25">
      <c r="A242" s="40"/>
      <c r="B242" s="476" t="s">
        <v>27</v>
      </c>
      <c r="C242" s="1028"/>
      <c r="D242" s="869">
        <v>6</v>
      </c>
      <c r="E242" s="250" t="s">
        <v>1723</v>
      </c>
      <c r="F242" s="273" t="s">
        <v>3446</v>
      </c>
      <c r="G242" s="1040" t="s">
        <v>3463</v>
      </c>
      <c r="H242" s="273" t="s">
        <v>3462</v>
      </c>
      <c r="I242" s="720">
        <f t="shared" si="57"/>
        <v>41.34</v>
      </c>
      <c r="J242" s="756">
        <v>248.04000000000002</v>
      </c>
      <c r="K242" s="131">
        <f t="shared" si="46"/>
        <v>248.04000000000002</v>
      </c>
      <c r="L242" s="335">
        <f t="shared" si="49"/>
        <v>0</v>
      </c>
      <c r="M242" s="446"/>
      <c r="N242" s="446"/>
      <c r="O242" s="446"/>
      <c r="P242" s="446"/>
      <c r="Q242" s="130">
        <v>2</v>
      </c>
      <c r="R242" s="111">
        <f t="shared" si="44"/>
        <v>62.010000000000005</v>
      </c>
      <c r="S242" s="110"/>
      <c r="T242" s="110"/>
      <c r="U242" s="130">
        <v>2</v>
      </c>
      <c r="V242" s="111">
        <f t="shared" si="45"/>
        <v>62.010000000000005</v>
      </c>
      <c r="W242" s="110"/>
      <c r="X242" s="110"/>
      <c r="Y242" s="110"/>
      <c r="Z242" s="110"/>
      <c r="AA242" s="130">
        <v>1</v>
      </c>
      <c r="AB242" s="111">
        <f t="shared" si="53"/>
        <v>62.010000000000005</v>
      </c>
      <c r="AC242" s="110"/>
      <c r="AD242" s="110"/>
      <c r="AE242" s="130">
        <v>1</v>
      </c>
      <c r="AF242" s="111">
        <f t="shared" si="47"/>
        <v>62.010000000000005</v>
      </c>
      <c r="AG242" s="110"/>
      <c r="AH242" s="110"/>
      <c r="AI242" s="110"/>
      <c r="AJ242" s="110"/>
      <c r="AK242" s="111">
        <f t="shared" si="54"/>
        <v>248.04000000000002</v>
      </c>
      <c r="AL242" s="446">
        <f t="shared" si="55"/>
        <v>0</v>
      </c>
      <c r="AM242" s="110">
        <f t="shared" si="56"/>
        <v>6</v>
      </c>
      <c r="AN242" s="447">
        <f t="shared" si="48"/>
        <v>0</v>
      </c>
      <c r="AO242"/>
      <c r="AP242"/>
    </row>
    <row r="243" spans="1:42" ht="66" x14ac:dyDescent="0.25">
      <c r="A243" s="40"/>
      <c r="B243" s="476" t="s">
        <v>61</v>
      </c>
      <c r="C243" s="1028"/>
      <c r="D243" s="869">
        <v>24</v>
      </c>
      <c r="E243" s="250" t="s">
        <v>1722</v>
      </c>
      <c r="F243" s="273" t="s">
        <v>3446</v>
      </c>
      <c r="G243" s="1040" t="s">
        <v>3463</v>
      </c>
      <c r="H243" s="273" t="s">
        <v>3462</v>
      </c>
      <c r="I243" s="720">
        <f t="shared" si="57"/>
        <v>61.63</v>
      </c>
      <c r="J243" s="756">
        <v>1479.1200000000001</v>
      </c>
      <c r="K243" s="131">
        <f t="shared" si="46"/>
        <v>1479.1200000000001</v>
      </c>
      <c r="L243" s="335">
        <f t="shared" si="49"/>
        <v>0</v>
      </c>
      <c r="M243" s="446"/>
      <c r="N243" s="446"/>
      <c r="O243" s="446"/>
      <c r="P243" s="446"/>
      <c r="Q243" s="110">
        <f t="shared" si="50"/>
        <v>6</v>
      </c>
      <c r="R243" s="111">
        <f t="shared" si="44"/>
        <v>369.78000000000003</v>
      </c>
      <c r="S243" s="110"/>
      <c r="T243" s="110"/>
      <c r="U243" s="110">
        <f t="shared" si="51"/>
        <v>6</v>
      </c>
      <c r="V243" s="111">
        <f t="shared" si="45"/>
        <v>369.78000000000003</v>
      </c>
      <c r="W243" s="110"/>
      <c r="X243" s="110"/>
      <c r="Y243" s="110"/>
      <c r="Z243" s="110"/>
      <c r="AA243" s="110">
        <f t="shared" si="52"/>
        <v>6</v>
      </c>
      <c r="AB243" s="111">
        <f t="shared" si="53"/>
        <v>369.78000000000003</v>
      </c>
      <c r="AC243" s="110"/>
      <c r="AD243" s="110"/>
      <c r="AE243" s="110">
        <f t="shared" si="52"/>
        <v>6</v>
      </c>
      <c r="AF243" s="111">
        <f t="shared" si="47"/>
        <v>369.78000000000003</v>
      </c>
      <c r="AG243" s="110"/>
      <c r="AH243" s="110"/>
      <c r="AI243" s="110"/>
      <c r="AJ243" s="110"/>
      <c r="AK243" s="111">
        <f t="shared" si="54"/>
        <v>1479.1200000000001</v>
      </c>
      <c r="AL243" s="446">
        <f t="shared" si="55"/>
        <v>0</v>
      </c>
      <c r="AM243" s="110">
        <f t="shared" si="56"/>
        <v>24</v>
      </c>
      <c r="AN243" s="447">
        <f t="shared" si="48"/>
        <v>0</v>
      </c>
      <c r="AO243"/>
      <c r="AP243"/>
    </row>
    <row r="244" spans="1:42" ht="66" x14ac:dyDescent="0.25">
      <c r="A244" s="40"/>
      <c r="B244" s="476" t="s">
        <v>43</v>
      </c>
      <c r="C244" s="1028"/>
      <c r="D244" s="869">
        <v>6</v>
      </c>
      <c r="E244" s="250" t="s">
        <v>1723</v>
      </c>
      <c r="F244" s="273" t="s">
        <v>3446</v>
      </c>
      <c r="G244" s="1040" t="s">
        <v>3463</v>
      </c>
      <c r="H244" s="273" t="s">
        <v>3462</v>
      </c>
      <c r="I244" s="720">
        <f t="shared" si="57"/>
        <v>15.43</v>
      </c>
      <c r="J244" s="756">
        <v>92.58</v>
      </c>
      <c r="K244" s="131">
        <f t="shared" si="46"/>
        <v>92.58</v>
      </c>
      <c r="L244" s="335">
        <f t="shared" si="49"/>
        <v>0</v>
      </c>
      <c r="M244" s="446"/>
      <c r="N244" s="446"/>
      <c r="O244" s="446"/>
      <c r="P244" s="446"/>
      <c r="Q244" s="130">
        <v>2</v>
      </c>
      <c r="R244" s="111">
        <f t="shared" si="44"/>
        <v>23.145</v>
      </c>
      <c r="S244" s="110"/>
      <c r="T244" s="110"/>
      <c r="U244" s="130">
        <v>2</v>
      </c>
      <c r="V244" s="111">
        <f t="shared" si="45"/>
        <v>23.145</v>
      </c>
      <c r="W244" s="110"/>
      <c r="X244" s="110"/>
      <c r="Y244" s="110"/>
      <c r="Z244" s="110"/>
      <c r="AA244" s="130">
        <v>1</v>
      </c>
      <c r="AB244" s="111">
        <f t="shared" si="53"/>
        <v>23.145</v>
      </c>
      <c r="AC244" s="110"/>
      <c r="AD244" s="110"/>
      <c r="AE244" s="130">
        <v>1</v>
      </c>
      <c r="AF244" s="111">
        <f t="shared" si="47"/>
        <v>23.145</v>
      </c>
      <c r="AG244" s="110"/>
      <c r="AH244" s="110"/>
      <c r="AI244" s="110"/>
      <c r="AJ244" s="110"/>
      <c r="AK244" s="111">
        <f t="shared" si="54"/>
        <v>92.58</v>
      </c>
      <c r="AL244" s="446">
        <f t="shared" si="55"/>
        <v>0</v>
      </c>
      <c r="AM244" s="110">
        <f t="shared" si="56"/>
        <v>6</v>
      </c>
      <c r="AN244" s="447">
        <f t="shared" si="48"/>
        <v>0</v>
      </c>
      <c r="AO244"/>
      <c r="AP244"/>
    </row>
    <row r="245" spans="1:42" ht="66" x14ac:dyDescent="0.25">
      <c r="A245" s="40"/>
      <c r="B245" s="476" t="s">
        <v>218</v>
      </c>
      <c r="C245" s="1028"/>
      <c r="D245" s="869">
        <v>6</v>
      </c>
      <c r="E245" s="250" t="s">
        <v>1721</v>
      </c>
      <c r="F245" s="273" t="s">
        <v>3446</v>
      </c>
      <c r="G245" s="1040" t="s">
        <v>3463</v>
      </c>
      <c r="H245" s="273" t="s">
        <v>3462</v>
      </c>
      <c r="I245" s="720">
        <f t="shared" si="57"/>
        <v>14.47</v>
      </c>
      <c r="J245" s="756">
        <v>86.820000000000007</v>
      </c>
      <c r="K245" s="131">
        <f t="shared" si="46"/>
        <v>86.820000000000007</v>
      </c>
      <c r="L245" s="335">
        <f t="shared" si="49"/>
        <v>0</v>
      </c>
      <c r="M245" s="446"/>
      <c r="N245" s="446"/>
      <c r="O245" s="446"/>
      <c r="P245" s="446"/>
      <c r="Q245" s="130">
        <v>2</v>
      </c>
      <c r="R245" s="111">
        <f t="shared" si="44"/>
        <v>21.705000000000002</v>
      </c>
      <c r="S245" s="110"/>
      <c r="T245" s="110"/>
      <c r="U245" s="130">
        <v>2</v>
      </c>
      <c r="V245" s="111">
        <f t="shared" si="45"/>
        <v>21.705000000000002</v>
      </c>
      <c r="W245" s="110"/>
      <c r="X245" s="110"/>
      <c r="Y245" s="110"/>
      <c r="Z245" s="110"/>
      <c r="AA245" s="130">
        <v>1</v>
      </c>
      <c r="AB245" s="111">
        <f t="shared" si="53"/>
        <v>21.705000000000002</v>
      </c>
      <c r="AC245" s="110"/>
      <c r="AD245" s="110"/>
      <c r="AE245" s="130">
        <v>1</v>
      </c>
      <c r="AF245" s="111">
        <f t="shared" si="47"/>
        <v>21.705000000000002</v>
      </c>
      <c r="AG245" s="110"/>
      <c r="AH245" s="110"/>
      <c r="AI245" s="110"/>
      <c r="AJ245" s="110"/>
      <c r="AK245" s="111">
        <f t="shared" si="54"/>
        <v>86.820000000000007</v>
      </c>
      <c r="AL245" s="446">
        <f t="shared" si="55"/>
        <v>0</v>
      </c>
      <c r="AM245" s="110">
        <f t="shared" si="56"/>
        <v>6</v>
      </c>
      <c r="AN245" s="447">
        <f t="shared" si="48"/>
        <v>0</v>
      </c>
      <c r="AO245"/>
      <c r="AP245"/>
    </row>
    <row r="246" spans="1:42" ht="66" x14ac:dyDescent="0.25">
      <c r="A246" s="40"/>
      <c r="B246" s="476" t="s">
        <v>1847</v>
      </c>
      <c r="C246" s="1028"/>
      <c r="D246" s="869">
        <v>3</v>
      </c>
      <c r="E246" s="250" t="s">
        <v>1721</v>
      </c>
      <c r="F246" s="273" t="s">
        <v>3446</v>
      </c>
      <c r="G246" s="1040" t="s">
        <v>3463</v>
      </c>
      <c r="H246" s="273" t="s">
        <v>3462</v>
      </c>
      <c r="I246" s="720">
        <f t="shared" si="57"/>
        <v>600</v>
      </c>
      <c r="J246" s="756">
        <v>1800</v>
      </c>
      <c r="K246" s="131">
        <f t="shared" si="46"/>
        <v>1800</v>
      </c>
      <c r="L246" s="335">
        <f t="shared" si="49"/>
        <v>0</v>
      </c>
      <c r="M246" s="446"/>
      <c r="N246" s="446"/>
      <c r="O246" s="446"/>
      <c r="P246" s="446"/>
      <c r="Q246" s="130">
        <v>1</v>
      </c>
      <c r="R246" s="111">
        <f t="shared" si="44"/>
        <v>450</v>
      </c>
      <c r="S246" s="110"/>
      <c r="T246" s="110"/>
      <c r="U246" s="130">
        <v>1</v>
      </c>
      <c r="V246" s="111">
        <f t="shared" si="45"/>
        <v>450</v>
      </c>
      <c r="W246" s="110"/>
      <c r="X246" s="110"/>
      <c r="Y246" s="110"/>
      <c r="Z246" s="110"/>
      <c r="AA246" s="130">
        <v>1</v>
      </c>
      <c r="AB246" s="111">
        <f t="shared" si="53"/>
        <v>450</v>
      </c>
      <c r="AC246" s="110"/>
      <c r="AD246" s="110"/>
      <c r="AE246" s="130">
        <v>0</v>
      </c>
      <c r="AF246" s="111">
        <f t="shared" si="47"/>
        <v>450</v>
      </c>
      <c r="AG246" s="110"/>
      <c r="AH246" s="110"/>
      <c r="AI246" s="110"/>
      <c r="AJ246" s="110"/>
      <c r="AK246" s="111">
        <f t="shared" si="54"/>
        <v>1800</v>
      </c>
      <c r="AL246" s="446">
        <f t="shared" si="55"/>
        <v>0</v>
      </c>
      <c r="AM246" s="110">
        <f t="shared" si="56"/>
        <v>3</v>
      </c>
      <c r="AN246" s="447">
        <f t="shared" si="48"/>
        <v>0</v>
      </c>
      <c r="AO246"/>
      <c r="AP246"/>
    </row>
    <row r="247" spans="1:42" ht="66" x14ac:dyDescent="0.25">
      <c r="A247" s="40"/>
      <c r="B247" s="476" t="s">
        <v>1848</v>
      </c>
      <c r="C247" s="1028"/>
      <c r="D247" s="869">
        <v>4</v>
      </c>
      <c r="E247" s="250" t="s">
        <v>1721</v>
      </c>
      <c r="F247" s="273" t="s">
        <v>3446</v>
      </c>
      <c r="G247" s="1040" t="s">
        <v>3463</v>
      </c>
      <c r="H247" s="273" t="s">
        <v>3462</v>
      </c>
      <c r="I247" s="720">
        <f t="shared" si="57"/>
        <v>99.22</v>
      </c>
      <c r="J247" s="756">
        <v>396.88</v>
      </c>
      <c r="K247" s="131">
        <f t="shared" si="46"/>
        <v>396.88</v>
      </c>
      <c r="L247" s="335">
        <f t="shared" si="49"/>
        <v>0</v>
      </c>
      <c r="M247" s="446"/>
      <c r="N247" s="446"/>
      <c r="O247" s="446"/>
      <c r="P247" s="446"/>
      <c r="Q247" s="110">
        <f t="shared" si="50"/>
        <v>1</v>
      </c>
      <c r="R247" s="111">
        <f t="shared" si="44"/>
        <v>99.22</v>
      </c>
      <c r="S247" s="110"/>
      <c r="T247" s="110"/>
      <c r="U247" s="110">
        <f t="shared" si="51"/>
        <v>1</v>
      </c>
      <c r="V247" s="111">
        <f t="shared" si="45"/>
        <v>99.22</v>
      </c>
      <c r="W247" s="110"/>
      <c r="X247" s="110"/>
      <c r="Y247" s="110"/>
      <c r="Z247" s="110"/>
      <c r="AA247" s="110">
        <f t="shared" si="52"/>
        <v>1</v>
      </c>
      <c r="AB247" s="111">
        <f t="shared" si="53"/>
        <v>99.22</v>
      </c>
      <c r="AC247" s="110"/>
      <c r="AD247" s="110"/>
      <c r="AE247" s="110">
        <f t="shared" si="52"/>
        <v>1</v>
      </c>
      <c r="AF247" s="111">
        <f t="shared" si="47"/>
        <v>99.22</v>
      </c>
      <c r="AG247" s="110"/>
      <c r="AH247" s="110"/>
      <c r="AI247" s="110"/>
      <c r="AJ247" s="110"/>
      <c r="AK247" s="111">
        <f t="shared" si="54"/>
        <v>396.88</v>
      </c>
      <c r="AL247" s="446">
        <f t="shared" si="55"/>
        <v>0</v>
      </c>
      <c r="AM247" s="110">
        <f t="shared" si="56"/>
        <v>4</v>
      </c>
      <c r="AN247" s="447">
        <f t="shared" si="48"/>
        <v>0</v>
      </c>
      <c r="AO247"/>
      <c r="AP247"/>
    </row>
    <row r="248" spans="1:42" ht="66" x14ac:dyDescent="0.25">
      <c r="A248" s="40"/>
      <c r="B248" s="476" t="s">
        <v>71</v>
      </c>
      <c r="C248" s="1028"/>
      <c r="D248" s="869">
        <v>6</v>
      </c>
      <c r="E248" s="250" t="s">
        <v>1722</v>
      </c>
      <c r="F248" s="273" t="s">
        <v>3446</v>
      </c>
      <c r="G248" s="1040" t="s">
        <v>3463</v>
      </c>
      <c r="H248" s="273" t="s">
        <v>3462</v>
      </c>
      <c r="I248" s="720">
        <f t="shared" si="57"/>
        <v>165.37</v>
      </c>
      <c r="J248" s="756">
        <v>992.22</v>
      </c>
      <c r="K248" s="131">
        <f t="shared" si="46"/>
        <v>992.22</v>
      </c>
      <c r="L248" s="335">
        <f t="shared" si="49"/>
        <v>0</v>
      </c>
      <c r="M248" s="446"/>
      <c r="N248" s="446"/>
      <c r="O248" s="446"/>
      <c r="P248" s="446"/>
      <c r="Q248" s="130">
        <v>2</v>
      </c>
      <c r="R248" s="111">
        <f t="shared" si="44"/>
        <v>248.05500000000001</v>
      </c>
      <c r="S248" s="110"/>
      <c r="T248" s="110"/>
      <c r="U248" s="130">
        <v>2</v>
      </c>
      <c r="V248" s="111">
        <f t="shared" si="45"/>
        <v>248.05500000000001</v>
      </c>
      <c r="W248" s="110"/>
      <c r="X248" s="110"/>
      <c r="Y248" s="110"/>
      <c r="Z248" s="110"/>
      <c r="AA248" s="130">
        <v>1</v>
      </c>
      <c r="AB248" s="111">
        <f t="shared" si="53"/>
        <v>248.05500000000001</v>
      </c>
      <c r="AC248" s="110"/>
      <c r="AD248" s="110"/>
      <c r="AE248" s="130">
        <v>1</v>
      </c>
      <c r="AF248" s="111">
        <f t="shared" si="47"/>
        <v>248.05500000000001</v>
      </c>
      <c r="AG248" s="110"/>
      <c r="AH248" s="110"/>
      <c r="AI248" s="110"/>
      <c r="AJ248" s="110"/>
      <c r="AK248" s="111">
        <f t="shared" si="54"/>
        <v>992.22</v>
      </c>
      <c r="AL248" s="446">
        <f t="shared" si="55"/>
        <v>0</v>
      </c>
      <c r="AM248" s="110">
        <f t="shared" si="56"/>
        <v>6</v>
      </c>
      <c r="AN248" s="447">
        <f t="shared" si="48"/>
        <v>0</v>
      </c>
      <c r="AO248"/>
      <c r="AP248"/>
    </row>
    <row r="249" spans="1:42" ht="66" x14ac:dyDescent="0.25">
      <c r="A249" s="40"/>
      <c r="B249" s="476" t="s">
        <v>79</v>
      </c>
      <c r="C249" s="1028"/>
      <c r="D249" s="869">
        <v>4</v>
      </c>
      <c r="E249" s="250" t="s">
        <v>1725</v>
      </c>
      <c r="F249" s="273" t="s">
        <v>3446</v>
      </c>
      <c r="G249" s="1040" t="s">
        <v>3463</v>
      </c>
      <c r="H249" s="273" t="s">
        <v>3462</v>
      </c>
      <c r="I249" s="720">
        <f t="shared" si="57"/>
        <v>49.61</v>
      </c>
      <c r="J249" s="756">
        <v>198.44</v>
      </c>
      <c r="K249" s="131">
        <f t="shared" si="46"/>
        <v>198.44</v>
      </c>
      <c r="L249" s="335">
        <f t="shared" si="49"/>
        <v>0</v>
      </c>
      <c r="M249" s="446"/>
      <c r="N249" s="446"/>
      <c r="O249" s="446"/>
      <c r="P249" s="446"/>
      <c r="Q249" s="110">
        <f t="shared" si="50"/>
        <v>1</v>
      </c>
      <c r="R249" s="111">
        <f t="shared" si="44"/>
        <v>49.61</v>
      </c>
      <c r="S249" s="110"/>
      <c r="T249" s="110"/>
      <c r="U249" s="110">
        <f t="shared" si="51"/>
        <v>1</v>
      </c>
      <c r="V249" s="111">
        <f t="shared" si="45"/>
        <v>49.61</v>
      </c>
      <c r="W249" s="110"/>
      <c r="X249" s="110"/>
      <c r="Y249" s="110"/>
      <c r="Z249" s="110"/>
      <c r="AA249" s="110">
        <f t="shared" si="52"/>
        <v>1</v>
      </c>
      <c r="AB249" s="111">
        <f t="shared" si="53"/>
        <v>49.61</v>
      </c>
      <c r="AC249" s="110"/>
      <c r="AD249" s="110"/>
      <c r="AE249" s="110">
        <f t="shared" si="52"/>
        <v>1</v>
      </c>
      <c r="AF249" s="111">
        <f t="shared" si="47"/>
        <v>49.61</v>
      </c>
      <c r="AG249" s="110"/>
      <c r="AH249" s="110"/>
      <c r="AI249" s="110"/>
      <c r="AJ249" s="110"/>
      <c r="AK249" s="111">
        <f t="shared" si="54"/>
        <v>198.44</v>
      </c>
      <c r="AL249" s="446">
        <f t="shared" si="55"/>
        <v>0</v>
      </c>
      <c r="AM249" s="110">
        <f t="shared" si="56"/>
        <v>4</v>
      </c>
      <c r="AN249" s="447">
        <f t="shared" si="48"/>
        <v>0</v>
      </c>
      <c r="AO249"/>
      <c r="AP249"/>
    </row>
    <row r="250" spans="1:42" ht="66" x14ac:dyDescent="0.25">
      <c r="A250" s="40"/>
      <c r="B250" s="476" t="s">
        <v>1717</v>
      </c>
      <c r="C250" s="1028"/>
      <c r="D250" s="869">
        <v>6</v>
      </c>
      <c r="E250" s="250" t="s">
        <v>1722</v>
      </c>
      <c r="F250" s="273" t="s">
        <v>3446</v>
      </c>
      <c r="G250" s="1040" t="s">
        <v>3463</v>
      </c>
      <c r="H250" s="273" t="s">
        <v>3462</v>
      </c>
      <c r="I250" s="720">
        <f t="shared" si="57"/>
        <v>136.43</v>
      </c>
      <c r="J250" s="756">
        <v>818.58</v>
      </c>
      <c r="K250" s="131">
        <f t="shared" si="46"/>
        <v>818.58</v>
      </c>
      <c r="L250" s="335">
        <f t="shared" si="49"/>
        <v>0</v>
      </c>
      <c r="M250" s="446"/>
      <c r="N250" s="446"/>
      <c r="O250" s="446"/>
      <c r="P250" s="446"/>
      <c r="Q250" s="130">
        <v>2</v>
      </c>
      <c r="R250" s="111">
        <f t="shared" si="44"/>
        <v>204.64500000000001</v>
      </c>
      <c r="S250" s="110"/>
      <c r="T250" s="110"/>
      <c r="U250" s="130">
        <v>2</v>
      </c>
      <c r="V250" s="111">
        <f t="shared" si="45"/>
        <v>204.64500000000001</v>
      </c>
      <c r="W250" s="110"/>
      <c r="X250" s="110"/>
      <c r="Y250" s="110"/>
      <c r="Z250" s="110"/>
      <c r="AA250" s="130">
        <v>1</v>
      </c>
      <c r="AB250" s="111">
        <f t="shared" si="53"/>
        <v>204.64500000000001</v>
      </c>
      <c r="AC250" s="110"/>
      <c r="AD250" s="110"/>
      <c r="AE250" s="130">
        <v>1</v>
      </c>
      <c r="AF250" s="111">
        <f t="shared" si="47"/>
        <v>204.64500000000001</v>
      </c>
      <c r="AG250" s="110"/>
      <c r="AH250" s="110"/>
      <c r="AI250" s="110"/>
      <c r="AJ250" s="110"/>
      <c r="AK250" s="111">
        <f t="shared" si="54"/>
        <v>818.58</v>
      </c>
      <c r="AL250" s="446">
        <f t="shared" si="55"/>
        <v>0</v>
      </c>
      <c r="AM250" s="110">
        <f t="shared" si="56"/>
        <v>6</v>
      </c>
      <c r="AN250" s="447">
        <f t="shared" si="48"/>
        <v>0</v>
      </c>
      <c r="AO250"/>
      <c r="AP250"/>
    </row>
    <row r="251" spans="1:42" ht="66" x14ac:dyDescent="0.25">
      <c r="A251" s="40"/>
      <c r="B251" s="476" t="s">
        <v>51</v>
      </c>
      <c r="C251" s="1028"/>
      <c r="D251" s="869">
        <v>2</v>
      </c>
      <c r="E251" s="250" t="s">
        <v>1721</v>
      </c>
      <c r="F251" s="273" t="s">
        <v>3446</v>
      </c>
      <c r="G251" s="1040" t="s">
        <v>3463</v>
      </c>
      <c r="H251" s="273" t="s">
        <v>3462</v>
      </c>
      <c r="I251" s="720">
        <f t="shared" si="57"/>
        <v>406.53</v>
      </c>
      <c r="J251" s="756">
        <v>813.06</v>
      </c>
      <c r="K251" s="131">
        <f t="shared" si="46"/>
        <v>813.06</v>
      </c>
      <c r="L251" s="335">
        <f t="shared" si="49"/>
        <v>0</v>
      </c>
      <c r="M251" s="446"/>
      <c r="N251" s="446"/>
      <c r="O251" s="446"/>
      <c r="P251" s="446"/>
      <c r="Q251" s="130">
        <v>1</v>
      </c>
      <c r="R251" s="111">
        <v>406.53</v>
      </c>
      <c r="S251" s="110"/>
      <c r="T251" s="110"/>
      <c r="U251" s="130">
        <v>1</v>
      </c>
      <c r="V251" s="111">
        <v>406.53</v>
      </c>
      <c r="W251" s="110"/>
      <c r="X251" s="110"/>
      <c r="Y251" s="110"/>
      <c r="Z251" s="110"/>
      <c r="AA251" s="130">
        <v>0</v>
      </c>
      <c r="AB251" s="111">
        <v>0</v>
      </c>
      <c r="AC251" s="110"/>
      <c r="AD251" s="110"/>
      <c r="AE251" s="130">
        <v>0</v>
      </c>
      <c r="AF251" s="111">
        <v>0</v>
      </c>
      <c r="AG251" s="110"/>
      <c r="AH251" s="110"/>
      <c r="AI251" s="110"/>
      <c r="AJ251" s="110"/>
      <c r="AK251" s="111">
        <f t="shared" si="54"/>
        <v>813.06</v>
      </c>
      <c r="AL251" s="446">
        <f t="shared" si="55"/>
        <v>0</v>
      </c>
      <c r="AM251" s="110">
        <f t="shared" si="56"/>
        <v>2</v>
      </c>
      <c r="AN251" s="447">
        <f t="shared" si="48"/>
        <v>0</v>
      </c>
      <c r="AO251"/>
      <c r="AP251"/>
    </row>
    <row r="252" spans="1:42" ht="66" x14ac:dyDescent="0.25">
      <c r="A252" s="40"/>
      <c r="B252" s="476" t="s">
        <v>37</v>
      </c>
      <c r="C252" s="1028"/>
      <c r="D252" s="869">
        <v>3</v>
      </c>
      <c r="E252" s="250" t="s">
        <v>1721</v>
      </c>
      <c r="F252" s="273" t="s">
        <v>3446</v>
      </c>
      <c r="G252" s="1040" t="s">
        <v>3463</v>
      </c>
      <c r="H252" s="273" t="s">
        <v>3462</v>
      </c>
      <c r="I252" s="720">
        <f t="shared" si="57"/>
        <v>38.590000000000003</v>
      </c>
      <c r="J252" s="756">
        <v>115.77000000000001</v>
      </c>
      <c r="K252" s="131">
        <f t="shared" si="46"/>
        <v>115.77000000000001</v>
      </c>
      <c r="L252" s="335">
        <f t="shared" si="49"/>
        <v>0</v>
      </c>
      <c r="M252" s="446"/>
      <c r="N252" s="446"/>
      <c r="O252" s="446"/>
      <c r="P252" s="446"/>
      <c r="Q252" s="130">
        <v>1</v>
      </c>
      <c r="R252" s="111">
        <f t="shared" si="44"/>
        <v>28.942500000000003</v>
      </c>
      <c r="S252" s="110"/>
      <c r="T252" s="110"/>
      <c r="U252" s="130">
        <v>1</v>
      </c>
      <c r="V252" s="111">
        <f t="shared" si="45"/>
        <v>28.942500000000003</v>
      </c>
      <c r="W252" s="110"/>
      <c r="X252" s="110"/>
      <c r="Y252" s="110"/>
      <c r="Z252" s="110"/>
      <c r="AA252" s="130">
        <v>1</v>
      </c>
      <c r="AB252" s="111">
        <f t="shared" si="53"/>
        <v>28.942500000000003</v>
      </c>
      <c r="AC252" s="110"/>
      <c r="AD252" s="110"/>
      <c r="AE252" s="130">
        <v>0</v>
      </c>
      <c r="AF252" s="111">
        <f t="shared" si="47"/>
        <v>28.942500000000003</v>
      </c>
      <c r="AG252" s="110"/>
      <c r="AH252" s="110"/>
      <c r="AI252" s="110"/>
      <c r="AJ252" s="110"/>
      <c r="AK252" s="111">
        <f t="shared" si="54"/>
        <v>115.77000000000001</v>
      </c>
      <c r="AL252" s="446">
        <f t="shared" si="55"/>
        <v>0</v>
      </c>
      <c r="AM252" s="110">
        <f t="shared" si="56"/>
        <v>3</v>
      </c>
      <c r="AN252" s="447">
        <f t="shared" si="48"/>
        <v>0</v>
      </c>
      <c r="AO252"/>
      <c r="AP252"/>
    </row>
    <row r="253" spans="1:42" ht="66" x14ac:dyDescent="0.25">
      <c r="A253" s="40"/>
      <c r="B253" s="476" t="s">
        <v>1849</v>
      </c>
      <c r="C253" s="1028"/>
      <c r="D253" s="869">
        <v>12</v>
      </c>
      <c r="E253" s="250" t="s">
        <v>1721</v>
      </c>
      <c r="F253" s="273" t="s">
        <v>3446</v>
      </c>
      <c r="G253" s="1040" t="s">
        <v>3463</v>
      </c>
      <c r="H253" s="273" t="s">
        <v>3462</v>
      </c>
      <c r="I253" s="720">
        <f t="shared" si="57"/>
        <v>14.06</v>
      </c>
      <c r="J253" s="756">
        <v>168.72</v>
      </c>
      <c r="K253" s="131">
        <f t="shared" si="46"/>
        <v>168.72</v>
      </c>
      <c r="L253" s="335">
        <f t="shared" si="49"/>
        <v>0</v>
      </c>
      <c r="M253" s="446"/>
      <c r="N253" s="446"/>
      <c r="O253" s="446"/>
      <c r="P253" s="446"/>
      <c r="Q253" s="110">
        <f t="shared" si="50"/>
        <v>3</v>
      </c>
      <c r="R253" s="111">
        <f t="shared" si="44"/>
        <v>42.18</v>
      </c>
      <c r="S253" s="110"/>
      <c r="T253" s="110"/>
      <c r="U253" s="110">
        <f t="shared" si="51"/>
        <v>3</v>
      </c>
      <c r="V253" s="111">
        <f t="shared" si="45"/>
        <v>42.18</v>
      </c>
      <c r="W253" s="110"/>
      <c r="X253" s="110"/>
      <c r="Y253" s="110"/>
      <c r="Z253" s="110"/>
      <c r="AA253" s="110">
        <f t="shared" si="52"/>
        <v>3</v>
      </c>
      <c r="AB253" s="111">
        <f t="shared" si="53"/>
        <v>42.18</v>
      </c>
      <c r="AC253" s="110"/>
      <c r="AD253" s="110"/>
      <c r="AE253" s="110">
        <f t="shared" si="52"/>
        <v>3</v>
      </c>
      <c r="AF253" s="111">
        <f t="shared" si="47"/>
        <v>42.18</v>
      </c>
      <c r="AG253" s="110"/>
      <c r="AH253" s="110"/>
      <c r="AI253" s="110"/>
      <c r="AJ253" s="110"/>
      <c r="AK253" s="111">
        <f t="shared" si="54"/>
        <v>168.72</v>
      </c>
      <c r="AL253" s="446">
        <f t="shared" si="55"/>
        <v>0</v>
      </c>
      <c r="AM253" s="110">
        <f t="shared" si="56"/>
        <v>12</v>
      </c>
      <c r="AN253" s="447">
        <f t="shared" si="48"/>
        <v>0</v>
      </c>
      <c r="AO253"/>
      <c r="AP253"/>
    </row>
    <row r="254" spans="1:42" ht="66" x14ac:dyDescent="0.25">
      <c r="A254" s="40"/>
      <c r="B254" s="476" t="s">
        <v>41</v>
      </c>
      <c r="C254" s="1028"/>
      <c r="D254" s="869">
        <v>1</v>
      </c>
      <c r="E254" s="250" t="s">
        <v>1722</v>
      </c>
      <c r="F254" s="273" t="s">
        <v>3446</v>
      </c>
      <c r="G254" s="1040" t="s">
        <v>3463</v>
      </c>
      <c r="H254" s="273" t="s">
        <v>3462</v>
      </c>
      <c r="I254" s="720">
        <f t="shared" si="57"/>
        <v>91.99</v>
      </c>
      <c r="J254" s="756">
        <v>91.99</v>
      </c>
      <c r="K254" s="131">
        <f t="shared" si="46"/>
        <v>91.99</v>
      </c>
      <c r="L254" s="335">
        <f t="shared" si="49"/>
        <v>0</v>
      </c>
      <c r="M254" s="446"/>
      <c r="N254" s="446"/>
      <c r="O254" s="446"/>
      <c r="P254" s="446"/>
      <c r="Q254" s="110">
        <v>1</v>
      </c>
      <c r="R254" s="111">
        <f t="shared" si="44"/>
        <v>22.997499999999999</v>
      </c>
      <c r="S254" s="110"/>
      <c r="T254" s="110"/>
      <c r="U254" s="110">
        <v>0</v>
      </c>
      <c r="V254" s="111">
        <f t="shared" si="45"/>
        <v>22.997499999999999</v>
      </c>
      <c r="W254" s="110"/>
      <c r="X254" s="110"/>
      <c r="Y254" s="110"/>
      <c r="Z254" s="110"/>
      <c r="AA254" s="110">
        <v>0</v>
      </c>
      <c r="AB254" s="111">
        <f t="shared" si="53"/>
        <v>22.997499999999999</v>
      </c>
      <c r="AC254" s="110"/>
      <c r="AD254" s="110"/>
      <c r="AE254" s="110">
        <v>0</v>
      </c>
      <c r="AF254" s="111">
        <f t="shared" si="47"/>
        <v>22.997499999999999</v>
      </c>
      <c r="AG254" s="110"/>
      <c r="AH254" s="110"/>
      <c r="AI254" s="110"/>
      <c r="AJ254" s="110"/>
      <c r="AK254" s="111">
        <f t="shared" si="54"/>
        <v>91.99</v>
      </c>
      <c r="AL254" s="446">
        <f t="shared" si="55"/>
        <v>0</v>
      </c>
      <c r="AM254" s="110">
        <f t="shared" si="56"/>
        <v>1</v>
      </c>
      <c r="AN254" s="447">
        <f t="shared" si="48"/>
        <v>0</v>
      </c>
      <c r="AO254"/>
      <c r="AP254"/>
    </row>
    <row r="255" spans="1:42" ht="66" x14ac:dyDescent="0.25">
      <c r="A255" s="40"/>
      <c r="B255" s="476" t="s">
        <v>30</v>
      </c>
      <c r="C255" s="1028"/>
      <c r="D255" s="869">
        <v>6</v>
      </c>
      <c r="E255" s="250" t="s">
        <v>1721</v>
      </c>
      <c r="F255" s="273" t="s">
        <v>3446</v>
      </c>
      <c r="G255" s="1040" t="s">
        <v>3463</v>
      </c>
      <c r="H255" s="273" t="s">
        <v>3462</v>
      </c>
      <c r="I255" s="720">
        <f t="shared" si="57"/>
        <v>25.7</v>
      </c>
      <c r="J255" s="756">
        <v>154.19999999999999</v>
      </c>
      <c r="K255" s="131">
        <f t="shared" si="46"/>
        <v>154.19999999999999</v>
      </c>
      <c r="L255" s="335">
        <f t="shared" si="49"/>
        <v>0</v>
      </c>
      <c r="M255" s="446"/>
      <c r="N255" s="446"/>
      <c r="O255" s="446"/>
      <c r="P255" s="446"/>
      <c r="Q255" s="130">
        <v>2</v>
      </c>
      <c r="R255" s="111">
        <f t="shared" si="44"/>
        <v>38.549999999999997</v>
      </c>
      <c r="S255" s="110"/>
      <c r="T255" s="110"/>
      <c r="U255" s="130">
        <v>2</v>
      </c>
      <c r="V255" s="111">
        <f t="shared" si="45"/>
        <v>38.549999999999997</v>
      </c>
      <c r="W255" s="110"/>
      <c r="X255" s="110"/>
      <c r="Y255" s="110"/>
      <c r="Z255" s="110"/>
      <c r="AA255" s="130">
        <v>1</v>
      </c>
      <c r="AB255" s="111">
        <f t="shared" si="53"/>
        <v>38.549999999999997</v>
      </c>
      <c r="AC255" s="110"/>
      <c r="AD255" s="110"/>
      <c r="AE255" s="130">
        <v>1</v>
      </c>
      <c r="AF255" s="111">
        <f t="shared" si="47"/>
        <v>38.549999999999997</v>
      </c>
      <c r="AG255" s="110"/>
      <c r="AH255" s="110"/>
      <c r="AI255" s="110"/>
      <c r="AJ255" s="110"/>
      <c r="AK255" s="111">
        <f t="shared" si="54"/>
        <v>154.19999999999999</v>
      </c>
      <c r="AL255" s="446">
        <f t="shared" si="55"/>
        <v>0</v>
      </c>
      <c r="AM255" s="110">
        <f t="shared" si="56"/>
        <v>6</v>
      </c>
      <c r="AN255" s="447">
        <f t="shared" si="48"/>
        <v>0</v>
      </c>
      <c r="AO255"/>
      <c r="AP255"/>
    </row>
    <row r="256" spans="1:42" ht="66" x14ac:dyDescent="0.25">
      <c r="A256" s="40"/>
      <c r="B256" s="476" t="s">
        <v>31</v>
      </c>
      <c r="C256" s="1028"/>
      <c r="D256" s="869">
        <v>6</v>
      </c>
      <c r="E256" s="250" t="s">
        <v>1721</v>
      </c>
      <c r="F256" s="273" t="s">
        <v>3446</v>
      </c>
      <c r="G256" s="1040" t="s">
        <v>3463</v>
      </c>
      <c r="H256" s="273" t="s">
        <v>3462</v>
      </c>
      <c r="I256" s="720">
        <f t="shared" si="57"/>
        <v>33.07</v>
      </c>
      <c r="J256" s="756">
        <v>198.42000000000002</v>
      </c>
      <c r="K256" s="131">
        <f t="shared" si="46"/>
        <v>198.42000000000002</v>
      </c>
      <c r="L256" s="335">
        <f t="shared" si="49"/>
        <v>0</v>
      </c>
      <c r="M256" s="446"/>
      <c r="N256" s="446"/>
      <c r="O256" s="446"/>
      <c r="P256" s="446"/>
      <c r="Q256" s="130">
        <v>2</v>
      </c>
      <c r="R256" s="111">
        <f t="shared" si="44"/>
        <v>49.605000000000004</v>
      </c>
      <c r="S256" s="110"/>
      <c r="T256" s="110"/>
      <c r="U256" s="130">
        <v>2</v>
      </c>
      <c r="V256" s="111">
        <f t="shared" si="45"/>
        <v>49.605000000000004</v>
      </c>
      <c r="W256" s="110"/>
      <c r="X256" s="110"/>
      <c r="Y256" s="110"/>
      <c r="Z256" s="110"/>
      <c r="AA256" s="130">
        <v>1</v>
      </c>
      <c r="AB256" s="111">
        <f t="shared" si="53"/>
        <v>49.605000000000004</v>
      </c>
      <c r="AC256" s="110"/>
      <c r="AD256" s="110"/>
      <c r="AE256" s="130">
        <v>1</v>
      </c>
      <c r="AF256" s="111">
        <f t="shared" si="47"/>
        <v>49.605000000000004</v>
      </c>
      <c r="AG256" s="110"/>
      <c r="AH256" s="110"/>
      <c r="AI256" s="110"/>
      <c r="AJ256" s="110"/>
      <c r="AK256" s="111">
        <f t="shared" si="54"/>
        <v>198.42000000000002</v>
      </c>
      <c r="AL256" s="446">
        <f t="shared" si="55"/>
        <v>0</v>
      </c>
      <c r="AM256" s="110">
        <f t="shared" si="56"/>
        <v>6</v>
      </c>
      <c r="AN256" s="447">
        <f t="shared" si="48"/>
        <v>0</v>
      </c>
      <c r="AO256"/>
      <c r="AP256"/>
    </row>
    <row r="257" spans="1:42" ht="66" x14ac:dyDescent="0.25">
      <c r="A257" s="40"/>
      <c r="B257" s="476" t="s">
        <v>33</v>
      </c>
      <c r="C257" s="1028"/>
      <c r="D257" s="869">
        <v>6</v>
      </c>
      <c r="E257" s="250" t="s">
        <v>1721</v>
      </c>
      <c r="F257" s="273" t="s">
        <v>3446</v>
      </c>
      <c r="G257" s="1040" t="s">
        <v>3463</v>
      </c>
      <c r="H257" s="273" t="s">
        <v>3462</v>
      </c>
      <c r="I257" s="720">
        <f t="shared" si="57"/>
        <v>86.13</v>
      </c>
      <c r="J257" s="756">
        <v>516.78</v>
      </c>
      <c r="K257" s="131">
        <f t="shared" si="46"/>
        <v>516.78</v>
      </c>
      <c r="L257" s="335">
        <f t="shared" si="49"/>
        <v>0</v>
      </c>
      <c r="M257" s="446"/>
      <c r="N257" s="446"/>
      <c r="O257" s="446"/>
      <c r="P257" s="446"/>
      <c r="Q257" s="130">
        <v>2</v>
      </c>
      <c r="R257" s="111">
        <f t="shared" si="44"/>
        <v>129.19499999999999</v>
      </c>
      <c r="S257" s="110"/>
      <c r="T257" s="110"/>
      <c r="U257" s="130">
        <v>2</v>
      </c>
      <c r="V257" s="111">
        <f t="shared" si="45"/>
        <v>129.19499999999999</v>
      </c>
      <c r="W257" s="110"/>
      <c r="X257" s="110"/>
      <c r="Y257" s="110"/>
      <c r="Z257" s="110"/>
      <c r="AA257" s="130">
        <v>1</v>
      </c>
      <c r="AB257" s="111">
        <f t="shared" si="53"/>
        <v>129.19499999999999</v>
      </c>
      <c r="AC257" s="110"/>
      <c r="AD257" s="110"/>
      <c r="AE257" s="130">
        <v>1</v>
      </c>
      <c r="AF257" s="111">
        <f t="shared" si="47"/>
        <v>129.19499999999999</v>
      </c>
      <c r="AG257" s="110"/>
      <c r="AH257" s="110"/>
      <c r="AI257" s="110"/>
      <c r="AJ257" s="110"/>
      <c r="AK257" s="111">
        <f t="shared" si="54"/>
        <v>516.78</v>
      </c>
      <c r="AL257" s="446">
        <f t="shared" si="55"/>
        <v>0</v>
      </c>
      <c r="AM257" s="110">
        <f t="shared" si="56"/>
        <v>6</v>
      </c>
      <c r="AN257" s="447">
        <f t="shared" si="48"/>
        <v>0</v>
      </c>
      <c r="AO257"/>
      <c r="AP257"/>
    </row>
    <row r="258" spans="1:42" ht="66" x14ac:dyDescent="0.25">
      <c r="A258" s="40"/>
      <c r="B258" s="476" t="s">
        <v>1716</v>
      </c>
      <c r="C258" s="1028"/>
      <c r="D258" s="869">
        <v>24</v>
      </c>
      <c r="E258" s="250" t="s">
        <v>1722</v>
      </c>
      <c r="F258" s="273" t="s">
        <v>3446</v>
      </c>
      <c r="G258" s="1040" t="s">
        <v>3463</v>
      </c>
      <c r="H258" s="273" t="s">
        <v>3462</v>
      </c>
      <c r="I258" s="720">
        <f t="shared" si="57"/>
        <v>304.56</v>
      </c>
      <c r="J258" s="756">
        <v>7309.4400000000005</v>
      </c>
      <c r="K258" s="131">
        <f t="shared" si="46"/>
        <v>7309.4400000000005</v>
      </c>
      <c r="L258" s="335">
        <f t="shared" si="49"/>
        <v>0</v>
      </c>
      <c r="M258" s="446"/>
      <c r="N258" s="446"/>
      <c r="O258" s="446"/>
      <c r="P258" s="446"/>
      <c r="Q258" s="110">
        <f t="shared" ref="Q258:Q313" si="58">+$D258/4</f>
        <v>6</v>
      </c>
      <c r="R258" s="111">
        <f t="shared" si="44"/>
        <v>1827.3600000000001</v>
      </c>
      <c r="S258" s="110"/>
      <c r="T258" s="110"/>
      <c r="U258" s="110">
        <f t="shared" ref="U258:U313" si="59">+$D258/4</f>
        <v>6</v>
      </c>
      <c r="V258" s="111">
        <f t="shared" si="45"/>
        <v>1827.3600000000001</v>
      </c>
      <c r="W258" s="110"/>
      <c r="X258" s="110"/>
      <c r="Y258" s="110"/>
      <c r="Z258" s="110"/>
      <c r="AA258" s="110">
        <f t="shared" ref="AA258:AE313" si="60">+$D258/4</f>
        <v>6</v>
      </c>
      <c r="AB258" s="111">
        <f t="shared" si="53"/>
        <v>1827.3600000000001</v>
      </c>
      <c r="AC258" s="110"/>
      <c r="AD258" s="110"/>
      <c r="AE258" s="110">
        <f t="shared" si="60"/>
        <v>6</v>
      </c>
      <c r="AF258" s="111">
        <f t="shared" si="47"/>
        <v>1827.3600000000001</v>
      </c>
      <c r="AG258" s="110"/>
      <c r="AH258" s="110"/>
      <c r="AI258" s="110"/>
      <c r="AJ258" s="110"/>
      <c r="AK258" s="111">
        <f t="shared" si="54"/>
        <v>7309.4400000000005</v>
      </c>
      <c r="AL258" s="446">
        <f t="shared" si="55"/>
        <v>0</v>
      </c>
      <c r="AM258" s="110">
        <f t="shared" si="56"/>
        <v>24</v>
      </c>
      <c r="AN258" s="447">
        <f t="shared" si="48"/>
        <v>0</v>
      </c>
      <c r="AO258"/>
      <c r="AP258"/>
    </row>
    <row r="259" spans="1:42" ht="66" x14ac:dyDescent="0.25">
      <c r="A259" s="40"/>
      <c r="B259" s="476" t="s">
        <v>92</v>
      </c>
      <c r="C259" s="1028"/>
      <c r="D259" s="869">
        <v>6</v>
      </c>
      <c r="E259" s="250" t="s">
        <v>1722</v>
      </c>
      <c r="F259" s="273" t="s">
        <v>3446</v>
      </c>
      <c r="G259" s="1040" t="s">
        <v>3463</v>
      </c>
      <c r="H259" s="273" t="s">
        <v>3462</v>
      </c>
      <c r="I259" s="720">
        <f t="shared" si="57"/>
        <v>41.34</v>
      </c>
      <c r="J259" s="756">
        <v>248.04000000000002</v>
      </c>
      <c r="K259" s="131">
        <f t="shared" si="46"/>
        <v>248.04000000000002</v>
      </c>
      <c r="L259" s="335">
        <f t="shared" si="49"/>
        <v>0</v>
      </c>
      <c r="M259" s="446"/>
      <c r="N259" s="446"/>
      <c r="O259" s="446"/>
      <c r="P259" s="446"/>
      <c r="Q259" s="130">
        <v>2</v>
      </c>
      <c r="R259" s="111">
        <f t="shared" si="44"/>
        <v>62.010000000000005</v>
      </c>
      <c r="S259" s="110"/>
      <c r="T259" s="110"/>
      <c r="U259" s="130">
        <v>2</v>
      </c>
      <c r="V259" s="111">
        <f t="shared" si="45"/>
        <v>62.010000000000005</v>
      </c>
      <c r="W259" s="110"/>
      <c r="X259" s="110"/>
      <c r="Y259" s="110"/>
      <c r="Z259" s="110"/>
      <c r="AA259" s="130">
        <v>1</v>
      </c>
      <c r="AB259" s="111">
        <f t="shared" si="53"/>
        <v>62.010000000000005</v>
      </c>
      <c r="AC259" s="110"/>
      <c r="AD259" s="110"/>
      <c r="AE259" s="130">
        <v>1</v>
      </c>
      <c r="AF259" s="111">
        <f t="shared" si="47"/>
        <v>62.010000000000005</v>
      </c>
      <c r="AG259" s="110"/>
      <c r="AH259" s="110"/>
      <c r="AI259" s="110"/>
      <c r="AJ259" s="110"/>
      <c r="AK259" s="111">
        <f t="shared" si="54"/>
        <v>248.04000000000002</v>
      </c>
      <c r="AL259" s="446">
        <f t="shared" si="55"/>
        <v>0</v>
      </c>
      <c r="AM259" s="110">
        <f t="shared" si="56"/>
        <v>6</v>
      </c>
      <c r="AN259" s="447">
        <f t="shared" si="48"/>
        <v>0</v>
      </c>
      <c r="AO259"/>
      <c r="AP259"/>
    </row>
    <row r="260" spans="1:42" ht="66" x14ac:dyDescent="0.25">
      <c r="A260" s="40"/>
      <c r="B260" s="476" t="s">
        <v>91</v>
      </c>
      <c r="C260" s="1028"/>
      <c r="D260" s="869">
        <v>6</v>
      </c>
      <c r="E260" s="250" t="s">
        <v>1722</v>
      </c>
      <c r="F260" s="273" t="s">
        <v>3446</v>
      </c>
      <c r="G260" s="1040" t="s">
        <v>3463</v>
      </c>
      <c r="H260" s="273" t="s">
        <v>3462</v>
      </c>
      <c r="I260" s="720">
        <f t="shared" si="57"/>
        <v>20.67</v>
      </c>
      <c r="J260" s="756">
        <v>124.02000000000001</v>
      </c>
      <c r="K260" s="131">
        <f t="shared" si="46"/>
        <v>124.02000000000001</v>
      </c>
      <c r="L260" s="335">
        <f t="shared" si="49"/>
        <v>0</v>
      </c>
      <c r="M260" s="446"/>
      <c r="N260" s="446"/>
      <c r="O260" s="446"/>
      <c r="P260" s="446"/>
      <c r="Q260" s="130">
        <v>2</v>
      </c>
      <c r="R260" s="111">
        <f t="shared" si="44"/>
        <v>31.005000000000003</v>
      </c>
      <c r="S260" s="110"/>
      <c r="T260" s="110"/>
      <c r="U260" s="130">
        <v>2</v>
      </c>
      <c r="V260" s="111">
        <f t="shared" si="45"/>
        <v>31.005000000000003</v>
      </c>
      <c r="W260" s="110"/>
      <c r="X260" s="110"/>
      <c r="Y260" s="110"/>
      <c r="Z260" s="110"/>
      <c r="AA260" s="130">
        <v>1</v>
      </c>
      <c r="AB260" s="111">
        <f t="shared" si="53"/>
        <v>31.005000000000003</v>
      </c>
      <c r="AC260" s="110"/>
      <c r="AD260" s="110"/>
      <c r="AE260" s="130">
        <v>1</v>
      </c>
      <c r="AF260" s="111">
        <f t="shared" si="47"/>
        <v>31.005000000000003</v>
      </c>
      <c r="AG260" s="110"/>
      <c r="AH260" s="110"/>
      <c r="AI260" s="110"/>
      <c r="AJ260" s="110"/>
      <c r="AK260" s="111">
        <f t="shared" si="54"/>
        <v>124.02000000000001</v>
      </c>
      <c r="AL260" s="446">
        <f t="shared" si="55"/>
        <v>0</v>
      </c>
      <c r="AM260" s="110">
        <f t="shared" si="56"/>
        <v>6</v>
      </c>
      <c r="AN260" s="447">
        <f t="shared" si="48"/>
        <v>0</v>
      </c>
      <c r="AO260"/>
      <c r="AP260"/>
    </row>
    <row r="261" spans="1:42" ht="66" x14ac:dyDescent="0.25">
      <c r="A261" s="40"/>
      <c r="B261" s="477" t="s">
        <v>58</v>
      </c>
      <c r="C261" s="1028"/>
      <c r="D261" s="869">
        <v>6</v>
      </c>
      <c r="E261" s="1027" t="s">
        <v>1721</v>
      </c>
      <c r="F261" s="273" t="s">
        <v>3446</v>
      </c>
      <c r="G261" s="1040" t="s">
        <v>3463</v>
      </c>
      <c r="H261" s="273" t="s">
        <v>3462</v>
      </c>
      <c r="I261" s="720">
        <f t="shared" si="57"/>
        <v>28.26</v>
      </c>
      <c r="J261" s="756">
        <v>169.56</v>
      </c>
      <c r="K261" s="131">
        <f t="shared" si="46"/>
        <v>169.56</v>
      </c>
      <c r="L261" s="335">
        <f t="shared" si="49"/>
        <v>0</v>
      </c>
      <c r="M261" s="446"/>
      <c r="N261" s="446"/>
      <c r="O261" s="446"/>
      <c r="P261" s="446"/>
      <c r="Q261" s="130">
        <v>2</v>
      </c>
      <c r="R261" s="111">
        <f t="shared" si="44"/>
        <v>42.39</v>
      </c>
      <c r="S261" s="110"/>
      <c r="T261" s="110"/>
      <c r="U261" s="130">
        <v>2</v>
      </c>
      <c r="V261" s="111">
        <f t="shared" si="45"/>
        <v>42.39</v>
      </c>
      <c r="W261" s="110"/>
      <c r="X261" s="110"/>
      <c r="Y261" s="110"/>
      <c r="Z261" s="110"/>
      <c r="AA261" s="130">
        <v>1</v>
      </c>
      <c r="AB261" s="111">
        <f t="shared" si="53"/>
        <v>42.39</v>
      </c>
      <c r="AC261" s="110"/>
      <c r="AD261" s="110"/>
      <c r="AE261" s="130">
        <v>1</v>
      </c>
      <c r="AF261" s="111">
        <f t="shared" si="47"/>
        <v>42.39</v>
      </c>
      <c r="AG261" s="110"/>
      <c r="AH261" s="110"/>
      <c r="AI261" s="110"/>
      <c r="AJ261" s="110"/>
      <c r="AK261" s="111">
        <f t="shared" si="54"/>
        <v>169.56</v>
      </c>
      <c r="AL261" s="446">
        <f t="shared" si="55"/>
        <v>0</v>
      </c>
      <c r="AM261" s="110">
        <f t="shared" si="56"/>
        <v>6</v>
      </c>
      <c r="AN261" s="447">
        <f t="shared" si="48"/>
        <v>0</v>
      </c>
      <c r="AO261"/>
      <c r="AP261"/>
    </row>
    <row r="262" spans="1:42" ht="66" x14ac:dyDescent="0.25">
      <c r="A262" s="40"/>
      <c r="B262" s="476" t="s">
        <v>22</v>
      </c>
      <c r="C262" s="1028"/>
      <c r="D262" s="869">
        <v>12</v>
      </c>
      <c r="E262" s="250" t="s">
        <v>1722</v>
      </c>
      <c r="F262" s="273" t="s">
        <v>3446</v>
      </c>
      <c r="G262" s="1040" t="s">
        <v>3463</v>
      </c>
      <c r="H262" s="273" t="s">
        <v>3462</v>
      </c>
      <c r="I262" s="720">
        <f t="shared" si="57"/>
        <v>56.5</v>
      </c>
      <c r="J262" s="756">
        <v>678</v>
      </c>
      <c r="K262" s="131">
        <f t="shared" si="46"/>
        <v>678</v>
      </c>
      <c r="L262" s="335">
        <f t="shared" si="49"/>
        <v>0</v>
      </c>
      <c r="M262" s="446"/>
      <c r="N262" s="446"/>
      <c r="O262" s="446"/>
      <c r="P262" s="446"/>
      <c r="Q262" s="110">
        <f t="shared" si="58"/>
        <v>3</v>
      </c>
      <c r="R262" s="111">
        <f t="shared" si="44"/>
        <v>169.5</v>
      </c>
      <c r="S262" s="110"/>
      <c r="T262" s="110"/>
      <c r="U262" s="110">
        <f t="shared" si="59"/>
        <v>3</v>
      </c>
      <c r="V262" s="111">
        <f t="shared" si="45"/>
        <v>169.5</v>
      </c>
      <c r="W262" s="110"/>
      <c r="X262" s="110"/>
      <c r="Y262" s="110"/>
      <c r="Z262" s="110"/>
      <c r="AA262" s="110">
        <f t="shared" si="60"/>
        <v>3</v>
      </c>
      <c r="AB262" s="111">
        <f t="shared" si="53"/>
        <v>169.5</v>
      </c>
      <c r="AC262" s="110"/>
      <c r="AD262" s="110"/>
      <c r="AE262" s="110">
        <f t="shared" si="60"/>
        <v>3</v>
      </c>
      <c r="AF262" s="111">
        <f t="shared" si="47"/>
        <v>169.5</v>
      </c>
      <c r="AG262" s="110"/>
      <c r="AH262" s="110"/>
      <c r="AI262" s="110"/>
      <c r="AJ262" s="110"/>
      <c r="AK262" s="111">
        <f t="shared" si="54"/>
        <v>678</v>
      </c>
      <c r="AL262" s="446">
        <f t="shared" si="55"/>
        <v>0</v>
      </c>
      <c r="AM262" s="110">
        <f t="shared" si="56"/>
        <v>12</v>
      </c>
      <c r="AN262" s="447">
        <f t="shared" si="48"/>
        <v>0</v>
      </c>
      <c r="AO262"/>
      <c r="AP262"/>
    </row>
    <row r="263" spans="1:42" ht="66" x14ac:dyDescent="0.25">
      <c r="A263" s="40"/>
      <c r="B263" s="43" t="s">
        <v>18</v>
      </c>
      <c r="C263" s="1028"/>
      <c r="D263" s="869">
        <v>6</v>
      </c>
      <c r="E263" s="1027" t="s">
        <v>1722</v>
      </c>
      <c r="F263" s="273" t="s">
        <v>3446</v>
      </c>
      <c r="G263" s="1040" t="s">
        <v>3463</v>
      </c>
      <c r="H263" s="273" t="s">
        <v>3462</v>
      </c>
      <c r="I263" s="720">
        <f t="shared" si="57"/>
        <v>30.69</v>
      </c>
      <c r="J263" s="756">
        <v>184.14000000000001</v>
      </c>
      <c r="K263" s="131">
        <f t="shared" si="46"/>
        <v>184.14000000000001</v>
      </c>
      <c r="L263" s="335">
        <f t="shared" si="49"/>
        <v>0</v>
      </c>
      <c r="M263" s="446"/>
      <c r="N263" s="446"/>
      <c r="O263" s="446"/>
      <c r="P263" s="446"/>
      <c r="Q263" s="130">
        <v>2</v>
      </c>
      <c r="R263" s="111">
        <f t="shared" si="44"/>
        <v>46.035000000000004</v>
      </c>
      <c r="S263" s="110"/>
      <c r="T263" s="110"/>
      <c r="U263" s="130">
        <v>2</v>
      </c>
      <c r="V263" s="111">
        <f t="shared" si="45"/>
        <v>46.035000000000004</v>
      </c>
      <c r="W263" s="110"/>
      <c r="X263" s="110"/>
      <c r="Y263" s="110"/>
      <c r="Z263" s="110"/>
      <c r="AA263" s="130">
        <v>1</v>
      </c>
      <c r="AB263" s="111">
        <f t="shared" si="53"/>
        <v>46.035000000000004</v>
      </c>
      <c r="AC263" s="110"/>
      <c r="AD263" s="110"/>
      <c r="AE263" s="130">
        <v>1</v>
      </c>
      <c r="AF263" s="111">
        <f t="shared" si="47"/>
        <v>46.035000000000004</v>
      </c>
      <c r="AG263" s="110"/>
      <c r="AH263" s="110"/>
      <c r="AI263" s="110"/>
      <c r="AJ263" s="110"/>
      <c r="AK263" s="111">
        <f t="shared" si="54"/>
        <v>184.14000000000001</v>
      </c>
      <c r="AL263" s="446">
        <f t="shared" si="55"/>
        <v>0</v>
      </c>
      <c r="AM263" s="110">
        <f t="shared" si="56"/>
        <v>6</v>
      </c>
      <c r="AN263" s="447">
        <f t="shared" si="48"/>
        <v>0</v>
      </c>
      <c r="AO263"/>
      <c r="AP263"/>
    </row>
    <row r="264" spans="1:42" ht="66" x14ac:dyDescent="0.25">
      <c r="A264" s="40"/>
      <c r="B264" s="43" t="s">
        <v>19</v>
      </c>
      <c r="C264" s="1028"/>
      <c r="D264" s="869">
        <v>10</v>
      </c>
      <c r="E264" s="1027" t="s">
        <v>1722</v>
      </c>
      <c r="F264" s="273" t="s">
        <v>3446</v>
      </c>
      <c r="G264" s="1040" t="s">
        <v>3463</v>
      </c>
      <c r="H264" s="273" t="s">
        <v>3462</v>
      </c>
      <c r="I264" s="720">
        <f t="shared" si="57"/>
        <v>30.690000000000005</v>
      </c>
      <c r="J264" s="756">
        <v>306.90000000000003</v>
      </c>
      <c r="K264" s="131">
        <f t="shared" si="46"/>
        <v>306.90000000000003</v>
      </c>
      <c r="L264" s="335">
        <f t="shared" si="49"/>
        <v>0</v>
      </c>
      <c r="M264" s="446"/>
      <c r="N264" s="446"/>
      <c r="O264" s="446"/>
      <c r="P264" s="446"/>
      <c r="Q264" s="130">
        <v>3</v>
      </c>
      <c r="R264" s="111">
        <f t="shared" si="44"/>
        <v>76.725000000000009</v>
      </c>
      <c r="S264" s="110"/>
      <c r="T264" s="110"/>
      <c r="U264" s="130">
        <v>3</v>
      </c>
      <c r="V264" s="111">
        <f t="shared" si="45"/>
        <v>76.725000000000009</v>
      </c>
      <c r="W264" s="110"/>
      <c r="X264" s="110"/>
      <c r="Y264" s="110"/>
      <c r="Z264" s="110"/>
      <c r="AA264" s="130">
        <v>2</v>
      </c>
      <c r="AB264" s="111">
        <f t="shared" si="53"/>
        <v>76.725000000000009</v>
      </c>
      <c r="AC264" s="110"/>
      <c r="AD264" s="110"/>
      <c r="AE264" s="130">
        <v>2</v>
      </c>
      <c r="AF264" s="111">
        <f t="shared" si="47"/>
        <v>76.725000000000009</v>
      </c>
      <c r="AG264" s="110"/>
      <c r="AH264" s="110"/>
      <c r="AI264" s="110"/>
      <c r="AJ264" s="110"/>
      <c r="AK264" s="111">
        <f t="shared" si="54"/>
        <v>306.90000000000003</v>
      </c>
      <c r="AL264" s="446">
        <f t="shared" si="55"/>
        <v>0</v>
      </c>
      <c r="AM264" s="110">
        <f t="shared" si="56"/>
        <v>10</v>
      </c>
      <c r="AN264" s="447">
        <f t="shared" si="48"/>
        <v>0</v>
      </c>
      <c r="AO264"/>
      <c r="AP264"/>
    </row>
    <row r="265" spans="1:42" ht="66" x14ac:dyDescent="0.25">
      <c r="A265" s="40"/>
      <c r="B265" s="37" t="s">
        <v>95</v>
      </c>
      <c r="C265" s="1028"/>
      <c r="D265" s="869">
        <v>2</v>
      </c>
      <c r="E265" s="1027" t="s">
        <v>1721</v>
      </c>
      <c r="F265" s="273" t="s">
        <v>3446</v>
      </c>
      <c r="G265" s="1040" t="s">
        <v>3463</v>
      </c>
      <c r="H265" s="273" t="s">
        <v>3462</v>
      </c>
      <c r="I265" s="720">
        <f t="shared" si="57"/>
        <v>26.36</v>
      </c>
      <c r="J265" s="756">
        <v>52.72</v>
      </c>
      <c r="K265" s="131">
        <f t="shared" si="46"/>
        <v>52.72</v>
      </c>
      <c r="L265" s="335">
        <f t="shared" si="49"/>
        <v>0</v>
      </c>
      <c r="M265" s="446"/>
      <c r="N265" s="446"/>
      <c r="O265" s="446"/>
      <c r="P265" s="446"/>
      <c r="Q265" s="130">
        <v>2</v>
      </c>
      <c r="R265" s="111">
        <v>26.36</v>
      </c>
      <c r="S265" s="110"/>
      <c r="T265" s="110"/>
      <c r="U265" s="130">
        <v>2</v>
      </c>
      <c r="V265" s="111">
        <v>26.36</v>
      </c>
      <c r="W265" s="110"/>
      <c r="X265" s="110"/>
      <c r="Y265" s="110"/>
      <c r="Z265" s="110"/>
      <c r="AA265" s="130">
        <v>0</v>
      </c>
      <c r="AB265" s="111">
        <v>0</v>
      </c>
      <c r="AC265" s="110"/>
      <c r="AD265" s="110"/>
      <c r="AE265" s="130">
        <v>0</v>
      </c>
      <c r="AF265" s="111">
        <v>0</v>
      </c>
      <c r="AG265" s="110"/>
      <c r="AH265" s="110"/>
      <c r="AI265" s="110"/>
      <c r="AJ265" s="110"/>
      <c r="AK265" s="111">
        <f t="shared" si="54"/>
        <v>52.72</v>
      </c>
      <c r="AL265" s="446">
        <f t="shared" si="55"/>
        <v>0</v>
      </c>
      <c r="AM265" s="110">
        <f t="shared" si="56"/>
        <v>4</v>
      </c>
      <c r="AN265" s="447">
        <f t="shared" si="48"/>
        <v>-2</v>
      </c>
      <c r="AO265"/>
      <c r="AP265"/>
    </row>
    <row r="266" spans="1:42" ht="66" x14ac:dyDescent="0.25">
      <c r="A266" s="40"/>
      <c r="B266" s="37" t="s">
        <v>46</v>
      </c>
      <c r="C266" s="1028"/>
      <c r="D266" s="869">
        <v>12</v>
      </c>
      <c r="E266" s="1027" t="s">
        <v>1722</v>
      </c>
      <c r="F266" s="273" t="s">
        <v>3446</v>
      </c>
      <c r="G266" s="1040" t="s">
        <v>3463</v>
      </c>
      <c r="H266" s="273" t="s">
        <v>3462</v>
      </c>
      <c r="I266" s="720">
        <f t="shared" si="57"/>
        <v>10.49</v>
      </c>
      <c r="J266" s="756">
        <v>125.88</v>
      </c>
      <c r="K266" s="131">
        <f t="shared" si="46"/>
        <v>125.88</v>
      </c>
      <c r="L266" s="335">
        <f t="shared" si="49"/>
        <v>0</v>
      </c>
      <c r="M266" s="446"/>
      <c r="N266" s="446"/>
      <c r="O266" s="446"/>
      <c r="P266" s="446"/>
      <c r="Q266" s="110">
        <f t="shared" si="58"/>
        <v>3</v>
      </c>
      <c r="R266" s="111">
        <f t="shared" si="44"/>
        <v>31.47</v>
      </c>
      <c r="S266" s="110"/>
      <c r="T266" s="110"/>
      <c r="U266" s="110">
        <f t="shared" si="59"/>
        <v>3</v>
      </c>
      <c r="V266" s="111">
        <f t="shared" si="45"/>
        <v>31.47</v>
      </c>
      <c r="W266" s="110"/>
      <c r="X266" s="110"/>
      <c r="Y266" s="110"/>
      <c r="Z266" s="110"/>
      <c r="AA266" s="110">
        <f t="shared" si="60"/>
        <v>3</v>
      </c>
      <c r="AB266" s="111">
        <f t="shared" si="53"/>
        <v>31.47</v>
      </c>
      <c r="AC266" s="110"/>
      <c r="AD266" s="110"/>
      <c r="AE266" s="110">
        <f t="shared" si="60"/>
        <v>3</v>
      </c>
      <c r="AF266" s="111">
        <f t="shared" si="47"/>
        <v>31.47</v>
      </c>
      <c r="AG266" s="110"/>
      <c r="AH266" s="110"/>
      <c r="AI266" s="110"/>
      <c r="AJ266" s="110"/>
      <c r="AK266" s="111">
        <f t="shared" si="54"/>
        <v>125.88</v>
      </c>
      <c r="AL266" s="446">
        <f t="shared" si="55"/>
        <v>0</v>
      </c>
      <c r="AM266" s="110">
        <f t="shared" si="56"/>
        <v>12</v>
      </c>
      <c r="AN266" s="447">
        <f t="shared" si="48"/>
        <v>0</v>
      </c>
      <c r="AO266"/>
      <c r="AP266"/>
    </row>
    <row r="267" spans="1:42" ht="66" x14ac:dyDescent="0.25">
      <c r="A267" s="40"/>
      <c r="B267" s="43" t="s">
        <v>47</v>
      </c>
      <c r="C267" s="1028"/>
      <c r="D267" s="869">
        <v>8</v>
      </c>
      <c r="E267" s="1027" t="s">
        <v>1722</v>
      </c>
      <c r="F267" s="273" t="s">
        <v>3446</v>
      </c>
      <c r="G267" s="1040" t="s">
        <v>3463</v>
      </c>
      <c r="H267" s="273" t="s">
        <v>3462</v>
      </c>
      <c r="I267" s="720">
        <f t="shared" si="57"/>
        <v>24.35</v>
      </c>
      <c r="J267" s="756">
        <v>194.8</v>
      </c>
      <c r="K267" s="131">
        <f t="shared" si="46"/>
        <v>194.8</v>
      </c>
      <c r="L267" s="335">
        <f t="shared" si="49"/>
        <v>0</v>
      </c>
      <c r="M267" s="446"/>
      <c r="N267" s="446"/>
      <c r="O267" s="446"/>
      <c r="P267" s="446"/>
      <c r="Q267" s="110">
        <f t="shared" si="58"/>
        <v>2</v>
      </c>
      <c r="R267" s="111">
        <f t="shared" si="44"/>
        <v>48.7</v>
      </c>
      <c r="S267" s="110"/>
      <c r="T267" s="110"/>
      <c r="U267" s="110">
        <f t="shared" si="59"/>
        <v>2</v>
      </c>
      <c r="V267" s="111">
        <f t="shared" si="45"/>
        <v>48.7</v>
      </c>
      <c r="W267" s="110"/>
      <c r="X267" s="110"/>
      <c r="Y267" s="110"/>
      <c r="Z267" s="110"/>
      <c r="AA267" s="110">
        <f t="shared" si="60"/>
        <v>2</v>
      </c>
      <c r="AB267" s="111">
        <f t="shared" si="53"/>
        <v>48.7</v>
      </c>
      <c r="AC267" s="110"/>
      <c r="AD267" s="110"/>
      <c r="AE267" s="110">
        <f t="shared" si="60"/>
        <v>2</v>
      </c>
      <c r="AF267" s="111">
        <f t="shared" si="47"/>
        <v>48.7</v>
      </c>
      <c r="AG267" s="110"/>
      <c r="AH267" s="110"/>
      <c r="AI267" s="110"/>
      <c r="AJ267" s="110"/>
      <c r="AK267" s="111">
        <f t="shared" si="54"/>
        <v>194.8</v>
      </c>
      <c r="AL267" s="446">
        <f t="shared" si="55"/>
        <v>0</v>
      </c>
      <c r="AM267" s="110">
        <f t="shared" si="56"/>
        <v>8</v>
      </c>
      <c r="AN267" s="447">
        <f t="shared" si="48"/>
        <v>0</v>
      </c>
      <c r="AO267"/>
      <c r="AP267"/>
    </row>
    <row r="268" spans="1:42" ht="66" x14ac:dyDescent="0.25">
      <c r="A268" s="40"/>
      <c r="B268" s="37" t="s">
        <v>1715</v>
      </c>
      <c r="C268" s="1028"/>
      <c r="D268" s="869">
        <v>2</v>
      </c>
      <c r="E268" s="1027" t="s">
        <v>1721</v>
      </c>
      <c r="F268" s="273" t="s">
        <v>3446</v>
      </c>
      <c r="G268" s="1040" t="s">
        <v>3463</v>
      </c>
      <c r="H268" s="273" t="s">
        <v>3462</v>
      </c>
      <c r="I268" s="720">
        <f t="shared" si="57"/>
        <v>96.47</v>
      </c>
      <c r="J268" s="756">
        <v>192.94</v>
      </c>
      <c r="K268" s="131">
        <f t="shared" si="46"/>
        <v>192.94</v>
      </c>
      <c r="L268" s="335">
        <f t="shared" si="49"/>
        <v>0</v>
      </c>
      <c r="M268" s="446"/>
      <c r="N268" s="446"/>
      <c r="O268" s="446"/>
      <c r="P268" s="446"/>
      <c r="Q268" s="130">
        <v>1</v>
      </c>
      <c r="R268" s="111">
        <v>96.47</v>
      </c>
      <c r="S268" s="110"/>
      <c r="T268" s="110"/>
      <c r="U268" s="130">
        <v>1</v>
      </c>
      <c r="V268" s="111">
        <v>96.47</v>
      </c>
      <c r="W268" s="110"/>
      <c r="X268" s="110"/>
      <c r="Y268" s="110"/>
      <c r="Z268" s="110"/>
      <c r="AA268" s="130">
        <v>0</v>
      </c>
      <c r="AB268" s="111">
        <v>0</v>
      </c>
      <c r="AC268" s="110"/>
      <c r="AD268" s="110"/>
      <c r="AE268" s="130">
        <v>0</v>
      </c>
      <c r="AF268" s="111">
        <v>0</v>
      </c>
      <c r="AG268" s="110"/>
      <c r="AH268" s="110"/>
      <c r="AI268" s="110"/>
      <c r="AJ268" s="110"/>
      <c r="AK268" s="111">
        <f t="shared" si="54"/>
        <v>192.94</v>
      </c>
      <c r="AL268" s="446">
        <f t="shared" si="55"/>
        <v>0</v>
      </c>
      <c r="AM268" s="110">
        <f t="shared" si="56"/>
        <v>2</v>
      </c>
      <c r="AN268" s="447">
        <f t="shared" si="48"/>
        <v>0</v>
      </c>
      <c r="AO268"/>
      <c r="AP268"/>
    </row>
    <row r="269" spans="1:42" s="108" customFormat="1" ht="66" x14ac:dyDescent="0.25">
      <c r="A269" s="40"/>
      <c r="B269" s="34" t="s">
        <v>57</v>
      </c>
      <c r="C269" s="1028"/>
      <c r="D269" s="869">
        <v>4</v>
      </c>
      <c r="E269" s="1027" t="s">
        <v>1722</v>
      </c>
      <c r="F269" s="278" t="s">
        <v>3446</v>
      </c>
      <c r="G269" s="1040" t="s">
        <v>3463</v>
      </c>
      <c r="H269" s="273" t="s">
        <v>3462</v>
      </c>
      <c r="I269" s="722">
        <f t="shared" si="57"/>
        <v>24.35</v>
      </c>
      <c r="J269" s="756">
        <v>97.4</v>
      </c>
      <c r="K269" s="131">
        <f t="shared" si="46"/>
        <v>97.4</v>
      </c>
      <c r="L269" s="335">
        <f t="shared" si="49"/>
        <v>0</v>
      </c>
      <c r="M269" s="335"/>
      <c r="N269" s="335"/>
      <c r="O269" s="335"/>
      <c r="P269" s="335"/>
      <c r="Q269" s="130">
        <f t="shared" si="58"/>
        <v>1</v>
      </c>
      <c r="R269" s="131">
        <f t="shared" si="44"/>
        <v>24.35</v>
      </c>
      <c r="S269" s="130"/>
      <c r="T269" s="130"/>
      <c r="U269" s="130">
        <f t="shared" si="59"/>
        <v>1</v>
      </c>
      <c r="V269" s="131">
        <f t="shared" si="45"/>
        <v>24.35</v>
      </c>
      <c r="W269" s="130"/>
      <c r="X269" s="130"/>
      <c r="Y269" s="130"/>
      <c r="Z269" s="130"/>
      <c r="AA269" s="130">
        <f t="shared" si="60"/>
        <v>1</v>
      </c>
      <c r="AB269" s="131">
        <f t="shared" si="53"/>
        <v>24.35</v>
      </c>
      <c r="AC269" s="130"/>
      <c r="AD269" s="130"/>
      <c r="AE269" s="130">
        <f t="shared" si="60"/>
        <v>1</v>
      </c>
      <c r="AF269" s="131">
        <v>24.35</v>
      </c>
      <c r="AG269" s="130"/>
      <c r="AH269" s="130"/>
      <c r="AI269" s="130"/>
      <c r="AJ269" s="130"/>
      <c r="AK269" s="131">
        <f t="shared" si="54"/>
        <v>97.4</v>
      </c>
      <c r="AL269" s="335">
        <f t="shared" si="55"/>
        <v>0</v>
      </c>
      <c r="AM269" s="130">
        <f t="shared" si="56"/>
        <v>4</v>
      </c>
      <c r="AN269" s="336">
        <f t="shared" si="48"/>
        <v>0</v>
      </c>
    </row>
    <row r="270" spans="1:42" ht="66" x14ac:dyDescent="0.25">
      <c r="A270" s="40"/>
      <c r="B270" s="37" t="s">
        <v>50</v>
      </c>
      <c r="C270" s="1028"/>
      <c r="D270" s="869">
        <v>6</v>
      </c>
      <c r="E270" s="1027" t="s">
        <v>1722</v>
      </c>
      <c r="F270" s="273" t="s">
        <v>3446</v>
      </c>
      <c r="G270" s="1040" t="s">
        <v>3463</v>
      </c>
      <c r="H270" s="273" t="s">
        <v>3462</v>
      </c>
      <c r="I270" s="720">
        <f t="shared" si="57"/>
        <v>25.47</v>
      </c>
      <c r="J270" s="756">
        <v>152.82</v>
      </c>
      <c r="K270" s="131">
        <f t="shared" si="46"/>
        <v>152.82</v>
      </c>
      <c r="L270" s="335">
        <f t="shared" si="49"/>
        <v>0</v>
      </c>
      <c r="M270" s="446"/>
      <c r="N270" s="446"/>
      <c r="O270" s="446"/>
      <c r="P270" s="446"/>
      <c r="Q270" s="130">
        <v>2</v>
      </c>
      <c r="R270" s="111">
        <f t="shared" ref="R270:R316" si="61">+J270/4</f>
        <v>38.204999999999998</v>
      </c>
      <c r="S270" s="110"/>
      <c r="T270" s="110"/>
      <c r="U270" s="130">
        <v>2</v>
      </c>
      <c r="V270" s="111">
        <f t="shared" ref="V270:V316" si="62">+J270/4</f>
        <v>38.204999999999998</v>
      </c>
      <c r="W270" s="110"/>
      <c r="X270" s="110"/>
      <c r="Y270" s="110"/>
      <c r="Z270" s="110"/>
      <c r="AA270" s="130">
        <v>1</v>
      </c>
      <c r="AB270" s="111">
        <f t="shared" si="53"/>
        <v>38.204999999999998</v>
      </c>
      <c r="AC270" s="110"/>
      <c r="AD270" s="110"/>
      <c r="AE270" s="130">
        <v>1</v>
      </c>
      <c r="AF270" s="111">
        <f t="shared" si="47"/>
        <v>38.204999999999998</v>
      </c>
      <c r="AG270" s="110"/>
      <c r="AH270" s="110"/>
      <c r="AI270" s="110"/>
      <c r="AJ270" s="110"/>
      <c r="AK270" s="111">
        <f t="shared" si="54"/>
        <v>152.82</v>
      </c>
      <c r="AL270" s="446">
        <f t="shared" si="55"/>
        <v>0</v>
      </c>
      <c r="AM270" s="110">
        <f t="shared" si="56"/>
        <v>6</v>
      </c>
      <c r="AN270" s="447">
        <f t="shared" si="48"/>
        <v>0</v>
      </c>
      <c r="AO270"/>
      <c r="AP270"/>
    </row>
    <row r="271" spans="1:42" ht="66" x14ac:dyDescent="0.25">
      <c r="A271" s="40"/>
      <c r="B271" s="37" t="s">
        <v>1717</v>
      </c>
      <c r="C271" s="1028"/>
      <c r="D271" s="869">
        <v>2</v>
      </c>
      <c r="E271" s="1027" t="s">
        <v>1722</v>
      </c>
      <c r="F271" s="273" t="s">
        <v>3446</v>
      </c>
      <c r="G271" s="1040" t="s">
        <v>3463</v>
      </c>
      <c r="H271" s="273" t="s">
        <v>3462</v>
      </c>
      <c r="I271" s="720">
        <f t="shared" si="57"/>
        <v>85.47</v>
      </c>
      <c r="J271" s="756">
        <v>170.94</v>
      </c>
      <c r="K271" s="131">
        <f t="shared" ref="K271:K334" si="63">+D271*I271</f>
        <v>170.94</v>
      </c>
      <c r="L271" s="335">
        <f t="shared" si="49"/>
        <v>0</v>
      </c>
      <c r="M271" s="446"/>
      <c r="N271" s="446"/>
      <c r="O271" s="446"/>
      <c r="P271" s="446"/>
      <c r="Q271" s="130">
        <v>1</v>
      </c>
      <c r="R271" s="111">
        <v>85.47</v>
      </c>
      <c r="S271" s="110"/>
      <c r="T271" s="110"/>
      <c r="U271" s="130">
        <v>1</v>
      </c>
      <c r="V271" s="111">
        <v>85.47</v>
      </c>
      <c r="W271" s="110"/>
      <c r="X271" s="110"/>
      <c r="Y271" s="110"/>
      <c r="Z271" s="110"/>
      <c r="AA271" s="130">
        <v>0</v>
      </c>
      <c r="AB271" s="111">
        <v>0</v>
      </c>
      <c r="AC271" s="110"/>
      <c r="AD271" s="110"/>
      <c r="AE271" s="130">
        <v>0</v>
      </c>
      <c r="AF271" s="111">
        <v>0</v>
      </c>
      <c r="AG271" s="110"/>
      <c r="AH271" s="110"/>
      <c r="AI271" s="110"/>
      <c r="AJ271" s="110"/>
      <c r="AK271" s="111">
        <f t="shared" si="54"/>
        <v>170.94</v>
      </c>
      <c r="AL271" s="446">
        <f t="shared" si="55"/>
        <v>0</v>
      </c>
      <c r="AM271" s="110">
        <f t="shared" si="56"/>
        <v>2</v>
      </c>
      <c r="AN271" s="447">
        <f t="shared" ref="AN271:AN334" si="64">+D271-AM271</f>
        <v>0</v>
      </c>
      <c r="AO271"/>
      <c r="AP271"/>
    </row>
    <row r="272" spans="1:42" ht="66" x14ac:dyDescent="0.25">
      <c r="A272" s="40"/>
      <c r="B272" s="37" t="s">
        <v>121</v>
      </c>
      <c r="C272" s="1028"/>
      <c r="D272" s="869">
        <v>1</v>
      </c>
      <c r="E272" s="1027" t="s">
        <v>1721</v>
      </c>
      <c r="F272" s="273" t="s">
        <v>3446</v>
      </c>
      <c r="G272" s="1040" t="s">
        <v>3463</v>
      </c>
      <c r="H272" s="273" t="s">
        <v>3462</v>
      </c>
      <c r="I272" s="720">
        <f t="shared" si="57"/>
        <v>140.78</v>
      </c>
      <c r="J272" s="756">
        <v>140.78</v>
      </c>
      <c r="K272" s="131">
        <f t="shared" si="63"/>
        <v>140.78</v>
      </c>
      <c r="L272" s="335">
        <f t="shared" ref="L272:L335" si="65">+J272-K272</f>
        <v>0</v>
      </c>
      <c r="M272" s="446"/>
      <c r="N272" s="446"/>
      <c r="O272" s="446"/>
      <c r="P272" s="446"/>
      <c r="Q272" s="110">
        <v>1</v>
      </c>
      <c r="R272" s="111">
        <v>140.78</v>
      </c>
      <c r="S272" s="110"/>
      <c r="T272" s="110"/>
      <c r="U272" s="110">
        <v>0</v>
      </c>
      <c r="V272" s="111">
        <v>0</v>
      </c>
      <c r="W272" s="110"/>
      <c r="X272" s="110"/>
      <c r="Y272" s="110"/>
      <c r="Z272" s="110"/>
      <c r="AA272" s="110">
        <v>0</v>
      </c>
      <c r="AB272" s="111">
        <v>0</v>
      </c>
      <c r="AC272" s="110"/>
      <c r="AD272" s="110"/>
      <c r="AE272" s="110">
        <v>0</v>
      </c>
      <c r="AF272" s="111">
        <v>0</v>
      </c>
      <c r="AG272" s="110"/>
      <c r="AH272" s="110"/>
      <c r="AI272" s="110"/>
      <c r="AJ272" s="110"/>
      <c r="AK272" s="111">
        <f t="shared" ref="AK272:AK335" si="66">+R272+V272+AB272+AF272</f>
        <v>140.78</v>
      </c>
      <c r="AL272" s="446">
        <f t="shared" ref="AL272:AL335" si="67">+J272-AK272</f>
        <v>0</v>
      </c>
      <c r="AM272" s="110">
        <f t="shared" ref="AM272:AM335" si="68">+Q272+U272+AA272+AE272</f>
        <v>1</v>
      </c>
      <c r="AN272" s="447">
        <f t="shared" si="64"/>
        <v>0</v>
      </c>
      <c r="AO272"/>
      <c r="AP272"/>
    </row>
    <row r="273" spans="1:42" ht="66" x14ac:dyDescent="0.25">
      <c r="A273" s="40"/>
      <c r="B273" s="37" t="s">
        <v>59</v>
      </c>
      <c r="C273" s="1028"/>
      <c r="D273" s="869">
        <v>4</v>
      </c>
      <c r="E273" s="1027" t="s">
        <v>1721</v>
      </c>
      <c r="F273" s="273" t="s">
        <v>3446</v>
      </c>
      <c r="G273" s="1040" t="s">
        <v>3463</v>
      </c>
      <c r="H273" s="273" t="s">
        <v>3462</v>
      </c>
      <c r="I273" s="720">
        <f t="shared" si="57"/>
        <v>27.32</v>
      </c>
      <c r="J273" s="756">
        <v>109.28</v>
      </c>
      <c r="K273" s="131">
        <f t="shared" si="63"/>
        <v>109.28</v>
      </c>
      <c r="L273" s="335">
        <f t="shared" si="65"/>
        <v>0</v>
      </c>
      <c r="M273" s="446"/>
      <c r="N273" s="446"/>
      <c r="O273" s="446"/>
      <c r="P273" s="446"/>
      <c r="Q273" s="110">
        <f t="shared" si="58"/>
        <v>1</v>
      </c>
      <c r="R273" s="111">
        <f t="shared" si="61"/>
        <v>27.32</v>
      </c>
      <c r="S273" s="110"/>
      <c r="T273" s="110"/>
      <c r="U273" s="110">
        <f t="shared" si="59"/>
        <v>1</v>
      </c>
      <c r="V273" s="111">
        <f t="shared" si="62"/>
        <v>27.32</v>
      </c>
      <c r="W273" s="110"/>
      <c r="X273" s="110"/>
      <c r="Y273" s="110"/>
      <c r="Z273" s="110"/>
      <c r="AA273" s="110">
        <f t="shared" si="60"/>
        <v>1</v>
      </c>
      <c r="AB273" s="111">
        <f t="shared" ref="AB273:AB316" si="69">+J273/4</f>
        <v>27.32</v>
      </c>
      <c r="AC273" s="110"/>
      <c r="AD273" s="110"/>
      <c r="AE273" s="110">
        <f t="shared" si="60"/>
        <v>1</v>
      </c>
      <c r="AF273" s="111">
        <f t="shared" ref="AF273:AF316" si="70">+J273/4</f>
        <v>27.32</v>
      </c>
      <c r="AG273" s="110"/>
      <c r="AH273" s="110"/>
      <c r="AI273" s="110"/>
      <c r="AJ273" s="110"/>
      <c r="AK273" s="111">
        <f t="shared" si="66"/>
        <v>109.28</v>
      </c>
      <c r="AL273" s="446">
        <f t="shared" si="67"/>
        <v>0</v>
      </c>
      <c r="AM273" s="110">
        <f t="shared" si="68"/>
        <v>4</v>
      </c>
      <c r="AN273" s="447">
        <f t="shared" si="64"/>
        <v>0</v>
      </c>
      <c r="AO273"/>
      <c r="AP273"/>
    </row>
    <row r="274" spans="1:42" ht="66" x14ac:dyDescent="0.25">
      <c r="A274" s="40"/>
      <c r="B274" s="43" t="s">
        <v>85</v>
      </c>
      <c r="C274" s="1028"/>
      <c r="D274" s="869">
        <v>2</v>
      </c>
      <c r="E274" s="1027" t="s">
        <v>1725</v>
      </c>
      <c r="F274" s="273" t="s">
        <v>3446</v>
      </c>
      <c r="G274" s="1040" t="s">
        <v>3463</v>
      </c>
      <c r="H274" s="273" t="s">
        <v>3462</v>
      </c>
      <c r="I274" s="720">
        <f t="shared" si="57"/>
        <v>149.04</v>
      </c>
      <c r="J274" s="756">
        <v>298.08</v>
      </c>
      <c r="K274" s="131">
        <f t="shared" si="63"/>
        <v>298.08</v>
      </c>
      <c r="L274" s="335">
        <f t="shared" si="65"/>
        <v>0</v>
      </c>
      <c r="M274" s="446"/>
      <c r="N274" s="446"/>
      <c r="O274" s="446"/>
      <c r="P274" s="446"/>
      <c r="Q274" s="130">
        <v>1</v>
      </c>
      <c r="R274" s="111">
        <f>74.52*2</f>
        <v>149.04</v>
      </c>
      <c r="S274" s="110"/>
      <c r="T274" s="110"/>
      <c r="U274" s="130">
        <v>1</v>
      </c>
      <c r="V274" s="111">
        <v>149.04</v>
      </c>
      <c r="W274" s="110"/>
      <c r="X274" s="110"/>
      <c r="Y274" s="110"/>
      <c r="Z274" s="110"/>
      <c r="AA274" s="130">
        <v>0</v>
      </c>
      <c r="AB274" s="111">
        <v>0</v>
      </c>
      <c r="AC274" s="110"/>
      <c r="AD274" s="110"/>
      <c r="AE274" s="130">
        <v>0</v>
      </c>
      <c r="AF274" s="111">
        <v>0</v>
      </c>
      <c r="AG274" s="110"/>
      <c r="AH274" s="110"/>
      <c r="AI274" s="110"/>
      <c r="AJ274" s="110"/>
      <c r="AK274" s="111">
        <f t="shared" si="66"/>
        <v>298.08</v>
      </c>
      <c r="AL274" s="446">
        <f t="shared" si="67"/>
        <v>0</v>
      </c>
      <c r="AM274" s="110">
        <f t="shared" si="68"/>
        <v>2</v>
      </c>
      <c r="AN274" s="447">
        <f t="shared" si="64"/>
        <v>0</v>
      </c>
      <c r="AO274"/>
      <c r="AP274"/>
    </row>
    <row r="275" spans="1:42" ht="66" x14ac:dyDescent="0.25">
      <c r="A275" s="40"/>
      <c r="B275" s="37" t="s">
        <v>66</v>
      </c>
      <c r="C275" s="1028"/>
      <c r="D275" s="869">
        <v>1</v>
      </c>
      <c r="E275" s="1027" t="s">
        <v>1725</v>
      </c>
      <c r="F275" s="273" t="s">
        <v>3446</v>
      </c>
      <c r="G275" s="1040" t="s">
        <v>3463</v>
      </c>
      <c r="H275" s="273" t="s">
        <v>3462</v>
      </c>
      <c r="I275" s="720">
        <f t="shared" si="57"/>
        <v>69.19</v>
      </c>
      <c r="J275" s="756">
        <v>69.19</v>
      </c>
      <c r="K275" s="131">
        <f t="shared" si="63"/>
        <v>69.19</v>
      </c>
      <c r="L275" s="335">
        <f t="shared" si="65"/>
        <v>0</v>
      </c>
      <c r="M275" s="446"/>
      <c r="N275" s="446"/>
      <c r="O275" s="446"/>
      <c r="P275" s="446"/>
      <c r="Q275" s="110">
        <v>1</v>
      </c>
      <c r="R275" s="111">
        <v>69.19</v>
      </c>
      <c r="S275" s="110"/>
      <c r="T275" s="110"/>
      <c r="U275" s="110">
        <v>0</v>
      </c>
      <c r="V275" s="111">
        <v>0</v>
      </c>
      <c r="W275" s="110"/>
      <c r="X275" s="110"/>
      <c r="Y275" s="110"/>
      <c r="Z275" s="110"/>
      <c r="AA275" s="110">
        <v>0</v>
      </c>
      <c r="AB275" s="111">
        <v>0</v>
      </c>
      <c r="AC275" s="110"/>
      <c r="AD275" s="110"/>
      <c r="AE275" s="110">
        <v>0</v>
      </c>
      <c r="AF275" s="111">
        <v>0</v>
      </c>
      <c r="AG275" s="110"/>
      <c r="AH275" s="110"/>
      <c r="AI275" s="110"/>
      <c r="AJ275" s="110"/>
      <c r="AK275" s="111">
        <f t="shared" si="66"/>
        <v>69.19</v>
      </c>
      <c r="AL275" s="446">
        <f t="shared" si="67"/>
        <v>0</v>
      </c>
      <c r="AM275" s="110">
        <f t="shared" si="68"/>
        <v>1</v>
      </c>
      <c r="AN275" s="447">
        <f t="shared" si="64"/>
        <v>0</v>
      </c>
      <c r="AO275"/>
      <c r="AP275"/>
    </row>
    <row r="276" spans="1:42" ht="66" x14ac:dyDescent="0.25">
      <c r="A276" s="40"/>
      <c r="B276" s="37" t="s">
        <v>67</v>
      </c>
      <c r="C276" s="1028"/>
      <c r="D276" s="869">
        <v>2</v>
      </c>
      <c r="E276" s="1027" t="s">
        <v>1721</v>
      </c>
      <c r="F276" s="273" t="s">
        <v>3446</v>
      </c>
      <c r="G276" s="1040" t="s">
        <v>3463</v>
      </c>
      <c r="H276" s="273" t="s">
        <v>3462</v>
      </c>
      <c r="I276" s="720">
        <f t="shared" si="57"/>
        <v>14.08</v>
      </c>
      <c r="J276" s="756">
        <v>28.16</v>
      </c>
      <c r="K276" s="131">
        <f t="shared" si="63"/>
        <v>28.16</v>
      </c>
      <c r="L276" s="335">
        <f t="shared" si="65"/>
        <v>0</v>
      </c>
      <c r="M276" s="446"/>
      <c r="N276" s="446"/>
      <c r="O276" s="446"/>
      <c r="P276" s="446"/>
      <c r="Q276" s="130">
        <v>1</v>
      </c>
      <c r="R276" s="111">
        <v>14.08</v>
      </c>
      <c r="S276" s="110"/>
      <c r="T276" s="110"/>
      <c r="U276" s="130">
        <v>1</v>
      </c>
      <c r="V276" s="111">
        <v>14.08</v>
      </c>
      <c r="W276" s="110"/>
      <c r="X276" s="110"/>
      <c r="Y276" s="110"/>
      <c r="Z276" s="110"/>
      <c r="AA276" s="130">
        <v>0</v>
      </c>
      <c r="AB276" s="111">
        <v>0</v>
      </c>
      <c r="AC276" s="110"/>
      <c r="AD276" s="110"/>
      <c r="AE276" s="130">
        <v>0</v>
      </c>
      <c r="AF276" s="111">
        <v>0</v>
      </c>
      <c r="AG276" s="110"/>
      <c r="AH276" s="110"/>
      <c r="AI276" s="110"/>
      <c r="AJ276" s="110"/>
      <c r="AK276" s="111">
        <f t="shared" si="66"/>
        <v>28.16</v>
      </c>
      <c r="AL276" s="446">
        <f t="shared" si="67"/>
        <v>0</v>
      </c>
      <c r="AM276" s="110">
        <f t="shared" si="68"/>
        <v>2</v>
      </c>
      <c r="AN276" s="447">
        <f t="shared" si="64"/>
        <v>0</v>
      </c>
      <c r="AO276"/>
      <c r="AP276"/>
    </row>
    <row r="277" spans="1:42" ht="66" x14ac:dyDescent="0.25">
      <c r="A277" s="40"/>
      <c r="B277" s="37" t="s">
        <v>68</v>
      </c>
      <c r="C277" s="1028"/>
      <c r="D277" s="869">
        <v>2</v>
      </c>
      <c r="E277" s="1027" t="s">
        <v>1721</v>
      </c>
      <c r="F277" s="273" t="s">
        <v>3446</v>
      </c>
      <c r="G277" s="1040" t="s">
        <v>3463</v>
      </c>
      <c r="H277" s="273" t="s">
        <v>3462</v>
      </c>
      <c r="I277" s="720">
        <f t="shared" si="57"/>
        <v>14.08</v>
      </c>
      <c r="J277" s="756">
        <v>28.16</v>
      </c>
      <c r="K277" s="131">
        <f t="shared" si="63"/>
        <v>28.16</v>
      </c>
      <c r="L277" s="335">
        <f t="shared" si="65"/>
        <v>0</v>
      </c>
      <c r="M277" s="446"/>
      <c r="N277" s="446"/>
      <c r="O277" s="446"/>
      <c r="P277" s="446"/>
      <c r="Q277" s="130">
        <v>1</v>
      </c>
      <c r="R277" s="111">
        <v>14.08</v>
      </c>
      <c r="S277" s="110"/>
      <c r="T277" s="110"/>
      <c r="U277" s="130">
        <v>1</v>
      </c>
      <c r="V277" s="111">
        <v>14.08</v>
      </c>
      <c r="W277" s="110"/>
      <c r="X277" s="110"/>
      <c r="Y277" s="110"/>
      <c r="Z277" s="110"/>
      <c r="AA277" s="130">
        <v>0</v>
      </c>
      <c r="AB277" s="111">
        <v>0</v>
      </c>
      <c r="AC277" s="110"/>
      <c r="AD277" s="110"/>
      <c r="AE277" s="130">
        <v>0</v>
      </c>
      <c r="AF277" s="111">
        <v>0</v>
      </c>
      <c r="AG277" s="110"/>
      <c r="AH277" s="110"/>
      <c r="AI277" s="110"/>
      <c r="AJ277" s="110"/>
      <c r="AK277" s="111">
        <f t="shared" si="66"/>
        <v>28.16</v>
      </c>
      <c r="AL277" s="446">
        <f t="shared" si="67"/>
        <v>0</v>
      </c>
      <c r="AM277" s="110">
        <f t="shared" si="68"/>
        <v>2</v>
      </c>
      <c r="AN277" s="447">
        <f t="shared" si="64"/>
        <v>0</v>
      </c>
      <c r="AO277"/>
      <c r="AP277"/>
    </row>
    <row r="278" spans="1:42" ht="66" x14ac:dyDescent="0.25">
      <c r="A278" s="40"/>
      <c r="B278" s="37" t="s">
        <v>69</v>
      </c>
      <c r="C278" s="1028"/>
      <c r="D278" s="869">
        <v>2</v>
      </c>
      <c r="E278" s="1027" t="s">
        <v>1721</v>
      </c>
      <c r="F278" s="273" t="s">
        <v>3446</v>
      </c>
      <c r="G278" s="1040" t="s">
        <v>3463</v>
      </c>
      <c r="H278" s="273" t="s">
        <v>3462</v>
      </c>
      <c r="I278" s="720">
        <f t="shared" si="57"/>
        <v>14.08</v>
      </c>
      <c r="J278" s="756">
        <v>28.16</v>
      </c>
      <c r="K278" s="131">
        <f t="shared" si="63"/>
        <v>28.16</v>
      </c>
      <c r="L278" s="335">
        <f t="shared" si="65"/>
        <v>0</v>
      </c>
      <c r="M278" s="446"/>
      <c r="N278" s="446"/>
      <c r="O278" s="446"/>
      <c r="P278" s="446"/>
      <c r="Q278" s="130">
        <v>1</v>
      </c>
      <c r="R278" s="111">
        <v>14.08</v>
      </c>
      <c r="S278" s="110"/>
      <c r="T278" s="110"/>
      <c r="U278" s="130">
        <v>1</v>
      </c>
      <c r="V278" s="111">
        <v>14.08</v>
      </c>
      <c r="W278" s="110"/>
      <c r="X278" s="110"/>
      <c r="Y278" s="110"/>
      <c r="Z278" s="110"/>
      <c r="AA278" s="130">
        <v>0</v>
      </c>
      <c r="AB278" s="111">
        <v>0</v>
      </c>
      <c r="AC278" s="110"/>
      <c r="AD278" s="110"/>
      <c r="AE278" s="130">
        <v>0</v>
      </c>
      <c r="AF278" s="111">
        <v>0</v>
      </c>
      <c r="AG278" s="110"/>
      <c r="AH278" s="110"/>
      <c r="AI278" s="110"/>
      <c r="AJ278" s="110"/>
      <c r="AK278" s="111">
        <f t="shared" si="66"/>
        <v>28.16</v>
      </c>
      <c r="AL278" s="446">
        <f t="shared" si="67"/>
        <v>0</v>
      </c>
      <c r="AM278" s="110">
        <f t="shared" si="68"/>
        <v>2</v>
      </c>
      <c r="AN278" s="447">
        <f t="shared" si="64"/>
        <v>0</v>
      </c>
      <c r="AO278"/>
      <c r="AP278"/>
    </row>
    <row r="279" spans="1:42" ht="66" x14ac:dyDescent="0.25">
      <c r="A279" s="40"/>
      <c r="B279" s="37" t="s">
        <v>65</v>
      </c>
      <c r="C279" s="1028"/>
      <c r="D279" s="869">
        <v>2</v>
      </c>
      <c r="E279" s="1027" t="s">
        <v>1721</v>
      </c>
      <c r="F279" s="273" t="s">
        <v>3446</v>
      </c>
      <c r="G279" s="1040" t="s">
        <v>3463</v>
      </c>
      <c r="H279" s="273" t="s">
        <v>3462</v>
      </c>
      <c r="I279" s="720">
        <f t="shared" si="57"/>
        <v>41.93</v>
      </c>
      <c r="J279" s="756">
        <v>83.86</v>
      </c>
      <c r="K279" s="131">
        <f t="shared" si="63"/>
        <v>83.86</v>
      </c>
      <c r="L279" s="335">
        <f t="shared" si="65"/>
        <v>0</v>
      </c>
      <c r="M279" s="446"/>
      <c r="N279" s="446"/>
      <c r="O279" s="446"/>
      <c r="P279" s="446"/>
      <c r="Q279" s="130">
        <v>1</v>
      </c>
      <c r="R279" s="111">
        <v>41.93</v>
      </c>
      <c r="S279" s="110"/>
      <c r="T279" s="110"/>
      <c r="U279" s="130">
        <v>1</v>
      </c>
      <c r="V279" s="111">
        <v>41.93</v>
      </c>
      <c r="W279" s="110"/>
      <c r="X279" s="110"/>
      <c r="Y279" s="110"/>
      <c r="Z279" s="110"/>
      <c r="AA279" s="130">
        <v>0</v>
      </c>
      <c r="AB279" s="111">
        <v>0</v>
      </c>
      <c r="AC279" s="110"/>
      <c r="AD279" s="110"/>
      <c r="AE279" s="130">
        <v>0</v>
      </c>
      <c r="AF279" s="111">
        <v>0</v>
      </c>
      <c r="AG279" s="110"/>
      <c r="AH279" s="110"/>
      <c r="AI279" s="110"/>
      <c r="AJ279" s="110"/>
      <c r="AK279" s="111">
        <f t="shared" si="66"/>
        <v>83.86</v>
      </c>
      <c r="AL279" s="446">
        <f t="shared" si="67"/>
        <v>0</v>
      </c>
      <c r="AM279" s="110">
        <f t="shared" si="68"/>
        <v>2</v>
      </c>
      <c r="AN279" s="447">
        <f t="shared" si="64"/>
        <v>0</v>
      </c>
      <c r="AO279"/>
      <c r="AP279"/>
    </row>
    <row r="280" spans="1:42" ht="66" x14ac:dyDescent="0.25">
      <c r="A280" s="40"/>
      <c r="B280" s="43" t="s">
        <v>1894</v>
      </c>
      <c r="C280" s="1028"/>
      <c r="D280" s="869">
        <v>3</v>
      </c>
      <c r="E280" s="1027" t="s">
        <v>1721</v>
      </c>
      <c r="F280" s="273" t="s">
        <v>3446</v>
      </c>
      <c r="G280" s="1040" t="s">
        <v>3463</v>
      </c>
      <c r="H280" s="273" t="s">
        <v>3462</v>
      </c>
      <c r="I280" s="720">
        <f t="shared" si="57"/>
        <v>149</v>
      </c>
      <c r="J280" s="756">
        <v>447</v>
      </c>
      <c r="K280" s="131">
        <f t="shared" si="63"/>
        <v>447</v>
      </c>
      <c r="L280" s="335">
        <f t="shared" si="65"/>
        <v>0</v>
      </c>
      <c r="M280" s="446"/>
      <c r="N280" s="446"/>
      <c r="O280" s="446"/>
      <c r="P280" s="446"/>
      <c r="Q280" s="130">
        <v>1</v>
      </c>
      <c r="R280" s="111">
        <f t="shared" si="61"/>
        <v>111.75</v>
      </c>
      <c r="S280" s="110"/>
      <c r="T280" s="110"/>
      <c r="U280" s="130">
        <v>1</v>
      </c>
      <c r="V280" s="111">
        <f t="shared" si="62"/>
        <v>111.75</v>
      </c>
      <c r="W280" s="110"/>
      <c r="X280" s="110"/>
      <c r="Y280" s="110"/>
      <c r="Z280" s="110"/>
      <c r="AA280" s="130">
        <v>1</v>
      </c>
      <c r="AB280" s="111">
        <f>111.75*2</f>
        <v>223.5</v>
      </c>
      <c r="AC280" s="110"/>
      <c r="AD280" s="110"/>
      <c r="AE280" s="130">
        <v>0</v>
      </c>
      <c r="AF280" s="111">
        <v>0</v>
      </c>
      <c r="AG280" s="110"/>
      <c r="AH280" s="110"/>
      <c r="AI280" s="110"/>
      <c r="AJ280" s="110"/>
      <c r="AK280" s="111">
        <f t="shared" si="66"/>
        <v>447</v>
      </c>
      <c r="AL280" s="446">
        <f t="shared" si="67"/>
        <v>0</v>
      </c>
      <c r="AM280" s="110">
        <f t="shared" si="68"/>
        <v>3</v>
      </c>
      <c r="AN280" s="447">
        <f t="shared" si="64"/>
        <v>0</v>
      </c>
      <c r="AO280"/>
      <c r="AP280"/>
    </row>
    <row r="281" spans="1:42" ht="66" x14ac:dyDescent="0.25">
      <c r="A281" s="40"/>
      <c r="B281" s="478" t="s">
        <v>1898</v>
      </c>
      <c r="C281" s="1028"/>
      <c r="D281" s="874">
        <v>60</v>
      </c>
      <c r="E281" s="1027" t="s">
        <v>1931</v>
      </c>
      <c r="F281" s="273" t="s">
        <v>3446</v>
      </c>
      <c r="G281" s="1040" t="s">
        <v>3463</v>
      </c>
      <c r="H281" s="273" t="s">
        <v>3462</v>
      </c>
      <c r="I281" s="720">
        <f t="shared" si="57"/>
        <v>9.15</v>
      </c>
      <c r="J281" s="756">
        <v>549</v>
      </c>
      <c r="K281" s="131">
        <f t="shared" si="63"/>
        <v>549</v>
      </c>
      <c r="L281" s="335">
        <f t="shared" si="65"/>
        <v>0</v>
      </c>
      <c r="M281" s="446"/>
      <c r="N281" s="446"/>
      <c r="O281" s="446"/>
      <c r="P281" s="446"/>
      <c r="Q281" s="110">
        <f t="shared" si="58"/>
        <v>15</v>
      </c>
      <c r="R281" s="111">
        <f t="shared" si="61"/>
        <v>137.25</v>
      </c>
      <c r="S281" s="110"/>
      <c r="T281" s="110"/>
      <c r="U281" s="110">
        <f t="shared" si="59"/>
        <v>15</v>
      </c>
      <c r="V281" s="111">
        <f t="shared" si="62"/>
        <v>137.25</v>
      </c>
      <c r="W281" s="110"/>
      <c r="X281" s="110"/>
      <c r="Y281" s="110"/>
      <c r="Z281" s="110"/>
      <c r="AA281" s="110">
        <f t="shared" si="60"/>
        <v>15</v>
      </c>
      <c r="AB281" s="111">
        <f t="shared" si="69"/>
        <v>137.25</v>
      </c>
      <c r="AC281" s="110"/>
      <c r="AD281" s="110"/>
      <c r="AE281" s="110">
        <f t="shared" si="60"/>
        <v>15</v>
      </c>
      <c r="AF281" s="111">
        <f t="shared" si="70"/>
        <v>137.25</v>
      </c>
      <c r="AG281" s="110"/>
      <c r="AH281" s="110"/>
      <c r="AI281" s="110"/>
      <c r="AJ281" s="110"/>
      <c r="AK281" s="111">
        <f t="shared" si="66"/>
        <v>549</v>
      </c>
      <c r="AL281" s="446">
        <f t="shared" si="67"/>
        <v>0</v>
      </c>
      <c r="AM281" s="110">
        <f t="shared" si="68"/>
        <v>60</v>
      </c>
      <c r="AN281" s="447">
        <f t="shared" si="64"/>
        <v>0</v>
      </c>
      <c r="AO281"/>
      <c r="AP281"/>
    </row>
    <row r="282" spans="1:42" ht="66" x14ac:dyDescent="0.25">
      <c r="A282" s="40"/>
      <c r="B282" s="478" t="s">
        <v>1899</v>
      </c>
      <c r="C282" s="1028"/>
      <c r="D282" s="874">
        <v>13</v>
      </c>
      <c r="E282" s="1027" t="s">
        <v>1772</v>
      </c>
      <c r="F282" s="273" t="s">
        <v>3446</v>
      </c>
      <c r="G282" s="1040" t="s">
        <v>3463</v>
      </c>
      <c r="H282" s="273" t="s">
        <v>3462</v>
      </c>
      <c r="I282" s="720">
        <f t="shared" si="57"/>
        <v>56.649999999999991</v>
      </c>
      <c r="J282" s="756">
        <v>736.44999999999993</v>
      </c>
      <c r="K282" s="131">
        <f t="shared" si="63"/>
        <v>736.44999999999993</v>
      </c>
      <c r="L282" s="335">
        <f t="shared" si="65"/>
        <v>0</v>
      </c>
      <c r="M282" s="446"/>
      <c r="N282" s="446"/>
      <c r="O282" s="446"/>
      <c r="P282" s="446"/>
      <c r="Q282" s="110">
        <v>4</v>
      </c>
      <c r="R282" s="111">
        <f t="shared" si="61"/>
        <v>184.11249999999998</v>
      </c>
      <c r="S282" s="110"/>
      <c r="T282" s="110"/>
      <c r="U282" s="110">
        <v>3</v>
      </c>
      <c r="V282" s="111">
        <f t="shared" si="62"/>
        <v>184.11249999999998</v>
      </c>
      <c r="W282" s="110"/>
      <c r="X282" s="110"/>
      <c r="Y282" s="110"/>
      <c r="Z282" s="110"/>
      <c r="AA282" s="110">
        <v>3</v>
      </c>
      <c r="AB282" s="111">
        <f t="shared" si="69"/>
        <v>184.11249999999998</v>
      </c>
      <c r="AC282" s="110"/>
      <c r="AD282" s="110"/>
      <c r="AE282" s="110">
        <v>3</v>
      </c>
      <c r="AF282" s="111">
        <f t="shared" si="70"/>
        <v>184.11249999999998</v>
      </c>
      <c r="AG282" s="110"/>
      <c r="AH282" s="110"/>
      <c r="AI282" s="110"/>
      <c r="AJ282" s="110"/>
      <c r="AK282" s="111">
        <f t="shared" si="66"/>
        <v>736.44999999999993</v>
      </c>
      <c r="AL282" s="446">
        <f t="shared" si="67"/>
        <v>0</v>
      </c>
      <c r="AM282" s="110">
        <f t="shared" si="68"/>
        <v>13</v>
      </c>
      <c r="AN282" s="447">
        <f t="shared" si="64"/>
        <v>0</v>
      </c>
      <c r="AO282"/>
      <c r="AP282"/>
    </row>
    <row r="283" spans="1:42" ht="66" x14ac:dyDescent="0.25">
      <c r="A283" s="40"/>
      <c r="B283" s="478" t="s">
        <v>1900</v>
      </c>
      <c r="C283" s="1028"/>
      <c r="D283" s="874">
        <v>8</v>
      </c>
      <c r="E283" s="1027" t="s">
        <v>1932</v>
      </c>
      <c r="F283" s="273" t="s">
        <v>3446</v>
      </c>
      <c r="G283" s="1040" t="s">
        <v>3463</v>
      </c>
      <c r="H283" s="273" t="s">
        <v>3462</v>
      </c>
      <c r="I283" s="720">
        <f t="shared" si="57"/>
        <v>91.68</v>
      </c>
      <c r="J283" s="756">
        <v>733.44</v>
      </c>
      <c r="K283" s="131">
        <f t="shared" si="63"/>
        <v>733.44</v>
      </c>
      <c r="L283" s="335">
        <f t="shared" si="65"/>
        <v>0</v>
      </c>
      <c r="M283" s="446"/>
      <c r="N283" s="446"/>
      <c r="O283" s="446"/>
      <c r="P283" s="446"/>
      <c r="Q283" s="110">
        <f t="shared" si="58"/>
        <v>2</v>
      </c>
      <c r="R283" s="111">
        <f t="shared" si="61"/>
        <v>183.36</v>
      </c>
      <c r="S283" s="110"/>
      <c r="T283" s="110"/>
      <c r="U283" s="110">
        <f t="shared" si="59"/>
        <v>2</v>
      </c>
      <c r="V283" s="111">
        <f t="shared" si="62"/>
        <v>183.36</v>
      </c>
      <c r="W283" s="110"/>
      <c r="X283" s="110"/>
      <c r="Y283" s="110"/>
      <c r="Z283" s="110"/>
      <c r="AA283" s="110">
        <f t="shared" si="60"/>
        <v>2</v>
      </c>
      <c r="AB283" s="111">
        <f t="shared" si="69"/>
        <v>183.36</v>
      </c>
      <c r="AC283" s="110"/>
      <c r="AD283" s="110"/>
      <c r="AE283" s="110">
        <f t="shared" si="60"/>
        <v>2</v>
      </c>
      <c r="AF283" s="111">
        <f t="shared" si="70"/>
        <v>183.36</v>
      </c>
      <c r="AG283" s="110"/>
      <c r="AH283" s="110"/>
      <c r="AI283" s="110"/>
      <c r="AJ283" s="110"/>
      <c r="AK283" s="111">
        <f t="shared" si="66"/>
        <v>733.44</v>
      </c>
      <c r="AL283" s="446">
        <f t="shared" si="67"/>
        <v>0</v>
      </c>
      <c r="AM283" s="110">
        <f t="shared" si="68"/>
        <v>8</v>
      </c>
      <c r="AN283" s="447">
        <f t="shared" si="64"/>
        <v>0</v>
      </c>
      <c r="AO283"/>
      <c r="AP283"/>
    </row>
    <row r="284" spans="1:42" ht="66" x14ac:dyDescent="0.25">
      <c r="A284" s="40"/>
      <c r="B284" s="34" t="s">
        <v>31</v>
      </c>
      <c r="C284" s="1028"/>
      <c r="D284" s="874">
        <v>60</v>
      </c>
      <c r="E284" s="1027" t="s">
        <v>1931</v>
      </c>
      <c r="F284" s="273" t="s">
        <v>3446</v>
      </c>
      <c r="G284" s="1040" t="s">
        <v>3463</v>
      </c>
      <c r="H284" s="273" t="s">
        <v>3462</v>
      </c>
      <c r="I284" s="720">
        <f t="shared" ref="I284:I347" si="71">+J284/D284</f>
        <v>24.4</v>
      </c>
      <c r="J284" s="756">
        <v>1464</v>
      </c>
      <c r="K284" s="131">
        <f t="shared" si="63"/>
        <v>1464</v>
      </c>
      <c r="L284" s="335">
        <f t="shared" si="65"/>
        <v>0</v>
      </c>
      <c r="M284" s="446"/>
      <c r="N284" s="446"/>
      <c r="O284" s="446"/>
      <c r="P284" s="446"/>
      <c r="Q284" s="110">
        <f t="shared" si="58"/>
        <v>15</v>
      </c>
      <c r="R284" s="111">
        <f t="shared" si="61"/>
        <v>366</v>
      </c>
      <c r="S284" s="110"/>
      <c r="T284" s="110"/>
      <c r="U284" s="110">
        <f t="shared" si="59"/>
        <v>15</v>
      </c>
      <c r="V284" s="111">
        <f t="shared" si="62"/>
        <v>366</v>
      </c>
      <c r="W284" s="110"/>
      <c r="X284" s="110"/>
      <c r="Y284" s="110"/>
      <c r="Z284" s="110"/>
      <c r="AA284" s="110">
        <f t="shared" si="60"/>
        <v>15</v>
      </c>
      <c r="AB284" s="111">
        <f t="shared" si="69"/>
        <v>366</v>
      </c>
      <c r="AC284" s="110"/>
      <c r="AD284" s="110"/>
      <c r="AE284" s="110">
        <f t="shared" si="60"/>
        <v>15</v>
      </c>
      <c r="AF284" s="111">
        <f t="shared" si="70"/>
        <v>366</v>
      </c>
      <c r="AG284" s="110"/>
      <c r="AH284" s="110"/>
      <c r="AI284" s="110"/>
      <c r="AJ284" s="110"/>
      <c r="AK284" s="111">
        <f t="shared" si="66"/>
        <v>1464</v>
      </c>
      <c r="AL284" s="446">
        <f t="shared" si="67"/>
        <v>0</v>
      </c>
      <c r="AM284" s="110">
        <f t="shared" si="68"/>
        <v>60</v>
      </c>
      <c r="AN284" s="447">
        <f t="shared" si="64"/>
        <v>0</v>
      </c>
      <c r="AO284"/>
      <c r="AP284"/>
    </row>
    <row r="285" spans="1:42" ht="66" x14ac:dyDescent="0.25">
      <c r="A285" s="40"/>
      <c r="B285" s="478" t="s">
        <v>1901</v>
      </c>
      <c r="C285" s="1028"/>
      <c r="D285" s="874">
        <v>60</v>
      </c>
      <c r="E285" s="1027" t="s">
        <v>1766</v>
      </c>
      <c r="F285" s="273" t="s">
        <v>3446</v>
      </c>
      <c r="G285" s="1040" t="s">
        <v>3463</v>
      </c>
      <c r="H285" s="273" t="s">
        <v>3462</v>
      </c>
      <c r="I285" s="720">
        <f t="shared" si="71"/>
        <v>35.64</v>
      </c>
      <c r="J285" s="756">
        <v>2138.4</v>
      </c>
      <c r="K285" s="131">
        <f t="shared" si="63"/>
        <v>2138.4</v>
      </c>
      <c r="L285" s="335">
        <f t="shared" si="65"/>
        <v>0</v>
      </c>
      <c r="M285" s="446"/>
      <c r="N285" s="446"/>
      <c r="O285" s="446"/>
      <c r="P285" s="446"/>
      <c r="Q285" s="110">
        <f t="shared" si="58"/>
        <v>15</v>
      </c>
      <c r="R285" s="111">
        <f t="shared" si="61"/>
        <v>534.6</v>
      </c>
      <c r="S285" s="110"/>
      <c r="T285" s="110"/>
      <c r="U285" s="110">
        <f t="shared" si="59"/>
        <v>15</v>
      </c>
      <c r="V285" s="111">
        <f t="shared" si="62"/>
        <v>534.6</v>
      </c>
      <c r="W285" s="110"/>
      <c r="X285" s="110"/>
      <c r="Y285" s="110"/>
      <c r="Z285" s="110"/>
      <c r="AA285" s="110">
        <f t="shared" si="60"/>
        <v>15</v>
      </c>
      <c r="AB285" s="111">
        <f t="shared" si="69"/>
        <v>534.6</v>
      </c>
      <c r="AC285" s="110"/>
      <c r="AD285" s="110"/>
      <c r="AE285" s="110">
        <f t="shared" si="60"/>
        <v>15</v>
      </c>
      <c r="AF285" s="111">
        <f t="shared" si="70"/>
        <v>534.6</v>
      </c>
      <c r="AG285" s="110"/>
      <c r="AH285" s="110"/>
      <c r="AI285" s="110"/>
      <c r="AJ285" s="110"/>
      <c r="AK285" s="111">
        <f t="shared" si="66"/>
        <v>2138.4</v>
      </c>
      <c r="AL285" s="446">
        <f t="shared" si="67"/>
        <v>0</v>
      </c>
      <c r="AM285" s="110">
        <f t="shared" si="68"/>
        <v>60</v>
      </c>
      <c r="AN285" s="447">
        <f t="shared" si="64"/>
        <v>0</v>
      </c>
      <c r="AO285"/>
      <c r="AP285"/>
    </row>
    <row r="286" spans="1:42" ht="66" x14ac:dyDescent="0.25">
      <c r="A286" s="40"/>
      <c r="B286" s="478" t="s">
        <v>1902</v>
      </c>
      <c r="C286" s="1028"/>
      <c r="D286" s="874">
        <v>6</v>
      </c>
      <c r="E286" s="1027" t="s">
        <v>1931</v>
      </c>
      <c r="F286" s="273" t="s">
        <v>3446</v>
      </c>
      <c r="G286" s="1040" t="s">
        <v>3463</v>
      </c>
      <c r="H286" s="273" t="s">
        <v>3462</v>
      </c>
      <c r="I286" s="720">
        <f t="shared" si="71"/>
        <v>83.16</v>
      </c>
      <c r="J286" s="756">
        <v>498.96</v>
      </c>
      <c r="K286" s="131">
        <f t="shared" si="63"/>
        <v>498.96</v>
      </c>
      <c r="L286" s="335">
        <f t="shared" si="65"/>
        <v>0</v>
      </c>
      <c r="M286" s="446"/>
      <c r="N286" s="446"/>
      <c r="O286" s="446"/>
      <c r="P286" s="446"/>
      <c r="Q286" s="130">
        <v>2</v>
      </c>
      <c r="R286" s="111">
        <f t="shared" si="61"/>
        <v>124.74</v>
      </c>
      <c r="S286" s="110"/>
      <c r="T286" s="110"/>
      <c r="U286" s="130">
        <v>2</v>
      </c>
      <c r="V286" s="111">
        <f t="shared" si="62"/>
        <v>124.74</v>
      </c>
      <c r="W286" s="110"/>
      <c r="X286" s="110"/>
      <c r="Y286" s="110"/>
      <c r="Z286" s="110"/>
      <c r="AA286" s="130">
        <v>1</v>
      </c>
      <c r="AB286" s="111">
        <f t="shared" si="69"/>
        <v>124.74</v>
      </c>
      <c r="AC286" s="110"/>
      <c r="AD286" s="110"/>
      <c r="AE286" s="130">
        <v>1</v>
      </c>
      <c r="AF286" s="111">
        <f t="shared" si="70"/>
        <v>124.74</v>
      </c>
      <c r="AG286" s="110"/>
      <c r="AH286" s="110"/>
      <c r="AI286" s="110"/>
      <c r="AJ286" s="110"/>
      <c r="AK286" s="111">
        <f t="shared" si="66"/>
        <v>498.96</v>
      </c>
      <c r="AL286" s="446">
        <f t="shared" si="67"/>
        <v>0</v>
      </c>
      <c r="AM286" s="110">
        <f t="shared" si="68"/>
        <v>6</v>
      </c>
      <c r="AN286" s="447">
        <f t="shared" si="64"/>
        <v>0</v>
      </c>
      <c r="AO286"/>
      <c r="AP286"/>
    </row>
    <row r="287" spans="1:42" ht="66" x14ac:dyDescent="0.25">
      <c r="A287" s="40"/>
      <c r="B287" s="478" t="s">
        <v>1903</v>
      </c>
      <c r="C287" s="1028"/>
      <c r="D287" s="874">
        <v>36</v>
      </c>
      <c r="E287" s="1027" t="s">
        <v>1766</v>
      </c>
      <c r="F287" s="273" t="s">
        <v>3446</v>
      </c>
      <c r="G287" s="1040" t="s">
        <v>3463</v>
      </c>
      <c r="H287" s="273" t="s">
        <v>3462</v>
      </c>
      <c r="I287" s="720">
        <f t="shared" si="71"/>
        <v>34.729999999999997</v>
      </c>
      <c r="J287" s="756">
        <v>1250.28</v>
      </c>
      <c r="K287" s="131">
        <f t="shared" si="63"/>
        <v>1250.28</v>
      </c>
      <c r="L287" s="335">
        <f t="shared" si="65"/>
        <v>0</v>
      </c>
      <c r="M287" s="446"/>
      <c r="N287" s="446"/>
      <c r="O287" s="446"/>
      <c r="P287" s="446"/>
      <c r="Q287" s="110">
        <f t="shared" si="58"/>
        <v>9</v>
      </c>
      <c r="R287" s="111">
        <f t="shared" si="61"/>
        <v>312.57</v>
      </c>
      <c r="S287" s="110"/>
      <c r="T287" s="110"/>
      <c r="U287" s="110">
        <f t="shared" si="59"/>
        <v>9</v>
      </c>
      <c r="V287" s="111">
        <f t="shared" si="62"/>
        <v>312.57</v>
      </c>
      <c r="W287" s="110"/>
      <c r="X287" s="110"/>
      <c r="Y287" s="110"/>
      <c r="Z287" s="110"/>
      <c r="AA287" s="110">
        <f t="shared" si="60"/>
        <v>9</v>
      </c>
      <c r="AB287" s="111">
        <f t="shared" si="69"/>
        <v>312.57</v>
      </c>
      <c r="AC287" s="110"/>
      <c r="AD287" s="110"/>
      <c r="AE287" s="110">
        <f t="shared" si="60"/>
        <v>9</v>
      </c>
      <c r="AF287" s="111">
        <f t="shared" si="70"/>
        <v>312.57</v>
      </c>
      <c r="AG287" s="110"/>
      <c r="AH287" s="110"/>
      <c r="AI287" s="110"/>
      <c r="AJ287" s="110"/>
      <c r="AK287" s="111">
        <f t="shared" si="66"/>
        <v>1250.28</v>
      </c>
      <c r="AL287" s="446">
        <f t="shared" si="67"/>
        <v>0</v>
      </c>
      <c r="AM287" s="110">
        <f t="shared" si="68"/>
        <v>36</v>
      </c>
      <c r="AN287" s="447">
        <f t="shared" si="64"/>
        <v>0</v>
      </c>
      <c r="AO287"/>
      <c r="AP287"/>
    </row>
    <row r="288" spans="1:42" ht="66" x14ac:dyDescent="0.25">
      <c r="A288" s="40"/>
      <c r="B288" s="478" t="s">
        <v>1904</v>
      </c>
      <c r="C288" s="1028"/>
      <c r="D288" s="874">
        <v>50</v>
      </c>
      <c r="E288" s="1027" t="s">
        <v>1931</v>
      </c>
      <c r="F288" s="273" t="s">
        <v>3446</v>
      </c>
      <c r="G288" s="1040" t="s">
        <v>3463</v>
      </c>
      <c r="H288" s="273" t="s">
        <v>3462</v>
      </c>
      <c r="I288" s="720">
        <f t="shared" si="71"/>
        <v>16.02</v>
      </c>
      <c r="J288" s="756">
        <v>801</v>
      </c>
      <c r="K288" s="131">
        <f t="shared" si="63"/>
        <v>801</v>
      </c>
      <c r="L288" s="335">
        <f t="shared" si="65"/>
        <v>0</v>
      </c>
      <c r="M288" s="446"/>
      <c r="N288" s="446"/>
      <c r="O288" s="446"/>
      <c r="P288" s="446"/>
      <c r="Q288" s="110">
        <v>13</v>
      </c>
      <c r="R288" s="111">
        <f t="shared" si="61"/>
        <v>200.25</v>
      </c>
      <c r="S288" s="110"/>
      <c r="T288" s="110"/>
      <c r="U288" s="110">
        <v>12</v>
      </c>
      <c r="V288" s="111">
        <f t="shared" si="62"/>
        <v>200.25</v>
      </c>
      <c r="W288" s="110"/>
      <c r="X288" s="110"/>
      <c r="Y288" s="110"/>
      <c r="Z288" s="110"/>
      <c r="AA288" s="110">
        <v>12</v>
      </c>
      <c r="AB288" s="111">
        <f t="shared" si="69"/>
        <v>200.25</v>
      </c>
      <c r="AC288" s="110"/>
      <c r="AD288" s="110"/>
      <c r="AE288" s="110">
        <v>13</v>
      </c>
      <c r="AF288" s="111">
        <f t="shared" si="70"/>
        <v>200.25</v>
      </c>
      <c r="AG288" s="110"/>
      <c r="AH288" s="110"/>
      <c r="AI288" s="110"/>
      <c r="AJ288" s="110"/>
      <c r="AK288" s="111">
        <f t="shared" si="66"/>
        <v>801</v>
      </c>
      <c r="AL288" s="446">
        <f t="shared" si="67"/>
        <v>0</v>
      </c>
      <c r="AM288" s="110">
        <f t="shared" si="68"/>
        <v>50</v>
      </c>
      <c r="AN288" s="447">
        <f t="shared" si="64"/>
        <v>0</v>
      </c>
      <c r="AO288"/>
      <c r="AP288"/>
    </row>
    <row r="289" spans="1:42" ht="66" x14ac:dyDescent="0.25">
      <c r="A289" s="40"/>
      <c r="B289" s="478" t="s">
        <v>1905</v>
      </c>
      <c r="C289" s="1028"/>
      <c r="D289" s="874">
        <v>50</v>
      </c>
      <c r="E289" s="1027" t="s">
        <v>1931</v>
      </c>
      <c r="F289" s="273" t="s">
        <v>3446</v>
      </c>
      <c r="G289" s="1040" t="s">
        <v>3463</v>
      </c>
      <c r="H289" s="273" t="s">
        <v>3462</v>
      </c>
      <c r="I289" s="720">
        <f t="shared" si="71"/>
        <v>16.63</v>
      </c>
      <c r="J289" s="756">
        <v>831.5</v>
      </c>
      <c r="K289" s="131">
        <f t="shared" si="63"/>
        <v>831.5</v>
      </c>
      <c r="L289" s="335">
        <f t="shared" si="65"/>
        <v>0</v>
      </c>
      <c r="M289" s="446"/>
      <c r="N289" s="446"/>
      <c r="O289" s="446"/>
      <c r="P289" s="446"/>
      <c r="Q289" s="110">
        <v>13</v>
      </c>
      <c r="R289" s="111">
        <f t="shared" si="61"/>
        <v>207.875</v>
      </c>
      <c r="S289" s="110"/>
      <c r="T289" s="110"/>
      <c r="U289" s="110">
        <v>12</v>
      </c>
      <c r="V289" s="111">
        <f t="shared" si="62"/>
        <v>207.875</v>
      </c>
      <c r="W289" s="110"/>
      <c r="X289" s="110"/>
      <c r="Y289" s="110"/>
      <c r="Z289" s="110"/>
      <c r="AA289" s="110">
        <v>12</v>
      </c>
      <c r="AB289" s="111">
        <f t="shared" si="69"/>
        <v>207.875</v>
      </c>
      <c r="AC289" s="110"/>
      <c r="AD289" s="110"/>
      <c r="AE289" s="110">
        <v>13</v>
      </c>
      <c r="AF289" s="111">
        <f t="shared" si="70"/>
        <v>207.875</v>
      </c>
      <c r="AG289" s="110"/>
      <c r="AH289" s="110"/>
      <c r="AI289" s="110"/>
      <c r="AJ289" s="110"/>
      <c r="AK289" s="111">
        <f t="shared" si="66"/>
        <v>831.5</v>
      </c>
      <c r="AL289" s="446">
        <f t="shared" si="67"/>
        <v>0</v>
      </c>
      <c r="AM289" s="110">
        <f t="shared" si="68"/>
        <v>50</v>
      </c>
      <c r="AN289" s="447">
        <f t="shared" si="64"/>
        <v>0</v>
      </c>
      <c r="AO289"/>
      <c r="AP289"/>
    </row>
    <row r="290" spans="1:42" ht="66" x14ac:dyDescent="0.25">
      <c r="A290" s="40"/>
      <c r="B290" s="478" t="s">
        <v>1906</v>
      </c>
      <c r="C290" s="1028"/>
      <c r="D290" s="874">
        <v>24</v>
      </c>
      <c r="E290" s="1027" t="s">
        <v>1766</v>
      </c>
      <c r="F290" s="273" t="s">
        <v>3446</v>
      </c>
      <c r="G290" s="1040" t="s">
        <v>3463</v>
      </c>
      <c r="H290" s="273" t="s">
        <v>3462</v>
      </c>
      <c r="I290" s="720">
        <f t="shared" si="71"/>
        <v>25.55</v>
      </c>
      <c r="J290" s="756">
        <v>613.20000000000005</v>
      </c>
      <c r="K290" s="131">
        <f t="shared" si="63"/>
        <v>613.20000000000005</v>
      </c>
      <c r="L290" s="335">
        <f t="shared" si="65"/>
        <v>0</v>
      </c>
      <c r="M290" s="446"/>
      <c r="N290" s="446"/>
      <c r="O290" s="446"/>
      <c r="P290" s="446"/>
      <c r="Q290" s="110">
        <f t="shared" si="58"/>
        <v>6</v>
      </c>
      <c r="R290" s="111">
        <f t="shared" si="61"/>
        <v>153.30000000000001</v>
      </c>
      <c r="S290" s="110"/>
      <c r="T290" s="110"/>
      <c r="U290" s="110">
        <f t="shared" si="59"/>
        <v>6</v>
      </c>
      <c r="V290" s="111">
        <f t="shared" si="62"/>
        <v>153.30000000000001</v>
      </c>
      <c r="W290" s="110"/>
      <c r="X290" s="110"/>
      <c r="Y290" s="110"/>
      <c r="Z290" s="110"/>
      <c r="AA290" s="110">
        <f t="shared" si="60"/>
        <v>6</v>
      </c>
      <c r="AB290" s="111">
        <f t="shared" si="69"/>
        <v>153.30000000000001</v>
      </c>
      <c r="AC290" s="110"/>
      <c r="AD290" s="110"/>
      <c r="AE290" s="110">
        <f t="shared" si="60"/>
        <v>6</v>
      </c>
      <c r="AF290" s="111">
        <f t="shared" si="70"/>
        <v>153.30000000000001</v>
      </c>
      <c r="AG290" s="110"/>
      <c r="AH290" s="110"/>
      <c r="AI290" s="110"/>
      <c r="AJ290" s="110"/>
      <c r="AK290" s="111">
        <f t="shared" si="66"/>
        <v>613.20000000000005</v>
      </c>
      <c r="AL290" s="446">
        <f t="shared" si="67"/>
        <v>0</v>
      </c>
      <c r="AM290" s="110">
        <f t="shared" si="68"/>
        <v>24</v>
      </c>
      <c r="AN290" s="447">
        <f t="shared" si="64"/>
        <v>0</v>
      </c>
      <c r="AO290"/>
      <c r="AP290"/>
    </row>
    <row r="291" spans="1:42" ht="66" x14ac:dyDescent="0.25">
      <c r="A291" s="40"/>
      <c r="B291" s="478" t="s">
        <v>1907</v>
      </c>
      <c r="C291" s="1028"/>
      <c r="D291" s="874">
        <v>24</v>
      </c>
      <c r="E291" s="1027" t="s">
        <v>1766</v>
      </c>
      <c r="F291" s="273" t="s">
        <v>3446</v>
      </c>
      <c r="G291" s="1040" t="s">
        <v>3463</v>
      </c>
      <c r="H291" s="273" t="s">
        <v>3462</v>
      </c>
      <c r="I291" s="720">
        <f t="shared" si="71"/>
        <v>48.71</v>
      </c>
      <c r="J291" s="756">
        <v>1169.04</v>
      </c>
      <c r="K291" s="131">
        <f t="shared" si="63"/>
        <v>1169.04</v>
      </c>
      <c r="L291" s="335">
        <f t="shared" si="65"/>
        <v>0</v>
      </c>
      <c r="M291" s="446"/>
      <c r="N291" s="446"/>
      <c r="O291" s="446"/>
      <c r="P291" s="446"/>
      <c r="Q291" s="110">
        <f t="shared" si="58"/>
        <v>6</v>
      </c>
      <c r="R291" s="111">
        <f t="shared" si="61"/>
        <v>292.26</v>
      </c>
      <c r="S291" s="110"/>
      <c r="T291" s="110"/>
      <c r="U291" s="110">
        <f t="shared" si="59"/>
        <v>6</v>
      </c>
      <c r="V291" s="111">
        <f t="shared" si="62"/>
        <v>292.26</v>
      </c>
      <c r="W291" s="110"/>
      <c r="X291" s="110"/>
      <c r="Y291" s="110"/>
      <c r="Z291" s="110"/>
      <c r="AA291" s="110">
        <f t="shared" si="60"/>
        <v>6</v>
      </c>
      <c r="AB291" s="111">
        <f t="shared" si="69"/>
        <v>292.26</v>
      </c>
      <c r="AC291" s="110"/>
      <c r="AD291" s="110"/>
      <c r="AE291" s="110">
        <f t="shared" si="60"/>
        <v>6</v>
      </c>
      <c r="AF291" s="111">
        <f t="shared" si="70"/>
        <v>292.26</v>
      </c>
      <c r="AG291" s="110"/>
      <c r="AH291" s="110"/>
      <c r="AI291" s="110"/>
      <c r="AJ291" s="110"/>
      <c r="AK291" s="111">
        <f t="shared" si="66"/>
        <v>1169.04</v>
      </c>
      <c r="AL291" s="446">
        <f t="shared" si="67"/>
        <v>0</v>
      </c>
      <c r="AM291" s="110">
        <f t="shared" si="68"/>
        <v>24</v>
      </c>
      <c r="AN291" s="447">
        <f t="shared" si="64"/>
        <v>0</v>
      </c>
      <c r="AO291"/>
      <c r="AP291"/>
    </row>
    <row r="292" spans="1:42" ht="66" x14ac:dyDescent="0.25">
      <c r="A292" s="40"/>
      <c r="B292" s="478" t="s">
        <v>1908</v>
      </c>
      <c r="C292" s="1028"/>
      <c r="D292" s="874">
        <v>12</v>
      </c>
      <c r="E292" s="1027" t="s">
        <v>1766</v>
      </c>
      <c r="F292" s="273" t="s">
        <v>3446</v>
      </c>
      <c r="G292" s="1040" t="s">
        <v>3463</v>
      </c>
      <c r="H292" s="273" t="s">
        <v>3462</v>
      </c>
      <c r="I292" s="720">
        <f t="shared" si="71"/>
        <v>48.71</v>
      </c>
      <c r="J292" s="756">
        <v>584.52</v>
      </c>
      <c r="K292" s="131">
        <f t="shared" si="63"/>
        <v>584.52</v>
      </c>
      <c r="L292" s="335">
        <f t="shared" si="65"/>
        <v>0</v>
      </c>
      <c r="M292" s="446"/>
      <c r="N292" s="446"/>
      <c r="O292" s="446"/>
      <c r="P292" s="446"/>
      <c r="Q292" s="110">
        <f t="shared" si="58"/>
        <v>3</v>
      </c>
      <c r="R292" s="111">
        <f t="shared" si="61"/>
        <v>146.13</v>
      </c>
      <c r="S292" s="110"/>
      <c r="T292" s="110"/>
      <c r="U292" s="110">
        <f t="shared" si="59"/>
        <v>3</v>
      </c>
      <c r="V292" s="111">
        <f t="shared" si="62"/>
        <v>146.13</v>
      </c>
      <c r="W292" s="110"/>
      <c r="X292" s="110"/>
      <c r="Y292" s="110"/>
      <c r="Z292" s="110"/>
      <c r="AA292" s="110">
        <f t="shared" si="60"/>
        <v>3</v>
      </c>
      <c r="AB292" s="111">
        <f t="shared" si="69"/>
        <v>146.13</v>
      </c>
      <c r="AC292" s="110"/>
      <c r="AD292" s="110"/>
      <c r="AE292" s="110">
        <f t="shared" si="60"/>
        <v>3</v>
      </c>
      <c r="AF292" s="111">
        <f t="shared" si="70"/>
        <v>146.13</v>
      </c>
      <c r="AG292" s="110"/>
      <c r="AH292" s="110"/>
      <c r="AI292" s="110"/>
      <c r="AJ292" s="110"/>
      <c r="AK292" s="111">
        <f t="shared" si="66"/>
        <v>584.52</v>
      </c>
      <c r="AL292" s="446">
        <f t="shared" si="67"/>
        <v>0</v>
      </c>
      <c r="AM292" s="110">
        <f t="shared" si="68"/>
        <v>12</v>
      </c>
      <c r="AN292" s="447">
        <f t="shared" si="64"/>
        <v>0</v>
      </c>
      <c r="AO292"/>
      <c r="AP292"/>
    </row>
    <row r="293" spans="1:42" ht="66" x14ac:dyDescent="0.25">
      <c r="A293" s="40"/>
      <c r="B293" s="478" t="s">
        <v>1909</v>
      </c>
      <c r="C293" s="1028"/>
      <c r="D293" s="874">
        <v>80</v>
      </c>
      <c r="E293" s="1027" t="s">
        <v>1933</v>
      </c>
      <c r="F293" s="273" t="s">
        <v>3446</v>
      </c>
      <c r="G293" s="1040" t="s">
        <v>3463</v>
      </c>
      <c r="H293" s="273" t="s">
        <v>3462</v>
      </c>
      <c r="I293" s="720">
        <f t="shared" si="71"/>
        <v>23.55</v>
      </c>
      <c r="J293" s="756">
        <v>1884</v>
      </c>
      <c r="K293" s="131">
        <f t="shared" si="63"/>
        <v>1884</v>
      </c>
      <c r="L293" s="335">
        <f t="shared" si="65"/>
        <v>0</v>
      </c>
      <c r="M293" s="446"/>
      <c r="N293" s="446"/>
      <c r="O293" s="446"/>
      <c r="P293" s="446"/>
      <c r="Q293" s="110">
        <f t="shared" si="58"/>
        <v>20</v>
      </c>
      <c r="R293" s="111">
        <f t="shared" si="61"/>
        <v>471</v>
      </c>
      <c r="S293" s="110"/>
      <c r="T293" s="110"/>
      <c r="U293" s="110">
        <f t="shared" si="59"/>
        <v>20</v>
      </c>
      <c r="V293" s="111">
        <f t="shared" si="62"/>
        <v>471</v>
      </c>
      <c r="W293" s="110"/>
      <c r="X293" s="110"/>
      <c r="Y293" s="110"/>
      <c r="Z293" s="110"/>
      <c r="AA293" s="110">
        <f t="shared" si="60"/>
        <v>20</v>
      </c>
      <c r="AB293" s="111">
        <f t="shared" si="69"/>
        <v>471</v>
      </c>
      <c r="AC293" s="110"/>
      <c r="AD293" s="110"/>
      <c r="AE293" s="110">
        <f t="shared" si="60"/>
        <v>20</v>
      </c>
      <c r="AF293" s="111">
        <f t="shared" si="70"/>
        <v>471</v>
      </c>
      <c r="AG293" s="110"/>
      <c r="AH293" s="110"/>
      <c r="AI293" s="110"/>
      <c r="AJ293" s="110"/>
      <c r="AK293" s="111">
        <f t="shared" si="66"/>
        <v>1884</v>
      </c>
      <c r="AL293" s="446">
        <f t="shared" si="67"/>
        <v>0</v>
      </c>
      <c r="AM293" s="110">
        <f t="shared" si="68"/>
        <v>80</v>
      </c>
      <c r="AN293" s="447">
        <f t="shared" si="64"/>
        <v>0</v>
      </c>
      <c r="AO293"/>
      <c r="AP293"/>
    </row>
    <row r="294" spans="1:42" ht="66" x14ac:dyDescent="0.25">
      <c r="A294" s="40"/>
      <c r="B294" s="478" t="s">
        <v>1910</v>
      </c>
      <c r="C294" s="1028"/>
      <c r="D294" s="874">
        <v>60</v>
      </c>
      <c r="E294" s="1027" t="s">
        <v>1766</v>
      </c>
      <c r="F294" s="273" t="s">
        <v>3446</v>
      </c>
      <c r="G294" s="1040" t="s">
        <v>3463</v>
      </c>
      <c r="H294" s="273" t="s">
        <v>3462</v>
      </c>
      <c r="I294" s="720">
        <f t="shared" si="71"/>
        <v>12.18</v>
      </c>
      <c r="J294" s="756">
        <v>730.8</v>
      </c>
      <c r="K294" s="131">
        <f t="shared" si="63"/>
        <v>730.8</v>
      </c>
      <c r="L294" s="335">
        <f t="shared" si="65"/>
        <v>0</v>
      </c>
      <c r="M294" s="446"/>
      <c r="N294" s="446"/>
      <c r="O294" s="446"/>
      <c r="P294" s="446"/>
      <c r="Q294" s="110">
        <f t="shared" si="58"/>
        <v>15</v>
      </c>
      <c r="R294" s="111">
        <f t="shared" si="61"/>
        <v>182.7</v>
      </c>
      <c r="S294" s="110"/>
      <c r="T294" s="110"/>
      <c r="U294" s="110">
        <f t="shared" si="59"/>
        <v>15</v>
      </c>
      <c r="V294" s="111">
        <f t="shared" si="62"/>
        <v>182.7</v>
      </c>
      <c r="W294" s="110"/>
      <c r="X294" s="110"/>
      <c r="Y294" s="110"/>
      <c r="Z294" s="110"/>
      <c r="AA294" s="110">
        <f t="shared" si="60"/>
        <v>15</v>
      </c>
      <c r="AB294" s="111">
        <f t="shared" si="69"/>
        <v>182.7</v>
      </c>
      <c r="AC294" s="110"/>
      <c r="AD294" s="110"/>
      <c r="AE294" s="110">
        <f t="shared" si="60"/>
        <v>15</v>
      </c>
      <c r="AF294" s="111">
        <f t="shared" si="70"/>
        <v>182.7</v>
      </c>
      <c r="AG294" s="110"/>
      <c r="AH294" s="110"/>
      <c r="AI294" s="110"/>
      <c r="AJ294" s="110"/>
      <c r="AK294" s="111">
        <f t="shared" si="66"/>
        <v>730.8</v>
      </c>
      <c r="AL294" s="446">
        <f t="shared" si="67"/>
        <v>0</v>
      </c>
      <c r="AM294" s="110">
        <f t="shared" si="68"/>
        <v>60</v>
      </c>
      <c r="AN294" s="447">
        <f t="shared" si="64"/>
        <v>0</v>
      </c>
      <c r="AO294"/>
      <c r="AP294"/>
    </row>
    <row r="295" spans="1:42" ht="66" x14ac:dyDescent="0.25">
      <c r="A295" s="40"/>
      <c r="B295" s="479" t="s">
        <v>1911</v>
      </c>
      <c r="C295" s="1028"/>
      <c r="D295" s="874">
        <v>120</v>
      </c>
      <c r="E295" s="1027" t="s">
        <v>1766</v>
      </c>
      <c r="F295" s="273" t="s">
        <v>3446</v>
      </c>
      <c r="G295" s="1040" t="s">
        <v>3463</v>
      </c>
      <c r="H295" s="273" t="s">
        <v>3462</v>
      </c>
      <c r="I295" s="720">
        <f t="shared" si="71"/>
        <v>21</v>
      </c>
      <c r="J295" s="756">
        <v>2520</v>
      </c>
      <c r="K295" s="131">
        <f t="shared" si="63"/>
        <v>2520</v>
      </c>
      <c r="L295" s="335">
        <f t="shared" si="65"/>
        <v>0</v>
      </c>
      <c r="M295" s="446"/>
      <c r="N295" s="446"/>
      <c r="O295" s="446"/>
      <c r="P295" s="446"/>
      <c r="Q295" s="110">
        <v>50</v>
      </c>
      <c r="R295" s="111">
        <f t="shared" si="61"/>
        <v>630</v>
      </c>
      <c r="S295" s="110"/>
      <c r="T295" s="110"/>
      <c r="U295" s="110">
        <v>50</v>
      </c>
      <c r="V295" s="111">
        <f t="shared" si="62"/>
        <v>630</v>
      </c>
      <c r="W295" s="110"/>
      <c r="X295" s="110"/>
      <c r="Y295" s="110"/>
      <c r="Z295" s="110"/>
      <c r="AA295" s="110">
        <v>10</v>
      </c>
      <c r="AB295" s="111">
        <f t="shared" si="69"/>
        <v>630</v>
      </c>
      <c r="AC295" s="110"/>
      <c r="AD295" s="110"/>
      <c r="AE295" s="110">
        <v>10</v>
      </c>
      <c r="AF295" s="111">
        <f t="shared" si="70"/>
        <v>630</v>
      </c>
      <c r="AG295" s="110"/>
      <c r="AH295" s="110"/>
      <c r="AI295" s="110"/>
      <c r="AJ295" s="110"/>
      <c r="AK295" s="111">
        <f t="shared" si="66"/>
        <v>2520</v>
      </c>
      <c r="AL295" s="446">
        <f t="shared" si="67"/>
        <v>0</v>
      </c>
      <c r="AM295" s="110">
        <f t="shared" si="68"/>
        <v>120</v>
      </c>
      <c r="AN295" s="447">
        <f t="shared" si="64"/>
        <v>0</v>
      </c>
      <c r="AO295"/>
      <c r="AP295"/>
    </row>
    <row r="296" spans="1:42" ht="66" x14ac:dyDescent="0.25">
      <c r="A296" s="40"/>
      <c r="B296" s="479" t="s">
        <v>1912</v>
      </c>
      <c r="C296" s="1028"/>
      <c r="D296" s="874">
        <v>120</v>
      </c>
      <c r="E296" s="1027" t="s">
        <v>1766</v>
      </c>
      <c r="F296" s="273" t="s">
        <v>3446</v>
      </c>
      <c r="G296" s="1040" t="s">
        <v>3463</v>
      </c>
      <c r="H296" s="273" t="s">
        <v>3462</v>
      </c>
      <c r="I296" s="720">
        <f t="shared" si="71"/>
        <v>45</v>
      </c>
      <c r="J296" s="756">
        <v>5400</v>
      </c>
      <c r="K296" s="131">
        <f t="shared" si="63"/>
        <v>5400</v>
      </c>
      <c r="L296" s="335">
        <f t="shared" si="65"/>
        <v>0</v>
      </c>
      <c r="M296" s="446"/>
      <c r="N296" s="446"/>
      <c r="O296" s="446"/>
      <c r="P296" s="446"/>
      <c r="Q296" s="110">
        <v>50</v>
      </c>
      <c r="R296" s="111">
        <f t="shared" si="61"/>
        <v>1350</v>
      </c>
      <c r="S296" s="110"/>
      <c r="T296" s="110"/>
      <c r="U296" s="110">
        <v>50</v>
      </c>
      <c r="V296" s="111">
        <f t="shared" si="62"/>
        <v>1350</v>
      </c>
      <c r="W296" s="110"/>
      <c r="X296" s="110"/>
      <c r="Y296" s="110"/>
      <c r="Z296" s="110"/>
      <c r="AA296" s="110">
        <v>10</v>
      </c>
      <c r="AB296" s="111">
        <f t="shared" si="69"/>
        <v>1350</v>
      </c>
      <c r="AC296" s="110"/>
      <c r="AD296" s="110"/>
      <c r="AE296" s="110">
        <v>10</v>
      </c>
      <c r="AF296" s="111">
        <f t="shared" si="70"/>
        <v>1350</v>
      </c>
      <c r="AG296" s="110"/>
      <c r="AH296" s="110"/>
      <c r="AI296" s="110"/>
      <c r="AJ296" s="110"/>
      <c r="AK296" s="111">
        <f t="shared" si="66"/>
        <v>5400</v>
      </c>
      <c r="AL296" s="446">
        <f t="shared" si="67"/>
        <v>0</v>
      </c>
      <c r="AM296" s="110">
        <f t="shared" si="68"/>
        <v>120</v>
      </c>
      <c r="AN296" s="447">
        <f t="shared" si="64"/>
        <v>0</v>
      </c>
      <c r="AO296"/>
      <c r="AP296"/>
    </row>
    <row r="297" spans="1:42" ht="66" x14ac:dyDescent="0.25">
      <c r="A297" s="40"/>
      <c r="B297" s="479" t="s">
        <v>1913</v>
      </c>
      <c r="C297" s="1028"/>
      <c r="D297" s="874">
        <v>60</v>
      </c>
      <c r="E297" s="1027" t="s">
        <v>1766</v>
      </c>
      <c r="F297" s="273" t="s">
        <v>3446</v>
      </c>
      <c r="G297" s="1040" t="s">
        <v>3463</v>
      </c>
      <c r="H297" s="273" t="s">
        <v>3462</v>
      </c>
      <c r="I297" s="720">
        <f t="shared" si="71"/>
        <v>10.32</v>
      </c>
      <c r="J297" s="756">
        <v>619.20000000000005</v>
      </c>
      <c r="K297" s="131">
        <f t="shared" si="63"/>
        <v>619.20000000000005</v>
      </c>
      <c r="L297" s="335">
        <f t="shared" si="65"/>
        <v>0</v>
      </c>
      <c r="M297" s="446"/>
      <c r="N297" s="446"/>
      <c r="O297" s="446"/>
      <c r="P297" s="446"/>
      <c r="Q297" s="110">
        <f t="shared" si="58"/>
        <v>15</v>
      </c>
      <c r="R297" s="111">
        <f t="shared" si="61"/>
        <v>154.80000000000001</v>
      </c>
      <c r="S297" s="110"/>
      <c r="T297" s="110"/>
      <c r="U297" s="110">
        <f t="shared" si="59"/>
        <v>15</v>
      </c>
      <c r="V297" s="111">
        <f t="shared" si="62"/>
        <v>154.80000000000001</v>
      </c>
      <c r="W297" s="110"/>
      <c r="X297" s="110"/>
      <c r="Y297" s="110"/>
      <c r="Z297" s="110"/>
      <c r="AA297" s="110">
        <f t="shared" si="60"/>
        <v>15</v>
      </c>
      <c r="AB297" s="111">
        <f t="shared" si="69"/>
        <v>154.80000000000001</v>
      </c>
      <c r="AC297" s="110"/>
      <c r="AD297" s="110"/>
      <c r="AE297" s="110">
        <f t="shared" si="60"/>
        <v>15</v>
      </c>
      <c r="AF297" s="111">
        <f t="shared" si="70"/>
        <v>154.80000000000001</v>
      </c>
      <c r="AG297" s="110"/>
      <c r="AH297" s="110"/>
      <c r="AI297" s="110"/>
      <c r="AJ297" s="110"/>
      <c r="AK297" s="111">
        <f t="shared" si="66"/>
        <v>619.20000000000005</v>
      </c>
      <c r="AL297" s="446">
        <f t="shared" si="67"/>
        <v>0</v>
      </c>
      <c r="AM297" s="110">
        <f t="shared" si="68"/>
        <v>60</v>
      </c>
      <c r="AN297" s="447">
        <f t="shared" si="64"/>
        <v>0</v>
      </c>
      <c r="AO297"/>
      <c r="AP297"/>
    </row>
    <row r="298" spans="1:42" ht="66" x14ac:dyDescent="0.25">
      <c r="A298" s="40"/>
      <c r="B298" s="479" t="s">
        <v>1914</v>
      </c>
      <c r="C298" s="1028"/>
      <c r="D298" s="874">
        <v>60</v>
      </c>
      <c r="E298" s="1027" t="s">
        <v>1766</v>
      </c>
      <c r="F298" s="273" t="s">
        <v>3446</v>
      </c>
      <c r="G298" s="1040" t="s">
        <v>3463</v>
      </c>
      <c r="H298" s="273" t="s">
        <v>3462</v>
      </c>
      <c r="I298" s="720">
        <f t="shared" si="71"/>
        <v>9.0399999999999991</v>
      </c>
      <c r="J298" s="756">
        <v>542.4</v>
      </c>
      <c r="K298" s="131">
        <f t="shared" si="63"/>
        <v>542.4</v>
      </c>
      <c r="L298" s="335">
        <f t="shared" si="65"/>
        <v>0</v>
      </c>
      <c r="M298" s="446"/>
      <c r="N298" s="446"/>
      <c r="O298" s="446"/>
      <c r="P298" s="446"/>
      <c r="Q298" s="110">
        <f t="shared" si="58"/>
        <v>15</v>
      </c>
      <c r="R298" s="111">
        <f t="shared" si="61"/>
        <v>135.6</v>
      </c>
      <c r="S298" s="110"/>
      <c r="T298" s="110"/>
      <c r="U298" s="110">
        <f t="shared" si="59"/>
        <v>15</v>
      </c>
      <c r="V298" s="111">
        <f t="shared" si="62"/>
        <v>135.6</v>
      </c>
      <c r="W298" s="110"/>
      <c r="X298" s="110"/>
      <c r="Y298" s="110"/>
      <c r="Z298" s="110"/>
      <c r="AA298" s="110">
        <f t="shared" si="60"/>
        <v>15</v>
      </c>
      <c r="AB298" s="111">
        <f t="shared" si="69"/>
        <v>135.6</v>
      </c>
      <c r="AC298" s="110"/>
      <c r="AD298" s="110"/>
      <c r="AE298" s="110">
        <f t="shared" si="60"/>
        <v>15</v>
      </c>
      <c r="AF298" s="111">
        <f t="shared" si="70"/>
        <v>135.6</v>
      </c>
      <c r="AG298" s="110"/>
      <c r="AH298" s="110"/>
      <c r="AI298" s="110"/>
      <c r="AJ298" s="110"/>
      <c r="AK298" s="111">
        <f t="shared" si="66"/>
        <v>542.4</v>
      </c>
      <c r="AL298" s="446">
        <f t="shared" si="67"/>
        <v>0</v>
      </c>
      <c r="AM298" s="110">
        <f t="shared" si="68"/>
        <v>60</v>
      </c>
      <c r="AN298" s="447">
        <f t="shared" si="64"/>
        <v>0</v>
      </c>
      <c r="AO298"/>
      <c r="AP298"/>
    </row>
    <row r="299" spans="1:42" ht="66" x14ac:dyDescent="0.25">
      <c r="A299" s="40"/>
      <c r="B299" s="480" t="s">
        <v>1915</v>
      </c>
      <c r="C299" s="1028"/>
      <c r="D299" s="874">
        <v>12</v>
      </c>
      <c r="E299" s="1027" t="s">
        <v>1766</v>
      </c>
      <c r="F299" s="273" t="s">
        <v>3446</v>
      </c>
      <c r="G299" s="1040" t="s">
        <v>3463</v>
      </c>
      <c r="H299" s="273" t="s">
        <v>3462</v>
      </c>
      <c r="I299" s="720">
        <f t="shared" si="71"/>
        <v>91.92</v>
      </c>
      <c r="J299" s="756">
        <v>1103.04</v>
      </c>
      <c r="K299" s="131">
        <f t="shared" si="63"/>
        <v>1103.04</v>
      </c>
      <c r="L299" s="335">
        <f t="shared" si="65"/>
        <v>0</v>
      </c>
      <c r="M299" s="446"/>
      <c r="N299" s="446"/>
      <c r="O299" s="446"/>
      <c r="P299" s="446"/>
      <c r="Q299" s="110">
        <f t="shared" si="58"/>
        <v>3</v>
      </c>
      <c r="R299" s="111">
        <f t="shared" si="61"/>
        <v>275.76</v>
      </c>
      <c r="S299" s="110"/>
      <c r="T299" s="110"/>
      <c r="U299" s="110">
        <f t="shared" si="59"/>
        <v>3</v>
      </c>
      <c r="V299" s="111">
        <f t="shared" si="62"/>
        <v>275.76</v>
      </c>
      <c r="W299" s="110"/>
      <c r="X299" s="110"/>
      <c r="Y299" s="110"/>
      <c r="Z299" s="110"/>
      <c r="AA299" s="110">
        <f t="shared" si="60"/>
        <v>3</v>
      </c>
      <c r="AB299" s="111">
        <f t="shared" si="69"/>
        <v>275.76</v>
      </c>
      <c r="AC299" s="110"/>
      <c r="AD299" s="110"/>
      <c r="AE299" s="110">
        <f t="shared" si="60"/>
        <v>3</v>
      </c>
      <c r="AF299" s="111">
        <f t="shared" si="70"/>
        <v>275.76</v>
      </c>
      <c r="AG299" s="110"/>
      <c r="AH299" s="110"/>
      <c r="AI299" s="110"/>
      <c r="AJ299" s="110"/>
      <c r="AK299" s="111">
        <f t="shared" si="66"/>
        <v>1103.04</v>
      </c>
      <c r="AL299" s="446">
        <f t="shared" si="67"/>
        <v>0</v>
      </c>
      <c r="AM299" s="110">
        <f t="shared" si="68"/>
        <v>12</v>
      </c>
      <c r="AN299" s="447">
        <f t="shared" si="64"/>
        <v>0</v>
      </c>
      <c r="AO299"/>
      <c r="AP299"/>
    </row>
    <row r="300" spans="1:42" ht="66" x14ac:dyDescent="0.25">
      <c r="A300" s="9"/>
      <c r="B300" s="480" t="s">
        <v>1916</v>
      </c>
      <c r="C300" s="1024"/>
      <c r="D300" s="874">
        <v>8</v>
      </c>
      <c r="E300" s="1027" t="s">
        <v>1933</v>
      </c>
      <c r="F300" s="273" t="s">
        <v>3446</v>
      </c>
      <c r="G300" s="1040" t="s">
        <v>3463</v>
      </c>
      <c r="H300" s="273" t="s">
        <v>3462</v>
      </c>
      <c r="I300" s="720">
        <f t="shared" si="71"/>
        <v>12.92</v>
      </c>
      <c r="J300" s="756">
        <v>103.36</v>
      </c>
      <c r="K300" s="131">
        <f t="shared" si="63"/>
        <v>103.36</v>
      </c>
      <c r="L300" s="335">
        <f t="shared" si="65"/>
        <v>0</v>
      </c>
      <c r="M300" s="446"/>
      <c r="N300" s="446"/>
      <c r="O300" s="446"/>
      <c r="P300" s="446"/>
      <c r="Q300" s="110">
        <f t="shared" si="58"/>
        <v>2</v>
      </c>
      <c r="R300" s="111">
        <f t="shared" si="61"/>
        <v>25.84</v>
      </c>
      <c r="S300" s="110"/>
      <c r="T300" s="110"/>
      <c r="U300" s="110">
        <f t="shared" si="59"/>
        <v>2</v>
      </c>
      <c r="V300" s="111">
        <f t="shared" si="62"/>
        <v>25.84</v>
      </c>
      <c r="W300" s="110"/>
      <c r="X300" s="110"/>
      <c r="Y300" s="110"/>
      <c r="Z300" s="110"/>
      <c r="AA300" s="110">
        <f t="shared" si="60"/>
        <v>2</v>
      </c>
      <c r="AB300" s="111">
        <f t="shared" si="69"/>
        <v>25.84</v>
      </c>
      <c r="AC300" s="110"/>
      <c r="AD300" s="110"/>
      <c r="AE300" s="110">
        <f t="shared" si="60"/>
        <v>2</v>
      </c>
      <c r="AF300" s="111">
        <f t="shared" si="70"/>
        <v>25.84</v>
      </c>
      <c r="AG300" s="110"/>
      <c r="AH300" s="110"/>
      <c r="AI300" s="110"/>
      <c r="AJ300" s="110"/>
      <c r="AK300" s="111">
        <f t="shared" si="66"/>
        <v>103.36</v>
      </c>
      <c r="AL300" s="446">
        <f t="shared" si="67"/>
        <v>0</v>
      </c>
      <c r="AM300" s="110">
        <f t="shared" si="68"/>
        <v>8</v>
      </c>
      <c r="AN300" s="447">
        <f t="shared" si="64"/>
        <v>0</v>
      </c>
      <c r="AO300"/>
      <c r="AP300"/>
    </row>
    <row r="301" spans="1:42" ht="66" x14ac:dyDescent="0.25">
      <c r="A301" s="9"/>
      <c r="B301" s="480" t="s">
        <v>1917</v>
      </c>
      <c r="C301" s="1024"/>
      <c r="D301" s="874">
        <v>24</v>
      </c>
      <c r="E301" s="1027" t="s">
        <v>1933</v>
      </c>
      <c r="F301" s="273" t="s">
        <v>3446</v>
      </c>
      <c r="G301" s="1040" t="s">
        <v>3463</v>
      </c>
      <c r="H301" s="273" t="s">
        <v>3462</v>
      </c>
      <c r="I301" s="720">
        <f t="shared" si="71"/>
        <v>12.92</v>
      </c>
      <c r="J301" s="756">
        <v>310.08</v>
      </c>
      <c r="K301" s="131">
        <f t="shared" si="63"/>
        <v>310.08</v>
      </c>
      <c r="L301" s="335">
        <f t="shared" si="65"/>
        <v>0</v>
      </c>
      <c r="M301" s="446"/>
      <c r="N301" s="446"/>
      <c r="O301" s="446"/>
      <c r="P301" s="446"/>
      <c r="Q301" s="110">
        <f t="shared" si="58"/>
        <v>6</v>
      </c>
      <c r="R301" s="111">
        <f t="shared" si="61"/>
        <v>77.52</v>
      </c>
      <c r="S301" s="110"/>
      <c r="T301" s="110"/>
      <c r="U301" s="110">
        <f t="shared" si="59"/>
        <v>6</v>
      </c>
      <c r="V301" s="111">
        <f t="shared" si="62"/>
        <v>77.52</v>
      </c>
      <c r="W301" s="110"/>
      <c r="X301" s="110"/>
      <c r="Y301" s="110"/>
      <c r="Z301" s="110"/>
      <c r="AA301" s="110">
        <f t="shared" si="60"/>
        <v>6</v>
      </c>
      <c r="AB301" s="111">
        <f t="shared" si="69"/>
        <v>77.52</v>
      </c>
      <c r="AC301" s="110"/>
      <c r="AD301" s="110"/>
      <c r="AE301" s="110">
        <f t="shared" si="60"/>
        <v>6</v>
      </c>
      <c r="AF301" s="111">
        <f t="shared" si="70"/>
        <v>77.52</v>
      </c>
      <c r="AG301" s="110"/>
      <c r="AH301" s="110"/>
      <c r="AI301" s="110"/>
      <c r="AJ301" s="110"/>
      <c r="AK301" s="111">
        <f t="shared" si="66"/>
        <v>310.08</v>
      </c>
      <c r="AL301" s="446">
        <f t="shared" si="67"/>
        <v>0</v>
      </c>
      <c r="AM301" s="110">
        <f t="shared" si="68"/>
        <v>24</v>
      </c>
      <c r="AN301" s="447">
        <f t="shared" si="64"/>
        <v>0</v>
      </c>
      <c r="AO301"/>
      <c r="AP301"/>
    </row>
    <row r="302" spans="1:42" ht="66" x14ac:dyDescent="0.25">
      <c r="A302" s="9"/>
      <c r="B302" s="480" t="s">
        <v>1918</v>
      </c>
      <c r="C302" s="1024"/>
      <c r="D302" s="874">
        <v>12</v>
      </c>
      <c r="E302" s="1027" t="s">
        <v>1933</v>
      </c>
      <c r="F302" s="273" t="s">
        <v>3446</v>
      </c>
      <c r="G302" s="1040" t="s">
        <v>3463</v>
      </c>
      <c r="H302" s="273" t="s">
        <v>3462</v>
      </c>
      <c r="I302" s="720">
        <f t="shared" si="71"/>
        <v>10.97</v>
      </c>
      <c r="J302" s="756">
        <v>131.64000000000001</v>
      </c>
      <c r="K302" s="131">
        <f t="shared" si="63"/>
        <v>131.64000000000001</v>
      </c>
      <c r="L302" s="335">
        <f t="shared" si="65"/>
        <v>0</v>
      </c>
      <c r="M302" s="446"/>
      <c r="N302" s="446"/>
      <c r="O302" s="446"/>
      <c r="P302" s="446"/>
      <c r="Q302" s="110">
        <f t="shared" si="58"/>
        <v>3</v>
      </c>
      <c r="R302" s="111">
        <f t="shared" si="61"/>
        <v>32.910000000000004</v>
      </c>
      <c r="S302" s="110"/>
      <c r="T302" s="110"/>
      <c r="U302" s="110">
        <f t="shared" si="59"/>
        <v>3</v>
      </c>
      <c r="V302" s="111">
        <f t="shared" si="62"/>
        <v>32.910000000000004</v>
      </c>
      <c r="W302" s="110"/>
      <c r="X302" s="110"/>
      <c r="Y302" s="110"/>
      <c r="Z302" s="110"/>
      <c r="AA302" s="110">
        <f t="shared" si="60"/>
        <v>3</v>
      </c>
      <c r="AB302" s="111">
        <f t="shared" si="69"/>
        <v>32.910000000000004</v>
      </c>
      <c r="AC302" s="110"/>
      <c r="AD302" s="110"/>
      <c r="AE302" s="110">
        <f t="shared" si="60"/>
        <v>3</v>
      </c>
      <c r="AF302" s="111">
        <f t="shared" si="70"/>
        <v>32.910000000000004</v>
      </c>
      <c r="AG302" s="110"/>
      <c r="AH302" s="110"/>
      <c r="AI302" s="110"/>
      <c r="AJ302" s="110"/>
      <c r="AK302" s="111">
        <f t="shared" si="66"/>
        <v>131.64000000000001</v>
      </c>
      <c r="AL302" s="446">
        <f t="shared" si="67"/>
        <v>0</v>
      </c>
      <c r="AM302" s="110">
        <f t="shared" si="68"/>
        <v>12</v>
      </c>
      <c r="AN302" s="447">
        <f t="shared" si="64"/>
        <v>0</v>
      </c>
      <c r="AO302"/>
      <c r="AP302"/>
    </row>
    <row r="303" spans="1:42" ht="66" x14ac:dyDescent="0.25">
      <c r="A303" s="9"/>
      <c r="B303" s="480" t="s">
        <v>1919</v>
      </c>
      <c r="C303" s="1024"/>
      <c r="D303" s="874">
        <v>3</v>
      </c>
      <c r="E303" s="1027" t="s">
        <v>1933</v>
      </c>
      <c r="F303" s="273" t="s">
        <v>3446</v>
      </c>
      <c r="G303" s="1040" t="s">
        <v>3463</v>
      </c>
      <c r="H303" s="273" t="s">
        <v>3462</v>
      </c>
      <c r="I303" s="720">
        <f t="shared" si="71"/>
        <v>9.82</v>
      </c>
      <c r="J303" s="756">
        <v>29.46</v>
      </c>
      <c r="K303" s="131">
        <f t="shared" si="63"/>
        <v>29.46</v>
      </c>
      <c r="L303" s="335">
        <f t="shared" si="65"/>
        <v>0</v>
      </c>
      <c r="M303" s="446"/>
      <c r="N303" s="446"/>
      <c r="O303" s="446"/>
      <c r="P303" s="446"/>
      <c r="Q303" s="130">
        <v>1</v>
      </c>
      <c r="R303" s="111">
        <f>29.46/3</f>
        <v>9.82</v>
      </c>
      <c r="S303" s="110"/>
      <c r="T303" s="110"/>
      <c r="U303" s="130">
        <v>1</v>
      </c>
      <c r="V303" s="111">
        <v>9.82</v>
      </c>
      <c r="W303" s="110"/>
      <c r="X303" s="110"/>
      <c r="Y303" s="110"/>
      <c r="Z303" s="110"/>
      <c r="AA303" s="130">
        <v>1</v>
      </c>
      <c r="AB303" s="111">
        <v>9.82</v>
      </c>
      <c r="AC303" s="110"/>
      <c r="AD303" s="110"/>
      <c r="AE303" s="130">
        <v>0</v>
      </c>
      <c r="AF303" s="111">
        <v>0</v>
      </c>
      <c r="AG303" s="110"/>
      <c r="AH303" s="110"/>
      <c r="AI303" s="110"/>
      <c r="AJ303" s="110"/>
      <c r="AK303" s="111">
        <f t="shared" si="66"/>
        <v>29.46</v>
      </c>
      <c r="AL303" s="446">
        <f t="shared" si="67"/>
        <v>0</v>
      </c>
      <c r="AM303" s="110">
        <f t="shared" si="68"/>
        <v>3</v>
      </c>
      <c r="AN303" s="447">
        <f t="shared" si="64"/>
        <v>0</v>
      </c>
      <c r="AO303"/>
      <c r="AP303"/>
    </row>
    <row r="304" spans="1:42" ht="66" x14ac:dyDescent="0.25">
      <c r="A304" s="9"/>
      <c r="B304" s="480" t="s">
        <v>1920</v>
      </c>
      <c r="C304" s="1024"/>
      <c r="D304" s="874">
        <v>5</v>
      </c>
      <c r="E304" s="1027" t="s">
        <v>1933</v>
      </c>
      <c r="F304" s="273" t="s">
        <v>3446</v>
      </c>
      <c r="G304" s="1040" t="s">
        <v>3463</v>
      </c>
      <c r="H304" s="273" t="s">
        <v>3462</v>
      </c>
      <c r="I304" s="720">
        <f t="shared" si="71"/>
        <v>45.14</v>
      </c>
      <c r="J304" s="756">
        <v>225.7</v>
      </c>
      <c r="K304" s="131">
        <f t="shared" si="63"/>
        <v>225.7</v>
      </c>
      <c r="L304" s="335">
        <f t="shared" si="65"/>
        <v>0</v>
      </c>
      <c r="M304" s="446"/>
      <c r="N304" s="446"/>
      <c r="O304" s="446"/>
      <c r="P304" s="446"/>
      <c r="Q304" s="110">
        <v>2</v>
      </c>
      <c r="R304" s="111">
        <f t="shared" si="61"/>
        <v>56.424999999999997</v>
      </c>
      <c r="S304" s="110"/>
      <c r="T304" s="110"/>
      <c r="U304" s="110">
        <v>1</v>
      </c>
      <c r="V304" s="111">
        <f t="shared" si="62"/>
        <v>56.424999999999997</v>
      </c>
      <c r="W304" s="110"/>
      <c r="X304" s="110"/>
      <c r="Y304" s="110"/>
      <c r="Z304" s="110"/>
      <c r="AA304" s="110">
        <v>1</v>
      </c>
      <c r="AB304" s="111">
        <f t="shared" si="69"/>
        <v>56.424999999999997</v>
      </c>
      <c r="AC304" s="110"/>
      <c r="AD304" s="110"/>
      <c r="AE304" s="110">
        <v>1</v>
      </c>
      <c r="AF304" s="111">
        <f t="shared" si="70"/>
        <v>56.424999999999997</v>
      </c>
      <c r="AG304" s="110"/>
      <c r="AH304" s="110"/>
      <c r="AI304" s="110"/>
      <c r="AJ304" s="110"/>
      <c r="AK304" s="111">
        <f t="shared" si="66"/>
        <v>225.7</v>
      </c>
      <c r="AL304" s="446">
        <f t="shared" si="67"/>
        <v>0</v>
      </c>
      <c r="AM304" s="110">
        <f t="shared" si="68"/>
        <v>5</v>
      </c>
      <c r="AN304" s="447">
        <f t="shared" si="64"/>
        <v>0</v>
      </c>
      <c r="AO304"/>
      <c r="AP304"/>
    </row>
    <row r="305" spans="1:42" ht="66" x14ac:dyDescent="0.25">
      <c r="A305" s="9"/>
      <c r="B305" s="480" t="s">
        <v>1921</v>
      </c>
      <c r="C305" s="1024"/>
      <c r="D305" s="874">
        <v>60</v>
      </c>
      <c r="E305" s="1027" t="s">
        <v>1933</v>
      </c>
      <c r="F305" s="273" t="s">
        <v>3446</v>
      </c>
      <c r="G305" s="1040" t="s">
        <v>3463</v>
      </c>
      <c r="H305" s="273" t="s">
        <v>3462</v>
      </c>
      <c r="I305" s="720">
        <f t="shared" si="71"/>
        <v>14.140000000000002</v>
      </c>
      <c r="J305" s="756">
        <v>848.40000000000009</v>
      </c>
      <c r="K305" s="131">
        <f t="shared" si="63"/>
        <v>848.40000000000009</v>
      </c>
      <c r="L305" s="335">
        <f t="shared" si="65"/>
        <v>0</v>
      </c>
      <c r="M305" s="446"/>
      <c r="N305" s="446"/>
      <c r="O305" s="446"/>
      <c r="P305" s="446"/>
      <c r="Q305" s="110">
        <f t="shared" si="58"/>
        <v>15</v>
      </c>
      <c r="R305" s="111">
        <f t="shared" si="61"/>
        <v>212.10000000000002</v>
      </c>
      <c r="S305" s="110"/>
      <c r="T305" s="110"/>
      <c r="U305" s="110">
        <f t="shared" si="59"/>
        <v>15</v>
      </c>
      <c r="V305" s="111">
        <f t="shared" si="62"/>
        <v>212.10000000000002</v>
      </c>
      <c r="W305" s="110"/>
      <c r="X305" s="110"/>
      <c r="Y305" s="110"/>
      <c r="Z305" s="110"/>
      <c r="AA305" s="110">
        <f t="shared" si="60"/>
        <v>15</v>
      </c>
      <c r="AB305" s="111">
        <f t="shared" si="69"/>
        <v>212.10000000000002</v>
      </c>
      <c r="AC305" s="110"/>
      <c r="AD305" s="110"/>
      <c r="AE305" s="110">
        <f t="shared" si="60"/>
        <v>15</v>
      </c>
      <c r="AF305" s="111">
        <f t="shared" si="70"/>
        <v>212.10000000000002</v>
      </c>
      <c r="AG305" s="110"/>
      <c r="AH305" s="110"/>
      <c r="AI305" s="110"/>
      <c r="AJ305" s="110"/>
      <c r="AK305" s="111">
        <f t="shared" si="66"/>
        <v>848.40000000000009</v>
      </c>
      <c r="AL305" s="446">
        <f t="shared" si="67"/>
        <v>0</v>
      </c>
      <c r="AM305" s="110">
        <f t="shared" si="68"/>
        <v>60</v>
      </c>
      <c r="AN305" s="447">
        <f t="shared" si="64"/>
        <v>0</v>
      </c>
      <c r="AO305"/>
      <c r="AP305"/>
    </row>
    <row r="306" spans="1:42" ht="66" x14ac:dyDescent="0.25">
      <c r="A306" s="9"/>
      <c r="B306" s="480" t="s">
        <v>1922</v>
      </c>
      <c r="C306" s="1024"/>
      <c r="D306" s="874">
        <v>24</v>
      </c>
      <c r="E306" s="1027" t="s">
        <v>1766</v>
      </c>
      <c r="F306" s="273" t="s">
        <v>3446</v>
      </c>
      <c r="G306" s="1040" t="s">
        <v>3463</v>
      </c>
      <c r="H306" s="273" t="s">
        <v>3462</v>
      </c>
      <c r="I306" s="720">
        <f t="shared" si="71"/>
        <v>10.32</v>
      </c>
      <c r="J306" s="756">
        <v>247.68</v>
      </c>
      <c r="K306" s="131">
        <f t="shared" si="63"/>
        <v>247.68</v>
      </c>
      <c r="L306" s="335">
        <f t="shared" si="65"/>
        <v>0</v>
      </c>
      <c r="M306" s="446"/>
      <c r="N306" s="446"/>
      <c r="O306" s="446"/>
      <c r="P306" s="446"/>
      <c r="Q306" s="110">
        <f t="shared" si="58"/>
        <v>6</v>
      </c>
      <c r="R306" s="111">
        <f t="shared" si="61"/>
        <v>61.92</v>
      </c>
      <c r="S306" s="110"/>
      <c r="T306" s="110"/>
      <c r="U306" s="110">
        <f t="shared" si="59"/>
        <v>6</v>
      </c>
      <c r="V306" s="111">
        <f t="shared" si="62"/>
        <v>61.92</v>
      </c>
      <c r="W306" s="110"/>
      <c r="X306" s="110"/>
      <c r="Y306" s="110"/>
      <c r="Z306" s="110"/>
      <c r="AA306" s="110">
        <f t="shared" si="60"/>
        <v>6</v>
      </c>
      <c r="AB306" s="111">
        <f t="shared" si="69"/>
        <v>61.92</v>
      </c>
      <c r="AC306" s="110"/>
      <c r="AD306" s="110"/>
      <c r="AE306" s="110">
        <f t="shared" si="60"/>
        <v>6</v>
      </c>
      <c r="AF306" s="111">
        <f t="shared" si="70"/>
        <v>61.92</v>
      </c>
      <c r="AG306" s="110"/>
      <c r="AH306" s="110"/>
      <c r="AI306" s="110"/>
      <c r="AJ306" s="110"/>
      <c r="AK306" s="111">
        <f t="shared" si="66"/>
        <v>247.68</v>
      </c>
      <c r="AL306" s="446">
        <f t="shared" si="67"/>
        <v>0</v>
      </c>
      <c r="AM306" s="110">
        <f t="shared" si="68"/>
        <v>24</v>
      </c>
      <c r="AN306" s="447">
        <f t="shared" si="64"/>
        <v>0</v>
      </c>
      <c r="AO306"/>
      <c r="AP306"/>
    </row>
    <row r="307" spans="1:42" ht="66" x14ac:dyDescent="0.25">
      <c r="A307" s="9"/>
      <c r="B307" s="480" t="s">
        <v>1923</v>
      </c>
      <c r="C307" s="1024"/>
      <c r="D307" s="874">
        <v>12</v>
      </c>
      <c r="E307" s="1027" t="s">
        <v>1766</v>
      </c>
      <c r="F307" s="273" t="s">
        <v>3446</v>
      </c>
      <c r="G307" s="1040" t="s">
        <v>3463</v>
      </c>
      <c r="H307" s="273" t="s">
        <v>3462</v>
      </c>
      <c r="I307" s="720">
        <f t="shared" si="71"/>
        <v>21.95</v>
      </c>
      <c r="J307" s="756">
        <v>263.39999999999998</v>
      </c>
      <c r="K307" s="131">
        <f t="shared" si="63"/>
        <v>263.39999999999998</v>
      </c>
      <c r="L307" s="335">
        <f t="shared" si="65"/>
        <v>0</v>
      </c>
      <c r="M307" s="446"/>
      <c r="N307" s="446"/>
      <c r="O307" s="446"/>
      <c r="P307" s="446"/>
      <c r="Q307" s="110">
        <f t="shared" si="58"/>
        <v>3</v>
      </c>
      <c r="R307" s="111">
        <f t="shared" si="61"/>
        <v>65.849999999999994</v>
      </c>
      <c r="S307" s="110"/>
      <c r="T307" s="110"/>
      <c r="U307" s="110">
        <f t="shared" si="59"/>
        <v>3</v>
      </c>
      <c r="V307" s="111">
        <f t="shared" si="62"/>
        <v>65.849999999999994</v>
      </c>
      <c r="W307" s="110"/>
      <c r="X307" s="110"/>
      <c r="Y307" s="110"/>
      <c r="Z307" s="110"/>
      <c r="AA307" s="110">
        <f t="shared" si="60"/>
        <v>3</v>
      </c>
      <c r="AB307" s="111">
        <f t="shared" si="69"/>
        <v>65.849999999999994</v>
      </c>
      <c r="AC307" s="110"/>
      <c r="AD307" s="110"/>
      <c r="AE307" s="110">
        <f t="shared" si="60"/>
        <v>3</v>
      </c>
      <c r="AF307" s="111">
        <f t="shared" si="70"/>
        <v>65.849999999999994</v>
      </c>
      <c r="AG307" s="110"/>
      <c r="AH307" s="110"/>
      <c r="AI307" s="110"/>
      <c r="AJ307" s="110"/>
      <c r="AK307" s="111">
        <f t="shared" si="66"/>
        <v>263.39999999999998</v>
      </c>
      <c r="AL307" s="446">
        <f t="shared" si="67"/>
        <v>0</v>
      </c>
      <c r="AM307" s="110">
        <f t="shared" si="68"/>
        <v>12</v>
      </c>
      <c r="AN307" s="447">
        <f t="shared" si="64"/>
        <v>0</v>
      </c>
      <c r="AO307"/>
      <c r="AP307"/>
    </row>
    <row r="308" spans="1:42" ht="66" x14ac:dyDescent="0.25">
      <c r="A308" s="9"/>
      <c r="B308" s="480" t="s">
        <v>1924</v>
      </c>
      <c r="C308" s="1024"/>
      <c r="D308" s="874">
        <v>3</v>
      </c>
      <c r="E308" s="1027" t="s">
        <v>1933</v>
      </c>
      <c r="F308" s="273" t="s">
        <v>3446</v>
      </c>
      <c r="G308" s="1040" t="s">
        <v>3463</v>
      </c>
      <c r="H308" s="273" t="s">
        <v>3462</v>
      </c>
      <c r="I308" s="720">
        <f t="shared" si="71"/>
        <v>7.23</v>
      </c>
      <c r="J308" s="756">
        <v>21.69</v>
      </c>
      <c r="K308" s="131">
        <f t="shared" si="63"/>
        <v>21.69</v>
      </c>
      <c r="L308" s="335">
        <f t="shared" si="65"/>
        <v>0</v>
      </c>
      <c r="M308" s="446"/>
      <c r="N308" s="446"/>
      <c r="O308" s="446"/>
      <c r="P308" s="446"/>
      <c r="Q308" s="130">
        <v>1</v>
      </c>
      <c r="R308" s="111">
        <f t="shared" si="61"/>
        <v>5.4225000000000003</v>
      </c>
      <c r="S308" s="110"/>
      <c r="T308" s="110"/>
      <c r="U308" s="130">
        <v>1</v>
      </c>
      <c r="V308" s="111">
        <f t="shared" si="62"/>
        <v>5.4225000000000003</v>
      </c>
      <c r="W308" s="110"/>
      <c r="X308" s="110"/>
      <c r="Y308" s="110"/>
      <c r="Z308" s="110"/>
      <c r="AA308" s="130">
        <v>1</v>
      </c>
      <c r="AB308" s="111">
        <f t="shared" si="69"/>
        <v>5.4225000000000003</v>
      </c>
      <c r="AC308" s="110"/>
      <c r="AD308" s="110"/>
      <c r="AE308" s="130">
        <v>0</v>
      </c>
      <c r="AF308" s="111">
        <f t="shared" si="70"/>
        <v>5.4225000000000003</v>
      </c>
      <c r="AG308" s="110"/>
      <c r="AH308" s="110"/>
      <c r="AI308" s="110"/>
      <c r="AJ308" s="110"/>
      <c r="AK308" s="111">
        <f t="shared" si="66"/>
        <v>21.69</v>
      </c>
      <c r="AL308" s="446">
        <f t="shared" si="67"/>
        <v>0</v>
      </c>
      <c r="AM308" s="110">
        <f t="shared" si="68"/>
        <v>3</v>
      </c>
      <c r="AN308" s="447">
        <f t="shared" si="64"/>
        <v>0</v>
      </c>
      <c r="AO308"/>
      <c r="AP308"/>
    </row>
    <row r="309" spans="1:42" ht="66" x14ac:dyDescent="0.25">
      <c r="A309" s="9"/>
      <c r="B309" s="480" t="s">
        <v>1925</v>
      </c>
      <c r="C309" s="1024"/>
      <c r="D309" s="874">
        <v>6</v>
      </c>
      <c r="E309" s="1027" t="s">
        <v>1933</v>
      </c>
      <c r="F309" s="273" t="s">
        <v>3446</v>
      </c>
      <c r="G309" s="1040" t="s">
        <v>3463</v>
      </c>
      <c r="H309" s="273" t="s">
        <v>3462</v>
      </c>
      <c r="I309" s="720">
        <f t="shared" si="71"/>
        <v>75</v>
      </c>
      <c r="J309" s="756">
        <v>450</v>
      </c>
      <c r="K309" s="131">
        <f t="shared" si="63"/>
        <v>450</v>
      </c>
      <c r="L309" s="335">
        <f t="shared" si="65"/>
        <v>0</v>
      </c>
      <c r="M309" s="446"/>
      <c r="N309" s="446"/>
      <c r="O309" s="446"/>
      <c r="P309" s="446"/>
      <c r="Q309" s="130">
        <v>2</v>
      </c>
      <c r="R309" s="111">
        <f t="shared" si="61"/>
        <v>112.5</v>
      </c>
      <c r="S309" s="110"/>
      <c r="T309" s="110"/>
      <c r="U309" s="130">
        <v>2</v>
      </c>
      <c r="V309" s="111">
        <f t="shared" si="62"/>
        <v>112.5</v>
      </c>
      <c r="W309" s="110"/>
      <c r="X309" s="110"/>
      <c r="Y309" s="110"/>
      <c r="Z309" s="110"/>
      <c r="AA309" s="130">
        <v>1</v>
      </c>
      <c r="AB309" s="111">
        <f t="shared" si="69"/>
        <v>112.5</v>
      </c>
      <c r="AC309" s="110"/>
      <c r="AD309" s="110"/>
      <c r="AE309" s="130">
        <v>1</v>
      </c>
      <c r="AF309" s="111">
        <f t="shared" si="70"/>
        <v>112.5</v>
      </c>
      <c r="AG309" s="110"/>
      <c r="AH309" s="110"/>
      <c r="AI309" s="110"/>
      <c r="AJ309" s="110"/>
      <c r="AK309" s="111">
        <f t="shared" si="66"/>
        <v>450</v>
      </c>
      <c r="AL309" s="446">
        <f t="shared" si="67"/>
        <v>0</v>
      </c>
      <c r="AM309" s="110">
        <f t="shared" si="68"/>
        <v>6</v>
      </c>
      <c r="AN309" s="447">
        <f t="shared" si="64"/>
        <v>0</v>
      </c>
      <c r="AO309"/>
      <c r="AP309"/>
    </row>
    <row r="310" spans="1:42" ht="66" x14ac:dyDescent="0.25">
      <c r="A310" s="9"/>
      <c r="B310" s="480" t="s">
        <v>1926</v>
      </c>
      <c r="C310" s="1024"/>
      <c r="D310" s="874">
        <v>12</v>
      </c>
      <c r="E310" s="1027" t="s">
        <v>1791</v>
      </c>
      <c r="F310" s="273" t="s">
        <v>3446</v>
      </c>
      <c r="G310" s="1040" t="s">
        <v>3463</v>
      </c>
      <c r="H310" s="273" t="s">
        <v>3462</v>
      </c>
      <c r="I310" s="720">
        <f t="shared" si="71"/>
        <v>170</v>
      </c>
      <c r="J310" s="756">
        <v>2040</v>
      </c>
      <c r="K310" s="131">
        <f t="shared" si="63"/>
        <v>2040</v>
      </c>
      <c r="L310" s="335">
        <f t="shared" si="65"/>
        <v>0</v>
      </c>
      <c r="M310" s="446"/>
      <c r="N310" s="446"/>
      <c r="O310" s="446"/>
      <c r="P310" s="446"/>
      <c r="Q310" s="110">
        <f t="shared" si="58"/>
        <v>3</v>
      </c>
      <c r="R310" s="111">
        <f t="shared" si="61"/>
        <v>510</v>
      </c>
      <c r="S310" s="110"/>
      <c r="T310" s="110"/>
      <c r="U310" s="110">
        <f t="shared" si="59"/>
        <v>3</v>
      </c>
      <c r="V310" s="111">
        <f t="shared" si="62"/>
        <v>510</v>
      </c>
      <c r="W310" s="110"/>
      <c r="X310" s="110"/>
      <c r="Y310" s="110"/>
      <c r="Z310" s="110"/>
      <c r="AA310" s="110">
        <f t="shared" si="60"/>
        <v>3</v>
      </c>
      <c r="AB310" s="111">
        <f t="shared" si="69"/>
        <v>510</v>
      </c>
      <c r="AC310" s="110"/>
      <c r="AD310" s="110"/>
      <c r="AE310" s="110">
        <f t="shared" si="60"/>
        <v>3</v>
      </c>
      <c r="AF310" s="111">
        <f t="shared" si="70"/>
        <v>510</v>
      </c>
      <c r="AG310" s="110"/>
      <c r="AH310" s="110"/>
      <c r="AI310" s="110"/>
      <c r="AJ310" s="110"/>
      <c r="AK310" s="111">
        <f t="shared" si="66"/>
        <v>2040</v>
      </c>
      <c r="AL310" s="446">
        <f t="shared" si="67"/>
        <v>0</v>
      </c>
      <c r="AM310" s="110">
        <f t="shared" si="68"/>
        <v>12</v>
      </c>
      <c r="AN310" s="447">
        <f t="shared" si="64"/>
        <v>0</v>
      </c>
      <c r="AO310"/>
      <c r="AP310"/>
    </row>
    <row r="311" spans="1:42" ht="66" x14ac:dyDescent="0.25">
      <c r="A311" s="9"/>
      <c r="B311" s="481" t="s">
        <v>1927</v>
      </c>
      <c r="C311" s="1024"/>
      <c r="D311" s="875">
        <v>3</v>
      </c>
      <c r="E311" s="1027" t="s">
        <v>1933</v>
      </c>
      <c r="F311" s="273" t="s">
        <v>3446</v>
      </c>
      <c r="G311" s="1040" t="s">
        <v>3463</v>
      </c>
      <c r="H311" s="273" t="s">
        <v>3462</v>
      </c>
      <c r="I311" s="720">
        <f t="shared" si="71"/>
        <v>116.62</v>
      </c>
      <c r="J311" s="756">
        <v>349.86</v>
      </c>
      <c r="K311" s="131">
        <f t="shared" si="63"/>
        <v>349.86</v>
      </c>
      <c r="L311" s="335">
        <f t="shared" si="65"/>
        <v>0</v>
      </c>
      <c r="M311" s="446"/>
      <c r="N311" s="446"/>
      <c r="O311" s="446"/>
      <c r="P311" s="446"/>
      <c r="Q311" s="130">
        <v>1</v>
      </c>
      <c r="R311" s="111">
        <f>349.86/3</f>
        <v>116.62</v>
      </c>
      <c r="S311" s="110"/>
      <c r="T311" s="110"/>
      <c r="U311" s="130">
        <v>1</v>
      </c>
      <c r="V311" s="111">
        <v>116.62</v>
      </c>
      <c r="W311" s="110"/>
      <c r="X311" s="110"/>
      <c r="Y311" s="110"/>
      <c r="Z311" s="110"/>
      <c r="AA311" s="130">
        <v>1</v>
      </c>
      <c r="AB311" s="111">
        <v>116.62</v>
      </c>
      <c r="AC311" s="110"/>
      <c r="AD311" s="110"/>
      <c r="AE311" s="130">
        <v>0</v>
      </c>
      <c r="AF311" s="111">
        <v>0</v>
      </c>
      <c r="AG311" s="110"/>
      <c r="AH311" s="110"/>
      <c r="AI311" s="110"/>
      <c r="AJ311" s="110"/>
      <c r="AK311" s="111">
        <f t="shared" si="66"/>
        <v>349.86</v>
      </c>
      <c r="AL311" s="446">
        <f t="shared" si="67"/>
        <v>0</v>
      </c>
      <c r="AM311" s="110">
        <f t="shared" si="68"/>
        <v>3</v>
      </c>
      <c r="AN311" s="447">
        <f t="shared" si="64"/>
        <v>0</v>
      </c>
      <c r="AO311"/>
      <c r="AP311"/>
    </row>
    <row r="312" spans="1:42" ht="66" x14ac:dyDescent="0.25">
      <c r="A312" s="9"/>
      <c r="B312" s="482" t="s">
        <v>43</v>
      </c>
      <c r="C312" s="1024"/>
      <c r="D312" s="875">
        <v>16</v>
      </c>
      <c r="E312" s="1027" t="s">
        <v>1766</v>
      </c>
      <c r="F312" s="273" t="s">
        <v>3446</v>
      </c>
      <c r="G312" s="1040" t="s">
        <v>3463</v>
      </c>
      <c r="H312" s="273" t="s">
        <v>3462</v>
      </c>
      <c r="I312" s="720">
        <f t="shared" si="71"/>
        <v>10.97</v>
      </c>
      <c r="J312" s="756">
        <v>175.52</v>
      </c>
      <c r="K312" s="131">
        <f t="shared" si="63"/>
        <v>175.52</v>
      </c>
      <c r="L312" s="335">
        <f t="shared" si="65"/>
        <v>0</v>
      </c>
      <c r="M312" s="446"/>
      <c r="N312" s="446"/>
      <c r="O312" s="446"/>
      <c r="P312" s="446"/>
      <c r="Q312" s="110">
        <f t="shared" si="58"/>
        <v>4</v>
      </c>
      <c r="R312" s="111">
        <f t="shared" si="61"/>
        <v>43.88</v>
      </c>
      <c r="S312" s="110"/>
      <c r="T312" s="110"/>
      <c r="U312" s="110">
        <f t="shared" si="59"/>
        <v>4</v>
      </c>
      <c r="V312" s="111">
        <f t="shared" si="62"/>
        <v>43.88</v>
      </c>
      <c r="W312" s="110"/>
      <c r="X312" s="110"/>
      <c r="Y312" s="110"/>
      <c r="Z312" s="110"/>
      <c r="AA312" s="110">
        <f t="shared" si="60"/>
        <v>4</v>
      </c>
      <c r="AB312" s="111">
        <f t="shared" si="69"/>
        <v>43.88</v>
      </c>
      <c r="AC312" s="110"/>
      <c r="AD312" s="110"/>
      <c r="AE312" s="110">
        <f t="shared" si="60"/>
        <v>4</v>
      </c>
      <c r="AF312" s="111">
        <f t="shared" si="70"/>
        <v>43.88</v>
      </c>
      <c r="AG312" s="110"/>
      <c r="AH312" s="110"/>
      <c r="AI312" s="110"/>
      <c r="AJ312" s="110"/>
      <c r="AK312" s="111">
        <f t="shared" si="66"/>
        <v>175.52</v>
      </c>
      <c r="AL312" s="446">
        <f t="shared" si="67"/>
        <v>0</v>
      </c>
      <c r="AM312" s="110">
        <f t="shared" si="68"/>
        <v>16</v>
      </c>
      <c r="AN312" s="447">
        <f t="shared" si="64"/>
        <v>0</v>
      </c>
      <c r="AO312"/>
      <c r="AP312"/>
    </row>
    <row r="313" spans="1:42" ht="66" x14ac:dyDescent="0.25">
      <c r="A313" s="9"/>
      <c r="B313" s="482" t="s">
        <v>1754</v>
      </c>
      <c r="C313" s="1024"/>
      <c r="D313" s="875">
        <v>4</v>
      </c>
      <c r="E313" s="1027" t="s">
        <v>1933</v>
      </c>
      <c r="F313" s="273" t="s">
        <v>3446</v>
      </c>
      <c r="G313" s="1040" t="s">
        <v>3463</v>
      </c>
      <c r="H313" s="273" t="s">
        <v>3462</v>
      </c>
      <c r="I313" s="720">
        <f t="shared" si="71"/>
        <v>100</v>
      </c>
      <c r="J313" s="756">
        <v>400</v>
      </c>
      <c r="K313" s="131">
        <f t="shared" si="63"/>
        <v>400</v>
      </c>
      <c r="L313" s="335">
        <f t="shared" si="65"/>
        <v>0</v>
      </c>
      <c r="M313" s="446"/>
      <c r="N313" s="446"/>
      <c r="O313" s="446"/>
      <c r="P313" s="446"/>
      <c r="Q313" s="110">
        <f t="shared" si="58"/>
        <v>1</v>
      </c>
      <c r="R313" s="111">
        <f t="shared" si="61"/>
        <v>100</v>
      </c>
      <c r="S313" s="110"/>
      <c r="T313" s="110"/>
      <c r="U313" s="110">
        <f t="shared" si="59"/>
        <v>1</v>
      </c>
      <c r="V313" s="111">
        <f t="shared" si="62"/>
        <v>100</v>
      </c>
      <c r="W313" s="110"/>
      <c r="X313" s="110"/>
      <c r="Y313" s="110"/>
      <c r="Z313" s="110"/>
      <c r="AA313" s="110">
        <f t="shared" si="60"/>
        <v>1</v>
      </c>
      <c r="AB313" s="111">
        <f t="shared" si="69"/>
        <v>100</v>
      </c>
      <c r="AC313" s="110"/>
      <c r="AD313" s="110"/>
      <c r="AE313" s="110">
        <f t="shared" si="60"/>
        <v>1</v>
      </c>
      <c r="AF313" s="111">
        <f t="shared" si="70"/>
        <v>100</v>
      </c>
      <c r="AG313" s="110"/>
      <c r="AH313" s="110"/>
      <c r="AI313" s="110"/>
      <c r="AJ313" s="110"/>
      <c r="AK313" s="111">
        <f t="shared" si="66"/>
        <v>400</v>
      </c>
      <c r="AL313" s="446">
        <f t="shared" si="67"/>
        <v>0</v>
      </c>
      <c r="AM313" s="110">
        <f t="shared" si="68"/>
        <v>4</v>
      </c>
      <c r="AN313" s="447">
        <f t="shared" si="64"/>
        <v>0</v>
      </c>
      <c r="AO313"/>
      <c r="AP313"/>
    </row>
    <row r="314" spans="1:42" ht="66" x14ac:dyDescent="0.25">
      <c r="A314" s="9"/>
      <c r="B314" s="152" t="s">
        <v>1928</v>
      </c>
      <c r="C314" s="1024"/>
      <c r="D314" s="875">
        <v>2</v>
      </c>
      <c r="E314" s="1027" t="s">
        <v>1933</v>
      </c>
      <c r="F314" s="273" t="s">
        <v>3446</v>
      </c>
      <c r="G314" s="1040" t="s">
        <v>3463</v>
      </c>
      <c r="H314" s="273" t="s">
        <v>3462</v>
      </c>
      <c r="I314" s="720">
        <f t="shared" si="71"/>
        <v>2636.51</v>
      </c>
      <c r="J314" s="756">
        <v>5273.02</v>
      </c>
      <c r="K314" s="131">
        <f t="shared" si="63"/>
        <v>5273.02</v>
      </c>
      <c r="L314" s="335">
        <f t="shared" si="65"/>
        <v>0</v>
      </c>
      <c r="M314" s="446"/>
      <c r="N314" s="446"/>
      <c r="O314" s="446"/>
      <c r="P314" s="446"/>
      <c r="Q314" s="130">
        <v>1</v>
      </c>
      <c r="R314" s="111">
        <f>J314/2</f>
        <v>2636.51</v>
      </c>
      <c r="S314" s="110"/>
      <c r="T314" s="110"/>
      <c r="U314" s="130">
        <v>1</v>
      </c>
      <c r="V314" s="111">
        <v>2636.51</v>
      </c>
      <c r="W314" s="110"/>
      <c r="X314" s="110"/>
      <c r="Y314" s="110"/>
      <c r="Z314" s="110"/>
      <c r="AA314" s="130">
        <v>0</v>
      </c>
      <c r="AB314" s="111"/>
      <c r="AC314" s="110"/>
      <c r="AD314" s="110"/>
      <c r="AE314" s="130">
        <v>0</v>
      </c>
      <c r="AF314" s="111">
        <v>0</v>
      </c>
      <c r="AG314" s="110"/>
      <c r="AH314" s="110"/>
      <c r="AI314" s="110"/>
      <c r="AJ314" s="110"/>
      <c r="AK314" s="111">
        <f t="shared" si="66"/>
        <v>5273.02</v>
      </c>
      <c r="AL314" s="446">
        <f t="shared" si="67"/>
        <v>0</v>
      </c>
      <c r="AM314" s="110">
        <f t="shared" si="68"/>
        <v>2</v>
      </c>
      <c r="AN314" s="447">
        <f t="shared" si="64"/>
        <v>0</v>
      </c>
      <c r="AO314"/>
      <c r="AP314"/>
    </row>
    <row r="315" spans="1:42" ht="66" x14ac:dyDescent="0.25">
      <c r="A315" s="9"/>
      <c r="B315" s="482" t="s">
        <v>1929</v>
      </c>
      <c r="C315" s="1024"/>
      <c r="D315" s="875">
        <v>5</v>
      </c>
      <c r="E315" s="1027" t="s">
        <v>1933</v>
      </c>
      <c r="F315" s="273" t="s">
        <v>3446</v>
      </c>
      <c r="G315" s="1040" t="s">
        <v>3463</v>
      </c>
      <c r="H315" s="273" t="s">
        <v>3462</v>
      </c>
      <c r="I315" s="720">
        <f t="shared" si="71"/>
        <v>29.7</v>
      </c>
      <c r="J315" s="756">
        <v>148.5</v>
      </c>
      <c r="K315" s="131">
        <f t="shared" si="63"/>
        <v>148.5</v>
      </c>
      <c r="L315" s="335">
        <f t="shared" si="65"/>
        <v>0</v>
      </c>
      <c r="M315" s="446"/>
      <c r="N315" s="446"/>
      <c r="O315" s="446"/>
      <c r="P315" s="446"/>
      <c r="Q315" s="110">
        <v>2</v>
      </c>
      <c r="R315" s="111">
        <f t="shared" si="61"/>
        <v>37.125</v>
      </c>
      <c r="S315" s="110"/>
      <c r="T315" s="110"/>
      <c r="U315" s="110">
        <v>1</v>
      </c>
      <c r="V315" s="111">
        <f t="shared" si="62"/>
        <v>37.125</v>
      </c>
      <c r="W315" s="110"/>
      <c r="X315" s="110"/>
      <c r="Y315" s="110"/>
      <c r="Z315" s="110"/>
      <c r="AA315" s="110">
        <v>1</v>
      </c>
      <c r="AB315" s="111">
        <f t="shared" si="69"/>
        <v>37.125</v>
      </c>
      <c r="AC315" s="110"/>
      <c r="AD315" s="110"/>
      <c r="AE315" s="110">
        <v>1</v>
      </c>
      <c r="AF315" s="111">
        <f t="shared" si="70"/>
        <v>37.125</v>
      </c>
      <c r="AG315" s="110"/>
      <c r="AH315" s="110"/>
      <c r="AI315" s="110"/>
      <c r="AJ315" s="110"/>
      <c r="AK315" s="111">
        <f t="shared" si="66"/>
        <v>148.5</v>
      </c>
      <c r="AL315" s="446">
        <f t="shared" si="67"/>
        <v>0</v>
      </c>
      <c r="AM315" s="110">
        <f t="shared" si="68"/>
        <v>5</v>
      </c>
      <c r="AN315" s="447">
        <f t="shared" si="64"/>
        <v>0</v>
      </c>
      <c r="AO315"/>
      <c r="AP315"/>
    </row>
    <row r="316" spans="1:42" ht="66" x14ac:dyDescent="0.25">
      <c r="A316" s="9"/>
      <c r="B316" s="483" t="s">
        <v>1930</v>
      </c>
      <c r="C316" s="1024"/>
      <c r="D316" s="875">
        <v>5</v>
      </c>
      <c r="E316" s="1027" t="s">
        <v>1933</v>
      </c>
      <c r="F316" s="273" t="s">
        <v>3446</v>
      </c>
      <c r="G316" s="1040" t="s">
        <v>3463</v>
      </c>
      <c r="H316" s="273" t="s">
        <v>3462</v>
      </c>
      <c r="I316" s="720">
        <f t="shared" si="71"/>
        <v>183.6</v>
      </c>
      <c r="J316" s="756">
        <v>918</v>
      </c>
      <c r="K316" s="131">
        <f t="shared" si="63"/>
        <v>918</v>
      </c>
      <c r="L316" s="335">
        <f t="shared" si="65"/>
        <v>0</v>
      </c>
      <c r="M316" s="446"/>
      <c r="N316" s="446"/>
      <c r="O316" s="446"/>
      <c r="P316" s="446"/>
      <c r="Q316" s="110">
        <v>2</v>
      </c>
      <c r="R316" s="111">
        <f t="shared" si="61"/>
        <v>229.5</v>
      </c>
      <c r="S316" s="110"/>
      <c r="T316" s="110"/>
      <c r="U316" s="110">
        <v>1</v>
      </c>
      <c r="V316" s="111">
        <f t="shared" si="62"/>
        <v>229.5</v>
      </c>
      <c r="W316" s="110"/>
      <c r="X316" s="110"/>
      <c r="Y316" s="110"/>
      <c r="Z316" s="110"/>
      <c r="AA316" s="110">
        <v>1</v>
      </c>
      <c r="AB316" s="111">
        <f t="shared" si="69"/>
        <v>229.5</v>
      </c>
      <c r="AC316" s="110"/>
      <c r="AD316" s="110"/>
      <c r="AE316" s="110">
        <v>1</v>
      </c>
      <c r="AF316" s="111">
        <f t="shared" si="70"/>
        <v>229.5</v>
      </c>
      <c r="AG316" s="110"/>
      <c r="AH316" s="110"/>
      <c r="AI316" s="110"/>
      <c r="AJ316" s="110"/>
      <c r="AK316" s="111">
        <f t="shared" si="66"/>
        <v>918</v>
      </c>
      <c r="AL316" s="446">
        <f t="shared" si="67"/>
        <v>0</v>
      </c>
      <c r="AM316" s="110">
        <f t="shared" si="68"/>
        <v>5</v>
      </c>
      <c r="AN316" s="447">
        <f t="shared" si="64"/>
        <v>0</v>
      </c>
      <c r="AO316"/>
      <c r="AP316"/>
    </row>
    <row r="317" spans="1:42" ht="66" x14ac:dyDescent="0.25">
      <c r="A317" s="40"/>
      <c r="B317" s="149" t="s">
        <v>1961</v>
      </c>
      <c r="C317" s="1028"/>
      <c r="D317" s="869">
        <v>1</v>
      </c>
      <c r="E317" s="1027" t="s">
        <v>1791</v>
      </c>
      <c r="F317" s="273" t="s">
        <v>3446</v>
      </c>
      <c r="G317" s="1040" t="s">
        <v>3463</v>
      </c>
      <c r="H317" s="273" t="s">
        <v>3462</v>
      </c>
      <c r="I317" s="720">
        <f t="shared" si="71"/>
        <v>30.6936</v>
      </c>
      <c r="J317" s="756">
        <v>30.6936</v>
      </c>
      <c r="K317" s="131">
        <f t="shared" si="63"/>
        <v>30.6936</v>
      </c>
      <c r="L317" s="335">
        <f t="shared" si="65"/>
        <v>0</v>
      </c>
      <c r="M317" s="446"/>
      <c r="N317" s="446"/>
      <c r="O317" s="446"/>
      <c r="P317" s="446"/>
      <c r="Q317" s="110">
        <v>1</v>
      </c>
      <c r="R317" s="111">
        <v>30.69</v>
      </c>
      <c r="S317" s="110"/>
      <c r="T317" s="110"/>
      <c r="U317" s="110">
        <v>0</v>
      </c>
      <c r="V317" s="111">
        <v>0</v>
      </c>
      <c r="W317" s="110"/>
      <c r="X317" s="110"/>
      <c r="Y317" s="110"/>
      <c r="Z317" s="110"/>
      <c r="AA317" s="110">
        <v>0</v>
      </c>
      <c r="AB317" s="111">
        <v>0</v>
      </c>
      <c r="AC317" s="110"/>
      <c r="AD317" s="110"/>
      <c r="AE317" s="110">
        <v>0</v>
      </c>
      <c r="AF317" s="111">
        <v>0</v>
      </c>
      <c r="AG317" s="110"/>
      <c r="AH317" s="110"/>
      <c r="AI317" s="110"/>
      <c r="AJ317" s="110"/>
      <c r="AK317" s="111">
        <f t="shared" si="66"/>
        <v>30.69</v>
      </c>
      <c r="AL317" s="446">
        <f t="shared" si="67"/>
        <v>3.5999999999987153E-3</v>
      </c>
      <c r="AM317" s="110">
        <f t="shared" si="68"/>
        <v>1</v>
      </c>
      <c r="AN317" s="447">
        <f t="shared" si="64"/>
        <v>0</v>
      </c>
      <c r="AO317"/>
      <c r="AP317"/>
    </row>
    <row r="318" spans="1:42" ht="66" x14ac:dyDescent="0.25">
      <c r="A318" s="40"/>
      <c r="B318" s="149" t="s">
        <v>1962</v>
      </c>
      <c r="C318" s="1028"/>
      <c r="D318" s="869">
        <v>1</v>
      </c>
      <c r="E318" s="1027" t="s">
        <v>1791</v>
      </c>
      <c r="F318" s="273" t="s">
        <v>3446</v>
      </c>
      <c r="G318" s="1040" t="s">
        <v>3463</v>
      </c>
      <c r="H318" s="273" t="s">
        <v>3462</v>
      </c>
      <c r="I318" s="720">
        <f t="shared" si="71"/>
        <v>30.6936</v>
      </c>
      <c r="J318" s="756">
        <v>30.6936</v>
      </c>
      <c r="K318" s="131">
        <f t="shared" si="63"/>
        <v>30.6936</v>
      </c>
      <c r="L318" s="335">
        <f t="shared" si="65"/>
        <v>0</v>
      </c>
      <c r="M318" s="446"/>
      <c r="N318" s="446"/>
      <c r="O318" s="446"/>
      <c r="P318" s="446"/>
      <c r="Q318" s="110">
        <v>1</v>
      </c>
      <c r="R318" s="111">
        <v>30.69</v>
      </c>
      <c r="S318" s="110"/>
      <c r="T318" s="110"/>
      <c r="U318" s="110">
        <v>0</v>
      </c>
      <c r="V318" s="111">
        <v>0</v>
      </c>
      <c r="W318" s="110"/>
      <c r="X318" s="110"/>
      <c r="Y318" s="110"/>
      <c r="Z318" s="110"/>
      <c r="AA318" s="110">
        <v>0</v>
      </c>
      <c r="AB318" s="111">
        <v>0</v>
      </c>
      <c r="AC318" s="110"/>
      <c r="AD318" s="110"/>
      <c r="AE318" s="110">
        <v>0</v>
      </c>
      <c r="AF318" s="111">
        <v>0</v>
      </c>
      <c r="AG318" s="110"/>
      <c r="AH318" s="110"/>
      <c r="AI318" s="110"/>
      <c r="AJ318" s="110"/>
      <c r="AK318" s="111">
        <f t="shared" si="66"/>
        <v>30.69</v>
      </c>
      <c r="AL318" s="446">
        <f t="shared" si="67"/>
        <v>3.5999999999987153E-3</v>
      </c>
      <c r="AM318" s="110">
        <f t="shared" si="68"/>
        <v>1</v>
      </c>
      <c r="AN318" s="447">
        <f t="shared" si="64"/>
        <v>0</v>
      </c>
      <c r="AO318"/>
      <c r="AP318"/>
    </row>
    <row r="319" spans="1:42" ht="66" x14ac:dyDescent="0.25">
      <c r="A319" s="40"/>
      <c r="B319" s="149" t="s">
        <v>1963</v>
      </c>
      <c r="C319" s="1028"/>
      <c r="D319" s="869">
        <v>2</v>
      </c>
      <c r="E319" s="1027" t="s">
        <v>1986</v>
      </c>
      <c r="F319" s="273" t="s">
        <v>3446</v>
      </c>
      <c r="G319" s="1040" t="s">
        <v>3463</v>
      </c>
      <c r="H319" s="273" t="s">
        <v>3462</v>
      </c>
      <c r="I319" s="720">
        <f t="shared" si="71"/>
        <v>3.6075999999999997</v>
      </c>
      <c r="J319" s="756">
        <v>7.2151999999999994</v>
      </c>
      <c r="K319" s="131">
        <f t="shared" si="63"/>
        <v>7.2151999999999994</v>
      </c>
      <c r="L319" s="335">
        <f t="shared" si="65"/>
        <v>0</v>
      </c>
      <c r="M319" s="446"/>
      <c r="N319" s="446"/>
      <c r="O319" s="446"/>
      <c r="P319" s="446"/>
      <c r="Q319" s="130">
        <v>1</v>
      </c>
      <c r="R319" s="111">
        <v>3.61</v>
      </c>
      <c r="S319" s="110"/>
      <c r="T319" s="110"/>
      <c r="U319" s="130">
        <v>1</v>
      </c>
      <c r="V319" s="111">
        <v>3.61</v>
      </c>
      <c r="W319" s="110"/>
      <c r="X319" s="110"/>
      <c r="Y319" s="110"/>
      <c r="Z319" s="110"/>
      <c r="AA319" s="130">
        <v>0</v>
      </c>
      <c r="AB319" s="111">
        <v>0</v>
      </c>
      <c r="AC319" s="110"/>
      <c r="AD319" s="110"/>
      <c r="AE319" s="130">
        <v>0</v>
      </c>
      <c r="AF319" s="111">
        <v>0</v>
      </c>
      <c r="AG319" s="110"/>
      <c r="AH319" s="110"/>
      <c r="AI319" s="110"/>
      <c r="AJ319" s="110"/>
      <c r="AK319" s="111">
        <f t="shared" si="66"/>
        <v>7.22</v>
      </c>
      <c r="AL319" s="446">
        <f t="shared" si="67"/>
        <v>-4.8000000000003595E-3</v>
      </c>
      <c r="AM319" s="110">
        <f t="shared" si="68"/>
        <v>2</v>
      </c>
      <c r="AN319" s="447">
        <f t="shared" si="64"/>
        <v>0</v>
      </c>
      <c r="AO319"/>
      <c r="AP319"/>
    </row>
    <row r="320" spans="1:42" ht="66" x14ac:dyDescent="0.25">
      <c r="A320" s="40"/>
      <c r="B320" s="149" t="s">
        <v>1964</v>
      </c>
      <c r="C320" s="1028"/>
      <c r="D320" s="869">
        <v>1</v>
      </c>
      <c r="E320" s="1027" t="s">
        <v>1986</v>
      </c>
      <c r="F320" s="273" t="s">
        <v>3446</v>
      </c>
      <c r="G320" s="1040" t="s">
        <v>3463</v>
      </c>
      <c r="H320" s="273" t="s">
        <v>3462</v>
      </c>
      <c r="I320" s="720">
        <f t="shared" si="71"/>
        <v>82.684799999999996</v>
      </c>
      <c r="J320" s="756">
        <v>82.684799999999996</v>
      </c>
      <c r="K320" s="131">
        <f t="shared" si="63"/>
        <v>82.684799999999996</v>
      </c>
      <c r="L320" s="335">
        <f t="shared" si="65"/>
        <v>0</v>
      </c>
      <c r="M320" s="446"/>
      <c r="N320" s="446"/>
      <c r="O320" s="446"/>
      <c r="P320" s="446"/>
      <c r="Q320" s="110">
        <v>1</v>
      </c>
      <c r="R320" s="111">
        <v>82.68</v>
      </c>
      <c r="S320" s="110"/>
      <c r="T320" s="110"/>
      <c r="U320" s="110">
        <v>0</v>
      </c>
      <c r="V320" s="111">
        <v>0</v>
      </c>
      <c r="W320" s="110"/>
      <c r="X320" s="110"/>
      <c r="Y320" s="110"/>
      <c r="Z320" s="110"/>
      <c r="AA320" s="110">
        <v>0</v>
      </c>
      <c r="AB320" s="111">
        <v>0</v>
      </c>
      <c r="AC320" s="110"/>
      <c r="AD320" s="110"/>
      <c r="AE320" s="110">
        <v>0</v>
      </c>
      <c r="AF320" s="111">
        <v>0</v>
      </c>
      <c r="AG320" s="110"/>
      <c r="AH320" s="110"/>
      <c r="AI320" s="110"/>
      <c r="AJ320" s="110"/>
      <c r="AK320" s="111">
        <f t="shared" si="66"/>
        <v>82.68</v>
      </c>
      <c r="AL320" s="446">
        <f t="shared" si="67"/>
        <v>4.7999999999888132E-3</v>
      </c>
      <c r="AM320" s="110">
        <f t="shared" si="68"/>
        <v>1</v>
      </c>
      <c r="AN320" s="447">
        <f t="shared" si="64"/>
        <v>0</v>
      </c>
      <c r="AO320"/>
      <c r="AP320"/>
    </row>
    <row r="321" spans="1:42" ht="66" x14ac:dyDescent="0.25">
      <c r="A321" s="40"/>
      <c r="B321" s="149" t="s">
        <v>1965</v>
      </c>
      <c r="C321" s="1028"/>
      <c r="D321" s="869">
        <v>2</v>
      </c>
      <c r="E321" s="1027" t="s">
        <v>1986</v>
      </c>
      <c r="F321" s="273" t="s">
        <v>3446</v>
      </c>
      <c r="G321" s="1040" t="s">
        <v>3463</v>
      </c>
      <c r="H321" s="273" t="s">
        <v>3462</v>
      </c>
      <c r="I321" s="720">
        <f t="shared" si="71"/>
        <v>5.9855999999999998</v>
      </c>
      <c r="J321" s="756">
        <v>11.9712</v>
      </c>
      <c r="K321" s="131">
        <f t="shared" si="63"/>
        <v>11.9712</v>
      </c>
      <c r="L321" s="335">
        <f t="shared" si="65"/>
        <v>0</v>
      </c>
      <c r="M321" s="446"/>
      <c r="N321" s="446"/>
      <c r="O321" s="446"/>
      <c r="P321" s="446"/>
      <c r="Q321" s="130">
        <v>1</v>
      </c>
      <c r="R321" s="111">
        <v>5.99</v>
      </c>
      <c r="S321" s="110"/>
      <c r="T321" s="110"/>
      <c r="U321" s="130">
        <v>1</v>
      </c>
      <c r="V321" s="111">
        <v>5.99</v>
      </c>
      <c r="W321" s="110"/>
      <c r="X321" s="110"/>
      <c r="Y321" s="110"/>
      <c r="Z321" s="110"/>
      <c r="AA321" s="130">
        <v>0</v>
      </c>
      <c r="AB321" s="111">
        <v>0</v>
      </c>
      <c r="AC321" s="110"/>
      <c r="AD321" s="110"/>
      <c r="AE321" s="130">
        <v>0</v>
      </c>
      <c r="AF321" s="111">
        <v>0</v>
      </c>
      <c r="AG321" s="110"/>
      <c r="AH321" s="110"/>
      <c r="AI321" s="110"/>
      <c r="AJ321" s="110"/>
      <c r="AK321" s="111">
        <f t="shared" si="66"/>
        <v>11.98</v>
      </c>
      <c r="AL321" s="446">
        <f t="shared" si="67"/>
        <v>-8.8000000000008072E-3</v>
      </c>
      <c r="AM321" s="110">
        <f t="shared" si="68"/>
        <v>2</v>
      </c>
      <c r="AN321" s="447">
        <f t="shared" si="64"/>
        <v>0</v>
      </c>
      <c r="AO321"/>
      <c r="AP321"/>
    </row>
    <row r="322" spans="1:42" ht="66" x14ac:dyDescent="0.25">
      <c r="A322" s="40"/>
      <c r="B322" s="149" t="s">
        <v>1966</v>
      </c>
      <c r="C322" s="1028"/>
      <c r="D322" s="869">
        <v>2</v>
      </c>
      <c r="E322" s="1027" t="s">
        <v>1767</v>
      </c>
      <c r="F322" s="273" t="s">
        <v>3446</v>
      </c>
      <c r="G322" s="1040" t="s">
        <v>3463</v>
      </c>
      <c r="H322" s="273" t="s">
        <v>3462</v>
      </c>
      <c r="I322" s="720">
        <f t="shared" si="71"/>
        <v>14.9872</v>
      </c>
      <c r="J322" s="756">
        <v>29.974399999999999</v>
      </c>
      <c r="K322" s="131">
        <f t="shared" si="63"/>
        <v>29.974399999999999</v>
      </c>
      <c r="L322" s="335">
        <f t="shared" si="65"/>
        <v>0</v>
      </c>
      <c r="M322" s="446"/>
      <c r="N322" s="446"/>
      <c r="O322" s="446"/>
      <c r="P322" s="446"/>
      <c r="Q322" s="130">
        <v>1</v>
      </c>
      <c r="R322" s="111">
        <v>14.99</v>
      </c>
      <c r="S322" s="110"/>
      <c r="T322" s="110"/>
      <c r="U322" s="130">
        <v>1</v>
      </c>
      <c r="V322" s="111">
        <v>14.99</v>
      </c>
      <c r="W322" s="110"/>
      <c r="X322" s="110"/>
      <c r="Y322" s="110"/>
      <c r="Z322" s="110"/>
      <c r="AA322" s="130">
        <v>0</v>
      </c>
      <c r="AB322" s="111">
        <v>0</v>
      </c>
      <c r="AC322" s="110"/>
      <c r="AD322" s="110"/>
      <c r="AE322" s="130">
        <v>0</v>
      </c>
      <c r="AF322" s="111">
        <v>0</v>
      </c>
      <c r="AG322" s="110"/>
      <c r="AH322" s="110"/>
      <c r="AI322" s="110"/>
      <c r="AJ322" s="110"/>
      <c r="AK322" s="111">
        <f t="shared" si="66"/>
        <v>29.98</v>
      </c>
      <c r="AL322" s="446">
        <f t="shared" si="67"/>
        <v>-5.6000000000011596E-3</v>
      </c>
      <c r="AM322" s="110">
        <f t="shared" si="68"/>
        <v>2</v>
      </c>
      <c r="AN322" s="447">
        <f t="shared" si="64"/>
        <v>0</v>
      </c>
      <c r="AO322"/>
      <c r="AP322"/>
    </row>
    <row r="323" spans="1:42" ht="66" x14ac:dyDescent="0.25">
      <c r="A323" s="40"/>
      <c r="B323" s="149" t="s">
        <v>1967</v>
      </c>
      <c r="C323" s="1028"/>
      <c r="D323" s="869">
        <v>2</v>
      </c>
      <c r="E323" s="1027" t="s">
        <v>1793</v>
      </c>
      <c r="F323" s="273" t="s">
        <v>3446</v>
      </c>
      <c r="G323" s="1040" t="s">
        <v>3463</v>
      </c>
      <c r="H323" s="273" t="s">
        <v>3462</v>
      </c>
      <c r="I323" s="720">
        <f t="shared" si="71"/>
        <v>14.9872</v>
      </c>
      <c r="J323" s="756">
        <v>29.974399999999999</v>
      </c>
      <c r="K323" s="131">
        <f t="shared" si="63"/>
        <v>29.974399999999999</v>
      </c>
      <c r="L323" s="335">
        <f t="shared" si="65"/>
        <v>0</v>
      </c>
      <c r="M323" s="446"/>
      <c r="N323" s="446"/>
      <c r="O323" s="446"/>
      <c r="P323" s="446"/>
      <c r="Q323" s="130">
        <v>1</v>
      </c>
      <c r="R323" s="111">
        <v>14.99</v>
      </c>
      <c r="S323" s="110"/>
      <c r="T323" s="110"/>
      <c r="U323" s="130">
        <v>1</v>
      </c>
      <c r="V323" s="111">
        <v>14.99</v>
      </c>
      <c r="W323" s="110"/>
      <c r="X323" s="110"/>
      <c r="Y323" s="110"/>
      <c r="Z323" s="110"/>
      <c r="AA323" s="130">
        <v>0</v>
      </c>
      <c r="AB323" s="111">
        <v>0</v>
      </c>
      <c r="AC323" s="110"/>
      <c r="AD323" s="110"/>
      <c r="AE323" s="130">
        <v>0</v>
      </c>
      <c r="AF323" s="111">
        <v>0</v>
      </c>
      <c r="AG323" s="110"/>
      <c r="AH323" s="110"/>
      <c r="AI323" s="110"/>
      <c r="AJ323" s="110"/>
      <c r="AK323" s="111">
        <f t="shared" si="66"/>
        <v>29.98</v>
      </c>
      <c r="AL323" s="446">
        <f t="shared" si="67"/>
        <v>-5.6000000000011596E-3</v>
      </c>
      <c r="AM323" s="110">
        <f t="shared" si="68"/>
        <v>2</v>
      </c>
      <c r="AN323" s="447">
        <f t="shared" si="64"/>
        <v>0</v>
      </c>
      <c r="AO323"/>
      <c r="AP323"/>
    </row>
    <row r="324" spans="1:42" ht="66" x14ac:dyDescent="0.25">
      <c r="A324" s="40"/>
      <c r="B324" s="149" t="s">
        <v>1968</v>
      </c>
      <c r="C324" s="1028"/>
      <c r="D324" s="869">
        <v>2</v>
      </c>
      <c r="E324" s="1027" t="s">
        <v>1793</v>
      </c>
      <c r="F324" s="273" t="s">
        <v>3446</v>
      </c>
      <c r="G324" s="1040" t="s">
        <v>3463</v>
      </c>
      <c r="H324" s="273" t="s">
        <v>3462</v>
      </c>
      <c r="I324" s="720">
        <f t="shared" si="71"/>
        <v>19.290799999999997</v>
      </c>
      <c r="J324" s="756">
        <v>38.581599999999995</v>
      </c>
      <c r="K324" s="131">
        <f t="shared" si="63"/>
        <v>38.581599999999995</v>
      </c>
      <c r="L324" s="335">
        <f t="shared" si="65"/>
        <v>0</v>
      </c>
      <c r="M324" s="446"/>
      <c r="N324" s="446"/>
      <c r="O324" s="446"/>
      <c r="P324" s="446"/>
      <c r="Q324" s="130">
        <v>1</v>
      </c>
      <c r="R324" s="111">
        <v>19.29</v>
      </c>
      <c r="S324" s="110"/>
      <c r="T324" s="110"/>
      <c r="U324" s="130">
        <v>1</v>
      </c>
      <c r="V324" s="111">
        <v>19.29</v>
      </c>
      <c r="W324" s="110"/>
      <c r="X324" s="110"/>
      <c r="Y324" s="110"/>
      <c r="Z324" s="110"/>
      <c r="AA324" s="130">
        <v>0</v>
      </c>
      <c r="AB324" s="111">
        <v>0</v>
      </c>
      <c r="AC324" s="110"/>
      <c r="AD324" s="110"/>
      <c r="AE324" s="130">
        <v>0</v>
      </c>
      <c r="AF324" s="111">
        <v>0</v>
      </c>
      <c r="AG324" s="110"/>
      <c r="AH324" s="110"/>
      <c r="AI324" s="110"/>
      <c r="AJ324" s="110"/>
      <c r="AK324" s="111">
        <f t="shared" si="66"/>
        <v>38.58</v>
      </c>
      <c r="AL324" s="446">
        <f t="shared" si="67"/>
        <v>1.5999999999962711E-3</v>
      </c>
      <c r="AM324" s="110">
        <f t="shared" si="68"/>
        <v>2</v>
      </c>
      <c r="AN324" s="447">
        <f t="shared" si="64"/>
        <v>0</v>
      </c>
      <c r="AO324"/>
      <c r="AP324"/>
    </row>
    <row r="325" spans="1:42" ht="66" x14ac:dyDescent="0.25">
      <c r="A325" s="40"/>
      <c r="B325" s="149" t="s">
        <v>1969</v>
      </c>
      <c r="C325" s="1028"/>
      <c r="D325" s="869">
        <v>1</v>
      </c>
      <c r="E325" s="1027" t="s">
        <v>1793</v>
      </c>
      <c r="F325" s="273" t="s">
        <v>3446</v>
      </c>
      <c r="G325" s="1040" t="s">
        <v>3463</v>
      </c>
      <c r="H325" s="273" t="s">
        <v>3462</v>
      </c>
      <c r="I325" s="720">
        <f t="shared" si="71"/>
        <v>11.391200000000001</v>
      </c>
      <c r="J325" s="756">
        <v>11.391200000000001</v>
      </c>
      <c r="K325" s="131">
        <f t="shared" si="63"/>
        <v>11.391200000000001</v>
      </c>
      <c r="L325" s="335">
        <f t="shared" si="65"/>
        <v>0</v>
      </c>
      <c r="M325" s="446"/>
      <c r="N325" s="446"/>
      <c r="O325" s="446"/>
      <c r="P325" s="446"/>
      <c r="Q325" s="110">
        <v>1</v>
      </c>
      <c r="R325" s="111">
        <v>11.39</v>
      </c>
      <c r="S325" s="110"/>
      <c r="T325" s="110"/>
      <c r="U325" s="110">
        <v>0</v>
      </c>
      <c r="V325" s="111">
        <v>0</v>
      </c>
      <c r="W325" s="110"/>
      <c r="X325" s="110"/>
      <c r="Y325" s="110"/>
      <c r="Z325" s="110"/>
      <c r="AA325" s="110">
        <v>0</v>
      </c>
      <c r="AB325" s="111">
        <v>0</v>
      </c>
      <c r="AC325" s="110"/>
      <c r="AD325" s="110"/>
      <c r="AE325" s="110">
        <v>0</v>
      </c>
      <c r="AF325" s="111">
        <v>0</v>
      </c>
      <c r="AG325" s="110"/>
      <c r="AH325" s="110"/>
      <c r="AI325" s="110"/>
      <c r="AJ325" s="110"/>
      <c r="AK325" s="111">
        <f t="shared" si="66"/>
        <v>11.39</v>
      </c>
      <c r="AL325" s="446">
        <f t="shared" si="67"/>
        <v>1.200000000000756E-3</v>
      </c>
      <c r="AM325" s="110">
        <f t="shared" si="68"/>
        <v>1</v>
      </c>
      <c r="AN325" s="447">
        <f t="shared" si="64"/>
        <v>0</v>
      </c>
      <c r="AO325"/>
      <c r="AP325"/>
    </row>
    <row r="326" spans="1:42" ht="66" x14ac:dyDescent="0.25">
      <c r="A326" s="40"/>
      <c r="B326" s="149" t="s">
        <v>1901</v>
      </c>
      <c r="C326" s="1028"/>
      <c r="D326" s="869">
        <v>1</v>
      </c>
      <c r="E326" s="1027" t="s">
        <v>1791</v>
      </c>
      <c r="F326" s="273" t="s">
        <v>3446</v>
      </c>
      <c r="G326" s="1040" t="s">
        <v>3463</v>
      </c>
      <c r="H326" s="273" t="s">
        <v>3462</v>
      </c>
      <c r="I326" s="720">
        <f t="shared" si="71"/>
        <v>24.36</v>
      </c>
      <c r="J326" s="756">
        <v>24.36</v>
      </c>
      <c r="K326" s="131">
        <f t="shared" si="63"/>
        <v>24.36</v>
      </c>
      <c r="L326" s="335">
        <f t="shared" si="65"/>
        <v>0</v>
      </c>
      <c r="M326" s="446"/>
      <c r="N326" s="446"/>
      <c r="O326" s="446"/>
      <c r="P326" s="446"/>
      <c r="Q326" s="110">
        <v>1</v>
      </c>
      <c r="R326" s="111">
        <v>24.36</v>
      </c>
      <c r="S326" s="110"/>
      <c r="T326" s="110"/>
      <c r="U326" s="110">
        <v>0</v>
      </c>
      <c r="V326" s="111">
        <v>0</v>
      </c>
      <c r="W326" s="110"/>
      <c r="X326" s="110"/>
      <c r="Y326" s="110"/>
      <c r="Z326" s="110"/>
      <c r="AA326" s="110">
        <v>0</v>
      </c>
      <c r="AB326" s="111">
        <v>0</v>
      </c>
      <c r="AC326" s="110"/>
      <c r="AD326" s="110"/>
      <c r="AE326" s="110">
        <v>0</v>
      </c>
      <c r="AF326" s="111">
        <v>0</v>
      </c>
      <c r="AG326" s="110"/>
      <c r="AH326" s="110"/>
      <c r="AI326" s="110"/>
      <c r="AJ326" s="110"/>
      <c r="AK326" s="111">
        <f t="shared" si="66"/>
        <v>24.36</v>
      </c>
      <c r="AL326" s="446">
        <f t="shared" si="67"/>
        <v>0</v>
      </c>
      <c r="AM326" s="110">
        <f t="shared" si="68"/>
        <v>1</v>
      </c>
      <c r="AN326" s="447">
        <f t="shared" si="64"/>
        <v>0</v>
      </c>
      <c r="AO326"/>
      <c r="AP326"/>
    </row>
    <row r="327" spans="1:42" ht="66" x14ac:dyDescent="0.25">
      <c r="A327" s="40"/>
      <c r="B327" s="149" t="s">
        <v>1970</v>
      </c>
      <c r="C327" s="1028"/>
      <c r="D327" s="869">
        <v>2</v>
      </c>
      <c r="E327" s="1027" t="s">
        <v>1933</v>
      </c>
      <c r="F327" s="273" t="s">
        <v>3446</v>
      </c>
      <c r="G327" s="1040" t="s">
        <v>3463</v>
      </c>
      <c r="H327" s="273" t="s">
        <v>3462</v>
      </c>
      <c r="I327" s="720">
        <f t="shared" si="71"/>
        <v>27.318000000000001</v>
      </c>
      <c r="J327" s="756">
        <v>54.636000000000003</v>
      </c>
      <c r="K327" s="131">
        <f t="shared" si="63"/>
        <v>54.636000000000003</v>
      </c>
      <c r="L327" s="335">
        <f t="shared" si="65"/>
        <v>0</v>
      </c>
      <c r="M327" s="446"/>
      <c r="N327" s="446"/>
      <c r="O327" s="446"/>
      <c r="P327" s="446"/>
      <c r="Q327" s="130">
        <v>1</v>
      </c>
      <c r="R327" s="111">
        <v>27.32</v>
      </c>
      <c r="S327" s="110"/>
      <c r="T327" s="110"/>
      <c r="U327" s="130">
        <v>1</v>
      </c>
      <c r="V327" s="111">
        <v>27.32</v>
      </c>
      <c r="W327" s="110"/>
      <c r="X327" s="110"/>
      <c r="Y327" s="110"/>
      <c r="Z327" s="110"/>
      <c r="AA327" s="130">
        <v>0</v>
      </c>
      <c r="AB327" s="111">
        <v>0</v>
      </c>
      <c r="AC327" s="110"/>
      <c r="AD327" s="110"/>
      <c r="AE327" s="130">
        <v>0</v>
      </c>
      <c r="AF327" s="111">
        <v>0</v>
      </c>
      <c r="AG327" s="110"/>
      <c r="AH327" s="110"/>
      <c r="AI327" s="110"/>
      <c r="AJ327" s="110"/>
      <c r="AK327" s="111">
        <f t="shared" si="66"/>
        <v>54.64</v>
      </c>
      <c r="AL327" s="446">
        <f t="shared" si="67"/>
        <v>-3.9999999999977831E-3</v>
      </c>
      <c r="AM327" s="110">
        <f t="shared" si="68"/>
        <v>2</v>
      </c>
      <c r="AN327" s="447">
        <f t="shared" si="64"/>
        <v>0</v>
      </c>
      <c r="AO327"/>
      <c r="AP327"/>
    </row>
    <row r="328" spans="1:42" ht="66" x14ac:dyDescent="0.25">
      <c r="A328" s="40"/>
      <c r="B328" s="149" t="s">
        <v>1971</v>
      </c>
      <c r="C328" s="1028"/>
      <c r="D328" s="869">
        <v>1</v>
      </c>
      <c r="E328" s="1027" t="s">
        <v>1722</v>
      </c>
      <c r="F328" s="273" t="s">
        <v>3446</v>
      </c>
      <c r="G328" s="1040" t="s">
        <v>3463</v>
      </c>
      <c r="H328" s="273" t="s">
        <v>3462</v>
      </c>
      <c r="I328" s="720">
        <f t="shared" si="71"/>
        <v>18.583199999999998</v>
      </c>
      <c r="J328" s="756">
        <v>18.583199999999998</v>
      </c>
      <c r="K328" s="131">
        <f t="shared" si="63"/>
        <v>18.583199999999998</v>
      </c>
      <c r="L328" s="335">
        <f t="shared" si="65"/>
        <v>0</v>
      </c>
      <c r="M328" s="446"/>
      <c r="N328" s="446"/>
      <c r="O328" s="446"/>
      <c r="P328" s="446"/>
      <c r="Q328" s="110">
        <v>1</v>
      </c>
      <c r="R328" s="111">
        <v>18.579999999999998</v>
      </c>
      <c r="S328" s="110"/>
      <c r="T328" s="110"/>
      <c r="U328" s="110">
        <v>0</v>
      </c>
      <c r="V328" s="111">
        <v>0</v>
      </c>
      <c r="W328" s="110"/>
      <c r="X328" s="110"/>
      <c r="Y328" s="110"/>
      <c r="Z328" s="110"/>
      <c r="AA328" s="110">
        <v>0</v>
      </c>
      <c r="AB328" s="111">
        <v>0</v>
      </c>
      <c r="AC328" s="110"/>
      <c r="AD328" s="110"/>
      <c r="AE328" s="110">
        <v>0</v>
      </c>
      <c r="AF328" s="111">
        <v>0</v>
      </c>
      <c r="AG328" s="110"/>
      <c r="AH328" s="110"/>
      <c r="AI328" s="110"/>
      <c r="AJ328" s="110"/>
      <c r="AK328" s="111">
        <f t="shared" si="66"/>
        <v>18.579999999999998</v>
      </c>
      <c r="AL328" s="446">
        <f t="shared" si="67"/>
        <v>3.1999999999996476E-3</v>
      </c>
      <c r="AM328" s="110">
        <f t="shared" si="68"/>
        <v>1</v>
      </c>
      <c r="AN328" s="447">
        <f t="shared" si="64"/>
        <v>0</v>
      </c>
      <c r="AO328"/>
      <c r="AP328"/>
    </row>
    <row r="329" spans="1:42" ht="66" x14ac:dyDescent="0.25">
      <c r="A329" s="40"/>
      <c r="B329" s="149" t="s">
        <v>1972</v>
      </c>
      <c r="C329" s="1028"/>
      <c r="D329" s="869">
        <v>2</v>
      </c>
      <c r="E329" s="1027" t="s">
        <v>1723</v>
      </c>
      <c r="F329" s="273" t="s">
        <v>3446</v>
      </c>
      <c r="G329" s="1040" t="s">
        <v>3463</v>
      </c>
      <c r="H329" s="273" t="s">
        <v>3462</v>
      </c>
      <c r="I329" s="720">
        <f t="shared" si="71"/>
        <v>16.4024</v>
      </c>
      <c r="J329" s="756">
        <v>32.8048</v>
      </c>
      <c r="K329" s="131">
        <f t="shared" si="63"/>
        <v>32.8048</v>
      </c>
      <c r="L329" s="335">
        <f t="shared" si="65"/>
        <v>0</v>
      </c>
      <c r="M329" s="446"/>
      <c r="N329" s="446"/>
      <c r="O329" s="446"/>
      <c r="P329" s="446"/>
      <c r="Q329" s="130">
        <v>1</v>
      </c>
      <c r="R329" s="111">
        <v>16.399999999999999</v>
      </c>
      <c r="S329" s="110"/>
      <c r="T329" s="110"/>
      <c r="U329" s="130">
        <v>1</v>
      </c>
      <c r="V329" s="111">
        <v>16.399999999999999</v>
      </c>
      <c r="W329" s="110"/>
      <c r="X329" s="110"/>
      <c r="Y329" s="110"/>
      <c r="Z329" s="110"/>
      <c r="AA329" s="130">
        <v>0</v>
      </c>
      <c r="AB329" s="111">
        <v>0</v>
      </c>
      <c r="AC329" s="110"/>
      <c r="AD329" s="110"/>
      <c r="AE329" s="130">
        <v>0</v>
      </c>
      <c r="AF329" s="111">
        <v>0</v>
      </c>
      <c r="AG329" s="110"/>
      <c r="AH329" s="110"/>
      <c r="AI329" s="110"/>
      <c r="AJ329" s="110"/>
      <c r="AK329" s="111">
        <f t="shared" si="66"/>
        <v>32.799999999999997</v>
      </c>
      <c r="AL329" s="446">
        <f t="shared" si="67"/>
        <v>4.8000000000030241E-3</v>
      </c>
      <c r="AM329" s="110">
        <f t="shared" si="68"/>
        <v>2</v>
      </c>
      <c r="AN329" s="447">
        <f t="shared" si="64"/>
        <v>0</v>
      </c>
      <c r="AO329"/>
      <c r="AP329"/>
    </row>
    <row r="330" spans="1:42" ht="66" x14ac:dyDescent="0.25">
      <c r="A330" s="40"/>
      <c r="B330" s="149" t="s">
        <v>1973</v>
      </c>
      <c r="C330" s="1028"/>
      <c r="D330" s="869">
        <v>1</v>
      </c>
      <c r="E330" s="1027" t="s">
        <v>1986</v>
      </c>
      <c r="F330" s="273" t="s">
        <v>3446</v>
      </c>
      <c r="G330" s="1040" t="s">
        <v>3463</v>
      </c>
      <c r="H330" s="273" t="s">
        <v>3462</v>
      </c>
      <c r="I330" s="720">
        <f t="shared" si="71"/>
        <v>52.362400000000001</v>
      </c>
      <c r="J330" s="756">
        <v>52.362400000000001</v>
      </c>
      <c r="K330" s="131">
        <f t="shared" si="63"/>
        <v>52.362400000000001</v>
      </c>
      <c r="L330" s="335">
        <f t="shared" si="65"/>
        <v>0</v>
      </c>
      <c r="M330" s="446"/>
      <c r="N330" s="446"/>
      <c r="O330" s="446"/>
      <c r="P330" s="446"/>
      <c r="Q330" s="110">
        <v>1</v>
      </c>
      <c r="R330" s="111">
        <v>52.36</v>
      </c>
      <c r="S330" s="110"/>
      <c r="T330" s="110"/>
      <c r="U330" s="110">
        <v>0</v>
      </c>
      <c r="V330" s="111">
        <v>0</v>
      </c>
      <c r="W330" s="110"/>
      <c r="X330" s="110"/>
      <c r="Y330" s="110"/>
      <c r="Z330" s="110"/>
      <c r="AA330" s="110">
        <v>0</v>
      </c>
      <c r="AB330" s="111">
        <v>0</v>
      </c>
      <c r="AC330" s="110"/>
      <c r="AD330" s="110"/>
      <c r="AE330" s="110">
        <v>0</v>
      </c>
      <c r="AF330" s="111">
        <v>0</v>
      </c>
      <c r="AG330" s="110"/>
      <c r="AH330" s="110"/>
      <c r="AI330" s="110"/>
      <c r="AJ330" s="110"/>
      <c r="AK330" s="111">
        <f t="shared" si="66"/>
        <v>52.36</v>
      </c>
      <c r="AL330" s="446">
        <f t="shared" si="67"/>
        <v>2.400000000001512E-3</v>
      </c>
      <c r="AM330" s="110">
        <f t="shared" si="68"/>
        <v>1</v>
      </c>
      <c r="AN330" s="447">
        <f t="shared" si="64"/>
        <v>0</v>
      </c>
      <c r="AO330"/>
      <c r="AP330"/>
    </row>
    <row r="331" spans="1:42" ht="66" x14ac:dyDescent="0.25">
      <c r="A331" s="40"/>
      <c r="B331" s="149" t="s">
        <v>1974</v>
      </c>
      <c r="C331" s="1028"/>
      <c r="D331" s="869">
        <v>2</v>
      </c>
      <c r="E331" s="1027" t="s">
        <v>1986</v>
      </c>
      <c r="F331" s="273" t="s">
        <v>3446</v>
      </c>
      <c r="G331" s="1040" t="s">
        <v>3463</v>
      </c>
      <c r="H331" s="273" t="s">
        <v>3462</v>
      </c>
      <c r="I331" s="720">
        <f t="shared" si="71"/>
        <v>11.089600000000001</v>
      </c>
      <c r="J331" s="756">
        <v>22.179200000000002</v>
      </c>
      <c r="K331" s="131">
        <f t="shared" si="63"/>
        <v>22.179200000000002</v>
      </c>
      <c r="L331" s="335">
        <f t="shared" si="65"/>
        <v>0</v>
      </c>
      <c r="M331" s="446"/>
      <c r="N331" s="446"/>
      <c r="O331" s="446"/>
      <c r="P331" s="446"/>
      <c r="Q331" s="130">
        <v>1</v>
      </c>
      <c r="R331" s="111">
        <v>11.09</v>
      </c>
      <c r="S331" s="110"/>
      <c r="T331" s="110"/>
      <c r="U331" s="130">
        <v>1</v>
      </c>
      <c r="V331" s="111">
        <v>11.09</v>
      </c>
      <c r="W331" s="110"/>
      <c r="X331" s="110"/>
      <c r="Y331" s="110"/>
      <c r="Z331" s="110"/>
      <c r="AA331" s="130">
        <v>0</v>
      </c>
      <c r="AB331" s="111">
        <v>0</v>
      </c>
      <c r="AC331" s="110"/>
      <c r="AD331" s="110"/>
      <c r="AE331" s="130">
        <v>0</v>
      </c>
      <c r="AF331" s="111">
        <v>0</v>
      </c>
      <c r="AG331" s="110"/>
      <c r="AH331" s="110"/>
      <c r="AI331" s="110"/>
      <c r="AJ331" s="110"/>
      <c r="AK331" s="111">
        <f t="shared" si="66"/>
        <v>22.18</v>
      </c>
      <c r="AL331" s="446">
        <f t="shared" si="67"/>
        <v>-7.9999999999813554E-4</v>
      </c>
      <c r="AM331" s="110">
        <f t="shared" si="68"/>
        <v>2</v>
      </c>
      <c r="AN331" s="447">
        <f t="shared" si="64"/>
        <v>0</v>
      </c>
      <c r="AO331"/>
      <c r="AP331"/>
    </row>
    <row r="332" spans="1:42" ht="66" x14ac:dyDescent="0.25">
      <c r="A332" s="40"/>
      <c r="B332" s="149" t="s">
        <v>1975</v>
      </c>
      <c r="C332" s="1028"/>
      <c r="D332" s="869">
        <v>2</v>
      </c>
      <c r="E332" s="1027" t="s">
        <v>1986</v>
      </c>
      <c r="F332" s="273" t="s">
        <v>3446</v>
      </c>
      <c r="G332" s="1040" t="s">
        <v>3463</v>
      </c>
      <c r="H332" s="273" t="s">
        <v>3462</v>
      </c>
      <c r="I332" s="720">
        <f t="shared" si="71"/>
        <v>10.614000000000001</v>
      </c>
      <c r="J332" s="756">
        <v>21.228000000000002</v>
      </c>
      <c r="K332" s="131">
        <f t="shared" si="63"/>
        <v>21.228000000000002</v>
      </c>
      <c r="L332" s="335">
        <f t="shared" si="65"/>
        <v>0</v>
      </c>
      <c r="M332" s="446"/>
      <c r="N332" s="446"/>
      <c r="O332" s="446"/>
      <c r="P332" s="446"/>
      <c r="Q332" s="130">
        <v>1</v>
      </c>
      <c r="R332" s="111">
        <v>10.61</v>
      </c>
      <c r="S332" s="110"/>
      <c r="T332" s="110"/>
      <c r="U332" s="130">
        <v>1</v>
      </c>
      <c r="V332" s="111">
        <v>10.61</v>
      </c>
      <c r="W332" s="110"/>
      <c r="X332" s="110"/>
      <c r="Y332" s="110"/>
      <c r="Z332" s="110"/>
      <c r="AA332" s="130">
        <v>0</v>
      </c>
      <c r="AB332" s="111">
        <v>0</v>
      </c>
      <c r="AC332" s="110"/>
      <c r="AD332" s="110"/>
      <c r="AE332" s="130">
        <v>0</v>
      </c>
      <c r="AF332" s="111">
        <v>0</v>
      </c>
      <c r="AG332" s="110"/>
      <c r="AH332" s="110"/>
      <c r="AI332" s="110"/>
      <c r="AJ332" s="110"/>
      <c r="AK332" s="111">
        <f t="shared" si="66"/>
        <v>21.22</v>
      </c>
      <c r="AL332" s="446">
        <f t="shared" si="67"/>
        <v>8.0000000000026716E-3</v>
      </c>
      <c r="AM332" s="110">
        <f t="shared" si="68"/>
        <v>2</v>
      </c>
      <c r="AN332" s="447">
        <f t="shared" si="64"/>
        <v>0</v>
      </c>
      <c r="AO332"/>
      <c r="AP332"/>
    </row>
    <row r="333" spans="1:42" ht="66" x14ac:dyDescent="0.25">
      <c r="A333" s="40"/>
      <c r="B333" s="149" t="s">
        <v>1976</v>
      </c>
      <c r="C333" s="1028"/>
      <c r="D333" s="869">
        <v>1</v>
      </c>
      <c r="E333" s="1027" t="s">
        <v>1986</v>
      </c>
      <c r="F333" s="273" t="s">
        <v>3446</v>
      </c>
      <c r="G333" s="1040" t="s">
        <v>3463</v>
      </c>
      <c r="H333" s="273" t="s">
        <v>3462</v>
      </c>
      <c r="I333" s="720">
        <f t="shared" si="71"/>
        <v>26.3552</v>
      </c>
      <c r="J333" s="756">
        <v>26.3552</v>
      </c>
      <c r="K333" s="131">
        <f t="shared" si="63"/>
        <v>26.3552</v>
      </c>
      <c r="L333" s="335">
        <f t="shared" si="65"/>
        <v>0</v>
      </c>
      <c r="M333" s="446"/>
      <c r="N333" s="446"/>
      <c r="O333" s="446"/>
      <c r="P333" s="446"/>
      <c r="Q333" s="110">
        <v>1</v>
      </c>
      <c r="R333" s="111">
        <v>26.36</v>
      </c>
      <c r="S333" s="110"/>
      <c r="T333" s="110"/>
      <c r="U333" s="110">
        <v>0</v>
      </c>
      <c r="V333" s="111">
        <v>0</v>
      </c>
      <c r="W333" s="110"/>
      <c r="X333" s="110"/>
      <c r="Y333" s="110"/>
      <c r="Z333" s="110"/>
      <c r="AA333" s="110">
        <v>0</v>
      </c>
      <c r="AB333" s="111">
        <v>0</v>
      </c>
      <c r="AC333" s="110"/>
      <c r="AD333" s="110"/>
      <c r="AE333" s="110">
        <v>0</v>
      </c>
      <c r="AF333" s="111">
        <v>0</v>
      </c>
      <c r="AG333" s="110"/>
      <c r="AH333" s="110"/>
      <c r="AI333" s="110"/>
      <c r="AJ333" s="110"/>
      <c r="AK333" s="111">
        <f t="shared" si="66"/>
        <v>26.36</v>
      </c>
      <c r="AL333" s="446">
        <f t="shared" si="67"/>
        <v>-4.7999999999994714E-3</v>
      </c>
      <c r="AM333" s="110">
        <f t="shared" si="68"/>
        <v>1</v>
      </c>
      <c r="AN333" s="447">
        <f t="shared" si="64"/>
        <v>0</v>
      </c>
      <c r="AO333"/>
      <c r="AP333"/>
    </row>
    <row r="334" spans="1:42" ht="66" x14ac:dyDescent="0.25">
      <c r="A334" s="40"/>
      <c r="B334" s="149" t="s">
        <v>1977</v>
      </c>
      <c r="C334" s="1028"/>
      <c r="D334" s="869">
        <v>1</v>
      </c>
      <c r="E334" s="1027" t="s">
        <v>1986</v>
      </c>
      <c r="F334" s="273" t="s">
        <v>3446</v>
      </c>
      <c r="G334" s="1040" t="s">
        <v>3463</v>
      </c>
      <c r="H334" s="273" t="s">
        <v>3462</v>
      </c>
      <c r="I334" s="720">
        <f t="shared" si="71"/>
        <v>41.342399999999998</v>
      </c>
      <c r="J334" s="756">
        <v>41.342399999999998</v>
      </c>
      <c r="K334" s="131">
        <f t="shared" si="63"/>
        <v>41.342399999999998</v>
      </c>
      <c r="L334" s="335">
        <f t="shared" si="65"/>
        <v>0</v>
      </c>
      <c r="M334" s="446"/>
      <c r="N334" s="446"/>
      <c r="O334" s="446"/>
      <c r="P334" s="446"/>
      <c r="Q334" s="110">
        <v>1</v>
      </c>
      <c r="R334" s="111">
        <v>41.34</v>
      </c>
      <c r="S334" s="110"/>
      <c r="T334" s="110"/>
      <c r="U334" s="110">
        <v>0</v>
      </c>
      <c r="V334" s="111">
        <v>0</v>
      </c>
      <c r="W334" s="110"/>
      <c r="X334" s="110"/>
      <c r="Y334" s="110"/>
      <c r="Z334" s="110"/>
      <c r="AA334" s="110">
        <v>0</v>
      </c>
      <c r="AB334" s="111">
        <v>0</v>
      </c>
      <c r="AC334" s="110"/>
      <c r="AD334" s="110"/>
      <c r="AE334" s="110">
        <v>0</v>
      </c>
      <c r="AF334" s="111">
        <v>0</v>
      </c>
      <c r="AG334" s="110"/>
      <c r="AH334" s="110"/>
      <c r="AI334" s="110"/>
      <c r="AJ334" s="110"/>
      <c r="AK334" s="111">
        <f t="shared" si="66"/>
        <v>41.34</v>
      </c>
      <c r="AL334" s="446">
        <f t="shared" si="67"/>
        <v>2.3999999999944066E-3</v>
      </c>
      <c r="AM334" s="110">
        <f t="shared" si="68"/>
        <v>1</v>
      </c>
      <c r="AN334" s="447">
        <f t="shared" si="64"/>
        <v>0</v>
      </c>
      <c r="AO334"/>
      <c r="AP334"/>
    </row>
    <row r="335" spans="1:42" ht="66" x14ac:dyDescent="0.25">
      <c r="A335" s="40"/>
      <c r="B335" s="149" t="s">
        <v>1978</v>
      </c>
      <c r="C335" s="1028"/>
      <c r="D335" s="869">
        <v>1</v>
      </c>
      <c r="E335" s="1027" t="s">
        <v>1791</v>
      </c>
      <c r="F335" s="273" t="s">
        <v>3446</v>
      </c>
      <c r="G335" s="1040" t="s">
        <v>3463</v>
      </c>
      <c r="H335" s="273" t="s">
        <v>3462</v>
      </c>
      <c r="I335" s="720">
        <f t="shared" si="71"/>
        <v>26.158000000000001</v>
      </c>
      <c r="J335" s="756">
        <v>26.158000000000001</v>
      </c>
      <c r="K335" s="131">
        <f t="shared" ref="K335:K398" si="72">+D335*I335</f>
        <v>26.158000000000001</v>
      </c>
      <c r="L335" s="335">
        <f t="shared" si="65"/>
        <v>0</v>
      </c>
      <c r="M335" s="446"/>
      <c r="N335" s="446"/>
      <c r="O335" s="446"/>
      <c r="P335" s="446"/>
      <c r="Q335" s="110">
        <v>1</v>
      </c>
      <c r="R335" s="111">
        <v>26.16</v>
      </c>
      <c r="S335" s="110"/>
      <c r="T335" s="110"/>
      <c r="U335" s="110">
        <v>0</v>
      </c>
      <c r="V335" s="111">
        <v>0</v>
      </c>
      <c r="W335" s="110"/>
      <c r="X335" s="110"/>
      <c r="Y335" s="110"/>
      <c r="Z335" s="110"/>
      <c r="AA335" s="110">
        <v>0</v>
      </c>
      <c r="AB335" s="111">
        <v>0</v>
      </c>
      <c r="AC335" s="110"/>
      <c r="AD335" s="110"/>
      <c r="AE335" s="110">
        <v>0</v>
      </c>
      <c r="AF335" s="111">
        <v>0</v>
      </c>
      <c r="AG335" s="110"/>
      <c r="AH335" s="110"/>
      <c r="AI335" s="110"/>
      <c r="AJ335" s="110"/>
      <c r="AK335" s="111">
        <f t="shared" si="66"/>
        <v>26.16</v>
      </c>
      <c r="AL335" s="446">
        <f t="shared" si="67"/>
        <v>-1.9999999999988916E-3</v>
      </c>
      <c r="AM335" s="110">
        <f t="shared" si="68"/>
        <v>1</v>
      </c>
      <c r="AN335" s="447">
        <f t="shared" ref="AN335:AN398" si="73">+D335-AM335</f>
        <v>0</v>
      </c>
      <c r="AO335"/>
      <c r="AP335"/>
    </row>
    <row r="336" spans="1:42" ht="66" x14ac:dyDescent="0.25">
      <c r="A336" s="40"/>
      <c r="B336" s="149" t="s">
        <v>43</v>
      </c>
      <c r="C336" s="1028"/>
      <c r="D336" s="869">
        <v>2</v>
      </c>
      <c r="E336" s="1027" t="s">
        <v>1791</v>
      </c>
      <c r="F336" s="273" t="s">
        <v>3446</v>
      </c>
      <c r="G336" s="1040" t="s">
        <v>3463</v>
      </c>
      <c r="H336" s="273" t="s">
        <v>3462</v>
      </c>
      <c r="I336" s="720">
        <f t="shared" si="71"/>
        <v>12.725200000000001</v>
      </c>
      <c r="J336" s="756">
        <v>25.450400000000002</v>
      </c>
      <c r="K336" s="131">
        <f t="shared" si="72"/>
        <v>25.450400000000002</v>
      </c>
      <c r="L336" s="335">
        <f t="shared" ref="L336:L399" si="74">+J336-K336</f>
        <v>0</v>
      </c>
      <c r="M336" s="446"/>
      <c r="N336" s="446"/>
      <c r="O336" s="446"/>
      <c r="P336" s="446"/>
      <c r="Q336" s="130">
        <v>1</v>
      </c>
      <c r="R336" s="111">
        <v>12.73</v>
      </c>
      <c r="S336" s="110"/>
      <c r="T336" s="110"/>
      <c r="U336" s="130">
        <v>1</v>
      </c>
      <c r="V336" s="111">
        <v>12.73</v>
      </c>
      <c r="W336" s="110"/>
      <c r="X336" s="110"/>
      <c r="Y336" s="110"/>
      <c r="Z336" s="110"/>
      <c r="AA336" s="130">
        <v>0</v>
      </c>
      <c r="AB336" s="111">
        <v>0</v>
      </c>
      <c r="AC336" s="110"/>
      <c r="AD336" s="110"/>
      <c r="AE336" s="130">
        <v>0</v>
      </c>
      <c r="AF336" s="111">
        <v>0</v>
      </c>
      <c r="AG336" s="110"/>
      <c r="AH336" s="110"/>
      <c r="AI336" s="110"/>
      <c r="AJ336" s="110"/>
      <c r="AK336" s="111">
        <f t="shared" ref="AK336:AK399" si="75">+R336+V336+AB336+AF336</f>
        <v>25.46</v>
      </c>
      <c r="AL336" s="446">
        <f t="shared" ref="AL336:AL399" si="76">+J336-AK336</f>
        <v>-9.5999999999989427E-3</v>
      </c>
      <c r="AM336" s="110">
        <f t="shared" ref="AM336:AM399" si="77">+Q336+U336+AA336+AE336</f>
        <v>2</v>
      </c>
      <c r="AN336" s="447">
        <f t="shared" si="73"/>
        <v>0</v>
      </c>
      <c r="AO336"/>
      <c r="AP336"/>
    </row>
    <row r="337" spans="1:42" ht="66" x14ac:dyDescent="0.25">
      <c r="A337" s="40"/>
      <c r="B337" s="149" t="s">
        <v>1979</v>
      </c>
      <c r="C337" s="1028"/>
      <c r="D337" s="869">
        <v>1</v>
      </c>
      <c r="E337" s="1027" t="s">
        <v>1987</v>
      </c>
      <c r="F337" s="273" t="s">
        <v>3446</v>
      </c>
      <c r="G337" s="1040" t="s">
        <v>3463</v>
      </c>
      <c r="H337" s="273" t="s">
        <v>3462</v>
      </c>
      <c r="I337" s="720">
        <f t="shared" si="71"/>
        <v>69.194000000000003</v>
      </c>
      <c r="J337" s="756">
        <v>69.194000000000003</v>
      </c>
      <c r="K337" s="131">
        <f t="shared" si="72"/>
        <v>69.194000000000003</v>
      </c>
      <c r="L337" s="335">
        <f t="shared" si="74"/>
        <v>0</v>
      </c>
      <c r="M337" s="446"/>
      <c r="N337" s="446"/>
      <c r="O337" s="446"/>
      <c r="P337" s="446"/>
      <c r="Q337" s="110">
        <v>1</v>
      </c>
      <c r="R337" s="111">
        <v>69.19</v>
      </c>
      <c r="S337" s="110"/>
      <c r="T337" s="110"/>
      <c r="U337" s="110">
        <v>0</v>
      </c>
      <c r="V337" s="111">
        <v>0</v>
      </c>
      <c r="W337" s="110"/>
      <c r="X337" s="110"/>
      <c r="Y337" s="110"/>
      <c r="Z337" s="110"/>
      <c r="AA337" s="110">
        <v>0</v>
      </c>
      <c r="AB337" s="111">
        <v>0</v>
      </c>
      <c r="AC337" s="110"/>
      <c r="AD337" s="110"/>
      <c r="AE337" s="110">
        <v>0</v>
      </c>
      <c r="AF337" s="111">
        <v>0</v>
      </c>
      <c r="AG337" s="110"/>
      <c r="AH337" s="110"/>
      <c r="AI337" s="110"/>
      <c r="AJ337" s="110"/>
      <c r="AK337" s="111">
        <f t="shared" si="75"/>
        <v>69.19</v>
      </c>
      <c r="AL337" s="446">
        <f t="shared" si="76"/>
        <v>4.0000000000048885E-3</v>
      </c>
      <c r="AM337" s="110">
        <f t="shared" si="77"/>
        <v>1</v>
      </c>
      <c r="AN337" s="447">
        <f t="shared" si="73"/>
        <v>0</v>
      </c>
      <c r="AO337"/>
      <c r="AP337"/>
    </row>
    <row r="338" spans="1:42" ht="66" x14ac:dyDescent="0.25">
      <c r="A338" s="40"/>
      <c r="B338" s="149" t="s">
        <v>1980</v>
      </c>
      <c r="C338" s="1028"/>
      <c r="D338" s="869">
        <v>1</v>
      </c>
      <c r="E338" s="1027" t="s">
        <v>1986</v>
      </c>
      <c r="F338" s="273" t="s">
        <v>3446</v>
      </c>
      <c r="G338" s="1040" t="s">
        <v>3463</v>
      </c>
      <c r="H338" s="273" t="s">
        <v>3462</v>
      </c>
      <c r="I338" s="720">
        <f t="shared" si="71"/>
        <v>149.756</v>
      </c>
      <c r="J338" s="756">
        <v>149.756</v>
      </c>
      <c r="K338" s="131">
        <f t="shared" si="72"/>
        <v>149.756</v>
      </c>
      <c r="L338" s="335">
        <f t="shared" si="74"/>
        <v>0</v>
      </c>
      <c r="M338" s="446"/>
      <c r="N338" s="446"/>
      <c r="O338" s="446"/>
      <c r="P338" s="446"/>
      <c r="Q338" s="110">
        <v>1</v>
      </c>
      <c r="R338" s="111">
        <v>149.76</v>
      </c>
      <c r="S338" s="110"/>
      <c r="T338" s="110"/>
      <c r="U338" s="110">
        <v>0</v>
      </c>
      <c r="V338" s="111">
        <v>0</v>
      </c>
      <c r="W338" s="110"/>
      <c r="X338" s="110"/>
      <c r="Y338" s="110"/>
      <c r="Z338" s="110"/>
      <c r="AA338" s="110">
        <v>0</v>
      </c>
      <c r="AB338" s="111">
        <v>0</v>
      </c>
      <c r="AC338" s="110"/>
      <c r="AD338" s="110"/>
      <c r="AE338" s="110">
        <v>0</v>
      </c>
      <c r="AF338" s="111">
        <v>0</v>
      </c>
      <c r="AG338" s="110"/>
      <c r="AH338" s="110"/>
      <c r="AI338" s="110"/>
      <c r="AJ338" s="110"/>
      <c r="AK338" s="111">
        <f t="shared" si="75"/>
        <v>149.76</v>
      </c>
      <c r="AL338" s="446">
        <f t="shared" si="76"/>
        <v>-3.9999999999906777E-3</v>
      </c>
      <c r="AM338" s="110">
        <f t="shared" si="77"/>
        <v>1</v>
      </c>
      <c r="AN338" s="447">
        <f t="shared" si="73"/>
        <v>0</v>
      </c>
      <c r="AO338"/>
      <c r="AP338"/>
    </row>
    <row r="339" spans="1:42" ht="66" x14ac:dyDescent="0.25">
      <c r="A339" s="40"/>
      <c r="B339" s="484" t="s">
        <v>1981</v>
      </c>
      <c r="C339" s="1028"/>
      <c r="D339" s="869">
        <v>1</v>
      </c>
      <c r="E339" s="1027" t="s">
        <v>1723</v>
      </c>
      <c r="F339" s="273" t="s">
        <v>3446</v>
      </c>
      <c r="G339" s="1040" t="s">
        <v>3463</v>
      </c>
      <c r="H339" s="273" t="s">
        <v>3462</v>
      </c>
      <c r="I339" s="720">
        <f t="shared" si="71"/>
        <v>149.756</v>
      </c>
      <c r="J339" s="756">
        <v>149.756</v>
      </c>
      <c r="K339" s="131">
        <f t="shared" si="72"/>
        <v>149.756</v>
      </c>
      <c r="L339" s="335">
        <f t="shared" si="74"/>
        <v>0</v>
      </c>
      <c r="M339" s="446"/>
      <c r="N339" s="446"/>
      <c r="O339" s="446"/>
      <c r="P339" s="446"/>
      <c r="Q339" s="110">
        <v>1</v>
      </c>
      <c r="R339" s="111">
        <v>149.76</v>
      </c>
      <c r="S339" s="110"/>
      <c r="T339" s="110"/>
      <c r="U339" s="110">
        <v>0</v>
      </c>
      <c r="V339" s="111">
        <v>0</v>
      </c>
      <c r="W339" s="110"/>
      <c r="X339" s="110"/>
      <c r="Y339" s="110"/>
      <c r="Z339" s="110"/>
      <c r="AA339" s="110">
        <v>0</v>
      </c>
      <c r="AB339" s="111">
        <v>0</v>
      </c>
      <c r="AC339" s="110"/>
      <c r="AD339" s="110"/>
      <c r="AE339" s="110">
        <v>0</v>
      </c>
      <c r="AF339" s="111">
        <v>0</v>
      </c>
      <c r="AG339" s="110"/>
      <c r="AH339" s="110"/>
      <c r="AI339" s="110"/>
      <c r="AJ339" s="110"/>
      <c r="AK339" s="111">
        <f t="shared" si="75"/>
        <v>149.76</v>
      </c>
      <c r="AL339" s="446">
        <f t="shared" si="76"/>
        <v>-3.9999999999906777E-3</v>
      </c>
      <c r="AM339" s="110">
        <f t="shared" si="77"/>
        <v>1</v>
      </c>
      <c r="AN339" s="447">
        <f t="shared" si="73"/>
        <v>0</v>
      </c>
      <c r="AO339"/>
      <c r="AP339"/>
    </row>
    <row r="340" spans="1:42" ht="66" x14ac:dyDescent="0.25">
      <c r="A340" s="40"/>
      <c r="B340" s="484" t="s">
        <v>1982</v>
      </c>
      <c r="C340" s="1028"/>
      <c r="D340" s="869">
        <v>2</v>
      </c>
      <c r="E340" s="1027" t="s">
        <v>1986</v>
      </c>
      <c r="F340" s="273" t="s">
        <v>3446</v>
      </c>
      <c r="G340" s="1040" t="s">
        <v>3463</v>
      </c>
      <c r="H340" s="273" t="s">
        <v>3462</v>
      </c>
      <c r="I340" s="720">
        <f t="shared" si="71"/>
        <v>113.0072</v>
      </c>
      <c r="J340" s="756">
        <v>226.01439999999999</v>
      </c>
      <c r="K340" s="131">
        <f t="shared" si="72"/>
        <v>226.01439999999999</v>
      </c>
      <c r="L340" s="335">
        <f t="shared" si="74"/>
        <v>0</v>
      </c>
      <c r="M340" s="446"/>
      <c r="N340" s="446"/>
      <c r="O340" s="446"/>
      <c r="P340" s="446"/>
      <c r="Q340" s="130">
        <v>1</v>
      </c>
      <c r="R340" s="111">
        <v>113.01</v>
      </c>
      <c r="S340" s="110"/>
      <c r="T340" s="110"/>
      <c r="U340" s="130">
        <v>1</v>
      </c>
      <c r="V340" s="111">
        <v>113.01</v>
      </c>
      <c r="W340" s="110"/>
      <c r="X340" s="110"/>
      <c r="Y340" s="110"/>
      <c r="Z340" s="110"/>
      <c r="AA340" s="130">
        <v>0</v>
      </c>
      <c r="AB340" s="111">
        <v>0</v>
      </c>
      <c r="AC340" s="110"/>
      <c r="AD340" s="110"/>
      <c r="AE340" s="130">
        <v>0</v>
      </c>
      <c r="AF340" s="111">
        <v>0</v>
      </c>
      <c r="AG340" s="110"/>
      <c r="AH340" s="110"/>
      <c r="AI340" s="110"/>
      <c r="AJ340" s="110"/>
      <c r="AK340" s="111">
        <f t="shared" si="75"/>
        <v>226.02</v>
      </c>
      <c r="AL340" s="446">
        <f t="shared" si="76"/>
        <v>-5.6000000000153705E-3</v>
      </c>
      <c r="AM340" s="110">
        <f t="shared" si="77"/>
        <v>2</v>
      </c>
      <c r="AN340" s="447">
        <f t="shared" si="73"/>
        <v>0</v>
      </c>
      <c r="AO340"/>
      <c r="AP340"/>
    </row>
    <row r="341" spans="1:42" ht="66" x14ac:dyDescent="0.25">
      <c r="A341" s="40"/>
      <c r="B341" s="484" t="s">
        <v>53</v>
      </c>
      <c r="C341" s="1028"/>
      <c r="D341" s="869">
        <v>2</v>
      </c>
      <c r="E341" s="1027" t="s">
        <v>1986</v>
      </c>
      <c r="F341" s="273" t="s">
        <v>3446</v>
      </c>
      <c r="G341" s="1040" t="s">
        <v>3463</v>
      </c>
      <c r="H341" s="273" t="s">
        <v>3462</v>
      </c>
      <c r="I341" s="720">
        <f t="shared" si="71"/>
        <v>84.610399999999998</v>
      </c>
      <c r="J341" s="756">
        <v>169.2208</v>
      </c>
      <c r="K341" s="131">
        <f t="shared" si="72"/>
        <v>169.2208</v>
      </c>
      <c r="L341" s="335">
        <f t="shared" si="74"/>
        <v>0</v>
      </c>
      <c r="M341" s="446"/>
      <c r="N341" s="446"/>
      <c r="O341" s="446"/>
      <c r="P341" s="446"/>
      <c r="Q341" s="130">
        <v>1</v>
      </c>
      <c r="R341" s="111">
        <v>84.61</v>
      </c>
      <c r="S341" s="110"/>
      <c r="T341" s="110"/>
      <c r="U341" s="130">
        <v>1</v>
      </c>
      <c r="V341" s="111">
        <v>84.61</v>
      </c>
      <c r="W341" s="110"/>
      <c r="X341" s="110"/>
      <c r="Y341" s="110"/>
      <c r="Z341" s="110"/>
      <c r="AA341" s="130">
        <v>0</v>
      </c>
      <c r="AB341" s="111">
        <v>0</v>
      </c>
      <c r="AC341" s="110"/>
      <c r="AD341" s="110"/>
      <c r="AE341" s="130">
        <v>0</v>
      </c>
      <c r="AF341" s="111">
        <v>0</v>
      </c>
      <c r="AG341" s="110"/>
      <c r="AH341" s="110"/>
      <c r="AI341" s="110"/>
      <c r="AJ341" s="110"/>
      <c r="AK341" s="111">
        <f t="shared" si="75"/>
        <v>169.22</v>
      </c>
      <c r="AL341" s="446">
        <f t="shared" si="76"/>
        <v>7.9999999999813554E-4</v>
      </c>
      <c r="AM341" s="110">
        <f t="shared" si="77"/>
        <v>2</v>
      </c>
      <c r="AN341" s="447">
        <f t="shared" si="73"/>
        <v>0</v>
      </c>
      <c r="AO341"/>
      <c r="AP341"/>
    </row>
    <row r="342" spans="1:42" ht="66" x14ac:dyDescent="0.25">
      <c r="A342" s="40"/>
      <c r="B342" s="149" t="s">
        <v>1983</v>
      </c>
      <c r="C342" s="1028"/>
      <c r="D342" s="869">
        <v>2</v>
      </c>
      <c r="E342" s="1027" t="s">
        <v>1986</v>
      </c>
      <c r="F342" s="273" t="s">
        <v>3446</v>
      </c>
      <c r="G342" s="1040" t="s">
        <v>3463</v>
      </c>
      <c r="H342" s="273" t="s">
        <v>3462</v>
      </c>
      <c r="I342" s="720">
        <f t="shared" si="71"/>
        <v>20.8916</v>
      </c>
      <c r="J342" s="756">
        <v>41.783200000000001</v>
      </c>
      <c r="K342" s="131">
        <f t="shared" si="72"/>
        <v>41.783200000000001</v>
      </c>
      <c r="L342" s="335">
        <f t="shared" si="74"/>
        <v>0</v>
      </c>
      <c r="M342" s="446"/>
      <c r="N342" s="446"/>
      <c r="O342" s="446"/>
      <c r="P342" s="446"/>
      <c r="Q342" s="130">
        <v>1</v>
      </c>
      <c r="R342" s="111">
        <v>20.89</v>
      </c>
      <c r="S342" s="110"/>
      <c r="T342" s="110"/>
      <c r="U342" s="130">
        <v>1</v>
      </c>
      <c r="V342" s="111">
        <v>20.89</v>
      </c>
      <c r="W342" s="110"/>
      <c r="X342" s="110"/>
      <c r="Y342" s="110"/>
      <c r="Z342" s="110"/>
      <c r="AA342" s="130">
        <v>0</v>
      </c>
      <c r="AB342" s="111">
        <v>0</v>
      </c>
      <c r="AC342" s="110"/>
      <c r="AD342" s="110"/>
      <c r="AE342" s="130">
        <v>0</v>
      </c>
      <c r="AF342" s="111">
        <v>0</v>
      </c>
      <c r="AG342" s="110"/>
      <c r="AH342" s="110"/>
      <c r="AI342" s="110"/>
      <c r="AJ342" s="110"/>
      <c r="AK342" s="111">
        <f t="shared" si="75"/>
        <v>41.78</v>
      </c>
      <c r="AL342" s="446">
        <f t="shared" si="76"/>
        <v>3.1999999999996476E-3</v>
      </c>
      <c r="AM342" s="110">
        <f t="shared" si="77"/>
        <v>2</v>
      </c>
      <c r="AN342" s="447">
        <f t="shared" si="73"/>
        <v>0</v>
      </c>
      <c r="AO342"/>
      <c r="AP342"/>
    </row>
    <row r="343" spans="1:42" ht="66" x14ac:dyDescent="0.25">
      <c r="A343" s="40"/>
      <c r="B343" s="149" t="s">
        <v>1984</v>
      </c>
      <c r="C343" s="1028"/>
      <c r="D343" s="869">
        <v>2</v>
      </c>
      <c r="E343" s="1027" t="s">
        <v>1986</v>
      </c>
      <c r="F343" s="273" t="s">
        <v>3446</v>
      </c>
      <c r="G343" s="1040" t="s">
        <v>3463</v>
      </c>
      <c r="H343" s="273" t="s">
        <v>3462</v>
      </c>
      <c r="I343" s="720">
        <f t="shared" si="71"/>
        <v>28.303999999999998</v>
      </c>
      <c r="J343" s="756">
        <v>56.607999999999997</v>
      </c>
      <c r="K343" s="131">
        <f t="shared" si="72"/>
        <v>56.607999999999997</v>
      </c>
      <c r="L343" s="335">
        <f t="shared" si="74"/>
        <v>0</v>
      </c>
      <c r="M343" s="446"/>
      <c r="N343" s="446"/>
      <c r="O343" s="446"/>
      <c r="P343" s="446"/>
      <c r="Q343" s="130">
        <v>1</v>
      </c>
      <c r="R343" s="111">
        <v>28.3</v>
      </c>
      <c r="S343" s="110"/>
      <c r="T343" s="110"/>
      <c r="U343" s="130">
        <v>1</v>
      </c>
      <c r="V343" s="111">
        <v>28.3</v>
      </c>
      <c r="W343" s="110"/>
      <c r="X343" s="110"/>
      <c r="Y343" s="110"/>
      <c r="Z343" s="110"/>
      <c r="AA343" s="130">
        <v>0</v>
      </c>
      <c r="AB343" s="111">
        <v>0</v>
      </c>
      <c r="AC343" s="110"/>
      <c r="AD343" s="110"/>
      <c r="AE343" s="130">
        <v>0</v>
      </c>
      <c r="AF343" s="111">
        <v>0</v>
      </c>
      <c r="AG343" s="110"/>
      <c r="AH343" s="110"/>
      <c r="AI343" s="110"/>
      <c r="AJ343" s="110"/>
      <c r="AK343" s="111">
        <f t="shared" si="75"/>
        <v>56.6</v>
      </c>
      <c r="AL343" s="446">
        <f t="shared" si="76"/>
        <v>7.9999999999955662E-3</v>
      </c>
      <c r="AM343" s="110">
        <f t="shared" si="77"/>
        <v>2</v>
      </c>
      <c r="AN343" s="447">
        <f t="shared" si="73"/>
        <v>0</v>
      </c>
      <c r="AO343"/>
      <c r="AP343"/>
    </row>
    <row r="344" spans="1:42" ht="66" x14ac:dyDescent="0.25">
      <c r="A344" s="40"/>
      <c r="B344" s="149" t="s">
        <v>1985</v>
      </c>
      <c r="C344" s="1028"/>
      <c r="D344" s="869">
        <v>1</v>
      </c>
      <c r="E344" s="1027" t="s">
        <v>1988</v>
      </c>
      <c r="F344" s="273" t="s">
        <v>3446</v>
      </c>
      <c r="G344" s="1040" t="s">
        <v>3463</v>
      </c>
      <c r="H344" s="273" t="s">
        <v>3462</v>
      </c>
      <c r="I344" s="720">
        <f t="shared" si="71"/>
        <v>21.1236</v>
      </c>
      <c r="J344" s="756">
        <v>21.1236</v>
      </c>
      <c r="K344" s="131">
        <f t="shared" si="72"/>
        <v>21.1236</v>
      </c>
      <c r="L344" s="335">
        <f t="shared" si="74"/>
        <v>0</v>
      </c>
      <c r="M344" s="446"/>
      <c r="N344" s="446"/>
      <c r="O344" s="446"/>
      <c r="P344" s="446"/>
      <c r="Q344" s="110">
        <v>1</v>
      </c>
      <c r="R344" s="111">
        <f t="shared" ref="R344:R381" si="78">+J344/4</f>
        <v>5.2808999999999999</v>
      </c>
      <c r="S344" s="110"/>
      <c r="T344" s="110"/>
      <c r="U344" s="110">
        <v>0</v>
      </c>
      <c r="V344" s="111">
        <f t="shared" ref="V344:V381" si="79">+J344/4</f>
        <v>5.2808999999999999</v>
      </c>
      <c r="W344" s="110"/>
      <c r="X344" s="110"/>
      <c r="Y344" s="110"/>
      <c r="Z344" s="110"/>
      <c r="AA344" s="110">
        <v>0</v>
      </c>
      <c r="AB344" s="111">
        <f t="shared" ref="AB344:AB407" si="80">+J344/4</f>
        <v>5.2808999999999999</v>
      </c>
      <c r="AC344" s="110"/>
      <c r="AD344" s="110"/>
      <c r="AE344" s="110">
        <v>0</v>
      </c>
      <c r="AF344" s="111">
        <f t="shared" ref="AF344:AF407" si="81">+J344/4</f>
        <v>5.2808999999999999</v>
      </c>
      <c r="AG344" s="110"/>
      <c r="AH344" s="110"/>
      <c r="AI344" s="110"/>
      <c r="AJ344" s="110"/>
      <c r="AK344" s="111">
        <f t="shared" si="75"/>
        <v>21.1236</v>
      </c>
      <c r="AL344" s="446">
        <f t="shared" si="76"/>
        <v>0</v>
      </c>
      <c r="AM344" s="110">
        <f t="shared" si="77"/>
        <v>1</v>
      </c>
      <c r="AN344" s="447">
        <f t="shared" si="73"/>
        <v>0</v>
      </c>
      <c r="AO344"/>
      <c r="AP344"/>
    </row>
    <row r="345" spans="1:42" ht="66" x14ac:dyDescent="0.25">
      <c r="A345" s="9"/>
      <c r="B345" s="485" t="s">
        <v>20</v>
      </c>
      <c r="C345" s="1024"/>
      <c r="D345" s="869">
        <v>24</v>
      </c>
      <c r="E345" s="1027" t="s">
        <v>1722</v>
      </c>
      <c r="F345" s="273" t="s">
        <v>3446</v>
      </c>
      <c r="G345" s="1040" t="s">
        <v>3463</v>
      </c>
      <c r="H345" s="273" t="s">
        <v>3462</v>
      </c>
      <c r="I345" s="720">
        <f t="shared" si="71"/>
        <v>42.59</v>
      </c>
      <c r="J345" s="756">
        <v>1022.1600000000001</v>
      </c>
      <c r="K345" s="131">
        <f t="shared" si="72"/>
        <v>1022.1600000000001</v>
      </c>
      <c r="L345" s="335">
        <f t="shared" si="74"/>
        <v>0</v>
      </c>
      <c r="M345" s="446"/>
      <c r="N345" s="446"/>
      <c r="O345" s="446"/>
      <c r="P345" s="446"/>
      <c r="Q345" s="110">
        <f t="shared" ref="Q345:Q381" si="82">+$D345/4</f>
        <v>6</v>
      </c>
      <c r="R345" s="111">
        <f t="shared" si="78"/>
        <v>255.54000000000002</v>
      </c>
      <c r="S345" s="110"/>
      <c r="T345" s="110"/>
      <c r="U345" s="110">
        <f t="shared" ref="U345:U381" si="83">+$D345/4</f>
        <v>6</v>
      </c>
      <c r="V345" s="111">
        <f t="shared" si="79"/>
        <v>255.54000000000002</v>
      </c>
      <c r="W345" s="110"/>
      <c r="X345" s="110"/>
      <c r="Y345" s="110"/>
      <c r="Z345" s="110"/>
      <c r="AA345" s="110">
        <f t="shared" ref="AA345:AE381" si="84">+$D345/4</f>
        <v>6</v>
      </c>
      <c r="AB345" s="111">
        <f t="shared" si="80"/>
        <v>255.54000000000002</v>
      </c>
      <c r="AC345" s="110"/>
      <c r="AD345" s="110"/>
      <c r="AE345" s="110">
        <f t="shared" si="84"/>
        <v>6</v>
      </c>
      <c r="AF345" s="111">
        <f t="shared" si="81"/>
        <v>255.54000000000002</v>
      </c>
      <c r="AG345" s="110"/>
      <c r="AH345" s="110"/>
      <c r="AI345" s="110"/>
      <c r="AJ345" s="110"/>
      <c r="AK345" s="111">
        <f t="shared" si="75"/>
        <v>1022.1600000000001</v>
      </c>
      <c r="AL345" s="446">
        <f t="shared" si="76"/>
        <v>0</v>
      </c>
      <c r="AM345" s="110">
        <f t="shared" si="77"/>
        <v>24</v>
      </c>
      <c r="AN345" s="447">
        <f t="shared" si="73"/>
        <v>0</v>
      </c>
      <c r="AO345"/>
      <c r="AP345"/>
    </row>
    <row r="346" spans="1:42" ht="66" x14ac:dyDescent="0.25">
      <c r="A346" s="9"/>
      <c r="B346" s="485" t="s">
        <v>25</v>
      </c>
      <c r="C346" s="1024"/>
      <c r="D346" s="869">
        <v>4</v>
      </c>
      <c r="E346" s="1027" t="s">
        <v>1722</v>
      </c>
      <c r="F346" s="273" t="s">
        <v>3446</v>
      </c>
      <c r="G346" s="1040" t="s">
        <v>3463</v>
      </c>
      <c r="H346" s="273" t="s">
        <v>3462</v>
      </c>
      <c r="I346" s="720">
        <f t="shared" si="71"/>
        <v>39.200000000000003</v>
      </c>
      <c r="J346" s="756">
        <v>156.80000000000001</v>
      </c>
      <c r="K346" s="131">
        <f t="shared" si="72"/>
        <v>156.80000000000001</v>
      </c>
      <c r="L346" s="335">
        <f t="shared" si="74"/>
        <v>0</v>
      </c>
      <c r="M346" s="446"/>
      <c r="N346" s="446"/>
      <c r="O346" s="446"/>
      <c r="P346" s="446"/>
      <c r="Q346" s="110">
        <f t="shared" si="82"/>
        <v>1</v>
      </c>
      <c r="R346" s="111">
        <f t="shared" si="78"/>
        <v>39.200000000000003</v>
      </c>
      <c r="S346" s="110"/>
      <c r="T346" s="110"/>
      <c r="U346" s="110">
        <f t="shared" si="83"/>
        <v>1</v>
      </c>
      <c r="V346" s="111">
        <f t="shared" si="79"/>
        <v>39.200000000000003</v>
      </c>
      <c r="W346" s="110"/>
      <c r="X346" s="110"/>
      <c r="Y346" s="110"/>
      <c r="Z346" s="110"/>
      <c r="AA346" s="110">
        <f t="shared" si="84"/>
        <v>1</v>
      </c>
      <c r="AB346" s="111">
        <f t="shared" si="80"/>
        <v>39.200000000000003</v>
      </c>
      <c r="AC346" s="110"/>
      <c r="AD346" s="110"/>
      <c r="AE346" s="110">
        <f t="shared" si="84"/>
        <v>1</v>
      </c>
      <c r="AF346" s="111">
        <f t="shared" si="81"/>
        <v>39.200000000000003</v>
      </c>
      <c r="AG346" s="110"/>
      <c r="AH346" s="110"/>
      <c r="AI346" s="110"/>
      <c r="AJ346" s="110"/>
      <c r="AK346" s="111">
        <f t="shared" si="75"/>
        <v>156.80000000000001</v>
      </c>
      <c r="AL346" s="446">
        <f t="shared" si="76"/>
        <v>0</v>
      </c>
      <c r="AM346" s="110">
        <f t="shared" si="77"/>
        <v>4</v>
      </c>
      <c r="AN346" s="447">
        <f t="shared" si="73"/>
        <v>0</v>
      </c>
      <c r="AO346"/>
      <c r="AP346"/>
    </row>
    <row r="347" spans="1:42" ht="66" x14ac:dyDescent="0.25">
      <c r="A347" s="9"/>
      <c r="B347" s="485" t="s">
        <v>34</v>
      </c>
      <c r="C347" s="1024"/>
      <c r="D347" s="869">
        <v>4</v>
      </c>
      <c r="E347" s="1027" t="s">
        <v>1997</v>
      </c>
      <c r="F347" s="273" t="s">
        <v>3446</v>
      </c>
      <c r="G347" s="1040" t="s">
        <v>3463</v>
      </c>
      <c r="H347" s="273" t="s">
        <v>3462</v>
      </c>
      <c r="I347" s="720">
        <f t="shared" si="71"/>
        <v>15.28</v>
      </c>
      <c r="J347" s="756">
        <v>61.12</v>
      </c>
      <c r="K347" s="131">
        <f t="shared" si="72"/>
        <v>61.12</v>
      </c>
      <c r="L347" s="335">
        <f t="shared" si="74"/>
        <v>0</v>
      </c>
      <c r="M347" s="446"/>
      <c r="N347" s="446"/>
      <c r="O347" s="446"/>
      <c r="P347" s="446"/>
      <c r="Q347" s="110">
        <f t="shared" si="82"/>
        <v>1</v>
      </c>
      <c r="R347" s="111">
        <f t="shared" si="78"/>
        <v>15.28</v>
      </c>
      <c r="S347" s="110"/>
      <c r="T347" s="110"/>
      <c r="U347" s="110">
        <f t="shared" si="83"/>
        <v>1</v>
      </c>
      <c r="V347" s="111">
        <f t="shared" si="79"/>
        <v>15.28</v>
      </c>
      <c r="W347" s="110"/>
      <c r="X347" s="110"/>
      <c r="Y347" s="110"/>
      <c r="Z347" s="110"/>
      <c r="AA347" s="110">
        <f t="shared" si="84"/>
        <v>1</v>
      </c>
      <c r="AB347" s="111">
        <f t="shared" si="80"/>
        <v>15.28</v>
      </c>
      <c r="AC347" s="110"/>
      <c r="AD347" s="110"/>
      <c r="AE347" s="110">
        <f t="shared" si="84"/>
        <v>1</v>
      </c>
      <c r="AF347" s="111">
        <f t="shared" si="81"/>
        <v>15.28</v>
      </c>
      <c r="AG347" s="110"/>
      <c r="AH347" s="110"/>
      <c r="AI347" s="110"/>
      <c r="AJ347" s="110"/>
      <c r="AK347" s="111">
        <f t="shared" si="75"/>
        <v>61.12</v>
      </c>
      <c r="AL347" s="446">
        <f t="shared" si="76"/>
        <v>0</v>
      </c>
      <c r="AM347" s="110">
        <f t="shared" si="77"/>
        <v>4</v>
      </c>
      <c r="AN347" s="447">
        <f t="shared" si="73"/>
        <v>0</v>
      </c>
      <c r="AO347"/>
      <c r="AP347"/>
    </row>
    <row r="348" spans="1:42" ht="66" x14ac:dyDescent="0.25">
      <c r="A348" s="9"/>
      <c r="B348" s="485" t="s">
        <v>35</v>
      </c>
      <c r="C348" s="1024"/>
      <c r="D348" s="869">
        <v>4</v>
      </c>
      <c r="E348" s="1027" t="s">
        <v>1997</v>
      </c>
      <c r="F348" s="273" t="s">
        <v>3446</v>
      </c>
      <c r="G348" s="1040" t="s">
        <v>3463</v>
      </c>
      <c r="H348" s="273" t="s">
        <v>3462</v>
      </c>
      <c r="I348" s="720">
        <f t="shared" ref="I348:I411" si="85">+J348/D348</f>
        <v>20.55</v>
      </c>
      <c r="J348" s="756">
        <v>82.2</v>
      </c>
      <c r="K348" s="131">
        <f t="shared" si="72"/>
        <v>82.2</v>
      </c>
      <c r="L348" s="335">
        <f t="shared" si="74"/>
        <v>0</v>
      </c>
      <c r="M348" s="446"/>
      <c r="N348" s="446"/>
      <c r="O348" s="446"/>
      <c r="P348" s="446"/>
      <c r="Q348" s="110">
        <f t="shared" si="82"/>
        <v>1</v>
      </c>
      <c r="R348" s="111">
        <f t="shared" si="78"/>
        <v>20.55</v>
      </c>
      <c r="S348" s="110"/>
      <c r="T348" s="110"/>
      <c r="U348" s="110">
        <f t="shared" si="83"/>
        <v>1</v>
      </c>
      <c r="V348" s="111">
        <f t="shared" si="79"/>
        <v>20.55</v>
      </c>
      <c r="W348" s="110"/>
      <c r="X348" s="110"/>
      <c r="Y348" s="110"/>
      <c r="Z348" s="110"/>
      <c r="AA348" s="110">
        <f t="shared" si="84"/>
        <v>1</v>
      </c>
      <c r="AB348" s="111">
        <f t="shared" si="80"/>
        <v>20.55</v>
      </c>
      <c r="AC348" s="110"/>
      <c r="AD348" s="110"/>
      <c r="AE348" s="110">
        <f t="shared" si="84"/>
        <v>1</v>
      </c>
      <c r="AF348" s="111">
        <f t="shared" si="81"/>
        <v>20.55</v>
      </c>
      <c r="AG348" s="110"/>
      <c r="AH348" s="110"/>
      <c r="AI348" s="110"/>
      <c r="AJ348" s="110"/>
      <c r="AK348" s="111">
        <f t="shared" si="75"/>
        <v>82.2</v>
      </c>
      <c r="AL348" s="446">
        <f t="shared" si="76"/>
        <v>0</v>
      </c>
      <c r="AM348" s="110">
        <f t="shared" si="77"/>
        <v>4</v>
      </c>
      <c r="AN348" s="447">
        <f t="shared" si="73"/>
        <v>0</v>
      </c>
      <c r="AO348"/>
      <c r="AP348"/>
    </row>
    <row r="349" spans="1:42" ht="66" x14ac:dyDescent="0.25">
      <c r="A349" s="9"/>
      <c r="B349" s="485" t="s">
        <v>1714</v>
      </c>
      <c r="C349" s="1024"/>
      <c r="D349" s="869">
        <v>4</v>
      </c>
      <c r="E349" s="1027" t="s">
        <v>1721</v>
      </c>
      <c r="F349" s="273" t="s">
        <v>3446</v>
      </c>
      <c r="G349" s="1040" t="s">
        <v>3463</v>
      </c>
      <c r="H349" s="273" t="s">
        <v>3462</v>
      </c>
      <c r="I349" s="720">
        <f t="shared" si="85"/>
        <v>26.73</v>
      </c>
      <c r="J349" s="756">
        <v>106.92</v>
      </c>
      <c r="K349" s="131">
        <f t="shared" si="72"/>
        <v>106.92</v>
      </c>
      <c r="L349" s="335">
        <f t="shared" si="74"/>
        <v>0</v>
      </c>
      <c r="M349" s="446"/>
      <c r="N349" s="446"/>
      <c r="O349" s="446"/>
      <c r="P349" s="446"/>
      <c r="Q349" s="110">
        <f t="shared" si="82"/>
        <v>1</v>
      </c>
      <c r="R349" s="111">
        <f t="shared" si="78"/>
        <v>26.73</v>
      </c>
      <c r="S349" s="110"/>
      <c r="T349" s="110"/>
      <c r="U349" s="110">
        <f t="shared" si="83"/>
        <v>1</v>
      </c>
      <c r="V349" s="111">
        <f t="shared" si="79"/>
        <v>26.73</v>
      </c>
      <c r="W349" s="110"/>
      <c r="X349" s="110"/>
      <c r="Y349" s="110"/>
      <c r="Z349" s="110"/>
      <c r="AA349" s="110">
        <f t="shared" si="84"/>
        <v>1</v>
      </c>
      <c r="AB349" s="111">
        <f t="shared" si="80"/>
        <v>26.73</v>
      </c>
      <c r="AC349" s="110"/>
      <c r="AD349" s="110"/>
      <c r="AE349" s="110">
        <f t="shared" si="84"/>
        <v>1</v>
      </c>
      <c r="AF349" s="111">
        <f t="shared" si="81"/>
        <v>26.73</v>
      </c>
      <c r="AG349" s="110"/>
      <c r="AH349" s="110"/>
      <c r="AI349" s="110"/>
      <c r="AJ349" s="110"/>
      <c r="AK349" s="111">
        <f t="shared" si="75"/>
        <v>106.92</v>
      </c>
      <c r="AL349" s="446">
        <f t="shared" si="76"/>
        <v>0</v>
      </c>
      <c r="AM349" s="110">
        <f t="shared" si="77"/>
        <v>4</v>
      </c>
      <c r="AN349" s="447">
        <f t="shared" si="73"/>
        <v>0</v>
      </c>
      <c r="AO349"/>
      <c r="AP349"/>
    </row>
    <row r="350" spans="1:42" ht="66" x14ac:dyDescent="0.25">
      <c r="A350" s="9"/>
      <c r="B350" s="485" t="s">
        <v>48</v>
      </c>
      <c r="C350" s="1024"/>
      <c r="D350" s="869">
        <v>8</v>
      </c>
      <c r="E350" s="1027" t="s">
        <v>1998</v>
      </c>
      <c r="F350" s="273" t="s">
        <v>3446</v>
      </c>
      <c r="G350" s="1040" t="s">
        <v>3463</v>
      </c>
      <c r="H350" s="273" t="s">
        <v>3462</v>
      </c>
      <c r="I350" s="720">
        <f t="shared" si="85"/>
        <v>35.64</v>
      </c>
      <c r="J350" s="756">
        <v>285.12</v>
      </c>
      <c r="K350" s="131">
        <f t="shared" si="72"/>
        <v>285.12</v>
      </c>
      <c r="L350" s="335">
        <f t="shared" si="74"/>
        <v>0</v>
      </c>
      <c r="M350" s="446"/>
      <c r="N350" s="446"/>
      <c r="O350" s="446"/>
      <c r="P350" s="446"/>
      <c r="Q350" s="110">
        <f t="shared" si="82"/>
        <v>2</v>
      </c>
      <c r="R350" s="111">
        <f t="shared" si="78"/>
        <v>71.28</v>
      </c>
      <c r="S350" s="110"/>
      <c r="T350" s="110"/>
      <c r="U350" s="110">
        <f t="shared" si="83"/>
        <v>2</v>
      </c>
      <c r="V350" s="111">
        <f t="shared" si="79"/>
        <v>71.28</v>
      </c>
      <c r="W350" s="110"/>
      <c r="X350" s="110"/>
      <c r="Y350" s="110"/>
      <c r="Z350" s="110"/>
      <c r="AA350" s="110">
        <f t="shared" si="84"/>
        <v>2</v>
      </c>
      <c r="AB350" s="111">
        <f t="shared" si="80"/>
        <v>71.28</v>
      </c>
      <c r="AC350" s="110"/>
      <c r="AD350" s="110"/>
      <c r="AE350" s="110">
        <f t="shared" si="84"/>
        <v>2</v>
      </c>
      <c r="AF350" s="111">
        <f t="shared" si="81"/>
        <v>71.28</v>
      </c>
      <c r="AG350" s="110"/>
      <c r="AH350" s="110"/>
      <c r="AI350" s="110"/>
      <c r="AJ350" s="110"/>
      <c r="AK350" s="111">
        <f t="shared" si="75"/>
        <v>285.12</v>
      </c>
      <c r="AL350" s="446">
        <f t="shared" si="76"/>
        <v>0</v>
      </c>
      <c r="AM350" s="110">
        <f t="shared" si="77"/>
        <v>8</v>
      </c>
      <c r="AN350" s="447">
        <f t="shared" si="73"/>
        <v>0</v>
      </c>
      <c r="AO350"/>
      <c r="AP350"/>
    </row>
    <row r="351" spans="1:42" ht="66" x14ac:dyDescent="0.25">
      <c r="A351" s="9"/>
      <c r="B351" s="485" t="s">
        <v>40</v>
      </c>
      <c r="C351" s="1024"/>
      <c r="D351" s="869">
        <v>4</v>
      </c>
      <c r="E351" s="1027" t="s">
        <v>1997</v>
      </c>
      <c r="F351" s="273" t="s">
        <v>3446</v>
      </c>
      <c r="G351" s="1040" t="s">
        <v>3463</v>
      </c>
      <c r="H351" s="273" t="s">
        <v>3462</v>
      </c>
      <c r="I351" s="720">
        <f t="shared" si="85"/>
        <v>16.63</v>
      </c>
      <c r="J351" s="756">
        <v>66.52</v>
      </c>
      <c r="K351" s="131">
        <f t="shared" si="72"/>
        <v>66.52</v>
      </c>
      <c r="L351" s="335">
        <f t="shared" si="74"/>
        <v>0</v>
      </c>
      <c r="M351" s="446"/>
      <c r="N351" s="446"/>
      <c r="O351" s="446"/>
      <c r="P351" s="446"/>
      <c r="Q351" s="110">
        <f t="shared" si="82"/>
        <v>1</v>
      </c>
      <c r="R351" s="111">
        <f t="shared" si="78"/>
        <v>16.63</v>
      </c>
      <c r="S351" s="110"/>
      <c r="T351" s="110"/>
      <c r="U351" s="110">
        <f t="shared" si="83"/>
        <v>1</v>
      </c>
      <c r="V351" s="111">
        <f t="shared" si="79"/>
        <v>16.63</v>
      </c>
      <c r="W351" s="110"/>
      <c r="X351" s="110"/>
      <c r="Y351" s="110"/>
      <c r="Z351" s="110"/>
      <c r="AA351" s="110">
        <f t="shared" si="84"/>
        <v>1</v>
      </c>
      <c r="AB351" s="111">
        <f t="shared" si="80"/>
        <v>16.63</v>
      </c>
      <c r="AC351" s="110"/>
      <c r="AD351" s="110"/>
      <c r="AE351" s="110">
        <f t="shared" si="84"/>
        <v>1</v>
      </c>
      <c r="AF351" s="111">
        <f t="shared" si="81"/>
        <v>16.63</v>
      </c>
      <c r="AG351" s="110"/>
      <c r="AH351" s="110"/>
      <c r="AI351" s="110"/>
      <c r="AJ351" s="110"/>
      <c r="AK351" s="111">
        <f t="shared" si="75"/>
        <v>66.52</v>
      </c>
      <c r="AL351" s="446">
        <f t="shared" si="76"/>
        <v>0</v>
      </c>
      <c r="AM351" s="110">
        <f t="shared" si="77"/>
        <v>4</v>
      </c>
      <c r="AN351" s="447">
        <f t="shared" si="73"/>
        <v>0</v>
      </c>
      <c r="AO351"/>
      <c r="AP351"/>
    </row>
    <row r="352" spans="1:42" ht="66" x14ac:dyDescent="0.25">
      <c r="A352" s="9"/>
      <c r="B352" s="485" t="s">
        <v>44</v>
      </c>
      <c r="C352" s="1024"/>
      <c r="D352" s="869">
        <v>4</v>
      </c>
      <c r="E352" s="1027" t="s">
        <v>1997</v>
      </c>
      <c r="F352" s="273" t="s">
        <v>3446</v>
      </c>
      <c r="G352" s="1040" t="s">
        <v>3463</v>
      </c>
      <c r="H352" s="273" t="s">
        <v>3462</v>
      </c>
      <c r="I352" s="720">
        <f t="shared" si="85"/>
        <v>10.57</v>
      </c>
      <c r="J352" s="756">
        <v>42.28</v>
      </c>
      <c r="K352" s="131">
        <f t="shared" si="72"/>
        <v>42.28</v>
      </c>
      <c r="L352" s="335">
        <f t="shared" si="74"/>
        <v>0</v>
      </c>
      <c r="M352" s="446"/>
      <c r="N352" s="446"/>
      <c r="O352" s="446"/>
      <c r="P352" s="446"/>
      <c r="Q352" s="110">
        <f t="shared" si="82"/>
        <v>1</v>
      </c>
      <c r="R352" s="111">
        <f t="shared" si="78"/>
        <v>10.57</v>
      </c>
      <c r="S352" s="110"/>
      <c r="T352" s="110"/>
      <c r="U352" s="110">
        <f t="shared" si="83"/>
        <v>1</v>
      </c>
      <c r="V352" s="111">
        <f t="shared" si="79"/>
        <v>10.57</v>
      </c>
      <c r="W352" s="110"/>
      <c r="X352" s="110"/>
      <c r="Y352" s="110"/>
      <c r="Z352" s="110"/>
      <c r="AA352" s="110">
        <f t="shared" si="84"/>
        <v>1</v>
      </c>
      <c r="AB352" s="111">
        <f t="shared" si="80"/>
        <v>10.57</v>
      </c>
      <c r="AC352" s="110"/>
      <c r="AD352" s="110"/>
      <c r="AE352" s="110">
        <f t="shared" si="84"/>
        <v>1</v>
      </c>
      <c r="AF352" s="111">
        <f t="shared" si="81"/>
        <v>10.57</v>
      </c>
      <c r="AG352" s="110"/>
      <c r="AH352" s="110"/>
      <c r="AI352" s="110"/>
      <c r="AJ352" s="110"/>
      <c r="AK352" s="111">
        <f t="shared" si="75"/>
        <v>42.28</v>
      </c>
      <c r="AL352" s="446">
        <f t="shared" si="76"/>
        <v>0</v>
      </c>
      <c r="AM352" s="110">
        <f t="shared" si="77"/>
        <v>4</v>
      </c>
      <c r="AN352" s="447">
        <f t="shared" si="73"/>
        <v>0</v>
      </c>
      <c r="AO352"/>
      <c r="AP352"/>
    </row>
    <row r="353" spans="1:42" ht="66" x14ac:dyDescent="0.25">
      <c r="A353" s="9"/>
      <c r="B353" s="485" t="s">
        <v>52</v>
      </c>
      <c r="C353" s="1024"/>
      <c r="D353" s="869">
        <v>2</v>
      </c>
      <c r="E353" s="1027" t="s">
        <v>1997</v>
      </c>
      <c r="F353" s="273" t="s">
        <v>3446</v>
      </c>
      <c r="G353" s="1040" t="s">
        <v>3463</v>
      </c>
      <c r="H353" s="273" t="s">
        <v>3462</v>
      </c>
      <c r="I353" s="720">
        <f t="shared" si="85"/>
        <v>16.75</v>
      </c>
      <c r="J353" s="756">
        <v>33.5</v>
      </c>
      <c r="K353" s="131">
        <f t="shared" si="72"/>
        <v>33.5</v>
      </c>
      <c r="L353" s="335">
        <f t="shared" si="74"/>
        <v>0</v>
      </c>
      <c r="M353" s="446"/>
      <c r="N353" s="446"/>
      <c r="O353" s="446"/>
      <c r="P353" s="446"/>
      <c r="Q353" s="130">
        <v>1</v>
      </c>
      <c r="R353" s="111">
        <v>16.75</v>
      </c>
      <c r="S353" s="110"/>
      <c r="T353" s="110"/>
      <c r="U353" s="130">
        <v>1</v>
      </c>
      <c r="V353" s="111">
        <v>16.75</v>
      </c>
      <c r="W353" s="110"/>
      <c r="X353" s="110"/>
      <c r="Y353" s="110"/>
      <c r="Z353" s="110"/>
      <c r="AA353" s="130">
        <v>0</v>
      </c>
      <c r="AB353" s="111">
        <v>0</v>
      </c>
      <c r="AC353" s="110"/>
      <c r="AD353" s="110"/>
      <c r="AE353" s="130">
        <v>0</v>
      </c>
      <c r="AF353" s="111">
        <v>0</v>
      </c>
      <c r="AG353" s="110"/>
      <c r="AH353" s="110"/>
      <c r="AI353" s="110"/>
      <c r="AJ353" s="110"/>
      <c r="AK353" s="111">
        <f t="shared" si="75"/>
        <v>33.5</v>
      </c>
      <c r="AL353" s="446">
        <f t="shared" si="76"/>
        <v>0</v>
      </c>
      <c r="AM353" s="110">
        <f t="shared" si="77"/>
        <v>2</v>
      </c>
      <c r="AN353" s="447">
        <f t="shared" si="73"/>
        <v>0</v>
      </c>
      <c r="AO353"/>
      <c r="AP353"/>
    </row>
    <row r="354" spans="1:42" ht="66" x14ac:dyDescent="0.25">
      <c r="A354" s="9"/>
      <c r="B354" s="485" t="s">
        <v>57</v>
      </c>
      <c r="C354" s="1024"/>
      <c r="D354" s="869">
        <v>4</v>
      </c>
      <c r="E354" s="1027" t="s">
        <v>1997</v>
      </c>
      <c r="F354" s="273" t="s">
        <v>3446</v>
      </c>
      <c r="G354" s="1040" t="s">
        <v>3463</v>
      </c>
      <c r="H354" s="273" t="s">
        <v>3462</v>
      </c>
      <c r="I354" s="720">
        <f t="shared" si="85"/>
        <v>26.97</v>
      </c>
      <c r="J354" s="756">
        <v>107.88</v>
      </c>
      <c r="K354" s="131">
        <f t="shared" si="72"/>
        <v>107.88</v>
      </c>
      <c r="L354" s="335">
        <f t="shared" si="74"/>
        <v>0</v>
      </c>
      <c r="M354" s="446"/>
      <c r="N354" s="446"/>
      <c r="O354" s="446"/>
      <c r="P354" s="446"/>
      <c r="Q354" s="110">
        <f t="shared" si="82"/>
        <v>1</v>
      </c>
      <c r="R354" s="111">
        <f t="shared" si="78"/>
        <v>26.97</v>
      </c>
      <c r="S354" s="110"/>
      <c r="T354" s="110"/>
      <c r="U354" s="110">
        <f t="shared" si="83"/>
        <v>1</v>
      </c>
      <c r="V354" s="111">
        <f t="shared" si="79"/>
        <v>26.97</v>
      </c>
      <c r="W354" s="110"/>
      <c r="X354" s="110"/>
      <c r="Y354" s="110"/>
      <c r="Z354" s="110"/>
      <c r="AA354" s="110">
        <f t="shared" si="84"/>
        <v>1</v>
      </c>
      <c r="AB354" s="111">
        <f t="shared" si="80"/>
        <v>26.97</v>
      </c>
      <c r="AC354" s="110"/>
      <c r="AD354" s="110"/>
      <c r="AE354" s="110">
        <f t="shared" si="84"/>
        <v>1</v>
      </c>
      <c r="AF354" s="111">
        <f t="shared" si="81"/>
        <v>26.97</v>
      </c>
      <c r="AG354" s="110"/>
      <c r="AH354" s="110"/>
      <c r="AI354" s="110"/>
      <c r="AJ354" s="110"/>
      <c r="AK354" s="111">
        <f t="shared" si="75"/>
        <v>107.88</v>
      </c>
      <c r="AL354" s="446">
        <f t="shared" si="76"/>
        <v>0</v>
      </c>
      <c r="AM354" s="110">
        <f t="shared" si="77"/>
        <v>4</v>
      </c>
      <c r="AN354" s="447">
        <f t="shared" si="73"/>
        <v>0</v>
      </c>
      <c r="AO354"/>
      <c r="AP354"/>
    </row>
    <row r="355" spans="1:42" ht="66" x14ac:dyDescent="0.25">
      <c r="A355" s="9"/>
      <c r="B355" s="485" t="s">
        <v>59</v>
      </c>
      <c r="C355" s="1024"/>
      <c r="D355" s="869">
        <v>4</v>
      </c>
      <c r="E355" s="1027" t="s">
        <v>1721</v>
      </c>
      <c r="F355" s="273" t="s">
        <v>3446</v>
      </c>
      <c r="G355" s="1040" t="s">
        <v>3463</v>
      </c>
      <c r="H355" s="273" t="s">
        <v>3462</v>
      </c>
      <c r="I355" s="720">
        <f t="shared" si="85"/>
        <v>29.7</v>
      </c>
      <c r="J355" s="756">
        <v>118.8</v>
      </c>
      <c r="K355" s="131">
        <f t="shared" si="72"/>
        <v>118.8</v>
      </c>
      <c r="L355" s="335">
        <f t="shared" si="74"/>
        <v>0</v>
      </c>
      <c r="M355" s="446"/>
      <c r="N355" s="446"/>
      <c r="O355" s="446"/>
      <c r="P355" s="446"/>
      <c r="Q355" s="110">
        <f t="shared" si="82"/>
        <v>1</v>
      </c>
      <c r="R355" s="111">
        <f t="shared" si="78"/>
        <v>29.7</v>
      </c>
      <c r="S355" s="110"/>
      <c r="T355" s="110"/>
      <c r="U355" s="110">
        <f t="shared" si="83"/>
        <v>1</v>
      </c>
      <c r="V355" s="111">
        <f t="shared" si="79"/>
        <v>29.7</v>
      </c>
      <c r="W355" s="110"/>
      <c r="X355" s="110"/>
      <c r="Y355" s="110"/>
      <c r="Z355" s="110"/>
      <c r="AA355" s="110">
        <f t="shared" si="84"/>
        <v>1</v>
      </c>
      <c r="AB355" s="111">
        <f t="shared" si="80"/>
        <v>29.7</v>
      </c>
      <c r="AC355" s="110"/>
      <c r="AD355" s="110"/>
      <c r="AE355" s="110">
        <f t="shared" si="84"/>
        <v>1</v>
      </c>
      <c r="AF355" s="111">
        <f t="shared" si="81"/>
        <v>29.7</v>
      </c>
      <c r="AG355" s="110"/>
      <c r="AH355" s="110"/>
      <c r="AI355" s="110"/>
      <c r="AJ355" s="110"/>
      <c r="AK355" s="111">
        <f t="shared" si="75"/>
        <v>118.8</v>
      </c>
      <c r="AL355" s="446">
        <f t="shared" si="76"/>
        <v>0</v>
      </c>
      <c r="AM355" s="110">
        <f t="shared" si="77"/>
        <v>4</v>
      </c>
      <c r="AN355" s="447">
        <f t="shared" si="73"/>
        <v>0</v>
      </c>
      <c r="AO355"/>
      <c r="AP355"/>
    </row>
    <row r="356" spans="1:42" ht="66" x14ac:dyDescent="0.25">
      <c r="A356" s="9"/>
      <c r="B356" s="485" t="s">
        <v>60</v>
      </c>
      <c r="C356" s="1024"/>
      <c r="D356" s="869">
        <v>6</v>
      </c>
      <c r="E356" s="1027" t="s">
        <v>1721</v>
      </c>
      <c r="F356" s="273" t="s">
        <v>3446</v>
      </c>
      <c r="G356" s="1040" t="s">
        <v>3463</v>
      </c>
      <c r="H356" s="273" t="s">
        <v>3462</v>
      </c>
      <c r="I356" s="720">
        <f t="shared" si="85"/>
        <v>5.7</v>
      </c>
      <c r="J356" s="756">
        <v>34.200000000000003</v>
      </c>
      <c r="K356" s="131">
        <f t="shared" si="72"/>
        <v>34.200000000000003</v>
      </c>
      <c r="L356" s="335">
        <f t="shared" si="74"/>
        <v>0</v>
      </c>
      <c r="M356" s="446"/>
      <c r="N356" s="446"/>
      <c r="O356" s="446"/>
      <c r="P356" s="446"/>
      <c r="Q356" s="130">
        <v>2</v>
      </c>
      <c r="R356" s="111">
        <f t="shared" si="78"/>
        <v>8.5500000000000007</v>
      </c>
      <c r="S356" s="110"/>
      <c r="T356" s="110"/>
      <c r="U356" s="130">
        <v>2</v>
      </c>
      <c r="V356" s="111">
        <f t="shared" si="79"/>
        <v>8.5500000000000007</v>
      </c>
      <c r="W356" s="110"/>
      <c r="X356" s="110"/>
      <c r="Y356" s="110"/>
      <c r="Z356" s="110"/>
      <c r="AA356" s="130">
        <v>1</v>
      </c>
      <c r="AB356" s="111">
        <f t="shared" si="80"/>
        <v>8.5500000000000007</v>
      </c>
      <c r="AC356" s="110"/>
      <c r="AD356" s="110"/>
      <c r="AE356" s="130">
        <v>1</v>
      </c>
      <c r="AF356" s="111">
        <f t="shared" si="81"/>
        <v>8.5500000000000007</v>
      </c>
      <c r="AG356" s="110"/>
      <c r="AH356" s="110"/>
      <c r="AI356" s="110"/>
      <c r="AJ356" s="110"/>
      <c r="AK356" s="111">
        <f t="shared" si="75"/>
        <v>34.200000000000003</v>
      </c>
      <c r="AL356" s="446">
        <f t="shared" si="76"/>
        <v>0</v>
      </c>
      <c r="AM356" s="110">
        <f t="shared" si="77"/>
        <v>6</v>
      </c>
      <c r="AN356" s="447">
        <f t="shared" si="73"/>
        <v>0</v>
      </c>
      <c r="AO356"/>
      <c r="AP356"/>
    </row>
    <row r="357" spans="1:42" ht="66" x14ac:dyDescent="0.25">
      <c r="A357" s="9"/>
      <c r="B357" s="485" t="s">
        <v>62</v>
      </c>
      <c r="C357" s="1024"/>
      <c r="D357" s="869">
        <v>10</v>
      </c>
      <c r="E357" s="1027" t="s">
        <v>1721</v>
      </c>
      <c r="F357" s="273" t="s">
        <v>3446</v>
      </c>
      <c r="G357" s="1040" t="s">
        <v>3463</v>
      </c>
      <c r="H357" s="273" t="s">
        <v>3462</v>
      </c>
      <c r="I357" s="720">
        <f t="shared" si="85"/>
        <v>14.14</v>
      </c>
      <c r="J357" s="756">
        <v>141.4</v>
      </c>
      <c r="K357" s="131">
        <f t="shared" si="72"/>
        <v>141.4</v>
      </c>
      <c r="L357" s="335">
        <f t="shared" si="74"/>
        <v>0</v>
      </c>
      <c r="M357" s="446"/>
      <c r="N357" s="446"/>
      <c r="O357" s="446"/>
      <c r="P357" s="446"/>
      <c r="Q357" s="130">
        <v>3</v>
      </c>
      <c r="R357" s="111">
        <f t="shared" si="78"/>
        <v>35.35</v>
      </c>
      <c r="S357" s="110"/>
      <c r="T357" s="110"/>
      <c r="U357" s="130">
        <v>3</v>
      </c>
      <c r="V357" s="111">
        <f t="shared" si="79"/>
        <v>35.35</v>
      </c>
      <c r="W357" s="110"/>
      <c r="X357" s="110"/>
      <c r="Y357" s="110"/>
      <c r="Z357" s="110"/>
      <c r="AA357" s="130">
        <v>2</v>
      </c>
      <c r="AB357" s="111">
        <f t="shared" si="80"/>
        <v>35.35</v>
      </c>
      <c r="AC357" s="110"/>
      <c r="AD357" s="110"/>
      <c r="AE357" s="130">
        <v>2</v>
      </c>
      <c r="AF357" s="111">
        <f t="shared" si="81"/>
        <v>35.35</v>
      </c>
      <c r="AG357" s="110"/>
      <c r="AH357" s="110"/>
      <c r="AI357" s="110"/>
      <c r="AJ357" s="110"/>
      <c r="AK357" s="111">
        <f t="shared" si="75"/>
        <v>141.4</v>
      </c>
      <c r="AL357" s="446">
        <f t="shared" si="76"/>
        <v>0</v>
      </c>
      <c r="AM357" s="110">
        <f t="shared" si="77"/>
        <v>10</v>
      </c>
      <c r="AN357" s="447">
        <f t="shared" si="73"/>
        <v>0</v>
      </c>
      <c r="AO357"/>
      <c r="AP357"/>
    </row>
    <row r="358" spans="1:42" ht="66" x14ac:dyDescent="0.25">
      <c r="A358" s="9"/>
      <c r="B358" s="485" t="s">
        <v>73</v>
      </c>
      <c r="C358" s="1024"/>
      <c r="D358" s="869">
        <v>6</v>
      </c>
      <c r="E358" s="1027" t="s">
        <v>1721</v>
      </c>
      <c r="F358" s="273" t="s">
        <v>3446</v>
      </c>
      <c r="G358" s="1040" t="s">
        <v>3463</v>
      </c>
      <c r="H358" s="273" t="s">
        <v>3462</v>
      </c>
      <c r="I358" s="720">
        <f t="shared" si="85"/>
        <v>9.15</v>
      </c>
      <c r="J358" s="756">
        <v>54.900000000000006</v>
      </c>
      <c r="K358" s="131">
        <f t="shared" si="72"/>
        <v>54.900000000000006</v>
      </c>
      <c r="L358" s="335">
        <f t="shared" si="74"/>
        <v>0</v>
      </c>
      <c r="M358" s="446"/>
      <c r="N358" s="446"/>
      <c r="O358" s="446"/>
      <c r="P358" s="446"/>
      <c r="Q358" s="130">
        <v>2</v>
      </c>
      <c r="R358" s="111">
        <f t="shared" si="78"/>
        <v>13.725000000000001</v>
      </c>
      <c r="S358" s="110"/>
      <c r="T358" s="110"/>
      <c r="U358" s="130">
        <v>2</v>
      </c>
      <c r="V358" s="111">
        <f t="shared" si="79"/>
        <v>13.725000000000001</v>
      </c>
      <c r="W358" s="110"/>
      <c r="X358" s="110"/>
      <c r="Y358" s="110"/>
      <c r="Z358" s="110"/>
      <c r="AA358" s="130">
        <v>1</v>
      </c>
      <c r="AB358" s="111">
        <f t="shared" si="80"/>
        <v>13.725000000000001</v>
      </c>
      <c r="AC358" s="110"/>
      <c r="AD358" s="110"/>
      <c r="AE358" s="130">
        <v>1</v>
      </c>
      <c r="AF358" s="111">
        <f t="shared" si="81"/>
        <v>13.725000000000001</v>
      </c>
      <c r="AG358" s="110"/>
      <c r="AH358" s="110"/>
      <c r="AI358" s="110"/>
      <c r="AJ358" s="110"/>
      <c r="AK358" s="111">
        <f t="shared" si="75"/>
        <v>54.900000000000006</v>
      </c>
      <c r="AL358" s="446">
        <f t="shared" si="76"/>
        <v>0</v>
      </c>
      <c r="AM358" s="110">
        <f t="shared" si="77"/>
        <v>6</v>
      </c>
      <c r="AN358" s="447">
        <f t="shared" si="73"/>
        <v>0</v>
      </c>
      <c r="AO358"/>
      <c r="AP358"/>
    </row>
    <row r="359" spans="1:42" ht="66" x14ac:dyDescent="0.25">
      <c r="A359" s="9"/>
      <c r="B359" s="485" t="s">
        <v>97</v>
      </c>
      <c r="C359" s="1024"/>
      <c r="D359" s="869">
        <v>2</v>
      </c>
      <c r="E359" s="1027" t="s">
        <v>1997</v>
      </c>
      <c r="F359" s="273" t="s">
        <v>3446</v>
      </c>
      <c r="G359" s="1040" t="s">
        <v>3463</v>
      </c>
      <c r="H359" s="273" t="s">
        <v>3462</v>
      </c>
      <c r="I359" s="720">
        <f t="shared" si="85"/>
        <v>29.7</v>
      </c>
      <c r="J359" s="756">
        <v>59.4</v>
      </c>
      <c r="K359" s="131">
        <f t="shared" si="72"/>
        <v>59.4</v>
      </c>
      <c r="L359" s="335">
        <f t="shared" si="74"/>
        <v>0</v>
      </c>
      <c r="M359" s="446"/>
      <c r="N359" s="446"/>
      <c r="O359" s="446"/>
      <c r="P359" s="446"/>
      <c r="Q359" s="130">
        <v>1</v>
      </c>
      <c r="R359" s="111">
        <v>29.7</v>
      </c>
      <c r="S359" s="110"/>
      <c r="T359" s="110"/>
      <c r="U359" s="130">
        <v>1</v>
      </c>
      <c r="V359" s="111">
        <v>29.7</v>
      </c>
      <c r="W359" s="110"/>
      <c r="X359" s="110"/>
      <c r="Y359" s="110"/>
      <c r="Z359" s="110"/>
      <c r="AA359" s="130">
        <v>0</v>
      </c>
      <c r="AB359" s="111">
        <v>0</v>
      </c>
      <c r="AC359" s="110"/>
      <c r="AD359" s="110"/>
      <c r="AE359" s="130">
        <v>0</v>
      </c>
      <c r="AF359" s="111">
        <v>0</v>
      </c>
      <c r="AG359" s="110"/>
      <c r="AH359" s="110"/>
      <c r="AI359" s="110"/>
      <c r="AJ359" s="110"/>
      <c r="AK359" s="111">
        <f t="shared" si="75"/>
        <v>59.4</v>
      </c>
      <c r="AL359" s="446">
        <f t="shared" si="76"/>
        <v>0</v>
      </c>
      <c r="AM359" s="110">
        <f t="shared" si="77"/>
        <v>2</v>
      </c>
      <c r="AN359" s="447">
        <f t="shared" si="73"/>
        <v>0</v>
      </c>
      <c r="AO359"/>
      <c r="AP359"/>
    </row>
    <row r="360" spans="1:42" ht="66" x14ac:dyDescent="0.25">
      <c r="A360" s="9"/>
      <c r="B360" s="485" t="s">
        <v>98</v>
      </c>
      <c r="C360" s="1024"/>
      <c r="D360" s="869">
        <v>2</v>
      </c>
      <c r="E360" s="1027" t="s">
        <v>1997</v>
      </c>
      <c r="F360" s="273" t="s">
        <v>3446</v>
      </c>
      <c r="G360" s="1040" t="s">
        <v>3463</v>
      </c>
      <c r="H360" s="273" t="s">
        <v>3462</v>
      </c>
      <c r="I360" s="720">
        <f t="shared" si="85"/>
        <v>29.7</v>
      </c>
      <c r="J360" s="756">
        <v>59.4</v>
      </c>
      <c r="K360" s="131">
        <f t="shared" si="72"/>
        <v>59.4</v>
      </c>
      <c r="L360" s="335">
        <f t="shared" si="74"/>
        <v>0</v>
      </c>
      <c r="M360" s="446"/>
      <c r="N360" s="446"/>
      <c r="O360" s="446"/>
      <c r="P360" s="446"/>
      <c r="Q360" s="130">
        <v>1</v>
      </c>
      <c r="R360" s="111">
        <v>29.7</v>
      </c>
      <c r="S360" s="110"/>
      <c r="T360" s="110"/>
      <c r="U360" s="130">
        <v>1</v>
      </c>
      <c r="V360" s="111">
        <v>29.7</v>
      </c>
      <c r="W360" s="110"/>
      <c r="X360" s="110"/>
      <c r="Y360" s="110"/>
      <c r="Z360" s="110"/>
      <c r="AA360" s="130">
        <v>0</v>
      </c>
      <c r="AB360" s="111">
        <v>0</v>
      </c>
      <c r="AC360" s="110"/>
      <c r="AD360" s="110"/>
      <c r="AE360" s="130">
        <v>0</v>
      </c>
      <c r="AF360" s="111">
        <v>0</v>
      </c>
      <c r="AG360" s="110"/>
      <c r="AH360" s="110"/>
      <c r="AI360" s="110"/>
      <c r="AJ360" s="110"/>
      <c r="AK360" s="111">
        <f t="shared" si="75"/>
        <v>59.4</v>
      </c>
      <c r="AL360" s="446">
        <f t="shared" si="76"/>
        <v>0</v>
      </c>
      <c r="AM360" s="110">
        <f t="shared" si="77"/>
        <v>2</v>
      </c>
      <c r="AN360" s="447">
        <f t="shared" si="73"/>
        <v>0</v>
      </c>
      <c r="AO360"/>
      <c r="AP360"/>
    </row>
    <row r="361" spans="1:42" ht="66" x14ac:dyDescent="0.25">
      <c r="A361" s="9"/>
      <c r="B361" s="485" t="s">
        <v>61</v>
      </c>
      <c r="C361" s="1024"/>
      <c r="D361" s="869">
        <v>8</v>
      </c>
      <c r="E361" s="1027" t="s">
        <v>1722</v>
      </c>
      <c r="F361" s="273" t="s">
        <v>3446</v>
      </c>
      <c r="G361" s="1040" t="s">
        <v>3463</v>
      </c>
      <c r="H361" s="273" t="s">
        <v>3462</v>
      </c>
      <c r="I361" s="720">
        <f t="shared" si="85"/>
        <v>53.13</v>
      </c>
      <c r="J361" s="756">
        <v>425.04</v>
      </c>
      <c r="K361" s="131">
        <f t="shared" si="72"/>
        <v>425.04</v>
      </c>
      <c r="L361" s="335">
        <f t="shared" si="74"/>
        <v>0</v>
      </c>
      <c r="M361" s="446"/>
      <c r="N361" s="446"/>
      <c r="O361" s="446"/>
      <c r="P361" s="446"/>
      <c r="Q361" s="110">
        <f t="shared" si="82"/>
        <v>2</v>
      </c>
      <c r="R361" s="111">
        <f t="shared" si="78"/>
        <v>106.26</v>
      </c>
      <c r="S361" s="110"/>
      <c r="T361" s="110"/>
      <c r="U361" s="110">
        <f t="shared" si="83"/>
        <v>2</v>
      </c>
      <c r="V361" s="111">
        <f t="shared" si="79"/>
        <v>106.26</v>
      </c>
      <c r="W361" s="110"/>
      <c r="X361" s="110"/>
      <c r="Y361" s="110"/>
      <c r="Z361" s="110"/>
      <c r="AA361" s="110">
        <f t="shared" si="84"/>
        <v>2</v>
      </c>
      <c r="AB361" s="111">
        <f t="shared" si="80"/>
        <v>106.26</v>
      </c>
      <c r="AC361" s="110"/>
      <c r="AD361" s="110"/>
      <c r="AE361" s="110">
        <f t="shared" si="84"/>
        <v>2</v>
      </c>
      <c r="AF361" s="111">
        <f t="shared" si="81"/>
        <v>106.26</v>
      </c>
      <c r="AG361" s="110"/>
      <c r="AH361" s="110"/>
      <c r="AI361" s="110"/>
      <c r="AJ361" s="110"/>
      <c r="AK361" s="111">
        <f t="shared" si="75"/>
        <v>425.04</v>
      </c>
      <c r="AL361" s="446">
        <f t="shared" si="76"/>
        <v>0</v>
      </c>
      <c r="AM361" s="110">
        <f t="shared" si="77"/>
        <v>8</v>
      </c>
      <c r="AN361" s="447">
        <f t="shared" si="73"/>
        <v>0</v>
      </c>
      <c r="AO361"/>
      <c r="AP361"/>
    </row>
    <row r="362" spans="1:42" ht="66" x14ac:dyDescent="0.25">
      <c r="A362" s="9"/>
      <c r="B362" s="485" t="s">
        <v>43</v>
      </c>
      <c r="C362" s="1024"/>
      <c r="D362" s="869">
        <v>4</v>
      </c>
      <c r="E362" s="1027" t="s">
        <v>1721</v>
      </c>
      <c r="F362" s="273" t="s">
        <v>3446</v>
      </c>
      <c r="G362" s="1040" t="s">
        <v>3463</v>
      </c>
      <c r="H362" s="273" t="s">
        <v>3462</v>
      </c>
      <c r="I362" s="720">
        <f t="shared" si="85"/>
        <v>13.31</v>
      </c>
      <c r="J362" s="756">
        <v>53.24</v>
      </c>
      <c r="K362" s="131">
        <f t="shared" si="72"/>
        <v>53.24</v>
      </c>
      <c r="L362" s="335">
        <f t="shared" si="74"/>
        <v>0</v>
      </c>
      <c r="M362" s="446"/>
      <c r="N362" s="446"/>
      <c r="O362" s="446"/>
      <c r="P362" s="446"/>
      <c r="Q362" s="110">
        <f t="shared" si="82"/>
        <v>1</v>
      </c>
      <c r="R362" s="111">
        <f t="shared" si="78"/>
        <v>13.31</v>
      </c>
      <c r="S362" s="110"/>
      <c r="T362" s="110"/>
      <c r="U362" s="110">
        <f t="shared" si="83"/>
        <v>1</v>
      </c>
      <c r="V362" s="111">
        <f t="shared" si="79"/>
        <v>13.31</v>
      </c>
      <c r="W362" s="110"/>
      <c r="X362" s="110"/>
      <c r="Y362" s="110"/>
      <c r="Z362" s="110"/>
      <c r="AA362" s="110">
        <f t="shared" si="84"/>
        <v>1</v>
      </c>
      <c r="AB362" s="111">
        <f t="shared" si="80"/>
        <v>13.31</v>
      </c>
      <c r="AC362" s="110"/>
      <c r="AD362" s="110"/>
      <c r="AE362" s="110">
        <f t="shared" si="84"/>
        <v>1</v>
      </c>
      <c r="AF362" s="111">
        <f t="shared" si="81"/>
        <v>13.31</v>
      </c>
      <c r="AG362" s="110"/>
      <c r="AH362" s="110"/>
      <c r="AI362" s="110"/>
      <c r="AJ362" s="110"/>
      <c r="AK362" s="111">
        <f t="shared" si="75"/>
        <v>53.24</v>
      </c>
      <c r="AL362" s="446">
        <f t="shared" si="76"/>
        <v>0</v>
      </c>
      <c r="AM362" s="110">
        <f t="shared" si="77"/>
        <v>4</v>
      </c>
      <c r="AN362" s="447">
        <f t="shared" si="73"/>
        <v>0</v>
      </c>
      <c r="AO362"/>
      <c r="AP362"/>
    </row>
    <row r="363" spans="1:42" ht="66" x14ac:dyDescent="0.25">
      <c r="A363" s="9"/>
      <c r="B363" s="485" t="s">
        <v>30</v>
      </c>
      <c r="C363" s="1024"/>
      <c r="D363" s="869">
        <v>2</v>
      </c>
      <c r="E363" s="1027" t="s">
        <v>1721</v>
      </c>
      <c r="F363" s="273" t="s">
        <v>3446</v>
      </c>
      <c r="G363" s="1040" t="s">
        <v>3463</v>
      </c>
      <c r="H363" s="273" t="s">
        <v>3462</v>
      </c>
      <c r="I363" s="720">
        <f t="shared" si="85"/>
        <v>22.16</v>
      </c>
      <c r="J363" s="756">
        <v>44.32</v>
      </c>
      <c r="K363" s="131">
        <f t="shared" si="72"/>
        <v>44.32</v>
      </c>
      <c r="L363" s="335">
        <f t="shared" si="74"/>
        <v>0</v>
      </c>
      <c r="M363" s="446"/>
      <c r="N363" s="446"/>
      <c r="O363" s="446"/>
      <c r="P363" s="446"/>
      <c r="Q363" s="130">
        <v>1</v>
      </c>
      <c r="R363" s="111">
        <v>22.16</v>
      </c>
      <c r="S363" s="110"/>
      <c r="T363" s="110"/>
      <c r="U363" s="130">
        <v>1</v>
      </c>
      <c r="V363" s="111">
        <v>22.16</v>
      </c>
      <c r="W363" s="110"/>
      <c r="X363" s="110"/>
      <c r="Y363" s="110"/>
      <c r="Z363" s="110"/>
      <c r="AA363" s="130">
        <v>0</v>
      </c>
      <c r="AB363" s="111">
        <v>0</v>
      </c>
      <c r="AC363" s="110"/>
      <c r="AD363" s="110"/>
      <c r="AE363" s="130">
        <v>0</v>
      </c>
      <c r="AF363" s="111">
        <v>0</v>
      </c>
      <c r="AG363" s="110"/>
      <c r="AH363" s="110"/>
      <c r="AI363" s="110"/>
      <c r="AJ363" s="110"/>
      <c r="AK363" s="111">
        <f t="shared" si="75"/>
        <v>44.32</v>
      </c>
      <c r="AL363" s="446">
        <f t="shared" si="76"/>
        <v>0</v>
      </c>
      <c r="AM363" s="110">
        <f t="shared" si="77"/>
        <v>2</v>
      </c>
      <c r="AN363" s="447">
        <f t="shared" si="73"/>
        <v>0</v>
      </c>
      <c r="AO363"/>
      <c r="AP363"/>
    </row>
    <row r="364" spans="1:42" ht="66" x14ac:dyDescent="0.25">
      <c r="A364" s="9"/>
      <c r="B364" s="485" t="s">
        <v>31</v>
      </c>
      <c r="C364" s="1024"/>
      <c r="D364" s="869">
        <v>2</v>
      </c>
      <c r="E364" s="1027" t="s">
        <v>1721</v>
      </c>
      <c r="F364" s="273" t="s">
        <v>3446</v>
      </c>
      <c r="G364" s="1040" t="s">
        <v>3463</v>
      </c>
      <c r="H364" s="273" t="s">
        <v>3462</v>
      </c>
      <c r="I364" s="720">
        <f t="shared" si="85"/>
        <v>28.51</v>
      </c>
      <c r="J364" s="756">
        <v>57.02</v>
      </c>
      <c r="K364" s="131">
        <f t="shared" si="72"/>
        <v>57.02</v>
      </c>
      <c r="L364" s="335">
        <f t="shared" si="74"/>
        <v>0</v>
      </c>
      <c r="M364" s="446"/>
      <c r="N364" s="446"/>
      <c r="O364" s="446"/>
      <c r="P364" s="446"/>
      <c r="Q364" s="130">
        <v>1</v>
      </c>
      <c r="R364" s="111">
        <v>28.51</v>
      </c>
      <c r="S364" s="110"/>
      <c r="T364" s="110"/>
      <c r="U364" s="130">
        <v>1</v>
      </c>
      <c r="V364" s="111">
        <v>28.51</v>
      </c>
      <c r="W364" s="110"/>
      <c r="X364" s="110"/>
      <c r="Y364" s="110"/>
      <c r="Z364" s="110"/>
      <c r="AA364" s="130">
        <v>0</v>
      </c>
      <c r="AB364" s="111">
        <v>0</v>
      </c>
      <c r="AC364" s="110"/>
      <c r="AD364" s="110"/>
      <c r="AE364" s="130">
        <v>0</v>
      </c>
      <c r="AF364" s="111">
        <v>0</v>
      </c>
      <c r="AG364" s="110"/>
      <c r="AH364" s="110"/>
      <c r="AI364" s="110"/>
      <c r="AJ364" s="110"/>
      <c r="AK364" s="111">
        <f t="shared" si="75"/>
        <v>57.02</v>
      </c>
      <c r="AL364" s="446">
        <f t="shared" si="76"/>
        <v>0</v>
      </c>
      <c r="AM364" s="110">
        <f t="shared" si="77"/>
        <v>2</v>
      </c>
      <c r="AN364" s="447">
        <f t="shared" si="73"/>
        <v>0</v>
      </c>
      <c r="AO364"/>
      <c r="AP364"/>
    </row>
    <row r="365" spans="1:42" ht="66" x14ac:dyDescent="0.25">
      <c r="A365" s="9"/>
      <c r="B365" s="485" t="s">
        <v>91</v>
      </c>
      <c r="C365" s="1024"/>
      <c r="D365" s="869">
        <v>16</v>
      </c>
      <c r="E365" s="1027" t="s">
        <v>1721</v>
      </c>
      <c r="F365" s="273" t="s">
        <v>3446</v>
      </c>
      <c r="G365" s="1040" t="s">
        <v>3463</v>
      </c>
      <c r="H365" s="273" t="s">
        <v>3462</v>
      </c>
      <c r="I365" s="720">
        <f t="shared" si="85"/>
        <v>17.82</v>
      </c>
      <c r="J365" s="756">
        <v>285.12</v>
      </c>
      <c r="K365" s="131">
        <f t="shared" si="72"/>
        <v>285.12</v>
      </c>
      <c r="L365" s="335">
        <f t="shared" si="74"/>
        <v>0</v>
      </c>
      <c r="M365" s="446"/>
      <c r="N365" s="446"/>
      <c r="O365" s="446"/>
      <c r="P365" s="446"/>
      <c r="Q365" s="110">
        <f t="shared" si="82"/>
        <v>4</v>
      </c>
      <c r="R365" s="111">
        <f t="shared" si="78"/>
        <v>71.28</v>
      </c>
      <c r="S365" s="110"/>
      <c r="T365" s="110"/>
      <c r="U365" s="110">
        <f t="shared" si="83"/>
        <v>4</v>
      </c>
      <c r="V365" s="111">
        <f t="shared" si="79"/>
        <v>71.28</v>
      </c>
      <c r="W365" s="110"/>
      <c r="X365" s="110"/>
      <c r="Y365" s="110"/>
      <c r="Z365" s="110"/>
      <c r="AA365" s="110">
        <f t="shared" si="84"/>
        <v>4</v>
      </c>
      <c r="AB365" s="111">
        <f t="shared" si="80"/>
        <v>71.28</v>
      </c>
      <c r="AC365" s="110"/>
      <c r="AD365" s="110"/>
      <c r="AE365" s="110">
        <f t="shared" si="84"/>
        <v>4</v>
      </c>
      <c r="AF365" s="111">
        <f t="shared" si="81"/>
        <v>71.28</v>
      </c>
      <c r="AG365" s="110"/>
      <c r="AH365" s="110"/>
      <c r="AI365" s="110"/>
      <c r="AJ365" s="110"/>
      <c r="AK365" s="111">
        <f t="shared" si="75"/>
        <v>285.12</v>
      </c>
      <c r="AL365" s="446">
        <f t="shared" si="76"/>
        <v>0</v>
      </c>
      <c r="AM365" s="110">
        <f t="shared" si="77"/>
        <v>16</v>
      </c>
      <c r="AN365" s="447">
        <f t="shared" si="73"/>
        <v>0</v>
      </c>
      <c r="AO365"/>
      <c r="AP365"/>
    </row>
    <row r="366" spans="1:42" ht="66" x14ac:dyDescent="0.25">
      <c r="A366" s="9"/>
      <c r="B366" s="485" t="s">
        <v>23</v>
      </c>
      <c r="C366" s="1024"/>
      <c r="D366" s="869">
        <v>8</v>
      </c>
      <c r="E366" s="1027" t="s">
        <v>1721</v>
      </c>
      <c r="F366" s="273" t="s">
        <v>3446</v>
      </c>
      <c r="G366" s="1040" t="s">
        <v>3463</v>
      </c>
      <c r="H366" s="273" t="s">
        <v>3462</v>
      </c>
      <c r="I366" s="720">
        <f t="shared" si="85"/>
        <v>5.12</v>
      </c>
      <c r="J366" s="756">
        <v>40.96</v>
      </c>
      <c r="K366" s="131">
        <f t="shared" si="72"/>
        <v>40.96</v>
      </c>
      <c r="L366" s="335">
        <f t="shared" si="74"/>
        <v>0</v>
      </c>
      <c r="M366" s="446"/>
      <c r="N366" s="446"/>
      <c r="O366" s="446"/>
      <c r="P366" s="446"/>
      <c r="Q366" s="110">
        <f t="shared" si="82"/>
        <v>2</v>
      </c>
      <c r="R366" s="111">
        <f t="shared" si="78"/>
        <v>10.24</v>
      </c>
      <c r="S366" s="110"/>
      <c r="T366" s="110"/>
      <c r="U366" s="110">
        <f t="shared" si="83"/>
        <v>2</v>
      </c>
      <c r="V366" s="111">
        <f t="shared" si="79"/>
        <v>10.24</v>
      </c>
      <c r="W366" s="110"/>
      <c r="X366" s="110"/>
      <c r="Y366" s="110"/>
      <c r="Z366" s="110"/>
      <c r="AA366" s="110">
        <f t="shared" si="84"/>
        <v>2</v>
      </c>
      <c r="AB366" s="111">
        <f t="shared" si="80"/>
        <v>10.24</v>
      </c>
      <c r="AC366" s="110"/>
      <c r="AD366" s="110"/>
      <c r="AE366" s="110">
        <f t="shared" si="84"/>
        <v>2</v>
      </c>
      <c r="AF366" s="111">
        <f t="shared" si="81"/>
        <v>10.24</v>
      </c>
      <c r="AG366" s="110"/>
      <c r="AH366" s="110"/>
      <c r="AI366" s="110"/>
      <c r="AJ366" s="110"/>
      <c r="AK366" s="111">
        <f t="shared" si="75"/>
        <v>40.96</v>
      </c>
      <c r="AL366" s="446">
        <f t="shared" si="76"/>
        <v>0</v>
      </c>
      <c r="AM366" s="110">
        <f t="shared" si="77"/>
        <v>8</v>
      </c>
      <c r="AN366" s="447">
        <f t="shared" si="73"/>
        <v>0</v>
      </c>
      <c r="AO366"/>
      <c r="AP366"/>
    </row>
    <row r="367" spans="1:42" ht="66" x14ac:dyDescent="0.25">
      <c r="A367" s="9"/>
      <c r="B367" s="485" t="s">
        <v>32</v>
      </c>
      <c r="C367" s="1024"/>
      <c r="D367" s="869">
        <v>4</v>
      </c>
      <c r="E367" s="1027" t="s">
        <v>1721</v>
      </c>
      <c r="F367" s="273" t="s">
        <v>3446</v>
      </c>
      <c r="G367" s="1040" t="s">
        <v>3463</v>
      </c>
      <c r="H367" s="273" t="s">
        <v>3462</v>
      </c>
      <c r="I367" s="720">
        <f t="shared" si="85"/>
        <v>20.55</v>
      </c>
      <c r="J367" s="756">
        <v>82.2</v>
      </c>
      <c r="K367" s="131">
        <f t="shared" si="72"/>
        <v>82.2</v>
      </c>
      <c r="L367" s="335">
        <f t="shared" si="74"/>
        <v>0</v>
      </c>
      <c r="M367" s="446"/>
      <c r="N367" s="446"/>
      <c r="O367" s="446"/>
      <c r="P367" s="446"/>
      <c r="Q367" s="110">
        <f t="shared" si="82"/>
        <v>1</v>
      </c>
      <c r="R367" s="111">
        <f t="shared" si="78"/>
        <v>20.55</v>
      </c>
      <c r="S367" s="110"/>
      <c r="T367" s="110"/>
      <c r="U367" s="110">
        <f t="shared" si="83"/>
        <v>1</v>
      </c>
      <c r="V367" s="111">
        <f t="shared" si="79"/>
        <v>20.55</v>
      </c>
      <c r="W367" s="110"/>
      <c r="X367" s="110"/>
      <c r="Y367" s="110"/>
      <c r="Z367" s="110"/>
      <c r="AA367" s="110">
        <f t="shared" si="84"/>
        <v>1</v>
      </c>
      <c r="AB367" s="111">
        <f t="shared" si="80"/>
        <v>20.55</v>
      </c>
      <c r="AC367" s="110"/>
      <c r="AD367" s="110"/>
      <c r="AE367" s="110">
        <f t="shared" si="84"/>
        <v>1</v>
      </c>
      <c r="AF367" s="111">
        <f t="shared" si="81"/>
        <v>20.55</v>
      </c>
      <c r="AG367" s="110"/>
      <c r="AH367" s="110"/>
      <c r="AI367" s="110"/>
      <c r="AJ367" s="110"/>
      <c r="AK367" s="111">
        <f t="shared" si="75"/>
        <v>82.2</v>
      </c>
      <c r="AL367" s="446">
        <f t="shared" si="76"/>
        <v>0</v>
      </c>
      <c r="AM367" s="110">
        <f t="shared" si="77"/>
        <v>4</v>
      </c>
      <c r="AN367" s="447">
        <f t="shared" si="73"/>
        <v>0</v>
      </c>
      <c r="AO367"/>
      <c r="AP367"/>
    </row>
    <row r="368" spans="1:42" ht="66" x14ac:dyDescent="0.25">
      <c r="A368" s="9"/>
      <c r="B368" s="485" t="s">
        <v>80</v>
      </c>
      <c r="C368" s="1024"/>
      <c r="D368" s="869">
        <v>4</v>
      </c>
      <c r="E368" s="1027" t="s">
        <v>1997</v>
      </c>
      <c r="F368" s="273" t="s">
        <v>3446</v>
      </c>
      <c r="G368" s="1040" t="s">
        <v>3463</v>
      </c>
      <c r="H368" s="273" t="s">
        <v>3462</v>
      </c>
      <c r="I368" s="720">
        <f t="shared" si="85"/>
        <v>14.34</v>
      </c>
      <c r="J368" s="756">
        <v>57.36</v>
      </c>
      <c r="K368" s="131">
        <f t="shared" si="72"/>
        <v>57.36</v>
      </c>
      <c r="L368" s="335">
        <f t="shared" si="74"/>
        <v>0</v>
      </c>
      <c r="M368" s="446"/>
      <c r="N368" s="446"/>
      <c r="O368" s="446"/>
      <c r="P368" s="446"/>
      <c r="Q368" s="110">
        <f t="shared" si="82"/>
        <v>1</v>
      </c>
      <c r="R368" s="111">
        <f t="shared" si="78"/>
        <v>14.34</v>
      </c>
      <c r="S368" s="110"/>
      <c r="T368" s="110"/>
      <c r="U368" s="110">
        <f t="shared" si="83"/>
        <v>1</v>
      </c>
      <c r="V368" s="111">
        <f t="shared" si="79"/>
        <v>14.34</v>
      </c>
      <c r="W368" s="110"/>
      <c r="X368" s="110"/>
      <c r="Y368" s="110"/>
      <c r="Z368" s="110"/>
      <c r="AA368" s="110">
        <f t="shared" si="84"/>
        <v>1</v>
      </c>
      <c r="AB368" s="111">
        <f t="shared" si="80"/>
        <v>14.34</v>
      </c>
      <c r="AC368" s="110"/>
      <c r="AD368" s="110"/>
      <c r="AE368" s="110">
        <f t="shared" si="84"/>
        <v>1</v>
      </c>
      <c r="AF368" s="111">
        <f t="shared" si="81"/>
        <v>14.34</v>
      </c>
      <c r="AG368" s="110"/>
      <c r="AH368" s="110"/>
      <c r="AI368" s="110"/>
      <c r="AJ368" s="110"/>
      <c r="AK368" s="111">
        <f t="shared" si="75"/>
        <v>57.36</v>
      </c>
      <c r="AL368" s="446">
        <f t="shared" si="76"/>
        <v>0</v>
      </c>
      <c r="AM368" s="110">
        <f t="shared" si="77"/>
        <v>4</v>
      </c>
      <c r="AN368" s="447">
        <f t="shared" si="73"/>
        <v>0</v>
      </c>
      <c r="AO368"/>
      <c r="AP368"/>
    </row>
    <row r="369" spans="1:42" ht="66" x14ac:dyDescent="0.25">
      <c r="A369" s="9"/>
      <c r="B369" s="485" t="s">
        <v>81</v>
      </c>
      <c r="C369" s="1024"/>
      <c r="D369" s="869">
        <v>6</v>
      </c>
      <c r="E369" s="1027" t="s">
        <v>1721</v>
      </c>
      <c r="F369" s="273" t="s">
        <v>3446</v>
      </c>
      <c r="G369" s="1040" t="s">
        <v>3463</v>
      </c>
      <c r="H369" s="273" t="s">
        <v>3462</v>
      </c>
      <c r="I369" s="720">
        <f t="shared" si="85"/>
        <v>3.7999999999999994</v>
      </c>
      <c r="J369" s="756">
        <v>22.799999999999997</v>
      </c>
      <c r="K369" s="131">
        <f t="shared" si="72"/>
        <v>22.799999999999997</v>
      </c>
      <c r="L369" s="335">
        <f t="shared" si="74"/>
        <v>0</v>
      </c>
      <c r="M369" s="446"/>
      <c r="N369" s="446"/>
      <c r="O369" s="446"/>
      <c r="P369" s="446"/>
      <c r="Q369" s="130">
        <v>2</v>
      </c>
      <c r="R369" s="111">
        <f t="shared" si="78"/>
        <v>5.6999999999999993</v>
      </c>
      <c r="S369" s="110"/>
      <c r="T369" s="110"/>
      <c r="U369" s="130">
        <v>2</v>
      </c>
      <c r="V369" s="111">
        <f t="shared" si="79"/>
        <v>5.6999999999999993</v>
      </c>
      <c r="W369" s="110"/>
      <c r="X369" s="110"/>
      <c r="Y369" s="110"/>
      <c r="Z369" s="110"/>
      <c r="AA369" s="130">
        <v>1</v>
      </c>
      <c r="AB369" s="111">
        <f t="shared" si="80"/>
        <v>5.6999999999999993</v>
      </c>
      <c r="AC369" s="110"/>
      <c r="AD369" s="110"/>
      <c r="AE369" s="130">
        <v>1</v>
      </c>
      <c r="AF369" s="111">
        <f t="shared" si="81"/>
        <v>5.6999999999999993</v>
      </c>
      <c r="AG369" s="110"/>
      <c r="AH369" s="110"/>
      <c r="AI369" s="110"/>
      <c r="AJ369" s="110"/>
      <c r="AK369" s="111">
        <f t="shared" si="75"/>
        <v>22.799999999999997</v>
      </c>
      <c r="AL369" s="446">
        <f t="shared" si="76"/>
        <v>0</v>
      </c>
      <c r="AM369" s="110">
        <f t="shared" si="77"/>
        <v>6</v>
      </c>
      <c r="AN369" s="447">
        <f t="shared" si="73"/>
        <v>0</v>
      </c>
      <c r="AO369"/>
      <c r="AP369"/>
    </row>
    <row r="370" spans="1:42" ht="66" x14ac:dyDescent="0.25">
      <c r="A370" s="9"/>
      <c r="B370" s="485" t="s">
        <v>1995</v>
      </c>
      <c r="C370" s="1024"/>
      <c r="D370" s="869">
        <v>4</v>
      </c>
      <c r="E370" s="1027" t="s">
        <v>1722</v>
      </c>
      <c r="F370" s="273" t="s">
        <v>3446</v>
      </c>
      <c r="G370" s="1040" t="s">
        <v>3463</v>
      </c>
      <c r="H370" s="273" t="s">
        <v>3462</v>
      </c>
      <c r="I370" s="720">
        <f t="shared" si="85"/>
        <v>117.61</v>
      </c>
      <c r="J370" s="756">
        <v>470.44</v>
      </c>
      <c r="K370" s="131">
        <f t="shared" si="72"/>
        <v>470.44</v>
      </c>
      <c r="L370" s="335">
        <f t="shared" si="74"/>
        <v>0</v>
      </c>
      <c r="M370" s="446"/>
      <c r="N370" s="446"/>
      <c r="O370" s="446"/>
      <c r="P370" s="446"/>
      <c r="Q370" s="110">
        <f t="shared" si="82"/>
        <v>1</v>
      </c>
      <c r="R370" s="111">
        <f t="shared" si="78"/>
        <v>117.61</v>
      </c>
      <c r="S370" s="110"/>
      <c r="T370" s="110"/>
      <c r="U370" s="110">
        <f t="shared" si="83"/>
        <v>1</v>
      </c>
      <c r="V370" s="111">
        <f t="shared" si="79"/>
        <v>117.61</v>
      </c>
      <c r="W370" s="110"/>
      <c r="X370" s="110"/>
      <c r="Y370" s="110"/>
      <c r="Z370" s="110"/>
      <c r="AA370" s="110">
        <f t="shared" si="84"/>
        <v>1</v>
      </c>
      <c r="AB370" s="111">
        <f t="shared" si="80"/>
        <v>117.61</v>
      </c>
      <c r="AC370" s="110"/>
      <c r="AD370" s="110"/>
      <c r="AE370" s="110">
        <f t="shared" si="84"/>
        <v>1</v>
      </c>
      <c r="AF370" s="111">
        <f t="shared" si="81"/>
        <v>117.61</v>
      </c>
      <c r="AG370" s="110"/>
      <c r="AH370" s="110"/>
      <c r="AI370" s="110"/>
      <c r="AJ370" s="110"/>
      <c r="AK370" s="111">
        <f t="shared" si="75"/>
        <v>470.44</v>
      </c>
      <c r="AL370" s="446">
        <f t="shared" si="76"/>
        <v>0</v>
      </c>
      <c r="AM370" s="110">
        <f t="shared" si="77"/>
        <v>4</v>
      </c>
      <c r="AN370" s="447">
        <f t="shared" si="73"/>
        <v>0</v>
      </c>
      <c r="AO370"/>
      <c r="AP370"/>
    </row>
    <row r="371" spans="1:42" ht="66" x14ac:dyDescent="0.25">
      <c r="A371" s="9"/>
      <c r="B371" s="485" t="s">
        <v>1848</v>
      </c>
      <c r="C371" s="1024"/>
      <c r="D371" s="869">
        <v>2</v>
      </c>
      <c r="E371" s="1027" t="s">
        <v>1721</v>
      </c>
      <c r="F371" s="273" t="s">
        <v>3446</v>
      </c>
      <c r="G371" s="1040" t="s">
        <v>3463</v>
      </c>
      <c r="H371" s="273" t="s">
        <v>3462</v>
      </c>
      <c r="I371" s="720">
        <f t="shared" si="85"/>
        <v>85.54</v>
      </c>
      <c r="J371" s="756">
        <v>171.08</v>
      </c>
      <c r="K371" s="131">
        <f t="shared" si="72"/>
        <v>171.08</v>
      </c>
      <c r="L371" s="335">
        <f t="shared" si="74"/>
        <v>0</v>
      </c>
      <c r="M371" s="446"/>
      <c r="N371" s="446"/>
      <c r="O371" s="446"/>
      <c r="P371" s="446"/>
      <c r="Q371" s="130">
        <v>1</v>
      </c>
      <c r="R371" s="111">
        <v>85.54</v>
      </c>
      <c r="S371" s="110"/>
      <c r="T371" s="110"/>
      <c r="U371" s="130">
        <v>1</v>
      </c>
      <c r="V371" s="111">
        <v>85.54</v>
      </c>
      <c r="W371" s="110"/>
      <c r="X371" s="110"/>
      <c r="Y371" s="110"/>
      <c r="Z371" s="110"/>
      <c r="AA371" s="130">
        <v>0</v>
      </c>
      <c r="AB371" s="111">
        <v>0</v>
      </c>
      <c r="AC371" s="110"/>
      <c r="AD371" s="110"/>
      <c r="AE371" s="130">
        <v>0</v>
      </c>
      <c r="AF371" s="111">
        <v>0</v>
      </c>
      <c r="AG371" s="110"/>
      <c r="AH371" s="110"/>
      <c r="AI371" s="110"/>
      <c r="AJ371" s="110"/>
      <c r="AK371" s="111">
        <f t="shared" si="75"/>
        <v>171.08</v>
      </c>
      <c r="AL371" s="446">
        <f t="shared" si="76"/>
        <v>0</v>
      </c>
      <c r="AM371" s="110">
        <f t="shared" si="77"/>
        <v>2</v>
      </c>
      <c r="AN371" s="447">
        <f t="shared" si="73"/>
        <v>0</v>
      </c>
      <c r="AO371"/>
      <c r="AP371"/>
    </row>
    <row r="372" spans="1:42" ht="66" x14ac:dyDescent="0.25">
      <c r="A372" s="9"/>
      <c r="B372" s="485" t="s">
        <v>16</v>
      </c>
      <c r="C372" s="1024"/>
      <c r="D372" s="869">
        <v>2</v>
      </c>
      <c r="E372" s="1027" t="s">
        <v>1721</v>
      </c>
      <c r="F372" s="273" t="s">
        <v>3446</v>
      </c>
      <c r="G372" s="1040" t="s">
        <v>3463</v>
      </c>
      <c r="H372" s="273" t="s">
        <v>3462</v>
      </c>
      <c r="I372" s="720">
        <f t="shared" si="85"/>
        <v>231.66</v>
      </c>
      <c r="J372" s="756">
        <v>463.32</v>
      </c>
      <c r="K372" s="131">
        <f t="shared" si="72"/>
        <v>463.32</v>
      </c>
      <c r="L372" s="335">
        <f t="shared" si="74"/>
        <v>0</v>
      </c>
      <c r="M372" s="446"/>
      <c r="N372" s="446"/>
      <c r="O372" s="446"/>
      <c r="P372" s="446"/>
      <c r="Q372" s="130">
        <v>1</v>
      </c>
      <c r="R372" s="111">
        <v>231.66</v>
      </c>
      <c r="S372" s="110"/>
      <c r="T372" s="110"/>
      <c r="U372" s="130">
        <v>1</v>
      </c>
      <c r="V372" s="111">
        <v>231.66</v>
      </c>
      <c r="W372" s="110"/>
      <c r="X372" s="110"/>
      <c r="Y372" s="110"/>
      <c r="Z372" s="110"/>
      <c r="AA372" s="130">
        <v>0</v>
      </c>
      <c r="AB372" s="111">
        <v>0</v>
      </c>
      <c r="AC372" s="110"/>
      <c r="AD372" s="110"/>
      <c r="AE372" s="130">
        <v>0</v>
      </c>
      <c r="AF372" s="111">
        <v>0</v>
      </c>
      <c r="AG372" s="110"/>
      <c r="AH372" s="110"/>
      <c r="AI372" s="110"/>
      <c r="AJ372" s="110"/>
      <c r="AK372" s="111">
        <f t="shared" si="75"/>
        <v>463.32</v>
      </c>
      <c r="AL372" s="446">
        <f t="shared" si="76"/>
        <v>0</v>
      </c>
      <c r="AM372" s="110">
        <f t="shared" si="77"/>
        <v>2</v>
      </c>
      <c r="AN372" s="447">
        <f t="shared" si="73"/>
        <v>0</v>
      </c>
      <c r="AO372"/>
      <c r="AP372"/>
    </row>
    <row r="373" spans="1:42" ht="66" x14ac:dyDescent="0.25">
      <c r="A373" s="9"/>
      <c r="B373" s="485" t="s">
        <v>83</v>
      </c>
      <c r="C373" s="1024"/>
      <c r="D373" s="869">
        <v>1</v>
      </c>
      <c r="E373" s="1027" t="s">
        <v>1721</v>
      </c>
      <c r="F373" s="273" t="s">
        <v>3446</v>
      </c>
      <c r="G373" s="1040" t="s">
        <v>3463</v>
      </c>
      <c r="H373" s="273" t="s">
        <v>3462</v>
      </c>
      <c r="I373" s="720">
        <f t="shared" si="85"/>
        <v>689.04</v>
      </c>
      <c r="J373" s="756">
        <v>689.04</v>
      </c>
      <c r="K373" s="131">
        <f t="shared" si="72"/>
        <v>689.04</v>
      </c>
      <c r="L373" s="335">
        <f t="shared" si="74"/>
        <v>0</v>
      </c>
      <c r="M373" s="446"/>
      <c r="N373" s="446"/>
      <c r="O373" s="446"/>
      <c r="P373" s="446"/>
      <c r="Q373" s="110">
        <v>1</v>
      </c>
      <c r="R373" s="111">
        <v>689.04</v>
      </c>
      <c r="S373" s="110"/>
      <c r="T373" s="110"/>
      <c r="U373" s="110">
        <v>0</v>
      </c>
      <c r="V373" s="111">
        <v>0</v>
      </c>
      <c r="W373" s="110"/>
      <c r="X373" s="110"/>
      <c r="Y373" s="110"/>
      <c r="Z373" s="110"/>
      <c r="AA373" s="110">
        <v>0</v>
      </c>
      <c r="AB373" s="111">
        <v>0</v>
      </c>
      <c r="AC373" s="110"/>
      <c r="AD373" s="110"/>
      <c r="AE373" s="110">
        <v>0</v>
      </c>
      <c r="AF373" s="111">
        <v>0</v>
      </c>
      <c r="AG373" s="110"/>
      <c r="AH373" s="110"/>
      <c r="AI373" s="110"/>
      <c r="AJ373" s="110"/>
      <c r="AK373" s="111">
        <f t="shared" si="75"/>
        <v>689.04</v>
      </c>
      <c r="AL373" s="446">
        <f t="shared" si="76"/>
        <v>0</v>
      </c>
      <c r="AM373" s="110">
        <f t="shared" si="77"/>
        <v>1</v>
      </c>
      <c r="AN373" s="447">
        <f t="shared" si="73"/>
        <v>0</v>
      </c>
      <c r="AO373"/>
      <c r="AP373"/>
    </row>
    <row r="374" spans="1:42" ht="66" x14ac:dyDescent="0.25">
      <c r="A374" s="9"/>
      <c r="B374" s="485" t="s">
        <v>33</v>
      </c>
      <c r="C374" s="1024"/>
      <c r="D374" s="869">
        <v>6</v>
      </c>
      <c r="E374" s="1027" t="s">
        <v>1721</v>
      </c>
      <c r="F374" s="273" t="s">
        <v>3446</v>
      </c>
      <c r="G374" s="1040" t="s">
        <v>3463</v>
      </c>
      <c r="H374" s="273" t="s">
        <v>3462</v>
      </c>
      <c r="I374" s="720">
        <f t="shared" si="85"/>
        <v>74.25</v>
      </c>
      <c r="J374" s="756">
        <v>445.5</v>
      </c>
      <c r="K374" s="131">
        <f t="shared" si="72"/>
        <v>445.5</v>
      </c>
      <c r="L374" s="335">
        <f t="shared" si="74"/>
        <v>0</v>
      </c>
      <c r="M374" s="446"/>
      <c r="N374" s="446"/>
      <c r="O374" s="446"/>
      <c r="P374" s="446"/>
      <c r="Q374" s="130">
        <v>2</v>
      </c>
      <c r="R374" s="111">
        <f t="shared" si="78"/>
        <v>111.375</v>
      </c>
      <c r="S374" s="110"/>
      <c r="T374" s="110"/>
      <c r="U374" s="130">
        <v>2</v>
      </c>
      <c r="V374" s="111">
        <f t="shared" si="79"/>
        <v>111.375</v>
      </c>
      <c r="W374" s="110"/>
      <c r="X374" s="110"/>
      <c r="Y374" s="110"/>
      <c r="Z374" s="110"/>
      <c r="AA374" s="130">
        <v>1</v>
      </c>
      <c r="AB374" s="111">
        <f t="shared" si="80"/>
        <v>111.375</v>
      </c>
      <c r="AC374" s="110"/>
      <c r="AD374" s="110"/>
      <c r="AE374" s="130">
        <v>1</v>
      </c>
      <c r="AF374" s="111">
        <f t="shared" si="81"/>
        <v>111.375</v>
      </c>
      <c r="AG374" s="110"/>
      <c r="AH374" s="110"/>
      <c r="AI374" s="110"/>
      <c r="AJ374" s="110"/>
      <c r="AK374" s="111">
        <f t="shared" si="75"/>
        <v>445.5</v>
      </c>
      <c r="AL374" s="446">
        <f t="shared" si="76"/>
        <v>0</v>
      </c>
      <c r="AM374" s="110">
        <f t="shared" si="77"/>
        <v>6</v>
      </c>
      <c r="AN374" s="447">
        <f t="shared" si="73"/>
        <v>0</v>
      </c>
      <c r="AO374"/>
      <c r="AP374"/>
    </row>
    <row r="375" spans="1:42" ht="66" x14ac:dyDescent="0.25">
      <c r="A375" s="9"/>
      <c r="B375" s="485" t="s">
        <v>74</v>
      </c>
      <c r="C375" s="1024"/>
      <c r="D375" s="869">
        <v>4</v>
      </c>
      <c r="E375" s="1027" t="s">
        <v>1722</v>
      </c>
      <c r="F375" s="273" t="s">
        <v>3446</v>
      </c>
      <c r="G375" s="1040" t="s">
        <v>3463</v>
      </c>
      <c r="H375" s="273" t="s">
        <v>3462</v>
      </c>
      <c r="I375" s="720">
        <f t="shared" si="85"/>
        <v>22.57</v>
      </c>
      <c r="J375" s="756">
        <v>90.28</v>
      </c>
      <c r="K375" s="131">
        <f t="shared" si="72"/>
        <v>90.28</v>
      </c>
      <c r="L375" s="335">
        <f t="shared" si="74"/>
        <v>0</v>
      </c>
      <c r="M375" s="446"/>
      <c r="N375" s="446"/>
      <c r="O375" s="446"/>
      <c r="P375" s="446"/>
      <c r="Q375" s="110">
        <f t="shared" si="82"/>
        <v>1</v>
      </c>
      <c r="R375" s="111">
        <f t="shared" si="78"/>
        <v>22.57</v>
      </c>
      <c r="S375" s="110"/>
      <c r="T375" s="110"/>
      <c r="U375" s="110">
        <f t="shared" si="83"/>
        <v>1</v>
      </c>
      <c r="V375" s="111">
        <f t="shared" si="79"/>
        <v>22.57</v>
      </c>
      <c r="W375" s="110"/>
      <c r="X375" s="110"/>
      <c r="Y375" s="110"/>
      <c r="Z375" s="110"/>
      <c r="AA375" s="110">
        <f t="shared" si="84"/>
        <v>1</v>
      </c>
      <c r="AB375" s="111">
        <f t="shared" si="80"/>
        <v>22.57</v>
      </c>
      <c r="AC375" s="110"/>
      <c r="AD375" s="110"/>
      <c r="AE375" s="110">
        <f t="shared" si="84"/>
        <v>1</v>
      </c>
      <c r="AF375" s="111">
        <f t="shared" si="81"/>
        <v>22.57</v>
      </c>
      <c r="AG375" s="110"/>
      <c r="AH375" s="110"/>
      <c r="AI375" s="110"/>
      <c r="AJ375" s="110"/>
      <c r="AK375" s="111">
        <f t="shared" si="75"/>
        <v>90.28</v>
      </c>
      <c r="AL375" s="446">
        <f t="shared" si="76"/>
        <v>0</v>
      </c>
      <c r="AM375" s="110">
        <f t="shared" si="77"/>
        <v>4</v>
      </c>
      <c r="AN375" s="447">
        <f t="shared" si="73"/>
        <v>0</v>
      </c>
      <c r="AO375"/>
      <c r="AP375"/>
    </row>
    <row r="376" spans="1:42" ht="66" x14ac:dyDescent="0.25">
      <c r="A376" s="9"/>
      <c r="B376" s="485" t="s">
        <v>88</v>
      </c>
      <c r="C376" s="1024"/>
      <c r="D376" s="869">
        <v>1</v>
      </c>
      <c r="E376" s="1027" t="s">
        <v>1827</v>
      </c>
      <c r="F376" s="273" t="s">
        <v>3446</v>
      </c>
      <c r="G376" s="1040" t="s">
        <v>3463</v>
      </c>
      <c r="H376" s="273" t="s">
        <v>3462</v>
      </c>
      <c r="I376" s="720">
        <f t="shared" si="85"/>
        <v>188.44</v>
      </c>
      <c r="J376" s="756">
        <v>188.44</v>
      </c>
      <c r="K376" s="131">
        <f t="shared" si="72"/>
        <v>188.44</v>
      </c>
      <c r="L376" s="335">
        <f t="shared" si="74"/>
        <v>0</v>
      </c>
      <c r="M376" s="446"/>
      <c r="N376" s="446"/>
      <c r="O376" s="446"/>
      <c r="P376" s="446"/>
      <c r="Q376" s="110">
        <v>1</v>
      </c>
      <c r="R376" s="111">
        <v>188.44</v>
      </c>
      <c r="S376" s="110"/>
      <c r="T376" s="110"/>
      <c r="U376" s="110">
        <v>0</v>
      </c>
      <c r="V376" s="111">
        <v>0</v>
      </c>
      <c r="W376" s="110"/>
      <c r="X376" s="110"/>
      <c r="Y376" s="110"/>
      <c r="Z376" s="110"/>
      <c r="AA376" s="110">
        <v>0</v>
      </c>
      <c r="AB376" s="111">
        <v>0</v>
      </c>
      <c r="AC376" s="110"/>
      <c r="AD376" s="110"/>
      <c r="AE376" s="110">
        <v>0</v>
      </c>
      <c r="AF376" s="111">
        <v>0</v>
      </c>
      <c r="AG376" s="110"/>
      <c r="AH376" s="110"/>
      <c r="AI376" s="110"/>
      <c r="AJ376" s="110"/>
      <c r="AK376" s="111">
        <f t="shared" si="75"/>
        <v>188.44</v>
      </c>
      <c r="AL376" s="446">
        <f t="shared" si="76"/>
        <v>0</v>
      </c>
      <c r="AM376" s="110">
        <f t="shared" si="77"/>
        <v>1</v>
      </c>
      <c r="AN376" s="447">
        <f t="shared" si="73"/>
        <v>0</v>
      </c>
      <c r="AO376"/>
      <c r="AP376"/>
    </row>
    <row r="377" spans="1:42" ht="66" x14ac:dyDescent="0.25">
      <c r="A377" s="9"/>
      <c r="B377" s="485" t="s">
        <v>1996</v>
      </c>
      <c r="C377" s="1024"/>
      <c r="D377" s="869">
        <v>4</v>
      </c>
      <c r="E377" s="1027" t="s">
        <v>1721</v>
      </c>
      <c r="F377" s="273" t="s">
        <v>3446</v>
      </c>
      <c r="G377" s="1040" t="s">
        <v>3463</v>
      </c>
      <c r="H377" s="273" t="s">
        <v>3462</v>
      </c>
      <c r="I377" s="720">
        <f t="shared" si="85"/>
        <v>14.26</v>
      </c>
      <c r="J377" s="756">
        <v>57.04</v>
      </c>
      <c r="K377" s="131">
        <f t="shared" si="72"/>
        <v>57.04</v>
      </c>
      <c r="L377" s="335">
        <f t="shared" si="74"/>
        <v>0</v>
      </c>
      <c r="M377" s="446"/>
      <c r="N377" s="446"/>
      <c r="O377" s="446"/>
      <c r="P377" s="446"/>
      <c r="Q377" s="110">
        <f t="shared" si="82"/>
        <v>1</v>
      </c>
      <c r="R377" s="111">
        <f t="shared" si="78"/>
        <v>14.26</v>
      </c>
      <c r="S377" s="110"/>
      <c r="T377" s="110"/>
      <c r="U377" s="110">
        <f t="shared" si="83"/>
        <v>1</v>
      </c>
      <c r="V377" s="111">
        <f t="shared" si="79"/>
        <v>14.26</v>
      </c>
      <c r="W377" s="110"/>
      <c r="X377" s="110"/>
      <c r="Y377" s="110"/>
      <c r="Z377" s="110"/>
      <c r="AA377" s="110">
        <f t="shared" si="84"/>
        <v>1</v>
      </c>
      <c r="AB377" s="111">
        <f t="shared" si="80"/>
        <v>14.26</v>
      </c>
      <c r="AC377" s="110"/>
      <c r="AD377" s="110"/>
      <c r="AE377" s="110">
        <f t="shared" si="84"/>
        <v>1</v>
      </c>
      <c r="AF377" s="111">
        <f t="shared" si="81"/>
        <v>14.26</v>
      </c>
      <c r="AG377" s="110"/>
      <c r="AH377" s="110"/>
      <c r="AI377" s="110"/>
      <c r="AJ377" s="110"/>
      <c r="AK377" s="111">
        <f t="shared" si="75"/>
        <v>57.04</v>
      </c>
      <c r="AL377" s="446">
        <f t="shared" si="76"/>
        <v>0</v>
      </c>
      <c r="AM377" s="110">
        <f t="shared" si="77"/>
        <v>4</v>
      </c>
      <c r="AN377" s="447">
        <f t="shared" si="73"/>
        <v>0</v>
      </c>
      <c r="AO377"/>
      <c r="AP377"/>
    </row>
    <row r="378" spans="1:42" ht="66" x14ac:dyDescent="0.25">
      <c r="A378" s="9"/>
      <c r="B378" s="485" t="s">
        <v>92</v>
      </c>
      <c r="C378" s="1024"/>
      <c r="D378" s="869">
        <v>8</v>
      </c>
      <c r="E378" s="1027" t="s">
        <v>1722</v>
      </c>
      <c r="F378" s="273" t="s">
        <v>3446</v>
      </c>
      <c r="G378" s="1040" t="s">
        <v>3463</v>
      </c>
      <c r="H378" s="273" t="s">
        <v>3462</v>
      </c>
      <c r="I378" s="720">
        <f t="shared" si="85"/>
        <v>35.64</v>
      </c>
      <c r="J378" s="756">
        <v>285.12</v>
      </c>
      <c r="K378" s="131">
        <f t="shared" si="72"/>
        <v>285.12</v>
      </c>
      <c r="L378" s="335">
        <f t="shared" si="74"/>
        <v>0</v>
      </c>
      <c r="M378" s="446"/>
      <c r="N378" s="446"/>
      <c r="O378" s="446"/>
      <c r="P378" s="446"/>
      <c r="Q378" s="110">
        <f t="shared" si="82"/>
        <v>2</v>
      </c>
      <c r="R378" s="111">
        <f t="shared" si="78"/>
        <v>71.28</v>
      </c>
      <c r="S378" s="110"/>
      <c r="T378" s="110"/>
      <c r="U378" s="110">
        <f t="shared" si="83"/>
        <v>2</v>
      </c>
      <c r="V378" s="111">
        <f t="shared" si="79"/>
        <v>71.28</v>
      </c>
      <c r="W378" s="110"/>
      <c r="X378" s="110"/>
      <c r="Y378" s="110"/>
      <c r="Z378" s="110"/>
      <c r="AA378" s="110">
        <f t="shared" si="84"/>
        <v>2</v>
      </c>
      <c r="AB378" s="111">
        <f t="shared" si="80"/>
        <v>71.28</v>
      </c>
      <c r="AC378" s="110"/>
      <c r="AD378" s="110"/>
      <c r="AE378" s="110">
        <f t="shared" si="84"/>
        <v>2</v>
      </c>
      <c r="AF378" s="111">
        <f t="shared" si="81"/>
        <v>71.28</v>
      </c>
      <c r="AG378" s="110"/>
      <c r="AH378" s="110"/>
      <c r="AI378" s="110"/>
      <c r="AJ378" s="110"/>
      <c r="AK378" s="111">
        <f t="shared" si="75"/>
        <v>285.12</v>
      </c>
      <c r="AL378" s="446">
        <f t="shared" si="76"/>
        <v>0</v>
      </c>
      <c r="AM378" s="110">
        <f t="shared" si="77"/>
        <v>8</v>
      </c>
      <c r="AN378" s="447">
        <f t="shared" si="73"/>
        <v>0</v>
      </c>
      <c r="AO378"/>
      <c r="AP378"/>
    </row>
    <row r="379" spans="1:42" ht="66" x14ac:dyDescent="0.25">
      <c r="A379" s="9"/>
      <c r="B379" s="485" t="s">
        <v>93</v>
      </c>
      <c r="C379" s="1024"/>
      <c r="D379" s="869">
        <v>8</v>
      </c>
      <c r="E379" s="1027" t="s">
        <v>1722</v>
      </c>
      <c r="F379" s="273" t="s">
        <v>3446</v>
      </c>
      <c r="G379" s="1040" t="s">
        <v>3463</v>
      </c>
      <c r="H379" s="273" t="s">
        <v>3462</v>
      </c>
      <c r="I379" s="720">
        <f t="shared" si="85"/>
        <v>61.78</v>
      </c>
      <c r="J379" s="756">
        <v>494.24</v>
      </c>
      <c r="K379" s="131">
        <f t="shared" si="72"/>
        <v>494.24</v>
      </c>
      <c r="L379" s="335">
        <f t="shared" si="74"/>
        <v>0</v>
      </c>
      <c r="M379" s="446"/>
      <c r="N379" s="446"/>
      <c r="O379" s="446"/>
      <c r="P379" s="446"/>
      <c r="Q379" s="110">
        <f t="shared" si="82"/>
        <v>2</v>
      </c>
      <c r="R379" s="111">
        <f t="shared" si="78"/>
        <v>123.56</v>
      </c>
      <c r="S379" s="110"/>
      <c r="T379" s="110"/>
      <c r="U379" s="110">
        <f t="shared" si="83"/>
        <v>2</v>
      </c>
      <c r="V379" s="111">
        <f t="shared" si="79"/>
        <v>123.56</v>
      </c>
      <c r="W379" s="110"/>
      <c r="X379" s="110"/>
      <c r="Y379" s="110"/>
      <c r="Z379" s="110"/>
      <c r="AA379" s="110">
        <f t="shared" si="84"/>
        <v>2</v>
      </c>
      <c r="AB379" s="111">
        <f t="shared" si="80"/>
        <v>123.56</v>
      </c>
      <c r="AC379" s="110"/>
      <c r="AD379" s="110"/>
      <c r="AE379" s="110">
        <f t="shared" si="84"/>
        <v>2</v>
      </c>
      <c r="AF379" s="111">
        <f t="shared" si="81"/>
        <v>123.56</v>
      </c>
      <c r="AG379" s="110"/>
      <c r="AH379" s="110"/>
      <c r="AI379" s="110"/>
      <c r="AJ379" s="110"/>
      <c r="AK379" s="111">
        <f t="shared" si="75"/>
        <v>494.24</v>
      </c>
      <c r="AL379" s="446">
        <f t="shared" si="76"/>
        <v>0</v>
      </c>
      <c r="AM379" s="110">
        <f t="shared" si="77"/>
        <v>8</v>
      </c>
      <c r="AN379" s="447">
        <f t="shared" si="73"/>
        <v>0</v>
      </c>
      <c r="AO379"/>
      <c r="AP379"/>
    </row>
    <row r="380" spans="1:42" ht="66" x14ac:dyDescent="0.25">
      <c r="A380" s="9"/>
      <c r="B380" s="485" t="s">
        <v>53</v>
      </c>
      <c r="C380" s="1024"/>
      <c r="D380" s="869">
        <v>1</v>
      </c>
      <c r="E380" s="1027" t="s">
        <v>1721</v>
      </c>
      <c r="F380" s="273" t="s">
        <v>3446</v>
      </c>
      <c r="G380" s="1040" t="s">
        <v>3463</v>
      </c>
      <c r="H380" s="273" t="s">
        <v>3462</v>
      </c>
      <c r="I380" s="720">
        <f t="shared" si="85"/>
        <v>106.92</v>
      </c>
      <c r="J380" s="756">
        <v>106.92</v>
      </c>
      <c r="K380" s="131">
        <f t="shared" si="72"/>
        <v>106.92</v>
      </c>
      <c r="L380" s="335">
        <f t="shared" si="74"/>
        <v>0</v>
      </c>
      <c r="M380" s="446"/>
      <c r="N380" s="446"/>
      <c r="O380" s="446"/>
      <c r="P380" s="446"/>
      <c r="Q380" s="110">
        <v>1</v>
      </c>
      <c r="R380" s="111">
        <v>106.92</v>
      </c>
      <c r="S380" s="110"/>
      <c r="T380" s="110"/>
      <c r="U380" s="110">
        <v>0</v>
      </c>
      <c r="V380" s="111">
        <v>0</v>
      </c>
      <c r="W380" s="110"/>
      <c r="X380" s="110"/>
      <c r="Y380" s="110"/>
      <c r="Z380" s="110"/>
      <c r="AA380" s="110">
        <v>0</v>
      </c>
      <c r="AB380" s="111">
        <v>0</v>
      </c>
      <c r="AC380" s="110"/>
      <c r="AD380" s="110"/>
      <c r="AE380" s="110">
        <v>0</v>
      </c>
      <c r="AF380" s="111">
        <v>0</v>
      </c>
      <c r="AG380" s="110"/>
      <c r="AH380" s="110"/>
      <c r="AI380" s="110"/>
      <c r="AJ380" s="110"/>
      <c r="AK380" s="111">
        <f t="shared" si="75"/>
        <v>106.92</v>
      </c>
      <c r="AL380" s="446">
        <f t="shared" si="76"/>
        <v>0</v>
      </c>
      <c r="AM380" s="110">
        <f t="shared" si="77"/>
        <v>1</v>
      </c>
      <c r="AN380" s="447">
        <f t="shared" si="73"/>
        <v>0</v>
      </c>
      <c r="AO380"/>
      <c r="AP380"/>
    </row>
    <row r="381" spans="1:42" ht="66" x14ac:dyDescent="0.25">
      <c r="A381" s="9"/>
      <c r="B381" s="485" t="s">
        <v>72</v>
      </c>
      <c r="C381" s="1024"/>
      <c r="D381" s="869">
        <v>4</v>
      </c>
      <c r="E381" s="1027" t="s">
        <v>1721</v>
      </c>
      <c r="F381" s="273" t="s">
        <v>3446</v>
      </c>
      <c r="G381" s="1040" t="s">
        <v>3463</v>
      </c>
      <c r="H381" s="273" t="s">
        <v>3462</v>
      </c>
      <c r="I381" s="720">
        <f t="shared" si="85"/>
        <v>12.12</v>
      </c>
      <c r="J381" s="756">
        <v>48.48</v>
      </c>
      <c r="K381" s="131">
        <f t="shared" si="72"/>
        <v>48.48</v>
      </c>
      <c r="L381" s="335">
        <f t="shared" si="74"/>
        <v>0</v>
      </c>
      <c r="M381" s="446"/>
      <c r="N381" s="446"/>
      <c r="O381" s="446"/>
      <c r="P381" s="446"/>
      <c r="Q381" s="110">
        <f t="shared" si="82"/>
        <v>1</v>
      </c>
      <c r="R381" s="111">
        <f t="shared" si="78"/>
        <v>12.12</v>
      </c>
      <c r="S381" s="110"/>
      <c r="T381" s="110"/>
      <c r="U381" s="110">
        <f t="shared" si="83"/>
        <v>1</v>
      </c>
      <c r="V381" s="111">
        <f t="shared" si="79"/>
        <v>12.12</v>
      </c>
      <c r="W381" s="110"/>
      <c r="X381" s="110"/>
      <c r="Y381" s="110"/>
      <c r="Z381" s="110"/>
      <c r="AA381" s="110">
        <f t="shared" si="84"/>
        <v>1</v>
      </c>
      <c r="AB381" s="111">
        <f t="shared" si="80"/>
        <v>12.12</v>
      </c>
      <c r="AC381" s="110"/>
      <c r="AD381" s="110"/>
      <c r="AE381" s="110">
        <f t="shared" si="84"/>
        <v>1</v>
      </c>
      <c r="AF381" s="111">
        <f t="shared" si="81"/>
        <v>12.12</v>
      </c>
      <c r="AG381" s="110"/>
      <c r="AH381" s="110"/>
      <c r="AI381" s="110"/>
      <c r="AJ381" s="110"/>
      <c r="AK381" s="111">
        <f t="shared" si="75"/>
        <v>48.48</v>
      </c>
      <c r="AL381" s="446">
        <f t="shared" si="76"/>
        <v>0</v>
      </c>
      <c r="AM381" s="110">
        <f t="shared" si="77"/>
        <v>4</v>
      </c>
      <c r="AN381" s="447">
        <f t="shared" si="73"/>
        <v>0</v>
      </c>
      <c r="AO381"/>
      <c r="AP381"/>
    </row>
    <row r="382" spans="1:42" ht="66" x14ac:dyDescent="0.25">
      <c r="A382" s="9"/>
      <c r="B382" s="485" t="s">
        <v>68</v>
      </c>
      <c r="C382" s="1024"/>
      <c r="D382" s="869">
        <v>2</v>
      </c>
      <c r="E382" s="1027" t="s">
        <v>1721</v>
      </c>
      <c r="F382" s="273" t="s">
        <v>3446</v>
      </c>
      <c r="G382" s="1040" t="s">
        <v>3463</v>
      </c>
      <c r="H382" s="273" t="s">
        <v>3462</v>
      </c>
      <c r="I382" s="720">
        <f t="shared" si="85"/>
        <v>16.63</v>
      </c>
      <c r="J382" s="756">
        <v>33.26</v>
      </c>
      <c r="K382" s="131">
        <f t="shared" si="72"/>
        <v>33.26</v>
      </c>
      <c r="L382" s="335">
        <f t="shared" si="74"/>
        <v>0</v>
      </c>
      <c r="M382" s="446"/>
      <c r="N382" s="446"/>
      <c r="O382" s="446"/>
      <c r="P382" s="446"/>
      <c r="Q382" s="130">
        <v>1</v>
      </c>
      <c r="R382" s="111">
        <v>16.63</v>
      </c>
      <c r="S382" s="110"/>
      <c r="T382" s="110"/>
      <c r="U382" s="130">
        <v>1</v>
      </c>
      <c r="V382" s="111">
        <v>16.63</v>
      </c>
      <c r="W382" s="110"/>
      <c r="X382" s="110"/>
      <c r="Y382" s="110"/>
      <c r="Z382" s="110"/>
      <c r="AA382" s="130">
        <v>0</v>
      </c>
      <c r="AB382" s="111">
        <v>0</v>
      </c>
      <c r="AC382" s="110"/>
      <c r="AD382" s="110"/>
      <c r="AE382" s="130">
        <v>0</v>
      </c>
      <c r="AF382" s="111">
        <v>0</v>
      </c>
      <c r="AG382" s="110"/>
      <c r="AH382" s="110"/>
      <c r="AI382" s="110"/>
      <c r="AJ382" s="110"/>
      <c r="AK382" s="111">
        <f t="shared" si="75"/>
        <v>33.26</v>
      </c>
      <c r="AL382" s="446">
        <f t="shared" si="76"/>
        <v>0</v>
      </c>
      <c r="AM382" s="110">
        <f t="shared" si="77"/>
        <v>2</v>
      </c>
      <c r="AN382" s="447">
        <f t="shared" si="73"/>
        <v>0</v>
      </c>
      <c r="AO382"/>
      <c r="AP382"/>
    </row>
    <row r="383" spans="1:42" ht="66" x14ac:dyDescent="0.25">
      <c r="A383" s="9"/>
      <c r="B383" s="485" t="s">
        <v>69</v>
      </c>
      <c r="C383" s="1024"/>
      <c r="D383" s="869">
        <v>2</v>
      </c>
      <c r="E383" s="1027" t="s">
        <v>1721</v>
      </c>
      <c r="F383" s="273" t="s">
        <v>3446</v>
      </c>
      <c r="G383" s="1040" t="s">
        <v>3463</v>
      </c>
      <c r="H383" s="273" t="s">
        <v>3462</v>
      </c>
      <c r="I383" s="720">
        <f t="shared" si="85"/>
        <v>16.63</v>
      </c>
      <c r="J383" s="756">
        <v>33.26</v>
      </c>
      <c r="K383" s="131">
        <f t="shared" si="72"/>
        <v>33.26</v>
      </c>
      <c r="L383" s="335">
        <f t="shared" si="74"/>
        <v>0</v>
      </c>
      <c r="M383" s="446"/>
      <c r="N383" s="446"/>
      <c r="O383" s="446"/>
      <c r="P383" s="446"/>
      <c r="Q383" s="130">
        <v>1</v>
      </c>
      <c r="R383" s="111">
        <v>16.63</v>
      </c>
      <c r="S383" s="110"/>
      <c r="T383" s="110"/>
      <c r="U383" s="130">
        <v>1</v>
      </c>
      <c r="V383" s="111">
        <v>16.63</v>
      </c>
      <c r="W383" s="110"/>
      <c r="X383" s="110"/>
      <c r="Y383" s="110"/>
      <c r="Z383" s="110"/>
      <c r="AA383" s="130">
        <v>0</v>
      </c>
      <c r="AB383" s="111">
        <v>0</v>
      </c>
      <c r="AC383" s="110"/>
      <c r="AD383" s="110"/>
      <c r="AE383" s="130">
        <v>0</v>
      </c>
      <c r="AF383" s="111">
        <v>0</v>
      </c>
      <c r="AG383" s="110"/>
      <c r="AH383" s="110"/>
      <c r="AI383" s="110"/>
      <c r="AJ383" s="110"/>
      <c r="AK383" s="111">
        <f t="shared" si="75"/>
        <v>33.26</v>
      </c>
      <c r="AL383" s="446">
        <f t="shared" si="76"/>
        <v>0</v>
      </c>
      <c r="AM383" s="110">
        <f t="shared" si="77"/>
        <v>2</v>
      </c>
      <c r="AN383" s="447">
        <f t="shared" si="73"/>
        <v>0</v>
      </c>
      <c r="AO383"/>
      <c r="AP383"/>
    </row>
    <row r="384" spans="1:42" ht="66" x14ac:dyDescent="0.25">
      <c r="A384" s="9"/>
      <c r="B384" s="485" t="s">
        <v>67</v>
      </c>
      <c r="C384" s="1024"/>
      <c r="D384" s="869">
        <v>2</v>
      </c>
      <c r="E384" s="1027" t="s">
        <v>1721</v>
      </c>
      <c r="F384" s="273" t="s">
        <v>3446</v>
      </c>
      <c r="G384" s="1040" t="s">
        <v>3463</v>
      </c>
      <c r="H384" s="273" t="s">
        <v>3462</v>
      </c>
      <c r="I384" s="720">
        <f t="shared" si="85"/>
        <v>16.63</v>
      </c>
      <c r="J384" s="756">
        <v>33.26</v>
      </c>
      <c r="K384" s="131">
        <f t="shared" si="72"/>
        <v>33.26</v>
      </c>
      <c r="L384" s="335">
        <f t="shared" si="74"/>
        <v>0</v>
      </c>
      <c r="M384" s="446"/>
      <c r="N384" s="446"/>
      <c r="O384" s="446"/>
      <c r="P384" s="446"/>
      <c r="Q384" s="130">
        <v>1</v>
      </c>
      <c r="R384" s="111">
        <v>16.63</v>
      </c>
      <c r="S384" s="110"/>
      <c r="T384" s="110"/>
      <c r="U384" s="130">
        <v>1</v>
      </c>
      <c r="V384" s="111">
        <v>16.63</v>
      </c>
      <c r="W384" s="110"/>
      <c r="X384" s="110"/>
      <c r="Y384" s="110"/>
      <c r="Z384" s="110"/>
      <c r="AA384" s="130">
        <v>0</v>
      </c>
      <c r="AB384" s="111">
        <v>0</v>
      </c>
      <c r="AC384" s="110"/>
      <c r="AD384" s="110"/>
      <c r="AE384" s="130">
        <v>0</v>
      </c>
      <c r="AF384" s="111">
        <v>0</v>
      </c>
      <c r="AG384" s="110"/>
      <c r="AH384" s="110"/>
      <c r="AI384" s="110"/>
      <c r="AJ384" s="110"/>
      <c r="AK384" s="111">
        <f t="shared" si="75"/>
        <v>33.26</v>
      </c>
      <c r="AL384" s="446">
        <f t="shared" si="76"/>
        <v>0</v>
      </c>
      <c r="AM384" s="110">
        <f t="shared" si="77"/>
        <v>2</v>
      </c>
      <c r="AN384" s="447">
        <f t="shared" si="73"/>
        <v>0</v>
      </c>
      <c r="AO384"/>
      <c r="AP384"/>
    </row>
    <row r="385" spans="1:42" ht="66" x14ac:dyDescent="0.25">
      <c r="A385" s="9"/>
      <c r="B385" s="486" t="s">
        <v>51</v>
      </c>
      <c r="C385" s="1024"/>
      <c r="D385" s="869">
        <v>2</v>
      </c>
      <c r="E385" s="1027" t="s">
        <v>1721</v>
      </c>
      <c r="F385" s="273" t="s">
        <v>3446</v>
      </c>
      <c r="G385" s="1040" t="s">
        <v>3463</v>
      </c>
      <c r="H385" s="273" t="s">
        <v>3462</v>
      </c>
      <c r="I385" s="720">
        <f t="shared" si="85"/>
        <v>350.46</v>
      </c>
      <c r="J385" s="756">
        <v>700.92</v>
      </c>
      <c r="K385" s="131">
        <f t="shared" si="72"/>
        <v>700.92</v>
      </c>
      <c r="L385" s="335">
        <f t="shared" si="74"/>
        <v>0</v>
      </c>
      <c r="M385" s="446"/>
      <c r="N385" s="446"/>
      <c r="O385" s="446"/>
      <c r="P385" s="446"/>
      <c r="Q385" s="130">
        <v>1</v>
      </c>
      <c r="R385" s="111">
        <v>350.46</v>
      </c>
      <c r="S385" s="110"/>
      <c r="T385" s="110"/>
      <c r="U385" s="130">
        <v>1</v>
      </c>
      <c r="V385" s="111">
        <v>350.46</v>
      </c>
      <c r="W385" s="110"/>
      <c r="X385" s="110"/>
      <c r="Y385" s="110"/>
      <c r="Z385" s="110"/>
      <c r="AA385" s="130">
        <v>0</v>
      </c>
      <c r="AB385" s="111">
        <v>0</v>
      </c>
      <c r="AC385" s="110"/>
      <c r="AD385" s="110"/>
      <c r="AE385" s="130">
        <v>0</v>
      </c>
      <c r="AF385" s="111">
        <v>0</v>
      </c>
      <c r="AG385" s="110"/>
      <c r="AH385" s="110"/>
      <c r="AI385" s="110"/>
      <c r="AJ385" s="110"/>
      <c r="AK385" s="111">
        <f t="shared" si="75"/>
        <v>700.92</v>
      </c>
      <c r="AL385" s="446">
        <f t="shared" si="76"/>
        <v>0</v>
      </c>
      <c r="AM385" s="110">
        <f t="shared" si="77"/>
        <v>2</v>
      </c>
      <c r="AN385" s="447">
        <f t="shared" si="73"/>
        <v>0</v>
      </c>
      <c r="AO385"/>
      <c r="AP385"/>
    </row>
    <row r="386" spans="1:42" ht="66" x14ac:dyDescent="0.25">
      <c r="A386" s="9"/>
      <c r="B386" s="482" t="s">
        <v>46</v>
      </c>
      <c r="C386" s="1024"/>
      <c r="D386" s="875">
        <v>8</v>
      </c>
      <c r="E386" s="1027" t="s">
        <v>1998</v>
      </c>
      <c r="F386" s="273" t="s">
        <v>3446</v>
      </c>
      <c r="G386" s="1040" t="s">
        <v>3463</v>
      </c>
      <c r="H386" s="273" t="s">
        <v>3462</v>
      </c>
      <c r="I386" s="720">
        <f t="shared" si="85"/>
        <v>15.44</v>
      </c>
      <c r="J386" s="756">
        <v>123.52</v>
      </c>
      <c r="K386" s="131">
        <f t="shared" si="72"/>
        <v>123.52</v>
      </c>
      <c r="L386" s="335">
        <f t="shared" si="74"/>
        <v>0</v>
      </c>
      <c r="M386" s="446"/>
      <c r="N386" s="446"/>
      <c r="O386" s="446"/>
      <c r="P386" s="446"/>
      <c r="Q386" s="110">
        <f t="shared" ref="Q386:Q411" si="86">+$D386/4</f>
        <v>2</v>
      </c>
      <c r="R386" s="111">
        <f t="shared" ref="R386:R447" si="87">+J386/4</f>
        <v>30.88</v>
      </c>
      <c r="S386" s="110"/>
      <c r="T386" s="110"/>
      <c r="U386" s="110">
        <f t="shared" ref="U386:U411" si="88">+$D386/4</f>
        <v>2</v>
      </c>
      <c r="V386" s="111">
        <f t="shared" ref="V386:V447" si="89">+J386/4</f>
        <v>30.88</v>
      </c>
      <c r="W386" s="110"/>
      <c r="X386" s="110"/>
      <c r="Y386" s="110"/>
      <c r="Z386" s="110"/>
      <c r="AA386" s="110">
        <f t="shared" ref="AA386:AE411" si="90">+$D386/4</f>
        <v>2</v>
      </c>
      <c r="AB386" s="111">
        <f t="shared" si="80"/>
        <v>30.88</v>
      </c>
      <c r="AC386" s="110"/>
      <c r="AD386" s="110"/>
      <c r="AE386" s="110">
        <f t="shared" si="90"/>
        <v>2</v>
      </c>
      <c r="AF386" s="111">
        <f t="shared" si="81"/>
        <v>30.88</v>
      </c>
      <c r="AG386" s="110"/>
      <c r="AH386" s="110"/>
      <c r="AI386" s="110"/>
      <c r="AJ386" s="110"/>
      <c r="AK386" s="111">
        <f t="shared" si="75"/>
        <v>123.52</v>
      </c>
      <c r="AL386" s="446">
        <f t="shared" si="76"/>
        <v>0</v>
      </c>
      <c r="AM386" s="110">
        <f t="shared" si="77"/>
        <v>8</v>
      </c>
      <c r="AN386" s="447">
        <f t="shared" si="73"/>
        <v>0</v>
      </c>
      <c r="AO386"/>
      <c r="AP386"/>
    </row>
    <row r="387" spans="1:42" ht="66" x14ac:dyDescent="0.25">
      <c r="A387" s="9"/>
      <c r="B387" s="482" t="s">
        <v>45</v>
      </c>
      <c r="C387" s="1024"/>
      <c r="D387" s="875">
        <v>4</v>
      </c>
      <c r="E387" s="1027" t="s">
        <v>1998</v>
      </c>
      <c r="F387" s="273" t="s">
        <v>3446</v>
      </c>
      <c r="G387" s="1040" t="s">
        <v>3463</v>
      </c>
      <c r="H387" s="273" t="s">
        <v>3462</v>
      </c>
      <c r="I387" s="720">
        <f t="shared" si="85"/>
        <v>16.63</v>
      </c>
      <c r="J387" s="756">
        <v>66.52</v>
      </c>
      <c r="K387" s="131">
        <f t="shared" si="72"/>
        <v>66.52</v>
      </c>
      <c r="L387" s="335">
        <f t="shared" si="74"/>
        <v>0</v>
      </c>
      <c r="M387" s="446"/>
      <c r="N387" s="446"/>
      <c r="O387" s="446"/>
      <c r="P387" s="446"/>
      <c r="Q387" s="110">
        <f t="shared" si="86"/>
        <v>1</v>
      </c>
      <c r="R387" s="111">
        <f t="shared" si="87"/>
        <v>16.63</v>
      </c>
      <c r="S387" s="110"/>
      <c r="T387" s="110"/>
      <c r="U387" s="110">
        <f t="shared" si="88"/>
        <v>1</v>
      </c>
      <c r="V387" s="111">
        <f t="shared" si="89"/>
        <v>16.63</v>
      </c>
      <c r="W387" s="110"/>
      <c r="X387" s="110"/>
      <c r="Y387" s="110"/>
      <c r="Z387" s="110"/>
      <c r="AA387" s="110">
        <f t="shared" si="90"/>
        <v>1</v>
      </c>
      <c r="AB387" s="111">
        <f t="shared" si="80"/>
        <v>16.63</v>
      </c>
      <c r="AC387" s="110"/>
      <c r="AD387" s="110"/>
      <c r="AE387" s="110">
        <f t="shared" si="90"/>
        <v>1</v>
      </c>
      <c r="AF387" s="111">
        <f t="shared" si="81"/>
        <v>16.63</v>
      </c>
      <c r="AG387" s="110"/>
      <c r="AH387" s="110"/>
      <c r="AI387" s="110"/>
      <c r="AJ387" s="110"/>
      <c r="AK387" s="111">
        <f t="shared" si="75"/>
        <v>66.52</v>
      </c>
      <c r="AL387" s="446">
        <f t="shared" si="76"/>
        <v>0</v>
      </c>
      <c r="AM387" s="110">
        <f t="shared" si="77"/>
        <v>4</v>
      </c>
      <c r="AN387" s="447">
        <f t="shared" si="73"/>
        <v>0</v>
      </c>
      <c r="AO387"/>
      <c r="AP387"/>
    </row>
    <row r="388" spans="1:42" ht="66" x14ac:dyDescent="0.25">
      <c r="A388" s="9"/>
      <c r="B388" s="482" t="s">
        <v>42</v>
      </c>
      <c r="C388" s="1024"/>
      <c r="D388" s="875">
        <v>4</v>
      </c>
      <c r="E388" s="1027" t="s">
        <v>1721</v>
      </c>
      <c r="F388" s="273" t="s">
        <v>3446</v>
      </c>
      <c r="G388" s="1040" t="s">
        <v>3463</v>
      </c>
      <c r="H388" s="273" t="s">
        <v>3462</v>
      </c>
      <c r="I388" s="720">
        <f t="shared" si="85"/>
        <v>26.14</v>
      </c>
      <c r="J388" s="756">
        <v>104.56</v>
      </c>
      <c r="K388" s="131">
        <f t="shared" si="72"/>
        <v>104.56</v>
      </c>
      <c r="L388" s="335">
        <f t="shared" si="74"/>
        <v>0</v>
      </c>
      <c r="M388" s="446"/>
      <c r="N388" s="446"/>
      <c r="O388" s="446"/>
      <c r="P388" s="446"/>
      <c r="Q388" s="110">
        <f t="shared" si="86"/>
        <v>1</v>
      </c>
      <c r="R388" s="111">
        <f t="shared" si="87"/>
        <v>26.14</v>
      </c>
      <c r="S388" s="110"/>
      <c r="T388" s="110"/>
      <c r="U388" s="110">
        <f t="shared" si="88"/>
        <v>1</v>
      </c>
      <c r="V388" s="111">
        <f t="shared" si="89"/>
        <v>26.14</v>
      </c>
      <c r="W388" s="110"/>
      <c r="X388" s="110"/>
      <c r="Y388" s="110"/>
      <c r="Z388" s="110"/>
      <c r="AA388" s="110">
        <f t="shared" si="90"/>
        <v>1</v>
      </c>
      <c r="AB388" s="111">
        <f t="shared" si="80"/>
        <v>26.14</v>
      </c>
      <c r="AC388" s="110"/>
      <c r="AD388" s="110"/>
      <c r="AE388" s="110">
        <f t="shared" si="90"/>
        <v>1</v>
      </c>
      <c r="AF388" s="111">
        <f t="shared" si="81"/>
        <v>26.14</v>
      </c>
      <c r="AG388" s="110"/>
      <c r="AH388" s="110"/>
      <c r="AI388" s="110"/>
      <c r="AJ388" s="110"/>
      <c r="AK388" s="111">
        <f t="shared" si="75"/>
        <v>104.56</v>
      </c>
      <c r="AL388" s="446">
        <f t="shared" si="76"/>
        <v>0</v>
      </c>
      <c r="AM388" s="110">
        <f t="shared" si="77"/>
        <v>4</v>
      </c>
      <c r="AN388" s="447">
        <f t="shared" si="73"/>
        <v>0</v>
      </c>
      <c r="AO388"/>
      <c r="AP388"/>
    </row>
    <row r="389" spans="1:42" ht="66" x14ac:dyDescent="0.25">
      <c r="A389" s="9"/>
      <c r="B389" s="482" t="s">
        <v>63</v>
      </c>
      <c r="C389" s="1024"/>
      <c r="D389" s="875">
        <v>4</v>
      </c>
      <c r="E389" s="1027" t="s">
        <v>1721</v>
      </c>
      <c r="F389" s="273" t="s">
        <v>3446</v>
      </c>
      <c r="G389" s="1040" t="s">
        <v>3463</v>
      </c>
      <c r="H389" s="273" t="s">
        <v>3462</v>
      </c>
      <c r="I389" s="720">
        <f t="shared" si="85"/>
        <v>45.14</v>
      </c>
      <c r="J389" s="756">
        <v>180.56</v>
      </c>
      <c r="K389" s="131">
        <f t="shared" si="72"/>
        <v>180.56</v>
      </c>
      <c r="L389" s="335">
        <f t="shared" si="74"/>
        <v>0</v>
      </c>
      <c r="M389" s="446"/>
      <c r="N389" s="446"/>
      <c r="O389" s="446"/>
      <c r="P389" s="446"/>
      <c r="Q389" s="110">
        <f t="shared" si="86"/>
        <v>1</v>
      </c>
      <c r="R389" s="111">
        <f t="shared" si="87"/>
        <v>45.14</v>
      </c>
      <c r="S389" s="110"/>
      <c r="T389" s="110"/>
      <c r="U389" s="110">
        <f t="shared" si="88"/>
        <v>1</v>
      </c>
      <c r="V389" s="111">
        <f t="shared" si="89"/>
        <v>45.14</v>
      </c>
      <c r="W389" s="110"/>
      <c r="X389" s="110"/>
      <c r="Y389" s="110"/>
      <c r="Z389" s="110"/>
      <c r="AA389" s="110">
        <f t="shared" si="90"/>
        <v>1</v>
      </c>
      <c r="AB389" s="111">
        <f t="shared" si="80"/>
        <v>45.14</v>
      </c>
      <c r="AC389" s="110"/>
      <c r="AD389" s="110"/>
      <c r="AE389" s="110">
        <f t="shared" si="90"/>
        <v>1</v>
      </c>
      <c r="AF389" s="111">
        <f t="shared" si="81"/>
        <v>45.14</v>
      </c>
      <c r="AG389" s="110"/>
      <c r="AH389" s="110"/>
      <c r="AI389" s="110"/>
      <c r="AJ389" s="110"/>
      <c r="AK389" s="111">
        <f t="shared" si="75"/>
        <v>180.56</v>
      </c>
      <c r="AL389" s="446">
        <f t="shared" si="76"/>
        <v>0</v>
      </c>
      <c r="AM389" s="110">
        <f t="shared" si="77"/>
        <v>4</v>
      </c>
      <c r="AN389" s="447">
        <f t="shared" si="73"/>
        <v>0</v>
      </c>
      <c r="AO389"/>
      <c r="AP389"/>
    </row>
    <row r="390" spans="1:42" ht="66" x14ac:dyDescent="0.25">
      <c r="A390" s="9"/>
      <c r="B390" s="482" t="s">
        <v>58</v>
      </c>
      <c r="C390" s="1024"/>
      <c r="D390" s="875">
        <v>5</v>
      </c>
      <c r="E390" s="1027" t="s">
        <v>1721</v>
      </c>
      <c r="F390" s="273" t="s">
        <v>3446</v>
      </c>
      <c r="G390" s="1040" t="s">
        <v>3463</v>
      </c>
      <c r="H390" s="273" t="s">
        <v>3462</v>
      </c>
      <c r="I390" s="720">
        <f t="shared" si="85"/>
        <v>24.35</v>
      </c>
      <c r="J390" s="756">
        <v>121.75</v>
      </c>
      <c r="K390" s="131">
        <f t="shared" si="72"/>
        <v>121.75</v>
      </c>
      <c r="L390" s="335">
        <f t="shared" si="74"/>
        <v>0</v>
      </c>
      <c r="M390" s="446"/>
      <c r="N390" s="446"/>
      <c r="O390" s="446"/>
      <c r="P390" s="446"/>
      <c r="Q390" s="110">
        <v>2</v>
      </c>
      <c r="R390" s="111">
        <f t="shared" si="87"/>
        <v>30.4375</v>
      </c>
      <c r="S390" s="110"/>
      <c r="T390" s="110"/>
      <c r="U390" s="110">
        <v>1</v>
      </c>
      <c r="V390" s="111">
        <f t="shared" si="89"/>
        <v>30.4375</v>
      </c>
      <c r="W390" s="110"/>
      <c r="X390" s="110"/>
      <c r="Y390" s="110"/>
      <c r="Z390" s="110"/>
      <c r="AA390" s="110">
        <v>1</v>
      </c>
      <c r="AB390" s="111">
        <f t="shared" si="80"/>
        <v>30.4375</v>
      </c>
      <c r="AC390" s="110"/>
      <c r="AD390" s="110"/>
      <c r="AE390" s="110">
        <v>1</v>
      </c>
      <c r="AF390" s="111">
        <f t="shared" si="81"/>
        <v>30.4375</v>
      </c>
      <c r="AG390" s="110"/>
      <c r="AH390" s="110"/>
      <c r="AI390" s="110"/>
      <c r="AJ390" s="110"/>
      <c r="AK390" s="111">
        <f t="shared" si="75"/>
        <v>121.75</v>
      </c>
      <c r="AL390" s="446">
        <f t="shared" si="76"/>
        <v>0</v>
      </c>
      <c r="AM390" s="110">
        <f t="shared" si="77"/>
        <v>5</v>
      </c>
      <c r="AN390" s="447">
        <f t="shared" si="73"/>
        <v>0</v>
      </c>
      <c r="AO390"/>
      <c r="AP390"/>
    </row>
    <row r="391" spans="1:42" ht="66" x14ac:dyDescent="0.25">
      <c r="A391" s="9"/>
      <c r="B391" s="482" t="s">
        <v>20</v>
      </c>
      <c r="C391" s="1024"/>
      <c r="D391" s="875">
        <v>12</v>
      </c>
      <c r="E391" s="1027" t="s">
        <v>1722</v>
      </c>
      <c r="F391" s="273" t="s">
        <v>3446</v>
      </c>
      <c r="G391" s="1040" t="s">
        <v>3463</v>
      </c>
      <c r="H391" s="273" t="s">
        <v>3462</v>
      </c>
      <c r="I391" s="720">
        <f t="shared" si="85"/>
        <v>49.4</v>
      </c>
      <c r="J391" s="756">
        <v>592.79999999999995</v>
      </c>
      <c r="K391" s="131">
        <f t="shared" si="72"/>
        <v>592.79999999999995</v>
      </c>
      <c r="L391" s="335">
        <f t="shared" si="74"/>
        <v>0</v>
      </c>
      <c r="M391" s="446"/>
      <c r="N391" s="446"/>
      <c r="O391" s="446"/>
      <c r="P391" s="446"/>
      <c r="Q391" s="110">
        <f t="shared" si="86"/>
        <v>3</v>
      </c>
      <c r="R391" s="111">
        <f t="shared" si="87"/>
        <v>148.19999999999999</v>
      </c>
      <c r="S391" s="110"/>
      <c r="T391" s="110"/>
      <c r="U391" s="110">
        <f t="shared" si="88"/>
        <v>3</v>
      </c>
      <c r="V391" s="111">
        <f t="shared" si="89"/>
        <v>148.19999999999999</v>
      </c>
      <c r="W391" s="110"/>
      <c r="X391" s="110"/>
      <c r="Y391" s="110"/>
      <c r="Z391" s="110"/>
      <c r="AA391" s="110">
        <f t="shared" si="90"/>
        <v>3</v>
      </c>
      <c r="AB391" s="111">
        <f t="shared" si="80"/>
        <v>148.19999999999999</v>
      </c>
      <c r="AC391" s="110"/>
      <c r="AD391" s="110"/>
      <c r="AE391" s="110">
        <f t="shared" si="90"/>
        <v>3</v>
      </c>
      <c r="AF391" s="111">
        <f t="shared" si="81"/>
        <v>148.19999999999999</v>
      </c>
      <c r="AG391" s="110"/>
      <c r="AH391" s="110"/>
      <c r="AI391" s="110"/>
      <c r="AJ391" s="110"/>
      <c r="AK391" s="111">
        <f t="shared" si="75"/>
        <v>592.79999999999995</v>
      </c>
      <c r="AL391" s="446">
        <f t="shared" si="76"/>
        <v>0</v>
      </c>
      <c r="AM391" s="110">
        <f t="shared" si="77"/>
        <v>12</v>
      </c>
      <c r="AN391" s="447">
        <f t="shared" si="73"/>
        <v>0</v>
      </c>
      <c r="AO391"/>
      <c r="AP391"/>
    </row>
    <row r="392" spans="1:42" ht="66" x14ac:dyDescent="0.25">
      <c r="A392" s="9"/>
      <c r="B392" s="482" t="s">
        <v>21</v>
      </c>
      <c r="C392" s="1024"/>
      <c r="D392" s="875">
        <v>6</v>
      </c>
      <c r="E392" s="1027" t="s">
        <v>1722</v>
      </c>
      <c r="F392" s="273" t="s">
        <v>3446</v>
      </c>
      <c r="G392" s="1040" t="s">
        <v>3463</v>
      </c>
      <c r="H392" s="273" t="s">
        <v>3462</v>
      </c>
      <c r="I392" s="720">
        <f t="shared" si="85"/>
        <v>49.4</v>
      </c>
      <c r="J392" s="756">
        <v>296.39999999999998</v>
      </c>
      <c r="K392" s="131">
        <f t="shared" si="72"/>
        <v>296.39999999999998</v>
      </c>
      <c r="L392" s="335">
        <f t="shared" si="74"/>
        <v>0</v>
      </c>
      <c r="M392" s="446"/>
      <c r="N392" s="446"/>
      <c r="O392" s="446"/>
      <c r="P392" s="446"/>
      <c r="Q392" s="130">
        <v>2</v>
      </c>
      <c r="R392" s="111">
        <f t="shared" si="87"/>
        <v>74.099999999999994</v>
      </c>
      <c r="S392" s="110"/>
      <c r="T392" s="110"/>
      <c r="U392" s="130">
        <v>2</v>
      </c>
      <c r="V392" s="111">
        <f t="shared" si="89"/>
        <v>74.099999999999994</v>
      </c>
      <c r="W392" s="110"/>
      <c r="X392" s="110"/>
      <c r="Y392" s="110"/>
      <c r="Z392" s="110"/>
      <c r="AA392" s="130">
        <v>1</v>
      </c>
      <c r="AB392" s="111">
        <f t="shared" si="80"/>
        <v>74.099999999999994</v>
      </c>
      <c r="AC392" s="110"/>
      <c r="AD392" s="110"/>
      <c r="AE392" s="130">
        <v>1</v>
      </c>
      <c r="AF392" s="111">
        <f t="shared" si="81"/>
        <v>74.099999999999994</v>
      </c>
      <c r="AG392" s="110"/>
      <c r="AH392" s="110"/>
      <c r="AI392" s="110"/>
      <c r="AJ392" s="110"/>
      <c r="AK392" s="111">
        <f t="shared" si="75"/>
        <v>296.39999999999998</v>
      </c>
      <c r="AL392" s="446">
        <f t="shared" si="76"/>
        <v>0</v>
      </c>
      <c r="AM392" s="110">
        <f t="shared" si="77"/>
        <v>6</v>
      </c>
      <c r="AN392" s="447">
        <f t="shared" si="73"/>
        <v>0</v>
      </c>
      <c r="AO392"/>
      <c r="AP392"/>
    </row>
    <row r="393" spans="1:42" ht="66" x14ac:dyDescent="0.25">
      <c r="A393" s="9"/>
      <c r="B393" s="152" t="s">
        <v>2028</v>
      </c>
      <c r="C393" s="1024"/>
      <c r="D393" s="875">
        <v>88</v>
      </c>
      <c r="E393" s="1027" t="s">
        <v>1721</v>
      </c>
      <c r="F393" s="273" t="s">
        <v>3446</v>
      </c>
      <c r="G393" s="1040" t="s">
        <v>3463</v>
      </c>
      <c r="H393" s="273" t="s">
        <v>3462</v>
      </c>
      <c r="I393" s="720">
        <f t="shared" si="85"/>
        <v>11</v>
      </c>
      <c r="J393" s="756">
        <v>968</v>
      </c>
      <c r="K393" s="131">
        <f t="shared" si="72"/>
        <v>968</v>
      </c>
      <c r="L393" s="335">
        <f t="shared" si="74"/>
        <v>0</v>
      </c>
      <c r="M393" s="446"/>
      <c r="N393" s="446"/>
      <c r="O393" s="446"/>
      <c r="P393" s="446"/>
      <c r="Q393" s="110">
        <f t="shared" si="86"/>
        <v>22</v>
      </c>
      <c r="R393" s="111">
        <f t="shared" si="87"/>
        <v>242</v>
      </c>
      <c r="S393" s="110"/>
      <c r="T393" s="110"/>
      <c r="U393" s="110">
        <f t="shared" si="88"/>
        <v>22</v>
      </c>
      <c r="V393" s="111">
        <f t="shared" si="89"/>
        <v>242</v>
      </c>
      <c r="W393" s="110"/>
      <c r="X393" s="110"/>
      <c r="Y393" s="110"/>
      <c r="Z393" s="110"/>
      <c r="AA393" s="110">
        <f t="shared" si="90"/>
        <v>22</v>
      </c>
      <c r="AB393" s="111">
        <f t="shared" si="80"/>
        <v>242</v>
      </c>
      <c r="AC393" s="110"/>
      <c r="AD393" s="110"/>
      <c r="AE393" s="110">
        <f t="shared" si="90"/>
        <v>22</v>
      </c>
      <c r="AF393" s="111">
        <f t="shared" si="81"/>
        <v>242</v>
      </c>
      <c r="AG393" s="110"/>
      <c r="AH393" s="110"/>
      <c r="AI393" s="110"/>
      <c r="AJ393" s="110"/>
      <c r="AK393" s="111">
        <f t="shared" si="75"/>
        <v>968</v>
      </c>
      <c r="AL393" s="446">
        <f t="shared" si="76"/>
        <v>0</v>
      </c>
      <c r="AM393" s="110">
        <f t="shared" si="77"/>
        <v>88</v>
      </c>
      <c r="AN393" s="447">
        <f t="shared" si="73"/>
        <v>0</v>
      </c>
      <c r="AO393"/>
      <c r="AP393"/>
    </row>
    <row r="394" spans="1:42" ht="66" x14ac:dyDescent="0.25">
      <c r="A394" s="9"/>
      <c r="B394" s="482" t="s">
        <v>2029</v>
      </c>
      <c r="C394" s="1024"/>
      <c r="D394" s="875">
        <v>11</v>
      </c>
      <c r="E394" s="1027" t="s">
        <v>1722</v>
      </c>
      <c r="F394" s="273" t="s">
        <v>3446</v>
      </c>
      <c r="G394" s="1040" t="s">
        <v>3463</v>
      </c>
      <c r="H394" s="273" t="s">
        <v>3462</v>
      </c>
      <c r="I394" s="720">
        <f t="shared" si="85"/>
        <v>62</v>
      </c>
      <c r="J394" s="756">
        <v>682</v>
      </c>
      <c r="K394" s="131">
        <f t="shared" si="72"/>
        <v>682</v>
      </c>
      <c r="L394" s="335">
        <f t="shared" si="74"/>
        <v>0</v>
      </c>
      <c r="M394" s="446"/>
      <c r="N394" s="446"/>
      <c r="O394" s="446"/>
      <c r="P394" s="446"/>
      <c r="Q394" s="110">
        <v>3</v>
      </c>
      <c r="R394" s="111">
        <f t="shared" si="87"/>
        <v>170.5</v>
      </c>
      <c r="S394" s="110"/>
      <c r="T394" s="110"/>
      <c r="U394" s="110">
        <v>3</v>
      </c>
      <c r="V394" s="111">
        <f t="shared" si="89"/>
        <v>170.5</v>
      </c>
      <c r="W394" s="110"/>
      <c r="X394" s="110"/>
      <c r="Y394" s="110"/>
      <c r="Z394" s="110"/>
      <c r="AA394" s="110">
        <v>3</v>
      </c>
      <c r="AB394" s="111">
        <f t="shared" si="80"/>
        <v>170.5</v>
      </c>
      <c r="AC394" s="110"/>
      <c r="AD394" s="110"/>
      <c r="AE394" s="110">
        <v>2</v>
      </c>
      <c r="AF394" s="111">
        <f t="shared" si="81"/>
        <v>170.5</v>
      </c>
      <c r="AG394" s="110"/>
      <c r="AH394" s="110"/>
      <c r="AI394" s="110"/>
      <c r="AJ394" s="110"/>
      <c r="AK394" s="111">
        <f t="shared" si="75"/>
        <v>682</v>
      </c>
      <c r="AL394" s="446">
        <f t="shared" si="76"/>
        <v>0</v>
      </c>
      <c r="AM394" s="110">
        <f t="shared" si="77"/>
        <v>11</v>
      </c>
      <c r="AN394" s="447">
        <f t="shared" si="73"/>
        <v>0</v>
      </c>
      <c r="AO394"/>
      <c r="AP394"/>
    </row>
    <row r="395" spans="1:42" ht="66" x14ac:dyDescent="0.25">
      <c r="A395" s="9"/>
      <c r="B395" s="482" t="s">
        <v>23</v>
      </c>
      <c r="C395" s="1024"/>
      <c r="D395" s="875">
        <v>22</v>
      </c>
      <c r="E395" s="1027" t="s">
        <v>1721</v>
      </c>
      <c r="F395" s="273" t="s">
        <v>3446</v>
      </c>
      <c r="G395" s="1040" t="s">
        <v>3463</v>
      </c>
      <c r="H395" s="273" t="s">
        <v>3462</v>
      </c>
      <c r="I395" s="720">
        <f t="shared" si="85"/>
        <v>6</v>
      </c>
      <c r="J395" s="756">
        <v>132</v>
      </c>
      <c r="K395" s="131">
        <f t="shared" si="72"/>
        <v>132</v>
      </c>
      <c r="L395" s="335">
        <f t="shared" si="74"/>
        <v>0</v>
      </c>
      <c r="M395" s="446"/>
      <c r="N395" s="446"/>
      <c r="O395" s="446"/>
      <c r="P395" s="446"/>
      <c r="Q395" s="110">
        <v>6</v>
      </c>
      <c r="R395" s="111">
        <f t="shared" si="87"/>
        <v>33</v>
      </c>
      <c r="S395" s="110"/>
      <c r="T395" s="110"/>
      <c r="U395" s="110">
        <v>6</v>
      </c>
      <c r="V395" s="111">
        <f t="shared" si="89"/>
        <v>33</v>
      </c>
      <c r="W395" s="110"/>
      <c r="X395" s="110"/>
      <c r="Y395" s="110"/>
      <c r="Z395" s="110"/>
      <c r="AA395" s="110">
        <v>5</v>
      </c>
      <c r="AB395" s="111">
        <f t="shared" si="80"/>
        <v>33</v>
      </c>
      <c r="AC395" s="110"/>
      <c r="AD395" s="110"/>
      <c r="AE395" s="110">
        <v>5</v>
      </c>
      <c r="AF395" s="111">
        <f t="shared" si="81"/>
        <v>33</v>
      </c>
      <c r="AG395" s="110"/>
      <c r="AH395" s="110"/>
      <c r="AI395" s="110"/>
      <c r="AJ395" s="110"/>
      <c r="AK395" s="111">
        <f t="shared" si="75"/>
        <v>132</v>
      </c>
      <c r="AL395" s="446">
        <f t="shared" si="76"/>
        <v>0</v>
      </c>
      <c r="AM395" s="110">
        <f t="shared" si="77"/>
        <v>22</v>
      </c>
      <c r="AN395" s="447">
        <f t="shared" si="73"/>
        <v>0</v>
      </c>
      <c r="AO395"/>
      <c r="AP395"/>
    </row>
    <row r="396" spans="1:42" ht="66" x14ac:dyDescent="0.25">
      <c r="A396" s="9"/>
      <c r="B396" s="482" t="s">
        <v>28</v>
      </c>
      <c r="C396" s="1024"/>
      <c r="D396" s="875">
        <v>2</v>
      </c>
      <c r="E396" s="1027" t="s">
        <v>1721</v>
      </c>
      <c r="F396" s="273" t="s">
        <v>3446</v>
      </c>
      <c r="G396" s="1040" t="s">
        <v>3463</v>
      </c>
      <c r="H396" s="273" t="s">
        <v>3462</v>
      </c>
      <c r="I396" s="720">
        <f t="shared" si="85"/>
        <v>165</v>
      </c>
      <c r="J396" s="756">
        <v>330</v>
      </c>
      <c r="K396" s="131">
        <f t="shared" si="72"/>
        <v>330</v>
      </c>
      <c r="L396" s="335">
        <f t="shared" si="74"/>
        <v>0</v>
      </c>
      <c r="M396" s="446"/>
      <c r="N396" s="446"/>
      <c r="O396" s="446"/>
      <c r="P396" s="446"/>
      <c r="Q396" s="130">
        <v>1</v>
      </c>
      <c r="R396" s="111">
        <v>165</v>
      </c>
      <c r="S396" s="110"/>
      <c r="T396" s="110"/>
      <c r="U396" s="130">
        <v>1</v>
      </c>
      <c r="V396" s="111">
        <v>165</v>
      </c>
      <c r="W396" s="110"/>
      <c r="X396" s="110"/>
      <c r="Y396" s="110"/>
      <c r="Z396" s="110"/>
      <c r="AA396" s="130">
        <v>0</v>
      </c>
      <c r="AB396" s="111">
        <v>0</v>
      </c>
      <c r="AC396" s="110"/>
      <c r="AD396" s="110"/>
      <c r="AE396" s="130">
        <v>0</v>
      </c>
      <c r="AF396" s="111">
        <v>0</v>
      </c>
      <c r="AG396" s="110"/>
      <c r="AH396" s="110"/>
      <c r="AI396" s="110"/>
      <c r="AJ396" s="110"/>
      <c r="AK396" s="111">
        <f t="shared" si="75"/>
        <v>330</v>
      </c>
      <c r="AL396" s="446">
        <f t="shared" si="76"/>
        <v>0</v>
      </c>
      <c r="AM396" s="110">
        <f t="shared" si="77"/>
        <v>2</v>
      </c>
      <c r="AN396" s="447">
        <f t="shared" si="73"/>
        <v>0</v>
      </c>
      <c r="AO396"/>
      <c r="AP396"/>
    </row>
    <row r="397" spans="1:42" ht="66" x14ac:dyDescent="0.25">
      <c r="A397" s="9"/>
      <c r="B397" s="482" t="s">
        <v>34</v>
      </c>
      <c r="C397" s="1024"/>
      <c r="D397" s="875">
        <v>10</v>
      </c>
      <c r="E397" s="1027" t="s">
        <v>1721</v>
      </c>
      <c r="F397" s="273" t="s">
        <v>3446</v>
      </c>
      <c r="G397" s="1040" t="s">
        <v>3463</v>
      </c>
      <c r="H397" s="273" t="s">
        <v>3462</v>
      </c>
      <c r="I397" s="720">
        <f t="shared" si="85"/>
        <v>18</v>
      </c>
      <c r="J397" s="756">
        <v>180</v>
      </c>
      <c r="K397" s="131">
        <f t="shared" si="72"/>
        <v>180</v>
      </c>
      <c r="L397" s="335">
        <f t="shared" si="74"/>
        <v>0</v>
      </c>
      <c r="M397" s="446"/>
      <c r="N397" s="446"/>
      <c r="O397" s="446"/>
      <c r="P397" s="446"/>
      <c r="Q397" s="130">
        <v>3</v>
      </c>
      <c r="R397" s="111">
        <f t="shared" si="87"/>
        <v>45</v>
      </c>
      <c r="S397" s="110"/>
      <c r="T397" s="110"/>
      <c r="U397" s="130">
        <v>3</v>
      </c>
      <c r="V397" s="111">
        <f t="shared" si="89"/>
        <v>45</v>
      </c>
      <c r="W397" s="110"/>
      <c r="X397" s="110"/>
      <c r="Y397" s="110"/>
      <c r="Z397" s="110"/>
      <c r="AA397" s="130">
        <v>2</v>
      </c>
      <c r="AB397" s="111">
        <f t="shared" si="80"/>
        <v>45</v>
      </c>
      <c r="AC397" s="110"/>
      <c r="AD397" s="110"/>
      <c r="AE397" s="130">
        <v>2</v>
      </c>
      <c r="AF397" s="111">
        <f t="shared" si="81"/>
        <v>45</v>
      </c>
      <c r="AG397" s="110"/>
      <c r="AH397" s="110"/>
      <c r="AI397" s="110"/>
      <c r="AJ397" s="110"/>
      <c r="AK397" s="111">
        <f t="shared" si="75"/>
        <v>180</v>
      </c>
      <c r="AL397" s="446">
        <f t="shared" si="76"/>
        <v>0</v>
      </c>
      <c r="AM397" s="110">
        <f t="shared" si="77"/>
        <v>10</v>
      </c>
      <c r="AN397" s="447">
        <f t="shared" si="73"/>
        <v>0</v>
      </c>
      <c r="AO397"/>
      <c r="AP397"/>
    </row>
    <row r="398" spans="1:42" ht="66" x14ac:dyDescent="0.25">
      <c r="A398" s="9"/>
      <c r="B398" s="482" t="s">
        <v>2030</v>
      </c>
      <c r="C398" s="1024"/>
      <c r="D398" s="875">
        <v>10</v>
      </c>
      <c r="E398" s="1027" t="s">
        <v>1721</v>
      </c>
      <c r="F398" s="273" t="s">
        <v>3446</v>
      </c>
      <c r="G398" s="1040" t="s">
        <v>3463</v>
      </c>
      <c r="H398" s="273" t="s">
        <v>3462</v>
      </c>
      <c r="I398" s="720">
        <f t="shared" si="85"/>
        <v>25</v>
      </c>
      <c r="J398" s="756">
        <v>250</v>
      </c>
      <c r="K398" s="131">
        <f t="shared" si="72"/>
        <v>250</v>
      </c>
      <c r="L398" s="335">
        <f t="shared" si="74"/>
        <v>0</v>
      </c>
      <c r="M398" s="446"/>
      <c r="N398" s="446"/>
      <c r="O398" s="446"/>
      <c r="P398" s="446"/>
      <c r="Q398" s="130">
        <v>3</v>
      </c>
      <c r="R398" s="111">
        <f t="shared" si="87"/>
        <v>62.5</v>
      </c>
      <c r="S398" s="110"/>
      <c r="T398" s="110"/>
      <c r="U398" s="130">
        <v>3</v>
      </c>
      <c r="V398" s="111">
        <f t="shared" si="89"/>
        <v>62.5</v>
      </c>
      <c r="W398" s="110"/>
      <c r="X398" s="110"/>
      <c r="Y398" s="110"/>
      <c r="Z398" s="110"/>
      <c r="AA398" s="130">
        <v>2</v>
      </c>
      <c r="AB398" s="111">
        <f t="shared" si="80"/>
        <v>62.5</v>
      </c>
      <c r="AC398" s="110"/>
      <c r="AD398" s="110"/>
      <c r="AE398" s="130">
        <v>2</v>
      </c>
      <c r="AF398" s="111">
        <f t="shared" si="81"/>
        <v>62.5</v>
      </c>
      <c r="AG398" s="110"/>
      <c r="AH398" s="110"/>
      <c r="AI398" s="110"/>
      <c r="AJ398" s="110"/>
      <c r="AK398" s="111">
        <f t="shared" si="75"/>
        <v>250</v>
      </c>
      <c r="AL398" s="446">
        <f t="shared" si="76"/>
        <v>0</v>
      </c>
      <c r="AM398" s="110">
        <f t="shared" si="77"/>
        <v>10</v>
      </c>
      <c r="AN398" s="447">
        <f t="shared" si="73"/>
        <v>0</v>
      </c>
      <c r="AO398"/>
      <c r="AP398"/>
    </row>
    <row r="399" spans="1:42" ht="66" x14ac:dyDescent="0.25">
      <c r="A399" s="9"/>
      <c r="B399" s="482" t="s">
        <v>2031</v>
      </c>
      <c r="C399" s="1024"/>
      <c r="D399" s="875">
        <v>10</v>
      </c>
      <c r="E399" s="1027" t="s">
        <v>1722</v>
      </c>
      <c r="F399" s="273" t="s">
        <v>3446</v>
      </c>
      <c r="G399" s="1040" t="s">
        <v>3463</v>
      </c>
      <c r="H399" s="273" t="s">
        <v>3462</v>
      </c>
      <c r="I399" s="720">
        <f t="shared" si="85"/>
        <v>42</v>
      </c>
      <c r="J399" s="756">
        <v>420</v>
      </c>
      <c r="K399" s="131">
        <f t="shared" ref="K399:K462" si="91">+D399*I399</f>
        <v>420</v>
      </c>
      <c r="L399" s="335">
        <f t="shared" si="74"/>
        <v>0</v>
      </c>
      <c r="M399" s="446"/>
      <c r="N399" s="446"/>
      <c r="O399" s="446"/>
      <c r="P399" s="446"/>
      <c r="Q399" s="130">
        <v>3</v>
      </c>
      <c r="R399" s="111">
        <f t="shared" si="87"/>
        <v>105</v>
      </c>
      <c r="S399" s="110"/>
      <c r="T399" s="110"/>
      <c r="U399" s="130">
        <v>3</v>
      </c>
      <c r="V399" s="111">
        <f t="shared" si="89"/>
        <v>105</v>
      </c>
      <c r="W399" s="110"/>
      <c r="X399" s="110"/>
      <c r="Y399" s="110"/>
      <c r="Z399" s="110"/>
      <c r="AA399" s="130">
        <v>2</v>
      </c>
      <c r="AB399" s="111">
        <f t="shared" si="80"/>
        <v>105</v>
      </c>
      <c r="AC399" s="110"/>
      <c r="AD399" s="110"/>
      <c r="AE399" s="130">
        <v>2</v>
      </c>
      <c r="AF399" s="111">
        <f t="shared" si="81"/>
        <v>105</v>
      </c>
      <c r="AG399" s="110"/>
      <c r="AH399" s="110"/>
      <c r="AI399" s="110"/>
      <c r="AJ399" s="110"/>
      <c r="AK399" s="111">
        <f t="shared" si="75"/>
        <v>420</v>
      </c>
      <c r="AL399" s="446">
        <f t="shared" si="76"/>
        <v>0</v>
      </c>
      <c r="AM399" s="110">
        <f t="shared" si="77"/>
        <v>10</v>
      </c>
      <c r="AN399" s="447">
        <f t="shared" ref="AN399:AN462" si="92">+D399-AM399</f>
        <v>0</v>
      </c>
      <c r="AO399"/>
      <c r="AP399"/>
    </row>
    <row r="400" spans="1:42" ht="66" x14ac:dyDescent="0.25">
      <c r="A400" s="9"/>
      <c r="B400" s="482" t="s">
        <v>45</v>
      </c>
      <c r="C400" s="1024"/>
      <c r="D400" s="875">
        <v>10</v>
      </c>
      <c r="E400" s="1027" t="s">
        <v>1722</v>
      </c>
      <c r="F400" s="273" t="s">
        <v>3446</v>
      </c>
      <c r="G400" s="1040" t="s">
        <v>3463</v>
      </c>
      <c r="H400" s="273" t="s">
        <v>3462</v>
      </c>
      <c r="I400" s="720">
        <f t="shared" si="85"/>
        <v>20</v>
      </c>
      <c r="J400" s="756">
        <v>200</v>
      </c>
      <c r="K400" s="131">
        <f t="shared" si="91"/>
        <v>200</v>
      </c>
      <c r="L400" s="335">
        <f t="shared" ref="L400:L463" si="93">+J400-K400</f>
        <v>0</v>
      </c>
      <c r="M400" s="446"/>
      <c r="N400" s="446"/>
      <c r="O400" s="446"/>
      <c r="P400" s="446"/>
      <c r="Q400" s="130">
        <v>3</v>
      </c>
      <c r="R400" s="111">
        <f t="shared" si="87"/>
        <v>50</v>
      </c>
      <c r="S400" s="110"/>
      <c r="T400" s="110"/>
      <c r="U400" s="130">
        <v>3</v>
      </c>
      <c r="V400" s="111">
        <f t="shared" si="89"/>
        <v>50</v>
      </c>
      <c r="W400" s="110"/>
      <c r="X400" s="110"/>
      <c r="Y400" s="110"/>
      <c r="Z400" s="110"/>
      <c r="AA400" s="130">
        <v>2</v>
      </c>
      <c r="AB400" s="111">
        <f t="shared" si="80"/>
        <v>50</v>
      </c>
      <c r="AC400" s="110"/>
      <c r="AD400" s="110"/>
      <c r="AE400" s="130">
        <v>2</v>
      </c>
      <c r="AF400" s="111">
        <f t="shared" si="81"/>
        <v>50</v>
      </c>
      <c r="AG400" s="110"/>
      <c r="AH400" s="110"/>
      <c r="AI400" s="110"/>
      <c r="AJ400" s="110"/>
      <c r="AK400" s="111">
        <f t="shared" ref="AK400:AK463" si="94">+R400+V400+AB400+AF400</f>
        <v>200</v>
      </c>
      <c r="AL400" s="446">
        <f t="shared" ref="AL400:AL463" si="95">+J400-AK400</f>
        <v>0</v>
      </c>
      <c r="AM400" s="110">
        <f t="shared" ref="AM400:AM463" si="96">+Q400+U400+AA400+AE400</f>
        <v>10</v>
      </c>
      <c r="AN400" s="447">
        <f t="shared" si="92"/>
        <v>0</v>
      </c>
      <c r="AO400"/>
      <c r="AP400"/>
    </row>
    <row r="401" spans="1:42" ht="66" x14ac:dyDescent="0.25">
      <c r="A401" s="9"/>
      <c r="B401" s="482" t="s">
        <v>46</v>
      </c>
      <c r="C401" s="1024"/>
      <c r="D401" s="875">
        <v>10</v>
      </c>
      <c r="E401" s="1027" t="s">
        <v>1722</v>
      </c>
      <c r="F401" s="273" t="s">
        <v>3446</v>
      </c>
      <c r="G401" s="1040" t="s">
        <v>3463</v>
      </c>
      <c r="H401" s="273" t="s">
        <v>3462</v>
      </c>
      <c r="I401" s="720">
        <f t="shared" si="85"/>
        <v>17.920000000000002</v>
      </c>
      <c r="J401" s="756">
        <v>179.20000000000002</v>
      </c>
      <c r="K401" s="131">
        <f t="shared" si="91"/>
        <v>179.20000000000002</v>
      </c>
      <c r="L401" s="335">
        <f t="shared" si="93"/>
        <v>0</v>
      </c>
      <c r="M401" s="446"/>
      <c r="N401" s="446"/>
      <c r="O401" s="446"/>
      <c r="P401" s="446"/>
      <c r="Q401" s="130">
        <v>3</v>
      </c>
      <c r="R401" s="111">
        <f t="shared" si="87"/>
        <v>44.800000000000004</v>
      </c>
      <c r="S401" s="110"/>
      <c r="T401" s="110"/>
      <c r="U401" s="130">
        <v>3</v>
      </c>
      <c r="V401" s="111">
        <f t="shared" si="89"/>
        <v>44.800000000000004</v>
      </c>
      <c r="W401" s="110"/>
      <c r="X401" s="110"/>
      <c r="Y401" s="110"/>
      <c r="Z401" s="110"/>
      <c r="AA401" s="130">
        <v>2</v>
      </c>
      <c r="AB401" s="111">
        <f t="shared" si="80"/>
        <v>44.800000000000004</v>
      </c>
      <c r="AC401" s="110"/>
      <c r="AD401" s="110"/>
      <c r="AE401" s="130">
        <v>2</v>
      </c>
      <c r="AF401" s="111">
        <f t="shared" si="81"/>
        <v>44.800000000000004</v>
      </c>
      <c r="AG401" s="110"/>
      <c r="AH401" s="110"/>
      <c r="AI401" s="110"/>
      <c r="AJ401" s="110"/>
      <c r="AK401" s="111">
        <f t="shared" si="94"/>
        <v>179.20000000000002</v>
      </c>
      <c r="AL401" s="446">
        <f t="shared" si="95"/>
        <v>0</v>
      </c>
      <c r="AM401" s="110">
        <f t="shared" si="96"/>
        <v>10</v>
      </c>
      <c r="AN401" s="447">
        <f t="shared" si="92"/>
        <v>0</v>
      </c>
      <c r="AO401"/>
      <c r="AP401"/>
    </row>
    <row r="402" spans="1:42" ht="66" x14ac:dyDescent="0.25">
      <c r="A402" s="9"/>
      <c r="B402" s="482" t="s">
        <v>2032</v>
      </c>
      <c r="C402" s="1024"/>
      <c r="D402" s="875">
        <v>6</v>
      </c>
      <c r="E402" s="1027" t="s">
        <v>1722</v>
      </c>
      <c r="F402" s="273" t="s">
        <v>3446</v>
      </c>
      <c r="G402" s="1040" t="s">
        <v>3463</v>
      </c>
      <c r="H402" s="273" t="s">
        <v>3462</v>
      </c>
      <c r="I402" s="720">
        <f t="shared" si="85"/>
        <v>45</v>
      </c>
      <c r="J402" s="756">
        <v>270</v>
      </c>
      <c r="K402" s="131">
        <f t="shared" si="91"/>
        <v>270</v>
      </c>
      <c r="L402" s="335">
        <f t="shared" si="93"/>
        <v>0</v>
      </c>
      <c r="M402" s="446"/>
      <c r="N402" s="446"/>
      <c r="O402" s="446"/>
      <c r="P402" s="446"/>
      <c r="Q402" s="130">
        <v>2</v>
      </c>
      <c r="R402" s="111">
        <f t="shared" si="87"/>
        <v>67.5</v>
      </c>
      <c r="S402" s="110"/>
      <c r="T402" s="110"/>
      <c r="U402" s="130">
        <v>2</v>
      </c>
      <c r="V402" s="111">
        <f t="shared" si="89"/>
        <v>67.5</v>
      </c>
      <c r="W402" s="110"/>
      <c r="X402" s="110"/>
      <c r="Y402" s="110"/>
      <c r="Z402" s="110"/>
      <c r="AA402" s="130">
        <v>1</v>
      </c>
      <c r="AB402" s="111">
        <f t="shared" si="80"/>
        <v>67.5</v>
      </c>
      <c r="AC402" s="110"/>
      <c r="AD402" s="110"/>
      <c r="AE402" s="130">
        <v>1</v>
      </c>
      <c r="AF402" s="111">
        <f t="shared" si="81"/>
        <v>67.5</v>
      </c>
      <c r="AG402" s="110"/>
      <c r="AH402" s="110"/>
      <c r="AI402" s="110"/>
      <c r="AJ402" s="110"/>
      <c r="AK402" s="111">
        <f t="shared" si="94"/>
        <v>270</v>
      </c>
      <c r="AL402" s="446">
        <f t="shared" si="95"/>
        <v>0</v>
      </c>
      <c r="AM402" s="110">
        <f t="shared" si="96"/>
        <v>6</v>
      </c>
      <c r="AN402" s="447">
        <f t="shared" si="92"/>
        <v>0</v>
      </c>
      <c r="AO402"/>
      <c r="AP402"/>
    </row>
    <row r="403" spans="1:42" ht="66" x14ac:dyDescent="0.25">
      <c r="A403" s="9"/>
      <c r="B403" s="482" t="s">
        <v>92</v>
      </c>
      <c r="C403" s="1024"/>
      <c r="D403" s="875">
        <v>10</v>
      </c>
      <c r="E403" s="1027" t="s">
        <v>1722</v>
      </c>
      <c r="F403" s="273" t="s">
        <v>3446</v>
      </c>
      <c r="G403" s="1040" t="s">
        <v>3463</v>
      </c>
      <c r="H403" s="273" t="s">
        <v>3462</v>
      </c>
      <c r="I403" s="720">
        <f t="shared" si="85"/>
        <v>42</v>
      </c>
      <c r="J403" s="756">
        <v>420</v>
      </c>
      <c r="K403" s="131">
        <f t="shared" si="91"/>
        <v>420</v>
      </c>
      <c r="L403" s="335">
        <f t="shared" si="93"/>
        <v>0</v>
      </c>
      <c r="M403" s="446"/>
      <c r="N403" s="446"/>
      <c r="O403" s="446"/>
      <c r="P403" s="446"/>
      <c r="Q403" s="130">
        <v>3</v>
      </c>
      <c r="R403" s="111">
        <f t="shared" si="87"/>
        <v>105</v>
      </c>
      <c r="S403" s="110"/>
      <c r="T403" s="110"/>
      <c r="U403" s="130">
        <v>3</v>
      </c>
      <c r="V403" s="111">
        <f t="shared" si="89"/>
        <v>105</v>
      </c>
      <c r="W403" s="110"/>
      <c r="X403" s="110"/>
      <c r="Y403" s="110"/>
      <c r="Z403" s="110"/>
      <c r="AA403" s="130">
        <v>2</v>
      </c>
      <c r="AB403" s="111">
        <f t="shared" si="80"/>
        <v>105</v>
      </c>
      <c r="AC403" s="110"/>
      <c r="AD403" s="110"/>
      <c r="AE403" s="130">
        <v>2</v>
      </c>
      <c r="AF403" s="111">
        <f t="shared" si="81"/>
        <v>105</v>
      </c>
      <c r="AG403" s="110"/>
      <c r="AH403" s="110"/>
      <c r="AI403" s="110"/>
      <c r="AJ403" s="110"/>
      <c r="AK403" s="111">
        <f t="shared" si="94"/>
        <v>420</v>
      </c>
      <c r="AL403" s="446">
        <f t="shared" si="95"/>
        <v>0</v>
      </c>
      <c r="AM403" s="110">
        <f t="shared" si="96"/>
        <v>10</v>
      </c>
      <c r="AN403" s="447">
        <f t="shared" si="92"/>
        <v>0</v>
      </c>
      <c r="AO403"/>
      <c r="AP403"/>
    </row>
    <row r="404" spans="1:42" ht="66" x14ac:dyDescent="0.25">
      <c r="A404" s="9"/>
      <c r="B404" s="482" t="s">
        <v>91</v>
      </c>
      <c r="C404" s="1024"/>
      <c r="D404" s="875">
        <v>10</v>
      </c>
      <c r="E404" s="1027" t="s">
        <v>1722</v>
      </c>
      <c r="F404" s="273" t="s">
        <v>3446</v>
      </c>
      <c r="G404" s="1040" t="s">
        <v>3463</v>
      </c>
      <c r="H404" s="273" t="s">
        <v>3462</v>
      </c>
      <c r="I404" s="720">
        <f t="shared" si="85"/>
        <v>21</v>
      </c>
      <c r="J404" s="756">
        <v>210</v>
      </c>
      <c r="K404" s="131">
        <f t="shared" si="91"/>
        <v>210</v>
      </c>
      <c r="L404" s="335">
        <f t="shared" si="93"/>
        <v>0</v>
      </c>
      <c r="M404" s="446"/>
      <c r="N404" s="446"/>
      <c r="O404" s="446"/>
      <c r="P404" s="446"/>
      <c r="Q404" s="130">
        <v>3</v>
      </c>
      <c r="R404" s="111">
        <f t="shared" si="87"/>
        <v>52.5</v>
      </c>
      <c r="S404" s="110"/>
      <c r="T404" s="110"/>
      <c r="U404" s="130">
        <v>3</v>
      </c>
      <c r="V404" s="111">
        <f t="shared" si="89"/>
        <v>52.5</v>
      </c>
      <c r="W404" s="110"/>
      <c r="X404" s="110"/>
      <c r="Y404" s="110"/>
      <c r="Z404" s="110"/>
      <c r="AA404" s="130">
        <v>2</v>
      </c>
      <c r="AB404" s="111">
        <f t="shared" si="80"/>
        <v>52.5</v>
      </c>
      <c r="AC404" s="110"/>
      <c r="AD404" s="110"/>
      <c r="AE404" s="130">
        <v>2</v>
      </c>
      <c r="AF404" s="111">
        <f t="shared" si="81"/>
        <v>52.5</v>
      </c>
      <c r="AG404" s="110"/>
      <c r="AH404" s="110"/>
      <c r="AI404" s="110"/>
      <c r="AJ404" s="110"/>
      <c r="AK404" s="111">
        <f t="shared" si="94"/>
        <v>210</v>
      </c>
      <c r="AL404" s="446">
        <f t="shared" si="95"/>
        <v>0</v>
      </c>
      <c r="AM404" s="110">
        <f t="shared" si="96"/>
        <v>10</v>
      </c>
      <c r="AN404" s="447">
        <f t="shared" si="92"/>
        <v>0</v>
      </c>
      <c r="AO404"/>
      <c r="AP404"/>
    </row>
    <row r="405" spans="1:42" ht="66" x14ac:dyDescent="0.25">
      <c r="A405" s="9"/>
      <c r="B405" s="482" t="s">
        <v>2033</v>
      </c>
      <c r="C405" s="1024"/>
      <c r="D405" s="875">
        <v>6</v>
      </c>
      <c r="E405" s="1027" t="s">
        <v>1721</v>
      </c>
      <c r="F405" s="273" t="s">
        <v>3446</v>
      </c>
      <c r="G405" s="1040" t="s">
        <v>3463</v>
      </c>
      <c r="H405" s="273" t="s">
        <v>3462</v>
      </c>
      <c r="I405" s="720">
        <f t="shared" si="85"/>
        <v>27</v>
      </c>
      <c r="J405" s="756">
        <v>162</v>
      </c>
      <c r="K405" s="131">
        <f t="shared" si="91"/>
        <v>162</v>
      </c>
      <c r="L405" s="335">
        <f t="shared" si="93"/>
        <v>0</v>
      </c>
      <c r="M405" s="446"/>
      <c r="N405" s="446"/>
      <c r="O405" s="446"/>
      <c r="P405" s="446"/>
      <c r="Q405" s="130">
        <v>2</v>
      </c>
      <c r="R405" s="111">
        <f t="shared" si="87"/>
        <v>40.5</v>
      </c>
      <c r="S405" s="110"/>
      <c r="T405" s="110"/>
      <c r="U405" s="130">
        <v>2</v>
      </c>
      <c r="V405" s="111">
        <f t="shared" si="89"/>
        <v>40.5</v>
      </c>
      <c r="W405" s="110"/>
      <c r="X405" s="110"/>
      <c r="Y405" s="110"/>
      <c r="Z405" s="110"/>
      <c r="AA405" s="130">
        <v>1</v>
      </c>
      <c r="AB405" s="111">
        <f t="shared" si="80"/>
        <v>40.5</v>
      </c>
      <c r="AC405" s="110"/>
      <c r="AD405" s="110"/>
      <c r="AE405" s="130">
        <v>1</v>
      </c>
      <c r="AF405" s="111">
        <f t="shared" si="81"/>
        <v>40.5</v>
      </c>
      <c r="AG405" s="110"/>
      <c r="AH405" s="110"/>
      <c r="AI405" s="110"/>
      <c r="AJ405" s="110"/>
      <c r="AK405" s="111">
        <f t="shared" si="94"/>
        <v>162</v>
      </c>
      <c r="AL405" s="446">
        <f t="shared" si="95"/>
        <v>0</v>
      </c>
      <c r="AM405" s="110">
        <f t="shared" si="96"/>
        <v>6</v>
      </c>
      <c r="AN405" s="447">
        <f t="shared" si="92"/>
        <v>0</v>
      </c>
      <c r="AO405"/>
      <c r="AP405"/>
    </row>
    <row r="406" spans="1:42" ht="66" x14ac:dyDescent="0.25">
      <c r="A406" s="9"/>
      <c r="B406" s="482" t="s">
        <v>2034</v>
      </c>
      <c r="C406" s="1024"/>
      <c r="D406" s="875">
        <v>12</v>
      </c>
      <c r="E406" s="1027" t="s">
        <v>1721</v>
      </c>
      <c r="F406" s="273" t="s">
        <v>3446</v>
      </c>
      <c r="G406" s="1040" t="s">
        <v>3463</v>
      </c>
      <c r="H406" s="273" t="s">
        <v>3462</v>
      </c>
      <c r="I406" s="720">
        <f t="shared" si="85"/>
        <v>47</v>
      </c>
      <c r="J406" s="756">
        <v>564</v>
      </c>
      <c r="K406" s="131">
        <f t="shared" si="91"/>
        <v>564</v>
      </c>
      <c r="L406" s="335">
        <f t="shared" si="93"/>
        <v>0</v>
      </c>
      <c r="M406" s="446"/>
      <c r="N406" s="446"/>
      <c r="O406" s="446"/>
      <c r="P406" s="446"/>
      <c r="Q406" s="110">
        <f t="shared" si="86"/>
        <v>3</v>
      </c>
      <c r="R406" s="111">
        <f t="shared" si="87"/>
        <v>141</v>
      </c>
      <c r="S406" s="110"/>
      <c r="T406" s="110"/>
      <c r="U406" s="110">
        <f t="shared" si="88"/>
        <v>3</v>
      </c>
      <c r="V406" s="111">
        <f t="shared" si="89"/>
        <v>141</v>
      </c>
      <c r="W406" s="110"/>
      <c r="X406" s="110"/>
      <c r="Y406" s="110"/>
      <c r="Z406" s="110"/>
      <c r="AA406" s="110">
        <f t="shared" si="90"/>
        <v>3</v>
      </c>
      <c r="AB406" s="111">
        <f t="shared" si="80"/>
        <v>141</v>
      </c>
      <c r="AC406" s="110"/>
      <c r="AD406" s="110"/>
      <c r="AE406" s="110">
        <f t="shared" si="90"/>
        <v>3</v>
      </c>
      <c r="AF406" s="111">
        <f t="shared" si="81"/>
        <v>141</v>
      </c>
      <c r="AG406" s="110"/>
      <c r="AH406" s="110"/>
      <c r="AI406" s="110"/>
      <c r="AJ406" s="110"/>
      <c r="AK406" s="111">
        <f t="shared" si="94"/>
        <v>564</v>
      </c>
      <c r="AL406" s="446">
        <f t="shared" si="95"/>
        <v>0</v>
      </c>
      <c r="AM406" s="110">
        <f t="shared" si="96"/>
        <v>12</v>
      </c>
      <c r="AN406" s="447">
        <f t="shared" si="92"/>
        <v>0</v>
      </c>
      <c r="AO406"/>
      <c r="AP406"/>
    </row>
    <row r="407" spans="1:42" ht="66" x14ac:dyDescent="0.25">
      <c r="A407" s="9"/>
      <c r="B407" s="482" t="s">
        <v>2035</v>
      </c>
      <c r="C407" s="1024"/>
      <c r="D407" s="875">
        <v>12</v>
      </c>
      <c r="E407" s="1027" t="s">
        <v>1721</v>
      </c>
      <c r="F407" s="273" t="s">
        <v>3446</v>
      </c>
      <c r="G407" s="1040" t="s">
        <v>3463</v>
      </c>
      <c r="H407" s="273" t="s">
        <v>3462</v>
      </c>
      <c r="I407" s="720">
        <f t="shared" si="85"/>
        <v>51</v>
      </c>
      <c r="J407" s="756">
        <v>612</v>
      </c>
      <c r="K407" s="131">
        <f t="shared" si="91"/>
        <v>612</v>
      </c>
      <c r="L407" s="335">
        <f t="shared" si="93"/>
        <v>0</v>
      </c>
      <c r="M407" s="446"/>
      <c r="N407" s="446"/>
      <c r="O407" s="446"/>
      <c r="P407" s="446"/>
      <c r="Q407" s="110">
        <f t="shared" si="86"/>
        <v>3</v>
      </c>
      <c r="R407" s="111">
        <f t="shared" si="87"/>
        <v>153</v>
      </c>
      <c r="S407" s="110"/>
      <c r="T407" s="110"/>
      <c r="U407" s="110">
        <f t="shared" si="88"/>
        <v>3</v>
      </c>
      <c r="V407" s="111">
        <f t="shared" si="89"/>
        <v>153</v>
      </c>
      <c r="W407" s="110"/>
      <c r="X407" s="110"/>
      <c r="Y407" s="110"/>
      <c r="Z407" s="110"/>
      <c r="AA407" s="110">
        <f t="shared" si="90"/>
        <v>3</v>
      </c>
      <c r="AB407" s="111">
        <f t="shared" si="80"/>
        <v>153</v>
      </c>
      <c r="AC407" s="110"/>
      <c r="AD407" s="110"/>
      <c r="AE407" s="110">
        <f t="shared" si="90"/>
        <v>3</v>
      </c>
      <c r="AF407" s="111">
        <f t="shared" si="81"/>
        <v>153</v>
      </c>
      <c r="AG407" s="110"/>
      <c r="AH407" s="110"/>
      <c r="AI407" s="110"/>
      <c r="AJ407" s="110"/>
      <c r="AK407" s="111">
        <f t="shared" si="94"/>
        <v>612</v>
      </c>
      <c r="AL407" s="446">
        <f t="shared" si="95"/>
        <v>0</v>
      </c>
      <c r="AM407" s="110">
        <f t="shared" si="96"/>
        <v>12</v>
      </c>
      <c r="AN407" s="447">
        <f t="shared" si="92"/>
        <v>0</v>
      </c>
      <c r="AO407"/>
      <c r="AP407"/>
    </row>
    <row r="408" spans="1:42" ht="66" x14ac:dyDescent="0.25">
      <c r="A408" s="9"/>
      <c r="B408" s="482" t="s">
        <v>44</v>
      </c>
      <c r="C408" s="1024"/>
      <c r="D408" s="875">
        <v>6</v>
      </c>
      <c r="E408" s="1027" t="s">
        <v>1721</v>
      </c>
      <c r="F408" s="273" t="s">
        <v>3446</v>
      </c>
      <c r="G408" s="1040" t="s">
        <v>3463</v>
      </c>
      <c r="H408" s="273" t="s">
        <v>3462</v>
      </c>
      <c r="I408" s="720">
        <f t="shared" si="85"/>
        <v>20</v>
      </c>
      <c r="J408" s="756">
        <v>120</v>
      </c>
      <c r="K408" s="131">
        <f t="shared" si="91"/>
        <v>120</v>
      </c>
      <c r="L408" s="335">
        <f t="shared" si="93"/>
        <v>0</v>
      </c>
      <c r="M408" s="446"/>
      <c r="N408" s="446"/>
      <c r="O408" s="446"/>
      <c r="P408" s="446"/>
      <c r="Q408" s="130">
        <v>2</v>
      </c>
      <c r="R408" s="111">
        <f t="shared" si="87"/>
        <v>30</v>
      </c>
      <c r="S408" s="110"/>
      <c r="T408" s="110"/>
      <c r="U408" s="130">
        <v>2</v>
      </c>
      <c r="V408" s="111">
        <f t="shared" si="89"/>
        <v>30</v>
      </c>
      <c r="W408" s="110"/>
      <c r="X408" s="110"/>
      <c r="Y408" s="110"/>
      <c r="Z408" s="110"/>
      <c r="AA408" s="130">
        <v>1</v>
      </c>
      <c r="AB408" s="111">
        <f t="shared" ref="AB408:AB447" si="97">+J408/4</f>
        <v>30</v>
      </c>
      <c r="AC408" s="110"/>
      <c r="AD408" s="110"/>
      <c r="AE408" s="130">
        <v>1</v>
      </c>
      <c r="AF408" s="111">
        <f t="shared" ref="AF408:AF447" si="98">+J408/4</f>
        <v>30</v>
      </c>
      <c r="AG408" s="110"/>
      <c r="AH408" s="110"/>
      <c r="AI408" s="110"/>
      <c r="AJ408" s="110"/>
      <c r="AK408" s="111">
        <f t="shared" si="94"/>
        <v>120</v>
      </c>
      <c r="AL408" s="446">
        <f t="shared" si="95"/>
        <v>0</v>
      </c>
      <c r="AM408" s="110">
        <f t="shared" si="96"/>
        <v>6</v>
      </c>
      <c r="AN408" s="447">
        <f t="shared" si="92"/>
        <v>0</v>
      </c>
      <c r="AO408"/>
      <c r="AP408"/>
    </row>
    <row r="409" spans="1:42" ht="66" x14ac:dyDescent="0.25">
      <c r="A409" s="9"/>
      <c r="B409" s="482" t="s">
        <v>52</v>
      </c>
      <c r="C409" s="1024"/>
      <c r="D409" s="875">
        <v>6</v>
      </c>
      <c r="E409" s="1027" t="s">
        <v>1721</v>
      </c>
      <c r="F409" s="273" t="s">
        <v>3446</v>
      </c>
      <c r="G409" s="1040" t="s">
        <v>3463</v>
      </c>
      <c r="H409" s="273" t="s">
        <v>3462</v>
      </c>
      <c r="I409" s="720">
        <f t="shared" si="85"/>
        <v>20</v>
      </c>
      <c r="J409" s="756">
        <v>120</v>
      </c>
      <c r="K409" s="131">
        <f t="shared" si="91"/>
        <v>120</v>
      </c>
      <c r="L409" s="335">
        <f t="shared" si="93"/>
        <v>0</v>
      </c>
      <c r="M409" s="446"/>
      <c r="N409" s="446"/>
      <c r="O409" s="446"/>
      <c r="P409" s="446"/>
      <c r="Q409" s="130">
        <v>2</v>
      </c>
      <c r="R409" s="111">
        <f t="shared" si="87"/>
        <v>30</v>
      </c>
      <c r="S409" s="110"/>
      <c r="T409" s="110"/>
      <c r="U409" s="130">
        <v>2</v>
      </c>
      <c r="V409" s="111">
        <f t="shared" si="89"/>
        <v>30</v>
      </c>
      <c r="W409" s="110"/>
      <c r="X409" s="110"/>
      <c r="Y409" s="110"/>
      <c r="Z409" s="110"/>
      <c r="AA409" s="130">
        <v>1</v>
      </c>
      <c r="AB409" s="111">
        <f t="shared" si="97"/>
        <v>30</v>
      </c>
      <c r="AC409" s="110"/>
      <c r="AD409" s="110"/>
      <c r="AE409" s="130">
        <v>1</v>
      </c>
      <c r="AF409" s="111">
        <f t="shared" si="98"/>
        <v>30</v>
      </c>
      <c r="AG409" s="110"/>
      <c r="AH409" s="110"/>
      <c r="AI409" s="110"/>
      <c r="AJ409" s="110"/>
      <c r="AK409" s="111">
        <f t="shared" si="94"/>
        <v>120</v>
      </c>
      <c r="AL409" s="446">
        <f t="shared" si="95"/>
        <v>0</v>
      </c>
      <c r="AM409" s="110">
        <f t="shared" si="96"/>
        <v>6</v>
      </c>
      <c r="AN409" s="447">
        <f t="shared" si="92"/>
        <v>0</v>
      </c>
      <c r="AO409"/>
      <c r="AP409"/>
    </row>
    <row r="410" spans="1:42" ht="66" x14ac:dyDescent="0.25">
      <c r="A410" s="9"/>
      <c r="B410" s="482" t="s">
        <v>1715</v>
      </c>
      <c r="C410" s="1024"/>
      <c r="D410" s="875">
        <v>4</v>
      </c>
      <c r="E410" s="1027" t="s">
        <v>1721</v>
      </c>
      <c r="F410" s="273" t="s">
        <v>3446</v>
      </c>
      <c r="G410" s="1040" t="s">
        <v>3463</v>
      </c>
      <c r="H410" s="273" t="s">
        <v>3462</v>
      </c>
      <c r="I410" s="720">
        <f t="shared" si="85"/>
        <v>100</v>
      </c>
      <c r="J410" s="756">
        <v>400</v>
      </c>
      <c r="K410" s="131">
        <f t="shared" si="91"/>
        <v>400</v>
      </c>
      <c r="L410" s="335">
        <f t="shared" si="93"/>
        <v>0</v>
      </c>
      <c r="M410" s="446"/>
      <c r="N410" s="446"/>
      <c r="O410" s="446"/>
      <c r="P410" s="446"/>
      <c r="Q410" s="110">
        <f t="shared" si="86"/>
        <v>1</v>
      </c>
      <c r="R410" s="111">
        <f t="shared" si="87"/>
        <v>100</v>
      </c>
      <c r="S410" s="110"/>
      <c r="T410" s="110"/>
      <c r="U410" s="110">
        <f t="shared" si="88"/>
        <v>1</v>
      </c>
      <c r="V410" s="111">
        <f t="shared" si="89"/>
        <v>100</v>
      </c>
      <c r="W410" s="110"/>
      <c r="X410" s="110"/>
      <c r="Y410" s="110"/>
      <c r="Z410" s="110"/>
      <c r="AA410" s="110">
        <f t="shared" si="90"/>
        <v>1</v>
      </c>
      <c r="AB410" s="111">
        <f t="shared" si="97"/>
        <v>100</v>
      </c>
      <c r="AC410" s="110"/>
      <c r="AD410" s="110"/>
      <c r="AE410" s="110">
        <f t="shared" si="90"/>
        <v>1</v>
      </c>
      <c r="AF410" s="111">
        <f t="shared" si="98"/>
        <v>100</v>
      </c>
      <c r="AG410" s="110"/>
      <c r="AH410" s="110"/>
      <c r="AI410" s="110"/>
      <c r="AJ410" s="110"/>
      <c r="AK410" s="111">
        <f t="shared" si="94"/>
        <v>400</v>
      </c>
      <c r="AL410" s="446">
        <f t="shared" si="95"/>
        <v>0</v>
      </c>
      <c r="AM410" s="110">
        <f t="shared" si="96"/>
        <v>4</v>
      </c>
      <c r="AN410" s="447">
        <f t="shared" si="92"/>
        <v>0</v>
      </c>
      <c r="AO410"/>
      <c r="AP410"/>
    </row>
    <row r="411" spans="1:42" ht="66" x14ac:dyDescent="0.25">
      <c r="A411" s="9"/>
      <c r="B411" s="482" t="s">
        <v>2036</v>
      </c>
      <c r="C411" s="1024"/>
      <c r="D411" s="875">
        <v>4</v>
      </c>
      <c r="E411" s="1027" t="s">
        <v>1721</v>
      </c>
      <c r="F411" s="273" t="s">
        <v>3446</v>
      </c>
      <c r="G411" s="1040" t="s">
        <v>3463</v>
      </c>
      <c r="H411" s="273" t="s">
        <v>3462</v>
      </c>
      <c r="I411" s="720">
        <f t="shared" si="85"/>
        <v>99</v>
      </c>
      <c r="J411" s="756">
        <v>396</v>
      </c>
      <c r="K411" s="131">
        <f t="shared" si="91"/>
        <v>396</v>
      </c>
      <c r="L411" s="335">
        <f t="shared" si="93"/>
        <v>0</v>
      </c>
      <c r="M411" s="446"/>
      <c r="N411" s="446"/>
      <c r="O411" s="446"/>
      <c r="P411" s="446"/>
      <c r="Q411" s="110">
        <f t="shared" si="86"/>
        <v>1</v>
      </c>
      <c r="R411" s="111">
        <f t="shared" si="87"/>
        <v>99</v>
      </c>
      <c r="S411" s="110"/>
      <c r="T411" s="110"/>
      <c r="U411" s="110">
        <f t="shared" si="88"/>
        <v>1</v>
      </c>
      <c r="V411" s="111">
        <f t="shared" si="89"/>
        <v>99</v>
      </c>
      <c r="W411" s="110"/>
      <c r="X411" s="110"/>
      <c r="Y411" s="110"/>
      <c r="Z411" s="110"/>
      <c r="AA411" s="110">
        <f t="shared" si="90"/>
        <v>1</v>
      </c>
      <c r="AB411" s="111">
        <f t="shared" si="97"/>
        <v>99</v>
      </c>
      <c r="AC411" s="110"/>
      <c r="AD411" s="110"/>
      <c r="AE411" s="110">
        <f t="shared" si="90"/>
        <v>1</v>
      </c>
      <c r="AF411" s="111">
        <f t="shared" si="98"/>
        <v>99</v>
      </c>
      <c r="AG411" s="110"/>
      <c r="AH411" s="110"/>
      <c r="AI411" s="110"/>
      <c r="AJ411" s="110"/>
      <c r="AK411" s="111">
        <f t="shared" si="94"/>
        <v>396</v>
      </c>
      <c r="AL411" s="446">
        <f t="shared" si="95"/>
        <v>0</v>
      </c>
      <c r="AM411" s="110">
        <f t="shared" si="96"/>
        <v>4</v>
      </c>
      <c r="AN411" s="447">
        <f t="shared" si="92"/>
        <v>0</v>
      </c>
      <c r="AO411"/>
      <c r="AP411"/>
    </row>
    <row r="412" spans="1:42" ht="66" x14ac:dyDescent="0.25">
      <c r="A412" s="9"/>
      <c r="B412" s="482" t="s">
        <v>2037</v>
      </c>
      <c r="C412" s="1024"/>
      <c r="D412" s="875">
        <v>6</v>
      </c>
      <c r="E412" s="1027" t="s">
        <v>1722</v>
      </c>
      <c r="F412" s="273" t="s">
        <v>3446</v>
      </c>
      <c r="G412" s="1040" t="s">
        <v>3463</v>
      </c>
      <c r="H412" s="273" t="s">
        <v>3462</v>
      </c>
      <c r="I412" s="720">
        <f t="shared" ref="I412:I475" si="99">+J412/D412</f>
        <v>32</v>
      </c>
      <c r="J412" s="756">
        <v>192</v>
      </c>
      <c r="K412" s="131">
        <f t="shared" si="91"/>
        <v>192</v>
      </c>
      <c r="L412" s="335">
        <f t="shared" si="93"/>
        <v>0</v>
      </c>
      <c r="M412" s="446"/>
      <c r="N412" s="446"/>
      <c r="O412" s="446"/>
      <c r="P412" s="446"/>
      <c r="Q412" s="130">
        <v>2</v>
      </c>
      <c r="R412" s="111">
        <v>64</v>
      </c>
      <c r="S412" s="110"/>
      <c r="T412" s="110"/>
      <c r="U412" s="130">
        <v>2</v>
      </c>
      <c r="V412" s="111">
        <v>64</v>
      </c>
      <c r="W412" s="110"/>
      <c r="X412" s="110"/>
      <c r="Y412" s="110"/>
      <c r="Z412" s="110"/>
      <c r="AA412" s="130">
        <v>2</v>
      </c>
      <c r="AB412" s="111">
        <v>64</v>
      </c>
      <c r="AC412" s="110"/>
      <c r="AD412" s="110"/>
      <c r="AE412" s="130">
        <v>0</v>
      </c>
      <c r="AF412" s="111">
        <v>0</v>
      </c>
      <c r="AG412" s="110"/>
      <c r="AH412" s="110"/>
      <c r="AI412" s="110"/>
      <c r="AJ412" s="110"/>
      <c r="AK412" s="111">
        <f t="shared" si="94"/>
        <v>192</v>
      </c>
      <c r="AL412" s="446">
        <f t="shared" si="95"/>
        <v>0</v>
      </c>
      <c r="AM412" s="110">
        <f t="shared" si="96"/>
        <v>6</v>
      </c>
      <c r="AN412" s="447">
        <f t="shared" si="92"/>
        <v>0</v>
      </c>
      <c r="AO412"/>
      <c r="AP412"/>
    </row>
    <row r="413" spans="1:42" ht="66" x14ac:dyDescent="0.25">
      <c r="A413" s="9"/>
      <c r="B413" s="482" t="s">
        <v>59</v>
      </c>
      <c r="C413" s="1024"/>
      <c r="D413" s="875">
        <v>6</v>
      </c>
      <c r="E413" s="1027" t="s">
        <v>1721</v>
      </c>
      <c r="F413" s="273" t="s">
        <v>3446</v>
      </c>
      <c r="G413" s="1040" t="s">
        <v>3463</v>
      </c>
      <c r="H413" s="273" t="s">
        <v>3462</v>
      </c>
      <c r="I413" s="720">
        <f t="shared" si="99"/>
        <v>35</v>
      </c>
      <c r="J413" s="756">
        <v>210</v>
      </c>
      <c r="K413" s="131">
        <f t="shared" si="91"/>
        <v>210</v>
      </c>
      <c r="L413" s="335">
        <f t="shared" si="93"/>
        <v>0</v>
      </c>
      <c r="M413" s="446"/>
      <c r="N413" s="446"/>
      <c r="O413" s="446"/>
      <c r="P413" s="446"/>
      <c r="Q413" s="130">
        <v>2</v>
      </c>
      <c r="R413" s="111">
        <f t="shared" si="87"/>
        <v>52.5</v>
      </c>
      <c r="S413" s="110"/>
      <c r="T413" s="110"/>
      <c r="U413" s="130">
        <v>2</v>
      </c>
      <c r="V413" s="111">
        <f t="shared" si="89"/>
        <v>52.5</v>
      </c>
      <c r="W413" s="110"/>
      <c r="X413" s="110"/>
      <c r="Y413" s="110"/>
      <c r="Z413" s="110"/>
      <c r="AA413" s="130">
        <v>1</v>
      </c>
      <c r="AB413" s="111">
        <f t="shared" si="97"/>
        <v>52.5</v>
      </c>
      <c r="AC413" s="110"/>
      <c r="AD413" s="110"/>
      <c r="AE413" s="130">
        <v>1</v>
      </c>
      <c r="AF413" s="111">
        <f t="shared" si="98"/>
        <v>52.5</v>
      </c>
      <c r="AG413" s="110"/>
      <c r="AH413" s="110"/>
      <c r="AI413" s="110"/>
      <c r="AJ413" s="110"/>
      <c r="AK413" s="111">
        <f t="shared" si="94"/>
        <v>210</v>
      </c>
      <c r="AL413" s="446">
        <f t="shared" si="95"/>
        <v>0</v>
      </c>
      <c r="AM413" s="110">
        <f t="shared" si="96"/>
        <v>6</v>
      </c>
      <c r="AN413" s="447">
        <f t="shared" si="92"/>
        <v>0</v>
      </c>
      <c r="AO413"/>
      <c r="AP413"/>
    </row>
    <row r="414" spans="1:42" ht="66" x14ac:dyDescent="0.25">
      <c r="A414" s="9"/>
      <c r="B414" s="482" t="s">
        <v>76</v>
      </c>
      <c r="C414" s="1024"/>
      <c r="D414" s="875">
        <v>2</v>
      </c>
      <c r="E414" s="1027" t="s">
        <v>1721</v>
      </c>
      <c r="F414" s="273" t="s">
        <v>3446</v>
      </c>
      <c r="G414" s="1040" t="s">
        <v>3463</v>
      </c>
      <c r="H414" s="273" t="s">
        <v>3462</v>
      </c>
      <c r="I414" s="720">
        <f t="shared" si="99"/>
        <v>207</v>
      </c>
      <c r="J414" s="756">
        <v>414</v>
      </c>
      <c r="K414" s="131">
        <f t="shared" si="91"/>
        <v>414</v>
      </c>
      <c r="L414" s="335">
        <f t="shared" si="93"/>
        <v>0</v>
      </c>
      <c r="M414" s="446"/>
      <c r="N414" s="446"/>
      <c r="O414" s="446"/>
      <c r="P414" s="446"/>
      <c r="Q414" s="130">
        <v>1</v>
      </c>
      <c r="R414" s="111">
        <v>207</v>
      </c>
      <c r="S414" s="110"/>
      <c r="T414" s="110"/>
      <c r="U414" s="130">
        <v>1</v>
      </c>
      <c r="V414" s="111">
        <v>207</v>
      </c>
      <c r="W414" s="110"/>
      <c r="X414" s="110"/>
      <c r="Y414" s="110"/>
      <c r="Z414" s="110"/>
      <c r="AA414" s="130">
        <v>0</v>
      </c>
      <c r="AB414" s="111">
        <v>0</v>
      </c>
      <c r="AC414" s="110"/>
      <c r="AD414" s="110"/>
      <c r="AE414" s="130">
        <v>0</v>
      </c>
      <c r="AF414" s="111">
        <v>0</v>
      </c>
      <c r="AG414" s="110"/>
      <c r="AH414" s="110"/>
      <c r="AI414" s="110"/>
      <c r="AJ414" s="110"/>
      <c r="AK414" s="111">
        <f t="shared" si="94"/>
        <v>414</v>
      </c>
      <c r="AL414" s="446">
        <f t="shared" si="95"/>
        <v>0</v>
      </c>
      <c r="AM414" s="110">
        <f t="shared" si="96"/>
        <v>2</v>
      </c>
      <c r="AN414" s="447">
        <f t="shared" si="92"/>
        <v>0</v>
      </c>
      <c r="AO414"/>
      <c r="AP414"/>
    </row>
    <row r="415" spans="1:42" ht="66" x14ac:dyDescent="0.25">
      <c r="A415" s="9"/>
      <c r="B415" s="482" t="s">
        <v>80</v>
      </c>
      <c r="C415" s="1024"/>
      <c r="D415" s="875">
        <v>10</v>
      </c>
      <c r="E415" s="1027" t="s">
        <v>1721</v>
      </c>
      <c r="F415" s="273" t="s">
        <v>3446</v>
      </c>
      <c r="G415" s="1040" t="s">
        <v>3463</v>
      </c>
      <c r="H415" s="273" t="s">
        <v>3462</v>
      </c>
      <c r="I415" s="720">
        <f t="shared" si="99"/>
        <v>25</v>
      </c>
      <c r="J415" s="756">
        <v>250</v>
      </c>
      <c r="K415" s="131">
        <f t="shared" si="91"/>
        <v>250</v>
      </c>
      <c r="L415" s="335">
        <f t="shared" si="93"/>
        <v>0</v>
      </c>
      <c r="M415" s="446"/>
      <c r="N415" s="446"/>
      <c r="O415" s="446"/>
      <c r="P415" s="446"/>
      <c r="Q415" s="130">
        <v>3</v>
      </c>
      <c r="R415" s="111">
        <f t="shared" si="87"/>
        <v>62.5</v>
      </c>
      <c r="S415" s="110"/>
      <c r="T415" s="110"/>
      <c r="U415" s="130">
        <v>3</v>
      </c>
      <c r="V415" s="111">
        <f t="shared" si="89"/>
        <v>62.5</v>
      </c>
      <c r="W415" s="110"/>
      <c r="X415" s="110"/>
      <c r="Y415" s="110"/>
      <c r="Z415" s="110"/>
      <c r="AA415" s="130">
        <v>2</v>
      </c>
      <c r="AB415" s="111">
        <f t="shared" si="97"/>
        <v>62.5</v>
      </c>
      <c r="AC415" s="110"/>
      <c r="AD415" s="110"/>
      <c r="AE415" s="130">
        <v>2</v>
      </c>
      <c r="AF415" s="111">
        <f t="shared" si="98"/>
        <v>62.5</v>
      </c>
      <c r="AG415" s="110"/>
      <c r="AH415" s="110"/>
      <c r="AI415" s="110"/>
      <c r="AJ415" s="110"/>
      <c r="AK415" s="111">
        <f t="shared" si="94"/>
        <v>250</v>
      </c>
      <c r="AL415" s="446">
        <f t="shared" si="95"/>
        <v>0</v>
      </c>
      <c r="AM415" s="110">
        <f t="shared" si="96"/>
        <v>10</v>
      </c>
      <c r="AN415" s="447">
        <f t="shared" si="92"/>
        <v>0</v>
      </c>
      <c r="AO415"/>
      <c r="AP415"/>
    </row>
    <row r="416" spans="1:42" ht="66" x14ac:dyDescent="0.25">
      <c r="A416" s="9"/>
      <c r="B416" s="482" t="s">
        <v>2038</v>
      </c>
      <c r="C416" s="1024"/>
      <c r="D416" s="875">
        <v>2</v>
      </c>
      <c r="E416" s="1027" t="s">
        <v>1721</v>
      </c>
      <c r="F416" s="273" t="s">
        <v>3446</v>
      </c>
      <c r="G416" s="1040" t="s">
        <v>3463</v>
      </c>
      <c r="H416" s="273" t="s">
        <v>3462</v>
      </c>
      <c r="I416" s="720">
        <f t="shared" si="99"/>
        <v>499</v>
      </c>
      <c r="J416" s="756">
        <v>998</v>
      </c>
      <c r="K416" s="131">
        <f t="shared" si="91"/>
        <v>998</v>
      </c>
      <c r="L416" s="335">
        <f t="shared" si="93"/>
        <v>0</v>
      </c>
      <c r="M416" s="446"/>
      <c r="N416" s="446"/>
      <c r="O416" s="446"/>
      <c r="P416" s="446"/>
      <c r="Q416" s="130">
        <v>1</v>
      </c>
      <c r="R416" s="111">
        <v>499</v>
      </c>
      <c r="S416" s="110"/>
      <c r="T416" s="110"/>
      <c r="U416" s="130">
        <v>1</v>
      </c>
      <c r="V416" s="111">
        <v>499</v>
      </c>
      <c r="W416" s="110"/>
      <c r="X416" s="110"/>
      <c r="Y416" s="110"/>
      <c r="Z416" s="110"/>
      <c r="AA416" s="130">
        <v>0</v>
      </c>
      <c r="AB416" s="111">
        <v>0</v>
      </c>
      <c r="AC416" s="110"/>
      <c r="AD416" s="110"/>
      <c r="AE416" s="130">
        <v>0</v>
      </c>
      <c r="AF416" s="111">
        <v>0</v>
      </c>
      <c r="AG416" s="110"/>
      <c r="AH416" s="110"/>
      <c r="AI416" s="110"/>
      <c r="AJ416" s="110"/>
      <c r="AK416" s="111">
        <f t="shared" si="94"/>
        <v>998</v>
      </c>
      <c r="AL416" s="446">
        <f t="shared" si="95"/>
        <v>0</v>
      </c>
      <c r="AM416" s="110">
        <f t="shared" si="96"/>
        <v>2</v>
      </c>
      <c r="AN416" s="447">
        <f t="shared" si="92"/>
        <v>0</v>
      </c>
      <c r="AO416"/>
      <c r="AP416"/>
    </row>
    <row r="417" spans="1:42" ht="66" x14ac:dyDescent="0.25">
      <c r="A417" s="9"/>
      <c r="B417" s="152" t="s">
        <v>95</v>
      </c>
      <c r="C417" s="1024"/>
      <c r="D417" s="875">
        <v>5</v>
      </c>
      <c r="E417" s="1027" t="s">
        <v>1721</v>
      </c>
      <c r="F417" s="273" t="s">
        <v>3446</v>
      </c>
      <c r="G417" s="1040" t="s">
        <v>3463</v>
      </c>
      <c r="H417" s="273" t="s">
        <v>3462</v>
      </c>
      <c r="I417" s="720">
        <f t="shared" si="99"/>
        <v>38</v>
      </c>
      <c r="J417" s="756">
        <v>190</v>
      </c>
      <c r="K417" s="131">
        <f t="shared" si="91"/>
        <v>190</v>
      </c>
      <c r="L417" s="335">
        <f t="shared" si="93"/>
        <v>0</v>
      </c>
      <c r="M417" s="446"/>
      <c r="N417" s="446"/>
      <c r="O417" s="446"/>
      <c r="P417" s="446"/>
      <c r="Q417" s="110">
        <v>2</v>
      </c>
      <c r="R417" s="111">
        <f t="shared" si="87"/>
        <v>47.5</v>
      </c>
      <c r="S417" s="110"/>
      <c r="T417" s="110"/>
      <c r="U417" s="110">
        <v>1</v>
      </c>
      <c r="V417" s="111">
        <f t="shared" si="89"/>
        <v>47.5</v>
      </c>
      <c r="W417" s="110"/>
      <c r="X417" s="110"/>
      <c r="Y417" s="110"/>
      <c r="Z417" s="110"/>
      <c r="AA417" s="110">
        <v>1</v>
      </c>
      <c r="AB417" s="111">
        <f t="shared" si="97"/>
        <v>47.5</v>
      </c>
      <c r="AC417" s="110"/>
      <c r="AD417" s="110"/>
      <c r="AE417" s="110">
        <v>1</v>
      </c>
      <c r="AF417" s="111">
        <f t="shared" si="98"/>
        <v>47.5</v>
      </c>
      <c r="AG417" s="110"/>
      <c r="AH417" s="110"/>
      <c r="AI417" s="110"/>
      <c r="AJ417" s="110"/>
      <c r="AK417" s="111">
        <f t="shared" si="94"/>
        <v>190</v>
      </c>
      <c r="AL417" s="446">
        <f t="shared" si="95"/>
        <v>0</v>
      </c>
      <c r="AM417" s="110">
        <f t="shared" si="96"/>
        <v>5</v>
      </c>
      <c r="AN417" s="447">
        <f t="shared" si="92"/>
        <v>0</v>
      </c>
      <c r="AO417"/>
      <c r="AP417"/>
    </row>
    <row r="418" spans="1:42" ht="66" x14ac:dyDescent="0.25">
      <c r="A418" s="9"/>
      <c r="B418" s="482" t="s">
        <v>2039</v>
      </c>
      <c r="C418" s="1024"/>
      <c r="D418" s="875">
        <v>2</v>
      </c>
      <c r="E418" s="1027" t="s">
        <v>1721</v>
      </c>
      <c r="F418" s="273" t="s">
        <v>3446</v>
      </c>
      <c r="G418" s="1040" t="s">
        <v>3463</v>
      </c>
      <c r="H418" s="273" t="s">
        <v>3462</v>
      </c>
      <c r="I418" s="720">
        <f t="shared" si="99"/>
        <v>35</v>
      </c>
      <c r="J418" s="756">
        <v>70</v>
      </c>
      <c r="K418" s="131">
        <f t="shared" si="91"/>
        <v>70</v>
      </c>
      <c r="L418" s="335">
        <f t="shared" si="93"/>
        <v>0</v>
      </c>
      <c r="M418" s="446"/>
      <c r="N418" s="446"/>
      <c r="O418" s="446"/>
      <c r="P418" s="446"/>
      <c r="Q418" s="130">
        <v>1</v>
      </c>
      <c r="R418" s="111">
        <v>35</v>
      </c>
      <c r="S418" s="110"/>
      <c r="T418" s="110"/>
      <c r="U418" s="130">
        <v>1</v>
      </c>
      <c r="V418" s="111">
        <v>35</v>
      </c>
      <c r="W418" s="110"/>
      <c r="X418" s="110"/>
      <c r="Y418" s="110"/>
      <c r="Z418" s="110"/>
      <c r="AA418" s="130">
        <v>0</v>
      </c>
      <c r="AB418" s="111">
        <v>0</v>
      </c>
      <c r="AC418" s="110"/>
      <c r="AD418" s="110"/>
      <c r="AE418" s="130">
        <v>0</v>
      </c>
      <c r="AF418" s="111">
        <v>0</v>
      </c>
      <c r="AG418" s="110"/>
      <c r="AH418" s="110"/>
      <c r="AI418" s="110"/>
      <c r="AJ418" s="110"/>
      <c r="AK418" s="111">
        <f t="shared" si="94"/>
        <v>70</v>
      </c>
      <c r="AL418" s="446">
        <f t="shared" si="95"/>
        <v>0</v>
      </c>
      <c r="AM418" s="110">
        <f t="shared" si="96"/>
        <v>2</v>
      </c>
      <c r="AN418" s="447">
        <f t="shared" si="92"/>
        <v>0</v>
      </c>
      <c r="AO418"/>
      <c r="AP418"/>
    </row>
    <row r="419" spans="1:42" s="108" customFormat="1" ht="66" x14ac:dyDescent="0.25">
      <c r="A419" s="9"/>
      <c r="B419" s="482" t="s">
        <v>2040</v>
      </c>
      <c r="C419" s="1024"/>
      <c r="D419" s="875">
        <v>2</v>
      </c>
      <c r="E419" s="1027" t="s">
        <v>1721</v>
      </c>
      <c r="F419" s="278" t="s">
        <v>3446</v>
      </c>
      <c r="G419" s="1040" t="s">
        <v>3463</v>
      </c>
      <c r="H419" s="273" t="s">
        <v>3462</v>
      </c>
      <c r="I419" s="722">
        <f t="shared" si="99"/>
        <v>35</v>
      </c>
      <c r="J419" s="756">
        <v>70</v>
      </c>
      <c r="K419" s="131">
        <f t="shared" si="91"/>
        <v>70</v>
      </c>
      <c r="L419" s="335">
        <f t="shared" si="93"/>
        <v>0</v>
      </c>
      <c r="M419" s="335"/>
      <c r="N419" s="335"/>
      <c r="O419" s="335"/>
      <c r="P419" s="335"/>
      <c r="Q419" s="130">
        <v>0</v>
      </c>
      <c r="R419" s="131">
        <v>0</v>
      </c>
      <c r="S419" s="130"/>
      <c r="T419" s="130"/>
      <c r="U419" s="130">
        <v>1</v>
      </c>
      <c r="V419" s="131">
        <v>70</v>
      </c>
      <c r="W419" s="130"/>
      <c r="X419" s="130"/>
      <c r="Y419" s="130"/>
      <c r="Z419" s="130"/>
      <c r="AA419" s="130">
        <v>0</v>
      </c>
      <c r="AB419" s="131">
        <v>0</v>
      </c>
      <c r="AC419" s="130"/>
      <c r="AD419" s="130"/>
      <c r="AE419" s="130">
        <v>0</v>
      </c>
      <c r="AF419" s="131">
        <v>0</v>
      </c>
      <c r="AG419" s="130"/>
      <c r="AH419" s="130"/>
      <c r="AI419" s="130"/>
      <c r="AJ419" s="130"/>
      <c r="AK419" s="131">
        <f t="shared" si="94"/>
        <v>70</v>
      </c>
      <c r="AL419" s="335">
        <f t="shared" si="95"/>
        <v>0</v>
      </c>
      <c r="AM419" s="130">
        <f t="shared" si="96"/>
        <v>1</v>
      </c>
      <c r="AN419" s="336">
        <f t="shared" si="92"/>
        <v>1</v>
      </c>
    </row>
    <row r="420" spans="1:42" s="108" customFormat="1" ht="66" x14ac:dyDescent="0.25">
      <c r="A420" s="9"/>
      <c r="B420" s="482" t="s">
        <v>2041</v>
      </c>
      <c r="C420" s="1024"/>
      <c r="D420" s="875">
        <v>2</v>
      </c>
      <c r="E420" s="1027" t="s">
        <v>1721</v>
      </c>
      <c r="F420" s="278" t="s">
        <v>3446</v>
      </c>
      <c r="G420" s="1040" t="s">
        <v>3463</v>
      </c>
      <c r="H420" s="273" t="s">
        <v>3462</v>
      </c>
      <c r="I420" s="722">
        <f t="shared" si="99"/>
        <v>35</v>
      </c>
      <c r="J420" s="756">
        <v>70</v>
      </c>
      <c r="K420" s="131">
        <f t="shared" si="91"/>
        <v>70</v>
      </c>
      <c r="L420" s="335">
        <f t="shared" si="93"/>
        <v>0</v>
      </c>
      <c r="M420" s="335"/>
      <c r="N420" s="335"/>
      <c r="O420" s="335"/>
      <c r="P420" s="335"/>
      <c r="Q420" s="130">
        <v>0</v>
      </c>
      <c r="R420" s="131">
        <v>0</v>
      </c>
      <c r="S420" s="130"/>
      <c r="T420" s="130"/>
      <c r="U420" s="130">
        <v>1</v>
      </c>
      <c r="V420" s="131">
        <v>70</v>
      </c>
      <c r="W420" s="130"/>
      <c r="X420" s="130"/>
      <c r="Y420" s="130"/>
      <c r="Z420" s="130"/>
      <c r="AA420" s="130">
        <v>0</v>
      </c>
      <c r="AB420" s="131">
        <v>0</v>
      </c>
      <c r="AC420" s="130"/>
      <c r="AD420" s="130"/>
      <c r="AE420" s="130">
        <v>0</v>
      </c>
      <c r="AF420" s="131">
        <v>0</v>
      </c>
      <c r="AG420" s="130"/>
      <c r="AH420" s="130"/>
      <c r="AI420" s="130"/>
      <c r="AJ420" s="130"/>
      <c r="AK420" s="131">
        <f t="shared" si="94"/>
        <v>70</v>
      </c>
      <c r="AL420" s="335">
        <f t="shared" si="95"/>
        <v>0</v>
      </c>
      <c r="AM420" s="130">
        <f t="shared" si="96"/>
        <v>1</v>
      </c>
      <c r="AN420" s="336">
        <f t="shared" si="92"/>
        <v>1</v>
      </c>
    </row>
    <row r="421" spans="1:42" ht="66" x14ac:dyDescent="0.25">
      <c r="A421" s="9"/>
      <c r="B421" s="482" t="s">
        <v>2042</v>
      </c>
      <c r="C421" s="1024"/>
      <c r="D421" s="875">
        <v>2</v>
      </c>
      <c r="E421" s="1027" t="s">
        <v>1721</v>
      </c>
      <c r="F421" s="273" t="s">
        <v>3446</v>
      </c>
      <c r="G421" s="1040" t="s">
        <v>3463</v>
      </c>
      <c r="H421" s="273" t="s">
        <v>3462</v>
      </c>
      <c r="I421" s="720">
        <f t="shared" si="99"/>
        <v>39</v>
      </c>
      <c r="J421" s="756">
        <v>78</v>
      </c>
      <c r="K421" s="131">
        <f t="shared" si="91"/>
        <v>78</v>
      </c>
      <c r="L421" s="335">
        <f t="shared" si="93"/>
        <v>0</v>
      </c>
      <c r="M421" s="446"/>
      <c r="N421" s="446"/>
      <c r="O421" s="446"/>
      <c r="P421" s="446"/>
      <c r="Q421" s="130">
        <v>1</v>
      </c>
      <c r="R421" s="111">
        <v>39</v>
      </c>
      <c r="S421" s="110"/>
      <c r="T421" s="110"/>
      <c r="U421" s="130">
        <v>1</v>
      </c>
      <c r="V421" s="111">
        <v>39</v>
      </c>
      <c r="W421" s="110"/>
      <c r="X421" s="110"/>
      <c r="Y421" s="110"/>
      <c r="Z421" s="110"/>
      <c r="AA421" s="130">
        <v>0</v>
      </c>
      <c r="AB421" s="111">
        <v>0</v>
      </c>
      <c r="AC421" s="110"/>
      <c r="AD421" s="110"/>
      <c r="AE421" s="130">
        <v>0</v>
      </c>
      <c r="AF421" s="111">
        <v>0</v>
      </c>
      <c r="AG421" s="110"/>
      <c r="AH421" s="110"/>
      <c r="AI421" s="110"/>
      <c r="AJ421" s="110"/>
      <c r="AK421" s="111">
        <f t="shared" si="94"/>
        <v>78</v>
      </c>
      <c r="AL421" s="446">
        <f t="shared" si="95"/>
        <v>0</v>
      </c>
      <c r="AM421" s="110">
        <f t="shared" si="96"/>
        <v>2</v>
      </c>
      <c r="AN421" s="447">
        <f t="shared" si="92"/>
        <v>0</v>
      </c>
      <c r="AO421"/>
      <c r="AP421"/>
    </row>
    <row r="422" spans="1:42" ht="66" x14ac:dyDescent="0.25">
      <c r="A422" s="9"/>
      <c r="B422" s="482" t="s">
        <v>2043</v>
      </c>
      <c r="C422" s="1024"/>
      <c r="D422" s="875">
        <v>3</v>
      </c>
      <c r="E422" s="1027" t="s">
        <v>1725</v>
      </c>
      <c r="F422" s="273" t="s">
        <v>3446</v>
      </c>
      <c r="G422" s="1040" t="s">
        <v>3463</v>
      </c>
      <c r="H422" s="273" t="s">
        <v>3462</v>
      </c>
      <c r="I422" s="720">
        <f t="shared" si="99"/>
        <v>80</v>
      </c>
      <c r="J422" s="756">
        <v>240</v>
      </c>
      <c r="K422" s="131">
        <f t="shared" si="91"/>
        <v>240</v>
      </c>
      <c r="L422" s="335">
        <f t="shared" si="93"/>
        <v>0</v>
      </c>
      <c r="M422" s="446"/>
      <c r="N422" s="446"/>
      <c r="O422" s="446"/>
      <c r="P422" s="446"/>
      <c r="Q422" s="130">
        <v>1</v>
      </c>
      <c r="R422" s="111">
        <v>80</v>
      </c>
      <c r="S422" s="110"/>
      <c r="T422" s="110"/>
      <c r="U422" s="130">
        <v>1</v>
      </c>
      <c r="V422" s="111">
        <v>80</v>
      </c>
      <c r="W422" s="110"/>
      <c r="X422" s="110"/>
      <c r="Y422" s="110"/>
      <c r="Z422" s="110"/>
      <c r="AA422" s="130">
        <v>1</v>
      </c>
      <c r="AB422" s="111">
        <v>80</v>
      </c>
      <c r="AC422" s="110"/>
      <c r="AD422" s="110"/>
      <c r="AE422" s="130">
        <v>0</v>
      </c>
      <c r="AF422" s="111">
        <v>0</v>
      </c>
      <c r="AG422" s="110"/>
      <c r="AH422" s="110"/>
      <c r="AI422" s="110"/>
      <c r="AJ422" s="110"/>
      <c r="AK422" s="111">
        <f t="shared" si="94"/>
        <v>240</v>
      </c>
      <c r="AL422" s="446">
        <f t="shared" si="95"/>
        <v>0</v>
      </c>
      <c r="AM422" s="110">
        <f t="shared" si="96"/>
        <v>3</v>
      </c>
      <c r="AN422" s="447">
        <f t="shared" si="92"/>
        <v>0</v>
      </c>
      <c r="AO422"/>
      <c r="AP422"/>
    </row>
    <row r="423" spans="1:42" ht="66" x14ac:dyDescent="0.25">
      <c r="A423" s="9"/>
      <c r="B423" s="482" t="s">
        <v>24</v>
      </c>
      <c r="C423" s="1024"/>
      <c r="D423" s="875">
        <v>2</v>
      </c>
      <c r="E423" s="1027" t="s">
        <v>1721</v>
      </c>
      <c r="F423" s="273" t="s">
        <v>3446</v>
      </c>
      <c r="G423" s="1040" t="s">
        <v>3463</v>
      </c>
      <c r="H423" s="273" t="s">
        <v>3462</v>
      </c>
      <c r="I423" s="720">
        <f t="shared" si="99"/>
        <v>30</v>
      </c>
      <c r="J423" s="756">
        <v>60</v>
      </c>
      <c r="K423" s="131">
        <f t="shared" si="91"/>
        <v>60</v>
      </c>
      <c r="L423" s="335">
        <f t="shared" si="93"/>
        <v>0</v>
      </c>
      <c r="M423" s="446"/>
      <c r="N423" s="446"/>
      <c r="O423" s="446"/>
      <c r="P423" s="446"/>
      <c r="Q423" s="130">
        <v>2</v>
      </c>
      <c r="R423" s="111">
        <v>30</v>
      </c>
      <c r="S423" s="110"/>
      <c r="T423" s="110"/>
      <c r="U423" s="130">
        <v>0</v>
      </c>
      <c r="V423" s="111">
        <v>30</v>
      </c>
      <c r="W423" s="110"/>
      <c r="X423" s="110"/>
      <c r="Y423" s="110"/>
      <c r="Z423" s="110"/>
      <c r="AA423" s="130">
        <v>0</v>
      </c>
      <c r="AB423" s="111">
        <v>0</v>
      </c>
      <c r="AC423" s="110"/>
      <c r="AD423" s="110"/>
      <c r="AE423" s="130">
        <v>0</v>
      </c>
      <c r="AF423" s="111">
        <v>0</v>
      </c>
      <c r="AG423" s="110"/>
      <c r="AH423" s="110"/>
      <c r="AI423" s="110"/>
      <c r="AJ423" s="110"/>
      <c r="AK423" s="111">
        <f t="shared" si="94"/>
        <v>60</v>
      </c>
      <c r="AL423" s="446">
        <f t="shared" si="95"/>
        <v>0</v>
      </c>
      <c r="AM423" s="110">
        <f t="shared" si="96"/>
        <v>2</v>
      </c>
      <c r="AN423" s="447">
        <f t="shared" si="92"/>
        <v>0</v>
      </c>
      <c r="AO423"/>
      <c r="AP423"/>
    </row>
    <row r="424" spans="1:42" ht="66" x14ac:dyDescent="0.25">
      <c r="A424" s="9"/>
      <c r="B424" s="482" t="s">
        <v>16</v>
      </c>
      <c r="C424" s="1024"/>
      <c r="D424" s="875">
        <v>2</v>
      </c>
      <c r="E424" s="1027" t="s">
        <v>1721</v>
      </c>
      <c r="F424" s="273" t="s">
        <v>3446</v>
      </c>
      <c r="G424" s="1040" t="s">
        <v>3463</v>
      </c>
      <c r="H424" s="273" t="s">
        <v>3462</v>
      </c>
      <c r="I424" s="720">
        <f t="shared" si="99"/>
        <v>499</v>
      </c>
      <c r="J424" s="756">
        <v>998</v>
      </c>
      <c r="K424" s="131">
        <f t="shared" si="91"/>
        <v>998</v>
      </c>
      <c r="L424" s="335">
        <f t="shared" si="93"/>
        <v>0</v>
      </c>
      <c r="M424" s="446"/>
      <c r="N424" s="446"/>
      <c r="O424" s="446"/>
      <c r="P424" s="446"/>
      <c r="Q424" s="130">
        <v>1</v>
      </c>
      <c r="R424" s="111">
        <v>499</v>
      </c>
      <c r="S424" s="110"/>
      <c r="T424" s="110"/>
      <c r="U424" s="130">
        <v>1</v>
      </c>
      <c r="V424" s="111">
        <v>499</v>
      </c>
      <c r="W424" s="110"/>
      <c r="X424" s="110"/>
      <c r="Y424" s="110"/>
      <c r="Z424" s="110"/>
      <c r="AA424" s="130">
        <v>0</v>
      </c>
      <c r="AB424" s="111">
        <v>0</v>
      </c>
      <c r="AC424" s="110"/>
      <c r="AD424" s="110"/>
      <c r="AE424" s="130">
        <v>0</v>
      </c>
      <c r="AF424" s="111">
        <v>0</v>
      </c>
      <c r="AG424" s="110"/>
      <c r="AH424" s="110"/>
      <c r="AI424" s="110"/>
      <c r="AJ424" s="110"/>
      <c r="AK424" s="111">
        <f t="shared" si="94"/>
        <v>998</v>
      </c>
      <c r="AL424" s="446">
        <f t="shared" si="95"/>
        <v>0</v>
      </c>
      <c r="AM424" s="110">
        <f t="shared" si="96"/>
        <v>2</v>
      </c>
      <c r="AN424" s="447">
        <f t="shared" si="92"/>
        <v>0</v>
      </c>
      <c r="AO424"/>
      <c r="AP424"/>
    </row>
    <row r="425" spans="1:42" ht="66" x14ac:dyDescent="0.25">
      <c r="A425" s="9"/>
      <c r="B425" s="482" t="s">
        <v>2044</v>
      </c>
      <c r="C425" s="1024"/>
      <c r="D425" s="875">
        <v>2</v>
      </c>
      <c r="E425" s="1027" t="s">
        <v>1721</v>
      </c>
      <c r="F425" s="273" t="s">
        <v>3446</v>
      </c>
      <c r="G425" s="1040" t="s">
        <v>3463</v>
      </c>
      <c r="H425" s="273" t="s">
        <v>3462</v>
      </c>
      <c r="I425" s="720">
        <f t="shared" si="99"/>
        <v>149</v>
      </c>
      <c r="J425" s="756">
        <v>298</v>
      </c>
      <c r="K425" s="131">
        <f t="shared" si="91"/>
        <v>298</v>
      </c>
      <c r="L425" s="335">
        <f t="shared" si="93"/>
        <v>0</v>
      </c>
      <c r="M425" s="446"/>
      <c r="N425" s="446"/>
      <c r="O425" s="446"/>
      <c r="P425" s="446"/>
      <c r="Q425" s="130">
        <v>1</v>
      </c>
      <c r="R425" s="111">
        <v>149</v>
      </c>
      <c r="S425" s="110"/>
      <c r="T425" s="110"/>
      <c r="U425" s="130">
        <v>1</v>
      </c>
      <c r="V425" s="111">
        <v>149</v>
      </c>
      <c r="W425" s="110"/>
      <c r="X425" s="110"/>
      <c r="Y425" s="110"/>
      <c r="Z425" s="110"/>
      <c r="AA425" s="130">
        <v>0</v>
      </c>
      <c r="AB425" s="111">
        <v>0</v>
      </c>
      <c r="AC425" s="110"/>
      <c r="AD425" s="110"/>
      <c r="AE425" s="130">
        <v>0</v>
      </c>
      <c r="AF425" s="111">
        <v>0</v>
      </c>
      <c r="AG425" s="110"/>
      <c r="AH425" s="110"/>
      <c r="AI425" s="110"/>
      <c r="AJ425" s="110"/>
      <c r="AK425" s="111">
        <f t="shared" si="94"/>
        <v>298</v>
      </c>
      <c r="AL425" s="446">
        <f t="shared" si="95"/>
        <v>0</v>
      </c>
      <c r="AM425" s="110">
        <f t="shared" si="96"/>
        <v>2</v>
      </c>
      <c r="AN425" s="447">
        <f t="shared" si="92"/>
        <v>0</v>
      </c>
      <c r="AO425"/>
      <c r="AP425"/>
    </row>
    <row r="426" spans="1:42" ht="66" x14ac:dyDescent="0.25">
      <c r="A426" s="9"/>
      <c r="B426" s="482" t="s">
        <v>2045</v>
      </c>
      <c r="C426" s="1024"/>
      <c r="D426" s="875">
        <v>2</v>
      </c>
      <c r="E426" s="1027" t="s">
        <v>1827</v>
      </c>
      <c r="F426" s="273" t="s">
        <v>3446</v>
      </c>
      <c r="G426" s="1040" t="s">
        <v>3463</v>
      </c>
      <c r="H426" s="273" t="s">
        <v>3462</v>
      </c>
      <c r="I426" s="720">
        <f t="shared" si="99"/>
        <v>219</v>
      </c>
      <c r="J426" s="756">
        <v>438</v>
      </c>
      <c r="K426" s="131">
        <f t="shared" si="91"/>
        <v>438</v>
      </c>
      <c r="L426" s="335">
        <f t="shared" si="93"/>
        <v>0</v>
      </c>
      <c r="M426" s="446"/>
      <c r="N426" s="446"/>
      <c r="O426" s="446"/>
      <c r="P426" s="446"/>
      <c r="Q426" s="130">
        <v>1</v>
      </c>
      <c r="R426" s="111">
        <v>219</v>
      </c>
      <c r="S426" s="110"/>
      <c r="T426" s="110"/>
      <c r="U426" s="130">
        <v>1</v>
      </c>
      <c r="V426" s="111">
        <v>219</v>
      </c>
      <c r="W426" s="110"/>
      <c r="X426" s="110"/>
      <c r="Y426" s="110"/>
      <c r="Z426" s="110"/>
      <c r="AA426" s="130">
        <v>0</v>
      </c>
      <c r="AB426" s="111">
        <v>0</v>
      </c>
      <c r="AC426" s="110"/>
      <c r="AD426" s="110"/>
      <c r="AE426" s="130">
        <v>0</v>
      </c>
      <c r="AF426" s="111">
        <v>0</v>
      </c>
      <c r="AG426" s="110"/>
      <c r="AH426" s="110"/>
      <c r="AI426" s="110"/>
      <c r="AJ426" s="110"/>
      <c r="AK426" s="111">
        <f t="shared" si="94"/>
        <v>438</v>
      </c>
      <c r="AL426" s="446">
        <f t="shared" si="95"/>
        <v>0</v>
      </c>
      <c r="AM426" s="110">
        <f t="shared" si="96"/>
        <v>2</v>
      </c>
      <c r="AN426" s="447">
        <f t="shared" si="92"/>
        <v>0</v>
      </c>
      <c r="AO426"/>
      <c r="AP426"/>
    </row>
    <row r="427" spans="1:42" ht="66" x14ac:dyDescent="0.25">
      <c r="A427" s="9"/>
      <c r="B427" s="152" t="s">
        <v>2046</v>
      </c>
      <c r="C427" s="1024"/>
      <c r="D427" s="875">
        <v>2</v>
      </c>
      <c r="E427" s="1027" t="s">
        <v>1722</v>
      </c>
      <c r="F427" s="273" t="s">
        <v>3446</v>
      </c>
      <c r="G427" s="1040" t="s">
        <v>3463</v>
      </c>
      <c r="H427" s="273" t="s">
        <v>3462</v>
      </c>
      <c r="I427" s="720">
        <f t="shared" si="99"/>
        <v>100</v>
      </c>
      <c r="J427" s="756">
        <v>200</v>
      </c>
      <c r="K427" s="131">
        <f t="shared" si="91"/>
        <v>200</v>
      </c>
      <c r="L427" s="335">
        <f t="shared" si="93"/>
        <v>0</v>
      </c>
      <c r="M427" s="446"/>
      <c r="N427" s="446"/>
      <c r="O427" s="446"/>
      <c r="P427" s="446"/>
      <c r="Q427" s="130">
        <v>1</v>
      </c>
      <c r="R427" s="111">
        <v>100</v>
      </c>
      <c r="S427" s="110"/>
      <c r="T427" s="110"/>
      <c r="U427" s="130">
        <v>1</v>
      </c>
      <c r="V427" s="111">
        <v>100</v>
      </c>
      <c r="W427" s="110"/>
      <c r="X427" s="110"/>
      <c r="Y427" s="110"/>
      <c r="Z427" s="110"/>
      <c r="AA427" s="130">
        <v>0</v>
      </c>
      <c r="AB427" s="111">
        <v>0</v>
      </c>
      <c r="AC427" s="110"/>
      <c r="AD427" s="110"/>
      <c r="AE427" s="130">
        <v>0</v>
      </c>
      <c r="AF427" s="111">
        <v>0</v>
      </c>
      <c r="AG427" s="110"/>
      <c r="AH427" s="110"/>
      <c r="AI427" s="110"/>
      <c r="AJ427" s="110"/>
      <c r="AK427" s="111">
        <f t="shared" si="94"/>
        <v>200</v>
      </c>
      <c r="AL427" s="446">
        <f t="shared" si="95"/>
        <v>0</v>
      </c>
      <c r="AM427" s="110">
        <f t="shared" si="96"/>
        <v>2</v>
      </c>
      <c r="AN427" s="447">
        <f t="shared" si="92"/>
        <v>0</v>
      </c>
      <c r="AO427"/>
      <c r="AP427"/>
    </row>
    <row r="428" spans="1:42" ht="66" x14ac:dyDescent="0.25">
      <c r="A428" s="9"/>
      <c r="B428" s="152" t="s">
        <v>2047</v>
      </c>
      <c r="C428" s="1024"/>
      <c r="D428" s="875">
        <v>2</v>
      </c>
      <c r="E428" s="1027" t="s">
        <v>1722</v>
      </c>
      <c r="F428" s="273" t="s">
        <v>3446</v>
      </c>
      <c r="G428" s="1040" t="s">
        <v>3463</v>
      </c>
      <c r="H428" s="273" t="s">
        <v>3462</v>
      </c>
      <c r="I428" s="720">
        <f t="shared" si="99"/>
        <v>69.5</v>
      </c>
      <c r="J428" s="756">
        <v>139</v>
      </c>
      <c r="K428" s="131">
        <f t="shared" si="91"/>
        <v>139</v>
      </c>
      <c r="L428" s="335">
        <f t="shared" si="93"/>
        <v>0</v>
      </c>
      <c r="M428" s="446"/>
      <c r="N428" s="446"/>
      <c r="O428" s="446"/>
      <c r="P428" s="446"/>
      <c r="Q428" s="130">
        <v>1</v>
      </c>
      <c r="R428" s="111">
        <v>69.5</v>
      </c>
      <c r="S428" s="110"/>
      <c r="T428" s="110"/>
      <c r="U428" s="130">
        <v>1</v>
      </c>
      <c r="V428" s="111">
        <v>69.5</v>
      </c>
      <c r="W428" s="110"/>
      <c r="X428" s="110"/>
      <c r="Y428" s="110"/>
      <c r="Z428" s="110"/>
      <c r="AA428" s="130">
        <v>0</v>
      </c>
      <c r="AB428" s="111">
        <v>0</v>
      </c>
      <c r="AC428" s="110"/>
      <c r="AD428" s="110"/>
      <c r="AE428" s="130">
        <v>0</v>
      </c>
      <c r="AF428" s="111">
        <v>0</v>
      </c>
      <c r="AG428" s="110"/>
      <c r="AH428" s="110"/>
      <c r="AI428" s="110"/>
      <c r="AJ428" s="110"/>
      <c r="AK428" s="111">
        <f t="shared" si="94"/>
        <v>139</v>
      </c>
      <c r="AL428" s="446">
        <f t="shared" si="95"/>
        <v>0</v>
      </c>
      <c r="AM428" s="110">
        <f t="shared" si="96"/>
        <v>2</v>
      </c>
      <c r="AN428" s="447">
        <f t="shared" si="92"/>
        <v>0</v>
      </c>
      <c r="AO428"/>
      <c r="AP428"/>
    </row>
    <row r="429" spans="1:42" ht="66" x14ac:dyDescent="0.25">
      <c r="A429" s="9"/>
      <c r="B429" s="152" t="s">
        <v>2048</v>
      </c>
      <c r="C429" s="1024"/>
      <c r="D429" s="875">
        <v>2</v>
      </c>
      <c r="E429" s="1027" t="s">
        <v>1722</v>
      </c>
      <c r="F429" s="273" t="s">
        <v>3446</v>
      </c>
      <c r="G429" s="1040" t="s">
        <v>3463</v>
      </c>
      <c r="H429" s="273" t="s">
        <v>3462</v>
      </c>
      <c r="I429" s="720">
        <f t="shared" si="99"/>
        <v>40</v>
      </c>
      <c r="J429" s="756">
        <v>80</v>
      </c>
      <c r="K429" s="131">
        <f t="shared" si="91"/>
        <v>80</v>
      </c>
      <c r="L429" s="335">
        <f t="shared" si="93"/>
        <v>0</v>
      </c>
      <c r="M429" s="446"/>
      <c r="N429" s="446"/>
      <c r="O429" s="446"/>
      <c r="P429" s="446"/>
      <c r="Q429" s="130">
        <v>1</v>
      </c>
      <c r="R429" s="111">
        <v>40</v>
      </c>
      <c r="S429" s="110"/>
      <c r="T429" s="110"/>
      <c r="U429" s="130">
        <v>1</v>
      </c>
      <c r="V429" s="111">
        <v>40</v>
      </c>
      <c r="W429" s="110"/>
      <c r="X429" s="110"/>
      <c r="Y429" s="110"/>
      <c r="Z429" s="110"/>
      <c r="AA429" s="130">
        <v>0</v>
      </c>
      <c r="AB429" s="111">
        <v>0</v>
      </c>
      <c r="AC429" s="110"/>
      <c r="AD429" s="110"/>
      <c r="AE429" s="130">
        <v>0</v>
      </c>
      <c r="AF429" s="111">
        <v>0</v>
      </c>
      <c r="AG429" s="110"/>
      <c r="AH429" s="110"/>
      <c r="AI429" s="110"/>
      <c r="AJ429" s="110"/>
      <c r="AK429" s="111">
        <f t="shared" si="94"/>
        <v>80</v>
      </c>
      <c r="AL429" s="446">
        <f t="shared" si="95"/>
        <v>0</v>
      </c>
      <c r="AM429" s="110">
        <f t="shared" si="96"/>
        <v>2</v>
      </c>
      <c r="AN429" s="447">
        <f t="shared" si="92"/>
        <v>0</v>
      </c>
      <c r="AO429"/>
      <c r="AP429"/>
    </row>
    <row r="430" spans="1:42" ht="66" x14ac:dyDescent="0.25">
      <c r="A430" s="9"/>
      <c r="B430" s="482" t="s">
        <v>2049</v>
      </c>
      <c r="C430" s="1024"/>
      <c r="D430" s="875">
        <v>1</v>
      </c>
      <c r="E430" s="1027" t="s">
        <v>1725</v>
      </c>
      <c r="F430" s="273" t="s">
        <v>3446</v>
      </c>
      <c r="G430" s="1040" t="s">
        <v>3463</v>
      </c>
      <c r="H430" s="273" t="s">
        <v>3462</v>
      </c>
      <c r="I430" s="720">
        <f t="shared" si="99"/>
        <v>190</v>
      </c>
      <c r="J430" s="756">
        <v>190</v>
      </c>
      <c r="K430" s="131">
        <f t="shared" si="91"/>
        <v>190</v>
      </c>
      <c r="L430" s="335">
        <f t="shared" si="93"/>
        <v>0</v>
      </c>
      <c r="M430" s="446"/>
      <c r="N430" s="446"/>
      <c r="O430" s="446"/>
      <c r="P430" s="446"/>
      <c r="Q430" s="110">
        <v>1</v>
      </c>
      <c r="R430" s="111">
        <v>190</v>
      </c>
      <c r="S430" s="110"/>
      <c r="T430" s="110"/>
      <c r="U430" s="110">
        <v>0</v>
      </c>
      <c r="V430" s="111">
        <v>0</v>
      </c>
      <c r="W430" s="110"/>
      <c r="X430" s="110"/>
      <c r="Y430" s="110"/>
      <c r="Z430" s="110"/>
      <c r="AA430" s="110">
        <v>0</v>
      </c>
      <c r="AB430" s="111">
        <v>0</v>
      </c>
      <c r="AC430" s="110"/>
      <c r="AD430" s="110"/>
      <c r="AE430" s="110">
        <v>0</v>
      </c>
      <c r="AF430" s="111">
        <v>0</v>
      </c>
      <c r="AG430" s="110"/>
      <c r="AH430" s="110"/>
      <c r="AI430" s="110"/>
      <c r="AJ430" s="110"/>
      <c r="AK430" s="111">
        <f t="shared" si="94"/>
        <v>190</v>
      </c>
      <c r="AL430" s="446">
        <f t="shared" si="95"/>
        <v>0</v>
      </c>
      <c r="AM430" s="110">
        <f t="shared" si="96"/>
        <v>1</v>
      </c>
      <c r="AN430" s="447">
        <f t="shared" si="92"/>
        <v>0</v>
      </c>
      <c r="AO430"/>
      <c r="AP430"/>
    </row>
    <row r="431" spans="1:42" ht="66" x14ac:dyDescent="0.25">
      <c r="A431" s="9"/>
      <c r="B431" s="482" t="s">
        <v>2050</v>
      </c>
      <c r="C431" s="1024"/>
      <c r="D431" s="875">
        <v>1</v>
      </c>
      <c r="E431" s="1027" t="s">
        <v>1725</v>
      </c>
      <c r="F431" s="273" t="s">
        <v>3446</v>
      </c>
      <c r="G431" s="1040" t="s">
        <v>3463</v>
      </c>
      <c r="H431" s="273" t="s">
        <v>3462</v>
      </c>
      <c r="I431" s="720">
        <f t="shared" si="99"/>
        <v>190</v>
      </c>
      <c r="J431" s="756">
        <v>190</v>
      </c>
      <c r="K431" s="131">
        <f t="shared" si="91"/>
        <v>190</v>
      </c>
      <c r="L431" s="335">
        <f t="shared" si="93"/>
        <v>0</v>
      </c>
      <c r="M431" s="446"/>
      <c r="N431" s="446"/>
      <c r="O431" s="446"/>
      <c r="P431" s="446"/>
      <c r="Q431" s="110">
        <v>1</v>
      </c>
      <c r="R431" s="111">
        <v>190</v>
      </c>
      <c r="S431" s="110"/>
      <c r="T431" s="110"/>
      <c r="U431" s="110">
        <v>0</v>
      </c>
      <c r="V431" s="111">
        <v>0</v>
      </c>
      <c r="W431" s="110"/>
      <c r="X431" s="110"/>
      <c r="Y431" s="110"/>
      <c r="Z431" s="110"/>
      <c r="AA431" s="110">
        <v>0</v>
      </c>
      <c r="AB431" s="111">
        <v>0</v>
      </c>
      <c r="AC431" s="110"/>
      <c r="AD431" s="110"/>
      <c r="AE431" s="110">
        <v>0</v>
      </c>
      <c r="AF431" s="111">
        <v>0</v>
      </c>
      <c r="AG431" s="110"/>
      <c r="AH431" s="110"/>
      <c r="AI431" s="110"/>
      <c r="AJ431" s="110"/>
      <c r="AK431" s="111">
        <f t="shared" si="94"/>
        <v>190</v>
      </c>
      <c r="AL431" s="446">
        <f t="shared" si="95"/>
        <v>0</v>
      </c>
      <c r="AM431" s="110">
        <f t="shared" si="96"/>
        <v>1</v>
      </c>
      <c r="AN431" s="447">
        <f t="shared" si="92"/>
        <v>0</v>
      </c>
      <c r="AO431"/>
      <c r="AP431"/>
    </row>
    <row r="432" spans="1:42" ht="66" x14ac:dyDescent="0.25">
      <c r="A432" s="9"/>
      <c r="B432" s="482" t="s">
        <v>2051</v>
      </c>
      <c r="C432" s="1024"/>
      <c r="D432" s="875">
        <v>2</v>
      </c>
      <c r="E432" s="1027" t="s">
        <v>1721</v>
      </c>
      <c r="F432" s="273" t="s">
        <v>3446</v>
      </c>
      <c r="G432" s="1040" t="s">
        <v>3463</v>
      </c>
      <c r="H432" s="273" t="s">
        <v>3462</v>
      </c>
      <c r="I432" s="720">
        <f t="shared" si="99"/>
        <v>170</v>
      </c>
      <c r="J432" s="756">
        <v>340</v>
      </c>
      <c r="K432" s="131">
        <f t="shared" si="91"/>
        <v>340</v>
      </c>
      <c r="L432" s="335">
        <f t="shared" si="93"/>
        <v>0</v>
      </c>
      <c r="M432" s="446"/>
      <c r="N432" s="446"/>
      <c r="O432" s="446"/>
      <c r="P432" s="446"/>
      <c r="Q432" s="130">
        <v>1</v>
      </c>
      <c r="R432" s="111">
        <v>170</v>
      </c>
      <c r="S432" s="110"/>
      <c r="T432" s="110"/>
      <c r="U432" s="130">
        <v>1</v>
      </c>
      <c r="V432" s="111">
        <v>170</v>
      </c>
      <c r="W432" s="110"/>
      <c r="X432" s="110"/>
      <c r="Y432" s="110"/>
      <c r="Z432" s="110"/>
      <c r="AA432" s="130">
        <v>0</v>
      </c>
      <c r="AB432" s="111">
        <v>0</v>
      </c>
      <c r="AC432" s="110"/>
      <c r="AD432" s="110"/>
      <c r="AE432" s="130">
        <v>0</v>
      </c>
      <c r="AF432" s="111">
        <v>0</v>
      </c>
      <c r="AG432" s="110"/>
      <c r="AH432" s="110"/>
      <c r="AI432" s="110"/>
      <c r="AJ432" s="110"/>
      <c r="AK432" s="111">
        <f t="shared" si="94"/>
        <v>340</v>
      </c>
      <c r="AL432" s="446">
        <f t="shared" si="95"/>
        <v>0</v>
      </c>
      <c r="AM432" s="110">
        <f t="shared" si="96"/>
        <v>2</v>
      </c>
      <c r="AN432" s="447">
        <f t="shared" si="92"/>
        <v>0</v>
      </c>
      <c r="AO432"/>
      <c r="AP432"/>
    </row>
    <row r="433" spans="1:42" ht="66" x14ac:dyDescent="0.25">
      <c r="A433" s="9"/>
      <c r="B433" s="483" t="s">
        <v>2052</v>
      </c>
      <c r="C433" s="1024"/>
      <c r="D433" s="875">
        <v>1</v>
      </c>
      <c r="E433" s="1027" t="s">
        <v>1721</v>
      </c>
      <c r="F433" s="273" t="s">
        <v>3446</v>
      </c>
      <c r="G433" s="1040" t="s">
        <v>3463</v>
      </c>
      <c r="H433" s="273" t="s">
        <v>3462</v>
      </c>
      <c r="I433" s="720">
        <f t="shared" si="99"/>
        <v>1500</v>
      </c>
      <c r="J433" s="756">
        <v>1500</v>
      </c>
      <c r="K433" s="131">
        <f t="shared" si="91"/>
        <v>1500</v>
      </c>
      <c r="L433" s="335">
        <f t="shared" si="93"/>
        <v>0</v>
      </c>
      <c r="M433" s="446"/>
      <c r="N433" s="446"/>
      <c r="O433" s="446"/>
      <c r="P433" s="446"/>
      <c r="Q433" s="110">
        <v>1</v>
      </c>
      <c r="R433" s="111">
        <v>1500</v>
      </c>
      <c r="S433" s="110"/>
      <c r="T433" s="110"/>
      <c r="U433" s="110">
        <v>0</v>
      </c>
      <c r="V433" s="111">
        <v>0</v>
      </c>
      <c r="W433" s="110"/>
      <c r="X433" s="110"/>
      <c r="Y433" s="110"/>
      <c r="Z433" s="110"/>
      <c r="AA433" s="110">
        <v>0</v>
      </c>
      <c r="AB433" s="111">
        <v>0</v>
      </c>
      <c r="AC433" s="110"/>
      <c r="AD433" s="110"/>
      <c r="AE433" s="110">
        <v>0</v>
      </c>
      <c r="AF433" s="111">
        <v>0</v>
      </c>
      <c r="AG433" s="110"/>
      <c r="AH433" s="110"/>
      <c r="AI433" s="110"/>
      <c r="AJ433" s="110"/>
      <c r="AK433" s="111">
        <f t="shared" si="94"/>
        <v>1500</v>
      </c>
      <c r="AL433" s="446">
        <f t="shared" si="95"/>
        <v>0</v>
      </c>
      <c r="AM433" s="110">
        <f t="shared" si="96"/>
        <v>1</v>
      </c>
      <c r="AN433" s="447">
        <f t="shared" si="92"/>
        <v>0</v>
      </c>
      <c r="AO433"/>
      <c r="AP433"/>
    </row>
    <row r="434" spans="1:42" ht="66" x14ac:dyDescent="0.25">
      <c r="A434" s="40"/>
      <c r="B434" s="149" t="s">
        <v>2134</v>
      </c>
      <c r="C434" s="1028"/>
      <c r="D434" s="875">
        <v>5</v>
      </c>
      <c r="E434" s="1027" t="s">
        <v>1767</v>
      </c>
      <c r="F434" s="273" t="s">
        <v>3446</v>
      </c>
      <c r="G434" s="1040" t="s">
        <v>3463</v>
      </c>
      <c r="H434" s="273" t="s">
        <v>3462</v>
      </c>
      <c r="I434" s="720">
        <f t="shared" si="99"/>
        <v>9.1476000000000006</v>
      </c>
      <c r="J434" s="756">
        <v>45.738</v>
      </c>
      <c r="K434" s="131">
        <f t="shared" si="91"/>
        <v>45.738</v>
      </c>
      <c r="L434" s="335">
        <f t="shared" si="93"/>
        <v>0</v>
      </c>
      <c r="M434" s="446"/>
      <c r="N434" s="446"/>
      <c r="O434" s="446"/>
      <c r="P434" s="446"/>
      <c r="Q434" s="110">
        <v>2</v>
      </c>
      <c r="R434" s="111">
        <f t="shared" si="87"/>
        <v>11.4345</v>
      </c>
      <c r="S434" s="110"/>
      <c r="T434" s="110"/>
      <c r="U434" s="110">
        <v>1</v>
      </c>
      <c r="V434" s="111">
        <f t="shared" si="89"/>
        <v>11.4345</v>
      </c>
      <c r="W434" s="110"/>
      <c r="X434" s="110"/>
      <c r="Y434" s="110"/>
      <c r="Z434" s="110"/>
      <c r="AA434" s="110">
        <v>1</v>
      </c>
      <c r="AB434" s="111">
        <f t="shared" si="97"/>
        <v>11.4345</v>
      </c>
      <c r="AC434" s="110"/>
      <c r="AD434" s="110"/>
      <c r="AE434" s="110">
        <v>1</v>
      </c>
      <c r="AF434" s="111">
        <f t="shared" si="98"/>
        <v>11.4345</v>
      </c>
      <c r="AG434" s="110"/>
      <c r="AH434" s="110"/>
      <c r="AI434" s="110"/>
      <c r="AJ434" s="110"/>
      <c r="AK434" s="111">
        <f t="shared" si="94"/>
        <v>45.738</v>
      </c>
      <c r="AL434" s="446">
        <f t="shared" si="95"/>
        <v>0</v>
      </c>
      <c r="AM434" s="110">
        <f t="shared" si="96"/>
        <v>5</v>
      </c>
      <c r="AN434" s="447">
        <f t="shared" si="92"/>
        <v>0</v>
      </c>
      <c r="AO434"/>
      <c r="AP434"/>
    </row>
    <row r="435" spans="1:42" ht="66" x14ac:dyDescent="0.25">
      <c r="A435" s="40"/>
      <c r="B435" s="149" t="s">
        <v>2135</v>
      </c>
      <c r="C435" s="1028"/>
      <c r="D435" s="875">
        <v>3</v>
      </c>
      <c r="E435" s="1027" t="s">
        <v>1766</v>
      </c>
      <c r="F435" s="273" t="s">
        <v>3446</v>
      </c>
      <c r="G435" s="1040" t="s">
        <v>3463</v>
      </c>
      <c r="H435" s="273" t="s">
        <v>3462</v>
      </c>
      <c r="I435" s="720">
        <f t="shared" si="99"/>
        <v>62.62</v>
      </c>
      <c r="J435" s="756">
        <v>187.85999999999999</v>
      </c>
      <c r="K435" s="131">
        <f t="shared" si="91"/>
        <v>187.85999999999999</v>
      </c>
      <c r="L435" s="335">
        <f t="shared" si="93"/>
        <v>0</v>
      </c>
      <c r="M435" s="446"/>
      <c r="N435" s="446"/>
      <c r="O435" s="446"/>
      <c r="P435" s="446"/>
      <c r="Q435" s="130">
        <v>1</v>
      </c>
      <c r="R435" s="111">
        <v>62.62</v>
      </c>
      <c r="S435" s="110"/>
      <c r="T435" s="110"/>
      <c r="U435" s="130">
        <v>1</v>
      </c>
      <c r="V435" s="111">
        <v>62.62</v>
      </c>
      <c r="W435" s="110"/>
      <c r="X435" s="110"/>
      <c r="Y435" s="110"/>
      <c r="Z435" s="110"/>
      <c r="AA435" s="130">
        <v>1</v>
      </c>
      <c r="AB435" s="111">
        <v>62.62</v>
      </c>
      <c r="AC435" s="110"/>
      <c r="AD435" s="110"/>
      <c r="AE435" s="130">
        <v>0</v>
      </c>
      <c r="AF435" s="111">
        <v>0</v>
      </c>
      <c r="AG435" s="110"/>
      <c r="AH435" s="110"/>
      <c r="AI435" s="110"/>
      <c r="AJ435" s="110"/>
      <c r="AK435" s="111">
        <f t="shared" si="94"/>
        <v>187.85999999999999</v>
      </c>
      <c r="AL435" s="446">
        <f t="shared" si="95"/>
        <v>0</v>
      </c>
      <c r="AM435" s="110">
        <f t="shared" si="96"/>
        <v>3</v>
      </c>
      <c r="AN435" s="447">
        <f t="shared" si="92"/>
        <v>0</v>
      </c>
      <c r="AO435"/>
      <c r="AP435"/>
    </row>
    <row r="436" spans="1:42" ht="66" x14ac:dyDescent="0.25">
      <c r="A436" s="40"/>
      <c r="B436" s="149" t="s">
        <v>2136</v>
      </c>
      <c r="C436" s="1028"/>
      <c r="D436" s="875">
        <v>10</v>
      </c>
      <c r="E436" s="1027" t="s">
        <v>1766</v>
      </c>
      <c r="F436" s="273" t="s">
        <v>3446</v>
      </c>
      <c r="G436" s="1040" t="s">
        <v>3463</v>
      </c>
      <c r="H436" s="273" t="s">
        <v>3462</v>
      </c>
      <c r="I436" s="720">
        <f t="shared" si="99"/>
        <v>26.46</v>
      </c>
      <c r="J436" s="756">
        <v>264.60000000000002</v>
      </c>
      <c r="K436" s="131">
        <f t="shared" si="91"/>
        <v>264.60000000000002</v>
      </c>
      <c r="L436" s="335">
        <f t="shared" si="93"/>
        <v>0</v>
      </c>
      <c r="M436" s="446"/>
      <c r="N436" s="446"/>
      <c r="O436" s="446"/>
      <c r="P436" s="446"/>
      <c r="Q436" s="130">
        <v>3</v>
      </c>
      <c r="R436" s="111">
        <f t="shared" si="87"/>
        <v>66.150000000000006</v>
      </c>
      <c r="S436" s="110"/>
      <c r="T436" s="110"/>
      <c r="U436" s="130">
        <v>3</v>
      </c>
      <c r="V436" s="111">
        <f t="shared" si="89"/>
        <v>66.150000000000006</v>
      </c>
      <c r="W436" s="110"/>
      <c r="X436" s="110"/>
      <c r="Y436" s="110"/>
      <c r="Z436" s="110"/>
      <c r="AA436" s="130">
        <v>2</v>
      </c>
      <c r="AB436" s="111">
        <f t="shared" si="97"/>
        <v>66.150000000000006</v>
      </c>
      <c r="AC436" s="110"/>
      <c r="AD436" s="110"/>
      <c r="AE436" s="130">
        <v>2</v>
      </c>
      <c r="AF436" s="111">
        <f t="shared" si="98"/>
        <v>66.150000000000006</v>
      </c>
      <c r="AG436" s="110"/>
      <c r="AH436" s="110"/>
      <c r="AI436" s="110"/>
      <c r="AJ436" s="110"/>
      <c r="AK436" s="111">
        <f t="shared" si="94"/>
        <v>264.60000000000002</v>
      </c>
      <c r="AL436" s="446">
        <f t="shared" si="95"/>
        <v>0</v>
      </c>
      <c r="AM436" s="110">
        <f t="shared" si="96"/>
        <v>10</v>
      </c>
      <c r="AN436" s="447">
        <f t="shared" si="92"/>
        <v>0</v>
      </c>
      <c r="AO436"/>
      <c r="AP436"/>
    </row>
    <row r="437" spans="1:42" ht="66" x14ac:dyDescent="0.25">
      <c r="A437" s="40"/>
      <c r="B437" s="149" t="s">
        <v>2137</v>
      </c>
      <c r="C437" s="1028"/>
      <c r="D437" s="875">
        <v>10</v>
      </c>
      <c r="E437" s="1027" t="s">
        <v>1766</v>
      </c>
      <c r="F437" s="273" t="s">
        <v>3446</v>
      </c>
      <c r="G437" s="1040" t="s">
        <v>3463</v>
      </c>
      <c r="H437" s="273" t="s">
        <v>3462</v>
      </c>
      <c r="I437" s="720">
        <f t="shared" si="99"/>
        <v>26.46</v>
      </c>
      <c r="J437" s="756">
        <v>264.60000000000002</v>
      </c>
      <c r="K437" s="131">
        <f t="shared" si="91"/>
        <v>264.60000000000002</v>
      </c>
      <c r="L437" s="335">
        <f t="shared" si="93"/>
        <v>0</v>
      </c>
      <c r="M437" s="446"/>
      <c r="N437" s="446"/>
      <c r="O437" s="446"/>
      <c r="P437" s="446"/>
      <c r="Q437" s="130">
        <v>3</v>
      </c>
      <c r="R437" s="111">
        <f t="shared" si="87"/>
        <v>66.150000000000006</v>
      </c>
      <c r="S437" s="110"/>
      <c r="T437" s="110"/>
      <c r="U437" s="130">
        <v>3</v>
      </c>
      <c r="V437" s="111">
        <f t="shared" si="89"/>
        <v>66.150000000000006</v>
      </c>
      <c r="W437" s="110"/>
      <c r="X437" s="110"/>
      <c r="Y437" s="110"/>
      <c r="Z437" s="110"/>
      <c r="AA437" s="130">
        <v>2</v>
      </c>
      <c r="AB437" s="111">
        <f t="shared" si="97"/>
        <v>66.150000000000006</v>
      </c>
      <c r="AC437" s="110"/>
      <c r="AD437" s="110"/>
      <c r="AE437" s="130">
        <v>2</v>
      </c>
      <c r="AF437" s="111">
        <f t="shared" si="98"/>
        <v>66.150000000000006</v>
      </c>
      <c r="AG437" s="110"/>
      <c r="AH437" s="110"/>
      <c r="AI437" s="110"/>
      <c r="AJ437" s="110"/>
      <c r="AK437" s="111">
        <f t="shared" si="94"/>
        <v>264.60000000000002</v>
      </c>
      <c r="AL437" s="446">
        <f t="shared" si="95"/>
        <v>0</v>
      </c>
      <c r="AM437" s="110">
        <f t="shared" si="96"/>
        <v>10</v>
      </c>
      <c r="AN437" s="447">
        <f t="shared" si="92"/>
        <v>0</v>
      </c>
      <c r="AO437"/>
      <c r="AP437"/>
    </row>
    <row r="438" spans="1:42" ht="66" x14ac:dyDescent="0.25">
      <c r="A438" s="40"/>
      <c r="B438" s="149" t="s">
        <v>2138</v>
      </c>
      <c r="C438" s="1028"/>
      <c r="D438" s="875">
        <v>3</v>
      </c>
      <c r="E438" s="1027" t="s">
        <v>1766</v>
      </c>
      <c r="F438" s="273" t="s">
        <v>3446</v>
      </c>
      <c r="G438" s="1040" t="s">
        <v>3463</v>
      </c>
      <c r="H438" s="273" t="s">
        <v>3462</v>
      </c>
      <c r="I438" s="720">
        <f t="shared" si="99"/>
        <v>22.72</v>
      </c>
      <c r="J438" s="756">
        <v>68.16</v>
      </c>
      <c r="K438" s="131">
        <f t="shared" si="91"/>
        <v>68.16</v>
      </c>
      <c r="L438" s="335">
        <f t="shared" si="93"/>
        <v>0</v>
      </c>
      <c r="M438" s="446"/>
      <c r="N438" s="446"/>
      <c r="O438" s="446"/>
      <c r="P438" s="446"/>
      <c r="Q438" s="130">
        <v>1</v>
      </c>
      <c r="R438" s="111">
        <v>22.72</v>
      </c>
      <c r="S438" s="110"/>
      <c r="T438" s="110"/>
      <c r="U438" s="130">
        <v>1</v>
      </c>
      <c r="V438" s="111">
        <v>22.72</v>
      </c>
      <c r="W438" s="110"/>
      <c r="X438" s="110"/>
      <c r="Y438" s="110"/>
      <c r="Z438" s="110"/>
      <c r="AA438" s="130">
        <v>1</v>
      </c>
      <c r="AB438" s="111">
        <v>22.72</v>
      </c>
      <c r="AC438" s="110"/>
      <c r="AD438" s="110"/>
      <c r="AE438" s="130">
        <v>0</v>
      </c>
      <c r="AF438" s="111">
        <v>0</v>
      </c>
      <c r="AG438" s="110"/>
      <c r="AH438" s="110"/>
      <c r="AI438" s="110"/>
      <c r="AJ438" s="110"/>
      <c r="AK438" s="111">
        <f t="shared" si="94"/>
        <v>68.16</v>
      </c>
      <c r="AL438" s="446">
        <f t="shared" si="95"/>
        <v>0</v>
      </c>
      <c r="AM438" s="110">
        <f t="shared" si="96"/>
        <v>3</v>
      </c>
      <c r="AN438" s="447">
        <f t="shared" si="92"/>
        <v>0</v>
      </c>
      <c r="AO438"/>
      <c r="AP438"/>
    </row>
    <row r="439" spans="1:42" ht="66" x14ac:dyDescent="0.25">
      <c r="A439" s="40"/>
      <c r="B439" s="149" t="s">
        <v>2139</v>
      </c>
      <c r="C439" s="1028"/>
      <c r="D439" s="875">
        <v>2</v>
      </c>
      <c r="E439" s="1027" t="s">
        <v>1767</v>
      </c>
      <c r="F439" s="273" t="s">
        <v>3446</v>
      </c>
      <c r="G439" s="1040" t="s">
        <v>3463</v>
      </c>
      <c r="H439" s="273" t="s">
        <v>3462</v>
      </c>
      <c r="I439" s="720">
        <f t="shared" si="99"/>
        <v>12.18</v>
      </c>
      <c r="J439" s="756">
        <v>24.36</v>
      </c>
      <c r="K439" s="131">
        <f t="shared" si="91"/>
        <v>24.36</v>
      </c>
      <c r="L439" s="335">
        <f t="shared" si="93"/>
        <v>0</v>
      </c>
      <c r="M439" s="446"/>
      <c r="N439" s="446"/>
      <c r="O439" s="446"/>
      <c r="P439" s="446"/>
      <c r="Q439" s="130">
        <v>1</v>
      </c>
      <c r="R439" s="111">
        <v>12.18</v>
      </c>
      <c r="S439" s="110"/>
      <c r="T439" s="110"/>
      <c r="U439" s="130">
        <v>1</v>
      </c>
      <c r="V439" s="111">
        <v>12.18</v>
      </c>
      <c r="W439" s="110"/>
      <c r="X439" s="110"/>
      <c r="Y439" s="110"/>
      <c r="Z439" s="110"/>
      <c r="AA439" s="130">
        <v>0</v>
      </c>
      <c r="AB439" s="111">
        <v>0</v>
      </c>
      <c r="AC439" s="110"/>
      <c r="AD439" s="110"/>
      <c r="AE439" s="130">
        <v>0</v>
      </c>
      <c r="AF439" s="111">
        <v>0</v>
      </c>
      <c r="AG439" s="110"/>
      <c r="AH439" s="110"/>
      <c r="AI439" s="110"/>
      <c r="AJ439" s="110"/>
      <c r="AK439" s="111">
        <f t="shared" si="94"/>
        <v>24.36</v>
      </c>
      <c r="AL439" s="446">
        <f t="shared" si="95"/>
        <v>0</v>
      </c>
      <c r="AM439" s="110">
        <f t="shared" si="96"/>
        <v>2</v>
      </c>
      <c r="AN439" s="447">
        <f t="shared" si="92"/>
        <v>0</v>
      </c>
      <c r="AO439"/>
      <c r="AP439"/>
    </row>
    <row r="440" spans="1:42" ht="66" x14ac:dyDescent="0.25">
      <c r="A440" s="40"/>
      <c r="B440" s="149" t="s">
        <v>1714</v>
      </c>
      <c r="C440" s="1028"/>
      <c r="D440" s="875">
        <v>10</v>
      </c>
      <c r="E440" s="1027" t="s">
        <v>1766</v>
      </c>
      <c r="F440" s="273" t="s">
        <v>3446</v>
      </c>
      <c r="G440" s="1040" t="s">
        <v>3463</v>
      </c>
      <c r="H440" s="273" t="s">
        <v>3462</v>
      </c>
      <c r="I440" s="720">
        <f t="shared" si="99"/>
        <v>12.18</v>
      </c>
      <c r="J440" s="756">
        <v>121.8</v>
      </c>
      <c r="K440" s="131">
        <f t="shared" si="91"/>
        <v>121.8</v>
      </c>
      <c r="L440" s="335">
        <f t="shared" si="93"/>
        <v>0</v>
      </c>
      <c r="M440" s="446"/>
      <c r="N440" s="446"/>
      <c r="O440" s="446"/>
      <c r="P440" s="446"/>
      <c r="Q440" s="130">
        <v>3</v>
      </c>
      <c r="R440" s="111">
        <f t="shared" si="87"/>
        <v>30.45</v>
      </c>
      <c r="S440" s="110"/>
      <c r="T440" s="110"/>
      <c r="U440" s="130">
        <v>3</v>
      </c>
      <c r="V440" s="111">
        <f t="shared" si="89"/>
        <v>30.45</v>
      </c>
      <c r="W440" s="110"/>
      <c r="X440" s="110"/>
      <c r="Y440" s="110"/>
      <c r="Z440" s="110"/>
      <c r="AA440" s="130">
        <v>2</v>
      </c>
      <c r="AB440" s="111">
        <f t="shared" si="97"/>
        <v>30.45</v>
      </c>
      <c r="AC440" s="110"/>
      <c r="AD440" s="110"/>
      <c r="AE440" s="130">
        <v>2</v>
      </c>
      <c r="AF440" s="111">
        <f t="shared" si="98"/>
        <v>30.45</v>
      </c>
      <c r="AG440" s="110"/>
      <c r="AH440" s="110"/>
      <c r="AI440" s="110"/>
      <c r="AJ440" s="110"/>
      <c r="AK440" s="111">
        <f t="shared" si="94"/>
        <v>121.8</v>
      </c>
      <c r="AL440" s="446">
        <f t="shared" si="95"/>
        <v>0</v>
      </c>
      <c r="AM440" s="110">
        <f t="shared" si="96"/>
        <v>10</v>
      </c>
      <c r="AN440" s="447">
        <f t="shared" si="92"/>
        <v>0</v>
      </c>
      <c r="AO440"/>
      <c r="AP440"/>
    </row>
    <row r="441" spans="1:42" ht="66" x14ac:dyDescent="0.25">
      <c r="A441" s="40"/>
      <c r="B441" s="149" t="s">
        <v>2140</v>
      </c>
      <c r="C441" s="1028"/>
      <c r="D441" s="875">
        <v>6</v>
      </c>
      <c r="E441" s="1027" t="s">
        <v>1767</v>
      </c>
      <c r="F441" s="273" t="s">
        <v>3446</v>
      </c>
      <c r="G441" s="1040" t="s">
        <v>3463</v>
      </c>
      <c r="H441" s="273" t="s">
        <v>3462</v>
      </c>
      <c r="I441" s="720">
        <f t="shared" si="99"/>
        <v>83.16</v>
      </c>
      <c r="J441" s="756">
        <v>498.96</v>
      </c>
      <c r="K441" s="131">
        <f t="shared" si="91"/>
        <v>498.96</v>
      </c>
      <c r="L441" s="335">
        <f t="shared" si="93"/>
        <v>0</v>
      </c>
      <c r="M441" s="446"/>
      <c r="N441" s="446"/>
      <c r="O441" s="446"/>
      <c r="P441" s="446"/>
      <c r="Q441" s="130">
        <v>2</v>
      </c>
      <c r="R441" s="111">
        <f t="shared" si="87"/>
        <v>124.74</v>
      </c>
      <c r="S441" s="110"/>
      <c r="T441" s="110"/>
      <c r="U441" s="130">
        <v>2</v>
      </c>
      <c r="V441" s="111">
        <f t="shared" si="89"/>
        <v>124.74</v>
      </c>
      <c r="W441" s="110"/>
      <c r="X441" s="110"/>
      <c r="Y441" s="110"/>
      <c r="Z441" s="110"/>
      <c r="AA441" s="130">
        <v>1</v>
      </c>
      <c r="AB441" s="111">
        <f t="shared" si="97"/>
        <v>124.74</v>
      </c>
      <c r="AC441" s="110"/>
      <c r="AD441" s="110"/>
      <c r="AE441" s="130">
        <v>1</v>
      </c>
      <c r="AF441" s="111">
        <f t="shared" si="98"/>
        <v>124.74</v>
      </c>
      <c r="AG441" s="110"/>
      <c r="AH441" s="110"/>
      <c r="AI441" s="110"/>
      <c r="AJ441" s="110"/>
      <c r="AK441" s="111">
        <f t="shared" si="94"/>
        <v>498.96</v>
      </c>
      <c r="AL441" s="446">
        <f t="shared" si="95"/>
        <v>0</v>
      </c>
      <c r="AM441" s="110">
        <f t="shared" si="96"/>
        <v>6</v>
      </c>
      <c r="AN441" s="447">
        <f t="shared" si="92"/>
        <v>0</v>
      </c>
      <c r="AO441"/>
      <c r="AP441"/>
    </row>
    <row r="442" spans="1:42" ht="66" x14ac:dyDescent="0.25">
      <c r="A442" s="40"/>
      <c r="B442" s="149" t="s">
        <v>2141</v>
      </c>
      <c r="C442" s="1028"/>
      <c r="D442" s="875">
        <v>10</v>
      </c>
      <c r="E442" s="1027" t="s">
        <v>1766</v>
      </c>
      <c r="F442" s="273" t="s">
        <v>3446</v>
      </c>
      <c r="G442" s="1040" t="s">
        <v>3463</v>
      </c>
      <c r="H442" s="273" t="s">
        <v>3462</v>
      </c>
      <c r="I442" s="720">
        <f t="shared" si="99"/>
        <v>19.440000000000001</v>
      </c>
      <c r="J442" s="756">
        <v>194.4</v>
      </c>
      <c r="K442" s="131">
        <f t="shared" si="91"/>
        <v>194.4</v>
      </c>
      <c r="L442" s="335">
        <f t="shared" si="93"/>
        <v>0</v>
      </c>
      <c r="M442" s="446"/>
      <c r="N442" s="446"/>
      <c r="O442" s="446"/>
      <c r="P442" s="446"/>
      <c r="Q442" s="130">
        <v>3</v>
      </c>
      <c r="R442" s="111">
        <f t="shared" si="87"/>
        <v>48.6</v>
      </c>
      <c r="S442" s="110"/>
      <c r="T442" s="110"/>
      <c r="U442" s="130">
        <v>3</v>
      </c>
      <c r="V442" s="111">
        <f t="shared" si="89"/>
        <v>48.6</v>
      </c>
      <c r="W442" s="110"/>
      <c r="X442" s="110"/>
      <c r="Y442" s="110"/>
      <c r="Z442" s="110"/>
      <c r="AA442" s="130">
        <v>2</v>
      </c>
      <c r="AB442" s="111">
        <f t="shared" si="97"/>
        <v>48.6</v>
      </c>
      <c r="AC442" s="110"/>
      <c r="AD442" s="110"/>
      <c r="AE442" s="130">
        <v>2</v>
      </c>
      <c r="AF442" s="111">
        <f t="shared" si="98"/>
        <v>48.6</v>
      </c>
      <c r="AG442" s="110"/>
      <c r="AH442" s="110"/>
      <c r="AI442" s="110"/>
      <c r="AJ442" s="110"/>
      <c r="AK442" s="111">
        <f t="shared" si="94"/>
        <v>194.4</v>
      </c>
      <c r="AL442" s="446">
        <f t="shared" si="95"/>
        <v>0</v>
      </c>
      <c r="AM442" s="110">
        <f t="shared" si="96"/>
        <v>10</v>
      </c>
      <c r="AN442" s="447">
        <f t="shared" si="92"/>
        <v>0</v>
      </c>
      <c r="AO442"/>
      <c r="AP442"/>
    </row>
    <row r="443" spans="1:42" ht="66" x14ac:dyDescent="0.25">
      <c r="A443" s="40"/>
      <c r="B443" s="149" t="s">
        <v>40</v>
      </c>
      <c r="C443" s="1028"/>
      <c r="D443" s="875">
        <v>10</v>
      </c>
      <c r="E443" s="1027" t="s">
        <v>1767</v>
      </c>
      <c r="F443" s="273" t="s">
        <v>3446</v>
      </c>
      <c r="G443" s="1040" t="s">
        <v>3463</v>
      </c>
      <c r="H443" s="273" t="s">
        <v>3462</v>
      </c>
      <c r="I443" s="720">
        <f t="shared" si="99"/>
        <v>16.632000000000001</v>
      </c>
      <c r="J443" s="756">
        <v>166.32000000000002</v>
      </c>
      <c r="K443" s="131">
        <f t="shared" si="91"/>
        <v>166.32000000000002</v>
      </c>
      <c r="L443" s="335">
        <f t="shared" si="93"/>
        <v>0</v>
      </c>
      <c r="M443" s="446"/>
      <c r="N443" s="446"/>
      <c r="O443" s="446"/>
      <c r="P443" s="446"/>
      <c r="Q443" s="130">
        <v>3</v>
      </c>
      <c r="R443" s="111">
        <f t="shared" si="87"/>
        <v>41.580000000000005</v>
      </c>
      <c r="S443" s="110"/>
      <c r="T443" s="110"/>
      <c r="U443" s="130">
        <v>3</v>
      </c>
      <c r="V443" s="111">
        <f t="shared" si="89"/>
        <v>41.580000000000005</v>
      </c>
      <c r="W443" s="110"/>
      <c r="X443" s="110"/>
      <c r="Y443" s="110"/>
      <c r="Z443" s="110"/>
      <c r="AA443" s="130">
        <v>2</v>
      </c>
      <c r="AB443" s="111">
        <f t="shared" si="97"/>
        <v>41.580000000000005</v>
      </c>
      <c r="AC443" s="110"/>
      <c r="AD443" s="110"/>
      <c r="AE443" s="130">
        <v>2</v>
      </c>
      <c r="AF443" s="111">
        <f t="shared" si="98"/>
        <v>41.580000000000005</v>
      </c>
      <c r="AG443" s="110"/>
      <c r="AH443" s="110"/>
      <c r="AI443" s="110"/>
      <c r="AJ443" s="110"/>
      <c r="AK443" s="111">
        <f t="shared" si="94"/>
        <v>166.32000000000002</v>
      </c>
      <c r="AL443" s="446">
        <f t="shared" si="95"/>
        <v>0</v>
      </c>
      <c r="AM443" s="110">
        <f t="shared" si="96"/>
        <v>10</v>
      </c>
      <c r="AN443" s="447">
        <f t="shared" si="92"/>
        <v>0</v>
      </c>
      <c r="AO443"/>
      <c r="AP443"/>
    </row>
    <row r="444" spans="1:42" ht="66" x14ac:dyDescent="0.25">
      <c r="A444" s="40"/>
      <c r="B444" s="149" t="s">
        <v>2142</v>
      </c>
      <c r="C444" s="1028"/>
      <c r="D444" s="875">
        <v>3</v>
      </c>
      <c r="E444" s="1027" t="s">
        <v>1767</v>
      </c>
      <c r="F444" s="273" t="s">
        <v>3446</v>
      </c>
      <c r="G444" s="1040" t="s">
        <v>3463</v>
      </c>
      <c r="H444" s="273" t="s">
        <v>3462</v>
      </c>
      <c r="I444" s="720">
        <f t="shared" si="99"/>
        <v>50.48</v>
      </c>
      <c r="J444" s="756">
        <v>151.44</v>
      </c>
      <c r="K444" s="131">
        <f t="shared" si="91"/>
        <v>151.44</v>
      </c>
      <c r="L444" s="335">
        <f t="shared" si="93"/>
        <v>0</v>
      </c>
      <c r="M444" s="446"/>
      <c r="N444" s="446"/>
      <c r="O444" s="446"/>
      <c r="P444" s="446"/>
      <c r="Q444" s="130">
        <v>1</v>
      </c>
      <c r="R444" s="111">
        <v>50.48</v>
      </c>
      <c r="S444" s="110"/>
      <c r="T444" s="110"/>
      <c r="U444" s="130">
        <v>1</v>
      </c>
      <c r="V444" s="111">
        <v>50.48</v>
      </c>
      <c r="W444" s="110"/>
      <c r="X444" s="110"/>
      <c r="Y444" s="110"/>
      <c r="Z444" s="110"/>
      <c r="AA444" s="130">
        <v>1</v>
      </c>
      <c r="AB444" s="111">
        <v>50.48</v>
      </c>
      <c r="AC444" s="110"/>
      <c r="AD444" s="110"/>
      <c r="AE444" s="130">
        <v>0</v>
      </c>
      <c r="AF444" s="111">
        <v>0</v>
      </c>
      <c r="AG444" s="110"/>
      <c r="AH444" s="110"/>
      <c r="AI444" s="110"/>
      <c r="AJ444" s="110"/>
      <c r="AK444" s="111">
        <f t="shared" si="94"/>
        <v>151.44</v>
      </c>
      <c r="AL444" s="446">
        <f t="shared" si="95"/>
        <v>0</v>
      </c>
      <c r="AM444" s="110">
        <f t="shared" si="96"/>
        <v>3</v>
      </c>
      <c r="AN444" s="447">
        <f t="shared" si="92"/>
        <v>0</v>
      </c>
      <c r="AO444"/>
      <c r="AP444"/>
    </row>
    <row r="445" spans="1:42" ht="66" x14ac:dyDescent="0.25">
      <c r="A445" s="40"/>
      <c r="B445" s="149" t="s">
        <v>70</v>
      </c>
      <c r="C445" s="1028"/>
      <c r="D445" s="875">
        <v>5</v>
      </c>
      <c r="E445" s="1027" t="s">
        <v>1767</v>
      </c>
      <c r="F445" s="273" t="s">
        <v>3446</v>
      </c>
      <c r="G445" s="1040" t="s">
        <v>3463</v>
      </c>
      <c r="H445" s="273" t="s">
        <v>3462</v>
      </c>
      <c r="I445" s="720">
        <f t="shared" si="99"/>
        <v>9.56</v>
      </c>
      <c r="J445" s="756">
        <v>47.800000000000004</v>
      </c>
      <c r="K445" s="131">
        <f t="shared" si="91"/>
        <v>47.800000000000004</v>
      </c>
      <c r="L445" s="335">
        <f t="shared" si="93"/>
        <v>0</v>
      </c>
      <c r="M445" s="446"/>
      <c r="N445" s="446"/>
      <c r="O445" s="446"/>
      <c r="P445" s="446"/>
      <c r="Q445" s="110">
        <v>2</v>
      </c>
      <c r="R445" s="111">
        <f t="shared" si="87"/>
        <v>11.950000000000001</v>
      </c>
      <c r="S445" s="110"/>
      <c r="T445" s="110"/>
      <c r="U445" s="110">
        <v>1</v>
      </c>
      <c r="V445" s="111">
        <f t="shared" si="89"/>
        <v>11.950000000000001</v>
      </c>
      <c r="W445" s="110"/>
      <c r="X445" s="110"/>
      <c r="Y445" s="110"/>
      <c r="Z445" s="110"/>
      <c r="AA445" s="110">
        <v>1</v>
      </c>
      <c r="AB445" s="111">
        <f t="shared" si="97"/>
        <v>11.950000000000001</v>
      </c>
      <c r="AC445" s="110"/>
      <c r="AD445" s="110"/>
      <c r="AE445" s="110">
        <v>1</v>
      </c>
      <c r="AF445" s="111">
        <f t="shared" si="98"/>
        <v>11.950000000000001</v>
      </c>
      <c r="AG445" s="110"/>
      <c r="AH445" s="110"/>
      <c r="AI445" s="110"/>
      <c r="AJ445" s="110"/>
      <c r="AK445" s="111">
        <f t="shared" si="94"/>
        <v>47.800000000000004</v>
      </c>
      <c r="AL445" s="446">
        <f t="shared" si="95"/>
        <v>0</v>
      </c>
      <c r="AM445" s="110">
        <f t="shared" si="96"/>
        <v>5</v>
      </c>
      <c r="AN445" s="447">
        <f t="shared" si="92"/>
        <v>0</v>
      </c>
      <c r="AO445"/>
      <c r="AP445"/>
    </row>
    <row r="446" spans="1:42" ht="66" x14ac:dyDescent="0.25">
      <c r="A446" s="40"/>
      <c r="B446" s="149" t="s">
        <v>2143</v>
      </c>
      <c r="C446" s="1028"/>
      <c r="D446" s="875">
        <v>5</v>
      </c>
      <c r="E446" s="1027" t="s">
        <v>1767</v>
      </c>
      <c r="F446" s="273" t="s">
        <v>3446</v>
      </c>
      <c r="G446" s="1040" t="s">
        <v>3463</v>
      </c>
      <c r="H446" s="273" t="s">
        <v>3462</v>
      </c>
      <c r="I446" s="720">
        <f t="shared" si="99"/>
        <v>23.55</v>
      </c>
      <c r="J446" s="756">
        <v>117.75</v>
      </c>
      <c r="K446" s="131">
        <f t="shared" si="91"/>
        <v>117.75</v>
      </c>
      <c r="L446" s="335">
        <f t="shared" si="93"/>
        <v>0</v>
      </c>
      <c r="M446" s="446"/>
      <c r="N446" s="446"/>
      <c r="O446" s="446"/>
      <c r="P446" s="446"/>
      <c r="Q446" s="110">
        <v>2</v>
      </c>
      <c r="R446" s="111">
        <f t="shared" si="87"/>
        <v>29.4375</v>
      </c>
      <c r="S446" s="110"/>
      <c r="T446" s="110"/>
      <c r="U446" s="110">
        <v>1</v>
      </c>
      <c r="V446" s="111">
        <f t="shared" si="89"/>
        <v>29.4375</v>
      </c>
      <c r="W446" s="110"/>
      <c r="X446" s="110"/>
      <c r="Y446" s="110"/>
      <c r="Z446" s="110"/>
      <c r="AA446" s="110">
        <v>1</v>
      </c>
      <c r="AB446" s="111">
        <f t="shared" si="97"/>
        <v>29.4375</v>
      </c>
      <c r="AC446" s="110"/>
      <c r="AD446" s="110"/>
      <c r="AE446" s="110">
        <v>1</v>
      </c>
      <c r="AF446" s="111">
        <f t="shared" si="98"/>
        <v>29.4375</v>
      </c>
      <c r="AG446" s="110"/>
      <c r="AH446" s="110"/>
      <c r="AI446" s="110"/>
      <c r="AJ446" s="110"/>
      <c r="AK446" s="111">
        <f t="shared" si="94"/>
        <v>117.75</v>
      </c>
      <c r="AL446" s="446">
        <f t="shared" si="95"/>
        <v>0</v>
      </c>
      <c r="AM446" s="110">
        <f t="shared" si="96"/>
        <v>5</v>
      </c>
      <c r="AN446" s="447">
        <f t="shared" si="92"/>
        <v>0</v>
      </c>
      <c r="AO446"/>
      <c r="AP446"/>
    </row>
    <row r="447" spans="1:42" ht="66" x14ac:dyDescent="0.25">
      <c r="A447" s="40"/>
      <c r="B447" s="149" t="s">
        <v>31</v>
      </c>
      <c r="C447" s="1028"/>
      <c r="D447" s="875">
        <v>7</v>
      </c>
      <c r="E447" s="1027" t="s">
        <v>1767</v>
      </c>
      <c r="F447" s="273" t="s">
        <v>3446</v>
      </c>
      <c r="G447" s="1040" t="s">
        <v>3463</v>
      </c>
      <c r="H447" s="273" t="s">
        <v>3462</v>
      </c>
      <c r="I447" s="720">
        <f t="shared" si="99"/>
        <v>24.4</v>
      </c>
      <c r="J447" s="756">
        <v>170.79999999999998</v>
      </c>
      <c r="K447" s="131">
        <f t="shared" si="91"/>
        <v>170.79999999999998</v>
      </c>
      <c r="L447" s="335">
        <f t="shared" si="93"/>
        <v>0</v>
      </c>
      <c r="M447" s="446"/>
      <c r="N447" s="446"/>
      <c r="O447" s="446"/>
      <c r="P447" s="446"/>
      <c r="Q447" s="130">
        <v>2</v>
      </c>
      <c r="R447" s="111">
        <f t="shared" si="87"/>
        <v>42.699999999999996</v>
      </c>
      <c r="S447" s="110"/>
      <c r="T447" s="110"/>
      <c r="U447" s="130">
        <v>2</v>
      </c>
      <c r="V447" s="111">
        <f t="shared" si="89"/>
        <v>42.699999999999996</v>
      </c>
      <c r="W447" s="110"/>
      <c r="X447" s="110"/>
      <c r="Y447" s="110"/>
      <c r="Z447" s="110"/>
      <c r="AA447" s="130">
        <v>2</v>
      </c>
      <c r="AB447" s="111">
        <f t="shared" si="97"/>
        <v>42.699999999999996</v>
      </c>
      <c r="AC447" s="110"/>
      <c r="AD447" s="110"/>
      <c r="AE447" s="130">
        <v>1</v>
      </c>
      <c r="AF447" s="111">
        <f t="shared" si="98"/>
        <v>42.699999999999996</v>
      </c>
      <c r="AG447" s="110"/>
      <c r="AH447" s="110"/>
      <c r="AI447" s="110"/>
      <c r="AJ447" s="110"/>
      <c r="AK447" s="111">
        <f t="shared" si="94"/>
        <v>170.79999999999998</v>
      </c>
      <c r="AL447" s="446">
        <f t="shared" si="95"/>
        <v>0</v>
      </c>
      <c r="AM447" s="110">
        <f t="shared" si="96"/>
        <v>7</v>
      </c>
      <c r="AN447" s="447">
        <f t="shared" si="92"/>
        <v>0</v>
      </c>
      <c r="AO447"/>
      <c r="AP447"/>
    </row>
    <row r="448" spans="1:42" ht="66" x14ac:dyDescent="0.25">
      <c r="A448" s="40"/>
      <c r="B448" s="149" t="s">
        <v>35</v>
      </c>
      <c r="C448" s="1028"/>
      <c r="D448" s="875">
        <v>3</v>
      </c>
      <c r="E448" s="1027" t="s">
        <v>1767</v>
      </c>
      <c r="F448" s="273" t="s">
        <v>3446</v>
      </c>
      <c r="G448" s="1040" t="s">
        <v>3463</v>
      </c>
      <c r="H448" s="273" t="s">
        <v>3462</v>
      </c>
      <c r="I448" s="720">
        <f t="shared" si="99"/>
        <v>12.92</v>
      </c>
      <c r="J448" s="756">
        <v>38.76</v>
      </c>
      <c r="K448" s="131">
        <f t="shared" si="91"/>
        <v>38.76</v>
      </c>
      <c r="L448" s="335">
        <f t="shared" si="93"/>
        <v>0</v>
      </c>
      <c r="M448" s="446"/>
      <c r="N448" s="446"/>
      <c r="O448" s="446"/>
      <c r="P448" s="446"/>
      <c r="Q448" s="130">
        <v>1</v>
      </c>
      <c r="R448" s="111">
        <v>12.92</v>
      </c>
      <c r="S448" s="110"/>
      <c r="T448" s="110"/>
      <c r="U448" s="130">
        <v>1</v>
      </c>
      <c r="V448" s="111">
        <v>12.92</v>
      </c>
      <c r="W448" s="110"/>
      <c r="X448" s="110"/>
      <c r="Y448" s="110"/>
      <c r="Z448" s="110"/>
      <c r="AA448" s="130">
        <v>1</v>
      </c>
      <c r="AB448" s="111">
        <v>12.92</v>
      </c>
      <c r="AC448" s="110"/>
      <c r="AD448" s="110"/>
      <c r="AE448" s="130">
        <v>0</v>
      </c>
      <c r="AF448" s="111">
        <v>0</v>
      </c>
      <c r="AG448" s="110"/>
      <c r="AH448" s="110"/>
      <c r="AI448" s="110"/>
      <c r="AJ448" s="110"/>
      <c r="AK448" s="111">
        <f t="shared" si="94"/>
        <v>38.76</v>
      </c>
      <c r="AL448" s="446">
        <f t="shared" si="95"/>
        <v>0</v>
      </c>
      <c r="AM448" s="110">
        <f t="shared" si="96"/>
        <v>3</v>
      </c>
      <c r="AN448" s="447">
        <f t="shared" si="92"/>
        <v>0</v>
      </c>
      <c r="AO448"/>
      <c r="AP448"/>
    </row>
    <row r="449" spans="1:42" ht="66" x14ac:dyDescent="0.25">
      <c r="A449" s="40"/>
      <c r="B449" s="149" t="s">
        <v>76</v>
      </c>
      <c r="C449" s="1028"/>
      <c r="D449" s="875">
        <v>2</v>
      </c>
      <c r="E449" s="1027" t="s">
        <v>1767</v>
      </c>
      <c r="F449" s="273" t="s">
        <v>3446</v>
      </c>
      <c r="G449" s="1040" t="s">
        <v>3463</v>
      </c>
      <c r="H449" s="273" t="s">
        <v>3462</v>
      </c>
      <c r="I449" s="720">
        <f t="shared" si="99"/>
        <v>97.98</v>
      </c>
      <c r="J449" s="756">
        <v>195.96</v>
      </c>
      <c r="K449" s="131">
        <f t="shared" si="91"/>
        <v>195.96</v>
      </c>
      <c r="L449" s="335">
        <f t="shared" si="93"/>
        <v>0</v>
      </c>
      <c r="M449" s="446"/>
      <c r="N449" s="446"/>
      <c r="O449" s="446"/>
      <c r="P449" s="446"/>
      <c r="Q449" s="130">
        <v>1</v>
      </c>
      <c r="R449" s="111">
        <v>97.98</v>
      </c>
      <c r="S449" s="110"/>
      <c r="T449" s="110"/>
      <c r="U449" s="130">
        <v>1</v>
      </c>
      <c r="V449" s="111">
        <v>97.98</v>
      </c>
      <c r="W449" s="110"/>
      <c r="X449" s="110"/>
      <c r="Y449" s="110"/>
      <c r="Z449" s="110"/>
      <c r="AA449" s="130">
        <v>0</v>
      </c>
      <c r="AB449" s="111">
        <v>0</v>
      </c>
      <c r="AC449" s="110"/>
      <c r="AD449" s="110"/>
      <c r="AE449" s="130">
        <v>0</v>
      </c>
      <c r="AF449" s="111">
        <v>0</v>
      </c>
      <c r="AG449" s="110"/>
      <c r="AH449" s="110"/>
      <c r="AI449" s="110"/>
      <c r="AJ449" s="110"/>
      <c r="AK449" s="111">
        <f t="shared" si="94"/>
        <v>195.96</v>
      </c>
      <c r="AL449" s="446">
        <f t="shared" si="95"/>
        <v>0</v>
      </c>
      <c r="AM449" s="110">
        <f t="shared" si="96"/>
        <v>2</v>
      </c>
      <c r="AN449" s="447">
        <f t="shared" si="92"/>
        <v>0</v>
      </c>
      <c r="AO449"/>
      <c r="AP449"/>
    </row>
    <row r="450" spans="1:42" ht="66" x14ac:dyDescent="0.25">
      <c r="A450" s="40"/>
      <c r="B450" s="149" t="s">
        <v>2144</v>
      </c>
      <c r="C450" s="1028"/>
      <c r="D450" s="875">
        <v>2</v>
      </c>
      <c r="E450" s="1027" t="s">
        <v>1767</v>
      </c>
      <c r="F450" s="273" t="s">
        <v>3446</v>
      </c>
      <c r="G450" s="1040" t="s">
        <v>3463</v>
      </c>
      <c r="H450" s="273" t="s">
        <v>3462</v>
      </c>
      <c r="I450" s="720">
        <f t="shared" si="99"/>
        <v>9.82</v>
      </c>
      <c r="J450" s="756">
        <v>19.64</v>
      </c>
      <c r="K450" s="131">
        <f t="shared" si="91"/>
        <v>19.64</v>
      </c>
      <c r="L450" s="335">
        <f t="shared" si="93"/>
        <v>0</v>
      </c>
      <c r="M450" s="446"/>
      <c r="N450" s="446"/>
      <c r="O450" s="446"/>
      <c r="P450" s="446"/>
      <c r="Q450" s="130">
        <v>1</v>
      </c>
      <c r="R450" s="111">
        <v>9.82</v>
      </c>
      <c r="S450" s="110"/>
      <c r="T450" s="110"/>
      <c r="U450" s="130">
        <v>1</v>
      </c>
      <c r="V450" s="111">
        <v>9.82</v>
      </c>
      <c r="W450" s="110"/>
      <c r="X450" s="110"/>
      <c r="Y450" s="110"/>
      <c r="Z450" s="110"/>
      <c r="AA450" s="130">
        <v>0</v>
      </c>
      <c r="AB450" s="111">
        <v>0</v>
      </c>
      <c r="AC450" s="110"/>
      <c r="AD450" s="110"/>
      <c r="AE450" s="130">
        <v>0</v>
      </c>
      <c r="AF450" s="111">
        <v>0</v>
      </c>
      <c r="AG450" s="110"/>
      <c r="AH450" s="110"/>
      <c r="AI450" s="110"/>
      <c r="AJ450" s="110"/>
      <c r="AK450" s="111">
        <f t="shared" si="94"/>
        <v>19.64</v>
      </c>
      <c r="AL450" s="446">
        <f t="shared" si="95"/>
        <v>0</v>
      </c>
      <c r="AM450" s="110">
        <f t="shared" si="96"/>
        <v>2</v>
      </c>
      <c r="AN450" s="447">
        <f t="shared" si="92"/>
        <v>0</v>
      </c>
      <c r="AO450"/>
      <c r="AP450"/>
    </row>
    <row r="451" spans="1:42" ht="66" x14ac:dyDescent="0.25">
      <c r="A451" s="40"/>
      <c r="B451" s="149" t="s">
        <v>2145</v>
      </c>
      <c r="C451" s="1028"/>
      <c r="D451" s="875">
        <v>2</v>
      </c>
      <c r="E451" s="1027" t="s">
        <v>1767</v>
      </c>
      <c r="F451" s="273" t="s">
        <v>3446</v>
      </c>
      <c r="G451" s="1040" t="s">
        <v>3463</v>
      </c>
      <c r="H451" s="273" t="s">
        <v>3462</v>
      </c>
      <c r="I451" s="720">
        <f t="shared" si="99"/>
        <v>29.700000000000003</v>
      </c>
      <c r="J451" s="756">
        <v>59.400000000000006</v>
      </c>
      <c r="K451" s="131">
        <f t="shared" si="91"/>
        <v>59.400000000000006</v>
      </c>
      <c r="L451" s="335">
        <f t="shared" si="93"/>
        <v>0</v>
      </c>
      <c r="M451" s="446"/>
      <c r="N451" s="446"/>
      <c r="O451" s="446"/>
      <c r="P451" s="446"/>
      <c r="Q451" s="130">
        <v>1</v>
      </c>
      <c r="R451" s="111">
        <v>29.7</v>
      </c>
      <c r="S451" s="110"/>
      <c r="T451" s="110"/>
      <c r="U451" s="130">
        <v>1</v>
      </c>
      <c r="V451" s="111">
        <v>29.7</v>
      </c>
      <c r="W451" s="110"/>
      <c r="X451" s="110"/>
      <c r="Y451" s="110"/>
      <c r="Z451" s="110"/>
      <c r="AA451" s="130">
        <v>0</v>
      </c>
      <c r="AB451" s="111">
        <v>0</v>
      </c>
      <c r="AC451" s="110"/>
      <c r="AD451" s="110"/>
      <c r="AE451" s="130">
        <v>0</v>
      </c>
      <c r="AF451" s="111">
        <v>0</v>
      </c>
      <c r="AG451" s="110"/>
      <c r="AH451" s="110"/>
      <c r="AI451" s="110"/>
      <c r="AJ451" s="110"/>
      <c r="AK451" s="111">
        <f t="shared" si="94"/>
        <v>59.4</v>
      </c>
      <c r="AL451" s="446">
        <f t="shared" si="95"/>
        <v>0</v>
      </c>
      <c r="AM451" s="110">
        <f t="shared" si="96"/>
        <v>2</v>
      </c>
      <c r="AN451" s="447">
        <f t="shared" si="92"/>
        <v>0</v>
      </c>
      <c r="AO451"/>
      <c r="AP451"/>
    </row>
    <row r="452" spans="1:42" ht="66" x14ac:dyDescent="0.25">
      <c r="A452" s="40"/>
      <c r="B452" s="149" t="s">
        <v>53</v>
      </c>
      <c r="C452" s="1028"/>
      <c r="D452" s="875">
        <v>3</v>
      </c>
      <c r="E452" s="1027" t="s">
        <v>1767</v>
      </c>
      <c r="F452" s="273" t="s">
        <v>3446</v>
      </c>
      <c r="G452" s="1040" t="s">
        <v>3463</v>
      </c>
      <c r="H452" s="273" t="s">
        <v>3462</v>
      </c>
      <c r="I452" s="720">
        <f t="shared" si="99"/>
        <v>72.94</v>
      </c>
      <c r="J452" s="756">
        <v>218.82</v>
      </c>
      <c r="K452" s="131">
        <f t="shared" si="91"/>
        <v>218.82</v>
      </c>
      <c r="L452" s="335">
        <f t="shared" si="93"/>
        <v>0</v>
      </c>
      <c r="M452" s="446"/>
      <c r="N452" s="446"/>
      <c r="O452" s="446"/>
      <c r="P452" s="446"/>
      <c r="Q452" s="130">
        <v>1</v>
      </c>
      <c r="R452" s="111">
        <f>218.82/3</f>
        <v>72.94</v>
      </c>
      <c r="S452" s="110"/>
      <c r="T452" s="110"/>
      <c r="U452" s="130">
        <v>1</v>
      </c>
      <c r="V452" s="111">
        <v>72.94</v>
      </c>
      <c r="W452" s="110"/>
      <c r="X452" s="110"/>
      <c r="Y452" s="110"/>
      <c r="Z452" s="110"/>
      <c r="AA452" s="130">
        <v>1</v>
      </c>
      <c r="AB452" s="111">
        <v>72.94</v>
      </c>
      <c r="AC452" s="110"/>
      <c r="AD452" s="110"/>
      <c r="AE452" s="130">
        <v>0</v>
      </c>
      <c r="AF452" s="111">
        <v>0</v>
      </c>
      <c r="AG452" s="110"/>
      <c r="AH452" s="110"/>
      <c r="AI452" s="110"/>
      <c r="AJ452" s="110"/>
      <c r="AK452" s="111">
        <f t="shared" si="94"/>
        <v>218.82</v>
      </c>
      <c r="AL452" s="446">
        <f t="shared" si="95"/>
        <v>0</v>
      </c>
      <c r="AM452" s="110">
        <f t="shared" si="96"/>
        <v>3</v>
      </c>
      <c r="AN452" s="447">
        <f t="shared" si="92"/>
        <v>0</v>
      </c>
      <c r="AO452"/>
      <c r="AP452"/>
    </row>
    <row r="453" spans="1:42" ht="66" x14ac:dyDescent="0.25">
      <c r="A453" s="40"/>
      <c r="B453" s="149" t="s">
        <v>63</v>
      </c>
      <c r="C453" s="1028"/>
      <c r="D453" s="875">
        <v>5</v>
      </c>
      <c r="E453" s="1027" t="s">
        <v>1767</v>
      </c>
      <c r="F453" s="273" t="s">
        <v>3446</v>
      </c>
      <c r="G453" s="1040" t="s">
        <v>3463</v>
      </c>
      <c r="H453" s="273" t="s">
        <v>3462</v>
      </c>
      <c r="I453" s="720">
        <f t="shared" si="99"/>
        <v>45.144000000000005</v>
      </c>
      <c r="J453" s="756">
        <v>225.72000000000003</v>
      </c>
      <c r="K453" s="131">
        <f t="shared" si="91"/>
        <v>225.72000000000003</v>
      </c>
      <c r="L453" s="335">
        <f t="shared" si="93"/>
        <v>0</v>
      </c>
      <c r="M453" s="446"/>
      <c r="N453" s="446"/>
      <c r="O453" s="446"/>
      <c r="P453" s="446"/>
      <c r="Q453" s="110">
        <v>2</v>
      </c>
      <c r="R453" s="111">
        <f t="shared" ref="R453:R508" si="100">+J453/4</f>
        <v>56.430000000000007</v>
      </c>
      <c r="S453" s="110"/>
      <c r="T453" s="110"/>
      <c r="U453" s="110">
        <v>1</v>
      </c>
      <c r="V453" s="111">
        <f t="shared" ref="V453:V508" si="101">+J453/4</f>
        <v>56.430000000000007</v>
      </c>
      <c r="W453" s="110"/>
      <c r="X453" s="110"/>
      <c r="Y453" s="110"/>
      <c r="Z453" s="110"/>
      <c r="AA453" s="110">
        <v>1</v>
      </c>
      <c r="AB453" s="111">
        <f t="shared" ref="AB453:AB516" si="102">+J453/4</f>
        <v>56.430000000000007</v>
      </c>
      <c r="AC453" s="110"/>
      <c r="AD453" s="110"/>
      <c r="AE453" s="110">
        <v>1</v>
      </c>
      <c r="AF453" s="111">
        <f t="shared" ref="AF453:AF516" si="103">+J453/4</f>
        <v>56.430000000000007</v>
      </c>
      <c r="AG453" s="110"/>
      <c r="AH453" s="110"/>
      <c r="AI453" s="110"/>
      <c r="AJ453" s="110"/>
      <c r="AK453" s="111">
        <f t="shared" si="94"/>
        <v>225.72000000000003</v>
      </c>
      <c r="AL453" s="446">
        <f t="shared" si="95"/>
        <v>0</v>
      </c>
      <c r="AM453" s="110">
        <f t="shared" si="96"/>
        <v>5</v>
      </c>
      <c r="AN453" s="447">
        <f t="shared" si="92"/>
        <v>0</v>
      </c>
      <c r="AO453"/>
      <c r="AP453"/>
    </row>
    <row r="454" spans="1:42" ht="66" x14ac:dyDescent="0.25">
      <c r="A454" s="40"/>
      <c r="B454" s="149" t="s">
        <v>2146</v>
      </c>
      <c r="C454" s="1028"/>
      <c r="D454" s="875">
        <v>3</v>
      </c>
      <c r="E454" s="1027" t="s">
        <v>1767</v>
      </c>
      <c r="F454" s="273" t="s">
        <v>3446</v>
      </c>
      <c r="G454" s="1040" t="s">
        <v>3463</v>
      </c>
      <c r="H454" s="273" t="s">
        <v>3462</v>
      </c>
      <c r="I454" s="720">
        <f t="shared" si="99"/>
        <v>24.01</v>
      </c>
      <c r="J454" s="756">
        <v>72.03</v>
      </c>
      <c r="K454" s="131">
        <f t="shared" si="91"/>
        <v>72.03</v>
      </c>
      <c r="L454" s="335">
        <f t="shared" si="93"/>
        <v>0</v>
      </c>
      <c r="M454" s="446"/>
      <c r="N454" s="446"/>
      <c r="O454" s="446"/>
      <c r="P454" s="446"/>
      <c r="Q454" s="130">
        <v>1</v>
      </c>
      <c r="R454" s="111">
        <v>24.01</v>
      </c>
      <c r="S454" s="110"/>
      <c r="T454" s="110"/>
      <c r="U454" s="130">
        <v>1</v>
      </c>
      <c r="V454" s="111">
        <v>24.01</v>
      </c>
      <c r="W454" s="110"/>
      <c r="X454" s="110"/>
      <c r="Y454" s="110"/>
      <c r="Z454" s="110"/>
      <c r="AA454" s="130">
        <v>1</v>
      </c>
      <c r="AB454" s="111">
        <v>24.01</v>
      </c>
      <c r="AC454" s="110"/>
      <c r="AD454" s="110"/>
      <c r="AE454" s="130">
        <v>0</v>
      </c>
      <c r="AF454" s="111">
        <v>0</v>
      </c>
      <c r="AG454" s="110"/>
      <c r="AH454" s="110"/>
      <c r="AI454" s="110"/>
      <c r="AJ454" s="110"/>
      <c r="AK454" s="111">
        <f t="shared" si="94"/>
        <v>72.03</v>
      </c>
      <c r="AL454" s="446">
        <f t="shared" si="95"/>
        <v>0</v>
      </c>
      <c r="AM454" s="110">
        <f t="shared" si="96"/>
        <v>3</v>
      </c>
      <c r="AN454" s="447">
        <f t="shared" si="92"/>
        <v>0</v>
      </c>
      <c r="AO454"/>
      <c r="AP454"/>
    </row>
    <row r="455" spans="1:42" ht="66" x14ac:dyDescent="0.25">
      <c r="A455" s="40"/>
      <c r="B455" s="149" t="s">
        <v>2147</v>
      </c>
      <c r="C455" s="1028"/>
      <c r="D455" s="875">
        <v>5</v>
      </c>
      <c r="E455" s="1027" t="s">
        <v>1767</v>
      </c>
      <c r="F455" s="273" t="s">
        <v>3446</v>
      </c>
      <c r="G455" s="1040" t="s">
        <v>3463</v>
      </c>
      <c r="H455" s="273" t="s">
        <v>3462</v>
      </c>
      <c r="I455" s="720">
        <f t="shared" si="99"/>
        <v>27.32</v>
      </c>
      <c r="J455" s="756">
        <v>136.6</v>
      </c>
      <c r="K455" s="131">
        <f t="shared" si="91"/>
        <v>136.6</v>
      </c>
      <c r="L455" s="335">
        <f t="shared" si="93"/>
        <v>0</v>
      </c>
      <c r="M455" s="446"/>
      <c r="N455" s="446"/>
      <c r="O455" s="446"/>
      <c r="P455" s="446"/>
      <c r="Q455" s="110">
        <v>2</v>
      </c>
      <c r="R455" s="111">
        <f t="shared" si="100"/>
        <v>34.15</v>
      </c>
      <c r="S455" s="110"/>
      <c r="T455" s="110"/>
      <c r="U455" s="110">
        <v>1</v>
      </c>
      <c r="V455" s="111">
        <f t="shared" si="101"/>
        <v>34.15</v>
      </c>
      <c r="W455" s="110"/>
      <c r="X455" s="110"/>
      <c r="Y455" s="110"/>
      <c r="Z455" s="110"/>
      <c r="AA455" s="110">
        <v>1</v>
      </c>
      <c r="AB455" s="111">
        <f t="shared" si="102"/>
        <v>34.15</v>
      </c>
      <c r="AC455" s="110"/>
      <c r="AD455" s="110"/>
      <c r="AE455" s="110">
        <v>1</v>
      </c>
      <c r="AF455" s="111">
        <f t="shared" si="103"/>
        <v>34.15</v>
      </c>
      <c r="AG455" s="110"/>
      <c r="AH455" s="110"/>
      <c r="AI455" s="110"/>
      <c r="AJ455" s="110"/>
      <c r="AK455" s="111">
        <f t="shared" si="94"/>
        <v>136.6</v>
      </c>
      <c r="AL455" s="446">
        <f t="shared" si="95"/>
        <v>0</v>
      </c>
      <c r="AM455" s="110">
        <f t="shared" si="96"/>
        <v>5</v>
      </c>
      <c r="AN455" s="447">
        <f t="shared" si="92"/>
        <v>0</v>
      </c>
      <c r="AO455"/>
      <c r="AP455"/>
    </row>
    <row r="456" spans="1:42" ht="66" x14ac:dyDescent="0.25">
      <c r="A456" s="40"/>
      <c r="B456" s="37" t="s">
        <v>2148</v>
      </c>
      <c r="C456" s="1028"/>
      <c r="D456" s="875">
        <v>3</v>
      </c>
      <c r="E456" s="1027" t="s">
        <v>1772</v>
      </c>
      <c r="F456" s="273" t="s">
        <v>3446</v>
      </c>
      <c r="G456" s="1040" t="s">
        <v>3463</v>
      </c>
      <c r="H456" s="273" t="s">
        <v>3462</v>
      </c>
      <c r="I456" s="720">
        <f t="shared" si="99"/>
        <v>28</v>
      </c>
      <c r="J456" s="756">
        <v>84</v>
      </c>
      <c r="K456" s="131">
        <f t="shared" si="91"/>
        <v>84</v>
      </c>
      <c r="L456" s="335">
        <f t="shared" si="93"/>
        <v>0</v>
      </c>
      <c r="M456" s="446"/>
      <c r="N456" s="446"/>
      <c r="O456" s="446"/>
      <c r="P456" s="446"/>
      <c r="Q456" s="130">
        <v>1</v>
      </c>
      <c r="R456" s="111">
        <v>28</v>
      </c>
      <c r="S456" s="110"/>
      <c r="T456" s="110"/>
      <c r="U456" s="130">
        <v>1</v>
      </c>
      <c r="V456" s="111">
        <v>28</v>
      </c>
      <c r="W456" s="110"/>
      <c r="X456" s="110"/>
      <c r="Y456" s="110"/>
      <c r="Z456" s="110"/>
      <c r="AA456" s="130">
        <v>1</v>
      </c>
      <c r="AB456" s="111">
        <v>28</v>
      </c>
      <c r="AC456" s="110"/>
      <c r="AD456" s="110"/>
      <c r="AE456" s="130">
        <v>0</v>
      </c>
      <c r="AF456" s="111">
        <v>0</v>
      </c>
      <c r="AG456" s="110"/>
      <c r="AH456" s="110"/>
      <c r="AI456" s="110"/>
      <c r="AJ456" s="110"/>
      <c r="AK456" s="111">
        <f t="shared" si="94"/>
        <v>84</v>
      </c>
      <c r="AL456" s="446">
        <f t="shared" si="95"/>
        <v>0</v>
      </c>
      <c r="AM456" s="110">
        <f t="shared" si="96"/>
        <v>3</v>
      </c>
      <c r="AN456" s="447">
        <f t="shared" si="92"/>
        <v>0</v>
      </c>
      <c r="AO456"/>
      <c r="AP456"/>
    </row>
    <row r="457" spans="1:42" ht="66" x14ac:dyDescent="0.25">
      <c r="A457" s="40"/>
      <c r="B457" s="37" t="s">
        <v>2149</v>
      </c>
      <c r="C457" s="1028"/>
      <c r="D457" s="875">
        <v>2</v>
      </c>
      <c r="E457" s="1027" t="s">
        <v>1772</v>
      </c>
      <c r="F457" s="273" t="s">
        <v>3446</v>
      </c>
      <c r="G457" s="1040" t="s">
        <v>3463</v>
      </c>
      <c r="H457" s="273" t="s">
        <v>3462</v>
      </c>
      <c r="I457" s="720">
        <f t="shared" si="99"/>
        <v>131</v>
      </c>
      <c r="J457" s="756">
        <v>262</v>
      </c>
      <c r="K457" s="131">
        <f t="shared" si="91"/>
        <v>262</v>
      </c>
      <c r="L457" s="335">
        <f t="shared" si="93"/>
        <v>0</v>
      </c>
      <c r="M457" s="446"/>
      <c r="N457" s="446"/>
      <c r="O457" s="446"/>
      <c r="P457" s="446"/>
      <c r="Q457" s="130">
        <v>1</v>
      </c>
      <c r="R457" s="111">
        <v>131</v>
      </c>
      <c r="S457" s="110"/>
      <c r="T457" s="110"/>
      <c r="U457" s="130">
        <v>1</v>
      </c>
      <c r="V457" s="111">
        <v>131</v>
      </c>
      <c r="W457" s="110"/>
      <c r="X457" s="110"/>
      <c r="Y457" s="110"/>
      <c r="Z457" s="110"/>
      <c r="AA457" s="130">
        <v>0</v>
      </c>
      <c r="AB457" s="111">
        <v>0</v>
      </c>
      <c r="AC457" s="110"/>
      <c r="AD457" s="110"/>
      <c r="AE457" s="130">
        <v>0</v>
      </c>
      <c r="AF457" s="111">
        <v>0</v>
      </c>
      <c r="AG457" s="110"/>
      <c r="AH457" s="110"/>
      <c r="AI457" s="110"/>
      <c r="AJ457" s="110"/>
      <c r="AK457" s="111">
        <f t="shared" si="94"/>
        <v>262</v>
      </c>
      <c r="AL457" s="446">
        <f t="shared" si="95"/>
        <v>0</v>
      </c>
      <c r="AM457" s="110">
        <f t="shared" si="96"/>
        <v>2</v>
      </c>
      <c r="AN457" s="447">
        <f t="shared" si="92"/>
        <v>0</v>
      </c>
      <c r="AO457"/>
      <c r="AP457"/>
    </row>
    <row r="458" spans="1:42" ht="66" x14ac:dyDescent="0.25">
      <c r="A458" s="40"/>
      <c r="B458" s="37" t="s">
        <v>2150</v>
      </c>
      <c r="C458" s="1028"/>
      <c r="D458" s="875">
        <v>35</v>
      </c>
      <c r="E458" s="1027" t="s">
        <v>1772</v>
      </c>
      <c r="F458" s="273" t="s">
        <v>3446</v>
      </c>
      <c r="G458" s="1040" t="s">
        <v>3463</v>
      </c>
      <c r="H458" s="273" t="s">
        <v>3462</v>
      </c>
      <c r="I458" s="720">
        <f t="shared" si="99"/>
        <v>83</v>
      </c>
      <c r="J458" s="756">
        <v>2905</v>
      </c>
      <c r="K458" s="131">
        <f t="shared" si="91"/>
        <v>2905</v>
      </c>
      <c r="L458" s="335">
        <f t="shared" si="93"/>
        <v>0</v>
      </c>
      <c r="M458" s="446"/>
      <c r="N458" s="446"/>
      <c r="O458" s="446"/>
      <c r="P458" s="446"/>
      <c r="Q458" s="110">
        <v>9</v>
      </c>
      <c r="R458" s="111">
        <f t="shared" si="100"/>
        <v>726.25</v>
      </c>
      <c r="S458" s="110"/>
      <c r="T458" s="110"/>
      <c r="U458" s="110">
        <v>9</v>
      </c>
      <c r="V458" s="111">
        <f t="shared" si="101"/>
        <v>726.25</v>
      </c>
      <c r="W458" s="110"/>
      <c r="X458" s="110"/>
      <c r="Y458" s="110"/>
      <c r="Z458" s="110"/>
      <c r="AA458" s="110">
        <v>9</v>
      </c>
      <c r="AB458" s="111">
        <f t="shared" si="102"/>
        <v>726.25</v>
      </c>
      <c r="AC458" s="110"/>
      <c r="AD458" s="110"/>
      <c r="AE458" s="110">
        <v>8</v>
      </c>
      <c r="AF458" s="111">
        <f t="shared" si="103"/>
        <v>726.25</v>
      </c>
      <c r="AG458" s="110"/>
      <c r="AH458" s="110"/>
      <c r="AI458" s="110"/>
      <c r="AJ458" s="110"/>
      <c r="AK458" s="111">
        <f t="shared" si="94"/>
        <v>2905</v>
      </c>
      <c r="AL458" s="446">
        <f t="shared" si="95"/>
        <v>0</v>
      </c>
      <c r="AM458" s="110">
        <f t="shared" si="96"/>
        <v>35</v>
      </c>
      <c r="AN458" s="447">
        <f t="shared" si="92"/>
        <v>0</v>
      </c>
      <c r="AO458"/>
      <c r="AP458"/>
    </row>
    <row r="459" spans="1:42" ht="66" x14ac:dyDescent="0.25">
      <c r="A459" s="40"/>
      <c r="B459" s="37" t="s">
        <v>2151</v>
      </c>
      <c r="C459" s="1028"/>
      <c r="D459" s="875">
        <v>1</v>
      </c>
      <c r="E459" s="1027" t="s">
        <v>1767</v>
      </c>
      <c r="F459" s="273" t="s">
        <v>3446</v>
      </c>
      <c r="G459" s="1040" t="s">
        <v>3463</v>
      </c>
      <c r="H459" s="273" t="s">
        <v>3462</v>
      </c>
      <c r="I459" s="720">
        <f t="shared" si="99"/>
        <v>450</v>
      </c>
      <c r="J459" s="756">
        <v>450</v>
      </c>
      <c r="K459" s="131">
        <f t="shared" si="91"/>
        <v>450</v>
      </c>
      <c r="L459" s="335">
        <f t="shared" si="93"/>
        <v>0</v>
      </c>
      <c r="M459" s="446"/>
      <c r="N459" s="446"/>
      <c r="O459" s="446"/>
      <c r="P459" s="446"/>
      <c r="Q459" s="110">
        <v>1</v>
      </c>
      <c r="R459" s="111">
        <v>450</v>
      </c>
      <c r="S459" s="110"/>
      <c r="T459" s="110"/>
      <c r="U459" s="110">
        <v>0</v>
      </c>
      <c r="V459" s="111">
        <v>0</v>
      </c>
      <c r="W459" s="110"/>
      <c r="X459" s="110"/>
      <c r="Y459" s="110"/>
      <c r="Z459" s="110"/>
      <c r="AA459" s="110">
        <v>0</v>
      </c>
      <c r="AB459" s="111">
        <v>0</v>
      </c>
      <c r="AC459" s="110"/>
      <c r="AD459" s="110"/>
      <c r="AE459" s="110">
        <v>0</v>
      </c>
      <c r="AF459" s="111">
        <v>0</v>
      </c>
      <c r="AG459" s="110"/>
      <c r="AH459" s="110"/>
      <c r="AI459" s="110"/>
      <c r="AJ459" s="110"/>
      <c r="AK459" s="111">
        <f t="shared" si="94"/>
        <v>450</v>
      </c>
      <c r="AL459" s="446">
        <f t="shared" si="95"/>
        <v>0</v>
      </c>
      <c r="AM459" s="110">
        <f t="shared" si="96"/>
        <v>1</v>
      </c>
      <c r="AN459" s="447">
        <f t="shared" si="92"/>
        <v>0</v>
      </c>
      <c r="AO459"/>
      <c r="AP459"/>
    </row>
    <row r="460" spans="1:42" ht="66" x14ac:dyDescent="0.25">
      <c r="A460" s="9"/>
      <c r="B460" s="478" t="s">
        <v>2174</v>
      </c>
      <c r="C460" s="1024"/>
      <c r="D460" s="874">
        <v>5</v>
      </c>
      <c r="E460" s="249" t="s">
        <v>1998</v>
      </c>
      <c r="F460" s="273" t="s">
        <v>3446</v>
      </c>
      <c r="G460" s="1040" t="s">
        <v>3463</v>
      </c>
      <c r="H460" s="273" t="s">
        <v>3462</v>
      </c>
      <c r="I460" s="720">
        <f t="shared" si="99"/>
        <v>10.32</v>
      </c>
      <c r="J460" s="756">
        <v>51.6</v>
      </c>
      <c r="K460" s="131">
        <f t="shared" si="91"/>
        <v>51.6</v>
      </c>
      <c r="L460" s="335">
        <f t="shared" si="93"/>
        <v>0</v>
      </c>
      <c r="M460" s="446"/>
      <c r="N460" s="446"/>
      <c r="O460" s="446"/>
      <c r="P460" s="446"/>
      <c r="Q460" s="110">
        <v>2</v>
      </c>
      <c r="R460" s="111">
        <f t="shared" si="100"/>
        <v>12.9</v>
      </c>
      <c r="S460" s="110"/>
      <c r="T460" s="110"/>
      <c r="U460" s="110">
        <v>1</v>
      </c>
      <c r="V460" s="111">
        <f t="shared" si="101"/>
        <v>12.9</v>
      </c>
      <c r="W460" s="110"/>
      <c r="X460" s="110"/>
      <c r="Y460" s="110"/>
      <c r="Z460" s="110"/>
      <c r="AA460" s="110">
        <v>1</v>
      </c>
      <c r="AB460" s="111">
        <f t="shared" si="102"/>
        <v>12.9</v>
      </c>
      <c r="AC460" s="110"/>
      <c r="AD460" s="110"/>
      <c r="AE460" s="110">
        <v>1</v>
      </c>
      <c r="AF460" s="111">
        <f t="shared" si="103"/>
        <v>12.9</v>
      </c>
      <c r="AG460" s="110"/>
      <c r="AH460" s="110"/>
      <c r="AI460" s="110"/>
      <c r="AJ460" s="110"/>
      <c r="AK460" s="111">
        <f t="shared" si="94"/>
        <v>51.6</v>
      </c>
      <c r="AL460" s="446">
        <f t="shared" si="95"/>
        <v>0</v>
      </c>
      <c r="AM460" s="110">
        <f t="shared" si="96"/>
        <v>5</v>
      </c>
      <c r="AN460" s="447">
        <f t="shared" si="92"/>
        <v>0</v>
      </c>
      <c r="AO460"/>
      <c r="AP460"/>
    </row>
    <row r="461" spans="1:42" ht="66" x14ac:dyDescent="0.25">
      <c r="A461" s="9"/>
      <c r="B461" s="478" t="s">
        <v>2175</v>
      </c>
      <c r="C461" s="1024"/>
      <c r="D461" s="874">
        <v>1</v>
      </c>
      <c r="E461" s="249" t="s">
        <v>1721</v>
      </c>
      <c r="F461" s="273" t="s">
        <v>3446</v>
      </c>
      <c r="G461" s="1040" t="s">
        <v>3463</v>
      </c>
      <c r="H461" s="273" t="s">
        <v>3462</v>
      </c>
      <c r="I461" s="720">
        <f t="shared" si="99"/>
        <v>129.1</v>
      </c>
      <c r="J461" s="756">
        <v>129.1</v>
      </c>
      <c r="K461" s="131">
        <f t="shared" si="91"/>
        <v>129.1</v>
      </c>
      <c r="L461" s="335">
        <f t="shared" si="93"/>
        <v>0</v>
      </c>
      <c r="M461" s="446"/>
      <c r="N461" s="446"/>
      <c r="O461" s="446"/>
      <c r="P461" s="446"/>
      <c r="Q461" s="110">
        <v>1</v>
      </c>
      <c r="R461" s="111">
        <v>129.1</v>
      </c>
      <c r="S461" s="110"/>
      <c r="T461" s="110"/>
      <c r="U461" s="110">
        <v>0</v>
      </c>
      <c r="V461" s="111">
        <v>0</v>
      </c>
      <c r="W461" s="110"/>
      <c r="X461" s="110"/>
      <c r="Y461" s="110"/>
      <c r="Z461" s="110"/>
      <c r="AA461" s="110">
        <v>0</v>
      </c>
      <c r="AB461" s="111">
        <v>0</v>
      </c>
      <c r="AC461" s="110"/>
      <c r="AD461" s="110"/>
      <c r="AE461" s="110">
        <v>0</v>
      </c>
      <c r="AF461" s="111">
        <v>0</v>
      </c>
      <c r="AG461" s="110"/>
      <c r="AH461" s="110"/>
      <c r="AI461" s="110"/>
      <c r="AJ461" s="110"/>
      <c r="AK461" s="111">
        <f t="shared" si="94"/>
        <v>129.1</v>
      </c>
      <c r="AL461" s="446">
        <f t="shared" si="95"/>
        <v>0</v>
      </c>
      <c r="AM461" s="110">
        <f t="shared" si="96"/>
        <v>1</v>
      </c>
      <c r="AN461" s="447">
        <f t="shared" si="92"/>
        <v>0</v>
      </c>
      <c r="AO461"/>
      <c r="AP461"/>
    </row>
    <row r="462" spans="1:42" ht="66" x14ac:dyDescent="0.25">
      <c r="A462" s="9"/>
      <c r="B462" s="478" t="s">
        <v>2176</v>
      </c>
      <c r="C462" s="1024"/>
      <c r="D462" s="874">
        <v>6</v>
      </c>
      <c r="E462" s="249" t="s">
        <v>1721</v>
      </c>
      <c r="F462" s="273" t="s">
        <v>3446</v>
      </c>
      <c r="G462" s="1040" t="s">
        <v>3463</v>
      </c>
      <c r="H462" s="273" t="s">
        <v>3462</v>
      </c>
      <c r="I462" s="720">
        <f t="shared" si="99"/>
        <v>45.140000000000008</v>
      </c>
      <c r="J462" s="756">
        <v>270.84000000000003</v>
      </c>
      <c r="K462" s="131">
        <f t="shared" si="91"/>
        <v>270.84000000000003</v>
      </c>
      <c r="L462" s="335">
        <f t="shared" si="93"/>
        <v>0</v>
      </c>
      <c r="M462" s="446"/>
      <c r="N462" s="446"/>
      <c r="O462" s="446"/>
      <c r="P462" s="446"/>
      <c r="Q462" s="130">
        <v>2</v>
      </c>
      <c r="R462" s="111">
        <f t="shared" si="100"/>
        <v>67.710000000000008</v>
      </c>
      <c r="S462" s="110"/>
      <c r="T462" s="110"/>
      <c r="U462" s="130">
        <v>2</v>
      </c>
      <c r="V462" s="111">
        <f t="shared" si="101"/>
        <v>67.710000000000008</v>
      </c>
      <c r="W462" s="110"/>
      <c r="X462" s="110"/>
      <c r="Y462" s="110"/>
      <c r="Z462" s="110"/>
      <c r="AA462" s="130">
        <v>1</v>
      </c>
      <c r="AB462" s="111">
        <f t="shared" si="102"/>
        <v>67.710000000000008</v>
      </c>
      <c r="AC462" s="110"/>
      <c r="AD462" s="110"/>
      <c r="AE462" s="130">
        <v>1</v>
      </c>
      <c r="AF462" s="111">
        <f t="shared" si="103"/>
        <v>67.710000000000008</v>
      </c>
      <c r="AG462" s="110"/>
      <c r="AH462" s="110"/>
      <c r="AI462" s="110"/>
      <c r="AJ462" s="110"/>
      <c r="AK462" s="111">
        <f t="shared" si="94"/>
        <v>270.84000000000003</v>
      </c>
      <c r="AL462" s="446">
        <f t="shared" si="95"/>
        <v>0</v>
      </c>
      <c r="AM462" s="110">
        <f t="shared" si="96"/>
        <v>6</v>
      </c>
      <c r="AN462" s="447">
        <f t="shared" si="92"/>
        <v>0</v>
      </c>
      <c r="AO462"/>
      <c r="AP462"/>
    </row>
    <row r="463" spans="1:42" ht="66" x14ac:dyDescent="0.25">
      <c r="A463" s="9"/>
      <c r="B463" s="478" t="s">
        <v>2177</v>
      </c>
      <c r="C463" s="1024"/>
      <c r="D463" s="874">
        <v>2</v>
      </c>
      <c r="E463" s="249" t="s">
        <v>1998</v>
      </c>
      <c r="F463" s="273" t="s">
        <v>3446</v>
      </c>
      <c r="G463" s="1040" t="s">
        <v>3463</v>
      </c>
      <c r="H463" s="273" t="s">
        <v>3462</v>
      </c>
      <c r="I463" s="720">
        <f t="shared" si="99"/>
        <v>21.96</v>
      </c>
      <c r="J463" s="756">
        <v>43.92</v>
      </c>
      <c r="K463" s="131">
        <f t="shared" ref="K463:K526" si="104">+D463*I463</f>
        <v>43.92</v>
      </c>
      <c r="L463" s="335">
        <f t="shared" si="93"/>
        <v>0</v>
      </c>
      <c r="M463" s="446"/>
      <c r="N463" s="446"/>
      <c r="O463" s="446"/>
      <c r="P463" s="446"/>
      <c r="Q463" s="130">
        <v>1</v>
      </c>
      <c r="R463" s="111">
        <v>21.96</v>
      </c>
      <c r="S463" s="110"/>
      <c r="T463" s="110"/>
      <c r="U463" s="130">
        <v>1</v>
      </c>
      <c r="V463" s="111">
        <v>21.96</v>
      </c>
      <c r="W463" s="110"/>
      <c r="X463" s="110"/>
      <c r="Y463" s="110"/>
      <c r="Z463" s="110"/>
      <c r="AA463" s="130">
        <v>0</v>
      </c>
      <c r="AB463" s="111">
        <v>0</v>
      </c>
      <c r="AC463" s="110"/>
      <c r="AD463" s="110"/>
      <c r="AE463" s="130">
        <v>0</v>
      </c>
      <c r="AF463" s="111">
        <v>0</v>
      </c>
      <c r="AG463" s="110"/>
      <c r="AH463" s="110"/>
      <c r="AI463" s="110"/>
      <c r="AJ463" s="110"/>
      <c r="AK463" s="111">
        <f t="shared" si="94"/>
        <v>43.92</v>
      </c>
      <c r="AL463" s="446">
        <f t="shared" si="95"/>
        <v>0</v>
      </c>
      <c r="AM463" s="110">
        <f t="shared" si="96"/>
        <v>2</v>
      </c>
      <c r="AN463" s="447">
        <f t="shared" ref="AN463:AN526" si="105">+D463-AM463</f>
        <v>0</v>
      </c>
      <c r="AO463"/>
      <c r="AP463"/>
    </row>
    <row r="464" spans="1:42" ht="66" x14ac:dyDescent="0.25">
      <c r="A464" s="9"/>
      <c r="B464" s="478" t="s">
        <v>2178</v>
      </c>
      <c r="C464" s="1024"/>
      <c r="D464" s="874">
        <v>1</v>
      </c>
      <c r="E464" s="249" t="s">
        <v>1998</v>
      </c>
      <c r="F464" s="273" t="s">
        <v>3446</v>
      </c>
      <c r="G464" s="1040" t="s">
        <v>3463</v>
      </c>
      <c r="H464" s="273" t="s">
        <v>3462</v>
      </c>
      <c r="I464" s="720">
        <f t="shared" si="99"/>
        <v>26.46</v>
      </c>
      <c r="J464" s="756">
        <v>26.46</v>
      </c>
      <c r="K464" s="131">
        <f t="shared" si="104"/>
        <v>26.46</v>
      </c>
      <c r="L464" s="335">
        <f t="shared" ref="L464:L527" si="106">+J464-K464</f>
        <v>0</v>
      </c>
      <c r="M464" s="446"/>
      <c r="N464" s="446"/>
      <c r="O464" s="446"/>
      <c r="P464" s="446"/>
      <c r="Q464" s="110">
        <v>1</v>
      </c>
      <c r="R464" s="111">
        <v>26.46</v>
      </c>
      <c r="S464" s="110"/>
      <c r="T464" s="110"/>
      <c r="U464" s="110">
        <v>0</v>
      </c>
      <c r="V464" s="111">
        <v>0</v>
      </c>
      <c r="W464" s="110"/>
      <c r="X464" s="110"/>
      <c r="Y464" s="110"/>
      <c r="Z464" s="110"/>
      <c r="AA464" s="110">
        <v>0</v>
      </c>
      <c r="AB464" s="111">
        <v>0</v>
      </c>
      <c r="AC464" s="110"/>
      <c r="AD464" s="110"/>
      <c r="AE464" s="110">
        <v>0</v>
      </c>
      <c r="AF464" s="111">
        <v>0</v>
      </c>
      <c r="AG464" s="110"/>
      <c r="AH464" s="110"/>
      <c r="AI464" s="110"/>
      <c r="AJ464" s="110"/>
      <c r="AK464" s="111">
        <f t="shared" ref="AK464:AK527" si="107">+R464+V464+AB464+AF464</f>
        <v>26.46</v>
      </c>
      <c r="AL464" s="446">
        <f t="shared" ref="AL464:AL527" si="108">+J464-AK464</f>
        <v>0</v>
      </c>
      <c r="AM464" s="110">
        <f t="shared" ref="AM464:AM527" si="109">+Q464+U464+AA464+AE464</f>
        <v>1</v>
      </c>
      <c r="AN464" s="447">
        <f t="shared" si="105"/>
        <v>0</v>
      </c>
      <c r="AO464"/>
      <c r="AP464"/>
    </row>
    <row r="465" spans="1:42" ht="66" x14ac:dyDescent="0.25">
      <c r="A465" s="9"/>
      <c r="B465" s="478" t="s">
        <v>2179</v>
      </c>
      <c r="C465" s="1024"/>
      <c r="D465" s="874">
        <v>4</v>
      </c>
      <c r="E465" s="249" t="s">
        <v>1998</v>
      </c>
      <c r="F465" s="273" t="s">
        <v>3446</v>
      </c>
      <c r="G465" s="1040" t="s">
        <v>3463</v>
      </c>
      <c r="H465" s="273" t="s">
        <v>3462</v>
      </c>
      <c r="I465" s="720">
        <f t="shared" si="99"/>
        <v>26.46</v>
      </c>
      <c r="J465" s="756">
        <v>105.84</v>
      </c>
      <c r="K465" s="131">
        <f t="shared" si="104"/>
        <v>105.84</v>
      </c>
      <c r="L465" s="335">
        <f t="shared" si="106"/>
        <v>0</v>
      </c>
      <c r="M465" s="446"/>
      <c r="N465" s="446"/>
      <c r="O465" s="446"/>
      <c r="P465" s="446"/>
      <c r="Q465" s="110">
        <f t="shared" ref="Q465:Q506" si="110">+$D465/4</f>
        <v>1</v>
      </c>
      <c r="R465" s="111">
        <f t="shared" si="100"/>
        <v>26.46</v>
      </c>
      <c r="S465" s="110"/>
      <c r="T465" s="110"/>
      <c r="U465" s="110">
        <f t="shared" ref="U465:U506" si="111">+$D465/4</f>
        <v>1</v>
      </c>
      <c r="V465" s="111">
        <f t="shared" si="101"/>
        <v>26.46</v>
      </c>
      <c r="W465" s="110"/>
      <c r="X465" s="110"/>
      <c r="Y465" s="110"/>
      <c r="Z465" s="110"/>
      <c r="AA465" s="110">
        <f t="shared" ref="AA465:AE506" si="112">+$D465/4</f>
        <v>1</v>
      </c>
      <c r="AB465" s="111">
        <f t="shared" si="102"/>
        <v>26.46</v>
      </c>
      <c r="AC465" s="110"/>
      <c r="AD465" s="110"/>
      <c r="AE465" s="110">
        <f t="shared" si="112"/>
        <v>1</v>
      </c>
      <c r="AF465" s="111">
        <f t="shared" si="103"/>
        <v>26.46</v>
      </c>
      <c r="AG465" s="110"/>
      <c r="AH465" s="110"/>
      <c r="AI465" s="110"/>
      <c r="AJ465" s="110"/>
      <c r="AK465" s="111">
        <f t="shared" si="107"/>
        <v>105.84</v>
      </c>
      <c r="AL465" s="446">
        <f t="shared" si="108"/>
        <v>0</v>
      </c>
      <c r="AM465" s="110">
        <f t="shared" si="109"/>
        <v>4</v>
      </c>
      <c r="AN465" s="447">
        <f t="shared" si="105"/>
        <v>0</v>
      </c>
      <c r="AO465"/>
      <c r="AP465"/>
    </row>
    <row r="466" spans="1:42" ht="66" x14ac:dyDescent="0.25">
      <c r="A466" s="9"/>
      <c r="B466" s="478" t="s">
        <v>2180</v>
      </c>
      <c r="C466" s="1024"/>
      <c r="D466" s="874">
        <v>3</v>
      </c>
      <c r="E466" s="249" t="s">
        <v>1998</v>
      </c>
      <c r="F466" s="273" t="s">
        <v>3446</v>
      </c>
      <c r="G466" s="1040" t="s">
        <v>3463</v>
      </c>
      <c r="H466" s="273" t="s">
        <v>3462</v>
      </c>
      <c r="I466" s="720">
        <f t="shared" si="99"/>
        <v>22.55</v>
      </c>
      <c r="J466" s="756">
        <v>67.650000000000006</v>
      </c>
      <c r="K466" s="131">
        <f t="shared" si="104"/>
        <v>67.650000000000006</v>
      </c>
      <c r="L466" s="335">
        <f t="shared" si="106"/>
        <v>0</v>
      </c>
      <c r="M466" s="446"/>
      <c r="N466" s="446"/>
      <c r="O466" s="446"/>
      <c r="P466" s="446"/>
      <c r="Q466" s="130">
        <v>1</v>
      </c>
      <c r="R466" s="111">
        <v>22.55</v>
      </c>
      <c r="S466" s="110"/>
      <c r="T466" s="110"/>
      <c r="U466" s="130">
        <v>1</v>
      </c>
      <c r="V466" s="111">
        <v>22.55</v>
      </c>
      <c r="W466" s="110"/>
      <c r="X466" s="110"/>
      <c r="Y466" s="110"/>
      <c r="Z466" s="110"/>
      <c r="AA466" s="130">
        <v>1</v>
      </c>
      <c r="AB466" s="111">
        <v>22.55</v>
      </c>
      <c r="AC466" s="110"/>
      <c r="AD466" s="110"/>
      <c r="AE466" s="130">
        <v>0</v>
      </c>
      <c r="AF466" s="111">
        <v>0</v>
      </c>
      <c r="AG466" s="110"/>
      <c r="AH466" s="110"/>
      <c r="AI466" s="110"/>
      <c r="AJ466" s="110"/>
      <c r="AK466" s="111">
        <f t="shared" si="107"/>
        <v>67.650000000000006</v>
      </c>
      <c r="AL466" s="446">
        <f t="shared" si="108"/>
        <v>0</v>
      </c>
      <c r="AM466" s="110">
        <f t="shared" si="109"/>
        <v>3</v>
      </c>
      <c r="AN466" s="447">
        <f t="shared" si="105"/>
        <v>0</v>
      </c>
      <c r="AO466"/>
      <c r="AP466"/>
    </row>
    <row r="467" spans="1:42" ht="66" x14ac:dyDescent="0.25">
      <c r="A467" s="9"/>
      <c r="B467" s="478" t="s">
        <v>2181</v>
      </c>
      <c r="C467" s="1024"/>
      <c r="D467" s="874">
        <v>3</v>
      </c>
      <c r="E467" s="249" t="s">
        <v>1721</v>
      </c>
      <c r="F467" s="273" t="s">
        <v>3446</v>
      </c>
      <c r="G467" s="1040" t="s">
        <v>3463</v>
      </c>
      <c r="H467" s="273" t="s">
        <v>3462</v>
      </c>
      <c r="I467" s="720">
        <f t="shared" si="99"/>
        <v>23.55</v>
      </c>
      <c r="J467" s="756">
        <v>70.650000000000006</v>
      </c>
      <c r="K467" s="131">
        <f t="shared" si="104"/>
        <v>70.650000000000006</v>
      </c>
      <c r="L467" s="335">
        <f t="shared" si="106"/>
        <v>0</v>
      </c>
      <c r="M467" s="446"/>
      <c r="N467" s="446"/>
      <c r="O467" s="446"/>
      <c r="P467" s="446"/>
      <c r="Q467" s="130">
        <v>1</v>
      </c>
      <c r="R467" s="111">
        <v>23.55</v>
      </c>
      <c r="S467" s="110"/>
      <c r="T467" s="110"/>
      <c r="U467" s="130">
        <v>1</v>
      </c>
      <c r="V467" s="111">
        <v>23.55</v>
      </c>
      <c r="W467" s="110"/>
      <c r="X467" s="110"/>
      <c r="Y467" s="110"/>
      <c r="Z467" s="110"/>
      <c r="AA467" s="130">
        <v>1</v>
      </c>
      <c r="AB467" s="111">
        <v>23.55</v>
      </c>
      <c r="AC467" s="110"/>
      <c r="AD467" s="110"/>
      <c r="AE467" s="130">
        <v>0</v>
      </c>
      <c r="AF467" s="111">
        <v>0</v>
      </c>
      <c r="AG467" s="110"/>
      <c r="AH467" s="110"/>
      <c r="AI467" s="110"/>
      <c r="AJ467" s="110"/>
      <c r="AK467" s="111">
        <f t="shared" si="107"/>
        <v>70.650000000000006</v>
      </c>
      <c r="AL467" s="446">
        <f t="shared" si="108"/>
        <v>0</v>
      </c>
      <c r="AM467" s="110">
        <f t="shared" si="109"/>
        <v>3</v>
      </c>
      <c r="AN467" s="447">
        <f t="shared" si="105"/>
        <v>0</v>
      </c>
      <c r="AO467"/>
      <c r="AP467"/>
    </row>
    <row r="468" spans="1:42" ht="66" x14ac:dyDescent="0.25">
      <c r="A468" s="9"/>
      <c r="B468" s="122" t="s">
        <v>2182</v>
      </c>
      <c r="C468" s="1024"/>
      <c r="D468" s="874">
        <v>2</v>
      </c>
      <c r="E468" s="249" t="s">
        <v>1998</v>
      </c>
      <c r="F468" s="273" t="s">
        <v>3446</v>
      </c>
      <c r="G468" s="1040" t="s">
        <v>3463</v>
      </c>
      <c r="H468" s="273" t="s">
        <v>3462</v>
      </c>
      <c r="I468" s="720">
        <f t="shared" si="99"/>
        <v>9.15</v>
      </c>
      <c r="J468" s="756">
        <v>18.3</v>
      </c>
      <c r="K468" s="131">
        <f t="shared" si="104"/>
        <v>18.3</v>
      </c>
      <c r="L468" s="335">
        <f t="shared" si="106"/>
        <v>0</v>
      </c>
      <c r="M468" s="446"/>
      <c r="N468" s="446"/>
      <c r="O468" s="446"/>
      <c r="P468" s="446"/>
      <c r="Q468" s="130">
        <v>1</v>
      </c>
      <c r="R468" s="111">
        <v>9.15</v>
      </c>
      <c r="S468" s="110"/>
      <c r="T468" s="110"/>
      <c r="U468" s="130">
        <v>1</v>
      </c>
      <c r="V468" s="111">
        <v>9.15</v>
      </c>
      <c r="W468" s="110"/>
      <c r="X468" s="110"/>
      <c r="Y468" s="110"/>
      <c r="Z468" s="110"/>
      <c r="AA468" s="130">
        <v>0</v>
      </c>
      <c r="AB468" s="111">
        <v>0</v>
      </c>
      <c r="AC468" s="110"/>
      <c r="AD468" s="110"/>
      <c r="AE468" s="130">
        <v>0</v>
      </c>
      <c r="AF468" s="111">
        <v>0</v>
      </c>
      <c r="AG468" s="110"/>
      <c r="AH468" s="110"/>
      <c r="AI468" s="110"/>
      <c r="AJ468" s="110"/>
      <c r="AK468" s="111">
        <f t="shared" si="107"/>
        <v>18.3</v>
      </c>
      <c r="AL468" s="446">
        <f t="shared" si="108"/>
        <v>0</v>
      </c>
      <c r="AM468" s="110">
        <f t="shared" si="109"/>
        <v>2</v>
      </c>
      <c r="AN468" s="447">
        <f t="shared" si="105"/>
        <v>0</v>
      </c>
      <c r="AO468"/>
      <c r="AP468"/>
    </row>
    <row r="469" spans="1:42" ht="66" x14ac:dyDescent="0.25">
      <c r="A469" s="9"/>
      <c r="B469" s="478" t="s">
        <v>25</v>
      </c>
      <c r="C469" s="1024"/>
      <c r="D469" s="874">
        <v>3</v>
      </c>
      <c r="E469" s="249" t="s">
        <v>1998</v>
      </c>
      <c r="F469" s="273" t="s">
        <v>3446</v>
      </c>
      <c r="G469" s="1040" t="s">
        <v>3463</v>
      </c>
      <c r="H469" s="273" t="s">
        <v>3462</v>
      </c>
      <c r="I469" s="720">
        <f t="shared" si="99"/>
        <v>34.729999999999997</v>
      </c>
      <c r="J469" s="756">
        <v>104.19</v>
      </c>
      <c r="K469" s="131">
        <f t="shared" si="104"/>
        <v>104.19</v>
      </c>
      <c r="L469" s="335">
        <f t="shared" si="106"/>
        <v>0</v>
      </c>
      <c r="M469" s="446"/>
      <c r="N469" s="446"/>
      <c r="O469" s="446"/>
      <c r="P469" s="446"/>
      <c r="Q469" s="130">
        <v>1</v>
      </c>
      <c r="R469" s="111">
        <v>34.729999999999997</v>
      </c>
      <c r="S469" s="110"/>
      <c r="T469" s="110"/>
      <c r="U469" s="130">
        <v>1</v>
      </c>
      <c r="V469" s="111">
        <v>34.729999999999997</v>
      </c>
      <c r="W469" s="110"/>
      <c r="X469" s="110"/>
      <c r="Y469" s="110"/>
      <c r="Z469" s="110"/>
      <c r="AA469" s="130">
        <v>1</v>
      </c>
      <c r="AB469" s="111">
        <v>34.729999999999997</v>
      </c>
      <c r="AC469" s="110"/>
      <c r="AD469" s="110"/>
      <c r="AE469" s="130">
        <v>0</v>
      </c>
      <c r="AF469" s="111">
        <v>0</v>
      </c>
      <c r="AG469" s="110"/>
      <c r="AH469" s="110"/>
      <c r="AI469" s="110"/>
      <c r="AJ469" s="110"/>
      <c r="AK469" s="111">
        <f t="shared" si="107"/>
        <v>104.19</v>
      </c>
      <c r="AL469" s="446">
        <f t="shared" si="108"/>
        <v>0</v>
      </c>
      <c r="AM469" s="110">
        <f t="shared" si="109"/>
        <v>3</v>
      </c>
      <c r="AN469" s="447">
        <f t="shared" si="105"/>
        <v>0</v>
      </c>
      <c r="AO469"/>
      <c r="AP469"/>
    </row>
    <row r="470" spans="1:42" ht="66" x14ac:dyDescent="0.25">
      <c r="A470" s="9"/>
      <c r="B470" s="478" t="s">
        <v>2183</v>
      </c>
      <c r="C470" s="1024"/>
      <c r="D470" s="874">
        <v>2</v>
      </c>
      <c r="E470" s="249" t="s">
        <v>1721</v>
      </c>
      <c r="F470" s="273" t="s">
        <v>3446</v>
      </c>
      <c r="G470" s="1040" t="s">
        <v>3463</v>
      </c>
      <c r="H470" s="273" t="s">
        <v>3462</v>
      </c>
      <c r="I470" s="720">
        <f t="shared" si="99"/>
        <v>16.63</v>
      </c>
      <c r="J470" s="756">
        <v>33.26</v>
      </c>
      <c r="K470" s="131">
        <f t="shared" si="104"/>
        <v>33.26</v>
      </c>
      <c r="L470" s="335">
        <f t="shared" si="106"/>
        <v>0</v>
      </c>
      <c r="M470" s="446"/>
      <c r="N470" s="446"/>
      <c r="O470" s="446"/>
      <c r="P470" s="446"/>
      <c r="Q470" s="130">
        <v>1</v>
      </c>
      <c r="R470" s="111">
        <v>16.63</v>
      </c>
      <c r="S470" s="110"/>
      <c r="T470" s="110"/>
      <c r="U470" s="130">
        <v>1</v>
      </c>
      <c r="V470" s="111">
        <v>16.63</v>
      </c>
      <c r="W470" s="110"/>
      <c r="X470" s="110"/>
      <c r="Y470" s="110"/>
      <c r="Z470" s="110"/>
      <c r="AA470" s="130">
        <v>0</v>
      </c>
      <c r="AB470" s="111">
        <v>0</v>
      </c>
      <c r="AC470" s="110"/>
      <c r="AD470" s="110"/>
      <c r="AE470" s="130">
        <v>0</v>
      </c>
      <c r="AF470" s="111">
        <v>0</v>
      </c>
      <c r="AG470" s="110"/>
      <c r="AH470" s="110"/>
      <c r="AI470" s="110"/>
      <c r="AJ470" s="110"/>
      <c r="AK470" s="111">
        <f t="shared" si="107"/>
        <v>33.26</v>
      </c>
      <c r="AL470" s="446">
        <f t="shared" si="108"/>
        <v>0</v>
      </c>
      <c r="AM470" s="110">
        <f t="shared" si="109"/>
        <v>2</v>
      </c>
      <c r="AN470" s="447">
        <f t="shared" si="105"/>
        <v>0</v>
      </c>
      <c r="AO470"/>
      <c r="AP470"/>
    </row>
    <row r="471" spans="1:42" ht="66" x14ac:dyDescent="0.25">
      <c r="A471" s="9"/>
      <c r="B471" s="478" t="s">
        <v>2184</v>
      </c>
      <c r="C471" s="1024"/>
      <c r="D471" s="874">
        <v>6</v>
      </c>
      <c r="E471" s="249" t="s">
        <v>1721</v>
      </c>
      <c r="F471" s="273" t="s">
        <v>3446</v>
      </c>
      <c r="G471" s="1040" t="s">
        <v>3463</v>
      </c>
      <c r="H471" s="273" t="s">
        <v>3462</v>
      </c>
      <c r="I471" s="720">
        <f t="shared" si="99"/>
        <v>3.11</v>
      </c>
      <c r="J471" s="756">
        <v>18.66</v>
      </c>
      <c r="K471" s="131">
        <f t="shared" si="104"/>
        <v>18.66</v>
      </c>
      <c r="L471" s="335">
        <f t="shared" si="106"/>
        <v>0</v>
      </c>
      <c r="M471" s="446"/>
      <c r="N471" s="446"/>
      <c r="O471" s="446"/>
      <c r="P471" s="446"/>
      <c r="Q471" s="130">
        <v>2</v>
      </c>
      <c r="R471" s="111">
        <f t="shared" si="100"/>
        <v>4.665</v>
      </c>
      <c r="S471" s="110"/>
      <c r="T471" s="110"/>
      <c r="U471" s="130">
        <v>2</v>
      </c>
      <c r="V471" s="111">
        <f t="shared" si="101"/>
        <v>4.665</v>
      </c>
      <c r="W471" s="110"/>
      <c r="X471" s="110"/>
      <c r="Y471" s="110"/>
      <c r="Z471" s="110"/>
      <c r="AA471" s="130">
        <v>1</v>
      </c>
      <c r="AB471" s="111">
        <f t="shared" si="102"/>
        <v>4.665</v>
      </c>
      <c r="AC471" s="110"/>
      <c r="AD471" s="110"/>
      <c r="AE471" s="130">
        <v>1</v>
      </c>
      <c r="AF471" s="111">
        <f t="shared" si="103"/>
        <v>4.665</v>
      </c>
      <c r="AG471" s="110"/>
      <c r="AH471" s="110"/>
      <c r="AI471" s="110"/>
      <c r="AJ471" s="110"/>
      <c r="AK471" s="111">
        <f t="shared" si="107"/>
        <v>18.66</v>
      </c>
      <c r="AL471" s="446">
        <f t="shared" si="108"/>
        <v>0</v>
      </c>
      <c r="AM471" s="110">
        <f t="shared" si="109"/>
        <v>6</v>
      </c>
      <c r="AN471" s="447">
        <f t="shared" si="105"/>
        <v>0</v>
      </c>
      <c r="AO471"/>
      <c r="AP471"/>
    </row>
    <row r="472" spans="1:42" ht="66" x14ac:dyDescent="0.25">
      <c r="A472" s="9"/>
      <c r="B472" s="478" t="s">
        <v>2185</v>
      </c>
      <c r="C472" s="1024"/>
      <c r="D472" s="874">
        <v>1</v>
      </c>
      <c r="E472" s="249" t="s">
        <v>1997</v>
      </c>
      <c r="F472" s="273" t="s">
        <v>3446</v>
      </c>
      <c r="G472" s="1040" t="s">
        <v>3463</v>
      </c>
      <c r="H472" s="273" t="s">
        <v>3462</v>
      </c>
      <c r="I472" s="720">
        <f t="shared" si="99"/>
        <v>10.97</v>
      </c>
      <c r="J472" s="756">
        <v>10.97</v>
      </c>
      <c r="K472" s="131">
        <f t="shared" si="104"/>
        <v>10.97</v>
      </c>
      <c r="L472" s="335">
        <f t="shared" si="106"/>
        <v>0</v>
      </c>
      <c r="M472" s="446"/>
      <c r="N472" s="446"/>
      <c r="O472" s="446"/>
      <c r="P472" s="446"/>
      <c r="Q472" s="110">
        <v>1</v>
      </c>
      <c r="R472" s="111">
        <v>10.97</v>
      </c>
      <c r="S472" s="110"/>
      <c r="T472" s="110"/>
      <c r="U472" s="110">
        <v>0</v>
      </c>
      <c r="V472" s="111">
        <v>0</v>
      </c>
      <c r="W472" s="110"/>
      <c r="X472" s="110"/>
      <c r="Y472" s="110"/>
      <c r="Z472" s="110"/>
      <c r="AA472" s="110">
        <v>0</v>
      </c>
      <c r="AB472" s="111">
        <v>0</v>
      </c>
      <c r="AC472" s="110"/>
      <c r="AD472" s="110"/>
      <c r="AE472" s="110">
        <v>0</v>
      </c>
      <c r="AF472" s="111">
        <v>0</v>
      </c>
      <c r="AG472" s="110"/>
      <c r="AH472" s="110"/>
      <c r="AI472" s="110"/>
      <c r="AJ472" s="110"/>
      <c r="AK472" s="111">
        <f t="shared" si="107"/>
        <v>10.97</v>
      </c>
      <c r="AL472" s="446">
        <f t="shared" si="108"/>
        <v>0</v>
      </c>
      <c r="AM472" s="110">
        <f t="shared" si="109"/>
        <v>1</v>
      </c>
      <c r="AN472" s="447">
        <f t="shared" si="105"/>
        <v>0</v>
      </c>
      <c r="AO472"/>
      <c r="AP472"/>
    </row>
    <row r="473" spans="1:42" ht="66" x14ac:dyDescent="0.25">
      <c r="A473" s="9"/>
      <c r="B473" s="478" t="s">
        <v>2186</v>
      </c>
      <c r="C473" s="1024"/>
      <c r="D473" s="874">
        <v>2</v>
      </c>
      <c r="E473" s="249" t="s">
        <v>1721</v>
      </c>
      <c r="F473" s="273" t="s">
        <v>3446</v>
      </c>
      <c r="G473" s="1040" t="s">
        <v>3463</v>
      </c>
      <c r="H473" s="273" t="s">
        <v>3462</v>
      </c>
      <c r="I473" s="720">
        <f t="shared" si="99"/>
        <v>12.92</v>
      </c>
      <c r="J473" s="756">
        <v>25.84</v>
      </c>
      <c r="K473" s="131">
        <f t="shared" si="104"/>
        <v>25.84</v>
      </c>
      <c r="L473" s="335">
        <f t="shared" si="106"/>
        <v>0</v>
      </c>
      <c r="M473" s="446"/>
      <c r="N473" s="446"/>
      <c r="O473" s="446"/>
      <c r="P473" s="446"/>
      <c r="Q473" s="130">
        <v>1</v>
      </c>
      <c r="R473" s="111">
        <v>12.92</v>
      </c>
      <c r="S473" s="110"/>
      <c r="T473" s="110"/>
      <c r="U473" s="130">
        <v>1</v>
      </c>
      <c r="V473" s="111">
        <v>12.92</v>
      </c>
      <c r="W473" s="110"/>
      <c r="X473" s="110"/>
      <c r="Y473" s="110"/>
      <c r="Z473" s="110"/>
      <c r="AA473" s="130">
        <v>0</v>
      </c>
      <c r="AB473" s="111">
        <v>0</v>
      </c>
      <c r="AC473" s="110"/>
      <c r="AD473" s="110"/>
      <c r="AE473" s="130">
        <v>0</v>
      </c>
      <c r="AF473" s="111">
        <v>0</v>
      </c>
      <c r="AG473" s="110"/>
      <c r="AH473" s="110"/>
      <c r="AI473" s="110"/>
      <c r="AJ473" s="110"/>
      <c r="AK473" s="111">
        <f t="shared" si="107"/>
        <v>25.84</v>
      </c>
      <c r="AL473" s="446">
        <f t="shared" si="108"/>
        <v>0</v>
      </c>
      <c r="AM473" s="110">
        <f t="shared" si="109"/>
        <v>2</v>
      </c>
      <c r="AN473" s="447">
        <f t="shared" si="105"/>
        <v>0</v>
      </c>
      <c r="AO473"/>
      <c r="AP473"/>
    </row>
    <row r="474" spans="1:42" ht="66" x14ac:dyDescent="0.25">
      <c r="A474" s="9"/>
      <c r="B474" s="478" t="s">
        <v>2187</v>
      </c>
      <c r="C474" s="1024"/>
      <c r="D474" s="874">
        <v>2</v>
      </c>
      <c r="E474" s="249" t="s">
        <v>1721</v>
      </c>
      <c r="F474" s="273" t="s">
        <v>3446</v>
      </c>
      <c r="G474" s="1040" t="s">
        <v>3463</v>
      </c>
      <c r="H474" s="273" t="s">
        <v>3462</v>
      </c>
      <c r="I474" s="720">
        <f t="shared" si="99"/>
        <v>12.92</v>
      </c>
      <c r="J474" s="756">
        <v>25.84</v>
      </c>
      <c r="K474" s="131">
        <f t="shared" si="104"/>
        <v>25.84</v>
      </c>
      <c r="L474" s="335">
        <f t="shared" si="106"/>
        <v>0</v>
      </c>
      <c r="M474" s="446"/>
      <c r="N474" s="446"/>
      <c r="O474" s="446"/>
      <c r="P474" s="446"/>
      <c r="Q474" s="130">
        <v>1</v>
      </c>
      <c r="R474" s="111">
        <v>12.92</v>
      </c>
      <c r="S474" s="110"/>
      <c r="T474" s="110"/>
      <c r="U474" s="130">
        <v>1</v>
      </c>
      <c r="V474" s="111">
        <v>12.92</v>
      </c>
      <c r="W474" s="110"/>
      <c r="X474" s="110"/>
      <c r="Y474" s="110"/>
      <c r="Z474" s="110"/>
      <c r="AA474" s="130">
        <v>0</v>
      </c>
      <c r="AB474" s="111">
        <v>0</v>
      </c>
      <c r="AC474" s="110"/>
      <c r="AD474" s="110"/>
      <c r="AE474" s="130">
        <v>0</v>
      </c>
      <c r="AF474" s="111">
        <v>0</v>
      </c>
      <c r="AG474" s="110"/>
      <c r="AH474" s="110"/>
      <c r="AI474" s="110"/>
      <c r="AJ474" s="110"/>
      <c r="AK474" s="111">
        <f t="shared" si="107"/>
        <v>25.84</v>
      </c>
      <c r="AL474" s="446">
        <f t="shared" si="108"/>
        <v>0</v>
      </c>
      <c r="AM474" s="110">
        <f t="shared" si="109"/>
        <v>2</v>
      </c>
      <c r="AN474" s="447">
        <f t="shared" si="105"/>
        <v>0</v>
      </c>
      <c r="AO474"/>
      <c r="AP474"/>
    </row>
    <row r="475" spans="1:42" ht="66" x14ac:dyDescent="0.25">
      <c r="A475" s="9"/>
      <c r="B475" s="478" t="s">
        <v>2188</v>
      </c>
      <c r="C475" s="1024"/>
      <c r="D475" s="874">
        <v>2</v>
      </c>
      <c r="E475" s="249" t="s">
        <v>1998</v>
      </c>
      <c r="F475" s="273" t="s">
        <v>3446</v>
      </c>
      <c r="G475" s="1040" t="s">
        <v>3463</v>
      </c>
      <c r="H475" s="273" t="s">
        <v>3462</v>
      </c>
      <c r="I475" s="720">
        <f t="shared" si="99"/>
        <v>21</v>
      </c>
      <c r="J475" s="756">
        <v>42</v>
      </c>
      <c r="K475" s="131">
        <f t="shared" si="104"/>
        <v>42</v>
      </c>
      <c r="L475" s="335">
        <f t="shared" si="106"/>
        <v>0</v>
      </c>
      <c r="M475" s="446"/>
      <c r="N475" s="446"/>
      <c r="O475" s="446"/>
      <c r="P475" s="446"/>
      <c r="Q475" s="130">
        <v>1</v>
      </c>
      <c r="R475" s="111">
        <v>21</v>
      </c>
      <c r="S475" s="110"/>
      <c r="T475" s="110"/>
      <c r="U475" s="130">
        <v>1</v>
      </c>
      <c r="V475" s="111">
        <v>21</v>
      </c>
      <c r="W475" s="110"/>
      <c r="X475" s="110"/>
      <c r="Y475" s="110"/>
      <c r="Z475" s="110"/>
      <c r="AA475" s="130">
        <v>0</v>
      </c>
      <c r="AB475" s="111">
        <v>0</v>
      </c>
      <c r="AC475" s="110"/>
      <c r="AD475" s="110"/>
      <c r="AE475" s="130">
        <v>0</v>
      </c>
      <c r="AF475" s="111">
        <v>0</v>
      </c>
      <c r="AG475" s="110"/>
      <c r="AH475" s="110"/>
      <c r="AI475" s="110"/>
      <c r="AJ475" s="110"/>
      <c r="AK475" s="111">
        <f t="shared" si="107"/>
        <v>42</v>
      </c>
      <c r="AL475" s="446">
        <f t="shared" si="108"/>
        <v>0</v>
      </c>
      <c r="AM475" s="110">
        <f t="shared" si="109"/>
        <v>2</v>
      </c>
      <c r="AN475" s="447">
        <f t="shared" si="105"/>
        <v>0</v>
      </c>
      <c r="AO475"/>
      <c r="AP475"/>
    </row>
    <row r="476" spans="1:42" ht="66" x14ac:dyDescent="0.25">
      <c r="A476" s="9"/>
      <c r="B476" s="478" t="s">
        <v>1754</v>
      </c>
      <c r="C476" s="1024"/>
      <c r="D476" s="874">
        <v>8</v>
      </c>
      <c r="E476" s="249" t="s">
        <v>1721</v>
      </c>
      <c r="F476" s="273" t="s">
        <v>3446</v>
      </c>
      <c r="G476" s="1040" t="s">
        <v>3463</v>
      </c>
      <c r="H476" s="273" t="s">
        <v>3462</v>
      </c>
      <c r="I476" s="720">
        <f t="shared" ref="I476:I539" si="113">+J476/D476</f>
        <v>200</v>
      </c>
      <c r="J476" s="756">
        <v>1600</v>
      </c>
      <c r="K476" s="131">
        <f t="shared" si="104"/>
        <v>1600</v>
      </c>
      <c r="L476" s="335">
        <f t="shared" si="106"/>
        <v>0</v>
      </c>
      <c r="M476" s="446"/>
      <c r="N476" s="446"/>
      <c r="O476" s="446"/>
      <c r="P476" s="446"/>
      <c r="Q476" s="110">
        <f t="shared" si="110"/>
        <v>2</v>
      </c>
      <c r="R476" s="111">
        <f t="shared" si="100"/>
        <v>400</v>
      </c>
      <c r="S476" s="110"/>
      <c r="T476" s="110"/>
      <c r="U476" s="110">
        <f t="shared" si="111"/>
        <v>2</v>
      </c>
      <c r="V476" s="111">
        <f t="shared" si="101"/>
        <v>400</v>
      </c>
      <c r="W476" s="110"/>
      <c r="X476" s="110"/>
      <c r="Y476" s="110"/>
      <c r="Z476" s="110"/>
      <c r="AA476" s="110">
        <f t="shared" si="112"/>
        <v>2</v>
      </c>
      <c r="AB476" s="111">
        <f t="shared" si="102"/>
        <v>400</v>
      </c>
      <c r="AC476" s="110"/>
      <c r="AD476" s="110"/>
      <c r="AE476" s="110">
        <f t="shared" si="112"/>
        <v>2</v>
      </c>
      <c r="AF476" s="111">
        <f t="shared" si="103"/>
        <v>400</v>
      </c>
      <c r="AG476" s="110"/>
      <c r="AH476" s="110"/>
      <c r="AI476" s="110"/>
      <c r="AJ476" s="110"/>
      <c r="AK476" s="111">
        <f t="shared" si="107"/>
        <v>1600</v>
      </c>
      <c r="AL476" s="446">
        <f t="shared" si="108"/>
        <v>0</v>
      </c>
      <c r="AM476" s="110">
        <f t="shared" si="109"/>
        <v>8</v>
      </c>
      <c r="AN476" s="447">
        <f t="shared" si="105"/>
        <v>0</v>
      </c>
      <c r="AO476"/>
      <c r="AP476"/>
    </row>
    <row r="477" spans="1:42" ht="66" x14ac:dyDescent="0.25">
      <c r="A477" s="9"/>
      <c r="B477" s="43" t="s">
        <v>1980</v>
      </c>
      <c r="C477" s="1024"/>
      <c r="D477" s="874">
        <v>3</v>
      </c>
      <c r="E477" s="1027" t="s">
        <v>1721</v>
      </c>
      <c r="F477" s="273" t="s">
        <v>3446</v>
      </c>
      <c r="G477" s="1040" t="s">
        <v>3463</v>
      </c>
      <c r="H477" s="273" t="s">
        <v>3462</v>
      </c>
      <c r="I477" s="720">
        <f t="shared" si="113"/>
        <v>173.7216</v>
      </c>
      <c r="J477" s="756">
        <v>521.16480000000001</v>
      </c>
      <c r="K477" s="131">
        <f t="shared" si="104"/>
        <v>521.16480000000001</v>
      </c>
      <c r="L477" s="335">
        <f t="shared" si="106"/>
        <v>0</v>
      </c>
      <c r="M477" s="446"/>
      <c r="N477" s="446"/>
      <c r="O477" s="446"/>
      <c r="P477" s="446"/>
      <c r="Q477" s="130">
        <v>1</v>
      </c>
      <c r="R477" s="111">
        <v>173.72</v>
      </c>
      <c r="S477" s="110"/>
      <c r="T477" s="110"/>
      <c r="U477" s="130">
        <v>1</v>
      </c>
      <c r="V477" s="111">
        <v>173.72</v>
      </c>
      <c r="W477" s="110"/>
      <c r="X477" s="110"/>
      <c r="Y477" s="110"/>
      <c r="Z477" s="110"/>
      <c r="AA477" s="130">
        <v>1</v>
      </c>
      <c r="AB477" s="111">
        <v>173.72</v>
      </c>
      <c r="AC477" s="110"/>
      <c r="AD477" s="110"/>
      <c r="AE477" s="130">
        <v>0</v>
      </c>
      <c r="AF477" s="111">
        <v>0</v>
      </c>
      <c r="AG477" s="110"/>
      <c r="AH477" s="110"/>
      <c r="AI477" s="110"/>
      <c r="AJ477" s="110"/>
      <c r="AK477" s="111">
        <f t="shared" si="107"/>
        <v>521.16</v>
      </c>
      <c r="AL477" s="446">
        <f t="shared" si="108"/>
        <v>4.8000000000456566E-3</v>
      </c>
      <c r="AM477" s="110">
        <f t="shared" si="109"/>
        <v>3</v>
      </c>
      <c r="AN477" s="447">
        <f t="shared" si="105"/>
        <v>0</v>
      </c>
      <c r="AO477"/>
      <c r="AP477"/>
    </row>
    <row r="478" spans="1:42" ht="66" x14ac:dyDescent="0.25">
      <c r="A478" s="9"/>
      <c r="B478" s="43" t="s">
        <v>32</v>
      </c>
      <c r="C478" s="1024"/>
      <c r="D478" s="874">
        <v>5</v>
      </c>
      <c r="E478" s="1027" t="s">
        <v>1721</v>
      </c>
      <c r="F478" s="273" t="s">
        <v>3446</v>
      </c>
      <c r="G478" s="1040" t="s">
        <v>3463</v>
      </c>
      <c r="H478" s="273" t="s">
        <v>3462</v>
      </c>
      <c r="I478" s="720">
        <f t="shared" si="113"/>
        <v>17.376799999999999</v>
      </c>
      <c r="J478" s="756">
        <v>86.884</v>
      </c>
      <c r="K478" s="131">
        <f t="shared" si="104"/>
        <v>86.884</v>
      </c>
      <c r="L478" s="335">
        <f t="shared" si="106"/>
        <v>0</v>
      </c>
      <c r="M478" s="446"/>
      <c r="N478" s="446"/>
      <c r="O478" s="446"/>
      <c r="P478" s="446"/>
      <c r="Q478" s="110">
        <v>2</v>
      </c>
      <c r="R478" s="111">
        <f>17.38*2</f>
        <v>34.76</v>
      </c>
      <c r="S478" s="110"/>
      <c r="T478" s="110"/>
      <c r="U478" s="110">
        <v>1</v>
      </c>
      <c r="V478" s="111">
        <v>17.38</v>
      </c>
      <c r="W478" s="110"/>
      <c r="X478" s="110"/>
      <c r="Y478" s="110"/>
      <c r="Z478" s="110"/>
      <c r="AA478" s="110">
        <v>1</v>
      </c>
      <c r="AB478" s="111">
        <v>17.38</v>
      </c>
      <c r="AC478" s="110"/>
      <c r="AD478" s="110"/>
      <c r="AE478" s="110">
        <v>1</v>
      </c>
      <c r="AF478" s="111">
        <v>17.38</v>
      </c>
      <c r="AG478" s="110"/>
      <c r="AH478" s="110"/>
      <c r="AI478" s="110"/>
      <c r="AJ478" s="110"/>
      <c r="AK478" s="111">
        <f t="shared" si="107"/>
        <v>86.899999999999991</v>
      </c>
      <c r="AL478" s="446">
        <f t="shared" si="108"/>
        <v>-1.5999999999991132E-2</v>
      </c>
      <c r="AM478" s="110">
        <f t="shared" si="109"/>
        <v>5</v>
      </c>
      <c r="AN478" s="447">
        <f t="shared" si="105"/>
        <v>0</v>
      </c>
      <c r="AO478"/>
      <c r="AP478"/>
    </row>
    <row r="479" spans="1:42" ht="66" x14ac:dyDescent="0.25">
      <c r="A479" s="9"/>
      <c r="B479" s="43" t="s">
        <v>35</v>
      </c>
      <c r="C479" s="1024"/>
      <c r="D479" s="874">
        <v>5</v>
      </c>
      <c r="E479" s="1027" t="s">
        <v>1721</v>
      </c>
      <c r="F479" s="273" t="s">
        <v>3446</v>
      </c>
      <c r="G479" s="1040" t="s">
        <v>3463</v>
      </c>
      <c r="H479" s="273" t="s">
        <v>3462</v>
      </c>
      <c r="I479" s="720">
        <f t="shared" si="113"/>
        <v>17.376799999999999</v>
      </c>
      <c r="J479" s="756">
        <v>86.884</v>
      </c>
      <c r="K479" s="131">
        <f t="shared" si="104"/>
        <v>86.884</v>
      </c>
      <c r="L479" s="335">
        <f t="shared" si="106"/>
        <v>0</v>
      </c>
      <c r="M479" s="446"/>
      <c r="N479" s="446"/>
      <c r="O479" s="446"/>
      <c r="P479" s="446"/>
      <c r="Q479" s="110">
        <v>2</v>
      </c>
      <c r="R479" s="111">
        <f>17.38*2</f>
        <v>34.76</v>
      </c>
      <c r="S479" s="110"/>
      <c r="T479" s="110"/>
      <c r="U479" s="110">
        <v>1</v>
      </c>
      <c r="V479" s="111">
        <v>17.38</v>
      </c>
      <c r="W479" s="110"/>
      <c r="X479" s="110"/>
      <c r="Y479" s="110"/>
      <c r="Z479" s="110"/>
      <c r="AA479" s="110">
        <v>1</v>
      </c>
      <c r="AB479" s="111">
        <v>17.38</v>
      </c>
      <c r="AC479" s="110"/>
      <c r="AD479" s="110"/>
      <c r="AE479" s="110">
        <v>1</v>
      </c>
      <c r="AF479" s="111">
        <v>17.38</v>
      </c>
      <c r="AG479" s="110"/>
      <c r="AH479" s="110"/>
      <c r="AI479" s="110"/>
      <c r="AJ479" s="110"/>
      <c r="AK479" s="111">
        <f t="shared" si="107"/>
        <v>86.899999999999991</v>
      </c>
      <c r="AL479" s="446">
        <f t="shared" si="108"/>
        <v>-1.5999999999991132E-2</v>
      </c>
      <c r="AM479" s="110">
        <f t="shared" si="109"/>
        <v>5</v>
      </c>
      <c r="AN479" s="447">
        <f t="shared" si="105"/>
        <v>0</v>
      </c>
      <c r="AO479"/>
      <c r="AP479"/>
    </row>
    <row r="480" spans="1:42" ht="66" x14ac:dyDescent="0.25">
      <c r="A480" s="9"/>
      <c r="B480" s="43" t="s">
        <v>222</v>
      </c>
      <c r="C480" s="1024"/>
      <c r="D480" s="874">
        <v>2</v>
      </c>
      <c r="E480" s="1027" t="s">
        <v>1721</v>
      </c>
      <c r="F480" s="273" t="s">
        <v>3446</v>
      </c>
      <c r="G480" s="1040" t="s">
        <v>3463</v>
      </c>
      <c r="H480" s="273" t="s">
        <v>3462</v>
      </c>
      <c r="I480" s="720">
        <f t="shared" si="113"/>
        <v>12.4236</v>
      </c>
      <c r="J480" s="756">
        <v>24.847200000000001</v>
      </c>
      <c r="K480" s="131">
        <f t="shared" si="104"/>
        <v>24.847200000000001</v>
      </c>
      <c r="L480" s="335">
        <f t="shared" si="106"/>
        <v>0</v>
      </c>
      <c r="M480" s="446"/>
      <c r="N480" s="446"/>
      <c r="O480" s="446"/>
      <c r="P480" s="446"/>
      <c r="Q480" s="130">
        <v>1</v>
      </c>
      <c r="R480" s="111">
        <v>12.42</v>
      </c>
      <c r="S480" s="110"/>
      <c r="T480" s="110"/>
      <c r="U480" s="130">
        <v>1</v>
      </c>
      <c r="V480" s="111">
        <v>12.42</v>
      </c>
      <c r="W480" s="110"/>
      <c r="X480" s="110"/>
      <c r="Y480" s="110"/>
      <c r="Z480" s="110"/>
      <c r="AA480" s="130">
        <v>0</v>
      </c>
      <c r="AB480" s="111">
        <v>0</v>
      </c>
      <c r="AC480" s="110"/>
      <c r="AD480" s="110"/>
      <c r="AE480" s="130">
        <v>0</v>
      </c>
      <c r="AF480" s="111">
        <v>0</v>
      </c>
      <c r="AG480" s="110"/>
      <c r="AH480" s="110"/>
      <c r="AI480" s="110"/>
      <c r="AJ480" s="110"/>
      <c r="AK480" s="111">
        <f t="shared" si="107"/>
        <v>24.84</v>
      </c>
      <c r="AL480" s="446">
        <f t="shared" si="108"/>
        <v>7.2000000000009834E-3</v>
      </c>
      <c r="AM480" s="110">
        <f t="shared" si="109"/>
        <v>2</v>
      </c>
      <c r="AN480" s="447">
        <f t="shared" si="105"/>
        <v>0</v>
      </c>
      <c r="AO480"/>
      <c r="AP480"/>
    </row>
    <row r="481" spans="1:42" ht="66" x14ac:dyDescent="0.25">
      <c r="A481" s="9"/>
      <c r="B481" s="43" t="s">
        <v>57</v>
      </c>
      <c r="C481" s="1024"/>
      <c r="D481" s="874">
        <v>5</v>
      </c>
      <c r="E481" s="1027" t="s">
        <v>1722</v>
      </c>
      <c r="F481" s="273" t="s">
        <v>3446</v>
      </c>
      <c r="G481" s="1040" t="s">
        <v>3463</v>
      </c>
      <c r="H481" s="273" t="s">
        <v>3462</v>
      </c>
      <c r="I481" s="720">
        <f t="shared" si="113"/>
        <v>28.246000000000002</v>
      </c>
      <c r="J481" s="756">
        <v>141.23000000000002</v>
      </c>
      <c r="K481" s="131">
        <f t="shared" si="104"/>
        <v>141.23000000000002</v>
      </c>
      <c r="L481" s="335">
        <f t="shared" si="106"/>
        <v>0</v>
      </c>
      <c r="M481" s="446"/>
      <c r="N481" s="446"/>
      <c r="O481" s="446"/>
      <c r="P481" s="446"/>
      <c r="Q481" s="110">
        <v>2</v>
      </c>
      <c r="R481" s="111">
        <f t="shared" si="100"/>
        <v>35.307500000000005</v>
      </c>
      <c r="S481" s="110"/>
      <c r="T481" s="110"/>
      <c r="U481" s="110">
        <v>1</v>
      </c>
      <c r="V481" s="111">
        <f t="shared" si="101"/>
        <v>35.307500000000005</v>
      </c>
      <c r="W481" s="110"/>
      <c r="X481" s="110"/>
      <c r="Y481" s="110"/>
      <c r="Z481" s="110"/>
      <c r="AA481" s="110">
        <v>1</v>
      </c>
      <c r="AB481" s="111">
        <f t="shared" si="102"/>
        <v>35.307500000000005</v>
      </c>
      <c r="AC481" s="110"/>
      <c r="AD481" s="110"/>
      <c r="AE481" s="110">
        <v>1</v>
      </c>
      <c r="AF481" s="111">
        <f t="shared" si="103"/>
        <v>35.307500000000005</v>
      </c>
      <c r="AG481" s="110"/>
      <c r="AH481" s="110"/>
      <c r="AI481" s="110"/>
      <c r="AJ481" s="110"/>
      <c r="AK481" s="111">
        <f t="shared" si="107"/>
        <v>141.23000000000002</v>
      </c>
      <c r="AL481" s="446">
        <f t="shared" si="108"/>
        <v>0</v>
      </c>
      <c r="AM481" s="110">
        <f t="shared" si="109"/>
        <v>5</v>
      </c>
      <c r="AN481" s="447">
        <f t="shared" si="105"/>
        <v>0</v>
      </c>
      <c r="AO481"/>
      <c r="AP481"/>
    </row>
    <row r="482" spans="1:42" ht="66" x14ac:dyDescent="0.25">
      <c r="A482" s="9"/>
      <c r="B482" s="43" t="s">
        <v>61</v>
      </c>
      <c r="C482" s="1024"/>
      <c r="D482" s="874">
        <v>2</v>
      </c>
      <c r="E482" s="1027" t="s">
        <v>1722</v>
      </c>
      <c r="F482" s="273" t="s">
        <v>3446</v>
      </c>
      <c r="G482" s="1040" t="s">
        <v>3463</v>
      </c>
      <c r="H482" s="273" t="s">
        <v>3462</v>
      </c>
      <c r="I482" s="720">
        <f t="shared" si="113"/>
        <v>30.345600000000001</v>
      </c>
      <c r="J482" s="756">
        <v>60.691200000000002</v>
      </c>
      <c r="K482" s="131">
        <f t="shared" si="104"/>
        <v>60.691200000000002</v>
      </c>
      <c r="L482" s="335">
        <f t="shared" si="106"/>
        <v>0</v>
      </c>
      <c r="M482" s="446"/>
      <c r="N482" s="446"/>
      <c r="O482" s="446"/>
      <c r="P482" s="446"/>
      <c r="Q482" s="130">
        <v>1</v>
      </c>
      <c r="R482" s="111">
        <v>30.35</v>
      </c>
      <c r="S482" s="110"/>
      <c r="T482" s="110"/>
      <c r="U482" s="130">
        <v>1</v>
      </c>
      <c r="V482" s="111">
        <v>30.35</v>
      </c>
      <c r="W482" s="110"/>
      <c r="X482" s="110"/>
      <c r="Y482" s="110"/>
      <c r="Z482" s="110"/>
      <c r="AA482" s="130">
        <v>0</v>
      </c>
      <c r="AB482" s="111">
        <v>0</v>
      </c>
      <c r="AC482" s="110"/>
      <c r="AD482" s="110"/>
      <c r="AE482" s="130">
        <v>0</v>
      </c>
      <c r="AF482" s="111">
        <v>0</v>
      </c>
      <c r="AG482" s="110"/>
      <c r="AH482" s="110"/>
      <c r="AI482" s="110"/>
      <c r="AJ482" s="110"/>
      <c r="AK482" s="111">
        <f t="shared" si="107"/>
        <v>60.7</v>
      </c>
      <c r="AL482" s="446">
        <f t="shared" si="108"/>
        <v>-8.8000000000008072E-3</v>
      </c>
      <c r="AM482" s="110">
        <f t="shared" si="109"/>
        <v>2</v>
      </c>
      <c r="AN482" s="447">
        <f t="shared" si="105"/>
        <v>0</v>
      </c>
      <c r="AO482"/>
      <c r="AP482"/>
    </row>
    <row r="483" spans="1:42" ht="66" x14ac:dyDescent="0.25">
      <c r="A483" s="9"/>
      <c r="B483" s="43" t="s">
        <v>59</v>
      </c>
      <c r="C483" s="1024"/>
      <c r="D483" s="874">
        <v>8</v>
      </c>
      <c r="E483" s="1027" t="s">
        <v>1721</v>
      </c>
      <c r="F483" s="273" t="s">
        <v>3446</v>
      </c>
      <c r="G483" s="1040" t="s">
        <v>3463</v>
      </c>
      <c r="H483" s="273" t="s">
        <v>3462</v>
      </c>
      <c r="I483" s="720">
        <f t="shared" si="113"/>
        <v>31.691200000000002</v>
      </c>
      <c r="J483" s="756">
        <v>253.52960000000002</v>
      </c>
      <c r="K483" s="131">
        <f t="shared" si="104"/>
        <v>253.52960000000002</v>
      </c>
      <c r="L483" s="335">
        <f t="shared" si="106"/>
        <v>0</v>
      </c>
      <c r="M483" s="446"/>
      <c r="N483" s="446"/>
      <c r="O483" s="446"/>
      <c r="P483" s="446"/>
      <c r="Q483" s="110">
        <f t="shared" si="110"/>
        <v>2</v>
      </c>
      <c r="R483" s="111">
        <f t="shared" si="100"/>
        <v>63.382400000000004</v>
      </c>
      <c r="S483" s="110"/>
      <c r="T483" s="110"/>
      <c r="U483" s="110">
        <f t="shared" si="111"/>
        <v>2</v>
      </c>
      <c r="V483" s="111">
        <f t="shared" si="101"/>
        <v>63.382400000000004</v>
      </c>
      <c r="W483" s="110"/>
      <c r="X483" s="110"/>
      <c r="Y483" s="110"/>
      <c r="Z483" s="110"/>
      <c r="AA483" s="110">
        <f t="shared" si="112"/>
        <v>2</v>
      </c>
      <c r="AB483" s="111">
        <f t="shared" si="102"/>
        <v>63.382400000000004</v>
      </c>
      <c r="AC483" s="110"/>
      <c r="AD483" s="110"/>
      <c r="AE483" s="110">
        <f t="shared" si="112"/>
        <v>2</v>
      </c>
      <c r="AF483" s="111">
        <f t="shared" si="103"/>
        <v>63.382400000000004</v>
      </c>
      <c r="AG483" s="110"/>
      <c r="AH483" s="110"/>
      <c r="AI483" s="110"/>
      <c r="AJ483" s="110"/>
      <c r="AK483" s="111">
        <f t="shared" si="107"/>
        <v>253.52960000000002</v>
      </c>
      <c r="AL483" s="446">
        <f t="shared" si="108"/>
        <v>0</v>
      </c>
      <c r="AM483" s="110">
        <f t="shared" si="109"/>
        <v>8</v>
      </c>
      <c r="AN483" s="447">
        <f t="shared" si="105"/>
        <v>0</v>
      </c>
      <c r="AO483"/>
      <c r="AP483"/>
    </row>
    <row r="484" spans="1:42" ht="66" x14ac:dyDescent="0.25">
      <c r="A484" s="9"/>
      <c r="B484" s="43" t="s">
        <v>52</v>
      </c>
      <c r="C484" s="1024"/>
      <c r="D484" s="874">
        <v>6</v>
      </c>
      <c r="E484" s="1027" t="s">
        <v>1721</v>
      </c>
      <c r="F484" s="273" t="s">
        <v>3446</v>
      </c>
      <c r="G484" s="1040" t="s">
        <v>3463</v>
      </c>
      <c r="H484" s="273" t="s">
        <v>3462</v>
      </c>
      <c r="I484" s="720">
        <f t="shared" si="113"/>
        <v>17.376799999999999</v>
      </c>
      <c r="J484" s="756">
        <v>104.26079999999999</v>
      </c>
      <c r="K484" s="131">
        <f t="shared" si="104"/>
        <v>104.26079999999999</v>
      </c>
      <c r="L484" s="335">
        <f t="shared" si="106"/>
        <v>0</v>
      </c>
      <c r="M484" s="446"/>
      <c r="N484" s="446"/>
      <c r="O484" s="446"/>
      <c r="P484" s="446"/>
      <c r="Q484" s="130">
        <v>2</v>
      </c>
      <c r="R484" s="111">
        <f t="shared" si="100"/>
        <v>26.065199999999997</v>
      </c>
      <c r="S484" s="110"/>
      <c r="T484" s="110"/>
      <c r="U484" s="130">
        <v>2</v>
      </c>
      <c r="V484" s="111">
        <f t="shared" si="101"/>
        <v>26.065199999999997</v>
      </c>
      <c r="W484" s="110"/>
      <c r="X484" s="110"/>
      <c r="Y484" s="110"/>
      <c r="Z484" s="110"/>
      <c r="AA484" s="130">
        <v>1</v>
      </c>
      <c r="AB484" s="111">
        <f t="shared" si="102"/>
        <v>26.065199999999997</v>
      </c>
      <c r="AC484" s="110"/>
      <c r="AD484" s="110"/>
      <c r="AE484" s="130">
        <v>1</v>
      </c>
      <c r="AF484" s="111">
        <f t="shared" si="103"/>
        <v>26.065199999999997</v>
      </c>
      <c r="AG484" s="110"/>
      <c r="AH484" s="110"/>
      <c r="AI484" s="110"/>
      <c r="AJ484" s="110"/>
      <c r="AK484" s="111">
        <f t="shared" si="107"/>
        <v>104.26079999999999</v>
      </c>
      <c r="AL484" s="446">
        <f t="shared" si="108"/>
        <v>0</v>
      </c>
      <c r="AM484" s="110">
        <f t="shared" si="109"/>
        <v>6</v>
      </c>
      <c r="AN484" s="447">
        <f t="shared" si="105"/>
        <v>0</v>
      </c>
      <c r="AO484"/>
      <c r="AP484"/>
    </row>
    <row r="485" spans="1:42" ht="66" x14ac:dyDescent="0.25">
      <c r="A485" s="9"/>
      <c r="B485" s="43" t="s">
        <v>23</v>
      </c>
      <c r="C485" s="1024"/>
      <c r="D485" s="874">
        <v>15</v>
      </c>
      <c r="E485" s="1027" t="s">
        <v>1721</v>
      </c>
      <c r="F485" s="273" t="s">
        <v>3446</v>
      </c>
      <c r="G485" s="1040" t="s">
        <v>3463</v>
      </c>
      <c r="H485" s="273" t="s">
        <v>3462</v>
      </c>
      <c r="I485" s="720">
        <f t="shared" si="113"/>
        <v>4.1875999999999998</v>
      </c>
      <c r="J485" s="756">
        <v>62.813999999999993</v>
      </c>
      <c r="K485" s="131">
        <f t="shared" si="104"/>
        <v>62.813999999999993</v>
      </c>
      <c r="L485" s="335">
        <f t="shared" si="106"/>
        <v>0</v>
      </c>
      <c r="M485" s="446"/>
      <c r="N485" s="446"/>
      <c r="O485" s="446"/>
      <c r="P485" s="446"/>
      <c r="Q485" s="110">
        <v>4</v>
      </c>
      <c r="R485" s="111">
        <f t="shared" si="100"/>
        <v>15.703499999999998</v>
      </c>
      <c r="S485" s="110"/>
      <c r="T485" s="110"/>
      <c r="U485" s="110">
        <v>4</v>
      </c>
      <c r="V485" s="111">
        <f t="shared" si="101"/>
        <v>15.703499999999998</v>
      </c>
      <c r="W485" s="110"/>
      <c r="X485" s="110"/>
      <c r="Y485" s="110"/>
      <c r="Z485" s="110"/>
      <c r="AA485" s="110">
        <v>4</v>
      </c>
      <c r="AB485" s="111">
        <f t="shared" si="102"/>
        <v>15.703499999999998</v>
      </c>
      <c r="AC485" s="110"/>
      <c r="AD485" s="110"/>
      <c r="AE485" s="110">
        <v>3</v>
      </c>
      <c r="AF485" s="111">
        <f t="shared" si="103"/>
        <v>15.703499999999998</v>
      </c>
      <c r="AG485" s="110"/>
      <c r="AH485" s="110"/>
      <c r="AI485" s="110"/>
      <c r="AJ485" s="110"/>
      <c r="AK485" s="111">
        <f t="shared" si="107"/>
        <v>62.813999999999993</v>
      </c>
      <c r="AL485" s="446">
        <f t="shared" si="108"/>
        <v>0</v>
      </c>
      <c r="AM485" s="110">
        <f t="shared" si="109"/>
        <v>15</v>
      </c>
      <c r="AN485" s="447">
        <f t="shared" si="105"/>
        <v>0</v>
      </c>
      <c r="AO485"/>
      <c r="AP485"/>
    </row>
    <row r="486" spans="1:42" ht="28.5" customHeight="1" x14ac:dyDescent="0.25">
      <c r="A486" s="9"/>
      <c r="B486" s="43" t="s">
        <v>25</v>
      </c>
      <c r="C486" s="1024"/>
      <c r="D486" s="874">
        <v>4</v>
      </c>
      <c r="E486" s="1027" t="s">
        <v>1722</v>
      </c>
      <c r="F486" s="273" t="s">
        <v>3446</v>
      </c>
      <c r="G486" s="1040" t="s">
        <v>3463</v>
      </c>
      <c r="H486" s="273" t="s">
        <v>3462</v>
      </c>
      <c r="I486" s="720">
        <f t="shared" si="113"/>
        <v>46.736399999999996</v>
      </c>
      <c r="J486" s="756">
        <v>186.94559999999998</v>
      </c>
      <c r="K486" s="131">
        <f t="shared" si="104"/>
        <v>186.94559999999998</v>
      </c>
      <c r="L486" s="335">
        <f t="shared" si="106"/>
        <v>0</v>
      </c>
      <c r="M486" s="446"/>
      <c r="N486" s="446"/>
      <c r="O486" s="446"/>
      <c r="P486" s="446"/>
      <c r="Q486" s="110">
        <f t="shared" si="110"/>
        <v>1</v>
      </c>
      <c r="R486" s="111">
        <f t="shared" si="100"/>
        <v>46.736399999999996</v>
      </c>
      <c r="S486" s="110"/>
      <c r="T486" s="110"/>
      <c r="U486" s="110">
        <f t="shared" si="111"/>
        <v>1</v>
      </c>
      <c r="V486" s="111">
        <f t="shared" si="101"/>
        <v>46.736399999999996</v>
      </c>
      <c r="W486" s="110"/>
      <c r="X486" s="110"/>
      <c r="Y486" s="110"/>
      <c r="Z486" s="110"/>
      <c r="AA486" s="110">
        <f t="shared" si="112"/>
        <v>1</v>
      </c>
      <c r="AB486" s="111">
        <f t="shared" si="102"/>
        <v>46.736399999999996</v>
      </c>
      <c r="AC486" s="110"/>
      <c r="AD486" s="110"/>
      <c r="AE486" s="110">
        <f t="shared" si="112"/>
        <v>1</v>
      </c>
      <c r="AF486" s="111">
        <f t="shared" si="103"/>
        <v>46.736399999999996</v>
      </c>
      <c r="AG486" s="110"/>
      <c r="AH486" s="110"/>
      <c r="AI486" s="110"/>
      <c r="AJ486" s="110"/>
      <c r="AK486" s="111">
        <f t="shared" si="107"/>
        <v>186.94559999999998</v>
      </c>
      <c r="AL486" s="446">
        <f t="shared" si="108"/>
        <v>0</v>
      </c>
      <c r="AM486" s="110">
        <f t="shared" si="109"/>
        <v>4</v>
      </c>
      <c r="AN486" s="447">
        <f t="shared" si="105"/>
        <v>0</v>
      </c>
      <c r="AO486"/>
      <c r="AP486"/>
    </row>
    <row r="487" spans="1:42" ht="66" x14ac:dyDescent="0.25">
      <c r="A487" s="9"/>
      <c r="B487" s="43" t="s">
        <v>46</v>
      </c>
      <c r="C487" s="1024"/>
      <c r="D487" s="874">
        <v>6</v>
      </c>
      <c r="E487" s="1027" t="s">
        <v>1722</v>
      </c>
      <c r="F487" s="273" t="s">
        <v>3446</v>
      </c>
      <c r="G487" s="1040" t="s">
        <v>3463</v>
      </c>
      <c r="H487" s="273" t="s">
        <v>3462</v>
      </c>
      <c r="I487" s="720">
        <f t="shared" si="113"/>
        <v>12.1684</v>
      </c>
      <c r="J487" s="756">
        <v>73.010400000000004</v>
      </c>
      <c r="K487" s="131">
        <f t="shared" si="104"/>
        <v>73.010400000000004</v>
      </c>
      <c r="L487" s="335">
        <f t="shared" si="106"/>
        <v>0</v>
      </c>
      <c r="M487" s="446"/>
      <c r="N487" s="446"/>
      <c r="O487" s="446"/>
      <c r="P487" s="446"/>
      <c r="Q487" s="130">
        <v>3</v>
      </c>
      <c r="R487" s="111">
        <f>12.17*3</f>
        <v>36.51</v>
      </c>
      <c r="S487" s="110"/>
      <c r="T487" s="110"/>
      <c r="U487" s="130">
        <v>3</v>
      </c>
      <c r="V487" s="111">
        <f>12.17*3</f>
        <v>36.51</v>
      </c>
      <c r="W487" s="110"/>
      <c r="X487" s="110"/>
      <c r="Y487" s="110"/>
      <c r="Z487" s="110"/>
      <c r="AA487" s="130">
        <v>0</v>
      </c>
      <c r="AB487" s="111">
        <v>0</v>
      </c>
      <c r="AC487" s="110"/>
      <c r="AD487" s="110"/>
      <c r="AE487" s="130">
        <v>0</v>
      </c>
      <c r="AF487" s="111">
        <v>0</v>
      </c>
      <c r="AG487" s="110"/>
      <c r="AH487" s="110"/>
      <c r="AI487" s="110"/>
      <c r="AJ487" s="110"/>
      <c r="AK487" s="111">
        <f t="shared" si="107"/>
        <v>73.02</v>
      </c>
      <c r="AL487" s="446">
        <f t="shared" si="108"/>
        <v>-9.5999999999918373E-3</v>
      </c>
      <c r="AM487" s="110">
        <f t="shared" si="109"/>
        <v>6</v>
      </c>
      <c r="AN487" s="447">
        <f t="shared" si="105"/>
        <v>0</v>
      </c>
      <c r="AO487"/>
      <c r="AP487"/>
    </row>
    <row r="488" spans="1:42" ht="66" x14ac:dyDescent="0.25">
      <c r="A488" s="9"/>
      <c r="B488" s="43" t="s">
        <v>45</v>
      </c>
      <c r="C488" s="1024"/>
      <c r="D488" s="874">
        <v>2</v>
      </c>
      <c r="E488" s="1027" t="s">
        <v>1722</v>
      </c>
      <c r="F488" s="273" t="s">
        <v>3446</v>
      </c>
      <c r="G488" s="1040" t="s">
        <v>3463</v>
      </c>
      <c r="H488" s="273" t="s">
        <v>3462</v>
      </c>
      <c r="I488" s="720">
        <f t="shared" si="113"/>
        <v>13.896800000000001</v>
      </c>
      <c r="J488" s="756">
        <v>27.793600000000001</v>
      </c>
      <c r="K488" s="131">
        <f t="shared" si="104"/>
        <v>27.793600000000001</v>
      </c>
      <c r="L488" s="335">
        <f t="shared" si="106"/>
        <v>0</v>
      </c>
      <c r="M488" s="446"/>
      <c r="N488" s="446"/>
      <c r="O488" s="446"/>
      <c r="P488" s="446"/>
      <c r="Q488" s="130">
        <v>1</v>
      </c>
      <c r="R488" s="111">
        <v>13.9</v>
      </c>
      <c r="S488" s="110"/>
      <c r="T488" s="110"/>
      <c r="U488" s="130">
        <v>1</v>
      </c>
      <c r="V488" s="111">
        <v>13.9</v>
      </c>
      <c r="W488" s="110"/>
      <c r="X488" s="110"/>
      <c r="Y488" s="110"/>
      <c r="Z488" s="110"/>
      <c r="AA488" s="130">
        <v>0</v>
      </c>
      <c r="AB488" s="111">
        <v>0</v>
      </c>
      <c r="AC488" s="110"/>
      <c r="AD488" s="110"/>
      <c r="AE488" s="130">
        <v>0</v>
      </c>
      <c r="AF488" s="111">
        <v>0</v>
      </c>
      <c r="AG488" s="110"/>
      <c r="AH488" s="110"/>
      <c r="AI488" s="110"/>
      <c r="AJ488" s="110"/>
      <c r="AK488" s="111">
        <f t="shared" si="107"/>
        <v>27.8</v>
      </c>
      <c r="AL488" s="446">
        <f t="shared" si="108"/>
        <v>-6.3999999999992951E-3</v>
      </c>
      <c r="AM488" s="110">
        <f t="shared" si="109"/>
        <v>2</v>
      </c>
      <c r="AN488" s="447">
        <f t="shared" si="105"/>
        <v>0</v>
      </c>
      <c r="AO488"/>
      <c r="AP488"/>
    </row>
    <row r="489" spans="1:42" ht="66" x14ac:dyDescent="0.25">
      <c r="A489" s="9"/>
      <c r="B489" s="43" t="s">
        <v>2202</v>
      </c>
      <c r="C489" s="1024"/>
      <c r="D489" s="869">
        <v>2</v>
      </c>
      <c r="E489" s="1027" t="s">
        <v>1722</v>
      </c>
      <c r="F489" s="273" t="s">
        <v>3446</v>
      </c>
      <c r="G489" s="1040" t="s">
        <v>3463</v>
      </c>
      <c r="H489" s="273" t="s">
        <v>3462</v>
      </c>
      <c r="I489" s="720">
        <f t="shared" si="113"/>
        <v>28.246000000000002</v>
      </c>
      <c r="J489" s="756">
        <v>56.492000000000004</v>
      </c>
      <c r="K489" s="131">
        <f t="shared" si="104"/>
        <v>56.492000000000004</v>
      </c>
      <c r="L489" s="335">
        <f t="shared" si="106"/>
        <v>0</v>
      </c>
      <c r="M489" s="446"/>
      <c r="N489" s="446"/>
      <c r="O489" s="446"/>
      <c r="P489" s="446"/>
      <c r="Q489" s="130">
        <v>1</v>
      </c>
      <c r="R489" s="111">
        <v>28.25</v>
      </c>
      <c r="S489" s="110"/>
      <c r="T489" s="110"/>
      <c r="U489" s="130">
        <v>1</v>
      </c>
      <c r="V489" s="111">
        <v>28.25</v>
      </c>
      <c r="W489" s="110"/>
      <c r="X489" s="110"/>
      <c r="Y489" s="110"/>
      <c r="Z489" s="110"/>
      <c r="AA489" s="130">
        <v>0</v>
      </c>
      <c r="AB489" s="111">
        <v>0</v>
      </c>
      <c r="AC489" s="110"/>
      <c r="AD489" s="110"/>
      <c r="AE489" s="130">
        <v>0</v>
      </c>
      <c r="AF489" s="111">
        <v>0</v>
      </c>
      <c r="AG489" s="110"/>
      <c r="AH489" s="110"/>
      <c r="AI489" s="110"/>
      <c r="AJ489" s="110"/>
      <c r="AK489" s="111">
        <f t="shared" si="107"/>
        <v>56.5</v>
      </c>
      <c r="AL489" s="446">
        <f t="shared" si="108"/>
        <v>-7.9999999999955662E-3</v>
      </c>
      <c r="AM489" s="110">
        <f t="shared" si="109"/>
        <v>2</v>
      </c>
      <c r="AN489" s="447">
        <f t="shared" si="105"/>
        <v>0</v>
      </c>
      <c r="AO489"/>
      <c r="AP489"/>
    </row>
    <row r="490" spans="1:42" ht="66" x14ac:dyDescent="0.25">
      <c r="A490" s="9"/>
      <c r="B490" s="43" t="s">
        <v>1715</v>
      </c>
      <c r="C490" s="1024"/>
      <c r="D490" s="869">
        <v>3</v>
      </c>
      <c r="E490" s="1027" t="s">
        <v>1721</v>
      </c>
      <c r="F490" s="273" t="s">
        <v>3446</v>
      </c>
      <c r="G490" s="1040" t="s">
        <v>3463</v>
      </c>
      <c r="H490" s="273" t="s">
        <v>3462</v>
      </c>
      <c r="I490" s="720">
        <f t="shared" si="113"/>
        <v>111.90519999999999</v>
      </c>
      <c r="J490" s="756">
        <v>335.71559999999999</v>
      </c>
      <c r="K490" s="131">
        <f t="shared" si="104"/>
        <v>335.71559999999999</v>
      </c>
      <c r="L490" s="335">
        <f t="shared" si="106"/>
        <v>0</v>
      </c>
      <c r="M490" s="446"/>
      <c r="N490" s="446"/>
      <c r="O490" s="446"/>
      <c r="P490" s="446"/>
      <c r="Q490" s="130">
        <v>1</v>
      </c>
      <c r="R490" s="111">
        <v>111.91</v>
      </c>
      <c r="S490" s="110"/>
      <c r="T490" s="110"/>
      <c r="U490" s="130">
        <v>1</v>
      </c>
      <c r="V490" s="111">
        <v>111.91</v>
      </c>
      <c r="W490" s="110"/>
      <c r="X490" s="110"/>
      <c r="Y490" s="110"/>
      <c r="Z490" s="110"/>
      <c r="AA490" s="130">
        <v>1</v>
      </c>
      <c r="AB490" s="111">
        <v>111.91</v>
      </c>
      <c r="AC490" s="110"/>
      <c r="AD490" s="110"/>
      <c r="AE490" s="130">
        <v>0</v>
      </c>
      <c r="AF490" s="111">
        <v>0</v>
      </c>
      <c r="AG490" s="110"/>
      <c r="AH490" s="110"/>
      <c r="AI490" s="110"/>
      <c r="AJ490" s="110"/>
      <c r="AK490" s="111">
        <f t="shared" si="107"/>
        <v>335.73</v>
      </c>
      <c r="AL490" s="446">
        <f t="shared" si="108"/>
        <v>-1.4400000000023283E-2</v>
      </c>
      <c r="AM490" s="110">
        <f t="shared" si="109"/>
        <v>3</v>
      </c>
      <c r="AN490" s="447">
        <f t="shared" si="105"/>
        <v>0</v>
      </c>
      <c r="AO490"/>
      <c r="AP490"/>
    </row>
    <row r="491" spans="1:42" ht="66" x14ac:dyDescent="0.25">
      <c r="A491" s="9"/>
      <c r="B491" s="43" t="s">
        <v>1849</v>
      </c>
      <c r="C491" s="1024"/>
      <c r="D491" s="869">
        <v>10</v>
      </c>
      <c r="E491" s="1027" t="s">
        <v>1721</v>
      </c>
      <c r="F491" s="273" t="s">
        <v>3446</v>
      </c>
      <c r="G491" s="1040" t="s">
        <v>3463</v>
      </c>
      <c r="H491" s="273" t="s">
        <v>3462</v>
      </c>
      <c r="I491" s="720">
        <f t="shared" si="113"/>
        <v>10.300800000000001</v>
      </c>
      <c r="J491" s="756">
        <v>103.00800000000001</v>
      </c>
      <c r="K491" s="131">
        <f t="shared" si="104"/>
        <v>103.00800000000001</v>
      </c>
      <c r="L491" s="335">
        <f t="shared" si="106"/>
        <v>0</v>
      </c>
      <c r="M491" s="446"/>
      <c r="N491" s="446"/>
      <c r="O491" s="446"/>
      <c r="P491" s="446"/>
      <c r="Q491" s="130">
        <v>3</v>
      </c>
      <c r="R491" s="111">
        <f t="shared" si="100"/>
        <v>25.752000000000002</v>
      </c>
      <c r="S491" s="110"/>
      <c r="T491" s="110"/>
      <c r="U491" s="130">
        <v>3</v>
      </c>
      <c r="V491" s="111">
        <f t="shared" si="101"/>
        <v>25.752000000000002</v>
      </c>
      <c r="W491" s="110"/>
      <c r="X491" s="110"/>
      <c r="Y491" s="110"/>
      <c r="Z491" s="110"/>
      <c r="AA491" s="130">
        <v>2</v>
      </c>
      <c r="AB491" s="111">
        <f t="shared" si="102"/>
        <v>25.752000000000002</v>
      </c>
      <c r="AC491" s="110"/>
      <c r="AD491" s="110"/>
      <c r="AE491" s="130">
        <v>2</v>
      </c>
      <c r="AF491" s="111">
        <f t="shared" si="103"/>
        <v>25.752000000000002</v>
      </c>
      <c r="AG491" s="110"/>
      <c r="AH491" s="110"/>
      <c r="AI491" s="110"/>
      <c r="AJ491" s="110"/>
      <c r="AK491" s="111">
        <f t="shared" si="107"/>
        <v>103.00800000000001</v>
      </c>
      <c r="AL491" s="446">
        <f t="shared" si="108"/>
        <v>0</v>
      </c>
      <c r="AM491" s="110">
        <f t="shared" si="109"/>
        <v>10</v>
      </c>
      <c r="AN491" s="447">
        <f t="shared" si="105"/>
        <v>0</v>
      </c>
      <c r="AO491"/>
      <c r="AP491"/>
    </row>
    <row r="492" spans="1:42" ht="66" x14ac:dyDescent="0.25">
      <c r="A492" s="9"/>
      <c r="B492" s="43" t="s">
        <v>70</v>
      </c>
      <c r="C492" s="1024"/>
      <c r="D492" s="875">
        <v>5</v>
      </c>
      <c r="E492" s="1027" t="s">
        <v>1721</v>
      </c>
      <c r="F492" s="273" t="s">
        <v>3446</v>
      </c>
      <c r="G492" s="1040" t="s">
        <v>3463</v>
      </c>
      <c r="H492" s="273" t="s">
        <v>3462</v>
      </c>
      <c r="I492" s="720">
        <f t="shared" si="113"/>
        <v>12.8644</v>
      </c>
      <c r="J492" s="756">
        <v>64.322000000000003</v>
      </c>
      <c r="K492" s="131">
        <f t="shared" si="104"/>
        <v>64.322000000000003</v>
      </c>
      <c r="L492" s="335">
        <f t="shared" si="106"/>
        <v>0</v>
      </c>
      <c r="M492" s="446"/>
      <c r="N492" s="446"/>
      <c r="O492" s="446"/>
      <c r="P492" s="446"/>
      <c r="Q492" s="110">
        <v>2</v>
      </c>
      <c r="R492" s="111">
        <f>12.86*2</f>
        <v>25.72</v>
      </c>
      <c r="S492" s="110"/>
      <c r="T492" s="110"/>
      <c r="U492" s="110">
        <v>2</v>
      </c>
      <c r="V492" s="111">
        <v>25.72</v>
      </c>
      <c r="W492" s="110"/>
      <c r="X492" s="110"/>
      <c r="Y492" s="110"/>
      <c r="Z492" s="110"/>
      <c r="AA492" s="110">
        <v>1</v>
      </c>
      <c r="AB492" s="111">
        <v>12.86</v>
      </c>
      <c r="AC492" s="110"/>
      <c r="AD492" s="110"/>
      <c r="AE492" s="110">
        <v>0</v>
      </c>
      <c r="AF492" s="111">
        <v>0</v>
      </c>
      <c r="AG492" s="110"/>
      <c r="AH492" s="110"/>
      <c r="AI492" s="110"/>
      <c r="AJ492" s="110"/>
      <c r="AK492" s="111">
        <f t="shared" si="107"/>
        <v>64.3</v>
      </c>
      <c r="AL492" s="446">
        <f t="shared" si="108"/>
        <v>2.2000000000005571E-2</v>
      </c>
      <c r="AM492" s="110">
        <f t="shared" si="109"/>
        <v>5</v>
      </c>
      <c r="AN492" s="447">
        <f t="shared" si="105"/>
        <v>0</v>
      </c>
      <c r="AO492"/>
      <c r="AP492"/>
    </row>
    <row r="493" spans="1:42" ht="66" x14ac:dyDescent="0.25">
      <c r="A493" s="9"/>
      <c r="B493" s="43" t="s">
        <v>66</v>
      </c>
      <c r="C493" s="1024"/>
      <c r="D493" s="875">
        <v>2</v>
      </c>
      <c r="E493" s="1027" t="s">
        <v>1725</v>
      </c>
      <c r="F493" s="273" t="s">
        <v>3446</v>
      </c>
      <c r="G493" s="1040" t="s">
        <v>3463</v>
      </c>
      <c r="H493" s="273" t="s">
        <v>3462</v>
      </c>
      <c r="I493" s="720">
        <f t="shared" si="113"/>
        <v>80.260400000000004</v>
      </c>
      <c r="J493" s="756">
        <v>160.52080000000001</v>
      </c>
      <c r="K493" s="131">
        <f t="shared" si="104"/>
        <v>160.52080000000001</v>
      </c>
      <c r="L493" s="335">
        <f t="shared" si="106"/>
        <v>0</v>
      </c>
      <c r="M493" s="446"/>
      <c r="N493" s="446"/>
      <c r="O493" s="446"/>
      <c r="P493" s="446"/>
      <c r="Q493" s="130">
        <v>1</v>
      </c>
      <c r="R493" s="111">
        <v>80.260000000000005</v>
      </c>
      <c r="S493" s="110"/>
      <c r="T493" s="110"/>
      <c r="U493" s="130">
        <v>1</v>
      </c>
      <c r="V493" s="111">
        <v>80.260000000000005</v>
      </c>
      <c r="W493" s="110"/>
      <c r="X493" s="110"/>
      <c r="Y493" s="110"/>
      <c r="Z493" s="110"/>
      <c r="AA493" s="130">
        <v>0</v>
      </c>
      <c r="AB493" s="111">
        <v>0</v>
      </c>
      <c r="AC493" s="110"/>
      <c r="AD493" s="110"/>
      <c r="AE493" s="130">
        <v>0</v>
      </c>
      <c r="AF493" s="111">
        <v>0</v>
      </c>
      <c r="AG493" s="110"/>
      <c r="AH493" s="110"/>
      <c r="AI493" s="110"/>
      <c r="AJ493" s="110"/>
      <c r="AK493" s="111">
        <f t="shared" si="107"/>
        <v>160.52000000000001</v>
      </c>
      <c r="AL493" s="446">
        <f t="shared" si="108"/>
        <v>7.9999999999813554E-4</v>
      </c>
      <c r="AM493" s="110">
        <f t="shared" si="109"/>
        <v>2</v>
      </c>
      <c r="AN493" s="447">
        <f t="shared" si="105"/>
        <v>0</v>
      </c>
      <c r="AO493"/>
      <c r="AP493"/>
    </row>
    <row r="494" spans="1:42" ht="66" x14ac:dyDescent="0.25">
      <c r="A494" s="9"/>
      <c r="B494" s="43" t="s">
        <v>67</v>
      </c>
      <c r="C494" s="1024"/>
      <c r="D494" s="875">
        <v>6</v>
      </c>
      <c r="E494" s="1027" t="s">
        <v>1721</v>
      </c>
      <c r="F494" s="273" t="s">
        <v>3446</v>
      </c>
      <c r="G494" s="1040" t="s">
        <v>3463</v>
      </c>
      <c r="H494" s="273" t="s">
        <v>3462</v>
      </c>
      <c r="I494" s="720">
        <f t="shared" si="113"/>
        <v>16.332799999999999</v>
      </c>
      <c r="J494" s="756">
        <v>97.996799999999993</v>
      </c>
      <c r="K494" s="131">
        <f t="shared" si="104"/>
        <v>97.996799999999993</v>
      </c>
      <c r="L494" s="335">
        <f t="shared" si="106"/>
        <v>0</v>
      </c>
      <c r="M494" s="446"/>
      <c r="N494" s="446"/>
      <c r="O494" s="446"/>
      <c r="P494" s="446"/>
      <c r="Q494" s="130">
        <v>2</v>
      </c>
      <c r="R494" s="111">
        <f>16.33*2</f>
        <v>32.659999999999997</v>
      </c>
      <c r="S494" s="110"/>
      <c r="T494" s="110"/>
      <c r="U494" s="130">
        <v>2</v>
      </c>
      <c r="V494" s="111">
        <f>16.33*2</f>
        <v>32.659999999999997</v>
      </c>
      <c r="W494" s="110"/>
      <c r="X494" s="110"/>
      <c r="Y494" s="110"/>
      <c r="Z494" s="110"/>
      <c r="AA494" s="130">
        <v>2</v>
      </c>
      <c r="AB494" s="111">
        <f>16.33*2</f>
        <v>32.659999999999997</v>
      </c>
      <c r="AC494" s="110"/>
      <c r="AD494" s="110"/>
      <c r="AE494" s="130">
        <v>0</v>
      </c>
      <c r="AF494" s="111">
        <v>0</v>
      </c>
      <c r="AG494" s="110"/>
      <c r="AH494" s="110"/>
      <c r="AI494" s="110"/>
      <c r="AJ494" s="110"/>
      <c r="AK494" s="111">
        <f t="shared" si="107"/>
        <v>97.97999999999999</v>
      </c>
      <c r="AL494" s="446">
        <f t="shared" si="108"/>
        <v>1.6800000000003479E-2</v>
      </c>
      <c r="AM494" s="110">
        <f t="shared" si="109"/>
        <v>6</v>
      </c>
      <c r="AN494" s="447">
        <f t="shared" si="105"/>
        <v>0</v>
      </c>
      <c r="AO494"/>
      <c r="AP494"/>
    </row>
    <row r="495" spans="1:42" ht="66" x14ac:dyDescent="0.25">
      <c r="A495" s="9"/>
      <c r="B495" s="43" t="s">
        <v>2203</v>
      </c>
      <c r="C495" s="1024"/>
      <c r="D495" s="875">
        <v>6</v>
      </c>
      <c r="E495" s="1027" t="s">
        <v>1721</v>
      </c>
      <c r="F495" s="273" t="s">
        <v>3446</v>
      </c>
      <c r="G495" s="1040" t="s">
        <v>3463</v>
      </c>
      <c r="H495" s="273" t="s">
        <v>3462</v>
      </c>
      <c r="I495" s="720">
        <f t="shared" si="113"/>
        <v>12.307599999999999</v>
      </c>
      <c r="J495" s="756">
        <v>73.84559999999999</v>
      </c>
      <c r="K495" s="131">
        <f t="shared" si="104"/>
        <v>73.84559999999999</v>
      </c>
      <c r="L495" s="335">
        <f t="shared" si="106"/>
        <v>0</v>
      </c>
      <c r="M495" s="446"/>
      <c r="N495" s="446"/>
      <c r="O495" s="446"/>
      <c r="P495" s="446"/>
      <c r="Q495" s="130">
        <v>2</v>
      </c>
      <c r="R495" s="111">
        <f t="shared" si="100"/>
        <v>18.461399999999998</v>
      </c>
      <c r="S495" s="110"/>
      <c r="T495" s="110"/>
      <c r="U495" s="130">
        <v>2</v>
      </c>
      <c r="V495" s="111">
        <f t="shared" si="101"/>
        <v>18.461399999999998</v>
      </c>
      <c r="W495" s="110"/>
      <c r="X495" s="110"/>
      <c r="Y495" s="110"/>
      <c r="Z495" s="110"/>
      <c r="AA495" s="130">
        <v>1</v>
      </c>
      <c r="AB495" s="111">
        <f t="shared" si="102"/>
        <v>18.461399999999998</v>
      </c>
      <c r="AC495" s="110"/>
      <c r="AD495" s="110"/>
      <c r="AE495" s="130">
        <v>1</v>
      </c>
      <c r="AF495" s="111">
        <f t="shared" si="103"/>
        <v>18.461399999999998</v>
      </c>
      <c r="AG495" s="110"/>
      <c r="AH495" s="110"/>
      <c r="AI495" s="110"/>
      <c r="AJ495" s="110"/>
      <c r="AK495" s="111">
        <f t="shared" si="107"/>
        <v>73.84559999999999</v>
      </c>
      <c r="AL495" s="446">
        <f t="shared" si="108"/>
        <v>0</v>
      </c>
      <c r="AM495" s="110">
        <f t="shared" si="109"/>
        <v>6</v>
      </c>
      <c r="AN495" s="447">
        <f t="shared" si="105"/>
        <v>0</v>
      </c>
      <c r="AO495"/>
      <c r="AP495"/>
    </row>
    <row r="496" spans="1:42" ht="66" x14ac:dyDescent="0.25">
      <c r="A496" s="9"/>
      <c r="B496" s="43" t="s">
        <v>20</v>
      </c>
      <c r="C496" s="1024"/>
      <c r="D496" s="875">
        <v>4</v>
      </c>
      <c r="E496" s="1027" t="s">
        <v>1722</v>
      </c>
      <c r="F496" s="273" t="s">
        <v>3446</v>
      </c>
      <c r="G496" s="1040" t="s">
        <v>3463</v>
      </c>
      <c r="H496" s="273" t="s">
        <v>3462</v>
      </c>
      <c r="I496" s="720">
        <f t="shared" si="113"/>
        <v>35.6004</v>
      </c>
      <c r="J496" s="756">
        <v>142.4016</v>
      </c>
      <c r="K496" s="131">
        <f t="shared" si="104"/>
        <v>142.4016</v>
      </c>
      <c r="L496" s="335">
        <f t="shared" si="106"/>
        <v>0</v>
      </c>
      <c r="M496" s="446"/>
      <c r="N496" s="446"/>
      <c r="O496" s="446"/>
      <c r="P496" s="446"/>
      <c r="Q496" s="110">
        <f t="shared" si="110"/>
        <v>1</v>
      </c>
      <c r="R496" s="111">
        <f t="shared" si="100"/>
        <v>35.6004</v>
      </c>
      <c r="S496" s="110"/>
      <c r="T496" s="110"/>
      <c r="U496" s="110">
        <f t="shared" si="111"/>
        <v>1</v>
      </c>
      <c r="V496" s="111">
        <f t="shared" si="101"/>
        <v>35.6004</v>
      </c>
      <c r="W496" s="110"/>
      <c r="X496" s="110"/>
      <c r="Y496" s="110"/>
      <c r="Z496" s="110"/>
      <c r="AA496" s="110">
        <f t="shared" si="112"/>
        <v>1</v>
      </c>
      <c r="AB496" s="111">
        <f t="shared" si="102"/>
        <v>35.6004</v>
      </c>
      <c r="AC496" s="110"/>
      <c r="AD496" s="110"/>
      <c r="AE496" s="110">
        <f t="shared" si="112"/>
        <v>1</v>
      </c>
      <c r="AF496" s="111">
        <f t="shared" si="103"/>
        <v>35.6004</v>
      </c>
      <c r="AG496" s="110"/>
      <c r="AH496" s="110"/>
      <c r="AI496" s="110"/>
      <c r="AJ496" s="110"/>
      <c r="AK496" s="111">
        <f t="shared" si="107"/>
        <v>142.4016</v>
      </c>
      <c r="AL496" s="446">
        <f t="shared" si="108"/>
        <v>0</v>
      </c>
      <c r="AM496" s="110">
        <f t="shared" si="109"/>
        <v>4</v>
      </c>
      <c r="AN496" s="447">
        <f t="shared" si="105"/>
        <v>0</v>
      </c>
      <c r="AO496"/>
      <c r="AP496"/>
    </row>
    <row r="497" spans="1:42" ht="66" x14ac:dyDescent="0.25">
      <c r="A497" s="9"/>
      <c r="B497" s="43" t="s">
        <v>21</v>
      </c>
      <c r="C497" s="1024"/>
      <c r="D497" s="875">
        <v>2</v>
      </c>
      <c r="E497" s="1027" t="s">
        <v>1722</v>
      </c>
      <c r="F497" s="273" t="s">
        <v>3446</v>
      </c>
      <c r="G497" s="1040" t="s">
        <v>3463</v>
      </c>
      <c r="H497" s="273" t="s">
        <v>3462</v>
      </c>
      <c r="I497" s="720">
        <f t="shared" si="113"/>
        <v>35.6004</v>
      </c>
      <c r="J497" s="756">
        <v>71.200800000000001</v>
      </c>
      <c r="K497" s="131">
        <f t="shared" si="104"/>
        <v>71.200800000000001</v>
      </c>
      <c r="L497" s="335">
        <f t="shared" si="106"/>
        <v>0</v>
      </c>
      <c r="M497" s="446"/>
      <c r="N497" s="446"/>
      <c r="O497" s="446"/>
      <c r="P497" s="446"/>
      <c r="Q497" s="130">
        <v>1</v>
      </c>
      <c r="R497" s="111">
        <v>35.6</v>
      </c>
      <c r="S497" s="110"/>
      <c r="T497" s="110"/>
      <c r="U497" s="130">
        <v>1</v>
      </c>
      <c r="V497" s="111">
        <v>35.6</v>
      </c>
      <c r="W497" s="110"/>
      <c r="X497" s="110"/>
      <c r="Y497" s="110"/>
      <c r="Z497" s="110"/>
      <c r="AA497" s="130">
        <v>0</v>
      </c>
      <c r="AB497" s="111">
        <v>0</v>
      </c>
      <c r="AC497" s="110"/>
      <c r="AD497" s="110"/>
      <c r="AE497" s="130">
        <v>0</v>
      </c>
      <c r="AF497" s="111">
        <v>0</v>
      </c>
      <c r="AG497" s="110"/>
      <c r="AH497" s="110"/>
      <c r="AI497" s="110"/>
      <c r="AJ497" s="110"/>
      <c r="AK497" s="111">
        <f t="shared" si="107"/>
        <v>71.2</v>
      </c>
      <c r="AL497" s="446">
        <f t="shared" si="108"/>
        <v>7.9999999999813554E-4</v>
      </c>
      <c r="AM497" s="110">
        <f t="shared" si="109"/>
        <v>2</v>
      </c>
      <c r="AN497" s="447">
        <f t="shared" si="105"/>
        <v>0</v>
      </c>
      <c r="AO497"/>
      <c r="AP497"/>
    </row>
    <row r="498" spans="1:42" ht="66" x14ac:dyDescent="0.25">
      <c r="A498" s="9"/>
      <c r="B498" s="43" t="s">
        <v>56</v>
      </c>
      <c r="C498" s="1024"/>
      <c r="D498" s="875">
        <v>2</v>
      </c>
      <c r="E498" s="1027" t="s">
        <v>1721</v>
      </c>
      <c r="F498" s="273" t="s">
        <v>3446</v>
      </c>
      <c r="G498" s="1040" t="s">
        <v>3463</v>
      </c>
      <c r="H498" s="273" t="s">
        <v>3462</v>
      </c>
      <c r="I498" s="720">
        <f t="shared" si="113"/>
        <v>366.68760000000003</v>
      </c>
      <c r="J498" s="756">
        <v>733.37520000000006</v>
      </c>
      <c r="K498" s="131">
        <f t="shared" si="104"/>
        <v>733.37520000000006</v>
      </c>
      <c r="L498" s="335">
        <f t="shared" si="106"/>
        <v>0</v>
      </c>
      <c r="M498" s="446"/>
      <c r="N498" s="446"/>
      <c r="O498" s="446"/>
      <c r="P498" s="446"/>
      <c r="Q498" s="130">
        <v>1</v>
      </c>
      <c r="R498" s="111">
        <v>366.69</v>
      </c>
      <c r="S498" s="110"/>
      <c r="T498" s="110"/>
      <c r="U498" s="130">
        <v>1</v>
      </c>
      <c r="V498" s="111">
        <v>366.69</v>
      </c>
      <c r="W498" s="110"/>
      <c r="X498" s="110"/>
      <c r="Y498" s="110"/>
      <c r="Z498" s="110"/>
      <c r="AA498" s="130">
        <v>0</v>
      </c>
      <c r="AB498" s="111">
        <v>0</v>
      </c>
      <c r="AC498" s="110"/>
      <c r="AD498" s="110"/>
      <c r="AE498" s="130">
        <v>0</v>
      </c>
      <c r="AF498" s="111">
        <v>0</v>
      </c>
      <c r="AG498" s="110"/>
      <c r="AH498" s="110"/>
      <c r="AI498" s="110"/>
      <c r="AJ498" s="110"/>
      <c r="AK498" s="111">
        <f t="shared" si="107"/>
        <v>733.38</v>
      </c>
      <c r="AL498" s="446">
        <f t="shared" si="108"/>
        <v>-4.7999999999319698E-3</v>
      </c>
      <c r="AM498" s="110">
        <f t="shared" si="109"/>
        <v>2</v>
      </c>
      <c r="AN498" s="447">
        <f t="shared" si="105"/>
        <v>0</v>
      </c>
      <c r="AO498"/>
      <c r="AP498"/>
    </row>
    <row r="499" spans="1:42" ht="66" x14ac:dyDescent="0.25">
      <c r="A499" s="9"/>
      <c r="B499" s="43" t="s">
        <v>76</v>
      </c>
      <c r="C499" s="1024"/>
      <c r="D499" s="875">
        <v>1</v>
      </c>
      <c r="E499" s="1027" t="s">
        <v>1721</v>
      </c>
      <c r="F499" s="273" t="s">
        <v>3446</v>
      </c>
      <c r="G499" s="1040" t="s">
        <v>3463</v>
      </c>
      <c r="H499" s="273" t="s">
        <v>3462</v>
      </c>
      <c r="I499" s="720">
        <f t="shared" si="113"/>
        <v>131.834</v>
      </c>
      <c r="J499" s="756">
        <v>131.834</v>
      </c>
      <c r="K499" s="131">
        <f t="shared" si="104"/>
        <v>131.834</v>
      </c>
      <c r="L499" s="335">
        <f t="shared" si="106"/>
        <v>0</v>
      </c>
      <c r="M499" s="446"/>
      <c r="N499" s="446"/>
      <c r="O499" s="446"/>
      <c r="P499" s="446"/>
      <c r="Q499" s="110">
        <v>1</v>
      </c>
      <c r="R499" s="111">
        <v>131.83000000000001</v>
      </c>
      <c r="S499" s="110"/>
      <c r="T499" s="110"/>
      <c r="U499" s="110">
        <v>0</v>
      </c>
      <c r="V499" s="111">
        <v>0</v>
      </c>
      <c r="W499" s="110"/>
      <c r="X499" s="110"/>
      <c r="Y499" s="110"/>
      <c r="Z499" s="110"/>
      <c r="AA499" s="110">
        <v>0</v>
      </c>
      <c r="AB499" s="111">
        <v>0</v>
      </c>
      <c r="AC499" s="110"/>
      <c r="AD499" s="110"/>
      <c r="AE499" s="110">
        <v>0</v>
      </c>
      <c r="AF499" s="111">
        <v>0</v>
      </c>
      <c r="AG499" s="110"/>
      <c r="AH499" s="110"/>
      <c r="AI499" s="110"/>
      <c r="AJ499" s="110"/>
      <c r="AK499" s="111">
        <f t="shared" si="107"/>
        <v>131.83000000000001</v>
      </c>
      <c r="AL499" s="446">
        <f t="shared" si="108"/>
        <v>3.9999999999906777E-3</v>
      </c>
      <c r="AM499" s="110">
        <f t="shared" si="109"/>
        <v>1</v>
      </c>
      <c r="AN499" s="447">
        <f t="shared" si="105"/>
        <v>0</v>
      </c>
      <c r="AO499"/>
      <c r="AP499"/>
    </row>
    <row r="500" spans="1:42" ht="66" x14ac:dyDescent="0.25">
      <c r="A500" s="9"/>
      <c r="B500" s="43" t="s">
        <v>40</v>
      </c>
      <c r="C500" s="1024"/>
      <c r="D500" s="875">
        <v>6</v>
      </c>
      <c r="E500" s="1027" t="s">
        <v>1721</v>
      </c>
      <c r="F500" s="273" t="s">
        <v>3446</v>
      </c>
      <c r="G500" s="1040" t="s">
        <v>3463</v>
      </c>
      <c r="H500" s="273" t="s">
        <v>3462</v>
      </c>
      <c r="I500" s="720">
        <f t="shared" si="113"/>
        <v>22.3764</v>
      </c>
      <c r="J500" s="756">
        <v>134.25839999999999</v>
      </c>
      <c r="K500" s="131">
        <f t="shared" si="104"/>
        <v>134.25839999999999</v>
      </c>
      <c r="L500" s="335">
        <f t="shared" si="106"/>
        <v>0</v>
      </c>
      <c r="M500" s="446"/>
      <c r="N500" s="446"/>
      <c r="O500" s="446"/>
      <c r="P500" s="446"/>
      <c r="Q500" s="130">
        <v>2</v>
      </c>
      <c r="R500" s="111">
        <f>I500*2</f>
        <v>44.752800000000001</v>
      </c>
      <c r="S500" s="110"/>
      <c r="T500" s="110"/>
      <c r="U500" s="130">
        <v>2</v>
      </c>
      <c r="V500" s="111">
        <v>44.75</v>
      </c>
      <c r="W500" s="110"/>
      <c r="X500" s="110"/>
      <c r="Y500" s="110"/>
      <c r="Z500" s="110"/>
      <c r="AA500" s="130">
        <v>1</v>
      </c>
      <c r="AB500" s="111">
        <v>44.75</v>
      </c>
      <c r="AC500" s="110"/>
      <c r="AD500" s="110"/>
      <c r="AE500" s="130">
        <v>1</v>
      </c>
      <c r="AF500" s="111"/>
      <c r="AG500" s="110"/>
      <c r="AH500" s="110"/>
      <c r="AI500" s="110"/>
      <c r="AJ500" s="110"/>
      <c r="AK500" s="111">
        <f t="shared" si="107"/>
        <v>134.25280000000001</v>
      </c>
      <c r="AL500" s="446">
        <f t="shared" si="108"/>
        <v>5.5999999999869488E-3</v>
      </c>
      <c r="AM500" s="110">
        <f t="shared" si="109"/>
        <v>6</v>
      </c>
      <c r="AN500" s="447">
        <f t="shared" si="105"/>
        <v>0</v>
      </c>
      <c r="AO500"/>
      <c r="AP500"/>
    </row>
    <row r="501" spans="1:42" ht="66" x14ac:dyDescent="0.25">
      <c r="A501" s="9"/>
      <c r="B501" s="43" t="s">
        <v>81</v>
      </c>
      <c r="C501" s="1024"/>
      <c r="D501" s="875">
        <v>6</v>
      </c>
      <c r="E501" s="1027" t="s">
        <v>1721</v>
      </c>
      <c r="F501" s="273" t="s">
        <v>3446</v>
      </c>
      <c r="G501" s="1040" t="s">
        <v>3463</v>
      </c>
      <c r="H501" s="273" t="s">
        <v>3462</v>
      </c>
      <c r="I501" s="720">
        <f t="shared" si="113"/>
        <v>4.0716000000000001</v>
      </c>
      <c r="J501" s="756">
        <v>24.429600000000001</v>
      </c>
      <c r="K501" s="131">
        <f t="shared" si="104"/>
        <v>24.429600000000001</v>
      </c>
      <c r="L501" s="335">
        <f t="shared" si="106"/>
        <v>0</v>
      </c>
      <c r="M501" s="446"/>
      <c r="N501" s="446"/>
      <c r="O501" s="446"/>
      <c r="P501" s="446"/>
      <c r="Q501" s="130">
        <v>2</v>
      </c>
      <c r="R501" s="111">
        <v>8.14</v>
      </c>
      <c r="S501" s="110"/>
      <c r="T501" s="110"/>
      <c r="U501" s="130">
        <v>2</v>
      </c>
      <c r="V501" s="111">
        <v>8.14</v>
      </c>
      <c r="W501" s="110"/>
      <c r="X501" s="110"/>
      <c r="Y501" s="110"/>
      <c r="Z501" s="110"/>
      <c r="AA501" s="130">
        <v>2</v>
      </c>
      <c r="AB501" s="111">
        <v>8.14</v>
      </c>
      <c r="AC501" s="110"/>
      <c r="AD501" s="110"/>
      <c r="AE501" s="130">
        <v>0</v>
      </c>
      <c r="AF501" s="111">
        <v>0</v>
      </c>
      <c r="AG501" s="110"/>
      <c r="AH501" s="110"/>
      <c r="AI501" s="110"/>
      <c r="AJ501" s="110"/>
      <c r="AK501" s="111">
        <f t="shared" si="107"/>
        <v>24.42</v>
      </c>
      <c r="AL501" s="446">
        <f t="shared" si="108"/>
        <v>9.5999999999989427E-3</v>
      </c>
      <c r="AM501" s="110">
        <f t="shared" si="109"/>
        <v>6</v>
      </c>
      <c r="AN501" s="447">
        <f t="shared" si="105"/>
        <v>0</v>
      </c>
      <c r="AO501"/>
      <c r="AP501"/>
    </row>
    <row r="502" spans="1:42" ht="66" x14ac:dyDescent="0.25">
      <c r="A502" s="9"/>
      <c r="B502" s="43" t="s">
        <v>95</v>
      </c>
      <c r="C502" s="1024"/>
      <c r="D502" s="875">
        <v>2</v>
      </c>
      <c r="E502" s="1027" t="s">
        <v>1721</v>
      </c>
      <c r="F502" s="273" t="s">
        <v>3446</v>
      </c>
      <c r="G502" s="1040" t="s">
        <v>3463</v>
      </c>
      <c r="H502" s="273" t="s">
        <v>3462</v>
      </c>
      <c r="I502" s="720">
        <f t="shared" si="113"/>
        <v>30.5776</v>
      </c>
      <c r="J502" s="756">
        <v>61.155200000000001</v>
      </c>
      <c r="K502" s="131">
        <f t="shared" si="104"/>
        <v>61.155200000000001</v>
      </c>
      <c r="L502" s="335">
        <f t="shared" si="106"/>
        <v>0</v>
      </c>
      <c r="M502" s="446"/>
      <c r="N502" s="446"/>
      <c r="O502" s="446"/>
      <c r="P502" s="446"/>
      <c r="Q502" s="130">
        <v>0</v>
      </c>
      <c r="R502" s="111"/>
      <c r="S502" s="110"/>
      <c r="T502" s="110"/>
      <c r="U502" s="130">
        <v>0</v>
      </c>
      <c r="V502" s="111"/>
      <c r="W502" s="110"/>
      <c r="X502" s="110"/>
      <c r="Y502" s="110"/>
      <c r="Z502" s="110"/>
      <c r="AA502" s="130">
        <v>1</v>
      </c>
      <c r="AB502" s="111">
        <v>30.58</v>
      </c>
      <c r="AC502" s="110"/>
      <c r="AD502" s="110"/>
      <c r="AE502" s="130">
        <v>1</v>
      </c>
      <c r="AF502" s="111">
        <v>30.58</v>
      </c>
      <c r="AG502" s="110"/>
      <c r="AH502" s="110"/>
      <c r="AI502" s="110"/>
      <c r="AJ502" s="110"/>
      <c r="AK502" s="111">
        <f t="shared" si="107"/>
        <v>61.16</v>
      </c>
      <c r="AL502" s="446">
        <f t="shared" si="108"/>
        <v>-4.7999999999959186E-3</v>
      </c>
      <c r="AM502" s="110">
        <f t="shared" si="109"/>
        <v>2</v>
      </c>
      <c r="AN502" s="447">
        <f t="shared" si="105"/>
        <v>0</v>
      </c>
      <c r="AO502"/>
      <c r="AP502"/>
    </row>
    <row r="503" spans="1:42" ht="27.75" customHeight="1" x14ac:dyDescent="0.25">
      <c r="A503" s="9"/>
      <c r="B503" s="487" t="s">
        <v>63</v>
      </c>
      <c r="C503" s="1024"/>
      <c r="D503" s="875">
        <v>6</v>
      </c>
      <c r="E503" s="250" t="s">
        <v>1721</v>
      </c>
      <c r="F503" s="273" t="s">
        <v>3446</v>
      </c>
      <c r="G503" s="1040" t="s">
        <v>3463</v>
      </c>
      <c r="H503" s="273" t="s">
        <v>3462</v>
      </c>
      <c r="I503" s="720">
        <f t="shared" si="113"/>
        <v>60.749199999999995</v>
      </c>
      <c r="J503" s="756">
        <v>364.49519999999995</v>
      </c>
      <c r="K503" s="131">
        <f t="shared" si="104"/>
        <v>364.49519999999995</v>
      </c>
      <c r="L503" s="335">
        <f t="shared" si="106"/>
        <v>0</v>
      </c>
      <c r="M503" s="446"/>
      <c r="N503" s="446"/>
      <c r="O503" s="446"/>
      <c r="P503" s="446"/>
      <c r="Q503" s="130">
        <v>2</v>
      </c>
      <c r="R503" s="111">
        <f t="shared" si="100"/>
        <v>91.123799999999989</v>
      </c>
      <c r="S503" s="110"/>
      <c r="T503" s="110"/>
      <c r="U503" s="130">
        <v>2</v>
      </c>
      <c r="V503" s="111">
        <f t="shared" si="101"/>
        <v>91.123799999999989</v>
      </c>
      <c r="W503" s="110"/>
      <c r="X503" s="110"/>
      <c r="Y503" s="110"/>
      <c r="Z503" s="110"/>
      <c r="AA503" s="130">
        <v>1</v>
      </c>
      <c r="AB503" s="111">
        <f t="shared" si="102"/>
        <v>91.123799999999989</v>
      </c>
      <c r="AC503" s="110"/>
      <c r="AD503" s="110"/>
      <c r="AE503" s="130">
        <v>1</v>
      </c>
      <c r="AF503" s="111">
        <f t="shared" si="103"/>
        <v>91.123799999999989</v>
      </c>
      <c r="AG503" s="110"/>
      <c r="AH503" s="110"/>
      <c r="AI503" s="110"/>
      <c r="AJ503" s="110"/>
      <c r="AK503" s="111">
        <f t="shared" si="107"/>
        <v>364.49519999999995</v>
      </c>
      <c r="AL503" s="446">
        <f t="shared" si="108"/>
        <v>0</v>
      </c>
      <c r="AM503" s="110">
        <f t="shared" si="109"/>
        <v>6</v>
      </c>
      <c r="AN503" s="447">
        <f t="shared" si="105"/>
        <v>0</v>
      </c>
      <c r="AO503"/>
      <c r="AP503"/>
    </row>
    <row r="504" spans="1:42" ht="26.25" customHeight="1" x14ac:dyDescent="0.25">
      <c r="A504" s="9"/>
      <c r="B504" s="152" t="s">
        <v>125</v>
      </c>
      <c r="C504" s="1024"/>
      <c r="D504" s="875">
        <v>5</v>
      </c>
      <c r="E504" s="250" t="s">
        <v>1721</v>
      </c>
      <c r="F504" s="273" t="s">
        <v>3446</v>
      </c>
      <c r="G504" s="1040" t="s">
        <v>3463</v>
      </c>
      <c r="H504" s="273" t="s">
        <v>3462</v>
      </c>
      <c r="I504" s="720">
        <f t="shared" si="113"/>
        <v>40.449199999999998</v>
      </c>
      <c r="J504" s="756">
        <v>202.24599999999998</v>
      </c>
      <c r="K504" s="131">
        <f t="shared" si="104"/>
        <v>202.24599999999998</v>
      </c>
      <c r="L504" s="335">
        <f t="shared" si="106"/>
        <v>0</v>
      </c>
      <c r="M504" s="446"/>
      <c r="N504" s="446"/>
      <c r="O504" s="446"/>
      <c r="P504" s="446"/>
      <c r="Q504" s="110">
        <v>2</v>
      </c>
      <c r="R504" s="111">
        <f t="shared" si="100"/>
        <v>50.561499999999995</v>
      </c>
      <c r="S504" s="110"/>
      <c r="T504" s="110"/>
      <c r="U504" s="110">
        <v>1</v>
      </c>
      <c r="V504" s="111">
        <f t="shared" si="101"/>
        <v>50.561499999999995</v>
      </c>
      <c r="W504" s="110"/>
      <c r="X504" s="110"/>
      <c r="Y504" s="110"/>
      <c r="Z504" s="110"/>
      <c r="AA504" s="110">
        <v>1</v>
      </c>
      <c r="AB504" s="111">
        <f t="shared" si="102"/>
        <v>50.561499999999995</v>
      </c>
      <c r="AC504" s="110"/>
      <c r="AD504" s="110"/>
      <c r="AE504" s="110">
        <v>1</v>
      </c>
      <c r="AF504" s="111">
        <f t="shared" si="103"/>
        <v>50.561499999999995</v>
      </c>
      <c r="AG504" s="110"/>
      <c r="AH504" s="110"/>
      <c r="AI504" s="110"/>
      <c r="AJ504" s="110"/>
      <c r="AK504" s="111">
        <f t="shared" si="107"/>
        <v>202.24599999999998</v>
      </c>
      <c r="AL504" s="446">
        <f t="shared" si="108"/>
        <v>0</v>
      </c>
      <c r="AM504" s="110">
        <f t="shared" si="109"/>
        <v>5</v>
      </c>
      <c r="AN504" s="447">
        <f t="shared" si="105"/>
        <v>0</v>
      </c>
      <c r="AO504"/>
      <c r="AP504"/>
    </row>
    <row r="505" spans="1:42" ht="33" customHeight="1" x14ac:dyDescent="0.25">
      <c r="A505" s="9"/>
      <c r="B505" s="43" t="s">
        <v>43</v>
      </c>
      <c r="C505" s="1024"/>
      <c r="D505" s="875">
        <v>4</v>
      </c>
      <c r="E505" s="1027" t="s">
        <v>1721</v>
      </c>
      <c r="F505" s="273" t="s">
        <v>3446</v>
      </c>
      <c r="G505" s="1040" t="s">
        <v>3463</v>
      </c>
      <c r="H505" s="273" t="s">
        <v>3462</v>
      </c>
      <c r="I505" s="720">
        <f t="shared" si="113"/>
        <v>14.7668</v>
      </c>
      <c r="J505" s="756">
        <v>59.0672</v>
      </c>
      <c r="K505" s="131">
        <f t="shared" si="104"/>
        <v>59.0672</v>
      </c>
      <c r="L505" s="335">
        <f t="shared" si="106"/>
        <v>0</v>
      </c>
      <c r="M505" s="446"/>
      <c r="N505" s="446"/>
      <c r="O505" s="446"/>
      <c r="P505" s="446"/>
      <c r="Q505" s="110">
        <f t="shared" si="110"/>
        <v>1</v>
      </c>
      <c r="R505" s="111">
        <f t="shared" si="100"/>
        <v>14.7668</v>
      </c>
      <c r="S505" s="110"/>
      <c r="T505" s="110"/>
      <c r="U505" s="110">
        <f t="shared" si="111"/>
        <v>1</v>
      </c>
      <c r="V505" s="111">
        <f t="shared" si="101"/>
        <v>14.7668</v>
      </c>
      <c r="W505" s="110"/>
      <c r="X505" s="110"/>
      <c r="Y505" s="110"/>
      <c r="Z505" s="110"/>
      <c r="AA505" s="110">
        <f t="shared" si="112"/>
        <v>1</v>
      </c>
      <c r="AB505" s="111">
        <f t="shared" si="102"/>
        <v>14.7668</v>
      </c>
      <c r="AC505" s="110"/>
      <c r="AD505" s="110"/>
      <c r="AE505" s="110">
        <f t="shared" si="112"/>
        <v>1</v>
      </c>
      <c r="AF505" s="111">
        <f t="shared" si="103"/>
        <v>14.7668</v>
      </c>
      <c r="AG505" s="110"/>
      <c r="AH505" s="110"/>
      <c r="AI505" s="110"/>
      <c r="AJ505" s="110"/>
      <c r="AK505" s="111">
        <f t="shared" si="107"/>
        <v>59.0672</v>
      </c>
      <c r="AL505" s="446">
        <f t="shared" si="108"/>
        <v>0</v>
      </c>
      <c r="AM505" s="110">
        <f t="shared" si="109"/>
        <v>4</v>
      </c>
      <c r="AN505" s="447">
        <f t="shared" si="105"/>
        <v>0</v>
      </c>
      <c r="AO505"/>
      <c r="AP505"/>
    </row>
    <row r="506" spans="1:42" ht="29.25" customHeight="1" x14ac:dyDescent="0.25">
      <c r="A506" s="9"/>
      <c r="B506" s="43" t="s">
        <v>51</v>
      </c>
      <c r="C506" s="1024"/>
      <c r="D506" s="875">
        <v>4</v>
      </c>
      <c r="E506" s="1027" t="s">
        <v>1721</v>
      </c>
      <c r="F506" s="273" t="s">
        <v>3446</v>
      </c>
      <c r="G506" s="1040" t="s">
        <v>3463</v>
      </c>
      <c r="H506" s="273" t="s">
        <v>3462</v>
      </c>
      <c r="I506" s="720">
        <f t="shared" si="113"/>
        <v>364.8664</v>
      </c>
      <c r="J506" s="756">
        <v>1459.4656</v>
      </c>
      <c r="K506" s="131">
        <f t="shared" si="104"/>
        <v>1459.4656</v>
      </c>
      <c r="L506" s="335">
        <f t="shared" si="106"/>
        <v>0</v>
      </c>
      <c r="M506" s="446"/>
      <c r="N506" s="446"/>
      <c r="O506" s="446"/>
      <c r="P506" s="446"/>
      <c r="Q506" s="110">
        <f t="shared" si="110"/>
        <v>1</v>
      </c>
      <c r="R506" s="111">
        <f t="shared" si="100"/>
        <v>364.8664</v>
      </c>
      <c r="S506" s="110"/>
      <c r="T506" s="110"/>
      <c r="U506" s="110">
        <f t="shared" si="111"/>
        <v>1</v>
      </c>
      <c r="V506" s="111">
        <f t="shared" si="101"/>
        <v>364.8664</v>
      </c>
      <c r="W506" s="110"/>
      <c r="X506" s="110"/>
      <c r="Y506" s="110"/>
      <c r="Z506" s="110"/>
      <c r="AA506" s="110">
        <f t="shared" si="112"/>
        <v>1</v>
      </c>
      <c r="AB506" s="111">
        <f t="shared" si="102"/>
        <v>364.8664</v>
      </c>
      <c r="AC506" s="110"/>
      <c r="AD506" s="110"/>
      <c r="AE506" s="110">
        <f t="shared" si="112"/>
        <v>1</v>
      </c>
      <c r="AF506" s="111">
        <f t="shared" si="103"/>
        <v>364.8664</v>
      </c>
      <c r="AG506" s="110"/>
      <c r="AH506" s="110"/>
      <c r="AI506" s="110"/>
      <c r="AJ506" s="110"/>
      <c r="AK506" s="111">
        <f t="shared" si="107"/>
        <v>1459.4656</v>
      </c>
      <c r="AL506" s="446">
        <f t="shared" si="108"/>
        <v>0</v>
      </c>
      <c r="AM506" s="110">
        <f t="shared" si="109"/>
        <v>4</v>
      </c>
      <c r="AN506" s="447">
        <f t="shared" si="105"/>
        <v>0</v>
      </c>
      <c r="AO506"/>
      <c r="AP506"/>
    </row>
    <row r="507" spans="1:42" ht="31.5" customHeight="1" x14ac:dyDescent="0.25">
      <c r="A507" s="9"/>
      <c r="B507" s="488" t="s">
        <v>16</v>
      </c>
      <c r="C507" s="1024"/>
      <c r="D507" s="875">
        <v>5</v>
      </c>
      <c r="E507" s="1027" t="s">
        <v>1721</v>
      </c>
      <c r="F507" s="273" t="s">
        <v>3446</v>
      </c>
      <c r="G507" s="1040" t="s">
        <v>3463</v>
      </c>
      <c r="H507" s="273" t="s">
        <v>3462</v>
      </c>
      <c r="I507" s="720">
        <f t="shared" si="113"/>
        <v>231.66</v>
      </c>
      <c r="J507" s="756">
        <v>1158.3</v>
      </c>
      <c r="K507" s="131">
        <f t="shared" si="104"/>
        <v>1158.3</v>
      </c>
      <c r="L507" s="335">
        <f t="shared" si="106"/>
        <v>0</v>
      </c>
      <c r="M507" s="446"/>
      <c r="N507" s="446"/>
      <c r="O507" s="446"/>
      <c r="P507" s="446"/>
      <c r="Q507" s="110">
        <v>2</v>
      </c>
      <c r="R507" s="111">
        <f t="shared" si="100"/>
        <v>289.57499999999999</v>
      </c>
      <c r="S507" s="110"/>
      <c r="T507" s="110"/>
      <c r="U507" s="110">
        <v>1</v>
      </c>
      <c r="V507" s="111">
        <f t="shared" si="101"/>
        <v>289.57499999999999</v>
      </c>
      <c r="W507" s="110"/>
      <c r="X507" s="110"/>
      <c r="Y507" s="110"/>
      <c r="Z507" s="110"/>
      <c r="AA507" s="110">
        <v>1</v>
      </c>
      <c r="AB507" s="111">
        <f t="shared" si="102"/>
        <v>289.57499999999999</v>
      </c>
      <c r="AC507" s="110"/>
      <c r="AD507" s="110"/>
      <c r="AE507" s="110">
        <v>1</v>
      </c>
      <c r="AF507" s="111">
        <f t="shared" si="103"/>
        <v>289.57499999999999</v>
      </c>
      <c r="AG507" s="110"/>
      <c r="AH507" s="110"/>
      <c r="AI507" s="110"/>
      <c r="AJ507" s="110"/>
      <c r="AK507" s="111">
        <f t="shared" si="107"/>
        <v>1158.3</v>
      </c>
      <c r="AL507" s="446">
        <f t="shared" si="108"/>
        <v>0</v>
      </c>
      <c r="AM507" s="110">
        <f t="shared" si="109"/>
        <v>5</v>
      </c>
      <c r="AN507" s="447">
        <f t="shared" si="105"/>
        <v>0</v>
      </c>
      <c r="AO507"/>
      <c r="AP507"/>
    </row>
    <row r="508" spans="1:42" ht="34.5" customHeight="1" x14ac:dyDescent="0.25">
      <c r="A508" s="9"/>
      <c r="B508" s="488" t="s">
        <v>17</v>
      </c>
      <c r="C508" s="1024"/>
      <c r="D508" s="875">
        <v>5</v>
      </c>
      <c r="E508" s="1027" t="s">
        <v>1766</v>
      </c>
      <c r="F508" s="273" t="s">
        <v>3446</v>
      </c>
      <c r="G508" s="1040" t="s">
        <v>3463</v>
      </c>
      <c r="H508" s="273" t="s">
        <v>3462</v>
      </c>
      <c r="I508" s="720">
        <f t="shared" si="113"/>
        <v>9.5</v>
      </c>
      <c r="J508" s="756">
        <v>47.5</v>
      </c>
      <c r="K508" s="131">
        <f t="shared" si="104"/>
        <v>47.5</v>
      </c>
      <c r="L508" s="335">
        <f t="shared" si="106"/>
        <v>0</v>
      </c>
      <c r="M508" s="446"/>
      <c r="N508" s="446"/>
      <c r="O508" s="446"/>
      <c r="P508" s="446"/>
      <c r="Q508" s="110">
        <v>2</v>
      </c>
      <c r="R508" s="111">
        <f t="shared" si="100"/>
        <v>11.875</v>
      </c>
      <c r="S508" s="110"/>
      <c r="T508" s="110"/>
      <c r="U508" s="110">
        <v>1</v>
      </c>
      <c r="V508" s="111">
        <f t="shared" si="101"/>
        <v>11.875</v>
      </c>
      <c r="W508" s="110"/>
      <c r="X508" s="110"/>
      <c r="Y508" s="110"/>
      <c r="Z508" s="110"/>
      <c r="AA508" s="110">
        <v>1</v>
      </c>
      <c r="AB508" s="111">
        <f t="shared" si="102"/>
        <v>11.875</v>
      </c>
      <c r="AC508" s="110"/>
      <c r="AD508" s="110"/>
      <c r="AE508" s="110">
        <v>1</v>
      </c>
      <c r="AF508" s="111">
        <f t="shared" si="103"/>
        <v>11.875</v>
      </c>
      <c r="AG508" s="110"/>
      <c r="AH508" s="110"/>
      <c r="AI508" s="110"/>
      <c r="AJ508" s="110"/>
      <c r="AK508" s="111">
        <f t="shared" si="107"/>
        <v>47.5</v>
      </c>
      <c r="AL508" s="446">
        <f t="shared" si="108"/>
        <v>0</v>
      </c>
      <c r="AM508" s="110">
        <f t="shared" si="109"/>
        <v>5</v>
      </c>
      <c r="AN508" s="447">
        <f t="shared" si="105"/>
        <v>0</v>
      </c>
      <c r="AO508"/>
      <c r="AP508"/>
    </row>
    <row r="509" spans="1:42" ht="32.25" customHeight="1" x14ac:dyDescent="0.25">
      <c r="A509" s="9"/>
      <c r="B509" s="218" t="s">
        <v>2206</v>
      </c>
      <c r="C509" s="1024"/>
      <c r="D509" s="875">
        <v>2</v>
      </c>
      <c r="E509" s="1027" t="s">
        <v>1827</v>
      </c>
      <c r="F509" s="273" t="s">
        <v>3446</v>
      </c>
      <c r="G509" s="1040" t="s">
        <v>3463</v>
      </c>
      <c r="H509" s="273" t="s">
        <v>3462</v>
      </c>
      <c r="I509" s="720">
        <f t="shared" si="113"/>
        <v>172.26</v>
      </c>
      <c r="J509" s="756">
        <v>344.52</v>
      </c>
      <c r="K509" s="131">
        <f t="shared" si="104"/>
        <v>344.52</v>
      </c>
      <c r="L509" s="335">
        <f t="shared" si="106"/>
        <v>0</v>
      </c>
      <c r="M509" s="446"/>
      <c r="N509" s="446"/>
      <c r="O509" s="446"/>
      <c r="P509" s="446"/>
      <c r="Q509" s="130">
        <v>1</v>
      </c>
      <c r="R509" s="111">
        <v>172.26</v>
      </c>
      <c r="S509" s="110"/>
      <c r="T509" s="110"/>
      <c r="U509" s="130">
        <v>1</v>
      </c>
      <c r="V509" s="111">
        <v>172.26</v>
      </c>
      <c r="W509" s="110"/>
      <c r="X509" s="110"/>
      <c r="Y509" s="110"/>
      <c r="Z509" s="110"/>
      <c r="AA509" s="130">
        <v>0</v>
      </c>
      <c r="AB509" s="111">
        <v>0</v>
      </c>
      <c r="AC509" s="110"/>
      <c r="AD509" s="110"/>
      <c r="AE509" s="130">
        <v>0</v>
      </c>
      <c r="AF509" s="111">
        <v>0</v>
      </c>
      <c r="AG509" s="110"/>
      <c r="AH509" s="110"/>
      <c r="AI509" s="110"/>
      <c r="AJ509" s="110"/>
      <c r="AK509" s="111">
        <f t="shared" si="107"/>
        <v>344.52</v>
      </c>
      <c r="AL509" s="446">
        <f t="shared" si="108"/>
        <v>0</v>
      </c>
      <c r="AM509" s="110">
        <f t="shared" si="109"/>
        <v>2</v>
      </c>
      <c r="AN509" s="447">
        <f t="shared" si="105"/>
        <v>0</v>
      </c>
      <c r="AO509"/>
      <c r="AP509"/>
    </row>
    <row r="510" spans="1:42" ht="38.25" customHeight="1" x14ac:dyDescent="0.25">
      <c r="A510" s="9"/>
      <c r="B510" s="218" t="s">
        <v>2207</v>
      </c>
      <c r="C510" s="1024"/>
      <c r="D510" s="875">
        <v>2</v>
      </c>
      <c r="E510" s="1027" t="s">
        <v>1827</v>
      </c>
      <c r="F510" s="273" t="s">
        <v>3446</v>
      </c>
      <c r="G510" s="1040" t="s">
        <v>3463</v>
      </c>
      <c r="H510" s="273" t="s">
        <v>3462</v>
      </c>
      <c r="I510" s="720">
        <f t="shared" si="113"/>
        <v>172.26</v>
      </c>
      <c r="J510" s="756">
        <v>344.52</v>
      </c>
      <c r="K510" s="131">
        <f t="shared" si="104"/>
        <v>344.52</v>
      </c>
      <c r="L510" s="335">
        <f t="shared" si="106"/>
        <v>0</v>
      </c>
      <c r="M510" s="446"/>
      <c r="N510" s="446"/>
      <c r="O510" s="446"/>
      <c r="P510" s="446"/>
      <c r="Q510" s="130">
        <v>1</v>
      </c>
      <c r="R510" s="111">
        <v>172.26</v>
      </c>
      <c r="S510" s="110"/>
      <c r="T510" s="110"/>
      <c r="U510" s="130">
        <v>1</v>
      </c>
      <c r="V510" s="111">
        <v>172.26</v>
      </c>
      <c r="W510" s="110"/>
      <c r="X510" s="110"/>
      <c r="Y510" s="110"/>
      <c r="Z510" s="110"/>
      <c r="AA510" s="130">
        <v>0</v>
      </c>
      <c r="AB510" s="111">
        <v>0</v>
      </c>
      <c r="AC510" s="110"/>
      <c r="AD510" s="110"/>
      <c r="AE510" s="130">
        <v>0</v>
      </c>
      <c r="AF510" s="111">
        <v>0</v>
      </c>
      <c r="AG510" s="110"/>
      <c r="AH510" s="110"/>
      <c r="AI510" s="110"/>
      <c r="AJ510" s="110"/>
      <c r="AK510" s="111">
        <f t="shared" si="107"/>
        <v>344.52</v>
      </c>
      <c r="AL510" s="446">
        <f t="shared" si="108"/>
        <v>0</v>
      </c>
      <c r="AM510" s="110">
        <f t="shared" si="109"/>
        <v>2</v>
      </c>
      <c r="AN510" s="447">
        <f t="shared" si="105"/>
        <v>0</v>
      </c>
      <c r="AO510"/>
      <c r="AP510"/>
    </row>
    <row r="511" spans="1:42" ht="34.5" customHeight="1" x14ac:dyDescent="0.25">
      <c r="A511" s="9"/>
      <c r="B511" s="43" t="s">
        <v>2208</v>
      </c>
      <c r="C511" s="1024"/>
      <c r="D511" s="875">
        <v>14</v>
      </c>
      <c r="E511" s="1027" t="s">
        <v>1722</v>
      </c>
      <c r="F511" s="273" t="s">
        <v>3446</v>
      </c>
      <c r="G511" s="1040" t="s">
        <v>3463</v>
      </c>
      <c r="H511" s="273" t="s">
        <v>3462</v>
      </c>
      <c r="I511" s="720">
        <f t="shared" si="113"/>
        <v>42.589999999999996</v>
      </c>
      <c r="J511" s="756">
        <v>596.26</v>
      </c>
      <c r="K511" s="131">
        <f t="shared" si="104"/>
        <v>596.26</v>
      </c>
      <c r="L511" s="335">
        <f t="shared" si="106"/>
        <v>0</v>
      </c>
      <c r="M511" s="446"/>
      <c r="N511" s="446"/>
      <c r="O511" s="446"/>
      <c r="P511" s="446"/>
      <c r="Q511" s="110">
        <v>4</v>
      </c>
      <c r="R511" s="111">
        <f>I511*4</f>
        <v>170.35999999999999</v>
      </c>
      <c r="S511" s="110"/>
      <c r="T511" s="110"/>
      <c r="U511" s="110">
        <v>4</v>
      </c>
      <c r="V511" s="111">
        <v>170.36</v>
      </c>
      <c r="W511" s="110"/>
      <c r="X511" s="110"/>
      <c r="Y511" s="110"/>
      <c r="Z511" s="110"/>
      <c r="AA511" s="110">
        <v>4</v>
      </c>
      <c r="AB511" s="111">
        <v>170.36</v>
      </c>
      <c r="AC511" s="110"/>
      <c r="AD511" s="110"/>
      <c r="AE511" s="110">
        <v>2</v>
      </c>
      <c r="AF511" s="111">
        <f>42.59*2</f>
        <v>85.18</v>
      </c>
      <c r="AG511" s="110"/>
      <c r="AH511" s="110"/>
      <c r="AI511" s="110"/>
      <c r="AJ511" s="110"/>
      <c r="AK511" s="111">
        <f t="shared" si="107"/>
        <v>596.26</v>
      </c>
      <c r="AL511" s="446">
        <f t="shared" si="108"/>
        <v>0</v>
      </c>
      <c r="AM511" s="110">
        <f t="shared" si="109"/>
        <v>14</v>
      </c>
      <c r="AN511" s="447">
        <f t="shared" si="105"/>
        <v>0</v>
      </c>
      <c r="AO511"/>
      <c r="AP511"/>
    </row>
    <row r="512" spans="1:42" ht="33" customHeight="1" x14ac:dyDescent="0.25">
      <c r="A512" s="9"/>
      <c r="B512" s="43" t="s">
        <v>2209</v>
      </c>
      <c r="C512" s="1024"/>
      <c r="D512" s="875">
        <v>7</v>
      </c>
      <c r="E512" s="1027" t="s">
        <v>1722</v>
      </c>
      <c r="F512" s="273" t="s">
        <v>3446</v>
      </c>
      <c r="G512" s="1040" t="s">
        <v>3463</v>
      </c>
      <c r="H512" s="273" t="s">
        <v>3462</v>
      </c>
      <c r="I512" s="720">
        <f t="shared" si="113"/>
        <v>42.589999999999996</v>
      </c>
      <c r="J512" s="756">
        <v>298.13</v>
      </c>
      <c r="K512" s="131">
        <f t="shared" si="104"/>
        <v>298.13</v>
      </c>
      <c r="L512" s="335">
        <f t="shared" si="106"/>
        <v>0</v>
      </c>
      <c r="M512" s="446"/>
      <c r="N512" s="446"/>
      <c r="O512" s="446"/>
      <c r="P512" s="446"/>
      <c r="Q512" s="130">
        <v>2</v>
      </c>
      <c r="R512" s="111">
        <f t="shared" ref="R512:R572" si="114">+J512/4</f>
        <v>74.532499999999999</v>
      </c>
      <c r="S512" s="110"/>
      <c r="T512" s="110"/>
      <c r="U512" s="130">
        <v>2</v>
      </c>
      <c r="V512" s="111">
        <f t="shared" ref="V512:V572" si="115">+J512/4</f>
        <v>74.532499999999999</v>
      </c>
      <c r="W512" s="110"/>
      <c r="X512" s="110"/>
      <c r="Y512" s="110"/>
      <c r="Z512" s="110"/>
      <c r="AA512" s="130">
        <v>2</v>
      </c>
      <c r="AB512" s="111">
        <f t="shared" si="102"/>
        <v>74.532499999999999</v>
      </c>
      <c r="AC512" s="110"/>
      <c r="AD512" s="110"/>
      <c r="AE512" s="130">
        <v>1</v>
      </c>
      <c r="AF512" s="111">
        <f t="shared" si="103"/>
        <v>74.532499999999999</v>
      </c>
      <c r="AG512" s="110"/>
      <c r="AH512" s="110"/>
      <c r="AI512" s="110"/>
      <c r="AJ512" s="110"/>
      <c r="AK512" s="111">
        <f t="shared" si="107"/>
        <v>298.13</v>
      </c>
      <c r="AL512" s="446">
        <f t="shared" si="108"/>
        <v>0</v>
      </c>
      <c r="AM512" s="110">
        <f t="shared" si="109"/>
        <v>7</v>
      </c>
      <c r="AN512" s="447">
        <f t="shared" si="105"/>
        <v>0</v>
      </c>
      <c r="AO512"/>
      <c r="AP512"/>
    </row>
    <row r="513" spans="1:42" ht="27" customHeight="1" x14ac:dyDescent="0.25">
      <c r="A513" s="9"/>
      <c r="B513" s="488" t="s">
        <v>2210</v>
      </c>
      <c r="C513" s="1024"/>
      <c r="D513" s="875">
        <v>60</v>
      </c>
      <c r="E513" s="1027" t="s">
        <v>1721</v>
      </c>
      <c r="F513" s="273" t="s">
        <v>3446</v>
      </c>
      <c r="G513" s="1040" t="s">
        <v>3463</v>
      </c>
      <c r="H513" s="273" t="s">
        <v>3462</v>
      </c>
      <c r="I513" s="720">
        <f t="shared" si="113"/>
        <v>5.12</v>
      </c>
      <c r="J513" s="756">
        <v>307.2</v>
      </c>
      <c r="K513" s="131">
        <f t="shared" si="104"/>
        <v>307.2</v>
      </c>
      <c r="L513" s="335">
        <f t="shared" si="106"/>
        <v>0</v>
      </c>
      <c r="M513" s="446"/>
      <c r="N513" s="446"/>
      <c r="O513" s="446"/>
      <c r="P513" s="446"/>
      <c r="Q513" s="110">
        <f t="shared" ref="Q513:Q564" si="116">+$D513/4</f>
        <v>15</v>
      </c>
      <c r="R513" s="111">
        <f t="shared" si="114"/>
        <v>76.8</v>
      </c>
      <c r="S513" s="110"/>
      <c r="T513" s="110"/>
      <c r="U513" s="110">
        <f t="shared" ref="U513:U564" si="117">+$D513/4</f>
        <v>15</v>
      </c>
      <c r="V513" s="111">
        <f t="shared" si="115"/>
        <v>76.8</v>
      </c>
      <c r="W513" s="110"/>
      <c r="X513" s="110"/>
      <c r="Y513" s="110"/>
      <c r="Z513" s="110"/>
      <c r="AA513" s="110">
        <f t="shared" ref="AA513:AE564" si="118">+$D513/4</f>
        <v>15</v>
      </c>
      <c r="AB513" s="111">
        <f t="shared" si="102"/>
        <v>76.8</v>
      </c>
      <c r="AC513" s="110"/>
      <c r="AD513" s="110"/>
      <c r="AE513" s="110">
        <f t="shared" si="118"/>
        <v>15</v>
      </c>
      <c r="AF513" s="111">
        <f t="shared" si="103"/>
        <v>76.8</v>
      </c>
      <c r="AG513" s="110"/>
      <c r="AH513" s="110"/>
      <c r="AI513" s="110"/>
      <c r="AJ513" s="110"/>
      <c r="AK513" s="111">
        <f t="shared" si="107"/>
        <v>307.2</v>
      </c>
      <c r="AL513" s="446">
        <f t="shared" si="108"/>
        <v>0</v>
      </c>
      <c r="AM513" s="110">
        <f t="shared" si="109"/>
        <v>60</v>
      </c>
      <c r="AN513" s="447">
        <f t="shared" si="105"/>
        <v>0</v>
      </c>
      <c r="AO513"/>
      <c r="AP513"/>
    </row>
    <row r="514" spans="1:42" ht="24.75" customHeight="1" x14ac:dyDescent="0.25">
      <c r="A514" s="9"/>
      <c r="B514" s="488" t="s">
        <v>24</v>
      </c>
      <c r="C514" s="1024"/>
      <c r="D514" s="875">
        <v>5</v>
      </c>
      <c r="E514" s="1027" t="s">
        <v>1749</v>
      </c>
      <c r="F514" s="273" t="s">
        <v>3446</v>
      </c>
      <c r="G514" s="1040" t="s">
        <v>3463</v>
      </c>
      <c r="H514" s="273" t="s">
        <v>3462</v>
      </c>
      <c r="I514" s="720">
        <f t="shared" si="113"/>
        <v>98.89</v>
      </c>
      <c r="J514" s="756">
        <v>494.45</v>
      </c>
      <c r="K514" s="131">
        <f t="shared" si="104"/>
        <v>494.45</v>
      </c>
      <c r="L514" s="335">
        <f t="shared" si="106"/>
        <v>0</v>
      </c>
      <c r="M514" s="446"/>
      <c r="N514" s="446"/>
      <c r="O514" s="446"/>
      <c r="P514" s="446"/>
      <c r="Q514" s="110">
        <v>2</v>
      </c>
      <c r="R514" s="111">
        <f t="shared" si="114"/>
        <v>123.6125</v>
      </c>
      <c r="S514" s="110"/>
      <c r="T514" s="110"/>
      <c r="U514" s="110">
        <v>1</v>
      </c>
      <c r="V514" s="111">
        <f t="shared" si="115"/>
        <v>123.6125</v>
      </c>
      <c r="W514" s="110"/>
      <c r="X514" s="110"/>
      <c r="Y514" s="110"/>
      <c r="Z514" s="110"/>
      <c r="AA514" s="110">
        <v>1</v>
      </c>
      <c r="AB514" s="111">
        <f t="shared" si="102"/>
        <v>123.6125</v>
      </c>
      <c r="AC514" s="110"/>
      <c r="AD514" s="110"/>
      <c r="AE514" s="110">
        <v>1</v>
      </c>
      <c r="AF514" s="111">
        <f t="shared" si="103"/>
        <v>123.6125</v>
      </c>
      <c r="AG514" s="110"/>
      <c r="AH514" s="110"/>
      <c r="AI514" s="110"/>
      <c r="AJ514" s="110"/>
      <c r="AK514" s="111">
        <f t="shared" si="107"/>
        <v>494.45</v>
      </c>
      <c r="AL514" s="446">
        <f t="shared" si="108"/>
        <v>0</v>
      </c>
      <c r="AM514" s="110">
        <f t="shared" si="109"/>
        <v>5</v>
      </c>
      <c r="AN514" s="447">
        <f t="shared" si="105"/>
        <v>0</v>
      </c>
      <c r="AO514"/>
      <c r="AP514"/>
    </row>
    <row r="515" spans="1:42" ht="33" customHeight="1" x14ac:dyDescent="0.25">
      <c r="A515" s="9"/>
      <c r="B515" s="218" t="s">
        <v>25</v>
      </c>
      <c r="C515" s="1024"/>
      <c r="D515" s="875">
        <v>5</v>
      </c>
      <c r="E515" s="1027" t="s">
        <v>1722</v>
      </c>
      <c r="F515" s="273" t="s">
        <v>3446</v>
      </c>
      <c r="G515" s="1040" t="s">
        <v>3463</v>
      </c>
      <c r="H515" s="273" t="s">
        <v>3462</v>
      </c>
      <c r="I515" s="720">
        <f t="shared" si="113"/>
        <v>39.200000000000003</v>
      </c>
      <c r="J515" s="756">
        <v>196</v>
      </c>
      <c r="K515" s="131">
        <f t="shared" si="104"/>
        <v>196</v>
      </c>
      <c r="L515" s="335">
        <f t="shared" si="106"/>
        <v>0</v>
      </c>
      <c r="M515" s="446"/>
      <c r="N515" s="446"/>
      <c r="O515" s="446"/>
      <c r="P515" s="446"/>
      <c r="Q515" s="110">
        <v>2</v>
      </c>
      <c r="R515" s="111">
        <f t="shared" si="114"/>
        <v>49</v>
      </c>
      <c r="S515" s="110"/>
      <c r="T515" s="110"/>
      <c r="U515" s="110">
        <v>1</v>
      </c>
      <c r="V515" s="111">
        <f t="shared" si="115"/>
        <v>49</v>
      </c>
      <c r="W515" s="110"/>
      <c r="X515" s="110"/>
      <c r="Y515" s="110"/>
      <c r="Z515" s="110"/>
      <c r="AA515" s="110">
        <v>1</v>
      </c>
      <c r="AB515" s="111">
        <f t="shared" si="102"/>
        <v>49</v>
      </c>
      <c r="AC515" s="110"/>
      <c r="AD515" s="110"/>
      <c r="AE515" s="110">
        <v>1</v>
      </c>
      <c r="AF515" s="111">
        <f t="shared" si="103"/>
        <v>49</v>
      </c>
      <c r="AG515" s="110"/>
      <c r="AH515" s="110"/>
      <c r="AI515" s="110"/>
      <c r="AJ515" s="110"/>
      <c r="AK515" s="111">
        <f t="shared" si="107"/>
        <v>196</v>
      </c>
      <c r="AL515" s="446">
        <f t="shared" si="108"/>
        <v>0</v>
      </c>
      <c r="AM515" s="110">
        <f t="shared" si="109"/>
        <v>5</v>
      </c>
      <c r="AN515" s="447">
        <f t="shared" si="105"/>
        <v>0</v>
      </c>
      <c r="AO515"/>
      <c r="AP515"/>
    </row>
    <row r="516" spans="1:42" ht="36" customHeight="1" x14ac:dyDescent="0.25">
      <c r="A516" s="9"/>
      <c r="B516" s="218" t="s">
        <v>38</v>
      </c>
      <c r="C516" s="1024"/>
      <c r="D516" s="875">
        <v>12</v>
      </c>
      <c r="E516" s="1027" t="s">
        <v>1722</v>
      </c>
      <c r="F516" s="273" t="s">
        <v>3446</v>
      </c>
      <c r="G516" s="1040" t="s">
        <v>3463</v>
      </c>
      <c r="H516" s="273" t="s">
        <v>3462</v>
      </c>
      <c r="I516" s="720">
        <f t="shared" si="113"/>
        <v>129.49</v>
      </c>
      <c r="J516" s="756">
        <v>1553.88</v>
      </c>
      <c r="K516" s="131">
        <f t="shared" si="104"/>
        <v>1553.88</v>
      </c>
      <c r="L516" s="335">
        <f t="shared" si="106"/>
        <v>0</v>
      </c>
      <c r="M516" s="446"/>
      <c r="N516" s="446"/>
      <c r="O516" s="446"/>
      <c r="P516" s="446"/>
      <c r="Q516" s="110">
        <f t="shared" si="116"/>
        <v>3</v>
      </c>
      <c r="R516" s="111">
        <f t="shared" si="114"/>
        <v>388.47</v>
      </c>
      <c r="S516" s="110"/>
      <c r="T516" s="110"/>
      <c r="U516" s="110">
        <f t="shared" si="117"/>
        <v>3</v>
      </c>
      <c r="V516" s="111">
        <f t="shared" si="115"/>
        <v>388.47</v>
      </c>
      <c r="W516" s="110"/>
      <c r="X516" s="110"/>
      <c r="Y516" s="110"/>
      <c r="Z516" s="110"/>
      <c r="AA516" s="110">
        <f t="shared" si="118"/>
        <v>3</v>
      </c>
      <c r="AB516" s="111">
        <f t="shared" si="102"/>
        <v>388.47</v>
      </c>
      <c r="AC516" s="110"/>
      <c r="AD516" s="110"/>
      <c r="AE516" s="110">
        <f t="shared" si="118"/>
        <v>3</v>
      </c>
      <c r="AF516" s="111">
        <f t="shared" si="103"/>
        <v>388.47</v>
      </c>
      <c r="AG516" s="110"/>
      <c r="AH516" s="110"/>
      <c r="AI516" s="110"/>
      <c r="AJ516" s="110"/>
      <c r="AK516" s="111">
        <f t="shared" si="107"/>
        <v>1553.88</v>
      </c>
      <c r="AL516" s="446">
        <f t="shared" si="108"/>
        <v>0</v>
      </c>
      <c r="AM516" s="110">
        <f t="shared" si="109"/>
        <v>12</v>
      </c>
      <c r="AN516" s="447">
        <f t="shared" si="105"/>
        <v>0</v>
      </c>
      <c r="AO516"/>
      <c r="AP516"/>
    </row>
    <row r="517" spans="1:42" ht="42" customHeight="1" x14ac:dyDescent="0.25">
      <c r="A517" s="9"/>
      <c r="B517" s="489" t="s">
        <v>28</v>
      </c>
      <c r="C517" s="1024"/>
      <c r="D517" s="875">
        <v>10</v>
      </c>
      <c r="E517" s="1027" t="s">
        <v>1721</v>
      </c>
      <c r="F517" s="273" t="s">
        <v>3446</v>
      </c>
      <c r="G517" s="1040" t="s">
        <v>3463</v>
      </c>
      <c r="H517" s="273" t="s">
        <v>3462</v>
      </c>
      <c r="I517" s="720">
        <f t="shared" si="113"/>
        <v>141.97</v>
      </c>
      <c r="J517" s="756">
        <v>1419.7</v>
      </c>
      <c r="K517" s="131">
        <f t="shared" si="104"/>
        <v>1419.7</v>
      </c>
      <c r="L517" s="335">
        <f t="shared" si="106"/>
        <v>0</v>
      </c>
      <c r="M517" s="446"/>
      <c r="N517" s="446"/>
      <c r="O517" s="446"/>
      <c r="P517" s="446"/>
      <c r="Q517" s="130">
        <v>3</v>
      </c>
      <c r="R517" s="111">
        <f t="shared" si="114"/>
        <v>354.92500000000001</v>
      </c>
      <c r="S517" s="110"/>
      <c r="T517" s="110"/>
      <c r="U517" s="130">
        <v>3</v>
      </c>
      <c r="V517" s="111">
        <f t="shared" si="115"/>
        <v>354.92500000000001</v>
      </c>
      <c r="W517" s="110"/>
      <c r="X517" s="110"/>
      <c r="Y517" s="110"/>
      <c r="Z517" s="110"/>
      <c r="AA517" s="130">
        <v>2</v>
      </c>
      <c r="AB517" s="111">
        <f t="shared" ref="AB517:AB577" si="119">+J517/4</f>
        <v>354.92500000000001</v>
      </c>
      <c r="AC517" s="110"/>
      <c r="AD517" s="110"/>
      <c r="AE517" s="130">
        <v>2</v>
      </c>
      <c r="AF517" s="111">
        <f t="shared" ref="AF517:AF577" si="120">+J517/4</f>
        <v>354.92500000000001</v>
      </c>
      <c r="AG517" s="110"/>
      <c r="AH517" s="110"/>
      <c r="AI517" s="110"/>
      <c r="AJ517" s="110"/>
      <c r="AK517" s="111">
        <f t="shared" si="107"/>
        <v>1419.7</v>
      </c>
      <c r="AL517" s="446">
        <f t="shared" si="108"/>
        <v>0</v>
      </c>
      <c r="AM517" s="110">
        <f t="shared" si="109"/>
        <v>10</v>
      </c>
      <c r="AN517" s="447">
        <f t="shared" si="105"/>
        <v>0</v>
      </c>
      <c r="AO517"/>
      <c r="AP517"/>
    </row>
    <row r="518" spans="1:42" ht="39" customHeight="1" x14ac:dyDescent="0.25">
      <c r="A518" s="9"/>
      <c r="B518" s="218" t="s">
        <v>2211</v>
      </c>
      <c r="C518" s="1024"/>
      <c r="D518" s="875">
        <v>10</v>
      </c>
      <c r="E518" s="1027" t="s">
        <v>1721</v>
      </c>
      <c r="F518" s="273" t="s">
        <v>3446</v>
      </c>
      <c r="G518" s="1040" t="s">
        <v>3463</v>
      </c>
      <c r="H518" s="273" t="s">
        <v>3462</v>
      </c>
      <c r="I518" s="720">
        <f t="shared" si="113"/>
        <v>20.55</v>
      </c>
      <c r="J518" s="756">
        <v>205.5</v>
      </c>
      <c r="K518" s="131">
        <f t="shared" si="104"/>
        <v>205.5</v>
      </c>
      <c r="L518" s="335">
        <f t="shared" si="106"/>
        <v>0</v>
      </c>
      <c r="M518" s="446"/>
      <c r="N518" s="446"/>
      <c r="O518" s="446"/>
      <c r="P518" s="446"/>
      <c r="Q518" s="130">
        <v>3</v>
      </c>
      <c r="R518" s="111">
        <f t="shared" si="114"/>
        <v>51.375</v>
      </c>
      <c r="S518" s="110"/>
      <c r="T518" s="110"/>
      <c r="U518" s="130">
        <v>3</v>
      </c>
      <c r="V518" s="111">
        <f t="shared" si="115"/>
        <v>51.375</v>
      </c>
      <c r="W518" s="110"/>
      <c r="X518" s="110"/>
      <c r="Y518" s="110"/>
      <c r="Z518" s="110"/>
      <c r="AA518" s="130">
        <v>2</v>
      </c>
      <c r="AB518" s="111">
        <f t="shared" si="119"/>
        <v>51.375</v>
      </c>
      <c r="AC518" s="110"/>
      <c r="AD518" s="110"/>
      <c r="AE518" s="130">
        <v>2</v>
      </c>
      <c r="AF518" s="111">
        <f t="shared" si="120"/>
        <v>51.375</v>
      </c>
      <c r="AG518" s="110"/>
      <c r="AH518" s="110"/>
      <c r="AI518" s="110"/>
      <c r="AJ518" s="110"/>
      <c r="AK518" s="111">
        <f t="shared" si="107"/>
        <v>205.5</v>
      </c>
      <c r="AL518" s="446">
        <f t="shared" si="108"/>
        <v>0</v>
      </c>
      <c r="AM518" s="110">
        <f t="shared" si="109"/>
        <v>10</v>
      </c>
      <c r="AN518" s="447">
        <f t="shared" si="105"/>
        <v>0</v>
      </c>
      <c r="AO518"/>
      <c r="AP518"/>
    </row>
    <row r="519" spans="1:42" ht="44.25" customHeight="1" x14ac:dyDescent="0.25">
      <c r="A519" s="9"/>
      <c r="B519" s="218" t="s">
        <v>32</v>
      </c>
      <c r="C519" s="1024"/>
      <c r="D519" s="875">
        <v>8</v>
      </c>
      <c r="E519" s="1027" t="s">
        <v>1721</v>
      </c>
      <c r="F519" s="273" t="s">
        <v>3446</v>
      </c>
      <c r="G519" s="1040" t="s">
        <v>3463</v>
      </c>
      <c r="H519" s="273" t="s">
        <v>3462</v>
      </c>
      <c r="I519" s="720">
        <f t="shared" si="113"/>
        <v>20.55</v>
      </c>
      <c r="J519" s="756">
        <v>164.4</v>
      </c>
      <c r="K519" s="131">
        <f t="shared" si="104"/>
        <v>164.4</v>
      </c>
      <c r="L519" s="335">
        <f t="shared" si="106"/>
        <v>0</v>
      </c>
      <c r="M519" s="446"/>
      <c r="N519" s="446"/>
      <c r="O519" s="446"/>
      <c r="P519" s="446"/>
      <c r="Q519" s="110">
        <f t="shared" si="116"/>
        <v>2</v>
      </c>
      <c r="R519" s="111">
        <f t="shared" si="114"/>
        <v>41.1</v>
      </c>
      <c r="S519" s="110"/>
      <c r="T519" s="110"/>
      <c r="U519" s="110">
        <f t="shared" si="117"/>
        <v>2</v>
      </c>
      <c r="V519" s="111">
        <f t="shared" si="115"/>
        <v>41.1</v>
      </c>
      <c r="W519" s="110"/>
      <c r="X519" s="110"/>
      <c r="Y519" s="110"/>
      <c r="Z519" s="110"/>
      <c r="AA519" s="110">
        <f t="shared" si="118"/>
        <v>2</v>
      </c>
      <c r="AB519" s="111">
        <f t="shared" si="119"/>
        <v>41.1</v>
      </c>
      <c r="AC519" s="110"/>
      <c r="AD519" s="110"/>
      <c r="AE519" s="110">
        <f t="shared" si="118"/>
        <v>2</v>
      </c>
      <c r="AF519" s="111">
        <f t="shared" si="120"/>
        <v>41.1</v>
      </c>
      <c r="AG519" s="110"/>
      <c r="AH519" s="110"/>
      <c r="AI519" s="110"/>
      <c r="AJ519" s="110"/>
      <c r="AK519" s="111">
        <f t="shared" si="107"/>
        <v>164.4</v>
      </c>
      <c r="AL519" s="446">
        <f t="shared" si="108"/>
        <v>0</v>
      </c>
      <c r="AM519" s="110">
        <f t="shared" si="109"/>
        <v>8</v>
      </c>
      <c r="AN519" s="447">
        <f t="shared" si="105"/>
        <v>0</v>
      </c>
      <c r="AO519"/>
      <c r="AP519"/>
    </row>
    <row r="520" spans="1:42" ht="39.75" customHeight="1" x14ac:dyDescent="0.25">
      <c r="A520" s="9"/>
      <c r="B520" s="489" t="s">
        <v>2212</v>
      </c>
      <c r="C520" s="1024"/>
      <c r="D520" s="875">
        <v>5</v>
      </c>
      <c r="E520" s="1027" t="s">
        <v>1721</v>
      </c>
      <c r="F520" s="273" t="s">
        <v>3446</v>
      </c>
      <c r="G520" s="1040" t="s">
        <v>3463</v>
      </c>
      <c r="H520" s="273" t="s">
        <v>3462</v>
      </c>
      <c r="I520" s="720">
        <f t="shared" si="113"/>
        <v>25</v>
      </c>
      <c r="J520" s="756">
        <v>125</v>
      </c>
      <c r="K520" s="131">
        <f t="shared" si="104"/>
        <v>125</v>
      </c>
      <c r="L520" s="335">
        <f t="shared" si="106"/>
        <v>0</v>
      </c>
      <c r="M520" s="446"/>
      <c r="N520" s="446"/>
      <c r="O520" s="446"/>
      <c r="P520" s="446"/>
      <c r="Q520" s="110">
        <v>2</v>
      </c>
      <c r="R520" s="111">
        <f t="shared" si="114"/>
        <v>31.25</v>
      </c>
      <c r="S520" s="110"/>
      <c r="T520" s="110"/>
      <c r="U520" s="110">
        <v>1</v>
      </c>
      <c r="V520" s="111">
        <f t="shared" si="115"/>
        <v>31.25</v>
      </c>
      <c r="W520" s="110"/>
      <c r="X520" s="110"/>
      <c r="Y520" s="110"/>
      <c r="Z520" s="110"/>
      <c r="AA520" s="110">
        <v>1</v>
      </c>
      <c r="AB520" s="111">
        <f t="shared" si="119"/>
        <v>31.25</v>
      </c>
      <c r="AC520" s="110"/>
      <c r="AD520" s="110"/>
      <c r="AE520" s="110">
        <v>1</v>
      </c>
      <c r="AF520" s="111">
        <f t="shared" si="120"/>
        <v>31.25</v>
      </c>
      <c r="AG520" s="110"/>
      <c r="AH520" s="110"/>
      <c r="AI520" s="110"/>
      <c r="AJ520" s="110"/>
      <c r="AK520" s="111">
        <f t="shared" si="107"/>
        <v>125</v>
      </c>
      <c r="AL520" s="446">
        <f t="shared" si="108"/>
        <v>0</v>
      </c>
      <c r="AM520" s="110">
        <f t="shared" si="109"/>
        <v>5</v>
      </c>
      <c r="AN520" s="447">
        <f t="shared" si="105"/>
        <v>0</v>
      </c>
      <c r="AO520"/>
      <c r="AP520"/>
    </row>
    <row r="521" spans="1:42" ht="46.5" customHeight="1" x14ac:dyDescent="0.25">
      <c r="A521" s="9"/>
      <c r="B521" s="218" t="s">
        <v>2213</v>
      </c>
      <c r="C521" s="1024"/>
      <c r="D521" s="875">
        <v>10</v>
      </c>
      <c r="E521" s="1027" t="s">
        <v>1721</v>
      </c>
      <c r="F521" s="273" t="s">
        <v>3446</v>
      </c>
      <c r="G521" s="1040" t="s">
        <v>3463</v>
      </c>
      <c r="H521" s="273" t="s">
        <v>3462</v>
      </c>
      <c r="I521" s="720">
        <f t="shared" si="113"/>
        <v>20.55</v>
      </c>
      <c r="J521" s="756">
        <v>205.5</v>
      </c>
      <c r="K521" s="131">
        <f t="shared" si="104"/>
        <v>205.5</v>
      </c>
      <c r="L521" s="335">
        <f t="shared" si="106"/>
        <v>0</v>
      </c>
      <c r="M521" s="446"/>
      <c r="N521" s="446"/>
      <c r="O521" s="446"/>
      <c r="P521" s="446"/>
      <c r="Q521" s="130">
        <v>3</v>
      </c>
      <c r="R521" s="111">
        <f t="shared" si="114"/>
        <v>51.375</v>
      </c>
      <c r="S521" s="110"/>
      <c r="T521" s="110"/>
      <c r="U521" s="130">
        <v>3</v>
      </c>
      <c r="V521" s="111">
        <f t="shared" si="115"/>
        <v>51.375</v>
      </c>
      <c r="W521" s="110"/>
      <c r="X521" s="110"/>
      <c r="Y521" s="110"/>
      <c r="Z521" s="110"/>
      <c r="AA521" s="130">
        <v>2</v>
      </c>
      <c r="AB521" s="111">
        <f t="shared" si="119"/>
        <v>51.375</v>
      </c>
      <c r="AC521" s="110"/>
      <c r="AD521" s="110"/>
      <c r="AE521" s="130">
        <v>2</v>
      </c>
      <c r="AF521" s="111">
        <f t="shared" si="120"/>
        <v>51.375</v>
      </c>
      <c r="AG521" s="110"/>
      <c r="AH521" s="110"/>
      <c r="AI521" s="110"/>
      <c r="AJ521" s="110"/>
      <c r="AK521" s="111">
        <f t="shared" si="107"/>
        <v>205.5</v>
      </c>
      <c r="AL521" s="446">
        <f t="shared" si="108"/>
        <v>0</v>
      </c>
      <c r="AM521" s="110">
        <f t="shared" si="109"/>
        <v>10</v>
      </c>
      <c r="AN521" s="447">
        <f t="shared" si="105"/>
        <v>0</v>
      </c>
      <c r="AO521"/>
      <c r="AP521"/>
    </row>
    <row r="522" spans="1:42" ht="37.5" customHeight="1" x14ac:dyDescent="0.25">
      <c r="A522" s="9"/>
      <c r="B522" s="218" t="s">
        <v>45</v>
      </c>
      <c r="C522" s="1024"/>
      <c r="D522" s="875">
        <v>40</v>
      </c>
      <c r="E522" s="1027" t="s">
        <v>1722</v>
      </c>
      <c r="F522" s="273" t="s">
        <v>3446</v>
      </c>
      <c r="G522" s="1040" t="s">
        <v>3463</v>
      </c>
      <c r="H522" s="273" t="s">
        <v>3462</v>
      </c>
      <c r="I522" s="720">
        <f t="shared" si="113"/>
        <v>16.63</v>
      </c>
      <c r="J522" s="756">
        <v>665.19999999999993</v>
      </c>
      <c r="K522" s="131">
        <f t="shared" si="104"/>
        <v>665.19999999999993</v>
      </c>
      <c r="L522" s="335">
        <f t="shared" si="106"/>
        <v>0</v>
      </c>
      <c r="M522" s="446"/>
      <c r="N522" s="446"/>
      <c r="O522" s="446"/>
      <c r="P522" s="446"/>
      <c r="Q522" s="110">
        <f t="shared" si="116"/>
        <v>10</v>
      </c>
      <c r="R522" s="111">
        <f t="shared" si="114"/>
        <v>166.29999999999998</v>
      </c>
      <c r="S522" s="110"/>
      <c r="T522" s="110"/>
      <c r="U522" s="110">
        <f t="shared" si="117"/>
        <v>10</v>
      </c>
      <c r="V522" s="111">
        <f t="shared" si="115"/>
        <v>166.29999999999998</v>
      </c>
      <c r="W522" s="110"/>
      <c r="X522" s="110"/>
      <c r="Y522" s="110"/>
      <c r="Z522" s="110"/>
      <c r="AA522" s="110">
        <f t="shared" si="118"/>
        <v>10</v>
      </c>
      <c r="AB522" s="111">
        <f t="shared" si="119"/>
        <v>166.29999999999998</v>
      </c>
      <c r="AC522" s="110"/>
      <c r="AD522" s="110"/>
      <c r="AE522" s="110">
        <f t="shared" si="118"/>
        <v>10</v>
      </c>
      <c r="AF522" s="111">
        <f t="shared" si="120"/>
        <v>166.29999999999998</v>
      </c>
      <c r="AG522" s="110"/>
      <c r="AH522" s="110"/>
      <c r="AI522" s="110"/>
      <c r="AJ522" s="110"/>
      <c r="AK522" s="111">
        <f t="shared" si="107"/>
        <v>665.19999999999993</v>
      </c>
      <c r="AL522" s="446">
        <f t="shared" si="108"/>
        <v>0</v>
      </c>
      <c r="AM522" s="110">
        <f t="shared" si="109"/>
        <v>40</v>
      </c>
      <c r="AN522" s="447">
        <f t="shared" si="105"/>
        <v>0</v>
      </c>
      <c r="AO522"/>
      <c r="AP522"/>
    </row>
    <row r="523" spans="1:42" ht="36.75" customHeight="1" x14ac:dyDescent="0.25">
      <c r="A523" s="9"/>
      <c r="B523" s="218" t="s">
        <v>46</v>
      </c>
      <c r="C523" s="1024"/>
      <c r="D523" s="875">
        <v>40</v>
      </c>
      <c r="E523" s="1027" t="s">
        <v>1722</v>
      </c>
      <c r="F523" s="273" t="s">
        <v>3446</v>
      </c>
      <c r="G523" s="1040" t="s">
        <v>3463</v>
      </c>
      <c r="H523" s="273" t="s">
        <v>3462</v>
      </c>
      <c r="I523" s="720">
        <f t="shared" si="113"/>
        <v>15.440000000000001</v>
      </c>
      <c r="J523" s="756">
        <v>617.6</v>
      </c>
      <c r="K523" s="131">
        <f t="shared" si="104"/>
        <v>617.6</v>
      </c>
      <c r="L523" s="335">
        <f t="shared" si="106"/>
        <v>0</v>
      </c>
      <c r="M523" s="446"/>
      <c r="N523" s="446"/>
      <c r="O523" s="446"/>
      <c r="P523" s="446"/>
      <c r="Q523" s="110">
        <f t="shared" si="116"/>
        <v>10</v>
      </c>
      <c r="R523" s="111">
        <f t="shared" si="114"/>
        <v>154.4</v>
      </c>
      <c r="S523" s="110"/>
      <c r="T523" s="110"/>
      <c r="U523" s="110">
        <f t="shared" si="117"/>
        <v>10</v>
      </c>
      <c r="V523" s="111">
        <f t="shared" si="115"/>
        <v>154.4</v>
      </c>
      <c r="W523" s="110"/>
      <c r="X523" s="110"/>
      <c r="Y523" s="110"/>
      <c r="Z523" s="110"/>
      <c r="AA523" s="110">
        <f t="shared" si="118"/>
        <v>10</v>
      </c>
      <c r="AB523" s="111">
        <f t="shared" si="119"/>
        <v>154.4</v>
      </c>
      <c r="AC523" s="110"/>
      <c r="AD523" s="110"/>
      <c r="AE523" s="110">
        <f t="shared" si="118"/>
        <v>10</v>
      </c>
      <c r="AF523" s="111">
        <f t="shared" si="120"/>
        <v>154.4</v>
      </c>
      <c r="AG523" s="110"/>
      <c r="AH523" s="110"/>
      <c r="AI523" s="110"/>
      <c r="AJ523" s="110"/>
      <c r="AK523" s="111">
        <f t="shared" si="107"/>
        <v>617.6</v>
      </c>
      <c r="AL523" s="446">
        <f t="shared" si="108"/>
        <v>0</v>
      </c>
      <c r="AM523" s="110">
        <f t="shared" si="109"/>
        <v>40</v>
      </c>
      <c r="AN523" s="447">
        <f t="shared" si="105"/>
        <v>0</v>
      </c>
      <c r="AO523"/>
      <c r="AP523"/>
    </row>
    <row r="524" spans="1:42" ht="38.25" customHeight="1" x14ac:dyDescent="0.25">
      <c r="A524" s="9"/>
      <c r="B524" s="218" t="s">
        <v>2214</v>
      </c>
      <c r="C524" s="1024"/>
      <c r="D524" s="875">
        <v>40</v>
      </c>
      <c r="E524" s="1027" t="s">
        <v>1722</v>
      </c>
      <c r="F524" s="273" t="s">
        <v>3446</v>
      </c>
      <c r="G524" s="1040" t="s">
        <v>3463</v>
      </c>
      <c r="H524" s="273" t="s">
        <v>3462</v>
      </c>
      <c r="I524" s="720">
        <f t="shared" si="113"/>
        <v>18</v>
      </c>
      <c r="J524" s="756">
        <v>720</v>
      </c>
      <c r="K524" s="131">
        <f t="shared" si="104"/>
        <v>720</v>
      </c>
      <c r="L524" s="335">
        <f t="shared" si="106"/>
        <v>0</v>
      </c>
      <c r="M524" s="446"/>
      <c r="N524" s="446"/>
      <c r="O524" s="446"/>
      <c r="P524" s="446"/>
      <c r="Q524" s="110">
        <f t="shared" si="116"/>
        <v>10</v>
      </c>
      <c r="R524" s="111">
        <f t="shared" si="114"/>
        <v>180</v>
      </c>
      <c r="S524" s="110"/>
      <c r="T524" s="110"/>
      <c r="U524" s="110">
        <f t="shared" si="117"/>
        <v>10</v>
      </c>
      <c r="V524" s="111">
        <f t="shared" si="115"/>
        <v>180</v>
      </c>
      <c r="W524" s="110"/>
      <c r="X524" s="110"/>
      <c r="Y524" s="110"/>
      <c r="Z524" s="110"/>
      <c r="AA524" s="110">
        <f t="shared" si="118"/>
        <v>10</v>
      </c>
      <c r="AB524" s="111">
        <f t="shared" si="119"/>
        <v>180</v>
      </c>
      <c r="AC524" s="110"/>
      <c r="AD524" s="110"/>
      <c r="AE524" s="110">
        <f t="shared" si="118"/>
        <v>10</v>
      </c>
      <c r="AF524" s="111">
        <f t="shared" si="120"/>
        <v>180</v>
      </c>
      <c r="AG524" s="110"/>
      <c r="AH524" s="110"/>
      <c r="AI524" s="110"/>
      <c r="AJ524" s="110"/>
      <c r="AK524" s="111">
        <f t="shared" si="107"/>
        <v>720</v>
      </c>
      <c r="AL524" s="446">
        <f t="shared" si="108"/>
        <v>0</v>
      </c>
      <c r="AM524" s="110">
        <f t="shared" si="109"/>
        <v>40</v>
      </c>
      <c r="AN524" s="447">
        <f t="shared" si="105"/>
        <v>0</v>
      </c>
      <c r="AO524"/>
      <c r="AP524"/>
    </row>
    <row r="525" spans="1:42" ht="36" customHeight="1" x14ac:dyDescent="0.25">
      <c r="A525" s="9"/>
      <c r="B525" s="218" t="s">
        <v>1714</v>
      </c>
      <c r="C525" s="1024"/>
      <c r="D525" s="875">
        <v>20</v>
      </c>
      <c r="E525" s="1027" t="s">
        <v>1722</v>
      </c>
      <c r="F525" s="273" t="s">
        <v>3446</v>
      </c>
      <c r="G525" s="1040" t="s">
        <v>3463</v>
      </c>
      <c r="H525" s="273" t="s">
        <v>3462</v>
      </c>
      <c r="I525" s="720">
        <f t="shared" si="113"/>
        <v>23.73</v>
      </c>
      <c r="J525" s="756">
        <v>474.6</v>
      </c>
      <c r="K525" s="131">
        <f t="shared" si="104"/>
        <v>474.6</v>
      </c>
      <c r="L525" s="335">
        <f t="shared" si="106"/>
        <v>0</v>
      </c>
      <c r="M525" s="446"/>
      <c r="N525" s="446"/>
      <c r="O525" s="446"/>
      <c r="P525" s="446"/>
      <c r="Q525" s="110">
        <f t="shared" si="116"/>
        <v>5</v>
      </c>
      <c r="R525" s="111">
        <f t="shared" si="114"/>
        <v>118.65</v>
      </c>
      <c r="S525" s="110"/>
      <c r="T525" s="110"/>
      <c r="U525" s="110">
        <f t="shared" si="117"/>
        <v>5</v>
      </c>
      <c r="V525" s="111">
        <f t="shared" si="115"/>
        <v>118.65</v>
      </c>
      <c r="W525" s="110"/>
      <c r="X525" s="110"/>
      <c r="Y525" s="110"/>
      <c r="Z525" s="110"/>
      <c r="AA525" s="110">
        <f t="shared" si="118"/>
        <v>5</v>
      </c>
      <c r="AB525" s="111">
        <f t="shared" si="119"/>
        <v>118.65</v>
      </c>
      <c r="AC525" s="110"/>
      <c r="AD525" s="110"/>
      <c r="AE525" s="110">
        <f t="shared" si="118"/>
        <v>5</v>
      </c>
      <c r="AF525" s="111">
        <f t="shared" si="120"/>
        <v>118.65</v>
      </c>
      <c r="AG525" s="110"/>
      <c r="AH525" s="110"/>
      <c r="AI525" s="110"/>
      <c r="AJ525" s="110"/>
      <c r="AK525" s="111">
        <f t="shared" si="107"/>
        <v>474.6</v>
      </c>
      <c r="AL525" s="446">
        <f t="shared" si="108"/>
        <v>0</v>
      </c>
      <c r="AM525" s="110">
        <f t="shared" si="109"/>
        <v>20</v>
      </c>
      <c r="AN525" s="447">
        <f t="shared" si="105"/>
        <v>0</v>
      </c>
      <c r="AO525"/>
      <c r="AP525"/>
    </row>
    <row r="526" spans="1:42" ht="42" customHeight="1" x14ac:dyDescent="0.25">
      <c r="A526" s="9"/>
      <c r="B526" s="218" t="s">
        <v>2215</v>
      </c>
      <c r="C526" s="1024"/>
      <c r="D526" s="875">
        <v>30</v>
      </c>
      <c r="E526" s="1027" t="s">
        <v>1722</v>
      </c>
      <c r="F526" s="273" t="s">
        <v>3446</v>
      </c>
      <c r="G526" s="1040" t="s">
        <v>3463</v>
      </c>
      <c r="H526" s="273" t="s">
        <v>3462</v>
      </c>
      <c r="I526" s="720">
        <f t="shared" si="113"/>
        <v>35.64</v>
      </c>
      <c r="J526" s="756">
        <v>1069.2</v>
      </c>
      <c r="K526" s="131">
        <f t="shared" si="104"/>
        <v>1069.2</v>
      </c>
      <c r="L526" s="335">
        <f t="shared" si="106"/>
        <v>0</v>
      </c>
      <c r="M526" s="446"/>
      <c r="N526" s="446"/>
      <c r="O526" s="446"/>
      <c r="P526" s="446"/>
      <c r="Q526" s="110">
        <v>8</v>
      </c>
      <c r="R526" s="111">
        <f t="shared" si="114"/>
        <v>267.3</v>
      </c>
      <c r="S526" s="110"/>
      <c r="T526" s="110"/>
      <c r="U526" s="110">
        <v>8</v>
      </c>
      <c r="V526" s="111">
        <f t="shared" si="115"/>
        <v>267.3</v>
      </c>
      <c r="W526" s="110"/>
      <c r="X526" s="110"/>
      <c r="Y526" s="110"/>
      <c r="Z526" s="110"/>
      <c r="AA526" s="110">
        <v>7</v>
      </c>
      <c r="AB526" s="111">
        <f t="shared" si="119"/>
        <v>267.3</v>
      </c>
      <c r="AC526" s="110"/>
      <c r="AD526" s="110"/>
      <c r="AE526" s="110">
        <v>7</v>
      </c>
      <c r="AF526" s="111">
        <f t="shared" si="120"/>
        <v>267.3</v>
      </c>
      <c r="AG526" s="110"/>
      <c r="AH526" s="110"/>
      <c r="AI526" s="110"/>
      <c r="AJ526" s="110"/>
      <c r="AK526" s="111">
        <f t="shared" si="107"/>
        <v>1069.2</v>
      </c>
      <c r="AL526" s="446">
        <f t="shared" si="108"/>
        <v>0</v>
      </c>
      <c r="AM526" s="110">
        <f t="shared" si="109"/>
        <v>30</v>
      </c>
      <c r="AN526" s="447">
        <f t="shared" si="105"/>
        <v>0</v>
      </c>
      <c r="AO526"/>
      <c r="AP526"/>
    </row>
    <row r="527" spans="1:42" ht="36" customHeight="1" x14ac:dyDescent="0.25">
      <c r="A527" s="9"/>
      <c r="B527" s="218" t="s">
        <v>40</v>
      </c>
      <c r="C527" s="1024"/>
      <c r="D527" s="875">
        <v>20</v>
      </c>
      <c r="E527" s="1027" t="s">
        <v>1721</v>
      </c>
      <c r="F527" s="273" t="s">
        <v>3446</v>
      </c>
      <c r="G527" s="1040" t="s">
        <v>3463</v>
      </c>
      <c r="H527" s="273" t="s">
        <v>3462</v>
      </c>
      <c r="I527" s="720">
        <f t="shared" si="113"/>
        <v>15.4</v>
      </c>
      <c r="J527" s="756">
        <v>308</v>
      </c>
      <c r="K527" s="131">
        <f t="shared" ref="K527:K590" si="121">+D527*I527</f>
        <v>308</v>
      </c>
      <c r="L527" s="335">
        <f t="shared" si="106"/>
        <v>0</v>
      </c>
      <c r="M527" s="446"/>
      <c r="N527" s="446"/>
      <c r="O527" s="446"/>
      <c r="P527" s="446"/>
      <c r="Q527" s="110">
        <f t="shared" si="116"/>
        <v>5</v>
      </c>
      <c r="R527" s="111">
        <f t="shared" si="114"/>
        <v>77</v>
      </c>
      <c r="S527" s="110"/>
      <c r="T527" s="110"/>
      <c r="U527" s="110">
        <f t="shared" si="117"/>
        <v>5</v>
      </c>
      <c r="V527" s="111">
        <f t="shared" si="115"/>
        <v>77</v>
      </c>
      <c r="W527" s="110"/>
      <c r="X527" s="110"/>
      <c r="Y527" s="110"/>
      <c r="Z527" s="110"/>
      <c r="AA527" s="110">
        <f t="shared" si="118"/>
        <v>5</v>
      </c>
      <c r="AB527" s="111">
        <f t="shared" si="119"/>
        <v>77</v>
      </c>
      <c r="AC527" s="110"/>
      <c r="AD527" s="110"/>
      <c r="AE527" s="110">
        <f t="shared" si="118"/>
        <v>5</v>
      </c>
      <c r="AF527" s="111">
        <f t="shared" si="120"/>
        <v>77</v>
      </c>
      <c r="AG527" s="110"/>
      <c r="AH527" s="110"/>
      <c r="AI527" s="110"/>
      <c r="AJ527" s="110"/>
      <c r="AK527" s="111">
        <f t="shared" si="107"/>
        <v>308</v>
      </c>
      <c r="AL527" s="446">
        <f t="shared" si="108"/>
        <v>0</v>
      </c>
      <c r="AM527" s="110">
        <f t="shared" si="109"/>
        <v>20</v>
      </c>
      <c r="AN527" s="447">
        <f t="shared" ref="AN527:AN590" si="122">+D527-AM527</f>
        <v>0</v>
      </c>
      <c r="AO527"/>
      <c r="AP527"/>
    </row>
    <row r="528" spans="1:42" ht="32.25" customHeight="1" x14ac:dyDescent="0.25">
      <c r="A528" s="9"/>
      <c r="B528" s="218" t="s">
        <v>39</v>
      </c>
      <c r="C528" s="1024"/>
      <c r="D528" s="875">
        <v>10</v>
      </c>
      <c r="E528" s="1027" t="s">
        <v>1721</v>
      </c>
      <c r="F528" s="273" t="s">
        <v>3446</v>
      </c>
      <c r="G528" s="1040" t="s">
        <v>3463</v>
      </c>
      <c r="H528" s="273" t="s">
        <v>3462</v>
      </c>
      <c r="I528" s="720">
        <f t="shared" si="113"/>
        <v>15.4</v>
      </c>
      <c r="J528" s="756">
        <v>154</v>
      </c>
      <c r="K528" s="131">
        <f t="shared" si="121"/>
        <v>154</v>
      </c>
      <c r="L528" s="335">
        <f t="shared" ref="L528:L591" si="123">+J528-K528</f>
        <v>0</v>
      </c>
      <c r="M528" s="446"/>
      <c r="N528" s="446"/>
      <c r="O528" s="446"/>
      <c r="P528" s="446"/>
      <c r="Q528" s="130">
        <v>3</v>
      </c>
      <c r="R528" s="111">
        <f t="shared" si="114"/>
        <v>38.5</v>
      </c>
      <c r="S528" s="110"/>
      <c r="T528" s="110"/>
      <c r="U528" s="130">
        <v>3</v>
      </c>
      <c r="V528" s="111">
        <f t="shared" si="115"/>
        <v>38.5</v>
      </c>
      <c r="W528" s="110"/>
      <c r="X528" s="110"/>
      <c r="Y528" s="110"/>
      <c r="Z528" s="110"/>
      <c r="AA528" s="130">
        <v>2</v>
      </c>
      <c r="AB528" s="111">
        <f t="shared" si="119"/>
        <v>38.5</v>
      </c>
      <c r="AC528" s="110"/>
      <c r="AD528" s="110"/>
      <c r="AE528" s="130">
        <v>2</v>
      </c>
      <c r="AF528" s="111">
        <f t="shared" si="120"/>
        <v>38.5</v>
      </c>
      <c r="AG528" s="110"/>
      <c r="AH528" s="110"/>
      <c r="AI528" s="110"/>
      <c r="AJ528" s="110"/>
      <c r="AK528" s="111">
        <f t="shared" ref="AK528:AK591" si="124">+R528+V528+AB528+AF528</f>
        <v>154</v>
      </c>
      <c r="AL528" s="446">
        <f t="shared" ref="AL528:AL591" si="125">+J528-AK528</f>
        <v>0</v>
      </c>
      <c r="AM528" s="110">
        <f t="shared" ref="AM528:AM591" si="126">+Q528+U528+AA528+AE528</f>
        <v>10</v>
      </c>
      <c r="AN528" s="447">
        <f t="shared" si="122"/>
        <v>0</v>
      </c>
      <c r="AO528"/>
      <c r="AP528"/>
    </row>
    <row r="529" spans="1:42" ht="27.75" customHeight="1" x14ac:dyDescent="0.25">
      <c r="A529" s="9"/>
      <c r="B529" s="218" t="s">
        <v>41</v>
      </c>
      <c r="C529" s="1024"/>
      <c r="D529" s="875">
        <v>15</v>
      </c>
      <c r="E529" s="1027" t="s">
        <v>1722</v>
      </c>
      <c r="F529" s="273" t="s">
        <v>3446</v>
      </c>
      <c r="G529" s="1040" t="s">
        <v>3463</v>
      </c>
      <c r="H529" s="273" t="s">
        <v>3462</v>
      </c>
      <c r="I529" s="720">
        <f t="shared" si="113"/>
        <v>79.3</v>
      </c>
      <c r="J529" s="756">
        <v>1189.5</v>
      </c>
      <c r="K529" s="131">
        <f t="shared" si="121"/>
        <v>1189.5</v>
      </c>
      <c r="L529" s="335">
        <f t="shared" si="123"/>
        <v>0</v>
      </c>
      <c r="M529" s="446"/>
      <c r="N529" s="446"/>
      <c r="O529" s="446"/>
      <c r="P529" s="446"/>
      <c r="Q529" s="110">
        <v>4</v>
      </c>
      <c r="R529" s="111">
        <f t="shared" si="114"/>
        <v>297.375</v>
      </c>
      <c r="S529" s="110"/>
      <c r="T529" s="110"/>
      <c r="U529" s="110">
        <v>4</v>
      </c>
      <c r="V529" s="111">
        <f t="shared" si="115"/>
        <v>297.375</v>
      </c>
      <c r="W529" s="110"/>
      <c r="X529" s="110"/>
      <c r="Y529" s="110"/>
      <c r="Z529" s="110"/>
      <c r="AA529" s="110">
        <v>4</v>
      </c>
      <c r="AB529" s="111">
        <f t="shared" si="119"/>
        <v>297.375</v>
      </c>
      <c r="AC529" s="110"/>
      <c r="AD529" s="110"/>
      <c r="AE529" s="110">
        <v>3</v>
      </c>
      <c r="AF529" s="111">
        <f t="shared" si="120"/>
        <v>297.375</v>
      </c>
      <c r="AG529" s="110"/>
      <c r="AH529" s="110"/>
      <c r="AI529" s="110"/>
      <c r="AJ529" s="110"/>
      <c r="AK529" s="111">
        <f t="shared" si="124"/>
        <v>1189.5</v>
      </c>
      <c r="AL529" s="446">
        <f t="shared" si="125"/>
        <v>0</v>
      </c>
      <c r="AM529" s="110">
        <f t="shared" si="126"/>
        <v>15</v>
      </c>
      <c r="AN529" s="447">
        <f t="shared" si="122"/>
        <v>0</v>
      </c>
      <c r="AO529"/>
      <c r="AP529"/>
    </row>
    <row r="530" spans="1:42" ht="34.5" customHeight="1" x14ac:dyDescent="0.25">
      <c r="A530" s="9"/>
      <c r="B530" s="218" t="s">
        <v>43</v>
      </c>
      <c r="C530" s="1024"/>
      <c r="D530" s="875">
        <v>10</v>
      </c>
      <c r="E530" s="1027" t="s">
        <v>1721</v>
      </c>
      <c r="F530" s="273" t="s">
        <v>3446</v>
      </c>
      <c r="G530" s="1040" t="s">
        <v>3463</v>
      </c>
      <c r="H530" s="273" t="s">
        <v>3462</v>
      </c>
      <c r="I530" s="720">
        <f t="shared" si="113"/>
        <v>13.309999999999999</v>
      </c>
      <c r="J530" s="756">
        <v>133.1</v>
      </c>
      <c r="K530" s="131">
        <f t="shared" si="121"/>
        <v>133.1</v>
      </c>
      <c r="L530" s="335">
        <f t="shared" si="123"/>
        <v>0</v>
      </c>
      <c r="M530" s="446"/>
      <c r="N530" s="446"/>
      <c r="O530" s="446"/>
      <c r="P530" s="446"/>
      <c r="Q530" s="130">
        <v>3</v>
      </c>
      <c r="R530" s="111">
        <f t="shared" si="114"/>
        <v>33.274999999999999</v>
      </c>
      <c r="S530" s="110"/>
      <c r="T530" s="110"/>
      <c r="U530" s="130">
        <v>3</v>
      </c>
      <c r="V530" s="111">
        <f t="shared" si="115"/>
        <v>33.274999999999999</v>
      </c>
      <c r="W530" s="110"/>
      <c r="X530" s="110"/>
      <c r="Y530" s="110"/>
      <c r="Z530" s="110"/>
      <c r="AA530" s="130">
        <v>2</v>
      </c>
      <c r="AB530" s="111">
        <f t="shared" si="119"/>
        <v>33.274999999999999</v>
      </c>
      <c r="AC530" s="110"/>
      <c r="AD530" s="110"/>
      <c r="AE530" s="130">
        <v>2</v>
      </c>
      <c r="AF530" s="111">
        <f t="shared" si="120"/>
        <v>33.274999999999999</v>
      </c>
      <c r="AG530" s="110"/>
      <c r="AH530" s="110"/>
      <c r="AI530" s="110"/>
      <c r="AJ530" s="110"/>
      <c r="AK530" s="111">
        <f t="shared" si="124"/>
        <v>133.1</v>
      </c>
      <c r="AL530" s="446">
        <f t="shared" si="125"/>
        <v>0</v>
      </c>
      <c r="AM530" s="110">
        <f t="shared" si="126"/>
        <v>10</v>
      </c>
      <c r="AN530" s="447">
        <f t="shared" si="122"/>
        <v>0</v>
      </c>
      <c r="AO530"/>
      <c r="AP530"/>
    </row>
    <row r="531" spans="1:42" ht="37.5" customHeight="1" x14ac:dyDescent="0.25">
      <c r="A531" s="9"/>
      <c r="B531" s="218" t="s">
        <v>2216</v>
      </c>
      <c r="C531" s="1024"/>
      <c r="D531" s="875">
        <v>5</v>
      </c>
      <c r="E531" s="1027" t="s">
        <v>1722</v>
      </c>
      <c r="F531" s="273" t="s">
        <v>3446</v>
      </c>
      <c r="G531" s="1040" t="s">
        <v>3463</v>
      </c>
      <c r="H531" s="273" t="s">
        <v>3462</v>
      </c>
      <c r="I531" s="720">
        <f t="shared" si="113"/>
        <v>22.57</v>
      </c>
      <c r="J531" s="756">
        <v>112.85</v>
      </c>
      <c r="K531" s="131">
        <f t="shared" si="121"/>
        <v>112.85</v>
      </c>
      <c r="L531" s="335">
        <f t="shared" si="123"/>
        <v>0</v>
      </c>
      <c r="M531" s="446"/>
      <c r="N531" s="446"/>
      <c r="O531" s="446"/>
      <c r="P531" s="446"/>
      <c r="Q531" s="110">
        <v>2</v>
      </c>
      <c r="R531" s="111">
        <f t="shared" si="114"/>
        <v>28.212499999999999</v>
      </c>
      <c r="S531" s="110"/>
      <c r="T531" s="110"/>
      <c r="U531" s="110">
        <v>1</v>
      </c>
      <c r="V531" s="111">
        <f t="shared" si="115"/>
        <v>28.212499999999999</v>
      </c>
      <c r="W531" s="110"/>
      <c r="X531" s="110"/>
      <c r="Y531" s="110"/>
      <c r="Z531" s="110"/>
      <c r="AA531" s="110">
        <v>1</v>
      </c>
      <c r="AB531" s="111">
        <f t="shared" si="119"/>
        <v>28.212499999999999</v>
      </c>
      <c r="AC531" s="110"/>
      <c r="AD531" s="110"/>
      <c r="AE531" s="110">
        <v>1</v>
      </c>
      <c r="AF531" s="111">
        <f t="shared" si="120"/>
        <v>28.212499999999999</v>
      </c>
      <c r="AG531" s="110"/>
      <c r="AH531" s="110"/>
      <c r="AI531" s="110"/>
      <c r="AJ531" s="110"/>
      <c r="AK531" s="111">
        <f t="shared" si="124"/>
        <v>112.85</v>
      </c>
      <c r="AL531" s="446">
        <f t="shared" si="125"/>
        <v>0</v>
      </c>
      <c r="AM531" s="110">
        <f t="shared" si="126"/>
        <v>5</v>
      </c>
      <c r="AN531" s="447">
        <f t="shared" si="122"/>
        <v>0</v>
      </c>
      <c r="AO531"/>
      <c r="AP531"/>
    </row>
    <row r="532" spans="1:42" ht="45" customHeight="1" x14ac:dyDescent="0.25">
      <c r="A532" s="9"/>
      <c r="B532" s="218" t="s">
        <v>74</v>
      </c>
      <c r="C532" s="1024"/>
      <c r="D532" s="875">
        <v>3</v>
      </c>
      <c r="E532" s="1027" t="s">
        <v>1722</v>
      </c>
      <c r="F532" s="273" t="s">
        <v>3446</v>
      </c>
      <c r="G532" s="1040" t="s">
        <v>3463</v>
      </c>
      <c r="H532" s="273" t="s">
        <v>3462</v>
      </c>
      <c r="I532" s="720">
        <f t="shared" si="113"/>
        <v>22.570000000000004</v>
      </c>
      <c r="J532" s="756">
        <v>67.710000000000008</v>
      </c>
      <c r="K532" s="131">
        <f t="shared" si="121"/>
        <v>67.710000000000008</v>
      </c>
      <c r="L532" s="335">
        <f t="shared" si="123"/>
        <v>0</v>
      </c>
      <c r="M532" s="446"/>
      <c r="N532" s="446"/>
      <c r="O532" s="446"/>
      <c r="P532" s="446"/>
      <c r="Q532" s="130">
        <v>1</v>
      </c>
      <c r="R532" s="111">
        <v>22.57</v>
      </c>
      <c r="S532" s="110"/>
      <c r="T532" s="110"/>
      <c r="U532" s="130">
        <v>1</v>
      </c>
      <c r="V532" s="111">
        <v>22.57</v>
      </c>
      <c r="W532" s="110"/>
      <c r="X532" s="110"/>
      <c r="Y532" s="110"/>
      <c r="Z532" s="110"/>
      <c r="AA532" s="130">
        <v>1</v>
      </c>
      <c r="AB532" s="111">
        <v>22.57</v>
      </c>
      <c r="AC532" s="110"/>
      <c r="AD532" s="110"/>
      <c r="AE532" s="130">
        <v>0</v>
      </c>
      <c r="AF532" s="111">
        <v>0</v>
      </c>
      <c r="AG532" s="110"/>
      <c r="AH532" s="110"/>
      <c r="AI532" s="110"/>
      <c r="AJ532" s="110"/>
      <c r="AK532" s="111">
        <f t="shared" si="124"/>
        <v>67.710000000000008</v>
      </c>
      <c r="AL532" s="446">
        <f t="shared" si="125"/>
        <v>0</v>
      </c>
      <c r="AM532" s="110">
        <f t="shared" si="126"/>
        <v>3</v>
      </c>
      <c r="AN532" s="447">
        <f t="shared" si="122"/>
        <v>0</v>
      </c>
      <c r="AO532"/>
      <c r="AP532"/>
    </row>
    <row r="533" spans="1:42" ht="44.25" customHeight="1" x14ac:dyDescent="0.25">
      <c r="A533" s="9"/>
      <c r="B533" s="218" t="s">
        <v>52</v>
      </c>
      <c r="C533" s="1024"/>
      <c r="D533" s="875">
        <v>10</v>
      </c>
      <c r="E533" s="1027" t="s">
        <v>1721</v>
      </c>
      <c r="F533" s="273" t="s">
        <v>3446</v>
      </c>
      <c r="G533" s="1040" t="s">
        <v>3463</v>
      </c>
      <c r="H533" s="273" t="s">
        <v>3462</v>
      </c>
      <c r="I533" s="720">
        <f t="shared" si="113"/>
        <v>16.75</v>
      </c>
      <c r="J533" s="756">
        <v>167.5</v>
      </c>
      <c r="K533" s="131">
        <f t="shared" si="121"/>
        <v>167.5</v>
      </c>
      <c r="L533" s="335">
        <f t="shared" si="123"/>
        <v>0</v>
      </c>
      <c r="M533" s="446"/>
      <c r="N533" s="446"/>
      <c r="O533" s="446"/>
      <c r="P533" s="446"/>
      <c r="Q533" s="130">
        <v>3</v>
      </c>
      <c r="R533" s="111">
        <f t="shared" si="114"/>
        <v>41.875</v>
      </c>
      <c r="S533" s="110"/>
      <c r="T533" s="110"/>
      <c r="U533" s="130">
        <v>3</v>
      </c>
      <c r="V533" s="111">
        <f t="shared" si="115"/>
        <v>41.875</v>
      </c>
      <c r="W533" s="110"/>
      <c r="X533" s="110"/>
      <c r="Y533" s="110"/>
      <c r="Z533" s="110"/>
      <c r="AA533" s="130">
        <v>2</v>
      </c>
      <c r="AB533" s="111">
        <f t="shared" si="119"/>
        <v>41.875</v>
      </c>
      <c r="AC533" s="110"/>
      <c r="AD533" s="110"/>
      <c r="AE533" s="130">
        <v>2</v>
      </c>
      <c r="AF533" s="111">
        <f t="shared" si="120"/>
        <v>41.875</v>
      </c>
      <c r="AG533" s="110"/>
      <c r="AH533" s="110"/>
      <c r="AI533" s="110"/>
      <c r="AJ533" s="110"/>
      <c r="AK533" s="111">
        <f t="shared" si="124"/>
        <v>167.5</v>
      </c>
      <c r="AL533" s="446">
        <f t="shared" si="125"/>
        <v>0</v>
      </c>
      <c r="AM533" s="110">
        <f t="shared" si="126"/>
        <v>10</v>
      </c>
      <c r="AN533" s="447">
        <f t="shared" si="122"/>
        <v>0</v>
      </c>
      <c r="AO533"/>
      <c r="AP533"/>
    </row>
    <row r="534" spans="1:42" ht="45" customHeight="1" x14ac:dyDescent="0.25">
      <c r="A534" s="9"/>
      <c r="B534" s="218" t="s">
        <v>2217</v>
      </c>
      <c r="C534" s="1024"/>
      <c r="D534" s="875">
        <v>10</v>
      </c>
      <c r="E534" s="1027" t="s">
        <v>1721</v>
      </c>
      <c r="F534" s="273" t="s">
        <v>3446</v>
      </c>
      <c r="G534" s="1040" t="s">
        <v>3463</v>
      </c>
      <c r="H534" s="273" t="s">
        <v>3462</v>
      </c>
      <c r="I534" s="720">
        <f t="shared" si="113"/>
        <v>83.16</v>
      </c>
      <c r="J534" s="756">
        <v>831.59999999999991</v>
      </c>
      <c r="K534" s="131">
        <f t="shared" si="121"/>
        <v>831.59999999999991</v>
      </c>
      <c r="L534" s="335">
        <f t="shared" si="123"/>
        <v>0</v>
      </c>
      <c r="M534" s="446"/>
      <c r="N534" s="446"/>
      <c r="O534" s="446"/>
      <c r="P534" s="446"/>
      <c r="Q534" s="130">
        <v>3</v>
      </c>
      <c r="R534" s="111">
        <f t="shared" si="114"/>
        <v>207.89999999999998</v>
      </c>
      <c r="S534" s="110"/>
      <c r="T534" s="110"/>
      <c r="U534" s="130">
        <v>3</v>
      </c>
      <c r="V534" s="111">
        <f t="shared" si="115"/>
        <v>207.89999999999998</v>
      </c>
      <c r="W534" s="110"/>
      <c r="X534" s="110"/>
      <c r="Y534" s="110"/>
      <c r="Z534" s="110"/>
      <c r="AA534" s="130">
        <v>2</v>
      </c>
      <c r="AB534" s="111">
        <f t="shared" si="119"/>
        <v>207.89999999999998</v>
      </c>
      <c r="AC534" s="110"/>
      <c r="AD534" s="110"/>
      <c r="AE534" s="130">
        <v>2</v>
      </c>
      <c r="AF534" s="111">
        <f t="shared" si="120"/>
        <v>207.89999999999998</v>
      </c>
      <c r="AG534" s="110"/>
      <c r="AH534" s="110"/>
      <c r="AI534" s="110"/>
      <c r="AJ534" s="110"/>
      <c r="AK534" s="111">
        <f t="shared" si="124"/>
        <v>831.59999999999991</v>
      </c>
      <c r="AL534" s="446">
        <f t="shared" si="125"/>
        <v>0</v>
      </c>
      <c r="AM534" s="110">
        <f t="shared" si="126"/>
        <v>10</v>
      </c>
      <c r="AN534" s="447">
        <f t="shared" si="122"/>
        <v>0</v>
      </c>
      <c r="AO534"/>
      <c r="AP534"/>
    </row>
    <row r="535" spans="1:42" ht="45" customHeight="1" x14ac:dyDescent="0.25">
      <c r="A535" s="9"/>
      <c r="B535" s="218" t="s">
        <v>56</v>
      </c>
      <c r="C535" s="1024"/>
      <c r="D535" s="875">
        <v>1</v>
      </c>
      <c r="E535" s="1027" t="s">
        <v>1721</v>
      </c>
      <c r="F535" s="273" t="s">
        <v>3446</v>
      </c>
      <c r="G535" s="1040" t="s">
        <v>3463</v>
      </c>
      <c r="H535" s="273" t="s">
        <v>3462</v>
      </c>
      <c r="I535" s="720">
        <f t="shared" si="113"/>
        <v>355.21</v>
      </c>
      <c r="J535" s="756">
        <v>355.21</v>
      </c>
      <c r="K535" s="131">
        <f t="shared" si="121"/>
        <v>355.21</v>
      </c>
      <c r="L535" s="335">
        <f t="shared" si="123"/>
        <v>0</v>
      </c>
      <c r="M535" s="446"/>
      <c r="N535" s="446"/>
      <c r="O535" s="446"/>
      <c r="P535" s="446"/>
      <c r="Q535" s="110">
        <v>1</v>
      </c>
      <c r="R535" s="111">
        <v>355.21</v>
      </c>
      <c r="S535" s="110"/>
      <c r="T535" s="110"/>
      <c r="U535" s="110">
        <v>0</v>
      </c>
      <c r="V535" s="111">
        <v>0</v>
      </c>
      <c r="W535" s="110"/>
      <c r="X535" s="110"/>
      <c r="Y535" s="110"/>
      <c r="Z535" s="110"/>
      <c r="AA535" s="110">
        <v>0</v>
      </c>
      <c r="AB535" s="111">
        <v>0</v>
      </c>
      <c r="AC535" s="110"/>
      <c r="AD535" s="110"/>
      <c r="AE535" s="110">
        <v>0</v>
      </c>
      <c r="AF535" s="111">
        <v>0</v>
      </c>
      <c r="AG535" s="110"/>
      <c r="AH535" s="110"/>
      <c r="AI535" s="110"/>
      <c r="AJ535" s="110"/>
      <c r="AK535" s="111">
        <f t="shared" si="124"/>
        <v>355.21</v>
      </c>
      <c r="AL535" s="446">
        <f t="shared" si="125"/>
        <v>0</v>
      </c>
      <c r="AM535" s="110">
        <f t="shared" si="126"/>
        <v>1</v>
      </c>
      <c r="AN535" s="447">
        <f t="shared" si="122"/>
        <v>0</v>
      </c>
      <c r="AO535"/>
      <c r="AP535"/>
    </row>
    <row r="536" spans="1:42" ht="33" customHeight="1" x14ac:dyDescent="0.25">
      <c r="A536" s="9"/>
      <c r="B536" s="218" t="s">
        <v>57</v>
      </c>
      <c r="C536" s="1024"/>
      <c r="D536" s="875">
        <v>10</v>
      </c>
      <c r="E536" s="1027" t="s">
        <v>1721</v>
      </c>
      <c r="F536" s="273" t="s">
        <v>3446</v>
      </c>
      <c r="G536" s="1040" t="s">
        <v>3463</v>
      </c>
      <c r="H536" s="273" t="s">
        <v>3462</v>
      </c>
      <c r="I536" s="720">
        <f t="shared" si="113"/>
        <v>26.97</v>
      </c>
      <c r="J536" s="756">
        <v>269.7</v>
      </c>
      <c r="K536" s="131">
        <f t="shared" si="121"/>
        <v>269.7</v>
      </c>
      <c r="L536" s="335">
        <f t="shared" si="123"/>
        <v>0</v>
      </c>
      <c r="M536" s="446"/>
      <c r="N536" s="446"/>
      <c r="O536" s="446"/>
      <c r="P536" s="446"/>
      <c r="Q536" s="130">
        <v>3</v>
      </c>
      <c r="R536" s="111">
        <f t="shared" si="114"/>
        <v>67.424999999999997</v>
      </c>
      <c r="S536" s="110"/>
      <c r="T536" s="110"/>
      <c r="U536" s="130">
        <v>3</v>
      </c>
      <c r="V536" s="111">
        <f t="shared" si="115"/>
        <v>67.424999999999997</v>
      </c>
      <c r="W536" s="110"/>
      <c r="X536" s="110"/>
      <c r="Y536" s="110"/>
      <c r="Z536" s="110"/>
      <c r="AA536" s="130">
        <v>2</v>
      </c>
      <c r="AB536" s="111">
        <f t="shared" si="119"/>
        <v>67.424999999999997</v>
      </c>
      <c r="AC536" s="110"/>
      <c r="AD536" s="110"/>
      <c r="AE536" s="130">
        <v>2</v>
      </c>
      <c r="AF536" s="111">
        <f t="shared" si="120"/>
        <v>67.424999999999997</v>
      </c>
      <c r="AG536" s="110"/>
      <c r="AH536" s="110"/>
      <c r="AI536" s="110"/>
      <c r="AJ536" s="110"/>
      <c r="AK536" s="111">
        <f t="shared" si="124"/>
        <v>269.7</v>
      </c>
      <c r="AL536" s="446">
        <f t="shared" si="125"/>
        <v>0</v>
      </c>
      <c r="AM536" s="110">
        <f t="shared" si="126"/>
        <v>10</v>
      </c>
      <c r="AN536" s="447">
        <f t="shared" si="122"/>
        <v>0</v>
      </c>
      <c r="AO536"/>
      <c r="AP536"/>
    </row>
    <row r="537" spans="1:42" ht="42" customHeight="1" x14ac:dyDescent="0.25">
      <c r="A537" s="9"/>
      <c r="B537" s="218" t="s">
        <v>59</v>
      </c>
      <c r="C537" s="1024"/>
      <c r="D537" s="875">
        <v>15</v>
      </c>
      <c r="E537" s="1027" t="s">
        <v>1721</v>
      </c>
      <c r="F537" s="273" t="s">
        <v>3446</v>
      </c>
      <c r="G537" s="1040" t="s">
        <v>3463</v>
      </c>
      <c r="H537" s="273" t="s">
        <v>3462</v>
      </c>
      <c r="I537" s="720">
        <f t="shared" si="113"/>
        <v>29.7</v>
      </c>
      <c r="J537" s="756">
        <v>445.5</v>
      </c>
      <c r="K537" s="131">
        <f t="shared" si="121"/>
        <v>445.5</v>
      </c>
      <c r="L537" s="335">
        <f t="shared" si="123"/>
        <v>0</v>
      </c>
      <c r="M537" s="446"/>
      <c r="N537" s="446"/>
      <c r="O537" s="446"/>
      <c r="P537" s="446"/>
      <c r="Q537" s="110">
        <v>4</v>
      </c>
      <c r="R537" s="111">
        <f t="shared" si="114"/>
        <v>111.375</v>
      </c>
      <c r="S537" s="110"/>
      <c r="T537" s="110"/>
      <c r="U537" s="110">
        <v>4</v>
      </c>
      <c r="V537" s="111">
        <f t="shared" si="115"/>
        <v>111.375</v>
      </c>
      <c r="W537" s="110"/>
      <c r="X537" s="110"/>
      <c r="Y537" s="110"/>
      <c r="Z537" s="110"/>
      <c r="AA537" s="110">
        <v>4</v>
      </c>
      <c r="AB537" s="111">
        <f t="shared" si="119"/>
        <v>111.375</v>
      </c>
      <c r="AC537" s="110"/>
      <c r="AD537" s="110"/>
      <c r="AE537" s="110">
        <v>3</v>
      </c>
      <c r="AF537" s="111">
        <f t="shared" si="120"/>
        <v>111.375</v>
      </c>
      <c r="AG537" s="110"/>
      <c r="AH537" s="110"/>
      <c r="AI537" s="110"/>
      <c r="AJ537" s="110"/>
      <c r="AK537" s="111">
        <f t="shared" si="124"/>
        <v>445.5</v>
      </c>
      <c r="AL537" s="446">
        <f t="shared" si="125"/>
        <v>0</v>
      </c>
      <c r="AM537" s="110">
        <f t="shared" si="126"/>
        <v>15</v>
      </c>
      <c r="AN537" s="447">
        <f t="shared" si="122"/>
        <v>0</v>
      </c>
      <c r="AO537"/>
      <c r="AP537"/>
    </row>
    <row r="538" spans="1:42" ht="30" customHeight="1" x14ac:dyDescent="0.25">
      <c r="A538" s="9"/>
      <c r="B538" s="218" t="s">
        <v>60</v>
      </c>
      <c r="C538" s="1024"/>
      <c r="D538" s="875">
        <v>15</v>
      </c>
      <c r="E538" s="1027" t="s">
        <v>1721</v>
      </c>
      <c r="F538" s="273" t="s">
        <v>3446</v>
      </c>
      <c r="G538" s="1040" t="s">
        <v>3463</v>
      </c>
      <c r="H538" s="273" t="s">
        <v>3462</v>
      </c>
      <c r="I538" s="720">
        <f t="shared" si="113"/>
        <v>5.7</v>
      </c>
      <c r="J538" s="756">
        <v>85.5</v>
      </c>
      <c r="K538" s="131">
        <f t="shared" si="121"/>
        <v>85.5</v>
      </c>
      <c r="L538" s="335">
        <f t="shared" si="123"/>
        <v>0</v>
      </c>
      <c r="M538" s="446"/>
      <c r="N538" s="446"/>
      <c r="O538" s="446"/>
      <c r="P538" s="446"/>
      <c r="Q538" s="110">
        <v>4</v>
      </c>
      <c r="R538" s="111">
        <f t="shared" si="114"/>
        <v>21.375</v>
      </c>
      <c r="S538" s="110"/>
      <c r="T538" s="110"/>
      <c r="U538" s="110">
        <v>4</v>
      </c>
      <c r="V538" s="111">
        <f t="shared" si="115"/>
        <v>21.375</v>
      </c>
      <c r="W538" s="110"/>
      <c r="X538" s="110"/>
      <c r="Y538" s="110"/>
      <c r="Z538" s="110"/>
      <c r="AA538" s="110">
        <v>4</v>
      </c>
      <c r="AB538" s="111">
        <f t="shared" si="119"/>
        <v>21.375</v>
      </c>
      <c r="AC538" s="110"/>
      <c r="AD538" s="110"/>
      <c r="AE538" s="110">
        <v>3</v>
      </c>
      <c r="AF538" s="111">
        <f t="shared" si="120"/>
        <v>21.375</v>
      </c>
      <c r="AG538" s="110"/>
      <c r="AH538" s="110"/>
      <c r="AI538" s="110"/>
      <c r="AJ538" s="110"/>
      <c r="AK538" s="111">
        <f t="shared" si="124"/>
        <v>85.5</v>
      </c>
      <c r="AL538" s="446">
        <f t="shared" si="125"/>
        <v>0</v>
      </c>
      <c r="AM538" s="110">
        <f t="shared" si="126"/>
        <v>15</v>
      </c>
      <c r="AN538" s="447">
        <f t="shared" si="122"/>
        <v>0</v>
      </c>
      <c r="AO538"/>
      <c r="AP538"/>
    </row>
    <row r="539" spans="1:42" ht="29.25" customHeight="1" x14ac:dyDescent="0.25">
      <c r="A539" s="9"/>
      <c r="B539" s="489" t="s">
        <v>2218</v>
      </c>
      <c r="C539" s="1024"/>
      <c r="D539" s="875">
        <v>10</v>
      </c>
      <c r="E539" s="1027" t="s">
        <v>1722</v>
      </c>
      <c r="F539" s="273" t="s">
        <v>3446</v>
      </c>
      <c r="G539" s="1040" t="s">
        <v>3463</v>
      </c>
      <c r="H539" s="273" t="s">
        <v>3462</v>
      </c>
      <c r="I539" s="720">
        <f t="shared" si="113"/>
        <v>53.13000000000001</v>
      </c>
      <c r="J539" s="756">
        <v>531.30000000000007</v>
      </c>
      <c r="K539" s="131">
        <f t="shared" si="121"/>
        <v>531.30000000000007</v>
      </c>
      <c r="L539" s="335">
        <f t="shared" si="123"/>
        <v>0</v>
      </c>
      <c r="M539" s="446"/>
      <c r="N539" s="446"/>
      <c r="O539" s="446"/>
      <c r="P539" s="446"/>
      <c r="Q539" s="130">
        <v>3</v>
      </c>
      <c r="R539" s="111">
        <f t="shared" si="114"/>
        <v>132.82500000000002</v>
      </c>
      <c r="S539" s="110"/>
      <c r="T539" s="110"/>
      <c r="U539" s="130">
        <v>3</v>
      </c>
      <c r="V539" s="111">
        <f t="shared" si="115"/>
        <v>132.82500000000002</v>
      </c>
      <c r="W539" s="110"/>
      <c r="X539" s="110"/>
      <c r="Y539" s="110"/>
      <c r="Z539" s="110"/>
      <c r="AA539" s="130">
        <v>2</v>
      </c>
      <c r="AB539" s="111">
        <f t="shared" si="119"/>
        <v>132.82500000000002</v>
      </c>
      <c r="AC539" s="110"/>
      <c r="AD539" s="110"/>
      <c r="AE539" s="130">
        <v>2</v>
      </c>
      <c r="AF539" s="111">
        <f t="shared" si="120"/>
        <v>132.82500000000002</v>
      </c>
      <c r="AG539" s="110"/>
      <c r="AH539" s="110"/>
      <c r="AI539" s="110"/>
      <c r="AJ539" s="110"/>
      <c r="AK539" s="111">
        <f t="shared" si="124"/>
        <v>531.30000000000007</v>
      </c>
      <c r="AL539" s="446">
        <f t="shared" si="125"/>
        <v>0</v>
      </c>
      <c r="AM539" s="110">
        <f t="shared" si="126"/>
        <v>10</v>
      </c>
      <c r="AN539" s="447">
        <f t="shared" si="122"/>
        <v>0</v>
      </c>
      <c r="AO539"/>
      <c r="AP539"/>
    </row>
    <row r="540" spans="1:42" ht="32.25" customHeight="1" x14ac:dyDescent="0.25">
      <c r="A540" s="9"/>
      <c r="B540" s="489" t="s">
        <v>2219</v>
      </c>
      <c r="C540" s="1024"/>
      <c r="D540" s="875">
        <v>10</v>
      </c>
      <c r="E540" s="1027" t="s">
        <v>1721</v>
      </c>
      <c r="F540" s="273" t="s">
        <v>3446</v>
      </c>
      <c r="G540" s="1040" t="s">
        <v>3463</v>
      </c>
      <c r="H540" s="273" t="s">
        <v>3462</v>
      </c>
      <c r="I540" s="720">
        <f t="shared" ref="I540:I603" si="127">+J540/D540</f>
        <v>26.139999999999997</v>
      </c>
      <c r="J540" s="756">
        <v>261.39999999999998</v>
      </c>
      <c r="K540" s="131">
        <f t="shared" si="121"/>
        <v>261.39999999999998</v>
      </c>
      <c r="L540" s="335">
        <f t="shared" si="123"/>
        <v>0</v>
      </c>
      <c r="M540" s="446"/>
      <c r="N540" s="446"/>
      <c r="O540" s="446"/>
      <c r="P540" s="446"/>
      <c r="Q540" s="130">
        <v>3</v>
      </c>
      <c r="R540" s="111">
        <f t="shared" si="114"/>
        <v>65.349999999999994</v>
      </c>
      <c r="S540" s="110"/>
      <c r="T540" s="110"/>
      <c r="U540" s="130">
        <v>3</v>
      </c>
      <c r="V540" s="111">
        <f t="shared" si="115"/>
        <v>65.349999999999994</v>
      </c>
      <c r="W540" s="110"/>
      <c r="X540" s="110"/>
      <c r="Y540" s="110"/>
      <c r="Z540" s="110"/>
      <c r="AA540" s="130">
        <v>2</v>
      </c>
      <c r="AB540" s="111">
        <f t="shared" si="119"/>
        <v>65.349999999999994</v>
      </c>
      <c r="AC540" s="110"/>
      <c r="AD540" s="110"/>
      <c r="AE540" s="130">
        <v>2</v>
      </c>
      <c r="AF540" s="111">
        <f t="shared" si="120"/>
        <v>65.349999999999994</v>
      </c>
      <c r="AG540" s="110"/>
      <c r="AH540" s="110"/>
      <c r="AI540" s="110"/>
      <c r="AJ540" s="110"/>
      <c r="AK540" s="111">
        <f t="shared" si="124"/>
        <v>261.39999999999998</v>
      </c>
      <c r="AL540" s="446">
        <f t="shared" si="125"/>
        <v>0</v>
      </c>
      <c r="AM540" s="110">
        <f t="shared" si="126"/>
        <v>10</v>
      </c>
      <c r="AN540" s="447">
        <f t="shared" si="122"/>
        <v>0</v>
      </c>
      <c r="AO540"/>
      <c r="AP540"/>
    </row>
    <row r="541" spans="1:42" ht="37.5" customHeight="1" x14ac:dyDescent="0.25">
      <c r="A541" s="9"/>
      <c r="B541" s="218" t="s">
        <v>63</v>
      </c>
      <c r="C541" s="1024"/>
      <c r="D541" s="875">
        <v>10</v>
      </c>
      <c r="E541" s="1027" t="s">
        <v>1721</v>
      </c>
      <c r="F541" s="273" t="s">
        <v>3446</v>
      </c>
      <c r="G541" s="1040" t="s">
        <v>3463</v>
      </c>
      <c r="H541" s="273" t="s">
        <v>3462</v>
      </c>
      <c r="I541" s="720">
        <f t="shared" si="127"/>
        <v>45.14</v>
      </c>
      <c r="J541" s="756">
        <v>451.4</v>
      </c>
      <c r="K541" s="131">
        <f t="shared" si="121"/>
        <v>451.4</v>
      </c>
      <c r="L541" s="335">
        <f t="shared" si="123"/>
        <v>0</v>
      </c>
      <c r="M541" s="446"/>
      <c r="N541" s="446"/>
      <c r="O541" s="446"/>
      <c r="P541" s="446"/>
      <c r="Q541" s="130">
        <v>3</v>
      </c>
      <c r="R541" s="111">
        <f t="shared" si="114"/>
        <v>112.85</v>
      </c>
      <c r="S541" s="110"/>
      <c r="T541" s="110"/>
      <c r="U541" s="130">
        <v>3</v>
      </c>
      <c r="V541" s="111">
        <f t="shared" si="115"/>
        <v>112.85</v>
      </c>
      <c r="W541" s="110"/>
      <c r="X541" s="110"/>
      <c r="Y541" s="110"/>
      <c r="Z541" s="110"/>
      <c r="AA541" s="130">
        <v>2</v>
      </c>
      <c r="AB541" s="111">
        <f t="shared" si="119"/>
        <v>112.85</v>
      </c>
      <c r="AC541" s="110"/>
      <c r="AD541" s="110"/>
      <c r="AE541" s="130">
        <v>2</v>
      </c>
      <c r="AF541" s="111">
        <f t="shared" si="120"/>
        <v>112.85</v>
      </c>
      <c r="AG541" s="110"/>
      <c r="AH541" s="110"/>
      <c r="AI541" s="110"/>
      <c r="AJ541" s="110"/>
      <c r="AK541" s="111">
        <f t="shared" si="124"/>
        <v>451.4</v>
      </c>
      <c r="AL541" s="446">
        <f t="shared" si="125"/>
        <v>0</v>
      </c>
      <c r="AM541" s="110">
        <f t="shared" si="126"/>
        <v>10</v>
      </c>
      <c r="AN541" s="447">
        <f t="shared" si="122"/>
        <v>0</v>
      </c>
      <c r="AO541"/>
      <c r="AP541"/>
    </row>
    <row r="542" spans="1:42" ht="28.5" customHeight="1" x14ac:dyDescent="0.25">
      <c r="A542" s="9"/>
      <c r="B542" s="218" t="s">
        <v>2220</v>
      </c>
      <c r="C542" s="1024"/>
      <c r="D542" s="875">
        <v>4</v>
      </c>
      <c r="E542" s="1027" t="s">
        <v>1873</v>
      </c>
      <c r="F542" s="273" t="s">
        <v>3446</v>
      </c>
      <c r="G542" s="1040" t="s">
        <v>3463</v>
      </c>
      <c r="H542" s="273" t="s">
        <v>3462</v>
      </c>
      <c r="I542" s="720">
        <f t="shared" si="127"/>
        <v>20.79</v>
      </c>
      <c r="J542" s="756">
        <v>83.16</v>
      </c>
      <c r="K542" s="131">
        <f t="shared" si="121"/>
        <v>83.16</v>
      </c>
      <c r="L542" s="335">
        <f t="shared" si="123"/>
        <v>0</v>
      </c>
      <c r="M542" s="446"/>
      <c r="N542" s="446"/>
      <c r="O542" s="446"/>
      <c r="P542" s="446"/>
      <c r="Q542" s="110">
        <f t="shared" si="116"/>
        <v>1</v>
      </c>
      <c r="R542" s="111">
        <f t="shared" si="114"/>
        <v>20.79</v>
      </c>
      <c r="S542" s="110"/>
      <c r="T542" s="110"/>
      <c r="U542" s="110">
        <f t="shared" si="117"/>
        <v>1</v>
      </c>
      <c r="V542" s="111">
        <f t="shared" si="115"/>
        <v>20.79</v>
      </c>
      <c r="W542" s="110"/>
      <c r="X542" s="110"/>
      <c r="Y542" s="110"/>
      <c r="Z542" s="110"/>
      <c r="AA542" s="110">
        <f t="shared" si="118"/>
        <v>1</v>
      </c>
      <c r="AB542" s="111">
        <f t="shared" si="119"/>
        <v>20.79</v>
      </c>
      <c r="AC542" s="110"/>
      <c r="AD542" s="110"/>
      <c r="AE542" s="110">
        <f t="shared" si="118"/>
        <v>1</v>
      </c>
      <c r="AF542" s="111">
        <f t="shared" si="120"/>
        <v>20.79</v>
      </c>
      <c r="AG542" s="110"/>
      <c r="AH542" s="110"/>
      <c r="AI542" s="110"/>
      <c r="AJ542" s="110"/>
      <c r="AK542" s="111">
        <f t="shared" si="124"/>
        <v>83.16</v>
      </c>
      <c r="AL542" s="446">
        <f t="shared" si="125"/>
        <v>0</v>
      </c>
      <c r="AM542" s="110">
        <f t="shared" si="126"/>
        <v>4</v>
      </c>
      <c r="AN542" s="447">
        <f t="shared" si="122"/>
        <v>0</v>
      </c>
      <c r="AO542"/>
      <c r="AP542"/>
    </row>
    <row r="543" spans="1:42" ht="28.5" customHeight="1" x14ac:dyDescent="0.25">
      <c r="A543" s="9"/>
      <c r="B543" s="490" t="s">
        <v>1716</v>
      </c>
      <c r="C543" s="1024"/>
      <c r="D543" s="875">
        <v>1</v>
      </c>
      <c r="E543" s="1027" t="s">
        <v>1722</v>
      </c>
      <c r="F543" s="273" t="s">
        <v>3446</v>
      </c>
      <c r="G543" s="1040" t="s">
        <v>3463</v>
      </c>
      <c r="H543" s="273" t="s">
        <v>3462</v>
      </c>
      <c r="I543" s="720">
        <f t="shared" si="127"/>
        <v>262.55</v>
      </c>
      <c r="J543" s="756">
        <v>262.55</v>
      </c>
      <c r="K543" s="131">
        <f t="shared" si="121"/>
        <v>262.55</v>
      </c>
      <c r="L543" s="335">
        <f t="shared" si="123"/>
        <v>0</v>
      </c>
      <c r="M543" s="446"/>
      <c r="N543" s="446"/>
      <c r="O543" s="446"/>
      <c r="P543" s="446"/>
      <c r="Q543" s="110">
        <v>1</v>
      </c>
      <c r="R543" s="111">
        <v>262.55</v>
      </c>
      <c r="S543" s="110"/>
      <c r="T543" s="110"/>
      <c r="U543" s="110">
        <v>0</v>
      </c>
      <c r="V543" s="111">
        <v>0</v>
      </c>
      <c r="W543" s="110"/>
      <c r="X543" s="110"/>
      <c r="Y543" s="110"/>
      <c r="Z543" s="110"/>
      <c r="AA543" s="110">
        <v>0</v>
      </c>
      <c r="AB543" s="111">
        <v>0</v>
      </c>
      <c r="AC543" s="110"/>
      <c r="AD543" s="110"/>
      <c r="AE543" s="110">
        <v>0</v>
      </c>
      <c r="AF543" s="111">
        <v>0</v>
      </c>
      <c r="AG543" s="110"/>
      <c r="AH543" s="110"/>
      <c r="AI543" s="110"/>
      <c r="AJ543" s="110"/>
      <c r="AK543" s="111">
        <f t="shared" si="124"/>
        <v>262.55</v>
      </c>
      <c r="AL543" s="446">
        <f t="shared" si="125"/>
        <v>0</v>
      </c>
      <c r="AM543" s="110">
        <f t="shared" si="126"/>
        <v>1</v>
      </c>
      <c r="AN543" s="447">
        <f t="shared" si="122"/>
        <v>0</v>
      </c>
      <c r="AO543"/>
      <c r="AP543"/>
    </row>
    <row r="544" spans="1:42" ht="24" customHeight="1" x14ac:dyDescent="0.25">
      <c r="A544" s="9"/>
      <c r="B544" s="218" t="s">
        <v>2221</v>
      </c>
      <c r="C544" s="1024"/>
      <c r="D544" s="875">
        <v>8</v>
      </c>
      <c r="E544" s="1027" t="s">
        <v>1721</v>
      </c>
      <c r="F544" s="273" t="s">
        <v>3446</v>
      </c>
      <c r="G544" s="1040" t="s">
        <v>3463</v>
      </c>
      <c r="H544" s="273" t="s">
        <v>3462</v>
      </c>
      <c r="I544" s="720">
        <f t="shared" si="127"/>
        <v>61.44</v>
      </c>
      <c r="J544" s="756">
        <v>491.52</v>
      </c>
      <c r="K544" s="131">
        <f t="shared" si="121"/>
        <v>491.52</v>
      </c>
      <c r="L544" s="335">
        <f t="shared" si="123"/>
        <v>0</v>
      </c>
      <c r="M544" s="446"/>
      <c r="N544" s="446"/>
      <c r="O544" s="446"/>
      <c r="P544" s="446"/>
      <c r="Q544" s="110">
        <f t="shared" si="116"/>
        <v>2</v>
      </c>
      <c r="R544" s="111">
        <f t="shared" si="114"/>
        <v>122.88</v>
      </c>
      <c r="S544" s="110"/>
      <c r="T544" s="110"/>
      <c r="U544" s="110">
        <f t="shared" si="117"/>
        <v>2</v>
      </c>
      <c r="V544" s="111">
        <f t="shared" si="115"/>
        <v>122.88</v>
      </c>
      <c r="W544" s="110"/>
      <c r="X544" s="110"/>
      <c r="Y544" s="110"/>
      <c r="Z544" s="110"/>
      <c r="AA544" s="110">
        <f t="shared" si="118"/>
        <v>2</v>
      </c>
      <c r="AB544" s="111">
        <f t="shared" si="119"/>
        <v>122.88</v>
      </c>
      <c r="AC544" s="110"/>
      <c r="AD544" s="110"/>
      <c r="AE544" s="110">
        <f t="shared" si="118"/>
        <v>2</v>
      </c>
      <c r="AF544" s="111">
        <f t="shared" si="120"/>
        <v>122.88</v>
      </c>
      <c r="AG544" s="110"/>
      <c r="AH544" s="110"/>
      <c r="AI544" s="110"/>
      <c r="AJ544" s="110"/>
      <c r="AK544" s="111">
        <f t="shared" si="124"/>
        <v>491.52</v>
      </c>
      <c r="AL544" s="446">
        <f t="shared" si="125"/>
        <v>0</v>
      </c>
      <c r="AM544" s="110">
        <f t="shared" si="126"/>
        <v>8</v>
      </c>
      <c r="AN544" s="447">
        <f t="shared" si="122"/>
        <v>0</v>
      </c>
      <c r="AO544"/>
      <c r="AP544"/>
    </row>
    <row r="545" spans="1:42" ht="38.25" customHeight="1" x14ac:dyDescent="0.25">
      <c r="A545" s="9"/>
      <c r="B545" s="218" t="s">
        <v>70</v>
      </c>
      <c r="C545" s="1024"/>
      <c r="D545" s="875">
        <v>15</v>
      </c>
      <c r="E545" s="1027" t="s">
        <v>1721</v>
      </c>
      <c r="F545" s="273" t="s">
        <v>3446</v>
      </c>
      <c r="G545" s="1040" t="s">
        <v>3463</v>
      </c>
      <c r="H545" s="273" t="s">
        <v>3462</v>
      </c>
      <c r="I545" s="720">
        <f t="shared" si="127"/>
        <v>14.26</v>
      </c>
      <c r="J545" s="756">
        <v>213.9</v>
      </c>
      <c r="K545" s="131">
        <f t="shared" si="121"/>
        <v>213.9</v>
      </c>
      <c r="L545" s="335">
        <f t="shared" si="123"/>
        <v>0</v>
      </c>
      <c r="M545" s="446"/>
      <c r="N545" s="446"/>
      <c r="O545" s="446"/>
      <c r="P545" s="446"/>
      <c r="Q545" s="110">
        <v>4</v>
      </c>
      <c r="R545" s="111">
        <f t="shared" si="114"/>
        <v>53.475000000000001</v>
      </c>
      <c r="S545" s="110"/>
      <c r="T545" s="110"/>
      <c r="U545" s="110">
        <v>4</v>
      </c>
      <c r="V545" s="111">
        <f t="shared" si="115"/>
        <v>53.475000000000001</v>
      </c>
      <c r="W545" s="110"/>
      <c r="X545" s="110"/>
      <c r="Y545" s="110"/>
      <c r="Z545" s="110"/>
      <c r="AA545" s="110">
        <v>4</v>
      </c>
      <c r="AB545" s="111">
        <f t="shared" si="119"/>
        <v>53.475000000000001</v>
      </c>
      <c r="AC545" s="110"/>
      <c r="AD545" s="110"/>
      <c r="AE545" s="110">
        <v>3</v>
      </c>
      <c r="AF545" s="111">
        <f t="shared" si="120"/>
        <v>53.475000000000001</v>
      </c>
      <c r="AG545" s="110"/>
      <c r="AH545" s="110"/>
      <c r="AI545" s="110"/>
      <c r="AJ545" s="110"/>
      <c r="AK545" s="111">
        <f t="shared" si="124"/>
        <v>213.9</v>
      </c>
      <c r="AL545" s="446">
        <f t="shared" si="125"/>
        <v>0</v>
      </c>
      <c r="AM545" s="110">
        <f t="shared" si="126"/>
        <v>15</v>
      </c>
      <c r="AN545" s="447">
        <f t="shared" si="122"/>
        <v>0</v>
      </c>
      <c r="AO545"/>
      <c r="AP545"/>
    </row>
    <row r="546" spans="1:42" ht="31.5" customHeight="1" x14ac:dyDescent="0.25">
      <c r="A546" s="9"/>
      <c r="B546" s="218" t="s">
        <v>73</v>
      </c>
      <c r="C546" s="1024"/>
      <c r="D546" s="875">
        <v>20</v>
      </c>
      <c r="E546" s="1027" t="s">
        <v>1721</v>
      </c>
      <c r="F546" s="273" t="s">
        <v>3446</v>
      </c>
      <c r="G546" s="1040" t="s">
        <v>3463</v>
      </c>
      <c r="H546" s="273" t="s">
        <v>3462</v>
      </c>
      <c r="I546" s="720">
        <f t="shared" si="127"/>
        <v>9.15</v>
      </c>
      <c r="J546" s="756">
        <v>183</v>
      </c>
      <c r="K546" s="131">
        <f t="shared" si="121"/>
        <v>183</v>
      </c>
      <c r="L546" s="335">
        <f t="shared" si="123"/>
        <v>0</v>
      </c>
      <c r="M546" s="446"/>
      <c r="N546" s="446"/>
      <c r="O546" s="446"/>
      <c r="P546" s="446"/>
      <c r="Q546" s="110">
        <f t="shared" si="116"/>
        <v>5</v>
      </c>
      <c r="R546" s="111">
        <f t="shared" si="114"/>
        <v>45.75</v>
      </c>
      <c r="S546" s="110"/>
      <c r="T546" s="110"/>
      <c r="U546" s="110">
        <f t="shared" si="117"/>
        <v>5</v>
      </c>
      <c r="V546" s="111">
        <f t="shared" si="115"/>
        <v>45.75</v>
      </c>
      <c r="W546" s="110"/>
      <c r="X546" s="110"/>
      <c r="Y546" s="110"/>
      <c r="Z546" s="110"/>
      <c r="AA546" s="110">
        <f t="shared" si="118"/>
        <v>5</v>
      </c>
      <c r="AB546" s="111">
        <f t="shared" si="119"/>
        <v>45.75</v>
      </c>
      <c r="AC546" s="110"/>
      <c r="AD546" s="110"/>
      <c r="AE546" s="110">
        <f t="shared" si="118"/>
        <v>5</v>
      </c>
      <c r="AF546" s="111">
        <f t="shared" si="120"/>
        <v>45.75</v>
      </c>
      <c r="AG546" s="110"/>
      <c r="AH546" s="110"/>
      <c r="AI546" s="110"/>
      <c r="AJ546" s="110"/>
      <c r="AK546" s="111">
        <f t="shared" si="124"/>
        <v>183</v>
      </c>
      <c r="AL546" s="446">
        <f t="shared" si="125"/>
        <v>0</v>
      </c>
      <c r="AM546" s="110">
        <f t="shared" si="126"/>
        <v>20</v>
      </c>
      <c r="AN546" s="447">
        <f t="shared" si="122"/>
        <v>0</v>
      </c>
      <c r="AO546"/>
      <c r="AP546"/>
    </row>
    <row r="547" spans="1:42" ht="35.25" customHeight="1" x14ac:dyDescent="0.25">
      <c r="A547" s="9"/>
      <c r="B547" s="218" t="s">
        <v>121</v>
      </c>
      <c r="C547" s="1024"/>
      <c r="D547" s="875">
        <v>1</v>
      </c>
      <c r="E547" s="1027" t="s">
        <v>1722</v>
      </c>
      <c r="F547" s="273" t="s">
        <v>3446</v>
      </c>
      <c r="G547" s="1040" t="s">
        <v>3463</v>
      </c>
      <c r="H547" s="273" t="s">
        <v>3462</v>
      </c>
      <c r="I547" s="720">
        <f t="shared" si="127"/>
        <v>142.56</v>
      </c>
      <c r="J547" s="756">
        <v>142.56</v>
      </c>
      <c r="K547" s="131">
        <f t="shared" si="121"/>
        <v>142.56</v>
      </c>
      <c r="L547" s="335">
        <f t="shared" si="123"/>
        <v>0</v>
      </c>
      <c r="M547" s="446"/>
      <c r="N547" s="446"/>
      <c r="O547" s="446"/>
      <c r="P547" s="446"/>
      <c r="Q547" s="110">
        <v>1</v>
      </c>
      <c r="R547" s="111">
        <v>142.56</v>
      </c>
      <c r="S547" s="110"/>
      <c r="T547" s="110"/>
      <c r="U547" s="110">
        <v>0</v>
      </c>
      <c r="V547" s="111">
        <v>0</v>
      </c>
      <c r="W547" s="110"/>
      <c r="X547" s="110"/>
      <c r="Y547" s="110"/>
      <c r="Z547" s="110"/>
      <c r="AA547" s="110">
        <v>0</v>
      </c>
      <c r="AB547" s="111">
        <v>0</v>
      </c>
      <c r="AC547" s="110"/>
      <c r="AD547" s="110"/>
      <c r="AE547" s="110">
        <v>0</v>
      </c>
      <c r="AF547" s="111">
        <v>0</v>
      </c>
      <c r="AG547" s="110"/>
      <c r="AH547" s="110"/>
      <c r="AI547" s="110"/>
      <c r="AJ547" s="110"/>
      <c r="AK547" s="111">
        <f t="shared" si="124"/>
        <v>142.56</v>
      </c>
      <c r="AL547" s="446">
        <f t="shared" si="125"/>
        <v>0</v>
      </c>
      <c r="AM547" s="110">
        <f t="shared" si="126"/>
        <v>1</v>
      </c>
      <c r="AN547" s="447">
        <f t="shared" si="122"/>
        <v>0</v>
      </c>
      <c r="AO547"/>
      <c r="AP547"/>
    </row>
    <row r="548" spans="1:42" ht="27.75" customHeight="1" x14ac:dyDescent="0.25">
      <c r="A548" s="9"/>
      <c r="B548" s="218" t="s">
        <v>76</v>
      </c>
      <c r="C548" s="1024"/>
      <c r="D548" s="875">
        <v>5</v>
      </c>
      <c r="E548" s="1027" t="s">
        <v>1721</v>
      </c>
      <c r="F548" s="273" t="s">
        <v>3446</v>
      </c>
      <c r="G548" s="1040" t="s">
        <v>3463</v>
      </c>
      <c r="H548" s="273" t="s">
        <v>3462</v>
      </c>
      <c r="I548" s="720">
        <f t="shared" si="127"/>
        <v>177.61</v>
      </c>
      <c r="J548" s="756">
        <v>888.05000000000007</v>
      </c>
      <c r="K548" s="131">
        <f t="shared" si="121"/>
        <v>888.05000000000007</v>
      </c>
      <c r="L548" s="335">
        <f t="shared" si="123"/>
        <v>0</v>
      </c>
      <c r="M548" s="446"/>
      <c r="N548" s="446"/>
      <c r="O548" s="446"/>
      <c r="P548" s="446"/>
      <c r="Q548" s="110">
        <v>2</v>
      </c>
      <c r="R548" s="111">
        <f t="shared" si="114"/>
        <v>222.01250000000002</v>
      </c>
      <c r="S548" s="110"/>
      <c r="T548" s="110"/>
      <c r="U548" s="110">
        <v>1</v>
      </c>
      <c r="V548" s="111">
        <f t="shared" si="115"/>
        <v>222.01250000000002</v>
      </c>
      <c r="W548" s="110"/>
      <c r="X548" s="110"/>
      <c r="Y548" s="110"/>
      <c r="Z548" s="110"/>
      <c r="AA548" s="110">
        <v>1</v>
      </c>
      <c r="AB548" s="111">
        <f t="shared" si="119"/>
        <v>222.01250000000002</v>
      </c>
      <c r="AC548" s="110"/>
      <c r="AD548" s="110"/>
      <c r="AE548" s="110">
        <v>1</v>
      </c>
      <c r="AF548" s="111">
        <f t="shared" si="120"/>
        <v>222.01250000000002</v>
      </c>
      <c r="AG548" s="110"/>
      <c r="AH548" s="110"/>
      <c r="AI548" s="110"/>
      <c r="AJ548" s="110"/>
      <c r="AK548" s="111">
        <f t="shared" si="124"/>
        <v>888.05000000000007</v>
      </c>
      <c r="AL548" s="446">
        <f t="shared" si="125"/>
        <v>0</v>
      </c>
      <c r="AM548" s="110">
        <f t="shared" si="126"/>
        <v>5</v>
      </c>
      <c r="AN548" s="447">
        <f t="shared" si="122"/>
        <v>0</v>
      </c>
      <c r="AO548"/>
      <c r="AP548"/>
    </row>
    <row r="549" spans="1:42" ht="21.75" customHeight="1" x14ac:dyDescent="0.25">
      <c r="A549" s="9"/>
      <c r="B549" s="218" t="s">
        <v>75</v>
      </c>
      <c r="C549" s="1024"/>
      <c r="D549" s="875">
        <v>1</v>
      </c>
      <c r="E549" s="1027" t="s">
        <v>1721</v>
      </c>
      <c r="F549" s="273" t="s">
        <v>3446</v>
      </c>
      <c r="G549" s="1040" t="s">
        <v>3463</v>
      </c>
      <c r="H549" s="273" t="s">
        <v>3462</v>
      </c>
      <c r="I549" s="720">
        <f t="shared" si="127"/>
        <v>39.799999999999997</v>
      </c>
      <c r="J549" s="756">
        <v>39.799999999999997</v>
      </c>
      <c r="K549" s="131">
        <f t="shared" si="121"/>
        <v>39.799999999999997</v>
      </c>
      <c r="L549" s="335">
        <f t="shared" si="123"/>
        <v>0</v>
      </c>
      <c r="M549" s="446"/>
      <c r="N549" s="446"/>
      <c r="O549" s="446"/>
      <c r="P549" s="446"/>
      <c r="Q549" s="110">
        <v>1</v>
      </c>
      <c r="R549" s="111">
        <v>39.799999999999997</v>
      </c>
      <c r="S549" s="110"/>
      <c r="T549" s="110"/>
      <c r="U549" s="110">
        <v>0</v>
      </c>
      <c r="V549" s="111">
        <v>0</v>
      </c>
      <c r="W549" s="110"/>
      <c r="X549" s="110"/>
      <c r="Y549" s="110"/>
      <c r="Z549" s="110"/>
      <c r="AA549" s="110">
        <v>0</v>
      </c>
      <c r="AB549" s="111">
        <v>0</v>
      </c>
      <c r="AC549" s="110"/>
      <c r="AD549" s="110"/>
      <c r="AE549" s="110">
        <v>0</v>
      </c>
      <c r="AF549" s="111">
        <v>0</v>
      </c>
      <c r="AG549" s="110"/>
      <c r="AH549" s="110"/>
      <c r="AI549" s="110"/>
      <c r="AJ549" s="110"/>
      <c r="AK549" s="111">
        <f t="shared" si="124"/>
        <v>39.799999999999997</v>
      </c>
      <c r="AL549" s="446">
        <f t="shared" si="125"/>
        <v>0</v>
      </c>
      <c r="AM549" s="110">
        <f t="shared" si="126"/>
        <v>1</v>
      </c>
      <c r="AN549" s="447">
        <f t="shared" si="122"/>
        <v>0</v>
      </c>
      <c r="AO549"/>
      <c r="AP549"/>
    </row>
    <row r="550" spans="1:42" ht="36.75" customHeight="1" x14ac:dyDescent="0.25">
      <c r="A550" s="9"/>
      <c r="B550" s="218" t="s">
        <v>1703</v>
      </c>
      <c r="C550" s="1024"/>
      <c r="D550" s="875">
        <v>2</v>
      </c>
      <c r="E550" s="1027" t="s">
        <v>1721</v>
      </c>
      <c r="F550" s="273" t="s">
        <v>3446</v>
      </c>
      <c r="G550" s="1040" t="s">
        <v>3463</v>
      </c>
      <c r="H550" s="273" t="s">
        <v>3462</v>
      </c>
      <c r="I550" s="720">
        <f t="shared" si="127"/>
        <v>148.5</v>
      </c>
      <c r="J550" s="756">
        <v>297</v>
      </c>
      <c r="K550" s="131">
        <f t="shared" si="121"/>
        <v>297</v>
      </c>
      <c r="L550" s="335">
        <f t="shared" si="123"/>
        <v>0</v>
      </c>
      <c r="M550" s="446"/>
      <c r="N550" s="446"/>
      <c r="O550" s="446"/>
      <c r="P550" s="446"/>
      <c r="Q550" s="130">
        <v>1</v>
      </c>
      <c r="R550" s="111">
        <v>148.5</v>
      </c>
      <c r="S550" s="110"/>
      <c r="T550" s="110"/>
      <c r="U550" s="130">
        <v>1</v>
      </c>
      <c r="V550" s="111">
        <v>148.5</v>
      </c>
      <c r="W550" s="110"/>
      <c r="X550" s="110"/>
      <c r="Y550" s="110"/>
      <c r="Z550" s="110"/>
      <c r="AA550" s="130">
        <v>0</v>
      </c>
      <c r="AB550" s="111">
        <v>0</v>
      </c>
      <c r="AC550" s="110"/>
      <c r="AD550" s="110"/>
      <c r="AE550" s="130">
        <v>0</v>
      </c>
      <c r="AF550" s="111">
        <v>0</v>
      </c>
      <c r="AG550" s="110"/>
      <c r="AH550" s="110"/>
      <c r="AI550" s="110"/>
      <c r="AJ550" s="110"/>
      <c r="AK550" s="111">
        <f t="shared" si="124"/>
        <v>297</v>
      </c>
      <c r="AL550" s="446">
        <f t="shared" si="125"/>
        <v>0</v>
      </c>
      <c r="AM550" s="110">
        <f t="shared" si="126"/>
        <v>2</v>
      </c>
      <c r="AN550" s="447">
        <f t="shared" si="122"/>
        <v>0</v>
      </c>
      <c r="AO550"/>
      <c r="AP550"/>
    </row>
    <row r="551" spans="1:42" ht="66" x14ac:dyDescent="0.25">
      <c r="A551" s="9"/>
      <c r="B551" s="218" t="s">
        <v>51</v>
      </c>
      <c r="C551" s="1024"/>
      <c r="D551" s="875">
        <v>2</v>
      </c>
      <c r="E551" s="1027" t="s">
        <v>1721</v>
      </c>
      <c r="F551" s="273" t="s">
        <v>3446</v>
      </c>
      <c r="G551" s="1040" t="s">
        <v>3463</v>
      </c>
      <c r="H551" s="273" t="s">
        <v>3462</v>
      </c>
      <c r="I551" s="720">
        <f t="shared" si="127"/>
        <v>350.46</v>
      </c>
      <c r="J551" s="756">
        <v>700.92</v>
      </c>
      <c r="K551" s="131">
        <f t="shared" si="121"/>
        <v>700.92</v>
      </c>
      <c r="L551" s="335">
        <f t="shared" si="123"/>
        <v>0</v>
      </c>
      <c r="M551" s="446"/>
      <c r="N551" s="446"/>
      <c r="O551" s="446"/>
      <c r="P551" s="446"/>
      <c r="Q551" s="130">
        <v>1</v>
      </c>
      <c r="R551" s="111">
        <v>350.46</v>
      </c>
      <c r="S551" s="110"/>
      <c r="T551" s="110"/>
      <c r="U551" s="130">
        <v>1</v>
      </c>
      <c r="V551" s="111">
        <v>350.46</v>
      </c>
      <c r="W551" s="110"/>
      <c r="X551" s="110"/>
      <c r="Y551" s="110"/>
      <c r="Z551" s="110"/>
      <c r="AA551" s="130">
        <v>0</v>
      </c>
      <c r="AB551" s="111">
        <v>0</v>
      </c>
      <c r="AC551" s="110"/>
      <c r="AD551" s="110"/>
      <c r="AE551" s="130">
        <v>0</v>
      </c>
      <c r="AF551" s="111">
        <v>0</v>
      </c>
      <c r="AG551" s="110"/>
      <c r="AH551" s="110"/>
      <c r="AI551" s="110"/>
      <c r="AJ551" s="110"/>
      <c r="AK551" s="111">
        <f t="shared" si="124"/>
        <v>700.92</v>
      </c>
      <c r="AL551" s="446">
        <f t="shared" si="125"/>
        <v>0</v>
      </c>
      <c r="AM551" s="110">
        <f t="shared" si="126"/>
        <v>2</v>
      </c>
      <c r="AN551" s="447">
        <f t="shared" si="122"/>
        <v>0</v>
      </c>
      <c r="AO551"/>
      <c r="AP551"/>
    </row>
    <row r="552" spans="1:42" ht="66" x14ac:dyDescent="0.25">
      <c r="A552" s="9"/>
      <c r="B552" s="218" t="s">
        <v>80</v>
      </c>
      <c r="C552" s="1024"/>
      <c r="D552" s="875">
        <v>5</v>
      </c>
      <c r="E552" s="1027" t="s">
        <v>1721</v>
      </c>
      <c r="F552" s="273" t="s">
        <v>3446</v>
      </c>
      <c r="G552" s="1040" t="s">
        <v>3463</v>
      </c>
      <c r="H552" s="273" t="s">
        <v>3462</v>
      </c>
      <c r="I552" s="720">
        <f t="shared" si="127"/>
        <v>14.34</v>
      </c>
      <c r="J552" s="756">
        <v>71.7</v>
      </c>
      <c r="K552" s="131">
        <f t="shared" si="121"/>
        <v>71.7</v>
      </c>
      <c r="L552" s="335">
        <f t="shared" si="123"/>
        <v>0</v>
      </c>
      <c r="M552" s="446"/>
      <c r="N552" s="446"/>
      <c r="O552" s="446"/>
      <c r="P552" s="446"/>
      <c r="Q552" s="110">
        <v>2</v>
      </c>
      <c r="R552" s="111">
        <f t="shared" si="114"/>
        <v>17.925000000000001</v>
      </c>
      <c r="S552" s="110"/>
      <c r="T552" s="110"/>
      <c r="U552" s="110">
        <v>1</v>
      </c>
      <c r="V552" s="111">
        <f t="shared" si="115"/>
        <v>17.925000000000001</v>
      </c>
      <c r="W552" s="110"/>
      <c r="X552" s="110"/>
      <c r="Y552" s="110"/>
      <c r="Z552" s="110"/>
      <c r="AA552" s="110">
        <v>1</v>
      </c>
      <c r="AB552" s="111">
        <f t="shared" si="119"/>
        <v>17.925000000000001</v>
      </c>
      <c r="AC552" s="110"/>
      <c r="AD552" s="110"/>
      <c r="AE552" s="110">
        <v>1</v>
      </c>
      <c r="AF552" s="111">
        <f t="shared" si="120"/>
        <v>17.925000000000001</v>
      </c>
      <c r="AG552" s="110"/>
      <c r="AH552" s="110"/>
      <c r="AI552" s="110"/>
      <c r="AJ552" s="110"/>
      <c r="AK552" s="111">
        <f t="shared" si="124"/>
        <v>71.7</v>
      </c>
      <c r="AL552" s="446">
        <f t="shared" si="125"/>
        <v>0</v>
      </c>
      <c r="AM552" s="110">
        <f t="shared" si="126"/>
        <v>5</v>
      </c>
      <c r="AN552" s="447">
        <f t="shared" si="122"/>
        <v>0</v>
      </c>
      <c r="AO552"/>
      <c r="AP552"/>
    </row>
    <row r="553" spans="1:42" ht="66" x14ac:dyDescent="0.25">
      <c r="A553" s="9"/>
      <c r="B553" s="43" t="s">
        <v>2222</v>
      </c>
      <c r="C553" s="1024"/>
      <c r="D553" s="875">
        <v>8</v>
      </c>
      <c r="E553" s="1027" t="s">
        <v>1722</v>
      </c>
      <c r="F553" s="273" t="s">
        <v>3446</v>
      </c>
      <c r="G553" s="1040" t="s">
        <v>3463</v>
      </c>
      <c r="H553" s="273" t="s">
        <v>3462</v>
      </c>
      <c r="I553" s="720">
        <f t="shared" si="127"/>
        <v>200</v>
      </c>
      <c r="J553" s="756">
        <v>1600</v>
      </c>
      <c r="K553" s="131">
        <f t="shared" si="121"/>
        <v>1600</v>
      </c>
      <c r="L553" s="335">
        <f t="shared" si="123"/>
        <v>0</v>
      </c>
      <c r="M553" s="446"/>
      <c r="N553" s="446"/>
      <c r="O553" s="446"/>
      <c r="P553" s="446"/>
      <c r="Q553" s="110">
        <f t="shared" si="116"/>
        <v>2</v>
      </c>
      <c r="R553" s="111">
        <f t="shared" si="114"/>
        <v>400</v>
      </c>
      <c r="S553" s="110"/>
      <c r="T553" s="110"/>
      <c r="U553" s="110">
        <f t="shared" si="117"/>
        <v>2</v>
      </c>
      <c r="V553" s="111">
        <f t="shared" si="115"/>
        <v>400</v>
      </c>
      <c r="W553" s="110"/>
      <c r="X553" s="110"/>
      <c r="Y553" s="110"/>
      <c r="Z553" s="110"/>
      <c r="AA553" s="110">
        <f t="shared" si="118"/>
        <v>2</v>
      </c>
      <c r="AB553" s="111">
        <f t="shared" si="119"/>
        <v>400</v>
      </c>
      <c r="AC553" s="110"/>
      <c r="AD553" s="110"/>
      <c r="AE553" s="110">
        <f t="shared" si="118"/>
        <v>2</v>
      </c>
      <c r="AF553" s="111">
        <f t="shared" si="120"/>
        <v>400</v>
      </c>
      <c r="AG553" s="110"/>
      <c r="AH553" s="110"/>
      <c r="AI553" s="110"/>
      <c r="AJ553" s="110"/>
      <c r="AK553" s="111">
        <f t="shared" si="124"/>
        <v>1600</v>
      </c>
      <c r="AL553" s="446">
        <f t="shared" si="125"/>
        <v>0</v>
      </c>
      <c r="AM553" s="110">
        <f t="shared" si="126"/>
        <v>8</v>
      </c>
      <c r="AN553" s="447">
        <f t="shared" si="122"/>
        <v>0</v>
      </c>
      <c r="AO553"/>
      <c r="AP553"/>
    </row>
    <row r="554" spans="1:42" ht="66" x14ac:dyDescent="0.25">
      <c r="A554" s="9"/>
      <c r="B554" s="218" t="s">
        <v>95</v>
      </c>
      <c r="C554" s="1024"/>
      <c r="D554" s="875">
        <v>8</v>
      </c>
      <c r="E554" s="1027" t="s">
        <v>1721</v>
      </c>
      <c r="F554" s="273" t="s">
        <v>3446</v>
      </c>
      <c r="G554" s="1040" t="s">
        <v>3463</v>
      </c>
      <c r="H554" s="273" t="s">
        <v>3462</v>
      </c>
      <c r="I554" s="720">
        <f t="shared" si="127"/>
        <v>32.08</v>
      </c>
      <c r="J554" s="756">
        <v>256.64</v>
      </c>
      <c r="K554" s="131">
        <f t="shared" si="121"/>
        <v>256.64</v>
      </c>
      <c r="L554" s="335">
        <f t="shared" si="123"/>
        <v>0</v>
      </c>
      <c r="M554" s="446"/>
      <c r="N554" s="446"/>
      <c r="O554" s="446"/>
      <c r="P554" s="446"/>
      <c r="Q554" s="110">
        <f t="shared" si="116"/>
        <v>2</v>
      </c>
      <c r="R554" s="111">
        <f t="shared" si="114"/>
        <v>64.16</v>
      </c>
      <c r="S554" s="110"/>
      <c r="T554" s="110"/>
      <c r="U554" s="110">
        <f t="shared" si="117"/>
        <v>2</v>
      </c>
      <c r="V554" s="111">
        <f t="shared" si="115"/>
        <v>64.16</v>
      </c>
      <c r="W554" s="110"/>
      <c r="X554" s="110"/>
      <c r="Y554" s="110"/>
      <c r="Z554" s="110"/>
      <c r="AA554" s="110">
        <f t="shared" si="118"/>
        <v>2</v>
      </c>
      <c r="AB554" s="111">
        <f t="shared" si="119"/>
        <v>64.16</v>
      </c>
      <c r="AC554" s="110"/>
      <c r="AD554" s="110"/>
      <c r="AE554" s="110">
        <f t="shared" si="118"/>
        <v>2</v>
      </c>
      <c r="AF554" s="111">
        <f t="shared" si="120"/>
        <v>64.16</v>
      </c>
      <c r="AG554" s="110"/>
      <c r="AH554" s="110"/>
      <c r="AI554" s="110"/>
      <c r="AJ554" s="110"/>
      <c r="AK554" s="111">
        <f t="shared" si="124"/>
        <v>256.64</v>
      </c>
      <c r="AL554" s="446">
        <f t="shared" si="125"/>
        <v>0</v>
      </c>
      <c r="AM554" s="110">
        <f t="shared" si="126"/>
        <v>8</v>
      </c>
      <c r="AN554" s="447">
        <f t="shared" si="122"/>
        <v>0</v>
      </c>
      <c r="AO554"/>
      <c r="AP554"/>
    </row>
    <row r="555" spans="1:42" ht="66" x14ac:dyDescent="0.25">
      <c r="A555" s="9"/>
      <c r="B555" s="149" t="s">
        <v>2223</v>
      </c>
      <c r="C555" s="1024"/>
      <c r="D555" s="875">
        <v>6</v>
      </c>
      <c r="E555" s="1027" t="s">
        <v>1721</v>
      </c>
      <c r="F555" s="273" t="s">
        <v>3446</v>
      </c>
      <c r="G555" s="1040" t="s">
        <v>3463</v>
      </c>
      <c r="H555" s="273" t="s">
        <v>3462</v>
      </c>
      <c r="I555" s="720">
        <f t="shared" si="127"/>
        <v>33.700000000000003</v>
      </c>
      <c r="J555" s="756">
        <v>202.20000000000002</v>
      </c>
      <c r="K555" s="131">
        <f t="shared" si="121"/>
        <v>202.20000000000002</v>
      </c>
      <c r="L555" s="335">
        <f t="shared" si="123"/>
        <v>0</v>
      </c>
      <c r="M555" s="446"/>
      <c r="N555" s="446"/>
      <c r="O555" s="446"/>
      <c r="P555" s="446"/>
      <c r="Q555" s="130">
        <v>2</v>
      </c>
      <c r="R555" s="111">
        <f t="shared" si="114"/>
        <v>50.550000000000004</v>
      </c>
      <c r="S555" s="110"/>
      <c r="T555" s="110"/>
      <c r="U555" s="130">
        <v>2</v>
      </c>
      <c r="V555" s="111">
        <f t="shared" si="115"/>
        <v>50.550000000000004</v>
      </c>
      <c r="W555" s="110"/>
      <c r="X555" s="110"/>
      <c r="Y555" s="110"/>
      <c r="Z555" s="110"/>
      <c r="AA555" s="130">
        <v>1</v>
      </c>
      <c r="AB555" s="111">
        <f t="shared" si="119"/>
        <v>50.550000000000004</v>
      </c>
      <c r="AC555" s="110"/>
      <c r="AD555" s="110"/>
      <c r="AE555" s="130">
        <v>1</v>
      </c>
      <c r="AF555" s="111">
        <f t="shared" si="120"/>
        <v>50.550000000000004</v>
      </c>
      <c r="AG555" s="110"/>
      <c r="AH555" s="110"/>
      <c r="AI555" s="110"/>
      <c r="AJ555" s="110"/>
      <c r="AK555" s="111">
        <f t="shared" si="124"/>
        <v>202.20000000000002</v>
      </c>
      <c r="AL555" s="446">
        <f t="shared" si="125"/>
        <v>0</v>
      </c>
      <c r="AM555" s="110">
        <f t="shared" si="126"/>
        <v>6</v>
      </c>
      <c r="AN555" s="447">
        <f t="shared" si="122"/>
        <v>0</v>
      </c>
      <c r="AO555"/>
      <c r="AP555"/>
    </row>
    <row r="556" spans="1:42" ht="66" x14ac:dyDescent="0.25">
      <c r="A556" s="9"/>
      <c r="B556" s="149" t="s">
        <v>2224</v>
      </c>
      <c r="C556" s="1024"/>
      <c r="D556" s="875">
        <v>4</v>
      </c>
      <c r="E556" s="1027" t="s">
        <v>1721</v>
      </c>
      <c r="F556" s="273" t="s">
        <v>3446</v>
      </c>
      <c r="G556" s="1040" t="s">
        <v>3463</v>
      </c>
      <c r="H556" s="273" t="s">
        <v>3462</v>
      </c>
      <c r="I556" s="720">
        <f t="shared" si="127"/>
        <v>29.7</v>
      </c>
      <c r="J556" s="756">
        <v>118.8</v>
      </c>
      <c r="K556" s="131">
        <f t="shared" si="121"/>
        <v>118.8</v>
      </c>
      <c r="L556" s="335">
        <f t="shared" si="123"/>
        <v>0</v>
      </c>
      <c r="M556" s="446"/>
      <c r="N556" s="446"/>
      <c r="O556" s="446"/>
      <c r="P556" s="446"/>
      <c r="Q556" s="110">
        <f t="shared" si="116"/>
        <v>1</v>
      </c>
      <c r="R556" s="111">
        <f t="shared" si="114"/>
        <v>29.7</v>
      </c>
      <c r="S556" s="110"/>
      <c r="T556" s="110"/>
      <c r="U556" s="110">
        <f t="shared" si="117"/>
        <v>1</v>
      </c>
      <c r="V556" s="111">
        <f t="shared" si="115"/>
        <v>29.7</v>
      </c>
      <c r="W556" s="110"/>
      <c r="X556" s="110"/>
      <c r="Y556" s="110"/>
      <c r="Z556" s="110"/>
      <c r="AA556" s="110">
        <f t="shared" si="118"/>
        <v>1</v>
      </c>
      <c r="AB556" s="111">
        <f t="shared" si="119"/>
        <v>29.7</v>
      </c>
      <c r="AC556" s="110"/>
      <c r="AD556" s="110"/>
      <c r="AE556" s="110">
        <f t="shared" si="118"/>
        <v>1</v>
      </c>
      <c r="AF556" s="111">
        <f t="shared" si="120"/>
        <v>29.7</v>
      </c>
      <c r="AG556" s="110"/>
      <c r="AH556" s="110"/>
      <c r="AI556" s="110"/>
      <c r="AJ556" s="110"/>
      <c r="AK556" s="111">
        <f t="shared" si="124"/>
        <v>118.8</v>
      </c>
      <c r="AL556" s="446">
        <f t="shared" si="125"/>
        <v>0</v>
      </c>
      <c r="AM556" s="110">
        <f t="shared" si="126"/>
        <v>4</v>
      </c>
      <c r="AN556" s="447">
        <f t="shared" si="122"/>
        <v>0</v>
      </c>
      <c r="AO556"/>
      <c r="AP556"/>
    </row>
    <row r="557" spans="1:42" ht="66" x14ac:dyDescent="0.25">
      <c r="A557" s="9"/>
      <c r="B557" s="149" t="s">
        <v>2225</v>
      </c>
      <c r="C557" s="1024"/>
      <c r="D557" s="875">
        <v>5</v>
      </c>
      <c r="E557" s="1027" t="s">
        <v>1722</v>
      </c>
      <c r="F557" s="273" t="s">
        <v>3446</v>
      </c>
      <c r="G557" s="1040" t="s">
        <v>3463</v>
      </c>
      <c r="H557" s="273" t="s">
        <v>3462</v>
      </c>
      <c r="I557" s="720">
        <f t="shared" si="127"/>
        <v>33.26</v>
      </c>
      <c r="J557" s="756">
        <v>166.29999999999998</v>
      </c>
      <c r="K557" s="131">
        <f t="shared" si="121"/>
        <v>166.29999999999998</v>
      </c>
      <c r="L557" s="335">
        <f t="shared" si="123"/>
        <v>0</v>
      </c>
      <c r="M557" s="446"/>
      <c r="N557" s="446"/>
      <c r="O557" s="446"/>
      <c r="P557" s="446"/>
      <c r="Q557" s="110">
        <v>2</v>
      </c>
      <c r="R557" s="111">
        <f t="shared" si="114"/>
        <v>41.574999999999996</v>
      </c>
      <c r="S557" s="110"/>
      <c r="T557" s="110"/>
      <c r="U557" s="110">
        <v>1</v>
      </c>
      <c r="V557" s="111">
        <f t="shared" si="115"/>
        <v>41.574999999999996</v>
      </c>
      <c r="W557" s="110"/>
      <c r="X557" s="110"/>
      <c r="Y557" s="110"/>
      <c r="Z557" s="110"/>
      <c r="AA557" s="110">
        <v>1</v>
      </c>
      <c r="AB557" s="111">
        <f t="shared" si="119"/>
        <v>41.574999999999996</v>
      </c>
      <c r="AC557" s="110"/>
      <c r="AD557" s="110"/>
      <c r="AE557" s="110">
        <v>1</v>
      </c>
      <c r="AF557" s="111">
        <f t="shared" si="120"/>
        <v>41.574999999999996</v>
      </c>
      <c r="AG557" s="110"/>
      <c r="AH557" s="110"/>
      <c r="AI557" s="110"/>
      <c r="AJ557" s="110"/>
      <c r="AK557" s="111">
        <f t="shared" si="124"/>
        <v>166.29999999999998</v>
      </c>
      <c r="AL557" s="446">
        <f t="shared" si="125"/>
        <v>0</v>
      </c>
      <c r="AM557" s="110">
        <f t="shared" si="126"/>
        <v>5</v>
      </c>
      <c r="AN557" s="447">
        <f t="shared" si="122"/>
        <v>0</v>
      </c>
      <c r="AO557"/>
      <c r="AP557"/>
    </row>
    <row r="558" spans="1:42" ht="66" x14ac:dyDescent="0.25">
      <c r="A558" s="9"/>
      <c r="B558" s="491" t="s">
        <v>2474</v>
      </c>
      <c r="C558" s="1024"/>
      <c r="D558" s="876">
        <v>3</v>
      </c>
      <c r="E558" s="1025" t="s">
        <v>1722</v>
      </c>
      <c r="F558" s="273" t="s">
        <v>3446</v>
      </c>
      <c r="G558" s="1040" t="s">
        <v>3463</v>
      </c>
      <c r="H558" s="273" t="s">
        <v>3462</v>
      </c>
      <c r="I558" s="720">
        <f t="shared" si="127"/>
        <v>49.9</v>
      </c>
      <c r="J558" s="756">
        <v>149.69999999999999</v>
      </c>
      <c r="K558" s="131">
        <f t="shared" si="121"/>
        <v>149.69999999999999</v>
      </c>
      <c r="L558" s="335">
        <f t="shared" si="123"/>
        <v>0</v>
      </c>
      <c r="M558" s="446"/>
      <c r="N558" s="446"/>
      <c r="O558" s="446"/>
      <c r="P558" s="446"/>
      <c r="Q558" s="130">
        <v>1</v>
      </c>
      <c r="R558" s="111">
        <v>49.9</v>
      </c>
      <c r="S558" s="110"/>
      <c r="T558" s="110"/>
      <c r="U558" s="130">
        <v>1</v>
      </c>
      <c r="V558" s="111">
        <v>49.9</v>
      </c>
      <c r="W558" s="110"/>
      <c r="X558" s="110"/>
      <c r="Y558" s="110"/>
      <c r="Z558" s="110"/>
      <c r="AA558" s="130">
        <v>1</v>
      </c>
      <c r="AB558" s="111">
        <v>49.9</v>
      </c>
      <c r="AC558" s="110"/>
      <c r="AD558" s="110"/>
      <c r="AE558" s="130">
        <v>0</v>
      </c>
      <c r="AF558" s="111">
        <v>0</v>
      </c>
      <c r="AG558" s="110"/>
      <c r="AH558" s="110"/>
      <c r="AI558" s="110"/>
      <c r="AJ558" s="110"/>
      <c r="AK558" s="111">
        <f t="shared" si="124"/>
        <v>149.69999999999999</v>
      </c>
      <c r="AL558" s="446">
        <f t="shared" si="125"/>
        <v>0</v>
      </c>
      <c r="AM558" s="110">
        <f t="shared" si="126"/>
        <v>3</v>
      </c>
      <c r="AN558" s="447">
        <f t="shared" si="122"/>
        <v>0</v>
      </c>
      <c r="AO558"/>
      <c r="AP558"/>
    </row>
    <row r="559" spans="1:42" ht="66" x14ac:dyDescent="0.25">
      <c r="A559" s="9"/>
      <c r="B559" s="491" t="s">
        <v>2475</v>
      </c>
      <c r="C559" s="1024"/>
      <c r="D559" s="876">
        <v>3</v>
      </c>
      <c r="E559" s="1025" t="s">
        <v>1722</v>
      </c>
      <c r="F559" s="273" t="s">
        <v>3446</v>
      </c>
      <c r="G559" s="1040" t="s">
        <v>3463</v>
      </c>
      <c r="H559" s="273" t="s">
        <v>3462</v>
      </c>
      <c r="I559" s="720">
        <f t="shared" si="127"/>
        <v>49.9</v>
      </c>
      <c r="J559" s="756">
        <v>149.69999999999999</v>
      </c>
      <c r="K559" s="131">
        <f t="shared" si="121"/>
        <v>149.69999999999999</v>
      </c>
      <c r="L559" s="335">
        <f t="shared" si="123"/>
        <v>0</v>
      </c>
      <c r="M559" s="446"/>
      <c r="N559" s="446"/>
      <c r="O559" s="446"/>
      <c r="P559" s="446"/>
      <c r="Q559" s="130">
        <v>1</v>
      </c>
      <c r="R559" s="111">
        <v>49.9</v>
      </c>
      <c r="S559" s="110"/>
      <c r="T559" s="110"/>
      <c r="U559" s="130">
        <v>1</v>
      </c>
      <c r="V559" s="111">
        <v>49.9</v>
      </c>
      <c r="W559" s="110"/>
      <c r="X559" s="110"/>
      <c r="Y559" s="110"/>
      <c r="Z559" s="110"/>
      <c r="AA559" s="130">
        <v>1</v>
      </c>
      <c r="AB559" s="111">
        <v>49.9</v>
      </c>
      <c r="AC559" s="110"/>
      <c r="AD559" s="110"/>
      <c r="AE559" s="130">
        <v>0</v>
      </c>
      <c r="AF559" s="111">
        <v>0</v>
      </c>
      <c r="AG559" s="110"/>
      <c r="AH559" s="110"/>
      <c r="AI559" s="110"/>
      <c r="AJ559" s="110"/>
      <c r="AK559" s="111">
        <f t="shared" si="124"/>
        <v>149.69999999999999</v>
      </c>
      <c r="AL559" s="446">
        <f t="shared" si="125"/>
        <v>0</v>
      </c>
      <c r="AM559" s="110">
        <f t="shared" si="126"/>
        <v>3</v>
      </c>
      <c r="AN559" s="447">
        <f t="shared" si="122"/>
        <v>0</v>
      </c>
      <c r="AO559"/>
      <c r="AP559"/>
    </row>
    <row r="560" spans="1:42" ht="66" x14ac:dyDescent="0.25">
      <c r="A560" s="9"/>
      <c r="B560" s="491" t="s">
        <v>2476</v>
      </c>
      <c r="C560" s="1024"/>
      <c r="D560" s="876">
        <v>1</v>
      </c>
      <c r="E560" s="1025" t="s">
        <v>1722</v>
      </c>
      <c r="F560" s="273" t="s">
        <v>3446</v>
      </c>
      <c r="G560" s="1040" t="s">
        <v>3463</v>
      </c>
      <c r="H560" s="273" t="s">
        <v>3462</v>
      </c>
      <c r="I560" s="720">
        <f t="shared" si="127"/>
        <v>49.61</v>
      </c>
      <c r="J560" s="756">
        <v>49.61</v>
      </c>
      <c r="K560" s="131">
        <f t="shared" si="121"/>
        <v>49.61</v>
      </c>
      <c r="L560" s="335">
        <f t="shared" si="123"/>
        <v>0</v>
      </c>
      <c r="M560" s="446"/>
      <c r="N560" s="446"/>
      <c r="O560" s="446"/>
      <c r="P560" s="446"/>
      <c r="Q560" s="110">
        <v>1</v>
      </c>
      <c r="R560" s="111">
        <v>49.61</v>
      </c>
      <c r="S560" s="110"/>
      <c r="T560" s="110"/>
      <c r="U560" s="110">
        <v>0</v>
      </c>
      <c r="V560" s="111">
        <v>0</v>
      </c>
      <c r="W560" s="110"/>
      <c r="X560" s="110"/>
      <c r="Y560" s="110"/>
      <c r="Z560" s="110"/>
      <c r="AA560" s="110">
        <v>0</v>
      </c>
      <c r="AB560" s="111">
        <v>0</v>
      </c>
      <c r="AC560" s="110"/>
      <c r="AD560" s="110"/>
      <c r="AE560" s="110">
        <v>0</v>
      </c>
      <c r="AF560" s="111">
        <v>0</v>
      </c>
      <c r="AG560" s="110"/>
      <c r="AH560" s="110"/>
      <c r="AI560" s="110"/>
      <c r="AJ560" s="110"/>
      <c r="AK560" s="111">
        <f t="shared" si="124"/>
        <v>49.61</v>
      </c>
      <c r="AL560" s="446">
        <f t="shared" si="125"/>
        <v>0</v>
      </c>
      <c r="AM560" s="110">
        <f t="shared" si="126"/>
        <v>1</v>
      </c>
      <c r="AN560" s="447">
        <f t="shared" si="122"/>
        <v>0</v>
      </c>
      <c r="AO560"/>
      <c r="AP560"/>
    </row>
    <row r="561" spans="1:42" ht="66" x14ac:dyDescent="0.25">
      <c r="A561" s="9"/>
      <c r="B561" s="491" t="s">
        <v>2477</v>
      </c>
      <c r="C561" s="1024"/>
      <c r="D561" s="876">
        <v>4</v>
      </c>
      <c r="E561" s="1025" t="s">
        <v>1721</v>
      </c>
      <c r="F561" s="273" t="s">
        <v>3446</v>
      </c>
      <c r="G561" s="1040" t="s">
        <v>3463</v>
      </c>
      <c r="H561" s="273" t="s">
        <v>3462</v>
      </c>
      <c r="I561" s="720">
        <f t="shared" si="127"/>
        <v>37.21</v>
      </c>
      <c r="J561" s="756">
        <v>148.84</v>
      </c>
      <c r="K561" s="131">
        <f t="shared" si="121"/>
        <v>148.84</v>
      </c>
      <c r="L561" s="335">
        <f t="shared" si="123"/>
        <v>0</v>
      </c>
      <c r="M561" s="446"/>
      <c r="N561" s="446"/>
      <c r="O561" s="446"/>
      <c r="P561" s="446"/>
      <c r="Q561" s="110">
        <f t="shared" si="116"/>
        <v>1</v>
      </c>
      <c r="R561" s="111">
        <f t="shared" si="114"/>
        <v>37.21</v>
      </c>
      <c r="S561" s="110"/>
      <c r="T561" s="110"/>
      <c r="U561" s="110">
        <f t="shared" si="117"/>
        <v>1</v>
      </c>
      <c r="V561" s="111">
        <f t="shared" si="115"/>
        <v>37.21</v>
      </c>
      <c r="W561" s="110"/>
      <c r="X561" s="110"/>
      <c r="Y561" s="110"/>
      <c r="Z561" s="110"/>
      <c r="AA561" s="110">
        <f t="shared" si="118"/>
        <v>1</v>
      </c>
      <c r="AB561" s="111">
        <f t="shared" si="119"/>
        <v>37.21</v>
      </c>
      <c r="AC561" s="110"/>
      <c r="AD561" s="110"/>
      <c r="AE561" s="110">
        <f t="shared" si="118"/>
        <v>1</v>
      </c>
      <c r="AF561" s="111">
        <f t="shared" si="120"/>
        <v>37.21</v>
      </c>
      <c r="AG561" s="110"/>
      <c r="AH561" s="110"/>
      <c r="AI561" s="110"/>
      <c r="AJ561" s="110"/>
      <c r="AK561" s="111">
        <f t="shared" si="124"/>
        <v>148.84</v>
      </c>
      <c r="AL561" s="446">
        <f t="shared" si="125"/>
        <v>0</v>
      </c>
      <c r="AM561" s="110">
        <f t="shared" si="126"/>
        <v>4</v>
      </c>
      <c r="AN561" s="447">
        <f t="shared" si="122"/>
        <v>0</v>
      </c>
      <c r="AO561"/>
      <c r="AP561"/>
    </row>
    <row r="562" spans="1:42" ht="66" x14ac:dyDescent="0.25">
      <c r="A562" s="9"/>
      <c r="B562" s="491" t="s">
        <v>2478</v>
      </c>
      <c r="C562" s="1024"/>
      <c r="D562" s="876">
        <v>1</v>
      </c>
      <c r="E562" s="1025" t="s">
        <v>1722</v>
      </c>
      <c r="F562" s="273" t="s">
        <v>3446</v>
      </c>
      <c r="G562" s="1040" t="s">
        <v>3463</v>
      </c>
      <c r="H562" s="273" t="s">
        <v>3462</v>
      </c>
      <c r="I562" s="720">
        <f t="shared" si="127"/>
        <v>45.48</v>
      </c>
      <c r="J562" s="756">
        <v>45.48</v>
      </c>
      <c r="K562" s="131">
        <f t="shared" si="121"/>
        <v>45.48</v>
      </c>
      <c r="L562" s="335">
        <f t="shared" si="123"/>
        <v>0</v>
      </c>
      <c r="M562" s="446"/>
      <c r="N562" s="446"/>
      <c r="O562" s="446"/>
      <c r="P562" s="446"/>
      <c r="Q562" s="110">
        <v>1</v>
      </c>
      <c r="R562" s="111">
        <v>45.48</v>
      </c>
      <c r="S562" s="110"/>
      <c r="T562" s="110"/>
      <c r="U562" s="110">
        <v>0</v>
      </c>
      <c r="V562" s="111">
        <v>0</v>
      </c>
      <c r="W562" s="110"/>
      <c r="X562" s="110"/>
      <c r="Y562" s="110"/>
      <c r="Z562" s="110"/>
      <c r="AA562" s="110">
        <v>0</v>
      </c>
      <c r="AB562" s="111">
        <v>0</v>
      </c>
      <c r="AC562" s="110"/>
      <c r="AD562" s="110"/>
      <c r="AE562" s="110">
        <v>0</v>
      </c>
      <c r="AF562" s="111">
        <v>0</v>
      </c>
      <c r="AG562" s="110"/>
      <c r="AH562" s="110"/>
      <c r="AI562" s="110"/>
      <c r="AJ562" s="110"/>
      <c r="AK562" s="111">
        <f t="shared" si="124"/>
        <v>45.48</v>
      </c>
      <c r="AL562" s="446">
        <f t="shared" si="125"/>
        <v>0</v>
      </c>
      <c r="AM562" s="110">
        <f t="shared" si="126"/>
        <v>1</v>
      </c>
      <c r="AN562" s="447">
        <f t="shared" si="122"/>
        <v>0</v>
      </c>
      <c r="AO562"/>
      <c r="AP562"/>
    </row>
    <row r="563" spans="1:42" ht="66" x14ac:dyDescent="0.25">
      <c r="A563" s="9"/>
      <c r="B563" s="227" t="s">
        <v>2479</v>
      </c>
      <c r="C563" s="1024"/>
      <c r="D563" s="876">
        <v>1</v>
      </c>
      <c r="E563" s="1025" t="s">
        <v>1722</v>
      </c>
      <c r="F563" s="273" t="s">
        <v>3446</v>
      </c>
      <c r="G563" s="1040" t="s">
        <v>3463</v>
      </c>
      <c r="H563" s="273" t="s">
        <v>3462</v>
      </c>
      <c r="I563" s="720">
        <f t="shared" si="127"/>
        <v>31.28</v>
      </c>
      <c r="J563" s="756">
        <v>31.28</v>
      </c>
      <c r="K563" s="131">
        <f t="shared" si="121"/>
        <v>31.28</v>
      </c>
      <c r="L563" s="335">
        <f t="shared" si="123"/>
        <v>0</v>
      </c>
      <c r="M563" s="446"/>
      <c r="N563" s="446"/>
      <c r="O563" s="446"/>
      <c r="P563" s="446"/>
      <c r="Q563" s="110">
        <v>1</v>
      </c>
      <c r="R563" s="111">
        <v>31.28</v>
      </c>
      <c r="S563" s="110"/>
      <c r="T563" s="110"/>
      <c r="U563" s="110">
        <v>0</v>
      </c>
      <c r="V563" s="111">
        <v>0</v>
      </c>
      <c r="W563" s="110"/>
      <c r="X563" s="110"/>
      <c r="Y563" s="110"/>
      <c r="Z563" s="110"/>
      <c r="AA563" s="110">
        <v>0</v>
      </c>
      <c r="AB563" s="111">
        <v>0</v>
      </c>
      <c r="AC563" s="110"/>
      <c r="AD563" s="110"/>
      <c r="AE563" s="110">
        <v>0</v>
      </c>
      <c r="AF563" s="111">
        <v>0</v>
      </c>
      <c r="AG563" s="110"/>
      <c r="AH563" s="110"/>
      <c r="AI563" s="110"/>
      <c r="AJ563" s="110"/>
      <c r="AK563" s="111">
        <f t="shared" si="124"/>
        <v>31.28</v>
      </c>
      <c r="AL563" s="446">
        <f t="shared" si="125"/>
        <v>0</v>
      </c>
      <c r="AM563" s="110">
        <f t="shared" si="126"/>
        <v>1</v>
      </c>
      <c r="AN563" s="447">
        <f t="shared" si="122"/>
        <v>0</v>
      </c>
      <c r="AO563"/>
      <c r="AP563"/>
    </row>
    <row r="564" spans="1:42" ht="66" x14ac:dyDescent="0.25">
      <c r="A564" s="9"/>
      <c r="B564" s="491" t="s">
        <v>2480</v>
      </c>
      <c r="C564" s="1024"/>
      <c r="D564" s="876">
        <v>4</v>
      </c>
      <c r="E564" s="1025" t="s">
        <v>1721</v>
      </c>
      <c r="F564" s="273" t="s">
        <v>3446</v>
      </c>
      <c r="G564" s="1040" t="s">
        <v>3463</v>
      </c>
      <c r="H564" s="273" t="s">
        <v>3462</v>
      </c>
      <c r="I564" s="720">
        <f t="shared" si="127"/>
        <v>23.84</v>
      </c>
      <c r="J564" s="756">
        <v>95.36</v>
      </c>
      <c r="K564" s="131">
        <f t="shared" si="121"/>
        <v>95.36</v>
      </c>
      <c r="L564" s="335">
        <f t="shared" si="123"/>
        <v>0</v>
      </c>
      <c r="M564" s="446"/>
      <c r="N564" s="446"/>
      <c r="O564" s="446"/>
      <c r="P564" s="446"/>
      <c r="Q564" s="110">
        <f t="shared" si="116"/>
        <v>1</v>
      </c>
      <c r="R564" s="111">
        <f t="shared" si="114"/>
        <v>23.84</v>
      </c>
      <c r="S564" s="110"/>
      <c r="T564" s="110"/>
      <c r="U564" s="110">
        <f t="shared" si="117"/>
        <v>1</v>
      </c>
      <c r="V564" s="111">
        <f t="shared" si="115"/>
        <v>23.84</v>
      </c>
      <c r="W564" s="110"/>
      <c r="X564" s="110"/>
      <c r="Y564" s="110"/>
      <c r="Z564" s="110"/>
      <c r="AA564" s="110">
        <f t="shared" si="118"/>
        <v>1</v>
      </c>
      <c r="AB564" s="111">
        <f t="shared" si="119"/>
        <v>23.84</v>
      </c>
      <c r="AC564" s="110"/>
      <c r="AD564" s="110"/>
      <c r="AE564" s="110">
        <f t="shared" si="118"/>
        <v>1</v>
      </c>
      <c r="AF564" s="111">
        <f t="shared" si="120"/>
        <v>23.84</v>
      </c>
      <c r="AG564" s="110"/>
      <c r="AH564" s="110"/>
      <c r="AI564" s="110"/>
      <c r="AJ564" s="110"/>
      <c r="AK564" s="111">
        <f t="shared" si="124"/>
        <v>95.36</v>
      </c>
      <c r="AL564" s="446">
        <f t="shared" si="125"/>
        <v>0</v>
      </c>
      <c r="AM564" s="110">
        <f t="shared" si="126"/>
        <v>4</v>
      </c>
      <c r="AN564" s="447">
        <f t="shared" si="122"/>
        <v>0</v>
      </c>
      <c r="AO564"/>
      <c r="AP564"/>
    </row>
    <row r="565" spans="1:42" ht="66" x14ac:dyDescent="0.25">
      <c r="A565" s="9"/>
      <c r="B565" s="491" t="s">
        <v>1967</v>
      </c>
      <c r="C565" s="1024"/>
      <c r="D565" s="876">
        <v>6</v>
      </c>
      <c r="E565" s="1025" t="s">
        <v>1721</v>
      </c>
      <c r="F565" s="273" t="s">
        <v>3446</v>
      </c>
      <c r="G565" s="1040" t="s">
        <v>3463</v>
      </c>
      <c r="H565" s="273" t="s">
        <v>3462</v>
      </c>
      <c r="I565" s="720">
        <f t="shared" si="127"/>
        <v>23.84</v>
      </c>
      <c r="J565" s="756">
        <v>143.04</v>
      </c>
      <c r="K565" s="131">
        <f t="shared" si="121"/>
        <v>143.04</v>
      </c>
      <c r="L565" s="335">
        <f t="shared" si="123"/>
        <v>0</v>
      </c>
      <c r="M565" s="446"/>
      <c r="N565" s="446"/>
      <c r="O565" s="446"/>
      <c r="P565" s="446"/>
      <c r="Q565" s="130">
        <v>2</v>
      </c>
      <c r="R565" s="111">
        <f t="shared" si="114"/>
        <v>35.76</v>
      </c>
      <c r="S565" s="110"/>
      <c r="T565" s="110"/>
      <c r="U565" s="130">
        <v>2</v>
      </c>
      <c r="V565" s="111">
        <f t="shared" si="115"/>
        <v>35.76</v>
      </c>
      <c r="W565" s="110"/>
      <c r="X565" s="110"/>
      <c r="Y565" s="110"/>
      <c r="Z565" s="110"/>
      <c r="AA565" s="130">
        <v>1</v>
      </c>
      <c r="AB565" s="111">
        <f t="shared" si="119"/>
        <v>35.76</v>
      </c>
      <c r="AC565" s="110"/>
      <c r="AD565" s="110"/>
      <c r="AE565" s="130">
        <v>1</v>
      </c>
      <c r="AF565" s="111">
        <f t="shared" si="120"/>
        <v>35.76</v>
      </c>
      <c r="AG565" s="110"/>
      <c r="AH565" s="110"/>
      <c r="AI565" s="110"/>
      <c r="AJ565" s="110"/>
      <c r="AK565" s="111">
        <f t="shared" si="124"/>
        <v>143.04</v>
      </c>
      <c r="AL565" s="446">
        <f t="shared" si="125"/>
        <v>0</v>
      </c>
      <c r="AM565" s="110">
        <f t="shared" si="126"/>
        <v>6</v>
      </c>
      <c r="AN565" s="447">
        <f t="shared" si="122"/>
        <v>0</v>
      </c>
      <c r="AO565"/>
      <c r="AP565"/>
    </row>
    <row r="566" spans="1:42" ht="66" x14ac:dyDescent="0.25">
      <c r="A566" s="9"/>
      <c r="B566" s="227" t="s">
        <v>2481</v>
      </c>
      <c r="C566" s="1024"/>
      <c r="D566" s="876">
        <v>2</v>
      </c>
      <c r="E566" s="1025" t="s">
        <v>1721</v>
      </c>
      <c r="F566" s="273" t="s">
        <v>3446</v>
      </c>
      <c r="G566" s="1040" t="s">
        <v>3463</v>
      </c>
      <c r="H566" s="273" t="s">
        <v>3462</v>
      </c>
      <c r="I566" s="720">
        <f t="shared" si="127"/>
        <v>54.8</v>
      </c>
      <c r="J566" s="756">
        <v>109.6</v>
      </c>
      <c r="K566" s="131">
        <f t="shared" si="121"/>
        <v>109.6</v>
      </c>
      <c r="L566" s="335">
        <f t="shared" si="123"/>
        <v>0</v>
      </c>
      <c r="M566" s="446"/>
      <c r="N566" s="446"/>
      <c r="O566" s="446"/>
      <c r="P566" s="446"/>
      <c r="Q566" s="130">
        <v>1</v>
      </c>
      <c r="R566" s="111">
        <v>54.8</v>
      </c>
      <c r="S566" s="110"/>
      <c r="T566" s="110"/>
      <c r="U566" s="130">
        <v>1</v>
      </c>
      <c r="V566" s="111">
        <v>54.8</v>
      </c>
      <c r="W566" s="110"/>
      <c r="X566" s="110"/>
      <c r="Y566" s="110"/>
      <c r="Z566" s="110"/>
      <c r="AA566" s="130">
        <v>0</v>
      </c>
      <c r="AB566" s="111">
        <v>0</v>
      </c>
      <c r="AC566" s="110"/>
      <c r="AD566" s="110"/>
      <c r="AE566" s="130">
        <v>0</v>
      </c>
      <c r="AF566" s="111">
        <v>0</v>
      </c>
      <c r="AG566" s="110"/>
      <c r="AH566" s="110"/>
      <c r="AI566" s="110"/>
      <c r="AJ566" s="110"/>
      <c r="AK566" s="111">
        <f t="shared" si="124"/>
        <v>109.6</v>
      </c>
      <c r="AL566" s="446">
        <f t="shared" si="125"/>
        <v>0</v>
      </c>
      <c r="AM566" s="110">
        <f t="shared" si="126"/>
        <v>2</v>
      </c>
      <c r="AN566" s="447">
        <f t="shared" si="122"/>
        <v>0</v>
      </c>
      <c r="AO566"/>
      <c r="AP566"/>
    </row>
    <row r="567" spans="1:42" ht="66" x14ac:dyDescent="0.25">
      <c r="A567" s="9"/>
      <c r="B567" s="492" t="s">
        <v>2482</v>
      </c>
      <c r="C567" s="1024"/>
      <c r="D567" s="877">
        <v>1</v>
      </c>
      <c r="E567" s="1025" t="s">
        <v>1873</v>
      </c>
      <c r="F567" s="273" t="s">
        <v>3446</v>
      </c>
      <c r="G567" s="1040" t="s">
        <v>3463</v>
      </c>
      <c r="H567" s="273" t="s">
        <v>3462</v>
      </c>
      <c r="I567" s="720">
        <f t="shared" si="127"/>
        <v>24.12</v>
      </c>
      <c r="J567" s="756">
        <v>24.12</v>
      </c>
      <c r="K567" s="131">
        <f t="shared" si="121"/>
        <v>24.12</v>
      </c>
      <c r="L567" s="335">
        <f t="shared" si="123"/>
        <v>0</v>
      </c>
      <c r="M567" s="446"/>
      <c r="N567" s="446"/>
      <c r="O567" s="446"/>
      <c r="P567" s="446"/>
      <c r="Q567" s="110">
        <v>1</v>
      </c>
      <c r="R567" s="111">
        <v>24.12</v>
      </c>
      <c r="S567" s="110"/>
      <c r="T567" s="110"/>
      <c r="U567" s="110">
        <v>0</v>
      </c>
      <c r="V567" s="111">
        <v>0</v>
      </c>
      <c r="W567" s="110"/>
      <c r="X567" s="110"/>
      <c r="Y567" s="110"/>
      <c r="Z567" s="110"/>
      <c r="AA567" s="110">
        <v>0</v>
      </c>
      <c r="AB567" s="111">
        <v>0</v>
      </c>
      <c r="AC567" s="110"/>
      <c r="AD567" s="110"/>
      <c r="AE567" s="110">
        <v>0</v>
      </c>
      <c r="AF567" s="111">
        <v>0</v>
      </c>
      <c r="AG567" s="110"/>
      <c r="AH567" s="110"/>
      <c r="AI567" s="110"/>
      <c r="AJ567" s="110"/>
      <c r="AK567" s="111">
        <f t="shared" si="124"/>
        <v>24.12</v>
      </c>
      <c r="AL567" s="446">
        <f t="shared" si="125"/>
        <v>0</v>
      </c>
      <c r="AM567" s="110">
        <f t="shared" si="126"/>
        <v>1</v>
      </c>
      <c r="AN567" s="447">
        <f t="shared" si="122"/>
        <v>0</v>
      </c>
      <c r="AO567"/>
      <c r="AP567"/>
    </row>
    <row r="568" spans="1:42" ht="66" x14ac:dyDescent="0.25">
      <c r="A568" s="9"/>
      <c r="B568" s="491" t="s">
        <v>2483</v>
      </c>
      <c r="C568" s="1024"/>
      <c r="D568" s="876">
        <v>10</v>
      </c>
      <c r="E568" s="1025" t="s">
        <v>1722</v>
      </c>
      <c r="F568" s="273" t="s">
        <v>3446</v>
      </c>
      <c r="G568" s="1040" t="s">
        <v>3463</v>
      </c>
      <c r="H568" s="273" t="s">
        <v>3462</v>
      </c>
      <c r="I568" s="720">
        <f t="shared" si="127"/>
        <v>19.29</v>
      </c>
      <c r="J568" s="756">
        <v>192.89999999999998</v>
      </c>
      <c r="K568" s="131">
        <f t="shared" si="121"/>
        <v>192.89999999999998</v>
      </c>
      <c r="L568" s="335">
        <f t="shared" si="123"/>
        <v>0</v>
      </c>
      <c r="M568" s="446"/>
      <c r="N568" s="446"/>
      <c r="O568" s="446"/>
      <c r="P568" s="446"/>
      <c r="Q568" s="130">
        <v>3</v>
      </c>
      <c r="R568" s="111">
        <f t="shared" si="114"/>
        <v>48.224999999999994</v>
      </c>
      <c r="S568" s="110"/>
      <c r="T568" s="110"/>
      <c r="U568" s="130">
        <v>3</v>
      </c>
      <c r="V568" s="111">
        <f t="shared" si="115"/>
        <v>48.224999999999994</v>
      </c>
      <c r="W568" s="110"/>
      <c r="X568" s="110"/>
      <c r="Y568" s="110"/>
      <c r="Z568" s="110"/>
      <c r="AA568" s="130">
        <v>2</v>
      </c>
      <c r="AB568" s="111">
        <f t="shared" si="119"/>
        <v>48.224999999999994</v>
      </c>
      <c r="AC568" s="110"/>
      <c r="AD568" s="110"/>
      <c r="AE568" s="130">
        <v>2</v>
      </c>
      <c r="AF568" s="111">
        <f t="shared" si="120"/>
        <v>48.224999999999994</v>
      </c>
      <c r="AG568" s="110"/>
      <c r="AH568" s="110"/>
      <c r="AI568" s="110"/>
      <c r="AJ568" s="110"/>
      <c r="AK568" s="111">
        <f t="shared" si="124"/>
        <v>192.89999999999998</v>
      </c>
      <c r="AL568" s="446">
        <f t="shared" si="125"/>
        <v>0</v>
      </c>
      <c r="AM568" s="110">
        <f t="shared" si="126"/>
        <v>10</v>
      </c>
      <c r="AN568" s="447">
        <f t="shared" si="122"/>
        <v>0</v>
      </c>
      <c r="AO568"/>
      <c r="AP568"/>
    </row>
    <row r="569" spans="1:42" ht="66" x14ac:dyDescent="0.25">
      <c r="A569" s="9"/>
      <c r="B569" s="491" t="s">
        <v>2484</v>
      </c>
      <c r="C569" s="1024"/>
      <c r="D569" s="876">
        <v>1</v>
      </c>
      <c r="E569" s="1025" t="s">
        <v>1722</v>
      </c>
      <c r="F569" s="273" t="s">
        <v>3446</v>
      </c>
      <c r="G569" s="1040" t="s">
        <v>3463</v>
      </c>
      <c r="H569" s="273" t="s">
        <v>3462</v>
      </c>
      <c r="I569" s="720">
        <f t="shared" si="127"/>
        <v>49.7</v>
      </c>
      <c r="J569" s="756">
        <v>49.7</v>
      </c>
      <c r="K569" s="131">
        <f t="shared" si="121"/>
        <v>49.7</v>
      </c>
      <c r="L569" s="335">
        <f t="shared" si="123"/>
        <v>0</v>
      </c>
      <c r="M569" s="446"/>
      <c r="N569" s="446"/>
      <c r="O569" s="446"/>
      <c r="P569" s="446"/>
      <c r="Q569" s="110">
        <v>1</v>
      </c>
      <c r="R569" s="111">
        <v>49.7</v>
      </c>
      <c r="S569" s="110"/>
      <c r="T569" s="110"/>
      <c r="U569" s="110">
        <v>0</v>
      </c>
      <c r="V569" s="111">
        <v>0</v>
      </c>
      <c r="W569" s="110"/>
      <c r="X569" s="110"/>
      <c r="Y569" s="110"/>
      <c r="Z569" s="110"/>
      <c r="AA569" s="110">
        <v>0</v>
      </c>
      <c r="AB569" s="111">
        <v>0</v>
      </c>
      <c r="AC569" s="110"/>
      <c r="AD569" s="110"/>
      <c r="AE569" s="110">
        <v>0</v>
      </c>
      <c r="AF569" s="111">
        <v>0</v>
      </c>
      <c r="AG569" s="110"/>
      <c r="AH569" s="110"/>
      <c r="AI569" s="110"/>
      <c r="AJ569" s="110"/>
      <c r="AK569" s="111">
        <f t="shared" si="124"/>
        <v>49.7</v>
      </c>
      <c r="AL569" s="446">
        <f t="shared" si="125"/>
        <v>0</v>
      </c>
      <c r="AM569" s="110">
        <f t="shared" si="126"/>
        <v>1</v>
      </c>
      <c r="AN569" s="447">
        <f t="shared" si="122"/>
        <v>0</v>
      </c>
      <c r="AO569"/>
      <c r="AP569"/>
    </row>
    <row r="570" spans="1:42" ht="66" x14ac:dyDescent="0.25">
      <c r="A570" s="9"/>
      <c r="B570" s="227" t="s">
        <v>2485</v>
      </c>
      <c r="C570" s="1024"/>
      <c r="D570" s="876">
        <v>1</v>
      </c>
      <c r="E570" s="1025" t="s">
        <v>1722</v>
      </c>
      <c r="F570" s="273" t="s">
        <v>3446</v>
      </c>
      <c r="G570" s="1040" t="s">
        <v>3463</v>
      </c>
      <c r="H570" s="273" t="s">
        <v>3462</v>
      </c>
      <c r="I570" s="720">
        <f t="shared" si="127"/>
        <v>61.63</v>
      </c>
      <c r="J570" s="756">
        <v>61.63</v>
      </c>
      <c r="K570" s="131">
        <f t="shared" si="121"/>
        <v>61.63</v>
      </c>
      <c r="L570" s="335">
        <f t="shared" si="123"/>
        <v>0</v>
      </c>
      <c r="M570" s="446"/>
      <c r="N570" s="446"/>
      <c r="O570" s="446"/>
      <c r="P570" s="446"/>
      <c r="Q570" s="110">
        <v>1</v>
      </c>
      <c r="R570" s="111">
        <v>61.63</v>
      </c>
      <c r="S570" s="110"/>
      <c r="T570" s="110"/>
      <c r="U570" s="110">
        <v>0</v>
      </c>
      <c r="V570" s="111">
        <v>0</v>
      </c>
      <c r="W570" s="110"/>
      <c r="X570" s="110"/>
      <c r="Y570" s="110"/>
      <c r="Z570" s="110"/>
      <c r="AA570" s="110">
        <v>0</v>
      </c>
      <c r="AB570" s="111">
        <v>0</v>
      </c>
      <c r="AC570" s="110"/>
      <c r="AD570" s="110"/>
      <c r="AE570" s="110">
        <v>0</v>
      </c>
      <c r="AF570" s="111">
        <v>0</v>
      </c>
      <c r="AG570" s="110"/>
      <c r="AH570" s="110"/>
      <c r="AI570" s="110"/>
      <c r="AJ570" s="110"/>
      <c r="AK570" s="111">
        <f t="shared" si="124"/>
        <v>61.63</v>
      </c>
      <c r="AL570" s="446">
        <f t="shared" si="125"/>
        <v>0</v>
      </c>
      <c r="AM570" s="110">
        <f t="shared" si="126"/>
        <v>1</v>
      </c>
      <c r="AN570" s="447">
        <f t="shared" si="122"/>
        <v>0</v>
      </c>
      <c r="AO570"/>
      <c r="AP570"/>
    </row>
    <row r="571" spans="1:42" ht="66" x14ac:dyDescent="0.25">
      <c r="A571" s="9"/>
      <c r="B571" s="227" t="s">
        <v>2486</v>
      </c>
      <c r="C571" s="1024"/>
      <c r="D571" s="876">
        <v>5</v>
      </c>
      <c r="E571" s="1025" t="s">
        <v>1721</v>
      </c>
      <c r="F571" s="273" t="s">
        <v>3446</v>
      </c>
      <c r="G571" s="1040" t="s">
        <v>3463</v>
      </c>
      <c r="H571" s="273" t="s">
        <v>3462</v>
      </c>
      <c r="I571" s="720">
        <f t="shared" si="127"/>
        <v>5.94</v>
      </c>
      <c r="J571" s="756">
        <v>29.700000000000003</v>
      </c>
      <c r="K571" s="131">
        <f t="shared" si="121"/>
        <v>29.700000000000003</v>
      </c>
      <c r="L571" s="335">
        <f t="shared" si="123"/>
        <v>0</v>
      </c>
      <c r="M571" s="446"/>
      <c r="N571" s="446"/>
      <c r="O571" s="446"/>
      <c r="P571" s="446"/>
      <c r="Q571" s="110">
        <v>2</v>
      </c>
      <c r="R571" s="111">
        <f t="shared" si="114"/>
        <v>7.4250000000000007</v>
      </c>
      <c r="S571" s="110"/>
      <c r="T571" s="110"/>
      <c r="U571" s="110">
        <v>1</v>
      </c>
      <c r="V571" s="111">
        <f t="shared" si="115"/>
        <v>7.4250000000000007</v>
      </c>
      <c r="W571" s="110"/>
      <c r="X571" s="110"/>
      <c r="Y571" s="110"/>
      <c r="Z571" s="110"/>
      <c r="AA571" s="110">
        <v>1</v>
      </c>
      <c r="AB571" s="111">
        <f t="shared" si="119"/>
        <v>7.4250000000000007</v>
      </c>
      <c r="AC571" s="110"/>
      <c r="AD571" s="110"/>
      <c r="AE571" s="110">
        <v>1</v>
      </c>
      <c r="AF571" s="111">
        <f t="shared" si="120"/>
        <v>7.4250000000000007</v>
      </c>
      <c r="AG571" s="110"/>
      <c r="AH571" s="110"/>
      <c r="AI571" s="110"/>
      <c r="AJ571" s="110"/>
      <c r="AK571" s="111">
        <f t="shared" si="124"/>
        <v>29.700000000000003</v>
      </c>
      <c r="AL571" s="446">
        <f t="shared" si="125"/>
        <v>0</v>
      </c>
      <c r="AM571" s="110">
        <f t="shared" si="126"/>
        <v>5</v>
      </c>
      <c r="AN571" s="447">
        <f t="shared" si="122"/>
        <v>0</v>
      </c>
      <c r="AO571"/>
      <c r="AP571"/>
    </row>
    <row r="572" spans="1:42" ht="66" x14ac:dyDescent="0.25">
      <c r="A572" s="9"/>
      <c r="B572" s="227" t="s">
        <v>2487</v>
      </c>
      <c r="C572" s="1024"/>
      <c r="D572" s="876">
        <v>5</v>
      </c>
      <c r="E572" s="1025" t="s">
        <v>1721</v>
      </c>
      <c r="F572" s="273" t="s">
        <v>3446</v>
      </c>
      <c r="G572" s="1040" t="s">
        <v>3463</v>
      </c>
      <c r="H572" s="273" t="s">
        <v>3462</v>
      </c>
      <c r="I572" s="720">
        <f t="shared" si="127"/>
        <v>10.61</v>
      </c>
      <c r="J572" s="756">
        <v>53.05</v>
      </c>
      <c r="K572" s="131">
        <f t="shared" si="121"/>
        <v>53.05</v>
      </c>
      <c r="L572" s="335">
        <f t="shared" si="123"/>
        <v>0</v>
      </c>
      <c r="M572" s="446"/>
      <c r="N572" s="446"/>
      <c r="O572" s="446"/>
      <c r="P572" s="446"/>
      <c r="Q572" s="110">
        <v>2</v>
      </c>
      <c r="R572" s="111">
        <f t="shared" si="114"/>
        <v>13.262499999999999</v>
      </c>
      <c r="S572" s="110"/>
      <c r="T572" s="110"/>
      <c r="U572" s="110">
        <v>1</v>
      </c>
      <c r="V572" s="111">
        <f t="shared" si="115"/>
        <v>13.262499999999999</v>
      </c>
      <c r="W572" s="110"/>
      <c r="X572" s="110"/>
      <c r="Y572" s="110"/>
      <c r="Z572" s="110"/>
      <c r="AA572" s="110">
        <v>1</v>
      </c>
      <c r="AB572" s="111">
        <f t="shared" si="119"/>
        <v>13.262499999999999</v>
      </c>
      <c r="AC572" s="110"/>
      <c r="AD572" s="110"/>
      <c r="AE572" s="110">
        <v>1</v>
      </c>
      <c r="AF572" s="111">
        <f t="shared" si="120"/>
        <v>13.262499999999999</v>
      </c>
      <c r="AG572" s="110"/>
      <c r="AH572" s="110"/>
      <c r="AI572" s="110"/>
      <c r="AJ572" s="110"/>
      <c r="AK572" s="111">
        <f t="shared" si="124"/>
        <v>53.05</v>
      </c>
      <c r="AL572" s="446">
        <f t="shared" si="125"/>
        <v>0</v>
      </c>
      <c r="AM572" s="110">
        <f t="shared" si="126"/>
        <v>5</v>
      </c>
      <c r="AN572" s="447">
        <f t="shared" si="122"/>
        <v>0</v>
      </c>
      <c r="AO572"/>
      <c r="AP572"/>
    </row>
    <row r="573" spans="1:42" ht="66" x14ac:dyDescent="0.25">
      <c r="A573" s="9"/>
      <c r="B573" s="227" t="s">
        <v>2488</v>
      </c>
      <c r="C573" s="1024"/>
      <c r="D573" s="876">
        <v>2</v>
      </c>
      <c r="E573" s="1025" t="s">
        <v>1725</v>
      </c>
      <c r="F573" s="273" t="s">
        <v>3446</v>
      </c>
      <c r="G573" s="1040" t="s">
        <v>3463</v>
      </c>
      <c r="H573" s="273" t="s">
        <v>3462</v>
      </c>
      <c r="I573" s="720">
        <f t="shared" si="127"/>
        <v>15.16</v>
      </c>
      <c r="J573" s="756">
        <v>30.32</v>
      </c>
      <c r="K573" s="131">
        <f t="shared" si="121"/>
        <v>30.32</v>
      </c>
      <c r="L573" s="335">
        <f t="shared" si="123"/>
        <v>0</v>
      </c>
      <c r="M573" s="446"/>
      <c r="N573" s="446"/>
      <c r="O573" s="446"/>
      <c r="P573" s="446"/>
      <c r="Q573" s="130">
        <v>1</v>
      </c>
      <c r="R573" s="111">
        <v>15.16</v>
      </c>
      <c r="S573" s="110"/>
      <c r="T573" s="110"/>
      <c r="U573" s="130">
        <v>1</v>
      </c>
      <c r="V573" s="111">
        <v>15.16</v>
      </c>
      <c r="W573" s="110"/>
      <c r="X573" s="110"/>
      <c r="Y573" s="110"/>
      <c r="Z573" s="110"/>
      <c r="AA573" s="130">
        <v>0</v>
      </c>
      <c r="AB573" s="111">
        <v>0</v>
      </c>
      <c r="AC573" s="110"/>
      <c r="AD573" s="110"/>
      <c r="AE573" s="130">
        <v>0</v>
      </c>
      <c r="AF573" s="111">
        <v>0</v>
      </c>
      <c r="AG573" s="110"/>
      <c r="AH573" s="110"/>
      <c r="AI573" s="110"/>
      <c r="AJ573" s="110"/>
      <c r="AK573" s="111">
        <f t="shared" si="124"/>
        <v>30.32</v>
      </c>
      <c r="AL573" s="446">
        <f t="shared" si="125"/>
        <v>0</v>
      </c>
      <c r="AM573" s="110">
        <f t="shared" si="126"/>
        <v>2</v>
      </c>
      <c r="AN573" s="447">
        <f t="shared" si="122"/>
        <v>0</v>
      </c>
      <c r="AO573"/>
      <c r="AP573"/>
    </row>
    <row r="574" spans="1:42" ht="66" x14ac:dyDescent="0.25">
      <c r="A574" s="9"/>
      <c r="B574" s="227" t="s">
        <v>2489</v>
      </c>
      <c r="C574" s="1024"/>
      <c r="D574" s="876">
        <v>2</v>
      </c>
      <c r="E574" s="1025" t="s">
        <v>1721</v>
      </c>
      <c r="F574" s="273" t="s">
        <v>3446</v>
      </c>
      <c r="G574" s="1040" t="s">
        <v>3463</v>
      </c>
      <c r="H574" s="273" t="s">
        <v>3462</v>
      </c>
      <c r="I574" s="720">
        <f t="shared" si="127"/>
        <v>6.61</v>
      </c>
      <c r="J574" s="756">
        <v>13.22</v>
      </c>
      <c r="K574" s="131">
        <f t="shared" si="121"/>
        <v>13.22</v>
      </c>
      <c r="L574" s="335">
        <f t="shared" si="123"/>
        <v>0</v>
      </c>
      <c r="M574" s="446"/>
      <c r="N574" s="446"/>
      <c r="O574" s="446"/>
      <c r="P574" s="446"/>
      <c r="Q574" s="130">
        <v>1</v>
      </c>
      <c r="R574" s="111">
        <v>13.22</v>
      </c>
      <c r="S574" s="110"/>
      <c r="T574" s="110"/>
      <c r="U574" s="130">
        <v>0</v>
      </c>
      <c r="V574" s="111">
        <v>0</v>
      </c>
      <c r="W574" s="110"/>
      <c r="X574" s="110"/>
      <c r="Y574" s="110"/>
      <c r="Z574" s="110"/>
      <c r="AA574" s="130">
        <v>0</v>
      </c>
      <c r="AB574" s="111">
        <v>0</v>
      </c>
      <c r="AC574" s="110"/>
      <c r="AD574" s="110"/>
      <c r="AE574" s="130">
        <v>0</v>
      </c>
      <c r="AF574" s="111">
        <v>0</v>
      </c>
      <c r="AG574" s="110"/>
      <c r="AH574" s="110"/>
      <c r="AI574" s="110"/>
      <c r="AJ574" s="110"/>
      <c r="AK574" s="111">
        <f t="shared" si="124"/>
        <v>13.22</v>
      </c>
      <c r="AL574" s="446">
        <f t="shared" si="125"/>
        <v>0</v>
      </c>
      <c r="AM574" s="110">
        <f t="shared" si="126"/>
        <v>1</v>
      </c>
      <c r="AN574" s="447">
        <f t="shared" si="122"/>
        <v>1</v>
      </c>
      <c r="AO574"/>
      <c r="AP574"/>
    </row>
    <row r="575" spans="1:42" ht="66" x14ac:dyDescent="0.25">
      <c r="A575" s="9"/>
      <c r="B575" s="227" t="s">
        <v>1533</v>
      </c>
      <c r="C575" s="1024"/>
      <c r="D575" s="876">
        <v>2</v>
      </c>
      <c r="E575" s="1025" t="s">
        <v>1721</v>
      </c>
      <c r="F575" s="273" t="s">
        <v>3446</v>
      </c>
      <c r="G575" s="1040" t="s">
        <v>3463</v>
      </c>
      <c r="H575" s="273" t="s">
        <v>3462</v>
      </c>
      <c r="I575" s="720">
        <f t="shared" si="127"/>
        <v>234.27</v>
      </c>
      <c r="J575" s="756">
        <v>468.54</v>
      </c>
      <c r="K575" s="131">
        <f t="shared" si="121"/>
        <v>468.54</v>
      </c>
      <c r="L575" s="335">
        <f t="shared" si="123"/>
        <v>0</v>
      </c>
      <c r="M575" s="446"/>
      <c r="N575" s="446"/>
      <c r="O575" s="446"/>
      <c r="P575" s="446"/>
      <c r="Q575" s="130">
        <v>1</v>
      </c>
      <c r="R575" s="111">
        <v>234.27</v>
      </c>
      <c r="S575" s="110"/>
      <c r="T575" s="110"/>
      <c r="U575" s="130">
        <v>1</v>
      </c>
      <c r="V575" s="111">
        <v>234.27</v>
      </c>
      <c r="W575" s="110"/>
      <c r="X575" s="110"/>
      <c r="Y575" s="110"/>
      <c r="Z575" s="110"/>
      <c r="AA575" s="130">
        <v>0</v>
      </c>
      <c r="AB575" s="111">
        <v>0</v>
      </c>
      <c r="AC575" s="110"/>
      <c r="AD575" s="110"/>
      <c r="AE575" s="130">
        <v>0</v>
      </c>
      <c r="AF575" s="111">
        <v>0</v>
      </c>
      <c r="AG575" s="110"/>
      <c r="AH575" s="110"/>
      <c r="AI575" s="110"/>
      <c r="AJ575" s="110"/>
      <c r="AK575" s="111">
        <f t="shared" si="124"/>
        <v>468.54</v>
      </c>
      <c r="AL575" s="446">
        <f t="shared" si="125"/>
        <v>0</v>
      </c>
      <c r="AM575" s="110">
        <f t="shared" si="126"/>
        <v>2</v>
      </c>
      <c r="AN575" s="447">
        <f t="shared" si="122"/>
        <v>0</v>
      </c>
      <c r="AO575"/>
      <c r="AP575"/>
    </row>
    <row r="576" spans="1:42" ht="66" x14ac:dyDescent="0.25">
      <c r="A576" s="9"/>
      <c r="B576" s="227" t="s">
        <v>2490</v>
      </c>
      <c r="C576" s="1024"/>
      <c r="D576" s="876">
        <v>2</v>
      </c>
      <c r="E576" s="1025" t="s">
        <v>1721</v>
      </c>
      <c r="F576" s="273" t="s">
        <v>3446</v>
      </c>
      <c r="G576" s="1040" t="s">
        <v>3463</v>
      </c>
      <c r="H576" s="273" t="s">
        <v>3462</v>
      </c>
      <c r="I576" s="720">
        <f t="shared" si="127"/>
        <v>15.43</v>
      </c>
      <c r="J576" s="756">
        <v>30.86</v>
      </c>
      <c r="K576" s="131">
        <f t="shared" si="121"/>
        <v>30.86</v>
      </c>
      <c r="L576" s="335">
        <f t="shared" si="123"/>
        <v>0</v>
      </c>
      <c r="M576" s="446"/>
      <c r="N576" s="446"/>
      <c r="O576" s="446"/>
      <c r="P576" s="446"/>
      <c r="Q576" s="130">
        <v>1</v>
      </c>
      <c r="R576" s="111">
        <v>15.43</v>
      </c>
      <c r="S576" s="110"/>
      <c r="T576" s="110"/>
      <c r="U576" s="130">
        <v>1</v>
      </c>
      <c r="V576" s="111">
        <v>15.43</v>
      </c>
      <c r="W576" s="110"/>
      <c r="X576" s="110"/>
      <c r="Y576" s="110"/>
      <c r="Z576" s="110"/>
      <c r="AA576" s="130">
        <v>0</v>
      </c>
      <c r="AB576" s="111">
        <v>0</v>
      </c>
      <c r="AC576" s="110"/>
      <c r="AD576" s="110"/>
      <c r="AE576" s="130">
        <v>0</v>
      </c>
      <c r="AF576" s="111">
        <v>0</v>
      </c>
      <c r="AG576" s="110"/>
      <c r="AH576" s="110"/>
      <c r="AI576" s="110"/>
      <c r="AJ576" s="110"/>
      <c r="AK576" s="111">
        <f t="shared" si="124"/>
        <v>30.86</v>
      </c>
      <c r="AL576" s="446">
        <f t="shared" si="125"/>
        <v>0</v>
      </c>
      <c r="AM576" s="110">
        <f t="shared" si="126"/>
        <v>2</v>
      </c>
      <c r="AN576" s="447">
        <f t="shared" si="122"/>
        <v>0</v>
      </c>
      <c r="AO576"/>
      <c r="AP576"/>
    </row>
    <row r="577" spans="1:42" ht="66" x14ac:dyDescent="0.25">
      <c r="A577" s="9"/>
      <c r="B577" s="227" t="s">
        <v>2491</v>
      </c>
      <c r="C577" s="1024"/>
      <c r="D577" s="876">
        <v>7</v>
      </c>
      <c r="E577" s="1025" t="s">
        <v>1721</v>
      </c>
      <c r="F577" s="273" t="s">
        <v>3446</v>
      </c>
      <c r="G577" s="1040" t="s">
        <v>3463</v>
      </c>
      <c r="H577" s="273" t="s">
        <v>3462</v>
      </c>
      <c r="I577" s="720">
        <f t="shared" si="127"/>
        <v>4.41</v>
      </c>
      <c r="J577" s="756">
        <v>30.87</v>
      </c>
      <c r="K577" s="131">
        <f t="shared" si="121"/>
        <v>30.87</v>
      </c>
      <c r="L577" s="335">
        <f t="shared" si="123"/>
        <v>0</v>
      </c>
      <c r="M577" s="446"/>
      <c r="N577" s="446"/>
      <c r="O577" s="446"/>
      <c r="P577" s="446"/>
      <c r="Q577" s="130">
        <v>2</v>
      </c>
      <c r="R577" s="111">
        <f t="shared" ref="R577:R639" si="128">+J577/4</f>
        <v>7.7175000000000002</v>
      </c>
      <c r="S577" s="110"/>
      <c r="T577" s="110"/>
      <c r="U577" s="130">
        <v>2</v>
      </c>
      <c r="V577" s="111">
        <f t="shared" ref="V577:V639" si="129">+J577/4</f>
        <v>7.7175000000000002</v>
      </c>
      <c r="W577" s="110"/>
      <c r="X577" s="110"/>
      <c r="Y577" s="110"/>
      <c r="Z577" s="110"/>
      <c r="AA577" s="130">
        <v>2</v>
      </c>
      <c r="AB577" s="111">
        <f t="shared" si="119"/>
        <v>7.7175000000000002</v>
      </c>
      <c r="AC577" s="110"/>
      <c r="AD577" s="110"/>
      <c r="AE577" s="130">
        <v>1</v>
      </c>
      <c r="AF577" s="111">
        <f t="shared" si="120"/>
        <v>7.7175000000000002</v>
      </c>
      <c r="AG577" s="110"/>
      <c r="AH577" s="110"/>
      <c r="AI577" s="110"/>
      <c r="AJ577" s="110"/>
      <c r="AK577" s="111">
        <f t="shared" si="124"/>
        <v>30.87</v>
      </c>
      <c r="AL577" s="446">
        <f t="shared" si="125"/>
        <v>0</v>
      </c>
      <c r="AM577" s="110">
        <f t="shared" si="126"/>
        <v>7</v>
      </c>
      <c r="AN577" s="447">
        <f t="shared" si="122"/>
        <v>0</v>
      </c>
      <c r="AO577"/>
      <c r="AP577"/>
    </row>
    <row r="578" spans="1:42" ht="66" x14ac:dyDescent="0.25">
      <c r="A578" s="9"/>
      <c r="B578" s="491" t="s">
        <v>2492</v>
      </c>
      <c r="C578" s="1024"/>
      <c r="D578" s="876">
        <v>1</v>
      </c>
      <c r="E578" s="1025" t="s">
        <v>1721</v>
      </c>
      <c r="F578" s="273" t="s">
        <v>3446</v>
      </c>
      <c r="G578" s="1040" t="s">
        <v>3463</v>
      </c>
      <c r="H578" s="273" t="s">
        <v>3462</v>
      </c>
      <c r="I578" s="720">
        <f t="shared" si="127"/>
        <v>268.73</v>
      </c>
      <c r="J578" s="756">
        <v>268.73</v>
      </c>
      <c r="K578" s="131">
        <f t="shared" si="121"/>
        <v>268.73</v>
      </c>
      <c r="L578" s="335">
        <f t="shared" si="123"/>
        <v>0</v>
      </c>
      <c r="M578" s="446"/>
      <c r="N578" s="446"/>
      <c r="O578" s="446"/>
      <c r="P578" s="446"/>
      <c r="Q578" s="110">
        <v>1</v>
      </c>
      <c r="R578" s="111">
        <v>268.73</v>
      </c>
      <c r="S578" s="110"/>
      <c r="T578" s="110"/>
      <c r="U578" s="110">
        <v>0</v>
      </c>
      <c r="V578" s="111">
        <v>0</v>
      </c>
      <c r="W578" s="110"/>
      <c r="X578" s="110"/>
      <c r="Y578" s="110"/>
      <c r="Z578" s="110"/>
      <c r="AA578" s="110">
        <v>0</v>
      </c>
      <c r="AB578" s="111">
        <v>0</v>
      </c>
      <c r="AC578" s="110"/>
      <c r="AD578" s="110"/>
      <c r="AE578" s="110">
        <v>0</v>
      </c>
      <c r="AF578" s="111">
        <v>0</v>
      </c>
      <c r="AG578" s="110"/>
      <c r="AH578" s="110"/>
      <c r="AI578" s="110"/>
      <c r="AJ578" s="110"/>
      <c r="AK578" s="111">
        <f t="shared" si="124"/>
        <v>268.73</v>
      </c>
      <c r="AL578" s="446">
        <f t="shared" si="125"/>
        <v>0</v>
      </c>
      <c r="AM578" s="110">
        <f t="shared" si="126"/>
        <v>1</v>
      </c>
      <c r="AN578" s="447">
        <f t="shared" si="122"/>
        <v>0</v>
      </c>
      <c r="AO578"/>
      <c r="AP578"/>
    </row>
    <row r="579" spans="1:42" ht="66" x14ac:dyDescent="0.25">
      <c r="A579" s="9"/>
      <c r="B579" s="227" t="s">
        <v>40</v>
      </c>
      <c r="C579" s="1024"/>
      <c r="D579" s="876">
        <v>3</v>
      </c>
      <c r="E579" s="1025" t="s">
        <v>1721</v>
      </c>
      <c r="F579" s="273" t="s">
        <v>3446</v>
      </c>
      <c r="G579" s="1040" t="s">
        <v>3463</v>
      </c>
      <c r="H579" s="273" t="s">
        <v>3462</v>
      </c>
      <c r="I579" s="720">
        <f t="shared" si="127"/>
        <v>19.29</v>
      </c>
      <c r="J579" s="756">
        <v>57.87</v>
      </c>
      <c r="K579" s="131">
        <f t="shared" si="121"/>
        <v>57.87</v>
      </c>
      <c r="L579" s="335">
        <f t="shared" si="123"/>
        <v>0</v>
      </c>
      <c r="M579" s="446"/>
      <c r="N579" s="446"/>
      <c r="O579" s="446"/>
      <c r="P579" s="446"/>
      <c r="Q579" s="130">
        <v>1</v>
      </c>
      <c r="R579" s="111">
        <v>19.29</v>
      </c>
      <c r="S579" s="110"/>
      <c r="T579" s="110"/>
      <c r="U579" s="130">
        <v>1</v>
      </c>
      <c r="V579" s="111">
        <v>19.29</v>
      </c>
      <c r="W579" s="110"/>
      <c r="X579" s="110"/>
      <c r="Y579" s="110"/>
      <c r="Z579" s="110"/>
      <c r="AA579" s="130">
        <v>1</v>
      </c>
      <c r="AB579" s="111">
        <v>19.29</v>
      </c>
      <c r="AC579" s="110"/>
      <c r="AD579" s="110"/>
      <c r="AE579" s="130">
        <v>0</v>
      </c>
      <c r="AF579" s="111">
        <v>0</v>
      </c>
      <c r="AG579" s="110"/>
      <c r="AH579" s="110"/>
      <c r="AI579" s="110"/>
      <c r="AJ579" s="110"/>
      <c r="AK579" s="111">
        <f t="shared" si="124"/>
        <v>57.87</v>
      </c>
      <c r="AL579" s="446">
        <f t="shared" si="125"/>
        <v>0</v>
      </c>
      <c r="AM579" s="110">
        <f t="shared" si="126"/>
        <v>3</v>
      </c>
      <c r="AN579" s="447">
        <f t="shared" si="122"/>
        <v>0</v>
      </c>
      <c r="AO579"/>
      <c r="AP579"/>
    </row>
    <row r="580" spans="1:42" ht="66" x14ac:dyDescent="0.25">
      <c r="A580" s="9"/>
      <c r="B580" s="227" t="s">
        <v>2493</v>
      </c>
      <c r="C580" s="1024"/>
      <c r="D580" s="876">
        <v>3</v>
      </c>
      <c r="E580" s="1025" t="s">
        <v>1721</v>
      </c>
      <c r="F580" s="273" t="s">
        <v>3446</v>
      </c>
      <c r="G580" s="1040" t="s">
        <v>3463</v>
      </c>
      <c r="H580" s="273" t="s">
        <v>3462</v>
      </c>
      <c r="I580" s="720">
        <f t="shared" si="127"/>
        <v>16.54</v>
      </c>
      <c r="J580" s="756">
        <v>49.62</v>
      </c>
      <c r="K580" s="131">
        <f t="shared" si="121"/>
        <v>49.62</v>
      </c>
      <c r="L580" s="335">
        <f t="shared" si="123"/>
        <v>0</v>
      </c>
      <c r="M580" s="446"/>
      <c r="N580" s="446"/>
      <c r="O580" s="446"/>
      <c r="P580" s="446"/>
      <c r="Q580" s="130">
        <v>1</v>
      </c>
      <c r="R580" s="111">
        <v>16.54</v>
      </c>
      <c r="S580" s="110"/>
      <c r="T580" s="110"/>
      <c r="U580" s="130">
        <v>1</v>
      </c>
      <c r="V580" s="111">
        <v>16.54</v>
      </c>
      <c r="W580" s="110"/>
      <c r="X580" s="110"/>
      <c r="Y580" s="110"/>
      <c r="Z580" s="110"/>
      <c r="AA580" s="130">
        <v>1</v>
      </c>
      <c r="AB580" s="111">
        <v>16.54</v>
      </c>
      <c r="AC580" s="110"/>
      <c r="AD580" s="110"/>
      <c r="AE580" s="130">
        <v>0</v>
      </c>
      <c r="AF580" s="111">
        <v>0</v>
      </c>
      <c r="AG580" s="110"/>
      <c r="AH580" s="110"/>
      <c r="AI580" s="110"/>
      <c r="AJ580" s="110"/>
      <c r="AK580" s="111">
        <f t="shared" si="124"/>
        <v>49.62</v>
      </c>
      <c r="AL580" s="446">
        <f t="shared" si="125"/>
        <v>0</v>
      </c>
      <c r="AM580" s="110">
        <f t="shared" si="126"/>
        <v>3</v>
      </c>
      <c r="AN580" s="447">
        <f t="shared" si="122"/>
        <v>0</v>
      </c>
      <c r="AO580"/>
      <c r="AP580"/>
    </row>
    <row r="581" spans="1:42" ht="66" x14ac:dyDescent="0.25">
      <c r="A581" s="9"/>
      <c r="B581" s="227" t="s">
        <v>2494</v>
      </c>
      <c r="C581" s="1024"/>
      <c r="D581" s="876">
        <v>7</v>
      </c>
      <c r="E581" s="1025" t="s">
        <v>1721</v>
      </c>
      <c r="F581" s="273" t="s">
        <v>3446</v>
      </c>
      <c r="G581" s="1040" t="s">
        <v>3463</v>
      </c>
      <c r="H581" s="273" t="s">
        <v>3462</v>
      </c>
      <c r="I581" s="720">
        <f t="shared" si="127"/>
        <v>38.589999999999996</v>
      </c>
      <c r="J581" s="756">
        <v>270.13</v>
      </c>
      <c r="K581" s="131">
        <f t="shared" si="121"/>
        <v>270.13</v>
      </c>
      <c r="L581" s="335">
        <f t="shared" si="123"/>
        <v>0</v>
      </c>
      <c r="M581" s="446"/>
      <c r="N581" s="446"/>
      <c r="O581" s="446"/>
      <c r="P581" s="446"/>
      <c r="Q581" s="130">
        <v>2</v>
      </c>
      <c r="R581" s="111">
        <f t="shared" si="128"/>
        <v>67.532499999999999</v>
      </c>
      <c r="S581" s="110"/>
      <c r="T581" s="110"/>
      <c r="U581" s="130">
        <v>2</v>
      </c>
      <c r="V581" s="111">
        <f t="shared" si="129"/>
        <v>67.532499999999999</v>
      </c>
      <c r="W581" s="110"/>
      <c r="X581" s="110"/>
      <c r="Y581" s="110"/>
      <c r="Z581" s="110"/>
      <c r="AA581" s="130">
        <v>2</v>
      </c>
      <c r="AB581" s="111">
        <f t="shared" ref="AB581:AB643" si="130">+J581/4</f>
        <v>67.532499999999999</v>
      </c>
      <c r="AC581" s="110"/>
      <c r="AD581" s="110"/>
      <c r="AE581" s="130">
        <v>1</v>
      </c>
      <c r="AF581" s="111">
        <f t="shared" ref="AF581:AF639" si="131">+J581/4</f>
        <v>67.532499999999999</v>
      </c>
      <c r="AG581" s="110"/>
      <c r="AH581" s="110"/>
      <c r="AI581" s="110"/>
      <c r="AJ581" s="110"/>
      <c r="AK581" s="111">
        <f t="shared" si="124"/>
        <v>270.13</v>
      </c>
      <c r="AL581" s="446">
        <f t="shared" si="125"/>
        <v>0</v>
      </c>
      <c r="AM581" s="110">
        <f t="shared" si="126"/>
        <v>7</v>
      </c>
      <c r="AN581" s="447">
        <f t="shared" si="122"/>
        <v>0</v>
      </c>
      <c r="AO581"/>
      <c r="AP581"/>
    </row>
    <row r="582" spans="1:42" ht="66" x14ac:dyDescent="0.25">
      <c r="A582" s="9"/>
      <c r="B582" s="493" t="s">
        <v>2495</v>
      </c>
      <c r="C582" s="1024"/>
      <c r="D582" s="878">
        <v>3</v>
      </c>
      <c r="E582" s="1025" t="s">
        <v>1721</v>
      </c>
      <c r="F582" s="273" t="s">
        <v>3446</v>
      </c>
      <c r="G582" s="1040" t="s">
        <v>3463</v>
      </c>
      <c r="H582" s="273" t="s">
        <v>3462</v>
      </c>
      <c r="I582" s="720">
        <f t="shared" si="127"/>
        <v>52.37</v>
      </c>
      <c r="J582" s="756">
        <v>157.10999999999999</v>
      </c>
      <c r="K582" s="131">
        <f t="shared" si="121"/>
        <v>157.10999999999999</v>
      </c>
      <c r="L582" s="335">
        <f t="shared" si="123"/>
        <v>0</v>
      </c>
      <c r="M582" s="446"/>
      <c r="N582" s="446"/>
      <c r="O582" s="446"/>
      <c r="P582" s="446"/>
      <c r="Q582" s="130">
        <v>1</v>
      </c>
      <c r="R582" s="111">
        <v>52.37</v>
      </c>
      <c r="S582" s="110"/>
      <c r="T582" s="110"/>
      <c r="U582" s="130">
        <v>1</v>
      </c>
      <c r="V582" s="111">
        <v>52.37</v>
      </c>
      <c r="W582" s="110"/>
      <c r="X582" s="110"/>
      <c r="Y582" s="110"/>
      <c r="Z582" s="110"/>
      <c r="AA582" s="130">
        <v>1</v>
      </c>
      <c r="AB582" s="111">
        <v>52.37</v>
      </c>
      <c r="AC582" s="110"/>
      <c r="AD582" s="110"/>
      <c r="AE582" s="130">
        <v>0</v>
      </c>
      <c r="AF582" s="111">
        <v>0</v>
      </c>
      <c r="AG582" s="110"/>
      <c r="AH582" s="110"/>
      <c r="AI582" s="110"/>
      <c r="AJ582" s="110"/>
      <c r="AK582" s="111">
        <f t="shared" si="124"/>
        <v>157.10999999999999</v>
      </c>
      <c r="AL582" s="446">
        <f t="shared" si="125"/>
        <v>0</v>
      </c>
      <c r="AM582" s="110">
        <f t="shared" si="126"/>
        <v>3</v>
      </c>
      <c r="AN582" s="447">
        <f t="shared" si="122"/>
        <v>0</v>
      </c>
      <c r="AO582"/>
      <c r="AP582"/>
    </row>
    <row r="583" spans="1:42" ht="66" x14ac:dyDescent="0.25">
      <c r="A583" s="9"/>
      <c r="B583" s="227" t="s">
        <v>2496</v>
      </c>
      <c r="C583" s="1024"/>
      <c r="D583" s="878">
        <v>5</v>
      </c>
      <c r="E583" s="1025" t="s">
        <v>1721</v>
      </c>
      <c r="F583" s="273" t="s">
        <v>3446</v>
      </c>
      <c r="G583" s="1040" t="s">
        <v>3463</v>
      </c>
      <c r="H583" s="273" t="s">
        <v>3462</v>
      </c>
      <c r="I583" s="720">
        <f t="shared" si="127"/>
        <v>16.63</v>
      </c>
      <c r="J583" s="756">
        <v>83.149999999999991</v>
      </c>
      <c r="K583" s="131">
        <f t="shared" si="121"/>
        <v>83.149999999999991</v>
      </c>
      <c r="L583" s="335">
        <f t="shared" si="123"/>
        <v>0</v>
      </c>
      <c r="M583" s="446"/>
      <c r="N583" s="446"/>
      <c r="O583" s="446"/>
      <c r="P583" s="446"/>
      <c r="Q583" s="110">
        <v>2</v>
      </c>
      <c r="R583" s="111">
        <f t="shared" si="128"/>
        <v>20.787499999999998</v>
      </c>
      <c r="S583" s="110"/>
      <c r="T583" s="110"/>
      <c r="U583" s="110">
        <v>1</v>
      </c>
      <c r="V583" s="111">
        <f t="shared" si="129"/>
        <v>20.787499999999998</v>
      </c>
      <c r="W583" s="110"/>
      <c r="X583" s="110"/>
      <c r="Y583" s="110"/>
      <c r="Z583" s="110"/>
      <c r="AA583" s="110">
        <v>1</v>
      </c>
      <c r="AB583" s="111">
        <f t="shared" si="130"/>
        <v>20.787499999999998</v>
      </c>
      <c r="AC583" s="110"/>
      <c r="AD583" s="110"/>
      <c r="AE583" s="110">
        <v>1</v>
      </c>
      <c r="AF583" s="111">
        <f t="shared" si="131"/>
        <v>20.787499999999998</v>
      </c>
      <c r="AG583" s="110"/>
      <c r="AH583" s="110"/>
      <c r="AI583" s="110"/>
      <c r="AJ583" s="110"/>
      <c r="AK583" s="111">
        <f t="shared" si="124"/>
        <v>83.149999999999991</v>
      </c>
      <c r="AL583" s="446">
        <f t="shared" si="125"/>
        <v>0</v>
      </c>
      <c r="AM583" s="110">
        <f t="shared" si="126"/>
        <v>5</v>
      </c>
      <c r="AN583" s="447">
        <f t="shared" si="122"/>
        <v>0</v>
      </c>
      <c r="AO583"/>
      <c r="AP583"/>
    </row>
    <row r="584" spans="1:42" ht="66" x14ac:dyDescent="0.25">
      <c r="A584" s="9"/>
      <c r="B584" s="227" t="s">
        <v>65</v>
      </c>
      <c r="C584" s="1024"/>
      <c r="D584" s="874">
        <v>5</v>
      </c>
      <c r="E584" s="1025" t="s">
        <v>1721</v>
      </c>
      <c r="F584" s="273" t="s">
        <v>3446</v>
      </c>
      <c r="G584" s="1040" t="s">
        <v>3463</v>
      </c>
      <c r="H584" s="273" t="s">
        <v>3462</v>
      </c>
      <c r="I584" s="720">
        <f t="shared" si="127"/>
        <v>68.900000000000006</v>
      </c>
      <c r="J584" s="756">
        <v>344.5</v>
      </c>
      <c r="K584" s="131">
        <f t="shared" si="121"/>
        <v>344.5</v>
      </c>
      <c r="L584" s="335">
        <f t="shared" si="123"/>
        <v>0</v>
      </c>
      <c r="M584" s="446"/>
      <c r="N584" s="446"/>
      <c r="O584" s="446"/>
      <c r="P584" s="446"/>
      <c r="Q584" s="110">
        <v>2</v>
      </c>
      <c r="R584" s="111">
        <f t="shared" si="128"/>
        <v>86.125</v>
      </c>
      <c r="S584" s="110"/>
      <c r="T584" s="110"/>
      <c r="U584" s="110">
        <v>1</v>
      </c>
      <c r="V584" s="111">
        <f t="shared" si="129"/>
        <v>86.125</v>
      </c>
      <c r="W584" s="110"/>
      <c r="X584" s="110"/>
      <c r="Y584" s="110"/>
      <c r="Z584" s="110"/>
      <c r="AA584" s="110">
        <v>1</v>
      </c>
      <c r="AB584" s="111">
        <f t="shared" si="130"/>
        <v>86.125</v>
      </c>
      <c r="AC584" s="110"/>
      <c r="AD584" s="110"/>
      <c r="AE584" s="110">
        <v>1</v>
      </c>
      <c r="AF584" s="111">
        <f t="shared" si="131"/>
        <v>86.125</v>
      </c>
      <c r="AG584" s="110"/>
      <c r="AH584" s="110"/>
      <c r="AI584" s="110"/>
      <c r="AJ584" s="110"/>
      <c r="AK584" s="111">
        <f t="shared" si="124"/>
        <v>344.5</v>
      </c>
      <c r="AL584" s="446">
        <f t="shared" si="125"/>
        <v>0</v>
      </c>
      <c r="AM584" s="110">
        <f t="shared" si="126"/>
        <v>5</v>
      </c>
      <c r="AN584" s="447">
        <f t="shared" si="122"/>
        <v>0</v>
      </c>
      <c r="AO584"/>
      <c r="AP584"/>
    </row>
    <row r="585" spans="1:42" ht="66" x14ac:dyDescent="0.25">
      <c r="A585" s="9"/>
      <c r="B585" s="227" t="s">
        <v>2497</v>
      </c>
      <c r="C585" s="1024"/>
      <c r="D585" s="879">
        <v>2</v>
      </c>
      <c r="E585" s="1025" t="s">
        <v>1721</v>
      </c>
      <c r="F585" s="273" t="s">
        <v>3446</v>
      </c>
      <c r="G585" s="1040" t="s">
        <v>3463</v>
      </c>
      <c r="H585" s="273" t="s">
        <v>3462</v>
      </c>
      <c r="I585" s="720">
        <f t="shared" si="127"/>
        <v>27.88</v>
      </c>
      <c r="J585" s="756">
        <v>55.76</v>
      </c>
      <c r="K585" s="131">
        <f t="shared" si="121"/>
        <v>55.76</v>
      </c>
      <c r="L585" s="335">
        <f t="shared" si="123"/>
        <v>0</v>
      </c>
      <c r="M585" s="446"/>
      <c r="N585" s="446"/>
      <c r="O585" s="446"/>
      <c r="P585" s="446"/>
      <c r="Q585" s="130">
        <v>1</v>
      </c>
      <c r="R585" s="111">
        <v>27.88</v>
      </c>
      <c r="S585" s="110"/>
      <c r="T585" s="110"/>
      <c r="U585" s="130">
        <v>1</v>
      </c>
      <c r="V585" s="111">
        <v>27.88</v>
      </c>
      <c r="W585" s="110"/>
      <c r="X585" s="110"/>
      <c r="Y585" s="110"/>
      <c r="Z585" s="110"/>
      <c r="AA585" s="130">
        <v>0</v>
      </c>
      <c r="AB585" s="111">
        <v>0</v>
      </c>
      <c r="AC585" s="110"/>
      <c r="AD585" s="110"/>
      <c r="AE585" s="130">
        <v>0</v>
      </c>
      <c r="AF585" s="111">
        <v>0</v>
      </c>
      <c r="AG585" s="110"/>
      <c r="AH585" s="110"/>
      <c r="AI585" s="110"/>
      <c r="AJ585" s="110"/>
      <c r="AK585" s="111">
        <f t="shared" si="124"/>
        <v>55.76</v>
      </c>
      <c r="AL585" s="446">
        <f t="shared" si="125"/>
        <v>0</v>
      </c>
      <c r="AM585" s="110">
        <f t="shared" si="126"/>
        <v>2</v>
      </c>
      <c r="AN585" s="447">
        <f t="shared" si="122"/>
        <v>0</v>
      </c>
      <c r="AO585"/>
      <c r="AP585"/>
    </row>
    <row r="586" spans="1:42" ht="66" x14ac:dyDescent="0.25">
      <c r="A586" s="9"/>
      <c r="B586" s="227" t="s">
        <v>2498</v>
      </c>
      <c r="C586" s="1024"/>
      <c r="D586" s="878">
        <v>4</v>
      </c>
      <c r="E586" s="1025" t="s">
        <v>1721</v>
      </c>
      <c r="F586" s="273" t="s">
        <v>3446</v>
      </c>
      <c r="G586" s="1040" t="s">
        <v>3463</v>
      </c>
      <c r="H586" s="273" t="s">
        <v>3462</v>
      </c>
      <c r="I586" s="720">
        <f t="shared" si="127"/>
        <v>30.32</v>
      </c>
      <c r="J586" s="756">
        <v>121.28</v>
      </c>
      <c r="K586" s="131">
        <f t="shared" si="121"/>
        <v>121.28</v>
      </c>
      <c r="L586" s="335">
        <f t="shared" si="123"/>
        <v>0</v>
      </c>
      <c r="M586" s="446"/>
      <c r="N586" s="446"/>
      <c r="O586" s="446"/>
      <c r="P586" s="446"/>
      <c r="Q586" s="110">
        <f t="shared" ref="Q586:Q639" si="132">+$D586/4</f>
        <v>1</v>
      </c>
      <c r="R586" s="111">
        <f t="shared" si="128"/>
        <v>30.32</v>
      </c>
      <c r="S586" s="110"/>
      <c r="T586" s="110"/>
      <c r="U586" s="110">
        <f t="shared" ref="U586:U639" si="133">+$D586/4</f>
        <v>1</v>
      </c>
      <c r="V586" s="111">
        <f t="shared" si="129"/>
        <v>30.32</v>
      </c>
      <c r="W586" s="110"/>
      <c r="X586" s="110"/>
      <c r="Y586" s="110"/>
      <c r="Z586" s="110"/>
      <c r="AA586" s="110">
        <f t="shared" ref="AA586:AE639" si="134">+$D586/4</f>
        <v>1</v>
      </c>
      <c r="AB586" s="111">
        <f t="shared" si="130"/>
        <v>30.32</v>
      </c>
      <c r="AC586" s="110"/>
      <c r="AD586" s="110"/>
      <c r="AE586" s="110">
        <f t="shared" si="134"/>
        <v>1</v>
      </c>
      <c r="AF586" s="111">
        <f t="shared" si="131"/>
        <v>30.32</v>
      </c>
      <c r="AG586" s="110"/>
      <c r="AH586" s="110"/>
      <c r="AI586" s="110"/>
      <c r="AJ586" s="110"/>
      <c r="AK586" s="111">
        <f t="shared" si="124"/>
        <v>121.28</v>
      </c>
      <c r="AL586" s="446">
        <f t="shared" si="125"/>
        <v>0</v>
      </c>
      <c r="AM586" s="110">
        <f t="shared" si="126"/>
        <v>4</v>
      </c>
      <c r="AN586" s="447">
        <f t="shared" si="122"/>
        <v>0</v>
      </c>
      <c r="AO586"/>
      <c r="AP586"/>
    </row>
    <row r="587" spans="1:42" ht="66" x14ac:dyDescent="0.25">
      <c r="A587" s="9"/>
      <c r="B587" s="493" t="s">
        <v>2499</v>
      </c>
      <c r="C587" s="1024"/>
      <c r="D587" s="874">
        <v>3</v>
      </c>
      <c r="E587" s="1025" t="s">
        <v>1721</v>
      </c>
      <c r="F587" s="273" t="s">
        <v>3446</v>
      </c>
      <c r="G587" s="1040" t="s">
        <v>3463</v>
      </c>
      <c r="H587" s="273" t="s">
        <v>3462</v>
      </c>
      <c r="I587" s="720">
        <f t="shared" si="127"/>
        <v>275.62</v>
      </c>
      <c r="J587" s="756">
        <v>826.86</v>
      </c>
      <c r="K587" s="131">
        <f t="shared" si="121"/>
        <v>826.86</v>
      </c>
      <c r="L587" s="335">
        <f t="shared" si="123"/>
        <v>0</v>
      </c>
      <c r="M587" s="446"/>
      <c r="N587" s="446"/>
      <c r="O587" s="446"/>
      <c r="P587" s="446"/>
      <c r="Q587" s="130">
        <v>1</v>
      </c>
      <c r="R587" s="111">
        <v>275.62</v>
      </c>
      <c r="S587" s="110"/>
      <c r="T587" s="110"/>
      <c r="U587" s="130">
        <v>1</v>
      </c>
      <c r="V587" s="111">
        <v>275.62</v>
      </c>
      <c r="W587" s="110"/>
      <c r="X587" s="110"/>
      <c r="Y587" s="110"/>
      <c r="Z587" s="110"/>
      <c r="AA587" s="130">
        <v>1</v>
      </c>
      <c r="AB587" s="111">
        <v>275.62</v>
      </c>
      <c r="AC587" s="110"/>
      <c r="AD587" s="110"/>
      <c r="AE587" s="130">
        <v>0</v>
      </c>
      <c r="AF587" s="111">
        <v>0</v>
      </c>
      <c r="AG587" s="110"/>
      <c r="AH587" s="110"/>
      <c r="AI587" s="110"/>
      <c r="AJ587" s="110"/>
      <c r="AK587" s="111">
        <f t="shared" si="124"/>
        <v>826.86</v>
      </c>
      <c r="AL587" s="446">
        <f t="shared" si="125"/>
        <v>0</v>
      </c>
      <c r="AM587" s="110">
        <f t="shared" si="126"/>
        <v>3</v>
      </c>
      <c r="AN587" s="447">
        <f t="shared" si="122"/>
        <v>0</v>
      </c>
      <c r="AO587"/>
      <c r="AP587"/>
    </row>
    <row r="588" spans="1:42" ht="66" x14ac:dyDescent="0.25">
      <c r="A588" s="9"/>
      <c r="B588" s="34" t="s">
        <v>20</v>
      </c>
      <c r="C588" s="1024"/>
      <c r="D588" s="869">
        <v>30</v>
      </c>
      <c r="E588" s="250" t="s">
        <v>1722</v>
      </c>
      <c r="F588" s="273" t="s">
        <v>3446</v>
      </c>
      <c r="G588" s="1040" t="s">
        <v>3463</v>
      </c>
      <c r="H588" s="273" t="s">
        <v>3462</v>
      </c>
      <c r="I588" s="720">
        <f t="shared" si="127"/>
        <v>49.4</v>
      </c>
      <c r="J588" s="756">
        <v>1482</v>
      </c>
      <c r="K588" s="131">
        <f t="shared" si="121"/>
        <v>1482</v>
      </c>
      <c r="L588" s="335">
        <f t="shared" si="123"/>
        <v>0</v>
      </c>
      <c r="M588" s="446"/>
      <c r="N588" s="446"/>
      <c r="O588" s="446"/>
      <c r="P588" s="446"/>
      <c r="Q588" s="110">
        <v>8</v>
      </c>
      <c r="R588" s="111">
        <f t="shared" si="128"/>
        <v>370.5</v>
      </c>
      <c r="S588" s="110"/>
      <c r="T588" s="110"/>
      <c r="U588" s="110">
        <v>8</v>
      </c>
      <c r="V588" s="111">
        <f t="shared" si="129"/>
        <v>370.5</v>
      </c>
      <c r="W588" s="110"/>
      <c r="X588" s="110"/>
      <c r="Y588" s="110"/>
      <c r="Z588" s="110"/>
      <c r="AA588" s="110">
        <v>7</v>
      </c>
      <c r="AB588" s="111">
        <f t="shared" si="130"/>
        <v>370.5</v>
      </c>
      <c r="AC588" s="110"/>
      <c r="AD588" s="110"/>
      <c r="AE588" s="110">
        <v>7</v>
      </c>
      <c r="AF588" s="111">
        <f t="shared" si="131"/>
        <v>370.5</v>
      </c>
      <c r="AG588" s="110"/>
      <c r="AH588" s="110"/>
      <c r="AI588" s="110"/>
      <c r="AJ588" s="110"/>
      <c r="AK588" s="111">
        <f t="shared" si="124"/>
        <v>1482</v>
      </c>
      <c r="AL588" s="446">
        <f t="shared" si="125"/>
        <v>0</v>
      </c>
      <c r="AM588" s="110">
        <f t="shared" si="126"/>
        <v>30</v>
      </c>
      <c r="AN588" s="447">
        <f t="shared" si="122"/>
        <v>0</v>
      </c>
      <c r="AO588"/>
      <c r="AP588"/>
    </row>
    <row r="589" spans="1:42" ht="66" x14ac:dyDescent="0.25">
      <c r="A589" s="9"/>
      <c r="B589" s="34" t="s">
        <v>21</v>
      </c>
      <c r="C589" s="1024"/>
      <c r="D589" s="869">
        <v>20</v>
      </c>
      <c r="E589" s="250" t="s">
        <v>1722</v>
      </c>
      <c r="F589" s="273" t="s">
        <v>3446</v>
      </c>
      <c r="G589" s="1040" t="s">
        <v>3463</v>
      </c>
      <c r="H589" s="273" t="s">
        <v>3462</v>
      </c>
      <c r="I589" s="720">
        <f t="shared" si="127"/>
        <v>49.4</v>
      </c>
      <c r="J589" s="756">
        <v>988</v>
      </c>
      <c r="K589" s="131">
        <f t="shared" si="121"/>
        <v>988</v>
      </c>
      <c r="L589" s="335">
        <f t="shared" si="123"/>
        <v>0</v>
      </c>
      <c r="M589" s="446"/>
      <c r="N589" s="446"/>
      <c r="O589" s="446"/>
      <c r="P589" s="446"/>
      <c r="Q589" s="110">
        <f t="shared" si="132"/>
        <v>5</v>
      </c>
      <c r="R589" s="111">
        <f t="shared" si="128"/>
        <v>247</v>
      </c>
      <c r="S589" s="110"/>
      <c r="T589" s="110"/>
      <c r="U589" s="110">
        <f t="shared" si="133"/>
        <v>5</v>
      </c>
      <c r="V589" s="111">
        <f t="shared" si="129"/>
        <v>247</v>
      </c>
      <c r="W589" s="110"/>
      <c r="X589" s="110"/>
      <c r="Y589" s="110"/>
      <c r="Z589" s="110"/>
      <c r="AA589" s="110">
        <f t="shared" si="134"/>
        <v>5</v>
      </c>
      <c r="AB589" s="111">
        <f t="shared" si="130"/>
        <v>247</v>
      </c>
      <c r="AC589" s="110"/>
      <c r="AD589" s="110"/>
      <c r="AE589" s="110">
        <f t="shared" si="134"/>
        <v>5</v>
      </c>
      <c r="AF589" s="111">
        <f t="shared" si="131"/>
        <v>247</v>
      </c>
      <c r="AG589" s="110"/>
      <c r="AH589" s="110"/>
      <c r="AI589" s="110"/>
      <c r="AJ589" s="110"/>
      <c r="AK589" s="111">
        <f t="shared" si="124"/>
        <v>988</v>
      </c>
      <c r="AL589" s="446">
        <f t="shared" si="125"/>
        <v>0</v>
      </c>
      <c r="AM589" s="110">
        <f t="shared" si="126"/>
        <v>20</v>
      </c>
      <c r="AN589" s="447">
        <f t="shared" si="122"/>
        <v>0</v>
      </c>
      <c r="AO589"/>
      <c r="AP589"/>
    </row>
    <row r="590" spans="1:42" ht="66" x14ac:dyDescent="0.25">
      <c r="A590" s="9"/>
      <c r="B590" s="34" t="s">
        <v>28</v>
      </c>
      <c r="C590" s="1024"/>
      <c r="D590" s="869">
        <v>2</v>
      </c>
      <c r="E590" s="250" t="s">
        <v>1723</v>
      </c>
      <c r="F590" s="273" t="s">
        <v>3446</v>
      </c>
      <c r="G590" s="1040" t="s">
        <v>3463</v>
      </c>
      <c r="H590" s="273" t="s">
        <v>3462</v>
      </c>
      <c r="I590" s="720">
        <f t="shared" si="127"/>
        <v>164.68</v>
      </c>
      <c r="J590" s="756">
        <v>329.36</v>
      </c>
      <c r="K590" s="131">
        <f t="shared" si="121"/>
        <v>329.36</v>
      </c>
      <c r="L590" s="335">
        <f t="shared" si="123"/>
        <v>0</v>
      </c>
      <c r="M590" s="446"/>
      <c r="N590" s="446"/>
      <c r="O590" s="446"/>
      <c r="P590" s="446"/>
      <c r="Q590" s="130">
        <v>1</v>
      </c>
      <c r="R590" s="111">
        <v>164.68</v>
      </c>
      <c r="S590" s="110"/>
      <c r="T590" s="110"/>
      <c r="U590" s="130">
        <v>1</v>
      </c>
      <c r="V590" s="111">
        <v>164.68</v>
      </c>
      <c r="W590" s="110"/>
      <c r="X590" s="110"/>
      <c r="Y590" s="110"/>
      <c r="Z590" s="110"/>
      <c r="AA590" s="130">
        <v>0</v>
      </c>
      <c r="AB590" s="111">
        <v>0</v>
      </c>
      <c r="AC590" s="110"/>
      <c r="AD590" s="110"/>
      <c r="AE590" s="130">
        <v>0</v>
      </c>
      <c r="AF590" s="111">
        <v>0</v>
      </c>
      <c r="AG590" s="110"/>
      <c r="AH590" s="110"/>
      <c r="AI590" s="110"/>
      <c r="AJ590" s="110"/>
      <c r="AK590" s="111">
        <f t="shared" si="124"/>
        <v>329.36</v>
      </c>
      <c r="AL590" s="446">
        <f t="shared" si="125"/>
        <v>0</v>
      </c>
      <c r="AM590" s="110">
        <f t="shared" si="126"/>
        <v>2</v>
      </c>
      <c r="AN590" s="447">
        <f t="shared" si="122"/>
        <v>0</v>
      </c>
      <c r="AO590"/>
      <c r="AP590"/>
    </row>
    <row r="591" spans="1:42" ht="66" x14ac:dyDescent="0.25">
      <c r="A591" s="9"/>
      <c r="B591" s="34" t="s">
        <v>35</v>
      </c>
      <c r="C591" s="1024"/>
      <c r="D591" s="869">
        <v>12</v>
      </c>
      <c r="E591" s="250" t="s">
        <v>1723</v>
      </c>
      <c r="F591" s="273" t="s">
        <v>3446</v>
      </c>
      <c r="G591" s="1040" t="s">
        <v>3463</v>
      </c>
      <c r="H591" s="273" t="s">
        <v>3462</v>
      </c>
      <c r="I591" s="720">
        <f t="shared" si="127"/>
        <v>23.84</v>
      </c>
      <c r="J591" s="756">
        <v>286.08</v>
      </c>
      <c r="K591" s="131">
        <f t="shared" ref="K591:K654" si="135">+D591*I591</f>
        <v>286.08</v>
      </c>
      <c r="L591" s="335">
        <f t="shared" si="123"/>
        <v>0</v>
      </c>
      <c r="M591" s="446"/>
      <c r="N591" s="446"/>
      <c r="O591" s="446"/>
      <c r="P591" s="446"/>
      <c r="Q591" s="110">
        <f t="shared" si="132"/>
        <v>3</v>
      </c>
      <c r="R591" s="111">
        <f t="shared" si="128"/>
        <v>71.52</v>
      </c>
      <c r="S591" s="110"/>
      <c r="T591" s="110"/>
      <c r="U591" s="110">
        <f t="shared" si="133"/>
        <v>3</v>
      </c>
      <c r="V591" s="111">
        <f t="shared" si="129"/>
        <v>71.52</v>
      </c>
      <c r="W591" s="110"/>
      <c r="X591" s="110"/>
      <c r="Y591" s="110"/>
      <c r="Z591" s="110"/>
      <c r="AA591" s="110">
        <f t="shared" si="134"/>
        <v>3</v>
      </c>
      <c r="AB591" s="111">
        <f t="shared" si="130"/>
        <v>71.52</v>
      </c>
      <c r="AC591" s="110"/>
      <c r="AD591" s="110"/>
      <c r="AE591" s="110">
        <f t="shared" si="134"/>
        <v>3</v>
      </c>
      <c r="AF591" s="111">
        <f t="shared" si="131"/>
        <v>71.52</v>
      </c>
      <c r="AG591" s="110"/>
      <c r="AH591" s="110"/>
      <c r="AI591" s="110"/>
      <c r="AJ591" s="110"/>
      <c r="AK591" s="111">
        <f t="shared" si="124"/>
        <v>286.08</v>
      </c>
      <c r="AL591" s="446">
        <f t="shared" si="125"/>
        <v>0</v>
      </c>
      <c r="AM591" s="110">
        <f t="shared" si="126"/>
        <v>12</v>
      </c>
      <c r="AN591" s="447">
        <f t="shared" ref="AN591:AN654" si="136">+D591-AM591</f>
        <v>0</v>
      </c>
      <c r="AO591"/>
      <c r="AP591"/>
    </row>
    <row r="592" spans="1:42" ht="66" x14ac:dyDescent="0.25">
      <c r="A592" s="9"/>
      <c r="B592" s="34" t="s">
        <v>32</v>
      </c>
      <c r="C592" s="1024"/>
      <c r="D592" s="869">
        <v>12</v>
      </c>
      <c r="E592" s="250" t="s">
        <v>1723</v>
      </c>
      <c r="F592" s="273" t="s">
        <v>3446</v>
      </c>
      <c r="G592" s="1040" t="s">
        <v>3463</v>
      </c>
      <c r="H592" s="273" t="s">
        <v>3462</v>
      </c>
      <c r="I592" s="720">
        <f t="shared" si="127"/>
        <v>23.84</v>
      </c>
      <c r="J592" s="756">
        <v>286.08</v>
      </c>
      <c r="K592" s="131">
        <f t="shared" si="135"/>
        <v>286.08</v>
      </c>
      <c r="L592" s="335">
        <f t="shared" ref="L592:L655" si="137">+J592-K592</f>
        <v>0</v>
      </c>
      <c r="M592" s="446"/>
      <c r="N592" s="446"/>
      <c r="O592" s="446"/>
      <c r="P592" s="446"/>
      <c r="Q592" s="110">
        <f t="shared" si="132"/>
        <v>3</v>
      </c>
      <c r="R592" s="111">
        <f t="shared" si="128"/>
        <v>71.52</v>
      </c>
      <c r="S592" s="110"/>
      <c r="T592" s="110"/>
      <c r="U592" s="110">
        <f t="shared" si="133"/>
        <v>3</v>
      </c>
      <c r="V592" s="111">
        <f t="shared" si="129"/>
        <v>71.52</v>
      </c>
      <c r="W592" s="110"/>
      <c r="X592" s="110"/>
      <c r="Y592" s="110"/>
      <c r="Z592" s="110"/>
      <c r="AA592" s="110">
        <f t="shared" si="134"/>
        <v>3</v>
      </c>
      <c r="AB592" s="111">
        <f t="shared" si="130"/>
        <v>71.52</v>
      </c>
      <c r="AC592" s="110"/>
      <c r="AD592" s="110"/>
      <c r="AE592" s="110">
        <f t="shared" si="134"/>
        <v>3</v>
      </c>
      <c r="AF592" s="111">
        <f t="shared" si="131"/>
        <v>71.52</v>
      </c>
      <c r="AG592" s="110"/>
      <c r="AH592" s="110"/>
      <c r="AI592" s="110"/>
      <c r="AJ592" s="110"/>
      <c r="AK592" s="111">
        <f t="shared" ref="AK592:AK655" si="138">+R592+V592+AB592+AF592</f>
        <v>286.08</v>
      </c>
      <c r="AL592" s="446">
        <f t="shared" ref="AL592:AL655" si="139">+J592-AK592</f>
        <v>0</v>
      </c>
      <c r="AM592" s="110">
        <f t="shared" ref="AM592:AM655" si="140">+Q592+U592+AA592+AE592</f>
        <v>12</v>
      </c>
      <c r="AN592" s="447">
        <f t="shared" si="136"/>
        <v>0</v>
      </c>
      <c r="AO592"/>
      <c r="AP592"/>
    </row>
    <row r="593" spans="1:42" ht="66" x14ac:dyDescent="0.25">
      <c r="A593" s="9"/>
      <c r="B593" s="34" t="s">
        <v>48</v>
      </c>
      <c r="C593" s="1024"/>
      <c r="D593" s="869">
        <v>20</v>
      </c>
      <c r="E593" s="250" t="s">
        <v>1722</v>
      </c>
      <c r="F593" s="273" t="s">
        <v>3446</v>
      </c>
      <c r="G593" s="1040" t="s">
        <v>3463</v>
      </c>
      <c r="H593" s="273" t="s">
        <v>3462</v>
      </c>
      <c r="I593" s="720">
        <f t="shared" si="127"/>
        <v>41.34</v>
      </c>
      <c r="J593" s="756">
        <v>826.80000000000007</v>
      </c>
      <c r="K593" s="131">
        <f t="shared" si="135"/>
        <v>826.80000000000007</v>
      </c>
      <c r="L593" s="335">
        <f t="shared" si="137"/>
        <v>0</v>
      </c>
      <c r="M593" s="446"/>
      <c r="N593" s="446"/>
      <c r="O593" s="446"/>
      <c r="P593" s="446"/>
      <c r="Q593" s="110">
        <f t="shared" si="132"/>
        <v>5</v>
      </c>
      <c r="R593" s="111">
        <f t="shared" si="128"/>
        <v>206.70000000000002</v>
      </c>
      <c r="S593" s="110"/>
      <c r="T593" s="110"/>
      <c r="U593" s="110">
        <f t="shared" si="133"/>
        <v>5</v>
      </c>
      <c r="V593" s="111">
        <f t="shared" si="129"/>
        <v>206.70000000000002</v>
      </c>
      <c r="W593" s="110"/>
      <c r="X593" s="110"/>
      <c r="Y593" s="110"/>
      <c r="Z593" s="110"/>
      <c r="AA593" s="110">
        <f t="shared" si="134"/>
        <v>5</v>
      </c>
      <c r="AB593" s="111">
        <f t="shared" si="130"/>
        <v>206.70000000000002</v>
      </c>
      <c r="AC593" s="110"/>
      <c r="AD593" s="110"/>
      <c r="AE593" s="110">
        <f t="shared" si="134"/>
        <v>5</v>
      </c>
      <c r="AF593" s="111">
        <f t="shared" si="131"/>
        <v>206.70000000000002</v>
      </c>
      <c r="AG593" s="110"/>
      <c r="AH593" s="110"/>
      <c r="AI593" s="110"/>
      <c r="AJ593" s="110"/>
      <c r="AK593" s="111">
        <f t="shared" si="138"/>
        <v>826.80000000000007</v>
      </c>
      <c r="AL593" s="446">
        <f t="shared" si="139"/>
        <v>0</v>
      </c>
      <c r="AM593" s="110">
        <f t="shared" si="140"/>
        <v>20</v>
      </c>
      <c r="AN593" s="447">
        <f t="shared" si="136"/>
        <v>0</v>
      </c>
      <c r="AO593"/>
      <c r="AP593"/>
    </row>
    <row r="594" spans="1:42" ht="66" x14ac:dyDescent="0.25">
      <c r="A594" s="9"/>
      <c r="B594" s="34" t="s">
        <v>40</v>
      </c>
      <c r="C594" s="1024"/>
      <c r="D594" s="869">
        <v>5</v>
      </c>
      <c r="E594" s="250" t="s">
        <v>1723</v>
      </c>
      <c r="F594" s="273" t="s">
        <v>3446</v>
      </c>
      <c r="G594" s="1040" t="s">
        <v>3463</v>
      </c>
      <c r="H594" s="273" t="s">
        <v>3462</v>
      </c>
      <c r="I594" s="720">
        <f t="shared" si="127"/>
        <v>19.29</v>
      </c>
      <c r="J594" s="756">
        <v>96.449999999999989</v>
      </c>
      <c r="K594" s="131">
        <f t="shared" si="135"/>
        <v>96.449999999999989</v>
      </c>
      <c r="L594" s="335">
        <f t="shared" si="137"/>
        <v>0</v>
      </c>
      <c r="M594" s="446"/>
      <c r="N594" s="446"/>
      <c r="O594" s="446"/>
      <c r="P594" s="446"/>
      <c r="Q594" s="110">
        <v>2</v>
      </c>
      <c r="R594" s="111">
        <f t="shared" si="128"/>
        <v>24.112499999999997</v>
      </c>
      <c r="S594" s="110"/>
      <c r="T594" s="110"/>
      <c r="U594" s="110">
        <v>1</v>
      </c>
      <c r="V594" s="111">
        <f t="shared" si="129"/>
        <v>24.112499999999997</v>
      </c>
      <c r="W594" s="110"/>
      <c r="X594" s="110"/>
      <c r="Y594" s="110"/>
      <c r="Z594" s="110"/>
      <c r="AA594" s="110">
        <v>1</v>
      </c>
      <c r="AB594" s="111">
        <f t="shared" si="130"/>
        <v>24.112499999999997</v>
      </c>
      <c r="AC594" s="110"/>
      <c r="AD594" s="110"/>
      <c r="AE594" s="110">
        <v>1</v>
      </c>
      <c r="AF594" s="111">
        <f t="shared" si="131"/>
        <v>24.112499999999997</v>
      </c>
      <c r="AG594" s="110"/>
      <c r="AH594" s="110"/>
      <c r="AI594" s="110"/>
      <c r="AJ594" s="110"/>
      <c r="AK594" s="111">
        <f t="shared" si="138"/>
        <v>96.449999999999989</v>
      </c>
      <c r="AL594" s="446">
        <f t="shared" si="139"/>
        <v>0</v>
      </c>
      <c r="AM594" s="110">
        <f t="shared" si="140"/>
        <v>5</v>
      </c>
      <c r="AN594" s="447">
        <f t="shared" si="136"/>
        <v>0</v>
      </c>
      <c r="AO594"/>
      <c r="AP594"/>
    </row>
    <row r="595" spans="1:42" ht="66" x14ac:dyDescent="0.25">
      <c r="A595" s="9"/>
      <c r="B595" s="34" t="s">
        <v>52</v>
      </c>
      <c r="C595" s="1024"/>
      <c r="D595" s="869">
        <v>5</v>
      </c>
      <c r="E595" s="250" t="s">
        <v>1723</v>
      </c>
      <c r="F595" s="273" t="s">
        <v>3446</v>
      </c>
      <c r="G595" s="1040" t="s">
        <v>3463</v>
      </c>
      <c r="H595" s="273" t="s">
        <v>3462</v>
      </c>
      <c r="I595" s="720">
        <f t="shared" si="127"/>
        <v>19.43</v>
      </c>
      <c r="J595" s="756">
        <v>97.15</v>
      </c>
      <c r="K595" s="131">
        <f t="shared" si="135"/>
        <v>97.15</v>
      </c>
      <c r="L595" s="335">
        <f t="shared" si="137"/>
        <v>0</v>
      </c>
      <c r="M595" s="446"/>
      <c r="N595" s="446"/>
      <c r="O595" s="446"/>
      <c r="P595" s="446"/>
      <c r="Q595" s="110">
        <v>2</v>
      </c>
      <c r="R595" s="111">
        <f t="shared" si="128"/>
        <v>24.287500000000001</v>
      </c>
      <c r="S595" s="110"/>
      <c r="T595" s="110"/>
      <c r="U595" s="110">
        <v>1</v>
      </c>
      <c r="V595" s="111">
        <f t="shared" si="129"/>
        <v>24.287500000000001</v>
      </c>
      <c r="W595" s="110"/>
      <c r="X595" s="110"/>
      <c r="Y595" s="110"/>
      <c r="Z595" s="110"/>
      <c r="AA595" s="110">
        <v>1</v>
      </c>
      <c r="AB595" s="111">
        <f t="shared" si="130"/>
        <v>24.287500000000001</v>
      </c>
      <c r="AC595" s="110"/>
      <c r="AD595" s="110"/>
      <c r="AE595" s="110">
        <v>1</v>
      </c>
      <c r="AF595" s="111">
        <f t="shared" si="131"/>
        <v>24.287500000000001</v>
      </c>
      <c r="AG595" s="110"/>
      <c r="AH595" s="110"/>
      <c r="AI595" s="110"/>
      <c r="AJ595" s="110"/>
      <c r="AK595" s="111">
        <f t="shared" si="138"/>
        <v>97.15</v>
      </c>
      <c r="AL595" s="446">
        <f t="shared" si="139"/>
        <v>0</v>
      </c>
      <c r="AM595" s="110">
        <f t="shared" si="140"/>
        <v>5</v>
      </c>
      <c r="AN595" s="447">
        <f t="shared" si="136"/>
        <v>0</v>
      </c>
      <c r="AO595"/>
      <c r="AP595"/>
    </row>
    <row r="596" spans="1:42" ht="66" x14ac:dyDescent="0.25">
      <c r="A596" s="9"/>
      <c r="B596" s="34" t="s">
        <v>1715</v>
      </c>
      <c r="C596" s="1024"/>
      <c r="D596" s="869">
        <v>5</v>
      </c>
      <c r="E596" s="250" t="s">
        <v>1723</v>
      </c>
      <c r="F596" s="273" t="s">
        <v>3446</v>
      </c>
      <c r="G596" s="1040" t="s">
        <v>3463</v>
      </c>
      <c r="H596" s="273" t="s">
        <v>3462</v>
      </c>
      <c r="I596" s="720">
        <f t="shared" si="127"/>
        <v>96.47</v>
      </c>
      <c r="J596" s="756">
        <v>482.35</v>
      </c>
      <c r="K596" s="131">
        <f t="shared" si="135"/>
        <v>482.35</v>
      </c>
      <c r="L596" s="335">
        <f t="shared" si="137"/>
        <v>0</v>
      </c>
      <c r="M596" s="446"/>
      <c r="N596" s="446"/>
      <c r="O596" s="446"/>
      <c r="P596" s="446"/>
      <c r="Q596" s="110">
        <v>2</v>
      </c>
      <c r="R596" s="111">
        <f t="shared" si="128"/>
        <v>120.58750000000001</v>
      </c>
      <c r="S596" s="110"/>
      <c r="T596" s="110"/>
      <c r="U596" s="110">
        <v>1</v>
      </c>
      <c r="V596" s="111">
        <f t="shared" si="129"/>
        <v>120.58750000000001</v>
      </c>
      <c r="W596" s="110"/>
      <c r="X596" s="110"/>
      <c r="Y596" s="110"/>
      <c r="Z596" s="110"/>
      <c r="AA596" s="110">
        <v>1</v>
      </c>
      <c r="AB596" s="111">
        <f t="shared" si="130"/>
        <v>120.58750000000001</v>
      </c>
      <c r="AC596" s="110"/>
      <c r="AD596" s="110"/>
      <c r="AE596" s="110">
        <v>1</v>
      </c>
      <c r="AF596" s="111">
        <f t="shared" si="131"/>
        <v>120.58750000000001</v>
      </c>
      <c r="AG596" s="110"/>
      <c r="AH596" s="110"/>
      <c r="AI596" s="110"/>
      <c r="AJ596" s="110"/>
      <c r="AK596" s="111">
        <f t="shared" si="138"/>
        <v>482.35</v>
      </c>
      <c r="AL596" s="446">
        <f t="shared" si="139"/>
        <v>0</v>
      </c>
      <c r="AM596" s="110">
        <f t="shared" si="140"/>
        <v>5</v>
      </c>
      <c r="AN596" s="447">
        <f t="shared" si="136"/>
        <v>0</v>
      </c>
      <c r="AO596"/>
      <c r="AP596"/>
    </row>
    <row r="597" spans="1:42" ht="66" x14ac:dyDescent="0.25">
      <c r="A597" s="9"/>
      <c r="B597" s="34" t="s">
        <v>57</v>
      </c>
      <c r="C597" s="1024"/>
      <c r="D597" s="869">
        <v>20</v>
      </c>
      <c r="E597" s="250" t="s">
        <v>1722</v>
      </c>
      <c r="F597" s="273" t="s">
        <v>3446</v>
      </c>
      <c r="G597" s="1040" t="s">
        <v>3463</v>
      </c>
      <c r="H597" s="273" t="s">
        <v>3462</v>
      </c>
      <c r="I597" s="720">
        <f t="shared" si="127"/>
        <v>31.28</v>
      </c>
      <c r="J597" s="756">
        <v>625.6</v>
      </c>
      <c r="K597" s="131">
        <f t="shared" si="135"/>
        <v>625.6</v>
      </c>
      <c r="L597" s="335">
        <f t="shared" si="137"/>
        <v>0</v>
      </c>
      <c r="M597" s="446"/>
      <c r="N597" s="446"/>
      <c r="O597" s="446"/>
      <c r="P597" s="446"/>
      <c r="Q597" s="110">
        <f t="shared" si="132"/>
        <v>5</v>
      </c>
      <c r="R597" s="111">
        <f t="shared" si="128"/>
        <v>156.4</v>
      </c>
      <c r="S597" s="110"/>
      <c r="T597" s="110"/>
      <c r="U597" s="110">
        <f t="shared" si="133"/>
        <v>5</v>
      </c>
      <c r="V597" s="111">
        <f t="shared" si="129"/>
        <v>156.4</v>
      </c>
      <c r="W597" s="110"/>
      <c r="X597" s="110"/>
      <c r="Y597" s="110"/>
      <c r="Z597" s="110"/>
      <c r="AA597" s="110">
        <f t="shared" si="134"/>
        <v>5</v>
      </c>
      <c r="AB597" s="111">
        <f t="shared" si="130"/>
        <v>156.4</v>
      </c>
      <c r="AC597" s="110"/>
      <c r="AD597" s="110"/>
      <c r="AE597" s="110">
        <f t="shared" si="134"/>
        <v>5</v>
      </c>
      <c r="AF597" s="111">
        <f t="shared" si="131"/>
        <v>156.4</v>
      </c>
      <c r="AG597" s="110"/>
      <c r="AH597" s="110"/>
      <c r="AI597" s="110"/>
      <c r="AJ597" s="110"/>
      <c r="AK597" s="111">
        <f t="shared" si="138"/>
        <v>625.6</v>
      </c>
      <c r="AL597" s="446">
        <f t="shared" si="139"/>
        <v>0</v>
      </c>
      <c r="AM597" s="110">
        <f t="shared" si="140"/>
        <v>20</v>
      </c>
      <c r="AN597" s="447">
        <f t="shared" si="136"/>
        <v>0</v>
      </c>
      <c r="AO597"/>
      <c r="AP597"/>
    </row>
    <row r="598" spans="1:42" ht="66" x14ac:dyDescent="0.25">
      <c r="A598" s="9"/>
      <c r="B598" s="34" t="s">
        <v>59</v>
      </c>
      <c r="C598" s="1024"/>
      <c r="D598" s="869">
        <v>12</v>
      </c>
      <c r="E598" s="250" t="s">
        <v>1722</v>
      </c>
      <c r="F598" s="273" t="s">
        <v>3446</v>
      </c>
      <c r="G598" s="1040" t="s">
        <v>3463</v>
      </c>
      <c r="H598" s="273" t="s">
        <v>3462</v>
      </c>
      <c r="I598" s="720">
        <f t="shared" si="127"/>
        <v>34.450000000000003</v>
      </c>
      <c r="J598" s="756">
        <v>413.40000000000003</v>
      </c>
      <c r="K598" s="131">
        <f t="shared" si="135"/>
        <v>413.40000000000003</v>
      </c>
      <c r="L598" s="335">
        <f t="shared" si="137"/>
        <v>0</v>
      </c>
      <c r="M598" s="446"/>
      <c r="N598" s="446"/>
      <c r="O598" s="446"/>
      <c r="P598" s="446"/>
      <c r="Q598" s="110">
        <f t="shared" si="132"/>
        <v>3</v>
      </c>
      <c r="R598" s="111">
        <f t="shared" si="128"/>
        <v>103.35000000000001</v>
      </c>
      <c r="S598" s="110"/>
      <c r="T598" s="110"/>
      <c r="U598" s="110">
        <f t="shared" si="133"/>
        <v>3</v>
      </c>
      <c r="V598" s="111">
        <f t="shared" si="129"/>
        <v>103.35000000000001</v>
      </c>
      <c r="W598" s="110"/>
      <c r="X598" s="110"/>
      <c r="Y598" s="110"/>
      <c r="Z598" s="110"/>
      <c r="AA598" s="110">
        <f t="shared" si="134"/>
        <v>3</v>
      </c>
      <c r="AB598" s="111">
        <f t="shared" si="130"/>
        <v>103.35000000000001</v>
      </c>
      <c r="AC598" s="110"/>
      <c r="AD598" s="110"/>
      <c r="AE598" s="110">
        <f t="shared" si="134"/>
        <v>3</v>
      </c>
      <c r="AF598" s="111">
        <f t="shared" si="131"/>
        <v>103.35000000000001</v>
      </c>
      <c r="AG598" s="110"/>
      <c r="AH598" s="110"/>
      <c r="AI598" s="110"/>
      <c r="AJ598" s="110"/>
      <c r="AK598" s="111">
        <f t="shared" si="138"/>
        <v>413.40000000000003</v>
      </c>
      <c r="AL598" s="446">
        <f t="shared" si="139"/>
        <v>0</v>
      </c>
      <c r="AM598" s="110">
        <f t="shared" si="140"/>
        <v>12</v>
      </c>
      <c r="AN598" s="447">
        <f t="shared" si="136"/>
        <v>0</v>
      </c>
      <c r="AO598"/>
      <c r="AP598"/>
    </row>
    <row r="599" spans="1:42" ht="66" x14ac:dyDescent="0.25">
      <c r="A599" s="9"/>
      <c r="B599" s="34" t="s">
        <v>70</v>
      </c>
      <c r="C599" s="1024"/>
      <c r="D599" s="869">
        <v>5</v>
      </c>
      <c r="E599" s="250" t="s">
        <v>1723</v>
      </c>
      <c r="F599" s="273" t="s">
        <v>3446</v>
      </c>
      <c r="G599" s="1040" t="s">
        <v>3463</v>
      </c>
      <c r="H599" s="273" t="s">
        <v>3462</v>
      </c>
      <c r="I599" s="720">
        <f t="shared" si="127"/>
        <v>16.54</v>
      </c>
      <c r="J599" s="756">
        <v>82.699999999999989</v>
      </c>
      <c r="K599" s="131">
        <f t="shared" si="135"/>
        <v>82.699999999999989</v>
      </c>
      <c r="L599" s="335">
        <f t="shared" si="137"/>
        <v>0</v>
      </c>
      <c r="M599" s="446"/>
      <c r="N599" s="446"/>
      <c r="O599" s="446"/>
      <c r="P599" s="446"/>
      <c r="Q599" s="110">
        <v>2</v>
      </c>
      <c r="R599" s="111">
        <f t="shared" si="128"/>
        <v>20.674999999999997</v>
      </c>
      <c r="S599" s="110"/>
      <c r="T599" s="110"/>
      <c r="U599" s="110">
        <v>1</v>
      </c>
      <c r="V599" s="111">
        <f t="shared" si="129"/>
        <v>20.674999999999997</v>
      </c>
      <c r="W599" s="110"/>
      <c r="X599" s="110"/>
      <c r="Y599" s="110"/>
      <c r="Z599" s="110"/>
      <c r="AA599" s="110">
        <v>1</v>
      </c>
      <c r="AB599" s="111">
        <f t="shared" si="130"/>
        <v>20.674999999999997</v>
      </c>
      <c r="AC599" s="110"/>
      <c r="AD599" s="110"/>
      <c r="AE599" s="110">
        <v>1</v>
      </c>
      <c r="AF599" s="111">
        <f t="shared" si="131"/>
        <v>20.674999999999997</v>
      </c>
      <c r="AG599" s="110"/>
      <c r="AH599" s="110"/>
      <c r="AI599" s="110"/>
      <c r="AJ599" s="110"/>
      <c r="AK599" s="111">
        <f t="shared" si="138"/>
        <v>82.699999999999989</v>
      </c>
      <c r="AL599" s="446">
        <f t="shared" si="139"/>
        <v>0</v>
      </c>
      <c r="AM599" s="110">
        <f t="shared" si="140"/>
        <v>5</v>
      </c>
      <c r="AN599" s="447">
        <f t="shared" si="136"/>
        <v>0</v>
      </c>
      <c r="AO599"/>
      <c r="AP599"/>
    </row>
    <row r="600" spans="1:42" ht="66" x14ac:dyDescent="0.25">
      <c r="A600" s="9"/>
      <c r="B600" s="34" t="s">
        <v>217</v>
      </c>
      <c r="C600" s="1024"/>
      <c r="D600" s="869">
        <v>12</v>
      </c>
      <c r="E600" s="250" t="s">
        <v>1723</v>
      </c>
      <c r="F600" s="273" t="s">
        <v>3446</v>
      </c>
      <c r="G600" s="1040" t="s">
        <v>3463</v>
      </c>
      <c r="H600" s="273" t="s">
        <v>3462</v>
      </c>
      <c r="I600" s="720">
        <f t="shared" si="127"/>
        <v>28.570000000000004</v>
      </c>
      <c r="J600" s="756">
        <v>342.84000000000003</v>
      </c>
      <c r="K600" s="131">
        <f t="shared" si="135"/>
        <v>342.84000000000003</v>
      </c>
      <c r="L600" s="335">
        <f t="shared" si="137"/>
        <v>0</v>
      </c>
      <c r="M600" s="446"/>
      <c r="N600" s="446"/>
      <c r="O600" s="446"/>
      <c r="P600" s="446"/>
      <c r="Q600" s="110">
        <f t="shared" si="132"/>
        <v>3</v>
      </c>
      <c r="R600" s="111">
        <f t="shared" si="128"/>
        <v>85.710000000000008</v>
      </c>
      <c r="S600" s="110"/>
      <c r="T600" s="110"/>
      <c r="U600" s="110">
        <f t="shared" si="133"/>
        <v>3</v>
      </c>
      <c r="V600" s="111">
        <f t="shared" si="129"/>
        <v>85.710000000000008</v>
      </c>
      <c r="W600" s="110"/>
      <c r="X600" s="110"/>
      <c r="Y600" s="110"/>
      <c r="Z600" s="110"/>
      <c r="AA600" s="110">
        <f t="shared" si="134"/>
        <v>3</v>
      </c>
      <c r="AB600" s="111">
        <f t="shared" si="130"/>
        <v>85.710000000000008</v>
      </c>
      <c r="AC600" s="110"/>
      <c r="AD600" s="110"/>
      <c r="AE600" s="110">
        <f t="shared" si="134"/>
        <v>3</v>
      </c>
      <c r="AF600" s="111">
        <f t="shared" si="131"/>
        <v>85.710000000000008</v>
      </c>
      <c r="AG600" s="110"/>
      <c r="AH600" s="110"/>
      <c r="AI600" s="110"/>
      <c r="AJ600" s="110"/>
      <c r="AK600" s="111">
        <f t="shared" si="138"/>
        <v>342.84000000000003</v>
      </c>
      <c r="AL600" s="446">
        <f t="shared" si="139"/>
        <v>0</v>
      </c>
      <c r="AM600" s="110">
        <f t="shared" si="140"/>
        <v>12</v>
      </c>
      <c r="AN600" s="447">
        <f t="shared" si="136"/>
        <v>0</v>
      </c>
      <c r="AO600"/>
      <c r="AP600"/>
    </row>
    <row r="601" spans="1:42" ht="66" x14ac:dyDescent="0.25">
      <c r="A601" s="9"/>
      <c r="B601" s="34" t="s">
        <v>81</v>
      </c>
      <c r="C601" s="1024"/>
      <c r="D601" s="869">
        <v>10</v>
      </c>
      <c r="E601" s="250" t="s">
        <v>1723</v>
      </c>
      <c r="F601" s="273" t="s">
        <v>3446</v>
      </c>
      <c r="G601" s="1040" t="s">
        <v>3463</v>
      </c>
      <c r="H601" s="273" t="s">
        <v>3462</v>
      </c>
      <c r="I601" s="720">
        <f t="shared" si="127"/>
        <v>4.41</v>
      </c>
      <c r="J601" s="756">
        <v>44.1</v>
      </c>
      <c r="K601" s="131">
        <f t="shared" si="135"/>
        <v>44.1</v>
      </c>
      <c r="L601" s="335">
        <f t="shared" si="137"/>
        <v>0</v>
      </c>
      <c r="M601" s="446"/>
      <c r="N601" s="446"/>
      <c r="O601" s="446"/>
      <c r="P601" s="446"/>
      <c r="Q601" s="130">
        <v>3</v>
      </c>
      <c r="R601" s="111">
        <f t="shared" si="128"/>
        <v>11.025</v>
      </c>
      <c r="S601" s="110"/>
      <c r="T601" s="110"/>
      <c r="U601" s="130">
        <v>3</v>
      </c>
      <c r="V601" s="111">
        <f t="shared" si="129"/>
        <v>11.025</v>
      </c>
      <c r="W601" s="110"/>
      <c r="X601" s="110"/>
      <c r="Y601" s="110"/>
      <c r="Z601" s="110"/>
      <c r="AA601" s="130">
        <v>2</v>
      </c>
      <c r="AB601" s="111">
        <f t="shared" si="130"/>
        <v>11.025</v>
      </c>
      <c r="AC601" s="110"/>
      <c r="AD601" s="110"/>
      <c r="AE601" s="130">
        <v>2</v>
      </c>
      <c r="AF601" s="111">
        <f t="shared" si="131"/>
        <v>11.025</v>
      </c>
      <c r="AG601" s="110"/>
      <c r="AH601" s="110"/>
      <c r="AI601" s="110"/>
      <c r="AJ601" s="110"/>
      <c r="AK601" s="111">
        <f t="shared" si="138"/>
        <v>44.1</v>
      </c>
      <c r="AL601" s="446">
        <f t="shared" si="139"/>
        <v>0</v>
      </c>
      <c r="AM601" s="110">
        <f t="shared" si="140"/>
        <v>10</v>
      </c>
      <c r="AN601" s="447">
        <f t="shared" si="136"/>
        <v>0</v>
      </c>
      <c r="AO601"/>
      <c r="AP601"/>
    </row>
    <row r="602" spans="1:42" ht="66" x14ac:dyDescent="0.25">
      <c r="A602" s="9"/>
      <c r="B602" s="34" t="s">
        <v>95</v>
      </c>
      <c r="C602" s="1024"/>
      <c r="D602" s="869">
        <v>5</v>
      </c>
      <c r="E602" s="250" t="s">
        <v>1723</v>
      </c>
      <c r="F602" s="273" t="s">
        <v>3446</v>
      </c>
      <c r="G602" s="1040" t="s">
        <v>3463</v>
      </c>
      <c r="H602" s="273" t="s">
        <v>3462</v>
      </c>
      <c r="I602" s="720">
        <f t="shared" si="127"/>
        <v>37.21</v>
      </c>
      <c r="J602" s="756">
        <v>186.05</v>
      </c>
      <c r="K602" s="131">
        <f t="shared" si="135"/>
        <v>186.05</v>
      </c>
      <c r="L602" s="335">
        <f t="shared" si="137"/>
        <v>0</v>
      </c>
      <c r="M602" s="446"/>
      <c r="N602" s="446"/>
      <c r="O602" s="446"/>
      <c r="P602" s="446"/>
      <c r="Q602" s="110">
        <v>2</v>
      </c>
      <c r="R602" s="111">
        <f t="shared" si="128"/>
        <v>46.512500000000003</v>
      </c>
      <c r="S602" s="110"/>
      <c r="T602" s="110"/>
      <c r="U602" s="110">
        <v>1</v>
      </c>
      <c r="V602" s="111">
        <f t="shared" si="129"/>
        <v>46.512500000000003</v>
      </c>
      <c r="W602" s="110"/>
      <c r="X602" s="110"/>
      <c r="Y602" s="110"/>
      <c r="Z602" s="110"/>
      <c r="AA602" s="110">
        <v>1</v>
      </c>
      <c r="AB602" s="111">
        <f t="shared" si="130"/>
        <v>46.512500000000003</v>
      </c>
      <c r="AC602" s="110"/>
      <c r="AD602" s="110"/>
      <c r="AE602" s="110">
        <v>1</v>
      </c>
      <c r="AF602" s="111">
        <f t="shared" si="131"/>
        <v>46.512500000000003</v>
      </c>
      <c r="AG602" s="110"/>
      <c r="AH602" s="110"/>
      <c r="AI602" s="110"/>
      <c r="AJ602" s="110"/>
      <c r="AK602" s="111">
        <f t="shared" si="138"/>
        <v>186.05</v>
      </c>
      <c r="AL602" s="446">
        <f t="shared" si="139"/>
        <v>0</v>
      </c>
      <c r="AM602" s="110">
        <f t="shared" si="140"/>
        <v>5</v>
      </c>
      <c r="AN602" s="447">
        <f t="shared" si="136"/>
        <v>0</v>
      </c>
      <c r="AO602"/>
      <c r="AP602"/>
    </row>
    <row r="603" spans="1:42" ht="66" x14ac:dyDescent="0.25">
      <c r="A603" s="9"/>
      <c r="B603" s="34" t="s">
        <v>1846</v>
      </c>
      <c r="C603" s="1024"/>
      <c r="D603" s="869">
        <v>3</v>
      </c>
      <c r="E603" s="250" t="s">
        <v>1723</v>
      </c>
      <c r="F603" s="273" t="s">
        <v>3446</v>
      </c>
      <c r="G603" s="1040" t="s">
        <v>3463</v>
      </c>
      <c r="H603" s="273" t="s">
        <v>3462</v>
      </c>
      <c r="I603" s="720">
        <f t="shared" si="127"/>
        <v>34.450000000000003</v>
      </c>
      <c r="J603" s="756">
        <v>103.35000000000001</v>
      </c>
      <c r="K603" s="131">
        <f t="shared" si="135"/>
        <v>103.35000000000001</v>
      </c>
      <c r="L603" s="335">
        <f t="shared" si="137"/>
        <v>0</v>
      </c>
      <c r="M603" s="446"/>
      <c r="N603" s="446"/>
      <c r="O603" s="446"/>
      <c r="P603" s="446"/>
      <c r="Q603" s="130">
        <v>1</v>
      </c>
      <c r="R603" s="111">
        <v>34.450000000000003</v>
      </c>
      <c r="S603" s="110"/>
      <c r="T603" s="110"/>
      <c r="U603" s="130">
        <v>1</v>
      </c>
      <c r="V603" s="111">
        <v>34.450000000000003</v>
      </c>
      <c r="W603" s="110"/>
      <c r="X603" s="110"/>
      <c r="Y603" s="110"/>
      <c r="Z603" s="110"/>
      <c r="AA603" s="130">
        <v>1</v>
      </c>
      <c r="AB603" s="111">
        <v>34.450000000000003</v>
      </c>
      <c r="AC603" s="110"/>
      <c r="AD603" s="110"/>
      <c r="AE603" s="130">
        <v>0</v>
      </c>
      <c r="AF603" s="111">
        <v>0</v>
      </c>
      <c r="AG603" s="110"/>
      <c r="AH603" s="110"/>
      <c r="AI603" s="110"/>
      <c r="AJ603" s="110"/>
      <c r="AK603" s="111">
        <f t="shared" si="138"/>
        <v>103.35000000000001</v>
      </c>
      <c r="AL603" s="446">
        <f t="shared" si="139"/>
        <v>0</v>
      </c>
      <c r="AM603" s="110">
        <f t="shared" si="140"/>
        <v>3</v>
      </c>
      <c r="AN603" s="447">
        <f t="shared" si="136"/>
        <v>0</v>
      </c>
      <c r="AO603"/>
      <c r="AP603"/>
    </row>
    <row r="604" spans="1:42" ht="66" x14ac:dyDescent="0.25">
      <c r="A604" s="9"/>
      <c r="B604" s="34" t="s">
        <v>97</v>
      </c>
      <c r="C604" s="1024"/>
      <c r="D604" s="869">
        <v>3</v>
      </c>
      <c r="E604" s="250" t="s">
        <v>1723</v>
      </c>
      <c r="F604" s="273" t="s">
        <v>3446</v>
      </c>
      <c r="G604" s="1040" t="s">
        <v>3463</v>
      </c>
      <c r="H604" s="273" t="s">
        <v>3462</v>
      </c>
      <c r="I604" s="720">
        <f t="shared" ref="I604:I667" si="141">+J604/D604</f>
        <v>34.450000000000003</v>
      </c>
      <c r="J604" s="756">
        <v>103.35000000000001</v>
      </c>
      <c r="K604" s="131">
        <f t="shared" si="135"/>
        <v>103.35000000000001</v>
      </c>
      <c r="L604" s="335">
        <f t="shared" si="137"/>
        <v>0</v>
      </c>
      <c r="M604" s="446"/>
      <c r="N604" s="446"/>
      <c r="O604" s="446"/>
      <c r="P604" s="446"/>
      <c r="Q604" s="130">
        <v>1</v>
      </c>
      <c r="R604" s="111">
        <v>34.450000000000003</v>
      </c>
      <c r="S604" s="110"/>
      <c r="T604" s="110"/>
      <c r="U604" s="130">
        <v>1</v>
      </c>
      <c r="V604" s="111">
        <v>34.450000000000003</v>
      </c>
      <c r="W604" s="110"/>
      <c r="X604" s="110"/>
      <c r="Y604" s="110"/>
      <c r="Z604" s="110"/>
      <c r="AA604" s="130">
        <v>1</v>
      </c>
      <c r="AB604" s="111">
        <v>34.450000000000003</v>
      </c>
      <c r="AC604" s="110"/>
      <c r="AD604" s="110"/>
      <c r="AE604" s="130">
        <v>0</v>
      </c>
      <c r="AF604" s="111">
        <v>0</v>
      </c>
      <c r="AG604" s="110"/>
      <c r="AH604" s="110"/>
      <c r="AI604" s="110"/>
      <c r="AJ604" s="110"/>
      <c r="AK604" s="111">
        <f t="shared" si="138"/>
        <v>103.35000000000001</v>
      </c>
      <c r="AL604" s="446">
        <f t="shared" si="139"/>
        <v>0</v>
      </c>
      <c r="AM604" s="110">
        <f t="shared" si="140"/>
        <v>3</v>
      </c>
      <c r="AN604" s="447">
        <f t="shared" si="136"/>
        <v>0</v>
      </c>
      <c r="AO604"/>
      <c r="AP604"/>
    </row>
    <row r="605" spans="1:42" ht="66" x14ac:dyDescent="0.25">
      <c r="A605" s="9"/>
      <c r="B605" s="34" t="s">
        <v>98</v>
      </c>
      <c r="C605" s="1024"/>
      <c r="D605" s="869">
        <v>3</v>
      </c>
      <c r="E605" s="250" t="s">
        <v>1723</v>
      </c>
      <c r="F605" s="273" t="s">
        <v>3446</v>
      </c>
      <c r="G605" s="1040" t="s">
        <v>3463</v>
      </c>
      <c r="H605" s="273" t="s">
        <v>3462</v>
      </c>
      <c r="I605" s="720">
        <f t="shared" si="141"/>
        <v>34.450000000000003</v>
      </c>
      <c r="J605" s="756">
        <v>103.35000000000001</v>
      </c>
      <c r="K605" s="131">
        <f t="shared" si="135"/>
        <v>103.35000000000001</v>
      </c>
      <c r="L605" s="335">
        <f t="shared" si="137"/>
        <v>0</v>
      </c>
      <c r="M605" s="446"/>
      <c r="N605" s="446"/>
      <c r="O605" s="446"/>
      <c r="P605" s="446"/>
      <c r="Q605" s="130">
        <v>1</v>
      </c>
      <c r="R605" s="111">
        <f t="shared" si="128"/>
        <v>25.837500000000002</v>
      </c>
      <c r="S605" s="110"/>
      <c r="T605" s="110"/>
      <c r="U605" s="130">
        <v>1</v>
      </c>
      <c r="V605" s="111">
        <f t="shared" si="129"/>
        <v>25.837500000000002</v>
      </c>
      <c r="W605" s="110"/>
      <c r="X605" s="110"/>
      <c r="Y605" s="110"/>
      <c r="Z605" s="110"/>
      <c r="AA605" s="130">
        <v>1</v>
      </c>
      <c r="AB605" s="111">
        <f t="shared" si="130"/>
        <v>25.837500000000002</v>
      </c>
      <c r="AC605" s="110"/>
      <c r="AD605" s="110"/>
      <c r="AE605" s="130">
        <v>0</v>
      </c>
      <c r="AF605" s="111">
        <f t="shared" si="131"/>
        <v>25.837500000000002</v>
      </c>
      <c r="AG605" s="110"/>
      <c r="AH605" s="110"/>
      <c r="AI605" s="110"/>
      <c r="AJ605" s="110"/>
      <c r="AK605" s="111">
        <f t="shared" si="138"/>
        <v>103.35000000000001</v>
      </c>
      <c r="AL605" s="446">
        <f t="shared" si="139"/>
        <v>0</v>
      </c>
      <c r="AM605" s="110">
        <f t="shared" si="140"/>
        <v>3</v>
      </c>
      <c r="AN605" s="447">
        <f t="shared" si="136"/>
        <v>0</v>
      </c>
      <c r="AO605"/>
      <c r="AP605"/>
    </row>
    <row r="606" spans="1:42" ht="66" x14ac:dyDescent="0.25">
      <c r="A606" s="9"/>
      <c r="B606" s="34" t="s">
        <v>43</v>
      </c>
      <c r="C606" s="1024"/>
      <c r="D606" s="869">
        <v>5</v>
      </c>
      <c r="E606" s="250" t="s">
        <v>1723</v>
      </c>
      <c r="F606" s="273" t="s">
        <v>3446</v>
      </c>
      <c r="G606" s="1040" t="s">
        <v>3463</v>
      </c>
      <c r="H606" s="273" t="s">
        <v>3462</v>
      </c>
      <c r="I606" s="720">
        <f t="shared" si="141"/>
        <v>15.430000000000001</v>
      </c>
      <c r="J606" s="756">
        <v>77.150000000000006</v>
      </c>
      <c r="K606" s="131">
        <f t="shared" si="135"/>
        <v>77.150000000000006</v>
      </c>
      <c r="L606" s="335">
        <f t="shared" si="137"/>
        <v>0</v>
      </c>
      <c r="M606" s="446"/>
      <c r="N606" s="446"/>
      <c r="O606" s="446"/>
      <c r="P606" s="446"/>
      <c r="Q606" s="110">
        <v>2</v>
      </c>
      <c r="R606" s="111">
        <f t="shared" si="128"/>
        <v>19.287500000000001</v>
      </c>
      <c r="S606" s="110"/>
      <c r="T606" s="110"/>
      <c r="U606" s="110">
        <v>1</v>
      </c>
      <c r="V606" s="111">
        <f t="shared" si="129"/>
        <v>19.287500000000001</v>
      </c>
      <c r="W606" s="110"/>
      <c r="X606" s="110"/>
      <c r="Y606" s="110"/>
      <c r="Z606" s="110"/>
      <c r="AA606" s="110">
        <v>1</v>
      </c>
      <c r="AB606" s="111">
        <f t="shared" si="130"/>
        <v>19.287500000000001</v>
      </c>
      <c r="AC606" s="110"/>
      <c r="AD606" s="110"/>
      <c r="AE606" s="110">
        <v>1</v>
      </c>
      <c r="AF606" s="111">
        <f t="shared" si="131"/>
        <v>19.287500000000001</v>
      </c>
      <c r="AG606" s="110"/>
      <c r="AH606" s="110"/>
      <c r="AI606" s="110"/>
      <c r="AJ606" s="110"/>
      <c r="AK606" s="111">
        <f t="shared" si="138"/>
        <v>77.150000000000006</v>
      </c>
      <c r="AL606" s="446">
        <f t="shared" si="139"/>
        <v>0</v>
      </c>
      <c r="AM606" s="110">
        <f t="shared" si="140"/>
        <v>5</v>
      </c>
      <c r="AN606" s="447">
        <f t="shared" si="136"/>
        <v>0</v>
      </c>
      <c r="AO606"/>
      <c r="AP606"/>
    </row>
    <row r="607" spans="1:42" ht="66" x14ac:dyDescent="0.25">
      <c r="A607" s="9"/>
      <c r="B607" s="34" t="s">
        <v>2531</v>
      </c>
      <c r="C607" s="1024"/>
      <c r="D607" s="869">
        <v>3</v>
      </c>
      <c r="E607" s="250" t="s">
        <v>1733</v>
      </c>
      <c r="F607" s="273" t="s">
        <v>3446</v>
      </c>
      <c r="G607" s="1040" t="s">
        <v>3463</v>
      </c>
      <c r="H607" s="273" t="s">
        <v>3462</v>
      </c>
      <c r="I607" s="720">
        <f t="shared" si="141"/>
        <v>79.930000000000007</v>
      </c>
      <c r="J607" s="756">
        <v>239.79000000000002</v>
      </c>
      <c r="K607" s="131">
        <f t="shared" si="135"/>
        <v>239.79000000000002</v>
      </c>
      <c r="L607" s="335">
        <f t="shared" si="137"/>
        <v>0</v>
      </c>
      <c r="M607" s="446"/>
      <c r="N607" s="446"/>
      <c r="O607" s="446"/>
      <c r="P607" s="446"/>
      <c r="Q607" s="130">
        <v>1</v>
      </c>
      <c r="R607" s="111">
        <v>79.930000000000007</v>
      </c>
      <c r="S607" s="110"/>
      <c r="T607" s="110"/>
      <c r="U607" s="130">
        <v>1</v>
      </c>
      <c r="V607" s="111">
        <v>79.930000000000007</v>
      </c>
      <c r="W607" s="110"/>
      <c r="X607" s="110"/>
      <c r="Y607" s="110"/>
      <c r="Z607" s="110"/>
      <c r="AA607" s="130">
        <v>1</v>
      </c>
      <c r="AB607" s="111">
        <v>79.930000000000007</v>
      </c>
      <c r="AC607" s="110"/>
      <c r="AD607" s="110"/>
      <c r="AE607" s="130">
        <v>0</v>
      </c>
      <c r="AF607" s="111">
        <v>0</v>
      </c>
      <c r="AG607" s="110"/>
      <c r="AH607" s="110"/>
      <c r="AI607" s="110"/>
      <c r="AJ607" s="110"/>
      <c r="AK607" s="111">
        <f t="shared" si="138"/>
        <v>239.79000000000002</v>
      </c>
      <c r="AL607" s="446">
        <f t="shared" si="139"/>
        <v>0</v>
      </c>
      <c r="AM607" s="110">
        <f t="shared" si="140"/>
        <v>3</v>
      </c>
      <c r="AN607" s="447">
        <f t="shared" si="136"/>
        <v>0</v>
      </c>
      <c r="AO607"/>
      <c r="AP607"/>
    </row>
    <row r="608" spans="1:42" ht="66" x14ac:dyDescent="0.25">
      <c r="A608" s="9"/>
      <c r="B608" s="34" t="s">
        <v>1073</v>
      </c>
      <c r="C608" s="1024"/>
      <c r="D608" s="869">
        <v>10</v>
      </c>
      <c r="E608" s="250" t="s">
        <v>1723</v>
      </c>
      <c r="F608" s="273" t="s">
        <v>3446</v>
      </c>
      <c r="G608" s="1040" t="s">
        <v>3463</v>
      </c>
      <c r="H608" s="273" t="s">
        <v>3462</v>
      </c>
      <c r="I608" s="720">
        <f t="shared" si="141"/>
        <v>4.75</v>
      </c>
      <c r="J608" s="756">
        <v>47.5</v>
      </c>
      <c r="K608" s="131">
        <f t="shared" si="135"/>
        <v>47.5</v>
      </c>
      <c r="L608" s="335">
        <f t="shared" si="137"/>
        <v>0</v>
      </c>
      <c r="M608" s="446"/>
      <c r="N608" s="446"/>
      <c r="O608" s="446"/>
      <c r="P608" s="446"/>
      <c r="Q608" s="130">
        <v>3</v>
      </c>
      <c r="R608" s="111">
        <f t="shared" si="128"/>
        <v>11.875</v>
      </c>
      <c r="S608" s="110"/>
      <c r="T608" s="110"/>
      <c r="U608" s="130">
        <v>3</v>
      </c>
      <c r="V608" s="111">
        <f t="shared" si="129"/>
        <v>11.875</v>
      </c>
      <c r="W608" s="110"/>
      <c r="X608" s="110"/>
      <c r="Y608" s="110"/>
      <c r="Z608" s="110"/>
      <c r="AA608" s="130">
        <v>2</v>
      </c>
      <c r="AB608" s="111">
        <f t="shared" si="130"/>
        <v>11.875</v>
      </c>
      <c r="AC608" s="110"/>
      <c r="AD608" s="110"/>
      <c r="AE608" s="130">
        <v>2</v>
      </c>
      <c r="AF608" s="111">
        <f t="shared" si="131"/>
        <v>11.875</v>
      </c>
      <c r="AG608" s="110"/>
      <c r="AH608" s="110"/>
      <c r="AI608" s="110"/>
      <c r="AJ608" s="110"/>
      <c r="AK608" s="111">
        <f t="shared" si="138"/>
        <v>47.5</v>
      </c>
      <c r="AL608" s="446">
        <f t="shared" si="139"/>
        <v>0</v>
      </c>
      <c r="AM608" s="110">
        <f t="shared" si="140"/>
        <v>10</v>
      </c>
      <c r="AN608" s="447">
        <f t="shared" si="136"/>
        <v>0</v>
      </c>
      <c r="AO608"/>
      <c r="AP608"/>
    </row>
    <row r="609" spans="1:42" ht="66" x14ac:dyDescent="0.25">
      <c r="A609" s="9"/>
      <c r="B609" s="34" t="s">
        <v>222</v>
      </c>
      <c r="C609" s="1024"/>
      <c r="D609" s="869">
        <v>1</v>
      </c>
      <c r="E609" s="250" t="s">
        <v>1723</v>
      </c>
      <c r="F609" s="273" t="s">
        <v>3446</v>
      </c>
      <c r="G609" s="1040" t="s">
        <v>3463</v>
      </c>
      <c r="H609" s="273" t="s">
        <v>3462</v>
      </c>
      <c r="I609" s="720">
        <f t="shared" si="141"/>
        <v>14.47</v>
      </c>
      <c r="J609" s="756">
        <v>14.47</v>
      </c>
      <c r="K609" s="131">
        <f t="shared" si="135"/>
        <v>14.47</v>
      </c>
      <c r="L609" s="335">
        <f t="shared" si="137"/>
        <v>0</v>
      </c>
      <c r="M609" s="446"/>
      <c r="N609" s="446"/>
      <c r="O609" s="446"/>
      <c r="P609" s="446"/>
      <c r="Q609" s="110">
        <v>1</v>
      </c>
      <c r="R609" s="111">
        <v>14.47</v>
      </c>
      <c r="S609" s="110"/>
      <c r="T609" s="110"/>
      <c r="U609" s="110">
        <v>0</v>
      </c>
      <c r="V609" s="111">
        <v>0</v>
      </c>
      <c r="W609" s="110"/>
      <c r="X609" s="110"/>
      <c r="Y609" s="110"/>
      <c r="Z609" s="110"/>
      <c r="AA609" s="110">
        <v>0</v>
      </c>
      <c r="AB609" s="111">
        <v>0</v>
      </c>
      <c r="AC609" s="110"/>
      <c r="AD609" s="110"/>
      <c r="AE609" s="110">
        <v>0</v>
      </c>
      <c r="AF609" s="111">
        <v>0</v>
      </c>
      <c r="AG609" s="110"/>
      <c r="AH609" s="110"/>
      <c r="AI609" s="110"/>
      <c r="AJ609" s="110"/>
      <c r="AK609" s="111">
        <f t="shared" si="138"/>
        <v>14.47</v>
      </c>
      <c r="AL609" s="446">
        <f t="shared" si="139"/>
        <v>0</v>
      </c>
      <c r="AM609" s="110">
        <f t="shared" si="140"/>
        <v>1</v>
      </c>
      <c r="AN609" s="447">
        <f t="shared" si="136"/>
        <v>0</v>
      </c>
      <c r="AO609"/>
      <c r="AP609"/>
    </row>
    <row r="610" spans="1:42" ht="66" x14ac:dyDescent="0.25">
      <c r="A610" s="9"/>
      <c r="B610" s="34" t="s">
        <v>2532</v>
      </c>
      <c r="C610" s="1024"/>
      <c r="D610" s="869">
        <v>1</v>
      </c>
      <c r="E610" s="250" t="s">
        <v>1723</v>
      </c>
      <c r="F610" s="273" t="s">
        <v>3446</v>
      </c>
      <c r="G610" s="1040" t="s">
        <v>3463</v>
      </c>
      <c r="H610" s="273" t="s">
        <v>3462</v>
      </c>
      <c r="I610" s="720">
        <f t="shared" si="141"/>
        <v>412.05</v>
      </c>
      <c r="J610" s="756">
        <v>412.05</v>
      </c>
      <c r="K610" s="131">
        <f t="shared" si="135"/>
        <v>412.05</v>
      </c>
      <c r="L610" s="335">
        <f t="shared" si="137"/>
        <v>0</v>
      </c>
      <c r="M610" s="446"/>
      <c r="N610" s="446"/>
      <c r="O610" s="446"/>
      <c r="P610" s="446"/>
      <c r="Q610" s="110">
        <v>1</v>
      </c>
      <c r="R610" s="111">
        <v>412.05</v>
      </c>
      <c r="S610" s="110"/>
      <c r="T610" s="110"/>
      <c r="U610" s="110">
        <v>0</v>
      </c>
      <c r="V610" s="111">
        <v>0</v>
      </c>
      <c r="W610" s="110"/>
      <c r="X610" s="110"/>
      <c r="Y610" s="110"/>
      <c r="Z610" s="110"/>
      <c r="AA610" s="110">
        <v>0</v>
      </c>
      <c r="AB610" s="111">
        <v>0</v>
      </c>
      <c r="AC610" s="110"/>
      <c r="AD610" s="110"/>
      <c r="AE610" s="110">
        <v>0</v>
      </c>
      <c r="AF610" s="111">
        <v>0</v>
      </c>
      <c r="AG610" s="110"/>
      <c r="AH610" s="110"/>
      <c r="AI610" s="110"/>
      <c r="AJ610" s="110"/>
      <c r="AK610" s="111">
        <f t="shared" si="138"/>
        <v>412.05</v>
      </c>
      <c r="AL610" s="446">
        <f t="shared" si="139"/>
        <v>0</v>
      </c>
      <c r="AM610" s="110">
        <f t="shared" si="140"/>
        <v>1</v>
      </c>
      <c r="AN610" s="447">
        <f t="shared" si="136"/>
        <v>0</v>
      </c>
      <c r="AO610"/>
      <c r="AP610"/>
    </row>
    <row r="611" spans="1:42" ht="66" x14ac:dyDescent="0.25">
      <c r="A611" s="9"/>
      <c r="B611" s="34" t="s">
        <v>1981</v>
      </c>
      <c r="C611" s="1024"/>
      <c r="D611" s="869">
        <v>5</v>
      </c>
      <c r="E611" s="250" t="s">
        <v>1723</v>
      </c>
      <c r="F611" s="273" t="s">
        <v>3446</v>
      </c>
      <c r="G611" s="1040" t="s">
        <v>3463</v>
      </c>
      <c r="H611" s="273" t="s">
        <v>3462</v>
      </c>
      <c r="I611" s="720">
        <f t="shared" si="141"/>
        <v>220.49</v>
      </c>
      <c r="J611" s="756">
        <v>1102.45</v>
      </c>
      <c r="K611" s="131">
        <f t="shared" si="135"/>
        <v>1102.45</v>
      </c>
      <c r="L611" s="335">
        <f t="shared" si="137"/>
        <v>0</v>
      </c>
      <c r="M611" s="446"/>
      <c r="N611" s="446"/>
      <c r="O611" s="446"/>
      <c r="P611" s="446"/>
      <c r="Q611" s="110">
        <v>2</v>
      </c>
      <c r="R611" s="111">
        <f t="shared" si="128"/>
        <v>275.61250000000001</v>
      </c>
      <c r="S611" s="110"/>
      <c r="T611" s="110"/>
      <c r="U611" s="110">
        <v>1</v>
      </c>
      <c r="V611" s="111">
        <f t="shared" si="129"/>
        <v>275.61250000000001</v>
      </c>
      <c r="W611" s="110"/>
      <c r="X611" s="110"/>
      <c r="Y611" s="110"/>
      <c r="Z611" s="110"/>
      <c r="AA611" s="110">
        <v>1</v>
      </c>
      <c r="AB611" s="111">
        <f t="shared" si="130"/>
        <v>275.61250000000001</v>
      </c>
      <c r="AC611" s="110"/>
      <c r="AD611" s="110"/>
      <c r="AE611" s="110">
        <v>1</v>
      </c>
      <c r="AF611" s="111">
        <f t="shared" si="131"/>
        <v>275.61250000000001</v>
      </c>
      <c r="AG611" s="110"/>
      <c r="AH611" s="110"/>
      <c r="AI611" s="110"/>
      <c r="AJ611" s="110"/>
      <c r="AK611" s="111">
        <f t="shared" si="138"/>
        <v>1102.45</v>
      </c>
      <c r="AL611" s="446">
        <f t="shared" si="139"/>
        <v>0</v>
      </c>
      <c r="AM611" s="110">
        <f t="shared" si="140"/>
        <v>5</v>
      </c>
      <c r="AN611" s="447">
        <f t="shared" si="136"/>
        <v>0</v>
      </c>
      <c r="AO611"/>
      <c r="AP611"/>
    </row>
    <row r="612" spans="1:42" ht="66" x14ac:dyDescent="0.25">
      <c r="A612" s="9"/>
      <c r="B612" s="34" t="s">
        <v>1074</v>
      </c>
      <c r="C612" s="1024"/>
      <c r="D612" s="869">
        <v>2</v>
      </c>
      <c r="E612" s="250" t="s">
        <v>1723</v>
      </c>
      <c r="F612" s="273" t="s">
        <v>3446</v>
      </c>
      <c r="G612" s="1040" t="s">
        <v>3463</v>
      </c>
      <c r="H612" s="273" t="s">
        <v>3462</v>
      </c>
      <c r="I612" s="720">
        <f t="shared" si="141"/>
        <v>113</v>
      </c>
      <c r="J612" s="756">
        <v>226</v>
      </c>
      <c r="K612" s="131">
        <f t="shared" si="135"/>
        <v>226</v>
      </c>
      <c r="L612" s="335">
        <f t="shared" si="137"/>
        <v>0</v>
      </c>
      <c r="M612" s="446"/>
      <c r="N612" s="446"/>
      <c r="O612" s="446"/>
      <c r="P612" s="446"/>
      <c r="Q612" s="130">
        <v>1</v>
      </c>
      <c r="R612" s="111">
        <v>113</v>
      </c>
      <c r="S612" s="110"/>
      <c r="T612" s="110"/>
      <c r="U612" s="130">
        <v>1</v>
      </c>
      <c r="V612" s="111">
        <v>113</v>
      </c>
      <c r="W612" s="110"/>
      <c r="X612" s="110"/>
      <c r="Y612" s="110"/>
      <c r="Z612" s="110"/>
      <c r="AA612" s="130">
        <v>0</v>
      </c>
      <c r="AB612" s="111">
        <v>0</v>
      </c>
      <c r="AC612" s="110"/>
      <c r="AD612" s="110"/>
      <c r="AE612" s="130">
        <v>0</v>
      </c>
      <c r="AF612" s="111">
        <v>0</v>
      </c>
      <c r="AG612" s="110"/>
      <c r="AH612" s="110"/>
      <c r="AI612" s="110"/>
      <c r="AJ612" s="110"/>
      <c r="AK612" s="111">
        <f t="shared" si="138"/>
        <v>226</v>
      </c>
      <c r="AL612" s="446">
        <f t="shared" si="139"/>
        <v>0</v>
      </c>
      <c r="AM612" s="110">
        <f t="shared" si="140"/>
        <v>2</v>
      </c>
      <c r="AN612" s="447">
        <f t="shared" si="136"/>
        <v>0</v>
      </c>
      <c r="AO612"/>
      <c r="AP612"/>
    </row>
    <row r="613" spans="1:42" ht="66" x14ac:dyDescent="0.25">
      <c r="A613" s="9"/>
      <c r="B613" s="34" t="s">
        <v>2533</v>
      </c>
      <c r="C613" s="1024"/>
      <c r="D613" s="869">
        <v>2</v>
      </c>
      <c r="E613" s="250" t="s">
        <v>1723</v>
      </c>
      <c r="F613" s="273" t="s">
        <v>3446</v>
      </c>
      <c r="G613" s="1040" t="s">
        <v>3463</v>
      </c>
      <c r="H613" s="273" t="s">
        <v>3462</v>
      </c>
      <c r="I613" s="720">
        <f t="shared" si="141"/>
        <v>68.900000000000006</v>
      </c>
      <c r="J613" s="756">
        <v>137.80000000000001</v>
      </c>
      <c r="K613" s="131">
        <f t="shared" si="135"/>
        <v>137.80000000000001</v>
      </c>
      <c r="L613" s="335">
        <f t="shared" si="137"/>
        <v>0</v>
      </c>
      <c r="M613" s="446"/>
      <c r="N613" s="446"/>
      <c r="O613" s="446"/>
      <c r="P613" s="446"/>
      <c r="Q613" s="130">
        <v>1</v>
      </c>
      <c r="R613" s="111">
        <v>68.900000000000006</v>
      </c>
      <c r="S613" s="110"/>
      <c r="T613" s="110"/>
      <c r="U613" s="130">
        <v>1</v>
      </c>
      <c r="V613" s="111">
        <v>68.900000000000006</v>
      </c>
      <c r="W613" s="110"/>
      <c r="X613" s="110"/>
      <c r="Y613" s="110"/>
      <c r="Z613" s="110"/>
      <c r="AA613" s="130">
        <v>0</v>
      </c>
      <c r="AB613" s="111">
        <v>0</v>
      </c>
      <c r="AC613" s="110"/>
      <c r="AD613" s="110"/>
      <c r="AE613" s="130">
        <v>0</v>
      </c>
      <c r="AF613" s="111">
        <v>0</v>
      </c>
      <c r="AG613" s="110"/>
      <c r="AH613" s="110"/>
      <c r="AI613" s="110"/>
      <c r="AJ613" s="110"/>
      <c r="AK613" s="111">
        <f t="shared" si="138"/>
        <v>137.80000000000001</v>
      </c>
      <c r="AL613" s="446">
        <f t="shared" si="139"/>
        <v>0</v>
      </c>
      <c r="AM613" s="110">
        <f t="shared" si="140"/>
        <v>2</v>
      </c>
      <c r="AN613" s="447">
        <f t="shared" si="136"/>
        <v>0</v>
      </c>
      <c r="AO613"/>
      <c r="AP613"/>
    </row>
    <row r="614" spans="1:42" ht="66" x14ac:dyDescent="0.25">
      <c r="A614" s="9"/>
      <c r="B614" s="34" t="s">
        <v>67</v>
      </c>
      <c r="C614" s="1024"/>
      <c r="D614" s="869">
        <v>2</v>
      </c>
      <c r="E614" s="250" t="s">
        <v>1723</v>
      </c>
      <c r="F614" s="273" t="s">
        <v>3446</v>
      </c>
      <c r="G614" s="1040" t="s">
        <v>3463</v>
      </c>
      <c r="H614" s="273" t="s">
        <v>3462</v>
      </c>
      <c r="I614" s="720">
        <f t="shared" si="141"/>
        <v>19.29</v>
      </c>
      <c r="J614" s="756">
        <v>38.58</v>
      </c>
      <c r="K614" s="131">
        <f t="shared" si="135"/>
        <v>38.58</v>
      </c>
      <c r="L614" s="335">
        <f t="shared" si="137"/>
        <v>0</v>
      </c>
      <c r="M614" s="446"/>
      <c r="N614" s="446"/>
      <c r="O614" s="446"/>
      <c r="P614" s="446"/>
      <c r="Q614" s="130">
        <v>1</v>
      </c>
      <c r="R614" s="111">
        <v>19.29</v>
      </c>
      <c r="S614" s="110"/>
      <c r="T614" s="110"/>
      <c r="U614" s="130">
        <v>1</v>
      </c>
      <c r="V614" s="111">
        <v>19.29</v>
      </c>
      <c r="W614" s="110"/>
      <c r="X614" s="110"/>
      <c r="Y614" s="110"/>
      <c r="Z614" s="110"/>
      <c r="AA614" s="130">
        <v>0</v>
      </c>
      <c r="AB614" s="111">
        <v>0</v>
      </c>
      <c r="AC614" s="110"/>
      <c r="AD614" s="110"/>
      <c r="AE614" s="130">
        <v>0</v>
      </c>
      <c r="AF614" s="111">
        <v>0</v>
      </c>
      <c r="AG614" s="110"/>
      <c r="AH614" s="110"/>
      <c r="AI614" s="110"/>
      <c r="AJ614" s="110"/>
      <c r="AK614" s="111">
        <f t="shared" si="138"/>
        <v>38.58</v>
      </c>
      <c r="AL614" s="446">
        <f t="shared" si="139"/>
        <v>0</v>
      </c>
      <c r="AM614" s="110">
        <f t="shared" si="140"/>
        <v>2</v>
      </c>
      <c r="AN614" s="447">
        <f t="shared" si="136"/>
        <v>0</v>
      </c>
      <c r="AO614"/>
      <c r="AP614"/>
    </row>
    <row r="615" spans="1:42" ht="66" x14ac:dyDescent="0.25">
      <c r="A615" s="9"/>
      <c r="B615" s="34" t="s">
        <v>2534</v>
      </c>
      <c r="C615" s="1024"/>
      <c r="D615" s="869">
        <v>5</v>
      </c>
      <c r="E615" s="250" t="s">
        <v>1723</v>
      </c>
      <c r="F615" s="273" t="s">
        <v>3446</v>
      </c>
      <c r="G615" s="1040" t="s">
        <v>3463</v>
      </c>
      <c r="H615" s="273" t="s">
        <v>3462</v>
      </c>
      <c r="I615" s="720">
        <f t="shared" si="141"/>
        <v>19.29</v>
      </c>
      <c r="J615" s="756">
        <v>96.449999999999989</v>
      </c>
      <c r="K615" s="131">
        <f t="shared" si="135"/>
        <v>96.449999999999989</v>
      </c>
      <c r="L615" s="335">
        <f t="shared" si="137"/>
        <v>0</v>
      </c>
      <c r="M615" s="446"/>
      <c r="N615" s="446"/>
      <c r="O615" s="446"/>
      <c r="P615" s="446"/>
      <c r="Q615" s="110">
        <v>2</v>
      </c>
      <c r="R615" s="111">
        <f t="shared" si="128"/>
        <v>24.112499999999997</v>
      </c>
      <c r="S615" s="110"/>
      <c r="T615" s="110"/>
      <c r="U615" s="110">
        <v>1</v>
      </c>
      <c r="V615" s="111">
        <f t="shared" si="129"/>
        <v>24.112499999999997</v>
      </c>
      <c r="W615" s="110"/>
      <c r="X615" s="110"/>
      <c r="Y615" s="110"/>
      <c r="Z615" s="110"/>
      <c r="AA615" s="110">
        <v>1</v>
      </c>
      <c r="AB615" s="111">
        <f t="shared" si="130"/>
        <v>24.112499999999997</v>
      </c>
      <c r="AC615" s="110"/>
      <c r="AD615" s="110"/>
      <c r="AE615" s="110">
        <v>1</v>
      </c>
      <c r="AF615" s="111">
        <f t="shared" si="131"/>
        <v>24.112499999999997</v>
      </c>
      <c r="AG615" s="110"/>
      <c r="AH615" s="110"/>
      <c r="AI615" s="110"/>
      <c r="AJ615" s="110"/>
      <c r="AK615" s="111">
        <f t="shared" si="138"/>
        <v>96.449999999999989</v>
      </c>
      <c r="AL615" s="446">
        <f t="shared" si="139"/>
        <v>0</v>
      </c>
      <c r="AM615" s="110">
        <f t="shared" si="140"/>
        <v>5</v>
      </c>
      <c r="AN615" s="447">
        <f t="shared" si="136"/>
        <v>0</v>
      </c>
      <c r="AO615"/>
      <c r="AP615"/>
    </row>
    <row r="616" spans="1:42" ht="66" x14ac:dyDescent="0.25">
      <c r="A616" s="9"/>
      <c r="B616" s="34" t="s">
        <v>2535</v>
      </c>
      <c r="C616" s="1024"/>
      <c r="D616" s="869">
        <v>5</v>
      </c>
      <c r="E616" s="250" t="s">
        <v>1723</v>
      </c>
      <c r="F616" s="273" t="s">
        <v>3446</v>
      </c>
      <c r="G616" s="1040" t="s">
        <v>3463</v>
      </c>
      <c r="H616" s="273" t="s">
        <v>3462</v>
      </c>
      <c r="I616" s="720">
        <f t="shared" si="141"/>
        <v>136.43</v>
      </c>
      <c r="J616" s="756">
        <v>682.15000000000009</v>
      </c>
      <c r="K616" s="131">
        <f t="shared" si="135"/>
        <v>682.15000000000009</v>
      </c>
      <c r="L616" s="335">
        <f t="shared" si="137"/>
        <v>0</v>
      </c>
      <c r="M616" s="446"/>
      <c r="N616" s="446"/>
      <c r="O616" s="446"/>
      <c r="P616" s="446"/>
      <c r="Q616" s="110">
        <v>2</v>
      </c>
      <c r="R616" s="111">
        <f t="shared" si="128"/>
        <v>170.53750000000002</v>
      </c>
      <c r="S616" s="110"/>
      <c r="T616" s="110"/>
      <c r="U616" s="110">
        <v>1</v>
      </c>
      <c r="V616" s="111">
        <f t="shared" si="129"/>
        <v>170.53750000000002</v>
      </c>
      <c r="W616" s="110"/>
      <c r="X616" s="110"/>
      <c r="Y616" s="110"/>
      <c r="Z616" s="110"/>
      <c r="AA616" s="110">
        <v>1</v>
      </c>
      <c r="AB616" s="111">
        <f t="shared" si="130"/>
        <v>170.53750000000002</v>
      </c>
      <c r="AC616" s="110"/>
      <c r="AD616" s="110"/>
      <c r="AE616" s="110">
        <v>1</v>
      </c>
      <c r="AF616" s="111">
        <f t="shared" si="131"/>
        <v>170.53750000000002</v>
      </c>
      <c r="AG616" s="110"/>
      <c r="AH616" s="110"/>
      <c r="AI616" s="110"/>
      <c r="AJ616" s="110"/>
      <c r="AK616" s="111">
        <f t="shared" si="138"/>
        <v>682.15000000000009</v>
      </c>
      <c r="AL616" s="446">
        <f t="shared" si="139"/>
        <v>0</v>
      </c>
      <c r="AM616" s="110">
        <f t="shared" si="140"/>
        <v>5</v>
      </c>
      <c r="AN616" s="447">
        <f t="shared" si="136"/>
        <v>0</v>
      </c>
      <c r="AO616"/>
      <c r="AP616"/>
    </row>
    <row r="617" spans="1:42" ht="66" x14ac:dyDescent="0.25">
      <c r="A617" s="9"/>
      <c r="B617" s="34" t="s">
        <v>1071</v>
      </c>
      <c r="C617" s="1024"/>
      <c r="D617" s="869">
        <v>10</v>
      </c>
      <c r="E617" s="250" t="s">
        <v>1733</v>
      </c>
      <c r="F617" s="273" t="s">
        <v>3446</v>
      </c>
      <c r="G617" s="1040" t="s">
        <v>3463</v>
      </c>
      <c r="H617" s="273" t="s">
        <v>3462</v>
      </c>
      <c r="I617" s="720">
        <f t="shared" si="141"/>
        <v>38.590000000000003</v>
      </c>
      <c r="J617" s="756">
        <v>385.90000000000003</v>
      </c>
      <c r="K617" s="131">
        <f t="shared" si="135"/>
        <v>385.90000000000003</v>
      </c>
      <c r="L617" s="335">
        <f t="shared" si="137"/>
        <v>0</v>
      </c>
      <c r="M617" s="446"/>
      <c r="N617" s="446"/>
      <c r="O617" s="446"/>
      <c r="P617" s="446"/>
      <c r="Q617" s="130">
        <v>3</v>
      </c>
      <c r="R617" s="111">
        <f t="shared" si="128"/>
        <v>96.475000000000009</v>
      </c>
      <c r="S617" s="110"/>
      <c r="T617" s="110"/>
      <c r="U617" s="130">
        <v>3</v>
      </c>
      <c r="V617" s="111">
        <f t="shared" si="129"/>
        <v>96.475000000000009</v>
      </c>
      <c r="W617" s="110"/>
      <c r="X617" s="110"/>
      <c r="Y617" s="110"/>
      <c r="Z617" s="110"/>
      <c r="AA617" s="130">
        <v>2</v>
      </c>
      <c r="AB617" s="111">
        <f t="shared" si="130"/>
        <v>96.475000000000009</v>
      </c>
      <c r="AC617" s="110"/>
      <c r="AD617" s="110"/>
      <c r="AE617" s="130">
        <v>2</v>
      </c>
      <c r="AF617" s="111">
        <f t="shared" si="131"/>
        <v>96.475000000000009</v>
      </c>
      <c r="AG617" s="110"/>
      <c r="AH617" s="110"/>
      <c r="AI617" s="110"/>
      <c r="AJ617" s="110"/>
      <c r="AK617" s="111">
        <f t="shared" si="138"/>
        <v>385.90000000000003</v>
      </c>
      <c r="AL617" s="446">
        <f t="shared" si="139"/>
        <v>0</v>
      </c>
      <c r="AM617" s="110">
        <f t="shared" si="140"/>
        <v>10</v>
      </c>
      <c r="AN617" s="447">
        <f t="shared" si="136"/>
        <v>0</v>
      </c>
      <c r="AO617"/>
      <c r="AP617"/>
    </row>
    <row r="618" spans="1:42" ht="66" x14ac:dyDescent="0.25">
      <c r="A618" s="9"/>
      <c r="B618" s="34" t="s">
        <v>77</v>
      </c>
      <c r="C618" s="1024"/>
      <c r="D618" s="869">
        <v>2</v>
      </c>
      <c r="E618" s="250" t="s">
        <v>1723</v>
      </c>
      <c r="F618" s="273" t="s">
        <v>3446</v>
      </c>
      <c r="G618" s="1040" t="s">
        <v>3463</v>
      </c>
      <c r="H618" s="273" t="s">
        <v>3462</v>
      </c>
      <c r="I618" s="720">
        <f t="shared" si="141"/>
        <v>85.99</v>
      </c>
      <c r="J618" s="756">
        <v>171.98</v>
      </c>
      <c r="K618" s="131">
        <f t="shared" si="135"/>
        <v>171.98</v>
      </c>
      <c r="L618" s="335">
        <f t="shared" si="137"/>
        <v>0</v>
      </c>
      <c r="M618" s="446"/>
      <c r="N618" s="446"/>
      <c r="O618" s="446"/>
      <c r="P618" s="446"/>
      <c r="Q618" s="130">
        <v>1</v>
      </c>
      <c r="R618" s="111">
        <v>85.99</v>
      </c>
      <c r="S618" s="110"/>
      <c r="T618" s="110"/>
      <c r="U618" s="130">
        <v>1</v>
      </c>
      <c r="V618" s="111">
        <v>85.99</v>
      </c>
      <c r="W618" s="110"/>
      <c r="X618" s="110"/>
      <c r="Y618" s="110"/>
      <c r="Z618" s="110"/>
      <c r="AA618" s="130">
        <v>0</v>
      </c>
      <c r="AB618" s="111">
        <v>0</v>
      </c>
      <c r="AC618" s="110"/>
      <c r="AD618" s="110"/>
      <c r="AE618" s="130">
        <v>0</v>
      </c>
      <c r="AF618" s="111">
        <v>0</v>
      </c>
      <c r="AG618" s="110"/>
      <c r="AH618" s="110"/>
      <c r="AI618" s="110"/>
      <c r="AJ618" s="110"/>
      <c r="AK618" s="111">
        <f t="shared" si="138"/>
        <v>171.98</v>
      </c>
      <c r="AL618" s="446">
        <f t="shared" si="139"/>
        <v>0</v>
      </c>
      <c r="AM618" s="110">
        <f t="shared" si="140"/>
        <v>2</v>
      </c>
      <c r="AN618" s="447">
        <f t="shared" si="136"/>
        <v>0</v>
      </c>
      <c r="AO618"/>
      <c r="AP618"/>
    </row>
    <row r="619" spans="1:42" ht="66" x14ac:dyDescent="0.25">
      <c r="A619" s="9"/>
      <c r="B619" s="43" t="s">
        <v>113</v>
      </c>
      <c r="C619" s="1024"/>
      <c r="D619" s="869">
        <v>2</v>
      </c>
      <c r="E619" s="1027" t="s">
        <v>1723</v>
      </c>
      <c r="F619" s="273" t="s">
        <v>3446</v>
      </c>
      <c r="G619" s="1040" t="s">
        <v>3463</v>
      </c>
      <c r="H619" s="273" t="s">
        <v>3462</v>
      </c>
      <c r="I619" s="720">
        <f t="shared" si="141"/>
        <v>275.62</v>
      </c>
      <c r="J619" s="756">
        <v>551.24</v>
      </c>
      <c r="K619" s="131">
        <f t="shared" si="135"/>
        <v>551.24</v>
      </c>
      <c r="L619" s="335">
        <f t="shared" si="137"/>
        <v>0</v>
      </c>
      <c r="M619" s="446"/>
      <c r="N619" s="446"/>
      <c r="O619" s="446"/>
      <c r="P619" s="446"/>
      <c r="Q619" s="130">
        <v>1</v>
      </c>
      <c r="R619" s="111">
        <v>275.62</v>
      </c>
      <c r="S619" s="110"/>
      <c r="T619" s="110"/>
      <c r="U619" s="130">
        <v>1</v>
      </c>
      <c r="V619" s="111">
        <v>275.62</v>
      </c>
      <c r="W619" s="110"/>
      <c r="X619" s="110"/>
      <c r="Y619" s="110"/>
      <c r="Z619" s="110"/>
      <c r="AA619" s="130">
        <v>0</v>
      </c>
      <c r="AB619" s="111">
        <v>0</v>
      </c>
      <c r="AC619" s="110"/>
      <c r="AD619" s="110"/>
      <c r="AE619" s="130">
        <v>0</v>
      </c>
      <c r="AF619" s="111">
        <v>0</v>
      </c>
      <c r="AG619" s="110"/>
      <c r="AH619" s="110"/>
      <c r="AI619" s="110"/>
      <c r="AJ619" s="110"/>
      <c r="AK619" s="111">
        <f t="shared" si="138"/>
        <v>551.24</v>
      </c>
      <c r="AL619" s="446">
        <f t="shared" si="139"/>
        <v>0</v>
      </c>
      <c r="AM619" s="110">
        <f t="shared" si="140"/>
        <v>2</v>
      </c>
      <c r="AN619" s="447">
        <f t="shared" si="136"/>
        <v>0</v>
      </c>
      <c r="AO619"/>
      <c r="AP619"/>
    </row>
    <row r="620" spans="1:42" ht="66" x14ac:dyDescent="0.25">
      <c r="A620" s="9"/>
      <c r="B620" s="45" t="s">
        <v>2536</v>
      </c>
      <c r="C620" s="1024"/>
      <c r="D620" s="869">
        <v>1</v>
      </c>
      <c r="E620" s="1027" t="s">
        <v>1721</v>
      </c>
      <c r="F620" s="273" t="s">
        <v>3446</v>
      </c>
      <c r="G620" s="1040" t="s">
        <v>3463</v>
      </c>
      <c r="H620" s="273" t="s">
        <v>3462</v>
      </c>
      <c r="I620" s="720">
        <f t="shared" si="141"/>
        <v>378.97</v>
      </c>
      <c r="J620" s="756">
        <v>378.97</v>
      </c>
      <c r="K620" s="131">
        <f t="shared" si="135"/>
        <v>378.97</v>
      </c>
      <c r="L620" s="335">
        <f t="shared" si="137"/>
        <v>0</v>
      </c>
      <c r="M620" s="446"/>
      <c r="N620" s="446"/>
      <c r="O620" s="446"/>
      <c r="P620" s="446"/>
      <c r="Q620" s="110">
        <v>1</v>
      </c>
      <c r="R620" s="111">
        <v>378.97</v>
      </c>
      <c r="S620" s="110"/>
      <c r="T620" s="110"/>
      <c r="U620" s="110">
        <v>0</v>
      </c>
      <c r="V620" s="111">
        <v>0</v>
      </c>
      <c r="W620" s="110"/>
      <c r="X620" s="110"/>
      <c r="Y620" s="110"/>
      <c r="Z620" s="110"/>
      <c r="AA620" s="110">
        <v>0</v>
      </c>
      <c r="AB620" s="111">
        <v>0</v>
      </c>
      <c r="AC620" s="110"/>
      <c r="AD620" s="110"/>
      <c r="AE620" s="110">
        <v>0</v>
      </c>
      <c r="AF620" s="111">
        <v>0</v>
      </c>
      <c r="AG620" s="110"/>
      <c r="AH620" s="110"/>
      <c r="AI620" s="110"/>
      <c r="AJ620" s="110"/>
      <c r="AK620" s="111">
        <f t="shared" si="138"/>
        <v>378.97</v>
      </c>
      <c r="AL620" s="446">
        <f t="shared" si="139"/>
        <v>0</v>
      </c>
      <c r="AM620" s="110">
        <f t="shared" si="140"/>
        <v>1</v>
      </c>
      <c r="AN620" s="447">
        <f t="shared" si="136"/>
        <v>0</v>
      </c>
      <c r="AO620"/>
      <c r="AP620"/>
    </row>
    <row r="621" spans="1:42" ht="66" x14ac:dyDescent="0.25">
      <c r="A621" s="9"/>
      <c r="B621" s="59" t="s">
        <v>2570</v>
      </c>
      <c r="C621" s="1024"/>
      <c r="D621" s="869">
        <v>100</v>
      </c>
      <c r="E621" s="1027" t="s">
        <v>1723</v>
      </c>
      <c r="F621" s="273" t="s">
        <v>3446</v>
      </c>
      <c r="G621" s="1040" t="s">
        <v>3463</v>
      </c>
      <c r="H621" s="273" t="s">
        <v>3462</v>
      </c>
      <c r="I621" s="720">
        <f t="shared" si="141"/>
        <v>2.76</v>
      </c>
      <c r="J621" s="756">
        <v>276</v>
      </c>
      <c r="K621" s="131">
        <f t="shared" si="135"/>
        <v>276</v>
      </c>
      <c r="L621" s="335">
        <f t="shared" si="137"/>
        <v>0</v>
      </c>
      <c r="M621" s="446"/>
      <c r="N621" s="446"/>
      <c r="O621" s="446"/>
      <c r="P621" s="446"/>
      <c r="Q621" s="110">
        <v>30</v>
      </c>
      <c r="R621" s="111">
        <f t="shared" si="128"/>
        <v>69</v>
      </c>
      <c r="S621" s="110"/>
      <c r="T621" s="110"/>
      <c r="U621" s="110">
        <v>30</v>
      </c>
      <c r="V621" s="111">
        <f t="shared" si="129"/>
        <v>69</v>
      </c>
      <c r="W621" s="110"/>
      <c r="X621" s="110"/>
      <c r="Y621" s="110"/>
      <c r="Z621" s="110"/>
      <c r="AA621" s="110">
        <v>30</v>
      </c>
      <c r="AB621" s="111">
        <f t="shared" si="130"/>
        <v>69</v>
      </c>
      <c r="AC621" s="110"/>
      <c r="AD621" s="110"/>
      <c r="AE621" s="110">
        <v>10</v>
      </c>
      <c r="AF621" s="111">
        <f t="shared" si="131"/>
        <v>69</v>
      </c>
      <c r="AG621" s="110"/>
      <c r="AH621" s="110"/>
      <c r="AI621" s="110"/>
      <c r="AJ621" s="110"/>
      <c r="AK621" s="111">
        <f t="shared" si="138"/>
        <v>276</v>
      </c>
      <c r="AL621" s="446">
        <f t="shared" si="139"/>
        <v>0</v>
      </c>
      <c r="AM621" s="110">
        <f t="shared" si="140"/>
        <v>100</v>
      </c>
      <c r="AN621" s="447">
        <f t="shared" si="136"/>
        <v>0</v>
      </c>
      <c r="AO621"/>
      <c r="AP621"/>
    </row>
    <row r="622" spans="1:42" ht="66" x14ac:dyDescent="0.25">
      <c r="A622" s="9"/>
      <c r="B622" s="59" t="s">
        <v>2571</v>
      </c>
      <c r="C622" s="1024"/>
      <c r="D622" s="869">
        <v>100</v>
      </c>
      <c r="E622" s="1027" t="s">
        <v>1723</v>
      </c>
      <c r="F622" s="273" t="s">
        <v>3446</v>
      </c>
      <c r="G622" s="1040" t="s">
        <v>3463</v>
      </c>
      <c r="H622" s="273" t="s">
        <v>3462</v>
      </c>
      <c r="I622" s="720">
        <f t="shared" si="141"/>
        <v>4.63</v>
      </c>
      <c r="J622" s="756">
        <v>463</v>
      </c>
      <c r="K622" s="131">
        <f t="shared" si="135"/>
        <v>463</v>
      </c>
      <c r="L622" s="335">
        <f t="shared" si="137"/>
        <v>0</v>
      </c>
      <c r="M622" s="446"/>
      <c r="N622" s="446"/>
      <c r="O622" s="446"/>
      <c r="P622" s="446"/>
      <c r="Q622" s="110">
        <v>30</v>
      </c>
      <c r="R622" s="111">
        <f t="shared" si="128"/>
        <v>115.75</v>
      </c>
      <c r="S622" s="110"/>
      <c r="T622" s="110"/>
      <c r="U622" s="110">
        <v>30</v>
      </c>
      <c r="V622" s="111">
        <f t="shared" si="129"/>
        <v>115.75</v>
      </c>
      <c r="W622" s="110"/>
      <c r="X622" s="110"/>
      <c r="Y622" s="110"/>
      <c r="Z622" s="110"/>
      <c r="AA622" s="110">
        <v>30</v>
      </c>
      <c r="AB622" s="111">
        <f t="shared" si="130"/>
        <v>115.75</v>
      </c>
      <c r="AC622" s="110"/>
      <c r="AD622" s="110"/>
      <c r="AE622" s="110">
        <v>10</v>
      </c>
      <c r="AF622" s="111">
        <f t="shared" si="131"/>
        <v>115.75</v>
      </c>
      <c r="AG622" s="110"/>
      <c r="AH622" s="110"/>
      <c r="AI622" s="110"/>
      <c r="AJ622" s="110"/>
      <c r="AK622" s="111">
        <f t="shared" si="138"/>
        <v>463</v>
      </c>
      <c r="AL622" s="446">
        <f t="shared" si="139"/>
        <v>0</v>
      </c>
      <c r="AM622" s="110">
        <f t="shared" si="140"/>
        <v>100</v>
      </c>
      <c r="AN622" s="447">
        <f t="shared" si="136"/>
        <v>0</v>
      </c>
      <c r="AO622"/>
      <c r="AP622"/>
    </row>
    <row r="623" spans="1:42" ht="66" x14ac:dyDescent="0.25">
      <c r="A623" s="9"/>
      <c r="B623" s="49" t="s">
        <v>2572</v>
      </c>
      <c r="C623" s="1024"/>
      <c r="D623" s="869">
        <v>10</v>
      </c>
      <c r="E623" s="1027" t="s">
        <v>1873</v>
      </c>
      <c r="F623" s="273" t="s">
        <v>3446</v>
      </c>
      <c r="G623" s="1040" t="s">
        <v>3463</v>
      </c>
      <c r="H623" s="273" t="s">
        <v>3462</v>
      </c>
      <c r="I623" s="720">
        <f t="shared" si="141"/>
        <v>125</v>
      </c>
      <c r="J623" s="756">
        <v>1250</v>
      </c>
      <c r="K623" s="131">
        <f t="shared" si="135"/>
        <v>1250</v>
      </c>
      <c r="L623" s="335">
        <f t="shared" si="137"/>
        <v>0</v>
      </c>
      <c r="M623" s="446"/>
      <c r="N623" s="446"/>
      <c r="O623" s="446"/>
      <c r="P623" s="446"/>
      <c r="Q623" s="130">
        <v>3</v>
      </c>
      <c r="R623" s="111">
        <f t="shared" si="128"/>
        <v>312.5</v>
      </c>
      <c r="S623" s="110"/>
      <c r="T623" s="110"/>
      <c r="U623" s="130">
        <v>3</v>
      </c>
      <c r="V623" s="111">
        <f t="shared" si="129"/>
        <v>312.5</v>
      </c>
      <c r="W623" s="110"/>
      <c r="X623" s="110"/>
      <c r="Y623" s="110"/>
      <c r="Z623" s="110"/>
      <c r="AA623" s="130">
        <v>2</v>
      </c>
      <c r="AB623" s="111">
        <f t="shared" si="130"/>
        <v>312.5</v>
      </c>
      <c r="AC623" s="110"/>
      <c r="AD623" s="110"/>
      <c r="AE623" s="130">
        <v>2</v>
      </c>
      <c r="AF623" s="111">
        <f t="shared" si="131"/>
        <v>312.5</v>
      </c>
      <c r="AG623" s="110"/>
      <c r="AH623" s="110"/>
      <c r="AI623" s="110"/>
      <c r="AJ623" s="110"/>
      <c r="AK623" s="111">
        <f t="shared" si="138"/>
        <v>1250</v>
      </c>
      <c r="AL623" s="446">
        <f t="shared" si="139"/>
        <v>0</v>
      </c>
      <c r="AM623" s="110">
        <f t="shared" si="140"/>
        <v>10</v>
      </c>
      <c r="AN623" s="447">
        <f t="shared" si="136"/>
        <v>0</v>
      </c>
      <c r="AO623"/>
      <c r="AP623"/>
    </row>
    <row r="624" spans="1:42" ht="66" x14ac:dyDescent="0.25">
      <c r="A624" s="9"/>
      <c r="B624" s="49" t="s">
        <v>2573</v>
      </c>
      <c r="C624" s="1024"/>
      <c r="D624" s="869">
        <v>10</v>
      </c>
      <c r="E624" s="1027" t="s">
        <v>1873</v>
      </c>
      <c r="F624" s="273" t="s">
        <v>3446</v>
      </c>
      <c r="G624" s="1040" t="s">
        <v>3463</v>
      </c>
      <c r="H624" s="273" t="s">
        <v>3462</v>
      </c>
      <c r="I624" s="720">
        <f t="shared" si="141"/>
        <v>169</v>
      </c>
      <c r="J624" s="756">
        <v>1690</v>
      </c>
      <c r="K624" s="131">
        <f t="shared" si="135"/>
        <v>1690</v>
      </c>
      <c r="L624" s="335">
        <f t="shared" si="137"/>
        <v>0</v>
      </c>
      <c r="M624" s="446"/>
      <c r="N624" s="446"/>
      <c r="O624" s="446"/>
      <c r="P624" s="446"/>
      <c r="Q624" s="130">
        <v>3</v>
      </c>
      <c r="R624" s="111">
        <f t="shared" si="128"/>
        <v>422.5</v>
      </c>
      <c r="S624" s="110"/>
      <c r="T624" s="110"/>
      <c r="U624" s="130">
        <v>3</v>
      </c>
      <c r="V624" s="111">
        <f t="shared" si="129"/>
        <v>422.5</v>
      </c>
      <c r="W624" s="110"/>
      <c r="X624" s="110"/>
      <c r="Y624" s="110"/>
      <c r="Z624" s="110"/>
      <c r="AA624" s="130">
        <v>2</v>
      </c>
      <c r="AB624" s="111">
        <f t="shared" si="130"/>
        <v>422.5</v>
      </c>
      <c r="AC624" s="110"/>
      <c r="AD624" s="110"/>
      <c r="AE624" s="130">
        <v>2</v>
      </c>
      <c r="AF624" s="111">
        <f t="shared" si="131"/>
        <v>422.5</v>
      </c>
      <c r="AG624" s="110"/>
      <c r="AH624" s="110"/>
      <c r="AI624" s="110"/>
      <c r="AJ624" s="110"/>
      <c r="AK624" s="111">
        <f t="shared" si="138"/>
        <v>1690</v>
      </c>
      <c r="AL624" s="446">
        <f t="shared" si="139"/>
        <v>0</v>
      </c>
      <c r="AM624" s="110">
        <f t="shared" si="140"/>
        <v>10</v>
      </c>
      <c r="AN624" s="447">
        <f t="shared" si="136"/>
        <v>0</v>
      </c>
      <c r="AO624"/>
      <c r="AP624"/>
    </row>
    <row r="625" spans="1:42" ht="66" x14ac:dyDescent="0.25">
      <c r="A625" s="9"/>
      <c r="B625" s="49" t="s">
        <v>2574</v>
      </c>
      <c r="C625" s="1024"/>
      <c r="D625" s="869">
        <v>10</v>
      </c>
      <c r="E625" s="1027" t="s">
        <v>1873</v>
      </c>
      <c r="F625" s="273" t="s">
        <v>3446</v>
      </c>
      <c r="G625" s="1040" t="s">
        <v>3463</v>
      </c>
      <c r="H625" s="273" t="s">
        <v>3462</v>
      </c>
      <c r="I625" s="720">
        <f t="shared" si="141"/>
        <v>103.26300000000001</v>
      </c>
      <c r="J625" s="756">
        <v>1032.6300000000001</v>
      </c>
      <c r="K625" s="131">
        <f t="shared" si="135"/>
        <v>1032.6300000000001</v>
      </c>
      <c r="L625" s="335">
        <f t="shared" si="137"/>
        <v>0</v>
      </c>
      <c r="M625" s="446"/>
      <c r="N625" s="446"/>
      <c r="O625" s="446"/>
      <c r="P625" s="446"/>
      <c r="Q625" s="130">
        <v>3</v>
      </c>
      <c r="R625" s="111">
        <f t="shared" si="128"/>
        <v>258.15750000000003</v>
      </c>
      <c r="S625" s="110"/>
      <c r="T625" s="110"/>
      <c r="U625" s="130">
        <v>3</v>
      </c>
      <c r="V625" s="111">
        <f t="shared" si="129"/>
        <v>258.15750000000003</v>
      </c>
      <c r="W625" s="110"/>
      <c r="X625" s="110"/>
      <c r="Y625" s="110"/>
      <c r="Z625" s="110"/>
      <c r="AA625" s="130">
        <v>2</v>
      </c>
      <c r="AB625" s="111">
        <f t="shared" si="130"/>
        <v>258.15750000000003</v>
      </c>
      <c r="AC625" s="110"/>
      <c r="AD625" s="110"/>
      <c r="AE625" s="130">
        <v>2</v>
      </c>
      <c r="AF625" s="111">
        <f t="shared" si="131"/>
        <v>258.15750000000003</v>
      </c>
      <c r="AG625" s="110"/>
      <c r="AH625" s="110"/>
      <c r="AI625" s="110"/>
      <c r="AJ625" s="110"/>
      <c r="AK625" s="111">
        <f t="shared" si="138"/>
        <v>1032.6300000000001</v>
      </c>
      <c r="AL625" s="446">
        <f t="shared" si="139"/>
        <v>0</v>
      </c>
      <c r="AM625" s="110">
        <f t="shared" si="140"/>
        <v>10</v>
      </c>
      <c r="AN625" s="447">
        <f t="shared" si="136"/>
        <v>0</v>
      </c>
      <c r="AO625"/>
      <c r="AP625"/>
    </row>
    <row r="626" spans="1:42" ht="66" x14ac:dyDescent="0.25">
      <c r="A626" s="9"/>
      <c r="B626" s="59" t="s">
        <v>2575</v>
      </c>
      <c r="C626" s="1024"/>
      <c r="D626" s="869">
        <v>10</v>
      </c>
      <c r="E626" s="250" t="s">
        <v>1733</v>
      </c>
      <c r="F626" s="273" t="s">
        <v>3446</v>
      </c>
      <c r="G626" s="1040" t="s">
        <v>3463</v>
      </c>
      <c r="H626" s="273" t="s">
        <v>3462</v>
      </c>
      <c r="I626" s="720">
        <f t="shared" si="141"/>
        <v>91.99</v>
      </c>
      <c r="J626" s="756">
        <v>919.9</v>
      </c>
      <c r="K626" s="131">
        <f t="shared" si="135"/>
        <v>919.9</v>
      </c>
      <c r="L626" s="335">
        <f t="shared" si="137"/>
        <v>0</v>
      </c>
      <c r="M626" s="446"/>
      <c r="N626" s="446"/>
      <c r="O626" s="446"/>
      <c r="P626" s="446"/>
      <c r="Q626" s="130">
        <v>3</v>
      </c>
      <c r="R626" s="111">
        <f t="shared" si="128"/>
        <v>229.97499999999999</v>
      </c>
      <c r="S626" s="110"/>
      <c r="T626" s="110"/>
      <c r="U626" s="130">
        <v>3</v>
      </c>
      <c r="V626" s="111">
        <f t="shared" si="129"/>
        <v>229.97499999999999</v>
      </c>
      <c r="W626" s="110"/>
      <c r="X626" s="110"/>
      <c r="Y626" s="110"/>
      <c r="Z626" s="110"/>
      <c r="AA626" s="130">
        <v>2</v>
      </c>
      <c r="AB626" s="111">
        <f t="shared" si="130"/>
        <v>229.97499999999999</v>
      </c>
      <c r="AC626" s="110"/>
      <c r="AD626" s="110"/>
      <c r="AE626" s="130">
        <v>2</v>
      </c>
      <c r="AF626" s="111">
        <f t="shared" si="131"/>
        <v>229.97499999999999</v>
      </c>
      <c r="AG626" s="110"/>
      <c r="AH626" s="110"/>
      <c r="AI626" s="110"/>
      <c r="AJ626" s="110"/>
      <c r="AK626" s="111">
        <f t="shared" si="138"/>
        <v>919.9</v>
      </c>
      <c r="AL626" s="446">
        <f t="shared" si="139"/>
        <v>0</v>
      </c>
      <c r="AM626" s="110">
        <f t="shared" si="140"/>
        <v>10</v>
      </c>
      <c r="AN626" s="447">
        <f t="shared" si="136"/>
        <v>0</v>
      </c>
      <c r="AO626"/>
      <c r="AP626"/>
    </row>
    <row r="627" spans="1:42" ht="66" x14ac:dyDescent="0.25">
      <c r="A627" s="9"/>
      <c r="B627" s="59" t="s">
        <v>2576</v>
      </c>
      <c r="C627" s="1024"/>
      <c r="D627" s="869">
        <v>2</v>
      </c>
      <c r="E627" s="1027" t="s">
        <v>1725</v>
      </c>
      <c r="F627" s="273" t="s">
        <v>3446</v>
      </c>
      <c r="G627" s="1040" t="s">
        <v>3463</v>
      </c>
      <c r="H627" s="273" t="s">
        <v>3462</v>
      </c>
      <c r="I627" s="720">
        <f t="shared" si="141"/>
        <v>110.25</v>
      </c>
      <c r="J627" s="756">
        <v>220.5</v>
      </c>
      <c r="K627" s="131">
        <f t="shared" si="135"/>
        <v>220.5</v>
      </c>
      <c r="L627" s="335">
        <f t="shared" si="137"/>
        <v>0</v>
      </c>
      <c r="M627" s="446"/>
      <c r="N627" s="446"/>
      <c r="O627" s="446"/>
      <c r="P627" s="446"/>
      <c r="Q627" s="130">
        <v>1</v>
      </c>
      <c r="R627" s="111">
        <v>110.25</v>
      </c>
      <c r="S627" s="110"/>
      <c r="T627" s="110"/>
      <c r="U627" s="130">
        <v>1</v>
      </c>
      <c r="V627" s="111">
        <v>110.25</v>
      </c>
      <c r="W627" s="110"/>
      <c r="X627" s="110"/>
      <c r="Y627" s="110"/>
      <c r="Z627" s="110"/>
      <c r="AA627" s="130">
        <v>0</v>
      </c>
      <c r="AB627" s="111">
        <v>0</v>
      </c>
      <c r="AC627" s="110"/>
      <c r="AD627" s="110"/>
      <c r="AE627" s="130">
        <v>0</v>
      </c>
      <c r="AF627" s="111">
        <v>0</v>
      </c>
      <c r="AG627" s="110"/>
      <c r="AH627" s="110"/>
      <c r="AI627" s="110"/>
      <c r="AJ627" s="110"/>
      <c r="AK627" s="111">
        <f t="shared" si="138"/>
        <v>220.5</v>
      </c>
      <c r="AL627" s="446">
        <f t="shared" si="139"/>
        <v>0</v>
      </c>
      <c r="AM627" s="110">
        <f t="shared" si="140"/>
        <v>2</v>
      </c>
      <c r="AN627" s="447">
        <f t="shared" si="136"/>
        <v>0</v>
      </c>
      <c r="AO627"/>
      <c r="AP627"/>
    </row>
    <row r="628" spans="1:42" ht="66" x14ac:dyDescent="0.25">
      <c r="A628" s="9"/>
      <c r="B628" s="219" t="s">
        <v>2584</v>
      </c>
      <c r="C628" s="1024"/>
      <c r="D628" s="880">
        <v>3</v>
      </c>
      <c r="E628" s="1025" t="s">
        <v>1748</v>
      </c>
      <c r="F628" s="273" t="s">
        <v>3446</v>
      </c>
      <c r="G628" s="1040" t="s">
        <v>3463</v>
      </c>
      <c r="H628" s="273" t="s">
        <v>3462</v>
      </c>
      <c r="I628" s="720">
        <f t="shared" si="141"/>
        <v>11.971200000000001</v>
      </c>
      <c r="J628" s="756">
        <v>35.913600000000002</v>
      </c>
      <c r="K628" s="131">
        <f t="shared" si="135"/>
        <v>35.913600000000002</v>
      </c>
      <c r="L628" s="335">
        <f t="shared" si="137"/>
        <v>0</v>
      </c>
      <c r="M628" s="446"/>
      <c r="N628" s="446"/>
      <c r="O628" s="446"/>
      <c r="P628" s="446"/>
      <c r="Q628" s="130">
        <v>1</v>
      </c>
      <c r="R628" s="111">
        <v>11.97</v>
      </c>
      <c r="S628" s="110"/>
      <c r="T628" s="110"/>
      <c r="U628" s="130">
        <v>1</v>
      </c>
      <c r="V628" s="111">
        <v>11.97</v>
      </c>
      <c r="W628" s="110"/>
      <c r="X628" s="110"/>
      <c r="Y628" s="110"/>
      <c r="Z628" s="110"/>
      <c r="AA628" s="130">
        <v>1</v>
      </c>
      <c r="AB628" s="111">
        <v>11.97</v>
      </c>
      <c r="AC628" s="110"/>
      <c r="AD628" s="110"/>
      <c r="AE628" s="130">
        <v>0</v>
      </c>
      <c r="AF628" s="111">
        <v>0</v>
      </c>
      <c r="AG628" s="110"/>
      <c r="AH628" s="110"/>
      <c r="AI628" s="110"/>
      <c r="AJ628" s="110"/>
      <c r="AK628" s="111">
        <f t="shared" si="138"/>
        <v>35.910000000000004</v>
      </c>
      <c r="AL628" s="446">
        <f t="shared" si="139"/>
        <v>3.5999999999987153E-3</v>
      </c>
      <c r="AM628" s="110">
        <f t="shared" si="140"/>
        <v>3</v>
      </c>
      <c r="AN628" s="447">
        <f t="shared" si="136"/>
        <v>0</v>
      </c>
      <c r="AO628"/>
      <c r="AP628"/>
    </row>
    <row r="629" spans="1:42" ht="66" x14ac:dyDescent="0.25">
      <c r="A629" s="9"/>
      <c r="B629" s="219" t="s">
        <v>2585</v>
      </c>
      <c r="C629" s="1024"/>
      <c r="D629" s="880">
        <v>3</v>
      </c>
      <c r="E629" s="1025" t="s">
        <v>1748</v>
      </c>
      <c r="F629" s="273" t="s">
        <v>3446</v>
      </c>
      <c r="G629" s="1040" t="s">
        <v>3463</v>
      </c>
      <c r="H629" s="273" t="s">
        <v>3462</v>
      </c>
      <c r="I629" s="720">
        <f t="shared" si="141"/>
        <v>10.486399999999998</v>
      </c>
      <c r="J629" s="756">
        <v>31.459199999999996</v>
      </c>
      <c r="K629" s="131">
        <f t="shared" si="135"/>
        <v>31.459199999999996</v>
      </c>
      <c r="L629" s="335">
        <f t="shared" si="137"/>
        <v>0</v>
      </c>
      <c r="M629" s="446"/>
      <c r="N629" s="446"/>
      <c r="O629" s="446"/>
      <c r="P629" s="446"/>
      <c r="Q629" s="130">
        <v>1</v>
      </c>
      <c r="R629" s="111">
        <v>10.49</v>
      </c>
      <c r="S629" s="110"/>
      <c r="T629" s="110"/>
      <c r="U629" s="130">
        <v>1</v>
      </c>
      <c r="V629" s="111">
        <v>10.49</v>
      </c>
      <c r="W629" s="110"/>
      <c r="X629" s="110"/>
      <c r="Y629" s="110"/>
      <c r="Z629" s="110"/>
      <c r="AA629" s="130">
        <v>1</v>
      </c>
      <c r="AB629" s="111">
        <v>10.49</v>
      </c>
      <c r="AC629" s="110"/>
      <c r="AD629" s="110"/>
      <c r="AE629" s="130">
        <v>0</v>
      </c>
      <c r="AF629" s="111">
        <v>0</v>
      </c>
      <c r="AG629" s="110"/>
      <c r="AH629" s="110"/>
      <c r="AI629" s="110"/>
      <c r="AJ629" s="110"/>
      <c r="AK629" s="111">
        <f t="shared" si="138"/>
        <v>31.47</v>
      </c>
      <c r="AL629" s="446">
        <f t="shared" si="139"/>
        <v>-1.0800000000003251E-2</v>
      </c>
      <c r="AM629" s="110">
        <f t="shared" si="140"/>
        <v>3</v>
      </c>
      <c r="AN629" s="447">
        <f t="shared" si="136"/>
        <v>0</v>
      </c>
      <c r="AO629"/>
      <c r="AP629"/>
    </row>
    <row r="630" spans="1:42" ht="66" x14ac:dyDescent="0.25">
      <c r="A630" s="9"/>
      <c r="B630" s="219" t="s">
        <v>2586</v>
      </c>
      <c r="C630" s="1024"/>
      <c r="D630" s="880">
        <v>3</v>
      </c>
      <c r="E630" s="1025" t="s">
        <v>1748</v>
      </c>
      <c r="F630" s="273" t="s">
        <v>3446</v>
      </c>
      <c r="G630" s="1040" t="s">
        <v>3463</v>
      </c>
      <c r="H630" s="273" t="s">
        <v>3462</v>
      </c>
      <c r="I630" s="720">
        <f t="shared" si="141"/>
        <v>14.128799999999998</v>
      </c>
      <c r="J630" s="756">
        <v>42.386399999999995</v>
      </c>
      <c r="K630" s="131">
        <f t="shared" si="135"/>
        <v>42.386399999999995</v>
      </c>
      <c r="L630" s="335">
        <f t="shared" si="137"/>
        <v>0</v>
      </c>
      <c r="M630" s="446"/>
      <c r="N630" s="446"/>
      <c r="O630" s="446"/>
      <c r="P630" s="446"/>
      <c r="Q630" s="130">
        <v>1</v>
      </c>
      <c r="R630" s="111">
        <v>14.13</v>
      </c>
      <c r="S630" s="110"/>
      <c r="T630" s="110"/>
      <c r="U630" s="130">
        <v>1</v>
      </c>
      <c r="V630" s="111">
        <v>14.13</v>
      </c>
      <c r="W630" s="110"/>
      <c r="X630" s="110"/>
      <c r="Y630" s="110"/>
      <c r="Z630" s="110"/>
      <c r="AA630" s="130">
        <v>1</v>
      </c>
      <c r="AB630" s="111">
        <v>14.13</v>
      </c>
      <c r="AC630" s="110"/>
      <c r="AD630" s="110"/>
      <c r="AE630" s="130">
        <v>0</v>
      </c>
      <c r="AF630" s="111">
        <v>0</v>
      </c>
      <c r="AG630" s="110"/>
      <c r="AH630" s="110"/>
      <c r="AI630" s="110"/>
      <c r="AJ630" s="110"/>
      <c r="AK630" s="111">
        <f t="shared" si="138"/>
        <v>42.39</v>
      </c>
      <c r="AL630" s="446">
        <f t="shared" si="139"/>
        <v>-3.6000000000058208E-3</v>
      </c>
      <c r="AM630" s="110">
        <f t="shared" si="140"/>
        <v>3</v>
      </c>
      <c r="AN630" s="447">
        <f t="shared" si="136"/>
        <v>0</v>
      </c>
      <c r="AO630"/>
      <c r="AP630"/>
    </row>
    <row r="631" spans="1:42" ht="66" x14ac:dyDescent="0.25">
      <c r="A631" s="9"/>
      <c r="B631" s="219" t="s">
        <v>2587</v>
      </c>
      <c r="C631" s="1024"/>
      <c r="D631" s="880">
        <v>3</v>
      </c>
      <c r="E631" s="1025" t="s">
        <v>1748</v>
      </c>
      <c r="F631" s="273" t="s">
        <v>3446</v>
      </c>
      <c r="G631" s="1040" t="s">
        <v>3463</v>
      </c>
      <c r="H631" s="273" t="s">
        <v>3462</v>
      </c>
      <c r="I631" s="720">
        <f t="shared" si="141"/>
        <v>24.36</v>
      </c>
      <c r="J631" s="756">
        <v>73.08</v>
      </c>
      <c r="K631" s="131">
        <f t="shared" si="135"/>
        <v>73.08</v>
      </c>
      <c r="L631" s="335">
        <f t="shared" si="137"/>
        <v>0</v>
      </c>
      <c r="M631" s="446"/>
      <c r="N631" s="446"/>
      <c r="O631" s="446"/>
      <c r="P631" s="446"/>
      <c r="Q631" s="130">
        <v>1</v>
      </c>
      <c r="R631" s="111">
        <v>24.36</v>
      </c>
      <c r="S631" s="110"/>
      <c r="T631" s="110"/>
      <c r="U631" s="130">
        <v>1</v>
      </c>
      <c r="V631" s="111">
        <v>24.36</v>
      </c>
      <c r="W631" s="110"/>
      <c r="X631" s="110"/>
      <c r="Y631" s="110"/>
      <c r="Z631" s="110"/>
      <c r="AA631" s="130">
        <v>1</v>
      </c>
      <c r="AB631" s="111">
        <v>24.36</v>
      </c>
      <c r="AC631" s="110"/>
      <c r="AD631" s="110"/>
      <c r="AE631" s="130">
        <v>0</v>
      </c>
      <c r="AF631" s="111">
        <v>0</v>
      </c>
      <c r="AG631" s="110"/>
      <c r="AH631" s="110"/>
      <c r="AI631" s="110"/>
      <c r="AJ631" s="110"/>
      <c r="AK631" s="111">
        <f t="shared" si="138"/>
        <v>73.08</v>
      </c>
      <c r="AL631" s="446">
        <f t="shared" si="139"/>
        <v>0</v>
      </c>
      <c r="AM631" s="110">
        <f t="shared" si="140"/>
        <v>3</v>
      </c>
      <c r="AN631" s="447">
        <f t="shared" si="136"/>
        <v>0</v>
      </c>
      <c r="AO631"/>
      <c r="AP631"/>
    </row>
    <row r="632" spans="1:42" ht="66" x14ac:dyDescent="0.25">
      <c r="A632" s="9"/>
      <c r="B632" s="219" t="s">
        <v>2588</v>
      </c>
      <c r="C632" s="1024"/>
      <c r="D632" s="880">
        <v>3</v>
      </c>
      <c r="E632" s="1025" t="s">
        <v>1748</v>
      </c>
      <c r="F632" s="273" t="s">
        <v>3446</v>
      </c>
      <c r="G632" s="1040" t="s">
        <v>3463</v>
      </c>
      <c r="H632" s="273" t="s">
        <v>3462</v>
      </c>
      <c r="I632" s="720">
        <f t="shared" si="141"/>
        <v>10.6488</v>
      </c>
      <c r="J632" s="756">
        <v>31.946399999999997</v>
      </c>
      <c r="K632" s="131">
        <f t="shared" si="135"/>
        <v>31.946399999999997</v>
      </c>
      <c r="L632" s="335">
        <f t="shared" si="137"/>
        <v>0</v>
      </c>
      <c r="M632" s="446"/>
      <c r="N632" s="446"/>
      <c r="O632" s="446"/>
      <c r="P632" s="446"/>
      <c r="Q632" s="130">
        <v>1</v>
      </c>
      <c r="R632" s="111">
        <v>10.65</v>
      </c>
      <c r="S632" s="110"/>
      <c r="T632" s="110"/>
      <c r="U632" s="130">
        <v>1</v>
      </c>
      <c r="V632" s="111">
        <v>10.65</v>
      </c>
      <c r="W632" s="110"/>
      <c r="X632" s="110"/>
      <c r="Y632" s="110"/>
      <c r="Z632" s="110"/>
      <c r="AA632" s="130">
        <v>1</v>
      </c>
      <c r="AB632" s="111">
        <v>10.65</v>
      </c>
      <c r="AC632" s="110"/>
      <c r="AD632" s="110"/>
      <c r="AE632" s="130">
        <v>0</v>
      </c>
      <c r="AF632" s="111">
        <v>0</v>
      </c>
      <c r="AG632" s="110"/>
      <c r="AH632" s="110"/>
      <c r="AI632" s="110"/>
      <c r="AJ632" s="110"/>
      <c r="AK632" s="111">
        <f t="shared" si="138"/>
        <v>31.950000000000003</v>
      </c>
      <c r="AL632" s="446">
        <f t="shared" si="139"/>
        <v>-3.6000000000058208E-3</v>
      </c>
      <c r="AM632" s="110">
        <f t="shared" si="140"/>
        <v>3</v>
      </c>
      <c r="AN632" s="447">
        <f t="shared" si="136"/>
        <v>0</v>
      </c>
      <c r="AO632"/>
      <c r="AP632"/>
    </row>
    <row r="633" spans="1:42" ht="66" x14ac:dyDescent="0.25">
      <c r="A633" s="9"/>
      <c r="B633" s="219" t="s">
        <v>2589</v>
      </c>
      <c r="C633" s="1024"/>
      <c r="D633" s="880">
        <v>8</v>
      </c>
      <c r="E633" s="1025" t="s">
        <v>2599</v>
      </c>
      <c r="F633" s="273" t="s">
        <v>3446</v>
      </c>
      <c r="G633" s="1040" t="s">
        <v>3463</v>
      </c>
      <c r="H633" s="273" t="s">
        <v>3462</v>
      </c>
      <c r="I633" s="720">
        <f t="shared" si="141"/>
        <v>19.290799999999997</v>
      </c>
      <c r="J633" s="756">
        <v>154.32639999999998</v>
      </c>
      <c r="K633" s="131">
        <f t="shared" si="135"/>
        <v>154.32639999999998</v>
      </c>
      <c r="L633" s="335">
        <f t="shared" si="137"/>
        <v>0</v>
      </c>
      <c r="M633" s="446"/>
      <c r="N633" s="446"/>
      <c r="O633" s="446"/>
      <c r="P633" s="446"/>
      <c r="Q633" s="110">
        <f t="shared" si="132"/>
        <v>2</v>
      </c>
      <c r="R633" s="111">
        <f t="shared" si="128"/>
        <v>38.581599999999995</v>
      </c>
      <c r="S633" s="110"/>
      <c r="T633" s="110"/>
      <c r="U633" s="110">
        <f t="shared" si="133"/>
        <v>2</v>
      </c>
      <c r="V633" s="111">
        <f t="shared" si="129"/>
        <v>38.581599999999995</v>
      </c>
      <c r="W633" s="110"/>
      <c r="X633" s="110"/>
      <c r="Y633" s="110"/>
      <c r="Z633" s="110"/>
      <c r="AA633" s="110">
        <f t="shared" si="134"/>
        <v>2</v>
      </c>
      <c r="AB633" s="111">
        <f t="shared" si="130"/>
        <v>38.581599999999995</v>
      </c>
      <c r="AC633" s="110"/>
      <c r="AD633" s="110"/>
      <c r="AE633" s="110">
        <f t="shared" si="134"/>
        <v>2</v>
      </c>
      <c r="AF633" s="111">
        <f t="shared" si="131"/>
        <v>38.581599999999995</v>
      </c>
      <c r="AG633" s="110"/>
      <c r="AH633" s="110"/>
      <c r="AI633" s="110"/>
      <c r="AJ633" s="110"/>
      <c r="AK633" s="111">
        <f t="shared" si="138"/>
        <v>154.32639999999998</v>
      </c>
      <c r="AL633" s="446">
        <f t="shared" si="139"/>
        <v>0</v>
      </c>
      <c r="AM633" s="110">
        <f t="shared" si="140"/>
        <v>8</v>
      </c>
      <c r="AN633" s="447">
        <f t="shared" si="136"/>
        <v>0</v>
      </c>
      <c r="AO633"/>
      <c r="AP633"/>
    </row>
    <row r="634" spans="1:42" ht="66" x14ac:dyDescent="0.25">
      <c r="A634" s="9"/>
      <c r="B634" s="76" t="s">
        <v>2590</v>
      </c>
      <c r="C634" s="1024"/>
      <c r="D634" s="880">
        <v>3</v>
      </c>
      <c r="E634" s="1025" t="s">
        <v>2599</v>
      </c>
      <c r="F634" s="273" t="s">
        <v>3446</v>
      </c>
      <c r="G634" s="1040" t="s">
        <v>3463</v>
      </c>
      <c r="H634" s="273" t="s">
        <v>3462</v>
      </c>
      <c r="I634" s="720">
        <f t="shared" si="141"/>
        <v>149.75599999999997</v>
      </c>
      <c r="J634" s="756">
        <v>449.26799999999992</v>
      </c>
      <c r="K634" s="131">
        <f t="shared" si="135"/>
        <v>449.26799999999992</v>
      </c>
      <c r="L634" s="335">
        <f t="shared" si="137"/>
        <v>0</v>
      </c>
      <c r="M634" s="446"/>
      <c r="N634" s="446"/>
      <c r="O634" s="446"/>
      <c r="P634" s="446"/>
      <c r="Q634" s="130">
        <v>1</v>
      </c>
      <c r="R634" s="111">
        <v>149.76</v>
      </c>
      <c r="S634" s="110"/>
      <c r="T634" s="110"/>
      <c r="U634" s="130">
        <v>1</v>
      </c>
      <c r="V634" s="111">
        <v>149.76</v>
      </c>
      <c r="W634" s="110"/>
      <c r="X634" s="110"/>
      <c r="Y634" s="110"/>
      <c r="Z634" s="110"/>
      <c r="AA634" s="130">
        <v>1</v>
      </c>
      <c r="AB634" s="111">
        <v>149.76</v>
      </c>
      <c r="AC634" s="110"/>
      <c r="AD634" s="110"/>
      <c r="AE634" s="130">
        <v>0</v>
      </c>
      <c r="AF634" s="111">
        <v>0</v>
      </c>
      <c r="AG634" s="110"/>
      <c r="AH634" s="110"/>
      <c r="AI634" s="110"/>
      <c r="AJ634" s="110"/>
      <c r="AK634" s="111">
        <f t="shared" si="138"/>
        <v>449.28</v>
      </c>
      <c r="AL634" s="446">
        <f t="shared" si="139"/>
        <v>-1.2000000000057298E-2</v>
      </c>
      <c r="AM634" s="110">
        <f t="shared" si="140"/>
        <v>3</v>
      </c>
      <c r="AN634" s="447">
        <f t="shared" si="136"/>
        <v>0</v>
      </c>
      <c r="AO634"/>
      <c r="AP634"/>
    </row>
    <row r="635" spans="1:42" ht="66" x14ac:dyDescent="0.25">
      <c r="A635" s="9"/>
      <c r="B635" s="219" t="s">
        <v>2038</v>
      </c>
      <c r="C635" s="1024"/>
      <c r="D635" s="880">
        <v>1</v>
      </c>
      <c r="E635" s="1025" t="s">
        <v>2599</v>
      </c>
      <c r="F635" s="273" t="s">
        <v>3446</v>
      </c>
      <c r="G635" s="1040" t="s">
        <v>3463</v>
      </c>
      <c r="H635" s="273" t="s">
        <v>3462</v>
      </c>
      <c r="I635" s="720">
        <f t="shared" si="141"/>
        <v>679.51639999999986</v>
      </c>
      <c r="J635" s="756">
        <v>679.51639999999986</v>
      </c>
      <c r="K635" s="131">
        <f t="shared" si="135"/>
        <v>679.51639999999986</v>
      </c>
      <c r="L635" s="335">
        <f t="shared" si="137"/>
        <v>0</v>
      </c>
      <c r="M635" s="446"/>
      <c r="N635" s="446"/>
      <c r="O635" s="446"/>
      <c r="P635" s="446"/>
      <c r="Q635" s="110">
        <v>1</v>
      </c>
      <c r="R635" s="111">
        <v>679.52</v>
      </c>
      <c r="S635" s="110"/>
      <c r="T635" s="110"/>
      <c r="U635" s="110">
        <v>0</v>
      </c>
      <c r="V635" s="111">
        <v>0</v>
      </c>
      <c r="W635" s="110"/>
      <c r="X635" s="110"/>
      <c r="Y635" s="110"/>
      <c r="Z635" s="110"/>
      <c r="AA635" s="110">
        <v>0</v>
      </c>
      <c r="AB635" s="111">
        <v>0</v>
      </c>
      <c r="AC635" s="110"/>
      <c r="AD635" s="110"/>
      <c r="AE635" s="110">
        <v>0</v>
      </c>
      <c r="AF635" s="111">
        <v>0</v>
      </c>
      <c r="AG635" s="110"/>
      <c r="AH635" s="110"/>
      <c r="AI635" s="110"/>
      <c r="AJ635" s="110"/>
      <c r="AK635" s="111">
        <f t="shared" si="138"/>
        <v>679.52</v>
      </c>
      <c r="AL635" s="446">
        <f t="shared" si="139"/>
        <v>-3.6000000001195076E-3</v>
      </c>
      <c r="AM635" s="110">
        <f t="shared" si="140"/>
        <v>1</v>
      </c>
      <c r="AN635" s="447">
        <f t="shared" si="136"/>
        <v>0</v>
      </c>
      <c r="AO635"/>
      <c r="AP635"/>
    </row>
    <row r="636" spans="1:42" ht="66" x14ac:dyDescent="0.25">
      <c r="A636" s="9"/>
      <c r="B636" s="219" t="s">
        <v>2591</v>
      </c>
      <c r="C636" s="1024"/>
      <c r="D636" s="880">
        <v>10</v>
      </c>
      <c r="E636" s="1025" t="s">
        <v>2599</v>
      </c>
      <c r="F636" s="273" t="s">
        <v>3446</v>
      </c>
      <c r="G636" s="1040" t="s">
        <v>3463</v>
      </c>
      <c r="H636" s="273" t="s">
        <v>3462</v>
      </c>
      <c r="I636" s="720">
        <f t="shared" si="141"/>
        <v>11.089599999999999</v>
      </c>
      <c r="J636" s="756">
        <v>110.89599999999999</v>
      </c>
      <c r="K636" s="131">
        <f t="shared" si="135"/>
        <v>110.89599999999999</v>
      </c>
      <c r="L636" s="335">
        <f t="shared" si="137"/>
        <v>0</v>
      </c>
      <c r="M636" s="446"/>
      <c r="N636" s="446"/>
      <c r="O636" s="446"/>
      <c r="P636" s="446"/>
      <c r="Q636" s="130">
        <v>3</v>
      </c>
      <c r="R636" s="111">
        <f t="shared" si="128"/>
        <v>27.723999999999997</v>
      </c>
      <c r="S636" s="110"/>
      <c r="T636" s="110"/>
      <c r="U636" s="130">
        <v>3</v>
      </c>
      <c r="V636" s="111">
        <f t="shared" si="129"/>
        <v>27.723999999999997</v>
      </c>
      <c r="W636" s="110"/>
      <c r="X636" s="110"/>
      <c r="Y636" s="110"/>
      <c r="Z636" s="110"/>
      <c r="AA636" s="130">
        <v>2</v>
      </c>
      <c r="AB636" s="111">
        <f t="shared" si="130"/>
        <v>27.723999999999997</v>
      </c>
      <c r="AC636" s="110"/>
      <c r="AD636" s="110"/>
      <c r="AE636" s="130">
        <v>2</v>
      </c>
      <c r="AF636" s="111">
        <f t="shared" si="131"/>
        <v>27.723999999999997</v>
      </c>
      <c r="AG636" s="110"/>
      <c r="AH636" s="110"/>
      <c r="AI636" s="110"/>
      <c r="AJ636" s="110"/>
      <c r="AK636" s="111">
        <f t="shared" si="138"/>
        <v>110.89599999999999</v>
      </c>
      <c r="AL636" s="446">
        <f t="shared" si="139"/>
        <v>0</v>
      </c>
      <c r="AM636" s="110">
        <f t="shared" si="140"/>
        <v>10</v>
      </c>
      <c r="AN636" s="447">
        <f t="shared" si="136"/>
        <v>0</v>
      </c>
      <c r="AO636"/>
      <c r="AP636"/>
    </row>
    <row r="637" spans="1:42" ht="66" x14ac:dyDescent="0.25">
      <c r="A637" s="9"/>
      <c r="B637" s="219" t="s">
        <v>2592</v>
      </c>
      <c r="C637" s="1024"/>
      <c r="D637" s="880">
        <v>12</v>
      </c>
      <c r="E637" s="1025" t="s">
        <v>2600</v>
      </c>
      <c r="F637" s="273" t="s">
        <v>3446</v>
      </c>
      <c r="G637" s="1040" t="s">
        <v>3463</v>
      </c>
      <c r="H637" s="273" t="s">
        <v>3462</v>
      </c>
      <c r="I637" s="720">
        <f t="shared" si="141"/>
        <v>14.9872</v>
      </c>
      <c r="J637" s="756">
        <v>179.84639999999999</v>
      </c>
      <c r="K637" s="131">
        <f t="shared" si="135"/>
        <v>179.84639999999999</v>
      </c>
      <c r="L637" s="335">
        <f t="shared" si="137"/>
        <v>0</v>
      </c>
      <c r="M637" s="446"/>
      <c r="N637" s="446"/>
      <c r="O637" s="446"/>
      <c r="P637" s="446"/>
      <c r="Q637" s="110">
        <f t="shared" si="132"/>
        <v>3</v>
      </c>
      <c r="R637" s="111">
        <f t="shared" si="128"/>
        <v>44.961599999999997</v>
      </c>
      <c r="S637" s="110"/>
      <c r="T637" s="110"/>
      <c r="U637" s="110">
        <f t="shared" si="133"/>
        <v>3</v>
      </c>
      <c r="V637" s="111">
        <f t="shared" si="129"/>
        <v>44.961599999999997</v>
      </c>
      <c r="W637" s="110"/>
      <c r="X637" s="110"/>
      <c r="Y637" s="110"/>
      <c r="Z637" s="110"/>
      <c r="AA637" s="110">
        <f t="shared" si="134"/>
        <v>3</v>
      </c>
      <c r="AB637" s="111">
        <f t="shared" si="130"/>
        <v>44.961599999999997</v>
      </c>
      <c r="AC637" s="110"/>
      <c r="AD637" s="110"/>
      <c r="AE637" s="110">
        <f t="shared" si="134"/>
        <v>3</v>
      </c>
      <c r="AF637" s="111">
        <f t="shared" si="131"/>
        <v>44.961599999999997</v>
      </c>
      <c r="AG637" s="110"/>
      <c r="AH637" s="110"/>
      <c r="AI637" s="110"/>
      <c r="AJ637" s="110"/>
      <c r="AK637" s="111">
        <f t="shared" si="138"/>
        <v>179.84639999999999</v>
      </c>
      <c r="AL637" s="446">
        <f t="shared" si="139"/>
        <v>0</v>
      </c>
      <c r="AM637" s="110">
        <f t="shared" si="140"/>
        <v>12</v>
      </c>
      <c r="AN637" s="447">
        <f t="shared" si="136"/>
        <v>0</v>
      </c>
      <c r="AO637"/>
      <c r="AP637"/>
    </row>
    <row r="638" spans="1:42" ht="66" x14ac:dyDescent="0.25">
      <c r="A638" s="9"/>
      <c r="B638" s="76" t="s">
        <v>35</v>
      </c>
      <c r="C638" s="1024"/>
      <c r="D638" s="880">
        <v>10</v>
      </c>
      <c r="E638" s="1025" t="s">
        <v>2599</v>
      </c>
      <c r="F638" s="273" t="s">
        <v>3446</v>
      </c>
      <c r="G638" s="1040" t="s">
        <v>3463</v>
      </c>
      <c r="H638" s="273" t="s">
        <v>3462</v>
      </c>
      <c r="I638" s="720">
        <f t="shared" si="141"/>
        <v>14.987199999999998</v>
      </c>
      <c r="J638" s="756">
        <v>149.87199999999999</v>
      </c>
      <c r="K638" s="131">
        <f t="shared" si="135"/>
        <v>149.87199999999999</v>
      </c>
      <c r="L638" s="335">
        <f t="shared" si="137"/>
        <v>0</v>
      </c>
      <c r="M638" s="446"/>
      <c r="N638" s="446"/>
      <c r="O638" s="446"/>
      <c r="P638" s="446"/>
      <c r="Q638" s="130">
        <v>3</v>
      </c>
      <c r="R638" s="111">
        <f t="shared" si="128"/>
        <v>37.467999999999996</v>
      </c>
      <c r="S638" s="110"/>
      <c r="T638" s="110"/>
      <c r="U638" s="130">
        <v>3</v>
      </c>
      <c r="V638" s="111">
        <f t="shared" si="129"/>
        <v>37.467999999999996</v>
      </c>
      <c r="W638" s="110"/>
      <c r="X638" s="110"/>
      <c r="Y638" s="110"/>
      <c r="Z638" s="110"/>
      <c r="AA638" s="130">
        <v>2</v>
      </c>
      <c r="AB638" s="111">
        <f t="shared" si="130"/>
        <v>37.467999999999996</v>
      </c>
      <c r="AC638" s="110"/>
      <c r="AD638" s="110"/>
      <c r="AE638" s="130">
        <v>2</v>
      </c>
      <c r="AF638" s="111">
        <f t="shared" si="131"/>
        <v>37.467999999999996</v>
      </c>
      <c r="AG638" s="110"/>
      <c r="AH638" s="110"/>
      <c r="AI638" s="110"/>
      <c r="AJ638" s="110"/>
      <c r="AK638" s="111">
        <f t="shared" si="138"/>
        <v>149.87199999999999</v>
      </c>
      <c r="AL638" s="446">
        <f t="shared" si="139"/>
        <v>0</v>
      </c>
      <c r="AM638" s="110">
        <f t="shared" si="140"/>
        <v>10</v>
      </c>
      <c r="AN638" s="447">
        <f t="shared" si="136"/>
        <v>0</v>
      </c>
      <c r="AO638"/>
      <c r="AP638"/>
    </row>
    <row r="639" spans="1:42" ht="66" x14ac:dyDescent="0.25">
      <c r="A639" s="9"/>
      <c r="B639" s="76" t="s">
        <v>34</v>
      </c>
      <c r="C639" s="1024"/>
      <c r="D639" s="880">
        <v>8</v>
      </c>
      <c r="E639" s="1025" t="s">
        <v>1748</v>
      </c>
      <c r="F639" s="273" t="s">
        <v>3446</v>
      </c>
      <c r="G639" s="1040" t="s">
        <v>3463</v>
      </c>
      <c r="H639" s="273" t="s">
        <v>3462</v>
      </c>
      <c r="I639" s="720">
        <f t="shared" si="141"/>
        <v>5.9855999999999998</v>
      </c>
      <c r="J639" s="756">
        <v>47.884799999999998</v>
      </c>
      <c r="K639" s="131">
        <f t="shared" si="135"/>
        <v>47.884799999999998</v>
      </c>
      <c r="L639" s="335">
        <f t="shared" si="137"/>
        <v>0</v>
      </c>
      <c r="M639" s="446"/>
      <c r="N639" s="446"/>
      <c r="O639" s="446"/>
      <c r="P639" s="446"/>
      <c r="Q639" s="110">
        <f t="shared" si="132"/>
        <v>2</v>
      </c>
      <c r="R639" s="111">
        <f t="shared" si="128"/>
        <v>11.9712</v>
      </c>
      <c r="S639" s="110"/>
      <c r="T639" s="110"/>
      <c r="U639" s="110">
        <f t="shared" si="133"/>
        <v>2</v>
      </c>
      <c r="V639" s="111">
        <f t="shared" si="129"/>
        <v>11.9712</v>
      </c>
      <c r="W639" s="110"/>
      <c r="X639" s="110"/>
      <c r="Y639" s="110"/>
      <c r="Z639" s="110"/>
      <c r="AA639" s="110">
        <f t="shared" si="134"/>
        <v>2</v>
      </c>
      <c r="AB639" s="111">
        <f t="shared" si="130"/>
        <v>11.9712</v>
      </c>
      <c r="AC639" s="110"/>
      <c r="AD639" s="110"/>
      <c r="AE639" s="110">
        <f t="shared" si="134"/>
        <v>2</v>
      </c>
      <c r="AF639" s="111">
        <f t="shared" si="131"/>
        <v>11.9712</v>
      </c>
      <c r="AG639" s="110"/>
      <c r="AH639" s="110"/>
      <c r="AI639" s="110"/>
      <c r="AJ639" s="110"/>
      <c r="AK639" s="111">
        <f t="shared" si="138"/>
        <v>47.884799999999998</v>
      </c>
      <c r="AL639" s="446">
        <f t="shared" si="139"/>
        <v>0</v>
      </c>
      <c r="AM639" s="110">
        <f t="shared" si="140"/>
        <v>8</v>
      </c>
      <c r="AN639" s="447">
        <f t="shared" si="136"/>
        <v>0</v>
      </c>
      <c r="AO639"/>
      <c r="AP639"/>
    </row>
    <row r="640" spans="1:42" ht="66" x14ac:dyDescent="0.25">
      <c r="A640" s="9"/>
      <c r="B640" s="76" t="s">
        <v>44</v>
      </c>
      <c r="C640" s="1024"/>
      <c r="D640" s="880">
        <v>3</v>
      </c>
      <c r="E640" s="1025" t="s">
        <v>1721</v>
      </c>
      <c r="F640" s="273" t="s">
        <v>3446</v>
      </c>
      <c r="G640" s="1040" t="s">
        <v>3463</v>
      </c>
      <c r="H640" s="273" t="s">
        <v>3462</v>
      </c>
      <c r="I640" s="720">
        <f t="shared" si="141"/>
        <v>11.3912</v>
      </c>
      <c r="J640" s="756">
        <v>34.1736</v>
      </c>
      <c r="K640" s="131">
        <f t="shared" si="135"/>
        <v>34.1736</v>
      </c>
      <c r="L640" s="335">
        <f t="shared" si="137"/>
        <v>0</v>
      </c>
      <c r="M640" s="446"/>
      <c r="N640" s="446"/>
      <c r="O640" s="446"/>
      <c r="P640" s="446"/>
      <c r="Q640" s="130">
        <v>1</v>
      </c>
      <c r="R640" s="111">
        <v>11.39</v>
      </c>
      <c r="S640" s="110"/>
      <c r="T640" s="110"/>
      <c r="U640" s="130">
        <v>1</v>
      </c>
      <c r="V640" s="111">
        <v>11.39</v>
      </c>
      <c r="W640" s="110"/>
      <c r="X640" s="110"/>
      <c r="Y640" s="110"/>
      <c r="Z640" s="110"/>
      <c r="AA640" s="130">
        <v>1</v>
      </c>
      <c r="AB640" s="111">
        <v>11.39</v>
      </c>
      <c r="AC640" s="110"/>
      <c r="AD640" s="110"/>
      <c r="AE640" s="130">
        <v>0</v>
      </c>
      <c r="AF640" s="111">
        <v>0</v>
      </c>
      <c r="AG640" s="110"/>
      <c r="AH640" s="110"/>
      <c r="AI640" s="110"/>
      <c r="AJ640" s="110"/>
      <c r="AK640" s="111">
        <f t="shared" si="138"/>
        <v>34.17</v>
      </c>
      <c r="AL640" s="446">
        <f t="shared" si="139"/>
        <v>3.5999999999987153E-3</v>
      </c>
      <c r="AM640" s="110">
        <f t="shared" si="140"/>
        <v>3</v>
      </c>
      <c r="AN640" s="447">
        <f t="shared" si="136"/>
        <v>0</v>
      </c>
      <c r="AO640"/>
      <c r="AP640"/>
    </row>
    <row r="641" spans="1:42" ht="66" x14ac:dyDescent="0.25">
      <c r="A641" s="9"/>
      <c r="B641" s="76" t="s">
        <v>76</v>
      </c>
      <c r="C641" s="1024"/>
      <c r="D641" s="880">
        <v>1</v>
      </c>
      <c r="E641" s="1025" t="s">
        <v>2599</v>
      </c>
      <c r="F641" s="273" t="s">
        <v>3446</v>
      </c>
      <c r="G641" s="1040" t="s">
        <v>3463</v>
      </c>
      <c r="H641" s="273" t="s">
        <v>3462</v>
      </c>
      <c r="I641" s="720">
        <f t="shared" si="141"/>
        <v>113.65679999999999</v>
      </c>
      <c r="J641" s="756">
        <v>113.65679999999999</v>
      </c>
      <c r="K641" s="131">
        <f t="shared" si="135"/>
        <v>113.65679999999999</v>
      </c>
      <c r="L641" s="335">
        <f t="shared" si="137"/>
        <v>0</v>
      </c>
      <c r="M641" s="446"/>
      <c r="N641" s="446"/>
      <c r="O641" s="446"/>
      <c r="P641" s="446"/>
      <c r="Q641" s="110">
        <v>1</v>
      </c>
      <c r="R641" s="111">
        <v>113.66</v>
      </c>
      <c r="S641" s="110"/>
      <c r="T641" s="110"/>
      <c r="U641" s="110">
        <v>0</v>
      </c>
      <c r="V641" s="111">
        <v>0</v>
      </c>
      <c r="W641" s="110"/>
      <c r="X641" s="110"/>
      <c r="Y641" s="110"/>
      <c r="Z641" s="110"/>
      <c r="AA641" s="110">
        <v>0</v>
      </c>
      <c r="AB641" s="111">
        <v>0</v>
      </c>
      <c r="AC641" s="110"/>
      <c r="AD641" s="110"/>
      <c r="AE641" s="110">
        <v>0</v>
      </c>
      <c r="AF641" s="111">
        <v>0</v>
      </c>
      <c r="AG641" s="110"/>
      <c r="AH641" s="110"/>
      <c r="AI641" s="110"/>
      <c r="AJ641" s="110"/>
      <c r="AK641" s="111">
        <f t="shared" si="138"/>
        <v>113.66</v>
      </c>
      <c r="AL641" s="446">
        <f t="shared" si="139"/>
        <v>-3.200000000006753E-3</v>
      </c>
      <c r="AM641" s="110">
        <f t="shared" si="140"/>
        <v>1</v>
      </c>
      <c r="AN641" s="447">
        <f t="shared" si="136"/>
        <v>0</v>
      </c>
      <c r="AO641"/>
      <c r="AP641"/>
    </row>
    <row r="642" spans="1:42" ht="66" x14ac:dyDescent="0.25">
      <c r="A642" s="9"/>
      <c r="B642" s="219" t="s">
        <v>1699</v>
      </c>
      <c r="C642" s="1024"/>
      <c r="D642" s="880">
        <v>1</v>
      </c>
      <c r="E642" s="1025" t="s">
        <v>1748</v>
      </c>
      <c r="F642" s="273" t="s">
        <v>3446</v>
      </c>
      <c r="G642" s="1040" t="s">
        <v>3463</v>
      </c>
      <c r="H642" s="273" t="s">
        <v>3462</v>
      </c>
      <c r="I642" s="720">
        <f t="shared" si="141"/>
        <v>96.465599999999995</v>
      </c>
      <c r="J642" s="756">
        <v>96.465599999999995</v>
      </c>
      <c r="K642" s="131">
        <f t="shared" si="135"/>
        <v>96.465599999999995</v>
      </c>
      <c r="L642" s="335">
        <f t="shared" si="137"/>
        <v>0</v>
      </c>
      <c r="M642" s="446"/>
      <c r="N642" s="446"/>
      <c r="O642" s="446"/>
      <c r="P642" s="446"/>
      <c r="Q642" s="110">
        <v>1</v>
      </c>
      <c r="R642" s="111">
        <v>96.47</v>
      </c>
      <c r="S642" s="110"/>
      <c r="T642" s="110"/>
      <c r="U642" s="110">
        <v>0</v>
      </c>
      <c r="V642" s="111">
        <v>0</v>
      </c>
      <c r="W642" s="110"/>
      <c r="X642" s="110"/>
      <c r="Y642" s="110"/>
      <c r="Z642" s="110"/>
      <c r="AA642" s="110">
        <v>0</v>
      </c>
      <c r="AB642" s="111">
        <v>0</v>
      </c>
      <c r="AC642" s="110"/>
      <c r="AD642" s="110"/>
      <c r="AE642" s="110">
        <v>0</v>
      </c>
      <c r="AF642" s="111">
        <v>0</v>
      </c>
      <c r="AG642" s="110"/>
      <c r="AH642" s="110"/>
      <c r="AI642" s="110"/>
      <c r="AJ642" s="110"/>
      <c r="AK642" s="111">
        <f t="shared" si="138"/>
        <v>96.47</v>
      </c>
      <c r="AL642" s="446">
        <f t="shared" si="139"/>
        <v>-4.4000000000039563E-3</v>
      </c>
      <c r="AM642" s="110">
        <f t="shared" si="140"/>
        <v>1</v>
      </c>
      <c r="AN642" s="447">
        <f t="shared" si="136"/>
        <v>0</v>
      </c>
      <c r="AO642"/>
      <c r="AP642"/>
    </row>
    <row r="643" spans="1:42" ht="66" x14ac:dyDescent="0.25">
      <c r="A643" s="9"/>
      <c r="B643" s="219" t="s">
        <v>2593</v>
      </c>
      <c r="C643" s="1024"/>
      <c r="D643" s="880">
        <v>10</v>
      </c>
      <c r="E643" s="1025" t="s">
        <v>2599</v>
      </c>
      <c r="F643" s="273" t="s">
        <v>3446</v>
      </c>
      <c r="G643" s="1040" t="s">
        <v>3463</v>
      </c>
      <c r="H643" s="273" t="s">
        <v>3462</v>
      </c>
      <c r="I643" s="720">
        <f t="shared" si="141"/>
        <v>10.613999999999999</v>
      </c>
      <c r="J643" s="756">
        <v>106.13999999999999</v>
      </c>
      <c r="K643" s="131">
        <f t="shared" si="135"/>
        <v>106.13999999999999</v>
      </c>
      <c r="L643" s="335">
        <f t="shared" si="137"/>
        <v>0</v>
      </c>
      <c r="M643" s="446"/>
      <c r="N643" s="446"/>
      <c r="O643" s="446"/>
      <c r="P643" s="446"/>
      <c r="Q643" s="130">
        <v>3</v>
      </c>
      <c r="R643" s="111">
        <f t="shared" ref="R643:R706" si="142">+J643/4</f>
        <v>26.534999999999997</v>
      </c>
      <c r="S643" s="110"/>
      <c r="T643" s="110"/>
      <c r="U643" s="130">
        <v>3</v>
      </c>
      <c r="V643" s="111">
        <f t="shared" ref="V643:V706" si="143">+J643/4</f>
        <v>26.534999999999997</v>
      </c>
      <c r="W643" s="110"/>
      <c r="X643" s="110"/>
      <c r="Y643" s="110"/>
      <c r="Z643" s="110"/>
      <c r="AA643" s="130">
        <v>2</v>
      </c>
      <c r="AB643" s="111">
        <f t="shared" si="130"/>
        <v>26.534999999999997</v>
      </c>
      <c r="AC643" s="110"/>
      <c r="AD643" s="110"/>
      <c r="AE643" s="130">
        <v>2</v>
      </c>
      <c r="AF643" s="111">
        <f t="shared" ref="AF643:AF706" si="144">+J643/4</f>
        <v>26.534999999999997</v>
      </c>
      <c r="AG643" s="110"/>
      <c r="AH643" s="110"/>
      <c r="AI643" s="110"/>
      <c r="AJ643" s="110"/>
      <c r="AK643" s="111">
        <f t="shared" si="138"/>
        <v>106.13999999999999</v>
      </c>
      <c r="AL643" s="446">
        <f t="shared" si="139"/>
        <v>0</v>
      </c>
      <c r="AM643" s="110">
        <f t="shared" si="140"/>
        <v>10</v>
      </c>
      <c r="AN643" s="447">
        <f t="shared" si="136"/>
        <v>0</v>
      </c>
      <c r="AO643"/>
      <c r="AP643"/>
    </row>
    <row r="644" spans="1:42" ht="66" x14ac:dyDescent="0.25">
      <c r="A644" s="9"/>
      <c r="B644" s="76" t="s">
        <v>61</v>
      </c>
      <c r="C644" s="1024"/>
      <c r="D644" s="880">
        <v>3</v>
      </c>
      <c r="E644" s="1025" t="s">
        <v>2600</v>
      </c>
      <c r="F644" s="273" t="s">
        <v>3446</v>
      </c>
      <c r="G644" s="1040" t="s">
        <v>3463</v>
      </c>
      <c r="H644" s="273" t="s">
        <v>3462</v>
      </c>
      <c r="I644" s="720">
        <f t="shared" si="141"/>
        <v>26.157999999999998</v>
      </c>
      <c r="J644" s="756">
        <v>78.47399999999999</v>
      </c>
      <c r="K644" s="131">
        <f t="shared" si="135"/>
        <v>78.47399999999999</v>
      </c>
      <c r="L644" s="335">
        <f t="shared" si="137"/>
        <v>0</v>
      </c>
      <c r="M644" s="446"/>
      <c r="N644" s="446"/>
      <c r="O644" s="446"/>
      <c r="P644" s="446"/>
      <c r="Q644" s="130">
        <v>1</v>
      </c>
      <c r="R644" s="111">
        <v>26.16</v>
      </c>
      <c r="S644" s="110"/>
      <c r="T644" s="110"/>
      <c r="U644" s="130">
        <v>1</v>
      </c>
      <c r="V644" s="111">
        <v>26.16</v>
      </c>
      <c r="W644" s="110"/>
      <c r="X644" s="110"/>
      <c r="Y644" s="110"/>
      <c r="Z644" s="110"/>
      <c r="AA644" s="130">
        <v>1</v>
      </c>
      <c r="AB644" s="111">
        <v>26.16</v>
      </c>
      <c r="AC644" s="110"/>
      <c r="AD644" s="110"/>
      <c r="AE644" s="130">
        <v>0</v>
      </c>
      <c r="AF644" s="111">
        <v>0</v>
      </c>
      <c r="AG644" s="110"/>
      <c r="AH644" s="110"/>
      <c r="AI644" s="110"/>
      <c r="AJ644" s="110"/>
      <c r="AK644" s="111">
        <f t="shared" si="138"/>
        <v>78.48</v>
      </c>
      <c r="AL644" s="446">
        <f t="shared" si="139"/>
        <v>-6.0000000000144382E-3</v>
      </c>
      <c r="AM644" s="110">
        <f t="shared" si="140"/>
        <v>3</v>
      </c>
      <c r="AN644" s="447">
        <f t="shared" si="136"/>
        <v>0</v>
      </c>
      <c r="AO644"/>
      <c r="AP644"/>
    </row>
    <row r="645" spans="1:42" ht="66" x14ac:dyDescent="0.25">
      <c r="A645" s="9"/>
      <c r="B645" s="219" t="s">
        <v>2594</v>
      </c>
      <c r="C645" s="1024"/>
      <c r="D645" s="880">
        <v>6</v>
      </c>
      <c r="E645" s="1025" t="s">
        <v>2599</v>
      </c>
      <c r="F645" s="273" t="s">
        <v>3446</v>
      </c>
      <c r="G645" s="1040" t="s">
        <v>3463</v>
      </c>
      <c r="H645" s="273" t="s">
        <v>3462</v>
      </c>
      <c r="I645" s="720">
        <f t="shared" si="141"/>
        <v>11.089599999999999</v>
      </c>
      <c r="J645" s="756">
        <v>66.537599999999998</v>
      </c>
      <c r="K645" s="131">
        <f t="shared" si="135"/>
        <v>66.537599999999998</v>
      </c>
      <c r="L645" s="335">
        <f t="shared" si="137"/>
        <v>0</v>
      </c>
      <c r="M645" s="446"/>
      <c r="N645" s="446"/>
      <c r="O645" s="446"/>
      <c r="P645" s="446"/>
      <c r="Q645" s="130">
        <v>2</v>
      </c>
      <c r="R645" s="111">
        <f t="shared" si="142"/>
        <v>16.634399999999999</v>
      </c>
      <c r="S645" s="110"/>
      <c r="T645" s="110"/>
      <c r="U645" s="130">
        <v>2</v>
      </c>
      <c r="V645" s="111">
        <f t="shared" si="143"/>
        <v>16.634399999999999</v>
      </c>
      <c r="W645" s="110"/>
      <c r="X645" s="110"/>
      <c r="Y645" s="110"/>
      <c r="Z645" s="110"/>
      <c r="AA645" s="130">
        <v>1</v>
      </c>
      <c r="AB645" s="111">
        <f t="shared" ref="AB645:AB706" si="145">+J645/4</f>
        <v>16.634399999999999</v>
      </c>
      <c r="AC645" s="110"/>
      <c r="AD645" s="110"/>
      <c r="AE645" s="130">
        <v>1</v>
      </c>
      <c r="AF645" s="111">
        <f t="shared" si="144"/>
        <v>16.634399999999999</v>
      </c>
      <c r="AG645" s="110"/>
      <c r="AH645" s="110"/>
      <c r="AI645" s="110"/>
      <c r="AJ645" s="110"/>
      <c r="AK645" s="111">
        <f t="shared" si="138"/>
        <v>66.537599999999998</v>
      </c>
      <c r="AL645" s="446">
        <f t="shared" si="139"/>
        <v>0</v>
      </c>
      <c r="AM645" s="110">
        <f t="shared" si="140"/>
        <v>6</v>
      </c>
      <c r="AN645" s="447">
        <f t="shared" si="136"/>
        <v>0</v>
      </c>
      <c r="AO645"/>
      <c r="AP645"/>
    </row>
    <row r="646" spans="1:42" ht="66" x14ac:dyDescent="0.25">
      <c r="A646" s="9"/>
      <c r="B646" s="219" t="s">
        <v>20</v>
      </c>
      <c r="C646" s="1024"/>
      <c r="D646" s="880">
        <v>12</v>
      </c>
      <c r="E646" s="1025" t="s">
        <v>1748</v>
      </c>
      <c r="F646" s="273" t="s">
        <v>3446</v>
      </c>
      <c r="G646" s="1040" t="s">
        <v>3463</v>
      </c>
      <c r="H646" s="273" t="s">
        <v>3462</v>
      </c>
      <c r="I646" s="720">
        <f t="shared" si="141"/>
        <v>30.6936</v>
      </c>
      <c r="J646" s="756">
        <v>368.32319999999999</v>
      </c>
      <c r="K646" s="131">
        <f t="shared" si="135"/>
        <v>368.32319999999999</v>
      </c>
      <c r="L646" s="335">
        <f t="shared" si="137"/>
        <v>0</v>
      </c>
      <c r="M646" s="446"/>
      <c r="N646" s="446"/>
      <c r="O646" s="446"/>
      <c r="P646" s="446"/>
      <c r="Q646" s="110">
        <f t="shared" ref="Q646:Q701" si="146">+$D646/4</f>
        <v>3</v>
      </c>
      <c r="R646" s="111">
        <f t="shared" si="142"/>
        <v>92.080799999999996</v>
      </c>
      <c r="S646" s="110"/>
      <c r="T646" s="110"/>
      <c r="U646" s="110">
        <f t="shared" ref="U646:U701" si="147">+$D646/4</f>
        <v>3</v>
      </c>
      <c r="V646" s="111">
        <f t="shared" si="143"/>
        <v>92.080799999999996</v>
      </c>
      <c r="W646" s="110"/>
      <c r="X646" s="110"/>
      <c r="Y646" s="110"/>
      <c r="Z646" s="110"/>
      <c r="AA646" s="110">
        <f t="shared" ref="AA646:AE701" si="148">+$D646/4</f>
        <v>3</v>
      </c>
      <c r="AB646" s="111">
        <f t="shared" si="145"/>
        <v>92.080799999999996</v>
      </c>
      <c r="AC646" s="110"/>
      <c r="AD646" s="110"/>
      <c r="AE646" s="110">
        <f t="shared" si="148"/>
        <v>3</v>
      </c>
      <c r="AF646" s="111">
        <f t="shared" si="144"/>
        <v>92.080799999999996</v>
      </c>
      <c r="AG646" s="110"/>
      <c r="AH646" s="110"/>
      <c r="AI646" s="110"/>
      <c r="AJ646" s="110"/>
      <c r="AK646" s="111">
        <f t="shared" si="138"/>
        <v>368.32319999999999</v>
      </c>
      <c r="AL646" s="446">
        <f t="shared" si="139"/>
        <v>0</v>
      </c>
      <c r="AM646" s="110">
        <f t="shared" si="140"/>
        <v>12</v>
      </c>
      <c r="AN646" s="447">
        <f t="shared" si="136"/>
        <v>0</v>
      </c>
      <c r="AO646"/>
      <c r="AP646"/>
    </row>
    <row r="647" spans="1:42" ht="66" x14ac:dyDescent="0.25">
      <c r="A647" s="9"/>
      <c r="B647" s="219" t="s">
        <v>21</v>
      </c>
      <c r="C647" s="1024"/>
      <c r="D647" s="880">
        <v>4</v>
      </c>
      <c r="E647" s="1025" t="s">
        <v>1748</v>
      </c>
      <c r="F647" s="273" t="s">
        <v>3446</v>
      </c>
      <c r="G647" s="1040" t="s">
        <v>3463</v>
      </c>
      <c r="H647" s="273" t="s">
        <v>3462</v>
      </c>
      <c r="I647" s="720">
        <f t="shared" si="141"/>
        <v>30.6936</v>
      </c>
      <c r="J647" s="756">
        <v>122.7744</v>
      </c>
      <c r="K647" s="131">
        <f t="shared" si="135"/>
        <v>122.7744</v>
      </c>
      <c r="L647" s="335">
        <f t="shared" si="137"/>
        <v>0</v>
      </c>
      <c r="M647" s="446"/>
      <c r="N647" s="446"/>
      <c r="O647" s="446"/>
      <c r="P647" s="446"/>
      <c r="Q647" s="110">
        <f t="shared" si="146"/>
        <v>1</v>
      </c>
      <c r="R647" s="111">
        <f t="shared" si="142"/>
        <v>30.6936</v>
      </c>
      <c r="S647" s="110"/>
      <c r="T647" s="110"/>
      <c r="U647" s="110">
        <f t="shared" si="147"/>
        <v>1</v>
      </c>
      <c r="V647" s="111">
        <f t="shared" si="143"/>
        <v>30.6936</v>
      </c>
      <c r="W647" s="110"/>
      <c r="X647" s="110"/>
      <c r="Y647" s="110"/>
      <c r="Z647" s="110"/>
      <c r="AA647" s="110">
        <f t="shared" si="148"/>
        <v>1</v>
      </c>
      <c r="AB647" s="111">
        <f t="shared" si="145"/>
        <v>30.6936</v>
      </c>
      <c r="AC647" s="110"/>
      <c r="AD647" s="110"/>
      <c r="AE647" s="110">
        <f t="shared" si="148"/>
        <v>1</v>
      </c>
      <c r="AF647" s="111">
        <f t="shared" si="144"/>
        <v>30.6936</v>
      </c>
      <c r="AG647" s="110"/>
      <c r="AH647" s="110"/>
      <c r="AI647" s="110"/>
      <c r="AJ647" s="110"/>
      <c r="AK647" s="111">
        <f t="shared" si="138"/>
        <v>122.7744</v>
      </c>
      <c r="AL647" s="446">
        <f t="shared" si="139"/>
        <v>0</v>
      </c>
      <c r="AM647" s="110">
        <f t="shared" si="140"/>
        <v>4</v>
      </c>
      <c r="AN647" s="447">
        <f t="shared" si="136"/>
        <v>0</v>
      </c>
      <c r="AO647"/>
      <c r="AP647"/>
    </row>
    <row r="648" spans="1:42" ht="66" x14ac:dyDescent="0.25">
      <c r="A648" s="9"/>
      <c r="B648" s="76" t="s">
        <v>95</v>
      </c>
      <c r="C648" s="1024"/>
      <c r="D648" s="880">
        <v>3</v>
      </c>
      <c r="E648" s="1025" t="s">
        <v>2599</v>
      </c>
      <c r="F648" s="273" t="s">
        <v>3446</v>
      </c>
      <c r="G648" s="1040" t="s">
        <v>3463</v>
      </c>
      <c r="H648" s="273" t="s">
        <v>3462</v>
      </c>
      <c r="I648" s="720">
        <f t="shared" si="141"/>
        <v>26.355199999999996</v>
      </c>
      <c r="J648" s="756">
        <v>79.065599999999989</v>
      </c>
      <c r="K648" s="131">
        <f t="shared" si="135"/>
        <v>79.065599999999989</v>
      </c>
      <c r="L648" s="335">
        <f t="shared" si="137"/>
        <v>0</v>
      </c>
      <c r="M648" s="446"/>
      <c r="N648" s="446"/>
      <c r="O648" s="446"/>
      <c r="P648" s="446"/>
      <c r="Q648" s="130">
        <v>1</v>
      </c>
      <c r="R648" s="111">
        <v>26.36</v>
      </c>
      <c r="S648" s="110"/>
      <c r="T648" s="110"/>
      <c r="U648" s="130">
        <v>1</v>
      </c>
      <c r="V648" s="111">
        <v>26.36</v>
      </c>
      <c r="W648" s="110"/>
      <c r="X648" s="110"/>
      <c r="Y648" s="110"/>
      <c r="Z648" s="110"/>
      <c r="AA648" s="130">
        <v>1</v>
      </c>
      <c r="AB648" s="111">
        <v>26.36</v>
      </c>
      <c r="AC648" s="110"/>
      <c r="AD648" s="110"/>
      <c r="AE648" s="130">
        <v>0</v>
      </c>
      <c r="AF648" s="111">
        <v>0</v>
      </c>
      <c r="AG648" s="110"/>
      <c r="AH648" s="110"/>
      <c r="AI648" s="110"/>
      <c r="AJ648" s="110"/>
      <c r="AK648" s="111">
        <f t="shared" si="138"/>
        <v>79.08</v>
      </c>
      <c r="AL648" s="446">
        <f t="shared" si="139"/>
        <v>-1.4400000000009072E-2</v>
      </c>
      <c r="AM648" s="110">
        <f t="shared" si="140"/>
        <v>3</v>
      </c>
      <c r="AN648" s="447">
        <f t="shared" si="136"/>
        <v>0</v>
      </c>
      <c r="AO648"/>
      <c r="AP648"/>
    </row>
    <row r="649" spans="1:42" ht="66" x14ac:dyDescent="0.25">
      <c r="A649" s="9"/>
      <c r="B649" s="76" t="s">
        <v>1754</v>
      </c>
      <c r="C649" s="1024"/>
      <c r="D649" s="880">
        <v>6</v>
      </c>
      <c r="E649" s="1025" t="s">
        <v>2599</v>
      </c>
      <c r="F649" s="273" t="s">
        <v>3446</v>
      </c>
      <c r="G649" s="1040" t="s">
        <v>3463</v>
      </c>
      <c r="H649" s="273" t="s">
        <v>3462</v>
      </c>
      <c r="I649" s="720">
        <f t="shared" si="141"/>
        <v>162.39999999999998</v>
      </c>
      <c r="J649" s="756">
        <v>974.39999999999986</v>
      </c>
      <c r="K649" s="131">
        <f t="shared" si="135"/>
        <v>974.39999999999986</v>
      </c>
      <c r="L649" s="335">
        <f t="shared" si="137"/>
        <v>0</v>
      </c>
      <c r="M649" s="446"/>
      <c r="N649" s="446"/>
      <c r="O649" s="446"/>
      <c r="P649" s="446"/>
      <c r="Q649" s="130">
        <v>2</v>
      </c>
      <c r="R649" s="111">
        <f t="shared" si="142"/>
        <v>243.59999999999997</v>
      </c>
      <c r="S649" s="110"/>
      <c r="T649" s="110"/>
      <c r="U649" s="130">
        <v>2</v>
      </c>
      <c r="V649" s="111">
        <f t="shared" si="143"/>
        <v>243.59999999999997</v>
      </c>
      <c r="W649" s="110"/>
      <c r="X649" s="110"/>
      <c r="Y649" s="110"/>
      <c r="Z649" s="110"/>
      <c r="AA649" s="130">
        <v>1</v>
      </c>
      <c r="AB649" s="111">
        <f t="shared" si="145"/>
        <v>243.59999999999997</v>
      </c>
      <c r="AC649" s="110"/>
      <c r="AD649" s="110"/>
      <c r="AE649" s="130">
        <v>1</v>
      </c>
      <c r="AF649" s="111">
        <f t="shared" si="144"/>
        <v>243.59999999999997</v>
      </c>
      <c r="AG649" s="110"/>
      <c r="AH649" s="110"/>
      <c r="AI649" s="110"/>
      <c r="AJ649" s="110"/>
      <c r="AK649" s="111">
        <f t="shared" si="138"/>
        <v>974.39999999999986</v>
      </c>
      <c r="AL649" s="446">
        <f t="shared" si="139"/>
        <v>0</v>
      </c>
      <c r="AM649" s="110">
        <f t="shared" si="140"/>
        <v>6</v>
      </c>
      <c r="AN649" s="447">
        <f t="shared" si="136"/>
        <v>0</v>
      </c>
      <c r="AO649"/>
      <c r="AP649"/>
    </row>
    <row r="650" spans="1:42" ht="66" x14ac:dyDescent="0.25">
      <c r="A650" s="9"/>
      <c r="B650" s="76" t="s">
        <v>2595</v>
      </c>
      <c r="C650" s="1024"/>
      <c r="D650" s="880">
        <v>1</v>
      </c>
      <c r="E650" s="1025" t="s">
        <v>2599</v>
      </c>
      <c r="F650" s="273" t="s">
        <v>3446</v>
      </c>
      <c r="G650" s="1040" t="s">
        <v>3463</v>
      </c>
      <c r="H650" s="273" t="s">
        <v>3462</v>
      </c>
      <c r="I650" s="720">
        <f t="shared" si="141"/>
        <v>2307.2399999999998</v>
      </c>
      <c r="J650" s="756">
        <v>2307.2399999999998</v>
      </c>
      <c r="K650" s="131">
        <f t="shared" si="135"/>
        <v>2307.2399999999998</v>
      </c>
      <c r="L650" s="335">
        <f t="shared" si="137"/>
        <v>0</v>
      </c>
      <c r="M650" s="446"/>
      <c r="N650" s="446"/>
      <c r="O650" s="446"/>
      <c r="P650" s="446"/>
      <c r="Q650" s="110">
        <v>1</v>
      </c>
      <c r="R650" s="111">
        <v>2307.2399999999998</v>
      </c>
      <c r="S650" s="110"/>
      <c r="T650" s="110"/>
      <c r="U650" s="110">
        <v>0</v>
      </c>
      <c r="V650" s="111">
        <v>0</v>
      </c>
      <c r="W650" s="110"/>
      <c r="X650" s="110"/>
      <c r="Y650" s="110"/>
      <c r="Z650" s="110"/>
      <c r="AA650" s="110">
        <v>0</v>
      </c>
      <c r="AB650" s="111">
        <v>0</v>
      </c>
      <c r="AC650" s="110"/>
      <c r="AD650" s="110"/>
      <c r="AE650" s="110">
        <v>0</v>
      </c>
      <c r="AF650" s="111">
        <v>0</v>
      </c>
      <c r="AG650" s="110"/>
      <c r="AH650" s="110"/>
      <c r="AI650" s="110"/>
      <c r="AJ650" s="110"/>
      <c r="AK650" s="111">
        <f t="shared" si="138"/>
        <v>2307.2399999999998</v>
      </c>
      <c r="AL650" s="446">
        <f t="shared" si="139"/>
        <v>0</v>
      </c>
      <c r="AM650" s="110">
        <f t="shared" si="140"/>
        <v>1</v>
      </c>
      <c r="AN650" s="447">
        <f t="shared" si="136"/>
        <v>0</v>
      </c>
      <c r="AO650"/>
      <c r="AP650"/>
    </row>
    <row r="651" spans="1:42" ht="66" x14ac:dyDescent="0.25">
      <c r="A651" s="9"/>
      <c r="B651" s="76" t="s">
        <v>75</v>
      </c>
      <c r="C651" s="1024"/>
      <c r="D651" s="880">
        <v>1</v>
      </c>
      <c r="E651" s="1025" t="s">
        <v>2599</v>
      </c>
      <c r="F651" s="273" t="s">
        <v>3446</v>
      </c>
      <c r="G651" s="1040" t="s">
        <v>3463</v>
      </c>
      <c r="H651" s="273" t="s">
        <v>3462</v>
      </c>
      <c r="I651" s="720">
        <f t="shared" si="141"/>
        <v>36.087599999999995</v>
      </c>
      <c r="J651" s="756">
        <v>36.087599999999995</v>
      </c>
      <c r="K651" s="131">
        <f t="shared" si="135"/>
        <v>36.087599999999995</v>
      </c>
      <c r="L651" s="335">
        <f t="shared" si="137"/>
        <v>0</v>
      </c>
      <c r="M651" s="446"/>
      <c r="N651" s="446"/>
      <c r="O651" s="446"/>
      <c r="P651" s="446"/>
      <c r="Q651" s="110">
        <v>1</v>
      </c>
      <c r="R651" s="111">
        <v>36.090000000000003</v>
      </c>
      <c r="S651" s="110"/>
      <c r="T651" s="110"/>
      <c r="U651" s="110">
        <v>0</v>
      </c>
      <c r="V651" s="111">
        <v>0</v>
      </c>
      <c r="W651" s="110"/>
      <c r="X651" s="110"/>
      <c r="Y651" s="110"/>
      <c r="Z651" s="110"/>
      <c r="AA651" s="110">
        <v>0</v>
      </c>
      <c r="AB651" s="111">
        <v>0</v>
      </c>
      <c r="AC651" s="110"/>
      <c r="AD651" s="110"/>
      <c r="AE651" s="110">
        <v>0</v>
      </c>
      <c r="AF651" s="111">
        <v>0</v>
      </c>
      <c r="AG651" s="110"/>
      <c r="AH651" s="110"/>
      <c r="AI651" s="110"/>
      <c r="AJ651" s="110"/>
      <c r="AK651" s="111">
        <f t="shared" si="138"/>
        <v>36.090000000000003</v>
      </c>
      <c r="AL651" s="446">
        <f t="shared" si="139"/>
        <v>-2.4000000000086175E-3</v>
      </c>
      <c r="AM651" s="110">
        <f t="shared" si="140"/>
        <v>1</v>
      </c>
      <c r="AN651" s="447">
        <f t="shared" si="136"/>
        <v>0</v>
      </c>
      <c r="AO651"/>
      <c r="AP651"/>
    </row>
    <row r="652" spans="1:42" ht="66" x14ac:dyDescent="0.25">
      <c r="A652" s="9"/>
      <c r="B652" s="76" t="s">
        <v>2596</v>
      </c>
      <c r="C652" s="1024"/>
      <c r="D652" s="880">
        <v>1</v>
      </c>
      <c r="E652" s="1025" t="s">
        <v>2599</v>
      </c>
      <c r="F652" s="273" t="s">
        <v>3446</v>
      </c>
      <c r="G652" s="1040" t="s">
        <v>3463</v>
      </c>
      <c r="H652" s="273" t="s">
        <v>3462</v>
      </c>
      <c r="I652" s="720">
        <f t="shared" si="141"/>
        <v>613.64</v>
      </c>
      <c r="J652" s="756">
        <v>613.64</v>
      </c>
      <c r="K652" s="131">
        <f t="shared" si="135"/>
        <v>613.64</v>
      </c>
      <c r="L652" s="335">
        <f t="shared" si="137"/>
        <v>0</v>
      </c>
      <c r="M652" s="446"/>
      <c r="N652" s="446"/>
      <c r="O652" s="446"/>
      <c r="P652" s="446"/>
      <c r="Q652" s="110">
        <v>0</v>
      </c>
      <c r="R652" s="111">
        <v>0</v>
      </c>
      <c r="S652" s="110"/>
      <c r="T652" s="110"/>
      <c r="U652" s="110">
        <v>0</v>
      </c>
      <c r="V652" s="111">
        <v>0</v>
      </c>
      <c r="W652" s="110"/>
      <c r="X652" s="110"/>
      <c r="Y652" s="110"/>
      <c r="Z652" s="110"/>
      <c r="AA652" s="110">
        <v>1</v>
      </c>
      <c r="AB652" s="111">
        <v>613.64</v>
      </c>
      <c r="AC652" s="110"/>
      <c r="AD652" s="110"/>
      <c r="AE652" s="110">
        <v>0</v>
      </c>
      <c r="AF652" s="111">
        <v>0</v>
      </c>
      <c r="AG652" s="110"/>
      <c r="AH652" s="110"/>
      <c r="AI652" s="110"/>
      <c r="AJ652" s="110"/>
      <c r="AK652" s="111">
        <f t="shared" si="138"/>
        <v>613.64</v>
      </c>
      <c r="AL652" s="446">
        <f t="shared" si="139"/>
        <v>0</v>
      </c>
      <c r="AM652" s="110">
        <f t="shared" si="140"/>
        <v>1</v>
      </c>
      <c r="AN652" s="447">
        <f t="shared" si="136"/>
        <v>0</v>
      </c>
      <c r="AO652"/>
      <c r="AP652"/>
    </row>
    <row r="653" spans="1:42" ht="66" x14ac:dyDescent="0.25">
      <c r="A653" s="9"/>
      <c r="B653" s="219" t="s">
        <v>52</v>
      </c>
      <c r="C653" s="1024"/>
      <c r="D653" s="880">
        <v>1</v>
      </c>
      <c r="E653" s="1025" t="s">
        <v>2600</v>
      </c>
      <c r="F653" s="273" t="s">
        <v>3446</v>
      </c>
      <c r="G653" s="1040" t="s">
        <v>3463</v>
      </c>
      <c r="H653" s="273" t="s">
        <v>3462</v>
      </c>
      <c r="I653" s="720">
        <f t="shared" si="141"/>
        <v>14.9872</v>
      </c>
      <c r="J653" s="756">
        <v>14.9872</v>
      </c>
      <c r="K653" s="131">
        <f t="shared" si="135"/>
        <v>14.9872</v>
      </c>
      <c r="L653" s="335">
        <f t="shared" si="137"/>
        <v>0</v>
      </c>
      <c r="M653" s="446"/>
      <c r="N653" s="446"/>
      <c r="O653" s="446"/>
      <c r="P653" s="446"/>
      <c r="Q653" s="110">
        <v>0</v>
      </c>
      <c r="R653" s="111">
        <v>0</v>
      </c>
      <c r="S653" s="110"/>
      <c r="T653" s="110"/>
      <c r="U653" s="110">
        <v>0</v>
      </c>
      <c r="V653" s="111">
        <v>0</v>
      </c>
      <c r="W653" s="110"/>
      <c r="X653" s="110"/>
      <c r="Y653" s="110"/>
      <c r="Z653" s="110"/>
      <c r="AA653" s="110">
        <v>1</v>
      </c>
      <c r="AB653" s="111">
        <v>14.99</v>
      </c>
      <c r="AC653" s="110"/>
      <c r="AD653" s="110"/>
      <c r="AE653" s="110">
        <v>0</v>
      </c>
      <c r="AF653" s="111">
        <v>0</v>
      </c>
      <c r="AG653" s="110"/>
      <c r="AH653" s="110"/>
      <c r="AI653" s="110"/>
      <c r="AJ653" s="110"/>
      <c r="AK653" s="111">
        <f t="shared" si="138"/>
        <v>14.99</v>
      </c>
      <c r="AL653" s="446">
        <f t="shared" si="139"/>
        <v>-2.8000000000005798E-3</v>
      </c>
      <c r="AM653" s="110">
        <f t="shared" si="140"/>
        <v>1</v>
      </c>
      <c r="AN653" s="447">
        <f t="shared" si="136"/>
        <v>0</v>
      </c>
      <c r="AO653"/>
      <c r="AP653"/>
    </row>
    <row r="654" spans="1:42" ht="66" x14ac:dyDescent="0.25">
      <c r="A654" s="9"/>
      <c r="B654" s="219" t="s">
        <v>60</v>
      </c>
      <c r="C654" s="1024"/>
      <c r="D654" s="880">
        <v>2</v>
      </c>
      <c r="E654" s="1025" t="s">
        <v>2599</v>
      </c>
      <c r="F654" s="273" t="s">
        <v>3446</v>
      </c>
      <c r="G654" s="1040" t="s">
        <v>3463</v>
      </c>
      <c r="H654" s="273" t="s">
        <v>3462</v>
      </c>
      <c r="I654" s="720">
        <f t="shared" si="141"/>
        <v>18.583199999999998</v>
      </c>
      <c r="J654" s="756">
        <v>37.166399999999996</v>
      </c>
      <c r="K654" s="131">
        <f t="shared" si="135"/>
        <v>37.166399999999996</v>
      </c>
      <c r="L654" s="335">
        <f t="shared" si="137"/>
        <v>0</v>
      </c>
      <c r="M654" s="446"/>
      <c r="N654" s="446"/>
      <c r="O654" s="446"/>
      <c r="P654" s="446"/>
      <c r="Q654" s="130">
        <v>0</v>
      </c>
      <c r="R654" s="111">
        <v>0</v>
      </c>
      <c r="S654" s="110"/>
      <c r="T654" s="110"/>
      <c r="U654" s="130">
        <v>0</v>
      </c>
      <c r="V654" s="111">
        <v>0</v>
      </c>
      <c r="W654" s="110"/>
      <c r="X654" s="110"/>
      <c r="Y654" s="110"/>
      <c r="Z654" s="110"/>
      <c r="AA654" s="130">
        <v>1</v>
      </c>
      <c r="AB654" s="111">
        <f>18.58</f>
        <v>18.579999999999998</v>
      </c>
      <c r="AC654" s="110"/>
      <c r="AD654" s="110"/>
      <c r="AE654" s="130">
        <v>1</v>
      </c>
      <c r="AF654" s="111">
        <v>18.579999999999998</v>
      </c>
      <c r="AG654" s="110"/>
      <c r="AH654" s="110"/>
      <c r="AI654" s="110"/>
      <c r="AJ654" s="110"/>
      <c r="AK654" s="111">
        <f t="shared" si="138"/>
        <v>37.159999999999997</v>
      </c>
      <c r="AL654" s="446">
        <f t="shared" si="139"/>
        <v>6.3999999999992951E-3</v>
      </c>
      <c r="AM654" s="110">
        <f t="shared" si="140"/>
        <v>2</v>
      </c>
      <c r="AN654" s="447">
        <f t="shared" si="136"/>
        <v>0</v>
      </c>
      <c r="AO654"/>
      <c r="AP654"/>
    </row>
    <row r="655" spans="1:42" ht="66" x14ac:dyDescent="0.25">
      <c r="A655" s="9"/>
      <c r="B655" s="36" t="s">
        <v>1700</v>
      </c>
      <c r="C655" s="1024"/>
      <c r="D655" s="880">
        <v>6</v>
      </c>
      <c r="E655" s="1025" t="s">
        <v>2599</v>
      </c>
      <c r="F655" s="273" t="s">
        <v>3446</v>
      </c>
      <c r="G655" s="1040" t="s">
        <v>3463</v>
      </c>
      <c r="H655" s="273" t="s">
        <v>3462</v>
      </c>
      <c r="I655" s="720">
        <f t="shared" si="141"/>
        <v>64.391599999999997</v>
      </c>
      <c r="J655" s="756">
        <v>386.34960000000001</v>
      </c>
      <c r="K655" s="131">
        <f t="shared" ref="K655:K718" si="149">+D655*I655</f>
        <v>386.34960000000001</v>
      </c>
      <c r="L655" s="335">
        <f t="shared" si="137"/>
        <v>0</v>
      </c>
      <c r="M655" s="446"/>
      <c r="N655" s="446"/>
      <c r="O655" s="446"/>
      <c r="P655" s="446"/>
      <c r="Q655" s="130">
        <v>2</v>
      </c>
      <c r="R655" s="111">
        <f t="shared" si="142"/>
        <v>96.587400000000002</v>
      </c>
      <c r="S655" s="110"/>
      <c r="T655" s="110"/>
      <c r="U655" s="130">
        <v>2</v>
      </c>
      <c r="V655" s="111">
        <f t="shared" si="143"/>
        <v>96.587400000000002</v>
      </c>
      <c r="W655" s="110"/>
      <c r="X655" s="110"/>
      <c r="Y655" s="110"/>
      <c r="Z655" s="110"/>
      <c r="AA655" s="130">
        <v>1</v>
      </c>
      <c r="AB655" s="111">
        <f t="shared" si="145"/>
        <v>96.587400000000002</v>
      </c>
      <c r="AC655" s="110"/>
      <c r="AD655" s="110"/>
      <c r="AE655" s="130">
        <v>1</v>
      </c>
      <c r="AF655" s="111">
        <f t="shared" si="144"/>
        <v>96.587400000000002</v>
      </c>
      <c r="AG655" s="110"/>
      <c r="AH655" s="110"/>
      <c r="AI655" s="110"/>
      <c r="AJ655" s="110"/>
      <c r="AK655" s="111">
        <f t="shared" si="138"/>
        <v>386.34960000000001</v>
      </c>
      <c r="AL655" s="446">
        <f t="shared" si="139"/>
        <v>0</v>
      </c>
      <c r="AM655" s="110">
        <f t="shared" si="140"/>
        <v>6</v>
      </c>
      <c r="AN655" s="447">
        <f t="shared" ref="AN655:AN718" si="150">+D655-AM655</f>
        <v>0</v>
      </c>
      <c r="AO655"/>
      <c r="AP655"/>
    </row>
    <row r="656" spans="1:42" ht="66" x14ac:dyDescent="0.25">
      <c r="A656" s="9"/>
      <c r="B656" s="76" t="s">
        <v>56</v>
      </c>
      <c r="C656" s="1024"/>
      <c r="D656" s="880">
        <v>1</v>
      </c>
      <c r="E656" s="1025" t="s">
        <v>2599</v>
      </c>
      <c r="F656" s="273" t="s">
        <v>3446</v>
      </c>
      <c r="G656" s="1040" t="s">
        <v>3463</v>
      </c>
      <c r="H656" s="273" t="s">
        <v>3462</v>
      </c>
      <c r="I656" s="720">
        <f t="shared" si="141"/>
        <v>316.11159999999995</v>
      </c>
      <c r="J656" s="756">
        <v>316.11159999999995</v>
      </c>
      <c r="K656" s="131">
        <f t="shared" si="149"/>
        <v>316.11159999999995</v>
      </c>
      <c r="L656" s="335">
        <f t="shared" ref="L656:L712" si="151">+J656-K656</f>
        <v>0</v>
      </c>
      <c r="M656" s="446"/>
      <c r="N656" s="446"/>
      <c r="O656" s="446"/>
      <c r="P656" s="446"/>
      <c r="Q656" s="110">
        <v>1</v>
      </c>
      <c r="R656" s="111">
        <v>316.11</v>
      </c>
      <c r="S656" s="110"/>
      <c r="T656" s="110"/>
      <c r="U656" s="110">
        <v>0</v>
      </c>
      <c r="V656" s="111">
        <v>0</v>
      </c>
      <c r="W656" s="110"/>
      <c r="X656" s="110"/>
      <c r="Y656" s="110"/>
      <c r="Z656" s="110"/>
      <c r="AA656" s="110">
        <v>0</v>
      </c>
      <c r="AB656" s="111">
        <v>0</v>
      </c>
      <c r="AC656" s="110"/>
      <c r="AD656" s="110"/>
      <c r="AE656" s="110">
        <v>0</v>
      </c>
      <c r="AF656" s="111">
        <v>0</v>
      </c>
      <c r="AG656" s="110"/>
      <c r="AH656" s="110"/>
      <c r="AI656" s="110"/>
      <c r="AJ656" s="110"/>
      <c r="AK656" s="111">
        <f t="shared" ref="AK656:AK719" si="152">+R656+V656+AB656+AF656</f>
        <v>316.11</v>
      </c>
      <c r="AL656" s="446">
        <f t="shared" ref="AL656:AL719" si="153">+J656-AK656</f>
        <v>1.5999999999394277E-3</v>
      </c>
      <c r="AM656" s="110">
        <f t="shared" ref="AM656:AM719" si="154">+Q656+U656+AA656+AE656</f>
        <v>1</v>
      </c>
      <c r="AN656" s="447">
        <f t="shared" si="150"/>
        <v>0</v>
      </c>
      <c r="AO656"/>
      <c r="AP656"/>
    </row>
    <row r="657" spans="1:42" ht="66" x14ac:dyDescent="0.25">
      <c r="A657" s="9"/>
      <c r="B657" s="219" t="s">
        <v>2597</v>
      </c>
      <c r="C657" s="1024"/>
      <c r="D657" s="880">
        <v>1</v>
      </c>
      <c r="E657" s="1025" t="s">
        <v>2599</v>
      </c>
      <c r="F657" s="273" t="s">
        <v>3446</v>
      </c>
      <c r="G657" s="1040" t="s">
        <v>3463</v>
      </c>
      <c r="H657" s="273" t="s">
        <v>3462</v>
      </c>
      <c r="I657" s="720">
        <f t="shared" si="141"/>
        <v>178.21079999999998</v>
      </c>
      <c r="J657" s="756">
        <v>178.21079999999998</v>
      </c>
      <c r="K657" s="131">
        <f t="shared" si="149"/>
        <v>178.21079999999998</v>
      </c>
      <c r="L657" s="335">
        <f t="shared" si="151"/>
        <v>0</v>
      </c>
      <c r="M657" s="446"/>
      <c r="N657" s="446"/>
      <c r="O657" s="446"/>
      <c r="P657" s="446"/>
      <c r="Q657" s="110">
        <v>1</v>
      </c>
      <c r="R657" s="111">
        <v>178.21</v>
      </c>
      <c r="S657" s="110"/>
      <c r="T657" s="110"/>
      <c r="U657" s="110">
        <v>0</v>
      </c>
      <c r="V657" s="111">
        <v>0</v>
      </c>
      <c r="W657" s="110"/>
      <c r="X657" s="110"/>
      <c r="Y657" s="110"/>
      <c r="Z657" s="110"/>
      <c r="AA657" s="110">
        <v>0</v>
      </c>
      <c r="AB657" s="111">
        <v>0</v>
      </c>
      <c r="AC657" s="110"/>
      <c r="AD657" s="110"/>
      <c r="AE657" s="110">
        <v>0</v>
      </c>
      <c r="AF657" s="111">
        <v>0</v>
      </c>
      <c r="AG657" s="110"/>
      <c r="AH657" s="110"/>
      <c r="AI657" s="110"/>
      <c r="AJ657" s="110"/>
      <c r="AK657" s="111">
        <f t="shared" si="152"/>
        <v>178.21</v>
      </c>
      <c r="AL657" s="446">
        <f t="shared" si="153"/>
        <v>7.9999999996971383E-4</v>
      </c>
      <c r="AM657" s="110">
        <f t="shared" si="154"/>
        <v>1</v>
      </c>
      <c r="AN657" s="447">
        <f t="shared" si="150"/>
        <v>0</v>
      </c>
      <c r="AO657"/>
      <c r="AP657"/>
    </row>
    <row r="658" spans="1:42" ht="66" x14ac:dyDescent="0.25">
      <c r="A658" s="9"/>
      <c r="B658" s="76" t="s">
        <v>80</v>
      </c>
      <c r="C658" s="1024"/>
      <c r="D658" s="880">
        <v>4</v>
      </c>
      <c r="E658" s="1025" t="s">
        <v>2599</v>
      </c>
      <c r="F658" s="273" t="s">
        <v>3446</v>
      </c>
      <c r="G658" s="1040" t="s">
        <v>3463</v>
      </c>
      <c r="H658" s="273" t="s">
        <v>3462</v>
      </c>
      <c r="I658" s="720">
        <f t="shared" si="141"/>
        <v>12.725199999999999</v>
      </c>
      <c r="J658" s="756">
        <v>50.900799999999997</v>
      </c>
      <c r="K658" s="131">
        <f t="shared" si="149"/>
        <v>50.900799999999997</v>
      </c>
      <c r="L658" s="335">
        <f t="shared" si="151"/>
        <v>0</v>
      </c>
      <c r="M658" s="446"/>
      <c r="N658" s="446"/>
      <c r="O658" s="446"/>
      <c r="P658" s="446"/>
      <c r="Q658" s="110">
        <f t="shared" si="146"/>
        <v>1</v>
      </c>
      <c r="R658" s="111">
        <f t="shared" si="142"/>
        <v>12.725199999999999</v>
      </c>
      <c r="S658" s="110"/>
      <c r="T658" s="110"/>
      <c r="U658" s="110">
        <f t="shared" si="147"/>
        <v>1</v>
      </c>
      <c r="V658" s="111">
        <f t="shared" si="143"/>
        <v>12.725199999999999</v>
      </c>
      <c r="W658" s="110"/>
      <c r="X658" s="110"/>
      <c r="Y658" s="110"/>
      <c r="Z658" s="110"/>
      <c r="AA658" s="110">
        <f t="shared" si="148"/>
        <v>1</v>
      </c>
      <c r="AB658" s="111">
        <f t="shared" si="145"/>
        <v>12.725199999999999</v>
      </c>
      <c r="AC658" s="110"/>
      <c r="AD658" s="110"/>
      <c r="AE658" s="110">
        <f t="shared" si="148"/>
        <v>1</v>
      </c>
      <c r="AF658" s="111">
        <f t="shared" si="144"/>
        <v>12.725199999999999</v>
      </c>
      <c r="AG658" s="110"/>
      <c r="AH658" s="110"/>
      <c r="AI658" s="110"/>
      <c r="AJ658" s="110"/>
      <c r="AK658" s="111">
        <f t="shared" si="152"/>
        <v>50.900799999999997</v>
      </c>
      <c r="AL658" s="446">
        <f t="shared" si="153"/>
        <v>0</v>
      </c>
      <c r="AM658" s="110">
        <f t="shared" si="154"/>
        <v>4</v>
      </c>
      <c r="AN658" s="447">
        <f t="shared" si="150"/>
        <v>0</v>
      </c>
      <c r="AO658"/>
      <c r="AP658"/>
    </row>
    <row r="659" spans="1:42" ht="66" x14ac:dyDescent="0.25">
      <c r="A659" s="9"/>
      <c r="B659" s="36" t="s">
        <v>1848</v>
      </c>
      <c r="C659" s="1024"/>
      <c r="D659" s="880">
        <v>2</v>
      </c>
      <c r="E659" s="1025" t="s">
        <v>2599</v>
      </c>
      <c r="F659" s="273" t="s">
        <v>3446</v>
      </c>
      <c r="G659" s="1040" t="s">
        <v>3463</v>
      </c>
      <c r="H659" s="273" t="s">
        <v>3462</v>
      </c>
      <c r="I659" s="720">
        <f t="shared" si="141"/>
        <v>99.226399999999998</v>
      </c>
      <c r="J659" s="756">
        <v>198.4528</v>
      </c>
      <c r="K659" s="131">
        <f t="shared" si="149"/>
        <v>198.4528</v>
      </c>
      <c r="L659" s="335">
        <f t="shared" si="151"/>
        <v>0</v>
      </c>
      <c r="M659" s="446"/>
      <c r="N659" s="446"/>
      <c r="O659" s="446"/>
      <c r="P659" s="446"/>
      <c r="Q659" s="130">
        <v>1</v>
      </c>
      <c r="R659" s="111">
        <v>99.23</v>
      </c>
      <c r="S659" s="110"/>
      <c r="T659" s="110"/>
      <c r="U659" s="130">
        <v>1</v>
      </c>
      <c r="V659" s="111">
        <v>99.23</v>
      </c>
      <c r="W659" s="110"/>
      <c r="X659" s="110"/>
      <c r="Y659" s="110"/>
      <c r="Z659" s="110"/>
      <c r="AA659" s="130">
        <v>0</v>
      </c>
      <c r="AB659" s="111">
        <v>0</v>
      </c>
      <c r="AC659" s="110"/>
      <c r="AD659" s="110"/>
      <c r="AE659" s="130">
        <v>0</v>
      </c>
      <c r="AF659" s="111">
        <v>0</v>
      </c>
      <c r="AG659" s="110"/>
      <c r="AH659" s="110"/>
      <c r="AI659" s="110"/>
      <c r="AJ659" s="110"/>
      <c r="AK659" s="111">
        <f t="shared" si="152"/>
        <v>198.46</v>
      </c>
      <c r="AL659" s="446">
        <f t="shared" si="153"/>
        <v>-7.2000000000116415E-3</v>
      </c>
      <c r="AM659" s="110">
        <f t="shared" si="154"/>
        <v>2</v>
      </c>
      <c r="AN659" s="447">
        <f t="shared" si="150"/>
        <v>0</v>
      </c>
      <c r="AO659"/>
      <c r="AP659"/>
    </row>
    <row r="660" spans="1:42" ht="66" x14ac:dyDescent="0.25">
      <c r="A660" s="9"/>
      <c r="B660" s="36" t="s">
        <v>65</v>
      </c>
      <c r="C660" s="1024"/>
      <c r="D660" s="880">
        <v>3</v>
      </c>
      <c r="E660" s="1025" t="s">
        <v>2599</v>
      </c>
      <c r="F660" s="273" t="s">
        <v>3446</v>
      </c>
      <c r="G660" s="1040" t="s">
        <v>3463</v>
      </c>
      <c r="H660" s="273" t="s">
        <v>3462</v>
      </c>
      <c r="I660" s="720">
        <f t="shared" si="141"/>
        <v>41.933999999999997</v>
      </c>
      <c r="J660" s="756">
        <v>125.80199999999999</v>
      </c>
      <c r="K660" s="131">
        <f t="shared" si="149"/>
        <v>125.80199999999999</v>
      </c>
      <c r="L660" s="335">
        <f t="shared" si="151"/>
        <v>0</v>
      </c>
      <c r="M660" s="446"/>
      <c r="N660" s="446"/>
      <c r="O660" s="446"/>
      <c r="P660" s="446"/>
      <c r="Q660" s="130">
        <v>1</v>
      </c>
      <c r="R660" s="111">
        <v>41.93</v>
      </c>
      <c r="S660" s="110"/>
      <c r="T660" s="110"/>
      <c r="U660" s="130">
        <v>1</v>
      </c>
      <c r="V660" s="111">
        <v>41.93</v>
      </c>
      <c r="W660" s="110"/>
      <c r="X660" s="110"/>
      <c r="Y660" s="110"/>
      <c r="Z660" s="110"/>
      <c r="AA660" s="130">
        <v>1</v>
      </c>
      <c r="AB660" s="111">
        <v>41.93</v>
      </c>
      <c r="AC660" s="110"/>
      <c r="AD660" s="110"/>
      <c r="AE660" s="130">
        <v>0</v>
      </c>
      <c r="AF660" s="111">
        <v>0</v>
      </c>
      <c r="AG660" s="110"/>
      <c r="AH660" s="110"/>
      <c r="AI660" s="110"/>
      <c r="AJ660" s="110"/>
      <c r="AK660" s="111">
        <f t="shared" si="152"/>
        <v>125.78999999999999</v>
      </c>
      <c r="AL660" s="446">
        <f t="shared" si="153"/>
        <v>1.2000000000000455E-2</v>
      </c>
      <c r="AM660" s="110">
        <f t="shared" si="154"/>
        <v>3</v>
      </c>
      <c r="AN660" s="447">
        <f t="shared" si="150"/>
        <v>0</v>
      </c>
      <c r="AO660"/>
      <c r="AP660"/>
    </row>
    <row r="661" spans="1:42" ht="66" x14ac:dyDescent="0.25">
      <c r="A661" s="9"/>
      <c r="B661" s="76" t="s">
        <v>67</v>
      </c>
      <c r="C661" s="1024"/>
      <c r="D661" s="880">
        <v>3</v>
      </c>
      <c r="E661" s="1025" t="s">
        <v>2599</v>
      </c>
      <c r="F661" s="273" t="s">
        <v>3446</v>
      </c>
      <c r="G661" s="1040" t="s">
        <v>3463</v>
      </c>
      <c r="H661" s="273" t="s">
        <v>3462</v>
      </c>
      <c r="I661" s="720">
        <f t="shared" si="141"/>
        <v>14.0824</v>
      </c>
      <c r="J661" s="756">
        <v>42.247199999999999</v>
      </c>
      <c r="K661" s="131">
        <f t="shared" si="149"/>
        <v>42.247199999999999</v>
      </c>
      <c r="L661" s="335">
        <f t="shared" si="151"/>
        <v>0</v>
      </c>
      <c r="M661" s="446"/>
      <c r="N661" s="446"/>
      <c r="O661" s="446"/>
      <c r="P661" s="446"/>
      <c r="Q661" s="130">
        <v>1</v>
      </c>
      <c r="R661" s="111">
        <v>14.08</v>
      </c>
      <c r="S661" s="110"/>
      <c r="T661" s="110"/>
      <c r="U661" s="130">
        <v>1</v>
      </c>
      <c r="V661" s="111">
        <v>14.08</v>
      </c>
      <c r="W661" s="110"/>
      <c r="X661" s="110"/>
      <c r="Y661" s="110"/>
      <c r="Z661" s="110"/>
      <c r="AA661" s="130">
        <v>1</v>
      </c>
      <c r="AB661" s="111">
        <v>14.08</v>
      </c>
      <c r="AC661" s="110"/>
      <c r="AD661" s="110"/>
      <c r="AE661" s="130">
        <v>0</v>
      </c>
      <c r="AF661" s="111">
        <v>0</v>
      </c>
      <c r="AG661" s="110"/>
      <c r="AH661" s="110"/>
      <c r="AI661" s="110"/>
      <c r="AJ661" s="110"/>
      <c r="AK661" s="111">
        <f t="shared" si="152"/>
        <v>42.24</v>
      </c>
      <c r="AL661" s="446">
        <f t="shared" si="153"/>
        <v>7.1999999999974307E-3</v>
      </c>
      <c r="AM661" s="110">
        <f t="shared" si="154"/>
        <v>3</v>
      </c>
      <c r="AN661" s="447">
        <f t="shared" si="150"/>
        <v>0</v>
      </c>
      <c r="AO661"/>
      <c r="AP661"/>
    </row>
    <row r="662" spans="1:42" ht="66" x14ac:dyDescent="0.25">
      <c r="A662" s="9"/>
      <c r="B662" s="76" t="s">
        <v>68</v>
      </c>
      <c r="C662" s="1024"/>
      <c r="D662" s="880">
        <v>3</v>
      </c>
      <c r="E662" s="1025" t="s">
        <v>2599</v>
      </c>
      <c r="F662" s="273" t="s">
        <v>3446</v>
      </c>
      <c r="G662" s="1040" t="s">
        <v>3463</v>
      </c>
      <c r="H662" s="273" t="s">
        <v>3462</v>
      </c>
      <c r="I662" s="720">
        <f t="shared" si="141"/>
        <v>14.0824</v>
      </c>
      <c r="J662" s="756">
        <v>42.247199999999999</v>
      </c>
      <c r="K662" s="131">
        <f t="shared" si="149"/>
        <v>42.247199999999999</v>
      </c>
      <c r="L662" s="335">
        <f t="shared" si="151"/>
        <v>0</v>
      </c>
      <c r="M662" s="446"/>
      <c r="N662" s="446"/>
      <c r="O662" s="446"/>
      <c r="P662" s="446"/>
      <c r="Q662" s="130">
        <v>1</v>
      </c>
      <c r="R662" s="111">
        <v>14.08</v>
      </c>
      <c r="S662" s="110"/>
      <c r="T662" s="110"/>
      <c r="U662" s="130">
        <v>1</v>
      </c>
      <c r="V662" s="111">
        <v>14.08</v>
      </c>
      <c r="W662" s="110"/>
      <c r="X662" s="110"/>
      <c r="Y662" s="110"/>
      <c r="Z662" s="110"/>
      <c r="AA662" s="130">
        <v>1</v>
      </c>
      <c r="AB662" s="111">
        <v>14.08</v>
      </c>
      <c r="AC662" s="110"/>
      <c r="AD662" s="110"/>
      <c r="AE662" s="130">
        <v>0</v>
      </c>
      <c r="AF662" s="111">
        <v>0</v>
      </c>
      <c r="AG662" s="110"/>
      <c r="AH662" s="110"/>
      <c r="AI662" s="110"/>
      <c r="AJ662" s="110"/>
      <c r="AK662" s="111">
        <f t="shared" si="152"/>
        <v>42.24</v>
      </c>
      <c r="AL662" s="446">
        <f t="shared" si="153"/>
        <v>7.1999999999974307E-3</v>
      </c>
      <c r="AM662" s="110">
        <f t="shared" si="154"/>
        <v>3</v>
      </c>
      <c r="AN662" s="447">
        <f t="shared" si="150"/>
        <v>0</v>
      </c>
      <c r="AO662"/>
      <c r="AP662"/>
    </row>
    <row r="663" spans="1:42" ht="66" x14ac:dyDescent="0.25">
      <c r="A663" s="9"/>
      <c r="B663" s="76" t="s">
        <v>69</v>
      </c>
      <c r="C663" s="1024"/>
      <c r="D663" s="880">
        <v>3</v>
      </c>
      <c r="E663" s="1025" t="s">
        <v>2599</v>
      </c>
      <c r="F663" s="273" t="s">
        <v>3446</v>
      </c>
      <c r="G663" s="1040" t="s">
        <v>3463</v>
      </c>
      <c r="H663" s="273" t="s">
        <v>3462</v>
      </c>
      <c r="I663" s="720">
        <f t="shared" si="141"/>
        <v>14.0824</v>
      </c>
      <c r="J663" s="756">
        <v>42.247199999999999</v>
      </c>
      <c r="K663" s="131">
        <f t="shared" si="149"/>
        <v>42.247199999999999</v>
      </c>
      <c r="L663" s="335">
        <f t="shared" si="151"/>
        <v>0</v>
      </c>
      <c r="M663" s="446"/>
      <c r="N663" s="446"/>
      <c r="O663" s="446"/>
      <c r="P663" s="446"/>
      <c r="Q663" s="130">
        <v>1</v>
      </c>
      <c r="R663" s="111">
        <v>14.08</v>
      </c>
      <c r="S663" s="110"/>
      <c r="T663" s="110"/>
      <c r="U663" s="130">
        <v>1</v>
      </c>
      <c r="V663" s="111">
        <v>14.08</v>
      </c>
      <c r="W663" s="110"/>
      <c r="X663" s="110"/>
      <c r="Y663" s="110"/>
      <c r="Z663" s="110"/>
      <c r="AA663" s="130">
        <v>1</v>
      </c>
      <c r="AB663" s="111">
        <v>14.08</v>
      </c>
      <c r="AC663" s="110"/>
      <c r="AD663" s="110"/>
      <c r="AE663" s="130">
        <v>0</v>
      </c>
      <c r="AF663" s="111">
        <v>0</v>
      </c>
      <c r="AG663" s="110"/>
      <c r="AH663" s="110"/>
      <c r="AI663" s="110"/>
      <c r="AJ663" s="110"/>
      <c r="AK663" s="111">
        <f t="shared" si="152"/>
        <v>42.24</v>
      </c>
      <c r="AL663" s="446">
        <f t="shared" si="153"/>
        <v>7.1999999999974307E-3</v>
      </c>
      <c r="AM663" s="110">
        <f t="shared" si="154"/>
        <v>3</v>
      </c>
      <c r="AN663" s="447">
        <f t="shared" si="150"/>
        <v>0</v>
      </c>
      <c r="AO663"/>
      <c r="AP663"/>
    </row>
    <row r="664" spans="1:42" ht="66" x14ac:dyDescent="0.25">
      <c r="A664" s="9"/>
      <c r="B664" s="76" t="s">
        <v>1717</v>
      </c>
      <c r="C664" s="1024"/>
      <c r="D664" s="880">
        <v>1</v>
      </c>
      <c r="E664" s="1025" t="s">
        <v>2600</v>
      </c>
      <c r="F664" s="273" t="s">
        <v>3446</v>
      </c>
      <c r="G664" s="1040" t="s">
        <v>3463</v>
      </c>
      <c r="H664" s="273" t="s">
        <v>3462</v>
      </c>
      <c r="I664" s="720">
        <f t="shared" si="141"/>
        <v>85.468800000000002</v>
      </c>
      <c r="J664" s="756">
        <v>85.468800000000002</v>
      </c>
      <c r="K664" s="131">
        <f t="shared" si="149"/>
        <v>85.468800000000002</v>
      </c>
      <c r="L664" s="335">
        <f t="shared" si="151"/>
        <v>0</v>
      </c>
      <c r="M664" s="446"/>
      <c r="N664" s="446"/>
      <c r="O664" s="446"/>
      <c r="P664" s="446"/>
      <c r="Q664" s="110">
        <v>1</v>
      </c>
      <c r="R664" s="111">
        <v>85.47</v>
      </c>
      <c r="S664" s="110"/>
      <c r="T664" s="110"/>
      <c r="U664" s="110">
        <v>0</v>
      </c>
      <c r="V664" s="111">
        <v>0</v>
      </c>
      <c r="W664" s="110"/>
      <c r="X664" s="110"/>
      <c r="Y664" s="110"/>
      <c r="Z664" s="110"/>
      <c r="AA664" s="110">
        <v>0</v>
      </c>
      <c r="AB664" s="111">
        <v>0</v>
      </c>
      <c r="AC664" s="110"/>
      <c r="AD664" s="110"/>
      <c r="AE664" s="110">
        <v>0</v>
      </c>
      <c r="AF664" s="111">
        <v>0</v>
      </c>
      <c r="AG664" s="110"/>
      <c r="AH664" s="110"/>
      <c r="AI664" s="110"/>
      <c r="AJ664" s="110"/>
      <c r="AK664" s="111">
        <f t="shared" si="152"/>
        <v>85.47</v>
      </c>
      <c r="AL664" s="446">
        <f t="shared" si="153"/>
        <v>-1.1999999999972033E-3</v>
      </c>
      <c r="AM664" s="110">
        <f t="shared" si="154"/>
        <v>1</v>
      </c>
      <c r="AN664" s="447">
        <f t="shared" si="150"/>
        <v>0</v>
      </c>
      <c r="AO664"/>
      <c r="AP664"/>
    </row>
    <row r="665" spans="1:42" ht="66" x14ac:dyDescent="0.25">
      <c r="A665" s="9"/>
      <c r="B665" s="76" t="s">
        <v>51</v>
      </c>
      <c r="C665" s="1024"/>
      <c r="D665" s="880">
        <v>6</v>
      </c>
      <c r="E665" s="1025" t="s">
        <v>2600</v>
      </c>
      <c r="F665" s="273" t="s">
        <v>3446</v>
      </c>
      <c r="G665" s="1040" t="s">
        <v>3463</v>
      </c>
      <c r="H665" s="273" t="s">
        <v>3462</v>
      </c>
      <c r="I665" s="720">
        <f t="shared" si="141"/>
        <v>314.54559999999998</v>
      </c>
      <c r="J665" s="756">
        <v>1887.2736</v>
      </c>
      <c r="K665" s="131">
        <f t="shared" si="149"/>
        <v>1887.2736</v>
      </c>
      <c r="L665" s="335">
        <f t="shared" si="151"/>
        <v>0</v>
      </c>
      <c r="M665" s="446"/>
      <c r="N665" s="446"/>
      <c r="O665" s="446"/>
      <c r="P665" s="446"/>
      <c r="Q665" s="130">
        <v>2</v>
      </c>
      <c r="R665" s="111">
        <f t="shared" si="142"/>
        <v>471.8184</v>
      </c>
      <c r="S665" s="110"/>
      <c r="T665" s="110"/>
      <c r="U665" s="130">
        <v>2</v>
      </c>
      <c r="V665" s="111">
        <f t="shared" si="143"/>
        <v>471.8184</v>
      </c>
      <c r="W665" s="110"/>
      <c r="X665" s="110"/>
      <c r="Y665" s="110"/>
      <c r="Z665" s="110"/>
      <c r="AA665" s="130">
        <v>1</v>
      </c>
      <c r="AB665" s="111">
        <f t="shared" si="145"/>
        <v>471.8184</v>
      </c>
      <c r="AC665" s="110"/>
      <c r="AD665" s="110"/>
      <c r="AE665" s="130">
        <v>1</v>
      </c>
      <c r="AF665" s="111">
        <f t="shared" si="144"/>
        <v>471.8184</v>
      </c>
      <c r="AG665" s="110"/>
      <c r="AH665" s="110"/>
      <c r="AI665" s="110"/>
      <c r="AJ665" s="110"/>
      <c r="AK665" s="111">
        <f t="shared" si="152"/>
        <v>1887.2736</v>
      </c>
      <c r="AL665" s="446">
        <f t="shared" si="153"/>
        <v>0</v>
      </c>
      <c r="AM665" s="110">
        <f t="shared" si="154"/>
        <v>6</v>
      </c>
      <c r="AN665" s="447">
        <f t="shared" si="150"/>
        <v>0</v>
      </c>
      <c r="AO665"/>
      <c r="AP665"/>
    </row>
    <row r="666" spans="1:42" ht="66" x14ac:dyDescent="0.25">
      <c r="A666" s="9"/>
      <c r="B666" s="219" t="s">
        <v>2598</v>
      </c>
      <c r="C666" s="1024"/>
      <c r="D666" s="880">
        <v>2</v>
      </c>
      <c r="E666" s="1025" t="s">
        <v>2599</v>
      </c>
      <c r="F666" s="273" t="s">
        <v>3446</v>
      </c>
      <c r="G666" s="1040" t="s">
        <v>3463</v>
      </c>
      <c r="H666" s="273" t="s">
        <v>3462</v>
      </c>
      <c r="I666" s="720">
        <f t="shared" si="141"/>
        <v>1276</v>
      </c>
      <c r="J666" s="756">
        <v>2552</v>
      </c>
      <c r="K666" s="131">
        <f t="shared" si="149"/>
        <v>2552</v>
      </c>
      <c r="L666" s="335">
        <f t="shared" si="151"/>
        <v>0</v>
      </c>
      <c r="M666" s="446"/>
      <c r="N666" s="446"/>
      <c r="O666" s="446"/>
      <c r="P666" s="446"/>
      <c r="Q666" s="130">
        <v>1</v>
      </c>
      <c r="R666" s="111">
        <v>1276</v>
      </c>
      <c r="S666" s="110"/>
      <c r="T666" s="110"/>
      <c r="U666" s="130">
        <v>1</v>
      </c>
      <c r="V666" s="111">
        <v>1276</v>
      </c>
      <c r="W666" s="110"/>
      <c r="X666" s="110"/>
      <c r="Y666" s="110"/>
      <c r="Z666" s="110"/>
      <c r="AA666" s="130">
        <v>0</v>
      </c>
      <c r="AB666" s="111">
        <v>0</v>
      </c>
      <c r="AC666" s="110"/>
      <c r="AD666" s="110"/>
      <c r="AE666" s="130">
        <v>0</v>
      </c>
      <c r="AF666" s="111">
        <v>0</v>
      </c>
      <c r="AG666" s="110"/>
      <c r="AH666" s="110"/>
      <c r="AI666" s="110"/>
      <c r="AJ666" s="110"/>
      <c r="AK666" s="111">
        <f t="shared" si="152"/>
        <v>2552</v>
      </c>
      <c r="AL666" s="446">
        <f t="shared" si="153"/>
        <v>0</v>
      </c>
      <c r="AM666" s="110">
        <f t="shared" si="154"/>
        <v>2</v>
      </c>
      <c r="AN666" s="447">
        <f t="shared" si="150"/>
        <v>0</v>
      </c>
      <c r="AO666"/>
      <c r="AP666"/>
    </row>
    <row r="667" spans="1:42" ht="66" x14ac:dyDescent="0.25">
      <c r="A667" s="9"/>
      <c r="B667" s="76" t="s">
        <v>1703</v>
      </c>
      <c r="C667" s="1024"/>
      <c r="D667" s="880">
        <v>5</v>
      </c>
      <c r="E667" s="1025" t="s">
        <v>2599</v>
      </c>
      <c r="F667" s="273" t="s">
        <v>3446</v>
      </c>
      <c r="G667" s="1040" t="s">
        <v>3463</v>
      </c>
      <c r="H667" s="273" t="s">
        <v>3462</v>
      </c>
      <c r="I667" s="720">
        <f t="shared" si="141"/>
        <v>172.26</v>
      </c>
      <c r="J667" s="756">
        <v>861.3</v>
      </c>
      <c r="K667" s="131">
        <f t="shared" si="149"/>
        <v>861.3</v>
      </c>
      <c r="L667" s="335">
        <f t="shared" si="151"/>
        <v>0</v>
      </c>
      <c r="M667" s="446"/>
      <c r="N667" s="446"/>
      <c r="O667" s="446"/>
      <c r="P667" s="446"/>
      <c r="Q667" s="110">
        <v>2</v>
      </c>
      <c r="R667" s="111">
        <f t="shared" si="142"/>
        <v>215.32499999999999</v>
      </c>
      <c r="S667" s="110"/>
      <c r="T667" s="110"/>
      <c r="U667" s="110">
        <v>1</v>
      </c>
      <c r="V667" s="111">
        <f t="shared" si="143"/>
        <v>215.32499999999999</v>
      </c>
      <c r="W667" s="110"/>
      <c r="X667" s="110"/>
      <c r="Y667" s="110"/>
      <c r="Z667" s="110"/>
      <c r="AA667" s="110">
        <v>1</v>
      </c>
      <c r="AB667" s="111">
        <f t="shared" si="145"/>
        <v>215.32499999999999</v>
      </c>
      <c r="AC667" s="110"/>
      <c r="AD667" s="110"/>
      <c r="AE667" s="110">
        <v>1</v>
      </c>
      <c r="AF667" s="111">
        <f t="shared" si="144"/>
        <v>215.32499999999999</v>
      </c>
      <c r="AG667" s="110"/>
      <c r="AH667" s="110"/>
      <c r="AI667" s="110"/>
      <c r="AJ667" s="110"/>
      <c r="AK667" s="111">
        <f t="shared" si="152"/>
        <v>861.3</v>
      </c>
      <c r="AL667" s="446">
        <f t="shared" si="153"/>
        <v>0</v>
      </c>
      <c r="AM667" s="110">
        <f t="shared" si="154"/>
        <v>5</v>
      </c>
      <c r="AN667" s="447">
        <f t="shared" si="150"/>
        <v>0</v>
      </c>
      <c r="AO667"/>
      <c r="AP667"/>
    </row>
    <row r="668" spans="1:42" ht="66" x14ac:dyDescent="0.25">
      <c r="A668" s="9"/>
      <c r="B668" s="494" t="s">
        <v>33</v>
      </c>
      <c r="C668" s="1024"/>
      <c r="D668" s="881">
        <v>2</v>
      </c>
      <c r="E668" s="29" t="s">
        <v>2599</v>
      </c>
      <c r="F668" s="273" t="s">
        <v>3446</v>
      </c>
      <c r="G668" s="1040" t="s">
        <v>3463</v>
      </c>
      <c r="H668" s="273" t="s">
        <v>3462</v>
      </c>
      <c r="I668" s="720">
        <f t="shared" ref="I668:I712" si="155">+J668/D668</f>
        <v>59.763199999999998</v>
      </c>
      <c r="J668" s="756">
        <v>119.5264</v>
      </c>
      <c r="K668" s="131">
        <f t="shared" si="149"/>
        <v>119.5264</v>
      </c>
      <c r="L668" s="335">
        <f t="shared" si="151"/>
        <v>0</v>
      </c>
      <c r="M668" s="446"/>
      <c r="N668" s="446"/>
      <c r="O668" s="446"/>
      <c r="P668" s="446"/>
      <c r="Q668" s="130">
        <v>1</v>
      </c>
      <c r="R668" s="111">
        <v>59.76</v>
      </c>
      <c r="S668" s="110"/>
      <c r="T668" s="110"/>
      <c r="U668" s="130">
        <v>1</v>
      </c>
      <c r="V668" s="111">
        <v>59.76</v>
      </c>
      <c r="W668" s="110"/>
      <c r="X668" s="110"/>
      <c r="Y668" s="110"/>
      <c r="Z668" s="110"/>
      <c r="AA668" s="130">
        <v>0</v>
      </c>
      <c r="AB668" s="111">
        <v>0</v>
      </c>
      <c r="AC668" s="110"/>
      <c r="AD668" s="110"/>
      <c r="AE668" s="130">
        <v>0</v>
      </c>
      <c r="AF668" s="111">
        <v>0</v>
      </c>
      <c r="AG668" s="110"/>
      <c r="AH668" s="110"/>
      <c r="AI668" s="110"/>
      <c r="AJ668" s="110"/>
      <c r="AK668" s="111">
        <f t="shared" si="152"/>
        <v>119.52</v>
      </c>
      <c r="AL668" s="446">
        <f t="shared" si="153"/>
        <v>6.3999999999992951E-3</v>
      </c>
      <c r="AM668" s="110">
        <f t="shared" si="154"/>
        <v>2</v>
      </c>
      <c r="AN668" s="447">
        <f t="shared" si="150"/>
        <v>0</v>
      </c>
      <c r="AO668"/>
      <c r="AP668"/>
    </row>
    <row r="669" spans="1:42" ht="66" x14ac:dyDescent="0.25">
      <c r="A669" s="9"/>
      <c r="B669" s="495" t="s">
        <v>2851</v>
      </c>
      <c r="C669" s="1024"/>
      <c r="D669" s="882">
        <v>6</v>
      </c>
      <c r="E669" s="251" t="s">
        <v>1767</v>
      </c>
      <c r="F669" s="273" t="s">
        <v>3446</v>
      </c>
      <c r="G669" s="1040" t="s">
        <v>3463</v>
      </c>
      <c r="H669" s="273" t="s">
        <v>3462</v>
      </c>
      <c r="I669" s="720">
        <f t="shared" si="155"/>
        <v>28.002399999999998</v>
      </c>
      <c r="J669" s="756">
        <v>168.01439999999999</v>
      </c>
      <c r="K669" s="131">
        <f t="shared" si="149"/>
        <v>168.01439999999999</v>
      </c>
      <c r="L669" s="335">
        <f t="shared" si="151"/>
        <v>0</v>
      </c>
      <c r="M669" s="446"/>
      <c r="N669" s="446"/>
      <c r="O669" s="446"/>
      <c r="P669" s="446"/>
      <c r="Q669" s="130">
        <v>2</v>
      </c>
      <c r="R669" s="111">
        <f t="shared" si="142"/>
        <v>42.003599999999999</v>
      </c>
      <c r="S669" s="110"/>
      <c r="T669" s="110"/>
      <c r="U669" s="130">
        <v>2</v>
      </c>
      <c r="V669" s="111">
        <f t="shared" si="143"/>
        <v>42.003599999999999</v>
      </c>
      <c r="W669" s="110"/>
      <c r="X669" s="110"/>
      <c r="Y669" s="110"/>
      <c r="Z669" s="110"/>
      <c r="AA669" s="130">
        <v>1</v>
      </c>
      <c r="AB669" s="111">
        <f t="shared" si="145"/>
        <v>42.003599999999999</v>
      </c>
      <c r="AC669" s="110"/>
      <c r="AD669" s="110"/>
      <c r="AE669" s="130">
        <v>1</v>
      </c>
      <c r="AF669" s="111">
        <f t="shared" si="144"/>
        <v>42.003599999999999</v>
      </c>
      <c r="AG669" s="110"/>
      <c r="AH669" s="110"/>
      <c r="AI669" s="110"/>
      <c r="AJ669" s="110"/>
      <c r="AK669" s="111">
        <f t="shared" si="152"/>
        <v>168.01439999999999</v>
      </c>
      <c r="AL669" s="446">
        <f t="shared" si="153"/>
        <v>0</v>
      </c>
      <c r="AM669" s="110">
        <f t="shared" si="154"/>
        <v>6</v>
      </c>
      <c r="AN669" s="447">
        <f t="shared" si="150"/>
        <v>0</v>
      </c>
      <c r="AO669"/>
      <c r="AP669"/>
    </row>
    <row r="670" spans="1:42" ht="66" x14ac:dyDescent="0.25">
      <c r="A670" s="9"/>
      <c r="B670" s="495" t="s">
        <v>2852</v>
      </c>
      <c r="C670" s="1024"/>
      <c r="D670" s="882">
        <v>6</v>
      </c>
      <c r="E670" s="251" t="s">
        <v>1767</v>
      </c>
      <c r="F670" s="273" t="s">
        <v>3446</v>
      </c>
      <c r="G670" s="1040" t="s">
        <v>3463</v>
      </c>
      <c r="H670" s="273" t="s">
        <v>3462</v>
      </c>
      <c r="I670" s="720">
        <f t="shared" si="155"/>
        <v>28.002399999999998</v>
      </c>
      <c r="J670" s="756">
        <v>168.01439999999999</v>
      </c>
      <c r="K670" s="131">
        <f t="shared" si="149"/>
        <v>168.01439999999999</v>
      </c>
      <c r="L670" s="335">
        <f t="shared" si="151"/>
        <v>0</v>
      </c>
      <c r="M670" s="446"/>
      <c r="N670" s="446"/>
      <c r="O670" s="446"/>
      <c r="P670" s="446"/>
      <c r="Q670" s="130">
        <v>2</v>
      </c>
      <c r="R670" s="111">
        <f t="shared" si="142"/>
        <v>42.003599999999999</v>
      </c>
      <c r="S670" s="110"/>
      <c r="T670" s="110"/>
      <c r="U670" s="130">
        <v>2</v>
      </c>
      <c r="V670" s="111">
        <f t="shared" si="143"/>
        <v>42.003599999999999</v>
      </c>
      <c r="W670" s="110"/>
      <c r="X670" s="110"/>
      <c r="Y670" s="110"/>
      <c r="Z670" s="110"/>
      <c r="AA670" s="130">
        <v>1</v>
      </c>
      <c r="AB670" s="111">
        <f t="shared" si="145"/>
        <v>42.003599999999999</v>
      </c>
      <c r="AC670" s="110"/>
      <c r="AD670" s="110"/>
      <c r="AE670" s="130">
        <v>1</v>
      </c>
      <c r="AF670" s="111">
        <f t="shared" si="144"/>
        <v>42.003599999999999</v>
      </c>
      <c r="AG670" s="110"/>
      <c r="AH670" s="110"/>
      <c r="AI670" s="110"/>
      <c r="AJ670" s="110"/>
      <c r="AK670" s="111">
        <f t="shared" si="152"/>
        <v>168.01439999999999</v>
      </c>
      <c r="AL670" s="446">
        <f t="shared" si="153"/>
        <v>0</v>
      </c>
      <c r="AM670" s="110">
        <f t="shared" si="154"/>
        <v>6</v>
      </c>
      <c r="AN670" s="447">
        <f t="shared" si="150"/>
        <v>0</v>
      </c>
      <c r="AO670"/>
      <c r="AP670"/>
    </row>
    <row r="671" spans="1:42" ht="66" x14ac:dyDescent="0.25">
      <c r="A671" s="9"/>
      <c r="B671" s="495" t="s">
        <v>2853</v>
      </c>
      <c r="C671" s="1024"/>
      <c r="D671" s="882">
        <v>50</v>
      </c>
      <c r="E671" s="251" t="s">
        <v>1767</v>
      </c>
      <c r="F671" s="273" t="s">
        <v>3446</v>
      </c>
      <c r="G671" s="1040" t="s">
        <v>3463</v>
      </c>
      <c r="H671" s="273" t="s">
        <v>3462</v>
      </c>
      <c r="I671" s="720">
        <f t="shared" si="155"/>
        <v>25.171999999999997</v>
      </c>
      <c r="J671" s="756">
        <v>1258.5999999999999</v>
      </c>
      <c r="K671" s="131">
        <f t="shared" si="149"/>
        <v>1258.5999999999999</v>
      </c>
      <c r="L671" s="335">
        <f t="shared" si="151"/>
        <v>0</v>
      </c>
      <c r="M671" s="446"/>
      <c r="N671" s="446"/>
      <c r="O671" s="446"/>
      <c r="P671" s="446"/>
      <c r="Q671" s="110">
        <v>13</v>
      </c>
      <c r="R671" s="111">
        <f t="shared" si="142"/>
        <v>314.64999999999998</v>
      </c>
      <c r="S671" s="110"/>
      <c r="T671" s="110"/>
      <c r="U671" s="110">
        <v>12</v>
      </c>
      <c r="V671" s="111">
        <f t="shared" si="143"/>
        <v>314.64999999999998</v>
      </c>
      <c r="W671" s="110"/>
      <c r="X671" s="110"/>
      <c r="Y671" s="110"/>
      <c r="Z671" s="110"/>
      <c r="AA671" s="110">
        <v>12</v>
      </c>
      <c r="AB671" s="111">
        <f t="shared" si="145"/>
        <v>314.64999999999998</v>
      </c>
      <c r="AC671" s="110"/>
      <c r="AD671" s="110"/>
      <c r="AE671" s="110">
        <v>13</v>
      </c>
      <c r="AF671" s="111">
        <f t="shared" si="144"/>
        <v>314.64999999999998</v>
      </c>
      <c r="AG671" s="110"/>
      <c r="AH671" s="110"/>
      <c r="AI671" s="110"/>
      <c r="AJ671" s="110"/>
      <c r="AK671" s="111">
        <f t="shared" si="152"/>
        <v>1258.5999999999999</v>
      </c>
      <c r="AL671" s="446">
        <f t="shared" si="153"/>
        <v>0</v>
      </c>
      <c r="AM671" s="110">
        <f t="shared" si="154"/>
        <v>50</v>
      </c>
      <c r="AN671" s="447">
        <f t="shared" si="150"/>
        <v>0</v>
      </c>
      <c r="AO671"/>
      <c r="AP671"/>
    </row>
    <row r="672" spans="1:42" ht="66" x14ac:dyDescent="0.25">
      <c r="A672" s="9"/>
      <c r="B672" s="495" t="s">
        <v>2854</v>
      </c>
      <c r="C672" s="1024"/>
      <c r="D672" s="882">
        <v>50</v>
      </c>
      <c r="E672" s="251" t="s">
        <v>1767</v>
      </c>
      <c r="F672" s="273" t="s">
        <v>3446</v>
      </c>
      <c r="G672" s="1040" t="s">
        <v>3463</v>
      </c>
      <c r="H672" s="273" t="s">
        <v>3462</v>
      </c>
      <c r="I672" s="720">
        <f t="shared" si="155"/>
        <v>25.171999999999997</v>
      </c>
      <c r="J672" s="756">
        <v>1258.5999999999999</v>
      </c>
      <c r="K672" s="131">
        <f t="shared" si="149"/>
        <v>1258.5999999999999</v>
      </c>
      <c r="L672" s="335">
        <f t="shared" si="151"/>
        <v>0</v>
      </c>
      <c r="M672" s="446"/>
      <c r="N672" s="446"/>
      <c r="O672" s="446"/>
      <c r="P672" s="446"/>
      <c r="Q672" s="110">
        <v>13</v>
      </c>
      <c r="R672" s="111">
        <f t="shared" si="142"/>
        <v>314.64999999999998</v>
      </c>
      <c r="S672" s="110"/>
      <c r="T672" s="110"/>
      <c r="U672" s="110">
        <v>12</v>
      </c>
      <c r="V672" s="111">
        <f t="shared" si="143"/>
        <v>314.64999999999998</v>
      </c>
      <c r="W672" s="110"/>
      <c r="X672" s="110"/>
      <c r="Y672" s="110"/>
      <c r="Z672" s="110"/>
      <c r="AA672" s="110">
        <v>12</v>
      </c>
      <c r="AB672" s="111">
        <f t="shared" si="145"/>
        <v>314.64999999999998</v>
      </c>
      <c r="AC672" s="110"/>
      <c r="AD672" s="110"/>
      <c r="AE672" s="110">
        <v>13</v>
      </c>
      <c r="AF672" s="111">
        <f t="shared" si="144"/>
        <v>314.64999999999998</v>
      </c>
      <c r="AG672" s="110"/>
      <c r="AH672" s="110"/>
      <c r="AI672" s="110"/>
      <c r="AJ672" s="110"/>
      <c r="AK672" s="111">
        <f t="shared" si="152"/>
        <v>1258.5999999999999</v>
      </c>
      <c r="AL672" s="446">
        <f t="shared" si="153"/>
        <v>0</v>
      </c>
      <c r="AM672" s="110">
        <f t="shared" si="154"/>
        <v>50</v>
      </c>
      <c r="AN672" s="447">
        <f t="shared" si="150"/>
        <v>0</v>
      </c>
      <c r="AO672"/>
      <c r="AP672"/>
    </row>
    <row r="673" spans="1:42" ht="66" x14ac:dyDescent="0.25">
      <c r="A673" s="9"/>
      <c r="B673" s="495" t="s">
        <v>2855</v>
      </c>
      <c r="C673" s="1024"/>
      <c r="D673" s="882">
        <v>25</v>
      </c>
      <c r="E673" s="251" t="s">
        <v>1766</v>
      </c>
      <c r="F673" s="273" t="s">
        <v>3446</v>
      </c>
      <c r="G673" s="1040" t="s">
        <v>3463</v>
      </c>
      <c r="H673" s="273" t="s">
        <v>3462</v>
      </c>
      <c r="I673" s="720">
        <f t="shared" si="155"/>
        <v>42.59</v>
      </c>
      <c r="J673" s="756">
        <v>1064.75</v>
      </c>
      <c r="K673" s="131">
        <f t="shared" si="149"/>
        <v>1064.75</v>
      </c>
      <c r="L673" s="335">
        <f t="shared" si="151"/>
        <v>0</v>
      </c>
      <c r="M673" s="446"/>
      <c r="N673" s="446"/>
      <c r="O673" s="446"/>
      <c r="P673" s="446"/>
      <c r="Q673" s="110">
        <v>7</v>
      </c>
      <c r="R673" s="111">
        <f t="shared" si="142"/>
        <v>266.1875</v>
      </c>
      <c r="S673" s="110"/>
      <c r="T673" s="110"/>
      <c r="U673" s="110">
        <v>6</v>
      </c>
      <c r="V673" s="111">
        <f t="shared" si="143"/>
        <v>266.1875</v>
      </c>
      <c r="W673" s="110"/>
      <c r="X673" s="110"/>
      <c r="Y673" s="110"/>
      <c r="Z673" s="110"/>
      <c r="AA673" s="110">
        <v>6</v>
      </c>
      <c r="AB673" s="111">
        <f t="shared" si="145"/>
        <v>266.1875</v>
      </c>
      <c r="AC673" s="110"/>
      <c r="AD673" s="110"/>
      <c r="AE673" s="110">
        <v>6</v>
      </c>
      <c r="AF673" s="111">
        <f t="shared" si="144"/>
        <v>266.1875</v>
      </c>
      <c r="AG673" s="110"/>
      <c r="AH673" s="110"/>
      <c r="AI673" s="110"/>
      <c r="AJ673" s="110"/>
      <c r="AK673" s="111">
        <f t="shared" si="152"/>
        <v>1064.75</v>
      </c>
      <c r="AL673" s="446">
        <f t="shared" si="153"/>
        <v>0</v>
      </c>
      <c r="AM673" s="110">
        <f t="shared" si="154"/>
        <v>25</v>
      </c>
      <c r="AN673" s="447">
        <f t="shared" si="150"/>
        <v>0</v>
      </c>
      <c r="AO673"/>
      <c r="AP673"/>
    </row>
    <row r="674" spans="1:42" ht="66" x14ac:dyDescent="0.25">
      <c r="A674" s="9"/>
      <c r="B674" s="495" t="s">
        <v>2856</v>
      </c>
      <c r="C674" s="1024"/>
      <c r="D674" s="882">
        <v>25</v>
      </c>
      <c r="E674" s="251" t="s">
        <v>1766</v>
      </c>
      <c r="F674" s="273" t="s">
        <v>3446</v>
      </c>
      <c r="G674" s="1040" t="s">
        <v>3463</v>
      </c>
      <c r="H674" s="273" t="s">
        <v>3462</v>
      </c>
      <c r="I674" s="720">
        <f t="shared" si="155"/>
        <v>42.59</v>
      </c>
      <c r="J674" s="756">
        <v>1064.75</v>
      </c>
      <c r="K674" s="131">
        <f t="shared" si="149"/>
        <v>1064.75</v>
      </c>
      <c r="L674" s="335">
        <f t="shared" si="151"/>
        <v>0</v>
      </c>
      <c r="M674" s="446"/>
      <c r="N674" s="446"/>
      <c r="O674" s="446"/>
      <c r="P674" s="446"/>
      <c r="Q674" s="110">
        <v>7</v>
      </c>
      <c r="R674" s="111">
        <f t="shared" si="142"/>
        <v>266.1875</v>
      </c>
      <c r="S674" s="110"/>
      <c r="T674" s="110"/>
      <c r="U674" s="110">
        <v>6</v>
      </c>
      <c r="V674" s="111">
        <f t="shared" si="143"/>
        <v>266.1875</v>
      </c>
      <c r="W674" s="110"/>
      <c r="X674" s="110"/>
      <c r="Y674" s="110"/>
      <c r="Z674" s="110"/>
      <c r="AA674" s="110">
        <v>6</v>
      </c>
      <c r="AB674" s="111">
        <f t="shared" si="145"/>
        <v>266.1875</v>
      </c>
      <c r="AC674" s="110"/>
      <c r="AD674" s="110"/>
      <c r="AE674" s="110">
        <v>6</v>
      </c>
      <c r="AF674" s="111">
        <f t="shared" si="144"/>
        <v>266.1875</v>
      </c>
      <c r="AG674" s="110"/>
      <c r="AH674" s="110"/>
      <c r="AI674" s="110"/>
      <c r="AJ674" s="110"/>
      <c r="AK674" s="111">
        <f t="shared" si="152"/>
        <v>1064.75</v>
      </c>
      <c r="AL674" s="446">
        <f t="shared" si="153"/>
        <v>0</v>
      </c>
      <c r="AM674" s="110">
        <f t="shared" si="154"/>
        <v>25</v>
      </c>
      <c r="AN674" s="447">
        <f t="shared" si="150"/>
        <v>0</v>
      </c>
      <c r="AO674"/>
      <c r="AP674"/>
    </row>
    <row r="675" spans="1:42" ht="66" x14ac:dyDescent="0.25">
      <c r="A675" s="9"/>
      <c r="B675" s="495" t="s">
        <v>2857</v>
      </c>
      <c r="C675" s="1024"/>
      <c r="D675" s="882">
        <v>10</v>
      </c>
      <c r="E675" s="251" t="s">
        <v>1766</v>
      </c>
      <c r="F675" s="273" t="s">
        <v>3446</v>
      </c>
      <c r="G675" s="1040" t="s">
        <v>3463</v>
      </c>
      <c r="H675" s="273" t="s">
        <v>3462</v>
      </c>
      <c r="I675" s="720">
        <f t="shared" si="155"/>
        <v>42.59</v>
      </c>
      <c r="J675" s="756">
        <v>425.90000000000003</v>
      </c>
      <c r="K675" s="131">
        <f t="shared" si="149"/>
        <v>425.90000000000003</v>
      </c>
      <c r="L675" s="335">
        <f t="shared" si="151"/>
        <v>0</v>
      </c>
      <c r="M675" s="446"/>
      <c r="N675" s="446"/>
      <c r="O675" s="446"/>
      <c r="P675" s="446"/>
      <c r="Q675" s="130">
        <v>3</v>
      </c>
      <c r="R675" s="111">
        <f t="shared" si="142"/>
        <v>106.47500000000001</v>
      </c>
      <c r="S675" s="110"/>
      <c r="T675" s="110"/>
      <c r="U675" s="130">
        <v>3</v>
      </c>
      <c r="V675" s="111">
        <f t="shared" si="143"/>
        <v>106.47500000000001</v>
      </c>
      <c r="W675" s="110"/>
      <c r="X675" s="110"/>
      <c r="Y675" s="110"/>
      <c r="Z675" s="110"/>
      <c r="AA675" s="130">
        <v>2</v>
      </c>
      <c r="AB675" s="111">
        <f t="shared" si="145"/>
        <v>106.47500000000001</v>
      </c>
      <c r="AC675" s="110"/>
      <c r="AD675" s="110"/>
      <c r="AE675" s="130">
        <v>2</v>
      </c>
      <c r="AF675" s="111">
        <f t="shared" si="144"/>
        <v>106.47500000000001</v>
      </c>
      <c r="AG675" s="110"/>
      <c r="AH675" s="110"/>
      <c r="AI675" s="110"/>
      <c r="AJ675" s="110"/>
      <c r="AK675" s="111">
        <f t="shared" si="152"/>
        <v>425.90000000000003</v>
      </c>
      <c r="AL675" s="446">
        <f t="shared" si="153"/>
        <v>0</v>
      </c>
      <c r="AM675" s="110">
        <f t="shared" si="154"/>
        <v>10</v>
      </c>
      <c r="AN675" s="447">
        <f t="shared" si="150"/>
        <v>0</v>
      </c>
      <c r="AO675"/>
      <c r="AP675"/>
    </row>
    <row r="676" spans="1:42" ht="66" x14ac:dyDescent="0.25">
      <c r="A676" s="9"/>
      <c r="B676" s="495" t="s">
        <v>222</v>
      </c>
      <c r="C676" s="1024"/>
      <c r="D676" s="882">
        <v>7</v>
      </c>
      <c r="E676" s="251" t="s">
        <v>1767</v>
      </c>
      <c r="F676" s="273" t="s">
        <v>3446</v>
      </c>
      <c r="G676" s="1040" t="s">
        <v>3463</v>
      </c>
      <c r="H676" s="273" t="s">
        <v>3462</v>
      </c>
      <c r="I676" s="720">
        <f t="shared" si="155"/>
        <v>12.47</v>
      </c>
      <c r="J676" s="756">
        <v>87.29</v>
      </c>
      <c r="K676" s="131">
        <f t="shared" si="149"/>
        <v>87.29</v>
      </c>
      <c r="L676" s="335">
        <f t="shared" si="151"/>
        <v>0</v>
      </c>
      <c r="M676" s="446"/>
      <c r="N676" s="446"/>
      <c r="O676" s="446"/>
      <c r="P676" s="446"/>
      <c r="Q676" s="130">
        <v>2</v>
      </c>
      <c r="R676" s="111">
        <f t="shared" si="142"/>
        <v>21.822500000000002</v>
      </c>
      <c r="S676" s="110"/>
      <c r="T676" s="110"/>
      <c r="U676" s="130">
        <v>2</v>
      </c>
      <c r="V676" s="111">
        <f t="shared" si="143"/>
        <v>21.822500000000002</v>
      </c>
      <c r="W676" s="110"/>
      <c r="X676" s="110"/>
      <c r="Y676" s="110"/>
      <c r="Z676" s="110"/>
      <c r="AA676" s="130">
        <v>2</v>
      </c>
      <c r="AB676" s="111">
        <f t="shared" si="145"/>
        <v>21.822500000000002</v>
      </c>
      <c r="AC676" s="110"/>
      <c r="AD676" s="110"/>
      <c r="AE676" s="130">
        <v>1</v>
      </c>
      <c r="AF676" s="111">
        <f t="shared" si="144"/>
        <v>21.822500000000002</v>
      </c>
      <c r="AG676" s="110"/>
      <c r="AH676" s="110"/>
      <c r="AI676" s="110"/>
      <c r="AJ676" s="110"/>
      <c r="AK676" s="111">
        <f t="shared" si="152"/>
        <v>87.29</v>
      </c>
      <c r="AL676" s="446">
        <f t="shared" si="153"/>
        <v>0</v>
      </c>
      <c r="AM676" s="110">
        <f t="shared" si="154"/>
        <v>7</v>
      </c>
      <c r="AN676" s="447">
        <f t="shared" si="150"/>
        <v>0</v>
      </c>
      <c r="AO676"/>
      <c r="AP676"/>
    </row>
    <row r="677" spans="1:42" ht="66" x14ac:dyDescent="0.25">
      <c r="A677" s="9"/>
      <c r="B677" s="495" t="s">
        <v>25</v>
      </c>
      <c r="C677" s="1024"/>
      <c r="D677" s="882">
        <v>15</v>
      </c>
      <c r="E677" s="251" t="s">
        <v>1766</v>
      </c>
      <c r="F677" s="273" t="s">
        <v>3446</v>
      </c>
      <c r="G677" s="1040" t="s">
        <v>3463</v>
      </c>
      <c r="H677" s="273" t="s">
        <v>3462</v>
      </c>
      <c r="I677" s="720">
        <f t="shared" si="155"/>
        <v>39.200000000000003</v>
      </c>
      <c r="J677" s="756">
        <v>588</v>
      </c>
      <c r="K677" s="131">
        <f t="shared" si="149"/>
        <v>588</v>
      </c>
      <c r="L677" s="335">
        <f t="shared" si="151"/>
        <v>0</v>
      </c>
      <c r="M677" s="446"/>
      <c r="N677" s="446"/>
      <c r="O677" s="446"/>
      <c r="P677" s="446"/>
      <c r="Q677" s="110">
        <v>4</v>
      </c>
      <c r="R677" s="111">
        <f t="shared" si="142"/>
        <v>147</v>
      </c>
      <c r="S677" s="110"/>
      <c r="T677" s="110"/>
      <c r="U677" s="110">
        <v>4</v>
      </c>
      <c r="V677" s="111">
        <f t="shared" si="143"/>
        <v>147</v>
      </c>
      <c r="W677" s="110"/>
      <c r="X677" s="110"/>
      <c r="Y677" s="110"/>
      <c r="Z677" s="110"/>
      <c r="AA677" s="110">
        <v>4</v>
      </c>
      <c r="AB677" s="111">
        <f t="shared" si="145"/>
        <v>147</v>
      </c>
      <c r="AC677" s="110"/>
      <c r="AD677" s="110"/>
      <c r="AE677" s="110">
        <v>3</v>
      </c>
      <c r="AF677" s="111">
        <f t="shared" si="144"/>
        <v>147</v>
      </c>
      <c r="AG677" s="110"/>
      <c r="AH677" s="110"/>
      <c r="AI677" s="110"/>
      <c r="AJ677" s="110"/>
      <c r="AK677" s="111">
        <f t="shared" si="152"/>
        <v>588</v>
      </c>
      <c r="AL677" s="446">
        <f t="shared" si="153"/>
        <v>0</v>
      </c>
      <c r="AM677" s="110">
        <f t="shared" si="154"/>
        <v>15</v>
      </c>
      <c r="AN677" s="447">
        <f t="shared" si="150"/>
        <v>0</v>
      </c>
      <c r="AO677"/>
      <c r="AP677"/>
    </row>
    <row r="678" spans="1:42" ht="66" x14ac:dyDescent="0.25">
      <c r="A678" s="9"/>
      <c r="B678" s="495" t="s">
        <v>1849</v>
      </c>
      <c r="C678" s="1024"/>
      <c r="D678" s="882">
        <v>90</v>
      </c>
      <c r="E678" s="251" t="s">
        <v>1767</v>
      </c>
      <c r="F678" s="273" t="s">
        <v>3446</v>
      </c>
      <c r="G678" s="1040" t="s">
        <v>3463</v>
      </c>
      <c r="H678" s="273" t="s">
        <v>3462</v>
      </c>
      <c r="I678" s="720">
        <f t="shared" si="155"/>
        <v>12.12</v>
      </c>
      <c r="J678" s="756">
        <v>1090.8</v>
      </c>
      <c r="K678" s="131">
        <f t="shared" si="149"/>
        <v>1090.8</v>
      </c>
      <c r="L678" s="335">
        <f t="shared" si="151"/>
        <v>0</v>
      </c>
      <c r="M678" s="446"/>
      <c r="N678" s="446"/>
      <c r="O678" s="446"/>
      <c r="P678" s="446"/>
      <c r="Q678" s="110">
        <v>23</v>
      </c>
      <c r="R678" s="111">
        <f t="shared" si="142"/>
        <v>272.7</v>
      </c>
      <c r="S678" s="110"/>
      <c r="T678" s="110"/>
      <c r="U678" s="110">
        <v>23</v>
      </c>
      <c r="V678" s="111">
        <f t="shared" si="143"/>
        <v>272.7</v>
      </c>
      <c r="W678" s="110"/>
      <c r="X678" s="110"/>
      <c r="Y678" s="110"/>
      <c r="Z678" s="110"/>
      <c r="AA678" s="110">
        <v>22</v>
      </c>
      <c r="AB678" s="111">
        <f t="shared" si="145"/>
        <v>272.7</v>
      </c>
      <c r="AC678" s="110"/>
      <c r="AD678" s="110"/>
      <c r="AE678" s="110">
        <v>22</v>
      </c>
      <c r="AF678" s="111">
        <f t="shared" si="144"/>
        <v>272.7</v>
      </c>
      <c r="AG678" s="110"/>
      <c r="AH678" s="110"/>
      <c r="AI678" s="110"/>
      <c r="AJ678" s="110"/>
      <c r="AK678" s="111">
        <f t="shared" si="152"/>
        <v>1090.8</v>
      </c>
      <c r="AL678" s="446">
        <f t="shared" si="153"/>
        <v>0</v>
      </c>
      <c r="AM678" s="110">
        <f t="shared" si="154"/>
        <v>90</v>
      </c>
      <c r="AN678" s="447">
        <f t="shared" si="150"/>
        <v>0</v>
      </c>
      <c r="AO678"/>
      <c r="AP678"/>
    </row>
    <row r="679" spans="1:42" ht="66" x14ac:dyDescent="0.25">
      <c r="A679" s="9"/>
      <c r="B679" s="495" t="s">
        <v>2858</v>
      </c>
      <c r="C679" s="1024"/>
      <c r="D679" s="882">
        <v>10</v>
      </c>
      <c r="E679" s="251" t="s">
        <v>1766</v>
      </c>
      <c r="F679" s="273" t="s">
        <v>3446</v>
      </c>
      <c r="G679" s="1040" t="s">
        <v>3463</v>
      </c>
      <c r="H679" s="273" t="s">
        <v>3462</v>
      </c>
      <c r="I679" s="720">
        <f t="shared" si="155"/>
        <v>117.60999999999999</v>
      </c>
      <c r="J679" s="756">
        <v>1176.0999999999999</v>
      </c>
      <c r="K679" s="131">
        <f t="shared" si="149"/>
        <v>1176.0999999999999</v>
      </c>
      <c r="L679" s="335">
        <f t="shared" si="151"/>
        <v>0</v>
      </c>
      <c r="M679" s="446"/>
      <c r="N679" s="446"/>
      <c r="O679" s="446"/>
      <c r="P679" s="446"/>
      <c r="Q679" s="130">
        <v>3</v>
      </c>
      <c r="R679" s="111">
        <f t="shared" si="142"/>
        <v>294.02499999999998</v>
      </c>
      <c r="S679" s="110"/>
      <c r="T679" s="110"/>
      <c r="U679" s="130">
        <v>3</v>
      </c>
      <c r="V679" s="111">
        <f t="shared" si="143"/>
        <v>294.02499999999998</v>
      </c>
      <c r="W679" s="110"/>
      <c r="X679" s="110"/>
      <c r="Y679" s="110"/>
      <c r="Z679" s="110"/>
      <c r="AA679" s="130">
        <v>2</v>
      </c>
      <c r="AB679" s="111">
        <f t="shared" si="145"/>
        <v>294.02499999999998</v>
      </c>
      <c r="AC679" s="110"/>
      <c r="AD679" s="110"/>
      <c r="AE679" s="130">
        <v>2</v>
      </c>
      <c r="AF679" s="111">
        <f t="shared" si="144"/>
        <v>294.02499999999998</v>
      </c>
      <c r="AG679" s="110"/>
      <c r="AH679" s="110"/>
      <c r="AI679" s="110"/>
      <c r="AJ679" s="110"/>
      <c r="AK679" s="111">
        <f t="shared" si="152"/>
        <v>1176.0999999999999</v>
      </c>
      <c r="AL679" s="446">
        <f t="shared" si="153"/>
        <v>0</v>
      </c>
      <c r="AM679" s="110">
        <f t="shared" si="154"/>
        <v>10</v>
      </c>
      <c r="AN679" s="447">
        <f t="shared" si="150"/>
        <v>0</v>
      </c>
      <c r="AO679"/>
      <c r="AP679"/>
    </row>
    <row r="680" spans="1:42" ht="66" x14ac:dyDescent="0.25">
      <c r="A680" s="9"/>
      <c r="B680" s="495" t="s">
        <v>2859</v>
      </c>
      <c r="C680" s="1024"/>
      <c r="D680" s="882">
        <v>10</v>
      </c>
      <c r="E680" s="251" t="s">
        <v>1766</v>
      </c>
      <c r="F680" s="273" t="s">
        <v>3446</v>
      </c>
      <c r="G680" s="1040" t="s">
        <v>3463</v>
      </c>
      <c r="H680" s="273" t="s">
        <v>3462</v>
      </c>
      <c r="I680" s="720">
        <f t="shared" si="155"/>
        <v>117.60999999999999</v>
      </c>
      <c r="J680" s="756">
        <v>1176.0999999999999</v>
      </c>
      <c r="K680" s="131">
        <f t="shared" si="149"/>
        <v>1176.0999999999999</v>
      </c>
      <c r="L680" s="335">
        <f t="shared" si="151"/>
        <v>0</v>
      </c>
      <c r="M680" s="446"/>
      <c r="N680" s="446"/>
      <c r="O680" s="446"/>
      <c r="P680" s="446"/>
      <c r="Q680" s="130">
        <v>3</v>
      </c>
      <c r="R680" s="111">
        <f t="shared" si="142"/>
        <v>294.02499999999998</v>
      </c>
      <c r="S680" s="110"/>
      <c r="T680" s="110"/>
      <c r="U680" s="130">
        <v>3</v>
      </c>
      <c r="V680" s="111">
        <f t="shared" si="143"/>
        <v>294.02499999999998</v>
      </c>
      <c r="W680" s="110"/>
      <c r="X680" s="110"/>
      <c r="Y680" s="110"/>
      <c r="Z680" s="110"/>
      <c r="AA680" s="130">
        <v>2</v>
      </c>
      <c r="AB680" s="111">
        <f t="shared" si="145"/>
        <v>294.02499999999998</v>
      </c>
      <c r="AC680" s="110"/>
      <c r="AD680" s="110"/>
      <c r="AE680" s="130">
        <v>2</v>
      </c>
      <c r="AF680" s="111">
        <f t="shared" si="144"/>
        <v>294.02499999999998</v>
      </c>
      <c r="AG680" s="110"/>
      <c r="AH680" s="110"/>
      <c r="AI680" s="110"/>
      <c r="AJ680" s="110"/>
      <c r="AK680" s="111">
        <f t="shared" si="152"/>
        <v>1176.0999999999999</v>
      </c>
      <c r="AL680" s="446">
        <f t="shared" si="153"/>
        <v>0</v>
      </c>
      <c r="AM680" s="110">
        <f t="shared" si="154"/>
        <v>10</v>
      </c>
      <c r="AN680" s="447">
        <f t="shared" si="150"/>
        <v>0</v>
      </c>
      <c r="AO680"/>
      <c r="AP680"/>
    </row>
    <row r="681" spans="1:42" ht="66" x14ac:dyDescent="0.25">
      <c r="A681" s="9"/>
      <c r="B681" s="495" t="s">
        <v>2860</v>
      </c>
      <c r="C681" s="1024"/>
      <c r="D681" s="882">
        <v>10</v>
      </c>
      <c r="E681" s="251" t="s">
        <v>1766</v>
      </c>
      <c r="F681" s="273" t="s">
        <v>3446</v>
      </c>
      <c r="G681" s="1040" t="s">
        <v>3463</v>
      </c>
      <c r="H681" s="273" t="s">
        <v>3462</v>
      </c>
      <c r="I681" s="720">
        <f t="shared" si="155"/>
        <v>117.60999999999999</v>
      </c>
      <c r="J681" s="756">
        <v>1176.0999999999999</v>
      </c>
      <c r="K681" s="131">
        <f t="shared" si="149"/>
        <v>1176.0999999999999</v>
      </c>
      <c r="L681" s="335">
        <f t="shared" si="151"/>
        <v>0</v>
      </c>
      <c r="M681" s="446"/>
      <c r="N681" s="446"/>
      <c r="O681" s="446"/>
      <c r="P681" s="446"/>
      <c r="Q681" s="130">
        <v>3</v>
      </c>
      <c r="R681" s="111">
        <f t="shared" si="142"/>
        <v>294.02499999999998</v>
      </c>
      <c r="S681" s="110"/>
      <c r="T681" s="110"/>
      <c r="U681" s="130">
        <v>3</v>
      </c>
      <c r="V681" s="111">
        <f t="shared" si="143"/>
        <v>294.02499999999998</v>
      </c>
      <c r="W681" s="110"/>
      <c r="X681" s="110"/>
      <c r="Y681" s="110"/>
      <c r="Z681" s="110"/>
      <c r="AA681" s="130">
        <v>2</v>
      </c>
      <c r="AB681" s="111">
        <f t="shared" si="145"/>
        <v>294.02499999999998</v>
      </c>
      <c r="AC681" s="110"/>
      <c r="AD681" s="110"/>
      <c r="AE681" s="130">
        <v>2</v>
      </c>
      <c r="AF681" s="111">
        <f t="shared" si="144"/>
        <v>294.02499999999998</v>
      </c>
      <c r="AG681" s="110"/>
      <c r="AH681" s="110"/>
      <c r="AI681" s="110"/>
      <c r="AJ681" s="110"/>
      <c r="AK681" s="111">
        <f t="shared" si="152"/>
        <v>1176.0999999999999</v>
      </c>
      <c r="AL681" s="446">
        <f t="shared" si="153"/>
        <v>0</v>
      </c>
      <c r="AM681" s="110">
        <f t="shared" si="154"/>
        <v>10</v>
      </c>
      <c r="AN681" s="447">
        <f t="shared" si="150"/>
        <v>0</v>
      </c>
      <c r="AO681"/>
      <c r="AP681"/>
    </row>
    <row r="682" spans="1:42" ht="66" x14ac:dyDescent="0.25">
      <c r="A682" s="9"/>
      <c r="B682" s="495" t="s">
        <v>2861</v>
      </c>
      <c r="C682" s="1024"/>
      <c r="D682" s="882">
        <v>1</v>
      </c>
      <c r="E682" s="251" t="s">
        <v>1767</v>
      </c>
      <c r="F682" s="273" t="s">
        <v>3446</v>
      </c>
      <c r="G682" s="1040" t="s">
        <v>3463</v>
      </c>
      <c r="H682" s="273" t="s">
        <v>3462</v>
      </c>
      <c r="I682" s="720">
        <f t="shared" si="155"/>
        <v>285.00503999999995</v>
      </c>
      <c r="J682" s="756">
        <v>285.00503999999995</v>
      </c>
      <c r="K682" s="131">
        <f t="shared" si="149"/>
        <v>285.00503999999995</v>
      </c>
      <c r="L682" s="335">
        <f t="shared" si="151"/>
        <v>0</v>
      </c>
      <c r="M682" s="446"/>
      <c r="N682" s="446"/>
      <c r="O682" s="446"/>
      <c r="P682" s="446"/>
      <c r="Q682" s="110">
        <v>1</v>
      </c>
      <c r="R682" s="111">
        <v>285.01</v>
      </c>
      <c r="S682" s="110"/>
      <c r="T682" s="110"/>
      <c r="U682" s="110">
        <v>0</v>
      </c>
      <c r="V682" s="111">
        <v>0</v>
      </c>
      <c r="W682" s="110"/>
      <c r="X682" s="110"/>
      <c r="Y682" s="110"/>
      <c r="Z682" s="110"/>
      <c r="AA682" s="110">
        <v>0</v>
      </c>
      <c r="AB682" s="111">
        <v>0</v>
      </c>
      <c r="AC682" s="110"/>
      <c r="AD682" s="110"/>
      <c r="AE682" s="110">
        <v>0</v>
      </c>
      <c r="AF682" s="111">
        <v>0</v>
      </c>
      <c r="AG682" s="110"/>
      <c r="AH682" s="110"/>
      <c r="AI682" s="110"/>
      <c r="AJ682" s="110"/>
      <c r="AK682" s="111">
        <f t="shared" si="152"/>
        <v>285.01</v>
      </c>
      <c r="AL682" s="446">
        <f t="shared" si="153"/>
        <v>-4.9600000000395994E-3</v>
      </c>
      <c r="AM682" s="110">
        <f t="shared" si="154"/>
        <v>1</v>
      </c>
      <c r="AN682" s="447">
        <f t="shared" si="150"/>
        <v>0</v>
      </c>
      <c r="AO682"/>
      <c r="AP682"/>
    </row>
    <row r="683" spans="1:42" ht="66" x14ac:dyDescent="0.25">
      <c r="A683" s="9"/>
      <c r="B683" s="495" t="s">
        <v>2862</v>
      </c>
      <c r="C683" s="1024"/>
      <c r="D683" s="882">
        <v>1</v>
      </c>
      <c r="E683" s="251" t="s">
        <v>1767</v>
      </c>
      <c r="F683" s="273" t="s">
        <v>3446</v>
      </c>
      <c r="G683" s="1040" t="s">
        <v>3463</v>
      </c>
      <c r="H683" s="273" t="s">
        <v>3462</v>
      </c>
      <c r="I683" s="720">
        <f t="shared" si="155"/>
        <v>186.27</v>
      </c>
      <c r="J683" s="756">
        <v>186.27</v>
      </c>
      <c r="K683" s="131">
        <f t="shared" si="149"/>
        <v>186.27</v>
      </c>
      <c r="L683" s="335">
        <f t="shared" si="151"/>
        <v>0</v>
      </c>
      <c r="M683" s="446"/>
      <c r="N683" s="446"/>
      <c r="O683" s="446"/>
      <c r="P683" s="446"/>
      <c r="Q683" s="110">
        <v>1</v>
      </c>
      <c r="R683" s="111">
        <v>186.27</v>
      </c>
      <c r="S683" s="110"/>
      <c r="T683" s="110"/>
      <c r="U683" s="110">
        <v>0</v>
      </c>
      <c r="V683" s="111">
        <v>0</v>
      </c>
      <c r="W683" s="110"/>
      <c r="X683" s="110"/>
      <c r="Y683" s="110"/>
      <c r="Z683" s="110"/>
      <c r="AA683" s="110">
        <v>0</v>
      </c>
      <c r="AB683" s="111">
        <v>0</v>
      </c>
      <c r="AC683" s="110"/>
      <c r="AD683" s="110"/>
      <c r="AE683" s="110">
        <v>0</v>
      </c>
      <c r="AF683" s="111">
        <v>0</v>
      </c>
      <c r="AG683" s="110"/>
      <c r="AH683" s="110"/>
      <c r="AI683" s="110"/>
      <c r="AJ683" s="110"/>
      <c r="AK683" s="111">
        <f t="shared" si="152"/>
        <v>186.27</v>
      </c>
      <c r="AL683" s="446">
        <f t="shared" si="153"/>
        <v>0</v>
      </c>
      <c r="AM683" s="110">
        <f t="shared" si="154"/>
        <v>1</v>
      </c>
      <c r="AN683" s="447">
        <f t="shared" si="150"/>
        <v>0</v>
      </c>
      <c r="AO683"/>
      <c r="AP683"/>
    </row>
    <row r="684" spans="1:42" ht="66" x14ac:dyDescent="0.25">
      <c r="A684" s="9"/>
      <c r="B684" s="495" t="s">
        <v>2863</v>
      </c>
      <c r="C684" s="1024"/>
      <c r="D684" s="882">
        <v>1</v>
      </c>
      <c r="E684" s="251" t="s">
        <v>1767</v>
      </c>
      <c r="F684" s="273" t="s">
        <v>3446</v>
      </c>
      <c r="G684" s="1040" t="s">
        <v>3463</v>
      </c>
      <c r="H684" s="273" t="s">
        <v>3462</v>
      </c>
      <c r="I684" s="720">
        <f t="shared" si="155"/>
        <v>437.98</v>
      </c>
      <c r="J684" s="756">
        <v>437.98</v>
      </c>
      <c r="K684" s="131">
        <f t="shared" si="149"/>
        <v>437.98</v>
      </c>
      <c r="L684" s="335">
        <f t="shared" si="151"/>
        <v>0</v>
      </c>
      <c r="M684" s="446"/>
      <c r="N684" s="446"/>
      <c r="O684" s="446"/>
      <c r="P684" s="446"/>
      <c r="Q684" s="110">
        <v>1</v>
      </c>
      <c r="R684" s="111">
        <v>437.98</v>
      </c>
      <c r="S684" s="110"/>
      <c r="T684" s="110"/>
      <c r="U684" s="110">
        <v>0</v>
      </c>
      <c r="V684" s="111">
        <v>0</v>
      </c>
      <c r="W684" s="110"/>
      <c r="X684" s="110"/>
      <c r="Y684" s="110"/>
      <c r="Z684" s="110"/>
      <c r="AA684" s="110">
        <v>0</v>
      </c>
      <c r="AB684" s="111">
        <v>0</v>
      </c>
      <c r="AC684" s="110"/>
      <c r="AD684" s="110"/>
      <c r="AE684" s="110">
        <v>0</v>
      </c>
      <c r="AF684" s="111">
        <v>0</v>
      </c>
      <c r="AG684" s="110"/>
      <c r="AH684" s="110"/>
      <c r="AI684" s="110"/>
      <c r="AJ684" s="110"/>
      <c r="AK684" s="111">
        <f t="shared" si="152"/>
        <v>437.98</v>
      </c>
      <c r="AL684" s="446">
        <f t="shared" si="153"/>
        <v>0</v>
      </c>
      <c r="AM684" s="110">
        <f t="shared" si="154"/>
        <v>1</v>
      </c>
      <c r="AN684" s="447">
        <f t="shared" si="150"/>
        <v>0</v>
      </c>
      <c r="AO684"/>
      <c r="AP684"/>
    </row>
    <row r="685" spans="1:42" ht="66" x14ac:dyDescent="0.25">
      <c r="A685" s="9"/>
      <c r="B685" s="495" t="s">
        <v>2864</v>
      </c>
      <c r="C685" s="1024"/>
      <c r="D685" s="882">
        <v>5</v>
      </c>
      <c r="E685" s="251" t="s">
        <v>1767</v>
      </c>
      <c r="F685" s="273" t="s">
        <v>3446</v>
      </c>
      <c r="G685" s="1040" t="s">
        <v>3463</v>
      </c>
      <c r="H685" s="273" t="s">
        <v>3462</v>
      </c>
      <c r="I685" s="720">
        <f t="shared" si="155"/>
        <v>113.8</v>
      </c>
      <c r="J685" s="756">
        <v>569</v>
      </c>
      <c r="K685" s="131">
        <f t="shared" si="149"/>
        <v>569</v>
      </c>
      <c r="L685" s="335">
        <f t="shared" si="151"/>
        <v>0</v>
      </c>
      <c r="M685" s="446"/>
      <c r="N685" s="446"/>
      <c r="O685" s="446"/>
      <c r="P685" s="446"/>
      <c r="Q685" s="110">
        <v>2</v>
      </c>
      <c r="R685" s="111">
        <f t="shared" si="142"/>
        <v>142.25</v>
      </c>
      <c r="S685" s="110"/>
      <c r="T685" s="110"/>
      <c r="U685" s="110">
        <v>1</v>
      </c>
      <c r="V685" s="111">
        <f t="shared" si="143"/>
        <v>142.25</v>
      </c>
      <c r="W685" s="110"/>
      <c r="X685" s="110"/>
      <c r="Y685" s="110"/>
      <c r="Z685" s="110"/>
      <c r="AA685" s="110">
        <v>1</v>
      </c>
      <c r="AB685" s="111">
        <f t="shared" si="145"/>
        <v>142.25</v>
      </c>
      <c r="AC685" s="110"/>
      <c r="AD685" s="110"/>
      <c r="AE685" s="110">
        <v>1</v>
      </c>
      <c r="AF685" s="111">
        <f t="shared" si="144"/>
        <v>142.25</v>
      </c>
      <c r="AG685" s="110"/>
      <c r="AH685" s="110"/>
      <c r="AI685" s="110"/>
      <c r="AJ685" s="110"/>
      <c r="AK685" s="111">
        <f t="shared" si="152"/>
        <v>569</v>
      </c>
      <c r="AL685" s="446">
        <f t="shared" si="153"/>
        <v>0</v>
      </c>
      <c r="AM685" s="110">
        <f t="shared" si="154"/>
        <v>5</v>
      </c>
      <c r="AN685" s="447">
        <f t="shared" si="150"/>
        <v>0</v>
      </c>
      <c r="AO685"/>
      <c r="AP685"/>
    </row>
    <row r="686" spans="1:42" ht="66" x14ac:dyDescent="0.25">
      <c r="A686" s="9"/>
      <c r="B686" s="495" t="s">
        <v>2865</v>
      </c>
      <c r="C686" s="1024"/>
      <c r="D686" s="882">
        <v>24</v>
      </c>
      <c r="E686" s="251" t="s">
        <v>1767</v>
      </c>
      <c r="F686" s="273" t="s">
        <v>3446</v>
      </c>
      <c r="G686" s="1040" t="s">
        <v>3463</v>
      </c>
      <c r="H686" s="273" t="s">
        <v>3462</v>
      </c>
      <c r="I686" s="720">
        <f t="shared" si="155"/>
        <v>20.55</v>
      </c>
      <c r="J686" s="756">
        <v>493.20000000000005</v>
      </c>
      <c r="K686" s="131">
        <f t="shared" si="149"/>
        <v>493.20000000000005</v>
      </c>
      <c r="L686" s="335">
        <f t="shared" si="151"/>
        <v>0</v>
      </c>
      <c r="M686" s="446"/>
      <c r="N686" s="446"/>
      <c r="O686" s="446"/>
      <c r="P686" s="446"/>
      <c r="Q686" s="110">
        <f t="shared" si="146"/>
        <v>6</v>
      </c>
      <c r="R686" s="111">
        <f t="shared" si="142"/>
        <v>123.30000000000001</v>
      </c>
      <c r="S686" s="110"/>
      <c r="T686" s="110"/>
      <c r="U686" s="110">
        <f t="shared" si="147"/>
        <v>6</v>
      </c>
      <c r="V686" s="111">
        <f t="shared" si="143"/>
        <v>123.30000000000001</v>
      </c>
      <c r="W686" s="110"/>
      <c r="X686" s="110"/>
      <c r="Y686" s="110"/>
      <c r="Z686" s="110"/>
      <c r="AA686" s="110">
        <f t="shared" si="148"/>
        <v>6</v>
      </c>
      <c r="AB686" s="111">
        <f t="shared" si="145"/>
        <v>123.30000000000001</v>
      </c>
      <c r="AC686" s="110"/>
      <c r="AD686" s="110"/>
      <c r="AE686" s="110">
        <f t="shared" si="148"/>
        <v>6</v>
      </c>
      <c r="AF686" s="111">
        <f t="shared" si="144"/>
        <v>123.30000000000001</v>
      </c>
      <c r="AG686" s="110"/>
      <c r="AH686" s="110"/>
      <c r="AI686" s="110"/>
      <c r="AJ686" s="110"/>
      <c r="AK686" s="111">
        <f t="shared" si="152"/>
        <v>493.20000000000005</v>
      </c>
      <c r="AL686" s="446">
        <f t="shared" si="153"/>
        <v>0</v>
      </c>
      <c r="AM686" s="110">
        <f t="shared" si="154"/>
        <v>24</v>
      </c>
      <c r="AN686" s="447">
        <f t="shared" si="150"/>
        <v>0</v>
      </c>
      <c r="AO686"/>
      <c r="AP686"/>
    </row>
    <row r="687" spans="1:42" ht="66" x14ac:dyDescent="0.25">
      <c r="A687" s="9"/>
      <c r="B687" s="495" t="s">
        <v>2866</v>
      </c>
      <c r="C687" s="1024"/>
      <c r="D687" s="882">
        <v>5</v>
      </c>
      <c r="E687" s="251" t="s">
        <v>1767</v>
      </c>
      <c r="F687" s="273" t="s">
        <v>3446</v>
      </c>
      <c r="G687" s="1040" t="s">
        <v>3463</v>
      </c>
      <c r="H687" s="273" t="s">
        <v>3462</v>
      </c>
      <c r="I687" s="720">
        <f t="shared" si="155"/>
        <v>17.399999999999999</v>
      </c>
      <c r="J687" s="756">
        <v>87</v>
      </c>
      <c r="K687" s="131">
        <f t="shared" si="149"/>
        <v>87</v>
      </c>
      <c r="L687" s="335">
        <f t="shared" si="151"/>
        <v>0</v>
      </c>
      <c r="M687" s="446"/>
      <c r="N687" s="446"/>
      <c r="O687" s="446"/>
      <c r="P687" s="446"/>
      <c r="Q687" s="110">
        <v>2</v>
      </c>
      <c r="R687" s="111">
        <f t="shared" si="142"/>
        <v>21.75</v>
      </c>
      <c r="S687" s="110"/>
      <c r="T687" s="110"/>
      <c r="U687" s="110">
        <v>1</v>
      </c>
      <c r="V687" s="111">
        <f t="shared" si="143"/>
        <v>21.75</v>
      </c>
      <c r="W687" s="110"/>
      <c r="X687" s="110"/>
      <c r="Y687" s="110"/>
      <c r="Z687" s="110"/>
      <c r="AA687" s="110">
        <v>1</v>
      </c>
      <c r="AB687" s="111">
        <f t="shared" si="145"/>
        <v>21.75</v>
      </c>
      <c r="AC687" s="110"/>
      <c r="AD687" s="110"/>
      <c r="AE687" s="110">
        <v>1</v>
      </c>
      <c r="AF687" s="111">
        <f t="shared" si="144"/>
        <v>21.75</v>
      </c>
      <c r="AG687" s="110"/>
      <c r="AH687" s="110"/>
      <c r="AI687" s="110"/>
      <c r="AJ687" s="110"/>
      <c r="AK687" s="111">
        <f t="shared" si="152"/>
        <v>87</v>
      </c>
      <c r="AL687" s="446">
        <f t="shared" si="153"/>
        <v>0</v>
      </c>
      <c r="AM687" s="110">
        <f t="shared" si="154"/>
        <v>5</v>
      </c>
      <c r="AN687" s="447">
        <f t="shared" si="150"/>
        <v>0</v>
      </c>
      <c r="AO687"/>
      <c r="AP687"/>
    </row>
    <row r="688" spans="1:42" ht="66" x14ac:dyDescent="0.25">
      <c r="A688" s="9"/>
      <c r="B688" s="495" t="s">
        <v>2867</v>
      </c>
      <c r="C688" s="1024"/>
      <c r="D688" s="882">
        <v>6</v>
      </c>
      <c r="E688" s="251" t="s">
        <v>1723</v>
      </c>
      <c r="F688" s="273" t="s">
        <v>3446</v>
      </c>
      <c r="G688" s="1040" t="s">
        <v>3463</v>
      </c>
      <c r="H688" s="273" t="s">
        <v>3462</v>
      </c>
      <c r="I688" s="720">
        <f t="shared" si="155"/>
        <v>155</v>
      </c>
      <c r="J688" s="756">
        <v>930</v>
      </c>
      <c r="K688" s="131">
        <f t="shared" si="149"/>
        <v>930</v>
      </c>
      <c r="L688" s="335">
        <f t="shared" si="151"/>
        <v>0</v>
      </c>
      <c r="M688" s="446"/>
      <c r="N688" s="446"/>
      <c r="O688" s="446"/>
      <c r="P688" s="446"/>
      <c r="Q688" s="130">
        <v>2</v>
      </c>
      <c r="R688" s="111">
        <f t="shared" si="142"/>
        <v>232.5</v>
      </c>
      <c r="S688" s="110"/>
      <c r="T688" s="110"/>
      <c r="U688" s="130">
        <v>2</v>
      </c>
      <c r="V688" s="111">
        <f t="shared" si="143"/>
        <v>232.5</v>
      </c>
      <c r="W688" s="110"/>
      <c r="X688" s="110"/>
      <c r="Y688" s="110"/>
      <c r="Z688" s="110"/>
      <c r="AA688" s="130">
        <v>1</v>
      </c>
      <c r="AB688" s="111">
        <f t="shared" si="145"/>
        <v>232.5</v>
      </c>
      <c r="AC688" s="110"/>
      <c r="AD688" s="110"/>
      <c r="AE688" s="130">
        <v>1</v>
      </c>
      <c r="AF688" s="111">
        <f t="shared" si="144"/>
        <v>232.5</v>
      </c>
      <c r="AG688" s="110"/>
      <c r="AH688" s="110"/>
      <c r="AI688" s="110"/>
      <c r="AJ688" s="110"/>
      <c r="AK688" s="111">
        <f t="shared" si="152"/>
        <v>930</v>
      </c>
      <c r="AL688" s="446">
        <f t="shared" si="153"/>
        <v>0</v>
      </c>
      <c r="AM688" s="110">
        <f t="shared" si="154"/>
        <v>6</v>
      </c>
      <c r="AN688" s="447">
        <f t="shared" si="150"/>
        <v>0</v>
      </c>
      <c r="AO688"/>
      <c r="AP688"/>
    </row>
    <row r="689" spans="1:42" ht="66" x14ac:dyDescent="0.25">
      <c r="A689" s="9"/>
      <c r="B689" s="495" t="s">
        <v>45</v>
      </c>
      <c r="C689" s="1024"/>
      <c r="D689" s="882">
        <v>100</v>
      </c>
      <c r="E689" s="251" t="s">
        <v>1766</v>
      </c>
      <c r="F689" s="273" t="s">
        <v>3446</v>
      </c>
      <c r="G689" s="1040" t="s">
        <v>3463</v>
      </c>
      <c r="H689" s="273" t="s">
        <v>3462</v>
      </c>
      <c r="I689" s="720">
        <f t="shared" si="155"/>
        <v>16.63</v>
      </c>
      <c r="J689" s="756">
        <v>1663</v>
      </c>
      <c r="K689" s="131">
        <f t="shared" si="149"/>
        <v>1663</v>
      </c>
      <c r="L689" s="335">
        <f t="shared" si="151"/>
        <v>0</v>
      </c>
      <c r="M689" s="446"/>
      <c r="N689" s="446"/>
      <c r="O689" s="446"/>
      <c r="P689" s="446"/>
      <c r="Q689" s="110">
        <v>30</v>
      </c>
      <c r="R689" s="111">
        <f t="shared" si="142"/>
        <v>415.75</v>
      </c>
      <c r="S689" s="110"/>
      <c r="T689" s="110"/>
      <c r="U689" s="110">
        <v>30</v>
      </c>
      <c r="V689" s="111">
        <f t="shared" si="143"/>
        <v>415.75</v>
      </c>
      <c r="W689" s="110"/>
      <c r="X689" s="110"/>
      <c r="Y689" s="110"/>
      <c r="Z689" s="110"/>
      <c r="AA689" s="110">
        <v>30</v>
      </c>
      <c r="AB689" s="111">
        <f t="shared" si="145"/>
        <v>415.75</v>
      </c>
      <c r="AC689" s="110"/>
      <c r="AD689" s="110"/>
      <c r="AE689" s="110">
        <v>10</v>
      </c>
      <c r="AF689" s="111">
        <f t="shared" si="144"/>
        <v>415.75</v>
      </c>
      <c r="AG689" s="110"/>
      <c r="AH689" s="110"/>
      <c r="AI689" s="110"/>
      <c r="AJ689" s="110"/>
      <c r="AK689" s="111">
        <f t="shared" si="152"/>
        <v>1663</v>
      </c>
      <c r="AL689" s="446">
        <f t="shared" si="153"/>
        <v>0</v>
      </c>
      <c r="AM689" s="110">
        <f t="shared" si="154"/>
        <v>100</v>
      </c>
      <c r="AN689" s="447">
        <f t="shared" si="150"/>
        <v>0</v>
      </c>
      <c r="AO689"/>
      <c r="AP689"/>
    </row>
    <row r="690" spans="1:42" ht="66" x14ac:dyDescent="0.25">
      <c r="A690" s="9"/>
      <c r="B690" s="495" t="s">
        <v>2868</v>
      </c>
      <c r="C690" s="1024"/>
      <c r="D690" s="882">
        <v>40</v>
      </c>
      <c r="E690" s="251" t="s">
        <v>1767</v>
      </c>
      <c r="F690" s="273" t="s">
        <v>3446</v>
      </c>
      <c r="G690" s="1040" t="s">
        <v>3463</v>
      </c>
      <c r="H690" s="273" t="s">
        <v>3462</v>
      </c>
      <c r="I690" s="720">
        <f t="shared" si="155"/>
        <v>14.999766666666664</v>
      </c>
      <c r="J690" s="756">
        <v>599.99066666666658</v>
      </c>
      <c r="K690" s="131">
        <f t="shared" si="149"/>
        <v>599.99066666666658</v>
      </c>
      <c r="L690" s="335">
        <f t="shared" si="151"/>
        <v>0</v>
      </c>
      <c r="M690" s="446"/>
      <c r="N690" s="446"/>
      <c r="O690" s="446"/>
      <c r="P690" s="446"/>
      <c r="Q690" s="110">
        <f t="shared" si="146"/>
        <v>10</v>
      </c>
      <c r="R690" s="111">
        <f t="shared" si="142"/>
        <v>149.99766666666665</v>
      </c>
      <c r="S690" s="110"/>
      <c r="T690" s="110"/>
      <c r="U690" s="110">
        <f t="shared" si="147"/>
        <v>10</v>
      </c>
      <c r="V690" s="111">
        <f t="shared" si="143"/>
        <v>149.99766666666665</v>
      </c>
      <c r="W690" s="110"/>
      <c r="X690" s="110"/>
      <c r="Y690" s="110"/>
      <c r="Z690" s="110"/>
      <c r="AA690" s="110">
        <f t="shared" si="148"/>
        <v>10</v>
      </c>
      <c r="AB690" s="111">
        <f t="shared" si="145"/>
        <v>149.99766666666665</v>
      </c>
      <c r="AC690" s="110"/>
      <c r="AD690" s="110"/>
      <c r="AE690" s="110">
        <f t="shared" si="148"/>
        <v>10</v>
      </c>
      <c r="AF690" s="111">
        <f t="shared" si="144"/>
        <v>149.99766666666665</v>
      </c>
      <c r="AG690" s="110"/>
      <c r="AH690" s="110"/>
      <c r="AI690" s="110"/>
      <c r="AJ690" s="110"/>
      <c r="AK690" s="111">
        <f t="shared" si="152"/>
        <v>599.99066666666658</v>
      </c>
      <c r="AL690" s="446">
        <f t="shared" si="153"/>
        <v>0</v>
      </c>
      <c r="AM690" s="110">
        <f t="shared" si="154"/>
        <v>40</v>
      </c>
      <c r="AN690" s="447">
        <f t="shared" si="150"/>
        <v>0</v>
      </c>
      <c r="AO690"/>
      <c r="AP690"/>
    </row>
    <row r="691" spans="1:42" ht="66" x14ac:dyDescent="0.25">
      <c r="A691" s="9"/>
      <c r="B691" s="495" t="s">
        <v>40</v>
      </c>
      <c r="C691" s="1024"/>
      <c r="D691" s="882">
        <v>40</v>
      </c>
      <c r="E691" s="251" t="s">
        <v>1767</v>
      </c>
      <c r="F691" s="273" t="s">
        <v>3446</v>
      </c>
      <c r="G691" s="1040" t="s">
        <v>3463</v>
      </c>
      <c r="H691" s="273" t="s">
        <v>3462</v>
      </c>
      <c r="I691" s="720">
        <f t="shared" si="155"/>
        <v>16.63</v>
      </c>
      <c r="J691" s="756">
        <v>665.19999999999993</v>
      </c>
      <c r="K691" s="131">
        <f t="shared" si="149"/>
        <v>665.19999999999993</v>
      </c>
      <c r="L691" s="335">
        <f t="shared" si="151"/>
        <v>0</v>
      </c>
      <c r="M691" s="446"/>
      <c r="N691" s="446"/>
      <c r="O691" s="446"/>
      <c r="P691" s="446"/>
      <c r="Q691" s="110">
        <f t="shared" si="146"/>
        <v>10</v>
      </c>
      <c r="R691" s="111">
        <f t="shared" si="142"/>
        <v>166.29999999999998</v>
      </c>
      <c r="S691" s="110"/>
      <c r="T691" s="110"/>
      <c r="U691" s="110">
        <f t="shared" si="147"/>
        <v>10</v>
      </c>
      <c r="V691" s="111">
        <f t="shared" si="143"/>
        <v>166.29999999999998</v>
      </c>
      <c r="W691" s="110"/>
      <c r="X691" s="110"/>
      <c r="Y691" s="110"/>
      <c r="Z691" s="110"/>
      <c r="AA691" s="110">
        <f t="shared" si="148"/>
        <v>10</v>
      </c>
      <c r="AB691" s="111">
        <f t="shared" si="145"/>
        <v>166.29999999999998</v>
      </c>
      <c r="AC691" s="110"/>
      <c r="AD691" s="110"/>
      <c r="AE691" s="110">
        <f t="shared" si="148"/>
        <v>10</v>
      </c>
      <c r="AF691" s="111">
        <f t="shared" si="144"/>
        <v>166.29999999999998</v>
      </c>
      <c r="AG691" s="110"/>
      <c r="AH691" s="110"/>
      <c r="AI691" s="110"/>
      <c r="AJ691" s="110"/>
      <c r="AK691" s="111">
        <f t="shared" si="152"/>
        <v>665.19999999999993</v>
      </c>
      <c r="AL691" s="446">
        <f t="shared" si="153"/>
        <v>0</v>
      </c>
      <c r="AM691" s="110">
        <f t="shared" si="154"/>
        <v>40</v>
      </c>
      <c r="AN691" s="447">
        <f t="shared" si="150"/>
        <v>0</v>
      </c>
      <c r="AO691"/>
      <c r="AP691"/>
    </row>
    <row r="692" spans="1:42" ht="66" x14ac:dyDescent="0.25">
      <c r="A692" s="9"/>
      <c r="B692" s="495" t="s">
        <v>1715</v>
      </c>
      <c r="C692" s="1024"/>
      <c r="D692" s="882">
        <v>12</v>
      </c>
      <c r="E692" s="251" t="s">
        <v>1767</v>
      </c>
      <c r="F692" s="273" t="s">
        <v>3446</v>
      </c>
      <c r="G692" s="1040" t="s">
        <v>3463</v>
      </c>
      <c r="H692" s="273" t="s">
        <v>3462</v>
      </c>
      <c r="I692" s="720">
        <f t="shared" si="155"/>
        <v>83.16</v>
      </c>
      <c r="J692" s="756">
        <v>997.92</v>
      </c>
      <c r="K692" s="131">
        <f t="shared" si="149"/>
        <v>997.92</v>
      </c>
      <c r="L692" s="335">
        <f t="shared" si="151"/>
        <v>0</v>
      </c>
      <c r="M692" s="446"/>
      <c r="N692" s="446"/>
      <c r="O692" s="446"/>
      <c r="P692" s="446"/>
      <c r="Q692" s="110">
        <f t="shared" si="146"/>
        <v>3</v>
      </c>
      <c r="R692" s="111">
        <f t="shared" si="142"/>
        <v>249.48</v>
      </c>
      <c r="S692" s="110"/>
      <c r="T692" s="110"/>
      <c r="U692" s="110">
        <f t="shared" si="147"/>
        <v>3</v>
      </c>
      <c r="V692" s="111">
        <f t="shared" si="143"/>
        <v>249.48</v>
      </c>
      <c r="W692" s="110"/>
      <c r="X692" s="110"/>
      <c r="Y692" s="110"/>
      <c r="Z692" s="110"/>
      <c r="AA692" s="110">
        <f t="shared" si="148"/>
        <v>3</v>
      </c>
      <c r="AB692" s="111">
        <f t="shared" si="145"/>
        <v>249.48</v>
      </c>
      <c r="AC692" s="110"/>
      <c r="AD692" s="110"/>
      <c r="AE692" s="110">
        <f t="shared" si="148"/>
        <v>3</v>
      </c>
      <c r="AF692" s="111">
        <f t="shared" si="144"/>
        <v>249.48</v>
      </c>
      <c r="AG692" s="110"/>
      <c r="AH692" s="110"/>
      <c r="AI692" s="110"/>
      <c r="AJ692" s="110"/>
      <c r="AK692" s="111">
        <f t="shared" si="152"/>
        <v>997.92</v>
      </c>
      <c r="AL692" s="446">
        <f t="shared" si="153"/>
        <v>0</v>
      </c>
      <c r="AM692" s="110">
        <f t="shared" si="154"/>
        <v>12</v>
      </c>
      <c r="AN692" s="447">
        <f t="shared" si="150"/>
        <v>0</v>
      </c>
      <c r="AO692"/>
      <c r="AP692"/>
    </row>
    <row r="693" spans="1:42" ht="66" x14ac:dyDescent="0.25">
      <c r="A693" s="9"/>
      <c r="B693" s="495" t="s">
        <v>2869</v>
      </c>
      <c r="C693" s="1024"/>
      <c r="D693" s="882">
        <v>2</v>
      </c>
      <c r="E693" s="251" t="s">
        <v>1772</v>
      </c>
      <c r="F693" s="273" t="s">
        <v>3446</v>
      </c>
      <c r="G693" s="1040" t="s">
        <v>3463</v>
      </c>
      <c r="H693" s="273" t="s">
        <v>3462</v>
      </c>
      <c r="I693" s="720">
        <f t="shared" si="155"/>
        <v>103</v>
      </c>
      <c r="J693" s="756">
        <v>206</v>
      </c>
      <c r="K693" s="131">
        <f t="shared" si="149"/>
        <v>206</v>
      </c>
      <c r="L693" s="335">
        <f t="shared" si="151"/>
        <v>0</v>
      </c>
      <c r="M693" s="446"/>
      <c r="N693" s="446"/>
      <c r="O693" s="446"/>
      <c r="P693" s="446"/>
      <c r="Q693" s="130">
        <v>1</v>
      </c>
      <c r="R693" s="111">
        <f t="shared" si="142"/>
        <v>51.5</v>
      </c>
      <c r="S693" s="110"/>
      <c r="T693" s="110"/>
      <c r="U693" s="130">
        <v>1</v>
      </c>
      <c r="V693" s="111">
        <f t="shared" si="143"/>
        <v>51.5</v>
      </c>
      <c r="W693" s="110"/>
      <c r="X693" s="110"/>
      <c r="Y693" s="110"/>
      <c r="Z693" s="110"/>
      <c r="AA693" s="130">
        <v>0</v>
      </c>
      <c r="AB693" s="111">
        <f t="shared" si="145"/>
        <v>51.5</v>
      </c>
      <c r="AC693" s="110"/>
      <c r="AD693" s="110"/>
      <c r="AE693" s="130">
        <v>0</v>
      </c>
      <c r="AF693" s="111">
        <f t="shared" si="144"/>
        <v>51.5</v>
      </c>
      <c r="AG693" s="110"/>
      <c r="AH693" s="110"/>
      <c r="AI693" s="110"/>
      <c r="AJ693" s="110"/>
      <c r="AK693" s="111">
        <f t="shared" si="152"/>
        <v>206</v>
      </c>
      <c r="AL693" s="446">
        <f t="shared" si="153"/>
        <v>0</v>
      </c>
      <c r="AM693" s="110">
        <f t="shared" si="154"/>
        <v>2</v>
      </c>
      <c r="AN693" s="447">
        <f t="shared" si="150"/>
        <v>0</v>
      </c>
      <c r="AO693"/>
      <c r="AP693"/>
    </row>
    <row r="694" spans="1:42" ht="66" x14ac:dyDescent="0.25">
      <c r="A694" s="9"/>
      <c r="B694" s="495" t="s">
        <v>2870</v>
      </c>
      <c r="C694" s="1024"/>
      <c r="D694" s="882">
        <v>24</v>
      </c>
      <c r="E694" s="251" t="s">
        <v>1767</v>
      </c>
      <c r="F694" s="273" t="s">
        <v>3446</v>
      </c>
      <c r="G694" s="1040" t="s">
        <v>3463</v>
      </c>
      <c r="H694" s="273" t="s">
        <v>3462</v>
      </c>
      <c r="I694" s="720">
        <f t="shared" si="155"/>
        <v>42.999266666666664</v>
      </c>
      <c r="J694" s="756">
        <v>1031.9823999999999</v>
      </c>
      <c r="K694" s="131">
        <f t="shared" si="149"/>
        <v>1031.9823999999999</v>
      </c>
      <c r="L694" s="335">
        <f t="shared" si="151"/>
        <v>0</v>
      </c>
      <c r="M694" s="446"/>
      <c r="N694" s="446"/>
      <c r="O694" s="446"/>
      <c r="P694" s="446"/>
      <c r="Q694" s="110">
        <f t="shared" si="146"/>
        <v>6</v>
      </c>
      <c r="R694" s="111">
        <f t="shared" si="142"/>
        <v>257.99559999999997</v>
      </c>
      <c r="S694" s="110"/>
      <c r="T694" s="110"/>
      <c r="U694" s="110">
        <f t="shared" si="147"/>
        <v>6</v>
      </c>
      <c r="V694" s="111">
        <f t="shared" si="143"/>
        <v>257.99559999999997</v>
      </c>
      <c r="W694" s="110"/>
      <c r="X694" s="110"/>
      <c r="Y694" s="110"/>
      <c r="Z694" s="110"/>
      <c r="AA694" s="110">
        <f t="shared" si="148"/>
        <v>6</v>
      </c>
      <c r="AB694" s="111">
        <f t="shared" si="145"/>
        <v>257.99559999999997</v>
      </c>
      <c r="AC694" s="110"/>
      <c r="AD694" s="110"/>
      <c r="AE694" s="110">
        <f t="shared" si="148"/>
        <v>6</v>
      </c>
      <c r="AF694" s="111">
        <f t="shared" si="144"/>
        <v>257.99559999999997</v>
      </c>
      <c r="AG694" s="110"/>
      <c r="AH694" s="110"/>
      <c r="AI694" s="110"/>
      <c r="AJ694" s="110"/>
      <c r="AK694" s="111">
        <f t="shared" si="152"/>
        <v>1031.9823999999999</v>
      </c>
      <c r="AL694" s="446">
        <f t="shared" si="153"/>
        <v>0</v>
      </c>
      <c r="AM694" s="110">
        <f t="shared" si="154"/>
        <v>24</v>
      </c>
      <c r="AN694" s="447">
        <f t="shared" si="150"/>
        <v>0</v>
      </c>
      <c r="AO694"/>
      <c r="AP694"/>
    </row>
    <row r="695" spans="1:42" ht="66" x14ac:dyDescent="0.25">
      <c r="A695" s="9"/>
      <c r="B695" s="495" t="s">
        <v>2871</v>
      </c>
      <c r="C695" s="1024"/>
      <c r="D695" s="882">
        <v>24</v>
      </c>
      <c r="E695" s="251" t="s">
        <v>1767</v>
      </c>
      <c r="F695" s="273" t="s">
        <v>3446</v>
      </c>
      <c r="G695" s="1040" t="s">
        <v>3463</v>
      </c>
      <c r="H695" s="273" t="s">
        <v>3462</v>
      </c>
      <c r="I695" s="720">
        <f t="shared" si="155"/>
        <v>18.998479999999997</v>
      </c>
      <c r="J695" s="756">
        <v>455.9635199999999</v>
      </c>
      <c r="K695" s="131">
        <f t="shared" si="149"/>
        <v>455.9635199999999</v>
      </c>
      <c r="L695" s="335">
        <f t="shared" si="151"/>
        <v>0</v>
      </c>
      <c r="M695" s="446"/>
      <c r="N695" s="446"/>
      <c r="O695" s="446"/>
      <c r="P695" s="446"/>
      <c r="Q695" s="110">
        <f t="shared" si="146"/>
        <v>6</v>
      </c>
      <c r="R695" s="111">
        <f t="shared" si="142"/>
        <v>113.99087999999998</v>
      </c>
      <c r="S695" s="110"/>
      <c r="T695" s="110"/>
      <c r="U695" s="110">
        <f t="shared" si="147"/>
        <v>6</v>
      </c>
      <c r="V695" s="111">
        <f t="shared" si="143"/>
        <v>113.99087999999998</v>
      </c>
      <c r="W695" s="110"/>
      <c r="X695" s="110"/>
      <c r="Y695" s="110"/>
      <c r="Z695" s="110"/>
      <c r="AA695" s="110">
        <f t="shared" si="148"/>
        <v>6</v>
      </c>
      <c r="AB695" s="111">
        <f t="shared" si="145"/>
        <v>113.99087999999998</v>
      </c>
      <c r="AC695" s="110"/>
      <c r="AD695" s="110"/>
      <c r="AE695" s="110">
        <f t="shared" si="148"/>
        <v>6</v>
      </c>
      <c r="AF695" s="111">
        <f t="shared" si="144"/>
        <v>113.99087999999998</v>
      </c>
      <c r="AG695" s="110"/>
      <c r="AH695" s="110"/>
      <c r="AI695" s="110"/>
      <c r="AJ695" s="110"/>
      <c r="AK695" s="111">
        <f t="shared" si="152"/>
        <v>455.9635199999999</v>
      </c>
      <c r="AL695" s="446">
        <f t="shared" si="153"/>
        <v>0</v>
      </c>
      <c r="AM695" s="110">
        <f t="shared" si="154"/>
        <v>24</v>
      </c>
      <c r="AN695" s="447">
        <f t="shared" si="150"/>
        <v>0</v>
      </c>
      <c r="AO695"/>
      <c r="AP695"/>
    </row>
    <row r="696" spans="1:42" ht="66" x14ac:dyDescent="0.25">
      <c r="A696" s="9"/>
      <c r="B696" s="495" t="s">
        <v>2872</v>
      </c>
      <c r="C696" s="1024"/>
      <c r="D696" s="882">
        <v>24</v>
      </c>
      <c r="E696" s="251" t="s">
        <v>1772</v>
      </c>
      <c r="F696" s="273" t="s">
        <v>3446</v>
      </c>
      <c r="G696" s="1040" t="s">
        <v>3463</v>
      </c>
      <c r="H696" s="273" t="s">
        <v>3462</v>
      </c>
      <c r="I696" s="720">
        <f t="shared" si="155"/>
        <v>68.900000000000006</v>
      </c>
      <c r="J696" s="756">
        <v>1653.6000000000001</v>
      </c>
      <c r="K696" s="131">
        <f t="shared" si="149"/>
        <v>1653.6000000000001</v>
      </c>
      <c r="L696" s="335">
        <f t="shared" si="151"/>
        <v>0</v>
      </c>
      <c r="M696" s="446"/>
      <c r="N696" s="446"/>
      <c r="O696" s="446"/>
      <c r="P696" s="446"/>
      <c r="Q696" s="110">
        <f t="shared" si="146"/>
        <v>6</v>
      </c>
      <c r="R696" s="111">
        <f t="shared" si="142"/>
        <v>413.40000000000003</v>
      </c>
      <c r="S696" s="110"/>
      <c r="T696" s="110"/>
      <c r="U696" s="110">
        <f t="shared" si="147"/>
        <v>6</v>
      </c>
      <c r="V696" s="111">
        <f t="shared" si="143"/>
        <v>413.40000000000003</v>
      </c>
      <c r="W696" s="110"/>
      <c r="X696" s="110"/>
      <c r="Y696" s="110"/>
      <c r="Z696" s="110"/>
      <c r="AA696" s="110">
        <f t="shared" si="148"/>
        <v>6</v>
      </c>
      <c r="AB696" s="111">
        <f t="shared" si="145"/>
        <v>413.40000000000003</v>
      </c>
      <c r="AC696" s="110"/>
      <c r="AD696" s="110"/>
      <c r="AE696" s="110">
        <f t="shared" si="148"/>
        <v>6</v>
      </c>
      <c r="AF696" s="111">
        <f t="shared" si="144"/>
        <v>413.40000000000003</v>
      </c>
      <c r="AG696" s="110"/>
      <c r="AH696" s="110"/>
      <c r="AI696" s="110"/>
      <c r="AJ696" s="110"/>
      <c r="AK696" s="111">
        <f t="shared" si="152"/>
        <v>1653.6000000000001</v>
      </c>
      <c r="AL696" s="446">
        <f t="shared" si="153"/>
        <v>0</v>
      </c>
      <c r="AM696" s="110">
        <f t="shared" si="154"/>
        <v>24</v>
      </c>
      <c r="AN696" s="447">
        <f t="shared" si="150"/>
        <v>0</v>
      </c>
      <c r="AO696"/>
      <c r="AP696"/>
    </row>
    <row r="697" spans="1:42" ht="66" x14ac:dyDescent="0.25">
      <c r="A697" s="9"/>
      <c r="B697" s="495" t="s">
        <v>2873</v>
      </c>
      <c r="C697" s="1024"/>
      <c r="D697" s="882">
        <v>24</v>
      </c>
      <c r="E697" s="251" t="s">
        <v>1767</v>
      </c>
      <c r="F697" s="273" t="s">
        <v>3446</v>
      </c>
      <c r="G697" s="1040" t="s">
        <v>3463</v>
      </c>
      <c r="H697" s="273" t="s">
        <v>3462</v>
      </c>
      <c r="I697" s="720">
        <f t="shared" si="155"/>
        <v>14.14</v>
      </c>
      <c r="J697" s="756">
        <v>339.36</v>
      </c>
      <c r="K697" s="131">
        <f t="shared" si="149"/>
        <v>339.36</v>
      </c>
      <c r="L697" s="335">
        <f t="shared" si="151"/>
        <v>0</v>
      </c>
      <c r="M697" s="446"/>
      <c r="N697" s="446"/>
      <c r="O697" s="446"/>
      <c r="P697" s="446"/>
      <c r="Q697" s="110">
        <f t="shared" si="146"/>
        <v>6</v>
      </c>
      <c r="R697" s="111">
        <f t="shared" si="142"/>
        <v>84.84</v>
      </c>
      <c r="S697" s="110"/>
      <c r="T697" s="110"/>
      <c r="U697" s="110">
        <f t="shared" si="147"/>
        <v>6</v>
      </c>
      <c r="V697" s="111">
        <f t="shared" si="143"/>
        <v>84.84</v>
      </c>
      <c r="W697" s="110"/>
      <c r="X697" s="110"/>
      <c r="Y697" s="110"/>
      <c r="Z697" s="110"/>
      <c r="AA697" s="110">
        <f t="shared" si="148"/>
        <v>6</v>
      </c>
      <c r="AB697" s="111">
        <f t="shared" si="145"/>
        <v>84.84</v>
      </c>
      <c r="AC697" s="110"/>
      <c r="AD697" s="110"/>
      <c r="AE697" s="110">
        <f t="shared" si="148"/>
        <v>6</v>
      </c>
      <c r="AF697" s="111">
        <f t="shared" si="144"/>
        <v>84.84</v>
      </c>
      <c r="AG697" s="110"/>
      <c r="AH697" s="110"/>
      <c r="AI697" s="110"/>
      <c r="AJ697" s="110"/>
      <c r="AK697" s="111">
        <f t="shared" si="152"/>
        <v>339.36</v>
      </c>
      <c r="AL697" s="446">
        <f t="shared" si="153"/>
        <v>0</v>
      </c>
      <c r="AM697" s="110">
        <f t="shared" si="154"/>
        <v>24</v>
      </c>
      <c r="AN697" s="447">
        <f t="shared" si="150"/>
        <v>0</v>
      </c>
      <c r="AO697"/>
      <c r="AP697"/>
    </row>
    <row r="698" spans="1:42" ht="66" x14ac:dyDescent="0.25">
      <c r="A698" s="9"/>
      <c r="B698" s="495" t="s">
        <v>2874</v>
      </c>
      <c r="C698" s="1024"/>
      <c r="D698" s="882">
        <v>1</v>
      </c>
      <c r="E698" s="251" t="s">
        <v>1767</v>
      </c>
      <c r="F698" s="273" t="s">
        <v>3446</v>
      </c>
      <c r="G698" s="1040" t="s">
        <v>3463</v>
      </c>
      <c r="H698" s="273" t="s">
        <v>3462</v>
      </c>
      <c r="I698" s="720">
        <f t="shared" si="155"/>
        <v>497.64</v>
      </c>
      <c r="J698" s="756">
        <v>497.64</v>
      </c>
      <c r="K698" s="131">
        <f t="shared" si="149"/>
        <v>497.64</v>
      </c>
      <c r="L698" s="335">
        <f t="shared" si="151"/>
        <v>0</v>
      </c>
      <c r="M698" s="446"/>
      <c r="N698" s="446"/>
      <c r="O698" s="446"/>
      <c r="P698" s="446"/>
      <c r="Q698" s="110">
        <v>1</v>
      </c>
      <c r="R698" s="111">
        <v>497.64</v>
      </c>
      <c r="S698" s="110"/>
      <c r="T698" s="110"/>
      <c r="U698" s="110">
        <v>0</v>
      </c>
      <c r="V698" s="111">
        <v>0</v>
      </c>
      <c r="W698" s="110"/>
      <c r="X698" s="110"/>
      <c r="Y698" s="110"/>
      <c r="Z698" s="110"/>
      <c r="AA698" s="110">
        <v>0</v>
      </c>
      <c r="AB698" s="111">
        <v>0</v>
      </c>
      <c r="AC698" s="110"/>
      <c r="AD698" s="110"/>
      <c r="AE698" s="110">
        <v>0</v>
      </c>
      <c r="AF698" s="111">
        <v>0</v>
      </c>
      <c r="AG698" s="110"/>
      <c r="AH698" s="110"/>
      <c r="AI698" s="110"/>
      <c r="AJ698" s="110"/>
      <c r="AK698" s="111">
        <f t="shared" si="152"/>
        <v>497.64</v>
      </c>
      <c r="AL698" s="446">
        <f t="shared" si="153"/>
        <v>0</v>
      </c>
      <c r="AM698" s="110">
        <f t="shared" si="154"/>
        <v>1</v>
      </c>
      <c r="AN698" s="447">
        <f t="shared" si="150"/>
        <v>0</v>
      </c>
      <c r="AO698"/>
      <c r="AP698"/>
    </row>
    <row r="699" spans="1:42" ht="66" x14ac:dyDescent="0.25">
      <c r="A699" s="9"/>
      <c r="B699" s="495" t="s">
        <v>2875</v>
      </c>
      <c r="C699" s="1024"/>
      <c r="D699" s="882">
        <v>40</v>
      </c>
      <c r="E699" s="251" t="s">
        <v>1767</v>
      </c>
      <c r="F699" s="273" t="s">
        <v>3446</v>
      </c>
      <c r="G699" s="1040" t="s">
        <v>3463</v>
      </c>
      <c r="H699" s="273" t="s">
        <v>3462</v>
      </c>
      <c r="I699" s="720">
        <f t="shared" si="155"/>
        <v>29.7</v>
      </c>
      <c r="J699" s="756">
        <v>1188</v>
      </c>
      <c r="K699" s="131">
        <f t="shared" si="149"/>
        <v>1188</v>
      </c>
      <c r="L699" s="335">
        <f t="shared" si="151"/>
        <v>0</v>
      </c>
      <c r="M699" s="446"/>
      <c r="N699" s="446"/>
      <c r="O699" s="446"/>
      <c r="P699" s="446"/>
      <c r="Q699" s="110">
        <f t="shared" si="146"/>
        <v>10</v>
      </c>
      <c r="R699" s="111">
        <f t="shared" si="142"/>
        <v>297</v>
      </c>
      <c r="S699" s="110"/>
      <c r="T699" s="110"/>
      <c r="U699" s="110">
        <f t="shared" si="147"/>
        <v>10</v>
      </c>
      <c r="V699" s="111">
        <f t="shared" si="143"/>
        <v>297</v>
      </c>
      <c r="W699" s="110"/>
      <c r="X699" s="110"/>
      <c r="Y699" s="110"/>
      <c r="Z699" s="110"/>
      <c r="AA699" s="110">
        <f t="shared" si="148"/>
        <v>10</v>
      </c>
      <c r="AB699" s="111">
        <f t="shared" si="145"/>
        <v>297</v>
      </c>
      <c r="AC699" s="110"/>
      <c r="AD699" s="110"/>
      <c r="AE699" s="110">
        <f t="shared" si="148"/>
        <v>10</v>
      </c>
      <c r="AF699" s="111">
        <f t="shared" si="144"/>
        <v>297</v>
      </c>
      <c r="AG699" s="110"/>
      <c r="AH699" s="110"/>
      <c r="AI699" s="110"/>
      <c r="AJ699" s="110"/>
      <c r="AK699" s="111">
        <f t="shared" si="152"/>
        <v>1188</v>
      </c>
      <c r="AL699" s="446">
        <f t="shared" si="153"/>
        <v>0</v>
      </c>
      <c r="AM699" s="110">
        <f t="shared" si="154"/>
        <v>40</v>
      </c>
      <c r="AN699" s="447">
        <f t="shared" si="150"/>
        <v>0</v>
      </c>
      <c r="AO699"/>
      <c r="AP699"/>
    </row>
    <row r="700" spans="1:42" ht="66" x14ac:dyDescent="0.25">
      <c r="A700" s="9"/>
      <c r="B700" s="495" t="s">
        <v>76</v>
      </c>
      <c r="C700" s="1024"/>
      <c r="D700" s="882">
        <v>5</v>
      </c>
      <c r="E700" s="251" t="s">
        <v>1767</v>
      </c>
      <c r="F700" s="273" t="s">
        <v>3446</v>
      </c>
      <c r="G700" s="1040" t="s">
        <v>3463</v>
      </c>
      <c r="H700" s="273" t="s">
        <v>3462</v>
      </c>
      <c r="I700" s="720">
        <f t="shared" si="155"/>
        <v>177</v>
      </c>
      <c r="J700" s="756">
        <v>885</v>
      </c>
      <c r="K700" s="131">
        <f t="shared" si="149"/>
        <v>885</v>
      </c>
      <c r="L700" s="335">
        <f t="shared" si="151"/>
        <v>0</v>
      </c>
      <c r="M700" s="446"/>
      <c r="N700" s="446"/>
      <c r="O700" s="446"/>
      <c r="P700" s="446"/>
      <c r="Q700" s="110">
        <v>2</v>
      </c>
      <c r="R700" s="111">
        <f t="shared" si="142"/>
        <v>221.25</v>
      </c>
      <c r="S700" s="110"/>
      <c r="T700" s="110"/>
      <c r="U700" s="110">
        <v>1</v>
      </c>
      <c r="V700" s="111">
        <f t="shared" si="143"/>
        <v>221.25</v>
      </c>
      <c r="W700" s="110"/>
      <c r="X700" s="110"/>
      <c r="Y700" s="110"/>
      <c r="Z700" s="110"/>
      <c r="AA700" s="110">
        <v>1</v>
      </c>
      <c r="AB700" s="111">
        <f t="shared" si="145"/>
        <v>221.25</v>
      </c>
      <c r="AC700" s="110"/>
      <c r="AD700" s="110"/>
      <c r="AE700" s="110">
        <v>1</v>
      </c>
      <c r="AF700" s="111">
        <f t="shared" si="144"/>
        <v>221.25</v>
      </c>
      <c r="AG700" s="110"/>
      <c r="AH700" s="110"/>
      <c r="AI700" s="110"/>
      <c r="AJ700" s="110"/>
      <c r="AK700" s="111">
        <f t="shared" si="152"/>
        <v>885</v>
      </c>
      <c r="AL700" s="446">
        <f t="shared" si="153"/>
        <v>0</v>
      </c>
      <c r="AM700" s="110">
        <f t="shared" si="154"/>
        <v>5</v>
      </c>
      <c r="AN700" s="447">
        <f t="shared" si="150"/>
        <v>0</v>
      </c>
      <c r="AO700"/>
      <c r="AP700"/>
    </row>
    <row r="701" spans="1:42" ht="66" x14ac:dyDescent="0.25">
      <c r="A701" s="9"/>
      <c r="B701" s="495" t="s">
        <v>81</v>
      </c>
      <c r="C701" s="1024"/>
      <c r="D701" s="882">
        <v>24</v>
      </c>
      <c r="E701" s="251" t="s">
        <v>1767</v>
      </c>
      <c r="F701" s="273" t="s">
        <v>3446</v>
      </c>
      <c r="G701" s="1040" t="s">
        <v>3463</v>
      </c>
      <c r="H701" s="273" t="s">
        <v>3462</v>
      </c>
      <c r="I701" s="720">
        <f t="shared" si="155"/>
        <v>3.7999999999999994</v>
      </c>
      <c r="J701" s="756">
        <v>91.199999999999989</v>
      </c>
      <c r="K701" s="131">
        <f t="shared" si="149"/>
        <v>91.199999999999989</v>
      </c>
      <c r="L701" s="335">
        <f t="shared" si="151"/>
        <v>0</v>
      </c>
      <c r="M701" s="446"/>
      <c r="N701" s="446"/>
      <c r="O701" s="446"/>
      <c r="P701" s="446"/>
      <c r="Q701" s="110">
        <f t="shared" si="146"/>
        <v>6</v>
      </c>
      <c r="R701" s="111">
        <f t="shared" si="142"/>
        <v>22.799999999999997</v>
      </c>
      <c r="S701" s="110"/>
      <c r="T701" s="110"/>
      <c r="U701" s="110">
        <f t="shared" si="147"/>
        <v>6</v>
      </c>
      <c r="V701" s="111">
        <f t="shared" si="143"/>
        <v>22.799999999999997</v>
      </c>
      <c r="W701" s="110"/>
      <c r="X701" s="110"/>
      <c r="Y701" s="110"/>
      <c r="Z701" s="110"/>
      <c r="AA701" s="110">
        <f t="shared" si="148"/>
        <v>6</v>
      </c>
      <c r="AB701" s="111">
        <f t="shared" si="145"/>
        <v>22.799999999999997</v>
      </c>
      <c r="AC701" s="110"/>
      <c r="AD701" s="110"/>
      <c r="AE701" s="110">
        <f t="shared" si="148"/>
        <v>6</v>
      </c>
      <c r="AF701" s="111">
        <f t="shared" si="144"/>
        <v>22.799999999999997</v>
      </c>
      <c r="AG701" s="110"/>
      <c r="AH701" s="110"/>
      <c r="AI701" s="110"/>
      <c r="AJ701" s="110"/>
      <c r="AK701" s="111">
        <f t="shared" si="152"/>
        <v>91.199999999999989</v>
      </c>
      <c r="AL701" s="446">
        <f t="shared" si="153"/>
        <v>0</v>
      </c>
      <c r="AM701" s="110">
        <f t="shared" si="154"/>
        <v>24</v>
      </c>
      <c r="AN701" s="447">
        <f t="shared" si="150"/>
        <v>0</v>
      </c>
      <c r="AO701"/>
      <c r="AP701"/>
    </row>
    <row r="702" spans="1:42" ht="66" x14ac:dyDescent="0.25">
      <c r="A702" s="9"/>
      <c r="B702" s="495" t="s">
        <v>2876</v>
      </c>
      <c r="C702" s="1024"/>
      <c r="D702" s="882">
        <v>1</v>
      </c>
      <c r="E702" s="251" t="s">
        <v>1767</v>
      </c>
      <c r="F702" s="273" t="s">
        <v>3446</v>
      </c>
      <c r="G702" s="1040" t="s">
        <v>3463</v>
      </c>
      <c r="H702" s="273" t="s">
        <v>3462</v>
      </c>
      <c r="I702" s="720">
        <f t="shared" si="155"/>
        <v>284.04000000000002</v>
      </c>
      <c r="J702" s="756">
        <v>284.04000000000002</v>
      </c>
      <c r="K702" s="131">
        <f t="shared" si="149"/>
        <v>284.04000000000002</v>
      </c>
      <c r="L702" s="335">
        <f t="shared" si="151"/>
        <v>0</v>
      </c>
      <c r="M702" s="446"/>
      <c r="N702" s="446"/>
      <c r="O702" s="446"/>
      <c r="P702" s="446"/>
      <c r="Q702" s="110">
        <v>1</v>
      </c>
      <c r="R702" s="111">
        <v>284.04000000000002</v>
      </c>
      <c r="S702" s="110"/>
      <c r="T702" s="110"/>
      <c r="U702" s="110">
        <v>0</v>
      </c>
      <c r="V702" s="111">
        <v>0</v>
      </c>
      <c r="W702" s="110"/>
      <c r="X702" s="110"/>
      <c r="Y702" s="110"/>
      <c r="Z702" s="110"/>
      <c r="AA702" s="110">
        <v>0</v>
      </c>
      <c r="AB702" s="111">
        <v>0</v>
      </c>
      <c r="AC702" s="110"/>
      <c r="AD702" s="110"/>
      <c r="AE702" s="110">
        <v>0</v>
      </c>
      <c r="AF702" s="111">
        <v>0</v>
      </c>
      <c r="AG702" s="110"/>
      <c r="AH702" s="110"/>
      <c r="AI702" s="110"/>
      <c r="AJ702" s="110"/>
      <c r="AK702" s="111">
        <f t="shared" si="152"/>
        <v>284.04000000000002</v>
      </c>
      <c r="AL702" s="446">
        <f t="shared" si="153"/>
        <v>0</v>
      </c>
      <c r="AM702" s="110">
        <f t="shared" si="154"/>
        <v>1</v>
      </c>
      <c r="AN702" s="447">
        <f t="shared" si="150"/>
        <v>0</v>
      </c>
      <c r="AO702"/>
      <c r="AP702"/>
    </row>
    <row r="703" spans="1:42" ht="66" x14ac:dyDescent="0.25">
      <c r="A703" s="9"/>
      <c r="B703" s="495" t="s">
        <v>2877</v>
      </c>
      <c r="C703" s="1024"/>
      <c r="D703" s="882">
        <v>6</v>
      </c>
      <c r="E703" s="251" t="s">
        <v>1767</v>
      </c>
      <c r="F703" s="273" t="s">
        <v>3446</v>
      </c>
      <c r="G703" s="1040" t="s">
        <v>3463</v>
      </c>
      <c r="H703" s="273" t="s">
        <v>3462</v>
      </c>
      <c r="I703" s="720">
        <f t="shared" si="155"/>
        <v>29</v>
      </c>
      <c r="J703" s="756">
        <v>174</v>
      </c>
      <c r="K703" s="131">
        <f t="shared" si="149"/>
        <v>174</v>
      </c>
      <c r="L703" s="335">
        <f t="shared" si="151"/>
        <v>0</v>
      </c>
      <c r="M703" s="446"/>
      <c r="N703" s="446"/>
      <c r="O703" s="446"/>
      <c r="P703" s="446"/>
      <c r="Q703" s="130">
        <v>2</v>
      </c>
      <c r="R703" s="111">
        <f t="shared" si="142"/>
        <v>43.5</v>
      </c>
      <c r="S703" s="110"/>
      <c r="T703" s="110"/>
      <c r="U703" s="130">
        <v>2</v>
      </c>
      <c r="V703" s="111">
        <f t="shared" si="143"/>
        <v>43.5</v>
      </c>
      <c r="W703" s="110"/>
      <c r="X703" s="110"/>
      <c r="Y703" s="110"/>
      <c r="Z703" s="110"/>
      <c r="AA703" s="130">
        <v>1</v>
      </c>
      <c r="AB703" s="111">
        <f t="shared" si="145"/>
        <v>43.5</v>
      </c>
      <c r="AC703" s="110"/>
      <c r="AD703" s="110"/>
      <c r="AE703" s="130">
        <v>1</v>
      </c>
      <c r="AF703" s="111">
        <f t="shared" si="144"/>
        <v>43.5</v>
      </c>
      <c r="AG703" s="110"/>
      <c r="AH703" s="110"/>
      <c r="AI703" s="110"/>
      <c r="AJ703" s="110"/>
      <c r="AK703" s="111">
        <f t="shared" si="152"/>
        <v>174</v>
      </c>
      <c r="AL703" s="446">
        <f t="shared" si="153"/>
        <v>0</v>
      </c>
      <c r="AM703" s="110">
        <f t="shared" si="154"/>
        <v>6</v>
      </c>
      <c r="AN703" s="447">
        <f t="shared" si="150"/>
        <v>0</v>
      </c>
      <c r="AO703"/>
      <c r="AP703"/>
    </row>
    <row r="704" spans="1:42" ht="66" x14ac:dyDescent="0.25">
      <c r="A704" s="9"/>
      <c r="B704" s="495" t="s">
        <v>50</v>
      </c>
      <c r="C704" s="1024"/>
      <c r="D704" s="882">
        <v>6</v>
      </c>
      <c r="E704" s="251" t="s">
        <v>1766</v>
      </c>
      <c r="F704" s="273" t="s">
        <v>3446</v>
      </c>
      <c r="G704" s="1040" t="s">
        <v>3463</v>
      </c>
      <c r="H704" s="273" t="s">
        <v>3462</v>
      </c>
      <c r="I704" s="720">
        <f t="shared" si="155"/>
        <v>35.64</v>
      </c>
      <c r="J704" s="756">
        <v>213.84</v>
      </c>
      <c r="K704" s="131">
        <f t="shared" si="149"/>
        <v>213.84</v>
      </c>
      <c r="L704" s="335">
        <f t="shared" si="151"/>
        <v>0</v>
      </c>
      <c r="M704" s="446"/>
      <c r="N704" s="446"/>
      <c r="O704" s="446"/>
      <c r="P704" s="446"/>
      <c r="Q704" s="130">
        <v>2</v>
      </c>
      <c r="R704" s="111">
        <f t="shared" si="142"/>
        <v>53.46</v>
      </c>
      <c r="S704" s="110"/>
      <c r="T704" s="110"/>
      <c r="U704" s="130">
        <v>2</v>
      </c>
      <c r="V704" s="111">
        <f t="shared" si="143"/>
        <v>53.46</v>
      </c>
      <c r="W704" s="110"/>
      <c r="X704" s="110"/>
      <c r="Y704" s="110"/>
      <c r="Z704" s="110"/>
      <c r="AA704" s="130">
        <v>1</v>
      </c>
      <c r="AB704" s="111">
        <f t="shared" si="145"/>
        <v>53.46</v>
      </c>
      <c r="AC704" s="110"/>
      <c r="AD704" s="110"/>
      <c r="AE704" s="130">
        <v>1</v>
      </c>
      <c r="AF704" s="111">
        <f t="shared" si="144"/>
        <v>53.46</v>
      </c>
      <c r="AG704" s="110"/>
      <c r="AH704" s="110"/>
      <c r="AI704" s="110"/>
      <c r="AJ704" s="110"/>
      <c r="AK704" s="111">
        <f t="shared" si="152"/>
        <v>213.84</v>
      </c>
      <c r="AL704" s="446">
        <f t="shared" si="153"/>
        <v>0</v>
      </c>
      <c r="AM704" s="110">
        <f t="shared" si="154"/>
        <v>6</v>
      </c>
      <c r="AN704" s="447">
        <f t="shared" si="150"/>
        <v>0</v>
      </c>
      <c r="AO704"/>
      <c r="AP704"/>
    </row>
    <row r="705" spans="1:42" ht="66" x14ac:dyDescent="0.25">
      <c r="A705" s="9"/>
      <c r="B705" s="495" t="s">
        <v>2878</v>
      </c>
      <c r="C705" s="1024"/>
      <c r="D705" s="882">
        <v>50</v>
      </c>
      <c r="E705" s="251" t="s">
        <v>1767</v>
      </c>
      <c r="F705" s="273" t="s">
        <v>3446</v>
      </c>
      <c r="G705" s="1040" t="s">
        <v>3463</v>
      </c>
      <c r="H705" s="273" t="s">
        <v>3462</v>
      </c>
      <c r="I705" s="720">
        <f t="shared" si="155"/>
        <v>7.25</v>
      </c>
      <c r="J705" s="756">
        <v>362.5</v>
      </c>
      <c r="K705" s="131">
        <f t="shared" si="149"/>
        <v>362.5</v>
      </c>
      <c r="L705" s="335">
        <f t="shared" si="151"/>
        <v>0</v>
      </c>
      <c r="M705" s="446"/>
      <c r="N705" s="446"/>
      <c r="O705" s="446"/>
      <c r="P705" s="446"/>
      <c r="Q705" s="110">
        <v>13</v>
      </c>
      <c r="R705" s="111">
        <f t="shared" si="142"/>
        <v>90.625</v>
      </c>
      <c r="S705" s="110"/>
      <c r="T705" s="110"/>
      <c r="U705" s="110">
        <v>12</v>
      </c>
      <c r="V705" s="111">
        <f t="shared" si="143"/>
        <v>90.625</v>
      </c>
      <c r="W705" s="110"/>
      <c r="X705" s="110"/>
      <c r="Y705" s="110"/>
      <c r="Z705" s="110"/>
      <c r="AA705" s="110">
        <v>12</v>
      </c>
      <c r="AB705" s="111">
        <f t="shared" si="145"/>
        <v>90.625</v>
      </c>
      <c r="AC705" s="110"/>
      <c r="AD705" s="110"/>
      <c r="AE705" s="110">
        <v>13</v>
      </c>
      <c r="AF705" s="111">
        <f t="shared" si="144"/>
        <v>90.625</v>
      </c>
      <c r="AG705" s="110"/>
      <c r="AH705" s="110"/>
      <c r="AI705" s="110"/>
      <c r="AJ705" s="110"/>
      <c r="AK705" s="111">
        <f t="shared" si="152"/>
        <v>362.5</v>
      </c>
      <c r="AL705" s="446">
        <f t="shared" si="153"/>
        <v>0</v>
      </c>
      <c r="AM705" s="110">
        <f t="shared" si="154"/>
        <v>50</v>
      </c>
      <c r="AN705" s="447">
        <f t="shared" si="150"/>
        <v>0</v>
      </c>
      <c r="AO705"/>
      <c r="AP705"/>
    </row>
    <row r="706" spans="1:42" ht="66" x14ac:dyDescent="0.25">
      <c r="A706" s="9"/>
      <c r="B706" s="495" t="s">
        <v>49</v>
      </c>
      <c r="C706" s="1024"/>
      <c r="D706" s="882">
        <v>4</v>
      </c>
      <c r="E706" s="251" t="s">
        <v>1766</v>
      </c>
      <c r="F706" s="273" t="s">
        <v>3446</v>
      </c>
      <c r="G706" s="1040" t="s">
        <v>3463</v>
      </c>
      <c r="H706" s="273" t="s">
        <v>3462</v>
      </c>
      <c r="I706" s="720">
        <f t="shared" si="155"/>
        <v>17.82</v>
      </c>
      <c r="J706" s="756">
        <v>71.28</v>
      </c>
      <c r="K706" s="131">
        <f t="shared" si="149"/>
        <v>71.28</v>
      </c>
      <c r="L706" s="335">
        <f t="shared" si="151"/>
        <v>0</v>
      </c>
      <c r="M706" s="446"/>
      <c r="N706" s="446"/>
      <c r="O706" s="446"/>
      <c r="P706" s="446"/>
      <c r="Q706" s="110">
        <f t="shared" ref="Q706:Q800" si="156">+$D706/4</f>
        <v>1</v>
      </c>
      <c r="R706" s="111">
        <f t="shared" si="142"/>
        <v>17.82</v>
      </c>
      <c r="S706" s="110"/>
      <c r="T706" s="110"/>
      <c r="U706" s="110">
        <f t="shared" ref="U706:U800" si="157">+$D706/4</f>
        <v>1</v>
      </c>
      <c r="V706" s="111">
        <f t="shared" si="143"/>
        <v>17.82</v>
      </c>
      <c r="W706" s="110"/>
      <c r="X706" s="110"/>
      <c r="Y706" s="110"/>
      <c r="Z706" s="110"/>
      <c r="AA706" s="110">
        <f t="shared" ref="AA706:AE800" si="158">+$D706/4</f>
        <v>1</v>
      </c>
      <c r="AB706" s="111">
        <f t="shared" si="145"/>
        <v>17.82</v>
      </c>
      <c r="AC706" s="110"/>
      <c r="AD706" s="110"/>
      <c r="AE706" s="110">
        <f t="shared" si="158"/>
        <v>1</v>
      </c>
      <c r="AF706" s="111">
        <f t="shared" si="144"/>
        <v>17.82</v>
      </c>
      <c r="AG706" s="110"/>
      <c r="AH706" s="110"/>
      <c r="AI706" s="110"/>
      <c r="AJ706" s="110"/>
      <c r="AK706" s="111">
        <f t="shared" si="152"/>
        <v>71.28</v>
      </c>
      <c r="AL706" s="446">
        <f t="shared" si="153"/>
        <v>0</v>
      </c>
      <c r="AM706" s="110">
        <f t="shared" si="154"/>
        <v>4</v>
      </c>
      <c r="AN706" s="447">
        <f t="shared" si="150"/>
        <v>0</v>
      </c>
      <c r="AO706"/>
      <c r="AP706"/>
    </row>
    <row r="707" spans="1:42" ht="66" x14ac:dyDescent="0.25">
      <c r="A707" s="9"/>
      <c r="B707" s="495" t="s">
        <v>1848</v>
      </c>
      <c r="C707" s="1024"/>
      <c r="D707" s="882">
        <v>2</v>
      </c>
      <c r="E707" s="251" t="s">
        <v>1767</v>
      </c>
      <c r="F707" s="273" t="s">
        <v>3446</v>
      </c>
      <c r="G707" s="1040" t="s">
        <v>3463</v>
      </c>
      <c r="H707" s="273" t="s">
        <v>3462</v>
      </c>
      <c r="I707" s="720">
        <f t="shared" si="155"/>
        <v>85.54</v>
      </c>
      <c r="J707" s="756">
        <v>171.08</v>
      </c>
      <c r="K707" s="131">
        <f t="shared" si="149"/>
        <v>171.08</v>
      </c>
      <c r="L707" s="335">
        <f t="shared" si="151"/>
        <v>0</v>
      </c>
      <c r="M707" s="446"/>
      <c r="N707" s="446"/>
      <c r="O707" s="446"/>
      <c r="P707" s="446"/>
      <c r="Q707" s="130">
        <v>1</v>
      </c>
      <c r="R707" s="111">
        <v>85.54</v>
      </c>
      <c r="S707" s="110"/>
      <c r="T707" s="110"/>
      <c r="U707" s="130">
        <v>1</v>
      </c>
      <c r="V707" s="111">
        <v>85.54</v>
      </c>
      <c r="W707" s="110"/>
      <c r="X707" s="110"/>
      <c r="Y707" s="110"/>
      <c r="Z707" s="110"/>
      <c r="AA707" s="130">
        <v>0</v>
      </c>
      <c r="AB707" s="111">
        <v>0</v>
      </c>
      <c r="AC707" s="110"/>
      <c r="AD707" s="110"/>
      <c r="AE707" s="130">
        <v>0</v>
      </c>
      <c r="AF707" s="111">
        <v>0</v>
      </c>
      <c r="AG707" s="110"/>
      <c r="AH707" s="110"/>
      <c r="AI707" s="110"/>
      <c r="AJ707" s="110"/>
      <c r="AK707" s="111">
        <f t="shared" si="152"/>
        <v>171.08</v>
      </c>
      <c r="AL707" s="446">
        <f t="shared" si="153"/>
        <v>0</v>
      </c>
      <c r="AM707" s="110">
        <f t="shared" si="154"/>
        <v>2</v>
      </c>
      <c r="AN707" s="447">
        <f t="shared" si="150"/>
        <v>0</v>
      </c>
      <c r="AO707"/>
      <c r="AP707"/>
    </row>
    <row r="708" spans="1:42" ht="66" x14ac:dyDescent="0.25">
      <c r="A708" s="9"/>
      <c r="B708" s="495" t="s">
        <v>95</v>
      </c>
      <c r="C708" s="1024"/>
      <c r="D708" s="882">
        <v>10</v>
      </c>
      <c r="E708" s="251" t="s">
        <v>1721</v>
      </c>
      <c r="F708" s="273" t="s">
        <v>3446</v>
      </c>
      <c r="G708" s="1040" t="s">
        <v>3463</v>
      </c>
      <c r="H708" s="273" t="s">
        <v>3462</v>
      </c>
      <c r="I708" s="720">
        <f t="shared" si="155"/>
        <v>32.08</v>
      </c>
      <c r="J708" s="756">
        <v>320.79999999999995</v>
      </c>
      <c r="K708" s="131">
        <f t="shared" si="149"/>
        <v>320.79999999999995</v>
      </c>
      <c r="L708" s="335">
        <f t="shared" si="151"/>
        <v>0</v>
      </c>
      <c r="M708" s="446"/>
      <c r="N708" s="446"/>
      <c r="O708" s="446"/>
      <c r="P708" s="446"/>
      <c r="Q708" s="130">
        <v>3</v>
      </c>
      <c r="R708" s="111">
        <f t="shared" ref="R708:R804" si="159">+J708/4</f>
        <v>80.199999999999989</v>
      </c>
      <c r="S708" s="110"/>
      <c r="T708" s="110"/>
      <c r="U708" s="130">
        <v>3</v>
      </c>
      <c r="V708" s="111">
        <f t="shared" ref="V708:V804" si="160">+J708/4</f>
        <v>80.199999999999989</v>
      </c>
      <c r="W708" s="110"/>
      <c r="X708" s="110"/>
      <c r="Y708" s="110"/>
      <c r="Z708" s="110"/>
      <c r="AA708" s="130">
        <v>2</v>
      </c>
      <c r="AB708" s="111">
        <f t="shared" ref="AB708:AB802" si="161">+J708/4</f>
        <v>80.199999999999989</v>
      </c>
      <c r="AC708" s="110"/>
      <c r="AD708" s="110"/>
      <c r="AE708" s="130">
        <v>2</v>
      </c>
      <c r="AF708" s="111">
        <f t="shared" ref="AF708:AF802" si="162">+J708/4</f>
        <v>80.199999999999989</v>
      </c>
      <c r="AG708" s="110"/>
      <c r="AH708" s="110"/>
      <c r="AI708" s="110"/>
      <c r="AJ708" s="110"/>
      <c r="AK708" s="111">
        <f t="shared" si="152"/>
        <v>320.79999999999995</v>
      </c>
      <c r="AL708" s="446">
        <f t="shared" si="153"/>
        <v>0</v>
      </c>
      <c r="AM708" s="110">
        <f t="shared" si="154"/>
        <v>10</v>
      </c>
      <c r="AN708" s="447">
        <f t="shared" si="150"/>
        <v>0</v>
      </c>
      <c r="AO708"/>
      <c r="AP708"/>
    </row>
    <row r="709" spans="1:42" ht="66" x14ac:dyDescent="0.25">
      <c r="A709" s="9"/>
      <c r="B709" s="495" t="s">
        <v>35</v>
      </c>
      <c r="C709" s="1024"/>
      <c r="D709" s="882">
        <v>100</v>
      </c>
      <c r="E709" s="251" t="s">
        <v>1767</v>
      </c>
      <c r="F709" s="273" t="s">
        <v>3446</v>
      </c>
      <c r="G709" s="1040" t="s">
        <v>3463</v>
      </c>
      <c r="H709" s="273" t="s">
        <v>3462</v>
      </c>
      <c r="I709" s="720">
        <f t="shared" si="155"/>
        <v>20.55</v>
      </c>
      <c r="J709" s="756">
        <v>2055</v>
      </c>
      <c r="K709" s="131">
        <f t="shared" si="149"/>
        <v>2055</v>
      </c>
      <c r="L709" s="335">
        <f t="shared" si="151"/>
        <v>0</v>
      </c>
      <c r="M709" s="446"/>
      <c r="N709" s="446"/>
      <c r="O709" s="446"/>
      <c r="P709" s="446"/>
      <c r="Q709" s="110">
        <v>30</v>
      </c>
      <c r="R709" s="111">
        <f t="shared" si="159"/>
        <v>513.75</v>
      </c>
      <c r="S709" s="110"/>
      <c r="T709" s="110"/>
      <c r="U709" s="110">
        <v>30</v>
      </c>
      <c r="V709" s="111">
        <f t="shared" si="160"/>
        <v>513.75</v>
      </c>
      <c r="W709" s="110"/>
      <c r="X709" s="110"/>
      <c r="Y709" s="110"/>
      <c r="Z709" s="110"/>
      <c r="AA709" s="110">
        <v>30</v>
      </c>
      <c r="AB709" s="111">
        <f t="shared" si="161"/>
        <v>513.75</v>
      </c>
      <c r="AC709" s="110"/>
      <c r="AD709" s="110"/>
      <c r="AE709" s="110">
        <v>10</v>
      </c>
      <c r="AF709" s="111">
        <f t="shared" si="162"/>
        <v>513.75</v>
      </c>
      <c r="AG709" s="110"/>
      <c r="AH709" s="110"/>
      <c r="AI709" s="110"/>
      <c r="AJ709" s="110"/>
      <c r="AK709" s="111">
        <f t="shared" si="152"/>
        <v>2055</v>
      </c>
      <c r="AL709" s="446">
        <f t="shared" si="153"/>
        <v>0</v>
      </c>
      <c r="AM709" s="110">
        <f t="shared" si="154"/>
        <v>100</v>
      </c>
      <c r="AN709" s="447">
        <f t="shared" si="150"/>
        <v>0</v>
      </c>
      <c r="AO709"/>
      <c r="AP709"/>
    </row>
    <row r="710" spans="1:42" ht="66" x14ac:dyDescent="0.25">
      <c r="A710" s="9"/>
      <c r="B710" s="495" t="s">
        <v>2879</v>
      </c>
      <c r="C710" s="1024"/>
      <c r="D710" s="882">
        <v>50</v>
      </c>
      <c r="E710" s="251" t="s">
        <v>1772</v>
      </c>
      <c r="F710" s="273" t="s">
        <v>3446</v>
      </c>
      <c r="G710" s="1040" t="s">
        <v>3463</v>
      </c>
      <c r="H710" s="273" t="s">
        <v>3462</v>
      </c>
      <c r="I710" s="720">
        <f t="shared" si="155"/>
        <v>33.26</v>
      </c>
      <c r="J710" s="756">
        <v>1663</v>
      </c>
      <c r="K710" s="131">
        <f t="shared" si="149"/>
        <v>1663</v>
      </c>
      <c r="L710" s="335">
        <f t="shared" si="151"/>
        <v>0</v>
      </c>
      <c r="M710" s="446"/>
      <c r="N710" s="446"/>
      <c r="O710" s="446"/>
      <c r="P710" s="446"/>
      <c r="Q710" s="110">
        <v>13</v>
      </c>
      <c r="R710" s="111">
        <f t="shared" si="159"/>
        <v>415.75</v>
      </c>
      <c r="S710" s="110"/>
      <c r="T710" s="110"/>
      <c r="U710" s="110">
        <v>12</v>
      </c>
      <c r="V710" s="111">
        <f t="shared" si="160"/>
        <v>415.75</v>
      </c>
      <c r="W710" s="110"/>
      <c r="X710" s="110"/>
      <c r="Y710" s="110"/>
      <c r="Z710" s="110"/>
      <c r="AA710" s="110">
        <v>12</v>
      </c>
      <c r="AB710" s="111">
        <f t="shared" si="161"/>
        <v>415.75</v>
      </c>
      <c r="AC710" s="110"/>
      <c r="AD710" s="110"/>
      <c r="AE710" s="110">
        <v>13</v>
      </c>
      <c r="AF710" s="111">
        <f t="shared" si="162"/>
        <v>415.75</v>
      </c>
      <c r="AG710" s="110"/>
      <c r="AH710" s="110"/>
      <c r="AI710" s="110"/>
      <c r="AJ710" s="110"/>
      <c r="AK710" s="111">
        <f t="shared" si="152"/>
        <v>1663</v>
      </c>
      <c r="AL710" s="446">
        <f t="shared" si="153"/>
        <v>0</v>
      </c>
      <c r="AM710" s="110">
        <f t="shared" si="154"/>
        <v>50</v>
      </c>
      <c r="AN710" s="447">
        <f t="shared" si="150"/>
        <v>0</v>
      </c>
      <c r="AO710"/>
      <c r="AP710"/>
    </row>
    <row r="711" spans="1:42" ht="66" x14ac:dyDescent="0.25">
      <c r="A711" s="9"/>
      <c r="B711" s="495" t="s">
        <v>2880</v>
      </c>
      <c r="C711" s="1024"/>
      <c r="D711" s="882">
        <v>6</v>
      </c>
      <c r="E711" s="251" t="s">
        <v>2442</v>
      </c>
      <c r="F711" s="273" t="s">
        <v>3446</v>
      </c>
      <c r="G711" s="1040" t="s">
        <v>3463</v>
      </c>
      <c r="H711" s="273" t="s">
        <v>3462</v>
      </c>
      <c r="I711" s="720">
        <f t="shared" si="155"/>
        <v>42</v>
      </c>
      <c r="J711" s="756">
        <v>252</v>
      </c>
      <c r="K711" s="131">
        <f t="shared" si="149"/>
        <v>252</v>
      </c>
      <c r="L711" s="335">
        <f t="shared" si="151"/>
        <v>0</v>
      </c>
      <c r="M711" s="446"/>
      <c r="N711" s="446"/>
      <c r="O711" s="446"/>
      <c r="P711" s="446"/>
      <c r="Q711" s="130">
        <v>2</v>
      </c>
      <c r="R711" s="111">
        <f t="shared" si="159"/>
        <v>63</v>
      </c>
      <c r="S711" s="110"/>
      <c r="T711" s="110"/>
      <c r="U711" s="130">
        <v>2</v>
      </c>
      <c r="V711" s="111">
        <f t="shared" si="160"/>
        <v>63</v>
      </c>
      <c r="W711" s="110"/>
      <c r="X711" s="110"/>
      <c r="Y711" s="110"/>
      <c r="Z711" s="110"/>
      <c r="AA711" s="130">
        <v>1</v>
      </c>
      <c r="AB711" s="111">
        <f t="shared" si="161"/>
        <v>63</v>
      </c>
      <c r="AC711" s="110"/>
      <c r="AD711" s="110"/>
      <c r="AE711" s="130">
        <v>1</v>
      </c>
      <c r="AF711" s="111">
        <f t="shared" si="162"/>
        <v>63</v>
      </c>
      <c r="AG711" s="110"/>
      <c r="AH711" s="110"/>
      <c r="AI711" s="110"/>
      <c r="AJ711" s="110"/>
      <c r="AK711" s="111">
        <f t="shared" si="152"/>
        <v>252</v>
      </c>
      <c r="AL711" s="446">
        <f t="shared" si="153"/>
        <v>0</v>
      </c>
      <c r="AM711" s="110">
        <f t="shared" si="154"/>
        <v>6</v>
      </c>
      <c r="AN711" s="447">
        <f t="shared" si="150"/>
        <v>0</v>
      </c>
      <c r="AO711"/>
      <c r="AP711"/>
    </row>
    <row r="712" spans="1:42" ht="66.75" thickBot="1" x14ac:dyDescent="0.3">
      <c r="A712" s="9"/>
      <c r="B712" s="495" t="s">
        <v>220</v>
      </c>
      <c r="C712" s="1024"/>
      <c r="D712" s="882">
        <v>24</v>
      </c>
      <c r="E712" s="251" t="s">
        <v>1721</v>
      </c>
      <c r="F712" s="273" t="s">
        <v>3446</v>
      </c>
      <c r="G712" s="1040" t="s">
        <v>3463</v>
      </c>
      <c r="H712" s="273" t="s">
        <v>3462</v>
      </c>
      <c r="I712" s="720">
        <f t="shared" si="155"/>
        <v>12.12</v>
      </c>
      <c r="J712" s="756">
        <v>290.88</v>
      </c>
      <c r="K712" s="131">
        <f t="shared" si="149"/>
        <v>290.88</v>
      </c>
      <c r="L712" s="335">
        <f t="shared" si="151"/>
        <v>0</v>
      </c>
      <c r="M712" s="446"/>
      <c r="N712" s="446"/>
      <c r="O712" s="446"/>
      <c r="P712" s="446"/>
      <c r="Q712" s="110">
        <f t="shared" si="156"/>
        <v>6</v>
      </c>
      <c r="R712" s="111">
        <f t="shared" si="159"/>
        <v>72.72</v>
      </c>
      <c r="S712" s="110"/>
      <c r="T712" s="110"/>
      <c r="U712" s="110">
        <f t="shared" si="157"/>
        <v>6</v>
      </c>
      <c r="V712" s="111">
        <f t="shared" si="160"/>
        <v>72.72</v>
      </c>
      <c r="W712" s="110"/>
      <c r="X712" s="110"/>
      <c r="Y712" s="110"/>
      <c r="Z712" s="110"/>
      <c r="AA712" s="110">
        <f t="shared" si="158"/>
        <v>6</v>
      </c>
      <c r="AB712" s="111">
        <f t="shared" si="161"/>
        <v>72.72</v>
      </c>
      <c r="AC712" s="110"/>
      <c r="AD712" s="110"/>
      <c r="AE712" s="110">
        <f t="shared" si="158"/>
        <v>6</v>
      </c>
      <c r="AF712" s="111">
        <f t="shared" si="162"/>
        <v>72.72</v>
      </c>
      <c r="AG712" s="110"/>
      <c r="AH712" s="110"/>
      <c r="AI712" s="110"/>
      <c r="AJ712" s="110"/>
      <c r="AK712" s="111">
        <f t="shared" si="152"/>
        <v>290.88</v>
      </c>
      <c r="AL712" s="446">
        <f t="shared" si="153"/>
        <v>0</v>
      </c>
      <c r="AM712" s="110">
        <f t="shared" si="154"/>
        <v>24</v>
      </c>
      <c r="AN712" s="447">
        <f t="shared" si="150"/>
        <v>0</v>
      </c>
      <c r="AO712"/>
      <c r="AP712"/>
    </row>
    <row r="713" spans="1:42" ht="66" x14ac:dyDescent="0.25">
      <c r="A713" s="9"/>
      <c r="B713" s="496" t="s">
        <v>20</v>
      </c>
      <c r="C713" s="1024"/>
      <c r="D713" s="883">
        <v>8</v>
      </c>
      <c r="E713" s="84" t="s">
        <v>1722</v>
      </c>
      <c r="F713" s="273" t="s">
        <v>3446</v>
      </c>
      <c r="G713" s="1040" t="s">
        <v>3463</v>
      </c>
      <c r="H713" s="273" t="s">
        <v>3462</v>
      </c>
      <c r="I713" s="21">
        <v>26.46</v>
      </c>
      <c r="J713" s="756">
        <v>211.68</v>
      </c>
      <c r="K713" s="131">
        <f t="shared" si="149"/>
        <v>211.68</v>
      </c>
      <c r="L713" s="335"/>
      <c r="M713" s="446"/>
      <c r="N713" s="446"/>
      <c r="O713" s="446"/>
      <c r="P713" s="446"/>
      <c r="Q713" s="110">
        <f t="shared" si="156"/>
        <v>2</v>
      </c>
      <c r="R713" s="111">
        <f t="shared" si="159"/>
        <v>52.92</v>
      </c>
      <c r="S713" s="110"/>
      <c r="T713" s="110"/>
      <c r="U713" s="110">
        <f t="shared" si="157"/>
        <v>2</v>
      </c>
      <c r="V713" s="111">
        <f t="shared" si="160"/>
        <v>52.92</v>
      </c>
      <c r="W713" s="110"/>
      <c r="X713" s="110"/>
      <c r="Y713" s="110"/>
      <c r="Z713" s="110"/>
      <c r="AA713" s="110">
        <f t="shared" si="158"/>
        <v>2</v>
      </c>
      <c r="AB713" s="111">
        <f t="shared" si="161"/>
        <v>52.92</v>
      </c>
      <c r="AC713" s="110"/>
      <c r="AD713" s="110"/>
      <c r="AE713" s="110">
        <f t="shared" si="158"/>
        <v>2</v>
      </c>
      <c r="AF713" s="111">
        <f t="shared" si="162"/>
        <v>52.92</v>
      </c>
      <c r="AG713" s="110"/>
      <c r="AH713" s="110"/>
      <c r="AI713" s="110"/>
      <c r="AJ713" s="110"/>
      <c r="AK713" s="111">
        <f t="shared" si="152"/>
        <v>211.68</v>
      </c>
      <c r="AL713" s="446">
        <f t="shared" si="153"/>
        <v>0</v>
      </c>
      <c r="AM713" s="110">
        <f t="shared" si="154"/>
        <v>8</v>
      </c>
      <c r="AN713" s="447">
        <f t="shared" si="150"/>
        <v>0</v>
      </c>
      <c r="AO713"/>
      <c r="AP713"/>
    </row>
    <row r="714" spans="1:42" ht="66" x14ac:dyDescent="0.25">
      <c r="A714" s="9"/>
      <c r="B714" s="497" t="s">
        <v>21</v>
      </c>
      <c r="C714" s="1024"/>
      <c r="D714" s="883">
        <v>8</v>
      </c>
      <c r="E714" s="84" t="s">
        <v>1722</v>
      </c>
      <c r="F714" s="273" t="s">
        <v>3446</v>
      </c>
      <c r="G714" s="1040" t="s">
        <v>3463</v>
      </c>
      <c r="H714" s="273" t="s">
        <v>3462</v>
      </c>
      <c r="I714" s="21">
        <v>26.46</v>
      </c>
      <c r="J714" s="756">
        <v>211.68</v>
      </c>
      <c r="K714" s="131">
        <f t="shared" si="149"/>
        <v>211.68</v>
      </c>
      <c r="L714" s="335"/>
      <c r="M714" s="446"/>
      <c r="N714" s="446"/>
      <c r="O714" s="446"/>
      <c r="P714" s="446"/>
      <c r="Q714" s="110">
        <f t="shared" si="156"/>
        <v>2</v>
      </c>
      <c r="R714" s="111">
        <f t="shared" si="159"/>
        <v>52.92</v>
      </c>
      <c r="S714" s="110"/>
      <c r="T714" s="110"/>
      <c r="U714" s="110">
        <f t="shared" si="157"/>
        <v>2</v>
      </c>
      <c r="V714" s="111">
        <f t="shared" si="160"/>
        <v>52.92</v>
      </c>
      <c r="W714" s="110"/>
      <c r="X714" s="110"/>
      <c r="Y714" s="110"/>
      <c r="Z714" s="110"/>
      <c r="AA714" s="110">
        <f t="shared" si="158"/>
        <v>2</v>
      </c>
      <c r="AB714" s="111">
        <f t="shared" si="161"/>
        <v>52.92</v>
      </c>
      <c r="AC714" s="110"/>
      <c r="AD714" s="110"/>
      <c r="AE714" s="110">
        <f t="shared" si="158"/>
        <v>2</v>
      </c>
      <c r="AF714" s="111">
        <f t="shared" si="162"/>
        <v>52.92</v>
      </c>
      <c r="AG714" s="110"/>
      <c r="AH714" s="110"/>
      <c r="AI714" s="110"/>
      <c r="AJ714" s="110"/>
      <c r="AK714" s="111">
        <f t="shared" si="152"/>
        <v>211.68</v>
      </c>
      <c r="AL714" s="446">
        <f t="shared" si="153"/>
        <v>0</v>
      </c>
      <c r="AM714" s="110">
        <f t="shared" si="154"/>
        <v>8</v>
      </c>
      <c r="AN714" s="447">
        <f t="shared" si="150"/>
        <v>0</v>
      </c>
      <c r="AO714"/>
      <c r="AP714"/>
    </row>
    <row r="715" spans="1:42" ht="66" x14ac:dyDescent="0.25">
      <c r="A715" s="9"/>
      <c r="B715" s="497" t="s">
        <v>23</v>
      </c>
      <c r="C715" s="1024"/>
      <c r="D715" s="883">
        <v>10</v>
      </c>
      <c r="E715" s="84" t="s">
        <v>1723</v>
      </c>
      <c r="F715" s="273" t="s">
        <v>3446</v>
      </c>
      <c r="G715" s="1040" t="s">
        <v>3463</v>
      </c>
      <c r="H715" s="273" t="s">
        <v>3462</v>
      </c>
      <c r="I715" s="21">
        <v>3.11</v>
      </c>
      <c r="J715" s="756">
        <v>31.099999999999998</v>
      </c>
      <c r="K715" s="131">
        <f t="shared" si="149"/>
        <v>31.099999999999998</v>
      </c>
      <c r="L715" s="335"/>
      <c r="M715" s="446"/>
      <c r="N715" s="446"/>
      <c r="O715" s="446"/>
      <c r="P715" s="446"/>
      <c r="Q715" s="130">
        <v>3</v>
      </c>
      <c r="R715" s="111">
        <f t="shared" si="159"/>
        <v>7.7749999999999995</v>
      </c>
      <c r="S715" s="110"/>
      <c r="T715" s="110"/>
      <c r="U715" s="130">
        <v>3</v>
      </c>
      <c r="V715" s="111">
        <f t="shared" si="160"/>
        <v>7.7749999999999995</v>
      </c>
      <c r="W715" s="110"/>
      <c r="X715" s="110"/>
      <c r="Y715" s="110"/>
      <c r="Z715" s="110"/>
      <c r="AA715" s="130">
        <v>2</v>
      </c>
      <c r="AB715" s="111">
        <f t="shared" si="161"/>
        <v>7.7749999999999995</v>
      </c>
      <c r="AC715" s="110"/>
      <c r="AD715" s="110"/>
      <c r="AE715" s="130">
        <v>2</v>
      </c>
      <c r="AF715" s="111">
        <f t="shared" si="162"/>
        <v>7.7749999999999995</v>
      </c>
      <c r="AG715" s="110"/>
      <c r="AH715" s="110"/>
      <c r="AI715" s="110"/>
      <c r="AJ715" s="110"/>
      <c r="AK715" s="111">
        <f t="shared" si="152"/>
        <v>31.099999999999998</v>
      </c>
      <c r="AL715" s="446">
        <f t="shared" si="153"/>
        <v>0</v>
      </c>
      <c r="AM715" s="110">
        <f t="shared" si="154"/>
        <v>10</v>
      </c>
      <c r="AN715" s="447">
        <f t="shared" si="150"/>
        <v>0</v>
      </c>
      <c r="AO715"/>
      <c r="AP715"/>
    </row>
    <row r="716" spans="1:42" ht="66" x14ac:dyDescent="0.25">
      <c r="A716" s="9"/>
      <c r="B716" s="497" t="s">
        <v>25</v>
      </c>
      <c r="C716" s="1024"/>
      <c r="D716" s="883">
        <v>6</v>
      </c>
      <c r="E716" s="84" t="s">
        <v>1722</v>
      </c>
      <c r="F716" s="273" t="s">
        <v>3446</v>
      </c>
      <c r="G716" s="1040" t="s">
        <v>3463</v>
      </c>
      <c r="H716" s="273" t="s">
        <v>3462</v>
      </c>
      <c r="I716" s="21">
        <v>34.729999999999997</v>
      </c>
      <c r="J716" s="756">
        <v>208.38</v>
      </c>
      <c r="K716" s="131">
        <f t="shared" si="149"/>
        <v>208.38</v>
      </c>
      <c r="L716" s="335"/>
      <c r="M716" s="446"/>
      <c r="N716" s="446"/>
      <c r="O716" s="446"/>
      <c r="P716" s="446"/>
      <c r="Q716" s="130">
        <v>2</v>
      </c>
      <c r="R716" s="111">
        <f t="shared" si="159"/>
        <v>52.094999999999999</v>
      </c>
      <c r="S716" s="110"/>
      <c r="T716" s="110"/>
      <c r="U716" s="130">
        <v>2</v>
      </c>
      <c r="V716" s="111">
        <f t="shared" si="160"/>
        <v>52.094999999999999</v>
      </c>
      <c r="W716" s="110"/>
      <c r="X716" s="110"/>
      <c r="Y716" s="110"/>
      <c r="Z716" s="110"/>
      <c r="AA716" s="130">
        <v>1</v>
      </c>
      <c r="AB716" s="111">
        <f t="shared" si="161"/>
        <v>52.094999999999999</v>
      </c>
      <c r="AC716" s="110"/>
      <c r="AD716" s="110"/>
      <c r="AE716" s="130">
        <v>1</v>
      </c>
      <c r="AF716" s="111">
        <f t="shared" si="162"/>
        <v>52.094999999999999</v>
      </c>
      <c r="AG716" s="110"/>
      <c r="AH716" s="110"/>
      <c r="AI716" s="110"/>
      <c r="AJ716" s="110"/>
      <c r="AK716" s="111">
        <f t="shared" si="152"/>
        <v>208.38</v>
      </c>
      <c r="AL716" s="446">
        <f t="shared" si="153"/>
        <v>0</v>
      </c>
      <c r="AM716" s="110">
        <f t="shared" si="154"/>
        <v>6</v>
      </c>
      <c r="AN716" s="447">
        <f t="shared" si="150"/>
        <v>0</v>
      </c>
      <c r="AO716"/>
      <c r="AP716"/>
    </row>
    <row r="717" spans="1:42" ht="66" x14ac:dyDescent="0.25">
      <c r="A717" s="9"/>
      <c r="B717" s="497" t="s">
        <v>35</v>
      </c>
      <c r="C717" s="1024"/>
      <c r="D717" s="883">
        <v>10</v>
      </c>
      <c r="E717" s="84" t="s">
        <v>1723</v>
      </c>
      <c r="F717" s="273" t="s">
        <v>3446</v>
      </c>
      <c r="G717" s="1040" t="s">
        <v>3463</v>
      </c>
      <c r="H717" s="273" t="s">
        <v>3462</v>
      </c>
      <c r="I717" s="21">
        <v>12.92</v>
      </c>
      <c r="J717" s="756">
        <v>129.19999999999999</v>
      </c>
      <c r="K717" s="131">
        <f t="shared" si="149"/>
        <v>129.19999999999999</v>
      </c>
      <c r="L717" s="335"/>
      <c r="M717" s="446"/>
      <c r="N717" s="446"/>
      <c r="O717" s="446"/>
      <c r="P717" s="446"/>
      <c r="Q717" s="130">
        <v>3</v>
      </c>
      <c r="R717" s="111">
        <f t="shared" si="159"/>
        <v>32.299999999999997</v>
      </c>
      <c r="S717" s="110"/>
      <c r="T717" s="110"/>
      <c r="U717" s="130">
        <v>3</v>
      </c>
      <c r="V717" s="111">
        <f t="shared" si="160"/>
        <v>32.299999999999997</v>
      </c>
      <c r="W717" s="110"/>
      <c r="X717" s="110"/>
      <c r="Y717" s="110"/>
      <c r="Z717" s="110"/>
      <c r="AA717" s="130">
        <v>2</v>
      </c>
      <c r="AB717" s="111">
        <f t="shared" si="161"/>
        <v>32.299999999999997</v>
      </c>
      <c r="AC717" s="110"/>
      <c r="AD717" s="110"/>
      <c r="AE717" s="130">
        <v>2</v>
      </c>
      <c r="AF717" s="111">
        <f t="shared" si="162"/>
        <v>32.299999999999997</v>
      </c>
      <c r="AG717" s="110"/>
      <c r="AH717" s="110"/>
      <c r="AI717" s="110"/>
      <c r="AJ717" s="110"/>
      <c r="AK717" s="111">
        <f t="shared" si="152"/>
        <v>129.19999999999999</v>
      </c>
      <c r="AL717" s="446">
        <f t="shared" si="153"/>
        <v>0</v>
      </c>
      <c r="AM717" s="110">
        <f t="shared" si="154"/>
        <v>10</v>
      </c>
      <c r="AN717" s="447">
        <f t="shared" si="150"/>
        <v>0</v>
      </c>
      <c r="AO717"/>
      <c r="AP717"/>
    </row>
    <row r="718" spans="1:42" ht="66" x14ac:dyDescent="0.25">
      <c r="A718" s="9"/>
      <c r="B718" s="497" t="s">
        <v>32</v>
      </c>
      <c r="C718" s="1024"/>
      <c r="D718" s="883">
        <v>25</v>
      </c>
      <c r="E718" s="84" t="s">
        <v>1723</v>
      </c>
      <c r="F718" s="273" t="s">
        <v>3446</v>
      </c>
      <c r="G718" s="1040" t="s">
        <v>3463</v>
      </c>
      <c r="H718" s="273" t="s">
        <v>3462</v>
      </c>
      <c r="I718" s="21">
        <v>12.92</v>
      </c>
      <c r="J718" s="756">
        <v>323</v>
      </c>
      <c r="K718" s="131">
        <f t="shared" si="149"/>
        <v>323</v>
      </c>
      <c r="L718" s="335"/>
      <c r="M718" s="446"/>
      <c r="N718" s="446"/>
      <c r="O718" s="446"/>
      <c r="P718" s="446"/>
      <c r="Q718" s="110">
        <v>7</v>
      </c>
      <c r="R718" s="111">
        <f t="shared" si="159"/>
        <v>80.75</v>
      </c>
      <c r="S718" s="110"/>
      <c r="T718" s="110"/>
      <c r="U718" s="110">
        <v>6</v>
      </c>
      <c r="V718" s="111">
        <f t="shared" si="160"/>
        <v>80.75</v>
      </c>
      <c r="W718" s="110"/>
      <c r="X718" s="110"/>
      <c r="Y718" s="110"/>
      <c r="Z718" s="110"/>
      <c r="AA718" s="110">
        <v>6</v>
      </c>
      <c r="AB718" s="111">
        <f t="shared" si="161"/>
        <v>80.75</v>
      </c>
      <c r="AC718" s="110"/>
      <c r="AD718" s="110"/>
      <c r="AE718" s="110">
        <v>6</v>
      </c>
      <c r="AF718" s="111">
        <f t="shared" si="162"/>
        <v>80.75</v>
      </c>
      <c r="AG718" s="110"/>
      <c r="AH718" s="110"/>
      <c r="AI718" s="110"/>
      <c r="AJ718" s="110"/>
      <c r="AK718" s="111">
        <f t="shared" si="152"/>
        <v>323</v>
      </c>
      <c r="AL718" s="446">
        <f t="shared" si="153"/>
        <v>0</v>
      </c>
      <c r="AM718" s="110">
        <f t="shared" si="154"/>
        <v>25</v>
      </c>
      <c r="AN718" s="447">
        <f t="shared" si="150"/>
        <v>0</v>
      </c>
      <c r="AO718"/>
      <c r="AP718"/>
    </row>
    <row r="719" spans="1:42" ht="66" x14ac:dyDescent="0.25">
      <c r="A719" s="9"/>
      <c r="B719" s="497" t="s">
        <v>45</v>
      </c>
      <c r="C719" s="1024"/>
      <c r="D719" s="883">
        <v>10</v>
      </c>
      <c r="E719" s="84" t="s">
        <v>1722</v>
      </c>
      <c r="F719" s="273" t="s">
        <v>3446</v>
      </c>
      <c r="G719" s="1040" t="s">
        <v>3463</v>
      </c>
      <c r="H719" s="273" t="s">
        <v>3462</v>
      </c>
      <c r="I719" s="21">
        <v>10.32</v>
      </c>
      <c r="J719" s="756">
        <v>103.2</v>
      </c>
      <c r="K719" s="131">
        <f t="shared" ref="K719:K766" si="163">+D719*I719</f>
        <v>103.2</v>
      </c>
      <c r="L719" s="335"/>
      <c r="M719" s="446"/>
      <c r="N719" s="446"/>
      <c r="O719" s="446"/>
      <c r="P719" s="446"/>
      <c r="Q719" s="130">
        <v>3</v>
      </c>
      <c r="R719" s="111">
        <f t="shared" si="159"/>
        <v>25.8</v>
      </c>
      <c r="S719" s="110"/>
      <c r="T719" s="110"/>
      <c r="U719" s="130">
        <v>3</v>
      </c>
      <c r="V719" s="111">
        <f t="shared" si="160"/>
        <v>25.8</v>
      </c>
      <c r="W719" s="110"/>
      <c r="X719" s="110"/>
      <c r="Y719" s="110"/>
      <c r="Z719" s="110"/>
      <c r="AA719" s="130">
        <v>2</v>
      </c>
      <c r="AB719" s="111">
        <f t="shared" si="161"/>
        <v>25.8</v>
      </c>
      <c r="AC719" s="110"/>
      <c r="AD719" s="110"/>
      <c r="AE719" s="130">
        <v>2</v>
      </c>
      <c r="AF719" s="111">
        <f t="shared" si="162"/>
        <v>25.8</v>
      </c>
      <c r="AG719" s="110"/>
      <c r="AH719" s="110"/>
      <c r="AI719" s="110"/>
      <c r="AJ719" s="110"/>
      <c r="AK719" s="111">
        <f t="shared" si="152"/>
        <v>103.2</v>
      </c>
      <c r="AL719" s="446">
        <f t="shared" si="153"/>
        <v>0</v>
      </c>
      <c r="AM719" s="110">
        <f t="shared" si="154"/>
        <v>10</v>
      </c>
      <c r="AN719" s="447">
        <f t="shared" ref="AN719:AN736" si="164">+D719-AM719</f>
        <v>0</v>
      </c>
      <c r="AO719"/>
      <c r="AP719"/>
    </row>
    <row r="720" spans="1:42" ht="66" x14ac:dyDescent="0.25">
      <c r="A720" s="9"/>
      <c r="B720" s="497" t="s">
        <v>40</v>
      </c>
      <c r="C720" s="1024"/>
      <c r="D720" s="883">
        <v>4</v>
      </c>
      <c r="E720" s="84" t="s">
        <v>1723</v>
      </c>
      <c r="F720" s="273" t="s">
        <v>3446</v>
      </c>
      <c r="G720" s="1040" t="s">
        <v>3463</v>
      </c>
      <c r="H720" s="273" t="s">
        <v>3462</v>
      </c>
      <c r="I720" s="21">
        <v>16.63</v>
      </c>
      <c r="J720" s="756">
        <v>66.52</v>
      </c>
      <c r="K720" s="131">
        <f t="shared" si="163"/>
        <v>66.52</v>
      </c>
      <c r="L720" s="335"/>
      <c r="M720" s="446"/>
      <c r="N720" s="446"/>
      <c r="O720" s="446"/>
      <c r="P720" s="446"/>
      <c r="Q720" s="110">
        <f t="shared" si="156"/>
        <v>1</v>
      </c>
      <c r="R720" s="111">
        <f t="shared" si="159"/>
        <v>16.63</v>
      </c>
      <c r="S720" s="110"/>
      <c r="T720" s="110"/>
      <c r="U720" s="110">
        <f t="shared" si="157"/>
        <v>1</v>
      </c>
      <c r="V720" s="111">
        <f t="shared" si="160"/>
        <v>16.63</v>
      </c>
      <c r="W720" s="110"/>
      <c r="X720" s="110"/>
      <c r="Y720" s="110"/>
      <c r="Z720" s="110"/>
      <c r="AA720" s="110">
        <f t="shared" si="158"/>
        <v>1</v>
      </c>
      <c r="AB720" s="111">
        <f t="shared" si="161"/>
        <v>16.63</v>
      </c>
      <c r="AC720" s="110"/>
      <c r="AD720" s="110"/>
      <c r="AE720" s="110">
        <f t="shared" si="158"/>
        <v>1</v>
      </c>
      <c r="AF720" s="111">
        <f t="shared" si="162"/>
        <v>16.63</v>
      </c>
      <c r="AG720" s="110"/>
      <c r="AH720" s="110"/>
      <c r="AI720" s="110"/>
      <c r="AJ720" s="110"/>
      <c r="AK720" s="111">
        <f t="shared" ref="AK720:AK815" si="165">+R720+V720+AB720+AF720</f>
        <v>66.52</v>
      </c>
      <c r="AL720" s="446">
        <f t="shared" ref="AL720:AL815" si="166">+J720-AK720</f>
        <v>0</v>
      </c>
      <c r="AM720" s="110">
        <f t="shared" ref="AM720:AM815" si="167">+Q720+U720+AA720+AE720</f>
        <v>4</v>
      </c>
      <c r="AN720" s="447">
        <f t="shared" si="164"/>
        <v>0</v>
      </c>
      <c r="AO720"/>
      <c r="AP720"/>
    </row>
    <row r="721" spans="1:42" ht="66" x14ac:dyDescent="0.25">
      <c r="A721" s="9"/>
      <c r="B721" s="497" t="s">
        <v>52</v>
      </c>
      <c r="C721" s="1024"/>
      <c r="D721" s="883">
        <v>4</v>
      </c>
      <c r="E721" s="84" t="s">
        <v>1723</v>
      </c>
      <c r="F721" s="273" t="s">
        <v>3446</v>
      </c>
      <c r="G721" s="1040" t="s">
        <v>3463</v>
      </c>
      <c r="H721" s="273" t="s">
        <v>3462</v>
      </c>
      <c r="I721" s="21">
        <v>12.92</v>
      </c>
      <c r="J721" s="756">
        <v>51.68</v>
      </c>
      <c r="K721" s="131">
        <f t="shared" si="163"/>
        <v>51.68</v>
      </c>
      <c r="L721" s="335"/>
      <c r="M721" s="446"/>
      <c r="N721" s="446"/>
      <c r="O721" s="446"/>
      <c r="P721" s="446"/>
      <c r="Q721" s="110">
        <f t="shared" si="156"/>
        <v>1</v>
      </c>
      <c r="R721" s="111">
        <f t="shared" si="159"/>
        <v>12.92</v>
      </c>
      <c r="S721" s="110"/>
      <c r="T721" s="110"/>
      <c r="U721" s="110">
        <f t="shared" si="157"/>
        <v>1</v>
      </c>
      <c r="V721" s="111">
        <f t="shared" si="160"/>
        <v>12.92</v>
      </c>
      <c r="W721" s="110"/>
      <c r="X721" s="110"/>
      <c r="Y721" s="110"/>
      <c r="Z721" s="110"/>
      <c r="AA721" s="110">
        <f t="shared" si="158"/>
        <v>1</v>
      </c>
      <c r="AB721" s="111">
        <f t="shared" si="161"/>
        <v>12.92</v>
      </c>
      <c r="AC721" s="110"/>
      <c r="AD721" s="110"/>
      <c r="AE721" s="110">
        <f t="shared" si="158"/>
        <v>1</v>
      </c>
      <c r="AF721" s="111">
        <f t="shared" si="162"/>
        <v>12.92</v>
      </c>
      <c r="AG721" s="110"/>
      <c r="AH721" s="110"/>
      <c r="AI721" s="110"/>
      <c r="AJ721" s="110"/>
      <c r="AK721" s="111">
        <f t="shared" si="165"/>
        <v>51.68</v>
      </c>
      <c r="AL721" s="446">
        <f t="shared" si="166"/>
        <v>0</v>
      </c>
      <c r="AM721" s="110">
        <f t="shared" si="167"/>
        <v>4</v>
      </c>
      <c r="AN721" s="447">
        <f t="shared" si="164"/>
        <v>0</v>
      </c>
      <c r="AO721"/>
      <c r="AP721"/>
    </row>
    <row r="722" spans="1:42" ht="66" x14ac:dyDescent="0.25">
      <c r="A722" s="9"/>
      <c r="B722" s="497" t="s">
        <v>1715</v>
      </c>
      <c r="C722" s="1024"/>
      <c r="D722" s="883">
        <v>4</v>
      </c>
      <c r="E722" s="84" t="s">
        <v>1723</v>
      </c>
      <c r="F722" s="273" t="s">
        <v>3446</v>
      </c>
      <c r="G722" s="1040" t="s">
        <v>3463</v>
      </c>
      <c r="H722" s="273" t="s">
        <v>3462</v>
      </c>
      <c r="I722" s="21">
        <v>83.16</v>
      </c>
      <c r="J722" s="756">
        <v>332.64</v>
      </c>
      <c r="K722" s="131">
        <f t="shared" si="163"/>
        <v>332.64</v>
      </c>
      <c r="L722" s="335"/>
      <c r="M722" s="446"/>
      <c r="N722" s="446"/>
      <c r="O722" s="446"/>
      <c r="P722" s="446"/>
      <c r="Q722" s="110">
        <f t="shared" si="156"/>
        <v>1</v>
      </c>
      <c r="R722" s="111">
        <f t="shared" si="159"/>
        <v>83.16</v>
      </c>
      <c r="S722" s="110"/>
      <c r="T722" s="110"/>
      <c r="U722" s="110">
        <f t="shared" si="157"/>
        <v>1</v>
      </c>
      <c r="V722" s="111">
        <f t="shared" si="160"/>
        <v>83.16</v>
      </c>
      <c r="W722" s="110"/>
      <c r="X722" s="110"/>
      <c r="Y722" s="110"/>
      <c r="Z722" s="110"/>
      <c r="AA722" s="110">
        <f t="shared" si="158"/>
        <v>1</v>
      </c>
      <c r="AB722" s="111">
        <f t="shared" si="161"/>
        <v>83.16</v>
      </c>
      <c r="AC722" s="110"/>
      <c r="AD722" s="110"/>
      <c r="AE722" s="110">
        <f t="shared" si="158"/>
        <v>1</v>
      </c>
      <c r="AF722" s="111">
        <f t="shared" si="162"/>
        <v>83.16</v>
      </c>
      <c r="AG722" s="110"/>
      <c r="AH722" s="110"/>
      <c r="AI722" s="110"/>
      <c r="AJ722" s="110"/>
      <c r="AK722" s="111">
        <f t="shared" si="165"/>
        <v>332.64</v>
      </c>
      <c r="AL722" s="446">
        <f t="shared" si="166"/>
        <v>0</v>
      </c>
      <c r="AM722" s="110">
        <f t="shared" si="167"/>
        <v>4</v>
      </c>
      <c r="AN722" s="447">
        <f t="shared" si="164"/>
        <v>0</v>
      </c>
      <c r="AO722"/>
      <c r="AP722"/>
    </row>
    <row r="723" spans="1:42" ht="66" x14ac:dyDescent="0.25">
      <c r="A723" s="9"/>
      <c r="B723" s="497" t="s">
        <v>57</v>
      </c>
      <c r="C723" s="1024"/>
      <c r="D723" s="883">
        <v>4</v>
      </c>
      <c r="E723" s="84" t="s">
        <v>1722</v>
      </c>
      <c r="F723" s="273" t="s">
        <v>3446</v>
      </c>
      <c r="G723" s="1040" t="s">
        <v>3463</v>
      </c>
      <c r="H723" s="273" t="s">
        <v>3462</v>
      </c>
      <c r="I723" s="21">
        <v>21</v>
      </c>
      <c r="J723" s="756">
        <v>84</v>
      </c>
      <c r="K723" s="131">
        <f t="shared" si="163"/>
        <v>84</v>
      </c>
      <c r="L723" s="335"/>
      <c r="M723" s="446"/>
      <c r="N723" s="446"/>
      <c r="O723" s="446"/>
      <c r="P723" s="446"/>
      <c r="Q723" s="110">
        <f t="shared" si="156"/>
        <v>1</v>
      </c>
      <c r="R723" s="111">
        <f t="shared" si="159"/>
        <v>21</v>
      </c>
      <c r="S723" s="110"/>
      <c r="T723" s="110"/>
      <c r="U723" s="110">
        <f t="shared" si="157"/>
        <v>1</v>
      </c>
      <c r="V723" s="111">
        <f t="shared" si="160"/>
        <v>21</v>
      </c>
      <c r="W723" s="110"/>
      <c r="X723" s="110"/>
      <c r="Y723" s="110"/>
      <c r="Z723" s="110"/>
      <c r="AA723" s="110">
        <f t="shared" si="158"/>
        <v>1</v>
      </c>
      <c r="AB723" s="111">
        <f t="shared" si="161"/>
        <v>21</v>
      </c>
      <c r="AC723" s="110"/>
      <c r="AD723" s="110"/>
      <c r="AE723" s="110">
        <f t="shared" si="158"/>
        <v>1</v>
      </c>
      <c r="AF723" s="111">
        <f t="shared" si="162"/>
        <v>21</v>
      </c>
      <c r="AG723" s="110"/>
      <c r="AH723" s="110"/>
      <c r="AI723" s="110"/>
      <c r="AJ723" s="110"/>
      <c r="AK723" s="111">
        <f t="shared" si="165"/>
        <v>84</v>
      </c>
      <c r="AL723" s="446">
        <f t="shared" si="166"/>
        <v>0</v>
      </c>
      <c r="AM723" s="110">
        <f t="shared" si="167"/>
        <v>4</v>
      </c>
      <c r="AN723" s="447">
        <f t="shared" si="164"/>
        <v>0</v>
      </c>
      <c r="AO723"/>
      <c r="AP723"/>
    </row>
    <row r="724" spans="1:42" ht="66" x14ac:dyDescent="0.25">
      <c r="A724" s="9"/>
      <c r="B724" s="498" t="s">
        <v>59</v>
      </c>
      <c r="C724" s="1024"/>
      <c r="D724" s="883">
        <v>30</v>
      </c>
      <c r="E724" s="84" t="s">
        <v>1722</v>
      </c>
      <c r="F724" s="273" t="s">
        <v>3446</v>
      </c>
      <c r="G724" s="1040" t="s">
        <v>3463</v>
      </c>
      <c r="H724" s="273" t="s">
        <v>3462</v>
      </c>
      <c r="I724" s="21">
        <v>23.55</v>
      </c>
      <c r="J724" s="756">
        <v>706.5</v>
      </c>
      <c r="K724" s="131">
        <f t="shared" si="163"/>
        <v>706.5</v>
      </c>
      <c r="L724" s="335"/>
      <c r="M724" s="446"/>
      <c r="N724" s="446"/>
      <c r="O724" s="446"/>
      <c r="P724" s="446"/>
      <c r="Q724" s="110">
        <v>8</v>
      </c>
      <c r="R724" s="111">
        <f t="shared" si="159"/>
        <v>176.625</v>
      </c>
      <c r="S724" s="110"/>
      <c r="T724" s="110"/>
      <c r="U724" s="110">
        <v>8</v>
      </c>
      <c r="V724" s="111">
        <f t="shared" si="160"/>
        <v>176.625</v>
      </c>
      <c r="W724" s="110"/>
      <c r="X724" s="110"/>
      <c r="Y724" s="110"/>
      <c r="Z724" s="110"/>
      <c r="AA724" s="110">
        <v>7</v>
      </c>
      <c r="AB724" s="111">
        <f t="shared" si="161"/>
        <v>176.625</v>
      </c>
      <c r="AC724" s="110"/>
      <c r="AD724" s="110"/>
      <c r="AE724" s="110">
        <v>7</v>
      </c>
      <c r="AF724" s="111">
        <f t="shared" si="162"/>
        <v>176.625</v>
      </c>
      <c r="AG724" s="110"/>
      <c r="AH724" s="110"/>
      <c r="AI724" s="110"/>
      <c r="AJ724" s="110"/>
      <c r="AK724" s="111">
        <f t="shared" si="165"/>
        <v>706.5</v>
      </c>
      <c r="AL724" s="446">
        <f t="shared" si="166"/>
        <v>0</v>
      </c>
      <c r="AM724" s="110">
        <f t="shared" si="167"/>
        <v>30</v>
      </c>
      <c r="AN724" s="447">
        <f t="shared" si="164"/>
        <v>0</v>
      </c>
      <c r="AO724"/>
      <c r="AP724"/>
    </row>
    <row r="725" spans="1:42" ht="66" x14ac:dyDescent="0.25">
      <c r="A725" s="9"/>
      <c r="B725" s="497" t="s">
        <v>62</v>
      </c>
      <c r="C725" s="1024"/>
      <c r="D725" s="883">
        <v>5</v>
      </c>
      <c r="E725" s="84" t="s">
        <v>1723</v>
      </c>
      <c r="F725" s="273" t="s">
        <v>3446</v>
      </c>
      <c r="G725" s="1040" t="s">
        <v>3463</v>
      </c>
      <c r="H725" s="273" t="s">
        <v>3462</v>
      </c>
      <c r="I725" s="21">
        <v>14.14</v>
      </c>
      <c r="J725" s="756">
        <v>70.7</v>
      </c>
      <c r="K725" s="131">
        <f t="shared" si="163"/>
        <v>70.7</v>
      </c>
      <c r="L725" s="335"/>
      <c r="M725" s="446"/>
      <c r="N725" s="446"/>
      <c r="O725" s="446"/>
      <c r="P725" s="446"/>
      <c r="Q725" s="110">
        <v>2</v>
      </c>
      <c r="R725" s="111">
        <f t="shared" si="159"/>
        <v>17.675000000000001</v>
      </c>
      <c r="S725" s="110"/>
      <c r="T725" s="110"/>
      <c r="U725" s="110">
        <v>1</v>
      </c>
      <c r="V725" s="111">
        <f t="shared" si="160"/>
        <v>17.675000000000001</v>
      </c>
      <c r="W725" s="110"/>
      <c r="X725" s="110"/>
      <c r="Y725" s="110"/>
      <c r="Z725" s="110"/>
      <c r="AA725" s="110">
        <v>1</v>
      </c>
      <c r="AB725" s="111">
        <f t="shared" si="161"/>
        <v>17.675000000000001</v>
      </c>
      <c r="AC725" s="110"/>
      <c r="AD725" s="110"/>
      <c r="AE725" s="110">
        <v>1</v>
      </c>
      <c r="AF725" s="111">
        <f t="shared" si="162"/>
        <v>17.675000000000001</v>
      </c>
      <c r="AG725" s="110"/>
      <c r="AH725" s="110"/>
      <c r="AI725" s="110"/>
      <c r="AJ725" s="110"/>
      <c r="AK725" s="111">
        <f t="shared" si="165"/>
        <v>70.7</v>
      </c>
      <c r="AL725" s="446">
        <f t="shared" si="166"/>
        <v>0</v>
      </c>
      <c r="AM725" s="110">
        <f t="shared" si="167"/>
        <v>5</v>
      </c>
      <c r="AN725" s="447">
        <f t="shared" si="164"/>
        <v>0</v>
      </c>
      <c r="AO725"/>
      <c r="AP725"/>
    </row>
    <row r="726" spans="1:42" ht="66" x14ac:dyDescent="0.25">
      <c r="A726" s="9"/>
      <c r="B726" s="497" t="s">
        <v>70</v>
      </c>
      <c r="C726" s="1024"/>
      <c r="D726" s="883">
        <v>8</v>
      </c>
      <c r="E726" s="84" t="s">
        <v>1723</v>
      </c>
      <c r="F726" s="273" t="s">
        <v>3446</v>
      </c>
      <c r="G726" s="1040" t="s">
        <v>3463</v>
      </c>
      <c r="H726" s="273" t="s">
        <v>3462</v>
      </c>
      <c r="I726" s="21">
        <v>9.56</v>
      </c>
      <c r="J726" s="756">
        <v>76.48</v>
      </c>
      <c r="K726" s="131">
        <f t="shared" si="163"/>
        <v>76.48</v>
      </c>
      <c r="L726" s="335"/>
      <c r="M726" s="446"/>
      <c r="N726" s="446"/>
      <c r="O726" s="446"/>
      <c r="P726" s="446"/>
      <c r="Q726" s="110">
        <f t="shared" si="156"/>
        <v>2</v>
      </c>
      <c r="R726" s="111">
        <f t="shared" si="159"/>
        <v>19.12</v>
      </c>
      <c r="S726" s="110"/>
      <c r="T726" s="110"/>
      <c r="U726" s="110">
        <f t="shared" si="157"/>
        <v>2</v>
      </c>
      <c r="V726" s="111">
        <f t="shared" si="160"/>
        <v>19.12</v>
      </c>
      <c r="W726" s="110"/>
      <c r="X726" s="110"/>
      <c r="Y726" s="110"/>
      <c r="Z726" s="110"/>
      <c r="AA726" s="110">
        <f t="shared" si="158"/>
        <v>2</v>
      </c>
      <c r="AB726" s="111">
        <f t="shared" si="161"/>
        <v>19.12</v>
      </c>
      <c r="AC726" s="110"/>
      <c r="AD726" s="110"/>
      <c r="AE726" s="110">
        <f t="shared" si="158"/>
        <v>2</v>
      </c>
      <c r="AF726" s="111">
        <f t="shared" si="162"/>
        <v>19.12</v>
      </c>
      <c r="AG726" s="110"/>
      <c r="AH726" s="110"/>
      <c r="AI726" s="110"/>
      <c r="AJ726" s="110"/>
      <c r="AK726" s="111">
        <f t="shared" si="165"/>
        <v>76.48</v>
      </c>
      <c r="AL726" s="446">
        <f t="shared" si="166"/>
        <v>0</v>
      </c>
      <c r="AM726" s="110">
        <f t="shared" si="167"/>
        <v>8</v>
      </c>
      <c r="AN726" s="447">
        <f t="shared" si="164"/>
        <v>0</v>
      </c>
      <c r="AO726"/>
      <c r="AP726"/>
    </row>
    <row r="727" spans="1:42" ht="66" x14ac:dyDescent="0.25">
      <c r="A727" s="9"/>
      <c r="B727" s="497" t="s">
        <v>73</v>
      </c>
      <c r="C727" s="1024"/>
      <c r="D727" s="883">
        <v>8</v>
      </c>
      <c r="E727" s="84" t="s">
        <v>1723</v>
      </c>
      <c r="F727" s="273" t="s">
        <v>3446</v>
      </c>
      <c r="G727" s="1040" t="s">
        <v>3463</v>
      </c>
      <c r="H727" s="273" t="s">
        <v>3462</v>
      </c>
      <c r="I727" s="21">
        <v>9.15</v>
      </c>
      <c r="J727" s="756">
        <v>73.2</v>
      </c>
      <c r="K727" s="131">
        <f t="shared" si="163"/>
        <v>73.2</v>
      </c>
      <c r="L727" s="335"/>
      <c r="M727" s="446"/>
      <c r="N727" s="446"/>
      <c r="O727" s="446"/>
      <c r="P727" s="446"/>
      <c r="Q727" s="110">
        <f t="shared" si="156"/>
        <v>2</v>
      </c>
      <c r="R727" s="111">
        <f t="shared" si="159"/>
        <v>18.3</v>
      </c>
      <c r="S727" s="110"/>
      <c r="T727" s="110"/>
      <c r="U727" s="110">
        <f t="shared" si="157"/>
        <v>2</v>
      </c>
      <c r="V727" s="111">
        <f t="shared" si="160"/>
        <v>18.3</v>
      </c>
      <c r="W727" s="110"/>
      <c r="X727" s="110"/>
      <c r="Y727" s="110"/>
      <c r="Z727" s="110"/>
      <c r="AA727" s="110">
        <f t="shared" si="158"/>
        <v>2</v>
      </c>
      <c r="AB727" s="111">
        <f t="shared" si="161"/>
        <v>18.3</v>
      </c>
      <c r="AC727" s="110"/>
      <c r="AD727" s="110"/>
      <c r="AE727" s="110">
        <f t="shared" si="158"/>
        <v>2</v>
      </c>
      <c r="AF727" s="111">
        <f t="shared" si="162"/>
        <v>18.3</v>
      </c>
      <c r="AG727" s="110"/>
      <c r="AH727" s="110"/>
      <c r="AI727" s="110"/>
      <c r="AJ727" s="110"/>
      <c r="AK727" s="111">
        <f t="shared" si="165"/>
        <v>73.2</v>
      </c>
      <c r="AL727" s="446">
        <f t="shared" si="166"/>
        <v>0</v>
      </c>
      <c r="AM727" s="110">
        <f t="shared" si="167"/>
        <v>8</v>
      </c>
      <c r="AN727" s="447">
        <f t="shared" si="164"/>
        <v>0</v>
      </c>
      <c r="AO727"/>
      <c r="AP727"/>
    </row>
    <row r="728" spans="1:42" ht="66" x14ac:dyDescent="0.25">
      <c r="A728" s="9"/>
      <c r="B728" s="497" t="s">
        <v>95</v>
      </c>
      <c r="C728" s="1024"/>
      <c r="D728" s="883">
        <v>4</v>
      </c>
      <c r="E728" s="84" t="s">
        <v>1721</v>
      </c>
      <c r="F728" s="273" t="s">
        <v>3446</v>
      </c>
      <c r="G728" s="1040" t="s">
        <v>3463</v>
      </c>
      <c r="H728" s="273" t="s">
        <v>3462</v>
      </c>
      <c r="I728" s="21">
        <v>22.72</v>
      </c>
      <c r="J728" s="756">
        <v>90.88</v>
      </c>
      <c r="K728" s="131">
        <f t="shared" si="163"/>
        <v>90.88</v>
      </c>
      <c r="L728" s="335"/>
      <c r="M728" s="446"/>
      <c r="N728" s="446"/>
      <c r="O728" s="446"/>
      <c r="P728" s="446"/>
      <c r="Q728" s="110">
        <f t="shared" si="156"/>
        <v>1</v>
      </c>
      <c r="R728" s="111">
        <f t="shared" si="159"/>
        <v>22.72</v>
      </c>
      <c r="S728" s="110"/>
      <c r="T728" s="110"/>
      <c r="U728" s="110">
        <f t="shared" si="157"/>
        <v>1</v>
      </c>
      <c r="V728" s="111">
        <f t="shared" si="160"/>
        <v>22.72</v>
      </c>
      <c r="W728" s="110"/>
      <c r="X728" s="110"/>
      <c r="Y728" s="110"/>
      <c r="Z728" s="110"/>
      <c r="AA728" s="110">
        <f t="shared" si="158"/>
        <v>1</v>
      </c>
      <c r="AB728" s="111">
        <f t="shared" si="161"/>
        <v>22.72</v>
      </c>
      <c r="AC728" s="110"/>
      <c r="AD728" s="110"/>
      <c r="AE728" s="110">
        <f t="shared" si="158"/>
        <v>1</v>
      </c>
      <c r="AF728" s="111">
        <f t="shared" si="162"/>
        <v>22.72</v>
      </c>
      <c r="AG728" s="110"/>
      <c r="AH728" s="110"/>
      <c r="AI728" s="110"/>
      <c r="AJ728" s="110"/>
      <c r="AK728" s="111">
        <f t="shared" si="165"/>
        <v>90.88</v>
      </c>
      <c r="AL728" s="446">
        <f t="shared" si="166"/>
        <v>0</v>
      </c>
      <c r="AM728" s="110">
        <f t="shared" si="167"/>
        <v>4</v>
      </c>
      <c r="AN728" s="447">
        <f t="shared" si="164"/>
        <v>0</v>
      </c>
      <c r="AO728"/>
      <c r="AP728"/>
    </row>
    <row r="729" spans="1:42" ht="66" x14ac:dyDescent="0.25">
      <c r="A729" s="9"/>
      <c r="B729" s="497" t="s">
        <v>61</v>
      </c>
      <c r="C729" s="1024"/>
      <c r="D729" s="883">
        <v>4</v>
      </c>
      <c r="E729" s="84" t="s">
        <v>1722</v>
      </c>
      <c r="F729" s="273" t="s">
        <v>3446</v>
      </c>
      <c r="G729" s="1040" t="s">
        <v>3463</v>
      </c>
      <c r="H729" s="273" t="s">
        <v>3462</v>
      </c>
      <c r="I729" s="21">
        <v>22.55</v>
      </c>
      <c r="J729" s="756">
        <v>90.2</v>
      </c>
      <c r="K729" s="131">
        <f t="shared" si="163"/>
        <v>90.2</v>
      </c>
      <c r="L729" s="335"/>
      <c r="M729" s="446"/>
      <c r="N729" s="446"/>
      <c r="O729" s="446"/>
      <c r="P729" s="446"/>
      <c r="Q729" s="110">
        <f t="shared" si="156"/>
        <v>1</v>
      </c>
      <c r="R729" s="111">
        <f t="shared" si="159"/>
        <v>22.55</v>
      </c>
      <c r="S729" s="110"/>
      <c r="T729" s="110"/>
      <c r="U729" s="110">
        <f t="shared" si="157"/>
        <v>1</v>
      </c>
      <c r="V729" s="111">
        <f t="shared" si="160"/>
        <v>22.55</v>
      </c>
      <c r="W729" s="110"/>
      <c r="X729" s="110"/>
      <c r="Y729" s="110"/>
      <c r="Z729" s="110"/>
      <c r="AA729" s="110">
        <f t="shared" si="158"/>
        <v>1</v>
      </c>
      <c r="AB729" s="111">
        <f t="shared" si="161"/>
        <v>22.55</v>
      </c>
      <c r="AC729" s="110"/>
      <c r="AD729" s="110"/>
      <c r="AE729" s="110">
        <f t="shared" si="158"/>
        <v>1</v>
      </c>
      <c r="AF729" s="111">
        <f t="shared" si="162"/>
        <v>22.55</v>
      </c>
      <c r="AG729" s="110"/>
      <c r="AH729" s="110"/>
      <c r="AI729" s="110"/>
      <c r="AJ729" s="110"/>
      <c r="AK729" s="111">
        <f t="shared" si="165"/>
        <v>90.2</v>
      </c>
      <c r="AL729" s="446">
        <f t="shared" si="166"/>
        <v>0</v>
      </c>
      <c r="AM729" s="110">
        <f t="shared" si="167"/>
        <v>4</v>
      </c>
      <c r="AN729" s="447">
        <f t="shared" si="164"/>
        <v>0</v>
      </c>
      <c r="AO729"/>
      <c r="AP729"/>
    </row>
    <row r="730" spans="1:42" ht="66" x14ac:dyDescent="0.25">
      <c r="A730" s="9"/>
      <c r="B730" s="497" t="s">
        <v>43</v>
      </c>
      <c r="C730" s="1024"/>
      <c r="D730" s="883">
        <v>10</v>
      </c>
      <c r="E730" s="84" t="s">
        <v>1723</v>
      </c>
      <c r="F730" s="273" t="s">
        <v>3446</v>
      </c>
      <c r="G730" s="1040" t="s">
        <v>3463</v>
      </c>
      <c r="H730" s="273" t="s">
        <v>3462</v>
      </c>
      <c r="I730" s="21">
        <v>10.97</v>
      </c>
      <c r="J730" s="756">
        <v>109.7</v>
      </c>
      <c r="K730" s="131">
        <f t="shared" si="163"/>
        <v>109.7</v>
      </c>
      <c r="L730" s="335"/>
      <c r="M730" s="446"/>
      <c r="N730" s="446"/>
      <c r="O730" s="446"/>
      <c r="P730" s="446"/>
      <c r="Q730" s="130">
        <v>3</v>
      </c>
      <c r="R730" s="111">
        <f t="shared" si="159"/>
        <v>27.425000000000001</v>
      </c>
      <c r="S730" s="110"/>
      <c r="T730" s="110"/>
      <c r="U730" s="130">
        <v>3</v>
      </c>
      <c r="V730" s="111">
        <f t="shared" si="160"/>
        <v>27.425000000000001</v>
      </c>
      <c r="W730" s="110"/>
      <c r="X730" s="110"/>
      <c r="Y730" s="110"/>
      <c r="Z730" s="110"/>
      <c r="AA730" s="130">
        <v>2</v>
      </c>
      <c r="AB730" s="111">
        <f t="shared" si="161"/>
        <v>27.425000000000001</v>
      </c>
      <c r="AC730" s="110"/>
      <c r="AD730" s="110"/>
      <c r="AE730" s="130">
        <v>2</v>
      </c>
      <c r="AF730" s="111">
        <f t="shared" si="162"/>
        <v>27.425000000000001</v>
      </c>
      <c r="AG730" s="110"/>
      <c r="AH730" s="110"/>
      <c r="AI730" s="110"/>
      <c r="AJ730" s="110"/>
      <c r="AK730" s="111">
        <f t="shared" si="165"/>
        <v>109.7</v>
      </c>
      <c r="AL730" s="446">
        <f t="shared" si="166"/>
        <v>0</v>
      </c>
      <c r="AM730" s="110">
        <f t="shared" si="167"/>
        <v>10</v>
      </c>
      <c r="AN730" s="447">
        <f t="shared" si="164"/>
        <v>0</v>
      </c>
      <c r="AO730"/>
      <c r="AP730"/>
    </row>
    <row r="731" spans="1:42" ht="66" x14ac:dyDescent="0.25">
      <c r="A731" s="9"/>
      <c r="B731" s="497" t="s">
        <v>66</v>
      </c>
      <c r="C731" s="1024"/>
      <c r="D731" s="883">
        <v>2</v>
      </c>
      <c r="E731" s="84" t="s">
        <v>1725</v>
      </c>
      <c r="F731" s="273" t="s">
        <v>3446</v>
      </c>
      <c r="G731" s="1040" t="s">
        <v>3463</v>
      </c>
      <c r="H731" s="273" t="s">
        <v>3462</v>
      </c>
      <c r="I731" s="21">
        <v>59.65</v>
      </c>
      <c r="J731" s="756">
        <v>119.3</v>
      </c>
      <c r="K731" s="131">
        <f t="shared" si="163"/>
        <v>119.3</v>
      </c>
      <c r="L731" s="335"/>
      <c r="M731" s="446"/>
      <c r="N731" s="446"/>
      <c r="O731" s="446"/>
      <c r="P731" s="446"/>
      <c r="Q731" s="130">
        <v>1</v>
      </c>
      <c r="R731" s="111">
        <v>59.65</v>
      </c>
      <c r="S731" s="110"/>
      <c r="T731" s="110"/>
      <c r="U731" s="130">
        <v>1</v>
      </c>
      <c r="V731" s="111">
        <v>59.65</v>
      </c>
      <c r="W731" s="110"/>
      <c r="X731" s="110"/>
      <c r="Y731" s="110"/>
      <c r="Z731" s="110"/>
      <c r="AA731" s="130">
        <v>0</v>
      </c>
      <c r="AB731" s="111">
        <v>0</v>
      </c>
      <c r="AC731" s="110"/>
      <c r="AD731" s="110"/>
      <c r="AE731" s="130">
        <v>0</v>
      </c>
      <c r="AF731" s="111">
        <v>0</v>
      </c>
      <c r="AG731" s="110"/>
      <c r="AH731" s="110"/>
      <c r="AI731" s="110"/>
      <c r="AJ731" s="110"/>
      <c r="AK731" s="111">
        <f t="shared" si="165"/>
        <v>119.3</v>
      </c>
      <c r="AL731" s="446">
        <f t="shared" si="166"/>
        <v>0</v>
      </c>
      <c r="AM731" s="110">
        <f t="shared" si="167"/>
        <v>2</v>
      </c>
      <c r="AN731" s="447">
        <f t="shared" si="164"/>
        <v>0</v>
      </c>
      <c r="AO731"/>
      <c r="AP731"/>
    </row>
    <row r="732" spans="1:42" ht="66" x14ac:dyDescent="0.25">
      <c r="A732" s="9"/>
      <c r="B732" s="497" t="s">
        <v>16</v>
      </c>
      <c r="C732" s="1024"/>
      <c r="D732" s="883">
        <v>2</v>
      </c>
      <c r="E732" s="84" t="s">
        <v>1723</v>
      </c>
      <c r="F732" s="273" t="s">
        <v>3446</v>
      </c>
      <c r="G732" s="1040" t="s">
        <v>3463</v>
      </c>
      <c r="H732" s="273" t="s">
        <v>3462</v>
      </c>
      <c r="I732" s="21">
        <v>129.1</v>
      </c>
      <c r="J732" s="756">
        <v>258.2</v>
      </c>
      <c r="K732" s="131">
        <f t="shared" si="163"/>
        <v>258.2</v>
      </c>
      <c r="L732" s="335"/>
      <c r="M732" s="446"/>
      <c r="N732" s="446"/>
      <c r="O732" s="446"/>
      <c r="P732" s="446"/>
      <c r="Q732" s="130">
        <v>1</v>
      </c>
      <c r="R732" s="111">
        <v>129.1</v>
      </c>
      <c r="S732" s="110"/>
      <c r="T732" s="110"/>
      <c r="U732" s="130">
        <v>1</v>
      </c>
      <c r="V732" s="111">
        <v>129.1</v>
      </c>
      <c r="W732" s="110"/>
      <c r="X732" s="110"/>
      <c r="Y732" s="110"/>
      <c r="Z732" s="110"/>
      <c r="AA732" s="130">
        <v>0</v>
      </c>
      <c r="AB732" s="111">
        <v>0</v>
      </c>
      <c r="AC732" s="110"/>
      <c r="AD732" s="110"/>
      <c r="AE732" s="130">
        <v>0</v>
      </c>
      <c r="AF732" s="111">
        <v>0</v>
      </c>
      <c r="AG732" s="110"/>
      <c r="AH732" s="110"/>
      <c r="AI732" s="110"/>
      <c r="AJ732" s="110"/>
      <c r="AK732" s="111">
        <f t="shared" si="165"/>
        <v>258.2</v>
      </c>
      <c r="AL732" s="446">
        <f t="shared" si="166"/>
        <v>0</v>
      </c>
      <c r="AM732" s="110">
        <f t="shared" si="167"/>
        <v>2</v>
      </c>
      <c r="AN732" s="447">
        <f t="shared" si="164"/>
        <v>0</v>
      </c>
      <c r="AO732"/>
      <c r="AP732"/>
    </row>
    <row r="733" spans="1:42" ht="66" x14ac:dyDescent="0.25">
      <c r="A733" s="9"/>
      <c r="B733" s="497" t="s">
        <v>1717</v>
      </c>
      <c r="C733" s="1024"/>
      <c r="D733" s="883">
        <v>2</v>
      </c>
      <c r="E733" s="84" t="s">
        <v>1722</v>
      </c>
      <c r="F733" s="273" t="s">
        <v>3446</v>
      </c>
      <c r="G733" s="1040" t="s">
        <v>3463</v>
      </c>
      <c r="H733" s="273" t="s">
        <v>3462</v>
      </c>
      <c r="I733" s="21">
        <v>73.680000000000007</v>
      </c>
      <c r="J733" s="756">
        <v>147.36000000000001</v>
      </c>
      <c r="K733" s="131">
        <f t="shared" si="163"/>
        <v>147.36000000000001</v>
      </c>
      <c r="L733" s="335"/>
      <c r="M733" s="446"/>
      <c r="N733" s="446"/>
      <c r="O733" s="446"/>
      <c r="P733" s="446"/>
      <c r="Q733" s="130">
        <v>1</v>
      </c>
      <c r="R733" s="111">
        <v>73.680000000000007</v>
      </c>
      <c r="S733" s="110"/>
      <c r="T733" s="110"/>
      <c r="U733" s="130">
        <v>1</v>
      </c>
      <c r="V733" s="111">
        <v>73.680000000000007</v>
      </c>
      <c r="W733" s="110"/>
      <c r="X733" s="110"/>
      <c r="Y733" s="110"/>
      <c r="Z733" s="110"/>
      <c r="AA733" s="130">
        <v>0</v>
      </c>
      <c r="AB733" s="111">
        <v>0</v>
      </c>
      <c r="AC733" s="110"/>
      <c r="AD733" s="110"/>
      <c r="AE733" s="130">
        <v>0</v>
      </c>
      <c r="AF733" s="111">
        <v>0</v>
      </c>
      <c r="AG733" s="110"/>
      <c r="AH733" s="110"/>
      <c r="AI733" s="110"/>
      <c r="AJ733" s="110"/>
      <c r="AK733" s="111">
        <f t="shared" si="165"/>
        <v>147.36000000000001</v>
      </c>
      <c r="AL733" s="446">
        <f t="shared" si="166"/>
        <v>0</v>
      </c>
      <c r="AM733" s="110">
        <f t="shared" si="167"/>
        <v>2</v>
      </c>
      <c r="AN733" s="447">
        <f t="shared" si="164"/>
        <v>0</v>
      </c>
      <c r="AO733"/>
      <c r="AP733"/>
    </row>
    <row r="734" spans="1:42" ht="66" x14ac:dyDescent="0.25">
      <c r="A734" s="9"/>
      <c r="B734" s="497" t="s">
        <v>1849</v>
      </c>
      <c r="C734" s="1024"/>
      <c r="D734" s="883">
        <v>6</v>
      </c>
      <c r="E734" s="84" t="s">
        <v>1723</v>
      </c>
      <c r="F734" s="273" t="s">
        <v>3446</v>
      </c>
      <c r="G734" s="1040" t="s">
        <v>3463</v>
      </c>
      <c r="H734" s="273" t="s">
        <v>3462</v>
      </c>
      <c r="I734" s="21">
        <v>7.66</v>
      </c>
      <c r="J734" s="756">
        <v>45.96</v>
      </c>
      <c r="K734" s="131">
        <f t="shared" si="163"/>
        <v>45.96</v>
      </c>
      <c r="L734" s="335"/>
      <c r="M734" s="446"/>
      <c r="N734" s="446"/>
      <c r="O734" s="446"/>
      <c r="P734" s="446"/>
      <c r="Q734" s="130">
        <v>2</v>
      </c>
      <c r="R734" s="111">
        <f t="shared" si="159"/>
        <v>11.49</v>
      </c>
      <c r="S734" s="110"/>
      <c r="T734" s="110"/>
      <c r="U734" s="130">
        <v>2</v>
      </c>
      <c r="V734" s="111">
        <f t="shared" si="160"/>
        <v>11.49</v>
      </c>
      <c r="W734" s="110"/>
      <c r="X734" s="110"/>
      <c r="Y734" s="110"/>
      <c r="Z734" s="110"/>
      <c r="AA734" s="130">
        <v>1</v>
      </c>
      <c r="AB734" s="111">
        <f t="shared" si="161"/>
        <v>11.49</v>
      </c>
      <c r="AC734" s="110"/>
      <c r="AD734" s="110"/>
      <c r="AE734" s="130">
        <v>1</v>
      </c>
      <c r="AF734" s="111">
        <f t="shared" si="162"/>
        <v>11.49</v>
      </c>
      <c r="AG734" s="110"/>
      <c r="AH734" s="110"/>
      <c r="AI734" s="110"/>
      <c r="AJ734" s="110"/>
      <c r="AK734" s="111">
        <f t="shared" si="165"/>
        <v>45.96</v>
      </c>
      <c r="AL734" s="446">
        <f t="shared" si="166"/>
        <v>0</v>
      </c>
      <c r="AM734" s="110">
        <f t="shared" si="167"/>
        <v>6</v>
      </c>
      <c r="AN734" s="447">
        <f t="shared" si="164"/>
        <v>0</v>
      </c>
      <c r="AO734"/>
      <c r="AP734"/>
    </row>
    <row r="735" spans="1:42" ht="66" x14ac:dyDescent="0.25">
      <c r="A735" s="9"/>
      <c r="B735" s="497" t="s">
        <v>50</v>
      </c>
      <c r="C735" s="1024"/>
      <c r="D735" s="883">
        <v>4</v>
      </c>
      <c r="E735" s="84" t="s">
        <v>1722</v>
      </c>
      <c r="F735" s="273" t="s">
        <v>3446</v>
      </c>
      <c r="G735" s="1040" t="s">
        <v>3463</v>
      </c>
      <c r="H735" s="273" t="s">
        <v>3462</v>
      </c>
      <c r="I735" s="21">
        <v>21.95</v>
      </c>
      <c r="J735" s="756">
        <v>87.8</v>
      </c>
      <c r="K735" s="131">
        <f t="shared" si="163"/>
        <v>87.8</v>
      </c>
      <c r="L735" s="335"/>
      <c r="M735" s="446"/>
      <c r="N735" s="446"/>
      <c r="O735" s="446"/>
      <c r="P735" s="446"/>
      <c r="Q735" s="110">
        <f t="shared" si="156"/>
        <v>1</v>
      </c>
      <c r="R735" s="111">
        <f t="shared" si="159"/>
        <v>21.95</v>
      </c>
      <c r="S735" s="110"/>
      <c r="T735" s="110"/>
      <c r="U735" s="110">
        <f t="shared" si="157"/>
        <v>1</v>
      </c>
      <c r="V735" s="111">
        <f t="shared" si="160"/>
        <v>21.95</v>
      </c>
      <c r="W735" s="110"/>
      <c r="X735" s="110"/>
      <c r="Y735" s="110"/>
      <c r="Z735" s="110"/>
      <c r="AA735" s="110">
        <f t="shared" si="158"/>
        <v>1</v>
      </c>
      <c r="AB735" s="111">
        <f t="shared" si="161"/>
        <v>21.95</v>
      </c>
      <c r="AC735" s="110"/>
      <c r="AD735" s="110"/>
      <c r="AE735" s="110">
        <f t="shared" si="158"/>
        <v>1</v>
      </c>
      <c r="AF735" s="111">
        <f t="shared" si="162"/>
        <v>21.95</v>
      </c>
      <c r="AG735" s="110"/>
      <c r="AH735" s="110"/>
      <c r="AI735" s="110"/>
      <c r="AJ735" s="110"/>
      <c r="AK735" s="111">
        <f t="shared" si="165"/>
        <v>87.8</v>
      </c>
      <c r="AL735" s="446">
        <f t="shared" si="166"/>
        <v>0</v>
      </c>
      <c r="AM735" s="110">
        <f t="shared" si="167"/>
        <v>4</v>
      </c>
      <c r="AN735" s="447">
        <f t="shared" si="164"/>
        <v>0</v>
      </c>
      <c r="AO735"/>
      <c r="AP735"/>
    </row>
    <row r="736" spans="1:42" ht="66" x14ac:dyDescent="0.25">
      <c r="A736" s="9"/>
      <c r="B736" s="497" t="s">
        <v>3373</v>
      </c>
      <c r="C736" s="1024"/>
      <c r="D736" s="883">
        <v>4</v>
      </c>
      <c r="E736" s="84" t="s">
        <v>1723</v>
      </c>
      <c r="F736" s="273" t="s">
        <v>3446</v>
      </c>
      <c r="G736" s="1040" t="s">
        <v>3463</v>
      </c>
      <c r="H736" s="273" t="s">
        <v>3462</v>
      </c>
      <c r="I736" s="21">
        <v>26.14</v>
      </c>
      <c r="J736" s="756">
        <v>104.56</v>
      </c>
      <c r="K736" s="131">
        <f t="shared" si="163"/>
        <v>104.56</v>
      </c>
      <c r="L736" s="335"/>
      <c r="M736" s="446"/>
      <c r="N736" s="446"/>
      <c r="O736" s="446"/>
      <c r="P736" s="446"/>
      <c r="Q736" s="110">
        <f t="shared" si="156"/>
        <v>1</v>
      </c>
      <c r="R736" s="111">
        <f t="shared" si="159"/>
        <v>26.14</v>
      </c>
      <c r="S736" s="110"/>
      <c r="T736" s="110"/>
      <c r="U736" s="110">
        <f t="shared" si="157"/>
        <v>1</v>
      </c>
      <c r="V736" s="111">
        <f t="shared" si="160"/>
        <v>26.14</v>
      </c>
      <c r="W736" s="110"/>
      <c r="X736" s="110"/>
      <c r="Y736" s="110"/>
      <c r="Z736" s="110"/>
      <c r="AA736" s="110">
        <f t="shared" si="158"/>
        <v>1</v>
      </c>
      <c r="AB736" s="111">
        <f t="shared" si="161"/>
        <v>26.14</v>
      </c>
      <c r="AC736" s="110"/>
      <c r="AD736" s="110"/>
      <c r="AE736" s="110">
        <f t="shared" si="158"/>
        <v>1</v>
      </c>
      <c r="AF736" s="111">
        <f t="shared" si="162"/>
        <v>26.14</v>
      </c>
      <c r="AG736" s="110"/>
      <c r="AH736" s="110"/>
      <c r="AI736" s="110"/>
      <c r="AJ736" s="110"/>
      <c r="AK736" s="111">
        <f t="shared" si="165"/>
        <v>104.56</v>
      </c>
      <c r="AL736" s="446">
        <f t="shared" si="166"/>
        <v>0</v>
      </c>
      <c r="AM736" s="110">
        <f t="shared" si="167"/>
        <v>4</v>
      </c>
      <c r="AN736" s="447">
        <f t="shared" si="164"/>
        <v>0</v>
      </c>
      <c r="AO736"/>
      <c r="AP736"/>
    </row>
    <row r="737" spans="1:40" s="108" customFormat="1" ht="66" x14ac:dyDescent="0.25">
      <c r="A737" s="9"/>
      <c r="B737" s="34" t="s">
        <v>3394</v>
      </c>
      <c r="C737" s="1024"/>
      <c r="D737" s="883">
        <v>2</v>
      </c>
      <c r="E737" s="1024" t="s">
        <v>1725</v>
      </c>
      <c r="F737" s="278" t="s">
        <v>3446</v>
      </c>
      <c r="G737" s="1040" t="s">
        <v>3463</v>
      </c>
      <c r="H737" s="273" t="s">
        <v>3462</v>
      </c>
      <c r="I737" s="27">
        <v>122.36</v>
      </c>
      <c r="J737" s="756">
        <v>244.72</v>
      </c>
      <c r="K737" s="131">
        <f t="shared" si="163"/>
        <v>244.72</v>
      </c>
      <c r="L737" s="335"/>
      <c r="M737" s="335"/>
      <c r="N737" s="335"/>
      <c r="O737" s="335"/>
      <c r="P737" s="335"/>
      <c r="Q737" s="130">
        <v>1</v>
      </c>
      <c r="R737" s="131">
        <v>122.36</v>
      </c>
      <c r="S737" s="130"/>
      <c r="T737" s="130"/>
      <c r="U737" s="130">
        <v>1</v>
      </c>
      <c r="V737" s="131">
        <v>122.36</v>
      </c>
      <c r="W737" s="130"/>
      <c r="X737" s="130"/>
      <c r="Y737" s="130"/>
      <c r="Z737" s="130"/>
      <c r="AA737" s="130">
        <v>0</v>
      </c>
      <c r="AB737" s="131">
        <v>0</v>
      </c>
      <c r="AC737" s="130"/>
      <c r="AD737" s="130"/>
      <c r="AE737" s="130">
        <v>0</v>
      </c>
      <c r="AF737" s="131">
        <v>0</v>
      </c>
      <c r="AG737" s="130"/>
      <c r="AH737" s="130"/>
      <c r="AI737" s="130"/>
      <c r="AJ737" s="130"/>
      <c r="AK737" s="131">
        <f t="shared" si="165"/>
        <v>244.72</v>
      </c>
      <c r="AL737" s="335">
        <f t="shared" si="166"/>
        <v>0</v>
      </c>
      <c r="AM737" s="130">
        <f t="shared" si="167"/>
        <v>2</v>
      </c>
      <c r="AN737" s="336"/>
    </row>
    <row r="738" spans="1:40" s="108" customFormat="1" ht="66" x14ac:dyDescent="0.25">
      <c r="A738" s="9"/>
      <c r="B738" s="34" t="s">
        <v>3395</v>
      </c>
      <c r="C738" s="1024"/>
      <c r="D738" s="883">
        <v>2</v>
      </c>
      <c r="E738" s="1024" t="s">
        <v>1725</v>
      </c>
      <c r="F738" s="278" t="s">
        <v>3446</v>
      </c>
      <c r="G738" s="1040" t="s">
        <v>3463</v>
      </c>
      <c r="H738" s="273" t="s">
        <v>3462</v>
      </c>
      <c r="I738" s="27">
        <v>122.36</v>
      </c>
      <c r="J738" s="756">
        <v>244.72</v>
      </c>
      <c r="K738" s="131">
        <f t="shared" si="163"/>
        <v>244.72</v>
      </c>
      <c r="L738" s="335"/>
      <c r="M738" s="335"/>
      <c r="N738" s="335"/>
      <c r="O738" s="335"/>
      <c r="P738" s="335"/>
      <c r="Q738" s="130">
        <v>1</v>
      </c>
      <c r="R738" s="131">
        <v>122.36</v>
      </c>
      <c r="S738" s="130"/>
      <c r="T738" s="130"/>
      <c r="U738" s="130">
        <v>1</v>
      </c>
      <c r="V738" s="131">
        <v>122.36</v>
      </c>
      <c r="W738" s="130"/>
      <c r="X738" s="130"/>
      <c r="Y738" s="130"/>
      <c r="Z738" s="130"/>
      <c r="AA738" s="130">
        <v>0</v>
      </c>
      <c r="AB738" s="131">
        <v>0</v>
      </c>
      <c r="AC738" s="130"/>
      <c r="AD738" s="130"/>
      <c r="AE738" s="130">
        <v>0</v>
      </c>
      <c r="AF738" s="131">
        <v>0</v>
      </c>
      <c r="AG738" s="130"/>
      <c r="AH738" s="130"/>
      <c r="AI738" s="130"/>
      <c r="AJ738" s="130"/>
      <c r="AK738" s="131">
        <f t="shared" si="165"/>
        <v>244.72</v>
      </c>
      <c r="AL738" s="335">
        <f t="shared" si="166"/>
        <v>0</v>
      </c>
      <c r="AM738" s="130">
        <f t="shared" si="167"/>
        <v>2</v>
      </c>
      <c r="AN738" s="336"/>
    </row>
    <row r="739" spans="1:40" s="108" customFormat="1" ht="66" x14ac:dyDescent="0.25">
      <c r="A739" s="9"/>
      <c r="B739" s="43" t="s">
        <v>3396</v>
      </c>
      <c r="C739" s="1024"/>
      <c r="D739" s="883">
        <v>3</v>
      </c>
      <c r="E739" s="1024" t="s">
        <v>1749</v>
      </c>
      <c r="F739" s="278" t="s">
        <v>3446</v>
      </c>
      <c r="G739" s="1040" t="s">
        <v>3463</v>
      </c>
      <c r="H739" s="273" t="s">
        <v>3462</v>
      </c>
      <c r="I739" s="27">
        <v>16.63</v>
      </c>
      <c r="J739" s="756">
        <v>49.89</v>
      </c>
      <c r="K739" s="131">
        <f t="shared" si="163"/>
        <v>49.89</v>
      </c>
      <c r="L739" s="335"/>
      <c r="M739" s="335"/>
      <c r="N739" s="335"/>
      <c r="O739" s="335"/>
      <c r="P739" s="335"/>
      <c r="Q739" s="130">
        <v>1</v>
      </c>
      <c r="R739" s="131">
        <v>16.63</v>
      </c>
      <c r="S739" s="130"/>
      <c r="T739" s="130"/>
      <c r="U739" s="130">
        <v>1</v>
      </c>
      <c r="V739" s="131">
        <v>16.63</v>
      </c>
      <c r="W739" s="130"/>
      <c r="X739" s="130"/>
      <c r="Y739" s="130"/>
      <c r="Z739" s="130"/>
      <c r="AA739" s="130">
        <v>1</v>
      </c>
      <c r="AB739" s="131">
        <v>16.63</v>
      </c>
      <c r="AC739" s="130"/>
      <c r="AD739" s="130"/>
      <c r="AE739" s="130">
        <v>0</v>
      </c>
      <c r="AF739" s="131">
        <v>0</v>
      </c>
      <c r="AG739" s="130"/>
      <c r="AH739" s="130"/>
      <c r="AI739" s="130"/>
      <c r="AJ739" s="130"/>
      <c r="AK739" s="131">
        <f t="shared" si="165"/>
        <v>49.89</v>
      </c>
      <c r="AL739" s="335">
        <f t="shared" si="166"/>
        <v>0</v>
      </c>
      <c r="AM739" s="130">
        <f t="shared" si="167"/>
        <v>3</v>
      </c>
      <c r="AN739" s="336"/>
    </row>
    <row r="740" spans="1:40" s="108" customFormat="1" ht="66" x14ac:dyDescent="0.25">
      <c r="A740" s="9"/>
      <c r="B740" s="43" t="s">
        <v>3397</v>
      </c>
      <c r="C740" s="1024"/>
      <c r="D740" s="883">
        <v>3</v>
      </c>
      <c r="E740" s="1024" t="s">
        <v>1749</v>
      </c>
      <c r="F740" s="278" t="s">
        <v>3446</v>
      </c>
      <c r="G740" s="1040" t="s">
        <v>3463</v>
      </c>
      <c r="H740" s="273" t="s">
        <v>3462</v>
      </c>
      <c r="I740" s="27">
        <v>40</v>
      </c>
      <c r="J740" s="756">
        <v>120</v>
      </c>
      <c r="K740" s="131">
        <f t="shared" si="163"/>
        <v>120</v>
      </c>
      <c r="L740" s="335"/>
      <c r="M740" s="335"/>
      <c r="N740" s="335"/>
      <c r="O740" s="335"/>
      <c r="P740" s="335"/>
      <c r="Q740" s="130"/>
      <c r="R740" s="131"/>
      <c r="S740" s="130"/>
      <c r="T740" s="130"/>
      <c r="U740" s="130">
        <v>1</v>
      </c>
      <c r="V740" s="131">
        <v>40</v>
      </c>
      <c r="W740" s="130"/>
      <c r="X740" s="130"/>
      <c r="Y740" s="130"/>
      <c r="Z740" s="130"/>
      <c r="AA740" s="130">
        <v>1</v>
      </c>
      <c r="AB740" s="131">
        <v>40</v>
      </c>
      <c r="AC740" s="130"/>
      <c r="AD740" s="130"/>
      <c r="AE740" s="130">
        <v>1</v>
      </c>
      <c r="AF740" s="131">
        <v>40</v>
      </c>
      <c r="AG740" s="130"/>
      <c r="AH740" s="130"/>
      <c r="AI740" s="130"/>
      <c r="AJ740" s="130"/>
      <c r="AK740" s="131">
        <f t="shared" si="165"/>
        <v>120</v>
      </c>
      <c r="AL740" s="335">
        <f t="shared" si="166"/>
        <v>0</v>
      </c>
      <c r="AM740" s="130">
        <f t="shared" si="167"/>
        <v>3</v>
      </c>
      <c r="AN740" s="336"/>
    </row>
    <row r="741" spans="1:40" s="108" customFormat="1" ht="66" x14ac:dyDescent="0.25">
      <c r="A741" s="9"/>
      <c r="B741" s="34" t="s">
        <v>3398</v>
      </c>
      <c r="C741" s="1024"/>
      <c r="D741" s="883">
        <v>6</v>
      </c>
      <c r="E741" s="1024" t="s">
        <v>1749</v>
      </c>
      <c r="F741" s="278" t="s">
        <v>3446</v>
      </c>
      <c r="G741" s="1040" t="s">
        <v>3463</v>
      </c>
      <c r="H741" s="273" t="s">
        <v>3462</v>
      </c>
      <c r="I741" s="27">
        <v>26.3</v>
      </c>
      <c r="J741" s="756">
        <v>157.80000000000001</v>
      </c>
      <c r="K741" s="131">
        <f t="shared" si="163"/>
        <v>157.80000000000001</v>
      </c>
      <c r="L741" s="335"/>
      <c r="M741" s="335"/>
      <c r="N741" s="335"/>
      <c r="O741" s="335"/>
      <c r="P741" s="335"/>
      <c r="Q741" s="130">
        <v>2</v>
      </c>
      <c r="R741" s="131">
        <f t="shared" si="159"/>
        <v>39.450000000000003</v>
      </c>
      <c r="S741" s="130"/>
      <c r="T741" s="130"/>
      <c r="U741" s="130">
        <v>2</v>
      </c>
      <c r="V741" s="131">
        <f t="shared" si="160"/>
        <v>39.450000000000003</v>
      </c>
      <c r="W741" s="130"/>
      <c r="X741" s="130"/>
      <c r="Y741" s="130"/>
      <c r="Z741" s="130"/>
      <c r="AA741" s="130">
        <v>1</v>
      </c>
      <c r="AB741" s="131">
        <f t="shared" si="161"/>
        <v>39.450000000000003</v>
      </c>
      <c r="AC741" s="130"/>
      <c r="AD741" s="130"/>
      <c r="AE741" s="130">
        <v>1</v>
      </c>
      <c r="AF741" s="131">
        <f t="shared" si="162"/>
        <v>39.450000000000003</v>
      </c>
      <c r="AG741" s="130"/>
      <c r="AH741" s="130"/>
      <c r="AI741" s="130"/>
      <c r="AJ741" s="130"/>
      <c r="AK741" s="131">
        <f t="shared" si="165"/>
        <v>157.80000000000001</v>
      </c>
      <c r="AL741" s="335">
        <f t="shared" si="166"/>
        <v>0</v>
      </c>
      <c r="AM741" s="130">
        <f t="shared" si="167"/>
        <v>6</v>
      </c>
      <c r="AN741" s="336"/>
    </row>
    <row r="742" spans="1:40" s="108" customFormat="1" ht="66" x14ac:dyDescent="0.25">
      <c r="A742" s="9"/>
      <c r="B742" s="34" t="s">
        <v>3399</v>
      </c>
      <c r="C742" s="1024"/>
      <c r="D742" s="883">
        <v>9</v>
      </c>
      <c r="E742" s="1024" t="s">
        <v>1749</v>
      </c>
      <c r="F742" s="278" t="s">
        <v>3446</v>
      </c>
      <c r="G742" s="1040" t="s">
        <v>3463</v>
      </c>
      <c r="H742" s="273" t="s">
        <v>3462</v>
      </c>
      <c r="I742" s="27">
        <v>17.399999999999999</v>
      </c>
      <c r="J742" s="756">
        <v>156.6</v>
      </c>
      <c r="K742" s="131">
        <f t="shared" si="163"/>
        <v>156.6</v>
      </c>
      <c r="L742" s="335"/>
      <c r="M742" s="335"/>
      <c r="N742" s="335"/>
      <c r="O742" s="335"/>
      <c r="P742" s="335"/>
      <c r="Q742" s="110">
        <v>3</v>
      </c>
      <c r="R742" s="131">
        <f t="shared" si="159"/>
        <v>39.15</v>
      </c>
      <c r="S742" s="130"/>
      <c r="T742" s="130"/>
      <c r="U742" s="110">
        <v>2</v>
      </c>
      <c r="V742" s="131">
        <f t="shared" si="160"/>
        <v>39.15</v>
      </c>
      <c r="W742" s="130"/>
      <c r="X742" s="130"/>
      <c r="Y742" s="130"/>
      <c r="Z742" s="130"/>
      <c r="AA742" s="110">
        <v>2</v>
      </c>
      <c r="AB742" s="131">
        <f t="shared" si="161"/>
        <v>39.15</v>
      </c>
      <c r="AC742" s="130"/>
      <c r="AD742" s="130"/>
      <c r="AE742" s="110">
        <v>2</v>
      </c>
      <c r="AF742" s="131">
        <f t="shared" si="162"/>
        <v>39.15</v>
      </c>
      <c r="AG742" s="130"/>
      <c r="AH742" s="130"/>
      <c r="AI742" s="130"/>
      <c r="AJ742" s="130"/>
      <c r="AK742" s="131">
        <f t="shared" si="165"/>
        <v>156.6</v>
      </c>
      <c r="AL742" s="335">
        <f t="shared" si="166"/>
        <v>0</v>
      </c>
      <c r="AM742" s="130">
        <f t="shared" si="167"/>
        <v>9</v>
      </c>
      <c r="AN742" s="336"/>
    </row>
    <row r="743" spans="1:40" s="108" customFormat="1" ht="66" x14ac:dyDescent="0.25">
      <c r="A743" s="9"/>
      <c r="B743" s="34" t="s">
        <v>3400</v>
      </c>
      <c r="C743" s="1024"/>
      <c r="D743" s="883">
        <v>1</v>
      </c>
      <c r="E743" s="1024" t="s">
        <v>1725</v>
      </c>
      <c r="F743" s="278" t="s">
        <v>3446</v>
      </c>
      <c r="G743" s="1040" t="s">
        <v>3463</v>
      </c>
      <c r="H743" s="273" t="s">
        <v>3462</v>
      </c>
      <c r="I743" s="27">
        <v>156</v>
      </c>
      <c r="J743" s="756">
        <v>156</v>
      </c>
      <c r="K743" s="131">
        <f t="shared" si="163"/>
        <v>156</v>
      </c>
      <c r="L743" s="335"/>
      <c r="M743" s="335"/>
      <c r="N743" s="335"/>
      <c r="O743" s="335"/>
      <c r="P743" s="335"/>
      <c r="Q743" s="130">
        <v>1</v>
      </c>
      <c r="R743" s="131">
        <v>156</v>
      </c>
      <c r="S743" s="130"/>
      <c r="T743" s="130"/>
      <c r="U743" s="110">
        <v>0</v>
      </c>
      <c r="V743" s="131">
        <v>0</v>
      </c>
      <c r="W743" s="130"/>
      <c r="X743" s="130"/>
      <c r="Y743" s="130"/>
      <c r="Z743" s="130"/>
      <c r="AA743" s="110">
        <v>0</v>
      </c>
      <c r="AB743" s="131">
        <v>0</v>
      </c>
      <c r="AC743" s="130"/>
      <c r="AD743" s="130"/>
      <c r="AE743" s="110">
        <v>0</v>
      </c>
      <c r="AF743" s="131">
        <v>0</v>
      </c>
      <c r="AG743" s="130"/>
      <c r="AH743" s="130"/>
      <c r="AI743" s="130"/>
      <c r="AJ743" s="130"/>
      <c r="AK743" s="131">
        <f t="shared" si="165"/>
        <v>156</v>
      </c>
      <c r="AL743" s="335">
        <f t="shared" si="166"/>
        <v>0</v>
      </c>
      <c r="AM743" s="130">
        <f t="shared" si="167"/>
        <v>1</v>
      </c>
      <c r="AN743" s="336"/>
    </row>
    <row r="744" spans="1:40" s="108" customFormat="1" ht="66" x14ac:dyDescent="0.25">
      <c r="A744" s="9"/>
      <c r="B744" s="34" t="s">
        <v>3401</v>
      </c>
      <c r="C744" s="1024"/>
      <c r="D744" s="883">
        <v>3</v>
      </c>
      <c r="E744" s="1024" t="s">
        <v>1748</v>
      </c>
      <c r="F744" s="278" t="s">
        <v>3446</v>
      </c>
      <c r="G744" s="1040" t="s">
        <v>3463</v>
      </c>
      <c r="H744" s="273" t="s">
        <v>3462</v>
      </c>
      <c r="I744" s="27">
        <v>89.9</v>
      </c>
      <c r="J744" s="756">
        <v>269.70000000000005</v>
      </c>
      <c r="K744" s="131">
        <f t="shared" si="163"/>
        <v>269.70000000000005</v>
      </c>
      <c r="L744" s="335"/>
      <c r="M744" s="335"/>
      <c r="N744" s="335"/>
      <c r="O744" s="335"/>
      <c r="P744" s="335"/>
      <c r="Q744" s="130">
        <v>1</v>
      </c>
      <c r="R744" s="131">
        <v>89.9</v>
      </c>
      <c r="S744" s="130"/>
      <c r="T744" s="130"/>
      <c r="U744" s="130">
        <v>1</v>
      </c>
      <c r="V744" s="131">
        <v>89.9</v>
      </c>
      <c r="W744" s="130"/>
      <c r="X744" s="130"/>
      <c r="Y744" s="130"/>
      <c r="Z744" s="130"/>
      <c r="AA744" s="130">
        <v>1</v>
      </c>
      <c r="AB744" s="131">
        <v>89.9</v>
      </c>
      <c r="AC744" s="130"/>
      <c r="AD744" s="130"/>
      <c r="AE744" s="130">
        <v>0</v>
      </c>
      <c r="AF744" s="131">
        <v>0</v>
      </c>
      <c r="AG744" s="130"/>
      <c r="AH744" s="130"/>
      <c r="AI744" s="130"/>
      <c r="AJ744" s="130"/>
      <c r="AK744" s="131">
        <f t="shared" si="165"/>
        <v>269.70000000000005</v>
      </c>
      <c r="AL744" s="335">
        <f t="shared" si="166"/>
        <v>0</v>
      </c>
      <c r="AM744" s="130">
        <f t="shared" si="167"/>
        <v>3</v>
      </c>
      <c r="AN744" s="336"/>
    </row>
    <row r="745" spans="1:40" s="108" customFormat="1" ht="66" x14ac:dyDescent="0.25">
      <c r="A745" s="9"/>
      <c r="B745" s="34" t="s">
        <v>3402</v>
      </c>
      <c r="C745" s="1024"/>
      <c r="D745" s="883">
        <v>1</v>
      </c>
      <c r="E745" s="1024" t="s">
        <v>1725</v>
      </c>
      <c r="F745" s="278" t="s">
        <v>3446</v>
      </c>
      <c r="G745" s="1040" t="s">
        <v>3463</v>
      </c>
      <c r="H745" s="273" t="s">
        <v>3462</v>
      </c>
      <c r="I745" s="27">
        <v>240</v>
      </c>
      <c r="J745" s="756">
        <v>240</v>
      </c>
      <c r="K745" s="131">
        <f t="shared" si="163"/>
        <v>240</v>
      </c>
      <c r="L745" s="335"/>
      <c r="M745" s="335"/>
      <c r="N745" s="335"/>
      <c r="O745" s="335"/>
      <c r="P745" s="335"/>
      <c r="Q745" s="130">
        <v>1</v>
      </c>
      <c r="R745" s="131">
        <v>240</v>
      </c>
      <c r="S745" s="130"/>
      <c r="T745" s="130"/>
      <c r="U745" s="110">
        <v>0</v>
      </c>
      <c r="V745" s="131">
        <v>0</v>
      </c>
      <c r="W745" s="130"/>
      <c r="X745" s="130"/>
      <c r="Y745" s="130"/>
      <c r="Z745" s="130"/>
      <c r="AA745" s="110">
        <v>0</v>
      </c>
      <c r="AB745" s="131">
        <v>0</v>
      </c>
      <c r="AC745" s="130"/>
      <c r="AD745" s="130"/>
      <c r="AE745" s="110">
        <v>0</v>
      </c>
      <c r="AF745" s="131">
        <v>0</v>
      </c>
      <c r="AG745" s="130"/>
      <c r="AH745" s="130"/>
      <c r="AI745" s="130"/>
      <c r="AJ745" s="130"/>
      <c r="AK745" s="131">
        <f t="shared" si="165"/>
        <v>240</v>
      </c>
      <c r="AL745" s="335">
        <f t="shared" si="166"/>
        <v>0</v>
      </c>
      <c r="AM745" s="130">
        <f t="shared" si="167"/>
        <v>1</v>
      </c>
      <c r="AN745" s="336"/>
    </row>
    <row r="746" spans="1:40" s="108" customFormat="1" ht="66" x14ac:dyDescent="0.25">
      <c r="A746" s="9"/>
      <c r="B746" s="34" t="s">
        <v>3403</v>
      </c>
      <c r="C746" s="1024"/>
      <c r="D746" s="883">
        <v>2</v>
      </c>
      <c r="E746" s="1024" t="s">
        <v>1749</v>
      </c>
      <c r="F746" s="278" t="s">
        <v>3446</v>
      </c>
      <c r="G746" s="1040" t="s">
        <v>3463</v>
      </c>
      <c r="H746" s="273" t="s">
        <v>3462</v>
      </c>
      <c r="I746" s="27">
        <v>40</v>
      </c>
      <c r="J746" s="756">
        <v>80</v>
      </c>
      <c r="K746" s="131">
        <f t="shared" si="163"/>
        <v>80</v>
      </c>
      <c r="L746" s="335"/>
      <c r="M746" s="335"/>
      <c r="N746" s="335"/>
      <c r="O746" s="335"/>
      <c r="P746" s="335"/>
      <c r="Q746" s="130">
        <v>1</v>
      </c>
      <c r="R746" s="131">
        <v>40</v>
      </c>
      <c r="S746" s="130"/>
      <c r="T746" s="130"/>
      <c r="U746" s="130">
        <v>0</v>
      </c>
      <c r="V746" s="131">
        <v>0</v>
      </c>
      <c r="W746" s="130"/>
      <c r="X746" s="130"/>
      <c r="Y746" s="130"/>
      <c r="Z746" s="130"/>
      <c r="AA746" s="130">
        <v>0</v>
      </c>
      <c r="AB746" s="131">
        <v>40</v>
      </c>
      <c r="AC746" s="130"/>
      <c r="AD746" s="130"/>
      <c r="AE746" s="130">
        <v>0</v>
      </c>
      <c r="AF746" s="131">
        <v>0</v>
      </c>
      <c r="AG746" s="130"/>
      <c r="AH746" s="130"/>
      <c r="AI746" s="130"/>
      <c r="AJ746" s="130"/>
      <c r="AK746" s="131">
        <f t="shared" si="165"/>
        <v>80</v>
      </c>
      <c r="AL746" s="335">
        <f t="shared" si="166"/>
        <v>0</v>
      </c>
      <c r="AM746" s="130">
        <f t="shared" si="167"/>
        <v>1</v>
      </c>
      <c r="AN746" s="336"/>
    </row>
    <row r="747" spans="1:40" s="108" customFormat="1" ht="66" x14ac:dyDescent="0.25">
      <c r="A747" s="9"/>
      <c r="B747" s="34" t="s">
        <v>3404</v>
      </c>
      <c r="C747" s="1024"/>
      <c r="D747" s="883">
        <v>3</v>
      </c>
      <c r="E747" s="1024" t="s">
        <v>1725</v>
      </c>
      <c r="F747" s="278" t="s">
        <v>3446</v>
      </c>
      <c r="G747" s="1040" t="s">
        <v>3463</v>
      </c>
      <c r="H747" s="273" t="s">
        <v>3462</v>
      </c>
      <c r="I747" s="27">
        <v>39</v>
      </c>
      <c r="J747" s="756">
        <v>117</v>
      </c>
      <c r="K747" s="131">
        <f t="shared" si="163"/>
        <v>117</v>
      </c>
      <c r="L747" s="335"/>
      <c r="M747" s="335"/>
      <c r="N747" s="335"/>
      <c r="O747" s="335"/>
      <c r="P747" s="335"/>
      <c r="Q747" s="130">
        <v>1</v>
      </c>
      <c r="R747" s="131">
        <v>39</v>
      </c>
      <c r="S747" s="130"/>
      <c r="T747" s="130"/>
      <c r="U747" s="130">
        <v>1</v>
      </c>
      <c r="V747" s="131">
        <v>39</v>
      </c>
      <c r="W747" s="130"/>
      <c r="X747" s="130"/>
      <c r="Y747" s="130"/>
      <c r="Z747" s="130"/>
      <c r="AA747" s="130">
        <v>1</v>
      </c>
      <c r="AB747" s="131">
        <v>39</v>
      </c>
      <c r="AC747" s="130"/>
      <c r="AD747" s="130"/>
      <c r="AE747" s="130">
        <v>0</v>
      </c>
      <c r="AF747" s="131">
        <v>0</v>
      </c>
      <c r="AG747" s="130"/>
      <c r="AH747" s="130"/>
      <c r="AI747" s="130"/>
      <c r="AJ747" s="130"/>
      <c r="AK747" s="131">
        <f t="shared" si="165"/>
        <v>117</v>
      </c>
      <c r="AL747" s="335">
        <f t="shared" si="166"/>
        <v>0</v>
      </c>
      <c r="AM747" s="130">
        <f t="shared" si="167"/>
        <v>3</v>
      </c>
      <c r="AN747" s="336"/>
    </row>
    <row r="748" spans="1:40" s="108" customFormat="1" ht="66" x14ac:dyDescent="0.25">
      <c r="A748" s="9"/>
      <c r="B748" s="34" t="s">
        <v>3405</v>
      </c>
      <c r="C748" s="1024"/>
      <c r="D748" s="883">
        <v>5</v>
      </c>
      <c r="E748" s="1024" t="s">
        <v>1748</v>
      </c>
      <c r="F748" s="278" t="s">
        <v>3446</v>
      </c>
      <c r="G748" s="1040" t="s">
        <v>3463</v>
      </c>
      <c r="H748" s="273" t="s">
        <v>3462</v>
      </c>
      <c r="I748" s="27">
        <v>60.9</v>
      </c>
      <c r="J748" s="756">
        <v>304.5</v>
      </c>
      <c r="K748" s="131">
        <f t="shared" si="163"/>
        <v>304.5</v>
      </c>
      <c r="L748" s="335"/>
      <c r="M748" s="335"/>
      <c r="N748" s="335"/>
      <c r="O748" s="335"/>
      <c r="P748" s="335"/>
      <c r="Q748" s="110">
        <v>2</v>
      </c>
      <c r="R748" s="131">
        <f t="shared" si="159"/>
        <v>76.125</v>
      </c>
      <c r="S748" s="130"/>
      <c r="T748" s="130"/>
      <c r="U748" s="110">
        <v>1</v>
      </c>
      <c r="V748" s="131">
        <f t="shared" si="160"/>
        <v>76.125</v>
      </c>
      <c r="W748" s="130"/>
      <c r="X748" s="130"/>
      <c r="Y748" s="130"/>
      <c r="Z748" s="130"/>
      <c r="AA748" s="110">
        <v>1</v>
      </c>
      <c r="AB748" s="131">
        <f t="shared" si="161"/>
        <v>76.125</v>
      </c>
      <c r="AC748" s="130"/>
      <c r="AD748" s="130"/>
      <c r="AE748" s="110">
        <v>1</v>
      </c>
      <c r="AF748" s="131">
        <f t="shared" si="162"/>
        <v>76.125</v>
      </c>
      <c r="AG748" s="130"/>
      <c r="AH748" s="130"/>
      <c r="AI748" s="130"/>
      <c r="AJ748" s="130"/>
      <c r="AK748" s="131">
        <f t="shared" si="165"/>
        <v>304.5</v>
      </c>
      <c r="AL748" s="335">
        <f t="shared" si="166"/>
        <v>0</v>
      </c>
      <c r="AM748" s="130">
        <f t="shared" si="167"/>
        <v>5</v>
      </c>
      <c r="AN748" s="336"/>
    </row>
    <row r="749" spans="1:40" s="108" customFormat="1" ht="66" x14ac:dyDescent="0.25">
      <c r="A749" s="9"/>
      <c r="B749" s="34" t="s">
        <v>3406</v>
      </c>
      <c r="C749" s="1024"/>
      <c r="D749" s="883">
        <v>4</v>
      </c>
      <c r="E749" s="1024" t="s">
        <v>1725</v>
      </c>
      <c r="F749" s="278" t="s">
        <v>3446</v>
      </c>
      <c r="G749" s="1040" t="s">
        <v>3463</v>
      </c>
      <c r="H749" s="273" t="s">
        <v>3462</v>
      </c>
      <c r="I749" s="27">
        <v>55.2</v>
      </c>
      <c r="J749" s="756">
        <v>220.8</v>
      </c>
      <c r="K749" s="131">
        <f t="shared" si="163"/>
        <v>220.8</v>
      </c>
      <c r="L749" s="335"/>
      <c r="M749" s="335"/>
      <c r="N749" s="335"/>
      <c r="O749" s="335"/>
      <c r="P749" s="335"/>
      <c r="Q749" s="130">
        <f t="shared" si="156"/>
        <v>1</v>
      </c>
      <c r="R749" s="131">
        <f t="shared" si="159"/>
        <v>55.2</v>
      </c>
      <c r="S749" s="130"/>
      <c r="T749" s="130"/>
      <c r="U749" s="130">
        <f t="shared" si="157"/>
        <v>1</v>
      </c>
      <c r="V749" s="131">
        <f t="shared" si="160"/>
        <v>55.2</v>
      </c>
      <c r="W749" s="130"/>
      <c r="X749" s="130"/>
      <c r="Y749" s="130"/>
      <c r="Z749" s="130"/>
      <c r="AA749" s="130">
        <f t="shared" si="158"/>
        <v>1</v>
      </c>
      <c r="AB749" s="131">
        <f t="shared" si="161"/>
        <v>55.2</v>
      </c>
      <c r="AC749" s="130"/>
      <c r="AD749" s="130"/>
      <c r="AE749" s="130">
        <f t="shared" si="158"/>
        <v>1</v>
      </c>
      <c r="AF749" s="131">
        <f t="shared" si="162"/>
        <v>55.2</v>
      </c>
      <c r="AG749" s="130"/>
      <c r="AH749" s="130"/>
      <c r="AI749" s="130"/>
      <c r="AJ749" s="130"/>
      <c r="AK749" s="131">
        <f t="shared" si="165"/>
        <v>220.8</v>
      </c>
      <c r="AL749" s="335">
        <f t="shared" si="166"/>
        <v>0</v>
      </c>
      <c r="AM749" s="130">
        <f t="shared" si="167"/>
        <v>4</v>
      </c>
      <c r="AN749" s="336"/>
    </row>
    <row r="750" spans="1:40" s="108" customFormat="1" ht="66" x14ac:dyDescent="0.25">
      <c r="A750" s="9"/>
      <c r="B750" s="34" t="s">
        <v>3407</v>
      </c>
      <c r="C750" s="1024"/>
      <c r="D750" s="883">
        <v>3</v>
      </c>
      <c r="E750" s="1024" t="s">
        <v>1749</v>
      </c>
      <c r="F750" s="278" t="s">
        <v>3446</v>
      </c>
      <c r="G750" s="1040" t="s">
        <v>3463</v>
      </c>
      <c r="H750" s="273" t="s">
        <v>3462</v>
      </c>
      <c r="I750" s="27">
        <v>10</v>
      </c>
      <c r="J750" s="756">
        <v>30</v>
      </c>
      <c r="K750" s="131">
        <f t="shared" si="163"/>
        <v>30</v>
      </c>
      <c r="L750" s="335"/>
      <c r="M750" s="335"/>
      <c r="N750" s="335"/>
      <c r="O750" s="335"/>
      <c r="P750" s="335"/>
      <c r="Q750" s="130">
        <v>1</v>
      </c>
      <c r="R750" s="131">
        <v>10</v>
      </c>
      <c r="S750" s="130"/>
      <c r="T750" s="130"/>
      <c r="U750" s="130">
        <v>1</v>
      </c>
      <c r="V750" s="131">
        <v>10</v>
      </c>
      <c r="W750" s="130"/>
      <c r="X750" s="130"/>
      <c r="Y750" s="130"/>
      <c r="Z750" s="130"/>
      <c r="AA750" s="130">
        <v>1</v>
      </c>
      <c r="AB750" s="131">
        <v>10</v>
      </c>
      <c r="AC750" s="130"/>
      <c r="AD750" s="130"/>
      <c r="AE750" s="130">
        <v>0</v>
      </c>
      <c r="AF750" s="131">
        <v>0</v>
      </c>
      <c r="AG750" s="130"/>
      <c r="AH750" s="130"/>
      <c r="AI750" s="130"/>
      <c r="AJ750" s="130"/>
      <c r="AK750" s="131">
        <f t="shared" si="165"/>
        <v>30</v>
      </c>
      <c r="AL750" s="335">
        <f t="shared" si="166"/>
        <v>0</v>
      </c>
      <c r="AM750" s="130">
        <f t="shared" si="167"/>
        <v>3</v>
      </c>
      <c r="AN750" s="336"/>
    </row>
    <row r="751" spans="1:40" s="108" customFormat="1" ht="66" x14ac:dyDescent="0.25">
      <c r="A751" s="9"/>
      <c r="B751" s="34" t="s">
        <v>3408</v>
      </c>
      <c r="C751" s="1024"/>
      <c r="D751" s="883">
        <v>4</v>
      </c>
      <c r="E751" s="1024" t="s">
        <v>1748</v>
      </c>
      <c r="F751" s="278" t="s">
        <v>3446</v>
      </c>
      <c r="G751" s="1040" t="s">
        <v>3463</v>
      </c>
      <c r="H751" s="273" t="s">
        <v>3462</v>
      </c>
      <c r="I751" s="27">
        <v>9</v>
      </c>
      <c r="J751" s="756">
        <v>36</v>
      </c>
      <c r="K751" s="131">
        <f t="shared" si="163"/>
        <v>36</v>
      </c>
      <c r="L751" s="335"/>
      <c r="M751" s="335"/>
      <c r="N751" s="335"/>
      <c r="O751" s="335"/>
      <c r="P751" s="335"/>
      <c r="Q751" s="130">
        <f t="shared" si="156"/>
        <v>1</v>
      </c>
      <c r="R751" s="131">
        <f t="shared" si="159"/>
        <v>9</v>
      </c>
      <c r="S751" s="130"/>
      <c r="T751" s="130"/>
      <c r="U751" s="130">
        <f t="shared" si="157"/>
        <v>1</v>
      </c>
      <c r="V751" s="131">
        <f t="shared" si="160"/>
        <v>9</v>
      </c>
      <c r="W751" s="130"/>
      <c r="X751" s="130"/>
      <c r="Y751" s="130"/>
      <c r="Z751" s="130"/>
      <c r="AA751" s="130">
        <f t="shared" si="158"/>
        <v>1</v>
      </c>
      <c r="AB751" s="131">
        <f t="shared" si="161"/>
        <v>9</v>
      </c>
      <c r="AC751" s="130"/>
      <c r="AD751" s="130"/>
      <c r="AE751" s="130">
        <f t="shared" si="158"/>
        <v>1</v>
      </c>
      <c r="AF751" s="131">
        <f t="shared" si="162"/>
        <v>9</v>
      </c>
      <c r="AG751" s="130"/>
      <c r="AH751" s="130"/>
      <c r="AI751" s="130"/>
      <c r="AJ751" s="130"/>
      <c r="AK751" s="131">
        <f t="shared" si="165"/>
        <v>36</v>
      </c>
      <c r="AL751" s="335">
        <f t="shared" si="166"/>
        <v>0</v>
      </c>
      <c r="AM751" s="130">
        <f t="shared" si="167"/>
        <v>4</v>
      </c>
      <c r="AN751" s="336"/>
    </row>
    <row r="752" spans="1:40" s="108" customFormat="1" ht="66" x14ac:dyDescent="0.25">
      <c r="A752" s="9"/>
      <c r="B752" s="34" t="s">
        <v>3409</v>
      </c>
      <c r="C752" s="1024"/>
      <c r="D752" s="883">
        <v>2</v>
      </c>
      <c r="E752" s="1024" t="s">
        <v>1748</v>
      </c>
      <c r="F752" s="278" t="s">
        <v>3446</v>
      </c>
      <c r="G752" s="1040" t="s">
        <v>3463</v>
      </c>
      <c r="H752" s="273" t="s">
        <v>3462</v>
      </c>
      <c r="I752" s="27">
        <v>35</v>
      </c>
      <c r="J752" s="756">
        <v>70</v>
      </c>
      <c r="K752" s="131">
        <f t="shared" si="163"/>
        <v>70</v>
      </c>
      <c r="L752" s="335"/>
      <c r="M752" s="335"/>
      <c r="N752" s="335"/>
      <c r="O752" s="335"/>
      <c r="P752" s="335"/>
      <c r="Q752" s="130">
        <v>1</v>
      </c>
      <c r="R752" s="131">
        <v>35</v>
      </c>
      <c r="S752" s="130"/>
      <c r="T752" s="130"/>
      <c r="U752" s="130">
        <v>1</v>
      </c>
      <c r="V752" s="131">
        <v>35</v>
      </c>
      <c r="W752" s="130"/>
      <c r="X752" s="130"/>
      <c r="Y752" s="130"/>
      <c r="Z752" s="130"/>
      <c r="AA752" s="130">
        <v>0</v>
      </c>
      <c r="AB752" s="131">
        <v>0</v>
      </c>
      <c r="AC752" s="130"/>
      <c r="AD752" s="130"/>
      <c r="AE752" s="130">
        <v>0</v>
      </c>
      <c r="AF752" s="131">
        <v>0</v>
      </c>
      <c r="AG752" s="130"/>
      <c r="AH752" s="130"/>
      <c r="AI752" s="130"/>
      <c r="AJ752" s="130"/>
      <c r="AK752" s="131">
        <f t="shared" si="165"/>
        <v>70</v>
      </c>
      <c r="AL752" s="335">
        <f t="shared" si="166"/>
        <v>0</v>
      </c>
      <c r="AM752" s="130">
        <f t="shared" si="167"/>
        <v>2</v>
      </c>
      <c r="AN752" s="336"/>
    </row>
    <row r="753" spans="1:42" s="108" customFormat="1" ht="66" x14ac:dyDescent="0.25">
      <c r="A753" s="9"/>
      <c r="B753" s="34" t="s">
        <v>3410</v>
      </c>
      <c r="C753" s="1024"/>
      <c r="D753" s="883">
        <v>2</v>
      </c>
      <c r="E753" s="1024" t="s">
        <v>1748</v>
      </c>
      <c r="F753" s="278" t="s">
        <v>3446</v>
      </c>
      <c r="G753" s="1040" t="s">
        <v>3463</v>
      </c>
      <c r="H753" s="273" t="s">
        <v>3462</v>
      </c>
      <c r="I753" s="27">
        <v>45</v>
      </c>
      <c r="J753" s="756">
        <v>90</v>
      </c>
      <c r="K753" s="131">
        <f t="shared" si="163"/>
        <v>90</v>
      </c>
      <c r="L753" s="335"/>
      <c r="M753" s="335"/>
      <c r="N753" s="335"/>
      <c r="O753" s="335"/>
      <c r="P753" s="335"/>
      <c r="Q753" s="130">
        <v>1</v>
      </c>
      <c r="R753" s="131">
        <v>45</v>
      </c>
      <c r="S753" s="130"/>
      <c r="T753" s="130"/>
      <c r="U753" s="130">
        <v>1</v>
      </c>
      <c r="V753" s="131">
        <v>45</v>
      </c>
      <c r="W753" s="130"/>
      <c r="X753" s="130"/>
      <c r="Y753" s="130"/>
      <c r="Z753" s="130"/>
      <c r="AA753" s="130">
        <v>0</v>
      </c>
      <c r="AB753" s="131">
        <v>0</v>
      </c>
      <c r="AC753" s="130"/>
      <c r="AD753" s="130"/>
      <c r="AE753" s="130">
        <v>0</v>
      </c>
      <c r="AF753" s="131">
        <v>0</v>
      </c>
      <c r="AG753" s="130"/>
      <c r="AH753" s="130"/>
      <c r="AI753" s="130"/>
      <c r="AJ753" s="130"/>
      <c r="AK753" s="131">
        <f t="shared" si="165"/>
        <v>90</v>
      </c>
      <c r="AL753" s="335">
        <f t="shared" si="166"/>
        <v>0</v>
      </c>
      <c r="AM753" s="130">
        <f t="shared" si="167"/>
        <v>2</v>
      </c>
      <c r="AN753" s="336"/>
    </row>
    <row r="754" spans="1:42" s="108" customFormat="1" ht="66" x14ac:dyDescent="0.25">
      <c r="A754" s="9"/>
      <c r="B754" s="34" t="s">
        <v>3411</v>
      </c>
      <c r="C754" s="1024"/>
      <c r="D754" s="883">
        <v>3</v>
      </c>
      <c r="E754" s="1024" t="s">
        <v>1749</v>
      </c>
      <c r="F754" s="278" t="s">
        <v>3446</v>
      </c>
      <c r="G754" s="1040" t="s">
        <v>3463</v>
      </c>
      <c r="H754" s="273" t="s">
        <v>3462</v>
      </c>
      <c r="I754" s="27">
        <v>74.900000000000006</v>
      </c>
      <c r="J754" s="756">
        <v>224.70000000000002</v>
      </c>
      <c r="K754" s="131">
        <f t="shared" si="163"/>
        <v>224.70000000000002</v>
      </c>
      <c r="L754" s="335"/>
      <c r="M754" s="335"/>
      <c r="N754" s="335"/>
      <c r="O754" s="335"/>
      <c r="P754" s="335"/>
      <c r="Q754" s="130">
        <v>1</v>
      </c>
      <c r="R754" s="131">
        <v>74.900000000000006</v>
      </c>
      <c r="S754" s="130"/>
      <c r="T754" s="130"/>
      <c r="U754" s="130">
        <v>1</v>
      </c>
      <c r="V754" s="131">
        <v>74.900000000000006</v>
      </c>
      <c r="W754" s="130"/>
      <c r="X754" s="130"/>
      <c r="Y754" s="130"/>
      <c r="Z754" s="130"/>
      <c r="AA754" s="130">
        <v>1</v>
      </c>
      <c r="AB754" s="131">
        <v>74.900000000000006</v>
      </c>
      <c r="AC754" s="130"/>
      <c r="AD754" s="130"/>
      <c r="AE754" s="130">
        <v>0</v>
      </c>
      <c r="AF754" s="131">
        <v>0</v>
      </c>
      <c r="AG754" s="130"/>
      <c r="AH754" s="130"/>
      <c r="AI754" s="130"/>
      <c r="AJ754" s="130"/>
      <c r="AK754" s="131">
        <f t="shared" si="165"/>
        <v>224.70000000000002</v>
      </c>
      <c r="AL754" s="335">
        <f t="shared" si="166"/>
        <v>0</v>
      </c>
      <c r="AM754" s="130">
        <f t="shared" si="167"/>
        <v>3</v>
      </c>
      <c r="AN754" s="336"/>
    </row>
    <row r="755" spans="1:42" s="108" customFormat="1" ht="66" x14ac:dyDescent="0.25">
      <c r="A755" s="9"/>
      <c r="B755" s="34" t="s">
        <v>3412</v>
      </c>
      <c r="C755" s="1024"/>
      <c r="D755" s="883">
        <v>1</v>
      </c>
      <c r="E755" s="1024" t="s">
        <v>1748</v>
      </c>
      <c r="F755" s="278" t="s">
        <v>3446</v>
      </c>
      <c r="G755" s="1040" t="s">
        <v>3463</v>
      </c>
      <c r="H755" s="273" t="s">
        <v>3462</v>
      </c>
      <c r="I755" s="27">
        <v>30.76</v>
      </c>
      <c r="J755" s="756">
        <v>30.76</v>
      </c>
      <c r="K755" s="131">
        <f t="shared" si="163"/>
        <v>30.76</v>
      </c>
      <c r="L755" s="335"/>
      <c r="M755" s="335"/>
      <c r="N755" s="335"/>
      <c r="O755" s="335"/>
      <c r="P755" s="335"/>
      <c r="Q755" s="130">
        <v>1</v>
      </c>
      <c r="R755" s="131">
        <v>30.76</v>
      </c>
      <c r="S755" s="130"/>
      <c r="T755" s="130"/>
      <c r="U755" s="110">
        <v>0</v>
      </c>
      <c r="V755" s="131">
        <v>0</v>
      </c>
      <c r="W755" s="130"/>
      <c r="X755" s="130"/>
      <c r="Y755" s="130"/>
      <c r="Z755" s="130"/>
      <c r="AA755" s="110">
        <v>0</v>
      </c>
      <c r="AB755" s="131">
        <v>0</v>
      </c>
      <c r="AC755" s="130"/>
      <c r="AD755" s="130"/>
      <c r="AE755" s="110">
        <v>0</v>
      </c>
      <c r="AF755" s="131">
        <v>0</v>
      </c>
      <c r="AG755" s="130"/>
      <c r="AH755" s="130"/>
      <c r="AI755" s="130"/>
      <c r="AJ755" s="130"/>
      <c r="AK755" s="131">
        <f t="shared" si="165"/>
        <v>30.76</v>
      </c>
      <c r="AL755" s="335">
        <f t="shared" si="166"/>
        <v>0</v>
      </c>
      <c r="AM755" s="130">
        <f t="shared" si="167"/>
        <v>1</v>
      </c>
      <c r="AN755" s="336"/>
    </row>
    <row r="756" spans="1:42" s="108" customFormat="1" ht="66" x14ac:dyDescent="0.25">
      <c r="A756" s="9"/>
      <c r="B756" s="34" t="s">
        <v>52</v>
      </c>
      <c r="C756" s="1024"/>
      <c r="D756" s="883">
        <v>6</v>
      </c>
      <c r="E756" s="1024" t="s">
        <v>1749</v>
      </c>
      <c r="F756" s="278" t="s">
        <v>3446</v>
      </c>
      <c r="G756" s="1040" t="s">
        <v>3463</v>
      </c>
      <c r="H756" s="273" t="s">
        <v>3462</v>
      </c>
      <c r="I756" s="27">
        <v>20</v>
      </c>
      <c r="J756" s="756">
        <v>120</v>
      </c>
      <c r="K756" s="131">
        <f t="shared" si="163"/>
        <v>120</v>
      </c>
      <c r="L756" s="335"/>
      <c r="M756" s="335"/>
      <c r="N756" s="335"/>
      <c r="O756" s="335"/>
      <c r="P756" s="335"/>
      <c r="Q756" s="130">
        <v>2</v>
      </c>
      <c r="R756" s="131">
        <f t="shared" si="159"/>
        <v>30</v>
      </c>
      <c r="S756" s="130"/>
      <c r="T756" s="130"/>
      <c r="U756" s="130">
        <v>2</v>
      </c>
      <c r="V756" s="131">
        <f t="shared" si="160"/>
        <v>30</v>
      </c>
      <c r="W756" s="130"/>
      <c r="X756" s="130"/>
      <c r="Y756" s="130"/>
      <c r="Z756" s="130"/>
      <c r="AA756" s="130">
        <v>1</v>
      </c>
      <c r="AB756" s="131">
        <f t="shared" si="161"/>
        <v>30</v>
      </c>
      <c r="AC756" s="130"/>
      <c r="AD756" s="130"/>
      <c r="AE756" s="130">
        <v>1</v>
      </c>
      <c r="AF756" s="131">
        <f t="shared" si="162"/>
        <v>30</v>
      </c>
      <c r="AG756" s="130"/>
      <c r="AH756" s="130"/>
      <c r="AI756" s="130"/>
      <c r="AJ756" s="130"/>
      <c r="AK756" s="131">
        <f t="shared" si="165"/>
        <v>120</v>
      </c>
      <c r="AL756" s="335">
        <f t="shared" si="166"/>
        <v>0</v>
      </c>
      <c r="AM756" s="130">
        <f t="shared" si="167"/>
        <v>6</v>
      </c>
      <c r="AN756" s="336"/>
    </row>
    <row r="757" spans="1:42" s="108" customFormat="1" ht="66" x14ac:dyDescent="0.25">
      <c r="A757" s="9"/>
      <c r="B757" s="34" t="s">
        <v>3413</v>
      </c>
      <c r="C757" s="1024"/>
      <c r="D757" s="883">
        <v>1</v>
      </c>
      <c r="E757" s="1024" t="s">
        <v>1748</v>
      </c>
      <c r="F757" s="278" t="s">
        <v>3446</v>
      </c>
      <c r="G757" s="1040" t="s">
        <v>3463</v>
      </c>
      <c r="H757" s="273" t="s">
        <v>3462</v>
      </c>
      <c r="I757" s="27">
        <v>60</v>
      </c>
      <c r="J757" s="756">
        <v>60</v>
      </c>
      <c r="K757" s="131">
        <f t="shared" si="163"/>
        <v>60</v>
      </c>
      <c r="L757" s="335"/>
      <c r="M757" s="335"/>
      <c r="N757" s="335"/>
      <c r="O757" s="335"/>
      <c r="P757" s="335"/>
      <c r="Q757" s="130">
        <v>1</v>
      </c>
      <c r="R757" s="131">
        <v>60</v>
      </c>
      <c r="S757" s="130"/>
      <c r="T757" s="130"/>
      <c r="U757" s="110">
        <v>0</v>
      </c>
      <c r="V757" s="131">
        <v>0</v>
      </c>
      <c r="W757" s="130"/>
      <c r="X757" s="130"/>
      <c r="Y757" s="130"/>
      <c r="Z757" s="130"/>
      <c r="AA757" s="110">
        <v>0</v>
      </c>
      <c r="AB757" s="131">
        <v>0</v>
      </c>
      <c r="AC757" s="130"/>
      <c r="AD757" s="130"/>
      <c r="AE757" s="110">
        <v>0</v>
      </c>
      <c r="AF757" s="131">
        <v>0</v>
      </c>
      <c r="AG757" s="130"/>
      <c r="AH757" s="130"/>
      <c r="AI757" s="130"/>
      <c r="AJ757" s="130"/>
      <c r="AK757" s="131">
        <f t="shared" si="165"/>
        <v>60</v>
      </c>
      <c r="AL757" s="335">
        <f t="shared" si="166"/>
        <v>0</v>
      </c>
      <c r="AM757" s="130">
        <f t="shared" si="167"/>
        <v>1</v>
      </c>
      <c r="AN757" s="336"/>
    </row>
    <row r="758" spans="1:42" s="108" customFormat="1" ht="66" x14ac:dyDescent="0.25">
      <c r="A758" s="9"/>
      <c r="B758" s="499" t="s">
        <v>3414</v>
      </c>
      <c r="C758" s="1024"/>
      <c r="D758" s="884">
        <v>1</v>
      </c>
      <c r="E758" s="1024" t="s">
        <v>1749</v>
      </c>
      <c r="F758" s="278" t="s">
        <v>3446</v>
      </c>
      <c r="G758" s="1040" t="s">
        <v>3463</v>
      </c>
      <c r="H758" s="273" t="s">
        <v>3462</v>
      </c>
      <c r="I758" s="27">
        <v>350</v>
      </c>
      <c r="J758" s="756">
        <v>350</v>
      </c>
      <c r="K758" s="131">
        <f t="shared" si="163"/>
        <v>350</v>
      </c>
      <c r="L758" s="335"/>
      <c r="M758" s="335"/>
      <c r="N758" s="335"/>
      <c r="O758" s="335"/>
      <c r="P758" s="335"/>
      <c r="Q758" s="130">
        <v>0</v>
      </c>
      <c r="R758" s="131">
        <v>0</v>
      </c>
      <c r="S758" s="130"/>
      <c r="T758" s="130"/>
      <c r="U758" s="110">
        <v>0</v>
      </c>
      <c r="V758" s="131">
        <v>0</v>
      </c>
      <c r="W758" s="130"/>
      <c r="X758" s="130"/>
      <c r="Y758" s="130"/>
      <c r="Z758" s="130"/>
      <c r="AA758" s="110">
        <v>0</v>
      </c>
      <c r="AB758" s="131">
        <v>0</v>
      </c>
      <c r="AC758" s="130"/>
      <c r="AD758" s="130"/>
      <c r="AE758" s="110">
        <v>1</v>
      </c>
      <c r="AF758" s="131">
        <v>350</v>
      </c>
      <c r="AG758" s="130"/>
      <c r="AH758" s="130"/>
      <c r="AI758" s="130"/>
      <c r="AJ758" s="130"/>
      <c r="AK758" s="131">
        <f t="shared" si="165"/>
        <v>350</v>
      </c>
      <c r="AL758" s="335">
        <f t="shared" si="166"/>
        <v>0</v>
      </c>
      <c r="AM758" s="130">
        <f t="shared" si="167"/>
        <v>1</v>
      </c>
      <c r="AN758" s="336"/>
    </row>
    <row r="759" spans="1:42" s="108" customFormat="1" ht="66" x14ac:dyDescent="0.25">
      <c r="A759" s="9"/>
      <c r="B759" s="34" t="s">
        <v>3415</v>
      </c>
      <c r="C759" s="1024"/>
      <c r="D759" s="883">
        <v>3</v>
      </c>
      <c r="E759" s="1024" t="s">
        <v>1749</v>
      </c>
      <c r="F759" s="278" t="s">
        <v>3446</v>
      </c>
      <c r="G759" s="1040" t="s">
        <v>3463</v>
      </c>
      <c r="H759" s="273" t="s">
        <v>3462</v>
      </c>
      <c r="I759" s="27">
        <v>190</v>
      </c>
      <c r="J759" s="756">
        <v>570</v>
      </c>
      <c r="K759" s="131">
        <f t="shared" si="163"/>
        <v>570</v>
      </c>
      <c r="L759" s="335"/>
      <c r="M759" s="335"/>
      <c r="N759" s="335"/>
      <c r="O759" s="335"/>
      <c r="P759" s="335"/>
      <c r="Q759" s="130">
        <v>0</v>
      </c>
      <c r="R759" s="131">
        <v>0</v>
      </c>
      <c r="S759" s="130"/>
      <c r="T759" s="130"/>
      <c r="U759" s="130">
        <v>1</v>
      </c>
      <c r="V759" s="131">
        <v>190</v>
      </c>
      <c r="W759" s="130"/>
      <c r="X759" s="130"/>
      <c r="Y759" s="130"/>
      <c r="Z759" s="130"/>
      <c r="AA759" s="130">
        <v>1</v>
      </c>
      <c r="AB759" s="131">
        <v>190</v>
      </c>
      <c r="AC759" s="130"/>
      <c r="AD759" s="130"/>
      <c r="AE759" s="130">
        <v>1</v>
      </c>
      <c r="AF759" s="131">
        <v>190</v>
      </c>
      <c r="AG759" s="130"/>
      <c r="AH759" s="130"/>
      <c r="AI759" s="130"/>
      <c r="AJ759" s="130"/>
      <c r="AK759" s="131">
        <f t="shared" si="165"/>
        <v>570</v>
      </c>
      <c r="AL759" s="335">
        <f t="shared" si="166"/>
        <v>0</v>
      </c>
      <c r="AM759" s="130">
        <f t="shared" si="167"/>
        <v>3</v>
      </c>
      <c r="AN759" s="336"/>
    </row>
    <row r="760" spans="1:42" s="108" customFormat="1" ht="66" x14ac:dyDescent="0.25">
      <c r="A760" s="9"/>
      <c r="B760" s="34" t="s">
        <v>3416</v>
      </c>
      <c r="C760" s="1024"/>
      <c r="D760" s="883">
        <v>7</v>
      </c>
      <c r="E760" s="1024" t="s">
        <v>1749</v>
      </c>
      <c r="F760" s="278" t="s">
        <v>3446</v>
      </c>
      <c r="G760" s="1040" t="s">
        <v>3463</v>
      </c>
      <c r="H760" s="273" t="s">
        <v>3462</v>
      </c>
      <c r="I760" s="27">
        <v>15</v>
      </c>
      <c r="J760" s="756">
        <v>105</v>
      </c>
      <c r="K760" s="131">
        <f t="shared" si="163"/>
        <v>105</v>
      </c>
      <c r="L760" s="335"/>
      <c r="M760" s="335"/>
      <c r="N760" s="335"/>
      <c r="O760" s="335"/>
      <c r="P760" s="335"/>
      <c r="Q760" s="130">
        <v>2</v>
      </c>
      <c r="R760" s="131">
        <f t="shared" si="159"/>
        <v>26.25</v>
      </c>
      <c r="S760" s="130"/>
      <c r="T760" s="130"/>
      <c r="U760" s="130">
        <v>2</v>
      </c>
      <c r="V760" s="131">
        <f t="shared" si="160"/>
        <v>26.25</v>
      </c>
      <c r="W760" s="130"/>
      <c r="X760" s="130"/>
      <c r="Y760" s="130"/>
      <c r="Z760" s="130"/>
      <c r="AA760" s="130">
        <v>2</v>
      </c>
      <c r="AB760" s="131">
        <f t="shared" si="161"/>
        <v>26.25</v>
      </c>
      <c r="AC760" s="130"/>
      <c r="AD760" s="130"/>
      <c r="AE760" s="130">
        <v>1</v>
      </c>
      <c r="AF760" s="131">
        <f t="shared" si="162"/>
        <v>26.25</v>
      </c>
      <c r="AG760" s="130"/>
      <c r="AH760" s="130"/>
      <c r="AI760" s="130"/>
      <c r="AJ760" s="130"/>
      <c r="AK760" s="131">
        <f t="shared" si="165"/>
        <v>105</v>
      </c>
      <c r="AL760" s="335">
        <f t="shared" si="166"/>
        <v>0</v>
      </c>
      <c r="AM760" s="130">
        <f t="shared" si="167"/>
        <v>7</v>
      </c>
      <c r="AN760" s="447">
        <f t="shared" ref="AN760" si="168">+D760-AM760</f>
        <v>0</v>
      </c>
    </row>
    <row r="761" spans="1:42" s="108" customFormat="1" ht="66" x14ac:dyDescent="0.25">
      <c r="A761" s="9"/>
      <c r="B761" s="34" t="s">
        <v>3417</v>
      </c>
      <c r="C761" s="1024"/>
      <c r="D761" s="883">
        <v>6</v>
      </c>
      <c r="E761" s="1024" t="s">
        <v>1749</v>
      </c>
      <c r="F761" s="278" t="s">
        <v>3446</v>
      </c>
      <c r="G761" s="1040" t="s">
        <v>3463</v>
      </c>
      <c r="H761" s="273" t="s">
        <v>3462</v>
      </c>
      <c r="I761" s="27">
        <v>12</v>
      </c>
      <c r="J761" s="756">
        <v>72</v>
      </c>
      <c r="K761" s="131">
        <f t="shared" si="163"/>
        <v>72</v>
      </c>
      <c r="L761" s="335"/>
      <c r="M761" s="335"/>
      <c r="N761" s="335"/>
      <c r="O761" s="335"/>
      <c r="P761" s="335"/>
      <c r="Q761" s="130">
        <v>2</v>
      </c>
      <c r="R761" s="131">
        <f t="shared" si="159"/>
        <v>18</v>
      </c>
      <c r="S761" s="130"/>
      <c r="T761" s="130"/>
      <c r="U761" s="130">
        <v>2</v>
      </c>
      <c r="V761" s="131">
        <f t="shared" si="160"/>
        <v>18</v>
      </c>
      <c r="W761" s="130"/>
      <c r="X761" s="130"/>
      <c r="Y761" s="130"/>
      <c r="Z761" s="130"/>
      <c r="AA761" s="130">
        <v>1</v>
      </c>
      <c r="AB761" s="131">
        <f t="shared" si="161"/>
        <v>18</v>
      </c>
      <c r="AC761" s="130"/>
      <c r="AD761" s="130"/>
      <c r="AE761" s="130">
        <v>1</v>
      </c>
      <c r="AF761" s="131">
        <f t="shared" si="162"/>
        <v>18</v>
      </c>
      <c r="AG761" s="130"/>
      <c r="AH761" s="130"/>
      <c r="AI761" s="130"/>
      <c r="AJ761" s="130"/>
      <c r="AK761" s="131">
        <f t="shared" si="165"/>
        <v>72</v>
      </c>
      <c r="AL761" s="335">
        <f t="shared" si="166"/>
        <v>0</v>
      </c>
      <c r="AM761" s="130">
        <f t="shared" si="167"/>
        <v>6</v>
      </c>
      <c r="AN761" s="336"/>
    </row>
    <row r="762" spans="1:42" s="108" customFormat="1" ht="66" x14ac:dyDescent="0.25">
      <c r="A762" s="9"/>
      <c r="B762" s="34" t="s">
        <v>3418</v>
      </c>
      <c r="C762" s="1024"/>
      <c r="D762" s="883">
        <v>1</v>
      </c>
      <c r="E762" s="1024" t="s">
        <v>1725</v>
      </c>
      <c r="F762" s="278" t="s">
        <v>3446</v>
      </c>
      <c r="G762" s="1040" t="s">
        <v>3463</v>
      </c>
      <c r="H762" s="273" t="s">
        <v>3462</v>
      </c>
      <c r="I762" s="27">
        <v>115</v>
      </c>
      <c r="J762" s="756">
        <v>115</v>
      </c>
      <c r="K762" s="131">
        <f t="shared" si="163"/>
        <v>115</v>
      </c>
      <c r="L762" s="335"/>
      <c r="M762" s="335"/>
      <c r="N762" s="335"/>
      <c r="O762" s="335"/>
      <c r="P762" s="335"/>
      <c r="Q762" s="130">
        <v>0</v>
      </c>
      <c r="R762" s="131">
        <v>0</v>
      </c>
      <c r="S762" s="130"/>
      <c r="T762" s="130"/>
      <c r="U762" s="110">
        <v>0</v>
      </c>
      <c r="V762" s="131">
        <v>0</v>
      </c>
      <c r="W762" s="130"/>
      <c r="X762" s="130"/>
      <c r="Y762" s="130"/>
      <c r="Z762" s="130"/>
      <c r="AA762" s="110">
        <v>0</v>
      </c>
      <c r="AB762" s="131">
        <v>0</v>
      </c>
      <c r="AC762" s="130"/>
      <c r="AD762" s="130"/>
      <c r="AE762" s="110">
        <v>1</v>
      </c>
      <c r="AF762" s="131">
        <v>115</v>
      </c>
      <c r="AG762" s="130"/>
      <c r="AH762" s="130"/>
      <c r="AI762" s="130"/>
      <c r="AJ762" s="130"/>
      <c r="AK762" s="131">
        <f t="shared" si="165"/>
        <v>115</v>
      </c>
      <c r="AL762" s="335">
        <f t="shared" si="166"/>
        <v>0</v>
      </c>
      <c r="AM762" s="130">
        <f t="shared" si="167"/>
        <v>1</v>
      </c>
      <c r="AN762" s="336"/>
    </row>
    <row r="763" spans="1:42" s="108" customFormat="1" ht="66" x14ac:dyDescent="0.25">
      <c r="A763" s="9"/>
      <c r="B763" s="34" t="s">
        <v>3419</v>
      </c>
      <c r="C763" s="1024"/>
      <c r="D763" s="883">
        <v>4</v>
      </c>
      <c r="E763" s="1024" t="s">
        <v>1749</v>
      </c>
      <c r="F763" s="278" t="s">
        <v>3446</v>
      </c>
      <c r="G763" s="1040" t="s">
        <v>3463</v>
      </c>
      <c r="H763" s="273" t="s">
        <v>3462</v>
      </c>
      <c r="I763" s="27">
        <v>6</v>
      </c>
      <c r="J763" s="756">
        <v>24</v>
      </c>
      <c r="K763" s="131">
        <f t="shared" si="163"/>
        <v>24</v>
      </c>
      <c r="L763" s="335"/>
      <c r="M763" s="335"/>
      <c r="N763" s="335"/>
      <c r="O763" s="335"/>
      <c r="P763" s="335"/>
      <c r="Q763" s="130">
        <f t="shared" si="156"/>
        <v>1</v>
      </c>
      <c r="R763" s="131">
        <f t="shared" si="159"/>
        <v>6</v>
      </c>
      <c r="S763" s="130"/>
      <c r="T763" s="130"/>
      <c r="U763" s="130">
        <f t="shared" si="157"/>
        <v>1</v>
      </c>
      <c r="V763" s="131">
        <f t="shared" si="160"/>
        <v>6</v>
      </c>
      <c r="W763" s="130"/>
      <c r="X763" s="130"/>
      <c r="Y763" s="130"/>
      <c r="Z763" s="130"/>
      <c r="AA763" s="130">
        <f t="shared" si="158"/>
        <v>1</v>
      </c>
      <c r="AB763" s="131">
        <f t="shared" si="161"/>
        <v>6</v>
      </c>
      <c r="AC763" s="130"/>
      <c r="AD763" s="130"/>
      <c r="AE763" s="130">
        <f t="shared" si="158"/>
        <v>1</v>
      </c>
      <c r="AF763" s="131">
        <f t="shared" si="162"/>
        <v>6</v>
      </c>
      <c r="AG763" s="130"/>
      <c r="AH763" s="130"/>
      <c r="AI763" s="130"/>
      <c r="AJ763" s="130"/>
      <c r="AK763" s="131">
        <f t="shared" si="165"/>
        <v>24</v>
      </c>
      <c r="AL763" s="335">
        <f t="shared" si="166"/>
        <v>0</v>
      </c>
      <c r="AM763" s="130">
        <f t="shared" si="167"/>
        <v>4</v>
      </c>
      <c r="AN763" s="336"/>
    </row>
    <row r="764" spans="1:42" s="108" customFormat="1" ht="66" x14ac:dyDescent="0.25">
      <c r="A764" s="9"/>
      <c r="B764" s="34" t="s">
        <v>3420</v>
      </c>
      <c r="C764" s="1024"/>
      <c r="D764" s="883">
        <v>6</v>
      </c>
      <c r="E764" s="1024" t="s">
        <v>1749</v>
      </c>
      <c r="F764" s="278" t="s">
        <v>3446</v>
      </c>
      <c r="G764" s="1040" t="s">
        <v>3463</v>
      </c>
      <c r="H764" s="273" t="s">
        <v>3462</v>
      </c>
      <c r="I764" s="27">
        <v>48</v>
      </c>
      <c r="J764" s="756">
        <v>288</v>
      </c>
      <c r="K764" s="131">
        <f t="shared" si="163"/>
        <v>288</v>
      </c>
      <c r="L764" s="335"/>
      <c r="M764" s="335"/>
      <c r="N764" s="335"/>
      <c r="O764" s="335"/>
      <c r="P764" s="335"/>
      <c r="Q764" s="130">
        <v>2</v>
      </c>
      <c r="R764" s="131">
        <f t="shared" si="159"/>
        <v>72</v>
      </c>
      <c r="S764" s="130"/>
      <c r="T764" s="130"/>
      <c r="U764" s="130">
        <v>2</v>
      </c>
      <c r="V764" s="131">
        <f t="shared" si="160"/>
        <v>72</v>
      </c>
      <c r="W764" s="130"/>
      <c r="X764" s="130"/>
      <c r="Y764" s="130"/>
      <c r="Z764" s="130"/>
      <c r="AA764" s="130">
        <v>1</v>
      </c>
      <c r="AB764" s="131">
        <f t="shared" si="161"/>
        <v>72</v>
      </c>
      <c r="AC764" s="130"/>
      <c r="AD764" s="130"/>
      <c r="AE764" s="130">
        <v>1</v>
      </c>
      <c r="AF764" s="131">
        <f t="shared" si="162"/>
        <v>72</v>
      </c>
      <c r="AG764" s="130"/>
      <c r="AH764" s="130"/>
      <c r="AI764" s="130"/>
      <c r="AJ764" s="130"/>
      <c r="AK764" s="131">
        <f t="shared" si="165"/>
        <v>288</v>
      </c>
      <c r="AL764" s="335">
        <f t="shared" si="166"/>
        <v>0</v>
      </c>
      <c r="AM764" s="130">
        <f t="shared" si="167"/>
        <v>6</v>
      </c>
      <c r="AN764" s="336"/>
    </row>
    <row r="765" spans="1:42" s="108" customFormat="1" ht="66" x14ac:dyDescent="0.25">
      <c r="A765" s="9"/>
      <c r="B765" s="34" t="s">
        <v>3421</v>
      </c>
      <c r="C765" s="1024"/>
      <c r="D765" s="883">
        <v>1</v>
      </c>
      <c r="E765" s="1024" t="s">
        <v>1749</v>
      </c>
      <c r="F765" s="278" t="s">
        <v>3446</v>
      </c>
      <c r="G765" s="1040" t="s">
        <v>3463</v>
      </c>
      <c r="H765" s="273" t="s">
        <v>3462</v>
      </c>
      <c r="I765" s="27">
        <v>180</v>
      </c>
      <c r="J765" s="756">
        <v>180</v>
      </c>
      <c r="K765" s="131">
        <f t="shared" si="163"/>
        <v>180</v>
      </c>
      <c r="L765" s="335"/>
      <c r="M765" s="335"/>
      <c r="N765" s="335"/>
      <c r="O765" s="335"/>
      <c r="P765" s="335"/>
      <c r="Q765" s="130">
        <v>0</v>
      </c>
      <c r="R765" s="131">
        <v>0</v>
      </c>
      <c r="S765" s="130"/>
      <c r="T765" s="130"/>
      <c r="U765" s="110">
        <v>0</v>
      </c>
      <c r="V765" s="131">
        <v>0</v>
      </c>
      <c r="W765" s="130"/>
      <c r="X765" s="130"/>
      <c r="Y765" s="130"/>
      <c r="Z765" s="130"/>
      <c r="AA765" s="110">
        <v>0</v>
      </c>
      <c r="AB765" s="131">
        <v>0</v>
      </c>
      <c r="AC765" s="130"/>
      <c r="AD765" s="130"/>
      <c r="AE765" s="110">
        <v>1</v>
      </c>
      <c r="AF765" s="131">
        <v>180</v>
      </c>
      <c r="AG765" s="130"/>
      <c r="AH765" s="130"/>
      <c r="AI765" s="130"/>
      <c r="AJ765" s="130"/>
      <c r="AK765" s="131">
        <f t="shared" si="165"/>
        <v>180</v>
      </c>
      <c r="AL765" s="335">
        <f t="shared" si="166"/>
        <v>0</v>
      </c>
      <c r="AM765" s="130">
        <f t="shared" si="167"/>
        <v>1</v>
      </c>
      <c r="AN765" s="336"/>
    </row>
    <row r="766" spans="1:42" s="108" customFormat="1" ht="66" x14ac:dyDescent="0.25">
      <c r="A766" s="9"/>
      <c r="B766" s="34" t="s">
        <v>3422</v>
      </c>
      <c r="C766" s="1024"/>
      <c r="D766" s="883">
        <v>3</v>
      </c>
      <c r="E766" s="1024" t="s">
        <v>1749</v>
      </c>
      <c r="F766" s="278" t="s">
        <v>3446</v>
      </c>
      <c r="G766" s="1040" t="s">
        <v>3463</v>
      </c>
      <c r="H766" s="273" t="s">
        <v>3462</v>
      </c>
      <c r="I766" s="27">
        <v>30</v>
      </c>
      <c r="J766" s="756">
        <v>90</v>
      </c>
      <c r="K766" s="131">
        <f t="shared" si="163"/>
        <v>90</v>
      </c>
      <c r="L766" s="335"/>
      <c r="M766" s="335"/>
      <c r="N766" s="335"/>
      <c r="O766" s="335"/>
      <c r="P766" s="335"/>
      <c r="Q766" s="130">
        <v>0</v>
      </c>
      <c r="R766" s="131">
        <v>0</v>
      </c>
      <c r="S766" s="130"/>
      <c r="T766" s="130"/>
      <c r="U766" s="130">
        <v>1</v>
      </c>
      <c r="V766" s="131">
        <v>30</v>
      </c>
      <c r="W766" s="130"/>
      <c r="X766" s="130"/>
      <c r="Y766" s="130"/>
      <c r="Z766" s="130"/>
      <c r="AA766" s="130">
        <v>1</v>
      </c>
      <c r="AB766" s="131">
        <v>30</v>
      </c>
      <c r="AC766" s="130"/>
      <c r="AD766" s="130"/>
      <c r="AE766" s="130">
        <v>1</v>
      </c>
      <c r="AF766" s="131">
        <v>30</v>
      </c>
      <c r="AG766" s="130"/>
      <c r="AH766" s="130"/>
      <c r="AI766" s="130"/>
      <c r="AJ766" s="130"/>
      <c r="AK766" s="131">
        <f t="shared" si="165"/>
        <v>90</v>
      </c>
      <c r="AL766" s="335">
        <f t="shared" si="166"/>
        <v>0</v>
      </c>
      <c r="AM766" s="130">
        <f t="shared" si="167"/>
        <v>3</v>
      </c>
      <c r="AN766" s="336"/>
    </row>
    <row r="767" spans="1:42" s="108" customFormat="1" x14ac:dyDescent="0.25">
      <c r="A767" s="9"/>
      <c r="B767" s="34"/>
      <c r="C767" s="1024"/>
      <c r="D767" s="883"/>
      <c r="E767" s="1027"/>
      <c r="F767" s="272"/>
      <c r="G767" s="272"/>
      <c r="H767" s="272"/>
      <c r="I767" s="27"/>
      <c r="J767" s="756"/>
      <c r="K767" s="131"/>
      <c r="L767" s="335"/>
      <c r="M767" s="335"/>
      <c r="N767" s="335"/>
      <c r="O767" s="335"/>
      <c r="P767" s="335"/>
      <c r="Q767" s="130"/>
      <c r="R767" s="131"/>
      <c r="S767" s="130"/>
      <c r="T767" s="130"/>
      <c r="U767" s="130"/>
      <c r="V767" s="131"/>
      <c r="W767" s="130"/>
      <c r="X767" s="130"/>
      <c r="Y767" s="130"/>
      <c r="Z767" s="130"/>
      <c r="AA767" s="130"/>
      <c r="AB767" s="131"/>
      <c r="AC767" s="130"/>
      <c r="AD767" s="130"/>
      <c r="AE767" s="130"/>
      <c r="AF767" s="131"/>
      <c r="AG767" s="130"/>
      <c r="AH767" s="130"/>
      <c r="AI767" s="130"/>
      <c r="AJ767" s="130"/>
      <c r="AK767" s="131"/>
      <c r="AL767" s="335"/>
      <c r="AM767" s="130"/>
      <c r="AN767" s="336"/>
    </row>
    <row r="768" spans="1:42" s="108" customFormat="1" x14ac:dyDescent="0.25">
      <c r="A768" s="315">
        <v>21103</v>
      </c>
      <c r="B768" s="500" t="s">
        <v>99</v>
      </c>
      <c r="C768" s="316"/>
      <c r="D768" s="885"/>
      <c r="E768" s="316"/>
      <c r="F768" s="316"/>
      <c r="G768" s="316"/>
      <c r="H768" s="316"/>
      <c r="I768" s="723"/>
      <c r="J768" s="761"/>
      <c r="K768" s="131">
        <f>+D768*I768</f>
        <v>0</v>
      </c>
      <c r="L768" s="335">
        <f>+J768-K768</f>
        <v>0</v>
      </c>
      <c r="M768" s="449"/>
      <c r="N768" s="449"/>
      <c r="O768" s="449"/>
      <c r="P768" s="449"/>
      <c r="Q768" s="448">
        <f t="shared" si="156"/>
        <v>0</v>
      </c>
      <c r="R768" s="317">
        <f>+J768/4</f>
        <v>0</v>
      </c>
      <c r="S768" s="448"/>
      <c r="T768" s="448"/>
      <c r="U768" s="448">
        <f t="shared" si="157"/>
        <v>0</v>
      </c>
      <c r="V768" s="317">
        <f>+J768/4</f>
        <v>0</v>
      </c>
      <c r="W768" s="448"/>
      <c r="X768" s="448"/>
      <c r="Y768" s="448"/>
      <c r="Z768" s="448"/>
      <c r="AA768" s="448">
        <f t="shared" si="158"/>
        <v>0</v>
      </c>
      <c r="AB768" s="317">
        <f>+J768/4</f>
        <v>0</v>
      </c>
      <c r="AC768" s="448"/>
      <c r="AD768" s="448"/>
      <c r="AE768" s="448">
        <f t="shared" si="158"/>
        <v>0</v>
      </c>
      <c r="AF768" s="317">
        <f>+J768/4</f>
        <v>0</v>
      </c>
      <c r="AG768" s="448"/>
      <c r="AH768" s="448"/>
      <c r="AI768" s="448"/>
      <c r="AJ768" s="448"/>
      <c r="AK768" s="317">
        <f t="shared" si="165"/>
        <v>0</v>
      </c>
      <c r="AL768" s="449">
        <f>+J768-AK768</f>
        <v>0</v>
      </c>
      <c r="AM768" s="448">
        <f t="shared" si="167"/>
        <v>0</v>
      </c>
      <c r="AN768" s="450">
        <f>+D768-AM768</f>
        <v>0</v>
      </c>
      <c r="AO768" s="435">
        <f>SUM(J770)</f>
        <v>5417.75</v>
      </c>
      <c r="AP768" s="131"/>
    </row>
    <row r="769" spans="1:42" s="108" customFormat="1" x14ac:dyDescent="0.25">
      <c r="A769" s="315">
        <v>21104</v>
      </c>
      <c r="B769" s="500" t="s">
        <v>100</v>
      </c>
      <c r="C769" s="316"/>
      <c r="D769" s="886"/>
      <c r="E769" s="318"/>
      <c r="F769" s="319"/>
      <c r="G769" s="319"/>
      <c r="H769" s="319"/>
      <c r="I769" s="723"/>
      <c r="J769" s="762"/>
      <c r="K769" s="131">
        <f>+D769*I769</f>
        <v>0</v>
      </c>
      <c r="L769" s="335">
        <f>+J769-K769</f>
        <v>0</v>
      </c>
      <c r="M769" s="449"/>
      <c r="N769" s="449"/>
      <c r="O769" s="449"/>
      <c r="P769" s="449"/>
      <c r="Q769" s="448">
        <f t="shared" si="156"/>
        <v>0</v>
      </c>
      <c r="R769" s="317">
        <f>+J769/4</f>
        <v>0</v>
      </c>
      <c r="S769" s="448"/>
      <c r="T769" s="448"/>
      <c r="U769" s="448">
        <f t="shared" si="157"/>
        <v>0</v>
      </c>
      <c r="V769" s="317">
        <f>+J769/4</f>
        <v>0</v>
      </c>
      <c r="W769" s="448"/>
      <c r="X769" s="448"/>
      <c r="Y769" s="448"/>
      <c r="Z769" s="448"/>
      <c r="AA769" s="448">
        <f t="shared" si="158"/>
        <v>0</v>
      </c>
      <c r="AB769" s="317">
        <f>+J769/4</f>
        <v>0</v>
      </c>
      <c r="AC769" s="448"/>
      <c r="AD769" s="448"/>
      <c r="AE769" s="448">
        <f t="shared" si="158"/>
        <v>0</v>
      </c>
      <c r="AF769" s="317">
        <f>+J769/4</f>
        <v>0</v>
      </c>
      <c r="AG769" s="448"/>
      <c r="AH769" s="448"/>
      <c r="AI769" s="448"/>
      <c r="AJ769" s="448"/>
      <c r="AK769" s="317">
        <f t="shared" si="165"/>
        <v>0</v>
      </c>
      <c r="AL769" s="449">
        <f>+J769-AK769</f>
        <v>0</v>
      </c>
      <c r="AM769" s="448">
        <f t="shared" si="167"/>
        <v>0</v>
      </c>
      <c r="AN769" s="450">
        <f>+D769-AM769</f>
        <v>0</v>
      </c>
    </row>
    <row r="770" spans="1:42" ht="66" x14ac:dyDescent="0.25">
      <c r="A770" s="9"/>
      <c r="B770" s="501" t="s">
        <v>1137</v>
      </c>
      <c r="C770" s="1024"/>
      <c r="D770" s="869">
        <f>10+3</f>
        <v>13</v>
      </c>
      <c r="E770" s="1027" t="s">
        <v>1725</v>
      </c>
      <c r="F770" s="278" t="s">
        <v>3446</v>
      </c>
      <c r="G770" s="1040" t="s">
        <v>3463</v>
      </c>
      <c r="H770" s="273" t="s">
        <v>3462</v>
      </c>
      <c r="I770" s="720">
        <f>+J770/D770</f>
        <v>416.75</v>
      </c>
      <c r="J770" s="756">
        <f>2900+2517.75</f>
        <v>5417.75</v>
      </c>
      <c r="K770" s="131">
        <f>+D770*I770</f>
        <v>5417.75</v>
      </c>
      <c r="L770" s="335">
        <f t="shared" ref="L770:L865" si="169">+J770-K770</f>
        <v>0</v>
      </c>
      <c r="M770" s="446"/>
      <c r="N770" s="446"/>
      <c r="O770" s="446"/>
      <c r="P770" s="446"/>
      <c r="Q770" s="110">
        <v>4</v>
      </c>
      <c r="R770" s="111">
        <f t="shared" si="159"/>
        <v>1354.4375</v>
      </c>
      <c r="S770" s="110"/>
      <c r="T770" s="110"/>
      <c r="U770" s="110">
        <v>3</v>
      </c>
      <c r="V770" s="111">
        <f t="shared" si="160"/>
        <v>1354.4375</v>
      </c>
      <c r="W770" s="110"/>
      <c r="X770" s="110"/>
      <c r="Y770" s="110"/>
      <c r="Z770" s="110"/>
      <c r="AA770" s="110">
        <v>3</v>
      </c>
      <c r="AB770" s="111">
        <f t="shared" si="161"/>
        <v>1354.4375</v>
      </c>
      <c r="AC770" s="110"/>
      <c r="AD770" s="110"/>
      <c r="AE770" s="110">
        <v>3</v>
      </c>
      <c r="AF770" s="111">
        <f t="shared" si="162"/>
        <v>1354.4375</v>
      </c>
      <c r="AG770" s="110"/>
      <c r="AH770" s="110"/>
      <c r="AI770" s="110"/>
      <c r="AJ770" s="110"/>
      <c r="AK770" s="111">
        <f t="shared" si="165"/>
        <v>5417.75</v>
      </c>
      <c r="AL770" s="446">
        <f t="shared" si="166"/>
        <v>0</v>
      </c>
      <c r="AM770" s="110">
        <f t="shared" si="167"/>
        <v>13</v>
      </c>
      <c r="AN770" s="447">
        <f>+D770-AM770</f>
        <v>0</v>
      </c>
      <c r="AO770"/>
      <c r="AP770"/>
    </row>
    <row r="771" spans="1:42" x14ac:dyDescent="0.25">
      <c r="A771" s="9"/>
      <c r="B771" s="501"/>
      <c r="C771" s="1024"/>
      <c r="D771" s="869"/>
      <c r="E771" s="1027"/>
      <c r="F771" s="272"/>
      <c r="G771" s="272"/>
      <c r="H771" s="272"/>
      <c r="I771" s="720"/>
      <c r="J771" s="763"/>
      <c r="K771" s="131"/>
      <c r="L771" s="335"/>
      <c r="M771" s="446"/>
      <c r="N771" s="446"/>
      <c r="O771" s="446"/>
      <c r="P771" s="446"/>
      <c r="Q771" s="110"/>
      <c r="R771" s="111"/>
      <c r="S771" s="110"/>
      <c r="T771" s="110"/>
      <c r="U771" s="110"/>
      <c r="V771" s="111"/>
      <c r="W771" s="110"/>
      <c r="X771" s="110"/>
      <c r="Y771" s="110"/>
      <c r="Z771" s="110"/>
      <c r="AA771" s="110"/>
      <c r="AB771" s="111"/>
      <c r="AC771" s="110"/>
      <c r="AD771" s="110"/>
      <c r="AE771" s="110"/>
      <c r="AF771" s="111"/>
      <c r="AG771" s="110"/>
      <c r="AH771" s="110"/>
      <c r="AI771" s="110"/>
      <c r="AJ771" s="110"/>
      <c r="AK771" s="111"/>
      <c r="AL771" s="446"/>
      <c r="AM771" s="110"/>
      <c r="AN771" s="447"/>
      <c r="AO771"/>
      <c r="AP771"/>
    </row>
    <row r="772" spans="1:42" s="108" customFormat="1" x14ac:dyDescent="0.25">
      <c r="A772" s="315">
        <v>21105</v>
      </c>
      <c r="B772" s="500" t="s">
        <v>101</v>
      </c>
      <c r="C772" s="316"/>
      <c r="D772" s="885"/>
      <c r="E772" s="316"/>
      <c r="F772" s="316"/>
      <c r="G772" s="316"/>
      <c r="H772" s="316"/>
      <c r="I772" s="723"/>
      <c r="J772" s="764"/>
      <c r="K772" s="131">
        <f t="shared" ref="K772:K835" si="170">+D772*I772</f>
        <v>0</v>
      </c>
      <c r="L772" s="335">
        <f t="shared" si="169"/>
        <v>0</v>
      </c>
      <c r="M772" s="449"/>
      <c r="N772" s="449"/>
      <c r="O772" s="449"/>
      <c r="P772" s="449"/>
      <c r="Q772" s="448">
        <f t="shared" si="156"/>
        <v>0</v>
      </c>
      <c r="R772" s="317">
        <f t="shared" si="159"/>
        <v>0</v>
      </c>
      <c r="S772" s="448"/>
      <c r="T772" s="448"/>
      <c r="U772" s="448">
        <f t="shared" si="157"/>
        <v>0</v>
      </c>
      <c r="V772" s="317">
        <f t="shared" si="160"/>
        <v>0</v>
      </c>
      <c r="W772" s="448"/>
      <c r="X772" s="448"/>
      <c r="Y772" s="448"/>
      <c r="Z772" s="448"/>
      <c r="AA772" s="448">
        <f t="shared" si="158"/>
        <v>0</v>
      </c>
      <c r="AB772" s="317">
        <f t="shared" si="161"/>
        <v>0</v>
      </c>
      <c r="AC772" s="448"/>
      <c r="AD772" s="448"/>
      <c r="AE772" s="448">
        <f t="shared" si="158"/>
        <v>0</v>
      </c>
      <c r="AF772" s="317">
        <f t="shared" si="162"/>
        <v>0</v>
      </c>
      <c r="AG772" s="448"/>
      <c r="AH772" s="448"/>
      <c r="AI772" s="448"/>
      <c r="AJ772" s="448"/>
      <c r="AK772" s="317">
        <f t="shared" si="165"/>
        <v>0</v>
      </c>
      <c r="AL772" s="449">
        <f t="shared" si="166"/>
        <v>0</v>
      </c>
      <c r="AM772" s="448">
        <f t="shared" si="167"/>
        <v>0</v>
      </c>
      <c r="AN772" s="450">
        <f t="shared" ref="AN772:AN835" si="171">+D772-AM772</f>
        <v>0</v>
      </c>
    </row>
    <row r="773" spans="1:42" s="108" customFormat="1" x14ac:dyDescent="0.25">
      <c r="A773" s="315">
        <v>21106</v>
      </c>
      <c r="B773" s="500" t="s">
        <v>102</v>
      </c>
      <c r="C773" s="316"/>
      <c r="D773" s="885"/>
      <c r="E773" s="316"/>
      <c r="F773" s="316"/>
      <c r="G773" s="316"/>
      <c r="H773" s="316"/>
      <c r="I773" s="723"/>
      <c r="J773" s="764"/>
      <c r="K773" s="131">
        <f t="shared" si="170"/>
        <v>0</v>
      </c>
      <c r="L773" s="335">
        <f t="shared" si="169"/>
        <v>0</v>
      </c>
      <c r="M773" s="449"/>
      <c r="N773" s="449"/>
      <c r="O773" s="449"/>
      <c r="P773" s="449"/>
      <c r="Q773" s="448">
        <f t="shared" si="156"/>
        <v>0</v>
      </c>
      <c r="R773" s="317"/>
      <c r="S773" s="448"/>
      <c r="T773" s="448"/>
      <c r="U773" s="448">
        <f t="shared" si="157"/>
        <v>0</v>
      </c>
      <c r="V773" s="317"/>
      <c r="W773" s="448"/>
      <c r="X773" s="448"/>
      <c r="Y773" s="448"/>
      <c r="Z773" s="448"/>
      <c r="AA773" s="448">
        <f t="shared" si="158"/>
        <v>0</v>
      </c>
      <c r="AB773" s="317"/>
      <c r="AC773" s="448"/>
      <c r="AD773" s="448"/>
      <c r="AE773" s="448">
        <f t="shared" si="158"/>
        <v>0</v>
      </c>
      <c r="AF773" s="317"/>
      <c r="AG773" s="448"/>
      <c r="AH773" s="448"/>
      <c r="AI773" s="448"/>
      <c r="AJ773" s="448"/>
      <c r="AK773" s="317"/>
      <c r="AL773" s="449">
        <f t="shared" si="166"/>
        <v>0</v>
      </c>
      <c r="AM773" s="448">
        <f t="shared" si="167"/>
        <v>0</v>
      </c>
      <c r="AN773" s="450">
        <f t="shared" si="171"/>
        <v>0</v>
      </c>
      <c r="AO773" s="436">
        <f>SUM(J774:J1125)</f>
        <v>985360.70052799978</v>
      </c>
      <c r="AP773" s="131"/>
    </row>
    <row r="774" spans="1:42" ht="66" x14ac:dyDescent="0.25">
      <c r="A774" s="9"/>
      <c r="B774" s="34" t="s">
        <v>103</v>
      </c>
      <c r="C774" s="20"/>
      <c r="D774" s="869">
        <f>50+110+11+26</f>
        <v>197</v>
      </c>
      <c r="E774" s="1027" t="s">
        <v>1721</v>
      </c>
      <c r="F774" s="278" t="s">
        <v>3446</v>
      </c>
      <c r="G774" s="1040" t="s">
        <v>3463</v>
      </c>
      <c r="H774" s="273" t="s">
        <v>3462</v>
      </c>
      <c r="I774" s="720">
        <f t="shared" ref="I774:I821" si="172">+J774/D774</f>
        <v>76.504416243654831</v>
      </c>
      <c r="J774" s="756">
        <f>3615.34+7777.6+2388.59+1810.83-520.99</f>
        <v>15071.37</v>
      </c>
      <c r="K774" s="131">
        <f t="shared" si="170"/>
        <v>15071.37</v>
      </c>
      <c r="L774" s="335">
        <f t="shared" si="169"/>
        <v>0</v>
      </c>
      <c r="M774" s="446"/>
      <c r="N774" s="446"/>
      <c r="O774" s="446"/>
      <c r="P774" s="446"/>
      <c r="Q774" s="110">
        <v>55</v>
      </c>
      <c r="R774" s="111">
        <f t="shared" si="159"/>
        <v>3767.8425000000002</v>
      </c>
      <c r="S774" s="110"/>
      <c r="T774" s="110"/>
      <c r="U774" s="110">
        <v>55</v>
      </c>
      <c r="V774" s="111">
        <f t="shared" si="160"/>
        <v>3767.8425000000002</v>
      </c>
      <c r="W774" s="110"/>
      <c r="X774" s="110"/>
      <c r="Y774" s="110"/>
      <c r="Z774" s="110"/>
      <c r="AA774" s="110">
        <v>60</v>
      </c>
      <c r="AB774" s="111">
        <f t="shared" si="161"/>
        <v>3767.8425000000002</v>
      </c>
      <c r="AC774" s="110"/>
      <c r="AD774" s="110"/>
      <c r="AE774" s="110">
        <v>27</v>
      </c>
      <c r="AF774" s="111">
        <f t="shared" si="162"/>
        <v>3767.8425000000002</v>
      </c>
      <c r="AG774" s="110"/>
      <c r="AH774" s="110"/>
      <c r="AI774" s="110"/>
      <c r="AJ774" s="110"/>
      <c r="AK774" s="111">
        <f t="shared" si="165"/>
        <v>15071.37</v>
      </c>
      <c r="AL774" s="446">
        <f t="shared" si="166"/>
        <v>0</v>
      </c>
      <c r="AM774" s="110">
        <f t="shared" si="167"/>
        <v>197</v>
      </c>
      <c r="AN774" s="447">
        <f t="shared" si="171"/>
        <v>0</v>
      </c>
      <c r="AO774"/>
      <c r="AP774"/>
    </row>
    <row r="775" spans="1:42" ht="66" x14ac:dyDescent="0.25">
      <c r="A775" s="9"/>
      <c r="B775" s="34" t="s">
        <v>104</v>
      </c>
      <c r="C775" s="20"/>
      <c r="D775" s="869">
        <f>26+72+3+6</f>
        <v>107</v>
      </c>
      <c r="E775" s="1027" t="s">
        <v>1721</v>
      </c>
      <c r="F775" s="278" t="s">
        <v>3446</v>
      </c>
      <c r="G775" s="1040" t="s">
        <v>3463</v>
      </c>
      <c r="H775" s="273" t="s">
        <v>3462</v>
      </c>
      <c r="I775" s="720">
        <f t="shared" si="172"/>
        <v>113.00271028037382</v>
      </c>
      <c r="J775" s="756">
        <f>2579.82+9356.15+714.47+743.33-1302.48</f>
        <v>12091.289999999999</v>
      </c>
      <c r="K775" s="131">
        <f t="shared" si="170"/>
        <v>12091.289999999999</v>
      </c>
      <c r="L775" s="335">
        <f t="shared" si="169"/>
        <v>0</v>
      </c>
      <c r="M775" s="446"/>
      <c r="N775" s="446"/>
      <c r="O775" s="446"/>
      <c r="P775" s="446"/>
      <c r="Q775" s="110">
        <v>30</v>
      </c>
      <c r="R775" s="111">
        <f t="shared" si="159"/>
        <v>3022.8224999999998</v>
      </c>
      <c r="S775" s="110"/>
      <c r="T775" s="110"/>
      <c r="U775" s="110">
        <v>30</v>
      </c>
      <c r="V775" s="111">
        <f t="shared" si="160"/>
        <v>3022.8224999999998</v>
      </c>
      <c r="W775" s="110"/>
      <c r="X775" s="110"/>
      <c r="Y775" s="110"/>
      <c r="Z775" s="110"/>
      <c r="AA775" s="110">
        <v>30</v>
      </c>
      <c r="AB775" s="111">
        <f t="shared" si="161"/>
        <v>3022.8224999999998</v>
      </c>
      <c r="AC775" s="110"/>
      <c r="AD775" s="110"/>
      <c r="AE775" s="110">
        <v>11</v>
      </c>
      <c r="AF775" s="111">
        <f t="shared" si="162"/>
        <v>3022.8224999999998</v>
      </c>
      <c r="AG775" s="110"/>
      <c r="AH775" s="110"/>
      <c r="AI775" s="110"/>
      <c r="AJ775" s="110"/>
      <c r="AK775" s="111">
        <f t="shared" si="165"/>
        <v>12091.289999999999</v>
      </c>
      <c r="AL775" s="446">
        <f t="shared" si="166"/>
        <v>0</v>
      </c>
      <c r="AM775" s="110">
        <f t="shared" si="167"/>
        <v>101</v>
      </c>
      <c r="AN775" s="447">
        <f t="shared" si="171"/>
        <v>6</v>
      </c>
      <c r="AO775"/>
      <c r="AP775"/>
    </row>
    <row r="776" spans="1:42" ht="66" x14ac:dyDescent="0.25">
      <c r="A776" s="9"/>
      <c r="B776" s="34" t="s">
        <v>105</v>
      </c>
      <c r="C776" s="20"/>
      <c r="D776" s="869">
        <f>6+24</f>
        <v>30</v>
      </c>
      <c r="E776" s="1027" t="s">
        <v>1721</v>
      </c>
      <c r="F776" s="278" t="s">
        <v>3446</v>
      </c>
      <c r="G776" s="1040" t="s">
        <v>3463</v>
      </c>
      <c r="H776" s="273" t="s">
        <v>3462</v>
      </c>
      <c r="I776" s="720">
        <f t="shared" si="172"/>
        <v>92.471999999999994</v>
      </c>
      <c r="J776" s="756">
        <f>421.56+2472-119.4</f>
        <v>2774.16</v>
      </c>
      <c r="K776" s="131">
        <f t="shared" si="170"/>
        <v>2774.16</v>
      </c>
      <c r="L776" s="335">
        <f t="shared" si="169"/>
        <v>0</v>
      </c>
      <c r="M776" s="446"/>
      <c r="N776" s="446"/>
      <c r="O776" s="446"/>
      <c r="P776" s="446"/>
      <c r="Q776" s="110">
        <v>8</v>
      </c>
      <c r="R776" s="111">
        <f t="shared" si="159"/>
        <v>693.54</v>
      </c>
      <c r="S776" s="110"/>
      <c r="T776" s="110"/>
      <c r="U776" s="110">
        <v>8</v>
      </c>
      <c r="V776" s="111">
        <f t="shared" si="160"/>
        <v>693.54</v>
      </c>
      <c r="W776" s="110"/>
      <c r="X776" s="110"/>
      <c r="Y776" s="110"/>
      <c r="Z776" s="110"/>
      <c r="AA776" s="110">
        <v>7</v>
      </c>
      <c r="AB776" s="111">
        <f t="shared" si="161"/>
        <v>693.54</v>
      </c>
      <c r="AC776" s="110"/>
      <c r="AD776" s="110"/>
      <c r="AE776" s="110">
        <v>7</v>
      </c>
      <c r="AF776" s="111">
        <f t="shared" si="162"/>
        <v>693.54</v>
      </c>
      <c r="AG776" s="110"/>
      <c r="AH776" s="110"/>
      <c r="AI776" s="110"/>
      <c r="AJ776" s="110"/>
      <c r="AK776" s="111">
        <f t="shared" si="165"/>
        <v>2774.16</v>
      </c>
      <c r="AL776" s="446">
        <f t="shared" si="166"/>
        <v>0</v>
      </c>
      <c r="AM776" s="110">
        <f t="shared" si="167"/>
        <v>30</v>
      </c>
      <c r="AN776" s="447">
        <f t="shared" si="171"/>
        <v>0</v>
      </c>
      <c r="AO776"/>
      <c r="AP776"/>
    </row>
    <row r="777" spans="1:42" ht="66" x14ac:dyDescent="0.25">
      <c r="A777" s="9"/>
      <c r="B777" s="34" t="s">
        <v>106</v>
      </c>
      <c r="C777" s="20"/>
      <c r="D777" s="869">
        <f>6+6</f>
        <v>12</v>
      </c>
      <c r="E777" s="1027" t="s">
        <v>1725</v>
      </c>
      <c r="F777" s="273" t="s">
        <v>3446</v>
      </c>
      <c r="G777" s="1040" t="s">
        <v>3463</v>
      </c>
      <c r="H777" s="273" t="s">
        <v>3462</v>
      </c>
      <c r="I777" s="720">
        <f t="shared" si="172"/>
        <v>323.5</v>
      </c>
      <c r="J777" s="756">
        <f>1794+2088</f>
        <v>3882</v>
      </c>
      <c r="K777" s="131">
        <f t="shared" si="170"/>
        <v>3882</v>
      </c>
      <c r="L777" s="335">
        <f t="shared" si="169"/>
        <v>0</v>
      </c>
      <c r="M777" s="446"/>
      <c r="N777" s="446"/>
      <c r="O777" s="446"/>
      <c r="P777" s="446"/>
      <c r="Q777" s="110">
        <f t="shared" si="156"/>
        <v>3</v>
      </c>
      <c r="R777" s="111">
        <f t="shared" si="159"/>
        <v>970.5</v>
      </c>
      <c r="S777" s="110"/>
      <c r="T777" s="110"/>
      <c r="U777" s="110">
        <f t="shared" si="157"/>
        <v>3</v>
      </c>
      <c r="V777" s="111">
        <f t="shared" si="160"/>
        <v>970.5</v>
      </c>
      <c r="W777" s="110"/>
      <c r="X777" s="110"/>
      <c r="Y777" s="110"/>
      <c r="Z777" s="110"/>
      <c r="AA777" s="110">
        <f t="shared" si="158"/>
        <v>3</v>
      </c>
      <c r="AB777" s="111">
        <f t="shared" si="161"/>
        <v>970.5</v>
      </c>
      <c r="AC777" s="110"/>
      <c r="AD777" s="110"/>
      <c r="AE777" s="110">
        <f t="shared" si="158"/>
        <v>3</v>
      </c>
      <c r="AF777" s="111">
        <f t="shared" si="162"/>
        <v>970.5</v>
      </c>
      <c r="AG777" s="110"/>
      <c r="AH777" s="110"/>
      <c r="AI777" s="110"/>
      <c r="AJ777" s="110"/>
      <c r="AK777" s="111">
        <f t="shared" si="165"/>
        <v>3882</v>
      </c>
      <c r="AL777" s="446">
        <f t="shared" si="166"/>
        <v>0</v>
      </c>
      <c r="AM777" s="110">
        <f t="shared" si="167"/>
        <v>12</v>
      </c>
      <c r="AN777" s="447">
        <f t="shared" si="171"/>
        <v>0</v>
      </c>
      <c r="AO777"/>
      <c r="AP777"/>
    </row>
    <row r="778" spans="1:42" ht="66" x14ac:dyDescent="0.25">
      <c r="A778" s="9"/>
      <c r="B778" s="34" t="s">
        <v>268</v>
      </c>
      <c r="C778" s="20"/>
      <c r="D778" s="869">
        <f>3</f>
        <v>3</v>
      </c>
      <c r="E778" s="1027" t="s">
        <v>1725</v>
      </c>
      <c r="F778" s="278" t="s">
        <v>3446</v>
      </c>
      <c r="G778" s="1040" t="s">
        <v>3463</v>
      </c>
      <c r="H778" s="273" t="s">
        <v>3462</v>
      </c>
      <c r="I778" s="720">
        <f t="shared" si="172"/>
        <v>26.73</v>
      </c>
      <c r="J778" s="756">
        <f>80.19</f>
        <v>80.19</v>
      </c>
      <c r="K778" s="131">
        <f t="shared" si="170"/>
        <v>80.19</v>
      </c>
      <c r="L778" s="335">
        <f t="shared" si="169"/>
        <v>0</v>
      </c>
      <c r="M778" s="446"/>
      <c r="N778" s="446"/>
      <c r="O778" s="446"/>
      <c r="P778" s="446"/>
      <c r="Q778" s="130">
        <v>0</v>
      </c>
      <c r="R778" s="111">
        <v>0</v>
      </c>
      <c r="S778" s="110"/>
      <c r="T778" s="110"/>
      <c r="U778" s="130">
        <v>1</v>
      </c>
      <c r="V778" s="111">
        <v>26.73</v>
      </c>
      <c r="W778" s="110"/>
      <c r="X778" s="110"/>
      <c r="Y778" s="110"/>
      <c r="Z778" s="110"/>
      <c r="AA778" s="130">
        <v>1</v>
      </c>
      <c r="AB778" s="111">
        <v>26.73</v>
      </c>
      <c r="AC778" s="110"/>
      <c r="AD778" s="110"/>
      <c r="AE778" s="130">
        <v>0</v>
      </c>
      <c r="AF778" s="111">
        <v>26.73</v>
      </c>
      <c r="AG778" s="110"/>
      <c r="AH778" s="110"/>
      <c r="AI778" s="110"/>
      <c r="AJ778" s="110"/>
      <c r="AK778" s="111">
        <f t="shared" si="165"/>
        <v>80.19</v>
      </c>
      <c r="AL778" s="446">
        <f t="shared" si="166"/>
        <v>0</v>
      </c>
      <c r="AM778" s="110">
        <f t="shared" si="167"/>
        <v>2</v>
      </c>
      <c r="AN778" s="447">
        <f t="shared" si="171"/>
        <v>1</v>
      </c>
      <c r="AO778"/>
      <c r="AP778"/>
    </row>
    <row r="779" spans="1:42" ht="66" x14ac:dyDescent="0.25">
      <c r="A779" s="9"/>
      <c r="B779" s="34" t="s">
        <v>107</v>
      </c>
      <c r="C779" s="20"/>
      <c r="D779" s="869">
        <f>2</f>
        <v>2</v>
      </c>
      <c r="E779" s="1027" t="s">
        <v>1725</v>
      </c>
      <c r="F779" s="278" t="s">
        <v>3446</v>
      </c>
      <c r="G779" s="1040" t="s">
        <v>3463</v>
      </c>
      <c r="H779" s="273" t="s">
        <v>3462</v>
      </c>
      <c r="I779" s="720">
        <f t="shared" si="172"/>
        <v>15.275</v>
      </c>
      <c r="J779" s="756">
        <f>30.55</f>
        <v>30.55</v>
      </c>
      <c r="K779" s="131">
        <f t="shared" si="170"/>
        <v>30.55</v>
      </c>
      <c r="L779" s="335">
        <f t="shared" si="169"/>
        <v>0</v>
      </c>
      <c r="M779" s="446"/>
      <c r="N779" s="446"/>
      <c r="O779" s="446"/>
      <c r="P779" s="446"/>
      <c r="Q779" s="130">
        <v>0</v>
      </c>
      <c r="R779" s="111">
        <v>0</v>
      </c>
      <c r="S779" s="110"/>
      <c r="T779" s="110"/>
      <c r="U779" s="130">
        <v>1</v>
      </c>
      <c r="V779" s="111">
        <v>15.28</v>
      </c>
      <c r="W779" s="110"/>
      <c r="X779" s="110"/>
      <c r="Y779" s="110"/>
      <c r="Z779" s="110"/>
      <c r="AA779" s="130">
        <v>1</v>
      </c>
      <c r="AB779" s="111">
        <v>15.28</v>
      </c>
      <c r="AC779" s="110"/>
      <c r="AD779" s="110"/>
      <c r="AE779" s="130">
        <v>0</v>
      </c>
      <c r="AF779" s="111">
        <v>0</v>
      </c>
      <c r="AG779" s="110"/>
      <c r="AH779" s="110"/>
      <c r="AI779" s="110"/>
      <c r="AJ779" s="110"/>
      <c r="AK779" s="111">
        <f t="shared" si="165"/>
        <v>30.56</v>
      </c>
      <c r="AL779" s="446">
        <f t="shared" si="166"/>
        <v>-9.9999999999980105E-3</v>
      </c>
      <c r="AM779" s="110">
        <f t="shared" si="167"/>
        <v>2</v>
      </c>
      <c r="AN779" s="447">
        <f t="shared" si="171"/>
        <v>0</v>
      </c>
      <c r="AO779"/>
      <c r="AP779"/>
    </row>
    <row r="780" spans="1:42" ht="66" x14ac:dyDescent="0.25">
      <c r="A780" s="9"/>
      <c r="B780" s="34" t="s">
        <v>108</v>
      </c>
      <c r="C780" s="20"/>
      <c r="D780" s="869">
        <f>2</f>
        <v>2</v>
      </c>
      <c r="E780" s="1027" t="s">
        <v>1725</v>
      </c>
      <c r="F780" s="278" t="s">
        <v>3446</v>
      </c>
      <c r="G780" s="1040" t="s">
        <v>3463</v>
      </c>
      <c r="H780" s="273" t="s">
        <v>3462</v>
      </c>
      <c r="I780" s="720">
        <f t="shared" si="172"/>
        <v>39.984999999999999</v>
      </c>
      <c r="J780" s="756">
        <f>79.97</f>
        <v>79.97</v>
      </c>
      <c r="K780" s="131">
        <f t="shared" si="170"/>
        <v>79.97</v>
      </c>
      <c r="L780" s="335">
        <f t="shared" si="169"/>
        <v>0</v>
      </c>
      <c r="M780" s="446"/>
      <c r="N780" s="446"/>
      <c r="O780" s="446"/>
      <c r="P780" s="446"/>
      <c r="Q780" s="130">
        <v>0</v>
      </c>
      <c r="R780" s="111">
        <v>0</v>
      </c>
      <c r="S780" s="110"/>
      <c r="T780" s="110"/>
      <c r="U780" s="130">
        <v>1</v>
      </c>
      <c r="V780" s="111">
        <v>39.99</v>
      </c>
      <c r="W780" s="110"/>
      <c r="X780" s="110"/>
      <c r="Y780" s="110"/>
      <c r="Z780" s="110"/>
      <c r="AA780" s="130">
        <v>1</v>
      </c>
      <c r="AB780" s="111">
        <v>39.99</v>
      </c>
      <c r="AC780" s="110"/>
      <c r="AD780" s="110"/>
      <c r="AE780" s="130">
        <v>0</v>
      </c>
      <c r="AF780" s="111">
        <v>0</v>
      </c>
      <c r="AG780" s="110"/>
      <c r="AH780" s="110"/>
      <c r="AI780" s="110"/>
      <c r="AJ780" s="110"/>
      <c r="AK780" s="111">
        <f t="shared" si="165"/>
        <v>79.98</v>
      </c>
      <c r="AL780" s="446">
        <f t="shared" si="166"/>
        <v>-1.0000000000005116E-2</v>
      </c>
      <c r="AM780" s="110">
        <f t="shared" si="167"/>
        <v>2</v>
      </c>
      <c r="AN780" s="447">
        <f t="shared" si="171"/>
        <v>0</v>
      </c>
      <c r="AO780"/>
      <c r="AP780"/>
    </row>
    <row r="781" spans="1:42" ht="66" x14ac:dyDescent="0.25">
      <c r="A781" s="9"/>
      <c r="B781" s="34" t="s">
        <v>1075</v>
      </c>
      <c r="C781" s="20"/>
      <c r="D781" s="869">
        <f>13+54+152+24</f>
        <v>243</v>
      </c>
      <c r="E781" s="247" t="s">
        <v>1725</v>
      </c>
      <c r="F781" s="273" t="s">
        <v>3446</v>
      </c>
      <c r="G781" s="1040" t="s">
        <v>3463</v>
      </c>
      <c r="H781" s="273" t="s">
        <v>3462</v>
      </c>
      <c r="I781" s="720">
        <f t="shared" si="172"/>
        <v>205.55539094650203</v>
      </c>
      <c r="J781" s="756">
        <f>2092.13+10284.79+34214.31+3439.81-81.08</f>
        <v>49949.959999999992</v>
      </c>
      <c r="K781" s="131">
        <f t="shared" si="170"/>
        <v>49949.959999999992</v>
      </c>
      <c r="L781" s="335">
        <f t="shared" si="169"/>
        <v>0</v>
      </c>
      <c r="M781" s="446"/>
      <c r="N781" s="446"/>
      <c r="O781" s="446"/>
      <c r="P781" s="446"/>
      <c r="Q781" s="110">
        <v>61</v>
      </c>
      <c r="R781" s="111">
        <f t="shared" si="159"/>
        <v>12487.489999999998</v>
      </c>
      <c r="S781" s="110"/>
      <c r="T781" s="110"/>
      <c r="U781" s="110">
        <v>61</v>
      </c>
      <c r="V781" s="111">
        <f t="shared" si="160"/>
        <v>12487.489999999998</v>
      </c>
      <c r="W781" s="110"/>
      <c r="X781" s="110"/>
      <c r="Y781" s="110"/>
      <c r="Z781" s="110"/>
      <c r="AA781" s="110">
        <v>61</v>
      </c>
      <c r="AB781" s="111">
        <f t="shared" si="161"/>
        <v>12487.489999999998</v>
      </c>
      <c r="AC781" s="110"/>
      <c r="AD781" s="110"/>
      <c r="AE781" s="110">
        <v>60</v>
      </c>
      <c r="AF781" s="111">
        <f t="shared" si="162"/>
        <v>12487.489999999998</v>
      </c>
      <c r="AG781" s="110"/>
      <c r="AH781" s="110"/>
      <c r="AI781" s="110"/>
      <c r="AJ781" s="110"/>
      <c r="AK781" s="111">
        <f t="shared" si="165"/>
        <v>49949.959999999992</v>
      </c>
      <c r="AL781" s="446">
        <f t="shared" si="166"/>
        <v>0</v>
      </c>
      <c r="AM781" s="110">
        <f t="shared" si="167"/>
        <v>243</v>
      </c>
      <c r="AN781" s="447">
        <f t="shared" si="171"/>
        <v>0</v>
      </c>
      <c r="AO781"/>
      <c r="AP781"/>
    </row>
    <row r="782" spans="1:42" ht="66" x14ac:dyDescent="0.25">
      <c r="A782" s="9"/>
      <c r="B782" s="34" t="s">
        <v>1411</v>
      </c>
      <c r="C782" s="20"/>
      <c r="D782" s="869">
        <f>50</f>
        <v>50</v>
      </c>
      <c r="E782" s="1027" t="s">
        <v>1721</v>
      </c>
      <c r="F782" s="273" t="s">
        <v>3446</v>
      </c>
      <c r="G782" s="1040" t="s">
        <v>3463</v>
      </c>
      <c r="H782" s="273" t="s">
        <v>3462</v>
      </c>
      <c r="I782" s="720">
        <f t="shared" si="172"/>
        <v>14</v>
      </c>
      <c r="J782" s="756">
        <v>700</v>
      </c>
      <c r="K782" s="131">
        <f t="shared" si="170"/>
        <v>700</v>
      </c>
      <c r="L782" s="335">
        <f t="shared" si="169"/>
        <v>0</v>
      </c>
      <c r="M782" s="446"/>
      <c r="N782" s="446"/>
      <c r="O782" s="446"/>
      <c r="P782" s="446"/>
      <c r="Q782" s="110">
        <v>13</v>
      </c>
      <c r="R782" s="111">
        <f t="shared" si="159"/>
        <v>175</v>
      </c>
      <c r="S782" s="110"/>
      <c r="T782" s="110"/>
      <c r="U782" s="110">
        <v>12</v>
      </c>
      <c r="V782" s="111">
        <f t="shared" si="160"/>
        <v>175</v>
      </c>
      <c r="W782" s="110"/>
      <c r="X782" s="110"/>
      <c r="Y782" s="110"/>
      <c r="Z782" s="110"/>
      <c r="AA782" s="110">
        <v>12</v>
      </c>
      <c r="AB782" s="111">
        <f t="shared" si="161"/>
        <v>175</v>
      </c>
      <c r="AC782" s="110"/>
      <c r="AD782" s="110"/>
      <c r="AE782" s="110">
        <v>13</v>
      </c>
      <c r="AF782" s="111">
        <f t="shared" si="162"/>
        <v>175</v>
      </c>
      <c r="AG782" s="110"/>
      <c r="AH782" s="110"/>
      <c r="AI782" s="110"/>
      <c r="AJ782" s="110"/>
      <c r="AK782" s="111">
        <f t="shared" si="165"/>
        <v>700</v>
      </c>
      <c r="AL782" s="446">
        <f t="shared" si="166"/>
        <v>0</v>
      </c>
      <c r="AM782" s="110">
        <f t="shared" si="167"/>
        <v>50</v>
      </c>
      <c r="AN782" s="447">
        <f t="shared" si="171"/>
        <v>0</v>
      </c>
      <c r="AO782"/>
      <c r="AP782"/>
    </row>
    <row r="783" spans="1:42" ht="66" x14ac:dyDescent="0.25">
      <c r="A783" s="9"/>
      <c r="B783" s="34" t="s">
        <v>109</v>
      </c>
      <c r="C783" s="20"/>
      <c r="D783" s="869">
        <f>6+53+8+14+17</f>
        <v>98</v>
      </c>
      <c r="E783" s="247" t="s">
        <v>1725</v>
      </c>
      <c r="F783" s="273" t="s">
        <v>3446</v>
      </c>
      <c r="G783" s="1040" t="s">
        <v>3463</v>
      </c>
      <c r="H783" s="273" t="s">
        <v>3462</v>
      </c>
      <c r="I783" s="720">
        <f t="shared" si="172"/>
        <v>219.70683673469389</v>
      </c>
      <c r="J783" s="756">
        <f>1082.5+11864.94+1666.97+3408.25+3508.61</f>
        <v>21531.27</v>
      </c>
      <c r="K783" s="131">
        <f t="shared" si="170"/>
        <v>21531.27</v>
      </c>
      <c r="L783" s="335">
        <f t="shared" si="169"/>
        <v>0</v>
      </c>
      <c r="M783" s="446"/>
      <c r="N783" s="446"/>
      <c r="O783" s="446"/>
      <c r="P783" s="446"/>
      <c r="Q783" s="110">
        <v>30</v>
      </c>
      <c r="R783" s="111">
        <f t="shared" si="159"/>
        <v>5382.8175000000001</v>
      </c>
      <c r="S783" s="110"/>
      <c r="T783" s="110"/>
      <c r="U783" s="110">
        <v>30</v>
      </c>
      <c r="V783" s="111">
        <f t="shared" si="160"/>
        <v>5382.8175000000001</v>
      </c>
      <c r="W783" s="110"/>
      <c r="X783" s="110"/>
      <c r="Y783" s="110"/>
      <c r="Z783" s="110"/>
      <c r="AA783" s="110">
        <v>30</v>
      </c>
      <c r="AB783" s="111">
        <f t="shared" si="161"/>
        <v>5382.8175000000001</v>
      </c>
      <c r="AC783" s="110"/>
      <c r="AD783" s="110"/>
      <c r="AE783" s="110">
        <v>8</v>
      </c>
      <c r="AF783" s="111">
        <f t="shared" si="162"/>
        <v>5382.8175000000001</v>
      </c>
      <c r="AG783" s="110"/>
      <c r="AH783" s="110"/>
      <c r="AI783" s="110"/>
      <c r="AJ783" s="110"/>
      <c r="AK783" s="111">
        <f t="shared" si="165"/>
        <v>21531.27</v>
      </c>
      <c r="AL783" s="446">
        <f t="shared" si="166"/>
        <v>0</v>
      </c>
      <c r="AM783" s="110">
        <f t="shared" si="167"/>
        <v>98</v>
      </c>
      <c r="AN783" s="447">
        <f t="shared" si="171"/>
        <v>0</v>
      </c>
      <c r="AO783"/>
      <c r="AP783"/>
    </row>
    <row r="784" spans="1:42" ht="66" x14ac:dyDescent="0.25">
      <c r="A784" s="9"/>
      <c r="B784" s="34" t="s">
        <v>1076</v>
      </c>
      <c r="C784" s="20"/>
      <c r="D784" s="869">
        <f>1+2+20</f>
        <v>23</v>
      </c>
      <c r="E784" s="1027" t="s">
        <v>1725</v>
      </c>
      <c r="F784" s="273" t="s">
        <v>3446</v>
      </c>
      <c r="G784" s="1040" t="s">
        <v>3463</v>
      </c>
      <c r="H784" s="273" t="s">
        <v>3462</v>
      </c>
      <c r="I784" s="720">
        <f t="shared" si="172"/>
        <v>311.30304347826086</v>
      </c>
      <c r="J784" s="756">
        <f>39.97+389.66+7120-389.66</f>
        <v>7159.97</v>
      </c>
      <c r="K784" s="131">
        <f t="shared" si="170"/>
        <v>7159.9699999999993</v>
      </c>
      <c r="L784" s="335">
        <f t="shared" si="169"/>
        <v>0</v>
      </c>
      <c r="M784" s="446"/>
      <c r="N784" s="446"/>
      <c r="O784" s="446"/>
      <c r="P784" s="446"/>
      <c r="Q784" s="110">
        <v>6</v>
      </c>
      <c r="R784" s="111">
        <f t="shared" si="159"/>
        <v>1789.9925000000001</v>
      </c>
      <c r="S784" s="110"/>
      <c r="T784" s="110"/>
      <c r="U784" s="110">
        <v>6</v>
      </c>
      <c r="V784" s="111">
        <f t="shared" si="160"/>
        <v>1789.9925000000001</v>
      </c>
      <c r="W784" s="110"/>
      <c r="X784" s="110"/>
      <c r="Y784" s="110"/>
      <c r="Z784" s="110"/>
      <c r="AA784" s="110">
        <v>6</v>
      </c>
      <c r="AB784" s="111">
        <f t="shared" si="161"/>
        <v>1789.9925000000001</v>
      </c>
      <c r="AC784" s="110"/>
      <c r="AD784" s="110"/>
      <c r="AE784" s="110">
        <v>5</v>
      </c>
      <c r="AF784" s="111">
        <f t="shared" si="162"/>
        <v>1789.9925000000001</v>
      </c>
      <c r="AG784" s="110"/>
      <c r="AH784" s="110"/>
      <c r="AI784" s="110"/>
      <c r="AJ784" s="110"/>
      <c r="AK784" s="111">
        <f t="shared" si="165"/>
        <v>7159.97</v>
      </c>
      <c r="AL784" s="446">
        <f t="shared" si="166"/>
        <v>0</v>
      </c>
      <c r="AM784" s="110">
        <f t="shared" si="167"/>
        <v>23</v>
      </c>
      <c r="AN784" s="447">
        <f t="shared" si="171"/>
        <v>0</v>
      </c>
      <c r="AO784"/>
      <c r="AP784"/>
    </row>
    <row r="785" spans="1:42" ht="66" x14ac:dyDescent="0.25">
      <c r="A785" s="9"/>
      <c r="B785" s="34" t="s">
        <v>110</v>
      </c>
      <c r="C785" s="20"/>
      <c r="D785" s="869">
        <f>9+16+1</f>
        <v>26</v>
      </c>
      <c r="E785" s="1027" t="s">
        <v>1725</v>
      </c>
      <c r="F785" s="273" t="s">
        <v>3446</v>
      </c>
      <c r="G785" s="1040" t="s">
        <v>3463</v>
      </c>
      <c r="H785" s="273" t="s">
        <v>3462</v>
      </c>
      <c r="I785" s="720">
        <f t="shared" si="172"/>
        <v>86.544230769230751</v>
      </c>
      <c r="J785" s="756">
        <f>1272.24+1370.99+319.72-712.8</f>
        <v>2250.1499999999996</v>
      </c>
      <c r="K785" s="131">
        <f t="shared" si="170"/>
        <v>2250.1499999999996</v>
      </c>
      <c r="L785" s="335">
        <f t="shared" si="169"/>
        <v>0</v>
      </c>
      <c r="M785" s="446"/>
      <c r="N785" s="446"/>
      <c r="O785" s="446"/>
      <c r="P785" s="446"/>
      <c r="Q785" s="110">
        <v>7</v>
      </c>
      <c r="R785" s="111">
        <f t="shared" si="159"/>
        <v>562.53749999999991</v>
      </c>
      <c r="S785" s="110"/>
      <c r="T785" s="110"/>
      <c r="U785" s="110">
        <v>7</v>
      </c>
      <c r="V785" s="111">
        <f t="shared" si="160"/>
        <v>562.53749999999991</v>
      </c>
      <c r="W785" s="110"/>
      <c r="X785" s="110"/>
      <c r="Y785" s="110"/>
      <c r="Z785" s="110"/>
      <c r="AA785" s="110">
        <v>6</v>
      </c>
      <c r="AB785" s="111">
        <f t="shared" si="161"/>
        <v>562.53749999999991</v>
      </c>
      <c r="AC785" s="110"/>
      <c r="AD785" s="110"/>
      <c r="AE785" s="110">
        <v>6</v>
      </c>
      <c r="AF785" s="111">
        <f t="shared" si="162"/>
        <v>562.53749999999991</v>
      </c>
      <c r="AG785" s="110"/>
      <c r="AH785" s="110"/>
      <c r="AI785" s="110"/>
      <c r="AJ785" s="110"/>
      <c r="AK785" s="111">
        <f t="shared" si="165"/>
        <v>2250.1499999999996</v>
      </c>
      <c r="AL785" s="446">
        <f t="shared" si="166"/>
        <v>0</v>
      </c>
      <c r="AM785" s="110">
        <f t="shared" si="167"/>
        <v>26</v>
      </c>
      <c r="AN785" s="447">
        <f t="shared" si="171"/>
        <v>0</v>
      </c>
      <c r="AO785"/>
      <c r="AP785"/>
    </row>
    <row r="786" spans="1:42" ht="66" x14ac:dyDescent="0.25">
      <c r="A786" s="9"/>
      <c r="B786" s="34" t="s">
        <v>111</v>
      </c>
      <c r="C786" s="20"/>
      <c r="D786" s="869">
        <f>12+13+3</f>
        <v>28</v>
      </c>
      <c r="E786" s="1027" t="s">
        <v>1725</v>
      </c>
      <c r="F786" s="273" t="s">
        <v>3446</v>
      </c>
      <c r="G786" s="1040" t="s">
        <v>3463</v>
      </c>
      <c r="H786" s="273" t="s">
        <v>3462</v>
      </c>
      <c r="I786" s="720">
        <f t="shared" si="172"/>
        <v>142.17964285714285</v>
      </c>
      <c r="J786" s="756">
        <f>1657.31+1861.72+462</f>
        <v>3981.0299999999997</v>
      </c>
      <c r="K786" s="131">
        <f t="shared" si="170"/>
        <v>3981.0299999999997</v>
      </c>
      <c r="L786" s="335">
        <f t="shared" si="169"/>
        <v>0</v>
      </c>
      <c r="M786" s="446"/>
      <c r="N786" s="446"/>
      <c r="O786" s="446"/>
      <c r="P786" s="446"/>
      <c r="Q786" s="110">
        <f t="shared" si="156"/>
        <v>7</v>
      </c>
      <c r="R786" s="111">
        <f t="shared" si="159"/>
        <v>995.25749999999994</v>
      </c>
      <c r="S786" s="110"/>
      <c r="T786" s="110"/>
      <c r="U786" s="110">
        <f t="shared" si="157"/>
        <v>7</v>
      </c>
      <c r="V786" s="111">
        <f t="shared" si="160"/>
        <v>995.25749999999994</v>
      </c>
      <c r="W786" s="110"/>
      <c r="X786" s="110"/>
      <c r="Y786" s="110"/>
      <c r="Z786" s="110"/>
      <c r="AA786" s="110">
        <f t="shared" si="158"/>
        <v>7</v>
      </c>
      <c r="AB786" s="111">
        <f t="shared" si="161"/>
        <v>995.25749999999994</v>
      </c>
      <c r="AC786" s="110"/>
      <c r="AD786" s="110"/>
      <c r="AE786" s="110">
        <f t="shared" si="158"/>
        <v>7</v>
      </c>
      <c r="AF786" s="111">
        <f t="shared" si="162"/>
        <v>995.25749999999994</v>
      </c>
      <c r="AG786" s="110"/>
      <c r="AH786" s="110"/>
      <c r="AI786" s="110"/>
      <c r="AJ786" s="110"/>
      <c r="AK786" s="111">
        <f t="shared" si="165"/>
        <v>3981.0299999999997</v>
      </c>
      <c r="AL786" s="446">
        <f t="shared" si="166"/>
        <v>0</v>
      </c>
      <c r="AM786" s="110">
        <f t="shared" si="167"/>
        <v>28</v>
      </c>
      <c r="AN786" s="447">
        <f t="shared" si="171"/>
        <v>0</v>
      </c>
      <c r="AO786"/>
      <c r="AP786"/>
    </row>
    <row r="787" spans="1:42" ht="66" x14ac:dyDescent="0.25">
      <c r="A787" s="9"/>
      <c r="B787" s="34" t="s">
        <v>112</v>
      </c>
      <c r="C787" s="20"/>
      <c r="D787" s="869">
        <f>5+3</f>
        <v>8</v>
      </c>
      <c r="E787" s="1027" t="s">
        <v>1725</v>
      </c>
      <c r="F787" s="273" t="s">
        <v>3446</v>
      </c>
      <c r="G787" s="1040" t="s">
        <v>3463</v>
      </c>
      <c r="H787" s="273" t="s">
        <v>3462</v>
      </c>
      <c r="I787" s="720">
        <f t="shared" si="172"/>
        <v>335.53125</v>
      </c>
      <c r="J787" s="756">
        <f>1769.25+915</f>
        <v>2684.25</v>
      </c>
      <c r="K787" s="131">
        <f t="shared" si="170"/>
        <v>2684.25</v>
      </c>
      <c r="L787" s="335">
        <f t="shared" si="169"/>
        <v>0</v>
      </c>
      <c r="M787" s="446"/>
      <c r="N787" s="446"/>
      <c r="O787" s="446"/>
      <c r="P787" s="446"/>
      <c r="Q787" s="110">
        <f t="shared" si="156"/>
        <v>2</v>
      </c>
      <c r="R787" s="111">
        <f t="shared" si="159"/>
        <v>671.0625</v>
      </c>
      <c r="S787" s="110"/>
      <c r="T787" s="110"/>
      <c r="U787" s="110">
        <f t="shared" si="157"/>
        <v>2</v>
      </c>
      <c r="V787" s="111">
        <f t="shared" si="160"/>
        <v>671.0625</v>
      </c>
      <c r="W787" s="110"/>
      <c r="X787" s="110"/>
      <c r="Y787" s="110"/>
      <c r="Z787" s="110"/>
      <c r="AA787" s="110">
        <f t="shared" si="158"/>
        <v>2</v>
      </c>
      <c r="AB787" s="111">
        <f t="shared" si="161"/>
        <v>671.0625</v>
      </c>
      <c r="AC787" s="110"/>
      <c r="AD787" s="110"/>
      <c r="AE787" s="110">
        <f t="shared" si="158"/>
        <v>2</v>
      </c>
      <c r="AF787" s="111">
        <f t="shared" si="162"/>
        <v>671.0625</v>
      </c>
      <c r="AG787" s="110"/>
      <c r="AH787" s="110"/>
      <c r="AI787" s="110"/>
      <c r="AJ787" s="110"/>
      <c r="AK787" s="111">
        <f t="shared" si="165"/>
        <v>2684.25</v>
      </c>
      <c r="AL787" s="446">
        <f t="shared" si="166"/>
        <v>0</v>
      </c>
      <c r="AM787" s="110">
        <f t="shared" si="167"/>
        <v>8</v>
      </c>
      <c r="AN787" s="447">
        <f t="shared" si="171"/>
        <v>0</v>
      </c>
      <c r="AO787"/>
      <c r="AP787"/>
    </row>
    <row r="788" spans="1:42" ht="66" x14ac:dyDescent="0.25">
      <c r="A788" s="9"/>
      <c r="B788" s="34" t="s">
        <v>113</v>
      </c>
      <c r="C788" s="20"/>
      <c r="D788" s="869">
        <f>1+6+2</f>
        <v>9</v>
      </c>
      <c r="E788" s="1027" t="s">
        <v>1721</v>
      </c>
      <c r="F788" s="273" t="s">
        <v>3446</v>
      </c>
      <c r="G788" s="1040" t="s">
        <v>3463</v>
      </c>
      <c r="H788" s="273" t="s">
        <v>3462</v>
      </c>
      <c r="I788" s="720">
        <f t="shared" si="172"/>
        <v>201.70555555555555</v>
      </c>
      <c r="J788" s="756">
        <f>178.21+1154.8+482.34</f>
        <v>1815.35</v>
      </c>
      <c r="K788" s="131">
        <f t="shared" si="170"/>
        <v>1815.35</v>
      </c>
      <c r="L788" s="335">
        <f t="shared" si="169"/>
        <v>0</v>
      </c>
      <c r="M788" s="446"/>
      <c r="N788" s="446"/>
      <c r="O788" s="446"/>
      <c r="P788" s="446"/>
      <c r="Q788" s="110">
        <v>3</v>
      </c>
      <c r="R788" s="111">
        <f t="shared" si="159"/>
        <v>453.83749999999998</v>
      </c>
      <c r="S788" s="110"/>
      <c r="T788" s="110"/>
      <c r="U788" s="110">
        <v>2</v>
      </c>
      <c r="V788" s="111">
        <f t="shared" si="160"/>
        <v>453.83749999999998</v>
      </c>
      <c r="W788" s="110"/>
      <c r="X788" s="110"/>
      <c r="Y788" s="110"/>
      <c r="Z788" s="110"/>
      <c r="AA788" s="110">
        <v>2</v>
      </c>
      <c r="AB788" s="111">
        <f t="shared" si="161"/>
        <v>453.83749999999998</v>
      </c>
      <c r="AC788" s="110"/>
      <c r="AD788" s="110"/>
      <c r="AE788" s="110">
        <v>2</v>
      </c>
      <c r="AF788" s="111">
        <f t="shared" si="162"/>
        <v>453.83749999999998</v>
      </c>
      <c r="AG788" s="110"/>
      <c r="AH788" s="110"/>
      <c r="AI788" s="110"/>
      <c r="AJ788" s="110"/>
      <c r="AK788" s="111">
        <f t="shared" si="165"/>
        <v>1815.35</v>
      </c>
      <c r="AL788" s="446">
        <f t="shared" si="166"/>
        <v>0</v>
      </c>
      <c r="AM788" s="110">
        <f t="shared" si="167"/>
        <v>9</v>
      </c>
      <c r="AN788" s="447">
        <f t="shared" si="171"/>
        <v>0</v>
      </c>
      <c r="AO788"/>
      <c r="AP788"/>
    </row>
    <row r="789" spans="1:42" ht="66" x14ac:dyDescent="0.25">
      <c r="A789" s="9"/>
      <c r="B789" s="34" t="s">
        <v>1077</v>
      </c>
      <c r="C789" s="20"/>
      <c r="D789" s="869">
        <f>1+2+4+10</f>
        <v>17</v>
      </c>
      <c r="E789" s="1027" t="s">
        <v>1725</v>
      </c>
      <c r="F789" s="273" t="s">
        <v>3446</v>
      </c>
      <c r="G789" s="1040" t="s">
        <v>3463</v>
      </c>
      <c r="H789" s="273" t="s">
        <v>3462</v>
      </c>
      <c r="I789" s="720">
        <f t="shared" si="172"/>
        <v>23.151176470588236</v>
      </c>
      <c r="J789" s="756">
        <f>14.36+41.58+96.47+241.16</f>
        <v>393.57</v>
      </c>
      <c r="K789" s="131">
        <f t="shared" si="170"/>
        <v>393.57</v>
      </c>
      <c r="L789" s="335">
        <f t="shared" si="169"/>
        <v>0</v>
      </c>
      <c r="M789" s="446"/>
      <c r="N789" s="446"/>
      <c r="O789" s="446"/>
      <c r="P789" s="446"/>
      <c r="Q789" s="110">
        <v>5</v>
      </c>
      <c r="R789" s="111">
        <f t="shared" si="159"/>
        <v>98.392499999999998</v>
      </c>
      <c r="S789" s="110"/>
      <c r="T789" s="110"/>
      <c r="U789" s="110">
        <v>4</v>
      </c>
      <c r="V789" s="111">
        <f t="shared" si="160"/>
        <v>98.392499999999998</v>
      </c>
      <c r="W789" s="110"/>
      <c r="X789" s="110"/>
      <c r="Y789" s="110"/>
      <c r="Z789" s="110"/>
      <c r="AA789" s="110">
        <v>4</v>
      </c>
      <c r="AB789" s="111">
        <f t="shared" si="161"/>
        <v>98.392499999999998</v>
      </c>
      <c r="AC789" s="110"/>
      <c r="AD789" s="110"/>
      <c r="AE789" s="110">
        <v>4</v>
      </c>
      <c r="AF789" s="111">
        <f t="shared" si="162"/>
        <v>98.392499999999998</v>
      </c>
      <c r="AG789" s="110"/>
      <c r="AH789" s="110"/>
      <c r="AI789" s="110"/>
      <c r="AJ789" s="110"/>
      <c r="AK789" s="111">
        <f t="shared" si="165"/>
        <v>393.57</v>
      </c>
      <c r="AL789" s="446">
        <f t="shared" si="166"/>
        <v>0</v>
      </c>
      <c r="AM789" s="110">
        <f t="shared" si="167"/>
        <v>17</v>
      </c>
      <c r="AN789" s="447">
        <f t="shared" si="171"/>
        <v>0</v>
      </c>
      <c r="AO789"/>
      <c r="AP789"/>
    </row>
    <row r="790" spans="1:42" ht="66" x14ac:dyDescent="0.25">
      <c r="A790" s="9"/>
      <c r="B790" s="34" t="s">
        <v>114</v>
      </c>
      <c r="C790" s="20"/>
      <c r="D790" s="869">
        <f>4+4+6</f>
        <v>14</v>
      </c>
      <c r="E790" s="1027" t="s">
        <v>1725</v>
      </c>
      <c r="F790" s="273" t="s">
        <v>3446</v>
      </c>
      <c r="G790" s="1040" t="s">
        <v>3463</v>
      </c>
      <c r="H790" s="273" t="s">
        <v>3462</v>
      </c>
      <c r="I790" s="720">
        <f t="shared" si="172"/>
        <v>20.486428571428572</v>
      </c>
      <c r="J790" s="756">
        <f>64.34+96.47+126</f>
        <v>286.81</v>
      </c>
      <c r="K790" s="131">
        <f t="shared" si="170"/>
        <v>286.81</v>
      </c>
      <c r="L790" s="335">
        <f t="shared" si="169"/>
        <v>0</v>
      </c>
      <c r="M790" s="446"/>
      <c r="N790" s="446"/>
      <c r="O790" s="446"/>
      <c r="P790" s="446"/>
      <c r="Q790" s="110">
        <f t="shared" si="156"/>
        <v>3.5</v>
      </c>
      <c r="R790" s="111">
        <f t="shared" si="159"/>
        <v>71.702500000000001</v>
      </c>
      <c r="S790" s="110"/>
      <c r="T790" s="110"/>
      <c r="U790" s="110">
        <f t="shared" si="157"/>
        <v>3.5</v>
      </c>
      <c r="V790" s="111">
        <f t="shared" si="160"/>
        <v>71.702500000000001</v>
      </c>
      <c r="W790" s="110"/>
      <c r="X790" s="110"/>
      <c r="Y790" s="110"/>
      <c r="Z790" s="110"/>
      <c r="AA790" s="110">
        <f t="shared" si="158"/>
        <v>3.5</v>
      </c>
      <c r="AB790" s="111">
        <f t="shared" si="161"/>
        <v>71.702500000000001</v>
      </c>
      <c r="AC790" s="110"/>
      <c r="AD790" s="110"/>
      <c r="AE790" s="110">
        <f t="shared" si="158"/>
        <v>3.5</v>
      </c>
      <c r="AF790" s="111">
        <f t="shared" si="162"/>
        <v>71.702500000000001</v>
      </c>
      <c r="AG790" s="110"/>
      <c r="AH790" s="110"/>
      <c r="AI790" s="110"/>
      <c r="AJ790" s="110"/>
      <c r="AK790" s="111">
        <f t="shared" si="165"/>
        <v>286.81</v>
      </c>
      <c r="AL790" s="446">
        <f t="shared" si="166"/>
        <v>0</v>
      </c>
      <c r="AM790" s="110">
        <f t="shared" si="167"/>
        <v>14</v>
      </c>
      <c r="AN790" s="447">
        <f t="shared" si="171"/>
        <v>0</v>
      </c>
      <c r="AO790"/>
      <c r="AP790"/>
    </row>
    <row r="791" spans="1:42" ht="66" x14ac:dyDescent="0.25">
      <c r="A791" s="9"/>
      <c r="B791" s="34" t="s">
        <v>115</v>
      </c>
      <c r="C791" s="20"/>
      <c r="D791" s="869">
        <f>5+157+10+8</f>
        <v>180</v>
      </c>
      <c r="E791" s="1027" t="s">
        <v>1721</v>
      </c>
      <c r="F791" s="273" t="s">
        <v>3446</v>
      </c>
      <c r="G791" s="1040" t="s">
        <v>3463</v>
      </c>
      <c r="H791" s="273" t="s">
        <v>3462</v>
      </c>
      <c r="I791" s="720">
        <f t="shared" si="172"/>
        <v>23.386777777777777</v>
      </c>
      <c r="J791" s="756">
        <f>99.4+4373.82+250+171.68-685.28</f>
        <v>4209.62</v>
      </c>
      <c r="K791" s="131">
        <f t="shared" si="170"/>
        <v>4209.62</v>
      </c>
      <c r="L791" s="335">
        <f t="shared" si="169"/>
        <v>0</v>
      </c>
      <c r="M791" s="446"/>
      <c r="N791" s="446"/>
      <c r="O791" s="446"/>
      <c r="P791" s="446"/>
      <c r="Q791" s="110">
        <f t="shared" si="156"/>
        <v>45</v>
      </c>
      <c r="R791" s="111">
        <f t="shared" si="159"/>
        <v>1052.405</v>
      </c>
      <c r="S791" s="110"/>
      <c r="T791" s="110"/>
      <c r="U791" s="110">
        <f t="shared" si="157"/>
        <v>45</v>
      </c>
      <c r="V791" s="111">
        <f t="shared" si="160"/>
        <v>1052.405</v>
      </c>
      <c r="W791" s="110"/>
      <c r="X791" s="110"/>
      <c r="Y791" s="110"/>
      <c r="Z791" s="110"/>
      <c r="AA791" s="110">
        <f t="shared" si="158"/>
        <v>45</v>
      </c>
      <c r="AB791" s="111">
        <f t="shared" si="161"/>
        <v>1052.405</v>
      </c>
      <c r="AC791" s="110"/>
      <c r="AD791" s="110"/>
      <c r="AE791" s="110">
        <f t="shared" si="158"/>
        <v>45</v>
      </c>
      <c r="AF791" s="111">
        <f t="shared" si="162"/>
        <v>1052.405</v>
      </c>
      <c r="AG791" s="110"/>
      <c r="AH791" s="110"/>
      <c r="AI791" s="110"/>
      <c r="AJ791" s="110"/>
      <c r="AK791" s="111">
        <f t="shared" si="165"/>
        <v>4209.62</v>
      </c>
      <c r="AL791" s="446">
        <f t="shared" si="166"/>
        <v>0</v>
      </c>
      <c r="AM791" s="110">
        <f t="shared" si="167"/>
        <v>180</v>
      </c>
      <c r="AN791" s="447">
        <f t="shared" si="171"/>
        <v>0</v>
      </c>
      <c r="AO791"/>
      <c r="AP791"/>
    </row>
    <row r="792" spans="1:42" ht="66" x14ac:dyDescent="0.25">
      <c r="A792" s="9"/>
      <c r="B792" s="34" t="s">
        <v>116</v>
      </c>
      <c r="C792" s="20"/>
      <c r="D792" s="869">
        <f>20+76+19+87+10</f>
        <v>212</v>
      </c>
      <c r="E792" s="1027" t="s">
        <v>1725</v>
      </c>
      <c r="F792" s="273" t="s">
        <v>3446</v>
      </c>
      <c r="G792" s="1040" t="s">
        <v>3463</v>
      </c>
      <c r="H792" s="273" t="s">
        <v>3462</v>
      </c>
      <c r="I792" s="720">
        <f t="shared" si="172"/>
        <v>44.808066037735848</v>
      </c>
      <c r="J792" s="756">
        <f>2300+2883.87+626.2+3062.84+626.4</f>
        <v>9499.31</v>
      </c>
      <c r="K792" s="131">
        <f t="shared" si="170"/>
        <v>9499.31</v>
      </c>
      <c r="L792" s="335">
        <f t="shared" si="169"/>
        <v>0</v>
      </c>
      <c r="M792" s="446"/>
      <c r="N792" s="446"/>
      <c r="O792" s="446"/>
      <c r="P792" s="446"/>
      <c r="Q792" s="110">
        <f t="shared" si="156"/>
        <v>53</v>
      </c>
      <c r="R792" s="111">
        <f t="shared" si="159"/>
        <v>2374.8274999999999</v>
      </c>
      <c r="S792" s="110"/>
      <c r="T792" s="110"/>
      <c r="U792" s="110">
        <f t="shared" si="157"/>
        <v>53</v>
      </c>
      <c r="V792" s="111">
        <f t="shared" si="160"/>
        <v>2374.8274999999999</v>
      </c>
      <c r="W792" s="110"/>
      <c r="X792" s="110"/>
      <c r="Y792" s="110"/>
      <c r="Z792" s="110"/>
      <c r="AA792" s="110">
        <f t="shared" si="158"/>
        <v>53</v>
      </c>
      <c r="AB792" s="111">
        <f t="shared" si="161"/>
        <v>2374.8274999999999</v>
      </c>
      <c r="AC792" s="110"/>
      <c r="AD792" s="110"/>
      <c r="AE792" s="110">
        <f t="shared" si="158"/>
        <v>53</v>
      </c>
      <c r="AF792" s="111">
        <f t="shared" si="162"/>
        <v>2374.8274999999999</v>
      </c>
      <c r="AG792" s="110"/>
      <c r="AH792" s="110"/>
      <c r="AI792" s="110"/>
      <c r="AJ792" s="110"/>
      <c r="AK792" s="111">
        <f t="shared" si="165"/>
        <v>9499.31</v>
      </c>
      <c r="AL792" s="446">
        <f t="shared" si="166"/>
        <v>0</v>
      </c>
      <c r="AM792" s="110">
        <f t="shared" si="167"/>
        <v>212</v>
      </c>
      <c r="AN792" s="447">
        <f t="shared" si="171"/>
        <v>0</v>
      </c>
      <c r="AO792"/>
      <c r="AP792"/>
    </row>
    <row r="793" spans="1:42" ht="66" x14ac:dyDescent="0.25">
      <c r="A793" s="9"/>
      <c r="B793" s="34" t="s">
        <v>1138</v>
      </c>
      <c r="C793" s="20"/>
      <c r="D793" s="869">
        <f>8600</f>
        <v>8600</v>
      </c>
      <c r="E793" s="1027" t="s">
        <v>1749</v>
      </c>
      <c r="F793" s="273" t="s">
        <v>3446</v>
      </c>
      <c r="G793" s="1040" t="s">
        <v>3463</v>
      </c>
      <c r="H793" s="273" t="s">
        <v>3462</v>
      </c>
      <c r="I793" s="720">
        <f t="shared" si="172"/>
        <v>2.2172093023255814</v>
      </c>
      <c r="J793" s="756">
        <f>19068</f>
        <v>19068</v>
      </c>
      <c r="K793" s="131">
        <f t="shared" si="170"/>
        <v>19068</v>
      </c>
      <c r="L793" s="335">
        <f t="shared" si="169"/>
        <v>0</v>
      </c>
      <c r="M793" s="446"/>
      <c r="N793" s="446"/>
      <c r="O793" s="446"/>
      <c r="P793" s="446"/>
      <c r="Q793" s="110">
        <f t="shared" si="156"/>
        <v>2150</v>
      </c>
      <c r="R793" s="111">
        <f t="shared" si="159"/>
        <v>4767</v>
      </c>
      <c r="S793" s="110"/>
      <c r="T793" s="110"/>
      <c r="U793" s="110">
        <f t="shared" si="157"/>
        <v>2150</v>
      </c>
      <c r="V793" s="111">
        <f t="shared" si="160"/>
        <v>4767</v>
      </c>
      <c r="W793" s="110"/>
      <c r="X793" s="110"/>
      <c r="Y793" s="110"/>
      <c r="Z793" s="110"/>
      <c r="AA793" s="110">
        <f t="shared" si="158"/>
        <v>2150</v>
      </c>
      <c r="AB793" s="111">
        <f t="shared" si="161"/>
        <v>4767</v>
      </c>
      <c r="AC793" s="110"/>
      <c r="AD793" s="110"/>
      <c r="AE793" s="110">
        <f t="shared" si="158"/>
        <v>2150</v>
      </c>
      <c r="AF793" s="111">
        <f t="shared" si="162"/>
        <v>4767</v>
      </c>
      <c r="AG793" s="110"/>
      <c r="AH793" s="110"/>
      <c r="AI793" s="110"/>
      <c r="AJ793" s="110"/>
      <c r="AK793" s="111">
        <f t="shared" si="165"/>
        <v>19068</v>
      </c>
      <c r="AL793" s="446">
        <f t="shared" si="166"/>
        <v>0</v>
      </c>
      <c r="AM793" s="110">
        <f t="shared" si="167"/>
        <v>8600</v>
      </c>
      <c r="AN793" s="447">
        <f t="shared" si="171"/>
        <v>0</v>
      </c>
      <c r="AO793"/>
      <c r="AP793"/>
    </row>
    <row r="794" spans="1:42" ht="66" x14ac:dyDescent="0.25">
      <c r="A794" s="9"/>
      <c r="B794" s="34" t="s">
        <v>1139</v>
      </c>
      <c r="C794" s="20"/>
      <c r="D794" s="869">
        <f>3000</f>
        <v>3000</v>
      </c>
      <c r="E794" s="1025" t="s">
        <v>1721</v>
      </c>
      <c r="F794" s="273" t="s">
        <v>3446</v>
      </c>
      <c r="G794" s="1040" t="s">
        <v>3463</v>
      </c>
      <c r="H794" s="273" t="s">
        <v>3462</v>
      </c>
      <c r="I794" s="720">
        <f t="shared" si="172"/>
        <v>2.1924000000000001</v>
      </c>
      <c r="J794" s="756">
        <f>6577.2</f>
        <v>6577.2</v>
      </c>
      <c r="K794" s="131">
        <f t="shared" si="170"/>
        <v>6577.2000000000007</v>
      </c>
      <c r="L794" s="335">
        <f t="shared" si="169"/>
        <v>0</v>
      </c>
      <c r="M794" s="446"/>
      <c r="N794" s="446"/>
      <c r="O794" s="446"/>
      <c r="P794" s="446"/>
      <c r="Q794" s="110">
        <f t="shared" si="156"/>
        <v>750</v>
      </c>
      <c r="R794" s="111">
        <f t="shared" si="159"/>
        <v>1644.3</v>
      </c>
      <c r="S794" s="110"/>
      <c r="T794" s="110"/>
      <c r="U794" s="110">
        <f t="shared" si="157"/>
        <v>750</v>
      </c>
      <c r="V794" s="111">
        <f t="shared" si="160"/>
        <v>1644.3</v>
      </c>
      <c r="W794" s="110"/>
      <c r="X794" s="110"/>
      <c r="Y794" s="110"/>
      <c r="Z794" s="110"/>
      <c r="AA794" s="110">
        <f t="shared" si="158"/>
        <v>750</v>
      </c>
      <c r="AB794" s="111">
        <f t="shared" si="161"/>
        <v>1644.3</v>
      </c>
      <c r="AC794" s="110"/>
      <c r="AD794" s="110"/>
      <c r="AE794" s="110">
        <f t="shared" si="158"/>
        <v>750</v>
      </c>
      <c r="AF794" s="111">
        <f t="shared" si="162"/>
        <v>1644.3</v>
      </c>
      <c r="AG794" s="110"/>
      <c r="AH794" s="110"/>
      <c r="AI794" s="110"/>
      <c r="AJ794" s="110"/>
      <c r="AK794" s="111">
        <f t="shared" si="165"/>
        <v>6577.2</v>
      </c>
      <c r="AL794" s="446">
        <f t="shared" si="166"/>
        <v>0</v>
      </c>
      <c r="AM794" s="110">
        <f t="shared" si="167"/>
        <v>3000</v>
      </c>
      <c r="AN794" s="447">
        <f t="shared" si="171"/>
        <v>0</v>
      </c>
      <c r="AO794"/>
      <c r="AP794"/>
    </row>
    <row r="795" spans="1:42" ht="66" x14ac:dyDescent="0.25">
      <c r="A795" s="9"/>
      <c r="B795" s="34" t="s">
        <v>1408</v>
      </c>
      <c r="C795" s="20"/>
      <c r="D795" s="869">
        <f>50</f>
        <v>50</v>
      </c>
      <c r="E795" s="1027" t="s">
        <v>1721</v>
      </c>
      <c r="F795" s="273" t="s">
        <v>3446</v>
      </c>
      <c r="G795" s="1040" t="s">
        <v>3463</v>
      </c>
      <c r="H795" s="273" t="s">
        <v>3462</v>
      </c>
      <c r="I795" s="720">
        <f t="shared" si="172"/>
        <v>4</v>
      </c>
      <c r="J795" s="756">
        <f>200</f>
        <v>200</v>
      </c>
      <c r="K795" s="131">
        <f t="shared" si="170"/>
        <v>200</v>
      </c>
      <c r="L795" s="335">
        <f t="shared" si="169"/>
        <v>0</v>
      </c>
      <c r="M795" s="446"/>
      <c r="N795" s="446"/>
      <c r="O795" s="446"/>
      <c r="P795" s="446"/>
      <c r="Q795" s="110">
        <v>13</v>
      </c>
      <c r="R795" s="111">
        <f t="shared" si="159"/>
        <v>50</v>
      </c>
      <c r="S795" s="110"/>
      <c r="T795" s="110"/>
      <c r="U795" s="110">
        <v>12</v>
      </c>
      <c r="V795" s="111">
        <f t="shared" si="160"/>
        <v>50</v>
      </c>
      <c r="W795" s="110"/>
      <c r="X795" s="110"/>
      <c r="Y795" s="110"/>
      <c r="Z795" s="110"/>
      <c r="AA795" s="110">
        <v>12</v>
      </c>
      <c r="AB795" s="111">
        <f t="shared" si="161"/>
        <v>50</v>
      </c>
      <c r="AC795" s="110"/>
      <c r="AD795" s="110"/>
      <c r="AE795" s="110">
        <v>13</v>
      </c>
      <c r="AF795" s="111">
        <f t="shared" si="162"/>
        <v>50</v>
      </c>
      <c r="AG795" s="110"/>
      <c r="AH795" s="110"/>
      <c r="AI795" s="110"/>
      <c r="AJ795" s="110"/>
      <c r="AK795" s="111">
        <f t="shared" si="165"/>
        <v>200</v>
      </c>
      <c r="AL795" s="446">
        <f t="shared" si="166"/>
        <v>0</v>
      </c>
      <c r="AM795" s="110">
        <f t="shared" si="167"/>
        <v>50</v>
      </c>
      <c r="AN795" s="447">
        <f t="shared" si="171"/>
        <v>0</v>
      </c>
      <c r="AO795"/>
      <c r="AP795"/>
    </row>
    <row r="796" spans="1:42" ht="66" x14ac:dyDescent="0.25">
      <c r="A796" s="9"/>
      <c r="B796" s="34" t="s">
        <v>118</v>
      </c>
      <c r="C796" s="20"/>
      <c r="D796" s="869">
        <f>1+2</f>
        <v>3</v>
      </c>
      <c r="E796" s="1027" t="s">
        <v>1721</v>
      </c>
      <c r="F796" s="273" t="s">
        <v>3446</v>
      </c>
      <c r="G796" s="1040" t="s">
        <v>3463</v>
      </c>
      <c r="H796" s="273" t="s">
        <v>3462</v>
      </c>
      <c r="I796" s="720">
        <f t="shared" si="172"/>
        <v>333.26666666666671</v>
      </c>
      <c r="J796" s="756">
        <f>199.96+799.84</f>
        <v>999.80000000000007</v>
      </c>
      <c r="K796" s="131">
        <f t="shared" si="170"/>
        <v>999.80000000000018</v>
      </c>
      <c r="L796" s="335">
        <f t="shared" si="169"/>
        <v>0</v>
      </c>
      <c r="M796" s="446"/>
      <c r="N796" s="446"/>
      <c r="O796" s="446"/>
      <c r="P796" s="446"/>
      <c r="Q796" s="130">
        <v>0</v>
      </c>
      <c r="R796" s="111">
        <v>0</v>
      </c>
      <c r="S796" s="110"/>
      <c r="T796" s="110"/>
      <c r="U796" s="130">
        <v>1</v>
      </c>
      <c r="V796" s="111">
        <v>333.27</v>
      </c>
      <c r="W796" s="110"/>
      <c r="X796" s="110"/>
      <c r="Y796" s="110"/>
      <c r="Z796" s="110"/>
      <c r="AA796" s="130">
        <v>1</v>
      </c>
      <c r="AB796" s="111">
        <v>333.27</v>
      </c>
      <c r="AC796" s="110"/>
      <c r="AD796" s="110"/>
      <c r="AE796" s="130">
        <v>1</v>
      </c>
      <c r="AF796" s="111">
        <v>333.27</v>
      </c>
      <c r="AG796" s="110"/>
      <c r="AH796" s="110"/>
      <c r="AI796" s="110"/>
      <c r="AJ796" s="110"/>
      <c r="AK796" s="111">
        <f t="shared" si="165"/>
        <v>999.81</v>
      </c>
      <c r="AL796" s="446">
        <f t="shared" si="166"/>
        <v>-9.9999999998772182E-3</v>
      </c>
      <c r="AM796" s="110">
        <f t="shared" si="167"/>
        <v>3</v>
      </c>
      <c r="AN796" s="447">
        <f t="shared" si="171"/>
        <v>0</v>
      </c>
      <c r="AO796"/>
      <c r="AP796"/>
    </row>
    <row r="797" spans="1:42" ht="66" x14ac:dyDescent="0.25">
      <c r="A797" s="9"/>
      <c r="B797" s="136" t="s">
        <v>1410</v>
      </c>
      <c r="C797" s="22"/>
      <c r="D797" s="882">
        <v>20</v>
      </c>
      <c r="E797" s="1025" t="s">
        <v>1721</v>
      </c>
      <c r="F797" s="273" t="s">
        <v>3446</v>
      </c>
      <c r="G797" s="1040" t="s">
        <v>3463</v>
      </c>
      <c r="H797" s="273" t="s">
        <v>3462</v>
      </c>
      <c r="I797" s="720">
        <f t="shared" si="172"/>
        <v>14</v>
      </c>
      <c r="J797" s="756">
        <v>280</v>
      </c>
      <c r="K797" s="131">
        <f t="shared" si="170"/>
        <v>280</v>
      </c>
      <c r="L797" s="335">
        <f t="shared" si="169"/>
        <v>0</v>
      </c>
      <c r="M797" s="446"/>
      <c r="N797" s="446"/>
      <c r="O797" s="446"/>
      <c r="P797" s="446"/>
      <c r="Q797" s="110">
        <f t="shared" si="156"/>
        <v>5</v>
      </c>
      <c r="R797" s="111">
        <f t="shared" si="159"/>
        <v>70</v>
      </c>
      <c r="S797" s="110"/>
      <c r="T797" s="110"/>
      <c r="U797" s="110">
        <f t="shared" si="157"/>
        <v>5</v>
      </c>
      <c r="V797" s="111">
        <f t="shared" si="160"/>
        <v>70</v>
      </c>
      <c r="W797" s="110"/>
      <c r="X797" s="110"/>
      <c r="Y797" s="110"/>
      <c r="Z797" s="110"/>
      <c r="AA797" s="110">
        <f t="shared" si="158"/>
        <v>5</v>
      </c>
      <c r="AB797" s="111">
        <f t="shared" si="161"/>
        <v>70</v>
      </c>
      <c r="AC797" s="110"/>
      <c r="AD797" s="110"/>
      <c r="AE797" s="110">
        <f t="shared" si="158"/>
        <v>5</v>
      </c>
      <c r="AF797" s="111">
        <f t="shared" si="162"/>
        <v>70</v>
      </c>
      <c r="AG797" s="110"/>
      <c r="AH797" s="110"/>
      <c r="AI797" s="110"/>
      <c r="AJ797" s="110"/>
      <c r="AK797" s="111">
        <f t="shared" si="165"/>
        <v>280</v>
      </c>
      <c r="AL797" s="446">
        <f t="shared" si="166"/>
        <v>0</v>
      </c>
      <c r="AM797" s="110">
        <f t="shared" si="167"/>
        <v>20</v>
      </c>
      <c r="AN797" s="447">
        <f t="shared" si="171"/>
        <v>0</v>
      </c>
      <c r="AO797"/>
      <c r="AP797"/>
    </row>
    <row r="798" spans="1:42" ht="66" x14ac:dyDescent="0.25">
      <c r="A798" s="9"/>
      <c r="B798" s="136" t="s">
        <v>1413</v>
      </c>
      <c r="C798" s="22"/>
      <c r="D798" s="882">
        <v>30</v>
      </c>
      <c r="E798" s="1025" t="s">
        <v>1721</v>
      </c>
      <c r="F798" s="273" t="s">
        <v>3446</v>
      </c>
      <c r="G798" s="1040" t="s">
        <v>3463</v>
      </c>
      <c r="H798" s="273" t="s">
        <v>3462</v>
      </c>
      <c r="I798" s="720">
        <f t="shared" si="172"/>
        <v>2</v>
      </c>
      <c r="J798" s="756">
        <v>60</v>
      </c>
      <c r="K798" s="131">
        <f t="shared" si="170"/>
        <v>60</v>
      </c>
      <c r="L798" s="335">
        <f t="shared" si="169"/>
        <v>0</v>
      </c>
      <c r="M798" s="446"/>
      <c r="N798" s="446"/>
      <c r="O798" s="446"/>
      <c r="P798" s="446"/>
      <c r="Q798" s="110">
        <v>8</v>
      </c>
      <c r="R798" s="111">
        <f t="shared" si="159"/>
        <v>15</v>
      </c>
      <c r="S798" s="110"/>
      <c r="T798" s="110"/>
      <c r="U798" s="110">
        <v>8</v>
      </c>
      <c r="V798" s="111">
        <f t="shared" si="160"/>
        <v>15</v>
      </c>
      <c r="W798" s="110"/>
      <c r="X798" s="110"/>
      <c r="Y798" s="110"/>
      <c r="Z798" s="110"/>
      <c r="AA798" s="110">
        <v>7</v>
      </c>
      <c r="AB798" s="111">
        <f t="shared" si="161"/>
        <v>15</v>
      </c>
      <c r="AC798" s="110"/>
      <c r="AD798" s="110"/>
      <c r="AE798" s="110">
        <v>7</v>
      </c>
      <c r="AF798" s="111">
        <f t="shared" si="162"/>
        <v>15</v>
      </c>
      <c r="AG798" s="110"/>
      <c r="AH798" s="110"/>
      <c r="AI798" s="110"/>
      <c r="AJ798" s="110"/>
      <c r="AK798" s="111">
        <f t="shared" si="165"/>
        <v>60</v>
      </c>
      <c r="AL798" s="446">
        <f t="shared" si="166"/>
        <v>0</v>
      </c>
      <c r="AM798" s="110">
        <f t="shared" si="167"/>
        <v>30</v>
      </c>
      <c r="AN798" s="447">
        <f t="shared" si="171"/>
        <v>0</v>
      </c>
      <c r="AO798"/>
      <c r="AP798"/>
    </row>
    <row r="799" spans="1:42" ht="66" x14ac:dyDescent="0.25">
      <c r="A799" s="9"/>
      <c r="B799" s="136" t="s">
        <v>1412</v>
      </c>
      <c r="C799" s="22"/>
      <c r="D799" s="882">
        <v>50</v>
      </c>
      <c r="E799" s="1025" t="s">
        <v>1721</v>
      </c>
      <c r="F799" s="273" t="s">
        <v>3446</v>
      </c>
      <c r="G799" s="1040" t="s">
        <v>3463</v>
      </c>
      <c r="H799" s="273" t="s">
        <v>3462</v>
      </c>
      <c r="I799" s="720">
        <f t="shared" si="172"/>
        <v>6</v>
      </c>
      <c r="J799" s="756">
        <v>300</v>
      </c>
      <c r="K799" s="131">
        <f t="shared" si="170"/>
        <v>300</v>
      </c>
      <c r="L799" s="335">
        <f t="shared" si="169"/>
        <v>0</v>
      </c>
      <c r="M799" s="446"/>
      <c r="N799" s="446"/>
      <c r="O799" s="446"/>
      <c r="P799" s="446"/>
      <c r="Q799" s="110">
        <v>13</v>
      </c>
      <c r="R799" s="111">
        <f t="shared" si="159"/>
        <v>75</v>
      </c>
      <c r="S799" s="110"/>
      <c r="T799" s="110"/>
      <c r="U799" s="110">
        <v>12</v>
      </c>
      <c r="V799" s="111">
        <f t="shared" si="160"/>
        <v>75</v>
      </c>
      <c r="W799" s="110"/>
      <c r="X799" s="110"/>
      <c r="Y799" s="110"/>
      <c r="Z799" s="110"/>
      <c r="AA799" s="110">
        <v>12</v>
      </c>
      <c r="AB799" s="111">
        <f t="shared" si="161"/>
        <v>75</v>
      </c>
      <c r="AC799" s="110"/>
      <c r="AD799" s="110"/>
      <c r="AE799" s="110">
        <v>13</v>
      </c>
      <c r="AF799" s="111">
        <f t="shared" si="162"/>
        <v>75</v>
      </c>
      <c r="AG799" s="110"/>
      <c r="AH799" s="110"/>
      <c r="AI799" s="110"/>
      <c r="AJ799" s="110"/>
      <c r="AK799" s="111">
        <f t="shared" si="165"/>
        <v>300</v>
      </c>
      <c r="AL799" s="446">
        <f t="shared" si="166"/>
        <v>0</v>
      </c>
      <c r="AM799" s="110">
        <f t="shared" si="167"/>
        <v>50</v>
      </c>
      <c r="AN799" s="447">
        <f t="shared" si="171"/>
        <v>0</v>
      </c>
      <c r="AO799"/>
      <c r="AP799"/>
    </row>
    <row r="800" spans="1:42" ht="66" x14ac:dyDescent="0.25">
      <c r="A800" s="9"/>
      <c r="B800" s="34" t="s">
        <v>1140</v>
      </c>
      <c r="C800" s="22"/>
      <c r="D800" s="882">
        <v>1000</v>
      </c>
      <c r="E800" s="1025" t="s">
        <v>1721</v>
      </c>
      <c r="F800" s="273" t="s">
        <v>3446</v>
      </c>
      <c r="G800" s="1040" t="s">
        <v>3463</v>
      </c>
      <c r="H800" s="273" t="s">
        <v>3462</v>
      </c>
      <c r="I800" s="720">
        <f t="shared" si="172"/>
        <v>5.7652000000000001</v>
      </c>
      <c r="J800" s="756">
        <f>5765.2</f>
        <v>5765.2</v>
      </c>
      <c r="K800" s="131">
        <f t="shared" si="170"/>
        <v>5765.2</v>
      </c>
      <c r="L800" s="335">
        <f t="shared" si="169"/>
        <v>0</v>
      </c>
      <c r="M800" s="446"/>
      <c r="N800" s="446"/>
      <c r="O800" s="446"/>
      <c r="P800" s="446"/>
      <c r="Q800" s="110">
        <f t="shared" si="156"/>
        <v>250</v>
      </c>
      <c r="R800" s="111">
        <f t="shared" si="159"/>
        <v>1441.3</v>
      </c>
      <c r="S800" s="110"/>
      <c r="T800" s="110"/>
      <c r="U800" s="110">
        <f t="shared" si="157"/>
        <v>250</v>
      </c>
      <c r="V800" s="111">
        <f t="shared" si="160"/>
        <v>1441.3</v>
      </c>
      <c r="W800" s="110"/>
      <c r="X800" s="110"/>
      <c r="Y800" s="110"/>
      <c r="Z800" s="110"/>
      <c r="AA800" s="110">
        <f t="shared" si="158"/>
        <v>250</v>
      </c>
      <c r="AB800" s="111">
        <f t="shared" si="161"/>
        <v>1441.3</v>
      </c>
      <c r="AC800" s="110"/>
      <c r="AD800" s="110"/>
      <c r="AE800" s="110">
        <f t="shared" si="158"/>
        <v>250</v>
      </c>
      <c r="AF800" s="111">
        <f t="shared" si="162"/>
        <v>1441.3</v>
      </c>
      <c r="AG800" s="110"/>
      <c r="AH800" s="110"/>
      <c r="AI800" s="110"/>
      <c r="AJ800" s="110"/>
      <c r="AK800" s="111">
        <f t="shared" si="165"/>
        <v>5765.2</v>
      </c>
      <c r="AL800" s="446">
        <f t="shared" si="166"/>
        <v>0</v>
      </c>
      <c r="AM800" s="110">
        <f t="shared" si="167"/>
        <v>1000</v>
      </c>
      <c r="AN800" s="447">
        <f t="shared" si="171"/>
        <v>0</v>
      </c>
      <c r="AO800"/>
      <c r="AP800"/>
    </row>
    <row r="801" spans="1:42" ht="66" x14ac:dyDescent="0.25">
      <c r="A801" s="9"/>
      <c r="B801" s="34" t="s">
        <v>119</v>
      </c>
      <c r="C801" s="20"/>
      <c r="D801" s="869">
        <f>416+973+144+100</f>
        <v>1633</v>
      </c>
      <c r="E801" s="1027" t="s">
        <v>1725</v>
      </c>
      <c r="F801" s="273" t="s">
        <v>3446</v>
      </c>
      <c r="G801" s="1040" t="s">
        <v>3463</v>
      </c>
      <c r="H801" s="273" t="s">
        <v>3462</v>
      </c>
      <c r="I801" s="720">
        <f t="shared" si="172"/>
        <v>105.02617268830373</v>
      </c>
      <c r="J801" s="756">
        <f>39598.25+99544.8+18487.53+21414.76-7537.6</f>
        <v>171507.74</v>
      </c>
      <c r="K801" s="131">
        <f t="shared" si="170"/>
        <v>171507.74</v>
      </c>
      <c r="L801" s="335">
        <f t="shared" si="169"/>
        <v>0</v>
      </c>
      <c r="M801" s="446"/>
      <c r="N801" s="446"/>
      <c r="O801" s="446"/>
      <c r="P801" s="446"/>
      <c r="Q801" s="110">
        <f t="shared" ref="Q801:Q860" si="173">+$D801/4</f>
        <v>408.25</v>
      </c>
      <c r="R801" s="111">
        <f t="shared" si="159"/>
        <v>42876.934999999998</v>
      </c>
      <c r="S801" s="110"/>
      <c r="T801" s="110"/>
      <c r="U801" s="110">
        <f t="shared" ref="U801:U860" si="174">+$D801/4</f>
        <v>408.25</v>
      </c>
      <c r="V801" s="111">
        <f t="shared" si="160"/>
        <v>42876.934999999998</v>
      </c>
      <c r="W801" s="110"/>
      <c r="X801" s="110"/>
      <c r="Y801" s="110"/>
      <c r="Z801" s="110"/>
      <c r="AA801" s="110">
        <f t="shared" ref="AA801:AE860" si="175">+$D801/4</f>
        <v>408.25</v>
      </c>
      <c r="AB801" s="111">
        <f t="shared" si="161"/>
        <v>42876.934999999998</v>
      </c>
      <c r="AC801" s="110"/>
      <c r="AD801" s="110"/>
      <c r="AE801" s="110">
        <f t="shared" si="175"/>
        <v>408.25</v>
      </c>
      <c r="AF801" s="111">
        <f t="shared" si="162"/>
        <v>42876.934999999998</v>
      </c>
      <c r="AG801" s="110"/>
      <c r="AH801" s="110"/>
      <c r="AI801" s="110"/>
      <c r="AJ801" s="110"/>
      <c r="AK801" s="111">
        <f t="shared" si="165"/>
        <v>171507.74</v>
      </c>
      <c r="AL801" s="446">
        <f t="shared" si="166"/>
        <v>0</v>
      </c>
      <c r="AM801" s="110">
        <f t="shared" si="167"/>
        <v>1633</v>
      </c>
      <c r="AN801" s="447">
        <f t="shared" si="171"/>
        <v>0</v>
      </c>
      <c r="AO801"/>
      <c r="AP801"/>
    </row>
    <row r="802" spans="1:42" ht="66" x14ac:dyDescent="0.25">
      <c r="A802" s="9"/>
      <c r="B802" s="34" t="s">
        <v>120</v>
      </c>
      <c r="C802" s="20"/>
      <c r="D802" s="869">
        <f>44+525+84+20</f>
        <v>673</v>
      </c>
      <c r="E802" s="1027" t="s">
        <v>1725</v>
      </c>
      <c r="F802" s="273" t="s">
        <v>3446</v>
      </c>
      <c r="G802" s="1040" t="s">
        <v>3463</v>
      </c>
      <c r="H802" s="273" t="s">
        <v>3462</v>
      </c>
      <c r="I802" s="720">
        <f t="shared" si="172"/>
        <v>147.7478454680535</v>
      </c>
      <c r="J802" s="756">
        <f>6309.27+73888.76+18762.61+3434.06-2960.4</f>
        <v>99434.3</v>
      </c>
      <c r="K802" s="131">
        <f t="shared" si="170"/>
        <v>99434.3</v>
      </c>
      <c r="L802" s="335">
        <f t="shared" si="169"/>
        <v>0</v>
      </c>
      <c r="M802" s="446"/>
      <c r="N802" s="446"/>
      <c r="O802" s="446"/>
      <c r="P802" s="446"/>
      <c r="Q802" s="110">
        <f t="shared" si="173"/>
        <v>168.25</v>
      </c>
      <c r="R802" s="111">
        <f t="shared" si="159"/>
        <v>24858.575000000001</v>
      </c>
      <c r="S802" s="110"/>
      <c r="T802" s="110"/>
      <c r="U802" s="110">
        <f t="shared" si="174"/>
        <v>168.25</v>
      </c>
      <c r="V802" s="111">
        <f t="shared" si="160"/>
        <v>24858.575000000001</v>
      </c>
      <c r="W802" s="110"/>
      <c r="X802" s="110"/>
      <c r="Y802" s="110"/>
      <c r="Z802" s="110"/>
      <c r="AA802" s="110">
        <f t="shared" si="175"/>
        <v>168.25</v>
      </c>
      <c r="AB802" s="111">
        <f t="shared" si="161"/>
        <v>24858.575000000001</v>
      </c>
      <c r="AC802" s="110"/>
      <c r="AD802" s="110"/>
      <c r="AE802" s="110">
        <f t="shared" si="175"/>
        <v>168.25</v>
      </c>
      <c r="AF802" s="111">
        <f t="shared" si="162"/>
        <v>24858.575000000001</v>
      </c>
      <c r="AG802" s="110"/>
      <c r="AH802" s="110"/>
      <c r="AI802" s="110"/>
      <c r="AJ802" s="110"/>
      <c r="AK802" s="111">
        <f t="shared" si="165"/>
        <v>99434.3</v>
      </c>
      <c r="AL802" s="446">
        <f t="shared" si="166"/>
        <v>0</v>
      </c>
      <c r="AM802" s="110">
        <f t="shared" si="167"/>
        <v>673</v>
      </c>
      <c r="AN802" s="447">
        <f t="shared" si="171"/>
        <v>0</v>
      </c>
      <c r="AO802"/>
      <c r="AP802"/>
    </row>
    <row r="803" spans="1:42" ht="66" x14ac:dyDescent="0.25">
      <c r="A803" s="9"/>
      <c r="B803" s="43" t="s">
        <v>121</v>
      </c>
      <c r="C803" s="20"/>
      <c r="D803" s="869">
        <f>3</f>
        <v>3</v>
      </c>
      <c r="E803" s="1027" t="s">
        <v>1725</v>
      </c>
      <c r="F803" s="273" t="s">
        <v>3446</v>
      </c>
      <c r="G803" s="1040" t="s">
        <v>3463</v>
      </c>
      <c r="H803" s="273" t="s">
        <v>3462</v>
      </c>
      <c r="I803" s="720">
        <f t="shared" si="172"/>
        <v>140.77666666666667</v>
      </c>
      <c r="J803" s="756">
        <f>422.33</f>
        <v>422.33</v>
      </c>
      <c r="K803" s="131">
        <f t="shared" si="170"/>
        <v>422.33000000000004</v>
      </c>
      <c r="L803" s="335">
        <f t="shared" si="169"/>
        <v>0</v>
      </c>
      <c r="M803" s="446"/>
      <c r="N803" s="446"/>
      <c r="O803" s="446"/>
      <c r="P803" s="446"/>
      <c r="Q803" s="130">
        <v>1</v>
      </c>
      <c r="R803" s="111">
        <v>140.78</v>
      </c>
      <c r="S803" s="110"/>
      <c r="T803" s="110"/>
      <c r="U803" s="130">
        <v>1</v>
      </c>
      <c r="V803" s="111">
        <v>140.78</v>
      </c>
      <c r="W803" s="110"/>
      <c r="X803" s="110"/>
      <c r="Y803" s="110"/>
      <c r="Z803" s="110"/>
      <c r="AA803" s="130">
        <v>1</v>
      </c>
      <c r="AB803" s="111">
        <v>140.78</v>
      </c>
      <c r="AC803" s="110"/>
      <c r="AD803" s="110"/>
      <c r="AE803" s="130">
        <v>0</v>
      </c>
      <c r="AF803" s="111">
        <v>0</v>
      </c>
      <c r="AG803" s="110"/>
      <c r="AH803" s="110"/>
      <c r="AI803" s="110"/>
      <c r="AJ803" s="110"/>
      <c r="AK803" s="111">
        <f t="shared" si="165"/>
        <v>422.34000000000003</v>
      </c>
      <c r="AL803" s="446">
        <f t="shared" si="166"/>
        <v>-1.0000000000047748E-2</v>
      </c>
      <c r="AM803" s="110">
        <f t="shared" si="167"/>
        <v>3</v>
      </c>
      <c r="AN803" s="447">
        <f t="shared" si="171"/>
        <v>0</v>
      </c>
      <c r="AO803"/>
      <c r="AP803"/>
    </row>
    <row r="804" spans="1:42" ht="66" x14ac:dyDescent="0.25">
      <c r="A804" s="9"/>
      <c r="B804" s="121" t="s">
        <v>1409</v>
      </c>
      <c r="C804" s="20"/>
      <c r="D804" s="869">
        <v>80</v>
      </c>
      <c r="E804" s="1027" t="s">
        <v>1721</v>
      </c>
      <c r="F804" s="273" t="s">
        <v>3446</v>
      </c>
      <c r="G804" s="1040" t="s">
        <v>3463</v>
      </c>
      <c r="H804" s="273" t="s">
        <v>3462</v>
      </c>
      <c r="I804" s="720">
        <f t="shared" si="172"/>
        <v>10</v>
      </c>
      <c r="J804" s="756">
        <f>800</f>
        <v>800</v>
      </c>
      <c r="K804" s="131">
        <f t="shared" si="170"/>
        <v>800</v>
      </c>
      <c r="L804" s="335">
        <f t="shared" si="169"/>
        <v>0</v>
      </c>
      <c r="M804" s="446"/>
      <c r="N804" s="446"/>
      <c r="O804" s="446"/>
      <c r="P804" s="446"/>
      <c r="Q804" s="110">
        <f t="shared" si="173"/>
        <v>20</v>
      </c>
      <c r="R804" s="111">
        <f t="shared" si="159"/>
        <v>200</v>
      </c>
      <c r="S804" s="110"/>
      <c r="T804" s="110"/>
      <c r="U804" s="110">
        <f t="shared" si="174"/>
        <v>20</v>
      </c>
      <c r="V804" s="111">
        <f t="shared" si="160"/>
        <v>200</v>
      </c>
      <c r="W804" s="110"/>
      <c r="X804" s="110"/>
      <c r="Y804" s="110"/>
      <c r="Z804" s="110"/>
      <c r="AA804" s="110">
        <f t="shared" si="175"/>
        <v>20</v>
      </c>
      <c r="AB804" s="111">
        <f t="shared" ref="AB804:AB865" si="176">+J804/4</f>
        <v>200</v>
      </c>
      <c r="AC804" s="110"/>
      <c r="AD804" s="110"/>
      <c r="AE804" s="110">
        <f t="shared" si="175"/>
        <v>20</v>
      </c>
      <c r="AF804" s="111">
        <f t="shared" ref="AF804:AF862" si="177">+J804/4</f>
        <v>200</v>
      </c>
      <c r="AG804" s="110"/>
      <c r="AH804" s="110"/>
      <c r="AI804" s="110"/>
      <c r="AJ804" s="110"/>
      <c r="AK804" s="111">
        <f t="shared" si="165"/>
        <v>800</v>
      </c>
      <c r="AL804" s="446">
        <f t="shared" si="166"/>
        <v>0</v>
      </c>
      <c r="AM804" s="110">
        <f t="shared" si="167"/>
        <v>80</v>
      </c>
      <c r="AN804" s="447">
        <f t="shared" si="171"/>
        <v>0</v>
      </c>
      <c r="AO804"/>
      <c r="AP804"/>
    </row>
    <row r="805" spans="1:42" ht="66" x14ac:dyDescent="0.25">
      <c r="A805" s="9"/>
      <c r="B805" s="152" t="s">
        <v>1141</v>
      </c>
      <c r="C805" s="20"/>
      <c r="D805" s="869">
        <f>3000</f>
        <v>3000</v>
      </c>
      <c r="E805" s="1025" t="s">
        <v>1721</v>
      </c>
      <c r="F805" s="273" t="s">
        <v>3446</v>
      </c>
      <c r="G805" s="1040" t="s">
        <v>3463</v>
      </c>
      <c r="H805" s="273" t="s">
        <v>3462</v>
      </c>
      <c r="I805" s="720">
        <f t="shared" si="172"/>
        <v>5.51</v>
      </c>
      <c r="J805" s="756">
        <f>16530</f>
        <v>16530</v>
      </c>
      <c r="K805" s="131">
        <f t="shared" si="170"/>
        <v>16530</v>
      </c>
      <c r="L805" s="335">
        <f t="shared" si="169"/>
        <v>0</v>
      </c>
      <c r="M805" s="446"/>
      <c r="N805" s="446"/>
      <c r="O805" s="446"/>
      <c r="P805" s="446"/>
      <c r="Q805" s="110">
        <f t="shared" si="173"/>
        <v>750</v>
      </c>
      <c r="R805" s="111">
        <f t="shared" ref="R805:R860" si="178">+J805/4</f>
        <v>4132.5</v>
      </c>
      <c r="S805" s="110"/>
      <c r="T805" s="110"/>
      <c r="U805" s="110">
        <f t="shared" si="174"/>
        <v>750</v>
      </c>
      <c r="V805" s="111">
        <f t="shared" ref="V805:V860" si="179">+J805/4</f>
        <v>4132.5</v>
      </c>
      <c r="W805" s="110"/>
      <c r="X805" s="110"/>
      <c r="Y805" s="110"/>
      <c r="Z805" s="110"/>
      <c r="AA805" s="110">
        <f t="shared" si="175"/>
        <v>750</v>
      </c>
      <c r="AB805" s="111">
        <f t="shared" si="176"/>
        <v>4132.5</v>
      </c>
      <c r="AC805" s="110"/>
      <c r="AD805" s="110"/>
      <c r="AE805" s="110">
        <f t="shared" si="175"/>
        <v>750</v>
      </c>
      <c r="AF805" s="111">
        <f t="shared" si="177"/>
        <v>4132.5</v>
      </c>
      <c r="AG805" s="110"/>
      <c r="AH805" s="110"/>
      <c r="AI805" s="110"/>
      <c r="AJ805" s="110"/>
      <c r="AK805" s="111">
        <f t="shared" si="165"/>
        <v>16530</v>
      </c>
      <c r="AL805" s="446">
        <f t="shared" si="166"/>
        <v>0</v>
      </c>
      <c r="AM805" s="110">
        <f t="shared" si="167"/>
        <v>3000</v>
      </c>
      <c r="AN805" s="447">
        <f t="shared" si="171"/>
        <v>0</v>
      </c>
      <c r="AO805"/>
      <c r="AP805"/>
    </row>
    <row r="806" spans="1:42" ht="66" x14ac:dyDescent="0.25">
      <c r="A806" s="9"/>
      <c r="B806" s="152" t="s">
        <v>1142</v>
      </c>
      <c r="C806" s="20"/>
      <c r="D806" s="869">
        <f>3000</f>
        <v>3000</v>
      </c>
      <c r="E806" s="1025" t="s">
        <v>1721</v>
      </c>
      <c r="F806" s="273" t="s">
        <v>3446</v>
      </c>
      <c r="G806" s="1040" t="s">
        <v>3463</v>
      </c>
      <c r="H806" s="273" t="s">
        <v>3462</v>
      </c>
      <c r="I806" s="720">
        <f t="shared" si="172"/>
        <v>6.2755999999999998</v>
      </c>
      <c r="J806" s="756">
        <f>18826.8</f>
        <v>18826.8</v>
      </c>
      <c r="K806" s="131">
        <f t="shared" si="170"/>
        <v>18826.8</v>
      </c>
      <c r="L806" s="335">
        <f t="shared" si="169"/>
        <v>0</v>
      </c>
      <c r="M806" s="446"/>
      <c r="N806" s="446"/>
      <c r="O806" s="446"/>
      <c r="P806" s="446"/>
      <c r="Q806" s="110">
        <f t="shared" si="173"/>
        <v>750</v>
      </c>
      <c r="R806" s="111">
        <f t="shared" si="178"/>
        <v>4706.7</v>
      </c>
      <c r="S806" s="110"/>
      <c r="T806" s="110"/>
      <c r="U806" s="110">
        <f t="shared" si="174"/>
        <v>750</v>
      </c>
      <c r="V806" s="111">
        <f t="shared" si="179"/>
        <v>4706.7</v>
      </c>
      <c r="W806" s="110"/>
      <c r="X806" s="110"/>
      <c r="Y806" s="110"/>
      <c r="Z806" s="110"/>
      <c r="AA806" s="110">
        <f t="shared" si="175"/>
        <v>750</v>
      </c>
      <c r="AB806" s="111">
        <f t="shared" si="176"/>
        <v>4706.7</v>
      </c>
      <c r="AC806" s="110"/>
      <c r="AD806" s="110"/>
      <c r="AE806" s="110">
        <f t="shared" si="175"/>
        <v>750</v>
      </c>
      <c r="AF806" s="111">
        <f t="shared" si="177"/>
        <v>4706.7</v>
      </c>
      <c r="AG806" s="110"/>
      <c r="AH806" s="110"/>
      <c r="AI806" s="110"/>
      <c r="AJ806" s="110"/>
      <c r="AK806" s="111">
        <f t="shared" si="165"/>
        <v>18826.8</v>
      </c>
      <c r="AL806" s="446">
        <f t="shared" si="166"/>
        <v>0</v>
      </c>
      <c r="AM806" s="110">
        <f t="shared" si="167"/>
        <v>3000</v>
      </c>
      <c r="AN806" s="447">
        <f t="shared" si="171"/>
        <v>0</v>
      </c>
      <c r="AO806"/>
      <c r="AP806"/>
    </row>
    <row r="807" spans="1:42" ht="66" x14ac:dyDescent="0.25">
      <c r="A807" s="9"/>
      <c r="B807" s="152" t="s">
        <v>1143</v>
      </c>
      <c r="C807" s="20"/>
      <c r="D807" s="869">
        <f>3000</f>
        <v>3000</v>
      </c>
      <c r="E807" s="1025" t="s">
        <v>1721</v>
      </c>
      <c r="F807" s="273" t="s">
        <v>3446</v>
      </c>
      <c r="G807" s="1040" t="s">
        <v>3463</v>
      </c>
      <c r="H807" s="273" t="s">
        <v>3462</v>
      </c>
      <c r="I807" s="720">
        <f t="shared" si="172"/>
        <v>5.2084000000000001</v>
      </c>
      <c r="J807" s="756">
        <f>15625.2</f>
        <v>15625.2</v>
      </c>
      <c r="K807" s="131">
        <f t="shared" si="170"/>
        <v>15625.2</v>
      </c>
      <c r="L807" s="335">
        <f t="shared" si="169"/>
        <v>0</v>
      </c>
      <c r="M807" s="446"/>
      <c r="N807" s="446"/>
      <c r="O807" s="446"/>
      <c r="P807" s="446"/>
      <c r="Q807" s="110">
        <f t="shared" si="173"/>
        <v>750</v>
      </c>
      <c r="R807" s="111">
        <f t="shared" si="178"/>
        <v>3906.3</v>
      </c>
      <c r="S807" s="110"/>
      <c r="T807" s="110"/>
      <c r="U807" s="110">
        <f t="shared" si="174"/>
        <v>750</v>
      </c>
      <c r="V807" s="111">
        <f t="shared" si="179"/>
        <v>3906.3</v>
      </c>
      <c r="W807" s="110"/>
      <c r="X807" s="110"/>
      <c r="Y807" s="110"/>
      <c r="Z807" s="110"/>
      <c r="AA807" s="110">
        <f t="shared" si="175"/>
        <v>750</v>
      </c>
      <c r="AB807" s="111">
        <f t="shared" si="176"/>
        <v>3906.3</v>
      </c>
      <c r="AC807" s="110"/>
      <c r="AD807" s="110"/>
      <c r="AE807" s="110">
        <f t="shared" si="175"/>
        <v>750</v>
      </c>
      <c r="AF807" s="111">
        <f t="shared" si="177"/>
        <v>3906.3</v>
      </c>
      <c r="AG807" s="110"/>
      <c r="AH807" s="110"/>
      <c r="AI807" s="110"/>
      <c r="AJ807" s="110"/>
      <c r="AK807" s="111">
        <f t="shared" si="165"/>
        <v>15625.2</v>
      </c>
      <c r="AL807" s="446">
        <f t="shared" si="166"/>
        <v>0</v>
      </c>
      <c r="AM807" s="110">
        <f t="shared" si="167"/>
        <v>3000</v>
      </c>
      <c r="AN807" s="447">
        <f t="shared" si="171"/>
        <v>0</v>
      </c>
      <c r="AO807"/>
      <c r="AP807"/>
    </row>
    <row r="808" spans="1:42" ht="66" x14ac:dyDescent="0.25">
      <c r="A808" s="9"/>
      <c r="B808" s="43" t="s">
        <v>123</v>
      </c>
      <c r="C808" s="20"/>
      <c r="D808" s="869">
        <f>10+40+7+10</f>
        <v>67</v>
      </c>
      <c r="E808" s="1027" t="s">
        <v>1721</v>
      </c>
      <c r="F808" s="273" t="s">
        <v>3446</v>
      </c>
      <c r="G808" s="1040" t="s">
        <v>3463</v>
      </c>
      <c r="H808" s="273" t="s">
        <v>3462</v>
      </c>
      <c r="I808" s="720">
        <f t="shared" si="172"/>
        <v>25.353283582089553</v>
      </c>
      <c r="J808" s="756">
        <f>273.2+1108.48+273.28+316.91-273.2</f>
        <v>1698.67</v>
      </c>
      <c r="K808" s="131">
        <f t="shared" si="170"/>
        <v>1698.67</v>
      </c>
      <c r="L808" s="335">
        <f t="shared" si="169"/>
        <v>0</v>
      </c>
      <c r="M808" s="446"/>
      <c r="N808" s="446"/>
      <c r="O808" s="446"/>
      <c r="P808" s="446"/>
      <c r="Q808" s="110">
        <v>17</v>
      </c>
      <c r="R808" s="111">
        <f t="shared" si="178"/>
        <v>424.66750000000002</v>
      </c>
      <c r="S808" s="110"/>
      <c r="T808" s="110"/>
      <c r="U808" s="110">
        <v>17</v>
      </c>
      <c r="V808" s="111">
        <f t="shared" si="179"/>
        <v>424.66750000000002</v>
      </c>
      <c r="W808" s="110"/>
      <c r="X808" s="110"/>
      <c r="Y808" s="110"/>
      <c r="Z808" s="110"/>
      <c r="AA808" s="110">
        <v>17</v>
      </c>
      <c r="AB808" s="111">
        <f t="shared" si="176"/>
        <v>424.66750000000002</v>
      </c>
      <c r="AC808" s="110"/>
      <c r="AD808" s="110"/>
      <c r="AE808" s="110">
        <v>16</v>
      </c>
      <c r="AF808" s="111">
        <f t="shared" si="177"/>
        <v>424.66750000000002</v>
      </c>
      <c r="AG808" s="110"/>
      <c r="AH808" s="110"/>
      <c r="AI808" s="110"/>
      <c r="AJ808" s="110"/>
      <c r="AK808" s="111">
        <f t="shared" si="165"/>
        <v>1698.67</v>
      </c>
      <c r="AL808" s="446">
        <f t="shared" si="166"/>
        <v>0</v>
      </c>
      <c r="AM808" s="110">
        <f t="shared" si="167"/>
        <v>67</v>
      </c>
      <c r="AN808" s="447">
        <f t="shared" si="171"/>
        <v>0</v>
      </c>
      <c r="AO808"/>
      <c r="AP808"/>
    </row>
    <row r="809" spans="1:42" ht="66" x14ac:dyDescent="0.25">
      <c r="A809" s="9"/>
      <c r="B809" s="34" t="s">
        <v>124</v>
      </c>
      <c r="C809" s="20"/>
      <c r="D809" s="869">
        <f>1+4+3+8</f>
        <v>16</v>
      </c>
      <c r="E809" s="1027" t="s">
        <v>1725</v>
      </c>
      <c r="F809" s="273" t="s">
        <v>3446</v>
      </c>
      <c r="G809" s="1040" t="s">
        <v>3463</v>
      </c>
      <c r="H809" s="273" t="s">
        <v>3462</v>
      </c>
      <c r="I809" s="720">
        <f t="shared" si="172"/>
        <v>78.315625000000011</v>
      </c>
      <c r="J809" s="756">
        <f>74.37+297.47+410.57+470.64</f>
        <v>1253.0500000000002</v>
      </c>
      <c r="K809" s="131">
        <f t="shared" si="170"/>
        <v>1253.0500000000002</v>
      </c>
      <c r="L809" s="335">
        <f t="shared" si="169"/>
        <v>0</v>
      </c>
      <c r="M809" s="446"/>
      <c r="N809" s="446"/>
      <c r="O809" s="446"/>
      <c r="P809" s="446"/>
      <c r="Q809" s="110">
        <f t="shared" si="173"/>
        <v>4</v>
      </c>
      <c r="R809" s="111">
        <f t="shared" si="178"/>
        <v>313.26250000000005</v>
      </c>
      <c r="S809" s="110"/>
      <c r="T809" s="110"/>
      <c r="U809" s="110">
        <f t="shared" si="174"/>
        <v>4</v>
      </c>
      <c r="V809" s="111">
        <f t="shared" si="179"/>
        <v>313.26250000000005</v>
      </c>
      <c r="W809" s="110"/>
      <c r="X809" s="110"/>
      <c r="Y809" s="110"/>
      <c r="Z809" s="110"/>
      <c r="AA809" s="110">
        <f t="shared" si="175"/>
        <v>4</v>
      </c>
      <c r="AB809" s="111">
        <f t="shared" si="176"/>
        <v>313.26250000000005</v>
      </c>
      <c r="AC809" s="110"/>
      <c r="AD809" s="110"/>
      <c r="AE809" s="110">
        <f t="shared" si="175"/>
        <v>4</v>
      </c>
      <c r="AF809" s="111">
        <f t="shared" si="177"/>
        <v>313.26250000000005</v>
      </c>
      <c r="AG809" s="110"/>
      <c r="AH809" s="110"/>
      <c r="AI809" s="110"/>
      <c r="AJ809" s="110"/>
      <c r="AK809" s="111">
        <f t="shared" si="165"/>
        <v>1253.0500000000002</v>
      </c>
      <c r="AL809" s="446">
        <f t="shared" si="166"/>
        <v>0</v>
      </c>
      <c r="AM809" s="110">
        <f t="shared" si="167"/>
        <v>16</v>
      </c>
      <c r="AN809" s="447">
        <f t="shared" si="171"/>
        <v>0</v>
      </c>
      <c r="AO809"/>
      <c r="AP809"/>
    </row>
    <row r="810" spans="1:42" ht="66" x14ac:dyDescent="0.25">
      <c r="A810" s="11"/>
      <c r="B810" s="34" t="s">
        <v>125</v>
      </c>
      <c r="C810" s="22"/>
      <c r="D810" s="882">
        <f>110+350+45+10</f>
        <v>515</v>
      </c>
      <c r="E810" s="1025" t="s">
        <v>1721</v>
      </c>
      <c r="F810" s="273" t="s">
        <v>3446</v>
      </c>
      <c r="G810" s="1040" t="s">
        <v>3463</v>
      </c>
      <c r="H810" s="273" t="s">
        <v>3462</v>
      </c>
      <c r="I810" s="720">
        <f t="shared" si="172"/>
        <v>34.159223300970872</v>
      </c>
      <c r="J810" s="756">
        <f>3925+10945.87+2917.95+461.68-398-260.5</f>
        <v>17592</v>
      </c>
      <c r="K810" s="131">
        <f t="shared" si="170"/>
        <v>17592</v>
      </c>
      <c r="L810" s="335">
        <f t="shared" si="169"/>
        <v>0</v>
      </c>
      <c r="M810" s="446"/>
      <c r="N810" s="446"/>
      <c r="O810" s="446"/>
      <c r="P810" s="446"/>
      <c r="Q810" s="110">
        <v>130</v>
      </c>
      <c r="R810" s="111">
        <v>4398</v>
      </c>
      <c r="S810" s="110"/>
      <c r="T810" s="110"/>
      <c r="U810" s="110">
        <v>130</v>
      </c>
      <c r="V810" s="111">
        <v>4398</v>
      </c>
      <c r="W810" s="110"/>
      <c r="X810" s="110"/>
      <c r="Y810" s="110"/>
      <c r="Z810" s="110"/>
      <c r="AA810" s="110">
        <v>120</v>
      </c>
      <c r="AB810" s="111">
        <v>4398</v>
      </c>
      <c r="AC810" s="110"/>
      <c r="AD810" s="110"/>
      <c r="AE810" s="110">
        <v>135</v>
      </c>
      <c r="AF810" s="111">
        <v>4398</v>
      </c>
      <c r="AG810" s="110"/>
      <c r="AH810" s="110"/>
      <c r="AI810" s="110"/>
      <c r="AJ810" s="110"/>
      <c r="AK810" s="111">
        <f t="shared" si="165"/>
        <v>17592</v>
      </c>
      <c r="AL810" s="446">
        <f t="shared" si="166"/>
        <v>0</v>
      </c>
      <c r="AM810" s="110">
        <f t="shared" si="167"/>
        <v>515</v>
      </c>
      <c r="AN810" s="447">
        <f t="shared" si="171"/>
        <v>0</v>
      </c>
      <c r="AO810"/>
      <c r="AP810"/>
    </row>
    <row r="811" spans="1:42" ht="66" x14ac:dyDescent="0.25">
      <c r="A811" s="11"/>
      <c r="B811" s="34" t="s">
        <v>126</v>
      </c>
      <c r="C811" s="22"/>
      <c r="D811" s="882">
        <f>20+246+34</f>
        <v>300</v>
      </c>
      <c r="E811" s="1025" t="s">
        <v>1721</v>
      </c>
      <c r="F811" s="273" t="s">
        <v>3446</v>
      </c>
      <c r="G811" s="1040" t="s">
        <v>3463</v>
      </c>
      <c r="H811" s="273" t="s">
        <v>3462</v>
      </c>
      <c r="I811" s="720">
        <f t="shared" si="172"/>
        <v>40.534666666666674</v>
      </c>
      <c r="J811" s="756">
        <f>928.71+8909.44+2247.56+509.94-87.92-347.33</f>
        <v>12160.400000000001</v>
      </c>
      <c r="K811" s="131">
        <f t="shared" si="170"/>
        <v>12160.400000000001</v>
      </c>
      <c r="L811" s="335">
        <f t="shared" si="169"/>
        <v>0</v>
      </c>
      <c r="M811" s="446"/>
      <c r="N811" s="446"/>
      <c r="O811" s="446"/>
      <c r="P811" s="446"/>
      <c r="Q811" s="110">
        <f t="shared" si="173"/>
        <v>75</v>
      </c>
      <c r="R811" s="111">
        <f t="shared" si="178"/>
        <v>3040.1000000000004</v>
      </c>
      <c r="S811" s="110"/>
      <c r="T811" s="110"/>
      <c r="U811" s="110">
        <f t="shared" si="174"/>
        <v>75</v>
      </c>
      <c r="V811" s="111">
        <f t="shared" si="179"/>
        <v>3040.1000000000004</v>
      </c>
      <c r="W811" s="110"/>
      <c r="X811" s="110"/>
      <c r="Y811" s="110"/>
      <c r="Z811" s="110"/>
      <c r="AA811" s="110">
        <f t="shared" si="175"/>
        <v>75</v>
      </c>
      <c r="AB811" s="111">
        <f t="shared" si="176"/>
        <v>3040.1000000000004</v>
      </c>
      <c r="AC811" s="110"/>
      <c r="AD811" s="110"/>
      <c r="AE811" s="110">
        <f t="shared" si="175"/>
        <v>75</v>
      </c>
      <c r="AF811" s="111">
        <f t="shared" si="177"/>
        <v>3040.1000000000004</v>
      </c>
      <c r="AG811" s="110"/>
      <c r="AH811" s="110"/>
      <c r="AI811" s="110"/>
      <c r="AJ811" s="110"/>
      <c r="AK811" s="111">
        <f t="shared" si="165"/>
        <v>12160.400000000001</v>
      </c>
      <c r="AL811" s="446">
        <f t="shared" si="166"/>
        <v>0</v>
      </c>
      <c r="AM811" s="110">
        <f t="shared" si="167"/>
        <v>300</v>
      </c>
      <c r="AN811" s="447">
        <f t="shared" si="171"/>
        <v>0</v>
      </c>
      <c r="AO811"/>
      <c r="AP811"/>
    </row>
    <row r="812" spans="1:42" ht="66" x14ac:dyDescent="0.25">
      <c r="A812" s="11"/>
      <c r="B812" s="34" t="s">
        <v>1414</v>
      </c>
      <c r="C812" s="23"/>
      <c r="D812" s="887">
        <v>1</v>
      </c>
      <c r="E812" s="29"/>
      <c r="F812" s="273" t="s">
        <v>3446</v>
      </c>
      <c r="G812" s="1040" t="s">
        <v>3463</v>
      </c>
      <c r="H812" s="273" t="s">
        <v>3462</v>
      </c>
      <c r="I812" s="720">
        <f t="shared" si="172"/>
        <v>59.39</v>
      </c>
      <c r="J812" s="765">
        <v>59.39</v>
      </c>
      <c r="K812" s="131">
        <f t="shared" si="170"/>
        <v>59.39</v>
      </c>
      <c r="L812" s="335">
        <f t="shared" si="169"/>
        <v>0</v>
      </c>
      <c r="M812" s="446"/>
      <c r="N812" s="446"/>
      <c r="O812" s="446"/>
      <c r="P812" s="446"/>
      <c r="Q812" s="110">
        <v>1</v>
      </c>
      <c r="R812" s="111">
        <v>59.39</v>
      </c>
      <c r="S812" s="110"/>
      <c r="T812" s="110"/>
      <c r="U812" s="110">
        <v>0</v>
      </c>
      <c r="V812" s="111">
        <v>0</v>
      </c>
      <c r="W812" s="110"/>
      <c r="X812" s="110"/>
      <c r="Y812" s="110"/>
      <c r="Z812" s="110"/>
      <c r="AA812" s="110">
        <v>0</v>
      </c>
      <c r="AB812" s="111">
        <v>0</v>
      </c>
      <c r="AC812" s="110"/>
      <c r="AD812" s="110"/>
      <c r="AE812" s="110">
        <v>0</v>
      </c>
      <c r="AF812" s="111">
        <v>0</v>
      </c>
      <c r="AG812" s="110"/>
      <c r="AH812" s="110"/>
      <c r="AI812" s="110"/>
      <c r="AJ812" s="110"/>
      <c r="AK812" s="111">
        <f t="shared" si="165"/>
        <v>59.39</v>
      </c>
      <c r="AL812" s="446">
        <f t="shared" si="166"/>
        <v>0</v>
      </c>
      <c r="AM812" s="110">
        <f t="shared" si="167"/>
        <v>1</v>
      </c>
      <c r="AN812" s="447">
        <f t="shared" si="171"/>
        <v>0</v>
      </c>
      <c r="AO812"/>
      <c r="AP812"/>
    </row>
    <row r="813" spans="1:42" ht="66" x14ac:dyDescent="0.25">
      <c r="A813" s="11"/>
      <c r="B813" s="34" t="s">
        <v>127</v>
      </c>
      <c r="C813" s="23"/>
      <c r="D813" s="887">
        <f>1</f>
        <v>1</v>
      </c>
      <c r="E813" s="29"/>
      <c r="F813" s="273" t="s">
        <v>3446</v>
      </c>
      <c r="G813" s="1040" t="s">
        <v>3463</v>
      </c>
      <c r="H813" s="273" t="s">
        <v>3462</v>
      </c>
      <c r="I813" s="720">
        <f t="shared" si="172"/>
        <v>15.16</v>
      </c>
      <c r="J813" s="765">
        <f>15.16</f>
        <v>15.16</v>
      </c>
      <c r="K813" s="131">
        <f t="shared" si="170"/>
        <v>15.16</v>
      </c>
      <c r="L813" s="335">
        <f t="shared" si="169"/>
        <v>0</v>
      </c>
      <c r="M813" s="446"/>
      <c r="N813" s="446"/>
      <c r="O813" s="446"/>
      <c r="P813" s="446"/>
      <c r="Q813" s="110">
        <v>1</v>
      </c>
      <c r="R813" s="111">
        <v>15.16</v>
      </c>
      <c r="S813" s="110"/>
      <c r="T813" s="110"/>
      <c r="U813" s="110">
        <v>0</v>
      </c>
      <c r="V813" s="111">
        <v>0</v>
      </c>
      <c r="W813" s="110"/>
      <c r="X813" s="110"/>
      <c r="Y813" s="110"/>
      <c r="Z813" s="110"/>
      <c r="AA813" s="110">
        <v>0</v>
      </c>
      <c r="AB813" s="111">
        <v>0</v>
      </c>
      <c r="AC813" s="110"/>
      <c r="AD813" s="110"/>
      <c r="AE813" s="110">
        <v>0</v>
      </c>
      <c r="AF813" s="111">
        <v>0</v>
      </c>
      <c r="AG813" s="110"/>
      <c r="AH813" s="110"/>
      <c r="AI813" s="110"/>
      <c r="AJ813" s="110"/>
      <c r="AK813" s="111">
        <f t="shared" si="165"/>
        <v>15.16</v>
      </c>
      <c r="AL813" s="446">
        <f t="shared" si="166"/>
        <v>0</v>
      </c>
      <c r="AM813" s="110">
        <f t="shared" si="167"/>
        <v>1</v>
      </c>
      <c r="AN813" s="447">
        <f t="shared" si="171"/>
        <v>0</v>
      </c>
      <c r="AO813"/>
      <c r="AP813"/>
    </row>
    <row r="814" spans="1:42" ht="66" x14ac:dyDescent="0.25">
      <c r="A814" s="11"/>
      <c r="B814" s="34" t="s">
        <v>128</v>
      </c>
      <c r="C814" s="25"/>
      <c r="D814" s="873">
        <f>50+32</f>
        <v>82</v>
      </c>
      <c r="E814" s="1023"/>
      <c r="F814" s="273" t="s">
        <v>3446</v>
      </c>
      <c r="G814" s="1040" t="s">
        <v>3463</v>
      </c>
      <c r="H814" s="273" t="s">
        <v>3462</v>
      </c>
      <c r="I814" s="720">
        <f t="shared" si="172"/>
        <v>10.41609756097561</v>
      </c>
      <c r="J814" s="765">
        <f>217.5+636.62</f>
        <v>854.12</v>
      </c>
      <c r="K814" s="131">
        <f t="shared" si="170"/>
        <v>854.12</v>
      </c>
      <c r="L814" s="335">
        <f t="shared" si="169"/>
        <v>0</v>
      </c>
      <c r="M814" s="446"/>
      <c r="N814" s="446"/>
      <c r="O814" s="446"/>
      <c r="P814" s="446"/>
      <c r="Q814" s="110">
        <v>21</v>
      </c>
      <c r="R814" s="111">
        <f t="shared" si="178"/>
        <v>213.53</v>
      </c>
      <c r="S814" s="110"/>
      <c r="T814" s="110"/>
      <c r="U814" s="110">
        <v>21</v>
      </c>
      <c r="V814" s="111">
        <f t="shared" si="179"/>
        <v>213.53</v>
      </c>
      <c r="W814" s="110"/>
      <c r="X814" s="110"/>
      <c r="Y814" s="110"/>
      <c r="Z814" s="110"/>
      <c r="AA814" s="110">
        <v>20</v>
      </c>
      <c r="AB814" s="111">
        <f t="shared" si="176"/>
        <v>213.53</v>
      </c>
      <c r="AC814" s="110"/>
      <c r="AD814" s="110"/>
      <c r="AE814" s="110">
        <v>20</v>
      </c>
      <c r="AF814" s="111">
        <f t="shared" si="177"/>
        <v>213.53</v>
      </c>
      <c r="AG814" s="110"/>
      <c r="AH814" s="110"/>
      <c r="AI814" s="110"/>
      <c r="AJ814" s="110"/>
      <c r="AK814" s="111">
        <f t="shared" si="165"/>
        <v>854.12</v>
      </c>
      <c r="AL814" s="446">
        <f t="shared" si="166"/>
        <v>0</v>
      </c>
      <c r="AM814" s="110">
        <f t="shared" si="167"/>
        <v>82</v>
      </c>
      <c r="AN814" s="447">
        <f t="shared" si="171"/>
        <v>0</v>
      </c>
      <c r="AO814"/>
      <c r="AP814"/>
    </row>
    <row r="815" spans="1:42" ht="66" x14ac:dyDescent="0.25">
      <c r="A815" s="11"/>
      <c r="B815" s="34" t="s">
        <v>130</v>
      </c>
      <c r="C815" s="22"/>
      <c r="D815" s="882">
        <f>145+70+22</f>
        <v>237</v>
      </c>
      <c r="E815" s="1025"/>
      <c r="F815" s="273" t="s">
        <v>3446</v>
      </c>
      <c r="G815" s="1040" t="s">
        <v>3463</v>
      </c>
      <c r="H815" s="273" t="s">
        <v>3462</v>
      </c>
      <c r="I815" s="720">
        <f t="shared" si="172"/>
        <v>5.515316455696202</v>
      </c>
      <c r="J815" s="756">
        <f>461.4+240.19+605.54</f>
        <v>1307.1299999999999</v>
      </c>
      <c r="K815" s="131">
        <f t="shared" si="170"/>
        <v>1307.1299999999999</v>
      </c>
      <c r="L815" s="335">
        <f t="shared" si="169"/>
        <v>0</v>
      </c>
      <c r="M815" s="446"/>
      <c r="N815" s="446"/>
      <c r="O815" s="446"/>
      <c r="P815" s="446"/>
      <c r="Q815" s="110">
        <v>60</v>
      </c>
      <c r="R815" s="111">
        <f t="shared" si="178"/>
        <v>326.78249999999997</v>
      </c>
      <c r="S815" s="110"/>
      <c r="T815" s="110"/>
      <c r="U815" s="110">
        <v>60</v>
      </c>
      <c r="V815" s="111">
        <f t="shared" si="179"/>
        <v>326.78249999999997</v>
      </c>
      <c r="W815" s="110"/>
      <c r="X815" s="110"/>
      <c r="Y815" s="110"/>
      <c r="Z815" s="110"/>
      <c r="AA815" s="110">
        <v>60</v>
      </c>
      <c r="AB815" s="111">
        <f t="shared" si="176"/>
        <v>326.78249999999997</v>
      </c>
      <c r="AC815" s="110"/>
      <c r="AD815" s="110"/>
      <c r="AE815" s="110">
        <v>57</v>
      </c>
      <c r="AF815" s="111">
        <f t="shared" si="177"/>
        <v>326.78249999999997</v>
      </c>
      <c r="AG815" s="110"/>
      <c r="AH815" s="110"/>
      <c r="AI815" s="110"/>
      <c r="AJ815" s="110"/>
      <c r="AK815" s="111">
        <f t="shared" si="165"/>
        <v>1307.1299999999999</v>
      </c>
      <c r="AL815" s="446">
        <f t="shared" si="166"/>
        <v>0</v>
      </c>
      <c r="AM815" s="110">
        <f t="shared" si="167"/>
        <v>237</v>
      </c>
      <c r="AN815" s="447">
        <f t="shared" si="171"/>
        <v>0</v>
      </c>
      <c r="AO815"/>
      <c r="AP815"/>
    </row>
    <row r="816" spans="1:42" ht="66" x14ac:dyDescent="0.25">
      <c r="A816" s="11"/>
      <c r="B816" s="34" t="s">
        <v>131</v>
      </c>
      <c r="C816" s="22"/>
      <c r="D816" s="882">
        <f>145+70+100+20</f>
        <v>335</v>
      </c>
      <c r="E816" s="1025" t="s">
        <v>1721</v>
      </c>
      <c r="F816" s="273" t="s">
        <v>3446</v>
      </c>
      <c r="G816" s="1040" t="s">
        <v>3463</v>
      </c>
      <c r="H816" s="273" t="s">
        <v>3462</v>
      </c>
      <c r="I816" s="720">
        <f t="shared" si="172"/>
        <v>4.1233432835820887</v>
      </c>
      <c r="J816" s="756">
        <f>530.67+279.93+475.6+95.12</f>
        <v>1381.3199999999997</v>
      </c>
      <c r="K816" s="131">
        <f t="shared" si="170"/>
        <v>1381.3199999999997</v>
      </c>
      <c r="L816" s="335">
        <f t="shared" si="169"/>
        <v>0</v>
      </c>
      <c r="M816" s="446"/>
      <c r="N816" s="446"/>
      <c r="O816" s="446"/>
      <c r="P816" s="446"/>
      <c r="Q816" s="110">
        <v>85</v>
      </c>
      <c r="R816" s="111">
        <f t="shared" si="178"/>
        <v>345.32999999999993</v>
      </c>
      <c r="S816" s="110"/>
      <c r="T816" s="110"/>
      <c r="U816" s="110">
        <v>85</v>
      </c>
      <c r="V816" s="111">
        <f t="shared" si="179"/>
        <v>345.32999999999993</v>
      </c>
      <c r="W816" s="110"/>
      <c r="X816" s="110"/>
      <c r="Y816" s="110"/>
      <c r="Z816" s="110"/>
      <c r="AA816" s="110">
        <v>85</v>
      </c>
      <c r="AB816" s="111">
        <f t="shared" si="176"/>
        <v>345.32999999999993</v>
      </c>
      <c r="AC816" s="110"/>
      <c r="AD816" s="110"/>
      <c r="AE816" s="110">
        <v>80</v>
      </c>
      <c r="AF816" s="111">
        <f t="shared" si="177"/>
        <v>345.32999999999993</v>
      </c>
      <c r="AG816" s="110"/>
      <c r="AH816" s="110"/>
      <c r="AI816" s="110"/>
      <c r="AJ816" s="110"/>
      <c r="AK816" s="111">
        <f t="shared" ref="AK816:AK879" si="180">+R816+V816+AB816+AF816</f>
        <v>1381.3199999999997</v>
      </c>
      <c r="AL816" s="446">
        <f t="shared" ref="AL816:AL879" si="181">+J816-AK816</f>
        <v>0</v>
      </c>
      <c r="AM816" s="110">
        <f t="shared" ref="AM816:AM879" si="182">+Q816+U816+AA816+AE816</f>
        <v>335</v>
      </c>
      <c r="AN816" s="447">
        <f t="shared" si="171"/>
        <v>0</v>
      </c>
      <c r="AO816"/>
      <c r="AP816"/>
    </row>
    <row r="817" spans="1:42" ht="66" x14ac:dyDescent="0.25">
      <c r="A817" s="11"/>
      <c r="B817" s="34" t="s">
        <v>132</v>
      </c>
      <c r="C817" s="22"/>
      <c r="D817" s="882">
        <f>15</f>
        <v>15</v>
      </c>
      <c r="E817" s="1025"/>
      <c r="F817" s="273" t="s">
        <v>3446</v>
      </c>
      <c r="G817" s="1040" t="s">
        <v>3463</v>
      </c>
      <c r="H817" s="273" t="s">
        <v>3462</v>
      </c>
      <c r="I817" s="720">
        <f t="shared" si="172"/>
        <v>14.906000000000001</v>
      </c>
      <c r="J817" s="756">
        <f>223.59</f>
        <v>223.59</v>
      </c>
      <c r="K817" s="131">
        <f t="shared" si="170"/>
        <v>223.59</v>
      </c>
      <c r="L817" s="335">
        <f t="shared" si="169"/>
        <v>0</v>
      </c>
      <c r="M817" s="446"/>
      <c r="N817" s="446"/>
      <c r="O817" s="446"/>
      <c r="P817" s="446"/>
      <c r="Q817" s="110">
        <v>4</v>
      </c>
      <c r="R817" s="111">
        <f t="shared" si="178"/>
        <v>55.897500000000001</v>
      </c>
      <c r="S817" s="110"/>
      <c r="T817" s="110"/>
      <c r="U817" s="110">
        <v>4</v>
      </c>
      <c r="V817" s="111">
        <f t="shared" si="179"/>
        <v>55.897500000000001</v>
      </c>
      <c r="W817" s="110"/>
      <c r="X817" s="110"/>
      <c r="Y817" s="110"/>
      <c r="Z817" s="110"/>
      <c r="AA817" s="110">
        <v>4</v>
      </c>
      <c r="AB817" s="111">
        <f t="shared" si="176"/>
        <v>55.897500000000001</v>
      </c>
      <c r="AC817" s="110"/>
      <c r="AD817" s="110"/>
      <c r="AE817" s="110">
        <v>3</v>
      </c>
      <c r="AF817" s="111">
        <f t="shared" si="177"/>
        <v>55.897500000000001</v>
      </c>
      <c r="AG817" s="110"/>
      <c r="AH817" s="110"/>
      <c r="AI817" s="110"/>
      <c r="AJ817" s="110"/>
      <c r="AK817" s="111">
        <f t="shared" si="180"/>
        <v>223.59</v>
      </c>
      <c r="AL817" s="446">
        <f t="shared" si="181"/>
        <v>0</v>
      </c>
      <c r="AM817" s="110">
        <f t="shared" si="182"/>
        <v>15</v>
      </c>
      <c r="AN817" s="447">
        <f t="shared" si="171"/>
        <v>0</v>
      </c>
      <c r="AO817"/>
      <c r="AP817"/>
    </row>
    <row r="818" spans="1:42" ht="66" x14ac:dyDescent="0.25">
      <c r="A818" s="11"/>
      <c r="B818" s="34" t="s">
        <v>1144</v>
      </c>
      <c r="C818" s="22"/>
      <c r="D818" s="882">
        <v>3</v>
      </c>
      <c r="E818" s="1025"/>
      <c r="F818" s="273" t="s">
        <v>3446</v>
      </c>
      <c r="G818" s="1040" t="s">
        <v>3463</v>
      </c>
      <c r="H818" s="273" t="s">
        <v>3462</v>
      </c>
      <c r="I818" s="720">
        <f t="shared" si="172"/>
        <v>1508</v>
      </c>
      <c r="J818" s="756">
        <f>4524</f>
        <v>4524</v>
      </c>
      <c r="K818" s="131">
        <f t="shared" si="170"/>
        <v>4524</v>
      </c>
      <c r="L818" s="335">
        <f t="shared" si="169"/>
        <v>0</v>
      </c>
      <c r="M818" s="446"/>
      <c r="N818" s="446"/>
      <c r="O818" s="446"/>
      <c r="P818" s="446"/>
      <c r="Q818" s="130">
        <v>1</v>
      </c>
      <c r="R818" s="111">
        <v>1508</v>
      </c>
      <c r="S818" s="110"/>
      <c r="T818" s="110"/>
      <c r="U818" s="130">
        <v>1</v>
      </c>
      <c r="V818" s="111">
        <v>1508</v>
      </c>
      <c r="W818" s="110"/>
      <c r="X818" s="110"/>
      <c r="Y818" s="110"/>
      <c r="Z818" s="110"/>
      <c r="AA818" s="130">
        <v>1</v>
      </c>
      <c r="AB818" s="111">
        <v>1508</v>
      </c>
      <c r="AC818" s="110"/>
      <c r="AD818" s="110"/>
      <c r="AE818" s="130">
        <v>0</v>
      </c>
      <c r="AF818" s="111">
        <v>0</v>
      </c>
      <c r="AG818" s="110"/>
      <c r="AH818" s="110"/>
      <c r="AI818" s="110"/>
      <c r="AJ818" s="110"/>
      <c r="AK818" s="111">
        <f t="shared" si="180"/>
        <v>4524</v>
      </c>
      <c r="AL818" s="446">
        <f t="shared" si="181"/>
        <v>0</v>
      </c>
      <c r="AM818" s="110">
        <f t="shared" si="182"/>
        <v>3</v>
      </c>
      <c r="AN818" s="447">
        <f t="shared" si="171"/>
        <v>0</v>
      </c>
      <c r="AO818"/>
      <c r="AP818"/>
    </row>
    <row r="819" spans="1:42" ht="66" x14ac:dyDescent="0.25">
      <c r="A819" s="11"/>
      <c r="B819" s="37" t="s">
        <v>129</v>
      </c>
      <c r="C819" s="22"/>
      <c r="D819" s="882">
        <f>3</f>
        <v>3</v>
      </c>
      <c r="E819" s="1025"/>
      <c r="F819" s="273" t="s">
        <v>3446</v>
      </c>
      <c r="G819" s="1040" t="s">
        <v>3463</v>
      </c>
      <c r="H819" s="273" t="s">
        <v>3462</v>
      </c>
      <c r="I819" s="720">
        <f t="shared" si="172"/>
        <v>92.8</v>
      </c>
      <c r="J819" s="756">
        <f>278.4</f>
        <v>278.39999999999998</v>
      </c>
      <c r="K819" s="131">
        <f t="shared" si="170"/>
        <v>278.39999999999998</v>
      </c>
      <c r="L819" s="335">
        <f t="shared" si="169"/>
        <v>0</v>
      </c>
      <c r="M819" s="446"/>
      <c r="N819" s="446"/>
      <c r="O819" s="446"/>
      <c r="P819" s="446"/>
      <c r="Q819" s="130">
        <v>1</v>
      </c>
      <c r="R819" s="111">
        <v>92.8</v>
      </c>
      <c r="S819" s="110"/>
      <c r="T819" s="110"/>
      <c r="U819" s="130">
        <v>1</v>
      </c>
      <c r="V819" s="111">
        <v>92.8</v>
      </c>
      <c r="W819" s="110"/>
      <c r="X819" s="110"/>
      <c r="Y819" s="110"/>
      <c r="Z819" s="110"/>
      <c r="AA819" s="130">
        <v>1</v>
      </c>
      <c r="AB819" s="111">
        <v>92.8</v>
      </c>
      <c r="AC819" s="110"/>
      <c r="AD819" s="110"/>
      <c r="AE819" s="130">
        <v>0</v>
      </c>
      <c r="AF819" s="111">
        <v>0</v>
      </c>
      <c r="AG819" s="110"/>
      <c r="AH819" s="110"/>
      <c r="AI819" s="110"/>
      <c r="AJ819" s="110"/>
      <c r="AK819" s="111">
        <f t="shared" si="180"/>
        <v>278.39999999999998</v>
      </c>
      <c r="AL819" s="446">
        <f t="shared" si="181"/>
        <v>0</v>
      </c>
      <c r="AM819" s="110">
        <f t="shared" si="182"/>
        <v>3</v>
      </c>
      <c r="AN819" s="447">
        <f t="shared" si="171"/>
        <v>0</v>
      </c>
      <c r="AO819"/>
      <c r="AP819"/>
    </row>
    <row r="820" spans="1:42" ht="66" x14ac:dyDescent="0.25">
      <c r="A820" s="11"/>
      <c r="B820" s="34" t="s">
        <v>135</v>
      </c>
      <c r="C820" s="22"/>
      <c r="D820" s="882">
        <f>2+1</f>
        <v>3</v>
      </c>
      <c r="E820" s="1025"/>
      <c r="F820" s="273" t="s">
        <v>3446</v>
      </c>
      <c r="G820" s="1040" t="s">
        <v>3463</v>
      </c>
      <c r="H820" s="273" t="s">
        <v>3462</v>
      </c>
      <c r="I820" s="720">
        <f t="shared" si="172"/>
        <v>74.069999999999993</v>
      </c>
      <c r="J820" s="756">
        <f>148.14+74.07</f>
        <v>222.20999999999998</v>
      </c>
      <c r="K820" s="131">
        <f t="shared" si="170"/>
        <v>222.20999999999998</v>
      </c>
      <c r="L820" s="335">
        <f t="shared" si="169"/>
        <v>0</v>
      </c>
      <c r="M820" s="446"/>
      <c r="N820" s="446"/>
      <c r="O820" s="446"/>
      <c r="P820" s="446"/>
      <c r="Q820" s="130">
        <v>1</v>
      </c>
      <c r="R820" s="111">
        <v>74.069999999999993</v>
      </c>
      <c r="S820" s="110"/>
      <c r="T820" s="110"/>
      <c r="U820" s="130">
        <v>1</v>
      </c>
      <c r="V820" s="111">
        <v>74.069999999999993</v>
      </c>
      <c r="W820" s="110"/>
      <c r="X820" s="110"/>
      <c r="Y820" s="110"/>
      <c r="Z820" s="110"/>
      <c r="AA820" s="130">
        <v>1</v>
      </c>
      <c r="AB820" s="111">
        <v>74.069999999999993</v>
      </c>
      <c r="AC820" s="110"/>
      <c r="AD820" s="110"/>
      <c r="AE820" s="130">
        <v>0</v>
      </c>
      <c r="AF820" s="111">
        <v>0</v>
      </c>
      <c r="AG820" s="110"/>
      <c r="AH820" s="110"/>
      <c r="AI820" s="110"/>
      <c r="AJ820" s="110"/>
      <c r="AK820" s="111">
        <f t="shared" si="180"/>
        <v>222.20999999999998</v>
      </c>
      <c r="AL820" s="446">
        <f t="shared" si="181"/>
        <v>0</v>
      </c>
      <c r="AM820" s="110">
        <f t="shared" si="182"/>
        <v>3</v>
      </c>
      <c r="AN820" s="447">
        <f t="shared" si="171"/>
        <v>0</v>
      </c>
      <c r="AO820"/>
      <c r="AP820"/>
    </row>
    <row r="821" spans="1:42" ht="66" x14ac:dyDescent="0.25">
      <c r="A821" s="11"/>
      <c r="B821" s="128" t="s">
        <v>136</v>
      </c>
      <c r="C821" s="23"/>
      <c r="D821" s="887">
        <f>12</f>
        <v>12</v>
      </c>
      <c r="E821" s="29"/>
      <c r="F821" s="273" t="s">
        <v>3446</v>
      </c>
      <c r="G821" s="1040" t="s">
        <v>3463</v>
      </c>
      <c r="H821" s="273" t="s">
        <v>3462</v>
      </c>
      <c r="I821" s="720">
        <f t="shared" si="172"/>
        <v>82.37</v>
      </c>
      <c r="J821" s="765">
        <f>988.44</f>
        <v>988.44</v>
      </c>
      <c r="K821" s="131">
        <f t="shared" si="170"/>
        <v>988.44</v>
      </c>
      <c r="L821" s="335">
        <f t="shared" si="169"/>
        <v>0</v>
      </c>
      <c r="M821" s="446"/>
      <c r="N821" s="446"/>
      <c r="O821" s="446"/>
      <c r="P821" s="446"/>
      <c r="Q821" s="110">
        <f t="shared" si="173"/>
        <v>3</v>
      </c>
      <c r="R821" s="111">
        <f t="shared" si="178"/>
        <v>247.11</v>
      </c>
      <c r="S821" s="110"/>
      <c r="T821" s="110"/>
      <c r="U821" s="110">
        <f t="shared" si="174"/>
        <v>3</v>
      </c>
      <c r="V821" s="111">
        <f t="shared" si="179"/>
        <v>247.11</v>
      </c>
      <c r="W821" s="110"/>
      <c r="X821" s="110"/>
      <c r="Y821" s="110"/>
      <c r="Z821" s="110"/>
      <c r="AA821" s="110">
        <f t="shared" si="175"/>
        <v>3</v>
      </c>
      <c r="AB821" s="111">
        <f t="shared" si="176"/>
        <v>247.11</v>
      </c>
      <c r="AC821" s="110"/>
      <c r="AD821" s="110"/>
      <c r="AE821" s="110">
        <f t="shared" si="175"/>
        <v>3</v>
      </c>
      <c r="AF821" s="111">
        <f t="shared" si="177"/>
        <v>247.11</v>
      </c>
      <c r="AG821" s="110"/>
      <c r="AH821" s="110"/>
      <c r="AI821" s="110"/>
      <c r="AJ821" s="110"/>
      <c r="AK821" s="111">
        <f t="shared" si="180"/>
        <v>988.44</v>
      </c>
      <c r="AL821" s="446">
        <f t="shared" si="181"/>
        <v>0</v>
      </c>
      <c r="AM821" s="110">
        <f t="shared" si="182"/>
        <v>12</v>
      </c>
      <c r="AN821" s="447">
        <f t="shared" si="171"/>
        <v>0</v>
      </c>
      <c r="AO821"/>
      <c r="AP821"/>
    </row>
    <row r="822" spans="1:42" ht="66" x14ac:dyDescent="0.25">
      <c r="A822" s="11"/>
      <c r="B822" s="502" t="s">
        <v>118</v>
      </c>
      <c r="C822" s="23"/>
      <c r="D822" s="869">
        <v>1</v>
      </c>
      <c r="E822" s="247" t="s">
        <v>1734</v>
      </c>
      <c r="F822" s="273" t="s">
        <v>3446</v>
      </c>
      <c r="G822" s="1040" t="s">
        <v>3463</v>
      </c>
      <c r="H822" s="273" t="s">
        <v>3462</v>
      </c>
      <c r="I822" s="720">
        <f>+J822/D822</f>
        <v>199.96079999999998</v>
      </c>
      <c r="J822" s="765">
        <v>199.96079999999998</v>
      </c>
      <c r="K822" s="131">
        <f t="shared" si="170"/>
        <v>199.96079999999998</v>
      </c>
      <c r="L822" s="335">
        <f t="shared" si="169"/>
        <v>0</v>
      </c>
      <c r="M822" s="446"/>
      <c r="N822" s="446"/>
      <c r="O822" s="446"/>
      <c r="P822" s="446"/>
      <c r="Q822" s="110">
        <v>1</v>
      </c>
      <c r="R822" s="111">
        <v>199.96</v>
      </c>
      <c r="S822" s="110"/>
      <c r="T822" s="110"/>
      <c r="U822" s="110">
        <v>0</v>
      </c>
      <c r="V822" s="111">
        <v>0</v>
      </c>
      <c r="W822" s="110"/>
      <c r="X822" s="110"/>
      <c r="Y822" s="110"/>
      <c r="Z822" s="110"/>
      <c r="AA822" s="110">
        <v>0</v>
      </c>
      <c r="AB822" s="111">
        <v>0</v>
      </c>
      <c r="AC822" s="110"/>
      <c r="AD822" s="110"/>
      <c r="AE822" s="110">
        <v>0</v>
      </c>
      <c r="AF822" s="111">
        <v>0</v>
      </c>
      <c r="AG822" s="110"/>
      <c r="AH822" s="110"/>
      <c r="AI822" s="110"/>
      <c r="AJ822" s="110"/>
      <c r="AK822" s="111">
        <f t="shared" si="180"/>
        <v>199.96</v>
      </c>
      <c r="AL822" s="446">
        <f t="shared" si="181"/>
        <v>7.9999999996971383E-4</v>
      </c>
      <c r="AM822" s="110">
        <f t="shared" si="182"/>
        <v>1</v>
      </c>
      <c r="AN822" s="447">
        <f t="shared" si="171"/>
        <v>0</v>
      </c>
      <c r="AO822"/>
      <c r="AP822"/>
    </row>
    <row r="823" spans="1:42" ht="66" x14ac:dyDescent="0.25">
      <c r="A823" s="11"/>
      <c r="B823" s="473" t="s">
        <v>119</v>
      </c>
      <c r="C823" s="23"/>
      <c r="D823" s="869">
        <v>70</v>
      </c>
      <c r="E823" s="247" t="s">
        <v>1725</v>
      </c>
      <c r="F823" s="273" t="s">
        <v>3446</v>
      </c>
      <c r="G823" s="1040" t="s">
        <v>3463</v>
      </c>
      <c r="H823" s="273" t="s">
        <v>3462</v>
      </c>
      <c r="I823" s="720">
        <f>+J823/D823</f>
        <v>98.657999999999987</v>
      </c>
      <c r="J823" s="765">
        <v>6906.0599999999995</v>
      </c>
      <c r="K823" s="131">
        <f t="shared" si="170"/>
        <v>6906.0599999999995</v>
      </c>
      <c r="L823" s="335">
        <f t="shared" si="169"/>
        <v>0</v>
      </c>
      <c r="M823" s="446"/>
      <c r="N823" s="446"/>
      <c r="O823" s="446"/>
      <c r="P823" s="446"/>
      <c r="Q823" s="110">
        <v>18</v>
      </c>
      <c r="R823" s="111">
        <f t="shared" si="178"/>
        <v>1726.5149999999999</v>
      </c>
      <c r="S823" s="110"/>
      <c r="T823" s="110"/>
      <c r="U823" s="110">
        <v>18</v>
      </c>
      <c r="V823" s="111">
        <f t="shared" si="179"/>
        <v>1726.5149999999999</v>
      </c>
      <c r="W823" s="110"/>
      <c r="X823" s="110"/>
      <c r="Y823" s="110"/>
      <c r="Z823" s="110"/>
      <c r="AA823" s="110">
        <v>17</v>
      </c>
      <c r="AB823" s="111">
        <f t="shared" si="176"/>
        <v>1726.5149999999999</v>
      </c>
      <c r="AC823" s="110"/>
      <c r="AD823" s="110"/>
      <c r="AE823" s="110">
        <v>17</v>
      </c>
      <c r="AF823" s="111">
        <f t="shared" si="177"/>
        <v>1726.5149999999999</v>
      </c>
      <c r="AG823" s="110"/>
      <c r="AH823" s="110"/>
      <c r="AI823" s="110"/>
      <c r="AJ823" s="110"/>
      <c r="AK823" s="111">
        <f t="shared" si="180"/>
        <v>6906.0599999999995</v>
      </c>
      <c r="AL823" s="446">
        <f t="shared" si="181"/>
        <v>0</v>
      </c>
      <c r="AM823" s="110">
        <f t="shared" si="182"/>
        <v>70</v>
      </c>
      <c r="AN823" s="447">
        <f t="shared" si="171"/>
        <v>0</v>
      </c>
      <c r="AO823"/>
      <c r="AP823"/>
    </row>
    <row r="824" spans="1:42" ht="66" x14ac:dyDescent="0.25">
      <c r="A824" s="11"/>
      <c r="B824" s="473" t="s">
        <v>111</v>
      </c>
      <c r="C824" s="23"/>
      <c r="D824" s="869">
        <v>2</v>
      </c>
      <c r="E824" s="247" t="s">
        <v>1725</v>
      </c>
      <c r="F824" s="273" t="s">
        <v>3446</v>
      </c>
      <c r="G824" s="1040" t="s">
        <v>3463</v>
      </c>
      <c r="H824" s="273" t="s">
        <v>3462</v>
      </c>
      <c r="I824" s="720">
        <f>+J824/D824</f>
        <v>138.1096</v>
      </c>
      <c r="J824" s="765">
        <v>276.2192</v>
      </c>
      <c r="K824" s="131">
        <f t="shared" si="170"/>
        <v>276.2192</v>
      </c>
      <c r="L824" s="335">
        <f t="shared" si="169"/>
        <v>0</v>
      </c>
      <c r="M824" s="446"/>
      <c r="N824" s="446"/>
      <c r="O824" s="446"/>
      <c r="P824" s="446"/>
      <c r="Q824" s="130">
        <v>1</v>
      </c>
      <c r="R824" s="111">
        <v>138.11000000000001</v>
      </c>
      <c r="S824" s="110"/>
      <c r="T824" s="110"/>
      <c r="U824" s="130">
        <v>1</v>
      </c>
      <c r="V824" s="111">
        <v>138.11000000000001</v>
      </c>
      <c r="W824" s="110"/>
      <c r="X824" s="110"/>
      <c r="Y824" s="110"/>
      <c r="Z824" s="110"/>
      <c r="AA824" s="130">
        <v>0</v>
      </c>
      <c r="AB824" s="111">
        <v>0</v>
      </c>
      <c r="AC824" s="110"/>
      <c r="AD824" s="110"/>
      <c r="AE824" s="130">
        <v>0</v>
      </c>
      <c r="AF824" s="111">
        <v>0</v>
      </c>
      <c r="AG824" s="110"/>
      <c r="AH824" s="110"/>
      <c r="AI824" s="110"/>
      <c r="AJ824" s="110"/>
      <c r="AK824" s="111">
        <f t="shared" si="180"/>
        <v>276.22000000000003</v>
      </c>
      <c r="AL824" s="446">
        <f t="shared" si="181"/>
        <v>-8.0000000002655725E-4</v>
      </c>
      <c r="AM824" s="110">
        <f t="shared" si="182"/>
        <v>2</v>
      </c>
      <c r="AN824" s="447">
        <f t="shared" si="171"/>
        <v>0</v>
      </c>
      <c r="AO824"/>
      <c r="AP824"/>
    </row>
    <row r="825" spans="1:42" ht="66" x14ac:dyDescent="0.25">
      <c r="A825" s="11"/>
      <c r="B825" s="167" t="s">
        <v>109</v>
      </c>
      <c r="C825" s="23"/>
      <c r="D825" s="869">
        <v>2</v>
      </c>
      <c r="E825" s="247" t="s">
        <v>1725</v>
      </c>
      <c r="F825" s="273" t="s">
        <v>3446</v>
      </c>
      <c r="G825" s="1040" t="s">
        <v>3463</v>
      </c>
      <c r="H825" s="273" t="s">
        <v>3462</v>
      </c>
      <c r="I825" s="720">
        <f>+J825/D825</f>
        <v>196.69</v>
      </c>
      <c r="J825" s="765">
        <v>393.38</v>
      </c>
      <c r="K825" s="131">
        <f t="shared" si="170"/>
        <v>393.38</v>
      </c>
      <c r="L825" s="335">
        <f t="shared" si="169"/>
        <v>0</v>
      </c>
      <c r="M825" s="446"/>
      <c r="N825" s="446"/>
      <c r="O825" s="446"/>
      <c r="P825" s="446"/>
      <c r="Q825" s="130">
        <v>1</v>
      </c>
      <c r="R825" s="111">
        <v>196.69</v>
      </c>
      <c r="S825" s="110"/>
      <c r="T825" s="110"/>
      <c r="U825" s="130">
        <v>1</v>
      </c>
      <c r="V825" s="111">
        <v>196.69</v>
      </c>
      <c r="W825" s="110"/>
      <c r="X825" s="110"/>
      <c r="Y825" s="110"/>
      <c r="Z825" s="110"/>
      <c r="AA825" s="130">
        <v>0</v>
      </c>
      <c r="AB825" s="111">
        <v>0</v>
      </c>
      <c r="AC825" s="110"/>
      <c r="AD825" s="110"/>
      <c r="AE825" s="130">
        <v>0</v>
      </c>
      <c r="AF825" s="111">
        <v>0</v>
      </c>
      <c r="AG825" s="110"/>
      <c r="AH825" s="110"/>
      <c r="AI825" s="110"/>
      <c r="AJ825" s="110"/>
      <c r="AK825" s="111">
        <f t="shared" si="180"/>
        <v>393.38</v>
      </c>
      <c r="AL825" s="446">
        <f t="shared" si="181"/>
        <v>0</v>
      </c>
      <c r="AM825" s="110">
        <f t="shared" si="182"/>
        <v>2</v>
      </c>
      <c r="AN825" s="447">
        <f t="shared" si="171"/>
        <v>0</v>
      </c>
      <c r="AO825"/>
      <c r="AP825"/>
    </row>
    <row r="826" spans="1:42" ht="66" x14ac:dyDescent="0.25">
      <c r="A826" s="11"/>
      <c r="B826" s="37" t="s">
        <v>105</v>
      </c>
      <c r="C826" s="23"/>
      <c r="D826" s="873">
        <v>4</v>
      </c>
      <c r="E826" s="1025" t="s">
        <v>1721</v>
      </c>
      <c r="F826" s="273" t="s">
        <v>3446</v>
      </c>
      <c r="G826" s="1040" t="s">
        <v>3463</v>
      </c>
      <c r="H826" s="273" t="s">
        <v>3462</v>
      </c>
      <c r="I826" s="720">
        <f t="shared" ref="I826:I889" si="183">+J826/D826</f>
        <v>100.72512</v>
      </c>
      <c r="J826" s="760">
        <v>402.90048000000002</v>
      </c>
      <c r="K826" s="131">
        <f t="shared" si="170"/>
        <v>402.90048000000002</v>
      </c>
      <c r="L826" s="335">
        <f t="shared" si="169"/>
        <v>0</v>
      </c>
      <c r="M826" s="446"/>
      <c r="N826" s="446"/>
      <c r="O826" s="446"/>
      <c r="P826" s="446"/>
      <c r="Q826" s="110">
        <f t="shared" si="173"/>
        <v>1</v>
      </c>
      <c r="R826" s="111">
        <f t="shared" si="178"/>
        <v>100.72512</v>
      </c>
      <c r="S826" s="110"/>
      <c r="T826" s="110"/>
      <c r="U826" s="110">
        <f t="shared" si="174"/>
        <v>1</v>
      </c>
      <c r="V826" s="111">
        <f t="shared" si="179"/>
        <v>100.72512</v>
      </c>
      <c r="W826" s="110"/>
      <c r="X826" s="110"/>
      <c r="Y826" s="110"/>
      <c r="Z826" s="110"/>
      <c r="AA826" s="110">
        <f t="shared" si="175"/>
        <v>1</v>
      </c>
      <c r="AB826" s="111">
        <f t="shared" si="176"/>
        <v>100.72512</v>
      </c>
      <c r="AC826" s="110"/>
      <c r="AD826" s="110"/>
      <c r="AE826" s="110">
        <f t="shared" si="175"/>
        <v>1</v>
      </c>
      <c r="AF826" s="111">
        <f t="shared" si="177"/>
        <v>100.72512</v>
      </c>
      <c r="AG826" s="110"/>
      <c r="AH826" s="110"/>
      <c r="AI826" s="110"/>
      <c r="AJ826" s="110"/>
      <c r="AK826" s="111">
        <f t="shared" si="180"/>
        <v>402.90048000000002</v>
      </c>
      <c r="AL826" s="446">
        <f t="shared" si="181"/>
        <v>0</v>
      </c>
      <c r="AM826" s="110">
        <f t="shared" si="182"/>
        <v>4</v>
      </c>
      <c r="AN826" s="447">
        <f t="shared" si="171"/>
        <v>0</v>
      </c>
      <c r="AO826"/>
      <c r="AP826"/>
    </row>
    <row r="827" spans="1:42" ht="66" x14ac:dyDescent="0.25">
      <c r="A827" s="11"/>
      <c r="B827" s="37" t="s">
        <v>1726</v>
      </c>
      <c r="C827" s="23"/>
      <c r="D827" s="873">
        <v>4</v>
      </c>
      <c r="E827" s="1025" t="s">
        <v>1733</v>
      </c>
      <c r="F827" s="273" t="s">
        <v>3446</v>
      </c>
      <c r="G827" s="1040" t="s">
        <v>3463</v>
      </c>
      <c r="H827" s="273" t="s">
        <v>3462</v>
      </c>
      <c r="I827" s="720">
        <f t="shared" si="183"/>
        <v>57.127679999999998</v>
      </c>
      <c r="J827" s="760">
        <v>228.51071999999999</v>
      </c>
      <c r="K827" s="131">
        <f t="shared" si="170"/>
        <v>228.51071999999999</v>
      </c>
      <c r="L827" s="335">
        <f t="shared" si="169"/>
        <v>0</v>
      </c>
      <c r="M827" s="446"/>
      <c r="N827" s="446"/>
      <c r="O827" s="446"/>
      <c r="P827" s="446"/>
      <c r="Q827" s="110">
        <f t="shared" si="173"/>
        <v>1</v>
      </c>
      <c r="R827" s="111">
        <f t="shared" si="178"/>
        <v>57.127679999999998</v>
      </c>
      <c r="S827" s="110"/>
      <c r="T827" s="110"/>
      <c r="U827" s="110">
        <f t="shared" si="174"/>
        <v>1</v>
      </c>
      <c r="V827" s="111">
        <f t="shared" si="179"/>
        <v>57.127679999999998</v>
      </c>
      <c r="W827" s="110"/>
      <c r="X827" s="110"/>
      <c r="Y827" s="110"/>
      <c r="Z827" s="110"/>
      <c r="AA827" s="110">
        <f t="shared" si="175"/>
        <v>1</v>
      </c>
      <c r="AB827" s="111">
        <f t="shared" si="176"/>
        <v>57.127679999999998</v>
      </c>
      <c r="AC827" s="110"/>
      <c r="AD827" s="110"/>
      <c r="AE827" s="110">
        <f t="shared" si="175"/>
        <v>1</v>
      </c>
      <c r="AF827" s="111">
        <f t="shared" si="177"/>
        <v>57.127679999999998</v>
      </c>
      <c r="AG827" s="110"/>
      <c r="AH827" s="110"/>
      <c r="AI827" s="110"/>
      <c r="AJ827" s="110"/>
      <c r="AK827" s="111">
        <f t="shared" si="180"/>
        <v>228.51071999999999</v>
      </c>
      <c r="AL827" s="446">
        <f t="shared" si="181"/>
        <v>0</v>
      </c>
      <c r="AM827" s="110">
        <f t="shared" si="182"/>
        <v>4</v>
      </c>
      <c r="AN827" s="447">
        <f t="shared" si="171"/>
        <v>0</v>
      </c>
      <c r="AO827"/>
      <c r="AP827"/>
    </row>
    <row r="828" spans="1:42" ht="66" x14ac:dyDescent="0.25">
      <c r="A828" s="11"/>
      <c r="B828" s="37" t="s">
        <v>1727</v>
      </c>
      <c r="C828" s="23"/>
      <c r="D828" s="873">
        <v>1</v>
      </c>
      <c r="E828" s="247" t="s">
        <v>1725</v>
      </c>
      <c r="F828" s="273" t="s">
        <v>3446</v>
      </c>
      <c r="G828" s="1040" t="s">
        <v>3463</v>
      </c>
      <c r="H828" s="273" t="s">
        <v>3462</v>
      </c>
      <c r="I828" s="720">
        <f t="shared" si="183"/>
        <v>171.53376</v>
      </c>
      <c r="J828" s="760">
        <v>171.53376</v>
      </c>
      <c r="K828" s="131">
        <f t="shared" si="170"/>
        <v>171.53376</v>
      </c>
      <c r="L828" s="335">
        <f t="shared" si="169"/>
        <v>0</v>
      </c>
      <c r="M828" s="446"/>
      <c r="N828" s="446"/>
      <c r="O828" s="446"/>
      <c r="P828" s="446"/>
      <c r="Q828" s="110">
        <v>1</v>
      </c>
      <c r="R828" s="111">
        <v>171.53</v>
      </c>
      <c r="S828" s="110"/>
      <c r="T828" s="110"/>
      <c r="U828" s="110">
        <v>0</v>
      </c>
      <c r="V828" s="111">
        <v>0</v>
      </c>
      <c r="W828" s="110"/>
      <c r="X828" s="110"/>
      <c r="Y828" s="110"/>
      <c r="Z828" s="110"/>
      <c r="AA828" s="110">
        <v>0</v>
      </c>
      <c r="AB828" s="111">
        <v>0</v>
      </c>
      <c r="AC828" s="110"/>
      <c r="AD828" s="110"/>
      <c r="AE828" s="110">
        <v>0</v>
      </c>
      <c r="AF828" s="111">
        <v>0</v>
      </c>
      <c r="AG828" s="110"/>
      <c r="AH828" s="110"/>
      <c r="AI828" s="110"/>
      <c r="AJ828" s="110"/>
      <c r="AK828" s="111">
        <f t="shared" si="180"/>
        <v>171.53</v>
      </c>
      <c r="AL828" s="446">
        <f t="shared" si="181"/>
        <v>3.7599999999997635E-3</v>
      </c>
      <c r="AM828" s="110">
        <f t="shared" si="182"/>
        <v>1</v>
      </c>
      <c r="AN828" s="447">
        <f t="shared" si="171"/>
        <v>0</v>
      </c>
      <c r="AO828"/>
      <c r="AP828"/>
    </row>
    <row r="829" spans="1:42" ht="66" x14ac:dyDescent="0.25">
      <c r="A829" s="11"/>
      <c r="B829" s="37" t="s">
        <v>109</v>
      </c>
      <c r="C829" s="23"/>
      <c r="D829" s="873">
        <v>1</v>
      </c>
      <c r="E829" s="1025" t="s">
        <v>1725</v>
      </c>
      <c r="F829" s="273" t="s">
        <v>3446</v>
      </c>
      <c r="G829" s="1040" t="s">
        <v>3463</v>
      </c>
      <c r="H829" s="273" t="s">
        <v>3462</v>
      </c>
      <c r="I829" s="720">
        <f t="shared" si="183"/>
        <v>196.68960000000001</v>
      </c>
      <c r="J829" s="760">
        <v>196.68960000000001</v>
      </c>
      <c r="K829" s="131">
        <f t="shared" si="170"/>
        <v>196.68960000000001</v>
      </c>
      <c r="L829" s="335">
        <f t="shared" si="169"/>
        <v>0</v>
      </c>
      <c r="M829" s="446"/>
      <c r="N829" s="446"/>
      <c r="O829" s="446"/>
      <c r="P829" s="446"/>
      <c r="Q829" s="110">
        <v>1</v>
      </c>
      <c r="R829" s="111">
        <v>196.69</v>
      </c>
      <c r="S829" s="110"/>
      <c r="T829" s="110"/>
      <c r="U829" s="110">
        <v>0</v>
      </c>
      <c r="V829" s="111">
        <v>0</v>
      </c>
      <c r="W829" s="110"/>
      <c r="X829" s="110"/>
      <c r="Y829" s="110"/>
      <c r="Z829" s="110"/>
      <c r="AA829" s="110">
        <v>0</v>
      </c>
      <c r="AB829" s="111">
        <v>0</v>
      </c>
      <c r="AC829" s="110"/>
      <c r="AD829" s="110"/>
      <c r="AE829" s="110">
        <v>0</v>
      </c>
      <c r="AF829" s="111">
        <v>0</v>
      </c>
      <c r="AG829" s="110"/>
      <c r="AH829" s="110"/>
      <c r="AI829" s="110"/>
      <c r="AJ829" s="110"/>
      <c r="AK829" s="111">
        <f t="shared" si="180"/>
        <v>196.69</v>
      </c>
      <c r="AL829" s="446">
        <f t="shared" si="181"/>
        <v>-3.9999999998485691E-4</v>
      </c>
      <c r="AM829" s="110">
        <f t="shared" si="182"/>
        <v>1</v>
      </c>
      <c r="AN829" s="447">
        <f t="shared" si="171"/>
        <v>0</v>
      </c>
      <c r="AO829"/>
      <c r="AP829"/>
    </row>
    <row r="830" spans="1:42" ht="66" x14ac:dyDescent="0.25">
      <c r="A830" s="11"/>
      <c r="B830" s="37" t="s">
        <v>115</v>
      </c>
      <c r="C830" s="23"/>
      <c r="D830" s="873">
        <v>2</v>
      </c>
      <c r="E830" s="1025" t="s">
        <v>1723</v>
      </c>
      <c r="F830" s="273" t="s">
        <v>3446</v>
      </c>
      <c r="G830" s="1040" t="s">
        <v>3463</v>
      </c>
      <c r="H830" s="273" t="s">
        <v>3462</v>
      </c>
      <c r="I830" s="720">
        <f t="shared" si="183"/>
        <v>23.064048</v>
      </c>
      <c r="J830" s="760">
        <v>46.128095999999999</v>
      </c>
      <c r="K830" s="131">
        <f t="shared" si="170"/>
        <v>46.128095999999999</v>
      </c>
      <c r="L830" s="335">
        <f t="shared" si="169"/>
        <v>0</v>
      </c>
      <c r="M830" s="446"/>
      <c r="N830" s="446"/>
      <c r="O830" s="446"/>
      <c r="P830" s="446"/>
      <c r="Q830" s="130">
        <v>1</v>
      </c>
      <c r="R830" s="111">
        <v>23.06</v>
      </c>
      <c r="S830" s="110"/>
      <c r="T830" s="110"/>
      <c r="U830" s="130">
        <v>1</v>
      </c>
      <c r="V830" s="111">
        <v>23.06</v>
      </c>
      <c r="W830" s="110"/>
      <c r="X830" s="110"/>
      <c r="Y830" s="110"/>
      <c r="Z830" s="110"/>
      <c r="AA830" s="130">
        <v>0</v>
      </c>
      <c r="AB830" s="111">
        <v>0</v>
      </c>
      <c r="AC830" s="110"/>
      <c r="AD830" s="110"/>
      <c r="AE830" s="130">
        <v>0</v>
      </c>
      <c r="AF830" s="111">
        <v>0</v>
      </c>
      <c r="AG830" s="110"/>
      <c r="AH830" s="110"/>
      <c r="AI830" s="110"/>
      <c r="AJ830" s="110"/>
      <c r="AK830" s="111">
        <f t="shared" si="180"/>
        <v>46.12</v>
      </c>
      <c r="AL830" s="446">
        <f t="shared" si="181"/>
        <v>8.0960000000018795E-3</v>
      </c>
      <c r="AM830" s="110">
        <f t="shared" si="182"/>
        <v>2</v>
      </c>
      <c r="AN830" s="447">
        <f t="shared" si="171"/>
        <v>0</v>
      </c>
      <c r="AO830"/>
      <c r="AP830"/>
    </row>
    <row r="831" spans="1:42" ht="66" x14ac:dyDescent="0.25">
      <c r="A831" s="11"/>
      <c r="B831" s="149" t="s">
        <v>116</v>
      </c>
      <c r="C831" s="23"/>
      <c r="D831" s="873">
        <v>4</v>
      </c>
      <c r="E831" s="1025" t="s">
        <v>1733</v>
      </c>
      <c r="F831" s="273" t="s">
        <v>3446</v>
      </c>
      <c r="G831" s="1040" t="s">
        <v>3463</v>
      </c>
      <c r="H831" s="273" t="s">
        <v>3462</v>
      </c>
      <c r="I831" s="720">
        <f t="shared" si="183"/>
        <v>32.961168000000001</v>
      </c>
      <c r="J831" s="765">
        <v>131.844672</v>
      </c>
      <c r="K831" s="131">
        <f t="shared" si="170"/>
        <v>131.844672</v>
      </c>
      <c r="L831" s="335">
        <f t="shared" si="169"/>
        <v>0</v>
      </c>
      <c r="M831" s="446"/>
      <c r="N831" s="446"/>
      <c r="O831" s="446"/>
      <c r="P831" s="446"/>
      <c r="Q831" s="110">
        <f t="shared" si="173"/>
        <v>1</v>
      </c>
      <c r="R831" s="111">
        <f t="shared" si="178"/>
        <v>32.961168000000001</v>
      </c>
      <c r="S831" s="110"/>
      <c r="T831" s="110"/>
      <c r="U831" s="110">
        <f t="shared" si="174"/>
        <v>1</v>
      </c>
      <c r="V831" s="111">
        <f t="shared" si="179"/>
        <v>32.961168000000001</v>
      </c>
      <c r="W831" s="110"/>
      <c r="X831" s="110"/>
      <c r="Y831" s="110"/>
      <c r="Z831" s="110"/>
      <c r="AA831" s="110">
        <f t="shared" si="175"/>
        <v>1</v>
      </c>
      <c r="AB831" s="111">
        <f t="shared" si="176"/>
        <v>32.961168000000001</v>
      </c>
      <c r="AC831" s="110"/>
      <c r="AD831" s="110"/>
      <c r="AE831" s="110">
        <f t="shared" si="175"/>
        <v>1</v>
      </c>
      <c r="AF831" s="111">
        <f t="shared" si="177"/>
        <v>32.961168000000001</v>
      </c>
      <c r="AG831" s="110"/>
      <c r="AH831" s="110"/>
      <c r="AI831" s="110"/>
      <c r="AJ831" s="110"/>
      <c r="AK831" s="111">
        <f t="shared" si="180"/>
        <v>131.844672</v>
      </c>
      <c r="AL831" s="446">
        <f t="shared" si="181"/>
        <v>0</v>
      </c>
      <c r="AM831" s="110">
        <f t="shared" si="182"/>
        <v>4</v>
      </c>
      <c r="AN831" s="447">
        <f t="shared" si="171"/>
        <v>0</v>
      </c>
      <c r="AO831"/>
      <c r="AP831"/>
    </row>
    <row r="832" spans="1:42" ht="66" x14ac:dyDescent="0.25">
      <c r="A832" s="11"/>
      <c r="B832" s="149" t="s">
        <v>119</v>
      </c>
      <c r="C832" s="23"/>
      <c r="D832" s="873">
        <v>50</v>
      </c>
      <c r="E832" s="1025" t="s">
        <v>1733</v>
      </c>
      <c r="F832" s="273" t="s">
        <v>3446</v>
      </c>
      <c r="G832" s="1040" t="s">
        <v>3463</v>
      </c>
      <c r="H832" s="273" t="s">
        <v>3462</v>
      </c>
      <c r="I832" s="720">
        <f t="shared" si="183"/>
        <v>98.657999999999987</v>
      </c>
      <c r="J832" s="765">
        <v>4932.8999999999996</v>
      </c>
      <c r="K832" s="131">
        <f t="shared" si="170"/>
        <v>4932.8999999999996</v>
      </c>
      <c r="L832" s="335">
        <f t="shared" si="169"/>
        <v>0</v>
      </c>
      <c r="M832" s="446"/>
      <c r="N832" s="446"/>
      <c r="O832" s="446"/>
      <c r="P832" s="446"/>
      <c r="Q832" s="110">
        <v>13</v>
      </c>
      <c r="R832" s="111">
        <f t="shared" si="178"/>
        <v>1233.2249999999999</v>
      </c>
      <c r="S832" s="110"/>
      <c r="T832" s="110"/>
      <c r="U832" s="110">
        <v>12</v>
      </c>
      <c r="V832" s="111">
        <f t="shared" si="179"/>
        <v>1233.2249999999999</v>
      </c>
      <c r="W832" s="110"/>
      <c r="X832" s="110"/>
      <c r="Y832" s="110"/>
      <c r="Z832" s="110"/>
      <c r="AA832" s="110">
        <v>12</v>
      </c>
      <c r="AB832" s="111">
        <f t="shared" si="176"/>
        <v>1233.2249999999999</v>
      </c>
      <c r="AC832" s="110"/>
      <c r="AD832" s="110"/>
      <c r="AE832" s="110">
        <v>13</v>
      </c>
      <c r="AF832" s="111">
        <f t="shared" si="177"/>
        <v>1233.2249999999999</v>
      </c>
      <c r="AG832" s="110"/>
      <c r="AH832" s="110"/>
      <c r="AI832" s="110"/>
      <c r="AJ832" s="110"/>
      <c r="AK832" s="111">
        <f t="shared" si="180"/>
        <v>4932.8999999999996</v>
      </c>
      <c r="AL832" s="446">
        <f t="shared" si="181"/>
        <v>0</v>
      </c>
      <c r="AM832" s="110">
        <f t="shared" si="182"/>
        <v>50</v>
      </c>
      <c r="AN832" s="447">
        <f t="shared" si="171"/>
        <v>0</v>
      </c>
      <c r="AO832"/>
      <c r="AP832"/>
    </row>
    <row r="833" spans="1:42" ht="66" x14ac:dyDescent="0.25">
      <c r="A833" s="11"/>
      <c r="B833" s="149" t="s">
        <v>120</v>
      </c>
      <c r="C833" s="23"/>
      <c r="D833" s="873">
        <v>50</v>
      </c>
      <c r="E833" s="1025" t="s">
        <v>1733</v>
      </c>
      <c r="F833" s="273" t="s">
        <v>3446</v>
      </c>
      <c r="G833" s="1040" t="s">
        <v>3463</v>
      </c>
      <c r="H833" s="273" t="s">
        <v>3462</v>
      </c>
      <c r="I833" s="720">
        <f t="shared" si="183"/>
        <v>142.8192</v>
      </c>
      <c r="J833" s="765">
        <v>7140.96</v>
      </c>
      <c r="K833" s="131">
        <f t="shared" si="170"/>
        <v>7140.96</v>
      </c>
      <c r="L833" s="335">
        <f t="shared" si="169"/>
        <v>0</v>
      </c>
      <c r="M833" s="446"/>
      <c r="N833" s="446"/>
      <c r="O833" s="446"/>
      <c r="P833" s="446"/>
      <c r="Q833" s="110">
        <v>13</v>
      </c>
      <c r="R833" s="111">
        <f t="shared" si="178"/>
        <v>1785.24</v>
      </c>
      <c r="S833" s="110"/>
      <c r="T833" s="110"/>
      <c r="U833" s="110">
        <v>12</v>
      </c>
      <c r="V833" s="111">
        <f t="shared" si="179"/>
        <v>1785.24</v>
      </c>
      <c r="W833" s="110"/>
      <c r="X833" s="110"/>
      <c r="Y833" s="110"/>
      <c r="Z833" s="110"/>
      <c r="AA833" s="110">
        <v>12</v>
      </c>
      <c r="AB833" s="111">
        <f t="shared" si="176"/>
        <v>1785.24</v>
      </c>
      <c r="AC833" s="110"/>
      <c r="AD833" s="110"/>
      <c r="AE833" s="110">
        <v>13</v>
      </c>
      <c r="AF833" s="111">
        <f t="shared" si="177"/>
        <v>1785.24</v>
      </c>
      <c r="AG833" s="110"/>
      <c r="AH833" s="110"/>
      <c r="AI833" s="110"/>
      <c r="AJ833" s="110"/>
      <c r="AK833" s="111">
        <f t="shared" si="180"/>
        <v>7140.96</v>
      </c>
      <c r="AL833" s="446">
        <f t="shared" si="181"/>
        <v>0</v>
      </c>
      <c r="AM833" s="110">
        <f t="shared" si="182"/>
        <v>50</v>
      </c>
      <c r="AN833" s="447">
        <f t="shared" si="171"/>
        <v>0</v>
      </c>
      <c r="AO833"/>
      <c r="AP833"/>
    </row>
    <row r="834" spans="1:42" ht="66" x14ac:dyDescent="0.25">
      <c r="A834" s="11"/>
      <c r="B834" s="149" t="s">
        <v>124</v>
      </c>
      <c r="C834" s="23"/>
      <c r="D834" s="873">
        <v>2</v>
      </c>
      <c r="E834" s="1025" t="s">
        <v>1721</v>
      </c>
      <c r="F834" s="273" t="s">
        <v>3446</v>
      </c>
      <c r="G834" s="1040" t="s">
        <v>3463</v>
      </c>
      <c r="H834" s="273" t="s">
        <v>3462</v>
      </c>
      <c r="I834" s="720">
        <f t="shared" si="183"/>
        <v>74.366208</v>
      </c>
      <c r="J834" s="765">
        <v>148.732416</v>
      </c>
      <c r="K834" s="131">
        <f t="shared" si="170"/>
        <v>148.732416</v>
      </c>
      <c r="L834" s="335">
        <f t="shared" si="169"/>
        <v>0</v>
      </c>
      <c r="M834" s="446"/>
      <c r="N834" s="446"/>
      <c r="O834" s="446"/>
      <c r="P834" s="446"/>
      <c r="Q834" s="130">
        <v>1</v>
      </c>
      <c r="R834" s="111">
        <v>74.37</v>
      </c>
      <c r="S834" s="110"/>
      <c r="T834" s="110"/>
      <c r="U834" s="130">
        <v>1</v>
      </c>
      <c r="V834" s="111">
        <v>74.37</v>
      </c>
      <c r="W834" s="110"/>
      <c r="X834" s="110"/>
      <c r="Y834" s="110"/>
      <c r="Z834" s="110"/>
      <c r="AA834" s="130">
        <v>0</v>
      </c>
      <c r="AB834" s="111">
        <v>0</v>
      </c>
      <c r="AC834" s="110"/>
      <c r="AD834" s="110"/>
      <c r="AE834" s="130">
        <v>0</v>
      </c>
      <c r="AF834" s="111">
        <v>0</v>
      </c>
      <c r="AG834" s="110"/>
      <c r="AH834" s="110"/>
      <c r="AI834" s="110"/>
      <c r="AJ834" s="110"/>
      <c r="AK834" s="111">
        <f t="shared" si="180"/>
        <v>148.74</v>
      </c>
      <c r="AL834" s="446">
        <f t="shared" si="181"/>
        <v>-7.5840000000084729E-3</v>
      </c>
      <c r="AM834" s="110">
        <f t="shared" si="182"/>
        <v>2</v>
      </c>
      <c r="AN834" s="447">
        <f t="shared" si="171"/>
        <v>0</v>
      </c>
      <c r="AO834"/>
      <c r="AP834"/>
    </row>
    <row r="835" spans="1:42" ht="66" x14ac:dyDescent="0.25">
      <c r="A835" s="11"/>
      <c r="B835" s="37" t="s">
        <v>1728</v>
      </c>
      <c r="C835" s="23"/>
      <c r="D835" s="873">
        <v>20</v>
      </c>
      <c r="E835" s="1025" t="s">
        <v>1721</v>
      </c>
      <c r="F835" s="273" t="s">
        <v>3446</v>
      </c>
      <c r="G835" s="1040" t="s">
        <v>3463</v>
      </c>
      <c r="H835" s="273" t="s">
        <v>3462</v>
      </c>
      <c r="I835" s="720">
        <f t="shared" si="183"/>
        <v>950.39959999999996</v>
      </c>
      <c r="J835" s="765">
        <v>19007.991999999998</v>
      </c>
      <c r="K835" s="131">
        <f t="shared" si="170"/>
        <v>19007.991999999998</v>
      </c>
      <c r="L835" s="335">
        <f t="shared" si="169"/>
        <v>0</v>
      </c>
      <c r="M835" s="446"/>
      <c r="N835" s="446"/>
      <c r="O835" s="446"/>
      <c r="P835" s="446"/>
      <c r="Q835" s="110">
        <f t="shared" si="173"/>
        <v>5</v>
      </c>
      <c r="R835" s="111">
        <f t="shared" si="178"/>
        <v>4751.9979999999996</v>
      </c>
      <c r="S835" s="110"/>
      <c r="T835" s="110"/>
      <c r="U835" s="110">
        <f t="shared" si="174"/>
        <v>5</v>
      </c>
      <c r="V835" s="111">
        <f t="shared" si="179"/>
        <v>4751.9979999999996</v>
      </c>
      <c r="W835" s="110"/>
      <c r="X835" s="110"/>
      <c r="Y835" s="110"/>
      <c r="Z835" s="110"/>
      <c r="AA835" s="110">
        <f t="shared" si="175"/>
        <v>5</v>
      </c>
      <c r="AB835" s="111">
        <f t="shared" si="176"/>
        <v>4751.9979999999996</v>
      </c>
      <c r="AC835" s="110"/>
      <c r="AD835" s="110"/>
      <c r="AE835" s="110">
        <f t="shared" si="175"/>
        <v>5</v>
      </c>
      <c r="AF835" s="111">
        <f t="shared" si="177"/>
        <v>4751.9979999999996</v>
      </c>
      <c r="AG835" s="110"/>
      <c r="AH835" s="110"/>
      <c r="AI835" s="110"/>
      <c r="AJ835" s="110"/>
      <c r="AK835" s="111">
        <f t="shared" si="180"/>
        <v>19007.991999999998</v>
      </c>
      <c r="AL835" s="446">
        <f t="shared" si="181"/>
        <v>0</v>
      </c>
      <c r="AM835" s="110">
        <f t="shared" si="182"/>
        <v>20</v>
      </c>
      <c r="AN835" s="447">
        <f t="shared" si="171"/>
        <v>0</v>
      </c>
      <c r="AO835"/>
      <c r="AP835"/>
    </row>
    <row r="836" spans="1:42" ht="66" x14ac:dyDescent="0.25">
      <c r="A836" s="11"/>
      <c r="B836" s="149" t="s">
        <v>103</v>
      </c>
      <c r="C836" s="23"/>
      <c r="D836" s="873">
        <v>5</v>
      </c>
      <c r="E836" s="1025" t="s">
        <v>1721</v>
      </c>
      <c r="F836" s="278" t="s">
        <v>3446</v>
      </c>
      <c r="G836" s="1040" t="s">
        <v>3463</v>
      </c>
      <c r="H836" s="273" t="s">
        <v>3462</v>
      </c>
      <c r="I836" s="720">
        <f t="shared" si="183"/>
        <v>71.447184000000007</v>
      </c>
      <c r="J836" s="765">
        <v>357.23592000000002</v>
      </c>
      <c r="K836" s="131">
        <f t="shared" ref="K836:K899" si="184">+D836*I836</f>
        <v>357.23592000000002</v>
      </c>
      <c r="L836" s="335">
        <f t="shared" si="169"/>
        <v>0</v>
      </c>
      <c r="M836" s="446"/>
      <c r="N836" s="446"/>
      <c r="O836" s="446"/>
      <c r="P836" s="446"/>
      <c r="Q836" s="110">
        <v>2</v>
      </c>
      <c r="R836" s="111">
        <f t="shared" si="178"/>
        <v>89.308980000000005</v>
      </c>
      <c r="S836" s="110"/>
      <c r="T836" s="110"/>
      <c r="U836" s="110">
        <v>1</v>
      </c>
      <c r="V836" s="111">
        <f t="shared" si="179"/>
        <v>89.308980000000005</v>
      </c>
      <c r="W836" s="110"/>
      <c r="X836" s="110"/>
      <c r="Y836" s="110"/>
      <c r="Z836" s="110"/>
      <c r="AA836" s="110">
        <v>1</v>
      </c>
      <c r="AB836" s="111">
        <f t="shared" si="176"/>
        <v>89.308980000000005</v>
      </c>
      <c r="AC836" s="110"/>
      <c r="AD836" s="110"/>
      <c r="AE836" s="110">
        <v>1</v>
      </c>
      <c r="AF836" s="111">
        <f t="shared" si="177"/>
        <v>89.308980000000005</v>
      </c>
      <c r="AG836" s="110"/>
      <c r="AH836" s="110"/>
      <c r="AI836" s="110"/>
      <c r="AJ836" s="110"/>
      <c r="AK836" s="111">
        <f t="shared" si="180"/>
        <v>357.23592000000002</v>
      </c>
      <c r="AL836" s="446">
        <f t="shared" si="181"/>
        <v>0</v>
      </c>
      <c r="AM836" s="110">
        <f t="shared" si="182"/>
        <v>5</v>
      </c>
      <c r="AN836" s="447">
        <f t="shared" ref="AN836:AN899" si="185">+D836-AM836</f>
        <v>0</v>
      </c>
      <c r="AO836"/>
      <c r="AP836"/>
    </row>
    <row r="837" spans="1:42" ht="66" x14ac:dyDescent="0.25">
      <c r="A837" s="11"/>
      <c r="B837" s="149" t="s">
        <v>104</v>
      </c>
      <c r="C837" s="23"/>
      <c r="D837" s="873">
        <v>5</v>
      </c>
      <c r="E837" s="1025" t="s">
        <v>1721</v>
      </c>
      <c r="F837" s="278" t="s">
        <v>3446</v>
      </c>
      <c r="G837" s="1040" t="s">
        <v>3463</v>
      </c>
      <c r="H837" s="273" t="s">
        <v>3462</v>
      </c>
      <c r="I837" s="720">
        <f t="shared" si="183"/>
        <v>123.88800000000001</v>
      </c>
      <c r="J837" s="765">
        <v>619.44000000000005</v>
      </c>
      <c r="K837" s="131">
        <f t="shared" si="184"/>
        <v>619.44000000000005</v>
      </c>
      <c r="L837" s="335">
        <f t="shared" si="169"/>
        <v>0</v>
      </c>
      <c r="M837" s="446"/>
      <c r="N837" s="446"/>
      <c r="O837" s="446"/>
      <c r="P837" s="446"/>
      <c r="Q837" s="110">
        <v>2</v>
      </c>
      <c r="R837" s="111">
        <f t="shared" si="178"/>
        <v>154.86000000000001</v>
      </c>
      <c r="S837" s="110"/>
      <c r="T837" s="110"/>
      <c r="U837" s="110">
        <v>1</v>
      </c>
      <c r="V837" s="111">
        <f t="shared" si="179"/>
        <v>154.86000000000001</v>
      </c>
      <c r="W837" s="110"/>
      <c r="X837" s="110"/>
      <c r="Y837" s="110"/>
      <c r="Z837" s="110"/>
      <c r="AA837" s="110">
        <v>1</v>
      </c>
      <c r="AB837" s="111">
        <f t="shared" si="176"/>
        <v>154.86000000000001</v>
      </c>
      <c r="AC837" s="110"/>
      <c r="AD837" s="110"/>
      <c r="AE837" s="110">
        <v>1</v>
      </c>
      <c r="AF837" s="111">
        <f t="shared" si="177"/>
        <v>154.86000000000001</v>
      </c>
      <c r="AG837" s="110"/>
      <c r="AH837" s="110"/>
      <c r="AI837" s="110"/>
      <c r="AJ837" s="110"/>
      <c r="AK837" s="111">
        <f t="shared" si="180"/>
        <v>619.44000000000005</v>
      </c>
      <c r="AL837" s="446">
        <f t="shared" si="181"/>
        <v>0</v>
      </c>
      <c r="AM837" s="110">
        <f t="shared" si="182"/>
        <v>5</v>
      </c>
      <c r="AN837" s="447">
        <f t="shared" si="185"/>
        <v>0</v>
      </c>
      <c r="AO837"/>
      <c r="AP837"/>
    </row>
    <row r="838" spans="1:42" ht="66" x14ac:dyDescent="0.25">
      <c r="A838" s="11"/>
      <c r="B838" s="37" t="s">
        <v>1729</v>
      </c>
      <c r="C838" s="23"/>
      <c r="D838" s="873">
        <v>4</v>
      </c>
      <c r="E838" s="1025" t="s">
        <v>1723</v>
      </c>
      <c r="F838" s="278" t="s">
        <v>3446</v>
      </c>
      <c r="G838" s="1040" t="s">
        <v>3463</v>
      </c>
      <c r="H838" s="273" t="s">
        <v>3462</v>
      </c>
      <c r="I838" s="720">
        <f t="shared" si="183"/>
        <v>27.711936000000001</v>
      </c>
      <c r="J838" s="765">
        <v>110.84774400000001</v>
      </c>
      <c r="K838" s="131">
        <f t="shared" si="184"/>
        <v>110.84774400000001</v>
      </c>
      <c r="L838" s="335">
        <f t="shared" si="169"/>
        <v>0</v>
      </c>
      <c r="M838" s="446"/>
      <c r="N838" s="446"/>
      <c r="O838" s="446"/>
      <c r="P838" s="446"/>
      <c r="Q838" s="110">
        <f t="shared" si="173"/>
        <v>1</v>
      </c>
      <c r="R838" s="111">
        <f t="shared" si="178"/>
        <v>27.711936000000001</v>
      </c>
      <c r="S838" s="110"/>
      <c r="T838" s="110"/>
      <c r="U838" s="110">
        <f t="shared" si="174"/>
        <v>1</v>
      </c>
      <c r="V838" s="111">
        <f t="shared" si="179"/>
        <v>27.711936000000001</v>
      </c>
      <c r="W838" s="110"/>
      <c r="X838" s="110"/>
      <c r="Y838" s="110"/>
      <c r="Z838" s="110"/>
      <c r="AA838" s="110">
        <f t="shared" si="175"/>
        <v>1</v>
      </c>
      <c r="AB838" s="111">
        <f t="shared" si="176"/>
        <v>27.711936000000001</v>
      </c>
      <c r="AC838" s="110"/>
      <c r="AD838" s="110"/>
      <c r="AE838" s="110">
        <f t="shared" si="175"/>
        <v>1</v>
      </c>
      <c r="AF838" s="111">
        <f t="shared" si="177"/>
        <v>27.711936000000001</v>
      </c>
      <c r="AG838" s="110"/>
      <c r="AH838" s="110"/>
      <c r="AI838" s="110"/>
      <c r="AJ838" s="110"/>
      <c r="AK838" s="111">
        <f t="shared" si="180"/>
        <v>110.84774400000001</v>
      </c>
      <c r="AL838" s="446">
        <f t="shared" si="181"/>
        <v>0</v>
      </c>
      <c r="AM838" s="110">
        <f t="shared" si="182"/>
        <v>4</v>
      </c>
      <c r="AN838" s="447">
        <f t="shared" si="185"/>
        <v>0</v>
      </c>
      <c r="AO838"/>
      <c r="AP838"/>
    </row>
    <row r="839" spans="1:42" ht="66" x14ac:dyDescent="0.25">
      <c r="A839" s="11"/>
      <c r="B839" s="37" t="s">
        <v>125</v>
      </c>
      <c r="C839" s="23"/>
      <c r="D839" s="873">
        <v>5</v>
      </c>
      <c r="E839" s="1025" t="s">
        <v>1723</v>
      </c>
      <c r="F839" s="273" t="s">
        <v>3446</v>
      </c>
      <c r="G839" s="1040" t="s">
        <v>3463</v>
      </c>
      <c r="H839" s="273" t="s">
        <v>3462</v>
      </c>
      <c r="I839" s="720">
        <f t="shared" si="183"/>
        <v>34.865424000000004</v>
      </c>
      <c r="J839" s="765">
        <v>174.32712000000001</v>
      </c>
      <c r="K839" s="131">
        <f t="shared" si="184"/>
        <v>174.32712000000004</v>
      </c>
      <c r="L839" s="335">
        <f t="shared" si="169"/>
        <v>0</v>
      </c>
      <c r="M839" s="446"/>
      <c r="N839" s="446"/>
      <c r="O839" s="446"/>
      <c r="P839" s="446"/>
      <c r="Q839" s="110">
        <v>2</v>
      </c>
      <c r="R839" s="111">
        <f t="shared" si="178"/>
        <v>43.581780000000002</v>
      </c>
      <c r="S839" s="110"/>
      <c r="T839" s="110"/>
      <c r="U839" s="110">
        <v>1</v>
      </c>
      <c r="V839" s="111">
        <f t="shared" si="179"/>
        <v>43.581780000000002</v>
      </c>
      <c r="W839" s="110"/>
      <c r="X839" s="110"/>
      <c r="Y839" s="110"/>
      <c r="Z839" s="110"/>
      <c r="AA839" s="110">
        <v>1</v>
      </c>
      <c r="AB839" s="111">
        <f t="shared" si="176"/>
        <v>43.581780000000002</v>
      </c>
      <c r="AC839" s="110"/>
      <c r="AD839" s="110"/>
      <c r="AE839" s="110">
        <v>1</v>
      </c>
      <c r="AF839" s="111">
        <f t="shared" si="177"/>
        <v>43.581780000000002</v>
      </c>
      <c r="AG839" s="110"/>
      <c r="AH839" s="110"/>
      <c r="AI839" s="110"/>
      <c r="AJ839" s="110"/>
      <c r="AK839" s="111">
        <f t="shared" si="180"/>
        <v>174.32712000000001</v>
      </c>
      <c r="AL839" s="446">
        <f t="shared" si="181"/>
        <v>0</v>
      </c>
      <c r="AM839" s="110">
        <f t="shared" si="182"/>
        <v>5</v>
      </c>
      <c r="AN839" s="447">
        <f t="shared" si="185"/>
        <v>0</v>
      </c>
      <c r="AO839"/>
      <c r="AP839"/>
    </row>
    <row r="840" spans="1:42" ht="66" x14ac:dyDescent="0.25">
      <c r="A840" s="11"/>
      <c r="B840" s="37" t="s">
        <v>126</v>
      </c>
      <c r="C840" s="23"/>
      <c r="D840" s="873">
        <v>5</v>
      </c>
      <c r="E840" s="1025" t="s">
        <v>1721</v>
      </c>
      <c r="F840" s="273" t="s">
        <v>3446</v>
      </c>
      <c r="G840" s="1040" t="s">
        <v>3463</v>
      </c>
      <c r="H840" s="273" t="s">
        <v>3462</v>
      </c>
      <c r="I840" s="720">
        <f t="shared" si="183"/>
        <v>35.955359999999999</v>
      </c>
      <c r="J840" s="765">
        <v>179.77680000000001</v>
      </c>
      <c r="K840" s="131">
        <f t="shared" si="184"/>
        <v>179.77679999999998</v>
      </c>
      <c r="L840" s="335">
        <f t="shared" si="169"/>
        <v>0</v>
      </c>
      <c r="M840" s="446"/>
      <c r="N840" s="446"/>
      <c r="O840" s="446"/>
      <c r="P840" s="446"/>
      <c r="Q840" s="110">
        <v>2</v>
      </c>
      <c r="R840" s="111">
        <f t="shared" si="178"/>
        <v>44.944200000000002</v>
      </c>
      <c r="S840" s="110"/>
      <c r="T840" s="110"/>
      <c r="U840" s="110">
        <v>1</v>
      </c>
      <c r="V840" s="111">
        <f t="shared" si="179"/>
        <v>44.944200000000002</v>
      </c>
      <c r="W840" s="110"/>
      <c r="X840" s="110"/>
      <c r="Y840" s="110"/>
      <c r="Z840" s="110"/>
      <c r="AA840" s="110">
        <v>1</v>
      </c>
      <c r="AB840" s="111">
        <f t="shared" si="176"/>
        <v>44.944200000000002</v>
      </c>
      <c r="AC840" s="110"/>
      <c r="AD840" s="110"/>
      <c r="AE840" s="110">
        <v>1</v>
      </c>
      <c r="AF840" s="111">
        <f t="shared" si="177"/>
        <v>44.944200000000002</v>
      </c>
      <c r="AG840" s="110"/>
      <c r="AH840" s="110"/>
      <c r="AI840" s="110"/>
      <c r="AJ840" s="110"/>
      <c r="AK840" s="111">
        <f t="shared" si="180"/>
        <v>179.77680000000001</v>
      </c>
      <c r="AL840" s="446">
        <f t="shared" si="181"/>
        <v>0</v>
      </c>
      <c r="AM840" s="110">
        <f t="shared" si="182"/>
        <v>5</v>
      </c>
      <c r="AN840" s="447">
        <f t="shared" si="185"/>
        <v>0</v>
      </c>
      <c r="AO840"/>
      <c r="AP840"/>
    </row>
    <row r="841" spans="1:42" ht="66" x14ac:dyDescent="0.25">
      <c r="A841" s="11"/>
      <c r="B841" s="37" t="s">
        <v>1730</v>
      </c>
      <c r="C841" s="23"/>
      <c r="D841" s="873">
        <v>2</v>
      </c>
      <c r="E841" s="1025" t="s">
        <v>1725</v>
      </c>
      <c r="F841" s="273" t="s">
        <v>3446</v>
      </c>
      <c r="G841" s="1040" t="s">
        <v>3463</v>
      </c>
      <c r="H841" s="273" t="s">
        <v>3462</v>
      </c>
      <c r="I841" s="720">
        <f t="shared" si="183"/>
        <v>156.6</v>
      </c>
      <c r="J841" s="765">
        <v>313.2</v>
      </c>
      <c r="K841" s="131">
        <f t="shared" si="184"/>
        <v>313.2</v>
      </c>
      <c r="L841" s="335">
        <f t="shared" si="169"/>
        <v>0</v>
      </c>
      <c r="M841" s="446"/>
      <c r="N841" s="446"/>
      <c r="O841" s="446"/>
      <c r="P841" s="446"/>
      <c r="Q841" s="130">
        <v>1</v>
      </c>
      <c r="R841" s="111">
        <v>156.6</v>
      </c>
      <c r="S841" s="110"/>
      <c r="T841" s="110"/>
      <c r="U841" s="130">
        <v>1</v>
      </c>
      <c r="V841" s="111">
        <v>156.6</v>
      </c>
      <c r="W841" s="110"/>
      <c r="X841" s="110"/>
      <c r="Y841" s="110"/>
      <c r="Z841" s="110"/>
      <c r="AA841" s="130">
        <v>0</v>
      </c>
      <c r="AB841" s="111">
        <v>0</v>
      </c>
      <c r="AC841" s="110"/>
      <c r="AD841" s="110"/>
      <c r="AE841" s="130">
        <v>0</v>
      </c>
      <c r="AF841" s="111">
        <v>0</v>
      </c>
      <c r="AG841" s="110"/>
      <c r="AH841" s="110"/>
      <c r="AI841" s="110"/>
      <c r="AJ841" s="110"/>
      <c r="AK841" s="111">
        <f t="shared" si="180"/>
        <v>313.2</v>
      </c>
      <c r="AL841" s="446">
        <f t="shared" si="181"/>
        <v>0</v>
      </c>
      <c r="AM841" s="110">
        <f t="shared" si="182"/>
        <v>2</v>
      </c>
      <c r="AN841" s="447">
        <f t="shared" si="185"/>
        <v>0</v>
      </c>
      <c r="AO841"/>
      <c r="AP841"/>
    </row>
    <row r="842" spans="1:42" ht="66" x14ac:dyDescent="0.25">
      <c r="A842" s="11"/>
      <c r="B842" s="37" t="s">
        <v>1731</v>
      </c>
      <c r="C842" s="23"/>
      <c r="D842" s="873">
        <v>2</v>
      </c>
      <c r="E842" s="1025" t="s">
        <v>1725</v>
      </c>
      <c r="F842" s="273" t="s">
        <v>3446</v>
      </c>
      <c r="G842" s="1040" t="s">
        <v>3463</v>
      </c>
      <c r="H842" s="273" t="s">
        <v>3462</v>
      </c>
      <c r="I842" s="720">
        <f t="shared" si="183"/>
        <v>99.36</v>
      </c>
      <c r="J842" s="765">
        <v>198.72</v>
      </c>
      <c r="K842" s="131">
        <f t="shared" si="184"/>
        <v>198.72</v>
      </c>
      <c r="L842" s="335">
        <f t="shared" si="169"/>
        <v>0</v>
      </c>
      <c r="M842" s="446"/>
      <c r="N842" s="446"/>
      <c r="O842" s="446"/>
      <c r="P842" s="446"/>
      <c r="Q842" s="130">
        <v>1</v>
      </c>
      <c r="R842" s="111">
        <v>99.36</v>
      </c>
      <c r="S842" s="110"/>
      <c r="T842" s="110"/>
      <c r="U842" s="130">
        <v>1</v>
      </c>
      <c r="V842" s="111">
        <v>99.36</v>
      </c>
      <c r="W842" s="110"/>
      <c r="X842" s="110"/>
      <c r="Y842" s="110"/>
      <c r="Z842" s="110"/>
      <c r="AA842" s="130">
        <v>0</v>
      </c>
      <c r="AB842" s="111">
        <v>0</v>
      </c>
      <c r="AC842" s="110"/>
      <c r="AD842" s="110"/>
      <c r="AE842" s="130">
        <v>0</v>
      </c>
      <c r="AF842" s="111">
        <v>0</v>
      </c>
      <c r="AG842" s="110"/>
      <c r="AH842" s="110"/>
      <c r="AI842" s="110"/>
      <c r="AJ842" s="110"/>
      <c r="AK842" s="111">
        <f t="shared" si="180"/>
        <v>198.72</v>
      </c>
      <c r="AL842" s="446">
        <f t="shared" si="181"/>
        <v>0</v>
      </c>
      <c r="AM842" s="110">
        <f t="shared" si="182"/>
        <v>2</v>
      </c>
      <c r="AN842" s="447">
        <f t="shared" si="185"/>
        <v>0</v>
      </c>
      <c r="AO842"/>
      <c r="AP842"/>
    </row>
    <row r="843" spans="1:42" ht="66" x14ac:dyDescent="0.25">
      <c r="A843" s="11"/>
      <c r="B843" s="37" t="s">
        <v>1732</v>
      </c>
      <c r="C843" s="23"/>
      <c r="D843" s="873">
        <v>6</v>
      </c>
      <c r="E843" s="1025" t="s">
        <v>1725</v>
      </c>
      <c r="F843" s="273" t="s">
        <v>3446</v>
      </c>
      <c r="G843" s="1040" t="s">
        <v>3463</v>
      </c>
      <c r="H843" s="273" t="s">
        <v>3462</v>
      </c>
      <c r="I843" s="720">
        <f t="shared" si="183"/>
        <v>62.639999999999993</v>
      </c>
      <c r="J843" s="765">
        <v>375.84</v>
      </c>
      <c r="K843" s="131">
        <f t="shared" si="184"/>
        <v>375.84</v>
      </c>
      <c r="L843" s="335">
        <f t="shared" si="169"/>
        <v>0</v>
      </c>
      <c r="M843" s="446"/>
      <c r="N843" s="446"/>
      <c r="O843" s="446"/>
      <c r="P843" s="446"/>
      <c r="Q843" s="130">
        <v>2</v>
      </c>
      <c r="R843" s="111">
        <f t="shared" si="178"/>
        <v>93.96</v>
      </c>
      <c r="S843" s="110"/>
      <c r="T843" s="110"/>
      <c r="U843" s="130">
        <v>2</v>
      </c>
      <c r="V843" s="111">
        <f t="shared" si="179"/>
        <v>93.96</v>
      </c>
      <c r="W843" s="110"/>
      <c r="X843" s="110"/>
      <c r="Y843" s="110"/>
      <c r="Z843" s="110"/>
      <c r="AA843" s="130">
        <v>1</v>
      </c>
      <c r="AB843" s="111">
        <f t="shared" si="176"/>
        <v>93.96</v>
      </c>
      <c r="AC843" s="110"/>
      <c r="AD843" s="110"/>
      <c r="AE843" s="130">
        <v>1</v>
      </c>
      <c r="AF843" s="111">
        <f t="shared" si="177"/>
        <v>93.96</v>
      </c>
      <c r="AG843" s="110"/>
      <c r="AH843" s="110"/>
      <c r="AI843" s="110"/>
      <c r="AJ843" s="110"/>
      <c r="AK843" s="111">
        <f t="shared" si="180"/>
        <v>375.84</v>
      </c>
      <c r="AL843" s="446">
        <f t="shared" si="181"/>
        <v>0</v>
      </c>
      <c r="AM843" s="110">
        <f t="shared" si="182"/>
        <v>6</v>
      </c>
      <c r="AN843" s="447">
        <f t="shared" si="185"/>
        <v>0</v>
      </c>
      <c r="AO843"/>
      <c r="AP843"/>
    </row>
    <row r="844" spans="1:42" ht="66" x14ac:dyDescent="0.25">
      <c r="A844" s="11"/>
      <c r="B844" s="37" t="s">
        <v>125</v>
      </c>
      <c r="C844" s="23"/>
      <c r="D844" s="882">
        <v>15</v>
      </c>
      <c r="E844" s="1025" t="s">
        <v>1749</v>
      </c>
      <c r="F844" s="273" t="s">
        <v>3446</v>
      </c>
      <c r="G844" s="1040" t="s">
        <v>3463</v>
      </c>
      <c r="H844" s="273" t="s">
        <v>3462</v>
      </c>
      <c r="I844" s="720">
        <f t="shared" si="183"/>
        <v>39.799999999999997</v>
      </c>
      <c r="J844" s="765">
        <v>597</v>
      </c>
      <c r="K844" s="131">
        <f t="shared" si="184"/>
        <v>597</v>
      </c>
      <c r="L844" s="335">
        <f t="shared" si="169"/>
        <v>0</v>
      </c>
      <c r="M844" s="446"/>
      <c r="N844" s="446"/>
      <c r="O844" s="446"/>
      <c r="P844" s="446"/>
      <c r="Q844" s="110">
        <v>4</v>
      </c>
      <c r="R844" s="111">
        <f t="shared" si="178"/>
        <v>149.25</v>
      </c>
      <c r="S844" s="110"/>
      <c r="T844" s="110"/>
      <c r="U844" s="110">
        <v>4</v>
      </c>
      <c r="V844" s="111">
        <f t="shared" si="179"/>
        <v>149.25</v>
      </c>
      <c r="W844" s="110"/>
      <c r="X844" s="110"/>
      <c r="Y844" s="110"/>
      <c r="Z844" s="110"/>
      <c r="AA844" s="110">
        <v>4</v>
      </c>
      <c r="AB844" s="111">
        <f t="shared" si="176"/>
        <v>149.25</v>
      </c>
      <c r="AC844" s="110"/>
      <c r="AD844" s="110"/>
      <c r="AE844" s="110">
        <v>3</v>
      </c>
      <c r="AF844" s="111">
        <f t="shared" si="177"/>
        <v>149.25</v>
      </c>
      <c r="AG844" s="110"/>
      <c r="AH844" s="110"/>
      <c r="AI844" s="110"/>
      <c r="AJ844" s="110"/>
      <c r="AK844" s="111">
        <f t="shared" si="180"/>
        <v>597</v>
      </c>
      <c r="AL844" s="446">
        <f t="shared" si="181"/>
        <v>0</v>
      </c>
      <c r="AM844" s="110">
        <f t="shared" si="182"/>
        <v>15</v>
      </c>
      <c r="AN844" s="447">
        <f t="shared" si="185"/>
        <v>0</v>
      </c>
      <c r="AO844"/>
      <c r="AP844"/>
    </row>
    <row r="845" spans="1:42" ht="66" x14ac:dyDescent="0.25">
      <c r="A845" s="11"/>
      <c r="B845" s="37" t="s">
        <v>126</v>
      </c>
      <c r="C845" s="23"/>
      <c r="D845" s="882">
        <v>2</v>
      </c>
      <c r="E845" s="1025" t="s">
        <v>1749</v>
      </c>
      <c r="F845" s="273" t="s">
        <v>3446</v>
      </c>
      <c r="G845" s="1040" t="s">
        <v>3463</v>
      </c>
      <c r="H845" s="273" t="s">
        <v>3462</v>
      </c>
      <c r="I845" s="720">
        <f t="shared" si="183"/>
        <v>43.96</v>
      </c>
      <c r="J845" s="765">
        <v>87.92</v>
      </c>
      <c r="K845" s="131">
        <f t="shared" si="184"/>
        <v>87.92</v>
      </c>
      <c r="L845" s="335">
        <f t="shared" si="169"/>
        <v>0</v>
      </c>
      <c r="M845" s="446"/>
      <c r="N845" s="446"/>
      <c r="O845" s="446"/>
      <c r="P845" s="446"/>
      <c r="Q845" s="130">
        <v>1</v>
      </c>
      <c r="R845" s="111">
        <v>43.96</v>
      </c>
      <c r="S845" s="110"/>
      <c r="T845" s="110"/>
      <c r="U845" s="130">
        <v>1</v>
      </c>
      <c r="V845" s="111">
        <v>43.96</v>
      </c>
      <c r="W845" s="110"/>
      <c r="X845" s="110"/>
      <c r="Y845" s="110"/>
      <c r="Z845" s="110"/>
      <c r="AA845" s="130">
        <v>0</v>
      </c>
      <c r="AB845" s="111">
        <v>0</v>
      </c>
      <c r="AC845" s="110"/>
      <c r="AD845" s="110"/>
      <c r="AE845" s="130">
        <v>0</v>
      </c>
      <c r="AF845" s="111">
        <v>0</v>
      </c>
      <c r="AG845" s="110"/>
      <c r="AH845" s="110"/>
      <c r="AI845" s="110"/>
      <c r="AJ845" s="110"/>
      <c r="AK845" s="111">
        <f t="shared" si="180"/>
        <v>87.92</v>
      </c>
      <c r="AL845" s="446">
        <f t="shared" si="181"/>
        <v>0</v>
      </c>
      <c r="AM845" s="110">
        <f t="shared" si="182"/>
        <v>2</v>
      </c>
      <c r="AN845" s="447">
        <f t="shared" si="185"/>
        <v>0</v>
      </c>
      <c r="AO845"/>
      <c r="AP845"/>
    </row>
    <row r="846" spans="1:42" ht="66" x14ac:dyDescent="0.25">
      <c r="A846" s="11"/>
      <c r="B846" s="37" t="s">
        <v>120</v>
      </c>
      <c r="C846" s="23"/>
      <c r="D846" s="882">
        <v>4</v>
      </c>
      <c r="E846" s="1025" t="s">
        <v>1747</v>
      </c>
      <c r="F846" s="273" t="s">
        <v>3446</v>
      </c>
      <c r="G846" s="1040" t="s">
        <v>3463</v>
      </c>
      <c r="H846" s="273" t="s">
        <v>3462</v>
      </c>
      <c r="I846" s="720">
        <f t="shared" si="183"/>
        <v>148.02000000000001</v>
      </c>
      <c r="J846" s="765">
        <v>592.08000000000004</v>
      </c>
      <c r="K846" s="131">
        <f t="shared" si="184"/>
        <v>592.08000000000004</v>
      </c>
      <c r="L846" s="335">
        <f t="shared" si="169"/>
        <v>0</v>
      </c>
      <c r="M846" s="446"/>
      <c r="N846" s="446"/>
      <c r="O846" s="446"/>
      <c r="P846" s="446"/>
      <c r="Q846" s="110">
        <f t="shared" si="173"/>
        <v>1</v>
      </c>
      <c r="R846" s="111">
        <f t="shared" si="178"/>
        <v>148.02000000000001</v>
      </c>
      <c r="S846" s="110"/>
      <c r="T846" s="110"/>
      <c r="U846" s="110">
        <f t="shared" si="174"/>
        <v>1</v>
      </c>
      <c r="V846" s="111">
        <f t="shared" si="179"/>
        <v>148.02000000000001</v>
      </c>
      <c r="W846" s="110"/>
      <c r="X846" s="110"/>
      <c r="Y846" s="110"/>
      <c r="Z846" s="110"/>
      <c r="AA846" s="110">
        <f t="shared" si="175"/>
        <v>1</v>
      </c>
      <c r="AB846" s="111">
        <f t="shared" si="176"/>
        <v>148.02000000000001</v>
      </c>
      <c r="AC846" s="110"/>
      <c r="AD846" s="110"/>
      <c r="AE846" s="110">
        <f t="shared" si="175"/>
        <v>1</v>
      </c>
      <c r="AF846" s="111">
        <f t="shared" si="177"/>
        <v>148.02000000000001</v>
      </c>
      <c r="AG846" s="110"/>
      <c r="AH846" s="110"/>
      <c r="AI846" s="110"/>
      <c r="AJ846" s="110"/>
      <c r="AK846" s="111">
        <f t="shared" si="180"/>
        <v>592.08000000000004</v>
      </c>
      <c r="AL846" s="446">
        <f t="shared" si="181"/>
        <v>0</v>
      </c>
      <c r="AM846" s="110">
        <f t="shared" si="182"/>
        <v>4</v>
      </c>
      <c r="AN846" s="447">
        <f t="shared" si="185"/>
        <v>0</v>
      </c>
      <c r="AO846"/>
      <c r="AP846"/>
    </row>
    <row r="847" spans="1:42" ht="66" x14ac:dyDescent="0.25">
      <c r="A847" s="11"/>
      <c r="B847" s="37" t="s">
        <v>103</v>
      </c>
      <c r="C847" s="23"/>
      <c r="D847" s="882">
        <v>5</v>
      </c>
      <c r="E847" s="1025" t="s">
        <v>1749</v>
      </c>
      <c r="F847" s="278" t="s">
        <v>3446</v>
      </c>
      <c r="G847" s="1040" t="s">
        <v>3463</v>
      </c>
      <c r="H847" s="273" t="s">
        <v>3462</v>
      </c>
      <c r="I847" s="720">
        <f t="shared" si="183"/>
        <v>70.09</v>
      </c>
      <c r="J847" s="765">
        <v>350.45</v>
      </c>
      <c r="K847" s="131">
        <f t="shared" si="184"/>
        <v>350.45000000000005</v>
      </c>
      <c r="L847" s="335">
        <f t="shared" si="169"/>
        <v>0</v>
      </c>
      <c r="M847" s="446"/>
      <c r="N847" s="446"/>
      <c r="O847" s="446"/>
      <c r="P847" s="446"/>
      <c r="Q847" s="110">
        <v>2</v>
      </c>
      <c r="R847" s="111">
        <f t="shared" si="178"/>
        <v>87.612499999999997</v>
      </c>
      <c r="S847" s="110"/>
      <c r="T847" s="110"/>
      <c r="U847" s="110">
        <v>1</v>
      </c>
      <c r="V847" s="111">
        <f t="shared" si="179"/>
        <v>87.612499999999997</v>
      </c>
      <c r="W847" s="110"/>
      <c r="X847" s="110"/>
      <c r="Y847" s="110"/>
      <c r="Z847" s="110"/>
      <c r="AA847" s="110">
        <v>1</v>
      </c>
      <c r="AB847" s="111">
        <f t="shared" si="176"/>
        <v>87.612499999999997</v>
      </c>
      <c r="AC847" s="110"/>
      <c r="AD847" s="110"/>
      <c r="AE847" s="110">
        <v>1</v>
      </c>
      <c r="AF847" s="111">
        <f t="shared" si="177"/>
        <v>87.612499999999997</v>
      </c>
      <c r="AG847" s="110"/>
      <c r="AH847" s="110"/>
      <c r="AI847" s="110"/>
      <c r="AJ847" s="110"/>
      <c r="AK847" s="111">
        <f t="shared" si="180"/>
        <v>350.45</v>
      </c>
      <c r="AL847" s="446">
        <f t="shared" si="181"/>
        <v>0</v>
      </c>
      <c r="AM847" s="110">
        <f t="shared" si="182"/>
        <v>5</v>
      </c>
      <c r="AN847" s="447">
        <f t="shared" si="185"/>
        <v>0</v>
      </c>
      <c r="AO847"/>
      <c r="AP847"/>
    </row>
    <row r="848" spans="1:42" ht="66" x14ac:dyDescent="0.25">
      <c r="A848" s="11"/>
      <c r="B848" s="37" t="s">
        <v>116</v>
      </c>
      <c r="C848" s="23"/>
      <c r="D848" s="882">
        <v>7</v>
      </c>
      <c r="E848" s="1025" t="s">
        <v>1749</v>
      </c>
      <c r="F848" s="273" t="s">
        <v>3446</v>
      </c>
      <c r="G848" s="1040" t="s">
        <v>3463</v>
      </c>
      <c r="H848" s="273" t="s">
        <v>3462</v>
      </c>
      <c r="I848" s="720">
        <f t="shared" si="183"/>
        <v>39.800000000000004</v>
      </c>
      <c r="J848" s="765">
        <v>278.60000000000002</v>
      </c>
      <c r="K848" s="131">
        <f t="shared" si="184"/>
        <v>278.60000000000002</v>
      </c>
      <c r="L848" s="335">
        <f t="shared" si="169"/>
        <v>0</v>
      </c>
      <c r="M848" s="446"/>
      <c r="N848" s="446"/>
      <c r="O848" s="446"/>
      <c r="P848" s="446"/>
      <c r="Q848" s="130">
        <v>2</v>
      </c>
      <c r="R848" s="111">
        <f t="shared" si="178"/>
        <v>69.650000000000006</v>
      </c>
      <c r="S848" s="110"/>
      <c r="T848" s="110"/>
      <c r="U848" s="130">
        <v>2</v>
      </c>
      <c r="V848" s="111">
        <f t="shared" si="179"/>
        <v>69.650000000000006</v>
      </c>
      <c r="W848" s="110"/>
      <c r="X848" s="110"/>
      <c r="Y848" s="110"/>
      <c r="Z848" s="110"/>
      <c r="AA848" s="130">
        <v>2</v>
      </c>
      <c r="AB848" s="111">
        <f t="shared" si="176"/>
        <v>69.650000000000006</v>
      </c>
      <c r="AC848" s="110"/>
      <c r="AD848" s="110"/>
      <c r="AE848" s="130">
        <v>1</v>
      </c>
      <c r="AF848" s="111">
        <f t="shared" si="177"/>
        <v>69.650000000000006</v>
      </c>
      <c r="AG848" s="110"/>
      <c r="AH848" s="110"/>
      <c r="AI848" s="110"/>
      <c r="AJ848" s="110"/>
      <c r="AK848" s="111">
        <f t="shared" si="180"/>
        <v>278.60000000000002</v>
      </c>
      <c r="AL848" s="446">
        <f t="shared" si="181"/>
        <v>0</v>
      </c>
      <c r="AM848" s="110">
        <f t="shared" si="182"/>
        <v>7</v>
      </c>
      <c r="AN848" s="447">
        <f t="shared" si="185"/>
        <v>0</v>
      </c>
      <c r="AO848"/>
      <c r="AP848"/>
    </row>
    <row r="849" spans="1:42" ht="66" x14ac:dyDescent="0.25">
      <c r="A849" s="11"/>
      <c r="B849" s="37" t="s">
        <v>119</v>
      </c>
      <c r="C849" s="23"/>
      <c r="D849" s="882">
        <v>20</v>
      </c>
      <c r="E849" s="1025" t="s">
        <v>1747</v>
      </c>
      <c r="F849" s="273" t="s">
        <v>3446</v>
      </c>
      <c r="G849" s="1040" t="s">
        <v>3463</v>
      </c>
      <c r="H849" s="273" t="s">
        <v>3462</v>
      </c>
      <c r="I849" s="720">
        <f t="shared" si="183"/>
        <v>94.22</v>
      </c>
      <c r="J849" s="765">
        <v>1884.4</v>
      </c>
      <c r="K849" s="131">
        <f t="shared" si="184"/>
        <v>1884.4</v>
      </c>
      <c r="L849" s="335">
        <f t="shared" si="169"/>
        <v>0</v>
      </c>
      <c r="M849" s="446"/>
      <c r="N849" s="446"/>
      <c r="O849" s="446"/>
      <c r="P849" s="446"/>
      <c r="Q849" s="110">
        <f t="shared" si="173"/>
        <v>5</v>
      </c>
      <c r="R849" s="111">
        <f t="shared" si="178"/>
        <v>471.1</v>
      </c>
      <c r="S849" s="110"/>
      <c r="T849" s="110"/>
      <c r="U849" s="110">
        <f t="shared" si="174"/>
        <v>5</v>
      </c>
      <c r="V849" s="111">
        <f t="shared" si="179"/>
        <v>471.1</v>
      </c>
      <c r="W849" s="110"/>
      <c r="X849" s="110"/>
      <c r="Y849" s="110"/>
      <c r="Z849" s="110"/>
      <c r="AA849" s="110">
        <f t="shared" si="175"/>
        <v>5</v>
      </c>
      <c r="AB849" s="111">
        <f t="shared" si="176"/>
        <v>471.1</v>
      </c>
      <c r="AC849" s="110"/>
      <c r="AD849" s="110"/>
      <c r="AE849" s="110">
        <f t="shared" si="175"/>
        <v>5</v>
      </c>
      <c r="AF849" s="111">
        <f t="shared" si="177"/>
        <v>471.1</v>
      </c>
      <c r="AG849" s="110"/>
      <c r="AH849" s="110"/>
      <c r="AI849" s="110"/>
      <c r="AJ849" s="110"/>
      <c r="AK849" s="111">
        <f t="shared" si="180"/>
        <v>1884.4</v>
      </c>
      <c r="AL849" s="446">
        <f t="shared" si="181"/>
        <v>0</v>
      </c>
      <c r="AM849" s="110">
        <f t="shared" si="182"/>
        <v>20</v>
      </c>
      <c r="AN849" s="447">
        <f t="shared" si="185"/>
        <v>0</v>
      </c>
      <c r="AO849"/>
      <c r="AP849"/>
    </row>
    <row r="850" spans="1:42" ht="66" x14ac:dyDescent="0.25">
      <c r="A850" s="11"/>
      <c r="B850" s="475" t="s">
        <v>1727</v>
      </c>
      <c r="C850" s="23"/>
      <c r="D850" s="872">
        <v>2</v>
      </c>
      <c r="E850" s="247" t="s">
        <v>1725</v>
      </c>
      <c r="F850" s="273" t="s">
        <v>3446</v>
      </c>
      <c r="G850" s="1040" t="s">
        <v>3463</v>
      </c>
      <c r="H850" s="273" t="s">
        <v>3462</v>
      </c>
      <c r="I850" s="720">
        <f t="shared" si="183"/>
        <v>147.87</v>
      </c>
      <c r="J850" s="765">
        <v>295.74</v>
      </c>
      <c r="K850" s="131">
        <f t="shared" si="184"/>
        <v>295.74</v>
      </c>
      <c r="L850" s="335">
        <f t="shared" si="169"/>
        <v>0</v>
      </c>
      <c r="M850" s="446"/>
      <c r="N850" s="446"/>
      <c r="O850" s="446"/>
      <c r="P850" s="446"/>
      <c r="Q850" s="130">
        <v>1</v>
      </c>
      <c r="R850" s="111">
        <v>147.87</v>
      </c>
      <c r="S850" s="110"/>
      <c r="T850" s="110"/>
      <c r="U850" s="130">
        <v>1</v>
      </c>
      <c r="V850" s="111">
        <v>147.87</v>
      </c>
      <c r="W850" s="110"/>
      <c r="X850" s="110"/>
      <c r="Y850" s="110"/>
      <c r="Z850" s="110"/>
      <c r="AA850" s="130">
        <v>0</v>
      </c>
      <c r="AB850" s="111">
        <v>0</v>
      </c>
      <c r="AC850" s="110"/>
      <c r="AD850" s="110"/>
      <c r="AE850" s="130">
        <v>0</v>
      </c>
      <c r="AF850" s="111">
        <v>0</v>
      </c>
      <c r="AG850" s="110"/>
      <c r="AH850" s="110"/>
      <c r="AI850" s="110"/>
      <c r="AJ850" s="110"/>
      <c r="AK850" s="111">
        <f t="shared" si="180"/>
        <v>295.74</v>
      </c>
      <c r="AL850" s="446">
        <f t="shared" si="181"/>
        <v>0</v>
      </c>
      <c r="AM850" s="110">
        <f t="shared" si="182"/>
        <v>2</v>
      </c>
      <c r="AN850" s="447">
        <f t="shared" si="185"/>
        <v>0</v>
      </c>
      <c r="AO850"/>
      <c r="AP850"/>
    </row>
    <row r="851" spans="1:42" ht="66" x14ac:dyDescent="0.25">
      <c r="A851" s="11"/>
      <c r="B851" s="37" t="s">
        <v>109</v>
      </c>
      <c r="C851" s="23"/>
      <c r="D851" s="869">
        <v>1</v>
      </c>
      <c r="E851" s="247" t="s">
        <v>1725</v>
      </c>
      <c r="F851" s="273" t="s">
        <v>3446</v>
      </c>
      <c r="G851" s="1040" t="s">
        <v>3463</v>
      </c>
      <c r="H851" s="273" t="s">
        <v>3462</v>
      </c>
      <c r="I851" s="720">
        <f t="shared" si="183"/>
        <v>169.56</v>
      </c>
      <c r="J851" s="765">
        <v>169.56</v>
      </c>
      <c r="K851" s="131">
        <f t="shared" si="184"/>
        <v>169.56</v>
      </c>
      <c r="L851" s="335">
        <f t="shared" si="169"/>
        <v>0</v>
      </c>
      <c r="M851" s="446"/>
      <c r="N851" s="446"/>
      <c r="O851" s="446"/>
      <c r="P851" s="446"/>
      <c r="Q851" s="110">
        <v>1</v>
      </c>
      <c r="R851" s="111">
        <v>169.56</v>
      </c>
      <c r="S851" s="110"/>
      <c r="T851" s="110"/>
      <c r="U851" s="110">
        <v>0</v>
      </c>
      <c r="V851" s="111">
        <v>0</v>
      </c>
      <c r="W851" s="110"/>
      <c r="X851" s="110"/>
      <c r="Y851" s="110"/>
      <c r="Z851" s="110"/>
      <c r="AA851" s="110">
        <v>0</v>
      </c>
      <c r="AB851" s="111">
        <v>0</v>
      </c>
      <c r="AC851" s="110"/>
      <c r="AD851" s="110"/>
      <c r="AE851" s="110">
        <v>0</v>
      </c>
      <c r="AF851" s="111">
        <v>0</v>
      </c>
      <c r="AG851" s="110"/>
      <c r="AH851" s="110"/>
      <c r="AI851" s="110"/>
      <c r="AJ851" s="110"/>
      <c r="AK851" s="111">
        <f t="shared" si="180"/>
        <v>169.56</v>
      </c>
      <c r="AL851" s="446">
        <f t="shared" si="181"/>
        <v>0</v>
      </c>
      <c r="AM851" s="110">
        <f t="shared" si="182"/>
        <v>1</v>
      </c>
      <c r="AN851" s="447">
        <f t="shared" si="185"/>
        <v>0</v>
      </c>
      <c r="AO851"/>
      <c r="AP851"/>
    </row>
    <row r="852" spans="1:42" ht="66" x14ac:dyDescent="0.25">
      <c r="A852" s="11"/>
      <c r="B852" s="37" t="s">
        <v>116</v>
      </c>
      <c r="C852" s="23"/>
      <c r="D852" s="869">
        <v>3</v>
      </c>
      <c r="E852" s="1027" t="s">
        <v>1767</v>
      </c>
      <c r="F852" s="273" t="s">
        <v>3446</v>
      </c>
      <c r="G852" s="1040" t="s">
        <v>3463</v>
      </c>
      <c r="H852" s="273" t="s">
        <v>3462</v>
      </c>
      <c r="I852" s="720">
        <f t="shared" si="183"/>
        <v>28.41</v>
      </c>
      <c r="J852" s="765">
        <v>85.23</v>
      </c>
      <c r="K852" s="131">
        <f t="shared" si="184"/>
        <v>85.23</v>
      </c>
      <c r="L852" s="335">
        <f t="shared" si="169"/>
        <v>0</v>
      </c>
      <c r="M852" s="446"/>
      <c r="N852" s="446"/>
      <c r="O852" s="446"/>
      <c r="P852" s="446"/>
      <c r="Q852" s="130">
        <v>1</v>
      </c>
      <c r="R852" s="111">
        <v>28.41</v>
      </c>
      <c r="S852" s="110"/>
      <c r="T852" s="110"/>
      <c r="U852" s="130">
        <v>1</v>
      </c>
      <c r="V852" s="111">
        <v>28.41</v>
      </c>
      <c r="W852" s="110"/>
      <c r="X852" s="110"/>
      <c r="Y852" s="110"/>
      <c r="Z852" s="110"/>
      <c r="AA852" s="130">
        <v>1</v>
      </c>
      <c r="AB852" s="111">
        <v>28.41</v>
      </c>
      <c r="AC852" s="110"/>
      <c r="AD852" s="110"/>
      <c r="AE852" s="130">
        <v>0</v>
      </c>
      <c r="AF852" s="111">
        <v>0</v>
      </c>
      <c r="AG852" s="110"/>
      <c r="AH852" s="110"/>
      <c r="AI852" s="110"/>
      <c r="AJ852" s="110"/>
      <c r="AK852" s="111">
        <f t="shared" si="180"/>
        <v>85.23</v>
      </c>
      <c r="AL852" s="446">
        <f t="shared" si="181"/>
        <v>0</v>
      </c>
      <c r="AM852" s="110">
        <f t="shared" si="182"/>
        <v>3</v>
      </c>
      <c r="AN852" s="447">
        <f t="shared" si="185"/>
        <v>0</v>
      </c>
      <c r="AO852"/>
      <c r="AP852"/>
    </row>
    <row r="853" spans="1:42" ht="66" x14ac:dyDescent="0.25">
      <c r="A853" s="11"/>
      <c r="B853" s="37" t="s">
        <v>120</v>
      </c>
      <c r="C853" s="23"/>
      <c r="D853" s="869">
        <v>1</v>
      </c>
      <c r="E853" s="1027" t="s">
        <v>1767</v>
      </c>
      <c r="F853" s="273" t="s">
        <v>3446</v>
      </c>
      <c r="G853" s="1040" t="s">
        <v>3463</v>
      </c>
      <c r="H853" s="273" t="s">
        <v>3462</v>
      </c>
      <c r="I853" s="720">
        <f t="shared" si="183"/>
        <v>123.12</v>
      </c>
      <c r="J853" s="765">
        <v>123.12</v>
      </c>
      <c r="K853" s="131">
        <f t="shared" si="184"/>
        <v>123.12</v>
      </c>
      <c r="L853" s="335">
        <f t="shared" si="169"/>
        <v>0</v>
      </c>
      <c r="M853" s="446"/>
      <c r="N853" s="446"/>
      <c r="O853" s="446"/>
      <c r="P853" s="446"/>
      <c r="Q853" s="110">
        <v>1</v>
      </c>
      <c r="R853" s="111">
        <v>123.12</v>
      </c>
      <c r="S853" s="110"/>
      <c r="T853" s="110"/>
      <c r="U853" s="110">
        <v>0</v>
      </c>
      <c r="V853" s="111">
        <v>0</v>
      </c>
      <c r="W853" s="110"/>
      <c r="X853" s="110"/>
      <c r="Y853" s="110"/>
      <c r="Z853" s="110"/>
      <c r="AA853" s="110">
        <v>0</v>
      </c>
      <c r="AB853" s="111">
        <v>0</v>
      </c>
      <c r="AC853" s="110"/>
      <c r="AD853" s="110"/>
      <c r="AE853" s="110">
        <v>0</v>
      </c>
      <c r="AF853" s="111">
        <v>0</v>
      </c>
      <c r="AG853" s="110"/>
      <c r="AH853" s="110"/>
      <c r="AI853" s="110"/>
      <c r="AJ853" s="110"/>
      <c r="AK853" s="111">
        <f t="shared" si="180"/>
        <v>123.12</v>
      </c>
      <c r="AL853" s="446">
        <f t="shared" si="181"/>
        <v>0</v>
      </c>
      <c r="AM853" s="110">
        <f t="shared" si="182"/>
        <v>1</v>
      </c>
      <c r="AN853" s="447">
        <f t="shared" si="185"/>
        <v>0</v>
      </c>
      <c r="AO853"/>
      <c r="AP853"/>
    </row>
    <row r="854" spans="1:42" ht="66" x14ac:dyDescent="0.25">
      <c r="A854" s="11"/>
      <c r="B854" s="37" t="s">
        <v>119</v>
      </c>
      <c r="C854" s="23"/>
      <c r="D854" s="869">
        <v>13</v>
      </c>
      <c r="E854" s="1027" t="s">
        <v>1772</v>
      </c>
      <c r="F854" s="273" t="s">
        <v>3446</v>
      </c>
      <c r="G854" s="1040" t="s">
        <v>3463</v>
      </c>
      <c r="H854" s="273" t="s">
        <v>3462</v>
      </c>
      <c r="I854" s="720">
        <f t="shared" si="183"/>
        <v>85.049999999999983</v>
      </c>
      <c r="J854" s="765">
        <v>1105.6499999999999</v>
      </c>
      <c r="K854" s="131">
        <f t="shared" si="184"/>
        <v>1105.6499999999999</v>
      </c>
      <c r="L854" s="335">
        <f t="shared" si="169"/>
        <v>0</v>
      </c>
      <c r="M854" s="446"/>
      <c r="N854" s="446"/>
      <c r="O854" s="446"/>
      <c r="P854" s="446"/>
      <c r="Q854" s="110">
        <v>4</v>
      </c>
      <c r="R854" s="111">
        <f t="shared" si="178"/>
        <v>276.41249999999997</v>
      </c>
      <c r="S854" s="110"/>
      <c r="T854" s="110"/>
      <c r="U854" s="110">
        <v>3</v>
      </c>
      <c r="V854" s="111">
        <f t="shared" si="179"/>
        <v>276.41249999999997</v>
      </c>
      <c r="W854" s="110"/>
      <c r="X854" s="110"/>
      <c r="Y854" s="110"/>
      <c r="Z854" s="110"/>
      <c r="AA854" s="110">
        <v>3</v>
      </c>
      <c r="AB854" s="111">
        <f t="shared" si="176"/>
        <v>276.41249999999997</v>
      </c>
      <c r="AC854" s="110"/>
      <c r="AD854" s="110"/>
      <c r="AE854" s="110">
        <v>3</v>
      </c>
      <c r="AF854" s="111">
        <f t="shared" si="177"/>
        <v>276.41249999999997</v>
      </c>
      <c r="AG854" s="110"/>
      <c r="AH854" s="110"/>
      <c r="AI854" s="110"/>
      <c r="AJ854" s="110"/>
      <c r="AK854" s="111">
        <f t="shared" si="180"/>
        <v>1105.6499999999999</v>
      </c>
      <c r="AL854" s="446">
        <f t="shared" si="181"/>
        <v>0</v>
      </c>
      <c r="AM854" s="110">
        <f t="shared" si="182"/>
        <v>13</v>
      </c>
      <c r="AN854" s="447">
        <f t="shared" si="185"/>
        <v>0</v>
      </c>
      <c r="AO854"/>
      <c r="AP854"/>
    </row>
    <row r="855" spans="1:42" ht="66" x14ac:dyDescent="0.25">
      <c r="A855" s="11"/>
      <c r="B855" s="37" t="s">
        <v>1138</v>
      </c>
      <c r="C855" s="23"/>
      <c r="D855" s="869">
        <v>800</v>
      </c>
      <c r="E855" s="1027" t="s">
        <v>1767</v>
      </c>
      <c r="F855" s="273" t="s">
        <v>3446</v>
      </c>
      <c r="G855" s="1040" t="s">
        <v>3463</v>
      </c>
      <c r="H855" s="273" t="s">
        <v>3462</v>
      </c>
      <c r="I855" s="720">
        <f t="shared" si="183"/>
        <v>1.8</v>
      </c>
      <c r="J855" s="765">
        <v>1440</v>
      </c>
      <c r="K855" s="131">
        <f t="shared" si="184"/>
        <v>1440</v>
      </c>
      <c r="L855" s="335">
        <f t="shared" si="169"/>
        <v>0</v>
      </c>
      <c r="M855" s="446"/>
      <c r="N855" s="446"/>
      <c r="O855" s="446"/>
      <c r="P855" s="446"/>
      <c r="Q855" s="110">
        <f t="shared" si="173"/>
        <v>200</v>
      </c>
      <c r="R855" s="111">
        <f t="shared" si="178"/>
        <v>360</v>
      </c>
      <c r="S855" s="110"/>
      <c r="T855" s="110"/>
      <c r="U855" s="110">
        <f t="shared" si="174"/>
        <v>200</v>
      </c>
      <c r="V855" s="111">
        <f t="shared" si="179"/>
        <v>360</v>
      </c>
      <c r="W855" s="110"/>
      <c r="X855" s="110"/>
      <c r="Y855" s="110"/>
      <c r="Z855" s="110"/>
      <c r="AA855" s="110">
        <f t="shared" si="175"/>
        <v>200</v>
      </c>
      <c r="AB855" s="111">
        <f t="shared" si="176"/>
        <v>360</v>
      </c>
      <c r="AC855" s="110"/>
      <c r="AD855" s="110"/>
      <c r="AE855" s="110">
        <f t="shared" si="175"/>
        <v>200</v>
      </c>
      <c r="AF855" s="111">
        <f t="shared" si="177"/>
        <v>360</v>
      </c>
      <c r="AG855" s="110"/>
      <c r="AH855" s="110"/>
      <c r="AI855" s="110"/>
      <c r="AJ855" s="110"/>
      <c r="AK855" s="111">
        <f t="shared" si="180"/>
        <v>1440</v>
      </c>
      <c r="AL855" s="446">
        <f t="shared" si="181"/>
        <v>0</v>
      </c>
      <c r="AM855" s="110">
        <f t="shared" si="182"/>
        <v>800</v>
      </c>
      <c r="AN855" s="447">
        <f t="shared" si="185"/>
        <v>0</v>
      </c>
      <c r="AO855"/>
      <c r="AP855"/>
    </row>
    <row r="856" spans="1:42" ht="66" x14ac:dyDescent="0.25">
      <c r="A856" s="11"/>
      <c r="B856" s="37" t="s">
        <v>1768</v>
      </c>
      <c r="C856" s="23"/>
      <c r="D856" s="869">
        <v>65</v>
      </c>
      <c r="E856" s="1027" t="s">
        <v>1772</v>
      </c>
      <c r="F856" s="273" t="s">
        <v>3446</v>
      </c>
      <c r="G856" s="1040" t="s">
        <v>3463</v>
      </c>
      <c r="H856" s="273" t="s">
        <v>3462</v>
      </c>
      <c r="I856" s="720">
        <f t="shared" si="183"/>
        <v>71.72</v>
      </c>
      <c r="J856" s="765">
        <v>4661.8</v>
      </c>
      <c r="K856" s="131">
        <f t="shared" si="184"/>
        <v>4661.8</v>
      </c>
      <c r="L856" s="335">
        <f t="shared" si="169"/>
        <v>0</v>
      </c>
      <c r="M856" s="446"/>
      <c r="N856" s="446"/>
      <c r="O856" s="446"/>
      <c r="P856" s="446"/>
      <c r="Q856" s="110">
        <v>17</v>
      </c>
      <c r="R856" s="111">
        <f t="shared" si="178"/>
        <v>1165.45</v>
      </c>
      <c r="S856" s="110"/>
      <c r="T856" s="110"/>
      <c r="U856" s="110">
        <v>17</v>
      </c>
      <c r="V856" s="111">
        <f t="shared" si="179"/>
        <v>1165.45</v>
      </c>
      <c r="W856" s="110"/>
      <c r="X856" s="110"/>
      <c r="Y856" s="110"/>
      <c r="Z856" s="110"/>
      <c r="AA856" s="110">
        <v>18</v>
      </c>
      <c r="AB856" s="111">
        <f t="shared" si="176"/>
        <v>1165.45</v>
      </c>
      <c r="AC856" s="110"/>
      <c r="AD856" s="110"/>
      <c r="AE856" s="110">
        <v>13</v>
      </c>
      <c r="AF856" s="111">
        <f t="shared" si="177"/>
        <v>1165.45</v>
      </c>
      <c r="AG856" s="110"/>
      <c r="AH856" s="110"/>
      <c r="AI856" s="110"/>
      <c r="AJ856" s="110"/>
      <c r="AK856" s="111">
        <f t="shared" si="180"/>
        <v>4661.8</v>
      </c>
      <c r="AL856" s="446">
        <f t="shared" si="181"/>
        <v>0</v>
      </c>
      <c r="AM856" s="110">
        <f t="shared" si="182"/>
        <v>65</v>
      </c>
      <c r="AN856" s="447">
        <f t="shared" si="185"/>
        <v>0</v>
      </c>
      <c r="AO856"/>
      <c r="AP856"/>
    </row>
    <row r="857" spans="1:42" ht="66" x14ac:dyDescent="0.25">
      <c r="A857" s="11"/>
      <c r="B857" s="37" t="s">
        <v>248</v>
      </c>
      <c r="C857" s="23"/>
      <c r="D857" s="869">
        <v>1000</v>
      </c>
      <c r="E857" s="1027" t="s">
        <v>1767</v>
      </c>
      <c r="F857" s="273" t="s">
        <v>3446</v>
      </c>
      <c r="G857" s="1040" t="s">
        <v>3463</v>
      </c>
      <c r="H857" s="273" t="s">
        <v>3462</v>
      </c>
      <c r="I857" s="720">
        <f t="shared" si="183"/>
        <v>6.07</v>
      </c>
      <c r="J857" s="765">
        <v>6070</v>
      </c>
      <c r="K857" s="131">
        <f t="shared" si="184"/>
        <v>6070</v>
      </c>
      <c r="L857" s="335">
        <f t="shared" si="169"/>
        <v>0</v>
      </c>
      <c r="M857" s="446"/>
      <c r="N857" s="446"/>
      <c r="O857" s="446"/>
      <c r="P857" s="446"/>
      <c r="Q857" s="110">
        <f t="shared" si="173"/>
        <v>250</v>
      </c>
      <c r="R857" s="111">
        <f t="shared" si="178"/>
        <v>1517.5</v>
      </c>
      <c r="S857" s="110"/>
      <c r="T857" s="110"/>
      <c r="U857" s="110">
        <f t="shared" si="174"/>
        <v>250</v>
      </c>
      <c r="V857" s="111">
        <f t="shared" si="179"/>
        <v>1517.5</v>
      </c>
      <c r="W857" s="110"/>
      <c r="X857" s="110"/>
      <c r="Y857" s="110"/>
      <c r="Z857" s="110"/>
      <c r="AA857" s="110">
        <f t="shared" si="175"/>
        <v>250</v>
      </c>
      <c r="AB857" s="111">
        <f t="shared" si="176"/>
        <v>1517.5</v>
      </c>
      <c r="AC857" s="110"/>
      <c r="AD857" s="110"/>
      <c r="AE857" s="110">
        <f t="shared" si="175"/>
        <v>250</v>
      </c>
      <c r="AF857" s="111">
        <f t="shared" si="177"/>
        <v>1517.5</v>
      </c>
      <c r="AG857" s="110"/>
      <c r="AH857" s="110"/>
      <c r="AI857" s="110"/>
      <c r="AJ857" s="110"/>
      <c r="AK857" s="111">
        <f t="shared" si="180"/>
        <v>6070</v>
      </c>
      <c r="AL857" s="446">
        <f t="shared" si="181"/>
        <v>0</v>
      </c>
      <c r="AM857" s="110">
        <f t="shared" si="182"/>
        <v>1000</v>
      </c>
      <c r="AN857" s="447">
        <f t="shared" si="185"/>
        <v>0</v>
      </c>
      <c r="AO857"/>
      <c r="AP857"/>
    </row>
    <row r="858" spans="1:42" ht="66" x14ac:dyDescent="0.25">
      <c r="A858" s="11"/>
      <c r="B858" s="37" t="s">
        <v>1769</v>
      </c>
      <c r="C858" s="23"/>
      <c r="D858" s="869">
        <v>4</v>
      </c>
      <c r="E858" s="1027" t="s">
        <v>1767</v>
      </c>
      <c r="F858" s="273" t="s">
        <v>3446</v>
      </c>
      <c r="G858" s="1040" t="s">
        <v>3463</v>
      </c>
      <c r="H858" s="273" t="s">
        <v>3462</v>
      </c>
      <c r="I858" s="720">
        <f t="shared" si="183"/>
        <v>6.08</v>
      </c>
      <c r="J858" s="765">
        <v>24.32</v>
      </c>
      <c r="K858" s="131">
        <f t="shared" si="184"/>
        <v>24.32</v>
      </c>
      <c r="L858" s="335">
        <f t="shared" si="169"/>
        <v>0</v>
      </c>
      <c r="M858" s="446"/>
      <c r="N858" s="446"/>
      <c r="O858" s="446"/>
      <c r="P858" s="446"/>
      <c r="Q858" s="110">
        <f t="shared" si="173"/>
        <v>1</v>
      </c>
      <c r="R858" s="111">
        <f t="shared" si="178"/>
        <v>6.08</v>
      </c>
      <c r="S858" s="110"/>
      <c r="T858" s="110"/>
      <c r="U858" s="110">
        <f t="shared" si="174"/>
        <v>1</v>
      </c>
      <c r="V858" s="111">
        <f t="shared" si="179"/>
        <v>6.08</v>
      </c>
      <c r="W858" s="110"/>
      <c r="X858" s="110"/>
      <c r="Y858" s="110"/>
      <c r="Z858" s="110"/>
      <c r="AA858" s="110">
        <f t="shared" si="175"/>
        <v>1</v>
      </c>
      <c r="AB858" s="111">
        <f t="shared" si="176"/>
        <v>6.08</v>
      </c>
      <c r="AC858" s="110"/>
      <c r="AD858" s="110"/>
      <c r="AE858" s="110">
        <f t="shared" si="175"/>
        <v>1</v>
      </c>
      <c r="AF858" s="111">
        <f t="shared" si="177"/>
        <v>6.08</v>
      </c>
      <c r="AG858" s="110"/>
      <c r="AH858" s="110"/>
      <c r="AI858" s="110"/>
      <c r="AJ858" s="110"/>
      <c r="AK858" s="111">
        <f t="shared" si="180"/>
        <v>24.32</v>
      </c>
      <c r="AL858" s="446">
        <f t="shared" si="181"/>
        <v>0</v>
      </c>
      <c r="AM858" s="110">
        <f t="shared" si="182"/>
        <v>4</v>
      </c>
      <c r="AN858" s="447">
        <f t="shared" si="185"/>
        <v>0</v>
      </c>
      <c r="AO858"/>
      <c r="AP858"/>
    </row>
    <row r="859" spans="1:42" ht="66" x14ac:dyDescent="0.25">
      <c r="A859" s="11"/>
      <c r="B859" s="475" t="s">
        <v>1770</v>
      </c>
      <c r="C859" s="23"/>
      <c r="D859" s="872">
        <v>10</v>
      </c>
      <c r="E859" s="265" t="s">
        <v>1767</v>
      </c>
      <c r="F859" s="278" t="s">
        <v>3446</v>
      </c>
      <c r="G859" s="1040" t="s">
        <v>3463</v>
      </c>
      <c r="H859" s="273" t="s">
        <v>3462</v>
      </c>
      <c r="I859" s="720">
        <f t="shared" si="183"/>
        <v>61.590000000000011</v>
      </c>
      <c r="J859" s="765">
        <v>615.90000000000009</v>
      </c>
      <c r="K859" s="131">
        <f t="shared" si="184"/>
        <v>615.90000000000009</v>
      </c>
      <c r="L859" s="335">
        <f t="shared" si="169"/>
        <v>0</v>
      </c>
      <c r="M859" s="446"/>
      <c r="N859" s="446"/>
      <c r="O859" s="446"/>
      <c r="P859" s="446"/>
      <c r="Q859" s="130">
        <v>3</v>
      </c>
      <c r="R859" s="111">
        <f t="shared" si="178"/>
        <v>153.97500000000002</v>
      </c>
      <c r="S859" s="110"/>
      <c r="T859" s="110"/>
      <c r="U859" s="130">
        <v>3</v>
      </c>
      <c r="V859" s="111">
        <f t="shared" si="179"/>
        <v>153.97500000000002</v>
      </c>
      <c r="W859" s="110"/>
      <c r="X859" s="110"/>
      <c r="Y859" s="110"/>
      <c r="Z859" s="110"/>
      <c r="AA859" s="130">
        <v>2</v>
      </c>
      <c r="AB859" s="111">
        <f t="shared" si="176"/>
        <v>153.97500000000002</v>
      </c>
      <c r="AC859" s="110"/>
      <c r="AD859" s="110"/>
      <c r="AE859" s="130">
        <v>2</v>
      </c>
      <c r="AF859" s="111">
        <f t="shared" si="177"/>
        <v>153.97500000000002</v>
      </c>
      <c r="AG859" s="110"/>
      <c r="AH859" s="110"/>
      <c r="AI859" s="110"/>
      <c r="AJ859" s="110"/>
      <c r="AK859" s="111">
        <f t="shared" si="180"/>
        <v>615.90000000000009</v>
      </c>
      <c r="AL859" s="446">
        <f t="shared" si="181"/>
        <v>0</v>
      </c>
      <c r="AM859" s="110">
        <f t="shared" si="182"/>
        <v>10</v>
      </c>
      <c r="AN859" s="447">
        <f t="shared" si="185"/>
        <v>0</v>
      </c>
      <c r="AO859"/>
      <c r="AP859"/>
    </row>
    <row r="860" spans="1:42" ht="66" x14ac:dyDescent="0.25">
      <c r="A860" s="11"/>
      <c r="B860" s="503" t="s">
        <v>1771</v>
      </c>
      <c r="C860" s="23"/>
      <c r="D860" s="873">
        <v>20</v>
      </c>
      <c r="E860" s="1023" t="s">
        <v>1767</v>
      </c>
      <c r="F860" s="278" t="s">
        <v>3446</v>
      </c>
      <c r="G860" s="1040" t="s">
        <v>3463</v>
      </c>
      <c r="H860" s="273" t="s">
        <v>3462</v>
      </c>
      <c r="I860" s="720">
        <f t="shared" si="183"/>
        <v>106.8</v>
      </c>
      <c r="J860" s="765">
        <v>2136</v>
      </c>
      <c r="K860" s="131">
        <f t="shared" si="184"/>
        <v>2136</v>
      </c>
      <c r="L860" s="335">
        <f t="shared" si="169"/>
        <v>0</v>
      </c>
      <c r="M860" s="446"/>
      <c r="N860" s="446"/>
      <c r="O860" s="446"/>
      <c r="P860" s="446"/>
      <c r="Q860" s="110">
        <f t="shared" si="173"/>
        <v>5</v>
      </c>
      <c r="R860" s="111">
        <f t="shared" si="178"/>
        <v>534</v>
      </c>
      <c r="S860" s="110"/>
      <c r="T860" s="110"/>
      <c r="U860" s="110">
        <f t="shared" si="174"/>
        <v>5</v>
      </c>
      <c r="V860" s="111">
        <f t="shared" si="179"/>
        <v>534</v>
      </c>
      <c r="W860" s="110"/>
      <c r="X860" s="110"/>
      <c r="Y860" s="110"/>
      <c r="Z860" s="110"/>
      <c r="AA860" s="110">
        <f t="shared" si="175"/>
        <v>5</v>
      </c>
      <c r="AB860" s="111">
        <f t="shared" si="176"/>
        <v>534</v>
      </c>
      <c r="AC860" s="110"/>
      <c r="AD860" s="110"/>
      <c r="AE860" s="110">
        <f t="shared" si="175"/>
        <v>5</v>
      </c>
      <c r="AF860" s="111">
        <f t="shared" si="177"/>
        <v>534</v>
      </c>
      <c r="AG860" s="110"/>
      <c r="AH860" s="110"/>
      <c r="AI860" s="110"/>
      <c r="AJ860" s="110"/>
      <c r="AK860" s="111">
        <f t="shared" si="180"/>
        <v>2136</v>
      </c>
      <c r="AL860" s="446">
        <f t="shared" si="181"/>
        <v>0</v>
      </c>
      <c r="AM860" s="110">
        <f t="shared" si="182"/>
        <v>20</v>
      </c>
      <c r="AN860" s="447">
        <f t="shared" si="185"/>
        <v>0</v>
      </c>
      <c r="AO860"/>
      <c r="AP860"/>
    </row>
    <row r="861" spans="1:42" ht="66" x14ac:dyDescent="0.25">
      <c r="A861" s="143"/>
      <c r="B861" s="149" t="s">
        <v>1795</v>
      </c>
      <c r="C861" s="24"/>
      <c r="D861" s="869">
        <v>2</v>
      </c>
      <c r="E861" s="1027" t="s">
        <v>1767</v>
      </c>
      <c r="F861" s="278" t="s">
        <v>3446</v>
      </c>
      <c r="G861" s="1040" t="s">
        <v>3463</v>
      </c>
      <c r="H861" s="273" t="s">
        <v>3462</v>
      </c>
      <c r="I861" s="720">
        <f t="shared" si="183"/>
        <v>81.31</v>
      </c>
      <c r="J861" s="765">
        <v>162.62</v>
      </c>
      <c r="K861" s="131">
        <f t="shared" si="184"/>
        <v>162.62</v>
      </c>
      <c r="L861" s="335">
        <f t="shared" si="169"/>
        <v>0</v>
      </c>
      <c r="M861" s="446"/>
      <c r="N861" s="446"/>
      <c r="O861" s="446"/>
      <c r="P861" s="446"/>
      <c r="Q861" s="130">
        <v>1</v>
      </c>
      <c r="R861" s="111">
        <v>81.31</v>
      </c>
      <c r="S861" s="110"/>
      <c r="T861" s="110"/>
      <c r="U861" s="130">
        <v>1</v>
      </c>
      <c r="V861" s="111">
        <v>81.31</v>
      </c>
      <c r="W861" s="110"/>
      <c r="X861" s="110"/>
      <c r="Y861" s="110"/>
      <c r="Z861" s="110"/>
      <c r="AA861" s="130">
        <v>0</v>
      </c>
      <c r="AB861" s="111">
        <v>0</v>
      </c>
      <c r="AC861" s="110"/>
      <c r="AD861" s="110"/>
      <c r="AE861" s="130">
        <v>0</v>
      </c>
      <c r="AF861" s="111">
        <v>0</v>
      </c>
      <c r="AG861" s="110"/>
      <c r="AH861" s="110"/>
      <c r="AI861" s="110"/>
      <c r="AJ861" s="110"/>
      <c r="AK861" s="111">
        <f t="shared" si="180"/>
        <v>162.62</v>
      </c>
      <c r="AL861" s="446">
        <f t="shared" si="181"/>
        <v>0</v>
      </c>
      <c r="AM861" s="110">
        <f t="shared" si="182"/>
        <v>2</v>
      </c>
      <c r="AN861" s="447">
        <f t="shared" si="185"/>
        <v>0</v>
      </c>
      <c r="AO861"/>
      <c r="AP861"/>
    </row>
    <row r="862" spans="1:42" ht="66" x14ac:dyDescent="0.25">
      <c r="A862" s="143"/>
      <c r="B862" s="149" t="s">
        <v>1796</v>
      </c>
      <c r="C862" s="24"/>
      <c r="D862" s="869">
        <v>20</v>
      </c>
      <c r="E862" s="1027" t="s">
        <v>1772</v>
      </c>
      <c r="F862" s="273" t="s">
        <v>3446</v>
      </c>
      <c r="G862" s="1040" t="s">
        <v>3463</v>
      </c>
      <c r="H862" s="273" t="s">
        <v>3462</v>
      </c>
      <c r="I862" s="720">
        <f t="shared" si="183"/>
        <v>109.3</v>
      </c>
      <c r="J862" s="765">
        <v>2186</v>
      </c>
      <c r="K862" s="131">
        <f t="shared" si="184"/>
        <v>2186</v>
      </c>
      <c r="L862" s="335">
        <f t="shared" si="169"/>
        <v>0</v>
      </c>
      <c r="M862" s="446"/>
      <c r="N862" s="446"/>
      <c r="O862" s="446"/>
      <c r="P862" s="446"/>
      <c r="Q862" s="110">
        <f t="shared" ref="Q862:Q923" si="186">+$D862/4</f>
        <v>5</v>
      </c>
      <c r="R862" s="111">
        <f t="shared" ref="R862:R925" si="187">+J862/4</f>
        <v>546.5</v>
      </c>
      <c r="S862" s="110"/>
      <c r="T862" s="110"/>
      <c r="U862" s="110">
        <f t="shared" ref="U862:U923" si="188">+$D862/4</f>
        <v>5</v>
      </c>
      <c r="V862" s="111">
        <f t="shared" ref="V862:V925" si="189">+J862/4</f>
        <v>546.5</v>
      </c>
      <c r="W862" s="110"/>
      <c r="X862" s="110"/>
      <c r="Y862" s="110"/>
      <c r="Z862" s="110"/>
      <c r="AA862" s="110">
        <f t="shared" ref="AA862:AE923" si="190">+$D862/4</f>
        <v>5</v>
      </c>
      <c r="AB862" s="111">
        <f t="shared" si="176"/>
        <v>546.5</v>
      </c>
      <c r="AC862" s="110"/>
      <c r="AD862" s="110"/>
      <c r="AE862" s="110">
        <f t="shared" si="190"/>
        <v>5</v>
      </c>
      <c r="AF862" s="111">
        <f t="shared" si="177"/>
        <v>546.5</v>
      </c>
      <c r="AG862" s="110"/>
      <c r="AH862" s="110"/>
      <c r="AI862" s="110"/>
      <c r="AJ862" s="110"/>
      <c r="AK862" s="111">
        <f t="shared" si="180"/>
        <v>2186</v>
      </c>
      <c r="AL862" s="446">
        <f t="shared" si="181"/>
        <v>0</v>
      </c>
      <c r="AM862" s="110">
        <f t="shared" si="182"/>
        <v>20</v>
      </c>
      <c r="AN862" s="447">
        <f t="shared" si="185"/>
        <v>0</v>
      </c>
      <c r="AO862"/>
      <c r="AP862"/>
    </row>
    <row r="863" spans="1:42" ht="66" x14ac:dyDescent="0.25">
      <c r="A863" s="143"/>
      <c r="B863" s="149" t="s">
        <v>1797</v>
      </c>
      <c r="C863" s="24"/>
      <c r="D863" s="869">
        <v>3</v>
      </c>
      <c r="E863" s="1027" t="s">
        <v>1806</v>
      </c>
      <c r="F863" s="273" t="s">
        <v>3446</v>
      </c>
      <c r="G863" s="1040" t="s">
        <v>3463</v>
      </c>
      <c r="H863" s="273" t="s">
        <v>3462</v>
      </c>
      <c r="I863" s="720">
        <f t="shared" si="183"/>
        <v>171.71</v>
      </c>
      <c r="J863" s="765">
        <v>515.13</v>
      </c>
      <c r="K863" s="131">
        <f t="shared" si="184"/>
        <v>515.13</v>
      </c>
      <c r="L863" s="335">
        <f t="shared" si="169"/>
        <v>0</v>
      </c>
      <c r="M863" s="446"/>
      <c r="N863" s="446"/>
      <c r="O863" s="446"/>
      <c r="P863" s="446"/>
      <c r="Q863" s="130">
        <v>1</v>
      </c>
      <c r="R863" s="111">
        <v>171.71</v>
      </c>
      <c r="S863" s="110"/>
      <c r="T863" s="110"/>
      <c r="U863" s="130">
        <v>1</v>
      </c>
      <c r="V863" s="111">
        <v>171.71</v>
      </c>
      <c r="W863" s="110"/>
      <c r="X863" s="110"/>
      <c r="Y863" s="110"/>
      <c r="Z863" s="110"/>
      <c r="AA863" s="130">
        <v>1</v>
      </c>
      <c r="AB863" s="111">
        <v>171.71</v>
      </c>
      <c r="AC863" s="110"/>
      <c r="AD863" s="110"/>
      <c r="AE863" s="130">
        <v>0</v>
      </c>
      <c r="AF863" s="111">
        <v>0</v>
      </c>
      <c r="AG863" s="110"/>
      <c r="AH863" s="110"/>
      <c r="AI863" s="110"/>
      <c r="AJ863" s="110"/>
      <c r="AK863" s="111">
        <f t="shared" si="180"/>
        <v>515.13</v>
      </c>
      <c r="AL863" s="446">
        <f t="shared" si="181"/>
        <v>0</v>
      </c>
      <c r="AM863" s="110">
        <f t="shared" si="182"/>
        <v>3</v>
      </c>
      <c r="AN863" s="447">
        <f t="shared" si="185"/>
        <v>0</v>
      </c>
      <c r="AO863"/>
      <c r="AP863"/>
    </row>
    <row r="864" spans="1:42" ht="66" x14ac:dyDescent="0.25">
      <c r="A864" s="143"/>
      <c r="B864" s="149" t="s">
        <v>1798</v>
      </c>
      <c r="C864" s="24"/>
      <c r="D864" s="869">
        <v>2</v>
      </c>
      <c r="E864" s="247" t="s">
        <v>1725</v>
      </c>
      <c r="F864" s="273" t="s">
        <v>3446</v>
      </c>
      <c r="G864" s="1040" t="s">
        <v>3463</v>
      </c>
      <c r="H864" s="273" t="s">
        <v>3462</v>
      </c>
      <c r="I864" s="720">
        <f t="shared" si="183"/>
        <v>226.01</v>
      </c>
      <c r="J864" s="765">
        <v>452.02</v>
      </c>
      <c r="K864" s="131">
        <f t="shared" si="184"/>
        <v>452.02</v>
      </c>
      <c r="L864" s="335">
        <f t="shared" si="169"/>
        <v>0</v>
      </c>
      <c r="M864" s="446"/>
      <c r="N864" s="446"/>
      <c r="O864" s="446"/>
      <c r="P864" s="446"/>
      <c r="Q864" s="130">
        <v>1</v>
      </c>
      <c r="R864" s="111">
        <v>226.01</v>
      </c>
      <c r="S864" s="110"/>
      <c r="T864" s="110"/>
      <c r="U864" s="130">
        <v>1</v>
      </c>
      <c r="V864" s="111">
        <v>226.01</v>
      </c>
      <c r="W864" s="110"/>
      <c r="X864" s="110"/>
      <c r="Y864" s="110"/>
      <c r="Z864" s="110"/>
      <c r="AA864" s="130">
        <v>0</v>
      </c>
      <c r="AB864" s="111">
        <v>0</v>
      </c>
      <c r="AC864" s="110"/>
      <c r="AD864" s="110"/>
      <c r="AE864" s="130">
        <v>0</v>
      </c>
      <c r="AF864" s="111">
        <v>0</v>
      </c>
      <c r="AG864" s="110"/>
      <c r="AH864" s="110"/>
      <c r="AI864" s="110"/>
      <c r="AJ864" s="110"/>
      <c r="AK864" s="111">
        <f t="shared" si="180"/>
        <v>452.02</v>
      </c>
      <c r="AL864" s="446">
        <f t="shared" si="181"/>
        <v>0</v>
      </c>
      <c r="AM864" s="110">
        <f t="shared" si="182"/>
        <v>2</v>
      </c>
      <c r="AN864" s="447">
        <f t="shared" si="185"/>
        <v>0</v>
      </c>
      <c r="AO864"/>
      <c r="AP864"/>
    </row>
    <row r="865" spans="1:42" ht="66" x14ac:dyDescent="0.25">
      <c r="A865" s="143"/>
      <c r="B865" s="149" t="s">
        <v>1799</v>
      </c>
      <c r="C865" s="24"/>
      <c r="D865" s="869">
        <v>50</v>
      </c>
      <c r="E865" s="1027" t="s">
        <v>1767</v>
      </c>
      <c r="F865" s="273" t="s">
        <v>3446</v>
      </c>
      <c r="G865" s="1040" t="s">
        <v>3463</v>
      </c>
      <c r="H865" s="273" t="s">
        <v>3462</v>
      </c>
      <c r="I865" s="720">
        <f t="shared" si="183"/>
        <v>4.07</v>
      </c>
      <c r="J865" s="765">
        <v>203.5</v>
      </c>
      <c r="K865" s="131">
        <f t="shared" si="184"/>
        <v>203.5</v>
      </c>
      <c r="L865" s="335">
        <f t="shared" si="169"/>
        <v>0</v>
      </c>
      <c r="M865" s="446"/>
      <c r="N865" s="446"/>
      <c r="O865" s="446"/>
      <c r="P865" s="446"/>
      <c r="Q865" s="110">
        <v>13</v>
      </c>
      <c r="R865" s="111">
        <f t="shared" si="187"/>
        <v>50.875</v>
      </c>
      <c r="S865" s="110"/>
      <c r="T865" s="110"/>
      <c r="U865" s="110">
        <v>12</v>
      </c>
      <c r="V865" s="111">
        <f t="shared" si="189"/>
        <v>50.875</v>
      </c>
      <c r="W865" s="110"/>
      <c r="X865" s="110"/>
      <c r="Y865" s="110"/>
      <c r="Z865" s="110"/>
      <c r="AA865" s="110">
        <v>12</v>
      </c>
      <c r="AB865" s="111">
        <f t="shared" si="176"/>
        <v>50.875</v>
      </c>
      <c r="AC865" s="110"/>
      <c r="AD865" s="110"/>
      <c r="AE865" s="110">
        <v>13</v>
      </c>
      <c r="AF865" s="111">
        <f t="shared" ref="AF865:AF927" si="191">+J865/4</f>
        <v>50.875</v>
      </c>
      <c r="AG865" s="110"/>
      <c r="AH865" s="110"/>
      <c r="AI865" s="110"/>
      <c r="AJ865" s="110"/>
      <c r="AK865" s="111">
        <f t="shared" si="180"/>
        <v>203.5</v>
      </c>
      <c r="AL865" s="446">
        <f t="shared" si="181"/>
        <v>0</v>
      </c>
      <c r="AM865" s="110">
        <f t="shared" si="182"/>
        <v>50</v>
      </c>
      <c r="AN865" s="447">
        <f t="shared" si="185"/>
        <v>0</v>
      </c>
      <c r="AO865"/>
      <c r="AP865"/>
    </row>
    <row r="866" spans="1:42" ht="66" x14ac:dyDescent="0.25">
      <c r="A866" s="143"/>
      <c r="B866" s="149" t="s">
        <v>1800</v>
      </c>
      <c r="C866" s="24"/>
      <c r="D866" s="869">
        <v>2</v>
      </c>
      <c r="E866" s="1027" t="s">
        <v>1806</v>
      </c>
      <c r="F866" s="273" t="s">
        <v>3446</v>
      </c>
      <c r="G866" s="1040" t="s">
        <v>3463</v>
      </c>
      <c r="H866" s="273" t="s">
        <v>3462</v>
      </c>
      <c r="I866" s="720">
        <f t="shared" si="183"/>
        <v>44.1</v>
      </c>
      <c r="J866" s="765">
        <v>88.2</v>
      </c>
      <c r="K866" s="131">
        <f t="shared" si="184"/>
        <v>88.2</v>
      </c>
      <c r="L866" s="335">
        <f t="shared" ref="L866:L929" si="192">+J866-K866</f>
        <v>0</v>
      </c>
      <c r="M866" s="446"/>
      <c r="N866" s="446"/>
      <c r="O866" s="446"/>
      <c r="P866" s="446"/>
      <c r="Q866" s="130">
        <v>1</v>
      </c>
      <c r="R866" s="111">
        <v>44.1</v>
      </c>
      <c r="S866" s="110"/>
      <c r="T866" s="110"/>
      <c r="U866" s="130">
        <v>1</v>
      </c>
      <c r="V866" s="111">
        <v>44.1</v>
      </c>
      <c r="W866" s="110"/>
      <c r="X866" s="110"/>
      <c r="Y866" s="110"/>
      <c r="Z866" s="110"/>
      <c r="AA866" s="130">
        <v>0</v>
      </c>
      <c r="AB866" s="111">
        <v>0</v>
      </c>
      <c r="AC866" s="110"/>
      <c r="AD866" s="110"/>
      <c r="AE866" s="130">
        <v>0</v>
      </c>
      <c r="AF866" s="111">
        <v>0</v>
      </c>
      <c r="AG866" s="110"/>
      <c r="AH866" s="110"/>
      <c r="AI866" s="110"/>
      <c r="AJ866" s="110"/>
      <c r="AK866" s="111">
        <f t="shared" si="180"/>
        <v>88.2</v>
      </c>
      <c r="AL866" s="446">
        <f t="shared" si="181"/>
        <v>0</v>
      </c>
      <c r="AM866" s="110">
        <f t="shared" si="182"/>
        <v>2</v>
      </c>
      <c r="AN866" s="447">
        <f t="shared" si="185"/>
        <v>0</v>
      </c>
      <c r="AO866"/>
      <c r="AP866"/>
    </row>
    <row r="867" spans="1:42" ht="66" x14ac:dyDescent="0.25">
      <c r="A867" s="143"/>
      <c r="B867" s="149" t="s">
        <v>1801</v>
      </c>
      <c r="C867" s="24"/>
      <c r="D867" s="869">
        <v>1</v>
      </c>
      <c r="E867" s="247" t="s">
        <v>1725</v>
      </c>
      <c r="F867" s="273" t="s">
        <v>3446</v>
      </c>
      <c r="G867" s="1040" t="s">
        <v>3463</v>
      </c>
      <c r="H867" s="273" t="s">
        <v>3462</v>
      </c>
      <c r="I867" s="720">
        <f t="shared" si="183"/>
        <v>260.45999999999998</v>
      </c>
      <c r="J867" s="765">
        <v>260.45999999999998</v>
      </c>
      <c r="K867" s="131">
        <f t="shared" si="184"/>
        <v>260.45999999999998</v>
      </c>
      <c r="L867" s="335">
        <f t="shared" si="192"/>
        <v>0</v>
      </c>
      <c r="M867" s="446"/>
      <c r="N867" s="446"/>
      <c r="O867" s="446"/>
      <c r="P867" s="446"/>
      <c r="Q867" s="110">
        <v>0</v>
      </c>
      <c r="R867" s="111">
        <v>0</v>
      </c>
      <c r="S867" s="110"/>
      <c r="T867" s="110"/>
      <c r="U867" s="110">
        <v>0</v>
      </c>
      <c r="V867" s="111">
        <v>0</v>
      </c>
      <c r="W867" s="110"/>
      <c r="X867" s="110"/>
      <c r="Y867" s="110"/>
      <c r="Z867" s="110"/>
      <c r="AA867" s="110">
        <v>0</v>
      </c>
      <c r="AB867" s="111">
        <v>260.45999999999998</v>
      </c>
      <c r="AC867" s="110"/>
      <c r="AD867" s="110"/>
      <c r="AE867" s="110">
        <v>0</v>
      </c>
      <c r="AF867" s="111">
        <v>0</v>
      </c>
      <c r="AG867" s="110"/>
      <c r="AH867" s="110"/>
      <c r="AI867" s="110"/>
      <c r="AJ867" s="110"/>
      <c r="AK867" s="111">
        <f t="shared" si="180"/>
        <v>260.45999999999998</v>
      </c>
      <c r="AL867" s="446">
        <f t="shared" si="181"/>
        <v>0</v>
      </c>
      <c r="AM867" s="110">
        <f t="shared" si="182"/>
        <v>0</v>
      </c>
      <c r="AN867" s="447">
        <f t="shared" si="185"/>
        <v>1</v>
      </c>
      <c r="AO867"/>
      <c r="AP867"/>
    </row>
    <row r="868" spans="1:42" ht="66" x14ac:dyDescent="0.25">
      <c r="A868" s="143"/>
      <c r="B868" s="149" t="s">
        <v>1802</v>
      </c>
      <c r="C868" s="24"/>
      <c r="D868" s="869">
        <v>6</v>
      </c>
      <c r="E868" s="1027" t="s">
        <v>1807</v>
      </c>
      <c r="F868" s="273" t="s">
        <v>3446</v>
      </c>
      <c r="G868" s="1040" t="s">
        <v>3463</v>
      </c>
      <c r="H868" s="273" t="s">
        <v>3462</v>
      </c>
      <c r="I868" s="720">
        <f t="shared" si="183"/>
        <v>96.469999999999985</v>
      </c>
      <c r="J868" s="765">
        <v>578.81999999999994</v>
      </c>
      <c r="K868" s="131">
        <f t="shared" si="184"/>
        <v>578.81999999999994</v>
      </c>
      <c r="L868" s="335">
        <f t="shared" si="192"/>
        <v>0</v>
      </c>
      <c r="M868" s="446"/>
      <c r="N868" s="446"/>
      <c r="O868" s="446"/>
      <c r="P868" s="446"/>
      <c r="Q868" s="130">
        <v>2</v>
      </c>
      <c r="R868" s="111">
        <f t="shared" si="187"/>
        <v>144.70499999999998</v>
      </c>
      <c r="S868" s="110"/>
      <c r="T868" s="110"/>
      <c r="U868" s="130">
        <v>2</v>
      </c>
      <c r="V868" s="111">
        <f t="shared" si="189"/>
        <v>144.70499999999998</v>
      </c>
      <c r="W868" s="110"/>
      <c r="X868" s="110"/>
      <c r="Y868" s="110"/>
      <c r="Z868" s="110"/>
      <c r="AA868" s="130">
        <v>1</v>
      </c>
      <c r="AB868" s="111">
        <f t="shared" ref="AB868:AB927" si="193">+J868/4</f>
        <v>144.70499999999998</v>
      </c>
      <c r="AC868" s="110"/>
      <c r="AD868" s="110"/>
      <c r="AE868" s="130">
        <v>1</v>
      </c>
      <c r="AF868" s="111">
        <f t="shared" si="191"/>
        <v>144.70499999999998</v>
      </c>
      <c r="AG868" s="110"/>
      <c r="AH868" s="110"/>
      <c r="AI868" s="110"/>
      <c r="AJ868" s="110"/>
      <c r="AK868" s="111">
        <f t="shared" si="180"/>
        <v>578.81999999999994</v>
      </c>
      <c r="AL868" s="446">
        <f t="shared" si="181"/>
        <v>0</v>
      </c>
      <c r="AM868" s="110">
        <f t="shared" si="182"/>
        <v>6</v>
      </c>
      <c r="AN868" s="447">
        <f t="shared" si="185"/>
        <v>0</v>
      </c>
      <c r="AO868"/>
      <c r="AP868"/>
    </row>
    <row r="869" spans="1:42" ht="66" x14ac:dyDescent="0.25">
      <c r="A869" s="143"/>
      <c r="B869" s="149" t="s">
        <v>1803</v>
      </c>
      <c r="C869" s="24"/>
      <c r="D869" s="869">
        <v>150</v>
      </c>
      <c r="E869" s="1027" t="s">
        <v>1793</v>
      </c>
      <c r="F869" s="273" t="s">
        <v>3446</v>
      </c>
      <c r="G869" s="1040" t="s">
        <v>3463</v>
      </c>
      <c r="H869" s="273" t="s">
        <v>3462</v>
      </c>
      <c r="I869" s="720">
        <f t="shared" si="183"/>
        <v>7.52</v>
      </c>
      <c r="J869" s="765">
        <v>1128</v>
      </c>
      <c r="K869" s="131">
        <f t="shared" si="184"/>
        <v>1128</v>
      </c>
      <c r="L869" s="335">
        <f t="shared" si="192"/>
        <v>0</v>
      </c>
      <c r="M869" s="446"/>
      <c r="N869" s="446"/>
      <c r="O869" s="446"/>
      <c r="P869" s="446"/>
      <c r="Q869" s="110">
        <v>50</v>
      </c>
      <c r="R869" s="111">
        <f t="shared" si="187"/>
        <v>282</v>
      </c>
      <c r="S869" s="110"/>
      <c r="T869" s="110"/>
      <c r="U869" s="110">
        <v>50</v>
      </c>
      <c r="V869" s="111">
        <f t="shared" si="189"/>
        <v>282</v>
      </c>
      <c r="W869" s="110"/>
      <c r="X869" s="110"/>
      <c r="Y869" s="110"/>
      <c r="Z869" s="110"/>
      <c r="AA869" s="110">
        <v>50</v>
      </c>
      <c r="AB869" s="111">
        <f t="shared" si="193"/>
        <v>282</v>
      </c>
      <c r="AC869" s="110"/>
      <c r="AD869" s="110"/>
      <c r="AE869" s="110">
        <v>0</v>
      </c>
      <c r="AF869" s="111">
        <f t="shared" si="191"/>
        <v>282</v>
      </c>
      <c r="AG869" s="110"/>
      <c r="AH869" s="110"/>
      <c r="AI869" s="110"/>
      <c r="AJ869" s="110"/>
      <c r="AK869" s="111">
        <f t="shared" si="180"/>
        <v>1128</v>
      </c>
      <c r="AL869" s="446">
        <f t="shared" si="181"/>
        <v>0</v>
      </c>
      <c r="AM869" s="110">
        <f t="shared" si="182"/>
        <v>150</v>
      </c>
      <c r="AN869" s="447">
        <f t="shared" si="185"/>
        <v>0</v>
      </c>
      <c r="AO869"/>
      <c r="AP869"/>
    </row>
    <row r="870" spans="1:42" ht="66" x14ac:dyDescent="0.25">
      <c r="A870" s="143"/>
      <c r="B870" s="149" t="s">
        <v>1804</v>
      </c>
      <c r="C870" s="24"/>
      <c r="D870" s="869">
        <v>12</v>
      </c>
      <c r="E870" s="1027" t="s">
        <v>1772</v>
      </c>
      <c r="F870" s="273" t="s">
        <v>3446</v>
      </c>
      <c r="G870" s="1040" t="s">
        <v>3463</v>
      </c>
      <c r="H870" s="273" t="s">
        <v>3462</v>
      </c>
      <c r="I870" s="720">
        <f t="shared" si="183"/>
        <v>171.72</v>
      </c>
      <c r="J870" s="765">
        <v>2060.64</v>
      </c>
      <c r="K870" s="131">
        <f t="shared" si="184"/>
        <v>2060.64</v>
      </c>
      <c r="L870" s="335">
        <f t="shared" si="192"/>
        <v>0</v>
      </c>
      <c r="M870" s="446"/>
      <c r="N870" s="446"/>
      <c r="O870" s="446"/>
      <c r="P870" s="446"/>
      <c r="Q870" s="110">
        <f t="shared" si="186"/>
        <v>3</v>
      </c>
      <c r="R870" s="111">
        <f t="shared" si="187"/>
        <v>515.16</v>
      </c>
      <c r="S870" s="110"/>
      <c r="T870" s="110"/>
      <c r="U870" s="110">
        <f t="shared" si="188"/>
        <v>3</v>
      </c>
      <c r="V870" s="111">
        <f t="shared" si="189"/>
        <v>515.16</v>
      </c>
      <c r="W870" s="110"/>
      <c r="X870" s="110"/>
      <c r="Y870" s="110"/>
      <c r="Z870" s="110"/>
      <c r="AA870" s="110">
        <f t="shared" si="190"/>
        <v>3</v>
      </c>
      <c r="AB870" s="111">
        <f t="shared" si="193"/>
        <v>515.16</v>
      </c>
      <c r="AC870" s="110"/>
      <c r="AD870" s="110"/>
      <c r="AE870" s="110">
        <f t="shared" si="190"/>
        <v>3</v>
      </c>
      <c r="AF870" s="111">
        <f t="shared" si="191"/>
        <v>515.16</v>
      </c>
      <c r="AG870" s="110"/>
      <c r="AH870" s="110"/>
      <c r="AI870" s="110"/>
      <c r="AJ870" s="110"/>
      <c r="AK870" s="111">
        <f t="shared" si="180"/>
        <v>2060.64</v>
      </c>
      <c r="AL870" s="446">
        <f t="shared" si="181"/>
        <v>0</v>
      </c>
      <c r="AM870" s="110">
        <f t="shared" si="182"/>
        <v>12</v>
      </c>
      <c r="AN870" s="447">
        <f t="shared" si="185"/>
        <v>0</v>
      </c>
      <c r="AO870"/>
      <c r="AP870"/>
    </row>
    <row r="871" spans="1:42" ht="66" x14ac:dyDescent="0.25">
      <c r="A871" s="143"/>
      <c r="B871" s="149" t="s">
        <v>1805</v>
      </c>
      <c r="C871" s="24"/>
      <c r="D871" s="869">
        <v>6</v>
      </c>
      <c r="E871" s="1027" t="s">
        <v>1772</v>
      </c>
      <c r="F871" s="273" t="s">
        <v>3446</v>
      </c>
      <c r="G871" s="1040" t="s">
        <v>3463</v>
      </c>
      <c r="H871" s="273" t="s">
        <v>3462</v>
      </c>
      <c r="I871" s="720">
        <f t="shared" si="183"/>
        <v>291</v>
      </c>
      <c r="J871" s="765">
        <v>1746</v>
      </c>
      <c r="K871" s="131">
        <f t="shared" si="184"/>
        <v>1746</v>
      </c>
      <c r="L871" s="335">
        <f t="shared" si="192"/>
        <v>0</v>
      </c>
      <c r="M871" s="446"/>
      <c r="N871" s="446"/>
      <c r="O871" s="446"/>
      <c r="P871" s="446"/>
      <c r="Q871" s="130">
        <v>2</v>
      </c>
      <c r="R871" s="111">
        <f t="shared" si="187"/>
        <v>436.5</v>
      </c>
      <c r="S871" s="110"/>
      <c r="T871" s="110"/>
      <c r="U871" s="130">
        <v>2</v>
      </c>
      <c r="V871" s="111">
        <f t="shared" si="189"/>
        <v>436.5</v>
      </c>
      <c r="W871" s="110"/>
      <c r="X871" s="110"/>
      <c r="Y871" s="110"/>
      <c r="Z871" s="110"/>
      <c r="AA871" s="130">
        <v>1</v>
      </c>
      <c r="AB871" s="111">
        <f t="shared" si="193"/>
        <v>436.5</v>
      </c>
      <c r="AC871" s="110"/>
      <c r="AD871" s="110"/>
      <c r="AE871" s="130">
        <v>1</v>
      </c>
      <c r="AF871" s="111">
        <f t="shared" si="191"/>
        <v>436.5</v>
      </c>
      <c r="AG871" s="110"/>
      <c r="AH871" s="110"/>
      <c r="AI871" s="110"/>
      <c r="AJ871" s="110"/>
      <c r="AK871" s="111">
        <f t="shared" si="180"/>
        <v>1746</v>
      </c>
      <c r="AL871" s="446">
        <f t="shared" si="181"/>
        <v>0</v>
      </c>
      <c r="AM871" s="110">
        <f t="shared" si="182"/>
        <v>6</v>
      </c>
      <c r="AN871" s="447">
        <f t="shared" si="185"/>
        <v>0</v>
      </c>
      <c r="AO871"/>
      <c r="AP871"/>
    </row>
    <row r="872" spans="1:42" ht="66" x14ac:dyDescent="0.25">
      <c r="A872" s="143"/>
      <c r="B872" s="504" t="s">
        <v>1727</v>
      </c>
      <c r="C872" s="24"/>
      <c r="D872" s="869">
        <v>12</v>
      </c>
      <c r="E872" s="247" t="s">
        <v>1725</v>
      </c>
      <c r="F872" s="273" t="s">
        <v>3446</v>
      </c>
      <c r="G872" s="1040" t="s">
        <v>3463</v>
      </c>
      <c r="H872" s="273" t="s">
        <v>3462</v>
      </c>
      <c r="I872" s="720">
        <f t="shared" si="183"/>
        <v>226.01</v>
      </c>
      <c r="J872" s="765">
        <v>2712.12</v>
      </c>
      <c r="K872" s="131">
        <f t="shared" si="184"/>
        <v>2712.12</v>
      </c>
      <c r="L872" s="335">
        <f t="shared" si="192"/>
        <v>0</v>
      </c>
      <c r="M872" s="446"/>
      <c r="N872" s="446"/>
      <c r="O872" s="446"/>
      <c r="P872" s="446"/>
      <c r="Q872" s="110">
        <f t="shared" si="186"/>
        <v>3</v>
      </c>
      <c r="R872" s="111">
        <f t="shared" si="187"/>
        <v>678.03</v>
      </c>
      <c r="S872" s="110"/>
      <c r="T872" s="110"/>
      <c r="U872" s="110">
        <f t="shared" si="188"/>
        <v>3</v>
      </c>
      <c r="V872" s="111">
        <f t="shared" si="189"/>
        <v>678.03</v>
      </c>
      <c r="W872" s="110"/>
      <c r="X872" s="110"/>
      <c r="Y872" s="110"/>
      <c r="Z872" s="110"/>
      <c r="AA872" s="110">
        <f t="shared" si="190"/>
        <v>3</v>
      </c>
      <c r="AB872" s="111">
        <f t="shared" si="193"/>
        <v>678.03</v>
      </c>
      <c r="AC872" s="110"/>
      <c r="AD872" s="110"/>
      <c r="AE872" s="110">
        <f t="shared" si="190"/>
        <v>3</v>
      </c>
      <c r="AF872" s="111">
        <f t="shared" si="191"/>
        <v>678.03</v>
      </c>
      <c r="AG872" s="110"/>
      <c r="AH872" s="110"/>
      <c r="AI872" s="110"/>
      <c r="AJ872" s="110"/>
      <c r="AK872" s="111">
        <f t="shared" si="180"/>
        <v>2712.12</v>
      </c>
      <c r="AL872" s="446">
        <f t="shared" si="181"/>
        <v>0</v>
      </c>
      <c r="AM872" s="110">
        <f t="shared" si="182"/>
        <v>12</v>
      </c>
      <c r="AN872" s="447">
        <f t="shared" si="185"/>
        <v>0</v>
      </c>
      <c r="AO872"/>
      <c r="AP872"/>
    </row>
    <row r="873" spans="1:42" ht="66" x14ac:dyDescent="0.25">
      <c r="A873" s="143"/>
      <c r="B873" s="504" t="s">
        <v>109</v>
      </c>
      <c r="C873" s="24"/>
      <c r="D873" s="869">
        <v>12</v>
      </c>
      <c r="E873" s="247" t="s">
        <v>1725</v>
      </c>
      <c r="F873" s="273" t="s">
        <v>3446</v>
      </c>
      <c r="G873" s="1040" t="s">
        <v>3463</v>
      </c>
      <c r="H873" s="273" t="s">
        <v>3462</v>
      </c>
      <c r="I873" s="720">
        <f t="shared" si="183"/>
        <v>260.45999999999998</v>
      </c>
      <c r="J873" s="765">
        <v>3125.5199999999995</v>
      </c>
      <c r="K873" s="131">
        <f t="shared" si="184"/>
        <v>3125.5199999999995</v>
      </c>
      <c r="L873" s="335">
        <f t="shared" si="192"/>
        <v>0</v>
      </c>
      <c r="M873" s="446"/>
      <c r="N873" s="446"/>
      <c r="O873" s="446"/>
      <c r="P873" s="446"/>
      <c r="Q873" s="110">
        <f t="shared" si="186"/>
        <v>3</v>
      </c>
      <c r="R873" s="111">
        <f t="shared" si="187"/>
        <v>781.37999999999988</v>
      </c>
      <c r="S873" s="110"/>
      <c r="T873" s="110"/>
      <c r="U873" s="110">
        <f t="shared" si="188"/>
        <v>3</v>
      </c>
      <c r="V873" s="111">
        <f t="shared" si="189"/>
        <v>781.37999999999988</v>
      </c>
      <c r="W873" s="110"/>
      <c r="X873" s="110"/>
      <c r="Y873" s="110"/>
      <c r="Z873" s="110"/>
      <c r="AA873" s="110">
        <f t="shared" si="190"/>
        <v>3</v>
      </c>
      <c r="AB873" s="111">
        <f t="shared" si="193"/>
        <v>781.37999999999988</v>
      </c>
      <c r="AC873" s="110"/>
      <c r="AD873" s="110"/>
      <c r="AE873" s="110">
        <f t="shared" si="190"/>
        <v>3</v>
      </c>
      <c r="AF873" s="111">
        <f t="shared" si="191"/>
        <v>781.37999999999988</v>
      </c>
      <c r="AG873" s="110"/>
      <c r="AH873" s="110"/>
      <c r="AI873" s="110"/>
      <c r="AJ873" s="110"/>
      <c r="AK873" s="111">
        <f t="shared" si="180"/>
        <v>3125.5199999999995</v>
      </c>
      <c r="AL873" s="446">
        <f t="shared" si="181"/>
        <v>0</v>
      </c>
      <c r="AM873" s="110">
        <f t="shared" si="182"/>
        <v>12</v>
      </c>
      <c r="AN873" s="447">
        <f t="shared" si="185"/>
        <v>0</v>
      </c>
      <c r="AO873"/>
      <c r="AP873"/>
    </row>
    <row r="874" spans="1:42" ht="66" x14ac:dyDescent="0.25">
      <c r="A874" s="143"/>
      <c r="B874" s="37" t="s">
        <v>120</v>
      </c>
      <c r="C874" s="24"/>
      <c r="D874" s="869">
        <v>12</v>
      </c>
      <c r="E874" s="250" t="s">
        <v>1725</v>
      </c>
      <c r="F874" s="273" t="s">
        <v>3446</v>
      </c>
      <c r="G874" s="1040" t="s">
        <v>3463</v>
      </c>
      <c r="H874" s="273" t="s">
        <v>3462</v>
      </c>
      <c r="I874" s="720">
        <f t="shared" si="183"/>
        <v>171.71</v>
      </c>
      <c r="J874" s="765">
        <v>2060.52</v>
      </c>
      <c r="K874" s="131">
        <f t="shared" si="184"/>
        <v>2060.52</v>
      </c>
      <c r="L874" s="335">
        <f t="shared" si="192"/>
        <v>0</v>
      </c>
      <c r="M874" s="446"/>
      <c r="N874" s="446"/>
      <c r="O874" s="446"/>
      <c r="P874" s="446"/>
      <c r="Q874" s="110">
        <f t="shared" si="186"/>
        <v>3</v>
      </c>
      <c r="R874" s="111">
        <f t="shared" si="187"/>
        <v>515.13</v>
      </c>
      <c r="S874" s="110"/>
      <c r="T874" s="110"/>
      <c r="U874" s="110">
        <f t="shared" si="188"/>
        <v>3</v>
      </c>
      <c r="V874" s="111">
        <f t="shared" si="189"/>
        <v>515.13</v>
      </c>
      <c r="W874" s="110"/>
      <c r="X874" s="110"/>
      <c r="Y874" s="110"/>
      <c r="Z874" s="110"/>
      <c r="AA874" s="110">
        <f t="shared" si="190"/>
        <v>3</v>
      </c>
      <c r="AB874" s="111">
        <f t="shared" si="193"/>
        <v>515.13</v>
      </c>
      <c r="AC874" s="110"/>
      <c r="AD874" s="110"/>
      <c r="AE874" s="110">
        <f t="shared" si="190"/>
        <v>3</v>
      </c>
      <c r="AF874" s="111">
        <f t="shared" si="191"/>
        <v>515.13</v>
      </c>
      <c r="AG874" s="110"/>
      <c r="AH874" s="110"/>
      <c r="AI874" s="110"/>
      <c r="AJ874" s="110"/>
      <c r="AK874" s="111">
        <f t="shared" si="180"/>
        <v>2060.52</v>
      </c>
      <c r="AL874" s="446">
        <f t="shared" si="181"/>
        <v>0</v>
      </c>
      <c r="AM874" s="110">
        <f t="shared" si="182"/>
        <v>12</v>
      </c>
      <c r="AN874" s="447">
        <f t="shared" si="185"/>
        <v>0</v>
      </c>
      <c r="AO874"/>
      <c r="AP874"/>
    </row>
    <row r="875" spans="1:42" ht="66" x14ac:dyDescent="0.25">
      <c r="A875" s="143"/>
      <c r="B875" s="37" t="s">
        <v>119</v>
      </c>
      <c r="C875" s="24"/>
      <c r="D875" s="869">
        <v>48</v>
      </c>
      <c r="E875" s="250" t="s">
        <v>1725</v>
      </c>
      <c r="F875" s="273" t="s">
        <v>3446</v>
      </c>
      <c r="G875" s="1040" t="s">
        <v>3463</v>
      </c>
      <c r="H875" s="273" t="s">
        <v>3462</v>
      </c>
      <c r="I875" s="720">
        <f t="shared" si="183"/>
        <v>109.3</v>
      </c>
      <c r="J875" s="765">
        <v>5246.4</v>
      </c>
      <c r="K875" s="131">
        <f t="shared" si="184"/>
        <v>5246.4</v>
      </c>
      <c r="L875" s="335">
        <f t="shared" si="192"/>
        <v>0</v>
      </c>
      <c r="M875" s="446"/>
      <c r="N875" s="446"/>
      <c r="O875" s="446"/>
      <c r="P875" s="446"/>
      <c r="Q875" s="110">
        <f t="shared" si="186"/>
        <v>12</v>
      </c>
      <c r="R875" s="111">
        <f t="shared" si="187"/>
        <v>1311.6</v>
      </c>
      <c r="S875" s="110"/>
      <c r="T875" s="110"/>
      <c r="U875" s="110">
        <f t="shared" si="188"/>
        <v>12</v>
      </c>
      <c r="V875" s="111">
        <f t="shared" si="189"/>
        <v>1311.6</v>
      </c>
      <c r="W875" s="110"/>
      <c r="X875" s="110"/>
      <c r="Y875" s="110"/>
      <c r="Z875" s="110"/>
      <c r="AA875" s="110">
        <f t="shared" si="190"/>
        <v>12</v>
      </c>
      <c r="AB875" s="111">
        <f t="shared" si="193"/>
        <v>1311.6</v>
      </c>
      <c r="AC875" s="110"/>
      <c r="AD875" s="110"/>
      <c r="AE875" s="110">
        <f t="shared" si="190"/>
        <v>12</v>
      </c>
      <c r="AF875" s="111">
        <f t="shared" si="191"/>
        <v>1311.6</v>
      </c>
      <c r="AG875" s="110"/>
      <c r="AH875" s="110"/>
      <c r="AI875" s="110"/>
      <c r="AJ875" s="110"/>
      <c r="AK875" s="111">
        <f t="shared" si="180"/>
        <v>5246.4</v>
      </c>
      <c r="AL875" s="446">
        <f t="shared" si="181"/>
        <v>0</v>
      </c>
      <c r="AM875" s="110">
        <f t="shared" si="182"/>
        <v>48</v>
      </c>
      <c r="AN875" s="447">
        <f t="shared" si="185"/>
        <v>0</v>
      </c>
      <c r="AO875"/>
      <c r="AP875"/>
    </row>
    <row r="876" spans="1:42" ht="66" x14ac:dyDescent="0.25">
      <c r="A876" s="143"/>
      <c r="B876" s="504" t="s">
        <v>116</v>
      </c>
      <c r="C876" s="24"/>
      <c r="D876" s="869">
        <v>24</v>
      </c>
      <c r="E876" s="250" t="s">
        <v>1721</v>
      </c>
      <c r="F876" s="273" t="s">
        <v>3446</v>
      </c>
      <c r="G876" s="1040" t="s">
        <v>3463</v>
      </c>
      <c r="H876" s="273" t="s">
        <v>3462</v>
      </c>
      <c r="I876" s="720">
        <f t="shared" si="183"/>
        <v>46.169999999999995</v>
      </c>
      <c r="J876" s="765">
        <v>1108.08</v>
      </c>
      <c r="K876" s="131">
        <f t="shared" si="184"/>
        <v>1108.08</v>
      </c>
      <c r="L876" s="335">
        <f t="shared" si="192"/>
        <v>0</v>
      </c>
      <c r="M876" s="446"/>
      <c r="N876" s="446"/>
      <c r="O876" s="446"/>
      <c r="P876" s="446"/>
      <c r="Q876" s="110">
        <f t="shared" si="186"/>
        <v>6</v>
      </c>
      <c r="R876" s="111">
        <f t="shared" si="187"/>
        <v>277.02</v>
      </c>
      <c r="S876" s="110"/>
      <c r="T876" s="110"/>
      <c r="U876" s="110">
        <f t="shared" si="188"/>
        <v>6</v>
      </c>
      <c r="V876" s="111">
        <f t="shared" si="189"/>
        <v>277.02</v>
      </c>
      <c r="W876" s="110"/>
      <c r="X876" s="110"/>
      <c r="Y876" s="110"/>
      <c r="Z876" s="110"/>
      <c r="AA876" s="110">
        <f t="shared" si="190"/>
        <v>6</v>
      </c>
      <c r="AB876" s="111">
        <f t="shared" si="193"/>
        <v>277.02</v>
      </c>
      <c r="AC876" s="110"/>
      <c r="AD876" s="110"/>
      <c r="AE876" s="110">
        <f t="shared" si="190"/>
        <v>6</v>
      </c>
      <c r="AF876" s="111">
        <f t="shared" si="191"/>
        <v>277.02</v>
      </c>
      <c r="AG876" s="110"/>
      <c r="AH876" s="110"/>
      <c r="AI876" s="110"/>
      <c r="AJ876" s="110"/>
      <c r="AK876" s="111">
        <f t="shared" si="180"/>
        <v>1108.08</v>
      </c>
      <c r="AL876" s="446">
        <f t="shared" si="181"/>
        <v>0</v>
      </c>
      <c r="AM876" s="110">
        <f t="shared" si="182"/>
        <v>24</v>
      </c>
      <c r="AN876" s="447">
        <f t="shared" si="185"/>
        <v>0</v>
      </c>
      <c r="AO876"/>
      <c r="AP876"/>
    </row>
    <row r="877" spans="1:42" ht="66" x14ac:dyDescent="0.25">
      <c r="A877" s="143"/>
      <c r="B877" s="504" t="s">
        <v>130</v>
      </c>
      <c r="C877" s="24"/>
      <c r="D877" s="869">
        <v>24</v>
      </c>
      <c r="E877" s="250" t="s">
        <v>1721</v>
      </c>
      <c r="F877" s="273" t="s">
        <v>3446</v>
      </c>
      <c r="G877" s="1040" t="s">
        <v>3463</v>
      </c>
      <c r="H877" s="273" t="s">
        <v>3462</v>
      </c>
      <c r="I877" s="720">
        <f t="shared" si="183"/>
        <v>4.07</v>
      </c>
      <c r="J877" s="765">
        <v>97.68</v>
      </c>
      <c r="K877" s="131">
        <f t="shared" si="184"/>
        <v>97.68</v>
      </c>
      <c r="L877" s="335">
        <f t="shared" si="192"/>
        <v>0</v>
      </c>
      <c r="M877" s="446"/>
      <c r="N877" s="446"/>
      <c r="O877" s="446"/>
      <c r="P877" s="446"/>
      <c r="Q877" s="110">
        <f t="shared" si="186"/>
        <v>6</v>
      </c>
      <c r="R877" s="111">
        <f t="shared" si="187"/>
        <v>24.42</v>
      </c>
      <c r="S877" s="110"/>
      <c r="T877" s="110"/>
      <c r="U877" s="110">
        <f t="shared" si="188"/>
        <v>6</v>
      </c>
      <c r="V877" s="111">
        <f t="shared" si="189"/>
        <v>24.42</v>
      </c>
      <c r="W877" s="110"/>
      <c r="X877" s="110"/>
      <c r="Y877" s="110"/>
      <c r="Z877" s="110"/>
      <c r="AA877" s="110">
        <f t="shared" si="190"/>
        <v>6</v>
      </c>
      <c r="AB877" s="111">
        <f t="shared" si="193"/>
        <v>24.42</v>
      </c>
      <c r="AC877" s="110"/>
      <c r="AD877" s="110"/>
      <c r="AE877" s="110">
        <f t="shared" si="190"/>
        <v>6</v>
      </c>
      <c r="AF877" s="111">
        <f t="shared" si="191"/>
        <v>24.42</v>
      </c>
      <c r="AG877" s="110"/>
      <c r="AH877" s="110"/>
      <c r="AI877" s="110"/>
      <c r="AJ877" s="110"/>
      <c r="AK877" s="111">
        <f t="shared" si="180"/>
        <v>97.68</v>
      </c>
      <c r="AL877" s="446">
        <f t="shared" si="181"/>
        <v>0</v>
      </c>
      <c r="AM877" s="110">
        <f t="shared" si="182"/>
        <v>24</v>
      </c>
      <c r="AN877" s="447">
        <f t="shared" si="185"/>
        <v>0</v>
      </c>
      <c r="AO877"/>
      <c r="AP877"/>
    </row>
    <row r="878" spans="1:42" ht="66" x14ac:dyDescent="0.25">
      <c r="A878" s="143"/>
      <c r="B878" s="504" t="s">
        <v>131</v>
      </c>
      <c r="C878" s="24"/>
      <c r="D878" s="869">
        <v>24</v>
      </c>
      <c r="E878" s="250" t="s">
        <v>1721</v>
      </c>
      <c r="F878" s="273" t="s">
        <v>3446</v>
      </c>
      <c r="G878" s="1040" t="s">
        <v>3463</v>
      </c>
      <c r="H878" s="273" t="s">
        <v>3462</v>
      </c>
      <c r="I878" s="720">
        <f t="shared" si="183"/>
        <v>4.75</v>
      </c>
      <c r="J878" s="765">
        <v>114</v>
      </c>
      <c r="K878" s="131">
        <f t="shared" si="184"/>
        <v>114</v>
      </c>
      <c r="L878" s="335">
        <f t="shared" si="192"/>
        <v>0</v>
      </c>
      <c r="M878" s="446"/>
      <c r="N878" s="446"/>
      <c r="O878" s="446"/>
      <c r="P878" s="446"/>
      <c r="Q878" s="110">
        <f t="shared" si="186"/>
        <v>6</v>
      </c>
      <c r="R878" s="111">
        <f t="shared" si="187"/>
        <v>28.5</v>
      </c>
      <c r="S878" s="110"/>
      <c r="T878" s="110"/>
      <c r="U878" s="110">
        <f t="shared" si="188"/>
        <v>6</v>
      </c>
      <c r="V878" s="111">
        <f t="shared" si="189"/>
        <v>28.5</v>
      </c>
      <c r="W878" s="110"/>
      <c r="X878" s="110"/>
      <c r="Y878" s="110"/>
      <c r="Z878" s="110"/>
      <c r="AA878" s="110">
        <f t="shared" si="190"/>
        <v>6</v>
      </c>
      <c r="AB878" s="111">
        <f t="shared" si="193"/>
        <v>28.5</v>
      </c>
      <c r="AC878" s="110"/>
      <c r="AD878" s="110"/>
      <c r="AE878" s="110">
        <f t="shared" si="190"/>
        <v>6</v>
      </c>
      <c r="AF878" s="111">
        <f t="shared" si="191"/>
        <v>28.5</v>
      </c>
      <c r="AG878" s="110"/>
      <c r="AH878" s="110"/>
      <c r="AI878" s="110"/>
      <c r="AJ878" s="110"/>
      <c r="AK878" s="111">
        <f t="shared" si="180"/>
        <v>114</v>
      </c>
      <c r="AL878" s="446">
        <f t="shared" si="181"/>
        <v>0</v>
      </c>
      <c r="AM878" s="110">
        <f t="shared" si="182"/>
        <v>24</v>
      </c>
      <c r="AN878" s="447">
        <f t="shared" si="185"/>
        <v>0</v>
      </c>
      <c r="AO878"/>
      <c r="AP878"/>
    </row>
    <row r="879" spans="1:42" ht="66" x14ac:dyDescent="0.25">
      <c r="A879" s="143"/>
      <c r="B879" s="504" t="s">
        <v>110</v>
      </c>
      <c r="C879" s="24"/>
      <c r="D879" s="869">
        <v>6</v>
      </c>
      <c r="E879" s="250" t="s">
        <v>1725</v>
      </c>
      <c r="F879" s="273" t="s">
        <v>3446</v>
      </c>
      <c r="G879" s="1040" t="s">
        <v>3463</v>
      </c>
      <c r="H879" s="273" t="s">
        <v>3462</v>
      </c>
      <c r="I879" s="720">
        <f t="shared" si="183"/>
        <v>96.469999999999985</v>
      </c>
      <c r="J879" s="765">
        <v>578.81999999999994</v>
      </c>
      <c r="K879" s="131">
        <f t="shared" si="184"/>
        <v>578.81999999999994</v>
      </c>
      <c r="L879" s="335">
        <f t="shared" si="192"/>
        <v>0</v>
      </c>
      <c r="M879" s="446"/>
      <c r="N879" s="446"/>
      <c r="O879" s="446"/>
      <c r="P879" s="446"/>
      <c r="Q879" s="130">
        <v>2</v>
      </c>
      <c r="R879" s="111">
        <f t="shared" si="187"/>
        <v>144.70499999999998</v>
      </c>
      <c r="S879" s="110"/>
      <c r="T879" s="110"/>
      <c r="U879" s="130">
        <v>2</v>
      </c>
      <c r="V879" s="111">
        <f t="shared" si="189"/>
        <v>144.70499999999998</v>
      </c>
      <c r="W879" s="110"/>
      <c r="X879" s="110"/>
      <c r="Y879" s="110"/>
      <c r="Z879" s="110"/>
      <c r="AA879" s="130">
        <v>1</v>
      </c>
      <c r="AB879" s="111">
        <f t="shared" si="193"/>
        <v>144.70499999999998</v>
      </c>
      <c r="AC879" s="110"/>
      <c r="AD879" s="110"/>
      <c r="AE879" s="130">
        <v>1</v>
      </c>
      <c r="AF879" s="111">
        <f t="shared" si="191"/>
        <v>144.70499999999998</v>
      </c>
      <c r="AG879" s="110"/>
      <c r="AH879" s="110"/>
      <c r="AI879" s="110"/>
      <c r="AJ879" s="110"/>
      <c r="AK879" s="111">
        <f t="shared" si="180"/>
        <v>578.81999999999994</v>
      </c>
      <c r="AL879" s="446">
        <f t="shared" si="181"/>
        <v>0</v>
      </c>
      <c r="AM879" s="110">
        <f t="shared" si="182"/>
        <v>6</v>
      </c>
      <c r="AN879" s="447">
        <f t="shared" si="185"/>
        <v>0</v>
      </c>
      <c r="AO879"/>
      <c r="AP879"/>
    </row>
    <row r="880" spans="1:42" ht="66" x14ac:dyDescent="0.25">
      <c r="A880" s="143"/>
      <c r="B880" s="504" t="s">
        <v>111</v>
      </c>
      <c r="C880" s="24"/>
      <c r="D880" s="869">
        <v>6</v>
      </c>
      <c r="E880" s="250" t="s">
        <v>1725</v>
      </c>
      <c r="F880" s="273" t="s">
        <v>3446</v>
      </c>
      <c r="G880" s="1040" t="s">
        <v>3463</v>
      </c>
      <c r="H880" s="273" t="s">
        <v>3462</v>
      </c>
      <c r="I880" s="720">
        <f t="shared" si="183"/>
        <v>179.15</v>
      </c>
      <c r="J880" s="765">
        <v>1074.9000000000001</v>
      </c>
      <c r="K880" s="131">
        <f t="shared" si="184"/>
        <v>1074.9000000000001</v>
      </c>
      <c r="L880" s="335">
        <f t="shared" si="192"/>
        <v>0</v>
      </c>
      <c r="M880" s="446"/>
      <c r="N880" s="446"/>
      <c r="O880" s="446"/>
      <c r="P880" s="446"/>
      <c r="Q880" s="130">
        <v>2</v>
      </c>
      <c r="R880" s="111">
        <f t="shared" si="187"/>
        <v>268.72500000000002</v>
      </c>
      <c r="S880" s="110"/>
      <c r="T880" s="110"/>
      <c r="U880" s="130">
        <v>2</v>
      </c>
      <c r="V880" s="111">
        <f t="shared" si="189"/>
        <v>268.72500000000002</v>
      </c>
      <c r="W880" s="110"/>
      <c r="X880" s="110"/>
      <c r="Y880" s="110"/>
      <c r="Z880" s="110"/>
      <c r="AA880" s="130">
        <v>1</v>
      </c>
      <c r="AB880" s="111">
        <f t="shared" si="193"/>
        <v>268.72500000000002</v>
      </c>
      <c r="AC880" s="110"/>
      <c r="AD880" s="110"/>
      <c r="AE880" s="130">
        <v>1</v>
      </c>
      <c r="AF880" s="111">
        <f t="shared" si="191"/>
        <v>268.72500000000002</v>
      </c>
      <c r="AG880" s="110"/>
      <c r="AH880" s="110"/>
      <c r="AI880" s="110"/>
      <c r="AJ880" s="110"/>
      <c r="AK880" s="111">
        <f t="shared" ref="AK880:AK943" si="194">+R880+V880+AB880+AF880</f>
        <v>1074.9000000000001</v>
      </c>
      <c r="AL880" s="446">
        <f t="shared" ref="AL880:AL943" si="195">+J880-AK880</f>
        <v>0</v>
      </c>
      <c r="AM880" s="110">
        <f t="shared" ref="AM880:AM943" si="196">+Q880+U880+AA880+AE880</f>
        <v>6</v>
      </c>
      <c r="AN880" s="447">
        <f t="shared" si="185"/>
        <v>0</v>
      </c>
      <c r="AO880"/>
      <c r="AP880"/>
    </row>
    <row r="881" spans="1:42" ht="66" x14ac:dyDescent="0.25">
      <c r="A881" s="143"/>
      <c r="B881" s="504" t="s">
        <v>128</v>
      </c>
      <c r="C881" s="24"/>
      <c r="D881" s="869">
        <v>120</v>
      </c>
      <c r="E881" s="250" t="s">
        <v>1721</v>
      </c>
      <c r="F881" s="273" t="s">
        <v>3446</v>
      </c>
      <c r="G881" s="1040" t="s">
        <v>3463</v>
      </c>
      <c r="H881" s="273" t="s">
        <v>3462</v>
      </c>
      <c r="I881" s="720">
        <f t="shared" si="183"/>
        <v>1.07</v>
      </c>
      <c r="J881" s="765">
        <v>128.4</v>
      </c>
      <c r="K881" s="131">
        <f t="shared" si="184"/>
        <v>128.4</v>
      </c>
      <c r="L881" s="335">
        <f t="shared" si="192"/>
        <v>0</v>
      </c>
      <c r="M881" s="446"/>
      <c r="N881" s="446"/>
      <c r="O881" s="446"/>
      <c r="P881" s="446"/>
      <c r="Q881" s="110">
        <v>50</v>
      </c>
      <c r="R881" s="111">
        <f t="shared" si="187"/>
        <v>32.1</v>
      </c>
      <c r="S881" s="110"/>
      <c r="T881" s="110"/>
      <c r="U881" s="110">
        <v>50</v>
      </c>
      <c r="V881" s="111">
        <f t="shared" si="189"/>
        <v>32.1</v>
      </c>
      <c r="W881" s="110"/>
      <c r="X881" s="110"/>
      <c r="Y881" s="110"/>
      <c r="Z881" s="110"/>
      <c r="AA881" s="110">
        <v>10</v>
      </c>
      <c r="AB881" s="111">
        <f t="shared" si="193"/>
        <v>32.1</v>
      </c>
      <c r="AC881" s="110"/>
      <c r="AD881" s="110"/>
      <c r="AE881" s="110">
        <v>10</v>
      </c>
      <c r="AF881" s="111">
        <f t="shared" si="191"/>
        <v>32.1</v>
      </c>
      <c r="AG881" s="110"/>
      <c r="AH881" s="110"/>
      <c r="AI881" s="110"/>
      <c r="AJ881" s="110"/>
      <c r="AK881" s="111">
        <f t="shared" si="194"/>
        <v>128.4</v>
      </c>
      <c r="AL881" s="446">
        <f t="shared" si="195"/>
        <v>0</v>
      </c>
      <c r="AM881" s="110">
        <f t="shared" si="196"/>
        <v>120</v>
      </c>
      <c r="AN881" s="447">
        <f t="shared" si="185"/>
        <v>0</v>
      </c>
      <c r="AO881"/>
      <c r="AP881"/>
    </row>
    <row r="882" spans="1:42" ht="66" x14ac:dyDescent="0.25">
      <c r="A882" s="143"/>
      <c r="B882" s="504" t="s">
        <v>1729</v>
      </c>
      <c r="C882" s="24"/>
      <c r="D882" s="869">
        <v>36</v>
      </c>
      <c r="E882" s="250" t="s">
        <v>1725</v>
      </c>
      <c r="F882" s="273" t="s">
        <v>3446</v>
      </c>
      <c r="G882" s="1040" t="s">
        <v>3463</v>
      </c>
      <c r="H882" s="273" t="s">
        <v>3462</v>
      </c>
      <c r="I882" s="720">
        <f t="shared" si="183"/>
        <v>31.700000000000003</v>
      </c>
      <c r="J882" s="765">
        <v>1141.2</v>
      </c>
      <c r="K882" s="131">
        <f t="shared" si="184"/>
        <v>1141.2</v>
      </c>
      <c r="L882" s="335">
        <f t="shared" si="192"/>
        <v>0</v>
      </c>
      <c r="M882" s="446"/>
      <c r="N882" s="446"/>
      <c r="O882" s="446"/>
      <c r="P882" s="446"/>
      <c r="Q882" s="110">
        <f t="shared" si="186"/>
        <v>9</v>
      </c>
      <c r="R882" s="111">
        <f t="shared" si="187"/>
        <v>285.3</v>
      </c>
      <c r="S882" s="110"/>
      <c r="T882" s="110"/>
      <c r="U882" s="110">
        <f t="shared" si="188"/>
        <v>9</v>
      </c>
      <c r="V882" s="111">
        <f t="shared" si="189"/>
        <v>285.3</v>
      </c>
      <c r="W882" s="110"/>
      <c r="X882" s="110"/>
      <c r="Y882" s="110"/>
      <c r="Z882" s="110"/>
      <c r="AA882" s="110">
        <f t="shared" si="190"/>
        <v>9</v>
      </c>
      <c r="AB882" s="111">
        <f t="shared" si="193"/>
        <v>285.3</v>
      </c>
      <c r="AC882" s="110"/>
      <c r="AD882" s="110"/>
      <c r="AE882" s="110">
        <f t="shared" si="190"/>
        <v>9</v>
      </c>
      <c r="AF882" s="111">
        <f t="shared" si="191"/>
        <v>285.3</v>
      </c>
      <c r="AG882" s="110"/>
      <c r="AH882" s="110"/>
      <c r="AI882" s="110"/>
      <c r="AJ882" s="110"/>
      <c r="AK882" s="111">
        <f t="shared" si="194"/>
        <v>1141.2</v>
      </c>
      <c r="AL882" s="446">
        <f t="shared" si="195"/>
        <v>0</v>
      </c>
      <c r="AM882" s="110">
        <f t="shared" si="196"/>
        <v>36</v>
      </c>
      <c r="AN882" s="447">
        <f t="shared" si="185"/>
        <v>0</v>
      </c>
      <c r="AO882"/>
      <c r="AP882"/>
    </row>
    <row r="883" spans="1:42" ht="66" x14ac:dyDescent="0.25">
      <c r="A883" s="143"/>
      <c r="B883" s="504" t="s">
        <v>105</v>
      </c>
      <c r="C883" s="24"/>
      <c r="D883" s="869">
        <v>12</v>
      </c>
      <c r="E883" s="250" t="s">
        <v>1721</v>
      </c>
      <c r="F883" s="273" t="s">
        <v>3446</v>
      </c>
      <c r="G883" s="1040" t="s">
        <v>3463</v>
      </c>
      <c r="H883" s="273" t="s">
        <v>3462</v>
      </c>
      <c r="I883" s="720">
        <f t="shared" si="183"/>
        <v>119.89</v>
      </c>
      <c r="J883" s="765">
        <v>1438.68</v>
      </c>
      <c r="K883" s="131">
        <f t="shared" si="184"/>
        <v>1438.68</v>
      </c>
      <c r="L883" s="335">
        <f t="shared" si="192"/>
        <v>0</v>
      </c>
      <c r="M883" s="446"/>
      <c r="N883" s="446"/>
      <c r="O883" s="446"/>
      <c r="P883" s="446"/>
      <c r="Q883" s="110">
        <f t="shared" si="186"/>
        <v>3</v>
      </c>
      <c r="R883" s="111">
        <f t="shared" si="187"/>
        <v>359.67</v>
      </c>
      <c r="S883" s="110"/>
      <c r="T883" s="110"/>
      <c r="U883" s="110">
        <f t="shared" si="188"/>
        <v>3</v>
      </c>
      <c r="V883" s="111">
        <f t="shared" si="189"/>
        <v>359.67</v>
      </c>
      <c r="W883" s="110"/>
      <c r="X883" s="110"/>
      <c r="Y883" s="110"/>
      <c r="Z883" s="110"/>
      <c r="AA883" s="110">
        <f t="shared" si="190"/>
        <v>3</v>
      </c>
      <c r="AB883" s="111">
        <f t="shared" si="193"/>
        <v>359.67</v>
      </c>
      <c r="AC883" s="110"/>
      <c r="AD883" s="110"/>
      <c r="AE883" s="110">
        <f t="shared" si="190"/>
        <v>3</v>
      </c>
      <c r="AF883" s="111">
        <f t="shared" si="191"/>
        <v>359.67</v>
      </c>
      <c r="AG883" s="110"/>
      <c r="AH883" s="110"/>
      <c r="AI883" s="110"/>
      <c r="AJ883" s="110"/>
      <c r="AK883" s="111">
        <f t="shared" si="194"/>
        <v>1438.68</v>
      </c>
      <c r="AL883" s="446">
        <f t="shared" si="195"/>
        <v>0</v>
      </c>
      <c r="AM883" s="110">
        <f t="shared" si="196"/>
        <v>12</v>
      </c>
      <c r="AN883" s="447">
        <f t="shared" si="185"/>
        <v>0</v>
      </c>
      <c r="AO883"/>
      <c r="AP883"/>
    </row>
    <row r="884" spans="1:42" ht="66" x14ac:dyDescent="0.25">
      <c r="A884" s="143"/>
      <c r="B884" s="504" t="s">
        <v>108</v>
      </c>
      <c r="C884" s="24"/>
      <c r="D884" s="869">
        <v>6</v>
      </c>
      <c r="E884" s="250" t="s">
        <v>1725</v>
      </c>
      <c r="F884" s="273" t="s">
        <v>3446</v>
      </c>
      <c r="G884" s="1040" t="s">
        <v>3463</v>
      </c>
      <c r="H884" s="273" t="s">
        <v>3462</v>
      </c>
      <c r="I884" s="720">
        <f t="shared" si="183"/>
        <v>44.1</v>
      </c>
      <c r="J884" s="765">
        <v>264.60000000000002</v>
      </c>
      <c r="K884" s="131">
        <f t="shared" si="184"/>
        <v>264.60000000000002</v>
      </c>
      <c r="L884" s="335">
        <f t="shared" si="192"/>
        <v>0</v>
      </c>
      <c r="M884" s="446"/>
      <c r="N884" s="446"/>
      <c r="O884" s="446"/>
      <c r="P884" s="446"/>
      <c r="Q884" s="130">
        <v>2</v>
      </c>
      <c r="R884" s="111">
        <f t="shared" si="187"/>
        <v>66.150000000000006</v>
      </c>
      <c r="S884" s="110"/>
      <c r="T884" s="110"/>
      <c r="U884" s="130">
        <v>2</v>
      </c>
      <c r="V884" s="111">
        <f t="shared" si="189"/>
        <v>66.150000000000006</v>
      </c>
      <c r="W884" s="110"/>
      <c r="X884" s="110"/>
      <c r="Y884" s="110"/>
      <c r="Z884" s="110"/>
      <c r="AA884" s="130">
        <v>1</v>
      </c>
      <c r="AB884" s="111">
        <f t="shared" si="193"/>
        <v>66.150000000000006</v>
      </c>
      <c r="AC884" s="110"/>
      <c r="AD884" s="110"/>
      <c r="AE884" s="130">
        <v>1</v>
      </c>
      <c r="AF884" s="111">
        <f t="shared" si="191"/>
        <v>66.150000000000006</v>
      </c>
      <c r="AG884" s="110"/>
      <c r="AH884" s="110"/>
      <c r="AI884" s="110"/>
      <c r="AJ884" s="110"/>
      <c r="AK884" s="111">
        <f t="shared" si="194"/>
        <v>264.60000000000002</v>
      </c>
      <c r="AL884" s="446">
        <f t="shared" si="195"/>
        <v>0</v>
      </c>
      <c r="AM884" s="110">
        <f t="shared" si="196"/>
        <v>6</v>
      </c>
      <c r="AN884" s="447">
        <f t="shared" si="185"/>
        <v>0</v>
      </c>
      <c r="AO884"/>
      <c r="AP884"/>
    </row>
    <row r="885" spans="1:42" ht="66" x14ac:dyDescent="0.25">
      <c r="A885" s="143"/>
      <c r="B885" s="504" t="s">
        <v>1726</v>
      </c>
      <c r="C885" s="24"/>
      <c r="D885" s="869">
        <v>4</v>
      </c>
      <c r="E885" s="250" t="s">
        <v>1721</v>
      </c>
      <c r="F885" s="273" t="s">
        <v>3446</v>
      </c>
      <c r="G885" s="1040" t="s">
        <v>3463</v>
      </c>
      <c r="H885" s="273" t="s">
        <v>3462</v>
      </c>
      <c r="I885" s="720">
        <f t="shared" si="183"/>
        <v>66.84</v>
      </c>
      <c r="J885" s="765">
        <v>267.36</v>
      </c>
      <c r="K885" s="131">
        <f t="shared" si="184"/>
        <v>267.36</v>
      </c>
      <c r="L885" s="335">
        <f t="shared" si="192"/>
        <v>0</v>
      </c>
      <c r="M885" s="446"/>
      <c r="N885" s="446"/>
      <c r="O885" s="446"/>
      <c r="P885" s="446"/>
      <c r="Q885" s="110">
        <f t="shared" si="186"/>
        <v>1</v>
      </c>
      <c r="R885" s="111">
        <f t="shared" si="187"/>
        <v>66.84</v>
      </c>
      <c r="S885" s="110"/>
      <c r="T885" s="110"/>
      <c r="U885" s="110">
        <f t="shared" si="188"/>
        <v>1</v>
      </c>
      <c r="V885" s="111">
        <f t="shared" si="189"/>
        <v>66.84</v>
      </c>
      <c r="W885" s="110"/>
      <c r="X885" s="110"/>
      <c r="Y885" s="110"/>
      <c r="Z885" s="110"/>
      <c r="AA885" s="110">
        <f t="shared" si="190"/>
        <v>1</v>
      </c>
      <c r="AB885" s="111">
        <f t="shared" si="193"/>
        <v>66.84</v>
      </c>
      <c r="AC885" s="110"/>
      <c r="AD885" s="110"/>
      <c r="AE885" s="110">
        <f t="shared" si="190"/>
        <v>1</v>
      </c>
      <c r="AF885" s="111">
        <f t="shared" si="191"/>
        <v>66.84</v>
      </c>
      <c r="AG885" s="110"/>
      <c r="AH885" s="110"/>
      <c r="AI885" s="110"/>
      <c r="AJ885" s="110"/>
      <c r="AK885" s="111">
        <f t="shared" si="194"/>
        <v>267.36</v>
      </c>
      <c r="AL885" s="446">
        <f t="shared" si="195"/>
        <v>0</v>
      </c>
      <c r="AM885" s="110">
        <f t="shared" si="196"/>
        <v>4</v>
      </c>
      <c r="AN885" s="447">
        <f t="shared" si="185"/>
        <v>0</v>
      </c>
      <c r="AO885"/>
      <c r="AP885"/>
    </row>
    <row r="886" spans="1:42" ht="66" x14ac:dyDescent="0.25">
      <c r="A886" s="143"/>
      <c r="B886" s="504" t="s">
        <v>1850</v>
      </c>
      <c r="C886" s="24"/>
      <c r="D886" s="869">
        <v>8</v>
      </c>
      <c r="E886" s="250" t="s">
        <v>1721</v>
      </c>
      <c r="F886" s="273" t="s">
        <v>3446</v>
      </c>
      <c r="G886" s="1040" t="s">
        <v>3463</v>
      </c>
      <c r="H886" s="273" t="s">
        <v>3462</v>
      </c>
      <c r="I886" s="720">
        <f t="shared" si="183"/>
        <v>200</v>
      </c>
      <c r="J886" s="765">
        <v>1600</v>
      </c>
      <c r="K886" s="131">
        <f t="shared" si="184"/>
        <v>1600</v>
      </c>
      <c r="L886" s="335">
        <f t="shared" si="192"/>
        <v>0</v>
      </c>
      <c r="M886" s="446"/>
      <c r="N886" s="446"/>
      <c r="O886" s="446"/>
      <c r="P886" s="446"/>
      <c r="Q886" s="110">
        <f t="shared" si="186"/>
        <v>2</v>
      </c>
      <c r="R886" s="111">
        <f t="shared" si="187"/>
        <v>400</v>
      </c>
      <c r="S886" s="110"/>
      <c r="T886" s="110"/>
      <c r="U886" s="110">
        <f t="shared" si="188"/>
        <v>2</v>
      </c>
      <c r="V886" s="111">
        <f t="shared" si="189"/>
        <v>400</v>
      </c>
      <c r="W886" s="110"/>
      <c r="X886" s="110"/>
      <c r="Y886" s="110"/>
      <c r="Z886" s="110"/>
      <c r="AA886" s="110">
        <f t="shared" si="190"/>
        <v>2</v>
      </c>
      <c r="AB886" s="111">
        <f t="shared" si="193"/>
        <v>400</v>
      </c>
      <c r="AC886" s="110"/>
      <c r="AD886" s="110"/>
      <c r="AE886" s="110">
        <f t="shared" si="190"/>
        <v>2</v>
      </c>
      <c r="AF886" s="111">
        <f t="shared" si="191"/>
        <v>400</v>
      </c>
      <c r="AG886" s="110"/>
      <c r="AH886" s="110"/>
      <c r="AI886" s="110"/>
      <c r="AJ886" s="110"/>
      <c r="AK886" s="111">
        <f t="shared" si="194"/>
        <v>1600</v>
      </c>
      <c r="AL886" s="446">
        <f t="shared" si="195"/>
        <v>0</v>
      </c>
      <c r="AM886" s="110">
        <f t="shared" si="196"/>
        <v>8</v>
      </c>
      <c r="AN886" s="447">
        <f t="shared" si="185"/>
        <v>0</v>
      </c>
      <c r="AO886"/>
      <c r="AP886"/>
    </row>
    <row r="887" spans="1:42" ht="66" x14ac:dyDescent="0.25">
      <c r="A887" s="143"/>
      <c r="B887" s="505" t="s">
        <v>103</v>
      </c>
      <c r="C887" s="24"/>
      <c r="D887" s="869">
        <v>4</v>
      </c>
      <c r="E887" s="1027" t="s">
        <v>1721</v>
      </c>
      <c r="F887" s="278" t="s">
        <v>3446</v>
      </c>
      <c r="G887" s="1040" t="s">
        <v>3463</v>
      </c>
      <c r="H887" s="273" t="s">
        <v>3462</v>
      </c>
      <c r="I887" s="720">
        <f t="shared" si="183"/>
        <v>81.31</v>
      </c>
      <c r="J887" s="765">
        <v>325.24</v>
      </c>
      <c r="K887" s="131">
        <f t="shared" si="184"/>
        <v>325.24</v>
      </c>
      <c r="L887" s="335">
        <f t="shared" si="192"/>
        <v>0</v>
      </c>
      <c r="M887" s="446"/>
      <c r="N887" s="446"/>
      <c r="O887" s="446"/>
      <c r="P887" s="446"/>
      <c r="Q887" s="110">
        <f t="shared" si="186"/>
        <v>1</v>
      </c>
      <c r="R887" s="111">
        <f t="shared" si="187"/>
        <v>81.31</v>
      </c>
      <c r="S887" s="110"/>
      <c r="T887" s="110"/>
      <c r="U887" s="110">
        <f t="shared" si="188"/>
        <v>1</v>
      </c>
      <c r="V887" s="111">
        <f t="shared" si="189"/>
        <v>81.31</v>
      </c>
      <c r="W887" s="110"/>
      <c r="X887" s="110"/>
      <c r="Y887" s="110"/>
      <c r="Z887" s="110"/>
      <c r="AA887" s="110">
        <f t="shared" si="190"/>
        <v>1</v>
      </c>
      <c r="AB887" s="111">
        <f t="shared" si="193"/>
        <v>81.31</v>
      </c>
      <c r="AC887" s="110"/>
      <c r="AD887" s="110"/>
      <c r="AE887" s="110">
        <f t="shared" si="190"/>
        <v>1</v>
      </c>
      <c r="AF887" s="111">
        <f t="shared" si="191"/>
        <v>81.31</v>
      </c>
      <c r="AG887" s="110"/>
      <c r="AH887" s="110"/>
      <c r="AI887" s="110"/>
      <c r="AJ887" s="110"/>
      <c r="AK887" s="111">
        <f t="shared" si="194"/>
        <v>325.24</v>
      </c>
      <c r="AL887" s="446">
        <f t="shared" si="195"/>
        <v>0</v>
      </c>
      <c r="AM887" s="110">
        <f t="shared" si="196"/>
        <v>4</v>
      </c>
      <c r="AN887" s="447">
        <f t="shared" si="185"/>
        <v>0</v>
      </c>
      <c r="AO887"/>
      <c r="AP887"/>
    </row>
    <row r="888" spans="1:42" ht="66" x14ac:dyDescent="0.25">
      <c r="A888" s="143"/>
      <c r="B888" s="504" t="s">
        <v>104</v>
      </c>
      <c r="C888" s="24"/>
      <c r="D888" s="869">
        <v>12</v>
      </c>
      <c r="E888" s="1027" t="s">
        <v>1721</v>
      </c>
      <c r="F888" s="278" t="s">
        <v>3446</v>
      </c>
      <c r="G888" s="1040" t="s">
        <v>3463</v>
      </c>
      <c r="H888" s="273" t="s">
        <v>3462</v>
      </c>
      <c r="I888" s="720">
        <f t="shared" si="183"/>
        <v>123.89</v>
      </c>
      <c r="J888" s="765">
        <v>1486.68</v>
      </c>
      <c r="K888" s="131">
        <f t="shared" si="184"/>
        <v>1486.68</v>
      </c>
      <c r="L888" s="335">
        <f t="shared" si="192"/>
        <v>0</v>
      </c>
      <c r="M888" s="446"/>
      <c r="N888" s="446"/>
      <c r="O888" s="446"/>
      <c r="P888" s="446"/>
      <c r="Q888" s="110">
        <f t="shared" si="186"/>
        <v>3</v>
      </c>
      <c r="R888" s="111">
        <f t="shared" si="187"/>
        <v>371.67</v>
      </c>
      <c r="S888" s="110"/>
      <c r="T888" s="110"/>
      <c r="U888" s="110">
        <f t="shared" si="188"/>
        <v>3</v>
      </c>
      <c r="V888" s="111">
        <f t="shared" si="189"/>
        <v>371.67</v>
      </c>
      <c r="W888" s="110"/>
      <c r="X888" s="110"/>
      <c r="Y888" s="110"/>
      <c r="Z888" s="110"/>
      <c r="AA888" s="110">
        <f t="shared" si="190"/>
        <v>3</v>
      </c>
      <c r="AB888" s="111">
        <f t="shared" si="193"/>
        <v>371.67</v>
      </c>
      <c r="AC888" s="110"/>
      <c r="AD888" s="110"/>
      <c r="AE888" s="110">
        <f t="shared" si="190"/>
        <v>3</v>
      </c>
      <c r="AF888" s="111">
        <f t="shared" si="191"/>
        <v>371.67</v>
      </c>
      <c r="AG888" s="110"/>
      <c r="AH888" s="110"/>
      <c r="AI888" s="110"/>
      <c r="AJ888" s="110"/>
      <c r="AK888" s="111">
        <f t="shared" si="194"/>
        <v>1486.68</v>
      </c>
      <c r="AL888" s="446">
        <f t="shared" si="195"/>
        <v>0</v>
      </c>
      <c r="AM888" s="110">
        <f t="shared" si="196"/>
        <v>12</v>
      </c>
      <c r="AN888" s="447">
        <f t="shared" si="185"/>
        <v>0</v>
      </c>
      <c r="AO888"/>
      <c r="AP888"/>
    </row>
    <row r="889" spans="1:42" ht="66" x14ac:dyDescent="0.25">
      <c r="A889" s="143"/>
      <c r="B889" s="504" t="s">
        <v>1851</v>
      </c>
      <c r="C889" s="24"/>
      <c r="D889" s="869">
        <v>12</v>
      </c>
      <c r="E889" s="968" t="s">
        <v>1725</v>
      </c>
      <c r="F889" s="273" t="s">
        <v>3446</v>
      </c>
      <c r="G889" s="1040" t="s">
        <v>3463</v>
      </c>
      <c r="H889" s="273" t="s">
        <v>3462</v>
      </c>
      <c r="I889" s="720">
        <f t="shared" si="183"/>
        <v>31.26</v>
      </c>
      <c r="J889" s="765">
        <v>375.12</v>
      </c>
      <c r="K889" s="131">
        <f t="shared" si="184"/>
        <v>375.12</v>
      </c>
      <c r="L889" s="335">
        <f t="shared" si="192"/>
        <v>0</v>
      </c>
      <c r="M889" s="446"/>
      <c r="N889" s="446"/>
      <c r="O889" s="446"/>
      <c r="P889" s="446"/>
      <c r="Q889" s="110">
        <f t="shared" si="186"/>
        <v>3</v>
      </c>
      <c r="R889" s="111">
        <f t="shared" si="187"/>
        <v>93.78</v>
      </c>
      <c r="S889" s="110"/>
      <c r="T889" s="110"/>
      <c r="U889" s="110">
        <f t="shared" si="188"/>
        <v>3</v>
      </c>
      <c r="V889" s="111">
        <f t="shared" si="189"/>
        <v>93.78</v>
      </c>
      <c r="W889" s="110"/>
      <c r="X889" s="110"/>
      <c r="Y889" s="110"/>
      <c r="Z889" s="110"/>
      <c r="AA889" s="110">
        <f t="shared" si="190"/>
        <v>3</v>
      </c>
      <c r="AB889" s="111">
        <f t="shared" si="193"/>
        <v>93.78</v>
      </c>
      <c r="AC889" s="110"/>
      <c r="AD889" s="110"/>
      <c r="AE889" s="110">
        <f t="shared" si="190"/>
        <v>3</v>
      </c>
      <c r="AF889" s="111">
        <f t="shared" si="191"/>
        <v>93.78</v>
      </c>
      <c r="AG889" s="110"/>
      <c r="AH889" s="110"/>
      <c r="AI889" s="110"/>
      <c r="AJ889" s="110"/>
      <c r="AK889" s="111">
        <f t="shared" si="194"/>
        <v>375.12</v>
      </c>
      <c r="AL889" s="446">
        <f t="shared" si="195"/>
        <v>0</v>
      </c>
      <c r="AM889" s="110">
        <f t="shared" si="196"/>
        <v>12</v>
      </c>
      <c r="AN889" s="447">
        <f t="shared" si="185"/>
        <v>0</v>
      </c>
      <c r="AO889"/>
      <c r="AP889"/>
    </row>
    <row r="890" spans="1:42" ht="66" x14ac:dyDescent="0.25">
      <c r="A890" s="143"/>
      <c r="B890" s="504" t="s">
        <v>1852</v>
      </c>
      <c r="C890" s="24"/>
      <c r="D890" s="869">
        <v>12</v>
      </c>
      <c r="E890" s="968" t="s">
        <v>1725</v>
      </c>
      <c r="F890" s="273" t="s">
        <v>3446</v>
      </c>
      <c r="G890" s="1040" t="s">
        <v>3463</v>
      </c>
      <c r="H890" s="273" t="s">
        <v>3462</v>
      </c>
      <c r="I890" s="720">
        <f t="shared" ref="I890:I953" si="197">+J890/D890</f>
        <v>11.9</v>
      </c>
      <c r="J890" s="765">
        <v>142.80000000000001</v>
      </c>
      <c r="K890" s="131">
        <f t="shared" si="184"/>
        <v>142.80000000000001</v>
      </c>
      <c r="L890" s="335">
        <f t="shared" si="192"/>
        <v>0</v>
      </c>
      <c r="M890" s="446"/>
      <c r="N890" s="446"/>
      <c r="O890" s="446"/>
      <c r="P890" s="446"/>
      <c r="Q890" s="110">
        <f t="shared" si="186"/>
        <v>3</v>
      </c>
      <c r="R890" s="111">
        <f t="shared" si="187"/>
        <v>35.700000000000003</v>
      </c>
      <c r="S890" s="110"/>
      <c r="T890" s="110"/>
      <c r="U890" s="110">
        <f t="shared" si="188"/>
        <v>3</v>
      </c>
      <c r="V890" s="111">
        <f t="shared" si="189"/>
        <v>35.700000000000003</v>
      </c>
      <c r="W890" s="110"/>
      <c r="X890" s="110"/>
      <c r="Y890" s="110"/>
      <c r="Z890" s="110"/>
      <c r="AA890" s="110">
        <f t="shared" si="190"/>
        <v>3</v>
      </c>
      <c r="AB890" s="111">
        <f t="shared" si="193"/>
        <v>35.700000000000003</v>
      </c>
      <c r="AC890" s="110"/>
      <c r="AD890" s="110"/>
      <c r="AE890" s="110">
        <f t="shared" si="190"/>
        <v>3</v>
      </c>
      <c r="AF890" s="111">
        <f t="shared" si="191"/>
        <v>35.700000000000003</v>
      </c>
      <c r="AG890" s="110"/>
      <c r="AH890" s="110"/>
      <c r="AI890" s="110"/>
      <c r="AJ890" s="110"/>
      <c r="AK890" s="111">
        <f t="shared" si="194"/>
        <v>142.80000000000001</v>
      </c>
      <c r="AL890" s="446">
        <f t="shared" si="195"/>
        <v>0</v>
      </c>
      <c r="AM890" s="110">
        <f t="shared" si="196"/>
        <v>12</v>
      </c>
      <c r="AN890" s="447">
        <f t="shared" si="185"/>
        <v>0</v>
      </c>
      <c r="AO890"/>
      <c r="AP890"/>
    </row>
    <row r="891" spans="1:42" ht="66" x14ac:dyDescent="0.25">
      <c r="A891" s="11"/>
      <c r="B891" s="504" t="s">
        <v>1853</v>
      </c>
      <c r="C891" s="23"/>
      <c r="D891" s="869">
        <v>6</v>
      </c>
      <c r="E891" s="968" t="s">
        <v>1725</v>
      </c>
      <c r="F891" s="273" t="s">
        <v>3446</v>
      </c>
      <c r="G891" s="1040" t="s">
        <v>3463</v>
      </c>
      <c r="H891" s="273" t="s">
        <v>3462</v>
      </c>
      <c r="I891" s="720">
        <f t="shared" si="197"/>
        <v>62.51</v>
      </c>
      <c r="J891" s="765">
        <v>375.06</v>
      </c>
      <c r="K891" s="131">
        <f t="shared" si="184"/>
        <v>375.06</v>
      </c>
      <c r="L891" s="335">
        <f t="shared" si="192"/>
        <v>0</v>
      </c>
      <c r="M891" s="446"/>
      <c r="N891" s="446"/>
      <c r="O891" s="446"/>
      <c r="P891" s="446"/>
      <c r="Q891" s="130">
        <v>2</v>
      </c>
      <c r="R891" s="111">
        <f t="shared" si="187"/>
        <v>93.765000000000001</v>
      </c>
      <c r="S891" s="110"/>
      <c r="T891" s="110"/>
      <c r="U891" s="130">
        <v>2</v>
      </c>
      <c r="V891" s="111">
        <f t="shared" si="189"/>
        <v>93.765000000000001</v>
      </c>
      <c r="W891" s="110"/>
      <c r="X891" s="110"/>
      <c r="Y891" s="110"/>
      <c r="Z891" s="110"/>
      <c r="AA891" s="130">
        <v>1</v>
      </c>
      <c r="AB891" s="111">
        <f t="shared" si="193"/>
        <v>93.765000000000001</v>
      </c>
      <c r="AC891" s="110"/>
      <c r="AD891" s="110"/>
      <c r="AE891" s="130">
        <v>1</v>
      </c>
      <c r="AF891" s="111">
        <f t="shared" si="191"/>
        <v>93.765000000000001</v>
      </c>
      <c r="AG891" s="110"/>
      <c r="AH891" s="110"/>
      <c r="AI891" s="110"/>
      <c r="AJ891" s="110"/>
      <c r="AK891" s="111">
        <f t="shared" si="194"/>
        <v>375.06</v>
      </c>
      <c r="AL891" s="446">
        <f t="shared" si="195"/>
        <v>0</v>
      </c>
      <c r="AM891" s="110">
        <f t="shared" si="196"/>
        <v>6</v>
      </c>
      <c r="AN891" s="447">
        <f t="shared" si="185"/>
        <v>0</v>
      </c>
      <c r="AO891"/>
      <c r="AP891"/>
    </row>
    <row r="892" spans="1:42" ht="66" x14ac:dyDescent="0.25">
      <c r="A892" s="11"/>
      <c r="B892" s="504" t="s">
        <v>1181</v>
      </c>
      <c r="C892" s="23"/>
      <c r="D892" s="869">
        <v>12</v>
      </c>
      <c r="E892" s="968" t="s">
        <v>1725</v>
      </c>
      <c r="F892" s="273" t="s">
        <v>3446</v>
      </c>
      <c r="G892" s="1040" t="s">
        <v>3463</v>
      </c>
      <c r="H892" s="273" t="s">
        <v>3462</v>
      </c>
      <c r="I892" s="720">
        <f t="shared" si="197"/>
        <v>20.02</v>
      </c>
      <c r="J892" s="765">
        <v>240.24</v>
      </c>
      <c r="K892" s="131">
        <f t="shared" si="184"/>
        <v>240.24</v>
      </c>
      <c r="L892" s="335">
        <f t="shared" si="192"/>
        <v>0</v>
      </c>
      <c r="M892" s="446"/>
      <c r="N892" s="446"/>
      <c r="O892" s="446"/>
      <c r="P892" s="446"/>
      <c r="Q892" s="110">
        <f t="shared" si="186"/>
        <v>3</v>
      </c>
      <c r="R892" s="111">
        <f t="shared" si="187"/>
        <v>60.06</v>
      </c>
      <c r="S892" s="110"/>
      <c r="T892" s="110"/>
      <c r="U892" s="110">
        <f t="shared" si="188"/>
        <v>3</v>
      </c>
      <c r="V892" s="111">
        <f t="shared" si="189"/>
        <v>60.06</v>
      </c>
      <c r="W892" s="110"/>
      <c r="X892" s="110"/>
      <c r="Y892" s="110"/>
      <c r="Z892" s="110"/>
      <c r="AA892" s="110">
        <f t="shared" si="190"/>
        <v>3</v>
      </c>
      <c r="AB892" s="111">
        <f t="shared" si="193"/>
        <v>60.06</v>
      </c>
      <c r="AC892" s="110"/>
      <c r="AD892" s="110"/>
      <c r="AE892" s="110">
        <f t="shared" si="190"/>
        <v>3</v>
      </c>
      <c r="AF892" s="111">
        <f t="shared" si="191"/>
        <v>60.06</v>
      </c>
      <c r="AG892" s="110"/>
      <c r="AH892" s="110"/>
      <c r="AI892" s="110"/>
      <c r="AJ892" s="110"/>
      <c r="AK892" s="111">
        <f t="shared" si="194"/>
        <v>240.24</v>
      </c>
      <c r="AL892" s="446">
        <f t="shared" si="195"/>
        <v>0</v>
      </c>
      <c r="AM892" s="110">
        <f t="shared" si="196"/>
        <v>12</v>
      </c>
      <c r="AN892" s="447">
        <f t="shared" si="185"/>
        <v>0</v>
      </c>
      <c r="AO892"/>
      <c r="AP892"/>
    </row>
    <row r="893" spans="1:42" ht="66" x14ac:dyDescent="0.25">
      <c r="A893" s="11"/>
      <c r="B893" s="504" t="s">
        <v>1854</v>
      </c>
      <c r="C893" s="23"/>
      <c r="D893" s="869">
        <v>12</v>
      </c>
      <c r="E893" s="968" t="s">
        <v>1725</v>
      </c>
      <c r="F893" s="273" t="s">
        <v>3446</v>
      </c>
      <c r="G893" s="1040" t="s">
        <v>3463</v>
      </c>
      <c r="H893" s="273" t="s">
        <v>3462</v>
      </c>
      <c r="I893" s="720">
        <f t="shared" si="197"/>
        <v>23.820000000000004</v>
      </c>
      <c r="J893" s="765">
        <v>285.84000000000003</v>
      </c>
      <c r="K893" s="131">
        <f t="shared" si="184"/>
        <v>285.84000000000003</v>
      </c>
      <c r="L893" s="335">
        <f t="shared" si="192"/>
        <v>0</v>
      </c>
      <c r="M893" s="446"/>
      <c r="N893" s="446"/>
      <c r="O893" s="446"/>
      <c r="P893" s="446"/>
      <c r="Q893" s="110">
        <f t="shared" si="186"/>
        <v>3</v>
      </c>
      <c r="R893" s="111">
        <f t="shared" si="187"/>
        <v>71.460000000000008</v>
      </c>
      <c r="S893" s="110"/>
      <c r="T893" s="110"/>
      <c r="U893" s="110">
        <f t="shared" si="188"/>
        <v>3</v>
      </c>
      <c r="V893" s="111">
        <f t="shared" si="189"/>
        <v>71.460000000000008</v>
      </c>
      <c r="W893" s="110"/>
      <c r="X893" s="110"/>
      <c r="Y893" s="110"/>
      <c r="Z893" s="110"/>
      <c r="AA893" s="110">
        <f t="shared" si="190"/>
        <v>3</v>
      </c>
      <c r="AB893" s="111">
        <f t="shared" si="193"/>
        <v>71.460000000000008</v>
      </c>
      <c r="AC893" s="110"/>
      <c r="AD893" s="110"/>
      <c r="AE893" s="110">
        <f t="shared" si="190"/>
        <v>3</v>
      </c>
      <c r="AF893" s="111">
        <f t="shared" si="191"/>
        <v>71.460000000000008</v>
      </c>
      <c r="AG893" s="110"/>
      <c r="AH893" s="110"/>
      <c r="AI893" s="110"/>
      <c r="AJ893" s="110"/>
      <c r="AK893" s="111">
        <f t="shared" si="194"/>
        <v>285.84000000000003</v>
      </c>
      <c r="AL893" s="446">
        <f t="shared" si="195"/>
        <v>0</v>
      </c>
      <c r="AM893" s="110">
        <f t="shared" si="196"/>
        <v>12</v>
      </c>
      <c r="AN893" s="447">
        <f t="shared" si="185"/>
        <v>0</v>
      </c>
      <c r="AO893"/>
      <c r="AP893"/>
    </row>
    <row r="894" spans="1:42" ht="66" x14ac:dyDescent="0.25">
      <c r="A894" s="11"/>
      <c r="B894" s="37" t="s">
        <v>1727</v>
      </c>
      <c r="C894" s="23"/>
      <c r="D894" s="869">
        <v>2</v>
      </c>
      <c r="E894" s="247" t="s">
        <v>1725</v>
      </c>
      <c r="F894" s="273" t="s">
        <v>3446</v>
      </c>
      <c r="G894" s="1040" t="s">
        <v>3463</v>
      </c>
      <c r="H894" s="273" t="s">
        <v>3462</v>
      </c>
      <c r="I894" s="720">
        <f t="shared" si="197"/>
        <v>171.53</v>
      </c>
      <c r="J894" s="765">
        <v>343.06</v>
      </c>
      <c r="K894" s="131">
        <f t="shared" si="184"/>
        <v>343.06</v>
      </c>
      <c r="L894" s="335">
        <f t="shared" si="192"/>
        <v>0</v>
      </c>
      <c r="M894" s="446"/>
      <c r="N894" s="446"/>
      <c r="O894" s="446"/>
      <c r="P894" s="446"/>
      <c r="Q894" s="130">
        <v>1</v>
      </c>
      <c r="R894" s="111">
        <v>171.53</v>
      </c>
      <c r="S894" s="110"/>
      <c r="T894" s="110"/>
      <c r="U894" s="130">
        <v>1</v>
      </c>
      <c r="V894" s="111">
        <v>171.53</v>
      </c>
      <c r="W894" s="110"/>
      <c r="X894" s="110"/>
      <c r="Y894" s="110"/>
      <c r="Z894" s="110"/>
      <c r="AA894" s="130">
        <v>0</v>
      </c>
      <c r="AB894" s="111">
        <v>0</v>
      </c>
      <c r="AC894" s="110"/>
      <c r="AD894" s="110"/>
      <c r="AE894" s="130">
        <v>0</v>
      </c>
      <c r="AF894" s="111">
        <v>0</v>
      </c>
      <c r="AG894" s="110"/>
      <c r="AH894" s="110"/>
      <c r="AI894" s="110"/>
      <c r="AJ894" s="110"/>
      <c r="AK894" s="111">
        <f t="shared" si="194"/>
        <v>343.06</v>
      </c>
      <c r="AL894" s="446">
        <f t="shared" si="195"/>
        <v>0</v>
      </c>
      <c r="AM894" s="110">
        <f t="shared" si="196"/>
        <v>2</v>
      </c>
      <c r="AN894" s="447">
        <f t="shared" si="185"/>
        <v>0</v>
      </c>
      <c r="AO894"/>
      <c r="AP894"/>
    </row>
    <row r="895" spans="1:42" ht="66" x14ac:dyDescent="0.25">
      <c r="A895" s="11"/>
      <c r="B895" s="37" t="s">
        <v>109</v>
      </c>
      <c r="C895" s="23"/>
      <c r="D895" s="869">
        <v>1</v>
      </c>
      <c r="E895" s="247" t="s">
        <v>1725</v>
      </c>
      <c r="F895" s="273" t="s">
        <v>3446</v>
      </c>
      <c r="G895" s="1040" t="s">
        <v>3463</v>
      </c>
      <c r="H895" s="273" t="s">
        <v>3462</v>
      </c>
      <c r="I895" s="720">
        <f t="shared" si="197"/>
        <v>196.69</v>
      </c>
      <c r="J895" s="765">
        <v>196.69</v>
      </c>
      <c r="K895" s="131">
        <f t="shared" si="184"/>
        <v>196.69</v>
      </c>
      <c r="L895" s="335">
        <f t="shared" si="192"/>
        <v>0</v>
      </c>
      <c r="M895" s="446"/>
      <c r="N895" s="446"/>
      <c r="O895" s="446"/>
      <c r="P895" s="446"/>
      <c r="Q895" s="110">
        <v>0</v>
      </c>
      <c r="R895" s="111">
        <v>0</v>
      </c>
      <c r="S895" s="110"/>
      <c r="T895" s="110"/>
      <c r="U895" s="110">
        <v>0</v>
      </c>
      <c r="V895" s="111">
        <v>0</v>
      </c>
      <c r="W895" s="110"/>
      <c r="X895" s="110"/>
      <c r="Y895" s="110"/>
      <c r="Z895" s="110"/>
      <c r="AA895" s="110">
        <v>0</v>
      </c>
      <c r="AB895" s="111">
        <v>0</v>
      </c>
      <c r="AC895" s="110"/>
      <c r="AD895" s="110"/>
      <c r="AE895" s="110">
        <v>1</v>
      </c>
      <c r="AF895" s="111">
        <v>196.69</v>
      </c>
      <c r="AG895" s="110"/>
      <c r="AH895" s="110"/>
      <c r="AI895" s="110"/>
      <c r="AJ895" s="110"/>
      <c r="AK895" s="111">
        <f t="shared" si="194"/>
        <v>196.69</v>
      </c>
      <c r="AL895" s="446">
        <f t="shared" si="195"/>
        <v>0</v>
      </c>
      <c r="AM895" s="110">
        <f t="shared" si="196"/>
        <v>1</v>
      </c>
      <c r="AN895" s="447">
        <f t="shared" si="185"/>
        <v>0</v>
      </c>
      <c r="AO895"/>
      <c r="AP895"/>
    </row>
    <row r="896" spans="1:42" ht="66" x14ac:dyDescent="0.25">
      <c r="A896" s="11"/>
      <c r="B896" s="202" t="s">
        <v>125</v>
      </c>
      <c r="C896" s="23"/>
      <c r="D896" s="869">
        <v>8</v>
      </c>
      <c r="E896" s="252" t="s">
        <v>1721</v>
      </c>
      <c r="F896" s="273" t="s">
        <v>3446</v>
      </c>
      <c r="G896" s="1040" t="s">
        <v>3463</v>
      </c>
      <c r="H896" s="273" t="s">
        <v>3462</v>
      </c>
      <c r="I896" s="720">
        <f t="shared" si="197"/>
        <v>34.869999999999997</v>
      </c>
      <c r="J896" s="765">
        <v>278.95999999999998</v>
      </c>
      <c r="K896" s="131">
        <f t="shared" si="184"/>
        <v>278.95999999999998</v>
      </c>
      <c r="L896" s="335">
        <f t="shared" si="192"/>
        <v>0</v>
      </c>
      <c r="M896" s="446"/>
      <c r="N896" s="446"/>
      <c r="O896" s="446"/>
      <c r="P896" s="446"/>
      <c r="Q896" s="110">
        <f t="shared" si="186"/>
        <v>2</v>
      </c>
      <c r="R896" s="111">
        <f t="shared" si="187"/>
        <v>69.739999999999995</v>
      </c>
      <c r="S896" s="110"/>
      <c r="T896" s="110"/>
      <c r="U896" s="110">
        <f t="shared" si="188"/>
        <v>2</v>
      </c>
      <c r="V896" s="111">
        <f t="shared" si="189"/>
        <v>69.739999999999995</v>
      </c>
      <c r="W896" s="110"/>
      <c r="X896" s="110"/>
      <c r="Y896" s="110"/>
      <c r="Z896" s="110"/>
      <c r="AA896" s="110">
        <f t="shared" si="190"/>
        <v>2</v>
      </c>
      <c r="AB896" s="111">
        <f t="shared" si="193"/>
        <v>69.739999999999995</v>
      </c>
      <c r="AC896" s="110"/>
      <c r="AD896" s="110"/>
      <c r="AE896" s="110">
        <f t="shared" si="190"/>
        <v>2</v>
      </c>
      <c r="AF896" s="111">
        <f t="shared" si="191"/>
        <v>69.739999999999995</v>
      </c>
      <c r="AG896" s="110"/>
      <c r="AH896" s="110"/>
      <c r="AI896" s="110"/>
      <c r="AJ896" s="110"/>
      <c r="AK896" s="111">
        <f t="shared" si="194"/>
        <v>278.95999999999998</v>
      </c>
      <c r="AL896" s="446">
        <f t="shared" si="195"/>
        <v>0</v>
      </c>
      <c r="AM896" s="110">
        <f t="shared" si="196"/>
        <v>8</v>
      </c>
      <c r="AN896" s="447">
        <f t="shared" si="185"/>
        <v>0</v>
      </c>
      <c r="AO896"/>
      <c r="AP896"/>
    </row>
    <row r="897" spans="1:42" ht="66" x14ac:dyDescent="0.25">
      <c r="A897" s="11"/>
      <c r="B897" s="202" t="s">
        <v>126</v>
      </c>
      <c r="C897" s="23"/>
      <c r="D897" s="869">
        <v>4</v>
      </c>
      <c r="E897" s="1027" t="s">
        <v>1721</v>
      </c>
      <c r="F897" s="273" t="s">
        <v>3446</v>
      </c>
      <c r="G897" s="1040" t="s">
        <v>3463</v>
      </c>
      <c r="H897" s="273" t="s">
        <v>3462</v>
      </c>
      <c r="I897" s="720">
        <f t="shared" si="197"/>
        <v>35.96</v>
      </c>
      <c r="J897" s="765">
        <v>143.84</v>
      </c>
      <c r="K897" s="131">
        <f t="shared" si="184"/>
        <v>143.84</v>
      </c>
      <c r="L897" s="335">
        <f t="shared" si="192"/>
        <v>0</v>
      </c>
      <c r="M897" s="446"/>
      <c r="N897" s="446"/>
      <c r="O897" s="446"/>
      <c r="P897" s="446"/>
      <c r="Q897" s="110">
        <f t="shared" si="186"/>
        <v>1</v>
      </c>
      <c r="R897" s="111">
        <f t="shared" si="187"/>
        <v>35.96</v>
      </c>
      <c r="S897" s="110"/>
      <c r="T897" s="110"/>
      <c r="U897" s="110">
        <f t="shared" si="188"/>
        <v>1</v>
      </c>
      <c r="V897" s="111">
        <f t="shared" si="189"/>
        <v>35.96</v>
      </c>
      <c r="W897" s="110"/>
      <c r="X897" s="110"/>
      <c r="Y897" s="110"/>
      <c r="Z897" s="110"/>
      <c r="AA897" s="110">
        <f t="shared" si="190"/>
        <v>1</v>
      </c>
      <c r="AB897" s="111">
        <f t="shared" si="193"/>
        <v>35.96</v>
      </c>
      <c r="AC897" s="110"/>
      <c r="AD897" s="110"/>
      <c r="AE897" s="110">
        <f t="shared" si="190"/>
        <v>1</v>
      </c>
      <c r="AF897" s="111">
        <f t="shared" si="191"/>
        <v>35.96</v>
      </c>
      <c r="AG897" s="110"/>
      <c r="AH897" s="110"/>
      <c r="AI897" s="110"/>
      <c r="AJ897" s="110"/>
      <c r="AK897" s="111">
        <f t="shared" si="194"/>
        <v>143.84</v>
      </c>
      <c r="AL897" s="446">
        <f t="shared" si="195"/>
        <v>0</v>
      </c>
      <c r="AM897" s="110">
        <f t="shared" si="196"/>
        <v>4</v>
      </c>
      <c r="AN897" s="447">
        <f t="shared" si="185"/>
        <v>0</v>
      </c>
      <c r="AO897"/>
      <c r="AP897"/>
    </row>
    <row r="898" spans="1:42" ht="66" x14ac:dyDescent="0.25">
      <c r="A898" s="11"/>
      <c r="B898" s="37" t="s">
        <v>124</v>
      </c>
      <c r="C898" s="23"/>
      <c r="D898" s="869">
        <v>1</v>
      </c>
      <c r="E898" s="1027" t="s">
        <v>1725</v>
      </c>
      <c r="F898" s="273" t="s">
        <v>3446</v>
      </c>
      <c r="G898" s="1040" t="s">
        <v>3463</v>
      </c>
      <c r="H898" s="273" t="s">
        <v>3462</v>
      </c>
      <c r="I898" s="720">
        <f t="shared" si="197"/>
        <v>74.37</v>
      </c>
      <c r="J898" s="765">
        <v>74.37</v>
      </c>
      <c r="K898" s="131">
        <f t="shared" si="184"/>
        <v>74.37</v>
      </c>
      <c r="L898" s="335">
        <f t="shared" si="192"/>
        <v>0</v>
      </c>
      <c r="M898" s="446"/>
      <c r="N898" s="446"/>
      <c r="O898" s="446"/>
      <c r="P898" s="446"/>
      <c r="Q898" s="110">
        <v>0</v>
      </c>
      <c r="R898" s="111">
        <v>0</v>
      </c>
      <c r="S898" s="110"/>
      <c r="T898" s="110"/>
      <c r="U898" s="110">
        <v>1</v>
      </c>
      <c r="V898" s="111">
        <v>74.37</v>
      </c>
      <c r="W898" s="110"/>
      <c r="X898" s="110"/>
      <c r="Y898" s="110"/>
      <c r="Z898" s="110"/>
      <c r="AA898" s="110">
        <v>0</v>
      </c>
      <c r="AB898" s="111">
        <v>0</v>
      </c>
      <c r="AC898" s="110"/>
      <c r="AD898" s="110"/>
      <c r="AE898" s="110">
        <v>0</v>
      </c>
      <c r="AF898" s="111">
        <v>0</v>
      </c>
      <c r="AG898" s="110"/>
      <c r="AH898" s="110"/>
      <c r="AI898" s="110"/>
      <c r="AJ898" s="110"/>
      <c r="AK898" s="111">
        <f t="shared" si="194"/>
        <v>74.37</v>
      </c>
      <c r="AL898" s="446">
        <f t="shared" si="195"/>
        <v>0</v>
      </c>
      <c r="AM898" s="110">
        <f t="shared" si="196"/>
        <v>1</v>
      </c>
      <c r="AN898" s="447">
        <f t="shared" si="185"/>
        <v>0</v>
      </c>
      <c r="AO898"/>
      <c r="AP898"/>
    </row>
    <row r="899" spans="1:42" ht="66" x14ac:dyDescent="0.25">
      <c r="A899" s="11"/>
      <c r="B899" s="37" t="s">
        <v>119</v>
      </c>
      <c r="C899" s="23"/>
      <c r="D899" s="869">
        <v>20</v>
      </c>
      <c r="E899" s="1027" t="s">
        <v>1725</v>
      </c>
      <c r="F899" s="273" t="s">
        <v>3446</v>
      </c>
      <c r="G899" s="1040" t="s">
        <v>3463</v>
      </c>
      <c r="H899" s="273" t="s">
        <v>3462</v>
      </c>
      <c r="I899" s="720">
        <f t="shared" si="197"/>
        <v>98.66</v>
      </c>
      <c r="J899" s="765">
        <v>1973.1999999999998</v>
      </c>
      <c r="K899" s="131">
        <f t="shared" si="184"/>
        <v>1973.1999999999998</v>
      </c>
      <c r="L899" s="335">
        <f t="shared" si="192"/>
        <v>0</v>
      </c>
      <c r="M899" s="446"/>
      <c r="N899" s="446"/>
      <c r="O899" s="446"/>
      <c r="P899" s="446"/>
      <c r="Q899" s="110">
        <f t="shared" si="186"/>
        <v>5</v>
      </c>
      <c r="R899" s="111">
        <f t="shared" si="187"/>
        <v>493.29999999999995</v>
      </c>
      <c r="S899" s="110"/>
      <c r="T899" s="110"/>
      <c r="U899" s="110">
        <f t="shared" si="188"/>
        <v>5</v>
      </c>
      <c r="V899" s="111">
        <f t="shared" si="189"/>
        <v>493.29999999999995</v>
      </c>
      <c r="W899" s="110"/>
      <c r="X899" s="110"/>
      <c r="Y899" s="110"/>
      <c r="Z899" s="110"/>
      <c r="AA899" s="110">
        <f t="shared" si="190"/>
        <v>5</v>
      </c>
      <c r="AB899" s="111">
        <f t="shared" si="193"/>
        <v>493.29999999999995</v>
      </c>
      <c r="AC899" s="110"/>
      <c r="AD899" s="110"/>
      <c r="AE899" s="110">
        <f t="shared" si="190"/>
        <v>5</v>
      </c>
      <c r="AF899" s="111">
        <f t="shared" si="191"/>
        <v>493.29999999999995</v>
      </c>
      <c r="AG899" s="110"/>
      <c r="AH899" s="110"/>
      <c r="AI899" s="110"/>
      <c r="AJ899" s="110"/>
      <c r="AK899" s="111">
        <f t="shared" si="194"/>
        <v>1973.1999999999998</v>
      </c>
      <c r="AL899" s="446">
        <f t="shared" si="195"/>
        <v>0</v>
      </c>
      <c r="AM899" s="110">
        <f t="shared" si="196"/>
        <v>20</v>
      </c>
      <c r="AN899" s="447">
        <f t="shared" si="185"/>
        <v>0</v>
      </c>
      <c r="AO899"/>
      <c r="AP899"/>
    </row>
    <row r="900" spans="1:42" ht="66" x14ac:dyDescent="0.25">
      <c r="A900" s="11"/>
      <c r="B900" s="37" t="s">
        <v>120</v>
      </c>
      <c r="C900" s="23"/>
      <c r="D900" s="869">
        <v>10</v>
      </c>
      <c r="E900" s="1027" t="s">
        <v>1725</v>
      </c>
      <c r="F900" s="273" t="s">
        <v>3446</v>
      </c>
      <c r="G900" s="1040" t="s">
        <v>3463</v>
      </c>
      <c r="H900" s="273" t="s">
        <v>3462</v>
      </c>
      <c r="I900" s="720">
        <f t="shared" si="197"/>
        <v>142.82</v>
      </c>
      <c r="J900" s="765">
        <v>1428.1999999999998</v>
      </c>
      <c r="K900" s="131">
        <f t="shared" ref="K900:K963" si="198">+D900*I900</f>
        <v>1428.1999999999998</v>
      </c>
      <c r="L900" s="335">
        <f t="shared" si="192"/>
        <v>0</v>
      </c>
      <c r="M900" s="446"/>
      <c r="N900" s="446"/>
      <c r="O900" s="446"/>
      <c r="P900" s="446"/>
      <c r="Q900" s="130">
        <v>3</v>
      </c>
      <c r="R900" s="111">
        <f t="shared" si="187"/>
        <v>357.04999999999995</v>
      </c>
      <c r="S900" s="110"/>
      <c r="T900" s="110"/>
      <c r="U900" s="130">
        <v>3</v>
      </c>
      <c r="V900" s="111">
        <f t="shared" si="189"/>
        <v>357.04999999999995</v>
      </c>
      <c r="W900" s="110"/>
      <c r="X900" s="110"/>
      <c r="Y900" s="110"/>
      <c r="Z900" s="110"/>
      <c r="AA900" s="130">
        <v>2</v>
      </c>
      <c r="AB900" s="111">
        <f t="shared" si="193"/>
        <v>357.04999999999995</v>
      </c>
      <c r="AC900" s="110"/>
      <c r="AD900" s="110"/>
      <c r="AE900" s="130">
        <v>2</v>
      </c>
      <c r="AF900" s="111">
        <f t="shared" si="191"/>
        <v>357.04999999999995</v>
      </c>
      <c r="AG900" s="110"/>
      <c r="AH900" s="110"/>
      <c r="AI900" s="110"/>
      <c r="AJ900" s="110"/>
      <c r="AK900" s="111">
        <f t="shared" si="194"/>
        <v>1428.1999999999998</v>
      </c>
      <c r="AL900" s="446">
        <f t="shared" si="195"/>
        <v>0</v>
      </c>
      <c r="AM900" s="110">
        <f t="shared" si="196"/>
        <v>10</v>
      </c>
      <c r="AN900" s="447">
        <f t="shared" ref="AN900:AN963" si="199">+D900-AM900</f>
        <v>0</v>
      </c>
      <c r="AO900"/>
      <c r="AP900"/>
    </row>
    <row r="901" spans="1:42" ht="66" x14ac:dyDescent="0.25">
      <c r="A901" s="11"/>
      <c r="B901" s="203" t="s">
        <v>122</v>
      </c>
      <c r="C901" s="23"/>
      <c r="D901" s="869">
        <v>1</v>
      </c>
      <c r="E901" s="1027" t="s">
        <v>1725</v>
      </c>
      <c r="F901" s="273" t="s">
        <v>3446</v>
      </c>
      <c r="G901" s="1040" t="s">
        <v>3463</v>
      </c>
      <c r="H901" s="273" t="s">
        <v>3462</v>
      </c>
      <c r="I901" s="720">
        <f t="shared" si="197"/>
        <v>299</v>
      </c>
      <c r="J901" s="765">
        <v>299</v>
      </c>
      <c r="K901" s="131">
        <f t="shared" si="198"/>
        <v>299</v>
      </c>
      <c r="L901" s="335">
        <f t="shared" si="192"/>
        <v>0</v>
      </c>
      <c r="M901" s="446"/>
      <c r="N901" s="446"/>
      <c r="O901" s="446"/>
      <c r="P901" s="446"/>
      <c r="Q901" s="110">
        <v>1</v>
      </c>
      <c r="R901" s="111">
        <f t="shared" si="187"/>
        <v>74.75</v>
      </c>
      <c r="S901" s="110"/>
      <c r="T901" s="110"/>
      <c r="U901" s="110">
        <v>0</v>
      </c>
      <c r="V901" s="111">
        <f t="shared" si="189"/>
        <v>74.75</v>
      </c>
      <c r="W901" s="110"/>
      <c r="X901" s="110"/>
      <c r="Y901" s="110"/>
      <c r="Z901" s="110"/>
      <c r="AA901" s="110">
        <v>0</v>
      </c>
      <c r="AB901" s="111">
        <f t="shared" si="193"/>
        <v>74.75</v>
      </c>
      <c r="AC901" s="110"/>
      <c r="AD901" s="110"/>
      <c r="AE901" s="110">
        <v>0</v>
      </c>
      <c r="AF901" s="111">
        <f t="shared" si="191"/>
        <v>74.75</v>
      </c>
      <c r="AG901" s="110"/>
      <c r="AH901" s="110"/>
      <c r="AI901" s="110"/>
      <c r="AJ901" s="110"/>
      <c r="AK901" s="111">
        <f t="shared" si="194"/>
        <v>299</v>
      </c>
      <c r="AL901" s="446">
        <f t="shared" si="195"/>
        <v>0</v>
      </c>
      <c r="AM901" s="110">
        <f t="shared" si="196"/>
        <v>1</v>
      </c>
      <c r="AN901" s="447">
        <f t="shared" si="199"/>
        <v>0</v>
      </c>
      <c r="AO901"/>
      <c r="AP901"/>
    </row>
    <row r="902" spans="1:42" ht="66" x14ac:dyDescent="0.25">
      <c r="A902" s="11"/>
      <c r="B902" s="37" t="s">
        <v>111</v>
      </c>
      <c r="C902" s="23"/>
      <c r="D902" s="869">
        <v>4</v>
      </c>
      <c r="E902" s="1027" t="s">
        <v>1725</v>
      </c>
      <c r="F902" s="273" t="s">
        <v>3446</v>
      </c>
      <c r="G902" s="1040" t="s">
        <v>3463</v>
      </c>
      <c r="H902" s="273" t="s">
        <v>3462</v>
      </c>
      <c r="I902" s="720">
        <f t="shared" si="197"/>
        <v>138.11000000000001</v>
      </c>
      <c r="J902" s="765">
        <v>552.44000000000005</v>
      </c>
      <c r="K902" s="131">
        <f t="shared" si="198"/>
        <v>552.44000000000005</v>
      </c>
      <c r="L902" s="335">
        <f t="shared" si="192"/>
        <v>0</v>
      </c>
      <c r="M902" s="446"/>
      <c r="N902" s="446"/>
      <c r="O902" s="446"/>
      <c r="P902" s="446"/>
      <c r="Q902" s="110">
        <f t="shared" si="186"/>
        <v>1</v>
      </c>
      <c r="R902" s="111">
        <f t="shared" si="187"/>
        <v>138.11000000000001</v>
      </c>
      <c r="S902" s="110"/>
      <c r="T902" s="110"/>
      <c r="U902" s="110">
        <f t="shared" si="188"/>
        <v>1</v>
      </c>
      <c r="V902" s="111">
        <f t="shared" si="189"/>
        <v>138.11000000000001</v>
      </c>
      <c r="W902" s="110"/>
      <c r="X902" s="110"/>
      <c r="Y902" s="110"/>
      <c r="Z902" s="110"/>
      <c r="AA902" s="110">
        <f t="shared" si="190"/>
        <v>1</v>
      </c>
      <c r="AB902" s="111">
        <f t="shared" si="193"/>
        <v>138.11000000000001</v>
      </c>
      <c r="AC902" s="110"/>
      <c r="AD902" s="110"/>
      <c r="AE902" s="110">
        <f t="shared" si="190"/>
        <v>1</v>
      </c>
      <c r="AF902" s="111">
        <f t="shared" si="191"/>
        <v>138.11000000000001</v>
      </c>
      <c r="AG902" s="110"/>
      <c r="AH902" s="110"/>
      <c r="AI902" s="110"/>
      <c r="AJ902" s="110"/>
      <c r="AK902" s="111">
        <f t="shared" si="194"/>
        <v>552.44000000000005</v>
      </c>
      <c r="AL902" s="446">
        <f t="shared" si="195"/>
        <v>0</v>
      </c>
      <c r="AM902" s="110">
        <f t="shared" si="196"/>
        <v>4</v>
      </c>
      <c r="AN902" s="447">
        <f t="shared" si="199"/>
        <v>0</v>
      </c>
      <c r="AO902"/>
      <c r="AP902"/>
    </row>
    <row r="903" spans="1:42" ht="66" x14ac:dyDescent="0.25">
      <c r="A903" s="11"/>
      <c r="B903" s="37" t="s">
        <v>116</v>
      </c>
      <c r="C903" s="23"/>
      <c r="D903" s="869">
        <v>6</v>
      </c>
      <c r="E903" s="1027" t="s">
        <v>1721</v>
      </c>
      <c r="F903" s="273" t="s">
        <v>3446</v>
      </c>
      <c r="G903" s="1040" t="s">
        <v>3463</v>
      </c>
      <c r="H903" s="273" t="s">
        <v>3462</v>
      </c>
      <c r="I903" s="720">
        <f t="shared" si="197"/>
        <v>32.96</v>
      </c>
      <c r="J903" s="765">
        <v>197.76</v>
      </c>
      <c r="K903" s="131">
        <f t="shared" si="198"/>
        <v>197.76</v>
      </c>
      <c r="L903" s="335">
        <f t="shared" si="192"/>
        <v>0</v>
      </c>
      <c r="M903" s="446"/>
      <c r="N903" s="446"/>
      <c r="O903" s="446"/>
      <c r="P903" s="446"/>
      <c r="Q903" s="130">
        <v>2</v>
      </c>
      <c r="R903" s="111">
        <f t="shared" si="187"/>
        <v>49.44</v>
      </c>
      <c r="S903" s="110"/>
      <c r="T903" s="110"/>
      <c r="U903" s="130">
        <v>2</v>
      </c>
      <c r="V903" s="111">
        <f t="shared" si="189"/>
        <v>49.44</v>
      </c>
      <c r="W903" s="110"/>
      <c r="X903" s="110"/>
      <c r="Y903" s="110"/>
      <c r="Z903" s="110"/>
      <c r="AA903" s="130">
        <v>1</v>
      </c>
      <c r="AB903" s="111">
        <f t="shared" si="193"/>
        <v>49.44</v>
      </c>
      <c r="AC903" s="110"/>
      <c r="AD903" s="110"/>
      <c r="AE903" s="130">
        <v>1</v>
      </c>
      <c r="AF903" s="111">
        <f t="shared" si="191"/>
        <v>49.44</v>
      </c>
      <c r="AG903" s="110"/>
      <c r="AH903" s="110"/>
      <c r="AI903" s="110"/>
      <c r="AJ903" s="110"/>
      <c r="AK903" s="111">
        <f t="shared" si="194"/>
        <v>197.76</v>
      </c>
      <c r="AL903" s="446">
        <f t="shared" si="195"/>
        <v>0</v>
      </c>
      <c r="AM903" s="110">
        <f t="shared" si="196"/>
        <v>6</v>
      </c>
      <c r="AN903" s="447">
        <f t="shared" si="199"/>
        <v>0</v>
      </c>
      <c r="AO903"/>
      <c r="AP903"/>
    </row>
    <row r="904" spans="1:42" ht="66" x14ac:dyDescent="0.25">
      <c r="A904" s="11"/>
      <c r="B904" s="43" t="s">
        <v>123</v>
      </c>
      <c r="C904" s="23"/>
      <c r="D904" s="869">
        <v>6</v>
      </c>
      <c r="E904" s="1027" t="s">
        <v>1725</v>
      </c>
      <c r="F904" s="273" t="s">
        <v>3446</v>
      </c>
      <c r="G904" s="1040" t="s">
        <v>3463</v>
      </c>
      <c r="H904" s="273" t="s">
        <v>3462</v>
      </c>
      <c r="I904" s="720">
        <f t="shared" si="197"/>
        <v>27.709999999999997</v>
      </c>
      <c r="J904" s="765">
        <v>166.26</v>
      </c>
      <c r="K904" s="131">
        <f t="shared" si="198"/>
        <v>166.26</v>
      </c>
      <c r="L904" s="335">
        <f t="shared" si="192"/>
        <v>0</v>
      </c>
      <c r="M904" s="446"/>
      <c r="N904" s="446"/>
      <c r="O904" s="446"/>
      <c r="P904" s="446"/>
      <c r="Q904" s="130">
        <v>2</v>
      </c>
      <c r="R904" s="111">
        <f t="shared" si="187"/>
        <v>41.564999999999998</v>
      </c>
      <c r="S904" s="110"/>
      <c r="T904" s="110"/>
      <c r="U904" s="130">
        <v>2</v>
      </c>
      <c r="V904" s="111">
        <f t="shared" si="189"/>
        <v>41.564999999999998</v>
      </c>
      <c r="W904" s="110"/>
      <c r="X904" s="110"/>
      <c r="Y904" s="110"/>
      <c r="Z904" s="110"/>
      <c r="AA904" s="130">
        <v>1</v>
      </c>
      <c r="AB904" s="111">
        <f t="shared" si="193"/>
        <v>41.564999999999998</v>
      </c>
      <c r="AC904" s="110"/>
      <c r="AD904" s="110"/>
      <c r="AE904" s="130">
        <v>1</v>
      </c>
      <c r="AF904" s="111">
        <f t="shared" si="191"/>
        <v>41.564999999999998</v>
      </c>
      <c r="AG904" s="110"/>
      <c r="AH904" s="110"/>
      <c r="AI904" s="110"/>
      <c r="AJ904" s="110"/>
      <c r="AK904" s="111">
        <f t="shared" si="194"/>
        <v>166.26</v>
      </c>
      <c r="AL904" s="446">
        <f t="shared" si="195"/>
        <v>0</v>
      </c>
      <c r="AM904" s="110">
        <f t="shared" si="196"/>
        <v>6</v>
      </c>
      <c r="AN904" s="447">
        <f t="shared" si="199"/>
        <v>0</v>
      </c>
      <c r="AO904"/>
      <c r="AP904"/>
    </row>
    <row r="905" spans="1:42" ht="66" x14ac:dyDescent="0.25">
      <c r="A905" s="11"/>
      <c r="B905" s="480" t="s">
        <v>1934</v>
      </c>
      <c r="C905" s="23"/>
      <c r="D905" s="867">
        <v>600</v>
      </c>
      <c r="E905" s="1027" t="s">
        <v>1772</v>
      </c>
      <c r="F905" s="273" t="s">
        <v>3446</v>
      </c>
      <c r="G905" s="1040" t="s">
        <v>3463</v>
      </c>
      <c r="H905" s="273" t="s">
        <v>3462</v>
      </c>
      <c r="I905" s="720">
        <f t="shared" si="197"/>
        <v>85.05</v>
      </c>
      <c r="J905" s="765">
        <v>51030</v>
      </c>
      <c r="K905" s="131">
        <f t="shared" si="198"/>
        <v>51030</v>
      </c>
      <c r="L905" s="335">
        <f t="shared" si="192"/>
        <v>0</v>
      </c>
      <c r="M905" s="446"/>
      <c r="N905" s="446"/>
      <c r="O905" s="446"/>
      <c r="P905" s="446"/>
      <c r="Q905" s="110">
        <f t="shared" si="186"/>
        <v>150</v>
      </c>
      <c r="R905" s="111">
        <f t="shared" si="187"/>
        <v>12757.5</v>
      </c>
      <c r="S905" s="110"/>
      <c r="T905" s="110"/>
      <c r="U905" s="110">
        <f t="shared" si="188"/>
        <v>150</v>
      </c>
      <c r="V905" s="111">
        <f t="shared" si="189"/>
        <v>12757.5</v>
      </c>
      <c r="W905" s="110"/>
      <c r="X905" s="110"/>
      <c r="Y905" s="110"/>
      <c r="Z905" s="110"/>
      <c r="AA905" s="110">
        <f t="shared" si="190"/>
        <v>150</v>
      </c>
      <c r="AB905" s="111">
        <f t="shared" si="193"/>
        <v>12757.5</v>
      </c>
      <c r="AC905" s="110"/>
      <c r="AD905" s="110"/>
      <c r="AE905" s="110">
        <f t="shared" si="190"/>
        <v>150</v>
      </c>
      <c r="AF905" s="111">
        <f t="shared" si="191"/>
        <v>12757.5</v>
      </c>
      <c r="AG905" s="110"/>
      <c r="AH905" s="110"/>
      <c r="AI905" s="110"/>
      <c r="AJ905" s="110"/>
      <c r="AK905" s="111">
        <f t="shared" si="194"/>
        <v>51030</v>
      </c>
      <c r="AL905" s="446">
        <f t="shared" si="195"/>
        <v>0</v>
      </c>
      <c r="AM905" s="110">
        <f t="shared" si="196"/>
        <v>600</v>
      </c>
      <c r="AN905" s="447">
        <f t="shared" si="199"/>
        <v>0</v>
      </c>
      <c r="AO905"/>
      <c r="AP905"/>
    </row>
    <row r="906" spans="1:42" ht="66" x14ac:dyDescent="0.25">
      <c r="A906" s="11"/>
      <c r="B906" s="480" t="s">
        <v>1935</v>
      </c>
      <c r="C906" s="23"/>
      <c r="D906" s="869">
        <v>120</v>
      </c>
      <c r="E906" s="1027" t="s">
        <v>1772</v>
      </c>
      <c r="F906" s="273" t="s">
        <v>3446</v>
      </c>
      <c r="G906" s="1040" t="s">
        <v>3463</v>
      </c>
      <c r="H906" s="273" t="s">
        <v>3462</v>
      </c>
      <c r="I906" s="720">
        <f t="shared" si="197"/>
        <v>123.15</v>
      </c>
      <c r="J906" s="765">
        <v>14778</v>
      </c>
      <c r="K906" s="131">
        <f t="shared" si="198"/>
        <v>14778</v>
      </c>
      <c r="L906" s="335">
        <f t="shared" si="192"/>
        <v>0</v>
      </c>
      <c r="M906" s="446"/>
      <c r="N906" s="446"/>
      <c r="O906" s="446"/>
      <c r="P906" s="446"/>
      <c r="Q906" s="110">
        <v>50</v>
      </c>
      <c r="R906" s="111">
        <f t="shared" si="187"/>
        <v>3694.5</v>
      </c>
      <c r="S906" s="110"/>
      <c r="T906" s="110"/>
      <c r="U906" s="110">
        <v>50</v>
      </c>
      <c r="V906" s="111">
        <f t="shared" si="189"/>
        <v>3694.5</v>
      </c>
      <c r="W906" s="110"/>
      <c r="X906" s="110"/>
      <c r="Y906" s="110"/>
      <c r="Z906" s="110"/>
      <c r="AA906" s="110">
        <v>10</v>
      </c>
      <c r="AB906" s="111">
        <f t="shared" si="193"/>
        <v>3694.5</v>
      </c>
      <c r="AC906" s="110"/>
      <c r="AD906" s="110"/>
      <c r="AE906" s="110">
        <v>10</v>
      </c>
      <c r="AF906" s="111">
        <f t="shared" si="191"/>
        <v>3694.5</v>
      </c>
      <c r="AG906" s="110"/>
      <c r="AH906" s="110"/>
      <c r="AI906" s="110"/>
      <c r="AJ906" s="110"/>
      <c r="AK906" s="111">
        <f t="shared" si="194"/>
        <v>14778</v>
      </c>
      <c r="AL906" s="446">
        <f t="shared" si="195"/>
        <v>0</v>
      </c>
      <c r="AM906" s="110">
        <f t="shared" si="196"/>
        <v>120</v>
      </c>
      <c r="AN906" s="447">
        <f t="shared" si="199"/>
        <v>0</v>
      </c>
      <c r="AO906"/>
      <c r="AP906"/>
    </row>
    <row r="907" spans="1:42" ht="66" x14ac:dyDescent="0.25">
      <c r="A907" s="11"/>
      <c r="B907" s="480" t="s">
        <v>1936</v>
      </c>
      <c r="C907" s="23"/>
      <c r="D907" s="869">
        <v>30</v>
      </c>
      <c r="E907" s="1027" t="s">
        <v>1772</v>
      </c>
      <c r="F907" s="273" t="s">
        <v>3446</v>
      </c>
      <c r="G907" s="1040" t="s">
        <v>3463</v>
      </c>
      <c r="H907" s="273" t="s">
        <v>3462</v>
      </c>
      <c r="I907" s="720">
        <f t="shared" si="197"/>
        <v>71.72</v>
      </c>
      <c r="J907" s="765">
        <v>2151.6</v>
      </c>
      <c r="K907" s="131">
        <f t="shared" si="198"/>
        <v>2151.6</v>
      </c>
      <c r="L907" s="335">
        <f t="shared" si="192"/>
        <v>0</v>
      </c>
      <c r="M907" s="446"/>
      <c r="N907" s="446"/>
      <c r="O907" s="446"/>
      <c r="P907" s="446"/>
      <c r="Q907" s="110">
        <v>8</v>
      </c>
      <c r="R907" s="111">
        <f t="shared" si="187"/>
        <v>537.9</v>
      </c>
      <c r="S907" s="110"/>
      <c r="T907" s="110"/>
      <c r="U907" s="110">
        <v>8</v>
      </c>
      <c r="V907" s="111">
        <f t="shared" si="189"/>
        <v>537.9</v>
      </c>
      <c r="W907" s="110"/>
      <c r="X907" s="110"/>
      <c r="Y907" s="110"/>
      <c r="Z907" s="110"/>
      <c r="AA907" s="110">
        <v>7</v>
      </c>
      <c r="AB907" s="111">
        <f t="shared" si="193"/>
        <v>537.9</v>
      </c>
      <c r="AC907" s="110"/>
      <c r="AD907" s="110"/>
      <c r="AE907" s="110">
        <v>7</v>
      </c>
      <c r="AF907" s="111">
        <f t="shared" si="191"/>
        <v>537.9</v>
      </c>
      <c r="AG907" s="110"/>
      <c r="AH907" s="110"/>
      <c r="AI907" s="110"/>
      <c r="AJ907" s="110"/>
      <c r="AK907" s="111">
        <f t="shared" si="194"/>
        <v>2151.6</v>
      </c>
      <c r="AL907" s="446">
        <f t="shared" si="195"/>
        <v>0</v>
      </c>
      <c r="AM907" s="110">
        <f t="shared" si="196"/>
        <v>30</v>
      </c>
      <c r="AN907" s="447">
        <f t="shared" si="199"/>
        <v>0</v>
      </c>
      <c r="AO907"/>
      <c r="AP907"/>
    </row>
    <row r="908" spans="1:42" ht="66" x14ac:dyDescent="0.25">
      <c r="A908" s="11"/>
      <c r="B908" s="480" t="s">
        <v>1937</v>
      </c>
      <c r="C908" s="23"/>
      <c r="D908" s="869">
        <v>60</v>
      </c>
      <c r="E908" s="1027" t="s">
        <v>1767</v>
      </c>
      <c r="F908" s="273" t="s">
        <v>3446</v>
      </c>
      <c r="G908" s="1040" t="s">
        <v>3463</v>
      </c>
      <c r="H908" s="273" t="s">
        <v>3462</v>
      </c>
      <c r="I908" s="720">
        <f t="shared" si="197"/>
        <v>28.41</v>
      </c>
      <c r="J908" s="765">
        <v>1704.6</v>
      </c>
      <c r="K908" s="131">
        <f t="shared" si="198"/>
        <v>1704.6</v>
      </c>
      <c r="L908" s="335">
        <f t="shared" si="192"/>
        <v>0</v>
      </c>
      <c r="M908" s="446"/>
      <c r="N908" s="446"/>
      <c r="O908" s="446"/>
      <c r="P908" s="446"/>
      <c r="Q908" s="110">
        <f t="shared" si="186"/>
        <v>15</v>
      </c>
      <c r="R908" s="111">
        <f t="shared" si="187"/>
        <v>426.15</v>
      </c>
      <c r="S908" s="110"/>
      <c r="T908" s="110"/>
      <c r="U908" s="110">
        <f t="shared" si="188"/>
        <v>15</v>
      </c>
      <c r="V908" s="111">
        <f t="shared" si="189"/>
        <v>426.15</v>
      </c>
      <c r="W908" s="110"/>
      <c r="X908" s="110"/>
      <c r="Y908" s="110"/>
      <c r="Z908" s="110"/>
      <c r="AA908" s="110">
        <f t="shared" si="190"/>
        <v>15</v>
      </c>
      <c r="AB908" s="111">
        <f t="shared" si="193"/>
        <v>426.15</v>
      </c>
      <c r="AC908" s="110"/>
      <c r="AD908" s="110"/>
      <c r="AE908" s="110">
        <f t="shared" si="190"/>
        <v>15</v>
      </c>
      <c r="AF908" s="111">
        <f t="shared" si="191"/>
        <v>426.15</v>
      </c>
      <c r="AG908" s="110"/>
      <c r="AH908" s="110"/>
      <c r="AI908" s="110"/>
      <c r="AJ908" s="110"/>
      <c r="AK908" s="111">
        <f t="shared" si="194"/>
        <v>1704.6</v>
      </c>
      <c r="AL908" s="446">
        <f t="shared" si="195"/>
        <v>0</v>
      </c>
      <c r="AM908" s="110">
        <f t="shared" si="196"/>
        <v>60</v>
      </c>
      <c r="AN908" s="447">
        <f t="shared" si="199"/>
        <v>0</v>
      </c>
      <c r="AO908"/>
      <c r="AP908"/>
    </row>
    <row r="909" spans="1:42" ht="66" x14ac:dyDescent="0.25">
      <c r="A909" s="11"/>
      <c r="B909" s="480" t="s">
        <v>1938</v>
      </c>
      <c r="C909" s="23"/>
      <c r="D909" s="869">
        <v>24</v>
      </c>
      <c r="E909" s="247" t="s">
        <v>1725</v>
      </c>
      <c r="F909" s="273" t="s">
        <v>3446</v>
      </c>
      <c r="G909" s="1040" t="s">
        <v>3463</v>
      </c>
      <c r="H909" s="273" t="s">
        <v>3462</v>
      </c>
      <c r="I909" s="720">
        <f t="shared" si="197"/>
        <v>147.87</v>
      </c>
      <c r="J909" s="765">
        <v>3548.88</v>
      </c>
      <c r="K909" s="131">
        <f t="shared" si="198"/>
        <v>3548.88</v>
      </c>
      <c r="L909" s="335">
        <f t="shared" si="192"/>
        <v>0</v>
      </c>
      <c r="M909" s="446"/>
      <c r="N909" s="446"/>
      <c r="O909" s="446"/>
      <c r="P909" s="446"/>
      <c r="Q909" s="110">
        <f t="shared" si="186"/>
        <v>6</v>
      </c>
      <c r="R909" s="111">
        <f t="shared" si="187"/>
        <v>887.22</v>
      </c>
      <c r="S909" s="110"/>
      <c r="T909" s="110"/>
      <c r="U909" s="110">
        <f t="shared" si="188"/>
        <v>6</v>
      </c>
      <c r="V909" s="111">
        <f t="shared" si="189"/>
        <v>887.22</v>
      </c>
      <c r="W909" s="110"/>
      <c r="X909" s="110"/>
      <c r="Y909" s="110"/>
      <c r="Z909" s="110"/>
      <c r="AA909" s="110">
        <f t="shared" si="190"/>
        <v>6</v>
      </c>
      <c r="AB909" s="111">
        <f t="shared" si="193"/>
        <v>887.22</v>
      </c>
      <c r="AC909" s="110"/>
      <c r="AD909" s="110"/>
      <c r="AE909" s="110">
        <f t="shared" si="190"/>
        <v>6</v>
      </c>
      <c r="AF909" s="111">
        <f t="shared" si="191"/>
        <v>887.22</v>
      </c>
      <c r="AG909" s="110"/>
      <c r="AH909" s="110"/>
      <c r="AI909" s="110"/>
      <c r="AJ909" s="110"/>
      <c r="AK909" s="111">
        <f t="shared" si="194"/>
        <v>3548.88</v>
      </c>
      <c r="AL909" s="446">
        <f t="shared" si="195"/>
        <v>0</v>
      </c>
      <c r="AM909" s="110">
        <f t="shared" si="196"/>
        <v>24</v>
      </c>
      <c r="AN909" s="447">
        <f t="shared" si="199"/>
        <v>0</v>
      </c>
      <c r="AO909"/>
      <c r="AP909"/>
    </row>
    <row r="910" spans="1:42" ht="66" x14ac:dyDescent="0.25">
      <c r="A910" s="11"/>
      <c r="B910" s="480" t="s">
        <v>1939</v>
      </c>
      <c r="C910" s="23"/>
      <c r="D910" s="869">
        <v>12</v>
      </c>
      <c r="E910" s="247" t="s">
        <v>1725</v>
      </c>
      <c r="F910" s="273" t="s">
        <v>3446</v>
      </c>
      <c r="G910" s="1040" t="s">
        <v>3463</v>
      </c>
      <c r="H910" s="273" t="s">
        <v>3462</v>
      </c>
      <c r="I910" s="720">
        <f t="shared" si="197"/>
        <v>169.56</v>
      </c>
      <c r="J910" s="765">
        <v>2034.72</v>
      </c>
      <c r="K910" s="131">
        <f t="shared" si="198"/>
        <v>2034.72</v>
      </c>
      <c r="L910" s="335">
        <f t="shared" si="192"/>
        <v>0</v>
      </c>
      <c r="M910" s="446"/>
      <c r="N910" s="446"/>
      <c r="O910" s="446"/>
      <c r="P910" s="446"/>
      <c r="Q910" s="110">
        <f t="shared" si="186"/>
        <v>3</v>
      </c>
      <c r="R910" s="111">
        <f t="shared" si="187"/>
        <v>508.68</v>
      </c>
      <c r="S910" s="110"/>
      <c r="T910" s="110"/>
      <c r="U910" s="110">
        <f t="shared" si="188"/>
        <v>3</v>
      </c>
      <c r="V910" s="111">
        <f t="shared" si="189"/>
        <v>508.68</v>
      </c>
      <c r="W910" s="110"/>
      <c r="X910" s="110"/>
      <c r="Y910" s="110"/>
      <c r="Z910" s="110"/>
      <c r="AA910" s="110">
        <f t="shared" si="190"/>
        <v>3</v>
      </c>
      <c r="AB910" s="111">
        <f t="shared" si="193"/>
        <v>508.68</v>
      </c>
      <c r="AC910" s="110"/>
      <c r="AD910" s="110"/>
      <c r="AE910" s="110">
        <f t="shared" si="190"/>
        <v>3</v>
      </c>
      <c r="AF910" s="111">
        <f t="shared" si="191"/>
        <v>508.68</v>
      </c>
      <c r="AG910" s="110"/>
      <c r="AH910" s="110"/>
      <c r="AI910" s="110"/>
      <c r="AJ910" s="110"/>
      <c r="AK910" s="111">
        <f t="shared" si="194"/>
        <v>2034.72</v>
      </c>
      <c r="AL910" s="446">
        <f t="shared" si="195"/>
        <v>0</v>
      </c>
      <c r="AM910" s="110">
        <f t="shared" si="196"/>
        <v>12</v>
      </c>
      <c r="AN910" s="447">
        <f t="shared" si="199"/>
        <v>0</v>
      </c>
      <c r="AO910"/>
      <c r="AP910"/>
    </row>
    <row r="911" spans="1:42" ht="66" x14ac:dyDescent="0.25">
      <c r="A911" s="11"/>
      <c r="B911" s="482" t="s">
        <v>125</v>
      </c>
      <c r="C911" s="23"/>
      <c r="D911" s="869">
        <v>720</v>
      </c>
      <c r="E911" s="1027" t="s">
        <v>1767</v>
      </c>
      <c r="F911" s="273" t="s">
        <v>3446</v>
      </c>
      <c r="G911" s="1040" t="s">
        <v>3463</v>
      </c>
      <c r="H911" s="273" t="s">
        <v>3462</v>
      </c>
      <c r="I911" s="720">
        <f t="shared" si="197"/>
        <v>30.060000000000002</v>
      </c>
      <c r="J911" s="765">
        <v>21643.200000000001</v>
      </c>
      <c r="K911" s="131">
        <f t="shared" si="198"/>
        <v>21643.200000000001</v>
      </c>
      <c r="L911" s="335">
        <f t="shared" si="192"/>
        <v>0</v>
      </c>
      <c r="M911" s="446"/>
      <c r="N911" s="446"/>
      <c r="O911" s="446"/>
      <c r="P911" s="446"/>
      <c r="Q911" s="110">
        <f t="shared" si="186"/>
        <v>180</v>
      </c>
      <c r="R911" s="111">
        <f t="shared" si="187"/>
        <v>5410.8</v>
      </c>
      <c r="S911" s="110"/>
      <c r="T911" s="110"/>
      <c r="U911" s="110">
        <f t="shared" si="188"/>
        <v>180</v>
      </c>
      <c r="V911" s="111">
        <f t="shared" si="189"/>
        <v>5410.8</v>
      </c>
      <c r="W911" s="110"/>
      <c r="X911" s="110"/>
      <c r="Y911" s="110"/>
      <c r="Z911" s="110"/>
      <c r="AA911" s="110">
        <f t="shared" si="190"/>
        <v>180</v>
      </c>
      <c r="AB911" s="111">
        <f t="shared" si="193"/>
        <v>5410.8</v>
      </c>
      <c r="AC911" s="110"/>
      <c r="AD911" s="110"/>
      <c r="AE911" s="110">
        <f t="shared" si="190"/>
        <v>180</v>
      </c>
      <c r="AF911" s="111">
        <f t="shared" si="191"/>
        <v>5410.8</v>
      </c>
      <c r="AG911" s="110"/>
      <c r="AH911" s="110"/>
      <c r="AI911" s="110"/>
      <c r="AJ911" s="110"/>
      <c r="AK911" s="111">
        <f t="shared" si="194"/>
        <v>21643.200000000001</v>
      </c>
      <c r="AL911" s="446">
        <f t="shared" si="195"/>
        <v>0</v>
      </c>
      <c r="AM911" s="110">
        <f t="shared" si="196"/>
        <v>720</v>
      </c>
      <c r="AN911" s="447">
        <f t="shared" si="199"/>
        <v>0</v>
      </c>
      <c r="AO911"/>
      <c r="AP911"/>
    </row>
    <row r="912" spans="1:42" ht="66" x14ac:dyDescent="0.25">
      <c r="A912" s="11"/>
      <c r="B912" s="482" t="s">
        <v>126</v>
      </c>
      <c r="C912" s="23"/>
      <c r="D912" s="869">
        <v>24</v>
      </c>
      <c r="E912" s="1027" t="s">
        <v>1767</v>
      </c>
      <c r="F912" s="273" t="s">
        <v>3446</v>
      </c>
      <c r="G912" s="1040" t="s">
        <v>3463</v>
      </c>
      <c r="H912" s="273" t="s">
        <v>3462</v>
      </c>
      <c r="I912" s="720">
        <f t="shared" si="197"/>
        <v>31</v>
      </c>
      <c r="J912" s="765">
        <v>744</v>
      </c>
      <c r="K912" s="131">
        <f t="shared" si="198"/>
        <v>744</v>
      </c>
      <c r="L912" s="335">
        <f t="shared" si="192"/>
        <v>0</v>
      </c>
      <c r="M912" s="446"/>
      <c r="N912" s="446"/>
      <c r="O912" s="446"/>
      <c r="P912" s="446"/>
      <c r="Q912" s="110">
        <f t="shared" si="186"/>
        <v>6</v>
      </c>
      <c r="R912" s="111">
        <f t="shared" si="187"/>
        <v>186</v>
      </c>
      <c r="S912" s="110"/>
      <c r="T912" s="110"/>
      <c r="U912" s="110">
        <f t="shared" si="188"/>
        <v>6</v>
      </c>
      <c r="V912" s="111">
        <f t="shared" si="189"/>
        <v>186</v>
      </c>
      <c r="W912" s="110"/>
      <c r="X912" s="110"/>
      <c r="Y912" s="110"/>
      <c r="Z912" s="110"/>
      <c r="AA912" s="110">
        <f t="shared" si="190"/>
        <v>6</v>
      </c>
      <c r="AB912" s="111">
        <f t="shared" si="193"/>
        <v>186</v>
      </c>
      <c r="AC912" s="110"/>
      <c r="AD912" s="110"/>
      <c r="AE912" s="110">
        <f t="shared" si="190"/>
        <v>6</v>
      </c>
      <c r="AF912" s="111">
        <f t="shared" si="191"/>
        <v>186</v>
      </c>
      <c r="AG912" s="110"/>
      <c r="AH912" s="110"/>
      <c r="AI912" s="110"/>
      <c r="AJ912" s="110"/>
      <c r="AK912" s="111">
        <f t="shared" si="194"/>
        <v>744</v>
      </c>
      <c r="AL912" s="446">
        <f t="shared" si="195"/>
        <v>0</v>
      </c>
      <c r="AM912" s="110">
        <f t="shared" si="196"/>
        <v>24</v>
      </c>
      <c r="AN912" s="447">
        <f t="shared" si="199"/>
        <v>0</v>
      </c>
      <c r="AO912"/>
      <c r="AP912"/>
    </row>
    <row r="913" spans="1:42" ht="66" x14ac:dyDescent="0.25">
      <c r="A913" s="11"/>
      <c r="B913" s="478" t="s">
        <v>1940</v>
      </c>
      <c r="C913" s="23"/>
      <c r="D913" s="874">
        <v>25</v>
      </c>
      <c r="E913" s="1027" t="s">
        <v>1931</v>
      </c>
      <c r="F913" s="278" t="s">
        <v>3446</v>
      </c>
      <c r="G913" s="1040" t="s">
        <v>3463</v>
      </c>
      <c r="H913" s="273" t="s">
        <v>3462</v>
      </c>
      <c r="I913" s="720">
        <f t="shared" si="197"/>
        <v>61.59</v>
      </c>
      <c r="J913" s="765">
        <v>1539.75</v>
      </c>
      <c r="K913" s="131">
        <f t="shared" si="198"/>
        <v>1539.75</v>
      </c>
      <c r="L913" s="335">
        <f t="shared" si="192"/>
        <v>0</v>
      </c>
      <c r="M913" s="446"/>
      <c r="N913" s="446"/>
      <c r="O913" s="446"/>
      <c r="P913" s="446"/>
      <c r="Q913" s="110">
        <v>7</v>
      </c>
      <c r="R913" s="111">
        <f t="shared" si="187"/>
        <v>384.9375</v>
      </c>
      <c r="S913" s="110"/>
      <c r="T913" s="110"/>
      <c r="U913" s="110">
        <v>6</v>
      </c>
      <c r="V913" s="111">
        <f t="shared" si="189"/>
        <v>384.9375</v>
      </c>
      <c r="W913" s="110"/>
      <c r="X913" s="110"/>
      <c r="Y913" s="110"/>
      <c r="Z913" s="110"/>
      <c r="AA913" s="110">
        <v>6</v>
      </c>
      <c r="AB913" s="111">
        <f t="shared" si="193"/>
        <v>384.9375</v>
      </c>
      <c r="AC913" s="110"/>
      <c r="AD913" s="110"/>
      <c r="AE913" s="110">
        <v>6</v>
      </c>
      <c r="AF913" s="111">
        <f t="shared" si="191"/>
        <v>384.9375</v>
      </c>
      <c r="AG913" s="110"/>
      <c r="AH913" s="110"/>
      <c r="AI913" s="110"/>
      <c r="AJ913" s="110"/>
      <c r="AK913" s="111">
        <f t="shared" si="194"/>
        <v>1539.75</v>
      </c>
      <c r="AL913" s="446">
        <f t="shared" si="195"/>
        <v>0</v>
      </c>
      <c r="AM913" s="110">
        <f t="shared" si="196"/>
        <v>25</v>
      </c>
      <c r="AN913" s="447">
        <f t="shared" si="199"/>
        <v>0</v>
      </c>
      <c r="AO913"/>
      <c r="AP913"/>
    </row>
    <row r="914" spans="1:42" ht="66" x14ac:dyDescent="0.25">
      <c r="A914" s="11"/>
      <c r="B914" s="478" t="s">
        <v>1941</v>
      </c>
      <c r="C914" s="23"/>
      <c r="D914" s="874">
        <v>25</v>
      </c>
      <c r="E914" s="1027" t="s">
        <v>1931</v>
      </c>
      <c r="F914" s="278" t="s">
        <v>3446</v>
      </c>
      <c r="G914" s="1040" t="s">
        <v>3463</v>
      </c>
      <c r="H914" s="273" t="s">
        <v>3462</v>
      </c>
      <c r="I914" s="720">
        <f t="shared" si="197"/>
        <v>106.8</v>
      </c>
      <c r="J914" s="765">
        <v>2670</v>
      </c>
      <c r="K914" s="131">
        <f t="shared" si="198"/>
        <v>2670</v>
      </c>
      <c r="L914" s="335">
        <f t="shared" si="192"/>
        <v>0</v>
      </c>
      <c r="M914" s="446"/>
      <c r="N914" s="446"/>
      <c r="O914" s="446"/>
      <c r="P914" s="446"/>
      <c r="Q914" s="110">
        <v>7</v>
      </c>
      <c r="R914" s="111">
        <f t="shared" si="187"/>
        <v>667.5</v>
      </c>
      <c r="S914" s="110"/>
      <c r="T914" s="110"/>
      <c r="U914" s="110">
        <v>6</v>
      </c>
      <c r="V914" s="111">
        <f t="shared" si="189"/>
        <v>667.5</v>
      </c>
      <c r="W914" s="110"/>
      <c r="X914" s="110"/>
      <c r="Y914" s="110"/>
      <c r="Z914" s="110"/>
      <c r="AA914" s="110">
        <v>6</v>
      </c>
      <c r="AB914" s="111">
        <f t="shared" si="193"/>
        <v>667.5</v>
      </c>
      <c r="AC914" s="110"/>
      <c r="AD914" s="110"/>
      <c r="AE914" s="110">
        <v>6</v>
      </c>
      <c r="AF914" s="111">
        <f t="shared" si="191"/>
        <v>667.5</v>
      </c>
      <c r="AG914" s="110"/>
      <c r="AH914" s="110"/>
      <c r="AI914" s="110"/>
      <c r="AJ914" s="110"/>
      <c r="AK914" s="111">
        <f t="shared" si="194"/>
        <v>2670</v>
      </c>
      <c r="AL914" s="446">
        <f t="shared" si="195"/>
        <v>0</v>
      </c>
      <c r="AM914" s="110">
        <f t="shared" si="196"/>
        <v>25</v>
      </c>
      <c r="AN914" s="447">
        <f t="shared" si="199"/>
        <v>0</v>
      </c>
      <c r="AO914"/>
      <c r="AP914"/>
    </row>
    <row r="915" spans="1:42" ht="66" x14ac:dyDescent="0.25">
      <c r="A915" s="11"/>
      <c r="B915" s="478" t="s">
        <v>130</v>
      </c>
      <c r="C915" s="23"/>
      <c r="D915" s="874">
        <v>20</v>
      </c>
      <c r="E915" s="1027" t="s">
        <v>1933</v>
      </c>
      <c r="F915" s="273" t="s">
        <v>3446</v>
      </c>
      <c r="G915" s="1040" t="s">
        <v>3463</v>
      </c>
      <c r="H915" s="273" t="s">
        <v>3462</v>
      </c>
      <c r="I915" s="720">
        <f t="shared" si="197"/>
        <v>2.81</v>
      </c>
      <c r="J915" s="765">
        <v>56.2</v>
      </c>
      <c r="K915" s="131">
        <f t="shared" si="198"/>
        <v>56.2</v>
      </c>
      <c r="L915" s="335">
        <f t="shared" si="192"/>
        <v>0</v>
      </c>
      <c r="M915" s="446"/>
      <c r="N915" s="446"/>
      <c r="O915" s="446"/>
      <c r="P915" s="446"/>
      <c r="Q915" s="110">
        <f t="shared" si="186"/>
        <v>5</v>
      </c>
      <c r="R915" s="111">
        <f t="shared" si="187"/>
        <v>14.05</v>
      </c>
      <c r="S915" s="110"/>
      <c r="T915" s="110"/>
      <c r="U915" s="110">
        <f t="shared" si="188"/>
        <v>5</v>
      </c>
      <c r="V915" s="111">
        <f t="shared" si="189"/>
        <v>14.05</v>
      </c>
      <c r="W915" s="110"/>
      <c r="X915" s="110"/>
      <c r="Y915" s="110"/>
      <c r="Z915" s="110"/>
      <c r="AA915" s="110">
        <f t="shared" si="190"/>
        <v>5</v>
      </c>
      <c r="AB915" s="111">
        <f t="shared" si="193"/>
        <v>14.05</v>
      </c>
      <c r="AC915" s="110"/>
      <c r="AD915" s="110"/>
      <c r="AE915" s="110">
        <f t="shared" si="190"/>
        <v>5</v>
      </c>
      <c r="AF915" s="111">
        <f t="shared" si="191"/>
        <v>14.05</v>
      </c>
      <c r="AG915" s="110"/>
      <c r="AH915" s="110"/>
      <c r="AI915" s="110"/>
      <c r="AJ915" s="110"/>
      <c r="AK915" s="111">
        <f t="shared" si="194"/>
        <v>56.2</v>
      </c>
      <c r="AL915" s="446">
        <f t="shared" si="195"/>
        <v>0</v>
      </c>
      <c r="AM915" s="110">
        <f t="shared" si="196"/>
        <v>20</v>
      </c>
      <c r="AN915" s="447">
        <f t="shared" si="199"/>
        <v>0</v>
      </c>
      <c r="AO915"/>
      <c r="AP915"/>
    </row>
    <row r="916" spans="1:42" ht="66" x14ac:dyDescent="0.25">
      <c r="A916" s="11"/>
      <c r="B916" s="480" t="s">
        <v>1942</v>
      </c>
      <c r="C916" s="23"/>
      <c r="D916" s="874">
        <v>24</v>
      </c>
      <c r="E916" s="1027" t="s">
        <v>1933</v>
      </c>
      <c r="F916" s="273" t="s">
        <v>3446</v>
      </c>
      <c r="G916" s="1040" t="s">
        <v>3463</v>
      </c>
      <c r="H916" s="273" t="s">
        <v>3462</v>
      </c>
      <c r="I916" s="720">
        <f t="shared" si="197"/>
        <v>12.85</v>
      </c>
      <c r="J916" s="765">
        <v>308.39999999999998</v>
      </c>
      <c r="K916" s="131">
        <f t="shared" si="198"/>
        <v>308.39999999999998</v>
      </c>
      <c r="L916" s="335">
        <f t="shared" si="192"/>
        <v>0</v>
      </c>
      <c r="M916" s="446"/>
      <c r="N916" s="446"/>
      <c r="O916" s="446"/>
      <c r="P916" s="446"/>
      <c r="Q916" s="110">
        <f t="shared" si="186"/>
        <v>6</v>
      </c>
      <c r="R916" s="111">
        <f t="shared" si="187"/>
        <v>77.099999999999994</v>
      </c>
      <c r="S916" s="110"/>
      <c r="T916" s="110"/>
      <c r="U916" s="110">
        <f t="shared" si="188"/>
        <v>6</v>
      </c>
      <c r="V916" s="111">
        <f t="shared" si="189"/>
        <v>77.099999999999994</v>
      </c>
      <c r="W916" s="110"/>
      <c r="X916" s="110"/>
      <c r="Y916" s="110"/>
      <c r="Z916" s="110"/>
      <c r="AA916" s="110">
        <f t="shared" si="190"/>
        <v>6</v>
      </c>
      <c r="AB916" s="111">
        <f t="shared" si="193"/>
        <v>77.099999999999994</v>
      </c>
      <c r="AC916" s="110"/>
      <c r="AD916" s="110"/>
      <c r="AE916" s="110">
        <f t="shared" si="190"/>
        <v>6</v>
      </c>
      <c r="AF916" s="111">
        <f t="shared" si="191"/>
        <v>77.099999999999994</v>
      </c>
      <c r="AG916" s="110"/>
      <c r="AH916" s="110"/>
      <c r="AI916" s="110"/>
      <c r="AJ916" s="110"/>
      <c r="AK916" s="111">
        <f t="shared" si="194"/>
        <v>308.39999999999998</v>
      </c>
      <c r="AL916" s="446">
        <f t="shared" si="195"/>
        <v>0</v>
      </c>
      <c r="AM916" s="110">
        <f t="shared" si="196"/>
        <v>24</v>
      </c>
      <c r="AN916" s="447">
        <f t="shared" si="199"/>
        <v>0</v>
      </c>
      <c r="AO916"/>
      <c r="AP916"/>
    </row>
    <row r="917" spans="1:42" ht="66" x14ac:dyDescent="0.25">
      <c r="A917" s="11"/>
      <c r="B917" s="480" t="s">
        <v>1943</v>
      </c>
      <c r="C917" s="23"/>
      <c r="D917" s="874">
        <v>5</v>
      </c>
      <c r="E917" s="1027" t="s">
        <v>1933</v>
      </c>
      <c r="F917" s="278" t="s">
        <v>3446</v>
      </c>
      <c r="G917" s="1040" t="s">
        <v>3463</v>
      </c>
      <c r="H917" s="273" t="s">
        <v>3462</v>
      </c>
      <c r="I917" s="720">
        <f t="shared" si="197"/>
        <v>500</v>
      </c>
      <c r="J917" s="765">
        <v>2500</v>
      </c>
      <c r="K917" s="131">
        <f t="shared" si="198"/>
        <v>2500</v>
      </c>
      <c r="L917" s="335">
        <f t="shared" si="192"/>
        <v>0</v>
      </c>
      <c r="M917" s="446"/>
      <c r="N917" s="446"/>
      <c r="O917" s="446"/>
      <c r="P917" s="446"/>
      <c r="Q917" s="110">
        <v>2</v>
      </c>
      <c r="R917" s="111">
        <f t="shared" si="187"/>
        <v>625</v>
      </c>
      <c r="S917" s="110"/>
      <c r="T917" s="110"/>
      <c r="U917" s="110">
        <v>1</v>
      </c>
      <c r="V917" s="111">
        <f t="shared" si="189"/>
        <v>625</v>
      </c>
      <c r="W917" s="110"/>
      <c r="X917" s="110"/>
      <c r="Y917" s="110"/>
      <c r="Z917" s="110"/>
      <c r="AA917" s="110">
        <v>1</v>
      </c>
      <c r="AB917" s="111">
        <f t="shared" si="193"/>
        <v>625</v>
      </c>
      <c r="AC917" s="110"/>
      <c r="AD917" s="110"/>
      <c r="AE917" s="110">
        <v>1</v>
      </c>
      <c r="AF917" s="111">
        <f t="shared" si="191"/>
        <v>625</v>
      </c>
      <c r="AG917" s="110"/>
      <c r="AH917" s="110"/>
      <c r="AI917" s="110"/>
      <c r="AJ917" s="110"/>
      <c r="AK917" s="111">
        <f t="shared" si="194"/>
        <v>2500</v>
      </c>
      <c r="AL917" s="446">
        <f t="shared" si="195"/>
        <v>0</v>
      </c>
      <c r="AM917" s="110">
        <f t="shared" si="196"/>
        <v>5</v>
      </c>
      <c r="AN917" s="447">
        <f t="shared" si="199"/>
        <v>0</v>
      </c>
      <c r="AO917"/>
      <c r="AP917"/>
    </row>
    <row r="918" spans="1:42" ht="66" x14ac:dyDescent="0.25">
      <c r="A918" s="11"/>
      <c r="B918" s="480" t="s">
        <v>128</v>
      </c>
      <c r="C918" s="23"/>
      <c r="D918" s="874">
        <v>24</v>
      </c>
      <c r="E918" s="1027" t="s">
        <v>1766</v>
      </c>
      <c r="F918" s="273" t="s">
        <v>3446</v>
      </c>
      <c r="G918" s="1040" t="s">
        <v>3463</v>
      </c>
      <c r="H918" s="273" t="s">
        <v>3462</v>
      </c>
      <c r="I918" s="720">
        <f t="shared" si="197"/>
        <v>35.869999999999997</v>
      </c>
      <c r="J918" s="765">
        <v>860.87999999999988</v>
      </c>
      <c r="K918" s="131">
        <f t="shared" si="198"/>
        <v>860.87999999999988</v>
      </c>
      <c r="L918" s="335">
        <f t="shared" si="192"/>
        <v>0</v>
      </c>
      <c r="M918" s="446"/>
      <c r="N918" s="446"/>
      <c r="O918" s="446"/>
      <c r="P918" s="446"/>
      <c r="Q918" s="110">
        <f t="shared" si="186"/>
        <v>6</v>
      </c>
      <c r="R918" s="111">
        <f t="shared" si="187"/>
        <v>215.21999999999997</v>
      </c>
      <c r="S918" s="110"/>
      <c r="T918" s="110"/>
      <c r="U918" s="110">
        <f t="shared" si="188"/>
        <v>6</v>
      </c>
      <c r="V918" s="111">
        <f t="shared" si="189"/>
        <v>215.21999999999997</v>
      </c>
      <c r="W918" s="110"/>
      <c r="X918" s="110"/>
      <c r="Y918" s="110"/>
      <c r="Z918" s="110"/>
      <c r="AA918" s="110">
        <f t="shared" si="190"/>
        <v>6</v>
      </c>
      <c r="AB918" s="111">
        <f t="shared" si="193"/>
        <v>215.21999999999997</v>
      </c>
      <c r="AC918" s="110"/>
      <c r="AD918" s="110"/>
      <c r="AE918" s="110">
        <f t="shared" si="190"/>
        <v>6</v>
      </c>
      <c r="AF918" s="111">
        <f t="shared" si="191"/>
        <v>215.21999999999997</v>
      </c>
      <c r="AG918" s="110"/>
      <c r="AH918" s="110"/>
      <c r="AI918" s="110"/>
      <c r="AJ918" s="110"/>
      <c r="AK918" s="111">
        <f t="shared" si="194"/>
        <v>860.87999999999988</v>
      </c>
      <c r="AL918" s="446">
        <f t="shared" si="195"/>
        <v>0</v>
      </c>
      <c r="AM918" s="110">
        <f t="shared" si="196"/>
        <v>24</v>
      </c>
      <c r="AN918" s="447">
        <f t="shared" si="199"/>
        <v>0</v>
      </c>
      <c r="AO918"/>
      <c r="AP918"/>
    </row>
    <row r="919" spans="1:42" ht="66" x14ac:dyDescent="0.25">
      <c r="A919" s="11"/>
      <c r="B919" s="480" t="s">
        <v>1944</v>
      </c>
      <c r="C919" s="23"/>
      <c r="D919" s="874">
        <v>12</v>
      </c>
      <c r="E919" s="1027" t="s">
        <v>1949</v>
      </c>
      <c r="F919" s="273" t="s">
        <v>3446</v>
      </c>
      <c r="G919" s="1040" t="s">
        <v>3463</v>
      </c>
      <c r="H919" s="273" t="s">
        <v>3462</v>
      </c>
      <c r="I919" s="720">
        <f t="shared" si="197"/>
        <v>14.36</v>
      </c>
      <c r="J919" s="765">
        <v>172.32</v>
      </c>
      <c r="K919" s="131">
        <f t="shared" si="198"/>
        <v>172.32</v>
      </c>
      <c r="L919" s="335">
        <f t="shared" si="192"/>
        <v>0</v>
      </c>
      <c r="M919" s="446"/>
      <c r="N919" s="446"/>
      <c r="O919" s="446"/>
      <c r="P919" s="446"/>
      <c r="Q919" s="110">
        <f t="shared" si="186"/>
        <v>3</v>
      </c>
      <c r="R919" s="111">
        <f t="shared" si="187"/>
        <v>43.08</v>
      </c>
      <c r="S919" s="110"/>
      <c r="T919" s="110"/>
      <c r="U919" s="110">
        <f t="shared" si="188"/>
        <v>3</v>
      </c>
      <c r="V919" s="111">
        <f t="shared" si="189"/>
        <v>43.08</v>
      </c>
      <c r="W919" s="110"/>
      <c r="X919" s="110"/>
      <c r="Y919" s="110"/>
      <c r="Z919" s="110"/>
      <c r="AA919" s="110">
        <f t="shared" si="190"/>
        <v>3</v>
      </c>
      <c r="AB919" s="111">
        <f t="shared" si="193"/>
        <v>43.08</v>
      </c>
      <c r="AC919" s="110"/>
      <c r="AD919" s="110"/>
      <c r="AE919" s="110">
        <f t="shared" si="190"/>
        <v>3</v>
      </c>
      <c r="AF919" s="111">
        <f t="shared" si="191"/>
        <v>43.08</v>
      </c>
      <c r="AG919" s="110"/>
      <c r="AH919" s="110"/>
      <c r="AI919" s="110"/>
      <c r="AJ919" s="110"/>
      <c r="AK919" s="111">
        <f t="shared" si="194"/>
        <v>172.32</v>
      </c>
      <c r="AL919" s="446">
        <f t="shared" si="195"/>
        <v>0</v>
      </c>
      <c r="AM919" s="110">
        <f t="shared" si="196"/>
        <v>12</v>
      </c>
      <c r="AN919" s="447">
        <f t="shared" si="199"/>
        <v>0</v>
      </c>
      <c r="AO919"/>
      <c r="AP919"/>
    </row>
    <row r="920" spans="1:42" ht="66" x14ac:dyDescent="0.25">
      <c r="A920" s="11"/>
      <c r="B920" s="481" t="s">
        <v>1945</v>
      </c>
      <c r="C920" s="23"/>
      <c r="D920" s="875">
        <v>4</v>
      </c>
      <c r="E920" s="1027" t="s">
        <v>1806</v>
      </c>
      <c r="F920" s="273" t="s">
        <v>3446</v>
      </c>
      <c r="G920" s="1040" t="s">
        <v>3463</v>
      </c>
      <c r="H920" s="273" t="s">
        <v>3462</v>
      </c>
      <c r="I920" s="720">
        <f t="shared" si="197"/>
        <v>92.18</v>
      </c>
      <c r="J920" s="765">
        <v>368.72</v>
      </c>
      <c r="K920" s="131">
        <f t="shared" si="198"/>
        <v>368.72</v>
      </c>
      <c r="L920" s="335">
        <f t="shared" si="192"/>
        <v>0</v>
      </c>
      <c r="M920" s="446"/>
      <c r="N920" s="446"/>
      <c r="O920" s="446"/>
      <c r="P920" s="446"/>
      <c r="Q920" s="110">
        <f t="shared" si="186"/>
        <v>1</v>
      </c>
      <c r="R920" s="111">
        <f t="shared" si="187"/>
        <v>92.18</v>
      </c>
      <c r="S920" s="110"/>
      <c r="T920" s="110"/>
      <c r="U920" s="110">
        <f t="shared" si="188"/>
        <v>1</v>
      </c>
      <c r="V920" s="111">
        <f t="shared" si="189"/>
        <v>92.18</v>
      </c>
      <c r="W920" s="110"/>
      <c r="X920" s="110"/>
      <c r="Y920" s="110"/>
      <c r="Z920" s="110"/>
      <c r="AA920" s="110">
        <f t="shared" si="190"/>
        <v>1</v>
      </c>
      <c r="AB920" s="111">
        <f t="shared" si="193"/>
        <v>92.18</v>
      </c>
      <c r="AC920" s="110"/>
      <c r="AD920" s="110"/>
      <c r="AE920" s="110">
        <f t="shared" si="190"/>
        <v>1</v>
      </c>
      <c r="AF920" s="111">
        <f t="shared" si="191"/>
        <v>92.18</v>
      </c>
      <c r="AG920" s="110"/>
      <c r="AH920" s="110"/>
      <c r="AI920" s="110"/>
      <c r="AJ920" s="110"/>
      <c r="AK920" s="111">
        <f t="shared" si="194"/>
        <v>368.72</v>
      </c>
      <c r="AL920" s="446">
        <f t="shared" si="195"/>
        <v>0</v>
      </c>
      <c r="AM920" s="110">
        <f t="shared" si="196"/>
        <v>4</v>
      </c>
      <c r="AN920" s="447">
        <f t="shared" si="199"/>
        <v>0</v>
      </c>
      <c r="AO920"/>
      <c r="AP920"/>
    </row>
    <row r="921" spans="1:42" ht="66" x14ac:dyDescent="0.25">
      <c r="A921" s="11"/>
      <c r="B921" s="482" t="s">
        <v>1946</v>
      </c>
      <c r="C921" s="23"/>
      <c r="D921" s="875">
        <v>2</v>
      </c>
      <c r="E921" s="1027" t="s">
        <v>1791</v>
      </c>
      <c r="F921" s="273" t="s">
        <v>3446</v>
      </c>
      <c r="G921" s="1040" t="s">
        <v>3463</v>
      </c>
      <c r="H921" s="273" t="s">
        <v>3462</v>
      </c>
      <c r="I921" s="720">
        <f t="shared" si="197"/>
        <v>63.85</v>
      </c>
      <c r="J921" s="765">
        <v>127.7</v>
      </c>
      <c r="K921" s="131">
        <f t="shared" si="198"/>
        <v>127.7</v>
      </c>
      <c r="L921" s="335">
        <f t="shared" si="192"/>
        <v>0</v>
      </c>
      <c r="M921" s="446"/>
      <c r="N921" s="446"/>
      <c r="O921" s="446"/>
      <c r="P921" s="446"/>
      <c r="Q921" s="130">
        <v>0</v>
      </c>
      <c r="R921" s="111">
        <v>0</v>
      </c>
      <c r="S921" s="110"/>
      <c r="T921" s="110"/>
      <c r="U921" s="130">
        <v>1</v>
      </c>
      <c r="V921" s="111">
        <v>63.85</v>
      </c>
      <c r="W921" s="110"/>
      <c r="X921" s="110"/>
      <c r="Y921" s="110"/>
      <c r="Z921" s="110"/>
      <c r="AA921" s="130">
        <v>1</v>
      </c>
      <c r="AB921" s="111">
        <v>63.85</v>
      </c>
      <c r="AC921" s="110"/>
      <c r="AD921" s="110"/>
      <c r="AE921" s="130">
        <v>0</v>
      </c>
      <c r="AF921" s="111">
        <v>0</v>
      </c>
      <c r="AG921" s="110"/>
      <c r="AH921" s="110"/>
      <c r="AI921" s="110"/>
      <c r="AJ921" s="110"/>
      <c r="AK921" s="111">
        <f t="shared" si="194"/>
        <v>127.7</v>
      </c>
      <c r="AL921" s="446">
        <f t="shared" si="195"/>
        <v>0</v>
      </c>
      <c r="AM921" s="110">
        <f t="shared" si="196"/>
        <v>2</v>
      </c>
      <c r="AN921" s="447">
        <f t="shared" si="199"/>
        <v>0</v>
      </c>
      <c r="AO921"/>
      <c r="AP921"/>
    </row>
    <row r="922" spans="1:42" ht="66" x14ac:dyDescent="0.25">
      <c r="A922" s="11"/>
      <c r="B922" s="34" t="s">
        <v>1947</v>
      </c>
      <c r="C922" s="23"/>
      <c r="D922" s="875">
        <v>2</v>
      </c>
      <c r="E922" s="1027" t="s">
        <v>1772</v>
      </c>
      <c r="F922" s="273" t="s">
        <v>3446</v>
      </c>
      <c r="G922" s="1040" t="s">
        <v>3463</v>
      </c>
      <c r="H922" s="273" t="s">
        <v>3462</v>
      </c>
      <c r="I922" s="720">
        <f t="shared" si="197"/>
        <v>75.489999999999995</v>
      </c>
      <c r="J922" s="765">
        <v>150.97999999999999</v>
      </c>
      <c r="K922" s="131">
        <f t="shared" si="198"/>
        <v>150.97999999999999</v>
      </c>
      <c r="L922" s="335">
        <f t="shared" si="192"/>
        <v>0</v>
      </c>
      <c r="M922" s="446"/>
      <c r="N922" s="446"/>
      <c r="O922" s="446"/>
      <c r="P922" s="446"/>
      <c r="Q922" s="130">
        <v>1</v>
      </c>
      <c r="R922" s="111">
        <f t="shared" si="187"/>
        <v>37.744999999999997</v>
      </c>
      <c r="S922" s="110"/>
      <c r="T922" s="110"/>
      <c r="U922" s="130">
        <v>1</v>
      </c>
      <c r="V922" s="111">
        <f t="shared" si="189"/>
        <v>37.744999999999997</v>
      </c>
      <c r="W922" s="110"/>
      <c r="X922" s="110"/>
      <c r="Y922" s="110"/>
      <c r="Z922" s="110"/>
      <c r="AA922" s="130">
        <v>0</v>
      </c>
      <c r="AB922" s="111">
        <f t="shared" si="193"/>
        <v>37.744999999999997</v>
      </c>
      <c r="AC922" s="110"/>
      <c r="AD922" s="110"/>
      <c r="AE922" s="130">
        <v>0</v>
      </c>
      <c r="AF922" s="111">
        <f t="shared" si="191"/>
        <v>37.744999999999997</v>
      </c>
      <c r="AG922" s="110"/>
      <c r="AH922" s="110"/>
      <c r="AI922" s="110"/>
      <c r="AJ922" s="110"/>
      <c r="AK922" s="111">
        <f t="shared" si="194"/>
        <v>150.97999999999999</v>
      </c>
      <c r="AL922" s="446">
        <f t="shared" si="195"/>
        <v>0</v>
      </c>
      <c r="AM922" s="110">
        <f t="shared" si="196"/>
        <v>2</v>
      </c>
      <c r="AN922" s="447">
        <f t="shared" si="199"/>
        <v>0</v>
      </c>
      <c r="AO922"/>
      <c r="AP922"/>
    </row>
    <row r="923" spans="1:42" ht="66" x14ac:dyDescent="0.25">
      <c r="A923" s="11"/>
      <c r="B923" s="37" t="s">
        <v>1138</v>
      </c>
      <c r="C923" s="23"/>
      <c r="D923" s="869">
        <v>300</v>
      </c>
      <c r="E923" s="1027" t="s">
        <v>1950</v>
      </c>
      <c r="F923" s="273" t="s">
        <v>3446</v>
      </c>
      <c r="G923" s="1040" t="s">
        <v>3463</v>
      </c>
      <c r="H923" s="273" t="s">
        <v>3462</v>
      </c>
      <c r="I923" s="720">
        <f t="shared" si="197"/>
        <v>2.09</v>
      </c>
      <c r="J923" s="765">
        <v>627</v>
      </c>
      <c r="K923" s="131">
        <f t="shared" si="198"/>
        <v>627</v>
      </c>
      <c r="L923" s="335">
        <f t="shared" si="192"/>
        <v>0</v>
      </c>
      <c r="M923" s="446"/>
      <c r="N923" s="446"/>
      <c r="O923" s="446"/>
      <c r="P923" s="446"/>
      <c r="Q923" s="110">
        <f t="shared" si="186"/>
        <v>75</v>
      </c>
      <c r="R923" s="111">
        <f t="shared" si="187"/>
        <v>156.75</v>
      </c>
      <c r="S923" s="110"/>
      <c r="T923" s="110"/>
      <c r="U923" s="110">
        <f t="shared" si="188"/>
        <v>75</v>
      </c>
      <c r="V923" s="111">
        <f t="shared" si="189"/>
        <v>156.75</v>
      </c>
      <c r="W923" s="110"/>
      <c r="X923" s="110"/>
      <c r="Y923" s="110"/>
      <c r="Z923" s="110"/>
      <c r="AA923" s="110">
        <f t="shared" si="190"/>
        <v>75</v>
      </c>
      <c r="AB923" s="111">
        <f t="shared" si="193"/>
        <v>156.75</v>
      </c>
      <c r="AC923" s="110"/>
      <c r="AD923" s="110"/>
      <c r="AE923" s="110">
        <f t="shared" si="190"/>
        <v>75</v>
      </c>
      <c r="AF923" s="111">
        <f t="shared" si="191"/>
        <v>156.75</v>
      </c>
      <c r="AG923" s="110"/>
      <c r="AH923" s="110"/>
      <c r="AI923" s="110"/>
      <c r="AJ923" s="110"/>
      <c r="AK923" s="111">
        <f t="shared" si="194"/>
        <v>627</v>
      </c>
      <c r="AL923" s="446">
        <f t="shared" si="195"/>
        <v>0</v>
      </c>
      <c r="AM923" s="110">
        <f t="shared" si="196"/>
        <v>300</v>
      </c>
      <c r="AN923" s="447">
        <f t="shared" si="199"/>
        <v>0</v>
      </c>
      <c r="AO923"/>
      <c r="AP923"/>
    </row>
    <row r="924" spans="1:42" ht="66" x14ac:dyDescent="0.25">
      <c r="A924" s="11"/>
      <c r="B924" s="37" t="s">
        <v>1948</v>
      </c>
      <c r="C924" s="23"/>
      <c r="D924" s="869">
        <v>150</v>
      </c>
      <c r="E924" s="1027" t="s">
        <v>1950</v>
      </c>
      <c r="F924" s="273" t="s">
        <v>3446</v>
      </c>
      <c r="G924" s="1040" t="s">
        <v>3463</v>
      </c>
      <c r="H924" s="273" t="s">
        <v>3462</v>
      </c>
      <c r="I924" s="720">
        <f t="shared" si="197"/>
        <v>2.09</v>
      </c>
      <c r="J924" s="765">
        <v>313.5</v>
      </c>
      <c r="K924" s="131">
        <f t="shared" si="198"/>
        <v>313.5</v>
      </c>
      <c r="L924" s="335">
        <f t="shared" si="192"/>
        <v>0</v>
      </c>
      <c r="M924" s="446"/>
      <c r="N924" s="446"/>
      <c r="O924" s="446"/>
      <c r="P924" s="446"/>
      <c r="Q924" s="110">
        <v>50</v>
      </c>
      <c r="R924" s="111">
        <f t="shared" si="187"/>
        <v>78.375</v>
      </c>
      <c r="S924" s="110"/>
      <c r="T924" s="110"/>
      <c r="U924" s="110">
        <v>50</v>
      </c>
      <c r="V924" s="111">
        <f t="shared" si="189"/>
        <v>78.375</v>
      </c>
      <c r="W924" s="110"/>
      <c r="X924" s="110"/>
      <c r="Y924" s="110"/>
      <c r="Z924" s="110"/>
      <c r="AA924" s="110">
        <v>50</v>
      </c>
      <c r="AB924" s="111">
        <f t="shared" si="193"/>
        <v>78.375</v>
      </c>
      <c r="AC924" s="110"/>
      <c r="AD924" s="110"/>
      <c r="AE924" s="110">
        <v>0</v>
      </c>
      <c r="AF924" s="111">
        <f t="shared" si="191"/>
        <v>78.375</v>
      </c>
      <c r="AG924" s="110"/>
      <c r="AH924" s="110"/>
      <c r="AI924" s="110"/>
      <c r="AJ924" s="110"/>
      <c r="AK924" s="111">
        <f t="shared" si="194"/>
        <v>313.5</v>
      </c>
      <c r="AL924" s="446">
        <f t="shared" si="195"/>
        <v>0</v>
      </c>
      <c r="AM924" s="110">
        <f t="shared" si="196"/>
        <v>150</v>
      </c>
      <c r="AN924" s="447">
        <f t="shared" si="199"/>
        <v>0</v>
      </c>
      <c r="AO924"/>
      <c r="AP924"/>
    </row>
    <row r="925" spans="1:42" ht="66" x14ac:dyDescent="0.25">
      <c r="A925" s="11"/>
      <c r="B925" s="217" t="s">
        <v>1138</v>
      </c>
      <c r="C925" s="23"/>
      <c r="D925" s="869">
        <v>150</v>
      </c>
      <c r="E925" s="1027" t="s">
        <v>1950</v>
      </c>
      <c r="F925" s="273" t="s">
        <v>3446</v>
      </c>
      <c r="G925" s="1040" t="s">
        <v>3463</v>
      </c>
      <c r="H925" s="273" t="s">
        <v>3462</v>
      </c>
      <c r="I925" s="720">
        <f t="shared" si="197"/>
        <v>2.09</v>
      </c>
      <c r="J925" s="765">
        <v>313.5</v>
      </c>
      <c r="K925" s="131">
        <f t="shared" si="198"/>
        <v>313.5</v>
      </c>
      <c r="L925" s="335">
        <f t="shared" si="192"/>
        <v>0</v>
      </c>
      <c r="M925" s="446"/>
      <c r="N925" s="446"/>
      <c r="O925" s="446"/>
      <c r="P925" s="446"/>
      <c r="Q925" s="110">
        <v>50</v>
      </c>
      <c r="R925" s="111">
        <f t="shared" si="187"/>
        <v>78.375</v>
      </c>
      <c r="S925" s="110"/>
      <c r="T925" s="110"/>
      <c r="U925" s="110">
        <v>50</v>
      </c>
      <c r="V925" s="111">
        <f t="shared" si="189"/>
        <v>78.375</v>
      </c>
      <c r="W925" s="110"/>
      <c r="X925" s="110"/>
      <c r="Y925" s="110"/>
      <c r="Z925" s="110"/>
      <c r="AA925" s="110">
        <v>50</v>
      </c>
      <c r="AB925" s="111">
        <f t="shared" si="193"/>
        <v>78.375</v>
      </c>
      <c r="AC925" s="110"/>
      <c r="AD925" s="110"/>
      <c r="AE925" s="110">
        <v>0</v>
      </c>
      <c r="AF925" s="111">
        <f t="shared" si="191"/>
        <v>78.375</v>
      </c>
      <c r="AG925" s="110"/>
      <c r="AH925" s="110"/>
      <c r="AI925" s="110"/>
      <c r="AJ925" s="110"/>
      <c r="AK925" s="111">
        <f t="shared" si="194"/>
        <v>313.5</v>
      </c>
      <c r="AL925" s="446">
        <f t="shared" si="195"/>
        <v>0</v>
      </c>
      <c r="AM925" s="110">
        <f t="shared" si="196"/>
        <v>150</v>
      </c>
      <c r="AN925" s="447">
        <f t="shared" si="199"/>
        <v>0</v>
      </c>
      <c r="AO925"/>
      <c r="AP925"/>
    </row>
    <row r="926" spans="1:42" ht="66" x14ac:dyDescent="0.25">
      <c r="A926" s="143"/>
      <c r="B926" s="149" t="s">
        <v>1989</v>
      </c>
      <c r="C926" s="24"/>
      <c r="D926" s="873">
        <v>2</v>
      </c>
      <c r="E926" s="29" t="s">
        <v>1986</v>
      </c>
      <c r="F926" s="273" t="s">
        <v>3446</v>
      </c>
      <c r="G926" s="1040" t="s">
        <v>3463</v>
      </c>
      <c r="H926" s="273" t="s">
        <v>3462</v>
      </c>
      <c r="I926" s="720">
        <f t="shared" si="197"/>
        <v>32.955600000000004</v>
      </c>
      <c r="J926" s="765">
        <v>65.911200000000008</v>
      </c>
      <c r="K926" s="131">
        <f t="shared" si="198"/>
        <v>65.911200000000008</v>
      </c>
      <c r="L926" s="335">
        <f t="shared" si="192"/>
        <v>0</v>
      </c>
      <c r="M926" s="446"/>
      <c r="N926" s="446"/>
      <c r="O926" s="446"/>
      <c r="P926" s="446"/>
      <c r="Q926" s="130">
        <v>0</v>
      </c>
      <c r="R926" s="111">
        <v>0</v>
      </c>
      <c r="S926" s="110"/>
      <c r="T926" s="110"/>
      <c r="U926" s="130">
        <v>1</v>
      </c>
      <c r="V926" s="111">
        <v>32.96</v>
      </c>
      <c r="W926" s="110"/>
      <c r="X926" s="110"/>
      <c r="Y926" s="110"/>
      <c r="Z926" s="110"/>
      <c r="AA926" s="130">
        <v>1</v>
      </c>
      <c r="AB926" s="111">
        <v>32.96</v>
      </c>
      <c r="AC926" s="110"/>
      <c r="AD926" s="110"/>
      <c r="AE926" s="130">
        <v>0</v>
      </c>
      <c r="AF926" s="111">
        <v>0</v>
      </c>
      <c r="AG926" s="110"/>
      <c r="AH926" s="110"/>
      <c r="AI926" s="110"/>
      <c r="AJ926" s="110"/>
      <c r="AK926" s="111">
        <f t="shared" si="194"/>
        <v>65.92</v>
      </c>
      <c r="AL926" s="446">
        <f t="shared" si="195"/>
        <v>-8.7999999999937017E-3</v>
      </c>
      <c r="AM926" s="110">
        <f t="shared" si="196"/>
        <v>2</v>
      </c>
      <c r="AN926" s="447">
        <f t="shared" si="199"/>
        <v>0</v>
      </c>
      <c r="AO926"/>
      <c r="AP926"/>
    </row>
    <row r="927" spans="1:42" ht="66" x14ac:dyDescent="0.25">
      <c r="A927" s="143"/>
      <c r="B927" s="149" t="s">
        <v>1990</v>
      </c>
      <c r="C927" s="24"/>
      <c r="D927" s="873">
        <v>8</v>
      </c>
      <c r="E927" s="29" t="s">
        <v>1772</v>
      </c>
      <c r="F927" s="273" t="s">
        <v>3446</v>
      </c>
      <c r="G927" s="1040" t="s">
        <v>3463</v>
      </c>
      <c r="H927" s="273" t="s">
        <v>3462</v>
      </c>
      <c r="I927" s="720">
        <f t="shared" si="197"/>
        <v>98.658000000000001</v>
      </c>
      <c r="J927" s="765">
        <v>789.26400000000001</v>
      </c>
      <c r="K927" s="131">
        <f t="shared" si="198"/>
        <v>789.26400000000001</v>
      </c>
      <c r="L927" s="335">
        <f t="shared" si="192"/>
        <v>0</v>
      </c>
      <c r="M927" s="446"/>
      <c r="N927" s="446"/>
      <c r="O927" s="446"/>
      <c r="P927" s="446"/>
      <c r="Q927" s="110">
        <f t="shared" ref="Q927:Q972" si="200">+$D927/4</f>
        <v>2</v>
      </c>
      <c r="R927" s="111">
        <f t="shared" ref="R927:R990" si="201">+J927/4</f>
        <v>197.316</v>
      </c>
      <c r="S927" s="110"/>
      <c r="T927" s="110"/>
      <c r="U927" s="110">
        <f t="shared" ref="U927:U972" si="202">+$D927/4</f>
        <v>2</v>
      </c>
      <c r="V927" s="111">
        <f t="shared" ref="V927:V990" si="203">+J927/4</f>
        <v>197.316</v>
      </c>
      <c r="W927" s="110"/>
      <c r="X927" s="110"/>
      <c r="Y927" s="110"/>
      <c r="Z927" s="110"/>
      <c r="AA927" s="110">
        <f t="shared" ref="AA927:AE972" si="204">+$D927/4</f>
        <v>2</v>
      </c>
      <c r="AB927" s="111">
        <f t="shared" si="193"/>
        <v>197.316</v>
      </c>
      <c r="AC927" s="110"/>
      <c r="AD927" s="110"/>
      <c r="AE927" s="110">
        <f t="shared" si="204"/>
        <v>2</v>
      </c>
      <c r="AF927" s="111">
        <f t="shared" si="191"/>
        <v>197.316</v>
      </c>
      <c r="AG927" s="110"/>
      <c r="AH927" s="110"/>
      <c r="AI927" s="110"/>
      <c r="AJ927" s="110"/>
      <c r="AK927" s="111">
        <f t="shared" si="194"/>
        <v>789.26400000000001</v>
      </c>
      <c r="AL927" s="446">
        <f t="shared" si="195"/>
        <v>0</v>
      </c>
      <c r="AM927" s="110">
        <f t="shared" si="196"/>
        <v>8</v>
      </c>
      <c r="AN927" s="447">
        <f t="shared" si="199"/>
        <v>0</v>
      </c>
      <c r="AO927"/>
      <c r="AP927"/>
    </row>
    <row r="928" spans="1:42" ht="66" x14ac:dyDescent="0.25">
      <c r="A928" s="143"/>
      <c r="B928" s="149" t="s">
        <v>1991</v>
      </c>
      <c r="C928" s="24"/>
      <c r="D928" s="873">
        <v>1</v>
      </c>
      <c r="E928" s="29" t="s">
        <v>1791</v>
      </c>
      <c r="F928" s="278" t="s">
        <v>3446</v>
      </c>
      <c r="G928" s="1040" t="s">
        <v>3463</v>
      </c>
      <c r="H928" s="273" t="s">
        <v>3462</v>
      </c>
      <c r="I928" s="720">
        <f t="shared" si="197"/>
        <v>123.88800000000001</v>
      </c>
      <c r="J928" s="765">
        <v>123.88800000000001</v>
      </c>
      <c r="K928" s="131">
        <f t="shared" si="198"/>
        <v>123.88800000000001</v>
      </c>
      <c r="L928" s="335">
        <f t="shared" si="192"/>
        <v>0</v>
      </c>
      <c r="M928" s="446"/>
      <c r="N928" s="446"/>
      <c r="O928" s="446"/>
      <c r="P928" s="446"/>
      <c r="Q928" s="110">
        <v>0</v>
      </c>
      <c r="R928" s="111">
        <v>0</v>
      </c>
      <c r="S928" s="110"/>
      <c r="T928" s="110"/>
      <c r="U928" s="110">
        <v>1</v>
      </c>
      <c r="V928" s="111">
        <v>123.89</v>
      </c>
      <c r="W928" s="110"/>
      <c r="X928" s="110"/>
      <c r="Y928" s="110"/>
      <c r="Z928" s="110"/>
      <c r="AA928" s="110">
        <v>0</v>
      </c>
      <c r="AB928" s="111">
        <v>0</v>
      </c>
      <c r="AC928" s="110"/>
      <c r="AD928" s="110"/>
      <c r="AE928" s="110">
        <v>0</v>
      </c>
      <c r="AF928" s="111">
        <v>0</v>
      </c>
      <c r="AG928" s="110"/>
      <c r="AH928" s="110"/>
      <c r="AI928" s="110"/>
      <c r="AJ928" s="110"/>
      <c r="AK928" s="111">
        <f t="shared" si="194"/>
        <v>123.89</v>
      </c>
      <c r="AL928" s="446">
        <f t="shared" si="195"/>
        <v>-1.9999999999953388E-3</v>
      </c>
      <c r="AM928" s="110">
        <f t="shared" si="196"/>
        <v>1</v>
      </c>
      <c r="AN928" s="447">
        <f t="shared" si="199"/>
        <v>0</v>
      </c>
      <c r="AO928"/>
      <c r="AP928"/>
    </row>
    <row r="929" spans="1:42" ht="66" x14ac:dyDescent="0.25">
      <c r="A929" s="143"/>
      <c r="B929" s="149" t="s">
        <v>1992</v>
      </c>
      <c r="C929" s="24"/>
      <c r="D929" s="873">
        <v>3</v>
      </c>
      <c r="E929" s="29" t="s">
        <v>1986</v>
      </c>
      <c r="F929" s="273" t="s">
        <v>3446</v>
      </c>
      <c r="G929" s="1040" t="s">
        <v>3463</v>
      </c>
      <c r="H929" s="273" t="s">
        <v>3462</v>
      </c>
      <c r="I929" s="720">
        <f t="shared" si="197"/>
        <v>34.869599999999998</v>
      </c>
      <c r="J929" s="765">
        <v>104.6088</v>
      </c>
      <c r="K929" s="131">
        <f t="shared" si="198"/>
        <v>104.6088</v>
      </c>
      <c r="L929" s="335">
        <f t="shared" si="192"/>
        <v>0</v>
      </c>
      <c r="M929" s="446"/>
      <c r="N929" s="446"/>
      <c r="O929" s="446"/>
      <c r="P929" s="446"/>
      <c r="Q929" s="130">
        <v>1</v>
      </c>
      <c r="R929" s="111">
        <v>34.869999999999997</v>
      </c>
      <c r="S929" s="110"/>
      <c r="T929" s="110"/>
      <c r="U929" s="130">
        <v>1</v>
      </c>
      <c r="V929" s="111">
        <v>34.869999999999997</v>
      </c>
      <c r="W929" s="110"/>
      <c r="X929" s="110"/>
      <c r="Y929" s="110"/>
      <c r="Z929" s="110"/>
      <c r="AA929" s="130">
        <v>1</v>
      </c>
      <c r="AB929" s="111">
        <v>34.869999999999997</v>
      </c>
      <c r="AC929" s="110"/>
      <c r="AD929" s="110"/>
      <c r="AE929" s="130">
        <v>0</v>
      </c>
      <c r="AF929" s="111">
        <v>0</v>
      </c>
      <c r="AG929" s="110"/>
      <c r="AH929" s="110"/>
      <c r="AI929" s="110"/>
      <c r="AJ929" s="110"/>
      <c r="AK929" s="111">
        <f t="shared" si="194"/>
        <v>104.60999999999999</v>
      </c>
      <c r="AL929" s="446">
        <f t="shared" si="195"/>
        <v>-1.1999999999829924E-3</v>
      </c>
      <c r="AM929" s="110">
        <f t="shared" si="196"/>
        <v>3</v>
      </c>
      <c r="AN929" s="447">
        <f t="shared" si="199"/>
        <v>0</v>
      </c>
      <c r="AO929"/>
      <c r="AP929"/>
    </row>
    <row r="930" spans="1:42" ht="66" x14ac:dyDescent="0.25">
      <c r="A930" s="143"/>
      <c r="B930" s="149" t="s">
        <v>1993</v>
      </c>
      <c r="C930" s="24"/>
      <c r="D930" s="887">
        <v>2</v>
      </c>
      <c r="E930" s="29" t="s">
        <v>1987</v>
      </c>
      <c r="F930" s="273" t="s">
        <v>3446</v>
      </c>
      <c r="G930" s="1040" t="s">
        <v>3463</v>
      </c>
      <c r="H930" s="273" t="s">
        <v>3462</v>
      </c>
      <c r="I930" s="720">
        <f t="shared" si="197"/>
        <v>27.712400000000002</v>
      </c>
      <c r="J930" s="765">
        <v>55.424800000000005</v>
      </c>
      <c r="K930" s="131">
        <f t="shared" si="198"/>
        <v>55.424800000000005</v>
      </c>
      <c r="L930" s="335">
        <f t="shared" ref="L930:L993" si="205">+J930-K930</f>
        <v>0</v>
      </c>
      <c r="M930" s="446"/>
      <c r="N930" s="446"/>
      <c r="O930" s="446"/>
      <c r="P930" s="446"/>
      <c r="Q930" s="130">
        <v>1</v>
      </c>
      <c r="R930" s="111">
        <v>27.71</v>
      </c>
      <c r="S930" s="110"/>
      <c r="T930" s="110"/>
      <c r="U930" s="130">
        <v>1</v>
      </c>
      <c r="V930" s="111">
        <v>27.71</v>
      </c>
      <c r="W930" s="110"/>
      <c r="X930" s="110"/>
      <c r="Y930" s="110"/>
      <c r="Z930" s="110"/>
      <c r="AA930" s="130">
        <v>0</v>
      </c>
      <c r="AB930" s="111">
        <v>0</v>
      </c>
      <c r="AC930" s="110"/>
      <c r="AD930" s="110"/>
      <c r="AE930" s="130">
        <v>0</v>
      </c>
      <c r="AF930" s="111">
        <v>0</v>
      </c>
      <c r="AG930" s="110"/>
      <c r="AH930" s="110"/>
      <c r="AI930" s="110"/>
      <c r="AJ930" s="110"/>
      <c r="AK930" s="111">
        <f t="shared" si="194"/>
        <v>55.42</v>
      </c>
      <c r="AL930" s="446">
        <f t="shared" si="195"/>
        <v>4.8000000000030241E-3</v>
      </c>
      <c r="AM930" s="110">
        <f t="shared" si="196"/>
        <v>2</v>
      </c>
      <c r="AN930" s="447">
        <f t="shared" si="199"/>
        <v>0</v>
      </c>
      <c r="AO930"/>
      <c r="AP930"/>
    </row>
    <row r="931" spans="1:42" ht="66" x14ac:dyDescent="0.25">
      <c r="A931" s="143"/>
      <c r="B931" s="506" t="s">
        <v>119</v>
      </c>
      <c r="C931" s="24"/>
      <c r="D931" s="887">
        <v>48</v>
      </c>
      <c r="E931" s="29" t="s">
        <v>1772</v>
      </c>
      <c r="F931" s="273" t="s">
        <v>3446</v>
      </c>
      <c r="G931" s="1040" t="s">
        <v>3463</v>
      </c>
      <c r="H931" s="273" t="s">
        <v>3462</v>
      </c>
      <c r="I931" s="720">
        <f t="shared" si="197"/>
        <v>94.219999999999985</v>
      </c>
      <c r="J931" s="765">
        <v>4522.5599999999995</v>
      </c>
      <c r="K931" s="131">
        <f t="shared" si="198"/>
        <v>4522.5599999999995</v>
      </c>
      <c r="L931" s="335">
        <f t="shared" si="205"/>
        <v>0</v>
      </c>
      <c r="M931" s="446"/>
      <c r="N931" s="446"/>
      <c r="O931" s="446"/>
      <c r="P931" s="446"/>
      <c r="Q931" s="110">
        <f t="shared" si="200"/>
        <v>12</v>
      </c>
      <c r="R931" s="111">
        <f t="shared" si="201"/>
        <v>1130.6399999999999</v>
      </c>
      <c r="S931" s="110"/>
      <c r="T931" s="110"/>
      <c r="U931" s="110">
        <f t="shared" si="202"/>
        <v>12</v>
      </c>
      <c r="V931" s="111">
        <f t="shared" si="203"/>
        <v>1130.6399999999999</v>
      </c>
      <c r="W931" s="110"/>
      <c r="X931" s="110"/>
      <c r="Y931" s="110"/>
      <c r="Z931" s="110"/>
      <c r="AA931" s="110">
        <f t="shared" si="204"/>
        <v>12</v>
      </c>
      <c r="AB931" s="111">
        <f t="shared" ref="AB931:AB994" si="206">+J931/4</f>
        <v>1130.6399999999999</v>
      </c>
      <c r="AC931" s="110"/>
      <c r="AD931" s="110"/>
      <c r="AE931" s="110">
        <f t="shared" si="204"/>
        <v>12</v>
      </c>
      <c r="AF931" s="111">
        <f t="shared" ref="AF931:AF994" si="207">+J931/4</f>
        <v>1130.6399999999999</v>
      </c>
      <c r="AG931" s="110"/>
      <c r="AH931" s="110"/>
      <c r="AI931" s="110"/>
      <c r="AJ931" s="110"/>
      <c r="AK931" s="111">
        <f t="shared" si="194"/>
        <v>4522.5599999999995</v>
      </c>
      <c r="AL931" s="446">
        <f t="shared" si="195"/>
        <v>0</v>
      </c>
      <c r="AM931" s="110">
        <f t="shared" si="196"/>
        <v>48</v>
      </c>
      <c r="AN931" s="447">
        <f t="shared" si="199"/>
        <v>0</v>
      </c>
      <c r="AO931"/>
      <c r="AP931"/>
    </row>
    <row r="932" spans="1:42" ht="66" x14ac:dyDescent="0.25">
      <c r="A932" s="143"/>
      <c r="B932" s="506" t="s">
        <v>120</v>
      </c>
      <c r="C932" s="24"/>
      <c r="D932" s="887">
        <v>12</v>
      </c>
      <c r="E932" s="29" t="s">
        <v>1772</v>
      </c>
      <c r="F932" s="273" t="s">
        <v>3446</v>
      </c>
      <c r="G932" s="1040" t="s">
        <v>3463</v>
      </c>
      <c r="H932" s="273" t="s">
        <v>3462</v>
      </c>
      <c r="I932" s="720">
        <f t="shared" si="197"/>
        <v>148.02000000000001</v>
      </c>
      <c r="J932" s="765">
        <v>1776.2400000000002</v>
      </c>
      <c r="K932" s="131">
        <f t="shared" si="198"/>
        <v>1776.2400000000002</v>
      </c>
      <c r="L932" s="335">
        <f t="shared" si="205"/>
        <v>0</v>
      </c>
      <c r="M932" s="446"/>
      <c r="N932" s="446"/>
      <c r="O932" s="446"/>
      <c r="P932" s="446"/>
      <c r="Q932" s="110">
        <f t="shared" si="200"/>
        <v>3</v>
      </c>
      <c r="R932" s="111">
        <f t="shared" si="201"/>
        <v>444.06000000000006</v>
      </c>
      <c r="S932" s="110"/>
      <c r="T932" s="110"/>
      <c r="U932" s="110">
        <f t="shared" si="202"/>
        <v>3</v>
      </c>
      <c r="V932" s="111">
        <f t="shared" si="203"/>
        <v>444.06000000000006</v>
      </c>
      <c r="W932" s="110"/>
      <c r="X932" s="110"/>
      <c r="Y932" s="110"/>
      <c r="Z932" s="110"/>
      <c r="AA932" s="110">
        <f t="shared" si="204"/>
        <v>3</v>
      </c>
      <c r="AB932" s="111">
        <f t="shared" si="206"/>
        <v>444.06000000000006</v>
      </c>
      <c r="AC932" s="110"/>
      <c r="AD932" s="110"/>
      <c r="AE932" s="110">
        <f t="shared" si="204"/>
        <v>3</v>
      </c>
      <c r="AF932" s="111">
        <f t="shared" si="207"/>
        <v>444.06000000000006</v>
      </c>
      <c r="AG932" s="110"/>
      <c r="AH932" s="110"/>
      <c r="AI932" s="110"/>
      <c r="AJ932" s="110"/>
      <c r="AK932" s="111">
        <f t="shared" si="194"/>
        <v>1776.2400000000002</v>
      </c>
      <c r="AL932" s="446">
        <f t="shared" si="195"/>
        <v>0</v>
      </c>
      <c r="AM932" s="110">
        <f t="shared" si="196"/>
        <v>12</v>
      </c>
      <c r="AN932" s="447">
        <f t="shared" si="199"/>
        <v>0</v>
      </c>
      <c r="AO932"/>
      <c r="AP932"/>
    </row>
    <row r="933" spans="1:42" ht="66" x14ac:dyDescent="0.25">
      <c r="A933" s="143"/>
      <c r="B933" s="506" t="s">
        <v>1999</v>
      </c>
      <c r="C933" s="24"/>
      <c r="D933" s="887">
        <v>6</v>
      </c>
      <c r="E933" s="29" t="s">
        <v>1725</v>
      </c>
      <c r="F933" s="273" t="s">
        <v>3446</v>
      </c>
      <c r="G933" s="1040" t="s">
        <v>3463</v>
      </c>
      <c r="H933" s="273" t="s">
        <v>3462</v>
      </c>
      <c r="I933" s="720">
        <f t="shared" si="197"/>
        <v>171.53</v>
      </c>
      <c r="J933" s="765">
        <v>1029.18</v>
      </c>
      <c r="K933" s="131">
        <f t="shared" si="198"/>
        <v>1029.18</v>
      </c>
      <c r="L933" s="335">
        <f t="shared" si="205"/>
        <v>0</v>
      </c>
      <c r="M933" s="446"/>
      <c r="N933" s="446"/>
      <c r="O933" s="446"/>
      <c r="P933" s="446"/>
      <c r="Q933" s="130">
        <v>2</v>
      </c>
      <c r="R933" s="111">
        <f t="shared" si="201"/>
        <v>257.29500000000002</v>
      </c>
      <c r="S933" s="110"/>
      <c r="T933" s="110"/>
      <c r="U933" s="130">
        <v>2</v>
      </c>
      <c r="V933" s="111">
        <f t="shared" si="203"/>
        <v>257.29500000000002</v>
      </c>
      <c r="W933" s="110"/>
      <c r="X933" s="110"/>
      <c r="Y933" s="110"/>
      <c r="Z933" s="110"/>
      <c r="AA933" s="130">
        <v>1</v>
      </c>
      <c r="AB933" s="111">
        <f t="shared" si="206"/>
        <v>257.29500000000002</v>
      </c>
      <c r="AC933" s="110"/>
      <c r="AD933" s="110"/>
      <c r="AE933" s="130">
        <v>1</v>
      </c>
      <c r="AF933" s="111">
        <f t="shared" si="207"/>
        <v>257.29500000000002</v>
      </c>
      <c r="AG933" s="110"/>
      <c r="AH933" s="110"/>
      <c r="AI933" s="110"/>
      <c r="AJ933" s="110"/>
      <c r="AK933" s="111">
        <f t="shared" si="194"/>
        <v>1029.18</v>
      </c>
      <c r="AL933" s="446">
        <f t="shared" si="195"/>
        <v>0</v>
      </c>
      <c r="AM933" s="110">
        <f t="shared" si="196"/>
        <v>6</v>
      </c>
      <c r="AN933" s="447">
        <f t="shared" si="199"/>
        <v>0</v>
      </c>
      <c r="AO933"/>
      <c r="AP933"/>
    </row>
    <row r="934" spans="1:42" ht="66" x14ac:dyDescent="0.25">
      <c r="A934" s="143"/>
      <c r="B934" s="506" t="s">
        <v>105</v>
      </c>
      <c r="C934" s="24"/>
      <c r="D934" s="887">
        <v>6</v>
      </c>
      <c r="E934" s="29" t="s">
        <v>1721</v>
      </c>
      <c r="F934" s="273" t="s">
        <v>3446</v>
      </c>
      <c r="G934" s="1040" t="s">
        <v>3463</v>
      </c>
      <c r="H934" s="273" t="s">
        <v>3462</v>
      </c>
      <c r="I934" s="720">
        <f t="shared" si="197"/>
        <v>103.36</v>
      </c>
      <c r="J934" s="765">
        <v>620.16</v>
      </c>
      <c r="K934" s="131">
        <f t="shared" si="198"/>
        <v>620.16</v>
      </c>
      <c r="L934" s="335">
        <f t="shared" si="205"/>
        <v>0</v>
      </c>
      <c r="M934" s="446"/>
      <c r="N934" s="446"/>
      <c r="O934" s="446"/>
      <c r="P934" s="446"/>
      <c r="Q934" s="130">
        <v>2</v>
      </c>
      <c r="R934" s="111">
        <f t="shared" si="201"/>
        <v>155.04</v>
      </c>
      <c r="S934" s="110"/>
      <c r="T934" s="110"/>
      <c r="U934" s="130">
        <v>2</v>
      </c>
      <c r="V934" s="111">
        <f t="shared" si="203"/>
        <v>155.04</v>
      </c>
      <c r="W934" s="110"/>
      <c r="X934" s="110"/>
      <c r="Y934" s="110"/>
      <c r="Z934" s="110"/>
      <c r="AA934" s="130">
        <v>1</v>
      </c>
      <c r="AB934" s="111">
        <f t="shared" si="206"/>
        <v>155.04</v>
      </c>
      <c r="AC934" s="110"/>
      <c r="AD934" s="110"/>
      <c r="AE934" s="130">
        <v>1</v>
      </c>
      <c r="AF934" s="111">
        <f t="shared" si="207"/>
        <v>155.04</v>
      </c>
      <c r="AG934" s="110"/>
      <c r="AH934" s="110"/>
      <c r="AI934" s="110"/>
      <c r="AJ934" s="110"/>
      <c r="AK934" s="111">
        <f t="shared" si="194"/>
        <v>620.16</v>
      </c>
      <c r="AL934" s="446">
        <f t="shared" si="195"/>
        <v>0</v>
      </c>
      <c r="AM934" s="110">
        <f t="shared" si="196"/>
        <v>6</v>
      </c>
      <c r="AN934" s="447">
        <f t="shared" si="199"/>
        <v>0</v>
      </c>
      <c r="AO934"/>
      <c r="AP934"/>
    </row>
    <row r="935" spans="1:42" ht="66" x14ac:dyDescent="0.25">
      <c r="A935" s="143"/>
      <c r="B935" s="506" t="s">
        <v>121</v>
      </c>
      <c r="C935" s="24"/>
      <c r="D935" s="887">
        <v>1</v>
      </c>
      <c r="E935" s="29" t="s">
        <v>1772</v>
      </c>
      <c r="F935" s="273" t="s">
        <v>3446</v>
      </c>
      <c r="G935" s="1040" t="s">
        <v>3463</v>
      </c>
      <c r="H935" s="273" t="s">
        <v>3462</v>
      </c>
      <c r="I935" s="720">
        <f t="shared" si="197"/>
        <v>142.56</v>
      </c>
      <c r="J935" s="765">
        <v>142.56</v>
      </c>
      <c r="K935" s="131">
        <f t="shared" si="198"/>
        <v>142.56</v>
      </c>
      <c r="L935" s="335">
        <f t="shared" si="205"/>
        <v>0</v>
      </c>
      <c r="M935" s="446"/>
      <c r="N935" s="446"/>
      <c r="O935" s="446"/>
      <c r="P935" s="446"/>
      <c r="Q935" s="110">
        <v>0</v>
      </c>
      <c r="R935" s="111">
        <v>0</v>
      </c>
      <c r="S935" s="110"/>
      <c r="T935" s="110"/>
      <c r="U935" s="110">
        <v>0</v>
      </c>
      <c r="V935" s="111">
        <v>0</v>
      </c>
      <c r="W935" s="110"/>
      <c r="X935" s="110"/>
      <c r="Y935" s="110"/>
      <c r="Z935" s="110"/>
      <c r="AA935" s="110">
        <v>1</v>
      </c>
      <c r="AB935" s="111">
        <v>142.56</v>
      </c>
      <c r="AC935" s="110"/>
      <c r="AD935" s="110"/>
      <c r="AE935" s="110">
        <v>0</v>
      </c>
      <c r="AF935" s="111">
        <v>0</v>
      </c>
      <c r="AG935" s="110"/>
      <c r="AH935" s="110"/>
      <c r="AI935" s="110"/>
      <c r="AJ935" s="110"/>
      <c r="AK935" s="111">
        <f t="shared" si="194"/>
        <v>142.56</v>
      </c>
      <c r="AL935" s="446">
        <f t="shared" si="195"/>
        <v>0</v>
      </c>
      <c r="AM935" s="110">
        <f t="shared" si="196"/>
        <v>1</v>
      </c>
      <c r="AN935" s="447">
        <f t="shared" si="199"/>
        <v>0</v>
      </c>
      <c r="AO935"/>
      <c r="AP935"/>
    </row>
    <row r="936" spans="1:42" ht="66" x14ac:dyDescent="0.25">
      <c r="A936" s="143"/>
      <c r="B936" s="506" t="s">
        <v>2000</v>
      </c>
      <c r="C936" s="24"/>
      <c r="D936" s="887">
        <v>1</v>
      </c>
      <c r="E936" s="29" t="s">
        <v>1772</v>
      </c>
      <c r="F936" s="273" t="s">
        <v>3446</v>
      </c>
      <c r="G936" s="1040" t="s">
        <v>3463</v>
      </c>
      <c r="H936" s="273" t="s">
        <v>3462</v>
      </c>
      <c r="I936" s="720">
        <f t="shared" si="197"/>
        <v>156.82</v>
      </c>
      <c r="J936" s="765">
        <v>156.82</v>
      </c>
      <c r="K936" s="131">
        <f t="shared" si="198"/>
        <v>156.82</v>
      </c>
      <c r="L936" s="335">
        <f t="shared" si="205"/>
        <v>0</v>
      </c>
      <c r="M936" s="446"/>
      <c r="N936" s="446"/>
      <c r="O936" s="446"/>
      <c r="P936" s="446"/>
      <c r="Q936" s="110">
        <v>0</v>
      </c>
      <c r="R936" s="111">
        <v>0</v>
      </c>
      <c r="S936" s="110"/>
      <c r="T936" s="110"/>
      <c r="U936" s="110">
        <v>0</v>
      </c>
      <c r="V936" s="111">
        <v>0</v>
      </c>
      <c r="W936" s="110"/>
      <c r="X936" s="110"/>
      <c r="Y936" s="110"/>
      <c r="Z936" s="110"/>
      <c r="AA936" s="110">
        <v>0</v>
      </c>
      <c r="AB936" s="111">
        <v>156.82</v>
      </c>
      <c r="AC936" s="110"/>
      <c r="AD936" s="110"/>
      <c r="AE936" s="110">
        <v>0</v>
      </c>
      <c r="AF936" s="111">
        <v>0</v>
      </c>
      <c r="AG936" s="110"/>
      <c r="AH936" s="110"/>
      <c r="AI936" s="110"/>
      <c r="AJ936" s="110"/>
      <c r="AK936" s="111">
        <f t="shared" si="194"/>
        <v>156.82</v>
      </c>
      <c r="AL936" s="446">
        <f t="shared" si="195"/>
        <v>0</v>
      </c>
      <c r="AM936" s="110">
        <f t="shared" si="196"/>
        <v>0</v>
      </c>
      <c r="AN936" s="447">
        <f t="shared" si="199"/>
        <v>1</v>
      </c>
      <c r="AO936"/>
      <c r="AP936"/>
    </row>
    <row r="937" spans="1:42" ht="66" x14ac:dyDescent="0.25">
      <c r="A937" s="143"/>
      <c r="B937" s="506" t="s">
        <v>2001</v>
      </c>
      <c r="C937" s="24"/>
      <c r="D937" s="887">
        <v>12</v>
      </c>
      <c r="E937" s="29" t="s">
        <v>1725</v>
      </c>
      <c r="F937" s="273" t="s">
        <v>3446</v>
      </c>
      <c r="G937" s="1040" t="s">
        <v>3463</v>
      </c>
      <c r="H937" s="273" t="s">
        <v>3462</v>
      </c>
      <c r="I937" s="720">
        <f t="shared" si="197"/>
        <v>194.83</v>
      </c>
      <c r="J937" s="765">
        <v>2337.96</v>
      </c>
      <c r="K937" s="131">
        <f t="shared" si="198"/>
        <v>2337.96</v>
      </c>
      <c r="L937" s="335">
        <f t="shared" si="205"/>
        <v>0</v>
      </c>
      <c r="M937" s="446"/>
      <c r="N937" s="446"/>
      <c r="O937" s="446"/>
      <c r="P937" s="446"/>
      <c r="Q937" s="110">
        <f t="shared" si="200"/>
        <v>3</v>
      </c>
      <c r="R937" s="111">
        <f t="shared" si="201"/>
        <v>584.49</v>
      </c>
      <c r="S937" s="110"/>
      <c r="T937" s="110"/>
      <c r="U937" s="110">
        <f t="shared" si="202"/>
        <v>3</v>
      </c>
      <c r="V937" s="111">
        <f t="shared" si="203"/>
        <v>584.49</v>
      </c>
      <c r="W937" s="110"/>
      <c r="X937" s="110"/>
      <c r="Y937" s="110"/>
      <c r="Z937" s="110"/>
      <c r="AA937" s="110">
        <f t="shared" si="204"/>
        <v>3</v>
      </c>
      <c r="AB937" s="111">
        <f t="shared" si="206"/>
        <v>584.49</v>
      </c>
      <c r="AC937" s="110"/>
      <c r="AD937" s="110"/>
      <c r="AE937" s="110">
        <f t="shared" si="204"/>
        <v>3</v>
      </c>
      <c r="AF937" s="111">
        <f t="shared" si="207"/>
        <v>584.49</v>
      </c>
      <c r="AG937" s="110"/>
      <c r="AH937" s="110"/>
      <c r="AI937" s="110"/>
      <c r="AJ937" s="110"/>
      <c r="AK937" s="111">
        <f t="shared" si="194"/>
        <v>2337.96</v>
      </c>
      <c r="AL937" s="446">
        <f t="shared" si="195"/>
        <v>0</v>
      </c>
      <c r="AM937" s="110">
        <f t="shared" si="196"/>
        <v>12</v>
      </c>
      <c r="AN937" s="447">
        <f t="shared" si="199"/>
        <v>0</v>
      </c>
      <c r="AO937"/>
      <c r="AP937"/>
    </row>
    <row r="938" spans="1:42" ht="66" x14ac:dyDescent="0.25">
      <c r="A938" s="143"/>
      <c r="B938" s="506" t="s">
        <v>109</v>
      </c>
      <c r="C938" s="24"/>
      <c r="D938" s="887">
        <v>6</v>
      </c>
      <c r="E938" s="29" t="s">
        <v>1725</v>
      </c>
      <c r="F938" s="273" t="s">
        <v>3446</v>
      </c>
      <c r="G938" s="1040" t="s">
        <v>3463</v>
      </c>
      <c r="H938" s="273" t="s">
        <v>3462</v>
      </c>
      <c r="I938" s="720">
        <f t="shared" si="197"/>
        <v>224.53</v>
      </c>
      <c r="J938" s="765">
        <v>1347.18</v>
      </c>
      <c r="K938" s="131">
        <f t="shared" si="198"/>
        <v>1347.18</v>
      </c>
      <c r="L938" s="335">
        <f t="shared" si="205"/>
        <v>0</v>
      </c>
      <c r="M938" s="446"/>
      <c r="N938" s="446"/>
      <c r="O938" s="446"/>
      <c r="P938" s="446"/>
      <c r="Q938" s="130">
        <v>2</v>
      </c>
      <c r="R938" s="111">
        <f t="shared" si="201"/>
        <v>336.79500000000002</v>
      </c>
      <c r="S938" s="110"/>
      <c r="T938" s="110"/>
      <c r="U938" s="130">
        <v>2</v>
      </c>
      <c r="V938" s="111">
        <f t="shared" si="203"/>
        <v>336.79500000000002</v>
      </c>
      <c r="W938" s="110"/>
      <c r="X938" s="110"/>
      <c r="Y938" s="110"/>
      <c r="Z938" s="110"/>
      <c r="AA938" s="130">
        <v>1</v>
      </c>
      <c r="AB938" s="111">
        <f t="shared" si="206"/>
        <v>336.79500000000002</v>
      </c>
      <c r="AC938" s="110"/>
      <c r="AD938" s="110"/>
      <c r="AE938" s="130">
        <v>1</v>
      </c>
      <c r="AF938" s="111">
        <f t="shared" si="207"/>
        <v>336.79500000000002</v>
      </c>
      <c r="AG938" s="110"/>
      <c r="AH938" s="110"/>
      <c r="AI938" s="110"/>
      <c r="AJ938" s="110"/>
      <c r="AK938" s="111">
        <f t="shared" si="194"/>
        <v>1347.18</v>
      </c>
      <c r="AL938" s="446">
        <f t="shared" si="195"/>
        <v>0</v>
      </c>
      <c r="AM938" s="110">
        <f t="shared" si="196"/>
        <v>6</v>
      </c>
      <c r="AN938" s="447">
        <f t="shared" si="199"/>
        <v>0</v>
      </c>
      <c r="AO938"/>
      <c r="AP938"/>
    </row>
    <row r="939" spans="1:42" ht="66" x14ac:dyDescent="0.25">
      <c r="A939" s="143"/>
      <c r="B939" s="506" t="s">
        <v>128</v>
      </c>
      <c r="C939" s="24"/>
      <c r="D939" s="887">
        <v>100</v>
      </c>
      <c r="E939" s="29" t="s">
        <v>1721</v>
      </c>
      <c r="F939" s="273" t="s">
        <v>3446</v>
      </c>
      <c r="G939" s="1040" t="s">
        <v>3463</v>
      </c>
      <c r="H939" s="273" t="s">
        <v>3462</v>
      </c>
      <c r="I939" s="720">
        <f t="shared" si="197"/>
        <v>0.93</v>
      </c>
      <c r="J939" s="765">
        <v>93</v>
      </c>
      <c r="K939" s="131">
        <f t="shared" si="198"/>
        <v>93</v>
      </c>
      <c r="L939" s="335">
        <f t="shared" si="205"/>
        <v>0</v>
      </c>
      <c r="M939" s="446"/>
      <c r="N939" s="446"/>
      <c r="O939" s="446"/>
      <c r="P939" s="446"/>
      <c r="Q939" s="110">
        <v>30</v>
      </c>
      <c r="R939" s="111">
        <f t="shared" si="201"/>
        <v>23.25</v>
      </c>
      <c r="S939" s="110"/>
      <c r="T939" s="110"/>
      <c r="U939" s="110">
        <v>30</v>
      </c>
      <c r="V939" s="111">
        <f t="shared" si="203"/>
        <v>23.25</v>
      </c>
      <c r="W939" s="110"/>
      <c r="X939" s="110"/>
      <c r="Y939" s="110"/>
      <c r="Z939" s="110"/>
      <c r="AA939" s="110">
        <v>30</v>
      </c>
      <c r="AB939" s="111">
        <f t="shared" si="206"/>
        <v>23.25</v>
      </c>
      <c r="AC939" s="110"/>
      <c r="AD939" s="110"/>
      <c r="AE939" s="110">
        <v>10</v>
      </c>
      <c r="AF939" s="111">
        <f t="shared" si="207"/>
        <v>23.25</v>
      </c>
      <c r="AG939" s="110"/>
      <c r="AH939" s="110"/>
      <c r="AI939" s="110"/>
      <c r="AJ939" s="110"/>
      <c r="AK939" s="111">
        <f t="shared" si="194"/>
        <v>93</v>
      </c>
      <c r="AL939" s="446">
        <f t="shared" si="195"/>
        <v>0</v>
      </c>
      <c r="AM939" s="110">
        <f t="shared" si="196"/>
        <v>100</v>
      </c>
      <c r="AN939" s="447">
        <f t="shared" si="199"/>
        <v>0</v>
      </c>
      <c r="AO939"/>
      <c r="AP939"/>
    </row>
    <row r="940" spans="1:42" ht="66" x14ac:dyDescent="0.25">
      <c r="A940" s="143"/>
      <c r="B940" s="506" t="s">
        <v>130</v>
      </c>
      <c r="C940" s="24"/>
      <c r="D940" s="887">
        <v>100</v>
      </c>
      <c r="E940" s="29" t="s">
        <v>1721</v>
      </c>
      <c r="F940" s="273" t="s">
        <v>3446</v>
      </c>
      <c r="G940" s="1040" t="s">
        <v>3463</v>
      </c>
      <c r="H940" s="273" t="s">
        <v>3462</v>
      </c>
      <c r="I940" s="720">
        <f t="shared" si="197"/>
        <v>3.5</v>
      </c>
      <c r="J940" s="765">
        <v>350</v>
      </c>
      <c r="K940" s="131">
        <f t="shared" si="198"/>
        <v>350</v>
      </c>
      <c r="L940" s="335">
        <f t="shared" si="205"/>
        <v>0</v>
      </c>
      <c r="M940" s="446"/>
      <c r="N940" s="446"/>
      <c r="O940" s="446"/>
      <c r="P940" s="446"/>
      <c r="Q940" s="110">
        <v>30</v>
      </c>
      <c r="R940" s="111">
        <f t="shared" si="201"/>
        <v>87.5</v>
      </c>
      <c r="S940" s="110"/>
      <c r="T940" s="110"/>
      <c r="U940" s="110">
        <v>30</v>
      </c>
      <c r="V940" s="111">
        <f t="shared" si="203"/>
        <v>87.5</v>
      </c>
      <c r="W940" s="110"/>
      <c r="X940" s="110"/>
      <c r="Y940" s="110"/>
      <c r="Z940" s="110"/>
      <c r="AA940" s="110">
        <v>30</v>
      </c>
      <c r="AB940" s="111">
        <f t="shared" si="206"/>
        <v>87.5</v>
      </c>
      <c r="AC940" s="110"/>
      <c r="AD940" s="110"/>
      <c r="AE940" s="110">
        <v>10</v>
      </c>
      <c r="AF940" s="111">
        <f t="shared" si="207"/>
        <v>87.5</v>
      </c>
      <c r="AG940" s="110"/>
      <c r="AH940" s="110"/>
      <c r="AI940" s="110"/>
      <c r="AJ940" s="110"/>
      <c r="AK940" s="111">
        <f t="shared" si="194"/>
        <v>350</v>
      </c>
      <c r="AL940" s="446">
        <f t="shared" si="195"/>
        <v>0</v>
      </c>
      <c r="AM940" s="110">
        <f t="shared" si="196"/>
        <v>100</v>
      </c>
      <c r="AN940" s="447">
        <f t="shared" si="199"/>
        <v>0</v>
      </c>
      <c r="AO940"/>
      <c r="AP940"/>
    </row>
    <row r="941" spans="1:42" ht="66" x14ac:dyDescent="0.25">
      <c r="A941" s="143"/>
      <c r="B941" s="506" t="s">
        <v>2002</v>
      </c>
      <c r="C941" s="24"/>
      <c r="D941" s="887">
        <v>100</v>
      </c>
      <c r="E941" s="29" t="s">
        <v>1721</v>
      </c>
      <c r="F941" s="273" t="s">
        <v>3446</v>
      </c>
      <c r="G941" s="1040" t="s">
        <v>3463</v>
      </c>
      <c r="H941" s="273" t="s">
        <v>3462</v>
      </c>
      <c r="I941" s="720">
        <f t="shared" si="197"/>
        <v>4.0999999999999996</v>
      </c>
      <c r="J941" s="765">
        <v>409.99999999999994</v>
      </c>
      <c r="K941" s="131">
        <f t="shared" si="198"/>
        <v>409.99999999999994</v>
      </c>
      <c r="L941" s="335">
        <f t="shared" si="205"/>
        <v>0</v>
      </c>
      <c r="M941" s="446"/>
      <c r="N941" s="446"/>
      <c r="O941" s="446"/>
      <c r="P941" s="446"/>
      <c r="Q941" s="110">
        <v>30</v>
      </c>
      <c r="R941" s="111">
        <f t="shared" si="201"/>
        <v>102.49999999999999</v>
      </c>
      <c r="S941" s="110"/>
      <c r="T941" s="110"/>
      <c r="U941" s="110">
        <v>30</v>
      </c>
      <c r="V941" s="111">
        <f t="shared" si="203"/>
        <v>102.49999999999999</v>
      </c>
      <c r="W941" s="110"/>
      <c r="X941" s="110"/>
      <c r="Y941" s="110"/>
      <c r="Z941" s="110"/>
      <c r="AA941" s="110">
        <v>30</v>
      </c>
      <c r="AB941" s="111">
        <f t="shared" si="206"/>
        <v>102.49999999999999</v>
      </c>
      <c r="AC941" s="110"/>
      <c r="AD941" s="110"/>
      <c r="AE941" s="110">
        <v>10</v>
      </c>
      <c r="AF941" s="111">
        <f t="shared" si="207"/>
        <v>102.49999999999999</v>
      </c>
      <c r="AG941" s="110"/>
      <c r="AH941" s="110"/>
      <c r="AI941" s="110"/>
      <c r="AJ941" s="110"/>
      <c r="AK941" s="111">
        <f t="shared" si="194"/>
        <v>409.99999999999994</v>
      </c>
      <c r="AL941" s="446">
        <f t="shared" si="195"/>
        <v>0</v>
      </c>
      <c r="AM941" s="110">
        <f t="shared" si="196"/>
        <v>100</v>
      </c>
      <c r="AN941" s="447">
        <f t="shared" si="199"/>
        <v>0</v>
      </c>
      <c r="AO941"/>
      <c r="AP941"/>
    </row>
    <row r="942" spans="1:42" ht="66" x14ac:dyDescent="0.25">
      <c r="A942" s="143"/>
      <c r="B942" s="506" t="s">
        <v>133</v>
      </c>
      <c r="C942" s="24"/>
      <c r="D942" s="887">
        <v>1</v>
      </c>
      <c r="E942" s="29" t="s">
        <v>1725</v>
      </c>
      <c r="F942" s="273" t="s">
        <v>3446</v>
      </c>
      <c r="G942" s="1040" t="s">
        <v>3463</v>
      </c>
      <c r="H942" s="273" t="s">
        <v>3462</v>
      </c>
      <c r="I942" s="720">
        <f t="shared" si="197"/>
        <v>100.1</v>
      </c>
      <c r="J942" s="765">
        <v>100.1</v>
      </c>
      <c r="K942" s="131">
        <f t="shared" si="198"/>
        <v>100.1</v>
      </c>
      <c r="L942" s="335">
        <f t="shared" si="205"/>
        <v>0</v>
      </c>
      <c r="M942" s="446"/>
      <c r="N942" s="446"/>
      <c r="O942" s="446"/>
      <c r="P942" s="446"/>
      <c r="Q942" s="110">
        <v>1</v>
      </c>
      <c r="R942" s="111">
        <v>100.1</v>
      </c>
      <c r="S942" s="110"/>
      <c r="T942" s="110"/>
      <c r="U942" s="110">
        <v>0</v>
      </c>
      <c r="V942" s="111">
        <v>0</v>
      </c>
      <c r="W942" s="110"/>
      <c r="X942" s="110"/>
      <c r="Y942" s="110"/>
      <c r="Z942" s="110"/>
      <c r="AA942" s="110">
        <v>0</v>
      </c>
      <c r="AB942" s="111">
        <v>0</v>
      </c>
      <c r="AC942" s="110"/>
      <c r="AD942" s="110"/>
      <c r="AE942" s="110">
        <v>0</v>
      </c>
      <c r="AF942" s="111">
        <v>0</v>
      </c>
      <c r="AG942" s="110"/>
      <c r="AH942" s="110"/>
      <c r="AI942" s="110"/>
      <c r="AJ942" s="110"/>
      <c r="AK942" s="111">
        <f t="shared" si="194"/>
        <v>100.1</v>
      </c>
      <c r="AL942" s="446">
        <f t="shared" si="195"/>
        <v>0</v>
      </c>
      <c r="AM942" s="110">
        <f t="shared" si="196"/>
        <v>1</v>
      </c>
      <c r="AN942" s="447">
        <f t="shared" si="199"/>
        <v>0</v>
      </c>
      <c r="AO942"/>
      <c r="AP942"/>
    </row>
    <row r="943" spans="1:42" ht="66" x14ac:dyDescent="0.25">
      <c r="A943" s="143"/>
      <c r="B943" s="506" t="s">
        <v>134</v>
      </c>
      <c r="C943" s="24"/>
      <c r="D943" s="887">
        <v>4</v>
      </c>
      <c r="E943" s="29" t="s">
        <v>1721</v>
      </c>
      <c r="F943" s="273" t="s">
        <v>3446</v>
      </c>
      <c r="G943" s="1040" t="s">
        <v>3463</v>
      </c>
      <c r="H943" s="273" t="s">
        <v>3462</v>
      </c>
      <c r="I943" s="720">
        <f t="shared" si="197"/>
        <v>20.2</v>
      </c>
      <c r="J943" s="765">
        <v>80.8</v>
      </c>
      <c r="K943" s="131">
        <f t="shared" si="198"/>
        <v>80.8</v>
      </c>
      <c r="L943" s="335">
        <f t="shared" si="205"/>
        <v>0</v>
      </c>
      <c r="M943" s="446"/>
      <c r="N943" s="446"/>
      <c r="O943" s="446"/>
      <c r="P943" s="446"/>
      <c r="Q943" s="110">
        <f t="shared" si="200"/>
        <v>1</v>
      </c>
      <c r="R943" s="111">
        <f t="shared" si="201"/>
        <v>20.2</v>
      </c>
      <c r="S943" s="110"/>
      <c r="T943" s="110"/>
      <c r="U943" s="110">
        <f t="shared" si="202"/>
        <v>1</v>
      </c>
      <c r="V943" s="111">
        <f t="shared" si="203"/>
        <v>20.2</v>
      </c>
      <c r="W943" s="110"/>
      <c r="X943" s="110"/>
      <c r="Y943" s="110"/>
      <c r="Z943" s="110"/>
      <c r="AA943" s="110">
        <f t="shared" si="204"/>
        <v>1</v>
      </c>
      <c r="AB943" s="111">
        <f t="shared" si="206"/>
        <v>20.2</v>
      </c>
      <c r="AC943" s="110"/>
      <c r="AD943" s="110"/>
      <c r="AE943" s="110">
        <f t="shared" si="204"/>
        <v>1</v>
      </c>
      <c r="AF943" s="111">
        <f t="shared" si="207"/>
        <v>20.2</v>
      </c>
      <c r="AG943" s="110"/>
      <c r="AH943" s="110"/>
      <c r="AI943" s="110"/>
      <c r="AJ943" s="110"/>
      <c r="AK943" s="111">
        <f t="shared" si="194"/>
        <v>80.8</v>
      </c>
      <c r="AL943" s="446">
        <f t="shared" si="195"/>
        <v>0</v>
      </c>
      <c r="AM943" s="110">
        <f t="shared" si="196"/>
        <v>4</v>
      </c>
      <c r="AN943" s="447">
        <f t="shared" si="199"/>
        <v>0</v>
      </c>
      <c r="AO943"/>
      <c r="AP943"/>
    </row>
    <row r="944" spans="1:42" ht="66" x14ac:dyDescent="0.25">
      <c r="A944" s="143"/>
      <c r="B944" s="506" t="s">
        <v>2003</v>
      </c>
      <c r="C944" s="24"/>
      <c r="D944" s="887">
        <v>2</v>
      </c>
      <c r="E944" s="29" t="s">
        <v>1725</v>
      </c>
      <c r="F944" s="273" t="s">
        <v>3446</v>
      </c>
      <c r="G944" s="1040" t="s">
        <v>3463</v>
      </c>
      <c r="H944" s="273" t="s">
        <v>3462</v>
      </c>
      <c r="I944" s="720">
        <f t="shared" si="197"/>
        <v>154.44</v>
      </c>
      <c r="J944" s="765">
        <v>308.88</v>
      </c>
      <c r="K944" s="131">
        <f t="shared" si="198"/>
        <v>308.88</v>
      </c>
      <c r="L944" s="335">
        <f t="shared" si="205"/>
        <v>0</v>
      </c>
      <c r="M944" s="446"/>
      <c r="N944" s="446"/>
      <c r="O944" s="446"/>
      <c r="P944" s="446"/>
      <c r="Q944" s="130">
        <v>0</v>
      </c>
      <c r="R944" s="111">
        <v>0</v>
      </c>
      <c r="S944" s="110"/>
      <c r="T944" s="110"/>
      <c r="U944" s="130">
        <v>1</v>
      </c>
      <c r="V944" s="111">
        <v>154.44</v>
      </c>
      <c r="W944" s="110"/>
      <c r="X944" s="110"/>
      <c r="Y944" s="110"/>
      <c r="Z944" s="110"/>
      <c r="AA944" s="130">
        <v>1</v>
      </c>
      <c r="AB944" s="111">
        <v>154.44</v>
      </c>
      <c r="AC944" s="110"/>
      <c r="AD944" s="110"/>
      <c r="AE944" s="130">
        <v>0</v>
      </c>
      <c r="AF944" s="111">
        <v>0</v>
      </c>
      <c r="AG944" s="110"/>
      <c r="AH944" s="110"/>
      <c r="AI944" s="110"/>
      <c r="AJ944" s="110"/>
      <c r="AK944" s="111">
        <f t="shared" ref="AK944:AK1007" si="208">+R944+V944+AB944+AF944</f>
        <v>308.88</v>
      </c>
      <c r="AL944" s="446">
        <f t="shared" ref="AL944:AL1007" si="209">+J944-AK944</f>
        <v>0</v>
      </c>
      <c r="AM944" s="110">
        <f t="shared" ref="AM944:AM1007" si="210">+Q944+U944+AA944+AE944</f>
        <v>2</v>
      </c>
      <c r="AN944" s="447">
        <f t="shared" si="199"/>
        <v>0</v>
      </c>
      <c r="AO944"/>
      <c r="AP944"/>
    </row>
    <row r="945" spans="1:42" ht="66" x14ac:dyDescent="0.25">
      <c r="A945" s="143"/>
      <c r="B945" s="506" t="s">
        <v>124</v>
      </c>
      <c r="C945" s="24"/>
      <c r="D945" s="887">
        <v>4</v>
      </c>
      <c r="E945" s="29" t="s">
        <v>1747</v>
      </c>
      <c r="F945" s="273" t="s">
        <v>3446</v>
      </c>
      <c r="G945" s="1040" t="s">
        <v>3463</v>
      </c>
      <c r="H945" s="273" t="s">
        <v>3462</v>
      </c>
      <c r="I945" s="720">
        <f t="shared" si="197"/>
        <v>130.91999999999999</v>
      </c>
      <c r="J945" s="765">
        <v>523.67999999999995</v>
      </c>
      <c r="K945" s="131">
        <f t="shared" si="198"/>
        <v>523.67999999999995</v>
      </c>
      <c r="L945" s="335">
        <f t="shared" si="205"/>
        <v>0</v>
      </c>
      <c r="M945" s="446"/>
      <c r="N945" s="446"/>
      <c r="O945" s="446"/>
      <c r="P945" s="446"/>
      <c r="Q945" s="110">
        <f t="shared" si="200"/>
        <v>1</v>
      </c>
      <c r="R945" s="111">
        <f t="shared" si="201"/>
        <v>130.91999999999999</v>
      </c>
      <c r="S945" s="110"/>
      <c r="T945" s="110"/>
      <c r="U945" s="110">
        <f t="shared" si="202"/>
        <v>1</v>
      </c>
      <c r="V945" s="111">
        <f t="shared" si="203"/>
        <v>130.91999999999999</v>
      </c>
      <c r="W945" s="110"/>
      <c r="X945" s="110"/>
      <c r="Y945" s="110"/>
      <c r="Z945" s="110"/>
      <c r="AA945" s="110">
        <f t="shared" si="204"/>
        <v>1</v>
      </c>
      <c r="AB945" s="111">
        <f t="shared" si="206"/>
        <v>130.91999999999999</v>
      </c>
      <c r="AC945" s="110"/>
      <c r="AD945" s="110"/>
      <c r="AE945" s="110">
        <f t="shared" si="204"/>
        <v>1</v>
      </c>
      <c r="AF945" s="111">
        <f t="shared" si="207"/>
        <v>130.91999999999999</v>
      </c>
      <c r="AG945" s="110"/>
      <c r="AH945" s="110"/>
      <c r="AI945" s="110"/>
      <c r="AJ945" s="110"/>
      <c r="AK945" s="111">
        <f t="shared" si="208"/>
        <v>523.67999999999995</v>
      </c>
      <c r="AL945" s="446">
        <f t="shared" si="209"/>
        <v>0</v>
      </c>
      <c r="AM945" s="110">
        <f t="shared" si="210"/>
        <v>4</v>
      </c>
      <c r="AN945" s="447">
        <f t="shared" si="199"/>
        <v>0</v>
      </c>
      <c r="AO945"/>
      <c r="AP945"/>
    </row>
    <row r="946" spans="1:42" ht="66" x14ac:dyDescent="0.25">
      <c r="A946" s="143"/>
      <c r="B946" s="506" t="s">
        <v>108</v>
      </c>
      <c r="C946" s="24"/>
      <c r="D946" s="887">
        <v>4</v>
      </c>
      <c r="E946" s="29" t="s">
        <v>2006</v>
      </c>
      <c r="F946" s="273" t="s">
        <v>3446</v>
      </c>
      <c r="G946" s="1040" t="s">
        <v>3463</v>
      </c>
      <c r="H946" s="273" t="s">
        <v>3462</v>
      </c>
      <c r="I946" s="720">
        <f t="shared" si="197"/>
        <v>38.020000000000003</v>
      </c>
      <c r="J946" s="765">
        <v>152.08000000000001</v>
      </c>
      <c r="K946" s="131">
        <f t="shared" si="198"/>
        <v>152.08000000000001</v>
      </c>
      <c r="L946" s="335">
        <f t="shared" si="205"/>
        <v>0</v>
      </c>
      <c r="M946" s="446"/>
      <c r="N946" s="446"/>
      <c r="O946" s="446"/>
      <c r="P946" s="446"/>
      <c r="Q946" s="110">
        <f t="shared" si="200"/>
        <v>1</v>
      </c>
      <c r="R946" s="111">
        <f t="shared" si="201"/>
        <v>38.020000000000003</v>
      </c>
      <c r="S946" s="110"/>
      <c r="T946" s="110"/>
      <c r="U946" s="110">
        <f t="shared" si="202"/>
        <v>1</v>
      </c>
      <c r="V946" s="111">
        <f t="shared" si="203"/>
        <v>38.020000000000003</v>
      </c>
      <c r="W946" s="110"/>
      <c r="X946" s="110"/>
      <c r="Y946" s="110"/>
      <c r="Z946" s="110"/>
      <c r="AA946" s="110">
        <f t="shared" si="204"/>
        <v>1</v>
      </c>
      <c r="AB946" s="111">
        <f t="shared" si="206"/>
        <v>38.020000000000003</v>
      </c>
      <c r="AC946" s="110"/>
      <c r="AD946" s="110"/>
      <c r="AE946" s="110">
        <f t="shared" si="204"/>
        <v>1</v>
      </c>
      <c r="AF946" s="111">
        <f t="shared" si="207"/>
        <v>38.020000000000003</v>
      </c>
      <c r="AG946" s="110"/>
      <c r="AH946" s="110"/>
      <c r="AI946" s="110"/>
      <c r="AJ946" s="110"/>
      <c r="AK946" s="111">
        <f t="shared" si="208"/>
        <v>152.08000000000001</v>
      </c>
      <c r="AL946" s="446">
        <f t="shared" si="209"/>
        <v>0</v>
      </c>
      <c r="AM946" s="110">
        <f t="shared" si="210"/>
        <v>4</v>
      </c>
      <c r="AN946" s="447">
        <f t="shared" si="199"/>
        <v>0</v>
      </c>
      <c r="AO946"/>
      <c r="AP946"/>
    </row>
    <row r="947" spans="1:42" ht="66" x14ac:dyDescent="0.25">
      <c r="A947" s="143"/>
      <c r="B947" s="506" t="s">
        <v>110</v>
      </c>
      <c r="C947" s="24"/>
      <c r="D947" s="887">
        <v>8</v>
      </c>
      <c r="E947" s="29" t="s">
        <v>1725</v>
      </c>
      <c r="F947" s="273" t="s">
        <v>3446</v>
      </c>
      <c r="G947" s="1040" t="s">
        <v>3463</v>
      </c>
      <c r="H947" s="273" t="s">
        <v>3462</v>
      </c>
      <c r="I947" s="720">
        <f t="shared" si="197"/>
        <v>96.47</v>
      </c>
      <c r="J947" s="765">
        <v>771.76</v>
      </c>
      <c r="K947" s="131">
        <f t="shared" si="198"/>
        <v>771.76</v>
      </c>
      <c r="L947" s="335">
        <f t="shared" si="205"/>
        <v>0</v>
      </c>
      <c r="M947" s="446"/>
      <c r="N947" s="446"/>
      <c r="O947" s="446"/>
      <c r="P947" s="446"/>
      <c r="Q947" s="110">
        <f t="shared" si="200"/>
        <v>2</v>
      </c>
      <c r="R947" s="111">
        <f t="shared" si="201"/>
        <v>192.94</v>
      </c>
      <c r="S947" s="110"/>
      <c r="T947" s="110"/>
      <c r="U947" s="110">
        <f t="shared" si="202"/>
        <v>2</v>
      </c>
      <c r="V947" s="111">
        <f t="shared" si="203"/>
        <v>192.94</v>
      </c>
      <c r="W947" s="110"/>
      <c r="X947" s="110"/>
      <c r="Y947" s="110"/>
      <c r="Z947" s="110"/>
      <c r="AA947" s="110">
        <f t="shared" si="204"/>
        <v>2</v>
      </c>
      <c r="AB947" s="111">
        <f t="shared" si="206"/>
        <v>192.94</v>
      </c>
      <c r="AC947" s="110"/>
      <c r="AD947" s="110"/>
      <c r="AE947" s="110">
        <f t="shared" si="204"/>
        <v>2</v>
      </c>
      <c r="AF947" s="111">
        <f t="shared" si="207"/>
        <v>192.94</v>
      </c>
      <c r="AG947" s="110"/>
      <c r="AH947" s="110"/>
      <c r="AI947" s="110"/>
      <c r="AJ947" s="110"/>
      <c r="AK947" s="111">
        <f t="shared" si="208"/>
        <v>771.76</v>
      </c>
      <c r="AL947" s="446">
        <f t="shared" si="209"/>
        <v>0</v>
      </c>
      <c r="AM947" s="110">
        <f t="shared" si="210"/>
        <v>8</v>
      </c>
      <c r="AN947" s="447">
        <f t="shared" si="199"/>
        <v>0</v>
      </c>
      <c r="AO947"/>
      <c r="AP947"/>
    </row>
    <row r="948" spans="1:42" ht="66" x14ac:dyDescent="0.25">
      <c r="A948" s="143"/>
      <c r="B948" s="506" t="s">
        <v>116</v>
      </c>
      <c r="C948" s="24"/>
      <c r="D948" s="887">
        <v>10</v>
      </c>
      <c r="E948" s="29" t="s">
        <v>1721</v>
      </c>
      <c r="F948" s="273" t="s">
        <v>3446</v>
      </c>
      <c r="G948" s="1040" t="s">
        <v>3463</v>
      </c>
      <c r="H948" s="273" t="s">
        <v>3462</v>
      </c>
      <c r="I948" s="720">
        <f t="shared" si="197"/>
        <v>39.799999999999997</v>
      </c>
      <c r="J948" s="765">
        <v>398</v>
      </c>
      <c r="K948" s="131">
        <f t="shared" si="198"/>
        <v>398</v>
      </c>
      <c r="L948" s="335">
        <f t="shared" si="205"/>
        <v>0</v>
      </c>
      <c r="M948" s="446"/>
      <c r="N948" s="446"/>
      <c r="O948" s="446"/>
      <c r="P948" s="446"/>
      <c r="Q948" s="130">
        <v>3</v>
      </c>
      <c r="R948" s="111">
        <f t="shared" si="201"/>
        <v>99.5</v>
      </c>
      <c r="S948" s="110"/>
      <c r="T948" s="110"/>
      <c r="U948" s="130">
        <v>3</v>
      </c>
      <c r="V948" s="111">
        <f t="shared" si="203"/>
        <v>99.5</v>
      </c>
      <c r="W948" s="110"/>
      <c r="X948" s="110"/>
      <c r="Y948" s="110"/>
      <c r="Z948" s="110"/>
      <c r="AA948" s="130">
        <v>2</v>
      </c>
      <c r="AB948" s="111">
        <f t="shared" si="206"/>
        <v>99.5</v>
      </c>
      <c r="AC948" s="110"/>
      <c r="AD948" s="110"/>
      <c r="AE948" s="130">
        <v>2</v>
      </c>
      <c r="AF948" s="111">
        <f t="shared" si="207"/>
        <v>99.5</v>
      </c>
      <c r="AG948" s="110"/>
      <c r="AH948" s="110"/>
      <c r="AI948" s="110"/>
      <c r="AJ948" s="110"/>
      <c r="AK948" s="111">
        <f t="shared" si="208"/>
        <v>398</v>
      </c>
      <c r="AL948" s="446">
        <f t="shared" si="209"/>
        <v>0</v>
      </c>
      <c r="AM948" s="110">
        <f t="shared" si="210"/>
        <v>10</v>
      </c>
      <c r="AN948" s="447">
        <f t="shared" si="199"/>
        <v>0</v>
      </c>
      <c r="AO948"/>
      <c r="AP948"/>
    </row>
    <row r="949" spans="1:42" ht="66" x14ac:dyDescent="0.25">
      <c r="A949" s="143"/>
      <c r="B949" s="506" t="s">
        <v>104</v>
      </c>
      <c r="C949" s="24"/>
      <c r="D949" s="887">
        <v>6</v>
      </c>
      <c r="E949" s="29" t="s">
        <v>1997</v>
      </c>
      <c r="F949" s="278" t="s">
        <v>3446</v>
      </c>
      <c r="G949" s="1040" t="s">
        <v>3463</v>
      </c>
      <c r="H949" s="273" t="s">
        <v>3462</v>
      </c>
      <c r="I949" s="720">
        <f t="shared" si="197"/>
        <v>106.8</v>
      </c>
      <c r="J949" s="765">
        <v>640.79999999999995</v>
      </c>
      <c r="K949" s="131">
        <f t="shared" si="198"/>
        <v>640.79999999999995</v>
      </c>
      <c r="L949" s="335">
        <f t="shared" si="205"/>
        <v>0</v>
      </c>
      <c r="M949" s="446"/>
      <c r="N949" s="446"/>
      <c r="O949" s="446"/>
      <c r="P949" s="446"/>
      <c r="Q949" s="130">
        <v>2</v>
      </c>
      <c r="R949" s="111">
        <f t="shared" si="201"/>
        <v>160.19999999999999</v>
      </c>
      <c r="S949" s="110"/>
      <c r="T949" s="110"/>
      <c r="U949" s="130">
        <v>2</v>
      </c>
      <c r="V949" s="111">
        <f t="shared" si="203"/>
        <v>160.19999999999999</v>
      </c>
      <c r="W949" s="110"/>
      <c r="X949" s="110"/>
      <c r="Y949" s="110"/>
      <c r="Z949" s="110"/>
      <c r="AA949" s="130">
        <v>1</v>
      </c>
      <c r="AB949" s="111">
        <f t="shared" si="206"/>
        <v>160.19999999999999</v>
      </c>
      <c r="AC949" s="110"/>
      <c r="AD949" s="110"/>
      <c r="AE949" s="130">
        <v>1</v>
      </c>
      <c r="AF949" s="111">
        <f t="shared" si="207"/>
        <v>160.19999999999999</v>
      </c>
      <c r="AG949" s="110"/>
      <c r="AH949" s="110"/>
      <c r="AI949" s="110"/>
      <c r="AJ949" s="110"/>
      <c r="AK949" s="111">
        <f t="shared" si="208"/>
        <v>640.79999999999995</v>
      </c>
      <c r="AL949" s="446">
        <f t="shared" si="209"/>
        <v>0</v>
      </c>
      <c r="AM949" s="110">
        <f t="shared" si="210"/>
        <v>6</v>
      </c>
      <c r="AN949" s="447">
        <f t="shared" si="199"/>
        <v>0</v>
      </c>
      <c r="AO949"/>
      <c r="AP949"/>
    </row>
    <row r="950" spans="1:42" ht="66" x14ac:dyDescent="0.25">
      <c r="A950" s="143"/>
      <c r="B950" s="506" t="s">
        <v>103</v>
      </c>
      <c r="C950" s="24"/>
      <c r="D950" s="887">
        <v>6</v>
      </c>
      <c r="E950" s="29" t="s">
        <v>1721</v>
      </c>
      <c r="F950" s="278" t="s">
        <v>3446</v>
      </c>
      <c r="G950" s="1040" t="s">
        <v>3463</v>
      </c>
      <c r="H950" s="273" t="s">
        <v>3462</v>
      </c>
      <c r="I950" s="720">
        <f t="shared" si="197"/>
        <v>70.09</v>
      </c>
      <c r="J950" s="765">
        <v>420.54</v>
      </c>
      <c r="K950" s="131">
        <f t="shared" si="198"/>
        <v>420.54</v>
      </c>
      <c r="L950" s="335">
        <f t="shared" si="205"/>
        <v>0</v>
      </c>
      <c r="M950" s="446"/>
      <c r="N950" s="446"/>
      <c r="O950" s="446"/>
      <c r="P950" s="446"/>
      <c r="Q950" s="130">
        <v>2</v>
      </c>
      <c r="R950" s="111">
        <f t="shared" si="201"/>
        <v>105.13500000000001</v>
      </c>
      <c r="S950" s="110"/>
      <c r="T950" s="110"/>
      <c r="U950" s="130">
        <v>2</v>
      </c>
      <c r="V950" s="111">
        <f t="shared" si="203"/>
        <v>105.13500000000001</v>
      </c>
      <c r="W950" s="110"/>
      <c r="X950" s="110"/>
      <c r="Y950" s="110"/>
      <c r="Z950" s="110"/>
      <c r="AA950" s="130">
        <v>1</v>
      </c>
      <c r="AB950" s="111">
        <f t="shared" si="206"/>
        <v>105.13500000000001</v>
      </c>
      <c r="AC950" s="110"/>
      <c r="AD950" s="110"/>
      <c r="AE950" s="130">
        <v>1</v>
      </c>
      <c r="AF950" s="111">
        <f t="shared" si="207"/>
        <v>105.13500000000001</v>
      </c>
      <c r="AG950" s="110"/>
      <c r="AH950" s="110"/>
      <c r="AI950" s="110"/>
      <c r="AJ950" s="110"/>
      <c r="AK950" s="111">
        <f t="shared" si="208"/>
        <v>420.54</v>
      </c>
      <c r="AL950" s="446">
        <f t="shared" si="209"/>
        <v>0</v>
      </c>
      <c r="AM950" s="110">
        <f t="shared" si="210"/>
        <v>6</v>
      </c>
      <c r="AN950" s="447">
        <f t="shared" si="199"/>
        <v>0</v>
      </c>
      <c r="AO950"/>
      <c r="AP950"/>
    </row>
    <row r="951" spans="1:42" ht="66" x14ac:dyDescent="0.25">
      <c r="A951" s="143"/>
      <c r="B951" s="506" t="s">
        <v>2004</v>
      </c>
      <c r="C951" s="24"/>
      <c r="D951" s="887">
        <v>4</v>
      </c>
      <c r="E951" s="29" t="s">
        <v>1721</v>
      </c>
      <c r="F951" s="273" t="s">
        <v>3446</v>
      </c>
      <c r="G951" s="1040" t="s">
        <v>3463</v>
      </c>
      <c r="H951" s="273" t="s">
        <v>3462</v>
      </c>
      <c r="I951" s="720">
        <f t="shared" si="197"/>
        <v>39.799999999999997</v>
      </c>
      <c r="J951" s="765">
        <v>159.19999999999999</v>
      </c>
      <c r="K951" s="131">
        <f t="shared" si="198"/>
        <v>159.19999999999999</v>
      </c>
      <c r="L951" s="335">
        <f t="shared" si="205"/>
        <v>0</v>
      </c>
      <c r="M951" s="446"/>
      <c r="N951" s="446"/>
      <c r="O951" s="446"/>
      <c r="P951" s="446"/>
      <c r="Q951" s="110">
        <f t="shared" si="200"/>
        <v>1</v>
      </c>
      <c r="R951" s="111">
        <f t="shared" si="201"/>
        <v>39.799999999999997</v>
      </c>
      <c r="S951" s="110"/>
      <c r="T951" s="110"/>
      <c r="U951" s="110">
        <f t="shared" si="202"/>
        <v>1</v>
      </c>
      <c r="V951" s="111">
        <f t="shared" si="203"/>
        <v>39.799999999999997</v>
      </c>
      <c r="W951" s="110"/>
      <c r="X951" s="110"/>
      <c r="Y951" s="110"/>
      <c r="Z951" s="110"/>
      <c r="AA951" s="110">
        <f t="shared" si="204"/>
        <v>1</v>
      </c>
      <c r="AB951" s="111">
        <f t="shared" si="206"/>
        <v>39.799999999999997</v>
      </c>
      <c r="AC951" s="110"/>
      <c r="AD951" s="110"/>
      <c r="AE951" s="110">
        <f t="shared" si="204"/>
        <v>1</v>
      </c>
      <c r="AF951" s="111">
        <f t="shared" si="207"/>
        <v>39.799999999999997</v>
      </c>
      <c r="AG951" s="110"/>
      <c r="AH951" s="110"/>
      <c r="AI951" s="110"/>
      <c r="AJ951" s="110"/>
      <c r="AK951" s="111">
        <f t="shared" si="208"/>
        <v>159.19999999999999</v>
      </c>
      <c r="AL951" s="446">
        <f t="shared" si="209"/>
        <v>0</v>
      </c>
      <c r="AM951" s="110">
        <f t="shared" si="210"/>
        <v>4</v>
      </c>
      <c r="AN951" s="447">
        <f t="shared" si="199"/>
        <v>0</v>
      </c>
      <c r="AO951"/>
      <c r="AP951"/>
    </row>
    <row r="952" spans="1:42" ht="66" x14ac:dyDescent="0.25">
      <c r="A952" s="143"/>
      <c r="B952" s="506" t="s">
        <v>2005</v>
      </c>
      <c r="C952" s="24"/>
      <c r="D952" s="887">
        <v>6</v>
      </c>
      <c r="E952" s="29" t="s">
        <v>1721</v>
      </c>
      <c r="F952" s="273" t="s">
        <v>3446</v>
      </c>
      <c r="G952" s="1040" t="s">
        <v>3463</v>
      </c>
      <c r="H952" s="273" t="s">
        <v>3462</v>
      </c>
      <c r="I952" s="720">
        <f t="shared" si="197"/>
        <v>27.320000000000004</v>
      </c>
      <c r="J952" s="765">
        <v>163.92000000000002</v>
      </c>
      <c r="K952" s="131">
        <f t="shared" si="198"/>
        <v>163.92000000000002</v>
      </c>
      <c r="L952" s="335">
        <f t="shared" si="205"/>
        <v>0</v>
      </c>
      <c r="M952" s="446"/>
      <c r="N952" s="446"/>
      <c r="O952" s="446"/>
      <c r="P952" s="446"/>
      <c r="Q952" s="130">
        <v>2</v>
      </c>
      <c r="R952" s="111">
        <f t="shared" si="201"/>
        <v>40.980000000000004</v>
      </c>
      <c r="S952" s="110"/>
      <c r="T952" s="110"/>
      <c r="U952" s="130">
        <v>2</v>
      </c>
      <c r="V952" s="111">
        <f t="shared" si="203"/>
        <v>40.980000000000004</v>
      </c>
      <c r="W952" s="110"/>
      <c r="X952" s="110"/>
      <c r="Y952" s="110"/>
      <c r="Z952" s="110"/>
      <c r="AA952" s="130">
        <v>1</v>
      </c>
      <c r="AB952" s="111">
        <f t="shared" si="206"/>
        <v>40.980000000000004</v>
      </c>
      <c r="AC952" s="110"/>
      <c r="AD952" s="110"/>
      <c r="AE952" s="130">
        <v>1</v>
      </c>
      <c r="AF952" s="111">
        <f t="shared" si="207"/>
        <v>40.980000000000004</v>
      </c>
      <c r="AG952" s="110"/>
      <c r="AH952" s="110"/>
      <c r="AI952" s="110"/>
      <c r="AJ952" s="110"/>
      <c r="AK952" s="111">
        <f t="shared" si="208"/>
        <v>163.92000000000002</v>
      </c>
      <c r="AL952" s="446">
        <f t="shared" si="209"/>
        <v>0</v>
      </c>
      <c r="AM952" s="110">
        <f t="shared" si="210"/>
        <v>6</v>
      </c>
      <c r="AN952" s="447">
        <f t="shared" si="199"/>
        <v>0</v>
      </c>
      <c r="AO952"/>
      <c r="AP952"/>
    </row>
    <row r="953" spans="1:42" ht="66" x14ac:dyDescent="0.25">
      <c r="A953" s="143"/>
      <c r="B953" s="506" t="s">
        <v>126</v>
      </c>
      <c r="C953" s="24"/>
      <c r="D953" s="887">
        <v>2</v>
      </c>
      <c r="E953" s="29" t="s">
        <v>1721</v>
      </c>
      <c r="F953" s="273" t="s">
        <v>3446</v>
      </c>
      <c r="G953" s="1040" t="s">
        <v>3463</v>
      </c>
      <c r="H953" s="273" t="s">
        <v>3462</v>
      </c>
      <c r="I953" s="720">
        <f t="shared" si="197"/>
        <v>43.96</v>
      </c>
      <c r="J953" s="765">
        <v>87.92</v>
      </c>
      <c r="K953" s="131">
        <f t="shared" si="198"/>
        <v>87.92</v>
      </c>
      <c r="L953" s="335">
        <f t="shared" si="205"/>
        <v>0</v>
      </c>
      <c r="M953" s="446"/>
      <c r="N953" s="446"/>
      <c r="O953" s="446"/>
      <c r="P953" s="446"/>
      <c r="Q953" s="130">
        <v>0</v>
      </c>
      <c r="R953" s="111">
        <v>0</v>
      </c>
      <c r="S953" s="110"/>
      <c r="T953" s="110"/>
      <c r="U953" s="130">
        <v>1</v>
      </c>
      <c r="V953" s="111">
        <v>43.96</v>
      </c>
      <c r="W953" s="110"/>
      <c r="X953" s="110"/>
      <c r="Y953" s="110"/>
      <c r="Z953" s="110"/>
      <c r="AA953" s="130">
        <v>1</v>
      </c>
      <c r="AB953" s="111">
        <v>43.96</v>
      </c>
      <c r="AC953" s="110"/>
      <c r="AD953" s="110"/>
      <c r="AE953" s="130">
        <v>0</v>
      </c>
      <c r="AF953" s="111">
        <v>0</v>
      </c>
      <c r="AG953" s="110"/>
      <c r="AH953" s="110"/>
      <c r="AI953" s="110"/>
      <c r="AJ953" s="110"/>
      <c r="AK953" s="111">
        <f t="shared" si="208"/>
        <v>87.92</v>
      </c>
      <c r="AL953" s="446">
        <f t="shared" si="209"/>
        <v>0</v>
      </c>
      <c r="AM953" s="110">
        <f t="shared" si="210"/>
        <v>2</v>
      </c>
      <c r="AN953" s="447">
        <f t="shared" si="199"/>
        <v>0</v>
      </c>
      <c r="AO953"/>
      <c r="AP953"/>
    </row>
    <row r="954" spans="1:42" ht="66" x14ac:dyDescent="0.25">
      <c r="A954" s="143"/>
      <c r="B954" s="506" t="s">
        <v>1727</v>
      </c>
      <c r="C954" s="24"/>
      <c r="D954" s="887">
        <v>5</v>
      </c>
      <c r="E954" s="29" t="s">
        <v>1725</v>
      </c>
      <c r="F954" s="273" t="s">
        <v>3446</v>
      </c>
      <c r="G954" s="1040" t="s">
        <v>3463</v>
      </c>
      <c r="H954" s="273" t="s">
        <v>3462</v>
      </c>
      <c r="I954" s="720">
        <f t="shared" ref="I954:I1017" si="211">+J954/D954</f>
        <v>227</v>
      </c>
      <c r="J954" s="765">
        <v>1135</v>
      </c>
      <c r="K954" s="131">
        <f t="shared" si="198"/>
        <v>1135</v>
      </c>
      <c r="L954" s="335">
        <f t="shared" si="205"/>
        <v>0</v>
      </c>
      <c r="M954" s="446"/>
      <c r="N954" s="446"/>
      <c r="O954" s="446"/>
      <c r="P954" s="446"/>
      <c r="Q954" s="110">
        <v>2</v>
      </c>
      <c r="R954" s="111">
        <f t="shared" si="201"/>
        <v>283.75</v>
      </c>
      <c r="S954" s="110"/>
      <c r="T954" s="110"/>
      <c r="U954" s="110">
        <v>1</v>
      </c>
      <c r="V954" s="111">
        <f t="shared" si="203"/>
        <v>283.75</v>
      </c>
      <c r="W954" s="110"/>
      <c r="X954" s="110"/>
      <c r="Y954" s="110"/>
      <c r="Z954" s="110"/>
      <c r="AA954" s="110">
        <v>1</v>
      </c>
      <c r="AB954" s="111">
        <f t="shared" si="206"/>
        <v>283.75</v>
      </c>
      <c r="AC954" s="110"/>
      <c r="AD954" s="110"/>
      <c r="AE954" s="110">
        <v>1</v>
      </c>
      <c r="AF954" s="111">
        <f t="shared" si="207"/>
        <v>283.75</v>
      </c>
      <c r="AG954" s="110"/>
      <c r="AH954" s="110"/>
      <c r="AI954" s="110"/>
      <c r="AJ954" s="110"/>
      <c r="AK954" s="111">
        <f t="shared" si="208"/>
        <v>1135</v>
      </c>
      <c r="AL954" s="446">
        <f t="shared" si="209"/>
        <v>0</v>
      </c>
      <c r="AM954" s="110">
        <f t="shared" si="210"/>
        <v>5</v>
      </c>
      <c r="AN954" s="447">
        <f t="shared" si="199"/>
        <v>0</v>
      </c>
      <c r="AO954"/>
      <c r="AP954"/>
    </row>
    <row r="955" spans="1:42" ht="66" x14ac:dyDescent="0.25">
      <c r="A955" s="143"/>
      <c r="B955" s="506" t="s">
        <v>109</v>
      </c>
      <c r="C955" s="24"/>
      <c r="D955" s="887">
        <v>5</v>
      </c>
      <c r="E955" s="29" t="s">
        <v>1725</v>
      </c>
      <c r="F955" s="273" t="s">
        <v>3446</v>
      </c>
      <c r="G955" s="1040" t="s">
        <v>3463</v>
      </c>
      <c r="H955" s="273" t="s">
        <v>3462</v>
      </c>
      <c r="I955" s="720">
        <f t="shared" si="211"/>
        <v>261</v>
      </c>
      <c r="J955" s="765">
        <v>1305</v>
      </c>
      <c r="K955" s="131">
        <f t="shared" si="198"/>
        <v>1305</v>
      </c>
      <c r="L955" s="335">
        <f t="shared" si="205"/>
        <v>0</v>
      </c>
      <c r="M955" s="446"/>
      <c r="N955" s="446"/>
      <c r="O955" s="446"/>
      <c r="P955" s="446"/>
      <c r="Q955" s="110">
        <v>2</v>
      </c>
      <c r="R955" s="111">
        <f t="shared" si="201"/>
        <v>326.25</v>
      </c>
      <c r="S955" s="110"/>
      <c r="T955" s="110"/>
      <c r="U955" s="110">
        <v>1</v>
      </c>
      <c r="V955" s="111">
        <f t="shared" si="203"/>
        <v>326.25</v>
      </c>
      <c r="W955" s="110"/>
      <c r="X955" s="110"/>
      <c r="Y955" s="110"/>
      <c r="Z955" s="110"/>
      <c r="AA955" s="110">
        <v>1</v>
      </c>
      <c r="AB955" s="111">
        <f t="shared" si="206"/>
        <v>326.25</v>
      </c>
      <c r="AC955" s="110"/>
      <c r="AD955" s="110"/>
      <c r="AE955" s="110">
        <v>1</v>
      </c>
      <c r="AF955" s="111">
        <f t="shared" si="207"/>
        <v>326.25</v>
      </c>
      <c r="AG955" s="110"/>
      <c r="AH955" s="110"/>
      <c r="AI955" s="110"/>
      <c r="AJ955" s="110"/>
      <c r="AK955" s="111">
        <f t="shared" si="208"/>
        <v>1305</v>
      </c>
      <c r="AL955" s="446">
        <f t="shared" si="209"/>
        <v>0</v>
      </c>
      <c r="AM955" s="110">
        <f t="shared" si="210"/>
        <v>5</v>
      </c>
      <c r="AN955" s="447">
        <f t="shared" si="199"/>
        <v>0</v>
      </c>
      <c r="AO955"/>
      <c r="AP955"/>
    </row>
    <row r="956" spans="1:42" ht="66" x14ac:dyDescent="0.25">
      <c r="A956" s="143"/>
      <c r="B956" s="506" t="s">
        <v>2053</v>
      </c>
      <c r="C956" s="24"/>
      <c r="D956" s="887">
        <v>12</v>
      </c>
      <c r="E956" s="29" t="s">
        <v>1725</v>
      </c>
      <c r="F956" s="273" t="s">
        <v>3446</v>
      </c>
      <c r="G956" s="1040" t="s">
        <v>3463</v>
      </c>
      <c r="H956" s="273" t="s">
        <v>3462</v>
      </c>
      <c r="I956" s="720">
        <f t="shared" si="211"/>
        <v>20</v>
      </c>
      <c r="J956" s="765">
        <v>240</v>
      </c>
      <c r="K956" s="131">
        <f t="shared" si="198"/>
        <v>240</v>
      </c>
      <c r="L956" s="335">
        <f t="shared" si="205"/>
        <v>0</v>
      </c>
      <c r="M956" s="446"/>
      <c r="N956" s="446"/>
      <c r="O956" s="446"/>
      <c r="P956" s="446"/>
      <c r="Q956" s="110">
        <f t="shared" si="200"/>
        <v>3</v>
      </c>
      <c r="R956" s="111">
        <f t="shared" si="201"/>
        <v>60</v>
      </c>
      <c r="S956" s="110"/>
      <c r="T956" s="110"/>
      <c r="U956" s="110">
        <f t="shared" si="202"/>
        <v>3</v>
      </c>
      <c r="V956" s="111">
        <f t="shared" si="203"/>
        <v>60</v>
      </c>
      <c r="W956" s="110"/>
      <c r="X956" s="110"/>
      <c r="Y956" s="110"/>
      <c r="Z956" s="110"/>
      <c r="AA956" s="110">
        <f t="shared" si="204"/>
        <v>3</v>
      </c>
      <c r="AB956" s="111">
        <f t="shared" si="206"/>
        <v>60</v>
      </c>
      <c r="AC956" s="110"/>
      <c r="AD956" s="110"/>
      <c r="AE956" s="110">
        <f t="shared" si="204"/>
        <v>3</v>
      </c>
      <c r="AF956" s="111">
        <f t="shared" si="207"/>
        <v>60</v>
      </c>
      <c r="AG956" s="110"/>
      <c r="AH956" s="110"/>
      <c r="AI956" s="110"/>
      <c r="AJ956" s="110"/>
      <c r="AK956" s="111">
        <f t="shared" si="208"/>
        <v>240</v>
      </c>
      <c r="AL956" s="446">
        <f t="shared" si="209"/>
        <v>0</v>
      </c>
      <c r="AM956" s="110">
        <f t="shared" si="210"/>
        <v>12</v>
      </c>
      <c r="AN956" s="447">
        <f t="shared" si="199"/>
        <v>0</v>
      </c>
      <c r="AO956"/>
      <c r="AP956"/>
    </row>
    <row r="957" spans="1:42" ht="66" x14ac:dyDescent="0.25">
      <c r="A957" s="143"/>
      <c r="B957" s="506" t="s">
        <v>2054</v>
      </c>
      <c r="C957" s="24"/>
      <c r="D957" s="887">
        <v>4</v>
      </c>
      <c r="E957" s="29" t="s">
        <v>1725</v>
      </c>
      <c r="F957" s="273" t="s">
        <v>3446</v>
      </c>
      <c r="G957" s="1040" t="s">
        <v>3463</v>
      </c>
      <c r="H957" s="273" t="s">
        <v>3462</v>
      </c>
      <c r="I957" s="720">
        <f t="shared" si="211"/>
        <v>189</v>
      </c>
      <c r="J957" s="765">
        <v>756</v>
      </c>
      <c r="K957" s="131">
        <f t="shared" si="198"/>
        <v>756</v>
      </c>
      <c r="L957" s="335">
        <f t="shared" si="205"/>
        <v>0</v>
      </c>
      <c r="M957" s="446"/>
      <c r="N957" s="446"/>
      <c r="O957" s="446"/>
      <c r="P957" s="446"/>
      <c r="Q957" s="110">
        <f t="shared" si="200"/>
        <v>1</v>
      </c>
      <c r="R957" s="111">
        <f t="shared" si="201"/>
        <v>189</v>
      </c>
      <c r="S957" s="110"/>
      <c r="T957" s="110"/>
      <c r="U957" s="110">
        <f t="shared" si="202"/>
        <v>1</v>
      </c>
      <c r="V957" s="111">
        <f t="shared" si="203"/>
        <v>189</v>
      </c>
      <c r="W957" s="110"/>
      <c r="X957" s="110"/>
      <c r="Y957" s="110"/>
      <c r="Z957" s="110"/>
      <c r="AA957" s="110">
        <f t="shared" si="204"/>
        <v>1</v>
      </c>
      <c r="AB957" s="111">
        <f t="shared" si="206"/>
        <v>189</v>
      </c>
      <c r="AC957" s="110"/>
      <c r="AD957" s="110"/>
      <c r="AE957" s="110">
        <f t="shared" si="204"/>
        <v>1</v>
      </c>
      <c r="AF957" s="111">
        <f t="shared" si="207"/>
        <v>189</v>
      </c>
      <c r="AG957" s="110"/>
      <c r="AH957" s="110"/>
      <c r="AI957" s="110"/>
      <c r="AJ957" s="110"/>
      <c r="AK957" s="111">
        <f t="shared" si="208"/>
        <v>756</v>
      </c>
      <c r="AL957" s="446">
        <f t="shared" si="209"/>
        <v>0</v>
      </c>
      <c r="AM957" s="110">
        <f t="shared" si="210"/>
        <v>4</v>
      </c>
      <c r="AN957" s="447">
        <f t="shared" si="199"/>
        <v>0</v>
      </c>
      <c r="AO957"/>
      <c r="AP957"/>
    </row>
    <row r="958" spans="1:42" ht="66" x14ac:dyDescent="0.25">
      <c r="A958" s="143"/>
      <c r="B958" s="506" t="s">
        <v>1729</v>
      </c>
      <c r="C958" s="24"/>
      <c r="D958" s="887">
        <v>11</v>
      </c>
      <c r="E958" s="29" t="s">
        <v>1721</v>
      </c>
      <c r="F958" s="273" t="s">
        <v>3446</v>
      </c>
      <c r="G958" s="1040" t="s">
        <v>3463</v>
      </c>
      <c r="H958" s="273" t="s">
        <v>3462</v>
      </c>
      <c r="I958" s="720">
        <f t="shared" si="211"/>
        <v>32</v>
      </c>
      <c r="J958" s="765">
        <v>352</v>
      </c>
      <c r="K958" s="131">
        <f t="shared" si="198"/>
        <v>352</v>
      </c>
      <c r="L958" s="335">
        <f t="shared" si="205"/>
        <v>0</v>
      </c>
      <c r="M958" s="446"/>
      <c r="N958" s="446"/>
      <c r="O958" s="446"/>
      <c r="P958" s="446"/>
      <c r="Q958" s="110">
        <v>3</v>
      </c>
      <c r="R958" s="111">
        <f t="shared" si="201"/>
        <v>88</v>
      </c>
      <c r="S958" s="110"/>
      <c r="T958" s="110"/>
      <c r="U958" s="110">
        <v>3</v>
      </c>
      <c r="V958" s="111">
        <f t="shared" si="203"/>
        <v>88</v>
      </c>
      <c r="W958" s="110"/>
      <c r="X958" s="110"/>
      <c r="Y958" s="110"/>
      <c r="Z958" s="110"/>
      <c r="AA958" s="110">
        <v>3</v>
      </c>
      <c r="AB958" s="111">
        <f t="shared" si="206"/>
        <v>88</v>
      </c>
      <c r="AC958" s="110"/>
      <c r="AD958" s="110"/>
      <c r="AE958" s="110">
        <v>2</v>
      </c>
      <c r="AF958" s="111">
        <f t="shared" si="207"/>
        <v>88</v>
      </c>
      <c r="AG958" s="110"/>
      <c r="AH958" s="110"/>
      <c r="AI958" s="110"/>
      <c r="AJ958" s="110"/>
      <c r="AK958" s="111">
        <f t="shared" si="208"/>
        <v>352</v>
      </c>
      <c r="AL958" s="446">
        <f t="shared" si="209"/>
        <v>0</v>
      </c>
      <c r="AM958" s="110">
        <f t="shared" si="210"/>
        <v>11</v>
      </c>
      <c r="AN958" s="447">
        <f t="shared" si="199"/>
        <v>0</v>
      </c>
      <c r="AO958"/>
      <c r="AP958"/>
    </row>
    <row r="959" spans="1:42" ht="66" x14ac:dyDescent="0.25">
      <c r="A959" s="143"/>
      <c r="B959" s="506" t="s">
        <v>120</v>
      </c>
      <c r="C959" s="24"/>
      <c r="D959" s="887">
        <v>33</v>
      </c>
      <c r="E959" s="29" t="s">
        <v>1725</v>
      </c>
      <c r="F959" s="273" t="s">
        <v>3446</v>
      </c>
      <c r="G959" s="1040" t="s">
        <v>3463</v>
      </c>
      <c r="H959" s="273" t="s">
        <v>3462</v>
      </c>
      <c r="I959" s="720">
        <f t="shared" si="211"/>
        <v>172</v>
      </c>
      <c r="J959" s="765">
        <v>5676</v>
      </c>
      <c r="K959" s="131">
        <f t="shared" si="198"/>
        <v>5676</v>
      </c>
      <c r="L959" s="335">
        <f t="shared" si="205"/>
        <v>0</v>
      </c>
      <c r="M959" s="446"/>
      <c r="N959" s="446"/>
      <c r="O959" s="446"/>
      <c r="P959" s="446"/>
      <c r="Q959" s="110">
        <v>9</v>
      </c>
      <c r="R959" s="111">
        <f t="shared" si="201"/>
        <v>1419</v>
      </c>
      <c r="S959" s="110"/>
      <c r="T959" s="110"/>
      <c r="U959" s="110">
        <v>8</v>
      </c>
      <c r="V959" s="111">
        <f t="shared" si="203"/>
        <v>1419</v>
      </c>
      <c r="W959" s="110"/>
      <c r="X959" s="110"/>
      <c r="Y959" s="110"/>
      <c r="Z959" s="110"/>
      <c r="AA959" s="110">
        <v>8</v>
      </c>
      <c r="AB959" s="111">
        <f t="shared" si="206"/>
        <v>1419</v>
      </c>
      <c r="AC959" s="110"/>
      <c r="AD959" s="110"/>
      <c r="AE959" s="110">
        <v>8</v>
      </c>
      <c r="AF959" s="111">
        <f t="shared" si="207"/>
        <v>1419</v>
      </c>
      <c r="AG959" s="110"/>
      <c r="AH959" s="110"/>
      <c r="AI959" s="110"/>
      <c r="AJ959" s="110"/>
      <c r="AK959" s="111">
        <f t="shared" si="208"/>
        <v>5676</v>
      </c>
      <c r="AL959" s="446">
        <f t="shared" si="209"/>
        <v>0</v>
      </c>
      <c r="AM959" s="110">
        <f t="shared" si="210"/>
        <v>33</v>
      </c>
      <c r="AN959" s="447">
        <f t="shared" si="199"/>
        <v>0</v>
      </c>
      <c r="AO959"/>
      <c r="AP959"/>
    </row>
    <row r="960" spans="1:42" ht="66" x14ac:dyDescent="0.25">
      <c r="A960" s="143"/>
      <c r="B960" s="506" t="s">
        <v>119</v>
      </c>
      <c r="C960" s="24"/>
      <c r="D960" s="887">
        <v>55</v>
      </c>
      <c r="E960" s="29" t="s">
        <v>1725</v>
      </c>
      <c r="F960" s="273" t="s">
        <v>3446</v>
      </c>
      <c r="G960" s="1040" t="s">
        <v>3463</v>
      </c>
      <c r="H960" s="273" t="s">
        <v>3462</v>
      </c>
      <c r="I960" s="720">
        <f t="shared" si="211"/>
        <v>110</v>
      </c>
      <c r="J960" s="765">
        <v>6050</v>
      </c>
      <c r="K960" s="131">
        <f t="shared" si="198"/>
        <v>6050</v>
      </c>
      <c r="L960" s="335">
        <f t="shared" si="205"/>
        <v>0</v>
      </c>
      <c r="M960" s="446"/>
      <c r="N960" s="446"/>
      <c r="O960" s="446"/>
      <c r="P960" s="446"/>
      <c r="Q960" s="110">
        <v>14</v>
      </c>
      <c r="R960" s="111">
        <f t="shared" si="201"/>
        <v>1512.5</v>
      </c>
      <c r="S960" s="110"/>
      <c r="T960" s="110"/>
      <c r="U960" s="110">
        <v>14</v>
      </c>
      <c r="V960" s="111">
        <f t="shared" si="203"/>
        <v>1512.5</v>
      </c>
      <c r="W960" s="110"/>
      <c r="X960" s="110"/>
      <c r="Y960" s="110"/>
      <c r="Z960" s="110"/>
      <c r="AA960" s="110">
        <v>14</v>
      </c>
      <c r="AB960" s="111">
        <f t="shared" si="206"/>
        <v>1512.5</v>
      </c>
      <c r="AC960" s="110"/>
      <c r="AD960" s="110"/>
      <c r="AE960" s="110">
        <v>13</v>
      </c>
      <c r="AF960" s="111">
        <f t="shared" si="207"/>
        <v>1512.5</v>
      </c>
      <c r="AG960" s="110"/>
      <c r="AH960" s="110"/>
      <c r="AI960" s="110"/>
      <c r="AJ960" s="110"/>
      <c r="AK960" s="111">
        <f t="shared" si="208"/>
        <v>6050</v>
      </c>
      <c r="AL960" s="446">
        <f t="shared" si="209"/>
        <v>0</v>
      </c>
      <c r="AM960" s="110">
        <f t="shared" si="210"/>
        <v>55</v>
      </c>
      <c r="AN960" s="447">
        <f t="shared" si="199"/>
        <v>0</v>
      </c>
      <c r="AO960"/>
      <c r="AP960"/>
    </row>
    <row r="961" spans="1:42" ht="66" x14ac:dyDescent="0.25">
      <c r="A961" s="143"/>
      <c r="B961" s="506" t="s">
        <v>130</v>
      </c>
      <c r="C961" s="24"/>
      <c r="D961" s="887">
        <v>100</v>
      </c>
      <c r="E961" s="29" t="s">
        <v>1721</v>
      </c>
      <c r="F961" s="273" t="s">
        <v>3446</v>
      </c>
      <c r="G961" s="1040" t="s">
        <v>3463</v>
      </c>
      <c r="H961" s="273" t="s">
        <v>3462</v>
      </c>
      <c r="I961" s="720">
        <f t="shared" si="211"/>
        <v>5</v>
      </c>
      <c r="J961" s="765">
        <v>500</v>
      </c>
      <c r="K961" s="131">
        <f t="shared" si="198"/>
        <v>500</v>
      </c>
      <c r="L961" s="335">
        <f t="shared" si="205"/>
        <v>0</v>
      </c>
      <c r="M961" s="446"/>
      <c r="N961" s="446"/>
      <c r="O961" s="446"/>
      <c r="P961" s="446"/>
      <c r="Q961" s="110">
        <v>30</v>
      </c>
      <c r="R961" s="111">
        <f t="shared" si="201"/>
        <v>125</v>
      </c>
      <c r="S961" s="110"/>
      <c r="T961" s="110"/>
      <c r="U961" s="110">
        <v>30</v>
      </c>
      <c r="V961" s="111">
        <f t="shared" si="203"/>
        <v>125</v>
      </c>
      <c r="W961" s="110"/>
      <c r="X961" s="110"/>
      <c r="Y961" s="110"/>
      <c r="Z961" s="110"/>
      <c r="AA961" s="110">
        <v>30</v>
      </c>
      <c r="AB961" s="111">
        <f t="shared" si="206"/>
        <v>125</v>
      </c>
      <c r="AC961" s="110"/>
      <c r="AD961" s="110"/>
      <c r="AE961" s="110">
        <v>10</v>
      </c>
      <c r="AF961" s="111">
        <f t="shared" si="207"/>
        <v>125</v>
      </c>
      <c r="AG961" s="110"/>
      <c r="AH961" s="110"/>
      <c r="AI961" s="110"/>
      <c r="AJ961" s="110"/>
      <c r="AK961" s="111">
        <f t="shared" si="208"/>
        <v>500</v>
      </c>
      <c r="AL961" s="446">
        <f t="shared" si="209"/>
        <v>0</v>
      </c>
      <c r="AM961" s="110">
        <f t="shared" si="210"/>
        <v>100</v>
      </c>
      <c r="AN961" s="447">
        <f t="shared" si="199"/>
        <v>0</v>
      </c>
      <c r="AO961"/>
      <c r="AP961"/>
    </row>
    <row r="962" spans="1:42" ht="66" x14ac:dyDescent="0.25">
      <c r="A962" s="143"/>
      <c r="B962" s="506" t="s">
        <v>131</v>
      </c>
      <c r="C962" s="24"/>
      <c r="D962" s="887">
        <v>100</v>
      </c>
      <c r="E962" s="29" t="s">
        <v>1721</v>
      </c>
      <c r="F962" s="273" t="s">
        <v>3446</v>
      </c>
      <c r="G962" s="1040" t="s">
        <v>3463</v>
      </c>
      <c r="H962" s="273" t="s">
        <v>3462</v>
      </c>
      <c r="I962" s="720">
        <f t="shared" si="211"/>
        <v>5</v>
      </c>
      <c r="J962" s="765">
        <v>500</v>
      </c>
      <c r="K962" s="131">
        <f t="shared" si="198"/>
        <v>500</v>
      </c>
      <c r="L962" s="335">
        <f t="shared" si="205"/>
        <v>0</v>
      </c>
      <c r="M962" s="446"/>
      <c r="N962" s="446"/>
      <c r="O962" s="446"/>
      <c r="P962" s="446"/>
      <c r="Q962" s="110">
        <v>30</v>
      </c>
      <c r="R962" s="111">
        <f t="shared" si="201"/>
        <v>125</v>
      </c>
      <c r="S962" s="110"/>
      <c r="T962" s="110"/>
      <c r="U962" s="110">
        <v>30</v>
      </c>
      <c r="V962" s="111">
        <f t="shared" si="203"/>
        <v>125</v>
      </c>
      <c r="W962" s="110"/>
      <c r="X962" s="110"/>
      <c r="Y962" s="110"/>
      <c r="Z962" s="110"/>
      <c r="AA962" s="110">
        <v>30</v>
      </c>
      <c r="AB962" s="111">
        <f t="shared" si="206"/>
        <v>125</v>
      </c>
      <c r="AC962" s="110"/>
      <c r="AD962" s="110"/>
      <c r="AE962" s="110">
        <v>10</v>
      </c>
      <c r="AF962" s="111">
        <f t="shared" si="207"/>
        <v>125</v>
      </c>
      <c r="AG962" s="110"/>
      <c r="AH962" s="110"/>
      <c r="AI962" s="110"/>
      <c r="AJ962" s="110"/>
      <c r="AK962" s="111">
        <f t="shared" si="208"/>
        <v>500</v>
      </c>
      <c r="AL962" s="446">
        <f t="shared" si="209"/>
        <v>0</v>
      </c>
      <c r="AM962" s="110">
        <f t="shared" si="210"/>
        <v>100</v>
      </c>
      <c r="AN962" s="447">
        <f t="shared" si="199"/>
        <v>0</v>
      </c>
      <c r="AO962"/>
      <c r="AP962"/>
    </row>
    <row r="963" spans="1:42" ht="66" x14ac:dyDescent="0.25">
      <c r="A963" s="143"/>
      <c r="B963" s="506" t="s">
        <v>2055</v>
      </c>
      <c r="C963" s="24"/>
      <c r="D963" s="887">
        <v>6</v>
      </c>
      <c r="E963" s="29" t="s">
        <v>1725</v>
      </c>
      <c r="F963" s="273" t="s">
        <v>3446</v>
      </c>
      <c r="G963" s="1040" t="s">
        <v>3463</v>
      </c>
      <c r="H963" s="273" t="s">
        <v>3462</v>
      </c>
      <c r="I963" s="720">
        <f t="shared" si="211"/>
        <v>97</v>
      </c>
      <c r="J963" s="765">
        <v>582</v>
      </c>
      <c r="K963" s="131">
        <f t="shared" si="198"/>
        <v>582</v>
      </c>
      <c r="L963" s="335">
        <f t="shared" si="205"/>
        <v>0</v>
      </c>
      <c r="M963" s="446"/>
      <c r="N963" s="446"/>
      <c r="O963" s="446"/>
      <c r="P963" s="446"/>
      <c r="Q963" s="130">
        <v>2</v>
      </c>
      <c r="R963" s="111">
        <f t="shared" si="201"/>
        <v>145.5</v>
      </c>
      <c r="S963" s="110"/>
      <c r="T963" s="110"/>
      <c r="U963" s="130">
        <v>2</v>
      </c>
      <c r="V963" s="111">
        <f t="shared" si="203"/>
        <v>145.5</v>
      </c>
      <c r="W963" s="110"/>
      <c r="X963" s="110"/>
      <c r="Y963" s="110"/>
      <c r="Z963" s="110"/>
      <c r="AA963" s="130">
        <v>1</v>
      </c>
      <c r="AB963" s="111">
        <f t="shared" si="206"/>
        <v>145.5</v>
      </c>
      <c r="AC963" s="110"/>
      <c r="AD963" s="110"/>
      <c r="AE963" s="130">
        <v>1</v>
      </c>
      <c r="AF963" s="111">
        <f t="shared" si="207"/>
        <v>145.5</v>
      </c>
      <c r="AG963" s="110"/>
      <c r="AH963" s="110"/>
      <c r="AI963" s="110"/>
      <c r="AJ963" s="110"/>
      <c r="AK963" s="111">
        <f t="shared" si="208"/>
        <v>582</v>
      </c>
      <c r="AL963" s="446">
        <f t="shared" si="209"/>
        <v>0</v>
      </c>
      <c r="AM963" s="110">
        <f t="shared" si="210"/>
        <v>6</v>
      </c>
      <c r="AN963" s="447">
        <f t="shared" si="199"/>
        <v>0</v>
      </c>
      <c r="AO963"/>
      <c r="AP963"/>
    </row>
    <row r="964" spans="1:42" ht="66" x14ac:dyDescent="0.25">
      <c r="A964" s="143"/>
      <c r="B964" s="506" t="s">
        <v>111</v>
      </c>
      <c r="C964" s="24"/>
      <c r="D964" s="887">
        <v>6</v>
      </c>
      <c r="E964" s="29" t="s">
        <v>1725</v>
      </c>
      <c r="F964" s="273" t="s">
        <v>3446</v>
      </c>
      <c r="G964" s="1040" t="s">
        <v>3463</v>
      </c>
      <c r="H964" s="273" t="s">
        <v>3462</v>
      </c>
      <c r="I964" s="720">
        <f t="shared" si="211"/>
        <v>180</v>
      </c>
      <c r="J964" s="765">
        <v>1080</v>
      </c>
      <c r="K964" s="131">
        <f t="shared" ref="K964:K1027" si="212">+D964*I964</f>
        <v>1080</v>
      </c>
      <c r="L964" s="335">
        <f t="shared" si="205"/>
        <v>0</v>
      </c>
      <c r="M964" s="446"/>
      <c r="N964" s="446"/>
      <c r="O964" s="446"/>
      <c r="P964" s="446"/>
      <c r="Q964" s="130">
        <v>2</v>
      </c>
      <c r="R964" s="111">
        <f t="shared" si="201"/>
        <v>270</v>
      </c>
      <c r="S964" s="110"/>
      <c r="T964" s="110"/>
      <c r="U964" s="130">
        <v>2</v>
      </c>
      <c r="V964" s="111">
        <f t="shared" si="203"/>
        <v>270</v>
      </c>
      <c r="W964" s="110"/>
      <c r="X964" s="110"/>
      <c r="Y964" s="110"/>
      <c r="Z964" s="110"/>
      <c r="AA964" s="130">
        <v>1</v>
      </c>
      <c r="AB964" s="111">
        <f t="shared" si="206"/>
        <v>270</v>
      </c>
      <c r="AC964" s="110"/>
      <c r="AD964" s="110"/>
      <c r="AE964" s="130">
        <v>1</v>
      </c>
      <c r="AF964" s="111">
        <f t="shared" si="207"/>
        <v>270</v>
      </c>
      <c r="AG964" s="110"/>
      <c r="AH964" s="110"/>
      <c r="AI964" s="110"/>
      <c r="AJ964" s="110"/>
      <c r="AK964" s="111">
        <f t="shared" si="208"/>
        <v>1080</v>
      </c>
      <c r="AL964" s="446">
        <f t="shared" si="209"/>
        <v>0</v>
      </c>
      <c r="AM964" s="110">
        <f t="shared" si="210"/>
        <v>6</v>
      </c>
      <c r="AN964" s="447">
        <f t="shared" ref="AN964:AN1027" si="213">+D964-AM964</f>
        <v>0</v>
      </c>
      <c r="AO964"/>
      <c r="AP964"/>
    </row>
    <row r="965" spans="1:42" ht="66" x14ac:dyDescent="0.25">
      <c r="A965" s="143"/>
      <c r="B965" s="506" t="s">
        <v>128</v>
      </c>
      <c r="C965" s="24"/>
      <c r="D965" s="887">
        <v>100</v>
      </c>
      <c r="E965" s="29" t="s">
        <v>1721</v>
      </c>
      <c r="F965" s="273" t="s">
        <v>3446</v>
      </c>
      <c r="G965" s="1040" t="s">
        <v>3463</v>
      </c>
      <c r="H965" s="273" t="s">
        <v>3462</v>
      </c>
      <c r="I965" s="720">
        <f t="shared" si="211"/>
        <v>1.07</v>
      </c>
      <c r="J965" s="765">
        <v>107</v>
      </c>
      <c r="K965" s="131">
        <f t="shared" si="212"/>
        <v>107</v>
      </c>
      <c r="L965" s="335">
        <f t="shared" si="205"/>
        <v>0</v>
      </c>
      <c r="M965" s="446"/>
      <c r="N965" s="446"/>
      <c r="O965" s="446"/>
      <c r="P965" s="446"/>
      <c r="Q965" s="110">
        <v>30</v>
      </c>
      <c r="R965" s="111">
        <f t="shared" si="201"/>
        <v>26.75</v>
      </c>
      <c r="S965" s="110"/>
      <c r="T965" s="110"/>
      <c r="U965" s="110">
        <v>30</v>
      </c>
      <c r="V965" s="111">
        <f t="shared" si="203"/>
        <v>26.75</v>
      </c>
      <c r="W965" s="110"/>
      <c r="X965" s="110"/>
      <c r="Y965" s="110"/>
      <c r="Z965" s="110"/>
      <c r="AA965" s="110">
        <v>30</v>
      </c>
      <c r="AB965" s="111">
        <f t="shared" si="206"/>
        <v>26.75</v>
      </c>
      <c r="AC965" s="110"/>
      <c r="AD965" s="110"/>
      <c r="AE965" s="110">
        <v>10</v>
      </c>
      <c r="AF965" s="111">
        <f t="shared" si="207"/>
        <v>26.75</v>
      </c>
      <c r="AG965" s="110"/>
      <c r="AH965" s="110"/>
      <c r="AI965" s="110"/>
      <c r="AJ965" s="110"/>
      <c r="AK965" s="111">
        <f t="shared" si="208"/>
        <v>107</v>
      </c>
      <c r="AL965" s="446">
        <f t="shared" si="209"/>
        <v>0</v>
      </c>
      <c r="AM965" s="110">
        <f t="shared" si="210"/>
        <v>100</v>
      </c>
      <c r="AN965" s="447">
        <f t="shared" si="213"/>
        <v>0</v>
      </c>
      <c r="AO965"/>
      <c r="AP965"/>
    </row>
    <row r="966" spans="1:42" ht="66" x14ac:dyDescent="0.25">
      <c r="A966" s="143"/>
      <c r="B966" s="506" t="s">
        <v>2056</v>
      </c>
      <c r="C966" s="24"/>
      <c r="D966" s="887">
        <v>2</v>
      </c>
      <c r="E966" s="29" t="s">
        <v>1725</v>
      </c>
      <c r="F966" s="273" t="s">
        <v>3446</v>
      </c>
      <c r="G966" s="1040" t="s">
        <v>3463</v>
      </c>
      <c r="H966" s="273" t="s">
        <v>3462</v>
      </c>
      <c r="I966" s="720">
        <f t="shared" si="211"/>
        <v>262</v>
      </c>
      <c r="J966" s="765">
        <v>524</v>
      </c>
      <c r="K966" s="131">
        <f t="shared" si="212"/>
        <v>524</v>
      </c>
      <c r="L966" s="335">
        <f t="shared" si="205"/>
        <v>0</v>
      </c>
      <c r="M966" s="446"/>
      <c r="N966" s="446"/>
      <c r="O966" s="446"/>
      <c r="P966" s="446"/>
      <c r="Q966" s="130">
        <v>0</v>
      </c>
      <c r="R966" s="111">
        <v>0</v>
      </c>
      <c r="S966" s="110"/>
      <c r="T966" s="110"/>
      <c r="U966" s="130">
        <v>1</v>
      </c>
      <c r="V966" s="111">
        <v>262</v>
      </c>
      <c r="W966" s="110"/>
      <c r="X966" s="110"/>
      <c r="Y966" s="110"/>
      <c r="Z966" s="110"/>
      <c r="AA966" s="130">
        <v>1</v>
      </c>
      <c r="AB966" s="111">
        <v>262</v>
      </c>
      <c r="AC966" s="110"/>
      <c r="AD966" s="110"/>
      <c r="AE966" s="130">
        <v>0</v>
      </c>
      <c r="AF966" s="111">
        <v>0</v>
      </c>
      <c r="AG966" s="110"/>
      <c r="AH966" s="110"/>
      <c r="AI966" s="110"/>
      <c r="AJ966" s="110"/>
      <c r="AK966" s="111">
        <f t="shared" si="208"/>
        <v>524</v>
      </c>
      <c r="AL966" s="446">
        <f t="shared" si="209"/>
        <v>0</v>
      </c>
      <c r="AM966" s="110">
        <f t="shared" si="210"/>
        <v>2</v>
      </c>
      <c r="AN966" s="447">
        <f t="shared" si="213"/>
        <v>0</v>
      </c>
      <c r="AO966"/>
      <c r="AP966"/>
    </row>
    <row r="967" spans="1:42" ht="66" x14ac:dyDescent="0.25">
      <c r="A967" s="143"/>
      <c r="B967" s="506" t="s">
        <v>2057</v>
      </c>
      <c r="C967" s="24"/>
      <c r="D967" s="887">
        <v>2</v>
      </c>
      <c r="E967" s="29" t="s">
        <v>1734</v>
      </c>
      <c r="F967" s="273" t="s">
        <v>3446</v>
      </c>
      <c r="G967" s="1040" t="s">
        <v>3463</v>
      </c>
      <c r="H967" s="273" t="s">
        <v>3462</v>
      </c>
      <c r="I967" s="720">
        <f t="shared" si="211"/>
        <v>278</v>
      </c>
      <c r="J967" s="765">
        <v>556</v>
      </c>
      <c r="K967" s="131">
        <f t="shared" si="212"/>
        <v>556</v>
      </c>
      <c r="L967" s="335">
        <f t="shared" si="205"/>
        <v>0</v>
      </c>
      <c r="M967" s="446"/>
      <c r="N967" s="446"/>
      <c r="O967" s="446"/>
      <c r="P967" s="446"/>
      <c r="Q967" s="130">
        <v>0</v>
      </c>
      <c r="R967" s="111">
        <v>0</v>
      </c>
      <c r="S967" s="110"/>
      <c r="T967" s="110"/>
      <c r="U967" s="130">
        <v>1</v>
      </c>
      <c r="V967" s="111">
        <v>278</v>
      </c>
      <c r="W967" s="110"/>
      <c r="X967" s="110"/>
      <c r="Y967" s="110"/>
      <c r="Z967" s="110"/>
      <c r="AA967" s="130">
        <v>1</v>
      </c>
      <c r="AB967" s="111">
        <v>278</v>
      </c>
      <c r="AC967" s="110"/>
      <c r="AD967" s="110"/>
      <c r="AE967" s="130">
        <v>0</v>
      </c>
      <c r="AF967" s="111">
        <v>0</v>
      </c>
      <c r="AG967" s="110"/>
      <c r="AH967" s="110"/>
      <c r="AI967" s="110"/>
      <c r="AJ967" s="110"/>
      <c r="AK967" s="111">
        <f t="shared" si="208"/>
        <v>556</v>
      </c>
      <c r="AL967" s="446">
        <f t="shared" si="209"/>
        <v>0</v>
      </c>
      <c r="AM967" s="110">
        <f t="shared" si="210"/>
        <v>2</v>
      </c>
      <c r="AN967" s="447">
        <f t="shared" si="213"/>
        <v>0</v>
      </c>
      <c r="AO967"/>
      <c r="AP967"/>
    </row>
    <row r="968" spans="1:42" ht="66" x14ac:dyDescent="0.25">
      <c r="A968" s="143"/>
      <c r="B968" s="506" t="s">
        <v>2058</v>
      </c>
      <c r="C968" s="24"/>
      <c r="D968" s="887">
        <v>2</v>
      </c>
      <c r="E968" s="29" t="s">
        <v>1725</v>
      </c>
      <c r="F968" s="273" t="s">
        <v>3446</v>
      </c>
      <c r="G968" s="1040" t="s">
        <v>3463</v>
      </c>
      <c r="H968" s="273" t="s">
        <v>3462</v>
      </c>
      <c r="I968" s="720">
        <f t="shared" si="211"/>
        <v>174</v>
      </c>
      <c r="J968" s="765">
        <v>348</v>
      </c>
      <c r="K968" s="131">
        <f t="shared" si="212"/>
        <v>348</v>
      </c>
      <c r="L968" s="335">
        <f t="shared" si="205"/>
        <v>0</v>
      </c>
      <c r="M968" s="446"/>
      <c r="N968" s="446"/>
      <c r="O968" s="446"/>
      <c r="P968" s="446"/>
      <c r="Q968" s="130">
        <v>0</v>
      </c>
      <c r="R968" s="111">
        <v>0</v>
      </c>
      <c r="S968" s="110"/>
      <c r="T968" s="110"/>
      <c r="U968" s="130">
        <v>1</v>
      </c>
      <c r="V968" s="111">
        <v>174</v>
      </c>
      <c r="W968" s="110"/>
      <c r="X968" s="110"/>
      <c r="Y968" s="110"/>
      <c r="Z968" s="110"/>
      <c r="AA968" s="130">
        <v>1</v>
      </c>
      <c r="AB968" s="111">
        <v>174</v>
      </c>
      <c r="AC968" s="110"/>
      <c r="AD968" s="110"/>
      <c r="AE968" s="130">
        <v>0</v>
      </c>
      <c r="AF968" s="111">
        <v>0</v>
      </c>
      <c r="AG968" s="110"/>
      <c r="AH968" s="110"/>
      <c r="AI968" s="110"/>
      <c r="AJ968" s="110"/>
      <c r="AK968" s="111">
        <f t="shared" si="208"/>
        <v>348</v>
      </c>
      <c r="AL968" s="446">
        <f t="shared" si="209"/>
        <v>0</v>
      </c>
      <c r="AM968" s="110">
        <f t="shared" si="210"/>
        <v>2</v>
      </c>
      <c r="AN968" s="447">
        <f t="shared" si="213"/>
        <v>0</v>
      </c>
      <c r="AO968"/>
      <c r="AP968"/>
    </row>
    <row r="969" spans="1:42" ht="66" x14ac:dyDescent="0.25">
      <c r="A969" s="143"/>
      <c r="B969" s="506" t="s">
        <v>1744</v>
      </c>
      <c r="C969" s="24"/>
      <c r="D969" s="887">
        <v>6</v>
      </c>
      <c r="E969" s="29" t="s">
        <v>1721</v>
      </c>
      <c r="F969" s="273" t="s">
        <v>3446</v>
      </c>
      <c r="G969" s="1040" t="s">
        <v>3463</v>
      </c>
      <c r="H969" s="273" t="s">
        <v>3462</v>
      </c>
      <c r="I969" s="720">
        <f t="shared" si="211"/>
        <v>19</v>
      </c>
      <c r="J969" s="765">
        <v>114</v>
      </c>
      <c r="K969" s="131">
        <f t="shared" si="212"/>
        <v>114</v>
      </c>
      <c r="L969" s="335">
        <f t="shared" si="205"/>
        <v>0</v>
      </c>
      <c r="M969" s="446"/>
      <c r="N969" s="446"/>
      <c r="O969" s="446"/>
      <c r="P969" s="446"/>
      <c r="Q969" s="130">
        <v>2</v>
      </c>
      <c r="R969" s="111">
        <f t="shared" si="201"/>
        <v>28.5</v>
      </c>
      <c r="S969" s="110"/>
      <c r="T969" s="110"/>
      <c r="U969" s="130">
        <v>2</v>
      </c>
      <c r="V969" s="111">
        <f t="shared" si="203"/>
        <v>28.5</v>
      </c>
      <c r="W969" s="110"/>
      <c r="X969" s="110"/>
      <c r="Y969" s="110"/>
      <c r="Z969" s="110"/>
      <c r="AA969" s="130">
        <v>1</v>
      </c>
      <c r="AB969" s="111">
        <f t="shared" si="206"/>
        <v>28.5</v>
      </c>
      <c r="AC969" s="110"/>
      <c r="AD969" s="110"/>
      <c r="AE969" s="130">
        <v>1</v>
      </c>
      <c r="AF969" s="111">
        <f t="shared" si="207"/>
        <v>28.5</v>
      </c>
      <c r="AG969" s="110"/>
      <c r="AH969" s="110"/>
      <c r="AI969" s="110"/>
      <c r="AJ969" s="110"/>
      <c r="AK969" s="111">
        <f t="shared" si="208"/>
        <v>114</v>
      </c>
      <c r="AL969" s="446">
        <f t="shared" si="209"/>
        <v>0</v>
      </c>
      <c r="AM969" s="110">
        <f t="shared" si="210"/>
        <v>6</v>
      </c>
      <c r="AN969" s="447">
        <f t="shared" si="213"/>
        <v>0</v>
      </c>
      <c r="AO969"/>
      <c r="AP969"/>
    </row>
    <row r="970" spans="1:42" ht="66" x14ac:dyDescent="0.25">
      <c r="A970" s="143"/>
      <c r="B970" s="506" t="s">
        <v>2059</v>
      </c>
      <c r="C970" s="24"/>
      <c r="D970" s="887">
        <v>6</v>
      </c>
      <c r="E970" s="29" t="s">
        <v>1721</v>
      </c>
      <c r="F970" s="273" t="s">
        <v>3446</v>
      </c>
      <c r="G970" s="1040" t="s">
        <v>3463</v>
      </c>
      <c r="H970" s="273" t="s">
        <v>3462</v>
      </c>
      <c r="I970" s="720">
        <f t="shared" si="211"/>
        <v>56</v>
      </c>
      <c r="J970" s="765">
        <v>336</v>
      </c>
      <c r="K970" s="131">
        <f t="shared" si="212"/>
        <v>336</v>
      </c>
      <c r="L970" s="335">
        <f t="shared" si="205"/>
        <v>0</v>
      </c>
      <c r="M970" s="446"/>
      <c r="N970" s="446"/>
      <c r="O970" s="446"/>
      <c r="P970" s="446"/>
      <c r="Q970" s="130">
        <v>2</v>
      </c>
      <c r="R970" s="111">
        <f t="shared" si="201"/>
        <v>84</v>
      </c>
      <c r="S970" s="110"/>
      <c r="T970" s="110"/>
      <c r="U970" s="130">
        <v>2</v>
      </c>
      <c r="V970" s="111">
        <f t="shared" si="203"/>
        <v>84</v>
      </c>
      <c r="W970" s="110"/>
      <c r="X970" s="110"/>
      <c r="Y970" s="110"/>
      <c r="Z970" s="110"/>
      <c r="AA970" s="130">
        <v>1</v>
      </c>
      <c r="AB970" s="111">
        <f t="shared" si="206"/>
        <v>84</v>
      </c>
      <c r="AC970" s="110"/>
      <c r="AD970" s="110"/>
      <c r="AE970" s="130">
        <v>1</v>
      </c>
      <c r="AF970" s="111">
        <f t="shared" si="207"/>
        <v>84</v>
      </c>
      <c r="AG970" s="110"/>
      <c r="AH970" s="110"/>
      <c r="AI970" s="110"/>
      <c r="AJ970" s="110"/>
      <c r="AK970" s="111">
        <f t="shared" si="208"/>
        <v>336</v>
      </c>
      <c r="AL970" s="446">
        <f t="shared" si="209"/>
        <v>0</v>
      </c>
      <c r="AM970" s="110">
        <f t="shared" si="210"/>
        <v>6</v>
      </c>
      <c r="AN970" s="447">
        <f t="shared" si="213"/>
        <v>0</v>
      </c>
      <c r="AO970"/>
      <c r="AP970"/>
    </row>
    <row r="971" spans="1:42" ht="66" x14ac:dyDescent="0.25">
      <c r="A971" s="143"/>
      <c r="B971" s="506" t="s">
        <v>108</v>
      </c>
      <c r="C971" s="24"/>
      <c r="D971" s="887">
        <v>6</v>
      </c>
      <c r="E971" s="29" t="s">
        <v>1725</v>
      </c>
      <c r="F971" s="273" t="s">
        <v>3446</v>
      </c>
      <c r="G971" s="1040" t="s">
        <v>3463</v>
      </c>
      <c r="H971" s="273" t="s">
        <v>3462</v>
      </c>
      <c r="I971" s="720">
        <f t="shared" si="211"/>
        <v>45</v>
      </c>
      <c r="J971" s="765">
        <v>270</v>
      </c>
      <c r="K971" s="131">
        <f t="shared" si="212"/>
        <v>270</v>
      </c>
      <c r="L971" s="335">
        <f t="shared" si="205"/>
        <v>0</v>
      </c>
      <c r="M971" s="446"/>
      <c r="N971" s="446"/>
      <c r="O971" s="446"/>
      <c r="P971" s="446"/>
      <c r="Q971" s="130">
        <v>2</v>
      </c>
      <c r="R971" s="111">
        <f t="shared" si="201"/>
        <v>67.5</v>
      </c>
      <c r="S971" s="110"/>
      <c r="T971" s="110"/>
      <c r="U971" s="130">
        <v>2</v>
      </c>
      <c r="V971" s="111">
        <f t="shared" si="203"/>
        <v>67.5</v>
      </c>
      <c r="W971" s="110"/>
      <c r="X971" s="110"/>
      <c r="Y971" s="110"/>
      <c r="Z971" s="110"/>
      <c r="AA971" s="130">
        <v>1</v>
      </c>
      <c r="AB971" s="111">
        <f t="shared" si="206"/>
        <v>67.5</v>
      </c>
      <c r="AC971" s="110"/>
      <c r="AD971" s="110"/>
      <c r="AE971" s="130">
        <v>1</v>
      </c>
      <c r="AF971" s="111">
        <f t="shared" si="207"/>
        <v>67.5</v>
      </c>
      <c r="AG971" s="110"/>
      <c r="AH971" s="110"/>
      <c r="AI971" s="110"/>
      <c r="AJ971" s="110"/>
      <c r="AK971" s="111">
        <f t="shared" si="208"/>
        <v>270</v>
      </c>
      <c r="AL971" s="446">
        <f t="shared" si="209"/>
        <v>0</v>
      </c>
      <c r="AM971" s="110">
        <f t="shared" si="210"/>
        <v>6</v>
      </c>
      <c r="AN971" s="447">
        <f t="shared" si="213"/>
        <v>0</v>
      </c>
      <c r="AO971"/>
      <c r="AP971"/>
    </row>
    <row r="972" spans="1:42" ht="66" x14ac:dyDescent="0.25">
      <c r="A972" s="143"/>
      <c r="B972" s="506" t="s">
        <v>2060</v>
      </c>
      <c r="C972" s="24"/>
      <c r="D972" s="887">
        <v>4</v>
      </c>
      <c r="E972" s="29" t="s">
        <v>1721</v>
      </c>
      <c r="F972" s="273" t="s">
        <v>3446</v>
      </c>
      <c r="G972" s="1040" t="s">
        <v>3463</v>
      </c>
      <c r="H972" s="273" t="s">
        <v>3462</v>
      </c>
      <c r="I972" s="720">
        <f t="shared" si="211"/>
        <v>360</v>
      </c>
      <c r="J972" s="765">
        <v>1440</v>
      </c>
      <c r="K972" s="131">
        <f t="shared" si="212"/>
        <v>1440</v>
      </c>
      <c r="L972" s="335">
        <f t="shared" si="205"/>
        <v>0</v>
      </c>
      <c r="M972" s="446"/>
      <c r="N972" s="446"/>
      <c r="O972" s="446"/>
      <c r="P972" s="446"/>
      <c r="Q972" s="110">
        <f t="shared" si="200"/>
        <v>1</v>
      </c>
      <c r="R972" s="111">
        <f t="shared" si="201"/>
        <v>360</v>
      </c>
      <c r="S972" s="110"/>
      <c r="T972" s="110"/>
      <c r="U972" s="110">
        <f t="shared" si="202"/>
        <v>1</v>
      </c>
      <c r="V972" s="111">
        <f t="shared" si="203"/>
        <v>360</v>
      </c>
      <c r="W972" s="110"/>
      <c r="X972" s="110"/>
      <c r="Y972" s="110"/>
      <c r="Z972" s="110"/>
      <c r="AA972" s="110">
        <f t="shared" si="204"/>
        <v>1</v>
      </c>
      <c r="AB972" s="111">
        <f t="shared" si="206"/>
        <v>360</v>
      </c>
      <c r="AC972" s="110"/>
      <c r="AD972" s="110"/>
      <c r="AE972" s="110">
        <f t="shared" si="204"/>
        <v>1</v>
      </c>
      <c r="AF972" s="111">
        <f t="shared" si="207"/>
        <v>360</v>
      </c>
      <c r="AG972" s="110"/>
      <c r="AH972" s="110"/>
      <c r="AI972" s="110"/>
      <c r="AJ972" s="110"/>
      <c r="AK972" s="111">
        <f t="shared" si="208"/>
        <v>1440</v>
      </c>
      <c r="AL972" s="446">
        <f t="shared" si="209"/>
        <v>0</v>
      </c>
      <c r="AM972" s="110">
        <f t="shared" si="210"/>
        <v>4</v>
      </c>
      <c r="AN972" s="447">
        <f t="shared" si="213"/>
        <v>0</v>
      </c>
      <c r="AO972"/>
      <c r="AP972"/>
    </row>
    <row r="973" spans="1:42" ht="66" x14ac:dyDescent="0.25">
      <c r="A973" s="143"/>
      <c r="B973" s="506" t="s">
        <v>103</v>
      </c>
      <c r="C973" s="24"/>
      <c r="D973" s="887">
        <v>5</v>
      </c>
      <c r="E973" s="29" t="s">
        <v>1721</v>
      </c>
      <c r="F973" s="278" t="s">
        <v>3446</v>
      </c>
      <c r="G973" s="1040" t="s">
        <v>3463</v>
      </c>
      <c r="H973" s="273" t="s">
        <v>3462</v>
      </c>
      <c r="I973" s="720">
        <f t="shared" si="211"/>
        <v>82</v>
      </c>
      <c r="J973" s="765">
        <v>410</v>
      </c>
      <c r="K973" s="131">
        <f t="shared" si="212"/>
        <v>410</v>
      </c>
      <c r="L973" s="335">
        <f t="shared" si="205"/>
        <v>0</v>
      </c>
      <c r="M973" s="446"/>
      <c r="N973" s="446"/>
      <c r="O973" s="446"/>
      <c r="P973" s="446"/>
      <c r="Q973" s="110">
        <v>2</v>
      </c>
      <c r="R973" s="111">
        <f t="shared" si="201"/>
        <v>102.5</v>
      </c>
      <c r="S973" s="110"/>
      <c r="T973" s="110"/>
      <c r="U973" s="110">
        <v>1</v>
      </c>
      <c r="V973" s="111">
        <f t="shared" si="203"/>
        <v>102.5</v>
      </c>
      <c r="W973" s="110"/>
      <c r="X973" s="110"/>
      <c r="Y973" s="110"/>
      <c r="Z973" s="110"/>
      <c r="AA973" s="110">
        <v>1</v>
      </c>
      <c r="AB973" s="111">
        <f t="shared" si="206"/>
        <v>102.5</v>
      </c>
      <c r="AC973" s="110"/>
      <c r="AD973" s="110"/>
      <c r="AE973" s="110">
        <v>1</v>
      </c>
      <c r="AF973" s="111">
        <f t="shared" si="207"/>
        <v>102.5</v>
      </c>
      <c r="AG973" s="110"/>
      <c r="AH973" s="110"/>
      <c r="AI973" s="110"/>
      <c r="AJ973" s="110"/>
      <c r="AK973" s="111">
        <f t="shared" si="208"/>
        <v>410</v>
      </c>
      <c r="AL973" s="446">
        <f t="shared" si="209"/>
        <v>0</v>
      </c>
      <c r="AM973" s="110">
        <f t="shared" si="210"/>
        <v>5</v>
      </c>
      <c r="AN973" s="447">
        <f t="shared" si="213"/>
        <v>0</v>
      </c>
      <c r="AO973"/>
      <c r="AP973"/>
    </row>
    <row r="974" spans="1:42" ht="66" x14ac:dyDescent="0.25">
      <c r="A974" s="143"/>
      <c r="B974" s="506" t="s">
        <v>104</v>
      </c>
      <c r="C974" s="24"/>
      <c r="D974" s="887">
        <v>5</v>
      </c>
      <c r="E974" s="29" t="s">
        <v>1721</v>
      </c>
      <c r="F974" s="278" t="s">
        <v>3446</v>
      </c>
      <c r="G974" s="1040" t="s">
        <v>3463</v>
      </c>
      <c r="H974" s="273" t="s">
        <v>3462</v>
      </c>
      <c r="I974" s="720">
        <f t="shared" si="211"/>
        <v>124</v>
      </c>
      <c r="J974" s="765">
        <v>620</v>
      </c>
      <c r="K974" s="131">
        <f t="shared" si="212"/>
        <v>620</v>
      </c>
      <c r="L974" s="335">
        <f t="shared" si="205"/>
        <v>0</v>
      </c>
      <c r="M974" s="446"/>
      <c r="N974" s="446"/>
      <c r="O974" s="446"/>
      <c r="P974" s="446"/>
      <c r="Q974" s="110">
        <v>2</v>
      </c>
      <c r="R974" s="111">
        <f t="shared" si="201"/>
        <v>155</v>
      </c>
      <c r="S974" s="110"/>
      <c r="T974" s="110"/>
      <c r="U974" s="110">
        <v>1</v>
      </c>
      <c r="V974" s="111">
        <f t="shared" si="203"/>
        <v>155</v>
      </c>
      <c r="W974" s="110"/>
      <c r="X974" s="110"/>
      <c r="Y974" s="110"/>
      <c r="Z974" s="110"/>
      <c r="AA974" s="110">
        <v>1</v>
      </c>
      <c r="AB974" s="111">
        <f t="shared" si="206"/>
        <v>155</v>
      </c>
      <c r="AC974" s="110"/>
      <c r="AD974" s="110"/>
      <c r="AE974" s="110">
        <v>1</v>
      </c>
      <c r="AF974" s="111">
        <f t="shared" si="207"/>
        <v>155</v>
      </c>
      <c r="AG974" s="110"/>
      <c r="AH974" s="110"/>
      <c r="AI974" s="110"/>
      <c r="AJ974" s="110"/>
      <c r="AK974" s="111">
        <f t="shared" si="208"/>
        <v>620</v>
      </c>
      <c r="AL974" s="446">
        <f t="shared" si="209"/>
        <v>0</v>
      </c>
      <c r="AM974" s="110">
        <f t="shared" si="210"/>
        <v>5</v>
      </c>
      <c r="AN974" s="447">
        <f t="shared" si="213"/>
        <v>0</v>
      </c>
      <c r="AO974"/>
      <c r="AP974"/>
    </row>
    <row r="975" spans="1:42" ht="66" x14ac:dyDescent="0.25">
      <c r="A975" s="143"/>
      <c r="B975" s="506" t="s">
        <v>1851</v>
      </c>
      <c r="C975" s="24"/>
      <c r="D975" s="887">
        <v>6</v>
      </c>
      <c r="E975" s="29" t="s">
        <v>1725</v>
      </c>
      <c r="F975" s="273" t="s">
        <v>3446</v>
      </c>
      <c r="G975" s="1040" t="s">
        <v>3463</v>
      </c>
      <c r="H975" s="273" t="s">
        <v>3462</v>
      </c>
      <c r="I975" s="720">
        <f t="shared" si="211"/>
        <v>32</v>
      </c>
      <c r="J975" s="765">
        <v>192</v>
      </c>
      <c r="K975" s="131">
        <f t="shared" si="212"/>
        <v>192</v>
      </c>
      <c r="L975" s="335">
        <f t="shared" si="205"/>
        <v>0</v>
      </c>
      <c r="M975" s="446"/>
      <c r="N975" s="446"/>
      <c r="O975" s="446"/>
      <c r="P975" s="446"/>
      <c r="Q975" s="130">
        <v>2</v>
      </c>
      <c r="R975" s="111">
        <f t="shared" si="201"/>
        <v>48</v>
      </c>
      <c r="S975" s="110"/>
      <c r="T975" s="110"/>
      <c r="U975" s="130">
        <v>2</v>
      </c>
      <c r="V975" s="111">
        <f t="shared" si="203"/>
        <v>48</v>
      </c>
      <c r="W975" s="110"/>
      <c r="X975" s="110"/>
      <c r="Y975" s="110"/>
      <c r="Z975" s="110"/>
      <c r="AA975" s="130">
        <v>1</v>
      </c>
      <c r="AB975" s="111">
        <f t="shared" si="206"/>
        <v>48</v>
      </c>
      <c r="AC975" s="110"/>
      <c r="AD975" s="110"/>
      <c r="AE975" s="130">
        <v>1</v>
      </c>
      <c r="AF975" s="111">
        <f t="shared" si="207"/>
        <v>48</v>
      </c>
      <c r="AG975" s="110"/>
      <c r="AH975" s="110"/>
      <c r="AI975" s="110"/>
      <c r="AJ975" s="110"/>
      <c r="AK975" s="111">
        <f t="shared" si="208"/>
        <v>192</v>
      </c>
      <c r="AL975" s="446">
        <f t="shared" si="209"/>
        <v>0</v>
      </c>
      <c r="AM975" s="110">
        <f t="shared" si="210"/>
        <v>6</v>
      </c>
      <c r="AN975" s="447">
        <f t="shared" si="213"/>
        <v>0</v>
      </c>
      <c r="AO975"/>
      <c r="AP975"/>
    </row>
    <row r="976" spans="1:42" ht="66" x14ac:dyDescent="0.25">
      <c r="A976" s="143"/>
      <c r="B976" s="506" t="s">
        <v>1852</v>
      </c>
      <c r="C976" s="24"/>
      <c r="D976" s="887">
        <v>11</v>
      </c>
      <c r="E976" s="29" t="s">
        <v>1725</v>
      </c>
      <c r="F976" s="273" t="s">
        <v>3446</v>
      </c>
      <c r="G976" s="1040" t="s">
        <v>3463</v>
      </c>
      <c r="H976" s="273" t="s">
        <v>3462</v>
      </c>
      <c r="I976" s="720">
        <f t="shared" si="211"/>
        <v>12</v>
      </c>
      <c r="J976" s="765">
        <v>132</v>
      </c>
      <c r="K976" s="131">
        <f t="shared" si="212"/>
        <v>132</v>
      </c>
      <c r="L976" s="335">
        <f t="shared" si="205"/>
        <v>0</v>
      </c>
      <c r="M976" s="446"/>
      <c r="N976" s="446"/>
      <c r="O976" s="446"/>
      <c r="P976" s="446"/>
      <c r="Q976" s="110">
        <v>3</v>
      </c>
      <c r="R976" s="111">
        <f t="shared" si="201"/>
        <v>33</v>
      </c>
      <c r="S976" s="110"/>
      <c r="T976" s="110"/>
      <c r="U976" s="110">
        <v>3</v>
      </c>
      <c r="V976" s="111">
        <f t="shared" si="203"/>
        <v>33</v>
      </c>
      <c r="W976" s="110"/>
      <c r="X976" s="110"/>
      <c r="Y976" s="110"/>
      <c r="Z976" s="110"/>
      <c r="AA976" s="110">
        <v>3</v>
      </c>
      <c r="AB976" s="111">
        <f t="shared" si="206"/>
        <v>33</v>
      </c>
      <c r="AC976" s="110"/>
      <c r="AD976" s="110"/>
      <c r="AE976" s="110">
        <v>2</v>
      </c>
      <c r="AF976" s="111">
        <f t="shared" si="207"/>
        <v>33</v>
      </c>
      <c r="AG976" s="110"/>
      <c r="AH976" s="110"/>
      <c r="AI976" s="110"/>
      <c r="AJ976" s="110"/>
      <c r="AK976" s="111">
        <f t="shared" si="208"/>
        <v>132</v>
      </c>
      <c r="AL976" s="446">
        <f t="shared" si="209"/>
        <v>0</v>
      </c>
      <c r="AM976" s="110">
        <f t="shared" si="210"/>
        <v>11</v>
      </c>
      <c r="AN976" s="447">
        <f t="shared" si="213"/>
        <v>0</v>
      </c>
      <c r="AO976"/>
      <c r="AP976"/>
    </row>
    <row r="977" spans="1:42" ht="66" x14ac:dyDescent="0.25">
      <c r="A977" s="143"/>
      <c r="B977" s="506" t="s">
        <v>2061</v>
      </c>
      <c r="C977" s="24"/>
      <c r="D977" s="887">
        <v>11</v>
      </c>
      <c r="E977" s="29" t="s">
        <v>1725</v>
      </c>
      <c r="F977" s="273" t="s">
        <v>3446</v>
      </c>
      <c r="G977" s="1040" t="s">
        <v>3463</v>
      </c>
      <c r="H977" s="273" t="s">
        <v>3462</v>
      </c>
      <c r="I977" s="720">
        <f t="shared" si="211"/>
        <v>18</v>
      </c>
      <c r="J977" s="765">
        <v>198</v>
      </c>
      <c r="K977" s="131">
        <f t="shared" si="212"/>
        <v>198</v>
      </c>
      <c r="L977" s="335">
        <f t="shared" si="205"/>
        <v>0</v>
      </c>
      <c r="M977" s="446"/>
      <c r="N977" s="446"/>
      <c r="O977" s="446"/>
      <c r="P977" s="446"/>
      <c r="Q977" s="110">
        <v>3</v>
      </c>
      <c r="R977" s="111">
        <f t="shared" si="201"/>
        <v>49.5</v>
      </c>
      <c r="S977" s="110"/>
      <c r="T977" s="110"/>
      <c r="U977" s="110">
        <v>3</v>
      </c>
      <c r="V977" s="111">
        <f t="shared" si="203"/>
        <v>49.5</v>
      </c>
      <c r="W977" s="110"/>
      <c r="X977" s="110"/>
      <c r="Y977" s="110"/>
      <c r="Z977" s="110"/>
      <c r="AA977" s="110">
        <v>3</v>
      </c>
      <c r="AB977" s="111">
        <f t="shared" si="206"/>
        <v>49.5</v>
      </c>
      <c r="AC977" s="110"/>
      <c r="AD977" s="110"/>
      <c r="AE977" s="110">
        <v>2</v>
      </c>
      <c r="AF977" s="111">
        <f t="shared" si="207"/>
        <v>49.5</v>
      </c>
      <c r="AG977" s="110"/>
      <c r="AH977" s="110"/>
      <c r="AI977" s="110"/>
      <c r="AJ977" s="110"/>
      <c r="AK977" s="111">
        <f t="shared" si="208"/>
        <v>198</v>
      </c>
      <c r="AL977" s="446">
        <f t="shared" si="209"/>
        <v>0</v>
      </c>
      <c r="AM977" s="110">
        <f t="shared" si="210"/>
        <v>11</v>
      </c>
      <c r="AN977" s="447">
        <f t="shared" si="213"/>
        <v>0</v>
      </c>
      <c r="AO977"/>
      <c r="AP977"/>
    </row>
    <row r="978" spans="1:42" ht="66" x14ac:dyDescent="0.25">
      <c r="A978" s="143"/>
      <c r="B978" s="506" t="s">
        <v>2062</v>
      </c>
      <c r="C978" s="24"/>
      <c r="D978" s="887">
        <v>11</v>
      </c>
      <c r="E978" s="29" t="s">
        <v>1725</v>
      </c>
      <c r="F978" s="273" t="s">
        <v>3446</v>
      </c>
      <c r="G978" s="1040" t="s">
        <v>3463</v>
      </c>
      <c r="H978" s="273" t="s">
        <v>3462</v>
      </c>
      <c r="I978" s="720">
        <f t="shared" si="211"/>
        <v>88</v>
      </c>
      <c r="J978" s="765">
        <v>968</v>
      </c>
      <c r="K978" s="131">
        <f t="shared" si="212"/>
        <v>968</v>
      </c>
      <c r="L978" s="335">
        <f t="shared" si="205"/>
        <v>0</v>
      </c>
      <c r="M978" s="446"/>
      <c r="N978" s="446"/>
      <c r="O978" s="446"/>
      <c r="P978" s="446"/>
      <c r="Q978" s="110">
        <v>3</v>
      </c>
      <c r="R978" s="111">
        <f t="shared" si="201"/>
        <v>242</v>
      </c>
      <c r="S978" s="110"/>
      <c r="T978" s="110"/>
      <c r="U978" s="110">
        <v>3</v>
      </c>
      <c r="V978" s="111">
        <f t="shared" si="203"/>
        <v>242</v>
      </c>
      <c r="W978" s="110"/>
      <c r="X978" s="110"/>
      <c r="Y978" s="110"/>
      <c r="Z978" s="110"/>
      <c r="AA978" s="110">
        <v>3</v>
      </c>
      <c r="AB978" s="111">
        <f t="shared" si="206"/>
        <v>242</v>
      </c>
      <c r="AC978" s="110"/>
      <c r="AD978" s="110"/>
      <c r="AE978" s="110">
        <v>2</v>
      </c>
      <c r="AF978" s="111">
        <f t="shared" si="207"/>
        <v>242</v>
      </c>
      <c r="AG978" s="110"/>
      <c r="AH978" s="110"/>
      <c r="AI978" s="110"/>
      <c r="AJ978" s="110"/>
      <c r="AK978" s="111">
        <f t="shared" si="208"/>
        <v>968</v>
      </c>
      <c r="AL978" s="446">
        <f t="shared" si="209"/>
        <v>0</v>
      </c>
      <c r="AM978" s="110">
        <f t="shared" si="210"/>
        <v>11</v>
      </c>
      <c r="AN978" s="447">
        <f t="shared" si="213"/>
        <v>0</v>
      </c>
      <c r="AO978"/>
      <c r="AP978"/>
    </row>
    <row r="979" spans="1:42" ht="66" x14ac:dyDescent="0.25">
      <c r="A979" s="143"/>
      <c r="B979" s="506" t="s">
        <v>2016</v>
      </c>
      <c r="C979" s="24"/>
      <c r="D979" s="887">
        <v>11</v>
      </c>
      <c r="E979" s="29" t="s">
        <v>1725</v>
      </c>
      <c r="F979" s="273" t="s">
        <v>3446</v>
      </c>
      <c r="G979" s="1040" t="s">
        <v>3463</v>
      </c>
      <c r="H979" s="273" t="s">
        <v>3462</v>
      </c>
      <c r="I979" s="720">
        <f t="shared" si="211"/>
        <v>11.9</v>
      </c>
      <c r="J979" s="765">
        <v>130.9</v>
      </c>
      <c r="K979" s="131">
        <f t="shared" si="212"/>
        <v>130.9</v>
      </c>
      <c r="L979" s="335">
        <f t="shared" si="205"/>
        <v>0</v>
      </c>
      <c r="M979" s="446"/>
      <c r="N979" s="446"/>
      <c r="O979" s="446"/>
      <c r="P979" s="446"/>
      <c r="Q979" s="110">
        <v>3</v>
      </c>
      <c r="R979" s="111">
        <f t="shared" si="201"/>
        <v>32.725000000000001</v>
      </c>
      <c r="S979" s="110"/>
      <c r="T979" s="110"/>
      <c r="U979" s="110">
        <v>3</v>
      </c>
      <c r="V979" s="111">
        <f t="shared" si="203"/>
        <v>32.725000000000001</v>
      </c>
      <c r="W979" s="110"/>
      <c r="X979" s="110"/>
      <c r="Y979" s="110"/>
      <c r="Z979" s="110"/>
      <c r="AA979" s="110">
        <v>3</v>
      </c>
      <c r="AB979" s="111">
        <f t="shared" si="206"/>
        <v>32.725000000000001</v>
      </c>
      <c r="AC979" s="110"/>
      <c r="AD979" s="110"/>
      <c r="AE979" s="110">
        <v>2</v>
      </c>
      <c r="AF979" s="111">
        <f t="shared" si="207"/>
        <v>32.725000000000001</v>
      </c>
      <c r="AG979" s="110"/>
      <c r="AH979" s="110"/>
      <c r="AI979" s="110"/>
      <c r="AJ979" s="110"/>
      <c r="AK979" s="111">
        <f t="shared" si="208"/>
        <v>130.9</v>
      </c>
      <c r="AL979" s="446">
        <f t="shared" si="209"/>
        <v>0</v>
      </c>
      <c r="AM979" s="110">
        <f t="shared" si="210"/>
        <v>11</v>
      </c>
      <c r="AN979" s="447">
        <f t="shared" si="213"/>
        <v>0</v>
      </c>
      <c r="AO979"/>
      <c r="AP979"/>
    </row>
    <row r="980" spans="1:42" ht="66" x14ac:dyDescent="0.25">
      <c r="A980" s="143"/>
      <c r="B980" s="506" t="s">
        <v>1181</v>
      </c>
      <c r="C980" s="24"/>
      <c r="D980" s="887">
        <v>6</v>
      </c>
      <c r="E980" s="29" t="s">
        <v>1725</v>
      </c>
      <c r="F980" s="273" t="s">
        <v>3446</v>
      </c>
      <c r="G980" s="1040" t="s">
        <v>3463</v>
      </c>
      <c r="H980" s="273" t="s">
        <v>3462</v>
      </c>
      <c r="I980" s="720">
        <f t="shared" si="211"/>
        <v>21</v>
      </c>
      <c r="J980" s="765">
        <v>126</v>
      </c>
      <c r="K980" s="131">
        <f t="shared" si="212"/>
        <v>126</v>
      </c>
      <c r="L980" s="335">
        <f t="shared" si="205"/>
        <v>0</v>
      </c>
      <c r="M980" s="446"/>
      <c r="N980" s="446"/>
      <c r="O980" s="446"/>
      <c r="P980" s="446"/>
      <c r="Q980" s="130">
        <v>2</v>
      </c>
      <c r="R980" s="111">
        <f t="shared" si="201"/>
        <v>31.5</v>
      </c>
      <c r="S980" s="110"/>
      <c r="T980" s="110"/>
      <c r="U980" s="130">
        <v>2</v>
      </c>
      <c r="V980" s="111">
        <f t="shared" si="203"/>
        <v>31.5</v>
      </c>
      <c r="W980" s="110"/>
      <c r="X980" s="110"/>
      <c r="Y980" s="110"/>
      <c r="Z980" s="110"/>
      <c r="AA980" s="130">
        <v>1</v>
      </c>
      <c r="AB980" s="111">
        <f t="shared" si="206"/>
        <v>31.5</v>
      </c>
      <c r="AC980" s="110"/>
      <c r="AD980" s="110"/>
      <c r="AE980" s="130">
        <v>1</v>
      </c>
      <c r="AF980" s="111">
        <f t="shared" si="207"/>
        <v>31.5</v>
      </c>
      <c r="AG980" s="110"/>
      <c r="AH980" s="110"/>
      <c r="AI980" s="110"/>
      <c r="AJ980" s="110"/>
      <c r="AK980" s="111">
        <f t="shared" si="208"/>
        <v>126</v>
      </c>
      <c r="AL980" s="446">
        <f t="shared" si="209"/>
        <v>0</v>
      </c>
      <c r="AM980" s="110">
        <f t="shared" si="210"/>
        <v>6</v>
      </c>
      <c r="AN980" s="447">
        <f t="shared" si="213"/>
        <v>0</v>
      </c>
      <c r="AO980"/>
      <c r="AP980"/>
    </row>
    <row r="981" spans="1:42" ht="66" x14ac:dyDescent="0.25">
      <c r="A981" s="143"/>
      <c r="B981" s="507" t="s">
        <v>2063</v>
      </c>
      <c r="C981" s="24"/>
      <c r="D981" s="887">
        <v>2</v>
      </c>
      <c r="E981" s="29" t="s">
        <v>1722</v>
      </c>
      <c r="F981" s="273" t="s">
        <v>3446</v>
      </c>
      <c r="G981" s="1040" t="s">
        <v>3463</v>
      </c>
      <c r="H981" s="273" t="s">
        <v>3462</v>
      </c>
      <c r="I981" s="720">
        <f t="shared" si="211"/>
        <v>70</v>
      </c>
      <c r="J981" s="765">
        <v>140</v>
      </c>
      <c r="K981" s="131">
        <f t="shared" si="212"/>
        <v>140</v>
      </c>
      <c r="L981" s="335">
        <f t="shared" si="205"/>
        <v>0</v>
      </c>
      <c r="M981" s="446"/>
      <c r="N981" s="446"/>
      <c r="O981" s="446"/>
      <c r="P981" s="446"/>
      <c r="Q981" s="130">
        <v>0</v>
      </c>
      <c r="R981" s="111">
        <v>0</v>
      </c>
      <c r="S981" s="110"/>
      <c r="T981" s="110"/>
      <c r="U981" s="130">
        <v>1</v>
      </c>
      <c r="V981" s="111">
        <v>70</v>
      </c>
      <c r="W981" s="110"/>
      <c r="X981" s="110"/>
      <c r="Y981" s="110"/>
      <c r="Z981" s="110"/>
      <c r="AA981" s="130">
        <v>0</v>
      </c>
      <c r="AB981" s="111">
        <v>70</v>
      </c>
      <c r="AC981" s="110"/>
      <c r="AD981" s="110"/>
      <c r="AE981" s="130">
        <v>0</v>
      </c>
      <c r="AF981" s="111">
        <v>0</v>
      </c>
      <c r="AG981" s="110"/>
      <c r="AH981" s="110"/>
      <c r="AI981" s="110"/>
      <c r="AJ981" s="110"/>
      <c r="AK981" s="111">
        <f t="shared" si="208"/>
        <v>140</v>
      </c>
      <c r="AL981" s="446">
        <f t="shared" si="209"/>
        <v>0</v>
      </c>
      <c r="AM981" s="110">
        <f t="shared" si="210"/>
        <v>1</v>
      </c>
      <c r="AN981" s="447">
        <f t="shared" si="213"/>
        <v>1</v>
      </c>
      <c r="AO981"/>
      <c r="AP981"/>
    </row>
    <row r="982" spans="1:42" ht="66" x14ac:dyDescent="0.25">
      <c r="A982" s="143"/>
      <c r="B982" s="149" t="s">
        <v>116</v>
      </c>
      <c r="C982" s="24"/>
      <c r="D982" s="887">
        <v>10</v>
      </c>
      <c r="E982" s="29" t="s">
        <v>1767</v>
      </c>
      <c r="F982" s="273" t="s">
        <v>3446</v>
      </c>
      <c r="G982" s="1040" t="s">
        <v>3463</v>
      </c>
      <c r="H982" s="273" t="s">
        <v>3462</v>
      </c>
      <c r="I982" s="720">
        <f t="shared" si="211"/>
        <v>19.88</v>
      </c>
      <c r="J982" s="765">
        <v>198.79999999999998</v>
      </c>
      <c r="K982" s="131">
        <f t="shared" si="212"/>
        <v>198.79999999999998</v>
      </c>
      <c r="L982" s="335">
        <f t="shared" si="205"/>
        <v>0</v>
      </c>
      <c r="M982" s="446"/>
      <c r="N982" s="446"/>
      <c r="O982" s="446"/>
      <c r="P982" s="446"/>
      <c r="Q982" s="130">
        <v>3</v>
      </c>
      <c r="R982" s="111">
        <f t="shared" si="201"/>
        <v>49.699999999999996</v>
      </c>
      <c r="S982" s="110"/>
      <c r="T982" s="110"/>
      <c r="U982" s="130">
        <v>3</v>
      </c>
      <c r="V982" s="111">
        <f t="shared" si="203"/>
        <v>49.699999999999996</v>
      </c>
      <c r="W982" s="110"/>
      <c r="X982" s="110"/>
      <c r="Y982" s="110"/>
      <c r="Z982" s="110"/>
      <c r="AA982" s="130">
        <v>2</v>
      </c>
      <c r="AB982" s="111">
        <f t="shared" si="206"/>
        <v>49.699999999999996</v>
      </c>
      <c r="AC982" s="110"/>
      <c r="AD982" s="110"/>
      <c r="AE982" s="130">
        <v>2</v>
      </c>
      <c r="AF982" s="111">
        <f t="shared" si="207"/>
        <v>49.699999999999996</v>
      </c>
      <c r="AG982" s="110"/>
      <c r="AH982" s="110"/>
      <c r="AI982" s="110"/>
      <c r="AJ982" s="110"/>
      <c r="AK982" s="111">
        <f t="shared" si="208"/>
        <v>198.79999999999998</v>
      </c>
      <c r="AL982" s="446">
        <f t="shared" si="209"/>
        <v>0</v>
      </c>
      <c r="AM982" s="110">
        <f t="shared" si="210"/>
        <v>10</v>
      </c>
      <c r="AN982" s="447">
        <f t="shared" si="213"/>
        <v>0</v>
      </c>
      <c r="AO982"/>
      <c r="AP982"/>
    </row>
    <row r="983" spans="1:42" ht="66" x14ac:dyDescent="0.25">
      <c r="A983" s="143"/>
      <c r="B983" s="149" t="s">
        <v>111</v>
      </c>
      <c r="C983" s="24"/>
      <c r="D983" s="887">
        <v>2</v>
      </c>
      <c r="E983" s="29" t="s">
        <v>1767</v>
      </c>
      <c r="F983" s="273" t="s">
        <v>3446</v>
      </c>
      <c r="G983" s="1040" t="s">
        <v>3463</v>
      </c>
      <c r="H983" s="273" t="s">
        <v>3462</v>
      </c>
      <c r="I983" s="720">
        <f t="shared" si="211"/>
        <v>119.06</v>
      </c>
      <c r="J983" s="765">
        <v>238.12</v>
      </c>
      <c r="K983" s="131">
        <f t="shared" si="212"/>
        <v>238.12</v>
      </c>
      <c r="L983" s="335">
        <f t="shared" si="205"/>
        <v>0</v>
      </c>
      <c r="M983" s="446"/>
      <c r="N983" s="446"/>
      <c r="O983" s="446"/>
      <c r="P983" s="446"/>
      <c r="Q983" s="130">
        <v>0</v>
      </c>
      <c r="R983" s="111">
        <v>0</v>
      </c>
      <c r="S983" s="110"/>
      <c r="T983" s="110"/>
      <c r="U983" s="130">
        <v>1</v>
      </c>
      <c r="V983" s="111">
        <v>119.06</v>
      </c>
      <c r="W983" s="110"/>
      <c r="X983" s="110"/>
      <c r="Y983" s="110"/>
      <c r="Z983" s="110"/>
      <c r="AA983" s="130">
        <v>1</v>
      </c>
      <c r="AB983" s="111">
        <v>119.06</v>
      </c>
      <c r="AC983" s="110"/>
      <c r="AD983" s="110"/>
      <c r="AE983" s="130">
        <v>0</v>
      </c>
      <c r="AF983" s="111">
        <v>0</v>
      </c>
      <c r="AG983" s="110"/>
      <c r="AH983" s="110"/>
      <c r="AI983" s="110"/>
      <c r="AJ983" s="110"/>
      <c r="AK983" s="111">
        <f t="shared" si="208"/>
        <v>238.12</v>
      </c>
      <c r="AL983" s="446">
        <f t="shared" si="209"/>
        <v>0</v>
      </c>
      <c r="AM983" s="110">
        <f t="shared" si="210"/>
        <v>2</v>
      </c>
      <c r="AN983" s="447">
        <f t="shared" si="213"/>
        <v>0</v>
      </c>
      <c r="AO983"/>
      <c r="AP983"/>
    </row>
    <row r="984" spans="1:42" ht="66" x14ac:dyDescent="0.25">
      <c r="A984" s="143"/>
      <c r="B984" s="149" t="s">
        <v>2152</v>
      </c>
      <c r="C984" s="24"/>
      <c r="D984" s="887">
        <v>2</v>
      </c>
      <c r="E984" s="29" t="s">
        <v>1772</v>
      </c>
      <c r="F984" s="273" t="s">
        <v>3446</v>
      </c>
      <c r="G984" s="1040" t="s">
        <v>3463</v>
      </c>
      <c r="H984" s="273" t="s">
        <v>3462</v>
      </c>
      <c r="I984" s="720">
        <f t="shared" si="211"/>
        <v>71.72</v>
      </c>
      <c r="J984" s="765">
        <v>143.44</v>
      </c>
      <c r="K984" s="131">
        <f t="shared" si="212"/>
        <v>143.44</v>
      </c>
      <c r="L984" s="335">
        <f t="shared" si="205"/>
        <v>0</v>
      </c>
      <c r="M984" s="446"/>
      <c r="N984" s="446"/>
      <c r="O984" s="446"/>
      <c r="P984" s="446"/>
      <c r="Q984" s="130">
        <v>1</v>
      </c>
      <c r="R984" s="111">
        <v>71.72</v>
      </c>
      <c r="S984" s="110"/>
      <c r="T984" s="110"/>
      <c r="U984" s="130">
        <v>1</v>
      </c>
      <c r="V984" s="111">
        <v>71.72</v>
      </c>
      <c r="W984" s="110"/>
      <c r="X984" s="110"/>
      <c r="Y984" s="110"/>
      <c r="Z984" s="110"/>
      <c r="AA984" s="130">
        <v>0</v>
      </c>
      <c r="AB984" s="111">
        <v>0</v>
      </c>
      <c r="AC984" s="110"/>
      <c r="AD984" s="110"/>
      <c r="AE984" s="130">
        <v>0</v>
      </c>
      <c r="AF984" s="111">
        <v>0</v>
      </c>
      <c r="AG984" s="110"/>
      <c r="AH984" s="110"/>
      <c r="AI984" s="110"/>
      <c r="AJ984" s="110"/>
      <c r="AK984" s="111">
        <f t="shared" si="208"/>
        <v>143.44</v>
      </c>
      <c r="AL984" s="446">
        <f t="shared" si="209"/>
        <v>0</v>
      </c>
      <c r="AM984" s="110">
        <f t="shared" si="210"/>
        <v>2</v>
      </c>
      <c r="AN984" s="447">
        <f t="shared" si="213"/>
        <v>0</v>
      </c>
      <c r="AO984"/>
      <c r="AP984"/>
    </row>
    <row r="985" spans="1:42" ht="66" x14ac:dyDescent="0.25">
      <c r="A985" s="143"/>
      <c r="B985" s="149" t="s">
        <v>2153</v>
      </c>
      <c r="C985" s="24"/>
      <c r="D985" s="887">
        <v>30</v>
      </c>
      <c r="E985" s="29" t="s">
        <v>1950</v>
      </c>
      <c r="F985" s="273" t="s">
        <v>3446</v>
      </c>
      <c r="G985" s="1040" t="s">
        <v>3463</v>
      </c>
      <c r="H985" s="273" t="s">
        <v>3462</v>
      </c>
      <c r="I985" s="720">
        <f t="shared" si="211"/>
        <v>1.89</v>
      </c>
      <c r="J985" s="765">
        <v>56.699999999999996</v>
      </c>
      <c r="K985" s="131">
        <f t="shared" si="212"/>
        <v>56.699999999999996</v>
      </c>
      <c r="L985" s="335">
        <f t="shared" si="205"/>
        <v>0</v>
      </c>
      <c r="M985" s="446"/>
      <c r="N985" s="446"/>
      <c r="O985" s="446"/>
      <c r="P985" s="446"/>
      <c r="Q985" s="110">
        <v>8</v>
      </c>
      <c r="R985" s="111">
        <f t="shared" si="201"/>
        <v>14.174999999999999</v>
      </c>
      <c r="S985" s="110"/>
      <c r="T985" s="110"/>
      <c r="U985" s="110">
        <v>8</v>
      </c>
      <c r="V985" s="111">
        <f t="shared" si="203"/>
        <v>14.174999999999999</v>
      </c>
      <c r="W985" s="110"/>
      <c r="X985" s="110"/>
      <c r="Y985" s="110"/>
      <c r="Z985" s="110"/>
      <c r="AA985" s="110">
        <v>7</v>
      </c>
      <c r="AB985" s="111">
        <f t="shared" si="206"/>
        <v>14.174999999999999</v>
      </c>
      <c r="AC985" s="110"/>
      <c r="AD985" s="110"/>
      <c r="AE985" s="110">
        <v>7</v>
      </c>
      <c r="AF985" s="111">
        <f t="shared" si="207"/>
        <v>14.174999999999999</v>
      </c>
      <c r="AG985" s="110"/>
      <c r="AH985" s="110"/>
      <c r="AI985" s="110"/>
      <c r="AJ985" s="110"/>
      <c r="AK985" s="111">
        <f t="shared" si="208"/>
        <v>56.699999999999996</v>
      </c>
      <c r="AL985" s="446">
        <f t="shared" si="209"/>
        <v>0</v>
      </c>
      <c r="AM985" s="110">
        <f t="shared" si="210"/>
        <v>30</v>
      </c>
      <c r="AN985" s="447">
        <f t="shared" si="213"/>
        <v>0</v>
      </c>
      <c r="AO985"/>
      <c r="AP985"/>
    </row>
    <row r="986" spans="1:42" ht="66" x14ac:dyDescent="0.25">
      <c r="A986" s="143"/>
      <c r="B986" s="149" t="s">
        <v>125</v>
      </c>
      <c r="C986" s="24"/>
      <c r="D986" s="887">
        <v>15</v>
      </c>
      <c r="E986" s="29" t="s">
        <v>1767</v>
      </c>
      <c r="F986" s="273" t="s">
        <v>3446</v>
      </c>
      <c r="G986" s="1040" t="s">
        <v>3463</v>
      </c>
      <c r="H986" s="273" t="s">
        <v>3462</v>
      </c>
      <c r="I986" s="720">
        <f t="shared" si="211"/>
        <v>55.51</v>
      </c>
      <c r="J986" s="765">
        <v>832.65</v>
      </c>
      <c r="K986" s="131">
        <f t="shared" si="212"/>
        <v>832.65</v>
      </c>
      <c r="L986" s="335">
        <f t="shared" si="205"/>
        <v>0</v>
      </c>
      <c r="M986" s="446"/>
      <c r="N986" s="446"/>
      <c r="O986" s="446"/>
      <c r="P986" s="446"/>
      <c r="Q986" s="110">
        <v>4</v>
      </c>
      <c r="R986" s="111">
        <f t="shared" si="201"/>
        <v>208.16249999999999</v>
      </c>
      <c r="S986" s="110"/>
      <c r="T986" s="110"/>
      <c r="U986" s="110">
        <v>4</v>
      </c>
      <c r="V986" s="111">
        <f t="shared" si="203"/>
        <v>208.16249999999999</v>
      </c>
      <c r="W986" s="110"/>
      <c r="X986" s="110"/>
      <c r="Y986" s="110"/>
      <c r="Z986" s="110"/>
      <c r="AA986" s="110">
        <v>4</v>
      </c>
      <c r="AB986" s="111">
        <f t="shared" si="206"/>
        <v>208.16249999999999</v>
      </c>
      <c r="AC986" s="110"/>
      <c r="AD986" s="110"/>
      <c r="AE986" s="110">
        <v>3</v>
      </c>
      <c r="AF986" s="111">
        <f t="shared" si="207"/>
        <v>208.16249999999999</v>
      </c>
      <c r="AG986" s="110"/>
      <c r="AH986" s="110"/>
      <c r="AI986" s="110"/>
      <c r="AJ986" s="110"/>
      <c r="AK986" s="111">
        <f t="shared" si="208"/>
        <v>832.65</v>
      </c>
      <c r="AL986" s="446">
        <f t="shared" si="209"/>
        <v>0</v>
      </c>
      <c r="AM986" s="110">
        <f t="shared" si="210"/>
        <v>15</v>
      </c>
      <c r="AN986" s="447">
        <f t="shared" si="213"/>
        <v>0</v>
      </c>
      <c r="AO986"/>
      <c r="AP986"/>
    </row>
    <row r="987" spans="1:42" ht="66" x14ac:dyDescent="0.25">
      <c r="A987" s="143"/>
      <c r="B987" s="149" t="s">
        <v>268</v>
      </c>
      <c r="C987" s="24"/>
      <c r="D987" s="887">
        <v>3</v>
      </c>
      <c r="E987" s="29" t="s">
        <v>1772</v>
      </c>
      <c r="F987" s="273" t="s">
        <v>3446</v>
      </c>
      <c r="G987" s="1040" t="s">
        <v>3463</v>
      </c>
      <c r="H987" s="273" t="s">
        <v>3462</v>
      </c>
      <c r="I987" s="720">
        <f t="shared" si="211"/>
        <v>26.730000000000004</v>
      </c>
      <c r="J987" s="765">
        <v>80.190000000000012</v>
      </c>
      <c r="K987" s="131">
        <f t="shared" si="212"/>
        <v>80.190000000000012</v>
      </c>
      <c r="L987" s="335">
        <f t="shared" si="205"/>
        <v>0</v>
      </c>
      <c r="M987" s="446"/>
      <c r="N987" s="446"/>
      <c r="O987" s="446"/>
      <c r="P987" s="446"/>
      <c r="Q987" s="130">
        <v>1</v>
      </c>
      <c r="R987" s="111">
        <v>26.73</v>
      </c>
      <c r="S987" s="110"/>
      <c r="T987" s="110"/>
      <c r="U987" s="130">
        <v>1</v>
      </c>
      <c r="V987" s="111">
        <v>26.73</v>
      </c>
      <c r="W987" s="110"/>
      <c r="X987" s="110"/>
      <c r="Y987" s="110"/>
      <c r="Z987" s="110"/>
      <c r="AA987" s="130">
        <v>1</v>
      </c>
      <c r="AB987" s="111">
        <v>26.73</v>
      </c>
      <c r="AC987" s="110"/>
      <c r="AD987" s="110"/>
      <c r="AE987" s="130">
        <v>0</v>
      </c>
      <c r="AF987" s="111">
        <v>0</v>
      </c>
      <c r="AG987" s="110"/>
      <c r="AH987" s="110"/>
      <c r="AI987" s="110"/>
      <c r="AJ987" s="110"/>
      <c r="AK987" s="111">
        <f t="shared" si="208"/>
        <v>80.19</v>
      </c>
      <c r="AL987" s="446">
        <f t="shared" si="209"/>
        <v>0</v>
      </c>
      <c r="AM987" s="110">
        <f t="shared" si="210"/>
        <v>3</v>
      </c>
      <c r="AN987" s="447">
        <f t="shared" si="213"/>
        <v>0</v>
      </c>
      <c r="AO987"/>
      <c r="AP987"/>
    </row>
    <row r="988" spans="1:42" ht="66" x14ac:dyDescent="0.25">
      <c r="A988" s="143"/>
      <c r="B988" s="149" t="s">
        <v>120</v>
      </c>
      <c r="C988" s="24"/>
      <c r="D988" s="887">
        <v>6</v>
      </c>
      <c r="E988" s="29" t="s">
        <v>1772</v>
      </c>
      <c r="F988" s="273" t="s">
        <v>3446</v>
      </c>
      <c r="G988" s="1040" t="s">
        <v>3463</v>
      </c>
      <c r="H988" s="273" t="s">
        <v>3462</v>
      </c>
      <c r="I988" s="720">
        <f t="shared" si="211"/>
        <v>123.12</v>
      </c>
      <c r="J988" s="765">
        <v>738.72</v>
      </c>
      <c r="K988" s="131">
        <f t="shared" si="212"/>
        <v>738.72</v>
      </c>
      <c r="L988" s="335">
        <f t="shared" si="205"/>
        <v>0</v>
      </c>
      <c r="M988" s="446"/>
      <c r="N988" s="446"/>
      <c r="O988" s="446"/>
      <c r="P988" s="446"/>
      <c r="Q988" s="130">
        <v>2</v>
      </c>
      <c r="R988" s="111">
        <f t="shared" si="201"/>
        <v>184.68</v>
      </c>
      <c r="S988" s="110"/>
      <c r="T988" s="110"/>
      <c r="U988" s="130">
        <v>2</v>
      </c>
      <c r="V988" s="111">
        <f t="shared" si="203"/>
        <v>184.68</v>
      </c>
      <c r="W988" s="110"/>
      <c r="X988" s="110"/>
      <c r="Y988" s="110"/>
      <c r="Z988" s="110"/>
      <c r="AA988" s="130">
        <v>1</v>
      </c>
      <c r="AB988" s="111">
        <f t="shared" si="206"/>
        <v>184.68</v>
      </c>
      <c r="AC988" s="110"/>
      <c r="AD988" s="110"/>
      <c r="AE988" s="130">
        <v>1</v>
      </c>
      <c r="AF988" s="111">
        <f t="shared" si="207"/>
        <v>184.68</v>
      </c>
      <c r="AG988" s="110"/>
      <c r="AH988" s="110"/>
      <c r="AI988" s="110"/>
      <c r="AJ988" s="110"/>
      <c r="AK988" s="111">
        <f t="shared" si="208"/>
        <v>738.72</v>
      </c>
      <c r="AL988" s="446">
        <f t="shared" si="209"/>
        <v>0</v>
      </c>
      <c r="AM988" s="110">
        <f t="shared" si="210"/>
        <v>6</v>
      </c>
      <c r="AN988" s="447">
        <f t="shared" si="213"/>
        <v>0</v>
      </c>
      <c r="AO988"/>
      <c r="AP988"/>
    </row>
    <row r="989" spans="1:42" ht="66" x14ac:dyDescent="0.25">
      <c r="A989" s="143"/>
      <c r="B989" s="149" t="s">
        <v>119</v>
      </c>
      <c r="C989" s="24"/>
      <c r="D989" s="887">
        <v>50</v>
      </c>
      <c r="E989" s="29" t="s">
        <v>1772</v>
      </c>
      <c r="F989" s="273" t="s">
        <v>3446</v>
      </c>
      <c r="G989" s="1040" t="s">
        <v>3463</v>
      </c>
      <c r="H989" s="273" t="s">
        <v>3462</v>
      </c>
      <c r="I989" s="720">
        <f t="shared" si="211"/>
        <v>82.05</v>
      </c>
      <c r="J989" s="765">
        <v>4102.5</v>
      </c>
      <c r="K989" s="131">
        <f t="shared" si="212"/>
        <v>4102.5</v>
      </c>
      <c r="L989" s="335">
        <f t="shared" si="205"/>
        <v>0</v>
      </c>
      <c r="M989" s="446"/>
      <c r="N989" s="446"/>
      <c r="O989" s="446"/>
      <c r="P989" s="446"/>
      <c r="Q989" s="110">
        <v>13</v>
      </c>
      <c r="R989" s="111">
        <f t="shared" si="201"/>
        <v>1025.625</v>
      </c>
      <c r="S989" s="110"/>
      <c r="T989" s="110"/>
      <c r="U989" s="110">
        <v>12</v>
      </c>
      <c r="V989" s="111">
        <f t="shared" si="203"/>
        <v>1025.625</v>
      </c>
      <c r="W989" s="110"/>
      <c r="X989" s="110"/>
      <c r="Y989" s="110"/>
      <c r="Z989" s="110"/>
      <c r="AA989" s="110">
        <v>12</v>
      </c>
      <c r="AB989" s="111">
        <f t="shared" si="206"/>
        <v>1025.625</v>
      </c>
      <c r="AC989" s="110"/>
      <c r="AD989" s="110"/>
      <c r="AE989" s="110">
        <v>13</v>
      </c>
      <c r="AF989" s="111">
        <f t="shared" si="207"/>
        <v>1025.625</v>
      </c>
      <c r="AG989" s="110"/>
      <c r="AH989" s="110"/>
      <c r="AI989" s="110"/>
      <c r="AJ989" s="110"/>
      <c r="AK989" s="111">
        <f t="shared" si="208"/>
        <v>4102.5</v>
      </c>
      <c r="AL989" s="446">
        <f t="shared" si="209"/>
        <v>0</v>
      </c>
      <c r="AM989" s="110">
        <f t="shared" si="210"/>
        <v>50</v>
      </c>
      <c r="AN989" s="447">
        <f t="shared" si="213"/>
        <v>0</v>
      </c>
      <c r="AO989"/>
      <c r="AP989"/>
    </row>
    <row r="990" spans="1:42" ht="66" x14ac:dyDescent="0.25">
      <c r="A990" s="143"/>
      <c r="B990" s="149" t="s">
        <v>2154</v>
      </c>
      <c r="C990" s="24"/>
      <c r="D990" s="887">
        <v>600</v>
      </c>
      <c r="E990" s="29" t="s">
        <v>1931</v>
      </c>
      <c r="F990" s="273" t="s">
        <v>3446</v>
      </c>
      <c r="G990" s="1040" t="s">
        <v>3463</v>
      </c>
      <c r="H990" s="273" t="s">
        <v>3462</v>
      </c>
      <c r="I990" s="720">
        <f t="shared" si="211"/>
        <v>5.55</v>
      </c>
      <c r="J990" s="765">
        <v>3330</v>
      </c>
      <c r="K990" s="131">
        <f t="shared" si="212"/>
        <v>3330</v>
      </c>
      <c r="L990" s="335">
        <f t="shared" si="205"/>
        <v>0</v>
      </c>
      <c r="M990" s="446"/>
      <c r="N990" s="446"/>
      <c r="O990" s="446"/>
      <c r="P990" s="446"/>
      <c r="Q990" s="110">
        <f t="shared" ref="Q990:Q1050" si="214">+$D990/4</f>
        <v>150</v>
      </c>
      <c r="R990" s="111">
        <f t="shared" si="201"/>
        <v>832.5</v>
      </c>
      <c r="S990" s="110"/>
      <c r="T990" s="110"/>
      <c r="U990" s="110">
        <f t="shared" ref="U990:U1050" si="215">+$D990/4</f>
        <v>150</v>
      </c>
      <c r="V990" s="111">
        <f t="shared" si="203"/>
        <v>832.5</v>
      </c>
      <c r="W990" s="110"/>
      <c r="X990" s="110"/>
      <c r="Y990" s="110"/>
      <c r="Z990" s="110"/>
      <c r="AA990" s="110">
        <f t="shared" ref="AA990:AE1050" si="216">+$D990/4</f>
        <v>150</v>
      </c>
      <c r="AB990" s="111">
        <f t="shared" si="206"/>
        <v>832.5</v>
      </c>
      <c r="AC990" s="110"/>
      <c r="AD990" s="110"/>
      <c r="AE990" s="110">
        <f t="shared" si="216"/>
        <v>150</v>
      </c>
      <c r="AF990" s="111">
        <f t="shared" si="207"/>
        <v>832.5</v>
      </c>
      <c r="AG990" s="110"/>
      <c r="AH990" s="110"/>
      <c r="AI990" s="110"/>
      <c r="AJ990" s="110"/>
      <c r="AK990" s="111">
        <f t="shared" si="208"/>
        <v>3330</v>
      </c>
      <c r="AL990" s="446">
        <f t="shared" si="209"/>
        <v>0</v>
      </c>
      <c r="AM990" s="110">
        <f t="shared" si="210"/>
        <v>600</v>
      </c>
      <c r="AN990" s="447">
        <f t="shared" si="213"/>
        <v>0</v>
      </c>
      <c r="AO990"/>
      <c r="AP990"/>
    </row>
    <row r="991" spans="1:42" ht="66" x14ac:dyDescent="0.25">
      <c r="A991" s="143"/>
      <c r="B991" s="149" t="s">
        <v>2155</v>
      </c>
      <c r="C991" s="24"/>
      <c r="D991" s="887">
        <v>50</v>
      </c>
      <c r="E991" s="29" t="s">
        <v>1931</v>
      </c>
      <c r="F991" s="273" t="s">
        <v>3446</v>
      </c>
      <c r="G991" s="1040" t="s">
        <v>3463</v>
      </c>
      <c r="H991" s="273" t="s">
        <v>3462</v>
      </c>
      <c r="I991" s="720">
        <f t="shared" si="211"/>
        <v>3.32</v>
      </c>
      <c r="J991" s="765">
        <v>166</v>
      </c>
      <c r="K991" s="131">
        <f t="shared" si="212"/>
        <v>166</v>
      </c>
      <c r="L991" s="335">
        <f t="shared" si="205"/>
        <v>0</v>
      </c>
      <c r="M991" s="446"/>
      <c r="N991" s="446"/>
      <c r="O991" s="446"/>
      <c r="P991" s="446"/>
      <c r="Q991" s="110">
        <v>13</v>
      </c>
      <c r="R991" s="111">
        <f t="shared" ref="R991:R1051" si="217">+J991/4</f>
        <v>41.5</v>
      </c>
      <c r="S991" s="110"/>
      <c r="T991" s="110"/>
      <c r="U991" s="110">
        <v>12</v>
      </c>
      <c r="V991" s="111">
        <f t="shared" ref="V991:V1051" si="218">+J991/4</f>
        <v>41.5</v>
      </c>
      <c r="W991" s="110"/>
      <c r="X991" s="110"/>
      <c r="Y991" s="110"/>
      <c r="Z991" s="110"/>
      <c r="AA991" s="110">
        <v>12</v>
      </c>
      <c r="AB991" s="111">
        <f t="shared" si="206"/>
        <v>41.5</v>
      </c>
      <c r="AC991" s="110"/>
      <c r="AD991" s="110"/>
      <c r="AE991" s="110">
        <v>13</v>
      </c>
      <c r="AF991" s="111">
        <f t="shared" si="207"/>
        <v>41.5</v>
      </c>
      <c r="AG991" s="110"/>
      <c r="AH991" s="110"/>
      <c r="AI991" s="110"/>
      <c r="AJ991" s="110"/>
      <c r="AK991" s="111">
        <f t="shared" si="208"/>
        <v>166</v>
      </c>
      <c r="AL991" s="446">
        <f t="shared" si="209"/>
        <v>0</v>
      </c>
      <c r="AM991" s="110">
        <f t="shared" si="210"/>
        <v>50</v>
      </c>
      <c r="AN991" s="447">
        <f t="shared" si="213"/>
        <v>0</v>
      </c>
      <c r="AO991"/>
      <c r="AP991"/>
    </row>
    <row r="992" spans="1:42" ht="66" x14ac:dyDescent="0.25">
      <c r="A992" s="143"/>
      <c r="B992" s="149" t="s">
        <v>2156</v>
      </c>
      <c r="C992" s="24"/>
      <c r="D992" s="887">
        <v>40</v>
      </c>
      <c r="E992" s="29" t="s">
        <v>1931</v>
      </c>
      <c r="F992" s="273" t="s">
        <v>3446</v>
      </c>
      <c r="G992" s="1040" t="s">
        <v>3463</v>
      </c>
      <c r="H992" s="273" t="s">
        <v>3462</v>
      </c>
      <c r="I992" s="720">
        <f t="shared" si="211"/>
        <v>1.38</v>
      </c>
      <c r="J992" s="765">
        <v>55.199999999999996</v>
      </c>
      <c r="K992" s="131">
        <f t="shared" si="212"/>
        <v>55.199999999999996</v>
      </c>
      <c r="L992" s="335">
        <f t="shared" si="205"/>
        <v>0</v>
      </c>
      <c r="M992" s="446"/>
      <c r="N992" s="446"/>
      <c r="O992" s="446"/>
      <c r="P992" s="446"/>
      <c r="Q992" s="110">
        <f t="shared" si="214"/>
        <v>10</v>
      </c>
      <c r="R992" s="111">
        <f t="shared" si="217"/>
        <v>13.799999999999999</v>
      </c>
      <c r="S992" s="110"/>
      <c r="T992" s="110"/>
      <c r="U992" s="110">
        <f t="shared" si="215"/>
        <v>10</v>
      </c>
      <c r="V992" s="111">
        <f t="shared" si="218"/>
        <v>13.799999999999999</v>
      </c>
      <c r="W992" s="110"/>
      <c r="X992" s="110"/>
      <c r="Y992" s="110"/>
      <c r="Z992" s="110"/>
      <c r="AA992" s="110">
        <f t="shared" si="216"/>
        <v>10</v>
      </c>
      <c r="AB992" s="111">
        <f t="shared" si="206"/>
        <v>13.799999999999999</v>
      </c>
      <c r="AC992" s="110"/>
      <c r="AD992" s="110"/>
      <c r="AE992" s="110">
        <f t="shared" si="216"/>
        <v>10</v>
      </c>
      <c r="AF992" s="111">
        <f t="shared" si="207"/>
        <v>13.799999999999999</v>
      </c>
      <c r="AG992" s="110"/>
      <c r="AH992" s="110"/>
      <c r="AI992" s="110"/>
      <c r="AJ992" s="110"/>
      <c r="AK992" s="111">
        <f t="shared" si="208"/>
        <v>55.199999999999996</v>
      </c>
      <c r="AL992" s="446">
        <f t="shared" si="209"/>
        <v>0</v>
      </c>
      <c r="AM992" s="110">
        <f t="shared" si="210"/>
        <v>40</v>
      </c>
      <c r="AN992" s="447">
        <f t="shared" si="213"/>
        <v>0</v>
      </c>
      <c r="AO992"/>
      <c r="AP992"/>
    </row>
    <row r="993" spans="1:42" ht="66" x14ac:dyDescent="0.25">
      <c r="A993" s="143"/>
      <c r="B993" s="478" t="s">
        <v>1934</v>
      </c>
      <c r="C993" s="24"/>
      <c r="D993" s="874">
        <v>36</v>
      </c>
      <c r="E993" s="249" t="s">
        <v>2006</v>
      </c>
      <c r="F993" s="273" t="s">
        <v>3446</v>
      </c>
      <c r="G993" s="1040" t="s">
        <v>3463</v>
      </c>
      <c r="H993" s="273" t="s">
        <v>3462</v>
      </c>
      <c r="I993" s="720">
        <f t="shared" si="211"/>
        <v>85.05</v>
      </c>
      <c r="J993" s="765">
        <v>3061.7999999999997</v>
      </c>
      <c r="K993" s="131">
        <f t="shared" si="212"/>
        <v>3061.7999999999997</v>
      </c>
      <c r="L993" s="335">
        <f t="shared" si="205"/>
        <v>0</v>
      </c>
      <c r="M993" s="446"/>
      <c r="N993" s="446"/>
      <c r="O993" s="446"/>
      <c r="P993" s="446"/>
      <c r="Q993" s="110">
        <f t="shared" si="214"/>
        <v>9</v>
      </c>
      <c r="R993" s="111">
        <f t="shared" si="217"/>
        <v>765.44999999999993</v>
      </c>
      <c r="S993" s="110"/>
      <c r="T993" s="110"/>
      <c r="U993" s="110">
        <f t="shared" si="215"/>
        <v>9</v>
      </c>
      <c r="V993" s="111">
        <f t="shared" si="218"/>
        <v>765.44999999999993</v>
      </c>
      <c r="W993" s="110"/>
      <c r="X993" s="110"/>
      <c r="Y993" s="110"/>
      <c r="Z993" s="110"/>
      <c r="AA993" s="110">
        <f t="shared" si="216"/>
        <v>9</v>
      </c>
      <c r="AB993" s="111">
        <f t="shared" si="206"/>
        <v>765.44999999999993</v>
      </c>
      <c r="AC993" s="110"/>
      <c r="AD993" s="110"/>
      <c r="AE993" s="110">
        <f t="shared" si="216"/>
        <v>9</v>
      </c>
      <c r="AF993" s="111">
        <f t="shared" si="207"/>
        <v>765.44999999999993</v>
      </c>
      <c r="AG993" s="110"/>
      <c r="AH993" s="110"/>
      <c r="AI993" s="110"/>
      <c r="AJ993" s="110"/>
      <c r="AK993" s="111">
        <f t="shared" si="208"/>
        <v>3061.7999999999997</v>
      </c>
      <c r="AL993" s="446">
        <f t="shared" si="209"/>
        <v>0</v>
      </c>
      <c r="AM993" s="110">
        <f t="shared" si="210"/>
        <v>36</v>
      </c>
      <c r="AN993" s="447">
        <f t="shared" si="213"/>
        <v>0</v>
      </c>
      <c r="AO993"/>
      <c r="AP993"/>
    </row>
    <row r="994" spans="1:42" ht="66" x14ac:dyDescent="0.25">
      <c r="A994" s="143"/>
      <c r="B994" s="478" t="s">
        <v>2189</v>
      </c>
      <c r="C994" s="24"/>
      <c r="D994" s="874">
        <v>5</v>
      </c>
      <c r="E994" s="249" t="s">
        <v>2006</v>
      </c>
      <c r="F994" s="273" t="s">
        <v>3446</v>
      </c>
      <c r="G994" s="1040" t="s">
        <v>3463</v>
      </c>
      <c r="H994" s="273" t="s">
        <v>3462</v>
      </c>
      <c r="I994" s="720">
        <f t="shared" si="211"/>
        <v>123.12</v>
      </c>
      <c r="J994" s="765">
        <v>615.6</v>
      </c>
      <c r="K994" s="131">
        <f t="shared" si="212"/>
        <v>615.6</v>
      </c>
      <c r="L994" s="335">
        <f t="shared" ref="L994:L1057" si="219">+J994-K994</f>
        <v>0</v>
      </c>
      <c r="M994" s="446"/>
      <c r="N994" s="446"/>
      <c r="O994" s="446"/>
      <c r="P994" s="446"/>
      <c r="Q994" s="110">
        <v>2</v>
      </c>
      <c r="R994" s="111">
        <f t="shared" si="217"/>
        <v>153.9</v>
      </c>
      <c r="S994" s="110"/>
      <c r="T994" s="110"/>
      <c r="U994" s="110">
        <v>1</v>
      </c>
      <c r="V994" s="111">
        <f t="shared" si="218"/>
        <v>153.9</v>
      </c>
      <c r="W994" s="110"/>
      <c r="X994" s="110"/>
      <c r="Y994" s="110"/>
      <c r="Z994" s="110"/>
      <c r="AA994" s="110">
        <v>1</v>
      </c>
      <c r="AB994" s="111">
        <f t="shared" si="206"/>
        <v>153.9</v>
      </c>
      <c r="AC994" s="110"/>
      <c r="AD994" s="110"/>
      <c r="AE994" s="110">
        <v>1</v>
      </c>
      <c r="AF994" s="111">
        <f t="shared" si="207"/>
        <v>153.9</v>
      </c>
      <c r="AG994" s="110"/>
      <c r="AH994" s="110"/>
      <c r="AI994" s="110"/>
      <c r="AJ994" s="110"/>
      <c r="AK994" s="111">
        <f t="shared" si="208"/>
        <v>615.6</v>
      </c>
      <c r="AL994" s="446">
        <f t="shared" si="209"/>
        <v>0</v>
      </c>
      <c r="AM994" s="110">
        <f t="shared" si="210"/>
        <v>5</v>
      </c>
      <c r="AN994" s="447">
        <f t="shared" si="213"/>
        <v>0</v>
      </c>
      <c r="AO994"/>
      <c r="AP994"/>
    </row>
    <row r="995" spans="1:42" ht="66" x14ac:dyDescent="0.25">
      <c r="A995" s="143"/>
      <c r="B995" s="478" t="s">
        <v>2190</v>
      </c>
      <c r="C995" s="24"/>
      <c r="D995" s="874">
        <v>2</v>
      </c>
      <c r="E995" s="249" t="s">
        <v>2006</v>
      </c>
      <c r="F995" s="273" t="s">
        <v>3446</v>
      </c>
      <c r="G995" s="1040" t="s">
        <v>3463</v>
      </c>
      <c r="H995" s="273" t="s">
        <v>3462</v>
      </c>
      <c r="I995" s="720">
        <f t="shared" si="211"/>
        <v>147.87</v>
      </c>
      <c r="J995" s="765">
        <v>295.74</v>
      </c>
      <c r="K995" s="131">
        <f t="shared" si="212"/>
        <v>295.74</v>
      </c>
      <c r="L995" s="335">
        <f t="shared" si="219"/>
        <v>0</v>
      </c>
      <c r="M995" s="446"/>
      <c r="N995" s="446"/>
      <c r="O995" s="446"/>
      <c r="P995" s="446"/>
      <c r="Q995" s="130">
        <v>1</v>
      </c>
      <c r="R995" s="111">
        <v>147.87</v>
      </c>
      <c r="S995" s="110"/>
      <c r="T995" s="110"/>
      <c r="U995" s="130">
        <v>1</v>
      </c>
      <c r="V995" s="111">
        <v>147.87</v>
      </c>
      <c r="W995" s="110"/>
      <c r="X995" s="110"/>
      <c r="Y995" s="110"/>
      <c r="Z995" s="110"/>
      <c r="AA995" s="130">
        <v>0</v>
      </c>
      <c r="AB995" s="111">
        <v>0</v>
      </c>
      <c r="AC995" s="110"/>
      <c r="AD995" s="110"/>
      <c r="AE995" s="130">
        <v>0</v>
      </c>
      <c r="AF995" s="111">
        <v>0</v>
      </c>
      <c r="AG995" s="110"/>
      <c r="AH995" s="110"/>
      <c r="AI995" s="110"/>
      <c r="AJ995" s="110"/>
      <c r="AK995" s="111">
        <f t="shared" si="208"/>
        <v>295.74</v>
      </c>
      <c r="AL995" s="446">
        <f t="shared" si="209"/>
        <v>0</v>
      </c>
      <c r="AM995" s="110">
        <f t="shared" si="210"/>
        <v>2</v>
      </c>
      <c r="AN995" s="447">
        <f t="shared" si="213"/>
        <v>0</v>
      </c>
      <c r="AO995"/>
      <c r="AP995"/>
    </row>
    <row r="996" spans="1:42" ht="66" x14ac:dyDescent="0.25">
      <c r="A996" s="143"/>
      <c r="B996" s="508" t="s">
        <v>2191</v>
      </c>
      <c r="C996" s="24"/>
      <c r="D996" s="874">
        <v>2</v>
      </c>
      <c r="E996" s="249" t="s">
        <v>2006</v>
      </c>
      <c r="F996" s="273" t="s">
        <v>3446</v>
      </c>
      <c r="G996" s="1040" t="s">
        <v>3463</v>
      </c>
      <c r="H996" s="273" t="s">
        <v>3462</v>
      </c>
      <c r="I996" s="720">
        <f t="shared" si="211"/>
        <v>3.23</v>
      </c>
      <c r="J996" s="765">
        <v>6.46</v>
      </c>
      <c r="K996" s="131">
        <f t="shared" si="212"/>
        <v>6.46</v>
      </c>
      <c r="L996" s="335">
        <f t="shared" si="219"/>
        <v>0</v>
      </c>
      <c r="M996" s="446"/>
      <c r="N996" s="446"/>
      <c r="O996" s="446"/>
      <c r="P996" s="446"/>
      <c r="Q996" s="130">
        <v>2</v>
      </c>
      <c r="R996" s="111">
        <v>6.46</v>
      </c>
      <c r="S996" s="110"/>
      <c r="T996" s="110"/>
      <c r="U996" s="130">
        <v>0</v>
      </c>
      <c r="V996" s="111">
        <v>0</v>
      </c>
      <c r="W996" s="110"/>
      <c r="X996" s="110"/>
      <c r="Y996" s="110"/>
      <c r="Z996" s="110"/>
      <c r="AA996" s="130">
        <v>0</v>
      </c>
      <c r="AB996" s="111">
        <v>0</v>
      </c>
      <c r="AC996" s="110"/>
      <c r="AD996" s="110"/>
      <c r="AE996" s="130">
        <v>0</v>
      </c>
      <c r="AF996" s="111">
        <v>0</v>
      </c>
      <c r="AG996" s="110"/>
      <c r="AH996" s="110"/>
      <c r="AI996" s="110"/>
      <c r="AJ996" s="110"/>
      <c r="AK996" s="111">
        <f t="shared" si="208"/>
        <v>6.46</v>
      </c>
      <c r="AL996" s="446">
        <f t="shared" si="209"/>
        <v>0</v>
      </c>
      <c r="AM996" s="110">
        <f t="shared" si="210"/>
        <v>2</v>
      </c>
      <c r="AN996" s="447">
        <f t="shared" si="213"/>
        <v>0</v>
      </c>
      <c r="AO996"/>
      <c r="AP996"/>
    </row>
    <row r="997" spans="1:42" ht="66" x14ac:dyDescent="0.25">
      <c r="A997" s="143"/>
      <c r="B997" s="122" t="s">
        <v>2192</v>
      </c>
      <c r="C997" s="24"/>
      <c r="D997" s="874">
        <v>3</v>
      </c>
      <c r="E997" s="249" t="s">
        <v>2196</v>
      </c>
      <c r="F997" s="273" t="s">
        <v>3446</v>
      </c>
      <c r="G997" s="1040" t="s">
        <v>3463</v>
      </c>
      <c r="H997" s="273" t="s">
        <v>3462</v>
      </c>
      <c r="I997" s="720">
        <f t="shared" si="211"/>
        <v>71.72</v>
      </c>
      <c r="J997" s="765">
        <v>215.16</v>
      </c>
      <c r="K997" s="131">
        <f t="shared" si="212"/>
        <v>215.16</v>
      </c>
      <c r="L997" s="335">
        <f t="shared" si="219"/>
        <v>0</v>
      </c>
      <c r="M997" s="446"/>
      <c r="N997" s="446"/>
      <c r="O997" s="446"/>
      <c r="P997" s="446"/>
      <c r="Q997" s="130">
        <v>1</v>
      </c>
      <c r="R997" s="111">
        <v>71.72</v>
      </c>
      <c r="S997" s="110"/>
      <c r="T997" s="110"/>
      <c r="U997" s="130">
        <v>1</v>
      </c>
      <c r="V997" s="111">
        <v>71.72</v>
      </c>
      <c r="W997" s="110"/>
      <c r="X997" s="110"/>
      <c r="Y997" s="110"/>
      <c r="Z997" s="110"/>
      <c r="AA997" s="130">
        <v>1</v>
      </c>
      <c r="AB997" s="111">
        <v>71.72</v>
      </c>
      <c r="AC997" s="110"/>
      <c r="AD997" s="110"/>
      <c r="AE997" s="130">
        <v>0</v>
      </c>
      <c r="AF997" s="111">
        <v>0</v>
      </c>
      <c r="AG997" s="110"/>
      <c r="AH997" s="110"/>
      <c r="AI997" s="110"/>
      <c r="AJ997" s="110"/>
      <c r="AK997" s="111">
        <f t="shared" si="208"/>
        <v>215.16</v>
      </c>
      <c r="AL997" s="446">
        <f t="shared" si="209"/>
        <v>0</v>
      </c>
      <c r="AM997" s="110">
        <f t="shared" si="210"/>
        <v>3</v>
      </c>
      <c r="AN997" s="447">
        <f t="shared" si="213"/>
        <v>0</v>
      </c>
      <c r="AO997"/>
      <c r="AP997"/>
    </row>
    <row r="998" spans="1:42" ht="66" x14ac:dyDescent="0.25">
      <c r="A998" s="143"/>
      <c r="B998" s="478" t="s">
        <v>2004</v>
      </c>
      <c r="C998" s="24"/>
      <c r="D998" s="874">
        <v>20</v>
      </c>
      <c r="E998" s="249" t="s">
        <v>1721</v>
      </c>
      <c r="F998" s="273" t="s">
        <v>3446</v>
      </c>
      <c r="G998" s="1040" t="s">
        <v>3463</v>
      </c>
      <c r="H998" s="273" t="s">
        <v>3462</v>
      </c>
      <c r="I998" s="720">
        <f t="shared" si="211"/>
        <v>30.059999999999995</v>
      </c>
      <c r="J998" s="765">
        <v>601.19999999999993</v>
      </c>
      <c r="K998" s="131">
        <f t="shared" si="212"/>
        <v>601.19999999999993</v>
      </c>
      <c r="L998" s="335">
        <f t="shared" si="219"/>
        <v>0</v>
      </c>
      <c r="M998" s="446"/>
      <c r="N998" s="446"/>
      <c r="O998" s="446"/>
      <c r="P998" s="446"/>
      <c r="Q998" s="110">
        <f t="shared" si="214"/>
        <v>5</v>
      </c>
      <c r="R998" s="111">
        <f t="shared" si="217"/>
        <v>150.29999999999998</v>
      </c>
      <c r="S998" s="110"/>
      <c r="T998" s="110"/>
      <c r="U998" s="110">
        <f t="shared" si="215"/>
        <v>5</v>
      </c>
      <c r="V998" s="111">
        <f t="shared" si="218"/>
        <v>150.29999999999998</v>
      </c>
      <c r="W998" s="110"/>
      <c r="X998" s="110"/>
      <c r="Y998" s="110"/>
      <c r="Z998" s="110"/>
      <c r="AA998" s="110">
        <f t="shared" si="216"/>
        <v>5</v>
      </c>
      <c r="AB998" s="111">
        <f t="shared" ref="AB998:AB1056" si="220">+J998/4</f>
        <v>150.29999999999998</v>
      </c>
      <c r="AC998" s="110"/>
      <c r="AD998" s="110"/>
      <c r="AE998" s="110">
        <f t="shared" si="216"/>
        <v>5</v>
      </c>
      <c r="AF998" s="111">
        <f t="shared" ref="AF998:AF1060" si="221">+J998/4</f>
        <v>150.29999999999998</v>
      </c>
      <c r="AG998" s="110"/>
      <c r="AH998" s="110"/>
      <c r="AI998" s="110"/>
      <c r="AJ998" s="110"/>
      <c r="AK998" s="111">
        <f t="shared" si="208"/>
        <v>601.19999999999993</v>
      </c>
      <c r="AL998" s="446">
        <f t="shared" si="209"/>
        <v>0</v>
      </c>
      <c r="AM998" s="110">
        <f t="shared" si="210"/>
        <v>20</v>
      </c>
      <c r="AN998" s="447">
        <f t="shared" si="213"/>
        <v>0</v>
      </c>
      <c r="AO998"/>
      <c r="AP998"/>
    </row>
    <row r="999" spans="1:42" ht="66" x14ac:dyDescent="0.25">
      <c r="A999" s="143"/>
      <c r="B999" s="478" t="s">
        <v>2193</v>
      </c>
      <c r="C999" s="24"/>
      <c r="D999" s="874">
        <v>5</v>
      </c>
      <c r="E999" s="249" t="s">
        <v>2196</v>
      </c>
      <c r="F999" s="273" t="s">
        <v>3446</v>
      </c>
      <c r="G999" s="1040" t="s">
        <v>3463</v>
      </c>
      <c r="H999" s="273" t="s">
        <v>3462</v>
      </c>
      <c r="I999" s="720">
        <f t="shared" si="211"/>
        <v>28.410000000000004</v>
      </c>
      <c r="J999" s="765">
        <v>142.05000000000001</v>
      </c>
      <c r="K999" s="131">
        <f t="shared" si="212"/>
        <v>142.05000000000001</v>
      </c>
      <c r="L999" s="335">
        <f t="shared" si="219"/>
        <v>0</v>
      </c>
      <c r="M999" s="446"/>
      <c r="N999" s="446"/>
      <c r="O999" s="446"/>
      <c r="P999" s="446"/>
      <c r="Q999" s="110">
        <v>2</v>
      </c>
      <c r="R999" s="111">
        <f t="shared" si="217"/>
        <v>35.512500000000003</v>
      </c>
      <c r="S999" s="110"/>
      <c r="T999" s="110"/>
      <c r="U999" s="110">
        <v>1</v>
      </c>
      <c r="V999" s="111">
        <f t="shared" si="218"/>
        <v>35.512500000000003</v>
      </c>
      <c r="W999" s="110"/>
      <c r="X999" s="110"/>
      <c r="Y999" s="110"/>
      <c r="Z999" s="110"/>
      <c r="AA999" s="110">
        <v>1</v>
      </c>
      <c r="AB999" s="111">
        <f t="shared" si="220"/>
        <v>35.512500000000003</v>
      </c>
      <c r="AC999" s="110"/>
      <c r="AD999" s="110"/>
      <c r="AE999" s="110">
        <v>1</v>
      </c>
      <c r="AF999" s="111">
        <f t="shared" si="221"/>
        <v>35.512500000000003</v>
      </c>
      <c r="AG999" s="110"/>
      <c r="AH999" s="110"/>
      <c r="AI999" s="110"/>
      <c r="AJ999" s="110"/>
      <c r="AK999" s="111">
        <f t="shared" si="208"/>
        <v>142.05000000000001</v>
      </c>
      <c r="AL999" s="446">
        <f t="shared" si="209"/>
        <v>0</v>
      </c>
      <c r="AM999" s="110">
        <f t="shared" si="210"/>
        <v>5</v>
      </c>
      <c r="AN999" s="447">
        <f t="shared" si="213"/>
        <v>0</v>
      </c>
      <c r="AO999"/>
      <c r="AP999"/>
    </row>
    <row r="1000" spans="1:42" ht="66" x14ac:dyDescent="0.25">
      <c r="A1000" s="143"/>
      <c r="B1000" s="478" t="s">
        <v>2194</v>
      </c>
      <c r="C1000" s="24"/>
      <c r="D1000" s="874">
        <v>5</v>
      </c>
      <c r="E1000" s="249" t="s">
        <v>2006</v>
      </c>
      <c r="F1000" s="273" t="s">
        <v>3446</v>
      </c>
      <c r="G1000" s="1040" t="s">
        <v>3463</v>
      </c>
      <c r="H1000" s="273" t="s">
        <v>3462</v>
      </c>
      <c r="I1000" s="720">
        <f t="shared" si="211"/>
        <v>23.89</v>
      </c>
      <c r="J1000" s="765">
        <v>119.45</v>
      </c>
      <c r="K1000" s="131">
        <f t="shared" si="212"/>
        <v>119.45</v>
      </c>
      <c r="L1000" s="335">
        <f t="shared" si="219"/>
        <v>0</v>
      </c>
      <c r="M1000" s="446"/>
      <c r="N1000" s="446"/>
      <c r="O1000" s="446"/>
      <c r="P1000" s="446"/>
      <c r="Q1000" s="110">
        <v>2</v>
      </c>
      <c r="R1000" s="111">
        <f t="shared" si="217"/>
        <v>29.862500000000001</v>
      </c>
      <c r="S1000" s="110"/>
      <c r="T1000" s="110"/>
      <c r="U1000" s="110">
        <v>1</v>
      </c>
      <c r="V1000" s="111">
        <f t="shared" si="218"/>
        <v>29.862500000000001</v>
      </c>
      <c r="W1000" s="110"/>
      <c r="X1000" s="110"/>
      <c r="Y1000" s="110"/>
      <c r="Z1000" s="110"/>
      <c r="AA1000" s="110">
        <v>1</v>
      </c>
      <c r="AB1000" s="111">
        <f t="shared" si="220"/>
        <v>29.862500000000001</v>
      </c>
      <c r="AC1000" s="110"/>
      <c r="AD1000" s="110"/>
      <c r="AE1000" s="110">
        <v>1</v>
      </c>
      <c r="AF1000" s="111">
        <f t="shared" si="221"/>
        <v>29.862500000000001</v>
      </c>
      <c r="AG1000" s="110"/>
      <c r="AH1000" s="110"/>
      <c r="AI1000" s="110"/>
      <c r="AJ1000" s="110"/>
      <c r="AK1000" s="111">
        <f t="shared" si="208"/>
        <v>119.45</v>
      </c>
      <c r="AL1000" s="446">
        <f t="shared" si="209"/>
        <v>0</v>
      </c>
      <c r="AM1000" s="110">
        <f t="shared" si="210"/>
        <v>5</v>
      </c>
      <c r="AN1000" s="447">
        <f t="shared" si="213"/>
        <v>0</v>
      </c>
      <c r="AO1000"/>
      <c r="AP1000"/>
    </row>
    <row r="1001" spans="1:42" ht="66" x14ac:dyDescent="0.25">
      <c r="A1001" s="143"/>
      <c r="B1001" s="478" t="s">
        <v>2195</v>
      </c>
      <c r="C1001" s="24"/>
      <c r="D1001" s="874">
        <v>8</v>
      </c>
      <c r="E1001" s="249" t="s">
        <v>1721</v>
      </c>
      <c r="F1001" s="273" t="s">
        <v>3446</v>
      </c>
      <c r="G1001" s="1040" t="s">
        <v>3463</v>
      </c>
      <c r="H1001" s="273" t="s">
        <v>3462</v>
      </c>
      <c r="I1001" s="720">
        <f t="shared" si="211"/>
        <v>106.8</v>
      </c>
      <c r="J1001" s="765">
        <v>854.4</v>
      </c>
      <c r="K1001" s="131">
        <f t="shared" si="212"/>
        <v>854.4</v>
      </c>
      <c r="L1001" s="335">
        <f t="shared" si="219"/>
        <v>0</v>
      </c>
      <c r="M1001" s="446"/>
      <c r="N1001" s="446"/>
      <c r="O1001" s="446"/>
      <c r="P1001" s="446"/>
      <c r="Q1001" s="110">
        <f t="shared" si="214"/>
        <v>2</v>
      </c>
      <c r="R1001" s="111">
        <f t="shared" si="217"/>
        <v>213.6</v>
      </c>
      <c r="S1001" s="110"/>
      <c r="T1001" s="110"/>
      <c r="U1001" s="110">
        <f t="shared" si="215"/>
        <v>2</v>
      </c>
      <c r="V1001" s="111">
        <f t="shared" si="218"/>
        <v>213.6</v>
      </c>
      <c r="W1001" s="110"/>
      <c r="X1001" s="110"/>
      <c r="Y1001" s="110"/>
      <c r="Z1001" s="110"/>
      <c r="AA1001" s="110">
        <f t="shared" si="216"/>
        <v>2</v>
      </c>
      <c r="AB1001" s="111">
        <f t="shared" si="220"/>
        <v>213.6</v>
      </c>
      <c r="AC1001" s="110"/>
      <c r="AD1001" s="110"/>
      <c r="AE1001" s="110">
        <f t="shared" si="216"/>
        <v>2</v>
      </c>
      <c r="AF1001" s="111">
        <f t="shared" si="221"/>
        <v>213.6</v>
      </c>
      <c r="AG1001" s="110"/>
      <c r="AH1001" s="110"/>
      <c r="AI1001" s="110"/>
      <c r="AJ1001" s="110"/>
      <c r="AK1001" s="111">
        <f t="shared" si="208"/>
        <v>854.4</v>
      </c>
      <c r="AL1001" s="446">
        <f t="shared" si="209"/>
        <v>0</v>
      </c>
      <c r="AM1001" s="110">
        <f t="shared" si="210"/>
        <v>8</v>
      </c>
      <c r="AN1001" s="447">
        <f t="shared" si="213"/>
        <v>0</v>
      </c>
      <c r="AO1001"/>
      <c r="AP1001"/>
    </row>
    <row r="1002" spans="1:42" ht="66" x14ac:dyDescent="0.25">
      <c r="A1002" s="143"/>
      <c r="B1002" s="152" t="s">
        <v>109</v>
      </c>
      <c r="C1002" s="24"/>
      <c r="D1002" s="875">
        <v>2</v>
      </c>
      <c r="E1002" s="250" t="s">
        <v>1725</v>
      </c>
      <c r="F1002" s="273" t="s">
        <v>3446</v>
      </c>
      <c r="G1002" s="1040" t="s">
        <v>3463</v>
      </c>
      <c r="H1002" s="273" t="s">
        <v>3462</v>
      </c>
      <c r="I1002" s="720">
        <f t="shared" si="211"/>
        <v>228.16040000000001</v>
      </c>
      <c r="J1002" s="765">
        <v>456.32080000000002</v>
      </c>
      <c r="K1002" s="131">
        <f t="shared" si="212"/>
        <v>456.32080000000002</v>
      </c>
      <c r="L1002" s="335">
        <f t="shared" si="219"/>
        <v>0</v>
      </c>
      <c r="M1002" s="446"/>
      <c r="N1002" s="446"/>
      <c r="O1002" s="446"/>
      <c r="P1002" s="446"/>
      <c r="Q1002" s="130">
        <v>1</v>
      </c>
      <c r="R1002" s="111">
        <v>228.16</v>
      </c>
      <c r="S1002" s="110"/>
      <c r="T1002" s="110"/>
      <c r="U1002" s="130">
        <v>1</v>
      </c>
      <c r="V1002" s="111">
        <v>228.16</v>
      </c>
      <c r="W1002" s="110"/>
      <c r="X1002" s="110"/>
      <c r="Y1002" s="110"/>
      <c r="Z1002" s="110"/>
      <c r="AA1002" s="130">
        <v>0</v>
      </c>
      <c r="AB1002" s="111">
        <v>0</v>
      </c>
      <c r="AC1002" s="110"/>
      <c r="AD1002" s="110"/>
      <c r="AE1002" s="130">
        <v>0</v>
      </c>
      <c r="AF1002" s="111">
        <v>0</v>
      </c>
      <c r="AG1002" s="110"/>
      <c r="AH1002" s="110"/>
      <c r="AI1002" s="110"/>
      <c r="AJ1002" s="110"/>
      <c r="AK1002" s="111">
        <f t="shared" si="208"/>
        <v>456.32</v>
      </c>
      <c r="AL1002" s="446">
        <f t="shared" si="209"/>
        <v>8.0000000002655725E-4</v>
      </c>
      <c r="AM1002" s="110">
        <f t="shared" si="210"/>
        <v>2</v>
      </c>
      <c r="AN1002" s="447">
        <f t="shared" si="213"/>
        <v>0</v>
      </c>
      <c r="AO1002"/>
      <c r="AP1002"/>
    </row>
    <row r="1003" spans="1:42" ht="66" x14ac:dyDescent="0.25">
      <c r="A1003" s="143"/>
      <c r="B1003" s="152" t="s">
        <v>1727</v>
      </c>
      <c r="C1003" s="24"/>
      <c r="D1003" s="875">
        <v>5</v>
      </c>
      <c r="E1003" s="250" t="s">
        <v>1725</v>
      </c>
      <c r="F1003" s="273" t="s">
        <v>3446</v>
      </c>
      <c r="G1003" s="1040" t="s">
        <v>3463</v>
      </c>
      <c r="H1003" s="273" t="s">
        <v>3462</v>
      </c>
      <c r="I1003" s="720">
        <f t="shared" si="211"/>
        <v>198.97480000000002</v>
      </c>
      <c r="J1003" s="765">
        <v>994.87400000000002</v>
      </c>
      <c r="K1003" s="131">
        <f t="shared" si="212"/>
        <v>994.87400000000002</v>
      </c>
      <c r="L1003" s="335">
        <f t="shared" si="219"/>
        <v>0</v>
      </c>
      <c r="M1003" s="446"/>
      <c r="N1003" s="446"/>
      <c r="O1003" s="446"/>
      <c r="P1003" s="446"/>
      <c r="Q1003" s="110">
        <v>2</v>
      </c>
      <c r="R1003" s="111">
        <f t="shared" si="217"/>
        <v>248.71850000000001</v>
      </c>
      <c r="S1003" s="110"/>
      <c r="T1003" s="110"/>
      <c r="U1003" s="110">
        <v>1</v>
      </c>
      <c r="V1003" s="111">
        <f t="shared" si="218"/>
        <v>248.71850000000001</v>
      </c>
      <c r="W1003" s="110"/>
      <c r="X1003" s="110"/>
      <c r="Y1003" s="110"/>
      <c r="Z1003" s="110"/>
      <c r="AA1003" s="110">
        <v>1</v>
      </c>
      <c r="AB1003" s="111">
        <f t="shared" si="220"/>
        <v>248.71850000000001</v>
      </c>
      <c r="AC1003" s="110"/>
      <c r="AD1003" s="110"/>
      <c r="AE1003" s="110">
        <v>1</v>
      </c>
      <c r="AF1003" s="111">
        <f t="shared" si="221"/>
        <v>248.71850000000001</v>
      </c>
      <c r="AG1003" s="110"/>
      <c r="AH1003" s="110"/>
      <c r="AI1003" s="110"/>
      <c r="AJ1003" s="110"/>
      <c r="AK1003" s="111">
        <f t="shared" si="208"/>
        <v>994.87400000000002</v>
      </c>
      <c r="AL1003" s="446">
        <f t="shared" si="209"/>
        <v>0</v>
      </c>
      <c r="AM1003" s="110">
        <f t="shared" si="210"/>
        <v>5</v>
      </c>
      <c r="AN1003" s="447">
        <f t="shared" si="213"/>
        <v>0</v>
      </c>
      <c r="AO1003"/>
      <c r="AP1003"/>
    </row>
    <row r="1004" spans="1:42" ht="66" x14ac:dyDescent="0.25">
      <c r="A1004" s="143"/>
      <c r="B1004" s="152" t="s">
        <v>103</v>
      </c>
      <c r="C1004" s="24"/>
      <c r="D1004" s="875">
        <v>15</v>
      </c>
      <c r="E1004" s="250" t="s">
        <v>1721</v>
      </c>
      <c r="F1004" s="273" t="s">
        <v>3446</v>
      </c>
      <c r="G1004" s="1040" t="s">
        <v>3463</v>
      </c>
      <c r="H1004" s="273" t="s">
        <v>3462</v>
      </c>
      <c r="I1004" s="720">
        <f t="shared" si="211"/>
        <v>82.882000000000005</v>
      </c>
      <c r="J1004" s="765">
        <v>1243.23</v>
      </c>
      <c r="K1004" s="131">
        <f t="shared" si="212"/>
        <v>1243.23</v>
      </c>
      <c r="L1004" s="335">
        <f t="shared" si="219"/>
        <v>0</v>
      </c>
      <c r="M1004" s="446"/>
      <c r="N1004" s="446"/>
      <c r="O1004" s="446"/>
      <c r="P1004" s="446"/>
      <c r="Q1004" s="110">
        <v>4</v>
      </c>
      <c r="R1004" s="111">
        <f t="shared" si="217"/>
        <v>310.8075</v>
      </c>
      <c r="S1004" s="110"/>
      <c r="T1004" s="110"/>
      <c r="U1004" s="110">
        <v>4</v>
      </c>
      <c r="V1004" s="111">
        <f t="shared" si="218"/>
        <v>310.8075</v>
      </c>
      <c r="W1004" s="110"/>
      <c r="X1004" s="110"/>
      <c r="Y1004" s="110"/>
      <c r="Z1004" s="110"/>
      <c r="AA1004" s="110">
        <v>4</v>
      </c>
      <c r="AB1004" s="111">
        <f t="shared" si="220"/>
        <v>310.8075</v>
      </c>
      <c r="AC1004" s="110"/>
      <c r="AD1004" s="110"/>
      <c r="AE1004" s="110">
        <v>3</v>
      </c>
      <c r="AF1004" s="111">
        <f t="shared" si="221"/>
        <v>310.8075</v>
      </c>
      <c r="AG1004" s="110"/>
      <c r="AH1004" s="110"/>
      <c r="AI1004" s="110"/>
      <c r="AJ1004" s="110"/>
      <c r="AK1004" s="111">
        <f t="shared" si="208"/>
        <v>1243.23</v>
      </c>
      <c r="AL1004" s="446">
        <f t="shared" si="209"/>
        <v>0</v>
      </c>
      <c r="AM1004" s="110">
        <f t="shared" si="210"/>
        <v>15</v>
      </c>
      <c r="AN1004" s="447">
        <f t="shared" si="213"/>
        <v>0</v>
      </c>
      <c r="AO1004"/>
      <c r="AP1004"/>
    </row>
    <row r="1005" spans="1:42" ht="66" x14ac:dyDescent="0.25">
      <c r="A1005" s="143"/>
      <c r="B1005" s="152" t="s">
        <v>119</v>
      </c>
      <c r="C1005" s="24"/>
      <c r="D1005" s="875">
        <v>15</v>
      </c>
      <c r="E1005" s="250" t="s">
        <v>1725</v>
      </c>
      <c r="F1005" s="273" t="s">
        <v>3446</v>
      </c>
      <c r="G1005" s="1040" t="s">
        <v>3463</v>
      </c>
      <c r="H1005" s="273" t="s">
        <v>3462</v>
      </c>
      <c r="I1005" s="720">
        <f t="shared" si="211"/>
        <v>114.4456</v>
      </c>
      <c r="J1005" s="765">
        <v>1716.684</v>
      </c>
      <c r="K1005" s="131">
        <f t="shared" si="212"/>
        <v>1716.684</v>
      </c>
      <c r="L1005" s="335">
        <f t="shared" si="219"/>
        <v>0</v>
      </c>
      <c r="M1005" s="446"/>
      <c r="N1005" s="446"/>
      <c r="O1005" s="446"/>
      <c r="P1005" s="446"/>
      <c r="Q1005" s="110">
        <v>4</v>
      </c>
      <c r="R1005" s="111">
        <f t="shared" si="217"/>
        <v>429.17099999999999</v>
      </c>
      <c r="S1005" s="110"/>
      <c r="T1005" s="110"/>
      <c r="U1005" s="110">
        <v>4</v>
      </c>
      <c r="V1005" s="111">
        <f t="shared" si="218"/>
        <v>429.17099999999999</v>
      </c>
      <c r="W1005" s="110"/>
      <c r="X1005" s="110"/>
      <c r="Y1005" s="110"/>
      <c r="Z1005" s="110"/>
      <c r="AA1005" s="110">
        <v>4</v>
      </c>
      <c r="AB1005" s="111">
        <f t="shared" si="220"/>
        <v>429.17099999999999</v>
      </c>
      <c r="AC1005" s="110"/>
      <c r="AD1005" s="110"/>
      <c r="AE1005" s="110">
        <v>3</v>
      </c>
      <c r="AF1005" s="111">
        <f t="shared" si="221"/>
        <v>429.17099999999999</v>
      </c>
      <c r="AG1005" s="110"/>
      <c r="AH1005" s="110"/>
      <c r="AI1005" s="110"/>
      <c r="AJ1005" s="110"/>
      <c r="AK1005" s="111">
        <f t="shared" si="208"/>
        <v>1716.684</v>
      </c>
      <c r="AL1005" s="446">
        <f t="shared" si="209"/>
        <v>0</v>
      </c>
      <c r="AM1005" s="110">
        <f t="shared" si="210"/>
        <v>15</v>
      </c>
      <c r="AN1005" s="447">
        <f t="shared" si="213"/>
        <v>0</v>
      </c>
      <c r="AO1005"/>
      <c r="AP1005"/>
    </row>
    <row r="1006" spans="1:42" ht="66" x14ac:dyDescent="0.25">
      <c r="A1006" s="143"/>
      <c r="B1006" s="152" t="s">
        <v>120</v>
      </c>
      <c r="C1006" s="24"/>
      <c r="D1006" s="875">
        <v>5</v>
      </c>
      <c r="E1006" s="250" t="s">
        <v>1725</v>
      </c>
      <c r="F1006" s="273" t="s">
        <v>3446</v>
      </c>
      <c r="G1006" s="1040" t="s">
        <v>3463</v>
      </c>
      <c r="H1006" s="273" t="s">
        <v>3462</v>
      </c>
      <c r="I1006" s="720">
        <f t="shared" si="211"/>
        <v>165.6712</v>
      </c>
      <c r="J1006" s="765">
        <v>828.35599999999999</v>
      </c>
      <c r="K1006" s="131">
        <f t="shared" si="212"/>
        <v>828.35599999999999</v>
      </c>
      <c r="L1006" s="335">
        <f t="shared" si="219"/>
        <v>0</v>
      </c>
      <c r="M1006" s="446"/>
      <c r="N1006" s="446"/>
      <c r="O1006" s="446"/>
      <c r="P1006" s="446"/>
      <c r="Q1006" s="110">
        <v>2</v>
      </c>
      <c r="R1006" s="111">
        <f t="shared" si="217"/>
        <v>207.089</v>
      </c>
      <c r="S1006" s="110"/>
      <c r="T1006" s="110"/>
      <c r="U1006" s="110">
        <v>1</v>
      </c>
      <c r="V1006" s="111">
        <f t="shared" si="218"/>
        <v>207.089</v>
      </c>
      <c r="W1006" s="110"/>
      <c r="X1006" s="110"/>
      <c r="Y1006" s="110"/>
      <c r="Z1006" s="110"/>
      <c r="AA1006" s="110">
        <v>1</v>
      </c>
      <c r="AB1006" s="111">
        <f t="shared" si="220"/>
        <v>207.089</v>
      </c>
      <c r="AC1006" s="110"/>
      <c r="AD1006" s="110"/>
      <c r="AE1006" s="110">
        <v>1</v>
      </c>
      <c r="AF1006" s="111">
        <f t="shared" si="221"/>
        <v>207.089</v>
      </c>
      <c r="AG1006" s="110"/>
      <c r="AH1006" s="110"/>
      <c r="AI1006" s="110"/>
      <c r="AJ1006" s="110"/>
      <c r="AK1006" s="111">
        <f t="shared" si="208"/>
        <v>828.35599999999999</v>
      </c>
      <c r="AL1006" s="446">
        <f t="shared" si="209"/>
        <v>0</v>
      </c>
      <c r="AM1006" s="110">
        <f t="shared" si="210"/>
        <v>5</v>
      </c>
      <c r="AN1006" s="447">
        <f t="shared" si="213"/>
        <v>0</v>
      </c>
      <c r="AO1006"/>
      <c r="AP1006"/>
    </row>
    <row r="1007" spans="1:42" ht="66" x14ac:dyDescent="0.25">
      <c r="A1007" s="143"/>
      <c r="B1007" s="487" t="s">
        <v>1768</v>
      </c>
      <c r="C1007" s="24"/>
      <c r="D1007" s="875">
        <v>4</v>
      </c>
      <c r="E1007" s="250" t="s">
        <v>1725</v>
      </c>
      <c r="F1007" s="273" t="s">
        <v>3446</v>
      </c>
      <c r="G1007" s="1040" t="s">
        <v>3463</v>
      </c>
      <c r="H1007" s="273" t="s">
        <v>3462</v>
      </c>
      <c r="I1007" s="720">
        <f t="shared" si="211"/>
        <v>96.512</v>
      </c>
      <c r="J1007" s="765">
        <v>386.048</v>
      </c>
      <c r="K1007" s="131">
        <f t="shared" si="212"/>
        <v>386.048</v>
      </c>
      <c r="L1007" s="335">
        <f t="shared" si="219"/>
        <v>0</v>
      </c>
      <c r="M1007" s="446"/>
      <c r="N1007" s="446"/>
      <c r="O1007" s="446"/>
      <c r="P1007" s="446"/>
      <c r="Q1007" s="110">
        <f t="shared" si="214"/>
        <v>1</v>
      </c>
      <c r="R1007" s="111">
        <f t="shared" si="217"/>
        <v>96.512</v>
      </c>
      <c r="S1007" s="110"/>
      <c r="T1007" s="110"/>
      <c r="U1007" s="110">
        <f t="shared" si="215"/>
        <v>1</v>
      </c>
      <c r="V1007" s="111">
        <f t="shared" si="218"/>
        <v>96.512</v>
      </c>
      <c r="W1007" s="110"/>
      <c r="X1007" s="110"/>
      <c r="Y1007" s="110"/>
      <c r="Z1007" s="110"/>
      <c r="AA1007" s="110">
        <f t="shared" si="216"/>
        <v>1</v>
      </c>
      <c r="AB1007" s="111">
        <f t="shared" si="220"/>
        <v>96.512</v>
      </c>
      <c r="AC1007" s="110"/>
      <c r="AD1007" s="110"/>
      <c r="AE1007" s="110">
        <f t="shared" si="216"/>
        <v>1</v>
      </c>
      <c r="AF1007" s="111">
        <f t="shared" si="221"/>
        <v>96.512</v>
      </c>
      <c r="AG1007" s="110"/>
      <c r="AH1007" s="110"/>
      <c r="AI1007" s="110"/>
      <c r="AJ1007" s="110"/>
      <c r="AK1007" s="111">
        <f t="shared" si="208"/>
        <v>386.048</v>
      </c>
      <c r="AL1007" s="446">
        <f t="shared" si="209"/>
        <v>0</v>
      </c>
      <c r="AM1007" s="110">
        <f t="shared" si="210"/>
        <v>4</v>
      </c>
      <c r="AN1007" s="447">
        <f t="shared" si="213"/>
        <v>0</v>
      </c>
      <c r="AO1007"/>
      <c r="AP1007"/>
    </row>
    <row r="1008" spans="1:42" ht="66" x14ac:dyDescent="0.25">
      <c r="A1008" s="143"/>
      <c r="B1008" s="487" t="s">
        <v>103</v>
      </c>
      <c r="C1008" s="24"/>
      <c r="D1008" s="875">
        <v>10</v>
      </c>
      <c r="E1008" s="250" t="s">
        <v>1721</v>
      </c>
      <c r="F1008" s="278" t="s">
        <v>3446</v>
      </c>
      <c r="G1008" s="1040" t="s">
        <v>3463</v>
      </c>
      <c r="H1008" s="273" t="s">
        <v>3462</v>
      </c>
      <c r="I1008" s="720">
        <f t="shared" si="211"/>
        <v>70.09</v>
      </c>
      <c r="J1008" s="765">
        <v>700.90000000000009</v>
      </c>
      <c r="K1008" s="131">
        <f t="shared" si="212"/>
        <v>700.90000000000009</v>
      </c>
      <c r="L1008" s="335">
        <f t="shared" si="219"/>
        <v>0</v>
      </c>
      <c r="M1008" s="446"/>
      <c r="N1008" s="446"/>
      <c r="O1008" s="446"/>
      <c r="P1008" s="446"/>
      <c r="Q1008" s="130">
        <v>3</v>
      </c>
      <c r="R1008" s="111">
        <f t="shared" si="217"/>
        <v>175.22500000000002</v>
      </c>
      <c r="S1008" s="110"/>
      <c r="T1008" s="110"/>
      <c r="U1008" s="130">
        <v>3</v>
      </c>
      <c r="V1008" s="111">
        <f t="shared" si="218"/>
        <v>175.22500000000002</v>
      </c>
      <c r="W1008" s="110"/>
      <c r="X1008" s="110"/>
      <c r="Y1008" s="110"/>
      <c r="Z1008" s="110"/>
      <c r="AA1008" s="130">
        <v>2</v>
      </c>
      <c r="AB1008" s="111">
        <f t="shared" si="220"/>
        <v>175.22500000000002</v>
      </c>
      <c r="AC1008" s="110"/>
      <c r="AD1008" s="110"/>
      <c r="AE1008" s="130">
        <v>2</v>
      </c>
      <c r="AF1008" s="111">
        <f t="shared" si="221"/>
        <v>175.22500000000002</v>
      </c>
      <c r="AG1008" s="110"/>
      <c r="AH1008" s="110"/>
      <c r="AI1008" s="110"/>
      <c r="AJ1008" s="110"/>
      <c r="AK1008" s="111">
        <f t="shared" ref="AK1008:AK1071" si="222">+R1008+V1008+AB1008+AF1008</f>
        <v>700.90000000000009</v>
      </c>
      <c r="AL1008" s="446">
        <f t="shared" ref="AL1008:AL1071" si="223">+J1008-AK1008</f>
        <v>0</v>
      </c>
      <c r="AM1008" s="110">
        <f t="shared" ref="AM1008:AM1071" si="224">+Q1008+U1008+AA1008+AE1008</f>
        <v>10</v>
      </c>
      <c r="AN1008" s="447">
        <f t="shared" si="213"/>
        <v>0</v>
      </c>
      <c r="AO1008"/>
      <c r="AP1008"/>
    </row>
    <row r="1009" spans="1:42" ht="66" x14ac:dyDescent="0.25">
      <c r="A1009" s="143"/>
      <c r="B1009" s="487" t="s">
        <v>104</v>
      </c>
      <c r="C1009" s="24"/>
      <c r="D1009" s="875">
        <v>3</v>
      </c>
      <c r="E1009" s="250" t="s">
        <v>1721</v>
      </c>
      <c r="F1009" s="278" t="s">
        <v>3446</v>
      </c>
      <c r="G1009" s="1040" t="s">
        <v>3463</v>
      </c>
      <c r="H1009" s="273" t="s">
        <v>3462</v>
      </c>
      <c r="I1009" s="720">
        <f t="shared" si="211"/>
        <v>106.8</v>
      </c>
      <c r="J1009" s="765">
        <v>320.39999999999998</v>
      </c>
      <c r="K1009" s="131">
        <f t="shared" si="212"/>
        <v>320.39999999999998</v>
      </c>
      <c r="L1009" s="335">
        <f t="shared" si="219"/>
        <v>0</v>
      </c>
      <c r="M1009" s="446"/>
      <c r="N1009" s="446"/>
      <c r="O1009" s="446"/>
      <c r="P1009" s="446"/>
      <c r="Q1009" s="130">
        <v>1</v>
      </c>
      <c r="R1009" s="111">
        <v>106.8</v>
      </c>
      <c r="S1009" s="110"/>
      <c r="T1009" s="110"/>
      <c r="U1009" s="130">
        <v>1</v>
      </c>
      <c r="V1009" s="111">
        <v>106.8</v>
      </c>
      <c r="W1009" s="110"/>
      <c r="X1009" s="110"/>
      <c r="Y1009" s="110"/>
      <c r="Z1009" s="110"/>
      <c r="AA1009" s="130">
        <v>1</v>
      </c>
      <c r="AB1009" s="111">
        <v>106.8</v>
      </c>
      <c r="AC1009" s="110"/>
      <c r="AD1009" s="110"/>
      <c r="AE1009" s="130">
        <v>0</v>
      </c>
      <c r="AF1009" s="111">
        <v>0</v>
      </c>
      <c r="AG1009" s="110"/>
      <c r="AH1009" s="110"/>
      <c r="AI1009" s="110"/>
      <c r="AJ1009" s="110"/>
      <c r="AK1009" s="111">
        <f t="shared" si="222"/>
        <v>320.39999999999998</v>
      </c>
      <c r="AL1009" s="446">
        <f t="shared" si="223"/>
        <v>0</v>
      </c>
      <c r="AM1009" s="110">
        <f t="shared" si="224"/>
        <v>3</v>
      </c>
      <c r="AN1009" s="447">
        <f t="shared" si="213"/>
        <v>0</v>
      </c>
      <c r="AO1009"/>
      <c r="AP1009"/>
    </row>
    <row r="1010" spans="1:42" ht="66" x14ac:dyDescent="0.25">
      <c r="A1010" s="143"/>
      <c r="B1010" s="487" t="s">
        <v>117</v>
      </c>
      <c r="C1010" s="24"/>
      <c r="D1010" s="875">
        <v>3</v>
      </c>
      <c r="E1010" s="250" t="s">
        <v>1725</v>
      </c>
      <c r="F1010" s="273" t="s">
        <v>3446</v>
      </c>
      <c r="G1010" s="1040" t="s">
        <v>3463</v>
      </c>
      <c r="H1010" s="273" t="s">
        <v>3462</v>
      </c>
      <c r="I1010" s="720">
        <f t="shared" si="211"/>
        <v>118.8</v>
      </c>
      <c r="J1010" s="765">
        <v>356.4</v>
      </c>
      <c r="K1010" s="131">
        <f t="shared" si="212"/>
        <v>356.4</v>
      </c>
      <c r="L1010" s="335">
        <f t="shared" si="219"/>
        <v>0</v>
      </c>
      <c r="M1010" s="446"/>
      <c r="N1010" s="446"/>
      <c r="O1010" s="446"/>
      <c r="P1010" s="446"/>
      <c r="Q1010" s="130">
        <v>1</v>
      </c>
      <c r="R1010" s="111">
        <v>118.8</v>
      </c>
      <c r="S1010" s="110"/>
      <c r="T1010" s="110"/>
      <c r="U1010" s="130">
        <v>1</v>
      </c>
      <c r="V1010" s="111">
        <v>118.8</v>
      </c>
      <c r="W1010" s="110"/>
      <c r="X1010" s="110"/>
      <c r="Y1010" s="110"/>
      <c r="Z1010" s="110"/>
      <c r="AA1010" s="130">
        <v>1</v>
      </c>
      <c r="AB1010" s="111">
        <v>118.8</v>
      </c>
      <c r="AC1010" s="110"/>
      <c r="AD1010" s="110"/>
      <c r="AE1010" s="130">
        <v>0</v>
      </c>
      <c r="AF1010" s="111">
        <v>0</v>
      </c>
      <c r="AG1010" s="110"/>
      <c r="AH1010" s="110"/>
      <c r="AI1010" s="110"/>
      <c r="AJ1010" s="110"/>
      <c r="AK1010" s="111">
        <f t="shared" si="222"/>
        <v>356.4</v>
      </c>
      <c r="AL1010" s="446">
        <f t="shared" si="223"/>
        <v>0</v>
      </c>
      <c r="AM1010" s="110">
        <f t="shared" si="224"/>
        <v>3</v>
      </c>
      <c r="AN1010" s="447">
        <f t="shared" si="213"/>
        <v>0</v>
      </c>
      <c r="AO1010"/>
      <c r="AP1010"/>
    </row>
    <row r="1011" spans="1:42" ht="66" x14ac:dyDescent="0.25">
      <c r="A1011" s="143"/>
      <c r="B1011" s="487" t="s">
        <v>2226</v>
      </c>
      <c r="C1011" s="24"/>
      <c r="D1011" s="875">
        <v>10</v>
      </c>
      <c r="E1011" s="250" t="s">
        <v>1721</v>
      </c>
      <c r="F1011" s="273" t="s">
        <v>3446</v>
      </c>
      <c r="G1011" s="1040" t="s">
        <v>3463</v>
      </c>
      <c r="H1011" s="273" t="s">
        <v>3462</v>
      </c>
      <c r="I1011" s="720">
        <f t="shared" si="211"/>
        <v>6.49</v>
      </c>
      <c r="J1011" s="765">
        <v>64.900000000000006</v>
      </c>
      <c r="K1011" s="131">
        <f t="shared" si="212"/>
        <v>64.900000000000006</v>
      </c>
      <c r="L1011" s="335">
        <f t="shared" si="219"/>
        <v>0</v>
      </c>
      <c r="M1011" s="446"/>
      <c r="N1011" s="446"/>
      <c r="O1011" s="446"/>
      <c r="P1011" s="446"/>
      <c r="Q1011" s="130">
        <v>3</v>
      </c>
      <c r="R1011" s="111">
        <f t="shared" si="217"/>
        <v>16.225000000000001</v>
      </c>
      <c r="S1011" s="110"/>
      <c r="T1011" s="110"/>
      <c r="U1011" s="130">
        <v>3</v>
      </c>
      <c r="V1011" s="111">
        <f t="shared" si="218"/>
        <v>16.225000000000001</v>
      </c>
      <c r="W1011" s="110"/>
      <c r="X1011" s="110"/>
      <c r="Y1011" s="110"/>
      <c r="Z1011" s="110"/>
      <c r="AA1011" s="130">
        <v>2</v>
      </c>
      <c r="AB1011" s="111">
        <f t="shared" si="220"/>
        <v>16.225000000000001</v>
      </c>
      <c r="AC1011" s="110"/>
      <c r="AD1011" s="110"/>
      <c r="AE1011" s="130">
        <v>2</v>
      </c>
      <c r="AF1011" s="111">
        <f t="shared" si="221"/>
        <v>16.225000000000001</v>
      </c>
      <c r="AG1011" s="110"/>
      <c r="AH1011" s="110"/>
      <c r="AI1011" s="110"/>
      <c r="AJ1011" s="110"/>
      <c r="AK1011" s="111">
        <f t="shared" si="222"/>
        <v>64.900000000000006</v>
      </c>
      <c r="AL1011" s="446">
        <f t="shared" si="223"/>
        <v>0</v>
      </c>
      <c r="AM1011" s="110">
        <f t="shared" si="224"/>
        <v>10</v>
      </c>
      <c r="AN1011" s="447">
        <f t="shared" si="213"/>
        <v>0</v>
      </c>
      <c r="AO1011"/>
      <c r="AP1011"/>
    </row>
    <row r="1012" spans="1:42" ht="66" x14ac:dyDescent="0.25">
      <c r="A1012" s="143"/>
      <c r="B1012" s="487" t="s">
        <v>1727</v>
      </c>
      <c r="C1012" s="24"/>
      <c r="D1012" s="875">
        <v>12</v>
      </c>
      <c r="E1012" s="250" t="s">
        <v>1725</v>
      </c>
      <c r="F1012" s="273" t="s">
        <v>3446</v>
      </c>
      <c r="G1012" s="1040" t="s">
        <v>3463</v>
      </c>
      <c r="H1012" s="273" t="s">
        <v>3462</v>
      </c>
      <c r="I1012" s="720">
        <f t="shared" si="211"/>
        <v>194.83</v>
      </c>
      <c r="J1012" s="765">
        <v>2337.96</v>
      </c>
      <c r="K1012" s="131">
        <f t="shared" si="212"/>
        <v>2337.96</v>
      </c>
      <c r="L1012" s="335">
        <f t="shared" si="219"/>
        <v>0</v>
      </c>
      <c r="M1012" s="446"/>
      <c r="N1012" s="446"/>
      <c r="O1012" s="446"/>
      <c r="P1012" s="446"/>
      <c r="Q1012" s="110">
        <f t="shared" si="214"/>
        <v>3</v>
      </c>
      <c r="R1012" s="111">
        <f t="shared" si="217"/>
        <v>584.49</v>
      </c>
      <c r="S1012" s="110"/>
      <c r="T1012" s="110"/>
      <c r="U1012" s="110">
        <f t="shared" si="215"/>
        <v>3</v>
      </c>
      <c r="V1012" s="111">
        <f t="shared" si="218"/>
        <v>584.49</v>
      </c>
      <c r="W1012" s="110"/>
      <c r="X1012" s="110"/>
      <c r="Y1012" s="110"/>
      <c r="Z1012" s="110"/>
      <c r="AA1012" s="110">
        <f t="shared" si="216"/>
        <v>3</v>
      </c>
      <c r="AB1012" s="111">
        <f t="shared" si="220"/>
        <v>584.49</v>
      </c>
      <c r="AC1012" s="110"/>
      <c r="AD1012" s="110"/>
      <c r="AE1012" s="110">
        <f t="shared" si="216"/>
        <v>3</v>
      </c>
      <c r="AF1012" s="111">
        <f t="shared" si="221"/>
        <v>584.49</v>
      </c>
      <c r="AG1012" s="110"/>
      <c r="AH1012" s="110"/>
      <c r="AI1012" s="110"/>
      <c r="AJ1012" s="110"/>
      <c r="AK1012" s="111">
        <f t="shared" si="222"/>
        <v>2337.96</v>
      </c>
      <c r="AL1012" s="446">
        <f t="shared" si="223"/>
        <v>0</v>
      </c>
      <c r="AM1012" s="110">
        <f t="shared" si="224"/>
        <v>12</v>
      </c>
      <c r="AN1012" s="447">
        <f t="shared" si="213"/>
        <v>0</v>
      </c>
      <c r="AO1012"/>
      <c r="AP1012"/>
    </row>
    <row r="1013" spans="1:42" ht="66" x14ac:dyDescent="0.25">
      <c r="A1013" s="143"/>
      <c r="B1013" s="487" t="s">
        <v>109</v>
      </c>
      <c r="C1013" s="24"/>
      <c r="D1013" s="875">
        <v>6</v>
      </c>
      <c r="E1013" s="250" t="s">
        <v>2196</v>
      </c>
      <c r="F1013" s="273" t="s">
        <v>3446</v>
      </c>
      <c r="G1013" s="1040" t="s">
        <v>3463</v>
      </c>
      <c r="H1013" s="273" t="s">
        <v>3462</v>
      </c>
      <c r="I1013" s="720">
        <f t="shared" si="211"/>
        <v>224.53</v>
      </c>
      <c r="J1013" s="765">
        <v>1347.18</v>
      </c>
      <c r="K1013" s="131">
        <f t="shared" si="212"/>
        <v>1347.18</v>
      </c>
      <c r="L1013" s="335">
        <f t="shared" si="219"/>
        <v>0</v>
      </c>
      <c r="M1013" s="446"/>
      <c r="N1013" s="446"/>
      <c r="O1013" s="446"/>
      <c r="P1013" s="446"/>
      <c r="Q1013" s="130">
        <v>2</v>
      </c>
      <c r="R1013" s="111">
        <f t="shared" si="217"/>
        <v>336.79500000000002</v>
      </c>
      <c r="S1013" s="110"/>
      <c r="T1013" s="110"/>
      <c r="U1013" s="130">
        <v>2</v>
      </c>
      <c r="V1013" s="111">
        <f t="shared" si="218"/>
        <v>336.79500000000002</v>
      </c>
      <c r="W1013" s="110"/>
      <c r="X1013" s="110"/>
      <c r="Y1013" s="110"/>
      <c r="Z1013" s="110"/>
      <c r="AA1013" s="130">
        <v>1</v>
      </c>
      <c r="AB1013" s="111">
        <f t="shared" si="220"/>
        <v>336.79500000000002</v>
      </c>
      <c r="AC1013" s="110"/>
      <c r="AD1013" s="110"/>
      <c r="AE1013" s="130">
        <v>1</v>
      </c>
      <c r="AF1013" s="111">
        <f t="shared" si="221"/>
        <v>336.79500000000002</v>
      </c>
      <c r="AG1013" s="110"/>
      <c r="AH1013" s="110"/>
      <c r="AI1013" s="110"/>
      <c r="AJ1013" s="110"/>
      <c r="AK1013" s="111">
        <f t="shared" si="222"/>
        <v>1347.18</v>
      </c>
      <c r="AL1013" s="446">
        <f t="shared" si="223"/>
        <v>0</v>
      </c>
      <c r="AM1013" s="110">
        <f t="shared" si="224"/>
        <v>6</v>
      </c>
      <c r="AN1013" s="447">
        <f t="shared" si="213"/>
        <v>0</v>
      </c>
      <c r="AO1013"/>
      <c r="AP1013"/>
    </row>
    <row r="1014" spans="1:42" ht="66" x14ac:dyDescent="0.25">
      <c r="A1014" s="143"/>
      <c r="B1014" s="487" t="s">
        <v>2227</v>
      </c>
      <c r="C1014" s="24"/>
      <c r="D1014" s="875">
        <v>2</v>
      </c>
      <c r="E1014" s="250" t="s">
        <v>1725</v>
      </c>
      <c r="F1014" s="273" t="s">
        <v>3446</v>
      </c>
      <c r="G1014" s="1040" t="s">
        <v>3463</v>
      </c>
      <c r="H1014" s="273" t="s">
        <v>3462</v>
      </c>
      <c r="I1014" s="720">
        <f t="shared" si="211"/>
        <v>154.44</v>
      </c>
      <c r="J1014" s="765">
        <v>308.88</v>
      </c>
      <c r="K1014" s="131">
        <f t="shared" si="212"/>
        <v>308.88</v>
      </c>
      <c r="L1014" s="335">
        <f t="shared" si="219"/>
        <v>0</v>
      </c>
      <c r="M1014" s="446"/>
      <c r="N1014" s="446"/>
      <c r="O1014" s="446"/>
      <c r="P1014" s="446"/>
      <c r="Q1014" s="130">
        <v>1</v>
      </c>
      <c r="R1014" s="111">
        <v>154.44</v>
      </c>
      <c r="S1014" s="110"/>
      <c r="T1014" s="110"/>
      <c r="U1014" s="130">
        <v>1</v>
      </c>
      <c r="V1014" s="111">
        <v>154.44</v>
      </c>
      <c r="W1014" s="110"/>
      <c r="X1014" s="110"/>
      <c r="Y1014" s="110"/>
      <c r="Z1014" s="110"/>
      <c r="AA1014" s="130">
        <v>0</v>
      </c>
      <c r="AB1014" s="111">
        <v>0</v>
      </c>
      <c r="AC1014" s="110"/>
      <c r="AD1014" s="110"/>
      <c r="AE1014" s="130">
        <v>0</v>
      </c>
      <c r="AF1014" s="111">
        <v>0</v>
      </c>
      <c r="AG1014" s="110"/>
      <c r="AH1014" s="110"/>
      <c r="AI1014" s="110"/>
      <c r="AJ1014" s="110"/>
      <c r="AK1014" s="111">
        <f t="shared" si="222"/>
        <v>308.88</v>
      </c>
      <c r="AL1014" s="446">
        <f t="shared" si="223"/>
        <v>0</v>
      </c>
      <c r="AM1014" s="110">
        <f t="shared" si="224"/>
        <v>2</v>
      </c>
      <c r="AN1014" s="447">
        <f t="shared" si="213"/>
        <v>0</v>
      </c>
      <c r="AO1014"/>
      <c r="AP1014"/>
    </row>
    <row r="1015" spans="1:42" ht="66" x14ac:dyDescent="0.25">
      <c r="A1015" s="143"/>
      <c r="B1015" s="487" t="s">
        <v>111</v>
      </c>
      <c r="C1015" s="24"/>
      <c r="D1015" s="875">
        <v>2</v>
      </c>
      <c r="E1015" s="250" t="s">
        <v>1725</v>
      </c>
      <c r="F1015" s="273" t="s">
        <v>3446</v>
      </c>
      <c r="G1015" s="1040" t="s">
        <v>3463</v>
      </c>
      <c r="H1015" s="273" t="s">
        <v>3462</v>
      </c>
      <c r="I1015" s="720">
        <f t="shared" si="211"/>
        <v>154.44</v>
      </c>
      <c r="J1015" s="765">
        <v>308.88</v>
      </c>
      <c r="K1015" s="131">
        <f t="shared" si="212"/>
        <v>308.88</v>
      </c>
      <c r="L1015" s="335">
        <f t="shared" si="219"/>
        <v>0</v>
      </c>
      <c r="M1015" s="446"/>
      <c r="N1015" s="446"/>
      <c r="O1015" s="446"/>
      <c r="P1015" s="446"/>
      <c r="Q1015" s="130">
        <v>1</v>
      </c>
      <c r="R1015" s="111">
        <v>154.44</v>
      </c>
      <c r="S1015" s="110"/>
      <c r="T1015" s="110"/>
      <c r="U1015" s="130">
        <v>1</v>
      </c>
      <c r="V1015" s="111">
        <v>154.44</v>
      </c>
      <c r="W1015" s="110"/>
      <c r="X1015" s="110"/>
      <c r="Y1015" s="110"/>
      <c r="Z1015" s="110"/>
      <c r="AA1015" s="130">
        <v>0</v>
      </c>
      <c r="AB1015" s="111">
        <v>0</v>
      </c>
      <c r="AC1015" s="110"/>
      <c r="AD1015" s="110"/>
      <c r="AE1015" s="130">
        <v>0</v>
      </c>
      <c r="AF1015" s="111">
        <v>0</v>
      </c>
      <c r="AG1015" s="110"/>
      <c r="AH1015" s="110"/>
      <c r="AI1015" s="110"/>
      <c r="AJ1015" s="110"/>
      <c r="AK1015" s="111">
        <f t="shared" si="222"/>
        <v>308.88</v>
      </c>
      <c r="AL1015" s="446">
        <f t="shared" si="223"/>
        <v>0</v>
      </c>
      <c r="AM1015" s="110">
        <f t="shared" si="224"/>
        <v>2</v>
      </c>
      <c r="AN1015" s="447">
        <f t="shared" si="213"/>
        <v>0</v>
      </c>
      <c r="AO1015"/>
      <c r="AP1015"/>
    </row>
    <row r="1016" spans="1:42" ht="66" x14ac:dyDescent="0.25">
      <c r="A1016" s="143"/>
      <c r="B1016" s="487" t="s">
        <v>2228</v>
      </c>
      <c r="C1016" s="24"/>
      <c r="D1016" s="875">
        <v>120</v>
      </c>
      <c r="E1016" s="250" t="s">
        <v>1725</v>
      </c>
      <c r="F1016" s="273" t="s">
        <v>3446</v>
      </c>
      <c r="G1016" s="1040" t="s">
        <v>3463</v>
      </c>
      <c r="H1016" s="273" t="s">
        <v>3462</v>
      </c>
      <c r="I1016" s="720">
        <f t="shared" si="211"/>
        <v>94.22</v>
      </c>
      <c r="J1016" s="765">
        <v>11306.4</v>
      </c>
      <c r="K1016" s="131">
        <f t="shared" si="212"/>
        <v>11306.4</v>
      </c>
      <c r="L1016" s="335">
        <f t="shared" si="219"/>
        <v>0</v>
      </c>
      <c r="M1016" s="446"/>
      <c r="N1016" s="446"/>
      <c r="O1016" s="446"/>
      <c r="P1016" s="446"/>
      <c r="Q1016" s="110">
        <v>50</v>
      </c>
      <c r="R1016" s="111">
        <f t="shared" si="217"/>
        <v>2826.6</v>
      </c>
      <c r="S1016" s="110"/>
      <c r="T1016" s="110"/>
      <c r="U1016" s="110">
        <v>50</v>
      </c>
      <c r="V1016" s="111">
        <f t="shared" si="218"/>
        <v>2826.6</v>
      </c>
      <c r="W1016" s="110"/>
      <c r="X1016" s="110"/>
      <c r="Y1016" s="110"/>
      <c r="Z1016" s="110"/>
      <c r="AA1016" s="110">
        <v>10</v>
      </c>
      <c r="AB1016" s="111">
        <f t="shared" si="220"/>
        <v>2826.6</v>
      </c>
      <c r="AC1016" s="110"/>
      <c r="AD1016" s="110"/>
      <c r="AE1016" s="110">
        <v>10</v>
      </c>
      <c r="AF1016" s="111">
        <f t="shared" si="221"/>
        <v>2826.6</v>
      </c>
      <c r="AG1016" s="110"/>
      <c r="AH1016" s="110"/>
      <c r="AI1016" s="110"/>
      <c r="AJ1016" s="110"/>
      <c r="AK1016" s="111">
        <f t="shared" si="222"/>
        <v>11306.4</v>
      </c>
      <c r="AL1016" s="446">
        <f t="shared" si="223"/>
        <v>0</v>
      </c>
      <c r="AM1016" s="110">
        <f t="shared" si="224"/>
        <v>120</v>
      </c>
      <c r="AN1016" s="447">
        <f t="shared" si="213"/>
        <v>0</v>
      </c>
      <c r="AO1016"/>
      <c r="AP1016"/>
    </row>
    <row r="1017" spans="1:42" ht="66" x14ac:dyDescent="0.25">
      <c r="A1017" s="143"/>
      <c r="B1017" s="487" t="s">
        <v>2229</v>
      </c>
      <c r="C1017" s="24"/>
      <c r="D1017" s="875">
        <v>60</v>
      </c>
      <c r="E1017" s="250" t="s">
        <v>1725</v>
      </c>
      <c r="F1017" s="273" t="s">
        <v>3446</v>
      </c>
      <c r="G1017" s="1040" t="s">
        <v>3463</v>
      </c>
      <c r="H1017" s="273" t="s">
        <v>3462</v>
      </c>
      <c r="I1017" s="720">
        <f t="shared" si="211"/>
        <v>148.02000000000001</v>
      </c>
      <c r="J1017" s="765">
        <v>8881.2000000000007</v>
      </c>
      <c r="K1017" s="131">
        <f t="shared" si="212"/>
        <v>8881.2000000000007</v>
      </c>
      <c r="L1017" s="335">
        <f t="shared" si="219"/>
        <v>0</v>
      </c>
      <c r="M1017" s="446"/>
      <c r="N1017" s="446"/>
      <c r="O1017" s="446"/>
      <c r="P1017" s="446"/>
      <c r="Q1017" s="110">
        <f t="shared" si="214"/>
        <v>15</v>
      </c>
      <c r="R1017" s="111">
        <f t="shared" si="217"/>
        <v>2220.3000000000002</v>
      </c>
      <c r="S1017" s="110"/>
      <c r="T1017" s="110"/>
      <c r="U1017" s="110">
        <f t="shared" si="215"/>
        <v>15</v>
      </c>
      <c r="V1017" s="111">
        <f t="shared" si="218"/>
        <v>2220.3000000000002</v>
      </c>
      <c r="W1017" s="110"/>
      <c r="X1017" s="110"/>
      <c r="Y1017" s="110"/>
      <c r="Z1017" s="110"/>
      <c r="AA1017" s="110">
        <f t="shared" si="216"/>
        <v>15</v>
      </c>
      <c r="AB1017" s="111">
        <f t="shared" si="220"/>
        <v>2220.3000000000002</v>
      </c>
      <c r="AC1017" s="110"/>
      <c r="AD1017" s="110"/>
      <c r="AE1017" s="110">
        <f t="shared" si="216"/>
        <v>15</v>
      </c>
      <c r="AF1017" s="111">
        <f t="shared" si="221"/>
        <v>2220.3000000000002</v>
      </c>
      <c r="AG1017" s="110"/>
      <c r="AH1017" s="110"/>
      <c r="AI1017" s="110"/>
      <c r="AJ1017" s="110"/>
      <c r="AK1017" s="111">
        <f t="shared" si="222"/>
        <v>8881.2000000000007</v>
      </c>
      <c r="AL1017" s="446">
        <f t="shared" si="223"/>
        <v>0</v>
      </c>
      <c r="AM1017" s="110">
        <f t="shared" si="224"/>
        <v>60</v>
      </c>
      <c r="AN1017" s="447">
        <f t="shared" si="213"/>
        <v>0</v>
      </c>
      <c r="AO1017"/>
      <c r="AP1017"/>
    </row>
    <row r="1018" spans="1:42" ht="66" x14ac:dyDescent="0.25">
      <c r="A1018" s="143"/>
      <c r="B1018" s="487" t="s">
        <v>2230</v>
      </c>
      <c r="C1018" s="24"/>
      <c r="D1018" s="875">
        <v>200</v>
      </c>
      <c r="E1018" s="250" t="s">
        <v>1721</v>
      </c>
      <c r="F1018" s="273" t="s">
        <v>3446</v>
      </c>
      <c r="G1018" s="1040" t="s">
        <v>3463</v>
      </c>
      <c r="H1018" s="273" t="s">
        <v>3462</v>
      </c>
      <c r="I1018" s="720">
        <f t="shared" ref="I1018:I1081" si="225">+J1018/D1018</f>
        <v>1.62</v>
      </c>
      <c r="J1018" s="765">
        <v>324</v>
      </c>
      <c r="K1018" s="131">
        <f t="shared" si="212"/>
        <v>324</v>
      </c>
      <c r="L1018" s="335">
        <f t="shared" si="219"/>
        <v>0</v>
      </c>
      <c r="M1018" s="446"/>
      <c r="N1018" s="446"/>
      <c r="O1018" s="446"/>
      <c r="P1018" s="446"/>
      <c r="Q1018" s="110">
        <f t="shared" si="214"/>
        <v>50</v>
      </c>
      <c r="R1018" s="111">
        <f t="shared" si="217"/>
        <v>81</v>
      </c>
      <c r="S1018" s="110"/>
      <c r="T1018" s="110"/>
      <c r="U1018" s="110">
        <f t="shared" si="215"/>
        <v>50</v>
      </c>
      <c r="V1018" s="111">
        <f t="shared" si="218"/>
        <v>81</v>
      </c>
      <c r="W1018" s="110"/>
      <c r="X1018" s="110"/>
      <c r="Y1018" s="110"/>
      <c r="Z1018" s="110"/>
      <c r="AA1018" s="110">
        <f t="shared" si="216"/>
        <v>50</v>
      </c>
      <c r="AB1018" s="111">
        <f t="shared" si="220"/>
        <v>81</v>
      </c>
      <c r="AC1018" s="110"/>
      <c r="AD1018" s="110"/>
      <c r="AE1018" s="110">
        <f t="shared" si="216"/>
        <v>50</v>
      </c>
      <c r="AF1018" s="111">
        <f t="shared" si="221"/>
        <v>81</v>
      </c>
      <c r="AG1018" s="110"/>
      <c r="AH1018" s="110"/>
      <c r="AI1018" s="110"/>
      <c r="AJ1018" s="110"/>
      <c r="AK1018" s="111">
        <f t="shared" si="222"/>
        <v>324</v>
      </c>
      <c r="AL1018" s="446">
        <f t="shared" si="223"/>
        <v>0</v>
      </c>
      <c r="AM1018" s="110">
        <f t="shared" si="224"/>
        <v>200</v>
      </c>
      <c r="AN1018" s="447">
        <f t="shared" si="213"/>
        <v>0</v>
      </c>
      <c r="AO1018"/>
      <c r="AP1018"/>
    </row>
    <row r="1019" spans="1:42" ht="66" x14ac:dyDescent="0.25">
      <c r="A1019" s="143"/>
      <c r="B1019" s="487" t="s">
        <v>2231</v>
      </c>
      <c r="C1019" s="24"/>
      <c r="D1019" s="875">
        <v>10</v>
      </c>
      <c r="E1019" s="250" t="s">
        <v>1721</v>
      </c>
      <c r="F1019" s="273" t="s">
        <v>3446</v>
      </c>
      <c r="G1019" s="1040" t="s">
        <v>3463</v>
      </c>
      <c r="H1019" s="273" t="s">
        <v>3462</v>
      </c>
      <c r="I1019" s="720">
        <f t="shared" si="225"/>
        <v>3.9900000000000007</v>
      </c>
      <c r="J1019" s="765">
        <v>39.900000000000006</v>
      </c>
      <c r="K1019" s="131">
        <f t="shared" si="212"/>
        <v>39.900000000000006</v>
      </c>
      <c r="L1019" s="335">
        <f t="shared" si="219"/>
        <v>0</v>
      </c>
      <c r="M1019" s="446"/>
      <c r="N1019" s="446"/>
      <c r="O1019" s="446"/>
      <c r="P1019" s="446"/>
      <c r="Q1019" s="130">
        <v>3</v>
      </c>
      <c r="R1019" s="111">
        <f t="shared" si="217"/>
        <v>9.9750000000000014</v>
      </c>
      <c r="S1019" s="110"/>
      <c r="T1019" s="110"/>
      <c r="U1019" s="130">
        <v>3</v>
      </c>
      <c r="V1019" s="111">
        <f t="shared" si="218"/>
        <v>9.9750000000000014</v>
      </c>
      <c r="W1019" s="110"/>
      <c r="X1019" s="110"/>
      <c r="Y1019" s="110"/>
      <c r="Z1019" s="110"/>
      <c r="AA1019" s="130">
        <v>2</v>
      </c>
      <c r="AB1019" s="111">
        <f t="shared" si="220"/>
        <v>9.9750000000000014</v>
      </c>
      <c r="AC1019" s="110"/>
      <c r="AD1019" s="110"/>
      <c r="AE1019" s="130">
        <v>2</v>
      </c>
      <c r="AF1019" s="111">
        <f t="shared" si="221"/>
        <v>9.9750000000000014</v>
      </c>
      <c r="AG1019" s="110"/>
      <c r="AH1019" s="110"/>
      <c r="AI1019" s="110"/>
      <c r="AJ1019" s="110"/>
      <c r="AK1019" s="111">
        <f t="shared" si="222"/>
        <v>39.900000000000006</v>
      </c>
      <c r="AL1019" s="446">
        <f t="shared" si="223"/>
        <v>0</v>
      </c>
      <c r="AM1019" s="110">
        <f t="shared" si="224"/>
        <v>10</v>
      </c>
      <c r="AN1019" s="447">
        <f t="shared" si="213"/>
        <v>0</v>
      </c>
      <c r="AO1019"/>
      <c r="AP1019"/>
    </row>
    <row r="1020" spans="1:42" ht="66" x14ac:dyDescent="0.25">
      <c r="A1020" s="143"/>
      <c r="B1020" s="487" t="s">
        <v>1729</v>
      </c>
      <c r="C1020" s="24"/>
      <c r="D1020" s="875">
        <v>10</v>
      </c>
      <c r="E1020" s="250" t="s">
        <v>1725</v>
      </c>
      <c r="F1020" s="273" t="s">
        <v>3446</v>
      </c>
      <c r="G1020" s="1040" t="s">
        <v>3463</v>
      </c>
      <c r="H1020" s="273" t="s">
        <v>3462</v>
      </c>
      <c r="I1020" s="720">
        <f t="shared" si="225"/>
        <v>27.32</v>
      </c>
      <c r="J1020" s="765">
        <v>273.2</v>
      </c>
      <c r="K1020" s="131">
        <f t="shared" si="212"/>
        <v>273.2</v>
      </c>
      <c r="L1020" s="335">
        <f t="shared" si="219"/>
        <v>0</v>
      </c>
      <c r="M1020" s="446"/>
      <c r="N1020" s="446"/>
      <c r="O1020" s="446"/>
      <c r="P1020" s="446"/>
      <c r="Q1020" s="130">
        <v>3</v>
      </c>
      <c r="R1020" s="111">
        <f t="shared" si="217"/>
        <v>68.3</v>
      </c>
      <c r="S1020" s="110"/>
      <c r="T1020" s="110"/>
      <c r="U1020" s="130">
        <v>3</v>
      </c>
      <c r="V1020" s="111">
        <f t="shared" si="218"/>
        <v>68.3</v>
      </c>
      <c r="W1020" s="110"/>
      <c r="X1020" s="110"/>
      <c r="Y1020" s="110"/>
      <c r="Z1020" s="110"/>
      <c r="AA1020" s="130">
        <v>2</v>
      </c>
      <c r="AB1020" s="111">
        <f t="shared" si="220"/>
        <v>68.3</v>
      </c>
      <c r="AC1020" s="110"/>
      <c r="AD1020" s="110"/>
      <c r="AE1020" s="130">
        <v>2</v>
      </c>
      <c r="AF1020" s="111">
        <f t="shared" si="221"/>
        <v>68.3</v>
      </c>
      <c r="AG1020" s="110"/>
      <c r="AH1020" s="110"/>
      <c r="AI1020" s="110"/>
      <c r="AJ1020" s="110"/>
      <c r="AK1020" s="111">
        <f t="shared" si="222"/>
        <v>273.2</v>
      </c>
      <c r="AL1020" s="446">
        <f t="shared" si="223"/>
        <v>0</v>
      </c>
      <c r="AM1020" s="110">
        <f t="shared" si="224"/>
        <v>10</v>
      </c>
      <c r="AN1020" s="447">
        <f t="shared" si="213"/>
        <v>0</v>
      </c>
      <c r="AO1020"/>
      <c r="AP1020"/>
    </row>
    <row r="1021" spans="1:42" ht="66" x14ac:dyDescent="0.25">
      <c r="A1021" s="143"/>
      <c r="B1021" s="487" t="s">
        <v>125</v>
      </c>
      <c r="C1021" s="24"/>
      <c r="D1021" s="875">
        <v>10</v>
      </c>
      <c r="E1021" s="250" t="s">
        <v>1721</v>
      </c>
      <c r="F1021" s="273" t="s">
        <v>3446</v>
      </c>
      <c r="G1021" s="1040" t="s">
        <v>3463</v>
      </c>
      <c r="H1021" s="273" t="s">
        <v>3462</v>
      </c>
      <c r="I1021" s="720">
        <f t="shared" si="225"/>
        <v>39.799999999999997</v>
      </c>
      <c r="J1021" s="765">
        <v>398</v>
      </c>
      <c r="K1021" s="131">
        <f t="shared" si="212"/>
        <v>398</v>
      </c>
      <c r="L1021" s="335">
        <f t="shared" si="219"/>
        <v>0</v>
      </c>
      <c r="M1021" s="446"/>
      <c r="N1021" s="446"/>
      <c r="O1021" s="446"/>
      <c r="P1021" s="446"/>
      <c r="Q1021" s="130">
        <v>3</v>
      </c>
      <c r="R1021" s="111">
        <f t="shared" si="217"/>
        <v>99.5</v>
      </c>
      <c r="S1021" s="110"/>
      <c r="T1021" s="110"/>
      <c r="U1021" s="130">
        <v>3</v>
      </c>
      <c r="V1021" s="111">
        <f t="shared" si="218"/>
        <v>99.5</v>
      </c>
      <c r="W1021" s="110"/>
      <c r="X1021" s="110"/>
      <c r="Y1021" s="110"/>
      <c r="Z1021" s="110"/>
      <c r="AA1021" s="130">
        <v>2</v>
      </c>
      <c r="AB1021" s="111">
        <f t="shared" si="220"/>
        <v>99.5</v>
      </c>
      <c r="AC1021" s="110"/>
      <c r="AD1021" s="110"/>
      <c r="AE1021" s="130">
        <v>2</v>
      </c>
      <c r="AF1021" s="111">
        <f t="shared" si="221"/>
        <v>99.5</v>
      </c>
      <c r="AG1021" s="110"/>
      <c r="AH1021" s="110"/>
      <c r="AI1021" s="110"/>
      <c r="AJ1021" s="110"/>
      <c r="AK1021" s="111">
        <f t="shared" si="222"/>
        <v>398</v>
      </c>
      <c r="AL1021" s="446">
        <f t="shared" si="223"/>
        <v>0</v>
      </c>
      <c r="AM1021" s="110">
        <f t="shared" si="224"/>
        <v>10</v>
      </c>
      <c r="AN1021" s="447">
        <f t="shared" si="213"/>
        <v>0</v>
      </c>
      <c r="AO1021"/>
      <c r="AP1021"/>
    </row>
    <row r="1022" spans="1:42" ht="66" x14ac:dyDescent="0.25">
      <c r="A1022" s="143"/>
      <c r="B1022" s="487" t="s">
        <v>126</v>
      </c>
      <c r="C1022" s="24"/>
      <c r="D1022" s="875">
        <v>8</v>
      </c>
      <c r="E1022" s="250" t="s">
        <v>1721</v>
      </c>
      <c r="F1022" s="273" t="s">
        <v>3446</v>
      </c>
      <c r="G1022" s="1040" t="s">
        <v>3463</v>
      </c>
      <c r="H1022" s="273" t="s">
        <v>3462</v>
      </c>
      <c r="I1022" s="720">
        <f t="shared" si="225"/>
        <v>43.96</v>
      </c>
      <c r="J1022" s="765">
        <v>351.68</v>
      </c>
      <c r="K1022" s="131">
        <f t="shared" si="212"/>
        <v>351.68</v>
      </c>
      <c r="L1022" s="335">
        <f t="shared" si="219"/>
        <v>0</v>
      </c>
      <c r="M1022" s="446"/>
      <c r="N1022" s="446"/>
      <c r="O1022" s="446"/>
      <c r="P1022" s="446"/>
      <c r="Q1022" s="110">
        <f t="shared" si="214"/>
        <v>2</v>
      </c>
      <c r="R1022" s="111">
        <f t="shared" si="217"/>
        <v>87.92</v>
      </c>
      <c r="S1022" s="110"/>
      <c r="T1022" s="110"/>
      <c r="U1022" s="110">
        <f t="shared" si="215"/>
        <v>2</v>
      </c>
      <c r="V1022" s="111">
        <f t="shared" si="218"/>
        <v>87.92</v>
      </c>
      <c r="W1022" s="110"/>
      <c r="X1022" s="110"/>
      <c r="Y1022" s="110"/>
      <c r="Z1022" s="110"/>
      <c r="AA1022" s="110">
        <f t="shared" si="216"/>
        <v>2</v>
      </c>
      <c r="AB1022" s="111">
        <f t="shared" si="220"/>
        <v>87.92</v>
      </c>
      <c r="AC1022" s="110"/>
      <c r="AD1022" s="110"/>
      <c r="AE1022" s="110">
        <f t="shared" si="216"/>
        <v>2</v>
      </c>
      <c r="AF1022" s="111">
        <f t="shared" si="221"/>
        <v>87.92</v>
      </c>
      <c r="AG1022" s="110"/>
      <c r="AH1022" s="110"/>
      <c r="AI1022" s="110"/>
      <c r="AJ1022" s="110"/>
      <c r="AK1022" s="111">
        <f t="shared" si="222"/>
        <v>351.68</v>
      </c>
      <c r="AL1022" s="446">
        <f t="shared" si="223"/>
        <v>0</v>
      </c>
      <c r="AM1022" s="110">
        <f t="shared" si="224"/>
        <v>8</v>
      </c>
      <c r="AN1022" s="447">
        <f t="shared" si="213"/>
        <v>0</v>
      </c>
      <c r="AO1022"/>
      <c r="AP1022"/>
    </row>
    <row r="1023" spans="1:42" ht="66" x14ac:dyDescent="0.25">
      <c r="A1023" s="143"/>
      <c r="B1023" s="487" t="s">
        <v>2232</v>
      </c>
      <c r="C1023" s="24"/>
      <c r="D1023" s="875">
        <v>3</v>
      </c>
      <c r="E1023" s="250" t="s">
        <v>1721</v>
      </c>
      <c r="F1023" s="273" t="s">
        <v>3446</v>
      </c>
      <c r="G1023" s="1040" t="s">
        <v>3463</v>
      </c>
      <c r="H1023" s="273" t="s">
        <v>3462</v>
      </c>
      <c r="I1023" s="720">
        <f t="shared" si="225"/>
        <v>57.62</v>
      </c>
      <c r="J1023" s="765">
        <v>172.85999999999999</v>
      </c>
      <c r="K1023" s="131">
        <f t="shared" si="212"/>
        <v>172.85999999999999</v>
      </c>
      <c r="L1023" s="335">
        <f t="shared" si="219"/>
        <v>0</v>
      </c>
      <c r="M1023" s="446"/>
      <c r="N1023" s="446"/>
      <c r="O1023" s="446"/>
      <c r="P1023" s="446"/>
      <c r="Q1023" s="130">
        <v>1</v>
      </c>
      <c r="R1023" s="111">
        <v>57.62</v>
      </c>
      <c r="S1023" s="110"/>
      <c r="T1023" s="110"/>
      <c r="U1023" s="130">
        <v>1</v>
      </c>
      <c r="V1023" s="111">
        <v>57.62</v>
      </c>
      <c r="W1023" s="110"/>
      <c r="X1023" s="110"/>
      <c r="Y1023" s="110"/>
      <c r="Z1023" s="110"/>
      <c r="AA1023" s="130">
        <v>1</v>
      </c>
      <c r="AB1023" s="111">
        <v>57.62</v>
      </c>
      <c r="AC1023" s="110"/>
      <c r="AD1023" s="110"/>
      <c r="AE1023" s="130">
        <v>0</v>
      </c>
      <c r="AF1023" s="111">
        <v>0</v>
      </c>
      <c r="AG1023" s="110"/>
      <c r="AH1023" s="110"/>
      <c r="AI1023" s="110"/>
      <c r="AJ1023" s="110"/>
      <c r="AK1023" s="111">
        <f t="shared" si="222"/>
        <v>172.85999999999999</v>
      </c>
      <c r="AL1023" s="446">
        <f t="shared" si="223"/>
        <v>0</v>
      </c>
      <c r="AM1023" s="110">
        <f t="shared" si="224"/>
        <v>3</v>
      </c>
      <c r="AN1023" s="447">
        <f t="shared" si="213"/>
        <v>0</v>
      </c>
      <c r="AO1023"/>
      <c r="AP1023"/>
    </row>
    <row r="1024" spans="1:42" ht="66" x14ac:dyDescent="0.25">
      <c r="A1024" s="143"/>
      <c r="B1024" s="487" t="s">
        <v>2233</v>
      </c>
      <c r="C1024" s="24"/>
      <c r="D1024" s="875">
        <v>3</v>
      </c>
      <c r="E1024" s="250" t="s">
        <v>1721</v>
      </c>
      <c r="F1024" s="273" t="s">
        <v>3446</v>
      </c>
      <c r="G1024" s="1040" t="s">
        <v>3463</v>
      </c>
      <c r="H1024" s="273" t="s">
        <v>3462</v>
      </c>
      <c r="I1024" s="720">
        <f t="shared" si="225"/>
        <v>57.62</v>
      </c>
      <c r="J1024" s="765">
        <v>172.85999999999999</v>
      </c>
      <c r="K1024" s="131">
        <f t="shared" si="212"/>
        <v>172.85999999999999</v>
      </c>
      <c r="L1024" s="335">
        <f t="shared" si="219"/>
        <v>0</v>
      </c>
      <c r="M1024" s="446"/>
      <c r="N1024" s="446"/>
      <c r="O1024" s="446"/>
      <c r="P1024" s="446"/>
      <c r="Q1024" s="130">
        <v>1</v>
      </c>
      <c r="R1024" s="111">
        <v>57.62</v>
      </c>
      <c r="S1024" s="110"/>
      <c r="T1024" s="110"/>
      <c r="U1024" s="130">
        <v>1</v>
      </c>
      <c r="V1024" s="111">
        <v>57.62</v>
      </c>
      <c r="W1024" s="110"/>
      <c r="X1024" s="110"/>
      <c r="Y1024" s="110"/>
      <c r="Z1024" s="110"/>
      <c r="AA1024" s="130">
        <v>1</v>
      </c>
      <c r="AB1024" s="111">
        <v>57.62</v>
      </c>
      <c r="AC1024" s="110"/>
      <c r="AD1024" s="110"/>
      <c r="AE1024" s="130">
        <v>0</v>
      </c>
      <c r="AF1024" s="111">
        <v>0</v>
      </c>
      <c r="AG1024" s="110"/>
      <c r="AH1024" s="110"/>
      <c r="AI1024" s="110"/>
      <c r="AJ1024" s="110"/>
      <c r="AK1024" s="111">
        <f t="shared" si="222"/>
        <v>172.85999999999999</v>
      </c>
      <c r="AL1024" s="446">
        <f t="shared" si="223"/>
        <v>0</v>
      </c>
      <c r="AM1024" s="110">
        <f t="shared" si="224"/>
        <v>3</v>
      </c>
      <c r="AN1024" s="447">
        <f t="shared" si="213"/>
        <v>0</v>
      </c>
      <c r="AO1024"/>
      <c r="AP1024"/>
    </row>
    <row r="1025" spans="1:42" ht="66" x14ac:dyDescent="0.25">
      <c r="A1025" s="143"/>
      <c r="B1025" s="487" t="s">
        <v>2234</v>
      </c>
      <c r="C1025" s="24"/>
      <c r="D1025" s="875">
        <v>3</v>
      </c>
      <c r="E1025" s="250" t="s">
        <v>1721</v>
      </c>
      <c r="F1025" s="273" t="s">
        <v>3446</v>
      </c>
      <c r="G1025" s="1040" t="s">
        <v>3463</v>
      </c>
      <c r="H1025" s="273" t="s">
        <v>3462</v>
      </c>
      <c r="I1025" s="720">
        <f t="shared" si="225"/>
        <v>57.72</v>
      </c>
      <c r="J1025" s="765">
        <v>173.16</v>
      </c>
      <c r="K1025" s="131">
        <f t="shared" si="212"/>
        <v>173.16</v>
      </c>
      <c r="L1025" s="335">
        <f t="shared" si="219"/>
        <v>0</v>
      </c>
      <c r="M1025" s="446"/>
      <c r="N1025" s="446"/>
      <c r="O1025" s="446"/>
      <c r="P1025" s="446"/>
      <c r="Q1025" s="130">
        <v>1</v>
      </c>
      <c r="R1025" s="111">
        <v>57.72</v>
      </c>
      <c r="S1025" s="110"/>
      <c r="T1025" s="110"/>
      <c r="U1025" s="130">
        <v>1</v>
      </c>
      <c r="V1025" s="111">
        <v>57.72</v>
      </c>
      <c r="W1025" s="110"/>
      <c r="X1025" s="110"/>
      <c r="Y1025" s="110"/>
      <c r="Z1025" s="110"/>
      <c r="AA1025" s="130">
        <v>1</v>
      </c>
      <c r="AB1025" s="111">
        <v>57.72</v>
      </c>
      <c r="AC1025" s="110"/>
      <c r="AD1025" s="110"/>
      <c r="AE1025" s="130">
        <v>0</v>
      </c>
      <c r="AF1025" s="111">
        <v>0</v>
      </c>
      <c r="AG1025" s="110"/>
      <c r="AH1025" s="110"/>
      <c r="AI1025" s="110"/>
      <c r="AJ1025" s="110"/>
      <c r="AK1025" s="111">
        <f t="shared" si="222"/>
        <v>173.16</v>
      </c>
      <c r="AL1025" s="446">
        <f t="shared" si="223"/>
        <v>0</v>
      </c>
      <c r="AM1025" s="110">
        <f t="shared" si="224"/>
        <v>3</v>
      </c>
      <c r="AN1025" s="447">
        <f t="shared" si="213"/>
        <v>0</v>
      </c>
      <c r="AO1025"/>
      <c r="AP1025"/>
    </row>
    <row r="1026" spans="1:42" ht="66" x14ac:dyDescent="0.25">
      <c r="A1026" s="143"/>
      <c r="B1026" s="487" t="s">
        <v>1141</v>
      </c>
      <c r="C1026" s="24"/>
      <c r="D1026" s="875">
        <v>500</v>
      </c>
      <c r="E1026" s="250" t="s">
        <v>2238</v>
      </c>
      <c r="F1026" s="273" t="s">
        <v>3446</v>
      </c>
      <c r="G1026" s="1040" t="s">
        <v>3463</v>
      </c>
      <c r="H1026" s="273" t="s">
        <v>3462</v>
      </c>
      <c r="I1026" s="720">
        <f t="shared" si="225"/>
        <v>5.92</v>
      </c>
      <c r="J1026" s="765">
        <v>2960</v>
      </c>
      <c r="K1026" s="131">
        <f t="shared" si="212"/>
        <v>2960</v>
      </c>
      <c r="L1026" s="335">
        <f t="shared" si="219"/>
        <v>0</v>
      </c>
      <c r="M1026" s="446"/>
      <c r="N1026" s="446"/>
      <c r="O1026" s="446"/>
      <c r="P1026" s="446"/>
      <c r="Q1026" s="110">
        <f t="shared" si="214"/>
        <v>125</v>
      </c>
      <c r="R1026" s="111">
        <f t="shared" si="217"/>
        <v>740</v>
      </c>
      <c r="S1026" s="110"/>
      <c r="T1026" s="110"/>
      <c r="U1026" s="110">
        <f t="shared" si="215"/>
        <v>125</v>
      </c>
      <c r="V1026" s="111">
        <f t="shared" si="218"/>
        <v>740</v>
      </c>
      <c r="W1026" s="110"/>
      <c r="X1026" s="110"/>
      <c r="Y1026" s="110"/>
      <c r="Z1026" s="110"/>
      <c r="AA1026" s="110">
        <f t="shared" si="216"/>
        <v>125</v>
      </c>
      <c r="AB1026" s="111">
        <f t="shared" si="220"/>
        <v>740</v>
      </c>
      <c r="AC1026" s="110"/>
      <c r="AD1026" s="110"/>
      <c r="AE1026" s="110">
        <f t="shared" si="216"/>
        <v>125</v>
      </c>
      <c r="AF1026" s="111">
        <f t="shared" si="221"/>
        <v>740</v>
      </c>
      <c r="AG1026" s="110"/>
      <c r="AH1026" s="110"/>
      <c r="AI1026" s="110"/>
      <c r="AJ1026" s="110"/>
      <c r="AK1026" s="111">
        <f t="shared" si="222"/>
        <v>2960</v>
      </c>
      <c r="AL1026" s="446">
        <f t="shared" si="223"/>
        <v>0</v>
      </c>
      <c r="AM1026" s="110">
        <f t="shared" si="224"/>
        <v>500</v>
      </c>
      <c r="AN1026" s="447">
        <f t="shared" si="213"/>
        <v>0</v>
      </c>
      <c r="AO1026"/>
      <c r="AP1026"/>
    </row>
    <row r="1027" spans="1:42" ht="66" x14ac:dyDescent="0.25">
      <c r="A1027" s="143"/>
      <c r="B1027" s="487" t="s">
        <v>1143</v>
      </c>
      <c r="C1027" s="24"/>
      <c r="D1027" s="875">
        <v>500</v>
      </c>
      <c r="E1027" s="250" t="s">
        <v>2238</v>
      </c>
      <c r="F1027" s="273" t="s">
        <v>3446</v>
      </c>
      <c r="G1027" s="1040" t="s">
        <v>3463</v>
      </c>
      <c r="H1027" s="273" t="s">
        <v>3462</v>
      </c>
      <c r="I1027" s="720">
        <f t="shared" si="225"/>
        <v>4.95</v>
      </c>
      <c r="J1027" s="765">
        <v>2475</v>
      </c>
      <c r="K1027" s="131">
        <f t="shared" si="212"/>
        <v>2475</v>
      </c>
      <c r="L1027" s="335">
        <f t="shared" si="219"/>
        <v>0</v>
      </c>
      <c r="M1027" s="446"/>
      <c r="N1027" s="446"/>
      <c r="O1027" s="446"/>
      <c r="P1027" s="446"/>
      <c r="Q1027" s="110">
        <f t="shared" si="214"/>
        <v>125</v>
      </c>
      <c r="R1027" s="111">
        <f t="shared" si="217"/>
        <v>618.75</v>
      </c>
      <c r="S1027" s="110"/>
      <c r="T1027" s="110"/>
      <c r="U1027" s="110">
        <f t="shared" si="215"/>
        <v>125</v>
      </c>
      <c r="V1027" s="111">
        <f t="shared" si="218"/>
        <v>618.75</v>
      </c>
      <c r="W1027" s="110"/>
      <c r="X1027" s="110"/>
      <c r="Y1027" s="110"/>
      <c r="Z1027" s="110"/>
      <c r="AA1027" s="110">
        <f t="shared" si="216"/>
        <v>125</v>
      </c>
      <c r="AB1027" s="111">
        <f t="shared" si="220"/>
        <v>618.75</v>
      </c>
      <c r="AC1027" s="110"/>
      <c r="AD1027" s="110"/>
      <c r="AE1027" s="110">
        <f t="shared" si="216"/>
        <v>125</v>
      </c>
      <c r="AF1027" s="111">
        <f t="shared" si="221"/>
        <v>618.75</v>
      </c>
      <c r="AG1027" s="110"/>
      <c r="AH1027" s="110"/>
      <c r="AI1027" s="110"/>
      <c r="AJ1027" s="110"/>
      <c r="AK1027" s="111">
        <f t="shared" si="222"/>
        <v>2475</v>
      </c>
      <c r="AL1027" s="446">
        <f t="shared" si="223"/>
        <v>0</v>
      </c>
      <c r="AM1027" s="110">
        <f t="shared" si="224"/>
        <v>500</v>
      </c>
      <c r="AN1027" s="447">
        <f t="shared" si="213"/>
        <v>0</v>
      </c>
      <c r="AO1027"/>
      <c r="AP1027"/>
    </row>
    <row r="1028" spans="1:42" ht="66" x14ac:dyDescent="0.25">
      <c r="A1028" s="143"/>
      <c r="B1028" s="487" t="s">
        <v>1138</v>
      </c>
      <c r="C1028" s="24"/>
      <c r="D1028" s="875">
        <v>500</v>
      </c>
      <c r="E1028" s="250" t="s">
        <v>1721</v>
      </c>
      <c r="F1028" s="273" t="s">
        <v>3446</v>
      </c>
      <c r="G1028" s="1040" t="s">
        <v>3463</v>
      </c>
      <c r="H1028" s="273" t="s">
        <v>3462</v>
      </c>
      <c r="I1028" s="720">
        <f t="shared" si="225"/>
        <v>3.94</v>
      </c>
      <c r="J1028" s="765">
        <v>1970</v>
      </c>
      <c r="K1028" s="131">
        <f t="shared" ref="K1028:K1091" si="226">+D1028*I1028</f>
        <v>1970</v>
      </c>
      <c r="L1028" s="335">
        <f t="shared" si="219"/>
        <v>0</v>
      </c>
      <c r="M1028" s="446"/>
      <c r="N1028" s="446"/>
      <c r="O1028" s="446"/>
      <c r="P1028" s="446"/>
      <c r="Q1028" s="110">
        <f t="shared" si="214"/>
        <v>125</v>
      </c>
      <c r="R1028" s="111">
        <f t="shared" si="217"/>
        <v>492.5</v>
      </c>
      <c r="S1028" s="110"/>
      <c r="T1028" s="110"/>
      <c r="U1028" s="110">
        <f t="shared" si="215"/>
        <v>125</v>
      </c>
      <c r="V1028" s="111">
        <f t="shared" si="218"/>
        <v>492.5</v>
      </c>
      <c r="W1028" s="110"/>
      <c r="X1028" s="110"/>
      <c r="Y1028" s="110"/>
      <c r="Z1028" s="110"/>
      <c r="AA1028" s="110">
        <f t="shared" si="216"/>
        <v>125</v>
      </c>
      <c r="AB1028" s="111">
        <f t="shared" si="220"/>
        <v>492.5</v>
      </c>
      <c r="AC1028" s="110"/>
      <c r="AD1028" s="110"/>
      <c r="AE1028" s="110">
        <f t="shared" si="216"/>
        <v>125</v>
      </c>
      <c r="AF1028" s="111">
        <f t="shared" si="221"/>
        <v>492.5</v>
      </c>
      <c r="AG1028" s="110"/>
      <c r="AH1028" s="110"/>
      <c r="AI1028" s="110"/>
      <c r="AJ1028" s="110"/>
      <c r="AK1028" s="111">
        <f t="shared" si="222"/>
        <v>1970</v>
      </c>
      <c r="AL1028" s="446">
        <f t="shared" si="223"/>
        <v>0</v>
      </c>
      <c r="AM1028" s="110">
        <f t="shared" si="224"/>
        <v>500</v>
      </c>
      <c r="AN1028" s="447">
        <f t="shared" ref="AN1028:AN1091" si="227">+D1028-AM1028</f>
        <v>0</v>
      </c>
      <c r="AO1028"/>
      <c r="AP1028"/>
    </row>
    <row r="1029" spans="1:42" ht="66" x14ac:dyDescent="0.25">
      <c r="A1029" s="143"/>
      <c r="B1029" s="487" t="s">
        <v>2220</v>
      </c>
      <c r="C1029" s="24"/>
      <c r="D1029" s="875">
        <v>4</v>
      </c>
      <c r="E1029" s="250" t="s">
        <v>1873</v>
      </c>
      <c r="F1029" s="273" t="s">
        <v>3446</v>
      </c>
      <c r="G1029" s="1040" t="s">
        <v>3463</v>
      </c>
      <c r="H1029" s="273" t="s">
        <v>3462</v>
      </c>
      <c r="I1029" s="720">
        <f t="shared" si="225"/>
        <v>20.79</v>
      </c>
      <c r="J1029" s="765">
        <v>83.16</v>
      </c>
      <c r="K1029" s="131">
        <f t="shared" si="226"/>
        <v>83.16</v>
      </c>
      <c r="L1029" s="335">
        <f t="shared" si="219"/>
        <v>0</v>
      </c>
      <c r="M1029" s="446"/>
      <c r="N1029" s="446"/>
      <c r="O1029" s="446"/>
      <c r="P1029" s="446"/>
      <c r="Q1029" s="110">
        <f t="shared" si="214"/>
        <v>1</v>
      </c>
      <c r="R1029" s="111">
        <f t="shared" si="217"/>
        <v>20.79</v>
      </c>
      <c r="S1029" s="110"/>
      <c r="T1029" s="110"/>
      <c r="U1029" s="110">
        <f t="shared" si="215"/>
        <v>1</v>
      </c>
      <c r="V1029" s="111">
        <f t="shared" si="218"/>
        <v>20.79</v>
      </c>
      <c r="W1029" s="110"/>
      <c r="X1029" s="110"/>
      <c r="Y1029" s="110"/>
      <c r="Z1029" s="110"/>
      <c r="AA1029" s="110">
        <f t="shared" si="216"/>
        <v>1</v>
      </c>
      <c r="AB1029" s="111">
        <f t="shared" si="220"/>
        <v>20.79</v>
      </c>
      <c r="AC1029" s="110"/>
      <c r="AD1029" s="110"/>
      <c r="AE1029" s="110">
        <f t="shared" si="216"/>
        <v>1</v>
      </c>
      <c r="AF1029" s="111">
        <f t="shared" si="221"/>
        <v>20.79</v>
      </c>
      <c r="AG1029" s="110"/>
      <c r="AH1029" s="110"/>
      <c r="AI1029" s="110"/>
      <c r="AJ1029" s="110"/>
      <c r="AK1029" s="111">
        <f t="shared" si="222"/>
        <v>83.16</v>
      </c>
      <c r="AL1029" s="446">
        <f t="shared" si="223"/>
        <v>0</v>
      </c>
      <c r="AM1029" s="110">
        <f t="shared" si="224"/>
        <v>4</v>
      </c>
      <c r="AN1029" s="447">
        <f t="shared" si="227"/>
        <v>0</v>
      </c>
      <c r="AO1029"/>
      <c r="AP1029"/>
    </row>
    <row r="1030" spans="1:42" ht="66" x14ac:dyDescent="0.25">
      <c r="A1030" s="143"/>
      <c r="B1030" s="487" t="s">
        <v>2235</v>
      </c>
      <c r="C1030" s="24"/>
      <c r="D1030" s="875">
        <v>50</v>
      </c>
      <c r="E1030" s="250" t="s">
        <v>1721</v>
      </c>
      <c r="F1030" s="273" t="s">
        <v>3446</v>
      </c>
      <c r="G1030" s="1040" t="s">
        <v>3463</v>
      </c>
      <c r="H1030" s="273" t="s">
        <v>3462</v>
      </c>
      <c r="I1030" s="720">
        <f t="shared" si="225"/>
        <v>13.9</v>
      </c>
      <c r="J1030" s="765">
        <v>695</v>
      </c>
      <c r="K1030" s="131">
        <f t="shared" si="226"/>
        <v>695</v>
      </c>
      <c r="L1030" s="335">
        <f t="shared" si="219"/>
        <v>0</v>
      </c>
      <c r="M1030" s="446"/>
      <c r="N1030" s="446"/>
      <c r="O1030" s="446"/>
      <c r="P1030" s="446"/>
      <c r="Q1030" s="110">
        <v>13</v>
      </c>
      <c r="R1030" s="111">
        <f t="shared" si="217"/>
        <v>173.75</v>
      </c>
      <c r="S1030" s="110"/>
      <c r="T1030" s="110"/>
      <c r="U1030" s="110">
        <v>12</v>
      </c>
      <c r="V1030" s="111">
        <f t="shared" si="218"/>
        <v>173.75</v>
      </c>
      <c r="W1030" s="110"/>
      <c r="X1030" s="110"/>
      <c r="Y1030" s="110"/>
      <c r="Z1030" s="110"/>
      <c r="AA1030" s="110">
        <v>12</v>
      </c>
      <c r="AB1030" s="111">
        <f t="shared" si="220"/>
        <v>173.75</v>
      </c>
      <c r="AC1030" s="110"/>
      <c r="AD1030" s="110"/>
      <c r="AE1030" s="110">
        <v>13</v>
      </c>
      <c r="AF1030" s="111">
        <f t="shared" si="221"/>
        <v>173.75</v>
      </c>
      <c r="AG1030" s="110"/>
      <c r="AH1030" s="110"/>
      <c r="AI1030" s="110"/>
      <c r="AJ1030" s="110"/>
      <c r="AK1030" s="111">
        <f t="shared" si="222"/>
        <v>695</v>
      </c>
      <c r="AL1030" s="446">
        <f t="shared" si="223"/>
        <v>0</v>
      </c>
      <c r="AM1030" s="110">
        <f t="shared" si="224"/>
        <v>50</v>
      </c>
      <c r="AN1030" s="447">
        <f t="shared" si="227"/>
        <v>0</v>
      </c>
      <c r="AO1030"/>
      <c r="AP1030"/>
    </row>
    <row r="1031" spans="1:42" ht="66" x14ac:dyDescent="0.25">
      <c r="A1031" s="143"/>
      <c r="B1031" s="487" t="s">
        <v>2236</v>
      </c>
      <c r="C1031" s="24"/>
      <c r="D1031" s="875">
        <v>30</v>
      </c>
      <c r="E1031" s="250" t="s">
        <v>1721</v>
      </c>
      <c r="F1031" s="273" t="s">
        <v>3446</v>
      </c>
      <c r="G1031" s="1040" t="s">
        <v>3463</v>
      </c>
      <c r="H1031" s="273" t="s">
        <v>3462</v>
      </c>
      <c r="I1031" s="720">
        <f t="shared" si="225"/>
        <v>35</v>
      </c>
      <c r="J1031" s="765">
        <v>1050</v>
      </c>
      <c r="K1031" s="131">
        <f t="shared" si="226"/>
        <v>1050</v>
      </c>
      <c r="L1031" s="335">
        <f t="shared" si="219"/>
        <v>0</v>
      </c>
      <c r="M1031" s="446"/>
      <c r="N1031" s="446"/>
      <c r="O1031" s="446"/>
      <c r="P1031" s="446"/>
      <c r="Q1031" s="110">
        <v>8</v>
      </c>
      <c r="R1031" s="111">
        <f t="shared" si="217"/>
        <v>262.5</v>
      </c>
      <c r="S1031" s="110"/>
      <c r="T1031" s="110"/>
      <c r="U1031" s="110">
        <v>8</v>
      </c>
      <c r="V1031" s="111">
        <f t="shared" si="218"/>
        <v>262.5</v>
      </c>
      <c r="W1031" s="110"/>
      <c r="X1031" s="110"/>
      <c r="Y1031" s="110"/>
      <c r="Z1031" s="110"/>
      <c r="AA1031" s="110">
        <v>7</v>
      </c>
      <c r="AB1031" s="111">
        <f t="shared" si="220"/>
        <v>262.5</v>
      </c>
      <c r="AC1031" s="110"/>
      <c r="AD1031" s="110"/>
      <c r="AE1031" s="110">
        <v>7</v>
      </c>
      <c r="AF1031" s="111">
        <f t="shared" si="221"/>
        <v>262.5</v>
      </c>
      <c r="AG1031" s="110"/>
      <c r="AH1031" s="110"/>
      <c r="AI1031" s="110"/>
      <c r="AJ1031" s="110"/>
      <c r="AK1031" s="111">
        <f t="shared" si="222"/>
        <v>1050</v>
      </c>
      <c r="AL1031" s="446">
        <f t="shared" si="223"/>
        <v>0</v>
      </c>
      <c r="AM1031" s="110">
        <f t="shared" si="224"/>
        <v>30</v>
      </c>
      <c r="AN1031" s="447">
        <f t="shared" si="227"/>
        <v>0</v>
      </c>
      <c r="AO1031"/>
      <c r="AP1031"/>
    </row>
    <row r="1032" spans="1:42" ht="66" x14ac:dyDescent="0.25">
      <c r="A1032" s="143"/>
      <c r="B1032" s="487" t="s">
        <v>2237</v>
      </c>
      <c r="C1032" s="24"/>
      <c r="D1032" s="875">
        <v>3</v>
      </c>
      <c r="E1032" s="250" t="s">
        <v>2239</v>
      </c>
      <c r="F1032" s="273" t="s">
        <v>3446</v>
      </c>
      <c r="G1032" s="1040" t="s">
        <v>3463</v>
      </c>
      <c r="H1032" s="273" t="s">
        <v>3462</v>
      </c>
      <c r="I1032" s="720">
        <f t="shared" si="225"/>
        <v>60</v>
      </c>
      <c r="J1032" s="765">
        <v>180</v>
      </c>
      <c r="K1032" s="131">
        <f t="shared" si="226"/>
        <v>180</v>
      </c>
      <c r="L1032" s="335">
        <f t="shared" si="219"/>
        <v>0</v>
      </c>
      <c r="M1032" s="446"/>
      <c r="N1032" s="446"/>
      <c r="O1032" s="446"/>
      <c r="P1032" s="446"/>
      <c r="Q1032" s="130">
        <v>1</v>
      </c>
      <c r="R1032" s="111">
        <v>60</v>
      </c>
      <c r="S1032" s="110"/>
      <c r="T1032" s="110"/>
      <c r="U1032" s="130">
        <v>1</v>
      </c>
      <c r="V1032" s="111">
        <v>60</v>
      </c>
      <c r="W1032" s="110"/>
      <c r="X1032" s="110"/>
      <c r="Y1032" s="110"/>
      <c r="Z1032" s="110"/>
      <c r="AA1032" s="130">
        <v>1</v>
      </c>
      <c r="AB1032" s="111">
        <v>60</v>
      </c>
      <c r="AC1032" s="110"/>
      <c r="AD1032" s="110"/>
      <c r="AE1032" s="130">
        <v>0</v>
      </c>
      <c r="AF1032" s="111">
        <v>0</v>
      </c>
      <c r="AG1032" s="110"/>
      <c r="AH1032" s="110"/>
      <c r="AI1032" s="110"/>
      <c r="AJ1032" s="110"/>
      <c r="AK1032" s="111">
        <f t="shared" si="222"/>
        <v>180</v>
      </c>
      <c r="AL1032" s="446">
        <f t="shared" si="223"/>
        <v>0</v>
      </c>
      <c r="AM1032" s="110">
        <f t="shared" si="224"/>
        <v>3</v>
      </c>
      <c r="AN1032" s="447">
        <f t="shared" si="227"/>
        <v>0</v>
      </c>
      <c r="AO1032"/>
      <c r="AP1032"/>
    </row>
    <row r="1033" spans="1:42" ht="66" x14ac:dyDescent="0.25">
      <c r="A1033" s="143"/>
      <c r="B1033" s="227" t="s">
        <v>2500</v>
      </c>
      <c r="C1033" s="24"/>
      <c r="D1033" s="876">
        <v>19</v>
      </c>
      <c r="E1033" s="1025" t="s">
        <v>1725</v>
      </c>
      <c r="F1033" s="273" t="s">
        <v>3446</v>
      </c>
      <c r="G1033" s="1040" t="s">
        <v>3463</v>
      </c>
      <c r="H1033" s="273" t="s">
        <v>3462</v>
      </c>
      <c r="I1033" s="720">
        <f t="shared" si="225"/>
        <v>109.3</v>
      </c>
      <c r="J1033" s="765">
        <v>2076.6999999999998</v>
      </c>
      <c r="K1033" s="131">
        <f t="shared" si="226"/>
        <v>2076.6999999999998</v>
      </c>
      <c r="L1033" s="335">
        <f t="shared" si="219"/>
        <v>0</v>
      </c>
      <c r="M1033" s="446"/>
      <c r="N1033" s="446"/>
      <c r="O1033" s="446"/>
      <c r="P1033" s="446"/>
      <c r="Q1033" s="110">
        <v>5</v>
      </c>
      <c r="R1033" s="111">
        <f t="shared" si="217"/>
        <v>519.17499999999995</v>
      </c>
      <c r="S1033" s="110"/>
      <c r="T1033" s="110"/>
      <c r="U1033" s="110">
        <v>5</v>
      </c>
      <c r="V1033" s="111">
        <f t="shared" si="218"/>
        <v>519.17499999999995</v>
      </c>
      <c r="W1033" s="110"/>
      <c r="X1033" s="110"/>
      <c r="Y1033" s="110"/>
      <c r="Z1033" s="110"/>
      <c r="AA1033" s="110">
        <v>5</v>
      </c>
      <c r="AB1033" s="111">
        <f t="shared" si="220"/>
        <v>519.17499999999995</v>
      </c>
      <c r="AC1033" s="110"/>
      <c r="AD1033" s="110"/>
      <c r="AE1033" s="110">
        <v>4</v>
      </c>
      <c r="AF1033" s="111">
        <f t="shared" si="221"/>
        <v>519.17499999999995</v>
      </c>
      <c r="AG1033" s="110"/>
      <c r="AH1033" s="110"/>
      <c r="AI1033" s="110"/>
      <c r="AJ1033" s="110"/>
      <c r="AK1033" s="111">
        <f t="shared" si="222"/>
        <v>2076.6999999999998</v>
      </c>
      <c r="AL1033" s="446">
        <f t="shared" si="223"/>
        <v>0</v>
      </c>
      <c r="AM1033" s="110">
        <f t="shared" si="224"/>
        <v>19</v>
      </c>
      <c r="AN1033" s="447">
        <f t="shared" si="227"/>
        <v>0</v>
      </c>
      <c r="AO1033"/>
      <c r="AP1033"/>
    </row>
    <row r="1034" spans="1:42" ht="66" x14ac:dyDescent="0.25">
      <c r="A1034" s="143"/>
      <c r="B1034" s="227" t="s">
        <v>2501</v>
      </c>
      <c r="C1034" s="24"/>
      <c r="D1034" s="876">
        <v>14</v>
      </c>
      <c r="E1034" s="1025" t="s">
        <v>1725</v>
      </c>
      <c r="F1034" s="273" t="s">
        <v>3446</v>
      </c>
      <c r="G1034" s="1040" t="s">
        <v>3463</v>
      </c>
      <c r="H1034" s="273" t="s">
        <v>3462</v>
      </c>
      <c r="I1034" s="720">
        <f t="shared" si="225"/>
        <v>171.71</v>
      </c>
      <c r="J1034" s="765">
        <v>2403.94</v>
      </c>
      <c r="K1034" s="131">
        <f t="shared" si="226"/>
        <v>2403.94</v>
      </c>
      <c r="L1034" s="335">
        <f t="shared" si="219"/>
        <v>0</v>
      </c>
      <c r="M1034" s="446"/>
      <c r="N1034" s="446"/>
      <c r="O1034" s="446"/>
      <c r="P1034" s="446"/>
      <c r="Q1034" s="110">
        <f t="shared" si="214"/>
        <v>3.5</v>
      </c>
      <c r="R1034" s="111">
        <f t="shared" si="217"/>
        <v>600.98500000000001</v>
      </c>
      <c r="S1034" s="110"/>
      <c r="T1034" s="110"/>
      <c r="U1034" s="110">
        <f t="shared" si="215"/>
        <v>3.5</v>
      </c>
      <c r="V1034" s="111">
        <f t="shared" si="218"/>
        <v>600.98500000000001</v>
      </c>
      <c r="W1034" s="110"/>
      <c r="X1034" s="110"/>
      <c r="Y1034" s="110"/>
      <c r="Z1034" s="110"/>
      <c r="AA1034" s="110">
        <f t="shared" si="216"/>
        <v>3.5</v>
      </c>
      <c r="AB1034" s="111">
        <f t="shared" si="220"/>
        <v>600.98500000000001</v>
      </c>
      <c r="AC1034" s="110"/>
      <c r="AD1034" s="110"/>
      <c r="AE1034" s="110">
        <f t="shared" si="216"/>
        <v>3.5</v>
      </c>
      <c r="AF1034" s="111">
        <f t="shared" si="221"/>
        <v>600.98500000000001</v>
      </c>
      <c r="AG1034" s="110"/>
      <c r="AH1034" s="110"/>
      <c r="AI1034" s="110"/>
      <c r="AJ1034" s="110"/>
      <c r="AK1034" s="111">
        <f t="shared" si="222"/>
        <v>2403.94</v>
      </c>
      <c r="AL1034" s="446">
        <f t="shared" si="223"/>
        <v>0</v>
      </c>
      <c r="AM1034" s="110">
        <f t="shared" si="224"/>
        <v>14</v>
      </c>
      <c r="AN1034" s="447">
        <f t="shared" si="227"/>
        <v>0</v>
      </c>
      <c r="AO1034"/>
      <c r="AP1034"/>
    </row>
    <row r="1035" spans="1:42" ht="66" x14ac:dyDescent="0.25">
      <c r="A1035" s="143"/>
      <c r="B1035" s="227" t="s">
        <v>2502</v>
      </c>
      <c r="C1035" s="24"/>
      <c r="D1035" s="876">
        <v>2</v>
      </c>
      <c r="E1035" s="1025" t="s">
        <v>1725</v>
      </c>
      <c r="F1035" s="273" t="s">
        <v>3446</v>
      </c>
      <c r="G1035" s="1040" t="s">
        <v>3463</v>
      </c>
      <c r="H1035" s="273" t="s">
        <v>3462</v>
      </c>
      <c r="I1035" s="720">
        <f t="shared" si="225"/>
        <v>226.01</v>
      </c>
      <c r="J1035" s="765">
        <v>452.02</v>
      </c>
      <c r="K1035" s="131">
        <f t="shared" si="226"/>
        <v>452.02</v>
      </c>
      <c r="L1035" s="335">
        <f t="shared" si="219"/>
        <v>0</v>
      </c>
      <c r="M1035" s="446"/>
      <c r="N1035" s="446"/>
      <c r="O1035" s="446"/>
      <c r="P1035" s="446"/>
      <c r="Q1035" s="130">
        <v>1</v>
      </c>
      <c r="R1035" s="111">
        <v>226.01</v>
      </c>
      <c r="S1035" s="110"/>
      <c r="T1035" s="110"/>
      <c r="U1035" s="130">
        <v>1</v>
      </c>
      <c r="V1035" s="111">
        <v>226.01</v>
      </c>
      <c r="W1035" s="110"/>
      <c r="X1035" s="110"/>
      <c r="Y1035" s="110"/>
      <c r="Z1035" s="110"/>
      <c r="AA1035" s="130">
        <v>0</v>
      </c>
      <c r="AB1035" s="111">
        <v>0</v>
      </c>
      <c r="AC1035" s="110"/>
      <c r="AD1035" s="110"/>
      <c r="AE1035" s="130">
        <v>0</v>
      </c>
      <c r="AF1035" s="111">
        <v>0</v>
      </c>
      <c r="AG1035" s="110"/>
      <c r="AH1035" s="110"/>
      <c r="AI1035" s="110"/>
      <c r="AJ1035" s="110"/>
      <c r="AK1035" s="111">
        <f t="shared" si="222"/>
        <v>452.02</v>
      </c>
      <c r="AL1035" s="446">
        <f t="shared" si="223"/>
        <v>0</v>
      </c>
      <c r="AM1035" s="110">
        <f t="shared" si="224"/>
        <v>2</v>
      </c>
      <c r="AN1035" s="447">
        <f t="shared" si="227"/>
        <v>0</v>
      </c>
      <c r="AO1035"/>
      <c r="AP1035"/>
    </row>
    <row r="1036" spans="1:42" ht="66" x14ac:dyDescent="0.25">
      <c r="A1036" s="143"/>
      <c r="B1036" s="227" t="s">
        <v>2503</v>
      </c>
      <c r="C1036" s="24"/>
      <c r="D1036" s="876">
        <v>3</v>
      </c>
      <c r="E1036" s="247" t="s">
        <v>1725</v>
      </c>
      <c r="F1036" s="273" t="s">
        <v>3446</v>
      </c>
      <c r="G1036" s="1040" t="s">
        <v>3463</v>
      </c>
      <c r="H1036" s="273" t="s">
        <v>3462</v>
      </c>
      <c r="I1036" s="720">
        <f t="shared" si="225"/>
        <v>260.45999999999998</v>
      </c>
      <c r="J1036" s="765">
        <v>781.37999999999988</v>
      </c>
      <c r="K1036" s="131">
        <f t="shared" si="226"/>
        <v>781.37999999999988</v>
      </c>
      <c r="L1036" s="335">
        <f t="shared" si="219"/>
        <v>0</v>
      </c>
      <c r="M1036" s="446"/>
      <c r="N1036" s="446"/>
      <c r="O1036" s="446"/>
      <c r="P1036" s="446"/>
      <c r="Q1036" s="130">
        <v>1</v>
      </c>
      <c r="R1036" s="111">
        <v>260.45999999999998</v>
      </c>
      <c r="S1036" s="110"/>
      <c r="T1036" s="110"/>
      <c r="U1036" s="130">
        <v>1</v>
      </c>
      <c r="V1036" s="111">
        <v>260.45999999999998</v>
      </c>
      <c r="W1036" s="110"/>
      <c r="X1036" s="110"/>
      <c r="Y1036" s="110"/>
      <c r="Z1036" s="110"/>
      <c r="AA1036" s="130">
        <v>1</v>
      </c>
      <c r="AB1036" s="111">
        <v>260.45999999999998</v>
      </c>
      <c r="AC1036" s="110"/>
      <c r="AD1036" s="110"/>
      <c r="AE1036" s="130">
        <v>0</v>
      </c>
      <c r="AF1036" s="111">
        <v>0</v>
      </c>
      <c r="AG1036" s="110"/>
      <c r="AH1036" s="110"/>
      <c r="AI1036" s="110"/>
      <c r="AJ1036" s="110"/>
      <c r="AK1036" s="111">
        <f t="shared" si="222"/>
        <v>781.37999999999988</v>
      </c>
      <c r="AL1036" s="446">
        <f t="shared" si="223"/>
        <v>0</v>
      </c>
      <c r="AM1036" s="110">
        <f t="shared" si="224"/>
        <v>3</v>
      </c>
      <c r="AN1036" s="447">
        <f t="shared" si="227"/>
        <v>0</v>
      </c>
      <c r="AO1036"/>
      <c r="AP1036"/>
    </row>
    <row r="1037" spans="1:42" ht="66" x14ac:dyDescent="0.25">
      <c r="A1037" s="143"/>
      <c r="B1037" s="227" t="s">
        <v>2504</v>
      </c>
      <c r="C1037" s="24"/>
      <c r="D1037" s="876">
        <v>3</v>
      </c>
      <c r="E1037" s="1025" t="s">
        <v>1725</v>
      </c>
      <c r="F1037" s="273" t="s">
        <v>3446</v>
      </c>
      <c r="G1037" s="1040" t="s">
        <v>3463</v>
      </c>
      <c r="H1037" s="273" t="s">
        <v>3462</v>
      </c>
      <c r="I1037" s="720">
        <f t="shared" si="225"/>
        <v>96.469999999999985</v>
      </c>
      <c r="J1037" s="765">
        <v>289.40999999999997</v>
      </c>
      <c r="K1037" s="131">
        <f t="shared" si="226"/>
        <v>289.40999999999997</v>
      </c>
      <c r="L1037" s="335">
        <f t="shared" si="219"/>
        <v>0</v>
      </c>
      <c r="M1037" s="446"/>
      <c r="N1037" s="446"/>
      <c r="O1037" s="446"/>
      <c r="P1037" s="446"/>
      <c r="Q1037" s="130">
        <v>1</v>
      </c>
      <c r="R1037" s="111">
        <v>96.47</v>
      </c>
      <c r="S1037" s="110"/>
      <c r="T1037" s="110"/>
      <c r="U1037" s="130">
        <v>1</v>
      </c>
      <c r="V1037" s="111">
        <v>96.47</v>
      </c>
      <c r="W1037" s="110"/>
      <c r="X1037" s="110"/>
      <c r="Y1037" s="110"/>
      <c r="Z1037" s="110"/>
      <c r="AA1037" s="130">
        <v>1</v>
      </c>
      <c r="AB1037" s="111">
        <v>96.47</v>
      </c>
      <c r="AC1037" s="110"/>
      <c r="AD1037" s="110"/>
      <c r="AE1037" s="130">
        <v>0</v>
      </c>
      <c r="AF1037" s="111">
        <v>0</v>
      </c>
      <c r="AG1037" s="110"/>
      <c r="AH1037" s="110"/>
      <c r="AI1037" s="110"/>
      <c r="AJ1037" s="110"/>
      <c r="AK1037" s="111">
        <f t="shared" si="222"/>
        <v>289.40999999999997</v>
      </c>
      <c r="AL1037" s="446">
        <f t="shared" si="223"/>
        <v>0</v>
      </c>
      <c r="AM1037" s="110">
        <f t="shared" si="224"/>
        <v>3</v>
      </c>
      <c r="AN1037" s="447">
        <f t="shared" si="227"/>
        <v>0</v>
      </c>
      <c r="AO1037"/>
      <c r="AP1037"/>
    </row>
    <row r="1038" spans="1:42" ht="66" x14ac:dyDescent="0.25">
      <c r="A1038" s="143"/>
      <c r="B1038" s="227" t="s">
        <v>2505</v>
      </c>
      <c r="C1038" s="24"/>
      <c r="D1038" s="876">
        <v>2</v>
      </c>
      <c r="E1038" s="1025" t="s">
        <v>1725</v>
      </c>
      <c r="F1038" s="273" t="s">
        <v>3446</v>
      </c>
      <c r="G1038" s="1040" t="s">
        <v>3463</v>
      </c>
      <c r="H1038" s="273" t="s">
        <v>3462</v>
      </c>
      <c r="I1038" s="720">
        <f t="shared" si="225"/>
        <v>179.15</v>
      </c>
      <c r="J1038" s="765">
        <v>358.3</v>
      </c>
      <c r="K1038" s="131">
        <f t="shared" si="226"/>
        <v>358.3</v>
      </c>
      <c r="L1038" s="335">
        <f t="shared" si="219"/>
        <v>0</v>
      </c>
      <c r="M1038" s="446"/>
      <c r="N1038" s="446"/>
      <c r="O1038" s="446"/>
      <c r="P1038" s="446"/>
      <c r="Q1038" s="130">
        <v>1</v>
      </c>
      <c r="R1038" s="111">
        <v>179.15</v>
      </c>
      <c r="S1038" s="110"/>
      <c r="T1038" s="110"/>
      <c r="U1038" s="130">
        <v>1</v>
      </c>
      <c r="V1038" s="111">
        <v>179.15</v>
      </c>
      <c r="W1038" s="110"/>
      <c r="X1038" s="110"/>
      <c r="Y1038" s="110"/>
      <c r="Z1038" s="110"/>
      <c r="AA1038" s="130">
        <v>0</v>
      </c>
      <c r="AB1038" s="111">
        <v>0</v>
      </c>
      <c r="AC1038" s="110"/>
      <c r="AD1038" s="110"/>
      <c r="AE1038" s="130">
        <v>0</v>
      </c>
      <c r="AF1038" s="111">
        <v>0</v>
      </c>
      <c r="AG1038" s="110"/>
      <c r="AH1038" s="110"/>
      <c r="AI1038" s="110"/>
      <c r="AJ1038" s="110"/>
      <c r="AK1038" s="111">
        <f t="shared" si="222"/>
        <v>358.3</v>
      </c>
      <c r="AL1038" s="446">
        <f t="shared" si="223"/>
        <v>0</v>
      </c>
      <c r="AM1038" s="110">
        <f t="shared" si="224"/>
        <v>2</v>
      </c>
      <c r="AN1038" s="447">
        <f t="shared" si="227"/>
        <v>0</v>
      </c>
      <c r="AO1038"/>
      <c r="AP1038"/>
    </row>
    <row r="1039" spans="1:42" ht="66" x14ac:dyDescent="0.25">
      <c r="A1039" s="143"/>
      <c r="B1039" s="227" t="s">
        <v>2506</v>
      </c>
      <c r="C1039" s="24"/>
      <c r="D1039" s="876">
        <v>5</v>
      </c>
      <c r="E1039" s="1025" t="s">
        <v>1721</v>
      </c>
      <c r="F1039" s="273" t="s">
        <v>3446</v>
      </c>
      <c r="G1039" s="1040" t="s">
        <v>3463</v>
      </c>
      <c r="H1039" s="273" t="s">
        <v>3462</v>
      </c>
      <c r="I1039" s="720">
        <f t="shared" si="225"/>
        <v>18.600000000000001</v>
      </c>
      <c r="J1039" s="765">
        <v>93</v>
      </c>
      <c r="K1039" s="131">
        <f t="shared" si="226"/>
        <v>93</v>
      </c>
      <c r="L1039" s="335">
        <f t="shared" si="219"/>
        <v>0</v>
      </c>
      <c r="M1039" s="446"/>
      <c r="N1039" s="446"/>
      <c r="O1039" s="446"/>
      <c r="P1039" s="446"/>
      <c r="Q1039" s="110">
        <v>2</v>
      </c>
      <c r="R1039" s="111">
        <f t="shared" si="217"/>
        <v>23.25</v>
      </c>
      <c r="S1039" s="110"/>
      <c r="T1039" s="110"/>
      <c r="U1039" s="110">
        <v>1</v>
      </c>
      <c r="V1039" s="111">
        <f t="shared" si="218"/>
        <v>23.25</v>
      </c>
      <c r="W1039" s="110"/>
      <c r="X1039" s="110"/>
      <c r="Y1039" s="110"/>
      <c r="Z1039" s="110"/>
      <c r="AA1039" s="110">
        <v>1</v>
      </c>
      <c r="AB1039" s="111">
        <f t="shared" si="220"/>
        <v>23.25</v>
      </c>
      <c r="AC1039" s="110"/>
      <c r="AD1039" s="110"/>
      <c r="AE1039" s="110">
        <v>1</v>
      </c>
      <c r="AF1039" s="111">
        <f t="shared" si="221"/>
        <v>23.25</v>
      </c>
      <c r="AG1039" s="110"/>
      <c r="AH1039" s="110"/>
      <c r="AI1039" s="110"/>
      <c r="AJ1039" s="110"/>
      <c r="AK1039" s="111">
        <f t="shared" si="222"/>
        <v>93</v>
      </c>
      <c r="AL1039" s="446">
        <f t="shared" si="223"/>
        <v>0</v>
      </c>
      <c r="AM1039" s="110">
        <f t="shared" si="224"/>
        <v>5</v>
      </c>
      <c r="AN1039" s="447">
        <f t="shared" si="227"/>
        <v>0</v>
      </c>
      <c r="AO1039"/>
      <c r="AP1039"/>
    </row>
    <row r="1040" spans="1:42" ht="66" x14ac:dyDescent="0.25">
      <c r="A1040" s="143"/>
      <c r="B1040" s="227" t="s">
        <v>2507</v>
      </c>
      <c r="C1040" s="24"/>
      <c r="D1040" s="876">
        <v>1</v>
      </c>
      <c r="E1040" s="1025" t="s">
        <v>1725</v>
      </c>
      <c r="F1040" s="273" t="s">
        <v>3446</v>
      </c>
      <c r="G1040" s="1040" t="s">
        <v>3463</v>
      </c>
      <c r="H1040" s="273" t="s">
        <v>3462</v>
      </c>
      <c r="I1040" s="720">
        <f t="shared" si="225"/>
        <v>125.41</v>
      </c>
      <c r="J1040" s="765">
        <v>125.41</v>
      </c>
      <c r="K1040" s="131">
        <f t="shared" si="226"/>
        <v>125.41</v>
      </c>
      <c r="L1040" s="335">
        <f t="shared" si="219"/>
        <v>0</v>
      </c>
      <c r="M1040" s="446"/>
      <c r="N1040" s="446"/>
      <c r="O1040" s="446"/>
      <c r="P1040" s="446"/>
      <c r="Q1040" s="110">
        <v>1</v>
      </c>
      <c r="R1040" s="111">
        <v>125.41</v>
      </c>
      <c r="S1040" s="110"/>
      <c r="T1040" s="110"/>
      <c r="U1040" s="110">
        <v>0</v>
      </c>
      <c r="V1040" s="111">
        <v>0</v>
      </c>
      <c r="W1040" s="110"/>
      <c r="X1040" s="110"/>
      <c r="Y1040" s="110"/>
      <c r="Z1040" s="110"/>
      <c r="AA1040" s="110">
        <v>0</v>
      </c>
      <c r="AB1040" s="111">
        <v>0</v>
      </c>
      <c r="AC1040" s="110"/>
      <c r="AD1040" s="110"/>
      <c r="AE1040" s="110">
        <v>0</v>
      </c>
      <c r="AF1040" s="111">
        <v>0</v>
      </c>
      <c r="AG1040" s="110"/>
      <c r="AH1040" s="110"/>
      <c r="AI1040" s="110"/>
      <c r="AJ1040" s="110"/>
      <c r="AK1040" s="111">
        <f t="shared" si="222"/>
        <v>125.41</v>
      </c>
      <c r="AL1040" s="446">
        <f t="shared" si="223"/>
        <v>0</v>
      </c>
      <c r="AM1040" s="110">
        <f t="shared" si="224"/>
        <v>1</v>
      </c>
      <c r="AN1040" s="447">
        <f t="shared" si="227"/>
        <v>0</v>
      </c>
      <c r="AO1040"/>
      <c r="AP1040"/>
    </row>
    <row r="1041" spans="1:42" ht="66" x14ac:dyDescent="0.25">
      <c r="A1041" s="143"/>
      <c r="B1041" s="227" t="s">
        <v>2508</v>
      </c>
      <c r="C1041" s="24"/>
      <c r="D1041" s="876">
        <v>1</v>
      </c>
      <c r="E1041" s="1025" t="s">
        <v>1725</v>
      </c>
      <c r="F1041" s="273" t="s">
        <v>3446</v>
      </c>
      <c r="G1041" s="1040" t="s">
        <v>3463</v>
      </c>
      <c r="H1041" s="273" t="s">
        <v>3462</v>
      </c>
      <c r="I1041" s="720">
        <f t="shared" si="225"/>
        <v>31.01</v>
      </c>
      <c r="J1041" s="765">
        <v>31.01</v>
      </c>
      <c r="K1041" s="131">
        <f t="shared" si="226"/>
        <v>31.01</v>
      </c>
      <c r="L1041" s="335">
        <f t="shared" si="219"/>
        <v>0</v>
      </c>
      <c r="M1041" s="446"/>
      <c r="N1041" s="446"/>
      <c r="O1041" s="446"/>
      <c r="P1041" s="446"/>
      <c r="Q1041" s="110">
        <v>0</v>
      </c>
      <c r="R1041" s="111">
        <v>0</v>
      </c>
      <c r="S1041" s="110"/>
      <c r="T1041" s="110"/>
      <c r="U1041" s="110">
        <v>1</v>
      </c>
      <c r="V1041" s="111">
        <v>31.01</v>
      </c>
      <c r="W1041" s="110"/>
      <c r="X1041" s="110"/>
      <c r="Y1041" s="110"/>
      <c r="Z1041" s="110"/>
      <c r="AA1041" s="110">
        <v>0</v>
      </c>
      <c r="AB1041" s="111">
        <v>0</v>
      </c>
      <c r="AC1041" s="110"/>
      <c r="AD1041" s="110"/>
      <c r="AE1041" s="110">
        <v>0</v>
      </c>
      <c r="AF1041" s="111">
        <v>0</v>
      </c>
      <c r="AG1041" s="110"/>
      <c r="AH1041" s="110"/>
      <c r="AI1041" s="110"/>
      <c r="AJ1041" s="110"/>
      <c r="AK1041" s="111">
        <f t="shared" si="222"/>
        <v>31.01</v>
      </c>
      <c r="AL1041" s="446">
        <f t="shared" si="223"/>
        <v>0</v>
      </c>
      <c r="AM1041" s="110">
        <f t="shared" si="224"/>
        <v>1</v>
      </c>
      <c r="AN1041" s="447">
        <f t="shared" si="227"/>
        <v>0</v>
      </c>
      <c r="AO1041"/>
      <c r="AP1041"/>
    </row>
    <row r="1042" spans="1:42" ht="66" x14ac:dyDescent="0.25">
      <c r="A1042" s="143"/>
      <c r="B1042" s="227" t="s">
        <v>2509</v>
      </c>
      <c r="C1042" s="24"/>
      <c r="D1042" s="876">
        <v>4</v>
      </c>
      <c r="E1042" s="1025" t="s">
        <v>1725</v>
      </c>
      <c r="F1042" s="273" t="s">
        <v>3446</v>
      </c>
      <c r="G1042" s="1040" t="s">
        <v>3463</v>
      </c>
      <c r="H1042" s="273" t="s">
        <v>3462</v>
      </c>
      <c r="I1042" s="720">
        <f t="shared" si="225"/>
        <v>46.17</v>
      </c>
      <c r="J1042" s="765">
        <v>184.68</v>
      </c>
      <c r="K1042" s="131">
        <f t="shared" si="226"/>
        <v>184.68</v>
      </c>
      <c r="L1042" s="335">
        <f t="shared" si="219"/>
        <v>0</v>
      </c>
      <c r="M1042" s="446"/>
      <c r="N1042" s="446"/>
      <c r="O1042" s="446"/>
      <c r="P1042" s="446"/>
      <c r="Q1042" s="110">
        <f t="shared" si="214"/>
        <v>1</v>
      </c>
      <c r="R1042" s="111">
        <f t="shared" si="217"/>
        <v>46.17</v>
      </c>
      <c r="S1042" s="110"/>
      <c r="T1042" s="110"/>
      <c r="U1042" s="110">
        <f t="shared" si="215"/>
        <v>1</v>
      </c>
      <c r="V1042" s="111">
        <f t="shared" si="218"/>
        <v>46.17</v>
      </c>
      <c r="W1042" s="110"/>
      <c r="X1042" s="110"/>
      <c r="Y1042" s="110"/>
      <c r="Z1042" s="110"/>
      <c r="AA1042" s="110">
        <f t="shared" si="216"/>
        <v>1</v>
      </c>
      <c r="AB1042" s="111">
        <f t="shared" si="220"/>
        <v>46.17</v>
      </c>
      <c r="AC1042" s="110"/>
      <c r="AD1042" s="110"/>
      <c r="AE1042" s="110">
        <f t="shared" si="216"/>
        <v>1</v>
      </c>
      <c r="AF1042" s="111">
        <f t="shared" si="221"/>
        <v>46.17</v>
      </c>
      <c r="AG1042" s="110"/>
      <c r="AH1042" s="110"/>
      <c r="AI1042" s="110"/>
      <c r="AJ1042" s="110"/>
      <c r="AK1042" s="111">
        <f t="shared" si="222"/>
        <v>184.68</v>
      </c>
      <c r="AL1042" s="446">
        <f t="shared" si="223"/>
        <v>0</v>
      </c>
      <c r="AM1042" s="110">
        <f t="shared" si="224"/>
        <v>4</v>
      </c>
      <c r="AN1042" s="447">
        <f t="shared" si="227"/>
        <v>0</v>
      </c>
      <c r="AO1042"/>
      <c r="AP1042"/>
    </row>
    <row r="1043" spans="1:42" ht="66" x14ac:dyDescent="0.25">
      <c r="A1043" s="143"/>
      <c r="B1043" s="509" t="s">
        <v>131</v>
      </c>
      <c r="C1043" s="24"/>
      <c r="D1043" s="888">
        <v>5</v>
      </c>
      <c r="E1043" s="113" t="s">
        <v>1721</v>
      </c>
      <c r="F1043" s="273" t="s">
        <v>3446</v>
      </c>
      <c r="G1043" s="1040" t="s">
        <v>3463</v>
      </c>
      <c r="H1043" s="273" t="s">
        <v>3462</v>
      </c>
      <c r="I1043" s="720">
        <f t="shared" si="225"/>
        <v>4.75</v>
      </c>
      <c r="J1043" s="765">
        <v>23.75</v>
      </c>
      <c r="K1043" s="131">
        <f t="shared" si="226"/>
        <v>23.75</v>
      </c>
      <c r="L1043" s="335">
        <f t="shared" si="219"/>
        <v>0</v>
      </c>
      <c r="M1043" s="446"/>
      <c r="N1043" s="446"/>
      <c r="O1043" s="446"/>
      <c r="P1043" s="446"/>
      <c r="Q1043" s="110">
        <v>2</v>
      </c>
      <c r="R1043" s="111">
        <f t="shared" si="217"/>
        <v>5.9375</v>
      </c>
      <c r="S1043" s="110"/>
      <c r="T1043" s="110"/>
      <c r="U1043" s="110">
        <v>1</v>
      </c>
      <c r="V1043" s="111">
        <f t="shared" si="218"/>
        <v>5.9375</v>
      </c>
      <c r="W1043" s="110"/>
      <c r="X1043" s="110"/>
      <c r="Y1043" s="110"/>
      <c r="Z1043" s="110"/>
      <c r="AA1043" s="110">
        <v>1</v>
      </c>
      <c r="AB1043" s="111">
        <f t="shared" si="220"/>
        <v>5.9375</v>
      </c>
      <c r="AC1043" s="110"/>
      <c r="AD1043" s="110"/>
      <c r="AE1043" s="110">
        <v>1</v>
      </c>
      <c r="AF1043" s="111">
        <f t="shared" si="221"/>
        <v>5.9375</v>
      </c>
      <c r="AG1043" s="110"/>
      <c r="AH1043" s="110"/>
      <c r="AI1043" s="110"/>
      <c r="AJ1043" s="110"/>
      <c r="AK1043" s="111">
        <f t="shared" si="222"/>
        <v>23.75</v>
      </c>
      <c r="AL1043" s="446">
        <f t="shared" si="223"/>
        <v>0</v>
      </c>
      <c r="AM1043" s="110">
        <f t="shared" si="224"/>
        <v>5</v>
      </c>
      <c r="AN1043" s="447">
        <f t="shared" si="227"/>
        <v>0</v>
      </c>
      <c r="AO1043"/>
      <c r="AP1043"/>
    </row>
    <row r="1044" spans="1:42" ht="66" x14ac:dyDescent="0.25">
      <c r="A1044" s="143"/>
      <c r="B1044" s="227" t="s">
        <v>2510</v>
      </c>
      <c r="C1044" s="24"/>
      <c r="D1044" s="876">
        <v>2</v>
      </c>
      <c r="E1044" s="1025" t="s">
        <v>1725</v>
      </c>
      <c r="F1044" s="273" t="s">
        <v>3446</v>
      </c>
      <c r="G1044" s="1040" t="s">
        <v>3463</v>
      </c>
      <c r="H1044" s="273" t="s">
        <v>3462</v>
      </c>
      <c r="I1044" s="720">
        <f t="shared" si="225"/>
        <v>111.62</v>
      </c>
      <c r="J1044" s="765">
        <v>223.24</v>
      </c>
      <c r="K1044" s="131">
        <f t="shared" si="226"/>
        <v>223.24</v>
      </c>
      <c r="L1044" s="335">
        <f t="shared" si="219"/>
        <v>0</v>
      </c>
      <c r="M1044" s="446"/>
      <c r="N1044" s="446"/>
      <c r="O1044" s="446"/>
      <c r="P1044" s="446"/>
      <c r="Q1044" s="130">
        <v>0</v>
      </c>
      <c r="R1044" s="111">
        <v>0</v>
      </c>
      <c r="S1044" s="110"/>
      <c r="T1044" s="110"/>
      <c r="U1044" s="130">
        <v>1</v>
      </c>
      <c r="V1044" s="111">
        <v>111.62</v>
      </c>
      <c r="W1044" s="110"/>
      <c r="X1044" s="110"/>
      <c r="Y1044" s="110"/>
      <c r="Z1044" s="110"/>
      <c r="AA1044" s="130">
        <v>1</v>
      </c>
      <c r="AB1044" s="111">
        <v>111.62</v>
      </c>
      <c r="AC1044" s="110"/>
      <c r="AD1044" s="110"/>
      <c r="AE1044" s="130">
        <v>0</v>
      </c>
      <c r="AF1044" s="111">
        <v>0</v>
      </c>
      <c r="AG1044" s="110"/>
      <c r="AH1044" s="110"/>
      <c r="AI1044" s="110"/>
      <c r="AJ1044" s="110"/>
      <c r="AK1044" s="111">
        <f t="shared" si="222"/>
        <v>223.24</v>
      </c>
      <c r="AL1044" s="446">
        <f t="shared" si="223"/>
        <v>0</v>
      </c>
      <c r="AM1044" s="110">
        <f t="shared" si="224"/>
        <v>2</v>
      </c>
      <c r="AN1044" s="447">
        <f t="shared" si="227"/>
        <v>0</v>
      </c>
      <c r="AO1044"/>
      <c r="AP1044"/>
    </row>
    <row r="1045" spans="1:42" ht="66" x14ac:dyDescent="0.25">
      <c r="A1045" s="143"/>
      <c r="B1045" s="227" t="s">
        <v>2511</v>
      </c>
      <c r="C1045" s="24"/>
      <c r="D1045" s="876">
        <v>5</v>
      </c>
      <c r="E1045" s="1025" t="s">
        <v>1721</v>
      </c>
      <c r="F1045" s="273" t="s">
        <v>3446</v>
      </c>
      <c r="G1045" s="1040" t="s">
        <v>3463</v>
      </c>
      <c r="H1045" s="273" t="s">
        <v>3462</v>
      </c>
      <c r="I1045" s="720">
        <f t="shared" si="225"/>
        <v>81.31</v>
      </c>
      <c r="J1045" s="765">
        <v>406.55</v>
      </c>
      <c r="K1045" s="131">
        <f t="shared" si="226"/>
        <v>406.55</v>
      </c>
      <c r="L1045" s="335">
        <f t="shared" si="219"/>
        <v>0</v>
      </c>
      <c r="M1045" s="446"/>
      <c r="N1045" s="446"/>
      <c r="O1045" s="446"/>
      <c r="P1045" s="446"/>
      <c r="Q1045" s="110">
        <v>2</v>
      </c>
      <c r="R1045" s="111">
        <f t="shared" si="217"/>
        <v>101.6375</v>
      </c>
      <c r="S1045" s="110"/>
      <c r="T1045" s="110"/>
      <c r="U1045" s="110">
        <v>1</v>
      </c>
      <c r="V1045" s="111">
        <f t="shared" si="218"/>
        <v>101.6375</v>
      </c>
      <c r="W1045" s="110"/>
      <c r="X1045" s="110"/>
      <c r="Y1045" s="110"/>
      <c r="Z1045" s="110"/>
      <c r="AA1045" s="110">
        <v>1</v>
      </c>
      <c r="AB1045" s="111">
        <f t="shared" si="220"/>
        <v>101.6375</v>
      </c>
      <c r="AC1045" s="110"/>
      <c r="AD1045" s="110"/>
      <c r="AE1045" s="110">
        <v>1</v>
      </c>
      <c r="AF1045" s="111">
        <f t="shared" si="221"/>
        <v>101.6375</v>
      </c>
      <c r="AG1045" s="110"/>
      <c r="AH1045" s="110"/>
      <c r="AI1045" s="110"/>
      <c r="AJ1045" s="110"/>
      <c r="AK1045" s="111">
        <f t="shared" si="222"/>
        <v>406.55</v>
      </c>
      <c r="AL1045" s="446">
        <f t="shared" si="223"/>
        <v>0</v>
      </c>
      <c r="AM1045" s="110">
        <f t="shared" si="224"/>
        <v>5</v>
      </c>
      <c r="AN1045" s="447">
        <f t="shared" si="227"/>
        <v>0</v>
      </c>
      <c r="AO1045"/>
      <c r="AP1045"/>
    </row>
    <row r="1046" spans="1:42" ht="66" x14ac:dyDescent="0.25">
      <c r="A1046" s="143"/>
      <c r="B1046" s="227" t="s">
        <v>2512</v>
      </c>
      <c r="C1046" s="24"/>
      <c r="D1046" s="876">
        <v>2</v>
      </c>
      <c r="E1046" s="1025" t="s">
        <v>1721</v>
      </c>
      <c r="F1046" s="273" t="s">
        <v>3446</v>
      </c>
      <c r="G1046" s="1040" t="s">
        <v>3463</v>
      </c>
      <c r="H1046" s="273" t="s">
        <v>3462</v>
      </c>
      <c r="I1046" s="720">
        <f t="shared" si="225"/>
        <v>46.17</v>
      </c>
      <c r="J1046" s="765">
        <v>92.34</v>
      </c>
      <c r="K1046" s="131">
        <f t="shared" si="226"/>
        <v>92.34</v>
      </c>
      <c r="L1046" s="335">
        <f t="shared" si="219"/>
        <v>0</v>
      </c>
      <c r="M1046" s="446"/>
      <c r="N1046" s="446"/>
      <c r="O1046" s="446"/>
      <c r="P1046" s="446"/>
      <c r="Q1046" s="130">
        <v>0</v>
      </c>
      <c r="R1046" s="111">
        <v>0</v>
      </c>
      <c r="S1046" s="110"/>
      <c r="T1046" s="110"/>
      <c r="U1046" s="130">
        <v>1</v>
      </c>
      <c r="V1046" s="111">
        <v>46.17</v>
      </c>
      <c r="W1046" s="110"/>
      <c r="X1046" s="110"/>
      <c r="Y1046" s="110"/>
      <c r="Z1046" s="110"/>
      <c r="AA1046" s="130">
        <v>1</v>
      </c>
      <c r="AB1046" s="111">
        <v>46.17</v>
      </c>
      <c r="AC1046" s="110"/>
      <c r="AD1046" s="110"/>
      <c r="AE1046" s="130">
        <v>0</v>
      </c>
      <c r="AF1046" s="111">
        <v>0</v>
      </c>
      <c r="AG1046" s="110"/>
      <c r="AH1046" s="110"/>
      <c r="AI1046" s="110"/>
      <c r="AJ1046" s="110"/>
      <c r="AK1046" s="111">
        <f t="shared" si="222"/>
        <v>92.34</v>
      </c>
      <c r="AL1046" s="446">
        <f t="shared" si="223"/>
        <v>0</v>
      </c>
      <c r="AM1046" s="110">
        <f t="shared" si="224"/>
        <v>2</v>
      </c>
      <c r="AN1046" s="447">
        <f t="shared" si="227"/>
        <v>0</v>
      </c>
      <c r="AO1046"/>
      <c r="AP1046"/>
    </row>
    <row r="1047" spans="1:42" ht="66" x14ac:dyDescent="0.25">
      <c r="A1047" s="143"/>
      <c r="B1047" s="227" t="s">
        <v>2513</v>
      </c>
      <c r="C1047" s="24"/>
      <c r="D1047" s="876">
        <v>1</v>
      </c>
      <c r="E1047" s="1025" t="s">
        <v>1721</v>
      </c>
      <c r="F1047" s="273" t="s">
        <v>3446</v>
      </c>
      <c r="G1047" s="1040" t="s">
        <v>3463</v>
      </c>
      <c r="H1047" s="273" t="s">
        <v>3462</v>
      </c>
      <c r="I1047" s="720">
        <f t="shared" si="225"/>
        <v>50.99</v>
      </c>
      <c r="J1047" s="765">
        <v>50.99</v>
      </c>
      <c r="K1047" s="131">
        <f t="shared" si="226"/>
        <v>50.99</v>
      </c>
      <c r="L1047" s="335">
        <f t="shared" si="219"/>
        <v>0</v>
      </c>
      <c r="M1047" s="446"/>
      <c r="N1047" s="446"/>
      <c r="O1047" s="446"/>
      <c r="P1047" s="446"/>
      <c r="Q1047" s="110">
        <v>1</v>
      </c>
      <c r="R1047" s="111">
        <v>50.99</v>
      </c>
      <c r="S1047" s="110"/>
      <c r="T1047" s="110"/>
      <c r="U1047" s="110">
        <v>0</v>
      </c>
      <c r="V1047" s="111">
        <v>0</v>
      </c>
      <c r="W1047" s="110"/>
      <c r="X1047" s="110"/>
      <c r="Y1047" s="110"/>
      <c r="Z1047" s="110"/>
      <c r="AA1047" s="110">
        <v>0</v>
      </c>
      <c r="AB1047" s="111">
        <v>0</v>
      </c>
      <c r="AC1047" s="110"/>
      <c r="AD1047" s="110"/>
      <c r="AE1047" s="110">
        <v>0</v>
      </c>
      <c r="AF1047" s="111">
        <v>0</v>
      </c>
      <c r="AG1047" s="110"/>
      <c r="AH1047" s="110"/>
      <c r="AI1047" s="110"/>
      <c r="AJ1047" s="110"/>
      <c r="AK1047" s="111">
        <f t="shared" si="222"/>
        <v>50.99</v>
      </c>
      <c r="AL1047" s="446">
        <f t="shared" si="223"/>
        <v>0</v>
      </c>
      <c r="AM1047" s="110">
        <f t="shared" si="224"/>
        <v>1</v>
      </c>
      <c r="AN1047" s="447">
        <f t="shared" si="227"/>
        <v>0</v>
      </c>
      <c r="AO1047"/>
      <c r="AP1047"/>
    </row>
    <row r="1048" spans="1:42" ht="66" x14ac:dyDescent="0.25">
      <c r="A1048" s="143"/>
      <c r="B1048" s="43" t="s">
        <v>2537</v>
      </c>
      <c r="C1048" s="24"/>
      <c r="D1048" s="869">
        <v>5</v>
      </c>
      <c r="E1048" s="247" t="s">
        <v>1725</v>
      </c>
      <c r="F1048" s="273" t="s">
        <v>3446</v>
      </c>
      <c r="G1048" s="1040" t="s">
        <v>3463</v>
      </c>
      <c r="H1048" s="273" t="s">
        <v>3462</v>
      </c>
      <c r="I1048" s="720">
        <f t="shared" si="225"/>
        <v>260.45999999999998</v>
      </c>
      <c r="J1048" s="765">
        <v>1302.3</v>
      </c>
      <c r="K1048" s="131">
        <f t="shared" si="226"/>
        <v>1302.3</v>
      </c>
      <c r="L1048" s="335">
        <f t="shared" si="219"/>
        <v>0</v>
      </c>
      <c r="M1048" s="446"/>
      <c r="N1048" s="446"/>
      <c r="O1048" s="446"/>
      <c r="P1048" s="446"/>
      <c r="Q1048" s="110">
        <v>2</v>
      </c>
      <c r="R1048" s="111">
        <f t="shared" si="217"/>
        <v>325.57499999999999</v>
      </c>
      <c r="S1048" s="110"/>
      <c r="T1048" s="110"/>
      <c r="U1048" s="110">
        <v>1</v>
      </c>
      <c r="V1048" s="111">
        <f t="shared" si="218"/>
        <v>325.57499999999999</v>
      </c>
      <c r="W1048" s="110"/>
      <c r="X1048" s="110"/>
      <c r="Y1048" s="110"/>
      <c r="Z1048" s="110"/>
      <c r="AA1048" s="110">
        <v>1</v>
      </c>
      <c r="AB1048" s="111">
        <f t="shared" si="220"/>
        <v>325.57499999999999</v>
      </c>
      <c r="AC1048" s="110"/>
      <c r="AD1048" s="110"/>
      <c r="AE1048" s="110">
        <v>1</v>
      </c>
      <c r="AF1048" s="111">
        <f t="shared" si="221"/>
        <v>325.57499999999999</v>
      </c>
      <c r="AG1048" s="110"/>
      <c r="AH1048" s="110"/>
      <c r="AI1048" s="110"/>
      <c r="AJ1048" s="110"/>
      <c r="AK1048" s="111">
        <f t="shared" si="222"/>
        <v>1302.3</v>
      </c>
      <c r="AL1048" s="446">
        <f t="shared" si="223"/>
        <v>0</v>
      </c>
      <c r="AM1048" s="110">
        <f t="shared" si="224"/>
        <v>5</v>
      </c>
      <c r="AN1048" s="447">
        <f t="shared" si="227"/>
        <v>0</v>
      </c>
      <c r="AO1048"/>
      <c r="AP1048"/>
    </row>
    <row r="1049" spans="1:42" ht="66" x14ac:dyDescent="0.25">
      <c r="A1049" s="143"/>
      <c r="B1049" s="43" t="s">
        <v>2538</v>
      </c>
      <c r="C1049" s="24"/>
      <c r="D1049" s="869">
        <v>30</v>
      </c>
      <c r="E1049" s="1027" t="s">
        <v>1725</v>
      </c>
      <c r="F1049" s="273" t="s">
        <v>3446</v>
      </c>
      <c r="G1049" s="1040" t="s">
        <v>3463</v>
      </c>
      <c r="H1049" s="273" t="s">
        <v>3462</v>
      </c>
      <c r="I1049" s="720">
        <f t="shared" si="225"/>
        <v>46.17</v>
      </c>
      <c r="J1049" s="765">
        <v>1385.1000000000001</v>
      </c>
      <c r="K1049" s="131">
        <f t="shared" si="226"/>
        <v>1385.1000000000001</v>
      </c>
      <c r="L1049" s="335">
        <f t="shared" si="219"/>
        <v>0</v>
      </c>
      <c r="M1049" s="446"/>
      <c r="N1049" s="446"/>
      <c r="O1049" s="446"/>
      <c r="P1049" s="446"/>
      <c r="Q1049" s="110">
        <v>8</v>
      </c>
      <c r="R1049" s="111">
        <f t="shared" si="217"/>
        <v>346.27500000000003</v>
      </c>
      <c r="S1049" s="110"/>
      <c r="T1049" s="110"/>
      <c r="U1049" s="110">
        <v>8</v>
      </c>
      <c r="V1049" s="111">
        <f t="shared" si="218"/>
        <v>346.27500000000003</v>
      </c>
      <c r="W1049" s="110"/>
      <c r="X1049" s="110"/>
      <c r="Y1049" s="110"/>
      <c r="Z1049" s="110"/>
      <c r="AA1049" s="110">
        <v>7</v>
      </c>
      <c r="AB1049" s="111">
        <f t="shared" si="220"/>
        <v>346.27500000000003</v>
      </c>
      <c r="AC1049" s="110"/>
      <c r="AD1049" s="110"/>
      <c r="AE1049" s="110">
        <v>7</v>
      </c>
      <c r="AF1049" s="111">
        <f t="shared" si="221"/>
        <v>346.27500000000003</v>
      </c>
      <c r="AG1049" s="110"/>
      <c r="AH1049" s="110"/>
      <c r="AI1049" s="110"/>
      <c r="AJ1049" s="110"/>
      <c r="AK1049" s="111">
        <f t="shared" si="222"/>
        <v>1385.1000000000001</v>
      </c>
      <c r="AL1049" s="446">
        <f t="shared" si="223"/>
        <v>0</v>
      </c>
      <c r="AM1049" s="110">
        <f t="shared" si="224"/>
        <v>30</v>
      </c>
      <c r="AN1049" s="447">
        <f t="shared" si="227"/>
        <v>0</v>
      </c>
      <c r="AO1049"/>
      <c r="AP1049"/>
    </row>
    <row r="1050" spans="1:42" ht="66" x14ac:dyDescent="0.25">
      <c r="A1050" s="143"/>
      <c r="B1050" s="43" t="s">
        <v>2539</v>
      </c>
      <c r="C1050" s="24"/>
      <c r="D1050" s="869">
        <v>80</v>
      </c>
      <c r="E1050" s="1027" t="s">
        <v>1733</v>
      </c>
      <c r="F1050" s="273" t="s">
        <v>3446</v>
      </c>
      <c r="G1050" s="1040" t="s">
        <v>3463</v>
      </c>
      <c r="H1050" s="273" t="s">
        <v>3462</v>
      </c>
      <c r="I1050" s="720">
        <f t="shared" si="225"/>
        <v>171.71</v>
      </c>
      <c r="J1050" s="765">
        <v>13736.800000000001</v>
      </c>
      <c r="K1050" s="131">
        <f t="shared" si="226"/>
        <v>13736.800000000001</v>
      </c>
      <c r="L1050" s="335">
        <f t="shared" si="219"/>
        <v>0</v>
      </c>
      <c r="M1050" s="446"/>
      <c r="N1050" s="446"/>
      <c r="O1050" s="446"/>
      <c r="P1050" s="446"/>
      <c r="Q1050" s="110">
        <f t="shared" si="214"/>
        <v>20</v>
      </c>
      <c r="R1050" s="111">
        <f t="shared" si="217"/>
        <v>3434.2000000000003</v>
      </c>
      <c r="S1050" s="110"/>
      <c r="T1050" s="110"/>
      <c r="U1050" s="110">
        <f t="shared" si="215"/>
        <v>20</v>
      </c>
      <c r="V1050" s="111">
        <f t="shared" si="218"/>
        <v>3434.2000000000003</v>
      </c>
      <c r="W1050" s="110"/>
      <c r="X1050" s="110"/>
      <c r="Y1050" s="110"/>
      <c r="Z1050" s="110"/>
      <c r="AA1050" s="110">
        <f t="shared" si="216"/>
        <v>20</v>
      </c>
      <c r="AB1050" s="111">
        <f t="shared" si="220"/>
        <v>3434.2000000000003</v>
      </c>
      <c r="AC1050" s="110"/>
      <c r="AD1050" s="110"/>
      <c r="AE1050" s="110">
        <f t="shared" si="216"/>
        <v>20</v>
      </c>
      <c r="AF1050" s="111">
        <f t="shared" si="221"/>
        <v>3434.2000000000003</v>
      </c>
      <c r="AG1050" s="110"/>
      <c r="AH1050" s="110"/>
      <c r="AI1050" s="110"/>
      <c r="AJ1050" s="110"/>
      <c r="AK1050" s="111">
        <f t="shared" si="222"/>
        <v>13736.800000000001</v>
      </c>
      <c r="AL1050" s="446">
        <f t="shared" si="223"/>
        <v>0</v>
      </c>
      <c r="AM1050" s="110">
        <f t="shared" si="224"/>
        <v>80</v>
      </c>
      <c r="AN1050" s="447">
        <f t="shared" si="227"/>
        <v>0</v>
      </c>
      <c r="AO1050"/>
      <c r="AP1050"/>
    </row>
    <row r="1051" spans="1:42" ht="66" x14ac:dyDescent="0.25">
      <c r="A1051" s="143"/>
      <c r="B1051" s="43" t="s">
        <v>2540</v>
      </c>
      <c r="C1051" s="24"/>
      <c r="D1051" s="869">
        <v>120</v>
      </c>
      <c r="E1051" s="1027" t="s">
        <v>1733</v>
      </c>
      <c r="F1051" s="273" t="s">
        <v>3446</v>
      </c>
      <c r="G1051" s="1040" t="s">
        <v>3463</v>
      </c>
      <c r="H1051" s="273" t="s">
        <v>3462</v>
      </c>
      <c r="I1051" s="720">
        <f t="shared" si="225"/>
        <v>109.3</v>
      </c>
      <c r="J1051" s="765">
        <v>13116</v>
      </c>
      <c r="K1051" s="131">
        <f t="shared" si="226"/>
        <v>13116</v>
      </c>
      <c r="L1051" s="335">
        <f t="shared" si="219"/>
        <v>0</v>
      </c>
      <c r="M1051" s="446"/>
      <c r="N1051" s="446"/>
      <c r="O1051" s="446"/>
      <c r="P1051" s="446"/>
      <c r="Q1051" s="110">
        <v>50</v>
      </c>
      <c r="R1051" s="111">
        <f t="shared" si="217"/>
        <v>3279</v>
      </c>
      <c r="S1051" s="110"/>
      <c r="T1051" s="110"/>
      <c r="U1051" s="110">
        <v>50</v>
      </c>
      <c r="V1051" s="111">
        <f t="shared" si="218"/>
        <v>3279</v>
      </c>
      <c r="W1051" s="110"/>
      <c r="X1051" s="110"/>
      <c r="Y1051" s="110"/>
      <c r="Z1051" s="110"/>
      <c r="AA1051" s="110">
        <v>10</v>
      </c>
      <c r="AB1051" s="111">
        <f t="shared" si="220"/>
        <v>3279</v>
      </c>
      <c r="AC1051" s="110"/>
      <c r="AD1051" s="110"/>
      <c r="AE1051" s="110">
        <v>10</v>
      </c>
      <c r="AF1051" s="111">
        <f t="shared" si="221"/>
        <v>3279</v>
      </c>
      <c r="AG1051" s="110"/>
      <c r="AH1051" s="110"/>
      <c r="AI1051" s="110"/>
      <c r="AJ1051" s="110"/>
      <c r="AK1051" s="111">
        <f t="shared" si="222"/>
        <v>13116</v>
      </c>
      <c r="AL1051" s="446">
        <f t="shared" si="223"/>
        <v>0</v>
      </c>
      <c r="AM1051" s="110">
        <f t="shared" si="224"/>
        <v>120</v>
      </c>
      <c r="AN1051" s="447">
        <f t="shared" si="227"/>
        <v>0</v>
      </c>
      <c r="AO1051"/>
      <c r="AP1051"/>
    </row>
    <row r="1052" spans="1:42" ht="66" x14ac:dyDescent="0.25">
      <c r="A1052" s="143"/>
      <c r="B1052" s="43" t="s">
        <v>2541</v>
      </c>
      <c r="C1052" s="24"/>
      <c r="D1052" s="869">
        <v>2</v>
      </c>
      <c r="E1052" s="1027" t="s">
        <v>1733</v>
      </c>
      <c r="F1052" s="273" t="s">
        <v>3446</v>
      </c>
      <c r="G1052" s="1040" t="s">
        <v>3463</v>
      </c>
      <c r="H1052" s="273" t="s">
        <v>3462</v>
      </c>
      <c r="I1052" s="720">
        <f t="shared" si="225"/>
        <v>96.47</v>
      </c>
      <c r="J1052" s="765">
        <v>192.94</v>
      </c>
      <c r="K1052" s="131">
        <f t="shared" si="226"/>
        <v>192.94</v>
      </c>
      <c r="L1052" s="335">
        <f t="shared" si="219"/>
        <v>0</v>
      </c>
      <c r="M1052" s="446"/>
      <c r="N1052" s="446"/>
      <c r="O1052" s="446"/>
      <c r="P1052" s="446"/>
      <c r="Q1052" s="130">
        <v>0</v>
      </c>
      <c r="R1052" s="111">
        <v>0</v>
      </c>
      <c r="S1052" s="110"/>
      <c r="T1052" s="110"/>
      <c r="U1052" s="130">
        <v>1</v>
      </c>
      <c r="V1052" s="111">
        <v>96.47</v>
      </c>
      <c r="W1052" s="110"/>
      <c r="X1052" s="110"/>
      <c r="Y1052" s="110"/>
      <c r="Z1052" s="110"/>
      <c r="AA1052" s="130">
        <v>1</v>
      </c>
      <c r="AB1052" s="111">
        <v>96.47</v>
      </c>
      <c r="AC1052" s="110"/>
      <c r="AD1052" s="110"/>
      <c r="AE1052" s="130">
        <v>0</v>
      </c>
      <c r="AF1052" s="111">
        <v>0</v>
      </c>
      <c r="AG1052" s="110"/>
      <c r="AH1052" s="110"/>
      <c r="AI1052" s="110"/>
      <c r="AJ1052" s="110"/>
      <c r="AK1052" s="111">
        <f t="shared" si="222"/>
        <v>192.94</v>
      </c>
      <c r="AL1052" s="446">
        <f t="shared" si="223"/>
        <v>0</v>
      </c>
      <c r="AM1052" s="110">
        <f t="shared" si="224"/>
        <v>2</v>
      </c>
      <c r="AN1052" s="447">
        <f t="shared" si="227"/>
        <v>0</v>
      </c>
      <c r="AO1052"/>
      <c r="AP1052"/>
    </row>
    <row r="1053" spans="1:42" ht="66" x14ac:dyDescent="0.25">
      <c r="A1053" s="143"/>
      <c r="B1053" s="43" t="s">
        <v>2542</v>
      </c>
      <c r="C1053" s="24"/>
      <c r="D1053" s="869">
        <v>100</v>
      </c>
      <c r="E1053" s="1027" t="s">
        <v>2238</v>
      </c>
      <c r="F1053" s="273" t="s">
        <v>3446</v>
      </c>
      <c r="G1053" s="1040" t="s">
        <v>3463</v>
      </c>
      <c r="H1053" s="273" t="s">
        <v>3462</v>
      </c>
      <c r="I1053" s="720">
        <f t="shared" si="225"/>
        <v>4.67</v>
      </c>
      <c r="J1053" s="765">
        <v>467</v>
      </c>
      <c r="K1053" s="131">
        <f t="shared" si="226"/>
        <v>467</v>
      </c>
      <c r="L1053" s="335">
        <f t="shared" si="219"/>
        <v>0</v>
      </c>
      <c r="M1053" s="446"/>
      <c r="N1053" s="446"/>
      <c r="O1053" s="446"/>
      <c r="P1053" s="446"/>
      <c r="Q1053" s="110">
        <v>30</v>
      </c>
      <c r="R1053" s="111">
        <f t="shared" ref="R1053:R1135" si="228">+J1053/4</f>
        <v>116.75</v>
      </c>
      <c r="S1053" s="110"/>
      <c r="T1053" s="110"/>
      <c r="U1053" s="110">
        <v>30</v>
      </c>
      <c r="V1053" s="111">
        <f t="shared" ref="V1053:V1135" si="229">+J1053/4</f>
        <v>116.75</v>
      </c>
      <c r="W1053" s="110"/>
      <c r="X1053" s="110"/>
      <c r="Y1053" s="110"/>
      <c r="Z1053" s="110"/>
      <c r="AA1053" s="110">
        <v>30</v>
      </c>
      <c r="AB1053" s="111">
        <f t="shared" si="220"/>
        <v>116.75</v>
      </c>
      <c r="AC1053" s="110"/>
      <c r="AD1053" s="110"/>
      <c r="AE1053" s="110">
        <v>10</v>
      </c>
      <c r="AF1053" s="111">
        <f t="shared" si="221"/>
        <v>116.75</v>
      </c>
      <c r="AG1053" s="110"/>
      <c r="AH1053" s="110"/>
      <c r="AI1053" s="110"/>
      <c r="AJ1053" s="110"/>
      <c r="AK1053" s="111">
        <f t="shared" si="222"/>
        <v>467</v>
      </c>
      <c r="AL1053" s="446">
        <f t="shared" si="223"/>
        <v>0</v>
      </c>
      <c r="AM1053" s="110">
        <f t="shared" si="224"/>
        <v>100</v>
      </c>
      <c r="AN1053" s="447">
        <f t="shared" si="227"/>
        <v>0</v>
      </c>
      <c r="AO1053"/>
      <c r="AP1053"/>
    </row>
    <row r="1054" spans="1:42" ht="66" x14ac:dyDescent="0.25">
      <c r="A1054" s="143"/>
      <c r="B1054" s="43" t="s">
        <v>2543</v>
      </c>
      <c r="C1054" s="24"/>
      <c r="D1054" s="869">
        <v>100</v>
      </c>
      <c r="E1054" s="1027" t="s">
        <v>2238</v>
      </c>
      <c r="F1054" s="273" t="s">
        <v>3446</v>
      </c>
      <c r="G1054" s="1040" t="s">
        <v>3463</v>
      </c>
      <c r="H1054" s="273" t="s">
        <v>3462</v>
      </c>
      <c r="I1054" s="720">
        <f t="shared" si="225"/>
        <v>4.67</v>
      </c>
      <c r="J1054" s="765">
        <v>467</v>
      </c>
      <c r="K1054" s="131">
        <f t="shared" si="226"/>
        <v>467</v>
      </c>
      <c r="L1054" s="335">
        <f t="shared" si="219"/>
        <v>0</v>
      </c>
      <c r="M1054" s="446"/>
      <c r="N1054" s="446"/>
      <c r="O1054" s="446"/>
      <c r="P1054" s="446"/>
      <c r="Q1054" s="110">
        <v>30</v>
      </c>
      <c r="R1054" s="111">
        <f t="shared" si="228"/>
        <v>116.75</v>
      </c>
      <c r="S1054" s="110"/>
      <c r="T1054" s="110"/>
      <c r="U1054" s="110">
        <v>30</v>
      </c>
      <c r="V1054" s="111">
        <f t="shared" si="229"/>
        <v>116.75</v>
      </c>
      <c r="W1054" s="110"/>
      <c r="X1054" s="110"/>
      <c r="Y1054" s="110"/>
      <c r="Z1054" s="110"/>
      <c r="AA1054" s="110">
        <v>30</v>
      </c>
      <c r="AB1054" s="111">
        <f t="shared" si="220"/>
        <v>116.75</v>
      </c>
      <c r="AC1054" s="110"/>
      <c r="AD1054" s="110"/>
      <c r="AE1054" s="110">
        <v>10</v>
      </c>
      <c r="AF1054" s="111">
        <f t="shared" si="221"/>
        <v>116.75</v>
      </c>
      <c r="AG1054" s="110"/>
      <c r="AH1054" s="110"/>
      <c r="AI1054" s="110"/>
      <c r="AJ1054" s="110"/>
      <c r="AK1054" s="111">
        <f t="shared" si="222"/>
        <v>467</v>
      </c>
      <c r="AL1054" s="446">
        <f t="shared" si="223"/>
        <v>0</v>
      </c>
      <c r="AM1054" s="110">
        <f t="shared" si="224"/>
        <v>100</v>
      </c>
      <c r="AN1054" s="447">
        <f t="shared" si="227"/>
        <v>0</v>
      </c>
      <c r="AO1054"/>
      <c r="AP1054"/>
    </row>
    <row r="1055" spans="1:42" ht="66" x14ac:dyDescent="0.25">
      <c r="A1055" s="143"/>
      <c r="B1055" s="43" t="s">
        <v>2544</v>
      </c>
      <c r="C1055" s="24"/>
      <c r="D1055" s="869">
        <v>100</v>
      </c>
      <c r="E1055" s="1027" t="s">
        <v>2238</v>
      </c>
      <c r="F1055" s="273" t="s">
        <v>3446</v>
      </c>
      <c r="G1055" s="1040" t="s">
        <v>3463</v>
      </c>
      <c r="H1055" s="273" t="s">
        <v>3462</v>
      </c>
      <c r="I1055" s="720">
        <f t="shared" si="225"/>
        <v>4.67</v>
      </c>
      <c r="J1055" s="765">
        <v>467</v>
      </c>
      <c r="K1055" s="131">
        <f t="shared" si="226"/>
        <v>467</v>
      </c>
      <c r="L1055" s="335">
        <f t="shared" si="219"/>
        <v>0</v>
      </c>
      <c r="M1055" s="446"/>
      <c r="N1055" s="446"/>
      <c r="O1055" s="446"/>
      <c r="P1055" s="446"/>
      <c r="Q1055" s="110">
        <v>30</v>
      </c>
      <c r="R1055" s="111">
        <f t="shared" si="228"/>
        <v>116.75</v>
      </c>
      <c r="S1055" s="110"/>
      <c r="T1055" s="110"/>
      <c r="U1055" s="110">
        <v>30</v>
      </c>
      <c r="V1055" s="111">
        <f t="shared" si="229"/>
        <v>116.75</v>
      </c>
      <c r="W1055" s="110"/>
      <c r="X1055" s="110"/>
      <c r="Y1055" s="110"/>
      <c r="Z1055" s="110"/>
      <c r="AA1055" s="110">
        <v>30</v>
      </c>
      <c r="AB1055" s="111">
        <f t="shared" si="220"/>
        <v>116.75</v>
      </c>
      <c r="AC1055" s="110"/>
      <c r="AD1055" s="110"/>
      <c r="AE1055" s="110">
        <v>10</v>
      </c>
      <c r="AF1055" s="111">
        <f t="shared" si="221"/>
        <v>116.75</v>
      </c>
      <c r="AG1055" s="110"/>
      <c r="AH1055" s="110"/>
      <c r="AI1055" s="110"/>
      <c r="AJ1055" s="110"/>
      <c r="AK1055" s="111">
        <f t="shared" si="222"/>
        <v>467</v>
      </c>
      <c r="AL1055" s="446">
        <f t="shared" si="223"/>
        <v>0</v>
      </c>
      <c r="AM1055" s="110">
        <f t="shared" si="224"/>
        <v>100</v>
      </c>
      <c r="AN1055" s="447">
        <f t="shared" si="227"/>
        <v>0</v>
      </c>
      <c r="AO1055"/>
      <c r="AP1055"/>
    </row>
    <row r="1056" spans="1:42" ht="66" x14ac:dyDescent="0.25">
      <c r="A1056" s="143"/>
      <c r="B1056" s="43" t="s">
        <v>248</v>
      </c>
      <c r="C1056" s="24"/>
      <c r="D1056" s="869">
        <v>100</v>
      </c>
      <c r="E1056" s="1027" t="s">
        <v>2238</v>
      </c>
      <c r="F1056" s="273" t="s">
        <v>3446</v>
      </c>
      <c r="G1056" s="1040" t="s">
        <v>3463</v>
      </c>
      <c r="H1056" s="273" t="s">
        <v>3462</v>
      </c>
      <c r="I1056" s="720">
        <f t="shared" si="225"/>
        <v>11.27</v>
      </c>
      <c r="J1056" s="765">
        <v>1127</v>
      </c>
      <c r="K1056" s="131">
        <f t="shared" si="226"/>
        <v>1127</v>
      </c>
      <c r="L1056" s="335">
        <f t="shared" si="219"/>
        <v>0</v>
      </c>
      <c r="M1056" s="446"/>
      <c r="N1056" s="446"/>
      <c r="O1056" s="446"/>
      <c r="P1056" s="446"/>
      <c r="Q1056" s="110">
        <v>30</v>
      </c>
      <c r="R1056" s="111">
        <f t="shared" si="228"/>
        <v>281.75</v>
      </c>
      <c r="S1056" s="110"/>
      <c r="T1056" s="110"/>
      <c r="U1056" s="110">
        <v>30</v>
      </c>
      <c r="V1056" s="111">
        <f t="shared" si="229"/>
        <v>281.75</v>
      </c>
      <c r="W1056" s="110"/>
      <c r="X1056" s="110"/>
      <c r="Y1056" s="110"/>
      <c r="Z1056" s="110"/>
      <c r="AA1056" s="110">
        <v>30</v>
      </c>
      <c r="AB1056" s="111">
        <f t="shared" si="220"/>
        <v>281.75</v>
      </c>
      <c r="AC1056" s="110"/>
      <c r="AD1056" s="110"/>
      <c r="AE1056" s="110">
        <v>10</v>
      </c>
      <c r="AF1056" s="111">
        <f t="shared" si="221"/>
        <v>281.75</v>
      </c>
      <c r="AG1056" s="110"/>
      <c r="AH1056" s="110"/>
      <c r="AI1056" s="110"/>
      <c r="AJ1056" s="110"/>
      <c r="AK1056" s="111">
        <f t="shared" si="222"/>
        <v>1127</v>
      </c>
      <c r="AL1056" s="446">
        <f t="shared" si="223"/>
        <v>0</v>
      </c>
      <c r="AM1056" s="110">
        <f t="shared" si="224"/>
        <v>100</v>
      </c>
      <c r="AN1056" s="447">
        <f t="shared" si="227"/>
        <v>0</v>
      </c>
      <c r="AO1056"/>
      <c r="AP1056"/>
    </row>
    <row r="1057" spans="1:42" ht="66" x14ac:dyDescent="0.25">
      <c r="A1057" s="143"/>
      <c r="B1057" s="43" t="s">
        <v>2545</v>
      </c>
      <c r="C1057" s="24"/>
      <c r="D1057" s="869">
        <v>2</v>
      </c>
      <c r="E1057" s="1027" t="s">
        <v>1733</v>
      </c>
      <c r="F1057" s="273" t="s">
        <v>3446</v>
      </c>
      <c r="G1057" s="1040" t="s">
        <v>3463</v>
      </c>
      <c r="H1057" s="273" t="s">
        <v>3462</v>
      </c>
      <c r="I1057" s="720">
        <f t="shared" si="225"/>
        <v>179.15</v>
      </c>
      <c r="J1057" s="765">
        <v>358.3</v>
      </c>
      <c r="K1057" s="131">
        <f t="shared" si="226"/>
        <v>358.3</v>
      </c>
      <c r="L1057" s="335">
        <f t="shared" si="219"/>
        <v>0</v>
      </c>
      <c r="M1057" s="446"/>
      <c r="N1057" s="446"/>
      <c r="O1057" s="446"/>
      <c r="P1057" s="446"/>
      <c r="Q1057" s="130">
        <v>1</v>
      </c>
      <c r="R1057" s="111">
        <v>179.15</v>
      </c>
      <c r="S1057" s="110"/>
      <c r="T1057" s="110"/>
      <c r="U1057" s="130">
        <v>1</v>
      </c>
      <c r="V1057" s="111">
        <v>179.15</v>
      </c>
      <c r="W1057" s="110"/>
      <c r="X1057" s="110"/>
      <c r="Y1057" s="110"/>
      <c r="Z1057" s="110"/>
      <c r="AA1057" s="130">
        <v>0</v>
      </c>
      <c r="AB1057" s="111">
        <v>0</v>
      </c>
      <c r="AC1057" s="110"/>
      <c r="AD1057" s="110"/>
      <c r="AE1057" s="130">
        <v>0</v>
      </c>
      <c r="AF1057" s="111">
        <v>0</v>
      </c>
      <c r="AG1057" s="110"/>
      <c r="AH1057" s="110"/>
      <c r="AI1057" s="110"/>
      <c r="AJ1057" s="110"/>
      <c r="AK1057" s="111">
        <f t="shared" si="222"/>
        <v>358.3</v>
      </c>
      <c r="AL1057" s="446">
        <f t="shared" si="223"/>
        <v>0</v>
      </c>
      <c r="AM1057" s="110">
        <f t="shared" si="224"/>
        <v>2</v>
      </c>
      <c r="AN1057" s="447">
        <f t="shared" si="227"/>
        <v>0</v>
      </c>
      <c r="AO1057"/>
      <c r="AP1057"/>
    </row>
    <row r="1058" spans="1:42" ht="66" x14ac:dyDescent="0.25">
      <c r="A1058" s="143"/>
      <c r="B1058" s="43" t="s">
        <v>2546</v>
      </c>
      <c r="C1058" s="24"/>
      <c r="D1058" s="869">
        <v>100</v>
      </c>
      <c r="E1058" s="1027" t="s">
        <v>2238</v>
      </c>
      <c r="F1058" s="273" t="s">
        <v>3446</v>
      </c>
      <c r="G1058" s="1040" t="s">
        <v>3463</v>
      </c>
      <c r="H1058" s="273" t="s">
        <v>3462</v>
      </c>
      <c r="I1058" s="720">
        <f t="shared" si="225"/>
        <v>6.86</v>
      </c>
      <c r="J1058" s="765">
        <v>686</v>
      </c>
      <c r="K1058" s="131">
        <f t="shared" si="226"/>
        <v>686</v>
      </c>
      <c r="L1058" s="335">
        <f t="shared" ref="L1058:L1138" si="230">+J1058-K1058</f>
        <v>0</v>
      </c>
      <c r="M1058" s="446"/>
      <c r="N1058" s="446"/>
      <c r="O1058" s="446"/>
      <c r="P1058" s="446"/>
      <c r="Q1058" s="110">
        <v>30</v>
      </c>
      <c r="R1058" s="111">
        <f t="shared" si="228"/>
        <v>171.5</v>
      </c>
      <c r="S1058" s="110"/>
      <c r="T1058" s="110"/>
      <c r="U1058" s="110">
        <v>30</v>
      </c>
      <c r="V1058" s="111">
        <f t="shared" si="229"/>
        <v>171.5</v>
      </c>
      <c r="W1058" s="110"/>
      <c r="X1058" s="110"/>
      <c r="Y1058" s="110"/>
      <c r="Z1058" s="110"/>
      <c r="AA1058" s="110">
        <v>30</v>
      </c>
      <c r="AB1058" s="111">
        <f t="shared" ref="AB1058:AB1138" si="231">+J1058/4</f>
        <v>171.5</v>
      </c>
      <c r="AC1058" s="110"/>
      <c r="AD1058" s="110"/>
      <c r="AE1058" s="110">
        <v>10</v>
      </c>
      <c r="AF1058" s="111">
        <f t="shared" si="221"/>
        <v>171.5</v>
      </c>
      <c r="AG1058" s="110"/>
      <c r="AH1058" s="110"/>
      <c r="AI1058" s="110"/>
      <c r="AJ1058" s="110"/>
      <c r="AK1058" s="111">
        <f t="shared" si="222"/>
        <v>686</v>
      </c>
      <c r="AL1058" s="446">
        <f t="shared" si="223"/>
        <v>0</v>
      </c>
      <c r="AM1058" s="110">
        <f t="shared" si="224"/>
        <v>100</v>
      </c>
      <c r="AN1058" s="447">
        <f t="shared" si="227"/>
        <v>0</v>
      </c>
      <c r="AO1058"/>
      <c r="AP1058"/>
    </row>
    <row r="1059" spans="1:42" ht="66" x14ac:dyDescent="0.25">
      <c r="A1059" s="143"/>
      <c r="B1059" s="43" t="s">
        <v>2547</v>
      </c>
      <c r="C1059" s="24"/>
      <c r="D1059" s="869">
        <v>100</v>
      </c>
      <c r="E1059" s="1027" t="s">
        <v>2238</v>
      </c>
      <c r="F1059" s="273" t="s">
        <v>3446</v>
      </c>
      <c r="G1059" s="1040" t="s">
        <v>3463</v>
      </c>
      <c r="H1059" s="273" t="s">
        <v>3462</v>
      </c>
      <c r="I1059" s="720">
        <f t="shared" si="225"/>
        <v>8.17</v>
      </c>
      <c r="J1059" s="765">
        <v>817</v>
      </c>
      <c r="K1059" s="131">
        <f t="shared" si="226"/>
        <v>817</v>
      </c>
      <c r="L1059" s="335">
        <f t="shared" si="230"/>
        <v>0</v>
      </c>
      <c r="M1059" s="446"/>
      <c r="N1059" s="446"/>
      <c r="O1059" s="446"/>
      <c r="P1059" s="446"/>
      <c r="Q1059" s="110">
        <v>30</v>
      </c>
      <c r="R1059" s="111">
        <f t="shared" si="228"/>
        <v>204.25</v>
      </c>
      <c r="S1059" s="110"/>
      <c r="T1059" s="110"/>
      <c r="U1059" s="110">
        <v>30</v>
      </c>
      <c r="V1059" s="111">
        <f t="shared" si="229"/>
        <v>204.25</v>
      </c>
      <c r="W1059" s="110"/>
      <c r="X1059" s="110"/>
      <c r="Y1059" s="110"/>
      <c r="Z1059" s="110"/>
      <c r="AA1059" s="110">
        <v>30</v>
      </c>
      <c r="AB1059" s="111">
        <f t="shared" si="231"/>
        <v>204.25</v>
      </c>
      <c r="AC1059" s="110"/>
      <c r="AD1059" s="110"/>
      <c r="AE1059" s="110">
        <v>10</v>
      </c>
      <c r="AF1059" s="111">
        <f t="shared" si="221"/>
        <v>204.25</v>
      </c>
      <c r="AG1059" s="110"/>
      <c r="AH1059" s="110"/>
      <c r="AI1059" s="110"/>
      <c r="AJ1059" s="110"/>
      <c r="AK1059" s="111">
        <f t="shared" si="222"/>
        <v>817</v>
      </c>
      <c r="AL1059" s="446">
        <f t="shared" si="223"/>
        <v>0</v>
      </c>
      <c r="AM1059" s="110">
        <f t="shared" si="224"/>
        <v>100</v>
      </c>
      <c r="AN1059" s="447">
        <f t="shared" si="227"/>
        <v>0</v>
      </c>
      <c r="AO1059"/>
      <c r="AP1059"/>
    </row>
    <row r="1060" spans="1:42" ht="66" x14ac:dyDescent="0.25">
      <c r="A1060" s="143"/>
      <c r="B1060" s="43" t="s">
        <v>2548</v>
      </c>
      <c r="C1060" s="24"/>
      <c r="D1060" s="869">
        <v>100</v>
      </c>
      <c r="E1060" s="1027" t="s">
        <v>2238</v>
      </c>
      <c r="F1060" s="273" t="s">
        <v>3446</v>
      </c>
      <c r="G1060" s="1040" t="s">
        <v>3463</v>
      </c>
      <c r="H1060" s="273" t="s">
        <v>3462</v>
      </c>
      <c r="I1060" s="720">
        <f t="shared" si="225"/>
        <v>5.75</v>
      </c>
      <c r="J1060" s="765">
        <v>575</v>
      </c>
      <c r="K1060" s="131">
        <f t="shared" si="226"/>
        <v>575</v>
      </c>
      <c r="L1060" s="335">
        <f t="shared" si="230"/>
        <v>0</v>
      </c>
      <c r="M1060" s="446"/>
      <c r="N1060" s="446"/>
      <c r="O1060" s="446"/>
      <c r="P1060" s="446"/>
      <c r="Q1060" s="110">
        <v>30</v>
      </c>
      <c r="R1060" s="111">
        <f t="shared" si="228"/>
        <v>143.75</v>
      </c>
      <c r="S1060" s="110"/>
      <c r="T1060" s="110"/>
      <c r="U1060" s="110">
        <v>30</v>
      </c>
      <c r="V1060" s="111">
        <f t="shared" si="229"/>
        <v>143.75</v>
      </c>
      <c r="W1060" s="110"/>
      <c r="X1060" s="110"/>
      <c r="Y1060" s="110"/>
      <c r="Z1060" s="110"/>
      <c r="AA1060" s="110">
        <v>30</v>
      </c>
      <c r="AB1060" s="111">
        <f t="shared" si="231"/>
        <v>143.75</v>
      </c>
      <c r="AC1060" s="110"/>
      <c r="AD1060" s="110"/>
      <c r="AE1060" s="110">
        <v>10</v>
      </c>
      <c r="AF1060" s="111">
        <f t="shared" si="221"/>
        <v>143.75</v>
      </c>
      <c r="AG1060" s="110"/>
      <c r="AH1060" s="110"/>
      <c r="AI1060" s="110"/>
      <c r="AJ1060" s="110"/>
      <c r="AK1060" s="111">
        <f t="shared" si="222"/>
        <v>575</v>
      </c>
      <c r="AL1060" s="446">
        <f t="shared" si="223"/>
        <v>0</v>
      </c>
      <c r="AM1060" s="110">
        <f t="shared" si="224"/>
        <v>100</v>
      </c>
      <c r="AN1060" s="447">
        <f t="shared" si="227"/>
        <v>0</v>
      </c>
      <c r="AO1060"/>
      <c r="AP1060"/>
    </row>
    <row r="1061" spans="1:42" ht="66" x14ac:dyDescent="0.25">
      <c r="A1061" s="143"/>
      <c r="B1061" s="43" t="s">
        <v>2549</v>
      </c>
      <c r="C1061" s="24"/>
      <c r="D1061" s="869">
        <v>1</v>
      </c>
      <c r="E1061" s="1027" t="s">
        <v>1725</v>
      </c>
      <c r="F1061" s="273" t="s">
        <v>3446</v>
      </c>
      <c r="G1061" s="1040" t="s">
        <v>3463</v>
      </c>
      <c r="H1061" s="273" t="s">
        <v>3462</v>
      </c>
      <c r="I1061" s="720">
        <f t="shared" si="225"/>
        <v>137.81</v>
      </c>
      <c r="J1061" s="765">
        <v>137.81</v>
      </c>
      <c r="K1061" s="131">
        <f t="shared" si="226"/>
        <v>137.81</v>
      </c>
      <c r="L1061" s="335">
        <f t="shared" si="230"/>
        <v>0</v>
      </c>
      <c r="M1061" s="446"/>
      <c r="N1061" s="446"/>
      <c r="O1061" s="446"/>
      <c r="P1061" s="446"/>
      <c r="Q1061" s="110">
        <v>0</v>
      </c>
      <c r="R1061" s="111">
        <v>0</v>
      </c>
      <c r="S1061" s="110"/>
      <c r="T1061" s="110"/>
      <c r="U1061" s="110">
        <v>1</v>
      </c>
      <c r="V1061" s="111">
        <v>137.81</v>
      </c>
      <c r="W1061" s="110"/>
      <c r="X1061" s="110"/>
      <c r="Y1061" s="110"/>
      <c r="Z1061" s="110"/>
      <c r="AA1061" s="110">
        <v>0</v>
      </c>
      <c r="AB1061" s="111">
        <v>0</v>
      </c>
      <c r="AC1061" s="110"/>
      <c r="AD1061" s="110"/>
      <c r="AE1061" s="110">
        <v>0</v>
      </c>
      <c r="AF1061" s="111">
        <v>0</v>
      </c>
      <c r="AG1061" s="110"/>
      <c r="AH1061" s="110"/>
      <c r="AI1061" s="110"/>
      <c r="AJ1061" s="110"/>
      <c r="AK1061" s="111">
        <f t="shared" si="222"/>
        <v>137.81</v>
      </c>
      <c r="AL1061" s="446">
        <f t="shared" si="223"/>
        <v>0</v>
      </c>
      <c r="AM1061" s="110">
        <f t="shared" si="224"/>
        <v>1</v>
      </c>
      <c r="AN1061" s="447">
        <f t="shared" si="227"/>
        <v>0</v>
      </c>
      <c r="AO1061"/>
      <c r="AP1061"/>
    </row>
    <row r="1062" spans="1:42" ht="66" x14ac:dyDescent="0.25">
      <c r="A1062" s="143"/>
      <c r="B1062" s="43" t="s">
        <v>2550</v>
      </c>
      <c r="C1062" s="24"/>
      <c r="D1062" s="869">
        <v>5</v>
      </c>
      <c r="E1062" s="1027" t="s">
        <v>1725</v>
      </c>
      <c r="F1062" s="273" t="s">
        <v>3446</v>
      </c>
      <c r="G1062" s="1040" t="s">
        <v>3463</v>
      </c>
      <c r="H1062" s="273" t="s">
        <v>3462</v>
      </c>
      <c r="I1062" s="720">
        <f t="shared" si="225"/>
        <v>413.41999999999996</v>
      </c>
      <c r="J1062" s="765">
        <v>2067.1</v>
      </c>
      <c r="K1062" s="131">
        <f t="shared" si="226"/>
        <v>2067.1</v>
      </c>
      <c r="L1062" s="335">
        <f t="shared" si="230"/>
        <v>0</v>
      </c>
      <c r="M1062" s="446"/>
      <c r="N1062" s="446"/>
      <c r="O1062" s="446"/>
      <c r="P1062" s="446"/>
      <c r="Q1062" s="110">
        <v>2</v>
      </c>
      <c r="R1062" s="111">
        <f t="shared" si="228"/>
        <v>516.77499999999998</v>
      </c>
      <c r="S1062" s="110"/>
      <c r="T1062" s="110"/>
      <c r="U1062" s="110">
        <v>1</v>
      </c>
      <c r="V1062" s="111">
        <f t="shared" si="229"/>
        <v>516.77499999999998</v>
      </c>
      <c r="W1062" s="110"/>
      <c r="X1062" s="110"/>
      <c r="Y1062" s="110"/>
      <c r="Z1062" s="110"/>
      <c r="AA1062" s="110">
        <v>1</v>
      </c>
      <c r="AB1062" s="111">
        <f t="shared" si="231"/>
        <v>516.77499999999998</v>
      </c>
      <c r="AC1062" s="110"/>
      <c r="AD1062" s="110"/>
      <c r="AE1062" s="110">
        <v>1</v>
      </c>
      <c r="AF1062" s="111">
        <f t="shared" ref="AF1062:AF1138" si="232">+J1062/4</f>
        <v>516.77499999999998</v>
      </c>
      <c r="AG1062" s="110"/>
      <c r="AH1062" s="110"/>
      <c r="AI1062" s="110"/>
      <c r="AJ1062" s="110"/>
      <c r="AK1062" s="111">
        <f t="shared" si="222"/>
        <v>2067.1</v>
      </c>
      <c r="AL1062" s="446">
        <f t="shared" si="223"/>
        <v>0</v>
      </c>
      <c r="AM1062" s="110">
        <f t="shared" si="224"/>
        <v>5</v>
      </c>
      <c r="AN1062" s="447">
        <f t="shared" si="227"/>
        <v>0</v>
      </c>
      <c r="AO1062"/>
      <c r="AP1062"/>
    </row>
    <row r="1063" spans="1:42" ht="66" x14ac:dyDescent="0.25">
      <c r="A1063" s="143"/>
      <c r="B1063" s="43" t="s">
        <v>2551</v>
      </c>
      <c r="C1063" s="24"/>
      <c r="D1063" s="869">
        <v>1</v>
      </c>
      <c r="E1063" s="1027" t="s">
        <v>1733</v>
      </c>
      <c r="F1063" s="273" t="s">
        <v>3446</v>
      </c>
      <c r="G1063" s="1040" t="s">
        <v>3463</v>
      </c>
      <c r="H1063" s="273" t="s">
        <v>3462</v>
      </c>
      <c r="I1063" s="720">
        <f t="shared" si="225"/>
        <v>125.41</v>
      </c>
      <c r="J1063" s="765">
        <v>125.41</v>
      </c>
      <c r="K1063" s="131">
        <f t="shared" si="226"/>
        <v>125.41</v>
      </c>
      <c r="L1063" s="335">
        <f t="shared" si="230"/>
        <v>0</v>
      </c>
      <c r="M1063" s="446"/>
      <c r="N1063" s="446"/>
      <c r="O1063" s="446"/>
      <c r="P1063" s="446"/>
      <c r="Q1063" s="110">
        <v>1</v>
      </c>
      <c r="R1063" s="111">
        <v>125.41</v>
      </c>
      <c r="S1063" s="110"/>
      <c r="T1063" s="110"/>
      <c r="U1063" s="110">
        <v>0</v>
      </c>
      <c r="V1063" s="111">
        <v>0</v>
      </c>
      <c r="W1063" s="110"/>
      <c r="X1063" s="110"/>
      <c r="Y1063" s="110"/>
      <c r="Z1063" s="110"/>
      <c r="AA1063" s="110">
        <v>0</v>
      </c>
      <c r="AB1063" s="111">
        <v>0</v>
      </c>
      <c r="AC1063" s="110"/>
      <c r="AD1063" s="110"/>
      <c r="AE1063" s="110">
        <v>0</v>
      </c>
      <c r="AF1063" s="111">
        <v>0</v>
      </c>
      <c r="AG1063" s="110"/>
      <c r="AH1063" s="110"/>
      <c r="AI1063" s="110"/>
      <c r="AJ1063" s="110"/>
      <c r="AK1063" s="111">
        <f t="shared" si="222"/>
        <v>125.41</v>
      </c>
      <c r="AL1063" s="446">
        <f t="shared" si="223"/>
        <v>0</v>
      </c>
      <c r="AM1063" s="110">
        <f t="shared" si="224"/>
        <v>1</v>
      </c>
      <c r="AN1063" s="447">
        <f t="shared" si="227"/>
        <v>0</v>
      </c>
      <c r="AO1063"/>
      <c r="AP1063"/>
    </row>
    <row r="1064" spans="1:42" ht="66" x14ac:dyDescent="0.25">
      <c r="A1064" s="143"/>
      <c r="B1064" s="43" t="s">
        <v>2552</v>
      </c>
      <c r="C1064" s="24"/>
      <c r="D1064" s="869">
        <v>10</v>
      </c>
      <c r="E1064" s="1027" t="s">
        <v>1733</v>
      </c>
      <c r="F1064" s="273" t="s">
        <v>3446</v>
      </c>
      <c r="G1064" s="1040" t="s">
        <v>3463</v>
      </c>
      <c r="H1064" s="273" t="s">
        <v>3462</v>
      </c>
      <c r="I1064" s="720">
        <f t="shared" si="225"/>
        <v>31.01</v>
      </c>
      <c r="J1064" s="765">
        <v>310.10000000000002</v>
      </c>
      <c r="K1064" s="131">
        <f t="shared" si="226"/>
        <v>310.10000000000002</v>
      </c>
      <c r="L1064" s="335">
        <f t="shared" si="230"/>
        <v>0</v>
      </c>
      <c r="M1064" s="446"/>
      <c r="N1064" s="446"/>
      <c r="O1064" s="446"/>
      <c r="P1064" s="446"/>
      <c r="Q1064" s="130">
        <v>3</v>
      </c>
      <c r="R1064" s="111">
        <f t="shared" si="228"/>
        <v>77.525000000000006</v>
      </c>
      <c r="S1064" s="110"/>
      <c r="T1064" s="110"/>
      <c r="U1064" s="130">
        <v>3</v>
      </c>
      <c r="V1064" s="111">
        <f t="shared" si="229"/>
        <v>77.525000000000006</v>
      </c>
      <c r="W1064" s="110"/>
      <c r="X1064" s="110"/>
      <c r="Y1064" s="110"/>
      <c r="Z1064" s="110"/>
      <c r="AA1064" s="130">
        <v>2</v>
      </c>
      <c r="AB1064" s="111">
        <f t="shared" si="231"/>
        <v>77.525000000000006</v>
      </c>
      <c r="AC1064" s="110"/>
      <c r="AD1064" s="110"/>
      <c r="AE1064" s="130">
        <v>2</v>
      </c>
      <c r="AF1064" s="111">
        <f t="shared" si="232"/>
        <v>77.525000000000006</v>
      </c>
      <c r="AG1064" s="110"/>
      <c r="AH1064" s="110"/>
      <c r="AI1064" s="110"/>
      <c r="AJ1064" s="110"/>
      <c r="AK1064" s="111">
        <f t="shared" si="222"/>
        <v>310.10000000000002</v>
      </c>
      <c r="AL1064" s="446">
        <f t="shared" si="223"/>
        <v>0</v>
      </c>
      <c r="AM1064" s="110">
        <f t="shared" si="224"/>
        <v>10</v>
      </c>
      <c r="AN1064" s="447">
        <f t="shared" si="227"/>
        <v>0</v>
      </c>
      <c r="AO1064"/>
      <c r="AP1064"/>
    </row>
    <row r="1065" spans="1:42" ht="66" x14ac:dyDescent="0.25">
      <c r="A1065" s="143"/>
      <c r="B1065" s="43" t="s">
        <v>2553</v>
      </c>
      <c r="C1065" s="24"/>
      <c r="D1065" s="869">
        <v>1</v>
      </c>
      <c r="E1065" s="1027" t="s">
        <v>1733</v>
      </c>
      <c r="F1065" s="273" t="s">
        <v>3446</v>
      </c>
      <c r="G1065" s="1040" t="s">
        <v>3463</v>
      </c>
      <c r="H1065" s="273" t="s">
        <v>3462</v>
      </c>
      <c r="I1065" s="720">
        <f t="shared" si="225"/>
        <v>99.22</v>
      </c>
      <c r="J1065" s="765">
        <v>99.22</v>
      </c>
      <c r="K1065" s="131">
        <f t="shared" si="226"/>
        <v>99.22</v>
      </c>
      <c r="L1065" s="335">
        <f t="shared" si="230"/>
        <v>0</v>
      </c>
      <c r="M1065" s="446"/>
      <c r="N1065" s="446"/>
      <c r="O1065" s="446"/>
      <c r="P1065" s="446"/>
      <c r="Q1065" s="110">
        <v>1</v>
      </c>
      <c r="R1065" s="111">
        <v>99.22</v>
      </c>
      <c r="S1065" s="110"/>
      <c r="T1065" s="110"/>
      <c r="U1065" s="110">
        <v>0</v>
      </c>
      <c r="V1065" s="111">
        <v>0</v>
      </c>
      <c r="W1065" s="110"/>
      <c r="X1065" s="110"/>
      <c r="Y1065" s="110"/>
      <c r="Z1065" s="110"/>
      <c r="AA1065" s="110">
        <v>0</v>
      </c>
      <c r="AB1065" s="111">
        <v>0</v>
      </c>
      <c r="AC1065" s="110"/>
      <c r="AD1065" s="110"/>
      <c r="AE1065" s="110">
        <v>0</v>
      </c>
      <c r="AF1065" s="111">
        <v>0</v>
      </c>
      <c r="AG1065" s="110"/>
      <c r="AH1065" s="110"/>
      <c r="AI1065" s="110"/>
      <c r="AJ1065" s="110"/>
      <c r="AK1065" s="111">
        <f t="shared" si="222"/>
        <v>99.22</v>
      </c>
      <c r="AL1065" s="446">
        <f t="shared" si="223"/>
        <v>0</v>
      </c>
      <c r="AM1065" s="110">
        <f t="shared" si="224"/>
        <v>1</v>
      </c>
      <c r="AN1065" s="447">
        <f t="shared" si="227"/>
        <v>0</v>
      </c>
      <c r="AO1065"/>
      <c r="AP1065"/>
    </row>
    <row r="1066" spans="1:42" ht="66" x14ac:dyDescent="0.25">
      <c r="A1066" s="143"/>
      <c r="B1066" s="43" t="s">
        <v>2554</v>
      </c>
      <c r="C1066" s="24"/>
      <c r="D1066" s="869">
        <v>100</v>
      </c>
      <c r="E1066" s="1027" t="s">
        <v>1723</v>
      </c>
      <c r="F1066" s="273" t="s">
        <v>3446</v>
      </c>
      <c r="G1066" s="1040" t="s">
        <v>3463</v>
      </c>
      <c r="H1066" s="273" t="s">
        <v>3462</v>
      </c>
      <c r="I1066" s="720">
        <f t="shared" si="225"/>
        <v>9.11</v>
      </c>
      <c r="J1066" s="765">
        <v>911</v>
      </c>
      <c r="K1066" s="131">
        <f t="shared" si="226"/>
        <v>911</v>
      </c>
      <c r="L1066" s="335">
        <f t="shared" si="230"/>
        <v>0</v>
      </c>
      <c r="M1066" s="446"/>
      <c r="N1066" s="446"/>
      <c r="O1066" s="446"/>
      <c r="P1066" s="446"/>
      <c r="Q1066" s="110">
        <v>30</v>
      </c>
      <c r="R1066" s="111">
        <f t="shared" si="228"/>
        <v>227.75</v>
      </c>
      <c r="S1066" s="110"/>
      <c r="T1066" s="110"/>
      <c r="U1066" s="110">
        <v>30</v>
      </c>
      <c r="V1066" s="111">
        <f t="shared" si="229"/>
        <v>227.75</v>
      </c>
      <c r="W1066" s="110"/>
      <c r="X1066" s="110"/>
      <c r="Y1066" s="110"/>
      <c r="Z1066" s="110"/>
      <c r="AA1066" s="110">
        <v>30</v>
      </c>
      <c r="AB1066" s="111">
        <f t="shared" si="231"/>
        <v>227.75</v>
      </c>
      <c r="AC1066" s="110"/>
      <c r="AD1066" s="110"/>
      <c r="AE1066" s="110">
        <v>10</v>
      </c>
      <c r="AF1066" s="111">
        <f t="shared" si="232"/>
        <v>227.75</v>
      </c>
      <c r="AG1066" s="110"/>
      <c r="AH1066" s="110"/>
      <c r="AI1066" s="110"/>
      <c r="AJ1066" s="110"/>
      <c r="AK1066" s="111">
        <f t="shared" si="222"/>
        <v>911</v>
      </c>
      <c r="AL1066" s="446">
        <f t="shared" si="223"/>
        <v>0</v>
      </c>
      <c r="AM1066" s="110">
        <f t="shared" si="224"/>
        <v>100</v>
      </c>
      <c r="AN1066" s="447">
        <f t="shared" si="227"/>
        <v>0</v>
      </c>
      <c r="AO1066"/>
      <c r="AP1066"/>
    </row>
    <row r="1067" spans="1:42" ht="66" x14ac:dyDescent="0.25">
      <c r="A1067" s="143"/>
      <c r="B1067" s="43" t="s">
        <v>2555</v>
      </c>
      <c r="C1067" s="24"/>
      <c r="D1067" s="869">
        <v>15</v>
      </c>
      <c r="E1067" s="1027" t="s">
        <v>1767</v>
      </c>
      <c r="F1067" s="273" t="s">
        <v>3446</v>
      </c>
      <c r="G1067" s="1040" t="s">
        <v>3463</v>
      </c>
      <c r="H1067" s="273" t="s">
        <v>3462</v>
      </c>
      <c r="I1067" s="720">
        <f t="shared" si="225"/>
        <v>50</v>
      </c>
      <c r="J1067" s="765">
        <v>750</v>
      </c>
      <c r="K1067" s="131">
        <f t="shared" si="226"/>
        <v>750</v>
      </c>
      <c r="L1067" s="335">
        <f t="shared" si="230"/>
        <v>0</v>
      </c>
      <c r="M1067" s="446"/>
      <c r="N1067" s="446"/>
      <c r="O1067" s="446"/>
      <c r="P1067" s="446"/>
      <c r="Q1067" s="110">
        <v>4</v>
      </c>
      <c r="R1067" s="111">
        <f t="shared" si="228"/>
        <v>187.5</v>
      </c>
      <c r="S1067" s="110"/>
      <c r="T1067" s="110"/>
      <c r="U1067" s="110">
        <v>4</v>
      </c>
      <c r="V1067" s="111">
        <f t="shared" si="229"/>
        <v>187.5</v>
      </c>
      <c r="W1067" s="110"/>
      <c r="X1067" s="110"/>
      <c r="Y1067" s="110"/>
      <c r="Z1067" s="110"/>
      <c r="AA1067" s="110">
        <v>4</v>
      </c>
      <c r="AB1067" s="111">
        <f t="shared" si="231"/>
        <v>187.5</v>
      </c>
      <c r="AC1067" s="110"/>
      <c r="AD1067" s="110"/>
      <c r="AE1067" s="110">
        <v>3</v>
      </c>
      <c r="AF1067" s="111">
        <f t="shared" si="232"/>
        <v>187.5</v>
      </c>
      <c r="AG1067" s="110"/>
      <c r="AH1067" s="110"/>
      <c r="AI1067" s="110"/>
      <c r="AJ1067" s="110"/>
      <c r="AK1067" s="111">
        <f t="shared" si="222"/>
        <v>750</v>
      </c>
      <c r="AL1067" s="446">
        <f t="shared" si="223"/>
        <v>0</v>
      </c>
      <c r="AM1067" s="110">
        <f t="shared" si="224"/>
        <v>15</v>
      </c>
      <c r="AN1067" s="447">
        <f t="shared" si="227"/>
        <v>0</v>
      </c>
      <c r="AO1067"/>
      <c r="AP1067"/>
    </row>
    <row r="1068" spans="1:42" ht="66" x14ac:dyDescent="0.25">
      <c r="A1068" s="143"/>
      <c r="B1068" s="43" t="s">
        <v>1771</v>
      </c>
      <c r="C1068" s="24"/>
      <c r="D1068" s="869">
        <v>15</v>
      </c>
      <c r="E1068" s="1027" t="s">
        <v>1766</v>
      </c>
      <c r="F1068" s="273" t="s">
        <v>3446</v>
      </c>
      <c r="G1068" s="1040" t="s">
        <v>3463</v>
      </c>
      <c r="H1068" s="273" t="s">
        <v>3462</v>
      </c>
      <c r="I1068" s="720">
        <f t="shared" si="225"/>
        <v>60</v>
      </c>
      <c r="J1068" s="765">
        <v>900</v>
      </c>
      <c r="K1068" s="131">
        <f t="shared" si="226"/>
        <v>900</v>
      </c>
      <c r="L1068" s="335">
        <f t="shared" si="230"/>
        <v>0</v>
      </c>
      <c r="M1068" s="446"/>
      <c r="N1068" s="446"/>
      <c r="O1068" s="446"/>
      <c r="P1068" s="446"/>
      <c r="Q1068" s="110">
        <v>4</v>
      </c>
      <c r="R1068" s="111">
        <f t="shared" si="228"/>
        <v>225</v>
      </c>
      <c r="S1068" s="110"/>
      <c r="T1068" s="110"/>
      <c r="U1068" s="110">
        <v>4</v>
      </c>
      <c r="V1068" s="111">
        <f t="shared" si="229"/>
        <v>225</v>
      </c>
      <c r="W1068" s="110"/>
      <c r="X1068" s="110"/>
      <c r="Y1068" s="110"/>
      <c r="Z1068" s="110"/>
      <c r="AA1068" s="110">
        <v>4</v>
      </c>
      <c r="AB1068" s="111">
        <f t="shared" si="231"/>
        <v>225</v>
      </c>
      <c r="AC1068" s="110"/>
      <c r="AD1068" s="110"/>
      <c r="AE1068" s="110">
        <v>3</v>
      </c>
      <c r="AF1068" s="111">
        <f t="shared" si="232"/>
        <v>225</v>
      </c>
      <c r="AG1068" s="110"/>
      <c r="AH1068" s="110"/>
      <c r="AI1068" s="110"/>
      <c r="AJ1068" s="110"/>
      <c r="AK1068" s="111">
        <f t="shared" si="222"/>
        <v>900</v>
      </c>
      <c r="AL1068" s="446">
        <f t="shared" si="223"/>
        <v>0</v>
      </c>
      <c r="AM1068" s="110">
        <f t="shared" si="224"/>
        <v>15</v>
      </c>
      <c r="AN1068" s="447">
        <f t="shared" si="227"/>
        <v>0</v>
      </c>
      <c r="AO1068"/>
      <c r="AP1068"/>
    </row>
    <row r="1069" spans="1:42" ht="66" x14ac:dyDescent="0.25">
      <c r="A1069" s="143"/>
      <c r="B1069" s="34" t="s">
        <v>125</v>
      </c>
      <c r="C1069" s="24"/>
      <c r="D1069" s="869">
        <v>20</v>
      </c>
      <c r="E1069" s="250" t="s">
        <v>1723</v>
      </c>
      <c r="F1069" s="273" t="s">
        <v>3446</v>
      </c>
      <c r="G1069" s="1040" t="s">
        <v>3463</v>
      </c>
      <c r="H1069" s="273" t="s">
        <v>3462</v>
      </c>
      <c r="I1069" s="720">
        <f t="shared" si="225"/>
        <v>46.17</v>
      </c>
      <c r="J1069" s="765">
        <v>923.40000000000009</v>
      </c>
      <c r="K1069" s="131">
        <f t="shared" si="226"/>
        <v>923.40000000000009</v>
      </c>
      <c r="L1069" s="335">
        <f t="shared" si="230"/>
        <v>0</v>
      </c>
      <c r="M1069" s="446"/>
      <c r="N1069" s="446"/>
      <c r="O1069" s="446"/>
      <c r="P1069" s="446"/>
      <c r="Q1069" s="110">
        <f t="shared" ref="Q1069:Q1135" si="233">+$D1069/4</f>
        <v>5</v>
      </c>
      <c r="R1069" s="111">
        <f t="shared" si="228"/>
        <v>230.85000000000002</v>
      </c>
      <c r="S1069" s="110"/>
      <c r="T1069" s="110"/>
      <c r="U1069" s="110">
        <f t="shared" ref="U1069:U1135" si="234">+$D1069/4</f>
        <v>5</v>
      </c>
      <c r="V1069" s="111">
        <f t="shared" si="229"/>
        <v>230.85000000000002</v>
      </c>
      <c r="W1069" s="110"/>
      <c r="X1069" s="110"/>
      <c r="Y1069" s="110"/>
      <c r="Z1069" s="110"/>
      <c r="AA1069" s="110">
        <f t="shared" ref="AA1069:AE1135" si="235">+$D1069/4</f>
        <v>5</v>
      </c>
      <c r="AB1069" s="111">
        <f t="shared" si="231"/>
        <v>230.85000000000002</v>
      </c>
      <c r="AC1069" s="110"/>
      <c r="AD1069" s="110"/>
      <c r="AE1069" s="110">
        <f t="shared" si="235"/>
        <v>5</v>
      </c>
      <c r="AF1069" s="111">
        <f t="shared" si="232"/>
        <v>230.85000000000002</v>
      </c>
      <c r="AG1069" s="110"/>
      <c r="AH1069" s="110"/>
      <c r="AI1069" s="110"/>
      <c r="AJ1069" s="110"/>
      <c r="AK1069" s="111">
        <f t="shared" si="222"/>
        <v>923.40000000000009</v>
      </c>
      <c r="AL1069" s="446">
        <f t="shared" si="223"/>
        <v>0</v>
      </c>
      <c r="AM1069" s="110">
        <f t="shared" si="224"/>
        <v>20</v>
      </c>
      <c r="AN1069" s="447">
        <f t="shared" si="227"/>
        <v>0</v>
      </c>
      <c r="AO1069"/>
      <c r="AP1069"/>
    </row>
    <row r="1070" spans="1:42" ht="66" x14ac:dyDescent="0.25">
      <c r="A1070" s="143"/>
      <c r="B1070" s="59" t="s">
        <v>2556</v>
      </c>
      <c r="C1070" s="24"/>
      <c r="D1070" s="869">
        <v>100</v>
      </c>
      <c r="E1070" s="250" t="s">
        <v>1723</v>
      </c>
      <c r="F1070" s="273" t="s">
        <v>3446</v>
      </c>
      <c r="G1070" s="1040" t="s">
        <v>3463</v>
      </c>
      <c r="H1070" s="273" t="s">
        <v>3462</v>
      </c>
      <c r="I1070" s="720">
        <f t="shared" si="225"/>
        <v>1.02</v>
      </c>
      <c r="J1070" s="765">
        <v>102</v>
      </c>
      <c r="K1070" s="131">
        <f t="shared" si="226"/>
        <v>102</v>
      </c>
      <c r="L1070" s="335">
        <f t="shared" si="230"/>
        <v>0</v>
      </c>
      <c r="M1070" s="446"/>
      <c r="N1070" s="446"/>
      <c r="O1070" s="446"/>
      <c r="P1070" s="446"/>
      <c r="Q1070" s="110">
        <v>30</v>
      </c>
      <c r="R1070" s="111">
        <f t="shared" si="228"/>
        <v>25.5</v>
      </c>
      <c r="S1070" s="110"/>
      <c r="T1070" s="110"/>
      <c r="U1070" s="110">
        <v>30</v>
      </c>
      <c r="V1070" s="111">
        <f t="shared" si="229"/>
        <v>25.5</v>
      </c>
      <c r="W1070" s="110"/>
      <c r="X1070" s="110"/>
      <c r="Y1070" s="110"/>
      <c r="Z1070" s="110"/>
      <c r="AA1070" s="110">
        <v>30</v>
      </c>
      <c r="AB1070" s="111">
        <f t="shared" si="231"/>
        <v>25.5</v>
      </c>
      <c r="AC1070" s="110"/>
      <c r="AD1070" s="110"/>
      <c r="AE1070" s="110">
        <v>10</v>
      </c>
      <c r="AF1070" s="111">
        <f t="shared" si="232"/>
        <v>25.5</v>
      </c>
      <c r="AG1070" s="110"/>
      <c r="AH1070" s="110"/>
      <c r="AI1070" s="110"/>
      <c r="AJ1070" s="110"/>
      <c r="AK1070" s="111">
        <f t="shared" si="222"/>
        <v>102</v>
      </c>
      <c r="AL1070" s="446">
        <f t="shared" si="223"/>
        <v>0</v>
      </c>
      <c r="AM1070" s="110">
        <f t="shared" si="224"/>
        <v>100</v>
      </c>
      <c r="AN1070" s="447">
        <f t="shared" si="227"/>
        <v>0</v>
      </c>
      <c r="AO1070"/>
      <c r="AP1070"/>
    </row>
    <row r="1071" spans="1:42" ht="66" x14ac:dyDescent="0.25">
      <c r="A1071" s="143"/>
      <c r="B1071" s="76" t="s">
        <v>119</v>
      </c>
      <c r="C1071" s="24"/>
      <c r="D1071" s="880">
        <v>10</v>
      </c>
      <c r="E1071" s="1025" t="s">
        <v>2605</v>
      </c>
      <c r="F1071" s="273" t="s">
        <v>3446</v>
      </c>
      <c r="G1071" s="1040" t="s">
        <v>3463</v>
      </c>
      <c r="H1071" s="273" t="s">
        <v>3462</v>
      </c>
      <c r="I1071" s="720">
        <f t="shared" si="225"/>
        <v>98.657999999999987</v>
      </c>
      <c r="J1071" s="765">
        <v>986.57999999999993</v>
      </c>
      <c r="K1071" s="131">
        <f t="shared" si="226"/>
        <v>986.57999999999993</v>
      </c>
      <c r="L1071" s="335">
        <f t="shared" si="230"/>
        <v>0</v>
      </c>
      <c r="M1071" s="446"/>
      <c r="N1071" s="446"/>
      <c r="O1071" s="446"/>
      <c r="P1071" s="446"/>
      <c r="Q1071" s="130">
        <v>3</v>
      </c>
      <c r="R1071" s="111">
        <f t="shared" si="228"/>
        <v>246.64499999999998</v>
      </c>
      <c r="S1071" s="110"/>
      <c r="T1071" s="110"/>
      <c r="U1071" s="130">
        <v>3</v>
      </c>
      <c r="V1071" s="111">
        <f t="shared" si="229"/>
        <v>246.64499999999998</v>
      </c>
      <c r="W1071" s="110"/>
      <c r="X1071" s="110"/>
      <c r="Y1071" s="110"/>
      <c r="Z1071" s="110"/>
      <c r="AA1071" s="130">
        <v>2</v>
      </c>
      <c r="AB1071" s="111">
        <f t="shared" si="231"/>
        <v>246.64499999999998</v>
      </c>
      <c r="AC1071" s="110"/>
      <c r="AD1071" s="110"/>
      <c r="AE1071" s="130">
        <v>2</v>
      </c>
      <c r="AF1071" s="111">
        <f t="shared" si="232"/>
        <v>246.64499999999998</v>
      </c>
      <c r="AG1071" s="110"/>
      <c r="AH1071" s="110"/>
      <c r="AI1071" s="110"/>
      <c r="AJ1071" s="110"/>
      <c r="AK1071" s="111">
        <f t="shared" si="222"/>
        <v>986.57999999999993</v>
      </c>
      <c r="AL1071" s="446">
        <f t="shared" si="223"/>
        <v>0</v>
      </c>
      <c r="AM1071" s="110">
        <f t="shared" si="224"/>
        <v>10</v>
      </c>
      <c r="AN1071" s="447">
        <f t="shared" si="227"/>
        <v>0</v>
      </c>
      <c r="AO1071"/>
      <c r="AP1071"/>
    </row>
    <row r="1072" spans="1:42" ht="66" x14ac:dyDescent="0.25">
      <c r="A1072" s="143"/>
      <c r="B1072" s="76" t="s">
        <v>120</v>
      </c>
      <c r="C1072" s="24"/>
      <c r="D1072" s="880">
        <v>10</v>
      </c>
      <c r="E1072" s="1025" t="s">
        <v>2605</v>
      </c>
      <c r="F1072" s="273" t="s">
        <v>3446</v>
      </c>
      <c r="G1072" s="1040" t="s">
        <v>3463</v>
      </c>
      <c r="H1072" s="273" t="s">
        <v>3462</v>
      </c>
      <c r="I1072" s="720">
        <f t="shared" si="225"/>
        <v>142.8192</v>
      </c>
      <c r="J1072" s="765">
        <v>1428.192</v>
      </c>
      <c r="K1072" s="131">
        <f t="shared" si="226"/>
        <v>1428.192</v>
      </c>
      <c r="L1072" s="335">
        <f t="shared" si="230"/>
        <v>0</v>
      </c>
      <c r="M1072" s="446"/>
      <c r="N1072" s="446"/>
      <c r="O1072" s="446"/>
      <c r="P1072" s="446"/>
      <c r="Q1072" s="130">
        <v>3</v>
      </c>
      <c r="R1072" s="111">
        <f t="shared" si="228"/>
        <v>357.048</v>
      </c>
      <c r="S1072" s="110"/>
      <c r="T1072" s="110"/>
      <c r="U1072" s="130">
        <v>3</v>
      </c>
      <c r="V1072" s="111">
        <f t="shared" si="229"/>
        <v>357.048</v>
      </c>
      <c r="W1072" s="110"/>
      <c r="X1072" s="110"/>
      <c r="Y1072" s="110"/>
      <c r="Z1072" s="110"/>
      <c r="AA1072" s="130">
        <v>2</v>
      </c>
      <c r="AB1072" s="111">
        <f t="shared" si="231"/>
        <v>357.048</v>
      </c>
      <c r="AC1072" s="110"/>
      <c r="AD1072" s="110"/>
      <c r="AE1072" s="130">
        <v>2</v>
      </c>
      <c r="AF1072" s="111">
        <f t="shared" si="232"/>
        <v>357.048</v>
      </c>
      <c r="AG1072" s="110"/>
      <c r="AH1072" s="110"/>
      <c r="AI1072" s="110"/>
      <c r="AJ1072" s="110"/>
      <c r="AK1072" s="111">
        <f t="shared" ref="AK1072:AK1138" si="236">+R1072+V1072+AB1072+AF1072</f>
        <v>1428.192</v>
      </c>
      <c r="AL1072" s="446">
        <f t="shared" ref="AL1072:AL1138" si="237">+J1072-AK1072</f>
        <v>0</v>
      </c>
      <c r="AM1072" s="110">
        <f t="shared" ref="AM1072:AM1138" si="238">+Q1072+U1072+AA1072+AE1072</f>
        <v>10</v>
      </c>
      <c r="AN1072" s="447">
        <f t="shared" si="227"/>
        <v>0</v>
      </c>
      <c r="AO1072"/>
      <c r="AP1072"/>
    </row>
    <row r="1073" spans="1:42" ht="66" x14ac:dyDescent="0.25">
      <c r="A1073" s="143"/>
      <c r="B1073" s="219" t="s">
        <v>2601</v>
      </c>
      <c r="C1073" s="24"/>
      <c r="D1073" s="880">
        <v>1</v>
      </c>
      <c r="E1073" s="247" t="s">
        <v>1725</v>
      </c>
      <c r="F1073" s="273" t="s">
        <v>3446</v>
      </c>
      <c r="G1073" s="1040" t="s">
        <v>3463</v>
      </c>
      <c r="H1073" s="273" t="s">
        <v>3462</v>
      </c>
      <c r="I1073" s="720">
        <f t="shared" si="225"/>
        <v>171.5292</v>
      </c>
      <c r="J1073" s="765">
        <v>171.5292</v>
      </c>
      <c r="K1073" s="131">
        <f t="shared" si="226"/>
        <v>171.5292</v>
      </c>
      <c r="L1073" s="335">
        <f t="shared" si="230"/>
        <v>0</v>
      </c>
      <c r="M1073" s="446"/>
      <c r="N1073" s="446"/>
      <c r="O1073" s="446"/>
      <c r="P1073" s="446"/>
      <c r="Q1073" s="110">
        <v>0</v>
      </c>
      <c r="R1073" s="111">
        <v>0</v>
      </c>
      <c r="S1073" s="110"/>
      <c r="T1073" s="110"/>
      <c r="U1073" s="110">
        <v>1</v>
      </c>
      <c r="V1073" s="111">
        <v>171.53</v>
      </c>
      <c r="W1073" s="110"/>
      <c r="X1073" s="110"/>
      <c r="Y1073" s="110"/>
      <c r="Z1073" s="110"/>
      <c r="AA1073" s="110">
        <v>0</v>
      </c>
      <c r="AB1073" s="111">
        <v>0</v>
      </c>
      <c r="AC1073" s="110"/>
      <c r="AD1073" s="110"/>
      <c r="AE1073" s="110">
        <v>0</v>
      </c>
      <c r="AF1073" s="111">
        <v>0</v>
      </c>
      <c r="AG1073" s="110"/>
      <c r="AH1073" s="110"/>
      <c r="AI1073" s="110"/>
      <c r="AJ1073" s="110"/>
      <c r="AK1073" s="111">
        <f t="shared" si="236"/>
        <v>171.53</v>
      </c>
      <c r="AL1073" s="446">
        <f t="shared" si="237"/>
        <v>-7.9999999999813554E-4</v>
      </c>
      <c r="AM1073" s="110">
        <f t="shared" si="238"/>
        <v>1</v>
      </c>
      <c r="AN1073" s="447">
        <f t="shared" si="227"/>
        <v>0</v>
      </c>
      <c r="AO1073"/>
      <c r="AP1073"/>
    </row>
    <row r="1074" spans="1:42" ht="66" x14ac:dyDescent="0.25">
      <c r="A1074" s="143"/>
      <c r="B1074" s="219" t="s">
        <v>2602</v>
      </c>
      <c r="C1074" s="24"/>
      <c r="D1074" s="880">
        <v>1</v>
      </c>
      <c r="E1074" s="247" t="s">
        <v>1725</v>
      </c>
      <c r="F1074" s="273" t="s">
        <v>3446</v>
      </c>
      <c r="G1074" s="1040" t="s">
        <v>3463</v>
      </c>
      <c r="H1074" s="273" t="s">
        <v>3462</v>
      </c>
      <c r="I1074" s="720">
        <f t="shared" si="225"/>
        <v>196.68959999999998</v>
      </c>
      <c r="J1074" s="765">
        <v>196.68959999999998</v>
      </c>
      <c r="K1074" s="131">
        <f t="shared" si="226"/>
        <v>196.68959999999998</v>
      </c>
      <c r="L1074" s="335">
        <f t="shared" si="230"/>
        <v>0</v>
      </c>
      <c r="M1074" s="446"/>
      <c r="N1074" s="446"/>
      <c r="O1074" s="446"/>
      <c r="P1074" s="446"/>
      <c r="Q1074" s="110">
        <v>0</v>
      </c>
      <c r="R1074" s="111">
        <v>0</v>
      </c>
      <c r="S1074" s="110"/>
      <c r="T1074" s="110"/>
      <c r="U1074" s="110">
        <v>1</v>
      </c>
      <c r="V1074" s="111">
        <v>196.69</v>
      </c>
      <c r="W1074" s="110"/>
      <c r="X1074" s="110"/>
      <c r="Y1074" s="110"/>
      <c r="Z1074" s="110"/>
      <c r="AA1074" s="110">
        <v>0</v>
      </c>
      <c r="AB1074" s="111">
        <v>0</v>
      </c>
      <c r="AC1074" s="110"/>
      <c r="AD1074" s="110"/>
      <c r="AE1074" s="110">
        <v>0</v>
      </c>
      <c r="AF1074" s="111">
        <v>0</v>
      </c>
      <c r="AG1074" s="110"/>
      <c r="AH1074" s="110"/>
      <c r="AI1074" s="110"/>
      <c r="AJ1074" s="110"/>
      <c r="AK1074" s="111">
        <f t="shared" si="236"/>
        <v>196.69</v>
      </c>
      <c r="AL1074" s="446">
        <f t="shared" si="237"/>
        <v>-4.0000000001327862E-4</v>
      </c>
      <c r="AM1074" s="110">
        <f t="shared" si="238"/>
        <v>1</v>
      </c>
      <c r="AN1074" s="447">
        <f t="shared" si="227"/>
        <v>0</v>
      </c>
      <c r="AO1074"/>
      <c r="AP1074"/>
    </row>
    <row r="1075" spans="1:42" ht="66" x14ac:dyDescent="0.25">
      <c r="A1075" s="143"/>
      <c r="B1075" s="76" t="s">
        <v>2603</v>
      </c>
      <c r="C1075" s="24"/>
      <c r="D1075" s="880">
        <v>1</v>
      </c>
      <c r="E1075" s="1025" t="s">
        <v>2605</v>
      </c>
      <c r="F1075" s="273" t="s">
        <v>3446</v>
      </c>
      <c r="G1075" s="1040" t="s">
        <v>3463</v>
      </c>
      <c r="H1075" s="273" t="s">
        <v>3462</v>
      </c>
      <c r="I1075" s="720">
        <f t="shared" si="225"/>
        <v>41.609199999999994</v>
      </c>
      <c r="J1075" s="765">
        <v>41.609199999999994</v>
      </c>
      <c r="K1075" s="131">
        <f t="shared" si="226"/>
        <v>41.609199999999994</v>
      </c>
      <c r="L1075" s="335">
        <f t="shared" si="230"/>
        <v>0</v>
      </c>
      <c r="M1075" s="446"/>
      <c r="N1075" s="446"/>
      <c r="O1075" s="446"/>
      <c r="P1075" s="446"/>
      <c r="Q1075" s="110">
        <v>1</v>
      </c>
      <c r="R1075" s="111">
        <v>41.61</v>
      </c>
      <c r="S1075" s="110"/>
      <c r="T1075" s="110"/>
      <c r="U1075" s="110">
        <v>0</v>
      </c>
      <c r="V1075" s="111">
        <v>0</v>
      </c>
      <c r="W1075" s="110"/>
      <c r="X1075" s="110"/>
      <c r="Y1075" s="110"/>
      <c r="Z1075" s="110"/>
      <c r="AA1075" s="110">
        <v>0</v>
      </c>
      <c r="AB1075" s="111">
        <v>0</v>
      </c>
      <c r="AC1075" s="110"/>
      <c r="AD1075" s="110"/>
      <c r="AE1075" s="110">
        <v>0</v>
      </c>
      <c r="AF1075" s="111">
        <v>0</v>
      </c>
      <c r="AG1075" s="110"/>
      <c r="AH1075" s="110"/>
      <c r="AI1075" s="110"/>
      <c r="AJ1075" s="110"/>
      <c r="AK1075" s="111">
        <f t="shared" si="236"/>
        <v>41.61</v>
      </c>
      <c r="AL1075" s="446">
        <f t="shared" si="237"/>
        <v>-8.0000000000524096E-4</v>
      </c>
      <c r="AM1075" s="110">
        <f t="shared" si="238"/>
        <v>1</v>
      </c>
      <c r="AN1075" s="447">
        <f t="shared" si="227"/>
        <v>0</v>
      </c>
      <c r="AO1075"/>
      <c r="AP1075"/>
    </row>
    <row r="1076" spans="1:42" ht="66" x14ac:dyDescent="0.25">
      <c r="A1076" s="143"/>
      <c r="B1076" s="219" t="s">
        <v>2604</v>
      </c>
      <c r="C1076" s="24"/>
      <c r="D1076" s="880">
        <v>2</v>
      </c>
      <c r="E1076" s="1027" t="s">
        <v>1725</v>
      </c>
      <c r="F1076" s="273" t="s">
        <v>3446</v>
      </c>
      <c r="G1076" s="1040" t="s">
        <v>3463</v>
      </c>
      <c r="H1076" s="273" t="s">
        <v>3462</v>
      </c>
      <c r="I1076" s="720">
        <f t="shared" si="225"/>
        <v>32.955599999999997</v>
      </c>
      <c r="J1076" s="765">
        <v>65.911199999999994</v>
      </c>
      <c r="K1076" s="131">
        <f t="shared" si="226"/>
        <v>65.911199999999994</v>
      </c>
      <c r="L1076" s="335">
        <f t="shared" si="230"/>
        <v>0</v>
      </c>
      <c r="M1076" s="446"/>
      <c r="N1076" s="446"/>
      <c r="O1076" s="446"/>
      <c r="P1076" s="446"/>
      <c r="Q1076" s="130">
        <v>1</v>
      </c>
      <c r="R1076" s="111">
        <v>32.96</v>
      </c>
      <c r="S1076" s="110"/>
      <c r="T1076" s="110"/>
      <c r="U1076" s="130">
        <v>1</v>
      </c>
      <c r="V1076" s="111">
        <v>32.96</v>
      </c>
      <c r="W1076" s="110"/>
      <c r="X1076" s="110"/>
      <c r="Y1076" s="110"/>
      <c r="Z1076" s="110"/>
      <c r="AA1076" s="130">
        <v>0</v>
      </c>
      <c r="AB1076" s="111">
        <v>0</v>
      </c>
      <c r="AC1076" s="110"/>
      <c r="AD1076" s="110"/>
      <c r="AE1076" s="130">
        <v>0</v>
      </c>
      <c r="AF1076" s="111">
        <v>0</v>
      </c>
      <c r="AG1076" s="110"/>
      <c r="AH1076" s="110"/>
      <c r="AI1076" s="110"/>
      <c r="AJ1076" s="110"/>
      <c r="AK1076" s="111">
        <f t="shared" si="236"/>
        <v>65.92</v>
      </c>
      <c r="AL1076" s="446">
        <f t="shared" si="237"/>
        <v>-8.8000000000079126E-3</v>
      </c>
      <c r="AM1076" s="110">
        <f t="shared" si="238"/>
        <v>2</v>
      </c>
      <c r="AN1076" s="447">
        <f t="shared" si="227"/>
        <v>0</v>
      </c>
      <c r="AO1076"/>
      <c r="AP1076"/>
    </row>
    <row r="1077" spans="1:42" ht="66" x14ac:dyDescent="0.25">
      <c r="A1077" s="143"/>
      <c r="B1077" s="76" t="s">
        <v>110</v>
      </c>
      <c r="C1077" s="24"/>
      <c r="D1077" s="880">
        <v>1</v>
      </c>
      <c r="E1077" s="1025" t="s">
        <v>2600</v>
      </c>
      <c r="F1077" s="273" t="s">
        <v>3446</v>
      </c>
      <c r="G1077" s="1040" t="s">
        <v>3463</v>
      </c>
      <c r="H1077" s="273" t="s">
        <v>3462</v>
      </c>
      <c r="I1077" s="720">
        <f t="shared" si="225"/>
        <v>83.1952</v>
      </c>
      <c r="J1077" s="765">
        <v>83.1952</v>
      </c>
      <c r="K1077" s="131">
        <f t="shared" si="226"/>
        <v>83.1952</v>
      </c>
      <c r="L1077" s="335">
        <f t="shared" si="230"/>
        <v>0</v>
      </c>
      <c r="M1077" s="446"/>
      <c r="N1077" s="446"/>
      <c r="O1077" s="446"/>
      <c r="P1077" s="446"/>
      <c r="Q1077" s="110">
        <v>1</v>
      </c>
      <c r="R1077" s="111">
        <v>83.2</v>
      </c>
      <c r="S1077" s="110"/>
      <c r="T1077" s="110"/>
      <c r="U1077" s="110">
        <v>0</v>
      </c>
      <c r="V1077" s="111">
        <v>0</v>
      </c>
      <c r="W1077" s="110"/>
      <c r="X1077" s="110"/>
      <c r="Y1077" s="110"/>
      <c r="Z1077" s="110"/>
      <c r="AA1077" s="110">
        <v>0</v>
      </c>
      <c r="AB1077" s="111">
        <v>0</v>
      </c>
      <c r="AC1077" s="110"/>
      <c r="AD1077" s="110"/>
      <c r="AE1077" s="110">
        <v>0</v>
      </c>
      <c r="AF1077" s="111">
        <v>0</v>
      </c>
      <c r="AG1077" s="110"/>
      <c r="AH1077" s="110"/>
      <c r="AI1077" s="110"/>
      <c r="AJ1077" s="110"/>
      <c r="AK1077" s="111">
        <f t="shared" si="236"/>
        <v>83.2</v>
      </c>
      <c r="AL1077" s="446">
        <f t="shared" si="237"/>
        <v>-4.8000000000030241E-3</v>
      </c>
      <c r="AM1077" s="110">
        <f t="shared" si="238"/>
        <v>1</v>
      </c>
      <c r="AN1077" s="447">
        <f t="shared" si="227"/>
        <v>0</v>
      </c>
      <c r="AO1077"/>
      <c r="AP1077"/>
    </row>
    <row r="1078" spans="1:42" ht="66" x14ac:dyDescent="0.25">
      <c r="A1078" s="143"/>
      <c r="B1078" s="76" t="s">
        <v>125</v>
      </c>
      <c r="C1078" s="24"/>
      <c r="D1078" s="880">
        <v>9</v>
      </c>
      <c r="E1078" s="1025" t="s">
        <v>2599</v>
      </c>
      <c r="F1078" s="273" t="s">
        <v>3446</v>
      </c>
      <c r="G1078" s="1040" t="s">
        <v>3463</v>
      </c>
      <c r="H1078" s="273" t="s">
        <v>3462</v>
      </c>
      <c r="I1078" s="720">
        <f t="shared" si="225"/>
        <v>34.869599999999998</v>
      </c>
      <c r="J1078" s="765">
        <v>313.82639999999998</v>
      </c>
      <c r="K1078" s="131">
        <f t="shared" si="226"/>
        <v>313.82639999999998</v>
      </c>
      <c r="L1078" s="335">
        <f t="shared" si="230"/>
        <v>0</v>
      </c>
      <c r="M1078" s="446"/>
      <c r="N1078" s="446"/>
      <c r="O1078" s="446"/>
      <c r="P1078" s="446"/>
      <c r="Q1078" s="110">
        <v>3</v>
      </c>
      <c r="R1078" s="111">
        <f t="shared" si="228"/>
        <v>78.456599999999995</v>
      </c>
      <c r="S1078" s="110"/>
      <c r="T1078" s="110"/>
      <c r="U1078" s="110">
        <v>2</v>
      </c>
      <c r="V1078" s="111">
        <f t="shared" si="229"/>
        <v>78.456599999999995</v>
      </c>
      <c r="W1078" s="110"/>
      <c r="X1078" s="110"/>
      <c r="Y1078" s="110"/>
      <c r="Z1078" s="110"/>
      <c r="AA1078" s="110">
        <v>2</v>
      </c>
      <c r="AB1078" s="111">
        <f t="shared" si="231"/>
        <v>78.456599999999995</v>
      </c>
      <c r="AC1078" s="110"/>
      <c r="AD1078" s="110"/>
      <c r="AE1078" s="110">
        <v>2</v>
      </c>
      <c r="AF1078" s="111">
        <f t="shared" si="232"/>
        <v>78.456599999999995</v>
      </c>
      <c r="AG1078" s="110"/>
      <c r="AH1078" s="110"/>
      <c r="AI1078" s="110"/>
      <c r="AJ1078" s="110"/>
      <c r="AK1078" s="111">
        <f t="shared" si="236"/>
        <v>313.82639999999998</v>
      </c>
      <c r="AL1078" s="446">
        <f t="shared" si="237"/>
        <v>0</v>
      </c>
      <c r="AM1078" s="110">
        <f t="shared" si="238"/>
        <v>9</v>
      </c>
      <c r="AN1078" s="447">
        <f t="shared" si="227"/>
        <v>0</v>
      </c>
      <c r="AO1078"/>
      <c r="AP1078"/>
    </row>
    <row r="1079" spans="1:42" ht="66" x14ac:dyDescent="0.25">
      <c r="A1079" s="143"/>
      <c r="B1079" s="76" t="s">
        <v>126</v>
      </c>
      <c r="C1079" s="24"/>
      <c r="D1079" s="880">
        <v>4</v>
      </c>
      <c r="E1079" s="1025" t="s">
        <v>2599</v>
      </c>
      <c r="F1079" s="273" t="s">
        <v>3446</v>
      </c>
      <c r="G1079" s="1040" t="s">
        <v>3463</v>
      </c>
      <c r="H1079" s="273" t="s">
        <v>3462</v>
      </c>
      <c r="I1079" s="720">
        <f t="shared" si="225"/>
        <v>35.96</v>
      </c>
      <c r="J1079" s="765">
        <v>143.84</v>
      </c>
      <c r="K1079" s="131">
        <f t="shared" si="226"/>
        <v>143.84</v>
      </c>
      <c r="L1079" s="335">
        <f t="shared" si="230"/>
        <v>0</v>
      </c>
      <c r="M1079" s="446"/>
      <c r="N1079" s="446"/>
      <c r="O1079" s="446"/>
      <c r="P1079" s="446"/>
      <c r="Q1079" s="110">
        <f t="shared" si="233"/>
        <v>1</v>
      </c>
      <c r="R1079" s="111">
        <f t="shared" si="228"/>
        <v>35.96</v>
      </c>
      <c r="S1079" s="110"/>
      <c r="T1079" s="110"/>
      <c r="U1079" s="110">
        <f t="shared" si="234"/>
        <v>1</v>
      </c>
      <c r="V1079" s="111">
        <f t="shared" si="229"/>
        <v>35.96</v>
      </c>
      <c r="W1079" s="110"/>
      <c r="X1079" s="110"/>
      <c r="Y1079" s="110"/>
      <c r="Z1079" s="110"/>
      <c r="AA1079" s="110">
        <f t="shared" si="235"/>
        <v>1</v>
      </c>
      <c r="AB1079" s="111">
        <f t="shared" si="231"/>
        <v>35.96</v>
      </c>
      <c r="AC1079" s="110"/>
      <c r="AD1079" s="110"/>
      <c r="AE1079" s="110">
        <f t="shared" si="235"/>
        <v>1</v>
      </c>
      <c r="AF1079" s="111">
        <f t="shared" si="232"/>
        <v>35.96</v>
      </c>
      <c r="AG1079" s="110"/>
      <c r="AH1079" s="110"/>
      <c r="AI1079" s="110"/>
      <c r="AJ1079" s="110"/>
      <c r="AK1079" s="111">
        <f t="shared" si="236"/>
        <v>143.84</v>
      </c>
      <c r="AL1079" s="446">
        <f t="shared" si="237"/>
        <v>0</v>
      </c>
      <c r="AM1079" s="110">
        <f t="shared" si="238"/>
        <v>4</v>
      </c>
      <c r="AN1079" s="447">
        <f t="shared" si="227"/>
        <v>0</v>
      </c>
      <c r="AO1079"/>
      <c r="AP1079"/>
    </row>
    <row r="1080" spans="1:42" ht="66" x14ac:dyDescent="0.25">
      <c r="A1080" s="143"/>
      <c r="B1080" s="76" t="s">
        <v>130</v>
      </c>
      <c r="C1080" s="24"/>
      <c r="D1080" s="880">
        <v>10</v>
      </c>
      <c r="E1080" s="1025" t="s">
        <v>2599</v>
      </c>
      <c r="F1080" s="273" t="s">
        <v>3446</v>
      </c>
      <c r="G1080" s="1040" t="s">
        <v>3463</v>
      </c>
      <c r="H1080" s="273" t="s">
        <v>3462</v>
      </c>
      <c r="I1080" s="720">
        <f t="shared" si="225"/>
        <v>3.2595999999999998</v>
      </c>
      <c r="J1080" s="765">
        <v>32.595999999999997</v>
      </c>
      <c r="K1080" s="131">
        <f t="shared" si="226"/>
        <v>32.595999999999997</v>
      </c>
      <c r="L1080" s="335">
        <f t="shared" si="230"/>
        <v>0</v>
      </c>
      <c r="M1080" s="446"/>
      <c r="N1080" s="446"/>
      <c r="O1080" s="446"/>
      <c r="P1080" s="446"/>
      <c r="Q1080" s="130">
        <v>3</v>
      </c>
      <c r="R1080" s="111">
        <f t="shared" si="228"/>
        <v>8.1489999999999991</v>
      </c>
      <c r="S1080" s="110"/>
      <c r="T1080" s="110"/>
      <c r="U1080" s="130">
        <v>3</v>
      </c>
      <c r="V1080" s="111">
        <f t="shared" si="229"/>
        <v>8.1489999999999991</v>
      </c>
      <c r="W1080" s="110"/>
      <c r="X1080" s="110"/>
      <c r="Y1080" s="110"/>
      <c r="Z1080" s="110"/>
      <c r="AA1080" s="130">
        <v>2</v>
      </c>
      <c r="AB1080" s="111">
        <f t="shared" si="231"/>
        <v>8.1489999999999991</v>
      </c>
      <c r="AC1080" s="110"/>
      <c r="AD1080" s="110"/>
      <c r="AE1080" s="130">
        <v>2</v>
      </c>
      <c r="AF1080" s="111">
        <f t="shared" si="232"/>
        <v>8.1489999999999991</v>
      </c>
      <c r="AG1080" s="110"/>
      <c r="AH1080" s="110"/>
      <c r="AI1080" s="110"/>
      <c r="AJ1080" s="110"/>
      <c r="AK1080" s="111">
        <f t="shared" si="236"/>
        <v>32.595999999999997</v>
      </c>
      <c r="AL1080" s="446">
        <f t="shared" si="237"/>
        <v>0</v>
      </c>
      <c r="AM1080" s="110">
        <f t="shared" si="238"/>
        <v>10</v>
      </c>
      <c r="AN1080" s="447">
        <f t="shared" si="227"/>
        <v>0</v>
      </c>
      <c r="AO1080"/>
      <c r="AP1080"/>
    </row>
    <row r="1081" spans="1:42" ht="66" x14ac:dyDescent="0.25">
      <c r="A1081" s="143"/>
      <c r="B1081" s="76" t="s">
        <v>131</v>
      </c>
      <c r="C1081" s="24"/>
      <c r="D1081" s="880">
        <v>10</v>
      </c>
      <c r="E1081" s="1025" t="s">
        <v>2599</v>
      </c>
      <c r="F1081" s="273" t="s">
        <v>3446</v>
      </c>
      <c r="G1081" s="1040" t="s">
        <v>3463</v>
      </c>
      <c r="H1081" s="273" t="s">
        <v>3462</v>
      </c>
      <c r="I1081" s="720">
        <f t="shared" si="225"/>
        <v>3.7467999999999995</v>
      </c>
      <c r="J1081" s="765">
        <v>37.467999999999996</v>
      </c>
      <c r="K1081" s="131">
        <f t="shared" si="226"/>
        <v>37.467999999999996</v>
      </c>
      <c r="L1081" s="335">
        <f t="shared" si="230"/>
        <v>0</v>
      </c>
      <c r="M1081" s="446"/>
      <c r="N1081" s="446"/>
      <c r="O1081" s="446"/>
      <c r="P1081" s="446"/>
      <c r="Q1081" s="130">
        <v>3</v>
      </c>
      <c r="R1081" s="111">
        <f t="shared" si="228"/>
        <v>9.3669999999999991</v>
      </c>
      <c r="S1081" s="110"/>
      <c r="T1081" s="110"/>
      <c r="U1081" s="130">
        <v>3</v>
      </c>
      <c r="V1081" s="111">
        <f t="shared" si="229"/>
        <v>9.3669999999999991</v>
      </c>
      <c r="W1081" s="110"/>
      <c r="X1081" s="110"/>
      <c r="Y1081" s="110"/>
      <c r="Z1081" s="110"/>
      <c r="AA1081" s="130">
        <v>2</v>
      </c>
      <c r="AB1081" s="111">
        <f t="shared" si="231"/>
        <v>9.3669999999999991</v>
      </c>
      <c r="AC1081" s="110"/>
      <c r="AD1081" s="110"/>
      <c r="AE1081" s="130">
        <v>2</v>
      </c>
      <c r="AF1081" s="111">
        <f t="shared" si="232"/>
        <v>9.3669999999999991</v>
      </c>
      <c r="AG1081" s="110"/>
      <c r="AH1081" s="110"/>
      <c r="AI1081" s="110"/>
      <c r="AJ1081" s="110"/>
      <c r="AK1081" s="111">
        <f t="shared" si="236"/>
        <v>37.467999999999996</v>
      </c>
      <c r="AL1081" s="446">
        <f t="shared" si="237"/>
        <v>0</v>
      </c>
      <c r="AM1081" s="110">
        <f t="shared" si="238"/>
        <v>10</v>
      </c>
      <c r="AN1081" s="447">
        <f t="shared" si="227"/>
        <v>0</v>
      </c>
      <c r="AO1081"/>
      <c r="AP1081"/>
    </row>
    <row r="1082" spans="1:42" ht="66" x14ac:dyDescent="0.25">
      <c r="A1082" s="143"/>
      <c r="B1082" s="76" t="s">
        <v>1729</v>
      </c>
      <c r="C1082" s="24"/>
      <c r="D1082" s="880">
        <v>2</v>
      </c>
      <c r="E1082" s="1025" t="s">
        <v>2600</v>
      </c>
      <c r="F1082" s="273" t="s">
        <v>3446</v>
      </c>
      <c r="G1082" s="1040" t="s">
        <v>3463</v>
      </c>
      <c r="H1082" s="273" t="s">
        <v>3462</v>
      </c>
      <c r="I1082" s="720">
        <f t="shared" ref="I1082:I1105" si="239">+J1082/D1082</f>
        <v>27.712399999999999</v>
      </c>
      <c r="J1082" s="765">
        <v>55.424799999999998</v>
      </c>
      <c r="K1082" s="131">
        <f t="shared" si="226"/>
        <v>55.424799999999998</v>
      </c>
      <c r="L1082" s="335">
        <f t="shared" si="230"/>
        <v>0</v>
      </c>
      <c r="M1082" s="446"/>
      <c r="N1082" s="446"/>
      <c r="O1082" s="446"/>
      <c r="P1082" s="446"/>
      <c r="Q1082" s="130">
        <v>1</v>
      </c>
      <c r="R1082" s="111">
        <v>27.71</v>
      </c>
      <c r="S1082" s="110"/>
      <c r="T1082" s="110"/>
      <c r="U1082" s="130">
        <v>1</v>
      </c>
      <c r="V1082" s="111">
        <v>27.71</v>
      </c>
      <c r="W1082" s="110"/>
      <c r="X1082" s="110"/>
      <c r="Y1082" s="110"/>
      <c r="Z1082" s="110"/>
      <c r="AA1082" s="130">
        <v>0</v>
      </c>
      <c r="AB1082" s="111">
        <v>0</v>
      </c>
      <c r="AC1082" s="110"/>
      <c r="AD1082" s="110"/>
      <c r="AE1082" s="130">
        <v>0</v>
      </c>
      <c r="AF1082" s="111">
        <v>0</v>
      </c>
      <c r="AG1082" s="110"/>
      <c r="AH1082" s="110"/>
      <c r="AI1082" s="110"/>
      <c r="AJ1082" s="110"/>
      <c r="AK1082" s="111">
        <f t="shared" si="236"/>
        <v>55.42</v>
      </c>
      <c r="AL1082" s="446">
        <f t="shared" si="237"/>
        <v>4.7999999999959186E-3</v>
      </c>
      <c r="AM1082" s="110">
        <f t="shared" si="238"/>
        <v>2</v>
      </c>
      <c r="AN1082" s="447">
        <f t="shared" si="227"/>
        <v>0</v>
      </c>
      <c r="AO1082"/>
      <c r="AP1082"/>
    </row>
    <row r="1083" spans="1:42" ht="66" x14ac:dyDescent="0.25">
      <c r="A1083" s="143"/>
      <c r="B1083" s="495" t="s">
        <v>2881</v>
      </c>
      <c r="C1083" s="24"/>
      <c r="D1083" s="882">
        <v>15</v>
      </c>
      <c r="E1083" s="1027" t="s">
        <v>1725</v>
      </c>
      <c r="F1083" s="273" t="s">
        <v>3446</v>
      </c>
      <c r="G1083" s="1040" t="s">
        <v>3463</v>
      </c>
      <c r="H1083" s="273" t="s">
        <v>3462</v>
      </c>
      <c r="I1083" s="720">
        <f t="shared" si="239"/>
        <v>39.799999999999997</v>
      </c>
      <c r="J1083" s="756">
        <v>597</v>
      </c>
      <c r="K1083" s="131">
        <f t="shared" si="226"/>
        <v>597</v>
      </c>
      <c r="L1083" s="335">
        <f t="shared" si="230"/>
        <v>0</v>
      </c>
      <c r="M1083" s="446"/>
      <c r="N1083" s="446"/>
      <c r="O1083" s="446"/>
      <c r="P1083" s="446"/>
      <c r="Q1083" s="110">
        <v>4</v>
      </c>
      <c r="R1083" s="111">
        <f t="shared" si="228"/>
        <v>149.25</v>
      </c>
      <c r="S1083" s="110"/>
      <c r="T1083" s="110"/>
      <c r="U1083" s="110">
        <v>4</v>
      </c>
      <c r="V1083" s="111">
        <f t="shared" si="229"/>
        <v>149.25</v>
      </c>
      <c r="W1083" s="110"/>
      <c r="X1083" s="110"/>
      <c r="Y1083" s="110"/>
      <c r="Z1083" s="110"/>
      <c r="AA1083" s="110">
        <v>4</v>
      </c>
      <c r="AB1083" s="111">
        <f t="shared" si="231"/>
        <v>149.25</v>
      </c>
      <c r="AC1083" s="110"/>
      <c r="AD1083" s="110"/>
      <c r="AE1083" s="110">
        <v>3</v>
      </c>
      <c r="AF1083" s="111">
        <f t="shared" si="232"/>
        <v>149.25</v>
      </c>
      <c r="AG1083" s="110"/>
      <c r="AH1083" s="110"/>
      <c r="AI1083" s="110"/>
      <c r="AJ1083" s="110"/>
      <c r="AK1083" s="111">
        <f t="shared" si="236"/>
        <v>597</v>
      </c>
      <c r="AL1083" s="446">
        <f t="shared" si="237"/>
        <v>0</v>
      </c>
      <c r="AM1083" s="110">
        <f t="shared" si="238"/>
        <v>15</v>
      </c>
      <c r="AN1083" s="447">
        <f t="shared" si="227"/>
        <v>0</v>
      </c>
      <c r="AO1083"/>
      <c r="AP1083"/>
    </row>
    <row r="1084" spans="1:42" ht="66" x14ac:dyDescent="0.25">
      <c r="A1084" s="143"/>
      <c r="B1084" s="495" t="s">
        <v>2882</v>
      </c>
      <c r="C1084" s="24"/>
      <c r="D1084" s="882">
        <v>6</v>
      </c>
      <c r="E1084" s="247" t="s">
        <v>1725</v>
      </c>
      <c r="F1084" s="273" t="s">
        <v>3446</v>
      </c>
      <c r="G1084" s="1040" t="s">
        <v>3463</v>
      </c>
      <c r="H1084" s="273" t="s">
        <v>3462</v>
      </c>
      <c r="I1084" s="720">
        <f t="shared" si="239"/>
        <v>410</v>
      </c>
      <c r="J1084" s="756">
        <v>2460</v>
      </c>
      <c r="K1084" s="131">
        <f t="shared" si="226"/>
        <v>2460</v>
      </c>
      <c r="L1084" s="335">
        <f t="shared" si="230"/>
        <v>0</v>
      </c>
      <c r="M1084" s="446"/>
      <c r="N1084" s="446"/>
      <c r="O1084" s="446"/>
      <c r="P1084" s="446"/>
      <c r="Q1084" s="130">
        <v>2</v>
      </c>
      <c r="R1084" s="111">
        <f t="shared" si="228"/>
        <v>615</v>
      </c>
      <c r="S1084" s="110"/>
      <c r="T1084" s="110"/>
      <c r="U1084" s="130">
        <v>2</v>
      </c>
      <c r="V1084" s="111">
        <f t="shared" si="229"/>
        <v>615</v>
      </c>
      <c r="W1084" s="110"/>
      <c r="X1084" s="110"/>
      <c r="Y1084" s="110"/>
      <c r="Z1084" s="110"/>
      <c r="AA1084" s="130">
        <v>1</v>
      </c>
      <c r="AB1084" s="111">
        <f t="shared" si="231"/>
        <v>615</v>
      </c>
      <c r="AC1084" s="110"/>
      <c r="AD1084" s="110"/>
      <c r="AE1084" s="130">
        <v>1</v>
      </c>
      <c r="AF1084" s="111">
        <f t="shared" si="232"/>
        <v>615</v>
      </c>
      <c r="AG1084" s="110"/>
      <c r="AH1084" s="110"/>
      <c r="AI1084" s="110"/>
      <c r="AJ1084" s="110"/>
      <c r="AK1084" s="111">
        <f t="shared" si="236"/>
        <v>2460</v>
      </c>
      <c r="AL1084" s="446">
        <f t="shared" si="237"/>
        <v>0</v>
      </c>
      <c r="AM1084" s="110">
        <f t="shared" si="238"/>
        <v>6</v>
      </c>
      <c r="AN1084" s="447">
        <f t="shared" si="227"/>
        <v>0</v>
      </c>
      <c r="AO1084"/>
      <c r="AP1084"/>
    </row>
    <row r="1085" spans="1:42" ht="66" x14ac:dyDescent="0.25">
      <c r="A1085" s="143"/>
      <c r="B1085" s="495" t="s">
        <v>2883</v>
      </c>
      <c r="C1085" s="24"/>
      <c r="D1085" s="882">
        <v>6</v>
      </c>
      <c r="E1085" s="247" t="s">
        <v>1725</v>
      </c>
      <c r="F1085" s="273" t="s">
        <v>3446</v>
      </c>
      <c r="G1085" s="1040" t="s">
        <v>3463</v>
      </c>
      <c r="H1085" s="273" t="s">
        <v>3462</v>
      </c>
      <c r="I1085" s="720">
        <f t="shared" si="239"/>
        <v>470</v>
      </c>
      <c r="J1085" s="756">
        <v>2820</v>
      </c>
      <c r="K1085" s="131">
        <f t="shared" si="226"/>
        <v>2820</v>
      </c>
      <c r="L1085" s="335">
        <f t="shared" si="230"/>
        <v>0</v>
      </c>
      <c r="M1085" s="446"/>
      <c r="N1085" s="446"/>
      <c r="O1085" s="446"/>
      <c r="P1085" s="446"/>
      <c r="Q1085" s="130">
        <v>2</v>
      </c>
      <c r="R1085" s="111">
        <f t="shared" si="228"/>
        <v>705</v>
      </c>
      <c r="S1085" s="110"/>
      <c r="T1085" s="110"/>
      <c r="U1085" s="130">
        <v>2</v>
      </c>
      <c r="V1085" s="111">
        <f t="shared" si="229"/>
        <v>705</v>
      </c>
      <c r="W1085" s="110"/>
      <c r="X1085" s="110"/>
      <c r="Y1085" s="110"/>
      <c r="Z1085" s="110"/>
      <c r="AA1085" s="130">
        <v>1</v>
      </c>
      <c r="AB1085" s="111">
        <f t="shared" si="231"/>
        <v>705</v>
      </c>
      <c r="AC1085" s="110"/>
      <c r="AD1085" s="110"/>
      <c r="AE1085" s="130">
        <v>1</v>
      </c>
      <c r="AF1085" s="111">
        <f t="shared" si="232"/>
        <v>705</v>
      </c>
      <c r="AG1085" s="110"/>
      <c r="AH1085" s="110"/>
      <c r="AI1085" s="110"/>
      <c r="AJ1085" s="110"/>
      <c r="AK1085" s="111">
        <f t="shared" si="236"/>
        <v>2820</v>
      </c>
      <c r="AL1085" s="446">
        <f t="shared" si="237"/>
        <v>0</v>
      </c>
      <c r="AM1085" s="110">
        <f t="shared" si="238"/>
        <v>6</v>
      </c>
      <c r="AN1085" s="447">
        <f t="shared" si="227"/>
        <v>0</v>
      </c>
      <c r="AO1085"/>
      <c r="AP1085"/>
    </row>
    <row r="1086" spans="1:42" ht="66" x14ac:dyDescent="0.25">
      <c r="A1086" s="143"/>
      <c r="B1086" s="495" t="s">
        <v>1727</v>
      </c>
      <c r="C1086" s="24"/>
      <c r="D1086" s="882">
        <v>12</v>
      </c>
      <c r="E1086" s="247" t="s">
        <v>1725</v>
      </c>
      <c r="F1086" s="273" t="s">
        <v>3446</v>
      </c>
      <c r="G1086" s="1040" t="s">
        <v>3463</v>
      </c>
      <c r="H1086" s="273" t="s">
        <v>3462</v>
      </c>
      <c r="I1086" s="720">
        <f t="shared" si="239"/>
        <v>194.83</v>
      </c>
      <c r="J1086" s="756">
        <v>2337.96</v>
      </c>
      <c r="K1086" s="131">
        <f t="shared" si="226"/>
        <v>2337.96</v>
      </c>
      <c r="L1086" s="335">
        <f t="shared" si="230"/>
        <v>0</v>
      </c>
      <c r="M1086" s="446"/>
      <c r="N1086" s="446"/>
      <c r="O1086" s="446"/>
      <c r="P1086" s="446"/>
      <c r="Q1086" s="110">
        <f t="shared" si="233"/>
        <v>3</v>
      </c>
      <c r="R1086" s="111">
        <f t="shared" si="228"/>
        <v>584.49</v>
      </c>
      <c r="S1086" s="110"/>
      <c r="T1086" s="110"/>
      <c r="U1086" s="110">
        <f t="shared" si="234"/>
        <v>3</v>
      </c>
      <c r="V1086" s="111">
        <f t="shared" si="229"/>
        <v>584.49</v>
      </c>
      <c r="W1086" s="110"/>
      <c r="X1086" s="110"/>
      <c r="Y1086" s="110"/>
      <c r="Z1086" s="110"/>
      <c r="AA1086" s="110">
        <f t="shared" si="235"/>
        <v>3</v>
      </c>
      <c r="AB1086" s="111">
        <f t="shared" si="231"/>
        <v>584.49</v>
      </c>
      <c r="AC1086" s="110"/>
      <c r="AD1086" s="110"/>
      <c r="AE1086" s="110">
        <f t="shared" si="235"/>
        <v>3</v>
      </c>
      <c r="AF1086" s="111">
        <f t="shared" si="232"/>
        <v>584.49</v>
      </c>
      <c r="AG1086" s="110"/>
      <c r="AH1086" s="110"/>
      <c r="AI1086" s="110"/>
      <c r="AJ1086" s="110"/>
      <c r="AK1086" s="111">
        <f t="shared" si="236"/>
        <v>2337.96</v>
      </c>
      <c r="AL1086" s="446">
        <f t="shared" si="237"/>
        <v>0</v>
      </c>
      <c r="AM1086" s="110">
        <f t="shared" si="238"/>
        <v>12</v>
      </c>
      <c r="AN1086" s="447">
        <f t="shared" si="227"/>
        <v>0</v>
      </c>
      <c r="AO1086"/>
      <c r="AP1086"/>
    </row>
    <row r="1087" spans="1:42" ht="66" x14ac:dyDescent="0.25">
      <c r="A1087" s="143"/>
      <c r="B1087" s="495" t="s">
        <v>109</v>
      </c>
      <c r="C1087" s="24"/>
      <c r="D1087" s="882">
        <v>3</v>
      </c>
      <c r="E1087" s="247" t="s">
        <v>1725</v>
      </c>
      <c r="F1087" s="273" t="s">
        <v>3446</v>
      </c>
      <c r="G1087" s="1040" t="s">
        <v>3463</v>
      </c>
      <c r="H1087" s="273" t="s">
        <v>3462</v>
      </c>
      <c r="I1087" s="720">
        <f t="shared" si="239"/>
        <v>224.53</v>
      </c>
      <c r="J1087" s="756">
        <v>673.59</v>
      </c>
      <c r="K1087" s="131">
        <f t="shared" si="226"/>
        <v>673.59</v>
      </c>
      <c r="L1087" s="335">
        <f t="shared" si="230"/>
        <v>0</v>
      </c>
      <c r="M1087" s="446"/>
      <c r="N1087" s="446"/>
      <c r="O1087" s="446"/>
      <c r="P1087" s="446"/>
      <c r="Q1087" s="130">
        <v>1</v>
      </c>
      <c r="R1087" s="111">
        <v>224.53</v>
      </c>
      <c r="S1087" s="110"/>
      <c r="T1087" s="110"/>
      <c r="U1087" s="130">
        <v>1</v>
      </c>
      <c r="V1087" s="111">
        <v>224.53</v>
      </c>
      <c r="W1087" s="110"/>
      <c r="X1087" s="110"/>
      <c r="Y1087" s="110"/>
      <c r="Z1087" s="110"/>
      <c r="AA1087" s="130">
        <v>1</v>
      </c>
      <c r="AB1087" s="111">
        <v>224.53</v>
      </c>
      <c r="AC1087" s="110"/>
      <c r="AD1087" s="110"/>
      <c r="AE1087" s="130">
        <v>0</v>
      </c>
      <c r="AF1087" s="111">
        <v>0</v>
      </c>
      <c r="AG1087" s="110"/>
      <c r="AH1087" s="110"/>
      <c r="AI1087" s="110"/>
      <c r="AJ1087" s="110"/>
      <c r="AK1087" s="111">
        <f t="shared" si="236"/>
        <v>673.59</v>
      </c>
      <c r="AL1087" s="446">
        <f t="shared" si="237"/>
        <v>0</v>
      </c>
      <c r="AM1087" s="110">
        <f t="shared" si="238"/>
        <v>3</v>
      </c>
      <c r="AN1087" s="447">
        <f t="shared" si="227"/>
        <v>0</v>
      </c>
      <c r="AO1087"/>
      <c r="AP1087"/>
    </row>
    <row r="1088" spans="1:42" ht="66" x14ac:dyDescent="0.25">
      <c r="A1088" s="143"/>
      <c r="B1088" s="495" t="s">
        <v>2884</v>
      </c>
      <c r="C1088" s="24"/>
      <c r="D1088" s="882">
        <v>1</v>
      </c>
      <c r="E1088" s="247" t="s">
        <v>1725</v>
      </c>
      <c r="F1088" s="273" t="s">
        <v>3446</v>
      </c>
      <c r="G1088" s="1040" t="s">
        <v>3463</v>
      </c>
      <c r="H1088" s="273" t="s">
        <v>3462</v>
      </c>
      <c r="I1088" s="720">
        <f t="shared" si="239"/>
        <v>215</v>
      </c>
      <c r="J1088" s="756">
        <v>215</v>
      </c>
      <c r="K1088" s="131">
        <f t="shared" si="226"/>
        <v>215</v>
      </c>
      <c r="L1088" s="335">
        <f t="shared" si="230"/>
        <v>0</v>
      </c>
      <c r="M1088" s="446"/>
      <c r="N1088" s="446"/>
      <c r="O1088" s="446"/>
      <c r="P1088" s="446"/>
      <c r="Q1088" s="110">
        <v>1</v>
      </c>
      <c r="R1088" s="111">
        <v>215</v>
      </c>
      <c r="S1088" s="110"/>
      <c r="T1088" s="110"/>
      <c r="U1088" s="110">
        <v>0</v>
      </c>
      <c r="V1088" s="111">
        <v>0</v>
      </c>
      <c r="W1088" s="110"/>
      <c r="X1088" s="110"/>
      <c r="Y1088" s="110"/>
      <c r="Z1088" s="110"/>
      <c r="AA1088" s="110">
        <v>0</v>
      </c>
      <c r="AB1088" s="111">
        <v>0</v>
      </c>
      <c r="AC1088" s="110"/>
      <c r="AD1088" s="110"/>
      <c r="AE1088" s="110">
        <v>0</v>
      </c>
      <c r="AF1088" s="111">
        <v>0</v>
      </c>
      <c r="AG1088" s="110"/>
      <c r="AH1088" s="110"/>
      <c r="AI1088" s="110"/>
      <c r="AJ1088" s="110"/>
      <c r="AK1088" s="111">
        <f t="shared" si="236"/>
        <v>215</v>
      </c>
      <c r="AL1088" s="446">
        <f t="shared" si="237"/>
        <v>0</v>
      </c>
      <c r="AM1088" s="110">
        <f t="shared" si="238"/>
        <v>1</v>
      </c>
      <c r="AN1088" s="447">
        <f t="shared" si="227"/>
        <v>0</v>
      </c>
      <c r="AO1088"/>
      <c r="AP1088"/>
    </row>
    <row r="1089" spans="1:42" ht="66" x14ac:dyDescent="0.25">
      <c r="A1089" s="143"/>
      <c r="B1089" s="495" t="s">
        <v>2885</v>
      </c>
      <c r="C1089" s="24"/>
      <c r="D1089" s="882">
        <v>30</v>
      </c>
      <c r="E1089" s="247" t="s">
        <v>1725</v>
      </c>
      <c r="F1089" s="273" t="s">
        <v>3446</v>
      </c>
      <c r="G1089" s="1040" t="s">
        <v>3463</v>
      </c>
      <c r="H1089" s="273" t="s">
        <v>3462</v>
      </c>
      <c r="I1089" s="720">
        <f t="shared" si="239"/>
        <v>215</v>
      </c>
      <c r="J1089" s="756">
        <v>6450</v>
      </c>
      <c r="K1089" s="131">
        <f t="shared" si="226"/>
        <v>6450</v>
      </c>
      <c r="L1089" s="335">
        <f t="shared" si="230"/>
        <v>0</v>
      </c>
      <c r="M1089" s="446"/>
      <c r="N1089" s="446"/>
      <c r="O1089" s="446"/>
      <c r="P1089" s="446"/>
      <c r="Q1089" s="110">
        <v>8</v>
      </c>
      <c r="R1089" s="111">
        <f t="shared" si="228"/>
        <v>1612.5</v>
      </c>
      <c r="S1089" s="110"/>
      <c r="T1089" s="110"/>
      <c r="U1089" s="110">
        <v>8</v>
      </c>
      <c r="V1089" s="111">
        <f t="shared" si="229"/>
        <v>1612.5</v>
      </c>
      <c r="W1089" s="110"/>
      <c r="X1089" s="110"/>
      <c r="Y1089" s="110"/>
      <c r="Z1089" s="110"/>
      <c r="AA1089" s="110">
        <v>7</v>
      </c>
      <c r="AB1089" s="111">
        <f t="shared" si="231"/>
        <v>1612.5</v>
      </c>
      <c r="AC1089" s="110"/>
      <c r="AD1089" s="110"/>
      <c r="AE1089" s="110">
        <v>7</v>
      </c>
      <c r="AF1089" s="111">
        <f t="shared" si="232"/>
        <v>1612.5</v>
      </c>
      <c r="AG1089" s="110"/>
      <c r="AH1089" s="110"/>
      <c r="AI1089" s="110"/>
      <c r="AJ1089" s="110"/>
      <c r="AK1089" s="111">
        <f t="shared" si="236"/>
        <v>6450</v>
      </c>
      <c r="AL1089" s="446">
        <f t="shared" si="237"/>
        <v>0</v>
      </c>
      <c r="AM1089" s="110">
        <f t="shared" si="238"/>
        <v>30</v>
      </c>
      <c r="AN1089" s="447">
        <f t="shared" si="227"/>
        <v>0</v>
      </c>
      <c r="AO1089"/>
      <c r="AP1089"/>
    </row>
    <row r="1090" spans="1:42" ht="66" x14ac:dyDescent="0.25">
      <c r="A1090" s="143"/>
      <c r="B1090" s="495" t="s">
        <v>2886</v>
      </c>
      <c r="C1090" s="24"/>
      <c r="D1090" s="882">
        <v>200</v>
      </c>
      <c r="E1090" s="251" t="s">
        <v>1772</v>
      </c>
      <c r="F1090" s="273" t="s">
        <v>3446</v>
      </c>
      <c r="G1090" s="1040" t="s">
        <v>3463</v>
      </c>
      <c r="H1090" s="273" t="s">
        <v>3462</v>
      </c>
      <c r="I1090" s="720">
        <f t="shared" si="239"/>
        <v>94.22</v>
      </c>
      <c r="J1090" s="756">
        <v>18844</v>
      </c>
      <c r="K1090" s="131">
        <f t="shared" si="226"/>
        <v>18844</v>
      </c>
      <c r="L1090" s="335">
        <f t="shared" si="230"/>
        <v>0</v>
      </c>
      <c r="M1090" s="446"/>
      <c r="N1090" s="446"/>
      <c r="O1090" s="446"/>
      <c r="P1090" s="446"/>
      <c r="Q1090" s="110">
        <f t="shared" si="233"/>
        <v>50</v>
      </c>
      <c r="R1090" s="111">
        <f t="shared" si="228"/>
        <v>4711</v>
      </c>
      <c r="S1090" s="110"/>
      <c r="T1090" s="110"/>
      <c r="U1090" s="110">
        <f t="shared" si="234"/>
        <v>50</v>
      </c>
      <c r="V1090" s="111">
        <f t="shared" si="229"/>
        <v>4711</v>
      </c>
      <c r="W1090" s="110"/>
      <c r="X1090" s="110"/>
      <c r="Y1090" s="110"/>
      <c r="Z1090" s="110"/>
      <c r="AA1090" s="110">
        <f t="shared" si="235"/>
        <v>50</v>
      </c>
      <c r="AB1090" s="111">
        <f t="shared" si="231"/>
        <v>4711</v>
      </c>
      <c r="AC1090" s="110"/>
      <c r="AD1090" s="110"/>
      <c r="AE1090" s="110">
        <f t="shared" si="235"/>
        <v>50</v>
      </c>
      <c r="AF1090" s="111">
        <f t="shared" si="232"/>
        <v>4711</v>
      </c>
      <c r="AG1090" s="110"/>
      <c r="AH1090" s="110"/>
      <c r="AI1090" s="110"/>
      <c r="AJ1090" s="110"/>
      <c r="AK1090" s="111">
        <f t="shared" si="236"/>
        <v>18844</v>
      </c>
      <c r="AL1090" s="446">
        <f t="shared" si="237"/>
        <v>0</v>
      </c>
      <c r="AM1090" s="110">
        <f t="shared" si="238"/>
        <v>200</v>
      </c>
      <c r="AN1090" s="447">
        <f t="shared" si="227"/>
        <v>0</v>
      </c>
      <c r="AO1090"/>
      <c r="AP1090"/>
    </row>
    <row r="1091" spans="1:42" ht="66" x14ac:dyDescent="0.25">
      <c r="A1091" s="143"/>
      <c r="B1091" s="495" t="s">
        <v>2887</v>
      </c>
      <c r="C1091" s="24"/>
      <c r="D1091" s="882">
        <v>30</v>
      </c>
      <c r="E1091" s="251" t="s">
        <v>1772</v>
      </c>
      <c r="F1091" s="273" t="s">
        <v>3446</v>
      </c>
      <c r="G1091" s="1040" t="s">
        <v>3463</v>
      </c>
      <c r="H1091" s="273" t="s">
        <v>3462</v>
      </c>
      <c r="I1091" s="720">
        <f t="shared" si="239"/>
        <v>148.02000000000001</v>
      </c>
      <c r="J1091" s="756">
        <v>4440.6000000000004</v>
      </c>
      <c r="K1091" s="131">
        <f t="shared" si="226"/>
        <v>4440.6000000000004</v>
      </c>
      <c r="L1091" s="335">
        <f t="shared" si="230"/>
        <v>0</v>
      </c>
      <c r="M1091" s="446"/>
      <c r="N1091" s="446"/>
      <c r="O1091" s="446"/>
      <c r="P1091" s="446"/>
      <c r="Q1091" s="110">
        <v>8</v>
      </c>
      <c r="R1091" s="111">
        <f t="shared" si="228"/>
        <v>1110.1500000000001</v>
      </c>
      <c r="S1091" s="110"/>
      <c r="T1091" s="110"/>
      <c r="U1091" s="110">
        <v>8</v>
      </c>
      <c r="V1091" s="111">
        <f t="shared" si="229"/>
        <v>1110.1500000000001</v>
      </c>
      <c r="W1091" s="110"/>
      <c r="X1091" s="110"/>
      <c r="Y1091" s="110"/>
      <c r="Z1091" s="110"/>
      <c r="AA1091" s="110">
        <v>7</v>
      </c>
      <c r="AB1091" s="111">
        <f t="shared" si="231"/>
        <v>1110.1500000000001</v>
      </c>
      <c r="AC1091" s="110"/>
      <c r="AD1091" s="110"/>
      <c r="AE1091" s="110">
        <v>7</v>
      </c>
      <c r="AF1091" s="111">
        <f t="shared" si="232"/>
        <v>1110.1500000000001</v>
      </c>
      <c r="AG1091" s="110"/>
      <c r="AH1091" s="110"/>
      <c r="AI1091" s="110"/>
      <c r="AJ1091" s="110"/>
      <c r="AK1091" s="111">
        <f t="shared" si="236"/>
        <v>4440.6000000000004</v>
      </c>
      <c r="AL1091" s="446">
        <f t="shared" si="237"/>
        <v>0</v>
      </c>
      <c r="AM1091" s="110">
        <f t="shared" si="238"/>
        <v>30</v>
      </c>
      <c r="AN1091" s="447">
        <f t="shared" si="227"/>
        <v>0</v>
      </c>
      <c r="AO1091"/>
      <c r="AP1091"/>
    </row>
    <row r="1092" spans="1:42" ht="66" x14ac:dyDescent="0.25">
      <c r="A1092" s="143"/>
      <c r="B1092" s="495" t="s">
        <v>111</v>
      </c>
      <c r="C1092" s="24"/>
      <c r="D1092" s="882">
        <v>9</v>
      </c>
      <c r="E1092" s="251" t="s">
        <v>1772</v>
      </c>
      <c r="F1092" s="273" t="s">
        <v>3446</v>
      </c>
      <c r="G1092" s="1040" t="s">
        <v>3463</v>
      </c>
      <c r="H1092" s="273" t="s">
        <v>3462</v>
      </c>
      <c r="I1092" s="720">
        <f t="shared" si="239"/>
        <v>154.44</v>
      </c>
      <c r="J1092" s="756">
        <v>1389.96</v>
      </c>
      <c r="K1092" s="131">
        <f t="shared" ref="K1092:K1155" si="240">+D1092*I1092</f>
        <v>1389.96</v>
      </c>
      <c r="L1092" s="335">
        <f t="shared" si="230"/>
        <v>0</v>
      </c>
      <c r="M1092" s="446"/>
      <c r="N1092" s="446"/>
      <c r="O1092" s="446"/>
      <c r="P1092" s="446"/>
      <c r="Q1092" s="110">
        <v>3</v>
      </c>
      <c r="R1092" s="111">
        <f t="shared" si="228"/>
        <v>347.49</v>
      </c>
      <c r="S1092" s="110"/>
      <c r="T1092" s="110"/>
      <c r="U1092" s="110">
        <v>2</v>
      </c>
      <c r="V1092" s="111">
        <f t="shared" si="229"/>
        <v>347.49</v>
      </c>
      <c r="W1092" s="110"/>
      <c r="X1092" s="110"/>
      <c r="Y1092" s="110"/>
      <c r="Z1092" s="110"/>
      <c r="AA1092" s="110">
        <v>2</v>
      </c>
      <c r="AB1092" s="111">
        <f t="shared" si="231"/>
        <v>347.49</v>
      </c>
      <c r="AC1092" s="110"/>
      <c r="AD1092" s="110"/>
      <c r="AE1092" s="110">
        <v>2</v>
      </c>
      <c r="AF1092" s="111">
        <f t="shared" si="232"/>
        <v>347.49</v>
      </c>
      <c r="AG1092" s="110"/>
      <c r="AH1092" s="110"/>
      <c r="AI1092" s="110"/>
      <c r="AJ1092" s="110"/>
      <c r="AK1092" s="111">
        <f t="shared" si="236"/>
        <v>1389.96</v>
      </c>
      <c r="AL1092" s="446">
        <f t="shared" si="237"/>
        <v>0</v>
      </c>
      <c r="AM1092" s="110">
        <f t="shared" si="238"/>
        <v>9</v>
      </c>
      <c r="AN1092" s="447">
        <f t="shared" ref="AN1092:AN1155" si="241">+D1092-AM1092</f>
        <v>0</v>
      </c>
      <c r="AO1092"/>
      <c r="AP1092"/>
    </row>
    <row r="1093" spans="1:42" ht="66" x14ac:dyDescent="0.25">
      <c r="A1093" s="143"/>
      <c r="B1093" s="495" t="s">
        <v>1768</v>
      </c>
      <c r="C1093" s="24"/>
      <c r="D1093" s="882">
        <v>12</v>
      </c>
      <c r="E1093" s="251" t="s">
        <v>1772</v>
      </c>
      <c r="F1093" s="273" t="s">
        <v>3446</v>
      </c>
      <c r="G1093" s="1040" t="s">
        <v>3463</v>
      </c>
      <c r="H1093" s="273" t="s">
        <v>3462</v>
      </c>
      <c r="I1093" s="720">
        <f t="shared" si="239"/>
        <v>83.16</v>
      </c>
      <c r="J1093" s="756">
        <v>997.92</v>
      </c>
      <c r="K1093" s="131">
        <f t="shared" si="240"/>
        <v>997.92</v>
      </c>
      <c r="L1093" s="335">
        <f t="shared" si="230"/>
        <v>0</v>
      </c>
      <c r="M1093" s="446"/>
      <c r="N1093" s="446"/>
      <c r="O1093" s="446"/>
      <c r="P1093" s="446"/>
      <c r="Q1093" s="110">
        <f t="shared" si="233"/>
        <v>3</v>
      </c>
      <c r="R1093" s="111">
        <f t="shared" si="228"/>
        <v>249.48</v>
      </c>
      <c r="S1093" s="110"/>
      <c r="T1093" s="110"/>
      <c r="U1093" s="110">
        <f t="shared" si="234"/>
        <v>3</v>
      </c>
      <c r="V1093" s="111">
        <f t="shared" si="229"/>
        <v>249.48</v>
      </c>
      <c r="W1093" s="110"/>
      <c r="X1093" s="110"/>
      <c r="Y1093" s="110"/>
      <c r="Z1093" s="110"/>
      <c r="AA1093" s="110">
        <f t="shared" si="235"/>
        <v>3</v>
      </c>
      <c r="AB1093" s="111">
        <f t="shared" si="231"/>
        <v>249.48</v>
      </c>
      <c r="AC1093" s="110"/>
      <c r="AD1093" s="110"/>
      <c r="AE1093" s="110">
        <f t="shared" si="235"/>
        <v>3</v>
      </c>
      <c r="AF1093" s="111">
        <f t="shared" si="232"/>
        <v>249.48</v>
      </c>
      <c r="AG1093" s="110"/>
      <c r="AH1093" s="110"/>
      <c r="AI1093" s="110"/>
      <c r="AJ1093" s="110"/>
      <c r="AK1093" s="111">
        <f t="shared" si="236"/>
        <v>997.92</v>
      </c>
      <c r="AL1093" s="446">
        <f t="shared" si="237"/>
        <v>0</v>
      </c>
      <c r="AM1093" s="110">
        <f t="shared" si="238"/>
        <v>12</v>
      </c>
      <c r="AN1093" s="447">
        <f t="shared" si="241"/>
        <v>0</v>
      </c>
      <c r="AO1093"/>
      <c r="AP1093"/>
    </row>
    <row r="1094" spans="1:42" ht="66" x14ac:dyDescent="0.25">
      <c r="A1094" s="143"/>
      <c r="B1094" s="495" t="s">
        <v>2888</v>
      </c>
      <c r="C1094" s="24"/>
      <c r="D1094" s="882">
        <v>2</v>
      </c>
      <c r="E1094" s="1027" t="s">
        <v>1725</v>
      </c>
      <c r="F1094" s="273" t="s">
        <v>3446</v>
      </c>
      <c r="G1094" s="1040" t="s">
        <v>3463</v>
      </c>
      <c r="H1094" s="273" t="s">
        <v>3462</v>
      </c>
      <c r="I1094" s="720">
        <f t="shared" si="239"/>
        <v>52.84</v>
      </c>
      <c r="J1094" s="756">
        <v>105.68</v>
      </c>
      <c r="K1094" s="131">
        <f t="shared" si="240"/>
        <v>105.68</v>
      </c>
      <c r="L1094" s="335">
        <f t="shared" si="230"/>
        <v>0</v>
      </c>
      <c r="M1094" s="446"/>
      <c r="N1094" s="446"/>
      <c r="O1094" s="446"/>
      <c r="P1094" s="446"/>
      <c r="Q1094" s="130">
        <v>1</v>
      </c>
      <c r="R1094" s="111">
        <v>52.84</v>
      </c>
      <c r="S1094" s="110"/>
      <c r="T1094" s="110"/>
      <c r="U1094" s="130">
        <v>1</v>
      </c>
      <c r="V1094" s="111">
        <v>52.84</v>
      </c>
      <c r="W1094" s="110"/>
      <c r="X1094" s="110"/>
      <c r="Y1094" s="110"/>
      <c r="Z1094" s="110"/>
      <c r="AA1094" s="130">
        <v>0</v>
      </c>
      <c r="AB1094" s="111">
        <v>0</v>
      </c>
      <c r="AC1094" s="110"/>
      <c r="AD1094" s="110"/>
      <c r="AE1094" s="130">
        <v>0</v>
      </c>
      <c r="AF1094" s="111">
        <v>0</v>
      </c>
      <c r="AG1094" s="110"/>
      <c r="AH1094" s="110"/>
      <c r="AI1094" s="110"/>
      <c r="AJ1094" s="110"/>
      <c r="AK1094" s="111">
        <f t="shared" si="236"/>
        <v>105.68</v>
      </c>
      <c r="AL1094" s="446">
        <f t="shared" si="237"/>
        <v>0</v>
      </c>
      <c r="AM1094" s="110">
        <f t="shared" si="238"/>
        <v>2</v>
      </c>
      <c r="AN1094" s="447">
        <f t="shared" si="241"/>
        <v>0</v>
      </c>
      <c r="AO1094"/>
      <c r="AP1094"/>
    </row>
    <row r="1095" spans="1:42" ht="66" x14ac:dyDescent="0.25">
      <c r="A1095" s="143"/>
      <c r="B1095" s="495" t="s">
        <v>2889</v>
      </c>
      <c r="C1095" s="24"/>
      <c r="D1095" s="882">
        <v>2</v>
      </c>
      <c r="E1095" s="1027" t="s">
        <v>1725</v>
      </c>
      <c r="F1095" s="273" t="s">
        <v>3446</v>
      </c>
      <c r="G1095" s="1040" t="s">
        <v>3463</v>
      </c>
      <c r="H1095" s="273" t="s">
        <v>3462</v>
      </c>
      <c r="I1095" s="720">
        <f t="shared" si="239"/>
        <v>52.84</v>
      </c>
      <c r="J1095" s="756">
        <v>105.68</v>
      </c>
      <c r="K1095" s="131">
        <f t="shared" si="240"/>
        <v>105.68</v>
      </c>
      <c r="L1095" s="335">
        <f t="shared" si="230"/>
        <v>0</v>
      </c>
      <c r="M1095" s="446"/>
      <c r="N1095" s="446"/>
      <c r="O1095" s="446"/>
      <c r="P1095" s="446"/>
      <c r="Q1095" s="130">
        <v>1</v>
      </c>
      <c r="R1095" s="111">
        <v>52.84</v>
      </c>
      <c r="S1095" s="110"/>
      <c r="T1095" s="110"/>
      <c r="U1095" s="130">
        <v>1</v>
      </c>
      <c r="V1095" s="111">
        <v>52.84</v>
      </c>
      <c r="W1095" s="110"/>
      <c r="X1095" s="110"/>
      <c r="Y1095" s="110"/>
      <c r="Z1095" s="110"/>
      <c r="AA1095" s="130">
        <v>0</v>
      </c>
      <c r="AB1095" s="111">
        <v>0</v>
      </c>
      <c r="AC1095" s="110"/>
      <c r="AD1095" s="110"/>
      <c r="AE1095" s="130">
        <v>0</v>
      </c>
      <c r="AF1095" s="111">
        <v>0</v>
      </c>
      <c r="AG1095" s="110"/>
      <c r="AH1095" s="110"/>
      <c r="AI1095" s="110"/>
      <c r="AJ1095" s="110"/>
      <c r="AK1095" s="111">
        <f t="shared" si="236"/>
        <v>105.68</v>
      </c>
      <c r="AL1095" s="446">
        <f t="shared" si="237"/>
        <v>0</v>
      </c>
      <c r="AM1095" s="110">
        <f t="shared" si="238"/>
        <v>2</v>
      </c>
      <c r="AN1095" s="447">
        <f t="shared" si="241"/>
        <v>0</v>
      </c>
      <c r="AO1095"/>
      <c r="AP1095"/>
    </row>
    <row r="1096" spans="1:42" ht="66" x14ac:dyDescent="0.25">
      <c r="A1096" s="143"/>
      <c r="B1096" s="495" t="s">
        <v>2890</v>
      </c>
      <c r="C1096" s="24"/>
      <c r="D1096" s="882">
        <v>2</v>
      </c>
      <c r="E1096" s="1027" t="s">
        <v>1725</v>
      </c>
      <c r="F1096" s="273" t="s">
        <v>3446</v>
      </c>
      <c r="G1096" s="1040" t="s">
        <v>3463</v>
      </c>
      <c r="H1096" s="273" t="s">
        <v>3462</v>
      </c>
      <c r="I1096" s="720">
        <f t="shared" si="239"/>
        <v>52.84</v>
      </c>
      <c r="J1096" s="756">
        <v>105.68</v>
      </c>
      <c r="K1096" s="131">
        <f t="shared" si="240"/>
        <v>105.68</v>
      </c>
      <c r="L1096" s="335">
        <f t="shared" si="230"/>
        <v>0</v>
      </c>
      <c r="M1096" s="446"/>
      <c r="N1096" s="446"/>
      <c r="O1096" s="446"/>
      <c r="P1096" s="446"/>
      <c r="Q1096" s="130">
        <v>1</v>
      </c>
      <c r="R1096" s="111">
        <v>52.84</v>
      </c>
      <c r="S1096" s="110"/>
      <c r="T1096" s="110"/>
      <c r="U1096" s="130">
        <v>1</v>
      </c>
      <c r="V1096" s="111">
        <v>52.84</v>
      </c>
      <c r="W1096" s="110"/>
      <c r="X1096" s="110"/>
      <c r="Y1096" s="110"/>
      <c r="Z1096" s="110"/>
      <c r="AA1096" s="130">
        <v>0</v>
      </c>
      <c r="AB1096" s="111">
        <v>0</v>
      </c>
      <c r="AC1096" s="110"/>
      <c r="AD1096" s="110"/>
      <c r="AE1096" s="130">
        <v>0</v>
      </c>
      <c r="AF1096" s="111">
        <v>0</v>
      </c>
      <c r="AG1096" s="110"/>
      <c r="AH1096" s="110"/>
      <c r="AI1096" s="110"/>
      <c r="AJ1096" s="110"/>
      <c r="AK1096" s="111">
        <f t="shared" si="236"/>
        <v>105.68</v>
      </c>
      <c r="AL1096" s="446">
        <f t="shared" si="237"/>
        <v>0</v>
      </c>
      <c r="AM1096" s="110">
        <f t="shared" si="238"/>
        <v>2</v>
      </c>
      <c r="AN1096" s="447">
        <f t="shared" si="241"/>
        <v>0</v>
      </c>
      <c r="AO1096"/>
      <c r="AP1096"/>
    </row>
    <row r="1097" spans="1:42" ht="66" x14ac:dyDescent="0.25">
      <c r="A1097" s="143"/>
      <c r="B1097" s="495" t="s">
        <v>64</v>
      </c>
      <c r="C1097" s="24"/>
      <c r="D1097" s="882">
        <v>15</v>
      </c>
      <c r="E1097" s="1027" t="s">
        <v>1725</v>
      </c>
      <c r="F1097" s="273" t="s">
        <v>3446</v>
      </c>
      <c r="G1097" s="1040" t="s">
        <v>3463</v>
      </c>
      <c r="H1097" s="273" t="s">
        <v>3462</v>
      </c>
      <c r="I1097" s="720">
        <f t="shared" si="239"/>
        <v>15.68</v>
      </c>
      <c r="J1097" s="756">
        <v>235.2</v>
      </c>
      <c r="K1097" s="131">
        <f t="shared" si="240"/>
        <v>235.2</v>
      </c>
      <c r="L1097" s="335">
        <f t="shared" si="230"/>
        <v>0</v>
      </c>
      <c r="M1097" s="446"/>
      <c r="N1097" s="446"/>
      <c r="O1097" s="446"/>
      <c r="P1097" s="446"/>
      <c r="Q1097" s="110">
        <v>4</v>
      </c>
      <c r="R1097" s="111">
        <f t="shared" si="228"/>
        <v>58.8</v>
      </c>
      <c r="S1097" s="110"/>
      <c r="T1097" s="110"/>
      <c r="U1097" s="110">
        <v>4</v>
      </c>
      <c r="V1097" s="111">
        <f t="shared" si="229"/>
        <v>58.8</v>
      </c>
      <c r="W1097" s="110"/>
      <c r="X1097" s="110"/>
      <c r="Y1097" s="110"/>
      <c r="Z1097" s="110"/>
      <c r="AA1097" s="110">
        <v>4</v>
      </c>
      <c r="AB1097" s="111">
        <f t="shared" si="231"/>
        <v>58.8</v>
      </c>
      <c r="AC1097" s="110"/>
      <c r="AD1097" s="110"/>
      <c r="AE1097" s="110">
        <v>3</v>
      </c>
      <c r="AF1097" s="111">
        <f t="shared" si="232"/>
        <v>58.8</v>
      </c>
      <c r="AG1097" s="110"/>
      <c r="AH1097" s="110"/>
      <c r="AI1097" s="110"/>
      <c r="AJ1097" s="110"/>
      <c r="AK1097" s="111">
        <f t="shared" si="236"/>
        <v>235.2</v>
      </c>
      <c r="AL1097" s="446">
        <f t="shared" si="237"/>
        <v>0</v>
      </c>
      <c r="AM1097" s="110">
        <f t="shared" si="238"/>
        <v>15</v>
      </c>
      <c r="AN1097" s="447">
        <f t="shared" si="241"/>
        <v>0</v>
      </c>
      <c r="AO1097"/>
      <c r="AP1097"/>
    </row>
    <row r="1098" spans="1:42" ht="66" x14ac:dyDescent="0.25">
      <c r="A1098" s="143"/>
      <c r="B1098" s="495" t="s">
        <v>63</v>
      </c>
      <c r="C1098" s="24"/>
      <c r="D1098" s="882">
        <v>15</v>
      </c>
      <c r="E1098" s="251" t="s">
        <v>1767</v>
      </c>
      <c r="F1098" s="273" t="s">
        <v>3446</v>
      </c>
      <c r="G1098" s="1040" t="s">
        <v>3463</v>
      </c>
      <c r="H1098" s="273" t="s">
        <v>3462</v>
      </c>
      <c r="I1098" s="720">
        <f t="shared" si="239"/>
        <v>45.14</v>
      </c>
      <c r="J1098" s="756">
        <v>677.1</v>
      </c>
      <c r="K1098" s="131">
        <f t="shared" si="240"/>
        <v>677.1</v>
      </c>
      <c r="L1098" s="335">
        <f t="shared" si="230"/>
        <v>0</v>
      </c>
      <c r="M1098" s="446"/>
      <c r="N1098" s="446"/>
      <c r="O1098" s="446"/>
      <c r="P1098" s="446"/>
      <c r="Q1098" s="110">
        <v>4</v>
      </c>
      <c r="R1098" s="111">
        <f t="shared" si="228"/>
        <v>169.27500000000001</v>
      </c>
      <c r="S1098" s="110"/>
      <c r="T1098" s="110"/>
      <c r="U1098" s="110">
        <v>4</v>
      </c>
      <c r="V1098" s="111">
        <f t="shared" si="229"/>
        <v>169.27500000000001</v>
      </c>
      <c r="W1098" s="110"/>
      <c r="X1098" s="110"/>
      <c r="Y1098" s="110"/>
      <c r="Z1098" s="110"/>
      <c r="AA1098" s="110">
        <v>4</v>
      </c>
      <c r="AB1098" s="111">
        <f t="shared" si="231"/>
        <v>169.27500000000001</v>
      </c>
      <c r="AC1098" s="110"/>
      <c r="AD1098" s="110"/>
      <c r="AE1098" s="110">
        <v>3</v>
      </c>
      <c r="AF1098" s="111">
        <f t="shared" si="232"/>
        <v>169.27500000000001</v>
      </c>
      <c r="AG1098" s="110"/>
      <c r="AH1098" s="110"/>
      <c r="AI1098" s="110"/>
      <c r="AJ1098" s="110"/>
      <c r="AK1098" s="111">
        <f t="shared" si="236"/>
        <v>677.1</v>
      </c>
      <c r="AL1098" s="446">
        <f t="shared" si="237"/>
        <v>0</v>
      </c>
      <c r="AM1098" s="110">
        <f t="shared" si="238"/>
        <v>15</v>
      </c>
      <c r="AN1098" s="447">
        <f t="shared" si="241"/>
        <v>0</v>
      </c>
      <c r="AO1098"/>
      <c r="AP1098"/>
    </row>
    <row r="1099" spans="1:42" ht="66" x14ac:dyDescent="0.25">
      <c r="A1099" s="143"/>
      <c r="B1099" s="495" t="s">
        <v>2891</v>
      </c>
      <c r="C1099" s="24"/>
      <c r="D1099" s="882">
        <v>6</v>
      </c>
      <c r="E1099" s="251" t="s">
        <v>1721</v>
      </c>
      <c r="F1099" s="273" t="s">
        <v>3446</v>
      </c>
      <c r="G1099" s="1040" t="s">
        <v>3463</v>
      </c>
      <c r="H1099" s="273" t="s">
        <v>3462</v>
      </c>
      <c r="I1099" s="720">
        <f t="shared" si="239"/>
        <v>291</v>
      </c>
      <c r="J1099" s="756">
        <v>1746</v>
      </c>
      <c r="K1099" s="131">
        <f t="shared" si="240"/>
        <v>1746</v>
      </c>
      <c r="L1099" s="335">
        <f t="shared" si="230"/>
        <v>0</v>
      </c>
      <c r="M1099" s="446"/>
      <c r="N1099" s="446"/>
      <c r="O1099" s="446"/>
      <c r="P1099" s="446"/>
      <c r="Q1099" s="130">
        <v>2</v>
      </c>
      <c r="R1099" s="111">
        <f t="shared" si="228"/>
        <v>436.5</v>
      </c>
      <c r="S1099" s="110"/>
      <c r="T1099" s="110"/>
      <c r="U1099" s="130">
        <v>2</v>
      </c>
      <c r="V1099" s="111">
        <f t="shared" si="229"/>
        <v>436.5</v>
      </c>
      <c r="W1099" s="110"/>
      <c r="X1099" s="110"/>
      <c r="Y1099" s="110"/>
      <c r="Z1099" s="110"/>
      <c r="AA1099" s="130">
        <v>1</v>
      </c>
      <c r="AB1099" s="111">
        <f t="shared" si="231"/>
        <v>436.5</v>
      </c>
      <c r="AC1099" s="110"/>
      <c r="AD1099" s="110"/>
      <c r="AE1099" s="130">
        <v>1</v>
      </c>
      <c r="AF1099" s="111">
        <f t="shared" si="232"/>
        <v>436.5</v>
      </c>
      <c r="AG1099" s="110"/>
      <c r="AH1099" s="110"/>
      <c r="AI1099" s="110"/>
      <c r="AJ1099" s="110"/>
      <c r="AK1099" s="111">
        <f t="shared" si="236"/>
        <v>1746</v>
      </c>
      <c r="AL1099" s="446">
        <f t="shared" si="237"/>
        <v>0</v>
      </c>
      <c r="AM1099" s="110">
        <f t="shared" si="238"/>
        <v>6</v>
      </c>
      <c r="AN1099" s="447">
        <f t="shared" si="241"/>
        <v>0</v>
      </c>
      <c r="AO1099"/>
      <c r="AP1099"/>
    </row>
    <row r="1100" spans="1:42" ht="66" x14ac:dyDescent="0.25">
      <c r="A1100" s="143"/>
      <c r="B1100" s="495" t="s">
        <v>2892</v>
      </c>
      <c r="C1100" s="24"/>
      <c r="D1100" s="882">
        <v>5</v>
      </c>
      <c r="E1100" s="251" t="s">
        <v>1767</v>
      </c>
      <c r="F1100" s="273" t="s">
        <v>3446</v>
      </c>
      <c r="G1100" s="1040" t="s">
        <v>3463</v>
      </c>
      <c r="H1100" s="273" t="s">
        <v>3462</v>
      </c>
      <c r="I1100" s="720">
        <f t="shared" si="239"/>
        <v>25</v>
      </c>
      <c r="J1100" s="756">
        <v>125</v>
      </c>
      <c r="K1100" s="131">
        <f t="shared" si="240"/>
        <v>125</v>
      </c>
      <c r="L1100" s="335">
        <f t="shared" si="230"/>
        <v>0</v>
      </c>
      <c r="M1100" s="446"/>
      <c r="N1100" s="446"/>
      <c r="O1100" s="446"/>
      <c r="P1100" s="446"/>
      <c r="Q1100" s="110">
        <v>2</v>
      </c>
      <c r="R1100" s="111">
        <f t="shared" si="228"/>
        <v>31.25</v>
      </c>
      <c r="S1100" s="110"/>
      <c r="T1100" s="110"/>
      <c r="U1100" s="110">
        <v>1</v>
      </c>
      <c r="V1100" s="111">
        <f t="shared" si="229"/>
        <v>31.25</v>
      </c>
      <c r="W1100" s="110"/>
      <c r="X1100" s="110"/>
      <c r="Y1100" s="110"/>
      <c r="Z1100" s="110"/>
      <c r="AA1100" s="110">
        <v>1</v>
      </c>
      <c r="AB1100" s="111">
        <f t="shared" si="231"/>
        <v>31.25</v>
      </c>
      <c r="AC1100" s="110"/>
      <c r="AD1100" s="110"/>
      <c r="AE1100" s="110">
        <v>1</v>
      </c>
      <c r="AF1100" s="111">
        <f t="shared" si="232"/>
        <v>31.25</v>
      </c>
      <c r="AG1100" s="110"/>
      <c r="AH1100" s="110"/>
      <c r="AI1100" s="110"/>
      <c r="AJ1100" s="110"/>
      <c r="AK1100" s="111">
        <f t="shared" si="236"/>
        <v>125</v>
      </c>
      <c r="AL1100" s="446">
        <f t="shared" si="237"/>
        <v>0</v>
      </c>
      <c r="AM1100" s="110">
        <f t="shared" si="238"/>
        <v>5</v>
      </c>
      <c r="AN1100" s="447">
        <f t="shared" si="241"/>
        <v>0</v>
      </c>
      <c r="AO1100"/>
      <c r="AP1100"/>
    </row>
    <row r="1101" spans="1:42" ht="66" x14ac:dyDescent="0.25">
      <c r="A1101" s="143"/>
      <c r="B1101" s="495" t="s">
        <v>1138</v>
      </c>
      <c r="C1101" s="24"/>
      <c r="D1101" s="882">
        <v>600</v>
      </c>
      <c r="E1101" s="251" t="s">
        <v>1767</v>
      </c>
      <c r="F1101" s="273" t="s">
        <v>3446</v>
      </c>
      <c r="G1101" s="1040" t="s">
        <v>3463</v>
      </c>
      <c r="H1101" s="273" t="s">
        <v>3462</v>
      </c>
      <c r="I1101" s="720">
        <f t="shared" si="239"/>
        <v>3.94</v>
      </c>
      <c r="J1101" s="756">
        <v>2364</v>
      </c>
      <c r="K1101" s="131">
        <f t="shared" si="240"/>
        <v>2364</v>
      </c>
      <c r="L1101" s="335">
        <f t="shared" si="230"/>
        <v>0</v>
      </c>
      <c r="M1101" s="446"/>
      <c r="N1101" s="446"/>
      <c r="O1101" s="446"/>
      <c r="P1101" s="446"/>
      <c r="Q1101" s="110">
        <f t="shared" si="233"/>
        <v>150</v>
      </c>
      <c r="R1101" s="111">
        <f t="shared" si="228"/>
        <v>591</v>
      </c>
      <c r="S1101" s="110"/>
      <c r="T1101" s="110"/>
      <c r="U1101" s="110">
        <f t="shared" si="234"/>
        <v>150</v>
      </c>
      <c r="V1101" s="111">
        <f t="shared" si="229"/>
        <v>591</v>
      </c>
      <c r="W1101" s="110"/>
      <c r="X1101" s="110"/>
      <c r="Y1101" s="110"/>
      <c r="Z1101" s="110"/>
      <c r="AA1101" s="110">
        <f t="shared" si="235"/>
        <v>150</v>
      </c>
      <c r="AB1101" s="111">
        <f t="shared" si="231"/>
        <v>591</v>
      </c>
      <c r="AC1101" s="110"/>
      <c r="AD1101" s="110"/>
      <c r="AE1101" s="110">
        <f t="shared" si="235"/>
        <v>150</v>
      </c>
      <c r="AF1101" s="111">
        <f t="shared" si="232"/>
        <v>591</v>
      </c>
      <c r="AG1101" s="110"/>
      <c r="AH1101" s="110"/>
      <c r="AI1101" s="110"/>
      <c r="AJ1101" s="110"/>
      <c r="AK1101" s="111">
        <f t="shared" si="236"/>
        <v>2364</v>
      </c>
      <c r="AL1101" s="446">
        <f t="shared" si="237"/>
        <v>0</v>
      </c>
      <c r="AM1101" s="110">
        <f t="shared" si="238"/>
        <v>600</v>
      </c>
      <c r="AN1101" s="447">
        <f t="shared" si="241"/>
        <v>0</v>
      </c>
      <c r="AO1101"/>
      <c r="AP1101"/>
    </row>
    <row r="1102" spans="1:42" ht="66" x14ac:dyDescent="0.25">
      <c r="A1102" s="143"/>
      <c r="B1102" s="495" t="s">
        <v>2893</v>
      </c>
      <c r="C1102" s="24"/>
      <c r="D1102" s="882">
        <v>300</v>
      </c>
      <c r="E1102" s="251" t="s">
        <v>1767</v>
      </c>
      <c r="F1102" s="273" t="s">
        <v>3446</v>
      </c>
      <c r="G1102" s="1040" t="s">
        <v>3463</v>
      </c>
      <c r="H1102" s="273" t="s">
        <v>3462</v>
      </c>
      <c r="I1102" s="720">
        <f t="shared" si="239"/>
        <v>5.0999999999999996</v>
      </c>
      <c r="J1102" s="756">
        <v>1530</v>
      </c>
      <c r="K1102" s="131">
        <f t="shared" si="240"/>
        <v>1530</v>
      </c>
      <c r="L1102" s="335">
        <f t="shared" si="230"/>
        <v>0</v>
      </c>
      <c r="M1102" s="446"/>
      <c r="N1102" s="446"/>
      <c r="O1102" s="446"/>
      <c r="P1102" s="446"/>
      <c r="Q1102" s="110">
        <f t="shared" si="233"/>
        <v>75</v>
      </c>
      <c r="R1102" s="111">
        <f t="shared" si="228"/>
        <v>382.5</v>
      </c>
      <c r="S1102" s="110"/>
      <c r="T1102" s="110"/>
      <c r="U1102" s="110">
        <f t="shared" si="234"/>
        <v>75</v>
      </c>
      <c r="V1102" s="111">
        <f t="shared" si="229"/>
        <v>382.5</v>
      </c>
      <c r="W1102" s="110"/>
      <c r="X1102" s="110"/>
      <c r="Y1102" s="110"/>
      <c r="Z1102" s="110"/>
      <c r="AA1102" s="110">
        <f t="shared" si="235"/>
        <v>75</v>
      </c>
      <c r="AB1102" s="111">
        <f t="shared" si="231"/>
        <v>382.5</v>
      </c>
      <c r="AC1102" s="110"/>
      <c r="AD1102" s="110"/>
      <c r="AE1102" s="110">
        <f t="shared" si="235"/>
        <v>75</v>
      </c>
      <c r="AF1102" s="111">
        <f t="shared" si="232"/>
        <v>382.5</v>
      </c>
      <c r="AG1102" s="110"/>
      <c r="AH1102" s="110"/>
      <c r="AI1102" s="110"/>
      <c r="AJ1102" s="110"/>
      <c r="AK1102" s="111">
        <f t="shared" si="236"/>
        <v>1530</v>
      </c>
      <c r="AL1102" s="446">
        <f t="shared" si="237"/>
        <v>0</v>
      </c>
      <c r="AM1102" s="110">
        <f t="shared" si="238"/>
        <v>300</v>
      </c>
      <c r="AN1102" s="447">
        <f t="shared" si="241"/>
        <v>0</v>
      </c>
      <c r="AO1102"/>
      <c r="AP1102"/>
    </row>
    <row r="1103" spans="1:42" ht="66" x14ac:dyDescent="0.25">
      <c r="A1103" s="143"/>
      <c r="B1103" s="495" t="s">
        <v>2894</v>
      </c>
      <c r="C1103" s="24"/>
      <c r="D1103" s="882">
        <v>300</v>
      </c>
      <c r="E1103" s="251" t="s">
        <v>1767</v>
      </c>
      <c r="F1103" s="273" t="s">
        <v>3446</v>
      </c>
      <c r="G1103" s="1040" t="s">
        <v>3463</v>
      </c>
      <c r="H1103" s="273" t="s">
        <v>3462</v>
      </c>
      <c r="I1103" s="720">
        <f t="shared" si="239"/>
        <v>5.0999999999999996</v>
      </c>
      <c r="J1103" s="756">
        <v>1530</v>
      </c>
      <c r="K1103" s="131">
        <f t="shared" si="240"/>
        <v>1530</v>
      </c>
      <c r="L1103" s="335">
        <f t="shared" si="230"/>
        <v>0</v>
      </c>
      <c r="M1103" s="446"/>
      <c r="N1103" s="446"/>
      <c r="O1103" s="446"/>
      <c r="P1103" s="446"/>
      <c r="Q1103" s="110">
        <f t="shared" si="233"/>
        <v>75</v>
      </c>
      <c r="R1103" s="111">
        <f t="shared" si="228"/>
        <v>382.5</v>
      </c>
      <c r="S1103" s="110"/>
      <c r="T1103" s="110"/>
      <c r="U1103" s="110">
        <f t="shared" si="234"/>
        <v>75</v>
      </c>
      <c r="V1103" s="111">
        <f t="shared" si="229"/>
        <v>382.5</v>
      </c>
      <c r="W1103" s="110"/>
      <c r="X1103" s="110"/>
      <c r="Y1103" s="110"/>
      <c r="Z1103" s="110"/>
      <c r="AA1103" s="110">
        <f t="shared" si="235"/>
        <v>75</v>
      </c>
      <c r="AB1103" s="111">
        <f t="shared" si="231"/>
        <v>382.5</v>
      </c>
      <c r="AC1103" s="110"/>
      <c r="AD1103" s="110"/>
      <c r="AE1103" s="110">
        <f t="shared" si="235"/>
        <v>75</v>
      </c>
      <c r="AF1103" s="111">
        <f t="shared" si="232"/>
        <v>382.5</v>
      </c>
      <c r="AG1103" s="110"/>
      <c r="AH1103" s="110"/>
      <c r="AI1103" s="110"/>
      <c r="AJ1103" s="110"/>
      <c r="AK1103" s="111">
        <f t="shared" si="236"/>
        <v>1530</v>
      </c>
      <c r="AL1103" s="446">
        <f t="shared" si="237"/>
        <v>0</v>
      </c>
      <c r="AM1103" s="110">
        <f t="shared" si="238"/>
        <v>300</v>
      </c>
      <c r="AN1103" s="447">
        <f t="shared" si="241"/>
        <v>0</v>
      </c>
      <c r="AO1103"/>
      <c r="AP1103"/>
    </row>
    <row r="1104" spans="1:42" ht="66" x14ac:dyDescent="0.25">
      <c r="A1104" s="143"/>
      <c r="B1104" s="495" t="s">
        <v>125</v>
      </c>
      <c r="C1104" s="22"/>
      <c r="D1104" s="882">
        <v>235</v>
      </c>
      <c r="E1104" s="251" t="s">
        <v>1767</v>
      </c>
      <c r="F1104" s="273" t="s">
        <v>3446</v>
      </c>
      <c r="G1104" s="1040" t="s">
        <v>3463</v>
      </c>
      <c r="H1104" s="273" t="s">
        <v>3462</v>
      </c>
      <c r="I1104" s="720">
        <f t="shared" si="239"/>
        <v>39.799999999999997</v>
      </c>
      <c r="J1104" s="756">
        <v>9353</v>
      </c>
      <c r="K1104" s="131">
        <f t="shared" si="240"/>
        <v>9353</v>
      </c>
      <c r="L1104" s="335">
        <f t="shared" si="230"/>
        <v>0</v>
      </c>
      <c r="M1104" s="446"/>
      <c r="N1104" s="446"/>
      <c r="O1104" s="446"/>
      <c r="P1104" s="446"/>
      <c r="Q1104" s="110">
        <v>60</v>
      </c>
      <c r="R1104" s="111">
        <f t="shared" si="228"/>
        <v>2338.25</v>
      </c>
      <c r="S1104" s="110"/>
      <c r="T1104" s="110"/>
      <c r="U1104" s="110">
        <v>60</v>
      </c>
      <c r="V1104" s="111">
        <f t="shared" si="229"/>
        <v>2338.25</v>
      </c>
      <c r="W1104" s="110"/>
      <c r="X1104" s="110"/>
      <c r="Y1104" s="110"/>
      <c r="Z1104" s="110"/>
      <c r="AA1104" s="110">
        <v>60</v>
      </c>
      <c r="AB1104" s="111">
        <f t="shared" si="231"/>
        <v>2338.25</v>
      </c>
      <c r="AC1104" s="110"/>
      <c r="AD1104" s="110"/>
      <c r="AE1104" s="110">
        <v>55</v>
      </c>
      <c r="AF1104" s="111">
        <f t="shared" si="232"/>
        <v>2338.25</v>
      </c>
      <c r="AG1104" s="110"/>
      <c r="AH1104" s="110"/>
      <c r="AI1104" s="110"/>
      <c r="AJ1104" s="110"/>
      <c r="AK1104" s="111">
        <f t="shared" si="236"/>
        <v>9353</v>
      </c>
      <c r="AL1104" s="446">
        <f t="shared" si="237"/>
        <v>0</v>
      </c>
      <c r="AM1104" s="110">
        <f t="shared" si="238"/>
        <v>235</v>
      </c>
      <c r="AN1104" s="447">
        <f t="shared" si="241"/>
        <v>0</v>
      </c>
      <c r="AO1104"/>
      <c r="AP1104"/>
    </row>
    <row r="1105" spans="1:42" ht="66" x14ac:dyDescent="0.25">
      <c r="A1105" s="143"/>
      <c r="B1105" s="495" t="s">
        <v>2895</v>
      </c>
      <c r="C1105" s="24"/>
      <c r="D1105" s="882">
        <v>25</v>
      </c>
      <c r="E1105" s="251" t="s">
        <v>1767</v>
      </c>
      <c r="F1105" s="273" t="s">
        <v>3446</v>
      </c>
      <c r="G1105" s="1040" t="s">
        <v>3463</v>
      </c>
      <c r="H1105" s="273" t="s">
        <v>3462</v>
      </c>
      <c r="I1105" s="720">
        <f t="shared" si="239"/>
        <v>75.44</v>
      </c>
      <c r="J1105" s="756">
        <v>1886</v>
      </c>
      <c r="K1105" s="131">
        <f t="shared" si="240"/>
        <v>1886</v>
      </c>
      <c r="L1105" s="335">
        <f t="shared" si="230"/>
        <v>0</v>
      </c>
      <c r="M1105" s="446"/>
      <c r="N1105" s="446"/>
      <c r="O1105" s="446"/>
      <c r="P1105" s="446"/>
      <c r="Q1105" s="110">
        <v>7</v>
      </c>
      <c r="R1105" s="111">
        <f t="shared" si="228"/>
        <v>471.5</v>
      </c>
      <c r="S1105" s="110"/>
      <c r="T1105" s="110"/>
      <c r="U1105" s="110">
        <v>6</v>
      </c>
      <c r="V1105" s="111">
        <f t="shared" si="229"/>
        <v>471.5</v>
      </c>
      <c r="W1105" s="110"/>
      <c r="X1105" s="110"/>
      <c r="Y1105" s="110"/>
      <c r="Z1105" s="110"/>
      <c r="AA1105" s="110">
        <v>6</v>
      </c>
      <c r="AB1105" s="111">
        <f t="shared" si="231"/>
        <v>471.5</v>
      </c>
      <c r="AC1105" s="110"/>
      <c r="AD1105" s="110"/>
      <c r="AE1105" s="110">
        <v>6</v>
      </c>
      <c r="AF1105" s="111">
        <f t="shared" si="232"/>
        <v>471.5</v>
      </c>
      <c r="AG1105" s="110"/>
      <c r="AH1105" s="110"/>
      <c r="AI1105" s="110"/>
      <c r="AJ1105" s="110"/>
      <c r="AK1105" s="111">
        <f t="shared" si="236"/>
        <v>1886</v>
      </c>
      <c r="AL1105" s="446">
        <f t="shared" si="237"/>
        <v>0</v>
      </c>
      <c r="AM1105" s="110">
        <f t="shared" si="238"/>
        <v>25</v>
      </c>
      <c r="AN1105" s="447">
        <f t="shared" si="241"/>
        <v>0</v>
      </c>
      <c r="AO1105"/>
      <c r="AP1105"/>
    </row>
    <row r="1106" spans="1:42" ht="66" x14ac:dyDescent="0.25">
      <c r="A1106" s="143"/>
      <c r="B1106" s="222" t="s">
        <v>115</v>
      </c>
      <c r="C1106" s="24"/>
      <c r="D1106" s="883">
        <v>8</v>
      </c>
      <c r="E1106" s="84" t="s">
        <v>1725</v>
      </c>
      <c r="F1106" s="273" t="s">
        <v>3446</v>
      </c>
      <c r="G1106" s="1040" t="s">
        <v>3463</v>
      </c>
      <c r="H1106" s="273" t="s">
        <v>3462</v>
      </c>
      <c r="I1106" s="21">
        <v>19.88</v>
      </c>
      <c r="J1106" s="765">
        <v>159.04</v>
      </c>
      <c r="K1106" s="131">
        <f t="shared" si="240"/>
        <v>159.04</v>
      </c>
      <c r="L1106" s="335"/>
      <c r="M1106" s="446"/>
      <c r="N1106" s="446"/>
      <c r="O1106" s="446"/>
      <c r="P1106" s="446"/>
      <c r="Q1106" s="110">
        <f t="shared" si="233"/>
        <v>2</v>
      </c>
      <c r="R1106" s="111">
        <f t="shared" si="228"/>
        <v>39.76</v>
      </c>
      <c r="S1106" s="110"/>
      <c r="T1106" s="110"/>
      <c r="U1106" s="110">
        <f t="shared" si="234"/>
        <v>2</v>
      </c>
      <c r="V1106" s="111">
        <f t="shared" si="229"/>
        <v>39.76</v>
      </c>
      <c r="W1106" s="110"/>
      <c r="X1106" s="110"/>
      <c r="Y1106" s="110"/>
      <c r="Z1106" s="110"/>
      <c r="AA1106" s="110">
        <f t="shared" si="235"/>
        <v>2</v>
      </c>
      <c r="AB1106" s="111">
        <f t="shared" si="231"/>
        <v>39.76</v>
      </c>
      <c r="AC1106" s="110"/>
      <c r="AD1106" s="110"/>
      <c r="AE1106" s="110">
        <f t="shared" si="235"/>
        <v>2</v>
      </c>
      <c r="AF1106" s="111">
        <f t="shared" si="232"/>
        <v>39.76</v>
      </c>
      <c r="AG1106" s="110"/>
      <c r="AH1106" s="110"/>
      <c r="AI1106" s="110"/>
      <c r="AJ1106" s="110"/>
      <c r="AK1106" s="111">
        <f t="shared" si="236"/>
        <v>159.04</v>
      </c>
      <c r="AL1106" s="446">
        <f t="shared" si="237"/>
        <v>0</v>
      </c>
      <c r="AM1106" s="110">
        <f t="shared" si="238"/>
        <v>8</v>
      </c>
      <c r="AN1106" s="447">
        <f t="shared" si="241"/>
        <v>0</v>
      </c>
      <c r="AO1106"/>
      <c r="AP1106"/>
    </row>
    <row r="1107" spans="1:42" ht="66" x14ac:dyDescent="0.25">
      <c r="A1107" s="143"/>
      <c r="B1107" s="222" t="s">
        <v>1727</v>
      </c>
      <c r="C1107" s="24"/>
      <c r="D1107" s="883">
        <v>6</v>
      </c>
      <c r="E1107" s="247" t="s">
        <v>1725</v>
      </c>
      <c r="F1107" s="273" t="s">
        <v>3446</v>
      </c>
      <c r="G1107" s="1040" t="s">
        <v>3463</v>
      </c>
      <c r="H1107" s="273" t="s">
        <v>3462</v>
      </c>
      <c r="I1107" s="21">
        <v>147.87</v>
      </c>
      <c r="J1107" s="765">
        <v>887.22</v>
      </c>
      <c r="K1107" s="131">
        <f t="shared" si="240"/>
        <v>887.22</v>
      </c>
      <c r="L1107" s="335"/>
      <c r="M1107" s="446"/>
      <c r="N1107" s="446"/>
      <c r="O1107" s="446"/>
      <c r="P1107" s="446"/>
      <c r="Q1107" s="130">
        <v>2</v>
      </c>
      <c r="R1107" s="111">
        <f t="shared" si="228"/>
        <v>221.80500000000001</v>
      </c>
      <c r="S1107" s="110"/>
      <c r="T1107" s="110"/>
      <c r="U1107" s="130">
        <v>2</v>
      </c>
      <c r="V1107" s="111">
        <f t="shared" si="229"/>
        <v>221.80500000000001</v>
      </c>
      <c r="W1107" s="110"/>
      <c r="X1107" s="110"/>
      <c r="Y1107" s="110"/>
      <c r="Z1107" s="110"/>
      <c r="AA1107" s="130">
        <v>1</v>
      </c>
      <c r="AB1107" s="111">
        <f t="shared" si="231"/>
        <v>221.80500000000001</v>
      </c>
      <c r="AC1107" s="110"/>
      <c r="AD1107" s="110"/>
      <c r="AE1107" s="130">
        <v>1</v>
      </c>
      <c r="AF1107" s="111">
        <f t="shared" si="232"/>
        <v>221.80500000000001</v>
      </c>
      <c r="AG1107" s="110"/>
      <c r="AH1107" s="110"/>
      <c r="AI1107" s="110"/>
      <c r="AJ1107" s="110"/>
      <c r="AK1107" s="111">
        <f t="shared" si="236"/>
        <v>887.22</v>
      </c>
      <c r="AL1107" s="446">
        <f t="shared" si="237"/>
        <v>0</v>
      </c>
      <c r="AM1107" s="110">
        <f t="shared" si="238"/>
        <v>6</v>
      </c>
      <c r="AN1107" s="447">
        <f t="shared" si="241"/>
        <v>0</v>
      </c>
      <c r="AO1107"/>
      <c r="AP1107"/>
    </row>
    <row r="1108" spans="1:42" ht="66" x14ac:dyDescent="0.25">
      <c r="A1108" s="143"/>
      <c r="B1108" s="222" t="s">
        <v>119</v>
      </c>
      <c r="C1108" s="24"/>
      <c r="D1108" s="883">
        <v>20</v>
      </c>
      <c r="E1108" s="84" t="s">
        <v>1725</v>
      </c>
      <c r="F1108" s="273" t="s">
        <v>3446</v>
      </c>
      <c r="G1108" s="1040" t="s">
        <v>3463</v>
      </c>
      <c r="H1108" s="273" t="s">
        <v>3462</v>
      </c>
      <c r="I1108" s="21">
        <v>85.05</v>
      </c>
      <c r="J1108" s="765">
        <v>1701</v>
      </c>
      <c r="K1108" s="131">
        <f t="shared" si="240"/>
        <v>1701</v>
      </c>
      <c r="L1108" s="335"/>
      <c r="M1108" s="446"/>
      <c r="N1108" s="446"/>
      <c r="O1108" s="446"/>
      <c r="P1108" s="446"/>
      <c r="Q1108" s="110">
        <f t="shared" si="233"/>
        <v>5</v>
      </c>
      <c r="R1108" s="111">
        <f t="shared" si="228"/>
        <v>425.25</v>
      </c>
      <c r="S1108" s="110"/>
      <c r="T1108" s="110"/>
      <c r="U1108" s="110">
        <f t="shared" si="234"/>
        <v>5</v>
      </c>
      <c r="V1108" s="111">
        <f t="shared" si="229"/>
        <v>425.25</v>
      </c>
      <c r="W1108" s="110"/>
      <c r="X1108" s="110"/>
      <c r="Y1108" s="110"/>
      <c r="Z1108" s="110"/>
      <c r="AA1108" s="110">
        <f t="shared" si="235"/>
        <v>5</v>
      </c>
      <c r="AB1108" s="111">
        <f t="shared" si="231"/>
        <v>425.25</v>
      </c>
      <c r="AC1108" s="110"/>
      <c r="AD1108" s="110"/>
      <c r="AE1108" s="110">
        <f t="shared" si="235"/>
        <v>5</v>
      </c>
      <c r="AF1108" s="111">
        <f t="shared" si="232"/>
        <v>425.25</v>
      </c>
      <c r="AG1108" s="110"/>
      <c r="AH1108" s="110"/>
      <c r="AI1108" s="110"/>
      <c r="AJ1108" s="110"/>
      <c r="AK1108" s="111">
        <f t="shared" si="236"/>
        <v>1701</v>
      </c>
      <c r="AL1108" s="446">
        <f t="shared" si="237"/>
        <v>0</v>
      </c>
      <c r="AM1108" s="110">
        <f t="shared" si="238"/>
        <v>20</v>
      </c>
      <c r="AN1108" s="447">
        <f t="shared" si="241"/>
        <v>0</v>
      </c>
      <c r="AO1108"/>
      <c r="AP1108"/>
    </row>
    <row r="1109" spans="1:42" ht="66" x14ac:dyDescent="0.25">
      <c r="A1109" s="143"/>
      <c r="B1109" s="222" t="s">
        <v>116</v>
      </c>
      <c r="C1109" s="24"/>
      <c r="D1109" s="883">
        <v>8</v>
      </c>
      <c r="E1109" s="84" t="s">
        <v>1723</v>
      </c>
      <c r="F1109" s="273" t="s">
        <v>3446</v>
      </c>
      <c r="G1109" s="1040" t="s">
        <v>3463</v>
      </c>
      <c r="H1109" s="273" t="s">
        <v>3462</v>
      </c>
      <c r="I1109" s="21">
        <v>28.41</v>
      </c>
      <c r="J1109" s="765">
        <v>227.28</v>
      </c>
      <c r="K1109" s="131">
        <f t="shared" si="240"/>
        <v>227.28</v>
      </c>
      <c r="L1109" s="335"/>
      <c r="M1109" s="446"/>
      <c r="N1109" s="446"/>
      <c r="O1109" s="446"/>
      <c r="P1109" s="446"/>
      <c r="Q1109" s="110">
        <f t="shared" si="233"/>
        <v>2</v>
      </c>
      <c r="R1109" s="111">
        <f t="shared" si="228"/>
        <v>56.82</v>
      </c>
      <c r="S1109" s="110"/>
      <c r="T1109" s="110"/>
      <c r="U1109" s="110">
        <f t="shared" si="234"/>
        <v>2</v>
      </c>
      <c r="V1109" s="111">
        <f t="shared" si="229"/>
        <v>56.82</v>
      </c>
      <c r="W1109" s="110"/>
      <c r="X1109" s="110"/>
      <c r="Y1109" s="110"/>
      <c r="Z1109" s="110"/>
      <c r="AA1109" s="110">
        <f t="shared" si="235"/>
        <v>2</v>
      </c>
      <c r="AB1109" s="111">
        <f t="shared" si="231"/>
        <v>56.82</v>
      </c>
      <c r="AC1109" s="110"/>
      <c r="AD1109" s="110"/>
      <c r="AE1109" s="110">
        <f t="shared" si="235"/>
        <v>2</v>
      </c>
      <c r="AF1109" s="111">
        <f t="shared" si="232"/>
        <v>56.82</v>
      </c>
      <c r="AG1109" s="110"/>
      <c r="AH1109" s="110"/>
      <c r="AI1109" s="110"/>
      <c r="AJ1109" s="110"/>
      <c r="AK1109" s="111">
        <f t="shared" si="236"/>
        <v>227.28</v>
      </c>
      <c r="AL1109" s="446">
        <f t="shared" si="237"/>
        <v>0</v>
      </c>
      <c r="AM1109" s="110">
        <f t="shared" si="238"/>
        <v>8</v>
      </c>
      <c r="AN1109" s="447">
        <f t="shared" si="241"/>
        <v>0</v>
      </c>
      <c r="AO1109"/>
      <c r="AP1109"/>
    </row>
    <row r="1110" spans="1:42" ht="66" x14ac:dyDescent="0.25">
      <c r="A1110" s="143"/>
      <c r="B1110" s="222" t="s">
        <v>103</v>
      </c>
      <c r="C1110" s="24"/>
      <c r="D1110" s="883">
        <v>30</v>
      </c>
      <c r="E1110" s="1024" t="s">
        <v>1722</v>
      </c>
      <c r="F1110" s="273" t="s">
        <v>3446</v>
      </c>
      <c r="G1110" s="1040" t="s">
        <v>3463</v>
      </c>
      <c r="H1110" s="273" t="s">
        <v>3462</v>
      </c>
      <c r="I1110" s="27">
        <v>61.59</v>
      </c>
      <c r="J1110" s="765">
        <v>1847.7</v>
      </c>
      <c r="K1110" s="131">
        <f t="shared" si="240"/>
        <v>1847.7</v>
      </c>
      <c r="L1110" s="335"/>
      <c r="M1110" s="446"/>
      <c r="N1110" s="446"/>
      <c r="O1110" s="446"/>
      <c r="P1110" s="446"/>
      <c r="Q1110" s="110">
        <v>8</v>
      </c>
      <c r="R1110" s="111">
        <f t="shared" si="228"/>
        <v>461.92500000000001</v>
      </c>
      <c r="S1110" s="110"/>
      <c r="T1110" s="110"/>
      <c r="U1110" s="110">
        <v>8</v>
      </c>
      <c r="V1110" s="111">
        <f t="shared" si="229"/>
        <v>461.92500000000001</v>
      </c>
      <c r="W1110" s="110"/>
      <c r="X1110" s="110"/>
      <c r="Y1110" s="110"/>
      <c r="Z1110" s="110"/>
      <c r="AA1110" s="110">
        <v>7</v>
      </c>
      <c r="AB1110" s="111">
        <f t="shared" si="231"/>
        <v>461.92500000000001</v>
      </c>
      <c r="AC1110" s="110"/>
      <c r="AD1110" s="110"/>
      <c r="AE1110" s="110">
        <v>7</v>
      </c>
      <c r="AF1110" s="111">
        <f t="shared" si="232"/>
        <v>461.92500000000001</v>
      </c>
      <c r="AG1110" s="110"/>
      <c r="AH1110" s="110"/>
      <c r="AI1110" s="110"/>
      <c r="AJ1110" s="110"/>
      <c r="AK1110" s="111">
        <f t="shared" si="236"/>
        <v>1847.7</v>
      </c>
      <c r="AL1110" s="446">
        <f t="shared" si="237"/>
        <v>0</v>
      </c>
      <c r="AM1110" s="110">
        <f t="shared" si="238"/>
        <v>30</v>
      </c>
      <c r="AN1110" s="447">
        <f t="shared" si="241"/>
        <v>0</v>
      </c>
      <c r="AO1110"/>
      <c r="AP1110"/>
    </row>
    <row r="1111" spans="1:42" ht="66" x14ac:dyDescent="0.25">
      <c r="A1111" s="143"/>
      <c r="B1111" s="222" t="s">
        <v>124</v>
      </c>
      <c r="C1111" s="24"/>
      <c r="D1111" s="883">
        <v>2</v>
      </c>
      <c r="E1111" s="84" t="s">
        <v>1725</v>
      </c>
      <c r="F1111" s="273" t="s">
        <v>3446</v>
      </c>
      <c r="G1111" s="1040" t="s">
        <v>3463</v>
      </c>
      <c r="H1111" s="273" t="s">
        <v>3462</v>
      </c>
      <c r="I1111" s="21">
        <v>64.11</v>
      </c>
      <c r="J1111" s="765">
        <v>128.22</v>
      </c>
      <c r="K1111" s="131">
        <f t="shared" si="240"/>
        <v>128.22</v>
      </c>
      <c r="L1111" s="335"/>
      <c r="M1111" s="446"/>
      <c r="N1111" s="446"/>
      <c r="O1111" s="446"/>
      <c r="P1111" s="446"/>
      <c r="Q1111" s="130">
        <v>1</v>
      </c>
      <c r="R1111" s="111">
        <v>64.11</v>
      </c>
      <c r="S1111" s="110"/>
      <c r="T1111" s="110"/>
      <c r="U1111" s="130">
        <v>1</v>
      </c>
      <c r="V1111" s="111">
        <v>64.11</v>
      </c>
      <c r="W1111" s="110"/>
      <c r="X1111" s="110"/>
      <c r="Y1111" s="110"/>
      <c r="Z1111" s="110"/>
      <c r="AA1111" s="130">
        <v>0</v>
      </c>
      <c r="AB1111" s="111">
        <v>0</v>
      </c>
      <c r="AC1111" s="110"/>
      <c r="AD1111" s="110"/>
      <c r="AE1111" s="130">
        <v>0</v>
      </c>
      <c r="AF1111" s="111">
        <v>0</v>
      </c>
      <c r="AG1111" s="110"/>
      <c r="AH1111" s="110"/>
      <c r="AI1111" s="110"/>
      <c r="AJ1111" s="110"/>
      <c r="AK1111" s="111">
        <f t="shared" si="236"/>
        <v>128.22</v>
      </c>
      <c r="AL1111" s="446">
        <f t="shared" si="237"/>
        <v>0</v>
      </c>
      <c r="AM1111" s="110">
        <f t="shared" si="238"/>
        <v>2</v>
      </c>
      <c r="AN1111" s="447">
        <f t="shared" si="241"/>
        <v>0</v>
      </c>
      <c r="AO1111"/>
      <c r="AP1111"/>
    </row>
    <row r="1112" spans="1:42" ht="66" x14ac:dyDescent="0.25">
      <c r="A1112" s="143"/>
      <c r="B1112" s="222" t="s">
        <v>1729</v>
      </c>
      <c r="C1112" s="24"/>
      <c r="D1112" s="883">
        <v>6</v>
      </c>
      <c r="E1112" s="84" t="s">
        <v>1725</v>
      </c>
      <c r="F1112" s="273" t="s">
        <v>3446</v>
      </c>
      <c r="G1112" s="1040" t="s">
        <v>3463</v>
      </c>
      <c r="H1112" s="273" t="s">
        <v>3462</v>
      </c>
      <c r="I1112" s="21">
        <v>23.89</v>
      </c>
      <c r="J1112" s="765">
        <v>143.34</v>
      </c>
      <c r="K1112" s="131">
        <f t="shared" si="240"/>
        <v>143.34</v>
      </c>
      <c r="L1112" s="335"/>
      <c r="M1112" s="446"/>
      <c r="N1112" s="446"/>
      <c r="O1112" s="446"/>
      <c r="P1112" s="446"/>
      <c r="Q1112" s="130">
        <v>2</v>
      </c>
      <c r="R1112" s="111">
        <f t="shared" si="228"/>
        <v>35.835000000000001</v>
      </c>
      <c r="S1112" s="110"/>
      <c r="T1112" s="110"/>
      <c r="U1112" s="130">
        <v>2</v>
      </c>
      <c r="V1112" s="111">
        <f t="shared" si="229"/>
        <v>35.835000000000001</v>
      </c>
      <c r="W1112" s="110"/>
      <c r="X1112" s="110"/>
      <c r="Y1112" s="110"/>
      <c r="Z1112" s="110"/>
      <c r="AA1112" s="130">
        <v>1</v>
      </c>
      <c r="AB1112" s="111">
        <f t="shared" si="231"/>
        <v>35.835000000000001</v>
      </c>
      <c r="AC1112" s="110"/>
      <c r="AD1112" s="110"/>
      <c r="AE1112" s="130">
        <v>1</v>
      </c>
      <c r="AF1112" s="111">
        <f t="shared" si="232"/>
        <v>35.835000000000001</v>
      </c>
      <c r="AG1112" s="110"/>
      <c r="AH1112" s="110"/>
      <c r="AI1112" s="110"/>
      <c r="AJ1112" s="110"/>
      <c r="AK1112" s="111">
        <f t="shared" si="236"/>
        <v>143.34</v>
      </c>
      <c r="AL1112" s="446">
        <f t="shared" si="237"/>
        <v>0</v>
      </c>
      <c r="AM1112" s="110">
        <f t="shared" si="238"/>
        <v>6</v>
      </c>
      <c r="AN1112" s="447">
        <f t="shared" si="241"/>
        <v>0</v>
      </c>
      <c r="AO1112"/>
      <c r="AP1112"/>
    </row>
    <row r="1113" spans="1:42" ht="66" x14ac:dyDescent="0.25">
      <c r="A1113" s="143"/>
      <c r="B1113" s="222" t="s">
        <v>125</v>
      </c>
      <c r="C1113" s="24"/>
      <c r="D1113" s="883">
        <v>30</v>
      </c>
      <c r="E1113" s="84" t="s">
        <v>1723</v>
      </c>
      <c r="F1113" s="273" t="s">
        <v>3446</v>
      </c>
      <c r="G1113" s="1040" t="s">
        <v>3463</v>
      </c>
      <c r="H1113" s="273" t="s">
        <v>3462</v>
      </c>
      <c r="I1113" s="21">
        <v>30.06</v>
      </c>
      <c r="J1113" s="765">
        <v>901.8</v>
      </c>
      <c r="K1113" s="131">
        <f t="shared" si="240"/>
        <v>901.8</v>
      </c>
      <c r="L1113" s="335"/>
      <c r="M1113" s="446"/>
      <c r="N1113" s="446"/>
      <c r="O1113" s="446"/>
      <c r="P1113" s="446"/>
      <c r="Q1113" s="110">
        <v>8</v>
      </c>
      <c r="R1113" s="111">
        <f t="shared" si="228"/>
        <v>225.45</v>
      </c>
      <c r="S1113" s="110"/>
      <c r="T1113" s="110"/>
      <c r="U1113" s="110">
        <v>8</v>
      </c>
      <c r="V1113" s="111">
        <f t="shared" si="229"/>
        <v>225.45</v>
      </c>
      <c r="W1113" s="110"/>
      <c r="X1113" s="110"/>
      <c r="Y1113" s="110"/>
      <c r="Z1113" s="110"/>
      <c r="AA1113" s="110">
        <v>7</v>
      </c>
      <c r="AB1113" s="111">
        <f t="shared" si="231"/>
        <v>225.45</v>
      </c>
      <c r="AC1113" s="110"/>
      <c r="AD1113" s="110"/>
      <c r="AE1113" s="110">
        <v>7</v>
      </c>
      <c r="AF1113" s="111">
        <f t="shared" si="232"/>
        <v>225.45</v>
      </c>
      <c r="AG1113" s="110"/>
      <c r="AH1113" s="110"/>
      <c r="AI1113" s="110"/>
      <c r="AJ1113" s="110"/>
      <c r="AK1113" s="111">
        <f t="shared" si="236"/>
        <v>901.8</v>
      </c>
      <c r="AL1113" s="446">
        <f t="shared" si="237"/>
        <v>0</v>
      </c>
      <c r="AM1113" s="110">
        <f t="shared" si="238"/>
        <v>30</v>
      </c>
      <c r="AN1113" s="447">
        <f t="shared" si="241"/>
        <v>0</v>
      </c>
      <c r="AO1113"/>
      <c r="AP1113"/>
    </row>
    <row r="1114" spans="1:42" ht="66" x14ac:dyDescent="0.25">
      <c r="A1114" s="143"/>
      <c r="B1114" s="222" t="s">
        <v>1768</v>
      </c>
      <c r="C1114" s="24"/>
      <c r="D1114" s="883">
        <v>2</v>
      </c>
      <c r="E1114" s="84" t="s">
        <v>1725</v>
      </c>
      <c r="F1114" s="273" t="s">
        <v>3446</v>
      </c>
      <c r="G1114" s="1040" t="s">
        <v>3463</v>
      </c>
      <c r="H1114" s="273" t="s">
        <v>3462</v>
      </c>
      <c r="I1114" s="21">
        <v>71.72</v>
      </c>
      <c r="J1114" s="765">
        <v>143.44</v>
      </c>
      <c r="K1114" s="131">
        <f t="shared" si="240"/>
        <v>143.44</v>
      </c>
      <c r="L1114" s="335"/>
      <c r="M1114" s="446"/>
      <c r="N1114" s="446"/>
      <c r="O1114" s="446"/>
      <c r="P1114" s="446"/>
      <c r="Q1114" s="130">
        <v>1</v>
      </c>
      <c r="R1114" s="111">
        <v>71.72</v>
      </c>
      <c r="S1114" s="110"/>
      <c r="T1114" s="110"/>
      <c r="U1114" s="130">
        <v>1</v>
      </c>
      <c r="V1114" s="111">
        <v>71.72</v>
      </c>
      <c r="W1114" s="110"/>
      <c r="X1114" s="110"/>
      <c r="Y1114" s="110"/>
      <c r="Z1114" s="110"/>
      <c r="AA1114" s="130">
        <v>0</v>
      </c>
      <c r="AB1114" s="111">
        <v>0</v>
      </c>
      <c r="AC1114" s="110"/>
      <c r="AD1114" s="110"/>
      <c r="AE1114" s="130">
        <v>0</v>
      </c>
      <c r="AF1114" s="111">
        <v>0</v>
      </c>
      <c r="AG1114" s="110"/>
      <c r="AH1114" s="110"/>
      <c r="AI1114" s="110"/>
      <c r="AJ1114" s="110"/>
      <c r="AK1114" s="111">
        <f t="shared" si="236"/>
        <v>143.44</v>
      </c>
      <c r="AL1114" s="446">
        <f t="shared" si="237"/>
        <v>0</v>
      </c>
      <c r="AM1114" s="110">
        <f>+Q1114+U1114+AA1114+AE1114</f>
        <v>2</v>
      </c>
      <c r="AN1114" s="447">
        <f t="shared" si="241"/>
        <v>0</v>
      </c>
      <c r="AO1114"/>
      <c r="AP1114"/>
    </row>
    <row r="1115" spans="1:42" ht="66" x14ac:dyDescent="0.25">
      <c r="A1115" s="143"/>
      <c r="B1115" s="34" t="s">
        <v>3423</v>
      </c>
      <c r="C1115" s="26"/>
      <c r="D1115" s="883">
        <v>9</v>
      </c>
      <c r="E1115" s="1024" t="s">
        <v>1722</v>
      </c>
      <c r="F1115" s="273" t="s">
        <v>3446</v>
      </c>
      <c r="G1115" s="1040" t="s">
        <v>3463</v>
      </c>
      <c r="H1115" s="273" t="s">
        <v>3462</v>
      </c>
      <c r="I1115" s="21">
        <v>1300</v>
      </c>
      <c r="J1115" s="765">
        <v>11700</v>
      </c>
      <c r="K1115" s="131">
        <f t="shared" si="240"/>
        <v>11700</v>
      </c>
      <c r="L1115" s="335"/>
      <c r="M1115" s="446"/>
      <c r="N1115" s="446"/>
      <c r="O1115" s="446"/>
      <c r="P1115" s="446"/>
      <c r="Q1115" s="110">
        <v>3</v>
      </c>
      <c r="R1115" s="111">
        <f t="shared" si="228"/>
        <v>2925</v>
      </c>
      <c r="S1115" s="110"/>
      <c r="T1115" s="110"/>
      <c r="U1115" s="110">
        <v>2</v>
      </c>
      <c r="V1115" s="111">
        <f t="shared" si="229"/>
        <v>2925</v>
      </c>
      <c r="W1115" s="110"/>
      <c r="X1115" s="110"/>
      <c r="Y1115" s="110"/>
      <c r="Z1115" s="110"/>
      <c r="AA1115" s="110">
        <v>2</v>
      </c>
      <c r="AB1115" s="111">
        <f t="shared" si="231"/>
        <v>2925</v>
      </c>
      <c r="AC1115" s="110"/>
      <c r="AD1115" s="110"/>
      <c r="AE1115" s="110">
        <v>2</v>
      </c>
      <c r="AF1115" s="111">
        <f t="shared" si="232"/>
        <v>2925</v>
      </c>
      <c r="AG1115" s="110"/>
      <c r="AH1115" s="110"/>
      <c r="AI1115" s="110"/>
      <c r="AJ1115" s="110"/>
      <c r="AK1115" s="111">
        <f t="shared" si="236"/>
        <v>11700</v>
      </c>
      <c r="AL1115" s="446">
        <f t="shared" si="237"/>
        <v>0</v>
      </c>
      <c r="AM1115" s="110">
        <f t="shared" ref="AM1115:AM1126" si="242">+Q1115+U1115+AA1115+AE1115</f>
        <v>9</v>
      </c>
      <c r="AN1115" s="447">
        <f t="shared" si="241"/>
        <v>0</v>
      </c>
      <c r="AO1115"/>
      <c r="AP1115"/>
    </row>
    <row r="1116" spans="1:42" ht="66" x14ac:dyDescent="0.25">
      <c r="A1116" s="143"/>
      <c r="B1116" s="34" t="s">
        <v>3424</v>
      </c>
      <c r="C1116" s="26"/>
      <c r="D1116" s="883">
        <v>2</v>
      </c>
      <c r="E1116" s="1024" t="s">
        <v>1722</v>
      </c>
      <c r="F1116" s="273" t="s">
        <v>3446</v>
      </c>
      <c r="G1116" s="1040" t="s">
        <v>3463</v>
      </c>
      <c r="H1116" s="273" t="s">
        <v>3462</v>
      </c>
      <c r="I1116" s="21">
        <v>1300</v>
      </c>
      <c r="J1116" s="765">
        <v>2600</v>
      </c>
      <c r="K1116" s="131">
        <f t="shared" si="240"/>
        <v>2600</v>
      </c>
      <c r="L1116" s="335"/>
      <c r="M1116" s="446"/>
      <c r="N1116" s="446"/>
      <c r="O1116" s="446"/>
      <c r="P1116" s="446"/>
      <c r="Q1116" s="130">
        <v>1</v>
      </c>
      <c r="R1116" s="111">
        <v>1300</v>
      </c>
      <c r="S1116" s="110"/>
      <c r="T1116" s="110"/>
      <c r="U1116" s="130">
        <v>1</v>
      </c>
      <c r="V1116" s="111">
        <v>1300</v>
      </c>
      <c r="W1116" s="110"/>
      <c r="X1116" s="110"/>
      <c r="Y1116" s="110"/>
      <c r="Z1116" s="110"/>
      <c r="AA1116" s="130">
        <v>0</v>
      </c>
      <c r="AB1116" s="111">
        <v>0</v>
      </c>
      <c r="AC1116" s="110"/>
      <c r="AD1116" s="110"/>
      <c r="AE1116" s="130">
        <v>0</v>
      </c>
      <c r="AF1116" s="111">
        <v>0</v>
      </c>
      <c r="AG1116" s="110"/>
      <c r="AH1116" s="110"/>
      <c r="AI1116" s="110"/>
      <c r="AJ1116" s="110"/>
      <c r="AK1116" s="111">
        <f t="shared" si="236"/>
        <v>2600</v>
      </c>
      <c r="AL1116" s="446">
        <f t="shared" si="237"/>
        <v>0</v>
      </c>
      <c r="AM1116" s="110">
        <f t="shared" si="242"/>
        <v>2</v>
      </c>
      <c r="AN1116" s="447">
        <f t="shared" si="241"/>
        <v>0</v>
      </c>
      <c r="AO1116"/>
      <c r="AP1116"/>
    </row>
    <row r="1117" spans="1:42" ht="66" x14ac:dyDescent="0.25">
      <c r="A1117" s="143"/>
      <c r="B1117" s="34" t="s">
        <v>3425</v>
      </c>
      <c r="C1117" s="26"/>
      <c r="D1117" s="883">
        <v>3</v>
      </c>
      <c r="E1117" s="247" t="s">
        <v>1725</v>
      </c>
      <c r="F1117" s="273" t="s">
        <v>3446</v>
      </c>
      <c r="G1117" s="1040" t="s">
        <v>3463</v>
      </c>
      <c r="H1117" s="273" t="s">
        <v>3462</v>
      </c>
      <c r="I1117" s="21">
        <v>165</v>
      </c>
      <c r="J1117" s="765">
        <v>495</v>
      </c>
      <c r="K1117" s="131">
        <f t="shared" si="240"/>
        <v>495</v>
      </c>
      <c r="L1117" s="335"/>
      <c r="M1117" s="446"/>
      <c r="N1117" s="446"/>
      <c r="O1117" s="446"/>
      <c r="P1117" s="446"/>
      <c r="Q1117" s="130">
        <v>1</v>
      </c>
      <c r="R1117" s="111">
        <v>165</v>
      </c>
      <c r="S1117" s="110"/>
      <c r="T1117" s="110"/>
      <c r="U1117" s="130">
        <v>1</v>
      </c>
      <c r="V1117" s="111">
        <v>165</v>
      </c>
      <c r="W1117" s="110"/>
      <c r="X1117" s="110"/>
      <c r="Y1117" s="110"/>
      <c r="Z1117" s="110"/>
      <c r="AA1117" s="130">
        <v>1</v>
      </c>
      <c r="AB1117" s="111">
        <v>165</v>
      </c>
      <c r="AC1117" s="110"/>
      <c r="AD1117" s="110"/>
      <c r="AE1117" s="130">
        <v>0</v>
      </c>
      <c r="AF1117" s="111">
        <v>0</v>
      </c>
      <c r="AG1117" s="110"/>
      <c r="AH1117" s="110"/>
      <c r="AI1117" s="110"/>
      <c r="AJ1117" s="110"/>
      <c r="AK1117" s="111">
        <f t="shared" si="236"/>
        <v>495</v>
      </c>
      <c r="AL1117" s="446">
        <f t="shared" si="237"/>
        <v>0</v>
      </c>
      <c r="AM1117" s="110">
        <f t="shared" si="242"/>
        <v>3</v>
      </c>
      <c r="AN1117" s="447">
        <f t="shared" si="241"/>
        <v>0</v>
      </c>
      <c r="AO1117"/>
      <c r="AP1117"/>
    </row>
    <row r="1118" spans="1:42" ht="66" x14ac:dyDescent="0.25">
      <c r="A1118" s="143"/>
      <c r="B1118" s="34" t="s">
        <v>3426</v>
      </c>
      <c r="C1118" s="26"/>
      <c r="D1118" s="883">
        <v>2</v>
      </c>
      <c r="E1118" s="247" t="s">
        <v>1725</v>
      </c>
      <c r="F1118" s="273" t="s">
        <v>3446</v>
      </c>
      <c r="G1118" s="1040" t="s">
        <v>3463</v>
      </c>
      <c r="H1118" s="273" t="s">
        <v>3462</v>
      </c>
      <c r="I1118" s="21">
        <v>195</v>
      </c>
      <c r="J1118" s="765">
        <v>390</v>
      </c>
      <c r="K1118" s="131">
        <f t="shared" si="240"/>
        <v>390</v>
      </c>
      <c r="L1118" s="335"/>
      <c r="M1118" s="446"/>
      <c r="N1118" s="446"/>
      <c r="O1118" s="446"/>
      <c r="P1118" s="446"/>
      <c r="Q1118" s="130">
        <v>1</v>
      </c>
      <c r="R1118" s="111">
        <v>195</v>
      </c>
      <c r="S1118" s="110"/>
      <c r="T1118" s="110"/>
      <c r="U1118" s="130">
        <v>1</v>
      </c>
      <c r="V1118" s="111">
        <v>195</v>
      </c>
      <c r="W1118" s="110"/>
      <c r="X1118" s="110"/>
      <c r="Y1118" s="110"/>
      <c r="Z1118" s="110"/>
      <c r="AA1118" s="130">
        <v>0</v>
      </c>
      <c r="AB1118" s="111">
        <v>0</v>
      </c>
      <c r="AC1118" s="110"/>
      <c r="AD1118" s="110"/>
      <c r="AE1118" s="130">
        <v>0</v>
      </c>
      <c r="AF1118" s="111">
        <v>0</v>
      </c>
      <c r="AG1118" s="110"/>
      <c r="AH1118" s="110"/>
      <c r="AI1118" s="110"/>
      <c r="AJ1118" s="110"/>
      <c r="AK1118" s="111">
        <f t="shared" si="236"/>
        <v>390</v>
      </c>
      <c r="AL1118" s="446">
        <f t="shared" si="237"/>
        <v>0</v>
      </c>
      <c r="AM1118" s="110">
        <f t="shared" si="242"/>
        <v>2</v>
      </c>
      <c r="AN1118" s="447">
        <f t="shared" si="241"/>
        <v>0</v>
      </c>
      <c r="AO1118"/>
      <c r="AP1118"/>
    </row>
    <row r="1119" spans="1:42" ht="66" x14ac:dyDescent="0.25">
      <c r="A1119" s="143"/>
      <c r="B1119" s="34" t="s">
        <v>3427</v>
      </c>
      <c r="C1119" s="26"/>
      <c r="D1119" s="883">
        <v>2</v>
      </c>
      <c r="E1119" s="1024" t="s">
        <v>1725</v>
      </c>
      <c r="F1119" s="273" t="s">
        <v>3446</v>
      </c>
      <c r="G1119" s="1040" t="s">
        <v>3463</v>
      </c>
      <c r="H1119" s="273" t="s">
        <v>3462</v>
      </c>
      <c r="I1119" s="21">
        <v>170</v>
      </c>
      <c r="J1119" s="765">
        <v>340</v>
      </c>
      <c r="K1119" s="131">
        <f t="shared" si="240"/>
        <v>340</v>
      </c>
      <c r="L1119" s="335"/>
      <c r="M1119" s="446"/>
      <c r="N1119" s="446"/>
      <c r="O1119" s="446"/>
      <c r="P1119" s="446"/>
      <c r="Q1119" s="130">
        <v>1</v>
      </c>
      <c r="R1119" s="111">
        <v>170</v>
      </c>
      <c r="S1119" s="110"/>
      <c r="T1119" s="110"/>
      <c r="U1119" s="130">
        <v>1</v>
      </c>
      <c r="V1119" s="111">
        <v>170</v>
      </c>
      <c r="W1119" s="110"/>
      <c r="X1119" s="110"/>
      <c r="Y1119" s="110"/>
      <c r="Z1119" s="110"/>
      <c r="AA1119" s="130">
        <v>0</v>
      </c>
      <c r="AB1119" s="111">
        <v>0</v>
      </c>
      <c r="AC1119" s="110"/>
      <c r="AD1119" s="110"/>
      <c r="AE1119" s="130">
        <v>0</v>
      </c>
      <c r="AF1119" s="111">
        <v>0</v>
      </c>
      <c r="AG1119" s="110"/>
      <c r="AH1119" s="110"/>
      <c r="AI1119" s="110"/>
      <c r="AJ1119" s="110"/>
      <c r="AK1119" s="111">
        <f t="shared" si="236"/>
        <v>340</v>
      </c>
      <c r="AL1119" s="446">
        <f t="shared" si="237"/>
        <v>0</v>
      </c>
      <c r="AM1119" s="110">
        <f t="shared" si="242"/>
        <v>2</v>
      </c>
      <c r="AN1119" s="447">
        <f t="shared" si="241"/>
        <v>0</v>
      </c>
      <c r="AO1119"/>
      <c r="AP1119"/>
    </row>
    <row r="1120" spans="1:42" ht="66" x14ac:dyDescent="0.25">
      <c r="A1120" s="143"/>
      <c r="B1120" s="34" t="s">
        <v>3428</v>
      </c>
      <c r="C1120" s="26"/>
      <c r="D1120" s="883">
        <v>10</v>
      </c>
      <c r="E1120" s="1024" t="s">
        <v>1721</v>
      </c>
      <c r="F1120" s="273" t="s">
        <v>3446</v>
      </c>
      <c r="G1120" s="1040" t="s">
        <v>3463</v>
      </c>
      <c r="H1120" s="273" t="s">
        <v>3462</v>
      </c>
      <c r="I1120" s="21">
        <v>32</v>
      </c>
      <c r="J1120" s="765">
        <v>320</v>
      </c>
      <c r="K1120" s="131">
        <f t="shared" si="240"/>
        <v>320</v>
      </c>
      <c r="L1120" s="335"/>
      <c r="M1120" s="446"/>
      <c r="N1120" s="446"/>
      <c r="O1120" s="446"/>
      <c r="P1120" s="446"/>
      <c r="Q1120" s="130">
        <v>3</v>
      </c>
      <c r="R1120" s="111">
        <f t="shared" si="228"/>
        <v>80</v>
      </c>
      <c r="S1120" s="110"/>
      <c r="T1120" s="110"/>
      <c r="U1120" s="130">
        <v>3</v>
      </c>
      <c r="V1120" s="111">
        <f t="shared" si="229"/>
        <v>80</v>
      </c>
      <c r="W1120" s="110"/>
      <c r="X1120" s="110"/>
      <c r="Y1120" s="110"/>
      <c r="Z1120" s="110"/>
      <c r="AA1120" s="130">
        <v>2</v>
      </c>
      <c r="AB1120" s="111">
        <f t="shared" si="231"/>
        <v>80</v>
      </c>
      <c r="AC1120" s="110"/>
      <c r="AD1120" s="110"/>
      <c r="AE1120" s="130">
        <v>2</v>
      </c>
      <c r="AF1120" s="111">
        <f t="shared" si="232"/>
        <v>80</v>
      </c>
      <c r="AG1120" s="110"/>
      <c r="AH1120" s="110"/>
      <c r="AI1120" s="110"/>
      <c r="AJ1120" s="110"/>
      <c r="AK1120" s="111">
        <f t="shared" si="236"/>
        <v>320</v>
      </c>
      <c r="AL1120" s="446">
        <f t="shared" si="237"/>
        <v>0</v>
      </c>
      <c r="AM1120" s="110">
        <f t="shared" si="242"/>
        <v>10</v>
      </c>
      <c r="AN1120" s="447">
        <f t="shared" si="241"/>
        <v>0</v>
      </c>
      <c r="AO1120"/>
      <c r="AP1120"/>
    </row>
    <row r="1121" spans="1:42" ht="66" x14ac:dyDescent="0.25">
      <c r="A1121" s="143"/>
      <c r="B1121" s="34" t="s">
        <v>3429</v>
      </c>
      <c r="C1121" s="26"/>
      <c r="D1121" s="883">
        <v>4</v>
      </c>
      <c r="E1121" s="1024" t="s">
        <v>1749</v>
      </c>
      <c r="F1121" s="273" t="s">
        <v>3446</v>
      </c>
      <c r="G1121" s="1040" t="s">
        <v>3463</v>
      </c>
      <c r="H1121" s="273" t="s">
        <v>3462</v>
      </c>
      <c r="I1121" s="21">
        <v>66.099999999999994</v>
      </c>
      <c r="J1121" s="765">
        <v>264.39999999999998</v>
      </c>
      <c r="K1121" s="131">
        <f t="shared" si="240"/>
        <v>264.39999999999998</v>
      </c>
      <c r="L1121" s="335"/>
      <c r="M1121" s="446"/>
      <c r="N1121" s="446"/>
      <c r="O1121" s="446"/>
      <c r="P1121" s="446"/>
      <c r="Q1121" s="110">
        <f t="shared" si="233"/>
        <v>1</v>
      </c>
      <c r="R1121" s="111">
        <f t="shared" si="228"/>
        <v>66.099999999999994</v>
      </c>
      <c r="S1121" s="110"/>
      <c r="T1121" s="110"/>
      <c r="U1121" s="110">
        <f t="shared" ref="U1121:U1126" si="243">+$D1121/4</f>
        <v>1</v>
      </c>
      <c r="V1121" s="111">
        <f t="shared" si="229"/>
        <v>66.099999999999994</v>
      </c>
      <c r="W1121" s="110"/>
      <c r="X1121" s="110"/>
      <c r="Y1121" s="110"/>
      <c r="Z1121" s="110"/>
      <c r="AA1121" s="110">
        <f t="shared" si="235"/>
        <v>1</v>
      </c>
      <c r="AB1121" s="111">
        <f t="shared" si="231"/>
        <v>66.099999999999994</v>
      </c>
      <c r="AC1121" s="110"/>
      <c r="AD1121" s="110"/>
      <c r="AE1121" s="110">
        <f t="shared" si="235"/>
        <v>1</v>
      </c>
      <c r="AF1121" s="111">
        <f t="shared" si="232"/>
        <v>66.099999999999994</v>
      </c>
      <c r="AG1121" s="110"/>
      <c r="AH1121" s="110"/>
      <c r="AI1121" s="110"/>
      <c r="AJ1121" s="110"/>
      <c r="AK1121" s="111">
        <f t="shared" si="236"/>
        <v>264.39999999999998</v>
      </c>
      <c r="AL1121" s="446">
        <f t="shared" si="237"/>
        <v>0</v>
      </c>
      <c r="AM1121" s="110">
        <f t="shared" si="242"/>
        <v>4</v>
      </c>
      <c r="AN1121" s="447">
        <f t="shared" si="241"/>
        <v>0</v>
      </c>
      <c r="AO1121"/>
      <c r="AP1121"/>
    </row>
    <row r="1122" spans="1:42" ht="66" x14ac:dyDescent="0.25">
      <c r="A1122" s="143"/>
      <c r="B1122" s="34" t="s">
        <v>3430</v>
      </c>
      <c r="C1122" s="26"/>
      <c r="D1122" s="883">
        <v>2</v>
      </c>
      <c r="E1122" s="1024" t="s">
        <v>1749</v>
      </c>
      <c r="F1122" s="273" t="s">
        <v>3446</v>
      </c>
      <c r="G1122" s="1040" t="s">
        <v>3463</v>
      </c>
      <c r="H1122" s="273" t="s">
        <v>3462</v>
      </c>
      <c r="I1122" s="21">
        <v>70</v>
      </c>
      <c r="J1122" s="765">
        <v>140</v>
      </c>
      <c r="K1122" s="131">
        <f t="shared" si="240"/>
        <v>140</v>
      </c>
      <c r="L1122" s="335"/>
      <c r="M1122" s="446"/>
      <c r="N1122" s="446"/>
      <c r="O1122" s="446"/>
      <c r="P1122" s="446"/>
      <c r="Q1122" s="130">
        <v>1</v>
      </c>
      <c r="R1122" s="111">
        <f t="shared" si="228"/>
        <v>35</v>
      </c>
      <c r="S1122" s="110"/>
      <c r="T1122" s="110"/>
      <c r="U1122" s="130">
        <v>1</v>
      </c>
      <c r="V1122" s="111">
        <f t="shared" si="229"/>
        <v>35</v>
      </c>
      <c r="W1122" s="110"/>
      <c r="X1122" s="110"/>
      <c r="Y1122" s="110"/>
      <c r="Z1122" s="110"/>
      <c r="AA1122" s="130">
        <v>0</v>
      </c>
      <c r="AB1122" s="111">
        <f t="shared" si="231"/>
        <v>35</v>
      </c>
      <c r="AC1122" s="110"/>
      <c r="AD1122" s="110"/>
      <c r="AE1122" s="130">
        <v>0</v>
      </c>
      <c r="AF1122" s="111">
        <f t="shared" si="232"/>
        <v>35</v>
      </c>
      <c r="AG1122" s="110"/>
      <c r="AH1122" s="110"/>
      <c r="AI1122" s="110"/>
      <c r="AJ1122" s="110"/>
      <c r="AK1122" s="111">
        <f t="shared" si="236"/>
        <v>140</v>
      </c>
      <c r="AL1122" s="446">
        <f t="shared" si="237"/>
        <v>0</v>
      </c>
      <c r="AM1122" s="110">
        <f t="shared" si="242"/>
        <v>2</v>
      </c>
      <c r="AN1122" s="447">
        <f t="shared" si="241"/>
        <v>0</v>
      </c>
      <c r="AO1122"/>
      <c r="AP1122"/>
    </row>
    <row r="1123" spans="1:42" ht="66" x14ac:dyDescent="0.25">
      <c r="A1123" s="143"/>
      <c r="B1123" s="34" t="s">
        <v>103</v>
      </c>
      <c r="C1123" s="26"/>
      <c r="D1123" s="883">
        <v>14</v>
      </c>
      <c r="E1123" s="1024" t="s">
        <v>1749</v>
      </c>
      <c r="F1123" s="273" t="s">
        <v>3446</v>
      </c>
      <c r="G1123" s="1040" t="s">
        <v>3463</v>
      </c>
      <c r="H1123" s="273" t="s">
        <v>3462</v>
      </c>
      <c r="I1123" s="27">
        <v>70.09</v>
      </c>
      <c r="J1123" s="765">
        <v>981.26</v>
      </c>
      <c r="K1123" s="131">
        <f t="shared" si="240"/>
        <v>981.26</v>
      </c>
      <c r="L1123" s="335"/>
      <c r="M1123" s="446"/>
      <c r="N1123" s="446"/>
      <c r="O1123" s="446"/>
      <c r="P1123" s="446"/>
      <c r="Q1123" s="110">
        <f t="shared" si="233"/>
        <v>3.5</v>
      </c>
      <c r="R1123" s="111">
        <f t="shared" si="228"/>
        <v>245.315</v>
      </c>
      <c r="S1123" s="110"/>
      <c r="T1123" s="110"/>
      <c r="U1123" s="110">
        <f t="shared" si="243"/>
        <v>3.5</v>
      </c>
      <c r="V1123" s="111">
        <f t="shared" si="229"/>
        <v>245.315</v>
      </c>
      <c r="W1123" s="110"/>
      <c r="X1123" s="110"/>
      <c r="Y1123" s="110"/>
      <c r="Z1123" s="110"/>
      <c r="AA1123" s="110">
        <f t="shared" si="235"/>
        <v>3.5</v>
      </c>
      <c r="AB1123" s="111">
        <f t="shared" si="231"/>
        <v>245.315</v>
      </c>
      <c r="AC1123" s="110"/>
      <c r="AD1123" s="110"/>
      <c r="AE1123" s="110">
        <f t="shared" si="235"/>
        <v>3.5</v>
      </c>
      <c r="AF1123" s="111">
        <f t="shared" si="232"/>
        <v>245.315</v>
      </c>
      <c r="AG1123" s="110"/>
      <c r="AH1123" s="110"/>
      <c r="AI1123" s="110"/>
      <c r="AJ1123" s="110"/>
      <c r="AK1123" s="111">
        <f t="shared" si="236"/>
        <v>981.26</v>
      </c>
      <c r="AL1123" s="446">
        <f t="shared" si="237"/>
        <v>0</v>
      </c>
      <c r="AM1123" s="110">
        <f t="shared" si="242"/>
        <v>14</v>
      </c>
      <c r="AN1123" s="447">
        <f t="shared" si="241"/>
        <v>0</v>
      </c>
      <c r="AO1123"/>
      <c r="AP1123"/>
    </row>
    <row r="1124" spans="1:42" ht="66" x14ac:dyDescent="0.25">
      <c r="A1124" s="143"/>
      <c r="B1124" s="34" t="s">
        <v>3431</v>
      </c>
      <c r="C1124" s="26"/>
      <c r="D1124" s="883">
        <v>9</v>
      </c>
      <c r="E1124" s="1024" t="s">
        <v>1873</v>
      </c>
      <c r="F1124" s="273" t="s">
        <v>3446</v>
      </c>
      <c r="G1124" s="1040" t="s">
        <v>3463</v>
      </c>
      <c r="H1124" s="273" t="s">
        <v>3462</v>
      </c>
      <c r="I1124" s="27">
        <v>14</v>
      </c>
      <c r="J1124" s="765">
        <v>126</v>
      </c>
      <c r="K1124" s="131">
        <f t="shared" si="240"/>
        <v>126</v>
      </c>
      <c r="L1124" s="335"/>
      <c r="M1124" s="446"/>
      <c r="N1124" s="446"/>
      <c r="O1124" s="446"/>
      <c r="P1124" s="446"/>
      <c r="Q1124" s="110">
        <v>3</v>
      </c>
      <c r="R1124" s="111">
        <f t="shared" si="228"/>
        <v>31.5</v>
      </c>
      <c r="S1124" s="110"/>
      <c r="T1124" s="110"/>
      <c r="U1124" s="110">
        <v>2</v>
      </c>
      <c r="V1124" s="111">
        <f t="shared" si="229"/>
        <v>31.5</v>
      </c>
      <c r="W1124" s="110"/>
      <c r="X1124" s="110"/>
      <c r="Y1124" s="110"/>
      <c r="Z1124" s="110"/>
      <c r="AA1124" s="110">
        <v>2</v>
      </c>
      <c r="AB1124" s="111">
        <f t="shared" si="231"/>
        <v>31.5</v>
      </c>
      <c r="AC1124" s="110"/>
      <c r="AD1124" s="110"/>
      <c r="AE1124" s="110">
        <v>2</v>
      </c>
      <c r="AF1124" s="111">
        <f t="shared" si="232"/>
        <v>31.5</v>
      </c>
      <c r="AG1124" s="110"/>
      <c r="AH1124" s="110"/>
      <c r="AI1124" s="110"/>
      <c r="AJ1124" s="110"/>
      <c r="AK1124" s="111">
        <f t="shared" si="236"/>
        <v>126</v>
      </c>
      <c r="AL1124" s="446">
        <f t="shared" si="237"/>
        <v>0</v>
      </c>
      <c r="AM1124" s="110">
        <f t="shared" si="242"/>
        <v>9</v>
      </c>
      <c r="AN1124" s="447">
        <f t="shared" si="241"/>
        <v>0</v>
      </c>
      <c r="AO1124"/>
      <c r="AP1124"/>
    </row>
    <row r="1125" spans="1:42" ht="66" x14ac:dyDescent="0.25">
      <c r="A1125" s="143"/>
      <c r="B1125" s="34" t="s">
        <v>3432</v>
      </c>
      <c r="C1125" s="26"/>
      <c r="D1125" s="883">
        <v>9</v>
      </c>
      <c r="E1125" s="1024" t="s">
        <v>1873</v>
      </c>
      <c r="F1125" s="273" t="s">
        <v>3446</v>
      </c>
      <c r="G1125" s="1040" t="s">
        <v>3463</v>
      </c>
      <c r="H1125" s="273" t="s">
        <v>3462</v>
      </c>
      <c r="I1125" s="27">
        <v>14</v>
      </c>
      <c r="J1125" s="765">
        <v>126</v>
      </c>
      <c r="K1125" s="131">
        <f t="shared" si="240"/>
        <v>126</v>
      </c>
      <c r="L1125" s="335"/>
      <c r="M1125" s="446"/>
      <c r="N1125" s="446"/>
      <c r="O1125" s="446"/>
      <c r="P1125" s="446"/>
      <c r="Q1125" s="110">
        <v>3</v>
      </c>
      <c r="R1125" s="111">
        <f t="shared" si="228"/>
        <v>31.5</v>
      </c>
      <c r="S1125" s="110"/>
      <c r="T1125" s="110"/>
      <c r="U1125" s="110">
        <v>2</v>
      </c>
      <c r="V1125" s="111">
        <f t="shared" si="229"/>
        <v>31.5</v>
      </c>
      <c r="W1125" s="110"/>
      <c r="X1125" s="110"/>
      <c r="Y1125" s="110"/>
      <c r="Z1125" s="110"/>
      <c r="AA1125" s="110">
        <v>2</v>
      </c>
      <c r="AB1125" s="111">
        <f t="shared" si="231"/>
        <v>31.5</v>
      </c>
      <c r="AC1125" s="110"/>
      <c r="AD1125" s="110"/>
      <c r="AE1125" s="110">
        <v>2</v>
      </c>
      <c r="AF1125" s="111">
        <f t="shared" si="232"/>
        <v>31.5</v>
      </c>
      <c r="AG1125" s="110"/>
      <c r="AH1125" s="110"/>
      <c r="AI1125" s="110"/>
      <c r="AJ1125" s="110"/>
      <c r="AK1125" s="111">
        <f t="shared" si="236"/>
        <v>126</v>
      </c>
      <c r="AL1125" s="446">
        <f t="shared" si="237"/>
        <v>0</v>
      </c>
      <c r="AM1125" s="110">
        <f t="shared" si="242"/>
        <v>9</v>
      </c>
      <c r="AN1125" s="447">
        <f t="shared" si="241"/>
        <v>0</v>
      </c>
      <c r="AO1125"/>
      <c r="AP1125"/>
    </row>
    <row r="1126" spans="1:42" s="108" customFormat="1" x14ac:dyDescent="0.25">
      <c r="A1126" s="315">
        <v>21107</v>
      </c>
      <c r="B1126" s="500" t="s">
        <v>137</v>
      </c>
      <c r="C1126" s="320"/>
      <c r="D1126" s="889"/>
      <c r="E1126" s="321"/>
      <c r="F1126" s="322"/>
      <c r="G1126" s="322"/>
      <c r="H1126" s="322"/>
      <c r="I1126" s="724"/>
      <c r="J1126" s="766"/>
      <c r="K1126" s="131">
        <f t="shared" si="240"/>
        <v>0</v>
      </c>
      <c r="L1126" s="335">
        <f t="shared" si="230"/>
        <v>0</v>
      </c>
      <c r="M1126" s="449"/>
      <c r="N1126" s="449"/>
      <c r="O1126" s="449"/>
      <c r="P1126" s="449"/>
      <c r="Q1126" s="448">
        <f t="shared" si="233"/>
        <v>0</v>
      </c>
      <c r="R1126" s="317">
        <f t="shared" si="228"/>
        <v>0</v>
      </c>
      <c r="S1126" s="448"/>
      <c r="T1126" s="448"/>
      <c r="U1126" s="448">
        <f t="shared" si="243"/>
        <v>0</v>
      </c>
      <c r="V1126" s="317">
        <f t="shared" si="229"/>
        <v>0</v>
      </c>
      <c r="W1126" s="448"/>
      <c r="X1126" s="448"/>
      <c r="Y1126" s="448"/>
      <c r="Z1126" s="448"/>
      <c r="AA1126" s="448">
        <f t="shared" si="235"/>
        <v>0</v>
      </c>
      <c r="AB1126" s="317">
        <f t="shared" si="231"/>
        <v>0</v>
      </c>
      <c r="AC1126" s="448"/>
      <c r="AD1126" s="448"/>
      <c r="AE1126" s="448">
        <f t="shared" si="235"/>
        <v>0</v>
      </c>
      <c r="AF1126" s="317">
        <f t="shared" si="232"/>
        <v>0</v>
      </c>
      <c r="AG1126" s="448"/>
      <c r="AH1126" s="448"/>
      <c r="AI1126" s="448"/>
      <c r="AJ1126" s="448"/>
      <c r="AK1126" s="317">
        <f t="shared" si="236"/>
        <v>0</v>
      </c>
      <c r="AL1126" s="449">
        <f t="shared" si="237"/>
        <v>0</v>
      </c>
      <c r="AM1126" s="448">
        <f t="shared" si="242"/>
        <v>0</v>
      </c>
      <c r="AN1126" s="450">
        <f t="shared" si="241"/>
        <v>0</v>
      </c>
    </row>
    <row r="1127" spans="1:42" x14ac:dyDescent="0.25">
      <c r="A1127" s="11"/>
      <c r="B1127" s="37"/>
      <c r="C1127" s="31"/>
      <c r="D1127" s="873"/>
      <c r="E1127" s="1023"/>
      <c r="F1127" s="275"/>
      <c r="G1127" s="275"/>
      <c r="H1127" s="275"/>
      <c r="I1127" s="722"/>
      <c r="J1127" s="767"/>
      <c r="K1127" s="131">
        <f t="shared" si="240"/>
        <v>0</v>
      </c>
      <c r="L1127" s="335">
        <f>+J1127-K1127</f>
        <v>0</v>
      </c>
      <c r="M1127" s="446"/>
      <c r="N1127" s="446"/>
      <c r="O1127" s="446"/>
      <c r="P1127" s="446"/>
      <c r="Q1127" s="110">
        <f>+$D1127/4</f>
        <v>0</v>
      </c>
      <c r="R1127" s="111">
        <f>+J1127/4</f>
        <v>0</v>
      </c>
      <c r="S1127" s="110"/>
      <c r="T1127" s="110"/>
      <c r="U1127" s="110">
        <f>+$D1127/4</f>
        <v>0</v>
      </c>
      <c r="V1127" s="111">
        <f>+J1127/4</f>
        <v>0</v>
      </c>
      <c r="W1127" s="110"/>
      <c r="X1127" s="110"/>
      <c r="Y1127" s="110"/>
      <c r="Z1127" s="110"/>
      <c r="AA1127" s="110">
        <f>+$D1127/4</f>
        <v>0</v>
      </c>
      <c r="AB1127" s="111">
        <f>+J1127/4</f>
        <v>0</v>
      </c>
      <c r="AC1127" s="110"/>
      <c r="AD1127" s="110"/>
      <c r="AE1127" s="110">
        <f>+$D1127/4</f>
        <v>0</v>
      </c>
      <c r="AF1127" s="111">
        <f>+J1127/4</f>
        <v>0</v>
      </c>
      <c r="AG1127" s="110"/>
      <c r="AH1127" s="110"/>
      <c r="AI1127" s="110"/>
      <c r="AJ1127" s="110"/>
      <c r="AK1127" s="111">
        <f t="shared" si="236"/>
        <v>0</v>
      </c>
      <c r="AL1127" s="446">
        <f>+J1127-AK1127</f>
        <v>0</v>
      </c>
      <c r="AM1127" s="110">
        <f t="shared" si="238"/>
        <v>0</v>
      </c>
      <c r="AN1127" s="447">
        <f t="shared" si="241"/>
        <v>0</v>
      </c>
      <c r="AO1127"/>
      <c r="AP1127"/>
    </row>
    <row r="1128" spans="1:42" x14ac:dyDescent="0.25">
      <c r="A1128" s="305">
        <v>212</v>
      </c>
      <c r="B1128" s="510" t="s">
        <v>138</v>
      </c>
      <c r="C1128" s="323"/>
      <c r="D1128" s="890"/>
      <c r="E1128" s="324"/>
      <c r="F1128" s="325"/>
      <c r="G1128" s="325"/>
      <c r="H1128" s="325"/>
      <c r="I1128" s="716"/>
      <c r="J1128" s="768"/>
      <c r="K1128" s="131">
        <f t="shared" si="240"/>
        <v>0</v>
      </c>
      <c r="L1128" s="335">
        <f>+J1128-K1128</f>
        <v>0</v>
      </c>
      <c r="M1128" s="451"/>
      <c r="N1128" s="451"/>
      <c r="O1128" s="451"/>
      <c r="P1128" s="451"/>
      <c r="Q1128" s="386">
        <f>+$D1128/4</f>
        <v>0</v>
      </c>
      <c r="R1128" s="309">
        <f>+J1128/4</f>
        <v>0</v>
      </c>
      <c r="S1128" s="386"/>
      <c r="T1128" s="386"/>
      <c r="U1128" s="386">
        <f>+$D1128/4</f>
        <v>0</v>
      </c>
      <c r="V1128" s="309">
        <f>+J1128/4</f>
        <v>0</v>
      </c>
      <c r="W1128" s="386"/>
      <c r="X1128" s="386"/>
      <c r="Y1128" s="386"/>
      <c r="Z1128" s="386"/>
      <c r="AA1128" s="386">
        <f>+$D1128/4</f>
        <v>0</v>
      </c>
      <c r="AB1128" s="309">
        <f>+J1128/4</f>
        <v>0</v>
      </c>
      <c r="AC1128" s="386"/>
      <c r="AD1128" s="386"/>
      <c r="AE1128" s="386">
        <f>+$D1128/4</f>
        <v>0</v>
      </c>
      <c r="AF1128" s="309">
        <f>+J1128/4</f>
        <v>0</v>
      </c>
      <c r="AG1128" s="386"/>
      <c r="AH1128" s="386"/>
      <c r="AI1128" s="386"/>
      <c r="AJ1128" s="386"/>
      <c r="AK1128" s="309">
        <f t="shared" si="236"/>
        <v>0</v>
      </c>
      <c r="AL1128" s="451">
        <f>+J1128-AK1128</f>
        <v>0</v>
      </c>
      <c r="AM1128" s="386">
        <f t="shared" si="238"/>
        <v>0</v>
      </c>
      <c r="AN1128" s="452">
        <f t="shared" si="241"/>
        <v>0</v>
      </c>
      <c r="AO1128" s="108"/>
      <c r="AP1128"/>
    </row>
    <row r="1129" spans="1:42" x14ac:dyDescent="0.25">
      <c r="A1129" s="315">
        <v>21201</v>
      </c>
      <c r="B1129" s="511" t="s">
        <v>139</v>
      </c>
      <c r="C1129" s="320"/>
      <c r="D1129" s="889"/>
      <c r="E1129" s="321"/>
      <c r="F1129" s="322"/>
      <c r="G1129" s="322"/>
      <c r="H1129" s="322"/>
      <c r="I1129" s="724"/>
      <c r="J1129" s="766"/>
      <c r="K1129" s="131">
        <f t="shared" si="240"/>
        <v>0</v>
      </c>
      <c r="L1129" s="335">
        <f t="shared" si="230"/>
        <v>0</v>
      </c>
      <c r="M1129" s="449"/>
      <c r="N1129" s="449"/>
      <c r="O1129" s="449"/>
      <c r="P1129" s="449"/>
      <c r="Q1129" s="448">
        <f t="shared" si="233"/>
        <v>0</v>
      </c>
      <c r="R1129" s="317">
        <f t="shared" si="228"/>
        <v>0</v>
      </c>
      <c r="S1129" s="448"/>
      <c r="T1129" s="448"/>
      <c r="U1129" s="448">
        <f t="shared" si="234"/>
        <v>0</v>
      </c>
      <c r="V1129" s="317">
        <f t="shared" si="229"/>
        <v>0</v>
      </c>
      <c r="W1129" s="448"/>
      <c r="X1129" s="448"/>
      <c r="Y1129" s="448"/>
      <c r="Z1129" s="448"/>
      <c r="AA1129" s="448">
        <f t="shared" si="235"/>
        <v>0</v>
      </c>
      <c r="AB1129" s="317">
        <f t="shared" si="231"/>
        <v>0</v>
      </c>
      <c r="AC1129" s="448"/>
      <c r="AD1129" s="448"/>
      <c r="AE1129" s="448">
        <f t="shared" si="235"/>
        <v>0</v>
      </c>
      <c r="AF1129" s="317">
        <f t="shared" si="232"/>
        <v>0</v>
      </c>
      <c r="AG1129" s="448"/>
      <c r="AH1129" s="448"/>
      <c r="AI1129" s="448"/>
      <c r="AJ1129" s="448"/>
      <c r="AK1129" s="317">
        <f t="shared" si="236"/>
        <v>0</v>
      </c>
      <c r="AL1129" s="449">
        <f t="shared" si="237"/>
        <v>0</v>
      </c>
      <c r="AM1129" s="448">
        <f t="shared" si="238"/>
        <v>0</v>
      </c>
      <c r="AN1129" s="450">
        <f t="shared" si="241"/>
        <v>0</v>
      </c>
      <c r="AO1129" s="108"/>
      <c r="AP1129"/>
    </row>
    <row r="1130" spans="1:42" x14ac:dyDescent="0.25">
      <c r="A1130" s="11"/>
      <c r="B1130" s="512"/>
      <c r="C1130" s="31"/>
      <c r="D1130" s="873"/>
      <c r="E1130" s="1023"/>
      <c r="F1130" s="275"/>
      <c r="G1130" s="275"/>
      <c r="H1130" s="275"/>
      <c r="I1130" s="720"/>
      <c r="J1130" s="767"/>
      <c r="K1130" s="131">
        <f t="shared" si="240"/>
        <v>0</v>
      </c>
      <c r="L1130" s="335">
        <f t="shared" si="230"/>
        <v>0</v>
      </c>
      <c r="M1130" s="446"/>
      <c r="N1130" s="446"/>
      <c r="O1130" s="446"/>
      <c r="P1130" s="446"/>
      <c r="Q1130" s="110">
        <f t="shared" si="233"/>
        <v>0</v>
      </c>
      <c r="R1130" s="111">
        <f t="shared" si="228"/>
        <v>0</v>
      </c>
      <c r="S1130" s="110"/>
      <c r="T1130" s="110"/>
      <c r="U1130" s="110">
        <f t="shared" si="234"/>
        <v>0</v>
      </c>
      <c r="V1130" s="111">
        <f t="shared" si="229"/>
        <v>0</v>
      </c>
      <c r="W1130" s="110"/>
      <c r="X1130" s="110"/>
      <c r="Y1130" s="110"/>
      <c r="Z1130" s="110"/>
      <c r="AA1130" s="110">
        <f t="shared" si="235"/>
        <v>0</v>
      </c>
      <c r="AB1130" s="111">
        <f t="shared" si="231"/>
        <v>0</v>
      </c>
      <c r="AC1130" s="110"/>
      <c r="AD1130" s="110"/>
      <c r="AE1130" s="110">
        <f t="shared" si="235"/>
        <v>0</v>
      </c>
      <c r="AF1130" s="111">
        <f t="shared" si="232"/>
        <v>0</v>
      </c>
      <c r="AG1130" s="110"/>
      <c r="AH1130" s="110"/>
      <c r="AI1130" s="110"/>
      <c r="AJ1130" s="110"/>
      <c r="AK1130" s="111">
        <f t="shared" si="236"/>
        <v>0</v>
      </c>
      <c r="AL1130" s="446">
        <f t="shared" si="237"/>
        <v>0</v>
      </c>
      <c r="AM1130" s="110">
        <f t="shared" si="238"/>
        <v>0</v>
      </c>
      <c r="AN1130" s="447">
        <f t="shared" si="241"/>
        <v>0</v>
      </c>
      <c r="AO1130"/>
      <c r="AP1130"/>
    </row>
    <row r="1131" spans="1:42" x14ac:dyDescent="0.25">
      <c r="A1131" s="315">
        <v>21202</v>
      </c>
      <c r="B1131" s="511" t="s">
        <v>140</v>
      </c>
      <c r="C1131" s="320"/>
      <c r="D1131" s="889"/>
      <c r="E1131" s="321"/>
      <c r="F1131" s="322"/>
      <c r="G1131" s="322"/>
      <c r="H1131" s="322"/>
      <c r="I1131" s="724"/>
      <c r="J1131" s="766"/>
      <c r="K1131" s="131">
        <f t="shared" si="240"/>
        <v>0</v>
      </c>
      <c r="L1131" s="335">
        <f t="shared" si="230"/>
        <v>0</v>
      </c>
      <c r="M1131" s="449"/>
      <c r="N1131" s="449"/>
      <c r="O1131" s="449"/>
      <c r="P1131" s="449"/>
      <c r="Q1131" s="448">
        <f t="shared" si="233"/>
        <v>0</v>
      </c>
      <c r="R1131" s="317">
        <f t="shared" si="228"/>
        <v>0</v>
      </c>
      <c r="S1131" s="448"/>
      <c r="T1131" s="448"/>
      <c r="U1131" s="448">
        <f t="shared" si="234"/>
        <v>0</v>
      </c>
      <c r="V1131" s="317">
        <f t="shared" si="229"/>
        <v>0</v>
      </c>
      <c r="W1131" s="448"/>
      <c r="X1131" s="448"/>
      <c r="Y1131" s="448"/>
      <c r="Z1131" s="448"/>
      <c r="AA1131" s="448">
        <f t="shared" si="235"/>
        <v>0</v>
      </c>
      <c r="AB1131" s="317">
        <f t="shared" si="231"/>
        <v>0</v>
      </c>
      <c r="AC1131" s="448"/>
      <c r="AD1131" s="448"/>
      <c r="AE1131" s="448">
        <f t="shared" si="235"/>
        <v>0</v>
      </c>
      <c r="AF1131" s="317">
        <f t="shared" si="232"/>
        <v>0</v>
      </c>
      <c r="AG1131" s="448"/>
      <c r="AH1131" s="448"/>
      <c r="AI1131" s="448"/>
      <c r="AJ1131" s="448"/>
      <c r="AK1131" s="317">
        <f t="shared" si="236"/>
        <v>0</v>
      </c>
      <c r="AL1131" s="449">
        <f t="shared" si="237"/>
        <v>0</v>
      </c>
      <c r="AM1131" s="448">
        <f t="shared" si="238"/>
        <v>0</v>
      </c>
      <c r="AN1131" s="450">
        <f t="shared" si="241"/>
        <v>0</v>
      </c>
      <c r="AO1131" s="108"/>
      <c r="AP1131"/>
    </row>
    <row r="1132" spans="1:42" s="108" customFormat="1" x14ac:dyDescent="0.25">
      <c r="A1132" s="9"/>
      <c r="B1132" s="513"/>
      <c r="C1132" s="31"/>
      <c r="D1132" s="873"/>
      <c r="E1132" s="1023"/>
      <c r="F1132" s="275"/>
      <c r="G1132" s="275"/>
      <c r="H1132" s="275"/>
      <c r="I1132" s="722"/>
      <c r="J1132" s="767"/>
      <c r="K1132" s="131">
        <f t="shared" si="240"/>
        <v>0</v>
      </c>
      <c r="L1132" s="335">
        <f t="shared" si="230"/>
        <v>0</v>
      </c>
      <c r="M1132" s="335"/>
      <c r="N1132" s="335"/>
      <c r="O1132" s="335"/>
      <c r="P1132" s="335"/>
      <c r="Q1132" s="130">
        <f t="shared" si="233"/>
        <v>0</v>
      </c>
      <c r="R1132" s="131">
        <f t="shared" si="228"/>
        <v>0</v>
      </c>
      <c r="S1132" s="130"/>
      <c r="T1132" s="130"/>
      <c r="U1132" s="130">
        <f t="shared" si="234"/>
        <v>0</v>
      </c>
      <c r="V1132" s="131">
        <f t="shared" si="229"/>
        <v>0</v>
      </c>
      <c r="W1132" s="130"/>
      <c r="X1132" s="130"/>
      <c r="Y1132" s="130"/>
      <c r="Z1132" s="130"/>
      <c r="AA1132" s="130">
        <f t="shared" si="235"/>
        <v>0</v>
      </c>
      <c r="AB1132" s="131">
        <f t="shared" si="231"/>
        <v>0</v>
      </c>
      <c r="AC1132" s="130"/>
      <c r="AD1132" s="130"/>
      <c r="AE1132" s="130">
        <f t="shared" si="235"/>
        <v>0</v>
      </c>
      <c r="AF1132" s="131">
        <f t="shared" si="232"/>
        <v>0</v>
      </c>
      <c r="AG1132" s="130"/>
      <c r="AH1132" s="130"/>
      <c r="AI1132" s="130"/>
      <c r="AJ1132" s="130"/>
      <c r="AK1132" s="131">
        <f t="shared" si="236"/>
        <v>0</v>
      </c>
      <c r="AL1132" s="335">
        <f t="shared" si="237"/>
        <v>0</v>
      </c>
      <c r="AM1132" s="130">
        <f t="shared" si="238"/>
        <v>0</v>
      </c>
      <c r="AN1132" s="336">
        <f t="shared" si="241"/>
        <v>0</v>
      </c>
    </row>
    <row r="1133" spans="1:42" ht="22.5" x14ac:dyDescent="0.25">
      <c r="A1133" s="315">
        <v>21203</v>
      </c>
      <c r="B1133" s="511" t="s">
        <v>141</v>
      </c>
      <c r="C1133" s="320"/>
      <c r="D1133" s="889"/>
      <c r="E1133" s="321"/>
      <c r="F1133" s="322"/>
      <c r="G1133" s="322"/>
      <c r="H1133" s="322"/>
      <c r="I1133" s="724"/>
      <c r="J1133" s="766"/>
      <c r="K1133" s="131">
        <f t="shared" si="240"/>
        <v>0</v>
      </c>
      <c r="L1133" s="335">
        <f t="shared" si="230"/>
        <v>0</v>
      </c>
      <c r="M1133" s="449"/>
      <c r="N1133" s="449"/>
      <c r="O1133" s="449"/>
      <c r="P1133" s="449"/>
      <c r="Q1133" s="448">
        <f t="shared" si="233"/>
        <v>0</v>
      </c>
      <c r="R1133" s="317">
        <f t="shared" si="228"/>
        <v>0</v>
      </c>
      <c r="S1133" s="448"/>
      <c r="T1133" s="448"/>
      <c r="U1133" s="448">
        <f t="shared" si="234"/>
        <v>0</v>
      </c>
      <c r="V1133" s="317">
        <f t="shared" si="229"/>
        <v>0</v>
      </c>
      <c r="W1133" s="448"/>
      <c r="X1133" s="448"/>
      <c r="Y1133" s="448"/>
      <c r="Z1133" s="448"/>
      <c r="AA1133" s="448">
        <f t="shared" si="235"/>
        <v>0</v>
      </c>
      <c r="AB1133" s="317">
        <f t="shared" si="231"/>
        <v>0</v>
      </c>
      <c r="AC1133" s="448"/>
      <c r="AD1133" s="448"/>
      <c r="AE1133" s="448">
        <f t="shared" si="235"/>
        <v>0</v>
      </c>
      <c r="AF1133" s="317">
        <f t="shared" si="232"/>
        <v>0</v>
      </c>
      <c r="AG1133" s="448"/>
      <c r="AH1133" s="448"/>
      <c r="AI1133" s="448"/>
      <c r="AJ1133" s="448"/>
      <c r="AK1133" s="317">
        <f t="shared" si="236"/>
        <v>0</v>
      </c>
      <c r="AL1133" s="449">
        <f t="shared" si="237"/>
        <v>0</v>
      </c>
      <c r="AM1133" s="448">
        <f t="shared" si="238"/>
        <v>0</v>
      </c>
      <c r="AN1133" s="450">
        <f t="shared" si="241"/>
        <v>0</v>
      </c>
      <c r="AO1133" s="108"/>
      <c r="AP1133"/>
    </row>
    <row r="1134" spans="1:42" s="108" customFormat="1" x14ac:dyDescent="0.25">
      <c r="A1134" s="9"/>
      <c r="B1134" s="513"/>
      <c r="C1134" s="31"/>
      <c r="D1134" s="873"/>
      <c r="E1134" s="1023"/>
      <c r="F1134" s="275"/>
      <c r="G1134" s="275"/>
      <c r="H1134" s="275"/>
      <c r="I1134" s="722"/>
      <c r="J1134" s="767"/>
      <c r="K1134" s="131">
        <f t="shared" si="240"/>
        <v>0</v>
      </c>
      <c r="L1134" s="335">
        <f t="shared" si="230"/>
        <v>0</v>
      </c>
      <c r="M1134" s="335"/>
      <c r="N1134" s="335"/>
      <c r="O1134" s="335"/>
      <c r="P1134" s="335"/>
      <c r="Q1134" s="130">
        <f t="shared" si="233"/>
        <v>0</v>
      </c>
      <c r="R1134" s="131">
        <f t="shared" si="228"/>
        <v>0</v>
      </c>
      <c r="S1134" s="130"/>
      <c r="T1134" s="130"/>
      <c r="U1134" s="130">
        <f t="shared" si="234"/>
        <v>0</v>
      </c>
      <c r="V1134" s="131">
        <f t="shared" si="229"/>
        <v>0</v>
      </c>
      <c r="W1134" s="130"/>
      <c r="X1134" s="130"/>
      <c r="Y1134" s="130"/>
      <c r="Z1134" s="130"/>
      <c r="AA1134" s="130">
        <f t="shared" si="235"/>
        <v>0</v>
      </c>
      <c r="AB1134" s="131">
        <f t="shared" si="231"/>
        <v>0</v>
      </c>
      <c r="AC1134" s="130"/>
      <c r="AD1134" s="130"/>
      <c r="AE1134" s="130">
        <f t="shared" si="235"/>
        <v>0</v>
      </c>
      <c r="AF1134" s="131">
        <f t="shared" si="232"/>
        <v>0</v>
      </c>
      <c r="AG1134" s="130"/>
      <c r="AH1134" s="130"/>
      <c r="AI1134" s="130"/>
      <c r="AJ1134" s="130"/>
      <c r="AK1134" s="131">
        <f t="shared" si="236"/>
        <v>0</v>
      </c>
      <c r="AL1134" s="335">
        <f t="shared" si="237"/>
        <v>0</v>
      </c>
      <c r="AM1134" s="130">
        <f t="shared" si="238"/>
        <v>0</v>
      </c>
      <c r="AN1134" s="336">
        <f t="shared" si="241"/>
        <v>0</v>
      </c>
    </row>
    <row r="1135" spans="1:42" ht="22.5" x14ac:dyDescent="0.25">
      <c r="A1135" s="315">
        <v>21204</v>
      </c>
      <c r="B1135" s="511" t="s">
        <v>142</v>
      </c>
      <c r="C1135" s="320"/>
      <c r="D1135" s="889"/>
      <c r="E1135" s="321"/>
      <c r="F1135" s="322"/>
      <c r="G1135" s="322"/>
      <c r="H1135" s="322"/>
      <c r="I1135" s="724"/>
      <c r="J1135" s="766"/>
      <c r="K1135" s="131">
        <f t="shared" si="240"/>
        <v>0</v>
      </c>
      <c r="L1135" s="335">
        <f t="shared" si="230"/>
        <v>0</v>
      </c>
      <c r="M1135" s="449"/>
      <c r="N1135" s="449"/>
      <c r="O1135" s="449"/>
      <c r="P1135" s="449"/>
      <c r="Q1135" s="448">
        <f t="shared" si="233"/>
        <v>0</v>
      </c>
      <c r="R1135" s="317">
        <f t="shared" si="228"/>
        <v>0</v>
      </c>
      <c r="S1135" s="448"/>
      <c r="T1135" s="448"/>
      <c r="U1135" s="448">
        <f t="shared" si="234"/>
        <v>0</v>
      </c>
      <c r="V1135" s="317">
        <f t="shared" si="229"/>
        <v>0</v>
      </c>
      <c r="W1135" s="448"/>
      <c r="X1135" s="448"/>
      <c r="Y1135" s="448"/>
      <c r="Z1135" s="448"/>
      <c r="AA1135" s="448">
        <f t="shared" si="235"/>
        <v>0</v>
      </c>
      <c r="AB1135" s="317">
        <f t="shared" si="231"/>
        <v>0</v>
      </c>
      <c r="AC1135" s="448"/>
      <c r="AD1135" s="448"/>
      <c r="AE1135" s="448">
        <f t="shared" si="235"/>
        <v>0</v>
      </c>
      <c r="AF1135" s="317">
        <f t="shared" si="232"/>
        <v>0</v>
      </c>
      <c r="AG1135" s="448"/>
      <c r="AH1135" s="448"/>
      <c r="AI1135" s="448"/>
      <c r="AJ1135" s="448"/>
      <c r="AK1135" s="317">
        <f t="shared" si="236"/>
        <v>0</v>
      </c>
      <c r="AL1135" s="449">
        <f t="shared" si="237"/>
        <v>0</v>
      </c>
      <c r="AM1135" s="448">
        <f t="shared" si="238"/>
        <v>0</v>
      </c>
      <c r="AN1135" s="450">
        <f t="shared" si="241"/>
        <v>0</v>
      </c>
      <c r="AO1135" s="108"/>
      <c r="AP1135"/>
    </row>
    <row r="1136" spans="1:42" s="108" customFormat="1" x14ac:dyDescent="0.25">
      <c r="A1136" s="9"/>
      <c r="B1136" s="34"/>
      <c r="C1136" s="31"/>
      <c r="D1136" s="873"/>
      <c r="E1136" s="1023"/>
      <c r="F1136" s="275"/>
      <c r="G1136" s="275"/>
      <c r="H1136" s="275"/>
      <c r="I1136" s="722"/>
      <c r="J1136" s="767"/>
      <c r="K1136" s="131">
        <f t="shared" si="240"/>
        <v>0</v>
      </c>
      <c r="L1136" s="335">
        <f t="shared" si="230"/>
        <v>0</v>
      </c>
      <c r="M1136" s="335"/>
      <c r="N1136" s="335"/>
      <c r="O1136" s="335"/>
      <c r="P1136" s="335"/>
      <c r="Q1136" s="130">
        <f t="shared" ref="Q1136:Q1188" si="244">+$D1136/4</f>
        <v>0</v>
      </c>
      <c r="R1136" s="131">
        <f t="shared" ref="R1136:R1189" si="245">+J1136/4</f>
        <v>0</v>
      </c>
      <c r="S1136" s="130"/>
      <c r="T1136" s="130"/>
      <c r="U1136" s="130">
        <f t="shared" ref="U1136:U1188" si="246">+$D1136/4</f>
        <v>0</v>
      </c>
      <c r="V1136" s="131">
        <f t="shared" ref="V1136:V1189" si="247">+J1136/4</f>
        <v>0</v>
      </c>
      <c r="W1136" s="130"/>
      <c r="X1136" s="130"/>
      <c r="Y1136" s="130"/>
      <c r="Z1136" s="130"/>
      <c r="AA1136" s="130">
        <f t="shared" ref="AA1136:AE1188" si="248">+$D1136/4</f>
        <v>0</v>
      </c>
      <c r="AB1136" s="131">
        <f t="shared" si="231"/>
        <v>0</v>
      </c>
      <c r="AC1136" s="130"/>
      <c r="AD1136" s="130"/>
      <c r="AE1136" s="130">
        <f t="shared" si="248"/>
        <v>0</v>
      </c>
      <c r="AF1136" s="131">
        <f t="shared" si="232"/>
        <v>0</v>
      </c>
      <c r="AG1136" s="130"/>
      <c r="AH1136" s="130"/>
      <c r="AI1136" s="130"/>
      <c r="AJ1136" s="130"/>
      <c r="AK1136" s="131">
        <f t="shared" si="236"/>
        <v>0</v>
      </c>
      <c r="AL1136" s="335">
        <f t="shared" si="237"/>
        <v>0</v>
      </c>
      <c r="AM1136" s="130">
        <f t="shared" si="238"/>
        <v>0</v>
      </c>
      <c r="AN1136" s="336">
        <f t="shared" si="241"/>
        <v>0</v>
      </c>
    </row>
    <row r="1137" spans="1:42" x14ac:dyDescent="0.25">
      <c r="A1137" s="305">
        <v>213</v>
      </c>
      <c r="B1137" s="510" t="s">
        <v>143</v>
      </c>
      <c r="C1137" s="323"/>
      <c r="D1137" s="890"/>
      <c r="E1137" s="324"/>
      <c r="F1137" s="325"/>
      <c r="G1137" s="325"/>
      <c r="H1137" s="325"/>
      <c r="I1137" s="716"/>
      <c r="J1137" s="768"/>
      <c r="K1137" s="131">
        <f t="shared" si="240"/>
        <v>0</v>
      </c>
      <c r="L1137" s="335">
        <f t="shared" si="230"/>
        <v>0</v>
      </c>
      <c r="M1137" s="451"/>
      <c r="N1137" s="451"/>
      <c r="O1137" s="451"/>
      <c r="P1137" s="451"/>
      <c r="Q1137" s="386">
        <f t="shared" si="244"/>
        <v>0</v>
      </c>
      <c r="R1137" s="309">
        <f t="shared" si="245"/>
        <v>0</v>
      </c>
      <c r="S1137" s="386"/>
      <c r="T1137" s="386"/>
      <c r="U1137" s="386">
        <f t="shared" si="246"/>
        <v>0</v>
      </c>
      <c r="V1137" s="309">
        <f t="shared" si="247"/>
        <v>0</v>
      </c>
      <c r="W1137" s="386"/>
      <c r="X1137" s="386"/>
      <c r="Y1137" s="386"/>
      <c r="Z1137" s="386"/>
      <c r="AA1137" s="386">
        <f t="shared" si="248"/>
        <v>0</v>
      </c>
      <c r="AB1137" s="309">
        <f t="shared" si="231"/>
        <v>0</v>
      </c>
      <c r="AC1137" s="386"/>
      <c r="AD1137" s="386"/>
      <c r="AE1137" s="386">
        <f t="shared" si="248"/>
        <v>0</v>
      </c>
      <c r="AF1137" s="309">
        <f t="shared" si="232"/>
        <v>0</v>
      </c>
      <c r="AG1137" s="386"/>
      <c r="AH1137" s="386"/>
      <c r="AI1137" s="386"/>
      <c r="AJ1137" s="386"/>
      <c r="AK1137" s="309">
        <f t="shared" si="236"/>
        <v>0</v>
      </c>
      <c r="AL1137" s="451">
        <f t="shared" si="237"/>
        <v>0</v>
      </c>
      <c r="AM1137" s="386">
        <f t="shared" si="238"/>
        <v>0</v>
      </c>
      <c r="AN1137" s="452">
        <f t="shared" si="241"/>
        <v>0</v>
      </c>
      <c r="AO1137" s="108"/>
      <c r="AP1137"/>
    </row>
    <row r="1138" spans="1:42" x14ac:dyDescent="0.25">
      <c r="A1138" s="315">
        <v>21301</v>
      </c>
      <c r="B1138" s="511" t="s">
        <v>144</v>
      </c>
      <c r="C1138" s="320"/>
      <c r="D1138" s="889"/>
      <c r="E1138" s="321"/>
      <c r="F1138" s="322"/>
      <c r="G1138" s="322"/>
      <c r="H1138" s="322"/>
      <c r="I1138" s="724"/>
      <c r="J1138" s="766"/>
      <c r="K1138" s="131">
        <f t="shared" si="240"/>
        <v>0</v>
      </c>
      <c r="L1138" s="335">
        <f t="shared" si="230"/>
        <v>0</v>
      </c>
      <c r="M1138" s="449"/>
      <c r="N1138" s="449"/>
      <c r="O1138" s="449"/>
      <c r="P1138" s="449"/>
      <c r="Q1138" s="448">
        <f t="shared" si="244"/>
        <v>0</v>
      </c>
      <c r="R1138" s="317">
        <f t="shared" si="245"/>
        <v>0</v>
      </c>
      <c r="S1138" s="448"/>
      <c r="T1138" s="448"/>
      <c r="U1138" s="448">
        <f t="shared" si="246"/>
        <v>0</v>
      </c>
      <c r="V1138" s="317">
        <f t="shared" si="247"/>
        <v>0</v>
      </c>
      <c r="W1138" s="448"/>
      <c r="X1138" s="448"/>
      <c r="Y1138" s="448"/>
      <c r="Z1138" s="448"/>
      <c r="AA1138" s="448">
        <f t="shared" si="248"/>
        <v>0</v>
      </c>
      <c r="AB1138" s="317">
        <f t="shared" si="231"/>
        <v>0</v>
      </c>
      <c r="AC1138" s="448"/>
      <c r="AD1138" s="448"/>
      <c r="AE1138" s="448">
        <f t="shared" si="248"/>
        <v>0</v>
      </c>
      <c r="AF1138" s="317">
        <f t="shared" si="232"/>
        <v>0</v>
      </c>
      <c r="AG1138" s="448"/>
      <c r="AH1138" s="448"/>
      <c r="AI1138" s="448"/>
      <c r="AJ1138" s="448"/>
      <c r="AK1138" s="317">
        <f t="shared" si="236"/>
        <v>0</v>
      </c>
      <c r="AL1138" s="449">
        <f t="shared" si="237"/>
        <v>0</v>
      </c>
      <c r="AM1138" s="448">
        <f t="shared" si="238"/>
        <v>0</v>
      </c>
      <c r="AN1138" s="450">
        <f t="shared" si="241"/>
        <v>0</v>
      </c>
      <c r="AO1138" s="108"/>
      <c r="AP1138"/>
    </row>
    <row r="1139" spans="1:42" s="108" customFormat="1" x14ac:dyDescent="0.25">
      <c r="A1139" s="9"/>
      <c r="B1139" s="513"/>
      <c r="C1139" s="31"/>
      <c r="D1139" s="873"/>
      <c r="E1139" s="1023"/>
      <c r="F1139" s="275"/>
      <c r="G1139" s="275"/>
      <c r="H1139" s="275"/>
      <c r="I1139" s="722"/>
      <c r="J1139" s="767"/>
      <c r="K1139" s="131"/>
      <c r="L1139" s="335"/>
      <c r="M1139" s="335"/>
      <c r="N1139" s="335"/>
      <c r="O1139" s="335"/>
      <c r="P1139" s="335"/>
      <c r="Q1139" s="130"/>
      <c r="R1139" s="131"/>
      <c r="S1139" s="130"/>
      <c r="T1139" s="130"/>
      <c r="U1139" s="130"/>
      <c r="V1139" s="131"/>
      <c r="W1139" s="130"/>
      <c r="X1139" s="130"/>
      <c r="Y1139" s="130"/>
      <c r="Z1139" s="130"/>
      <c r="AA1139" s="130"/>
      <c r="AB1139" s="131"/>
      <c r="AC1139" s="130"/>
      <c r="AD1139" s="130"/>
      <c r="AE1139" s="130"/>
      <c r="AF1139" s="131"/>
      <c r="AG1139" s="130"/>
      <c r="AH1139" s="130"/>
      <c r="AI1139" s="130"/>
      <c r="AJ1139" s="130"/>
      <c r="AK1139" s="131"/>
      <c r="AL1139" s="335"/>
      <c r="AM1139" s="130"/>
      <c r="AN1139" s="336"/>
    </row>
    <row r="1140" spans="1:42" ht="22.5" x14ac:dyDescent="0.25">
      <c r="A1140" s="305">
        <v>214</v>
      </c>
      <c r="B1140" s="470" t="s">
        <v>145</v>
      </c>
      <c r="C1140" s="326"/>
      <c r="D1140" s="891"/>
      <c r="E1140" s="327"/>
      <c r="F1140" s="328"/>
      <c r="G1140" s="328"/>
      <c r="H1140" s="328"/>
      <c r="I1140" s="716"/>
      <c r="J1140" s="769"/>
      <c r="K1140" s="131">
        <f t="shared" si="240"/>
        <v>0</v>
      </c>
      <c r="L1140" s="335">
        <f t="shared" ref="L1140:L1203" si="249">+J1140-K1140</f>
        <v>0</v>
      </c>
      <c r="M1140" s="451"/>
      <c r="N1140" s="451"/>
      <c r="O1140" s="451"/>
      <c r="P1140" s="451"/>
      <c r="Q1140" s="386">
        <f t="shared" si="244"/>
        <v>0</v>
      </c>
      <c r="R1140" s="309">
        <f t="shared" si="245"/>
        <v>0</v>
      </c>
      <c r="S1140" s="386"/>
      <c r="T1140" s="386"/>
      <c r="U1140" s="386">
        <f t="shared" si="246"/>
        <v>0</v>
      </c>
      <c r="V1140" s="309">
        <f t="shared" si="247"/>
        <v>0</v>
      </c>
      <c r="W1140" s="386"/>
      <c r="X1140" s="386"/>
      <c r="Y1140" s="386"/>
      <c r="Z1140" s="386"/>
      <c r="AA1140" s="386">
        <f t="shared" si="248"/>
        <v>0</v>
      </c>
      <c r="AB1140" s="309">
        <f t="shared" ref="AB1140:AB1203" si="250">+J1140/4</f>
        <v>0</v>
      </c>
      <c r="AC1140" s="386"/>
      <c r="AD1140" s="386"/>
      <c r="AE1140" s="386">
        <f t="shared" si="248"/>
        <v>0</v>
      </c>
      <c r="AF1140" s="309">
        <f t="shared" ref="AF1140:AF1203" si="251">+J1140/4</f>
        <v>0</v>
      </c>
      <c r="AG1140" s="386"/>
      <c r="AH1140" s="386"/>
      <c r="AI1140" s="386"/>
      <c r="AJ1140" s="386"/>
      <c r="AK1140" s="309">
        <f t="shared" ref="AK1140:AK1203" si="252">+R1140+V1140+AB1140+AF1140</f>
        <v>0</v>
      </c>
      <c r="AL1140" s="451">
        <f t="shared" ref="AL1140:AL1203" si="253">+J1140-AK1140</f>
        <v>0</v>
      </c>
      <c r="AM1140" s="386">
        <f t="shared" ref="AM1140:AM1203" si="254">+Q1140+U1140+AA1140+AE1140</f>
        <v>0</v>
      </c>
      <c r="AN1140" s="452">
        <f t="shared" si="241"/>
        <v>0</v>
      </c>
      <c r="AO1140" s="108"/>
      <c r="AP1140"/>
    </row>
    <row r="1141" spans="1:42" x14ac:dyDescent="0.25">
      <c r="A1141" s="330">
        <v>21401</v>
      </c>
      <c r="B1141" s="514" t="s">
        <v>146</v>
      </c>
      <c r="C1141" s="331"/>
      <c r="D1141" s="892"/>
      <c r="E1141" s="332"/>
      <c r="F1141" s="333"/>
      <c r="G1141" s="333"/>
      <c r="H1141" s="333"/>
      <c r="I1141" s="725"/>
      <c r="J1141" s="770"/>
      <c r="K1141" s="131">
        <f t="shared" si="240"/>
        <v>0</v>
      </c>
      <c r="L1141" s="335">
        <f t="shared" si="249"/>
        <v>0</v>
      </c>
      <c r="M1141" s="449"/>
      <c r="N1141" s="449"/>
      <c r="O1141" s="449"/>
      <c r="P1141" s="449"/>
      <c r="Q1141" s="448">
        <f t="shared" si="244"/>
        <v>0</v>
      </c>
      <c r="R1141" s="317">
        <f t="shared" si="245"/>
        <v>0</v>
      </c>
      <c r="S1141" s="448"/>
      <c r="T1141" s="448"/>
      <c r="U1141" s="448">
        <f t="shared" si="246"/>
        <v>0</v>
      </c>
      <c r="V1141" s="317">
        <f t="shared" si="247"/>
        <v>0</v>
      </c>
      <c r="W1141" s="448"/>
      <c r="X1141" s="448"/>
      <c r="Y1141" s="448"/>
      <c r="Z1141" s="448"/>
      <c r="AA1141" s="448">
        <f t="shared" si="248"/>
        <v>0</v>
      </c>
      <c r="AB1141" s="317">
        <f t="shared" si="250"/>
        <v>0</v>
      </c>
      <c r="AC1141" s="448"/>
      <c r="AD1141" s="448"/>
      <c r="AE1141" s="448">
        <f t="shared" si="248"/>
        <v>0</v>
      </c>
      <c r="AF1141" s="317">
        <f t="shared" si="251"/>
        <v>0</v>
      </c>
      <c r="AG1141" s="448"/>
      <c r="AH1141" s="448"/>
      <c r="AI1141" s="448"/>
      <c r="AJ1141" s="448"/>
      <c r="AK1141" s="317">
        <f t="shared" si="252"/>
        <v>0</v>
      </c>
      <c r="AL1141" s="449">
        <f t="shared" si="253"/>
        <v>0</v>
      </c>
      <c r="AM1141" s="448">
        <f t="shared" si="254"/>
        <v>0</v>
      </c>
      <c r="AN1141" s="450">
        <f t="shared" si="241"/>
        <v>0</v>
      </c>
      <c r="AO1141" s="437">
        <f>SUM(J1142:J1182)</f>
        <v>155911.20800000004</v>
      </c>
      <c r="AP1141" s="334"/>
    </row>
    <row r="1142" spans="1:42" s="130" customFormat="1" ht="66" x14ac:dyDescent="0.25">
      <c r="A1142" s="9"/>
      <c r="B1142" s="152" t="s">
        <v>1078</v>
      </c>
      <c r="C1142" s="1024"/>
      <c r="D1142" s="869">
        <f>2</f>
        <v>2</v>
      </c>
      <c r="E1142" s="1024" t="s">
        <v>1721</v>
      </c>
      <c r="F1142" s="273" t="s">
        <v>3446</v>
      </c>
      <c r="G1142" s="1040" t="s">
        <v>3463</v>
      </c>
      <c r="H1142" s="273" t="s">
        <v>3462</v>
      </c>
      <c r="I1142" s="722">
        <f t="shared" ref="I1142:I1182" si="255">+J1142/D1142</f>
        <v>130.35</v>
      </c>
      <c r="J1142" s="759">
        <f>260.7</f>
        <v>260.7</v>
      </c>
      <c r="K1142" s="131">
        <f t="shared" si="240"/>
        <v>260.7</v>
      </c>
      <c r="L1142" s="335">
        <f t="shared" si="249"/>
        <v>0</v>
      </c>
      <c r="M1142" s="335"/>
      <c r="N1142" s="335"/>
      <c r="O1142" s="335"/>
      <c r="P1142" s="335"/>
      <c r="Q1142" s="130">
        <v>1</v>
      </c>
      <c r="R1142" s="131">
        <v>130.35</v>
      </c>
      <c r="U1142" s="130">
        <v>1</v>
      </c>
      <c r="V1142" s="131">
        <v>130.35</v>
      </c>
      <c r="AA1142" s="130">
        <v>0</v>
      </c>
      <c r="AB1142" s="131">
        <v>0</v>
      </c>
      <c r="AE1142" s="130">
        <v>0</v>
      </c>
      <c r="AF1142" s="131">
        <v>0</v>
      </c>
      <c r="AK1142" s="131">
        <f t="shared" si="252"/>
        <v>260.7</v>
      </c>
      <c r="AL1142" s="335">
        <f t="shared" si="253"/>
        <v>0</v>
      </c>
      <c r="AM1142" s="130">
        <f t="shared" si="254"/>
        <v>2</v>
      </c>
      <c r="AN1142" s="336">
        <f t="shared" si="241"/>
        <v>0</v>
      </c>
      <c r="AO1142" s="438"/>
    </row>
    <row r="1143" spans="1:42" s="130" customFormat="1" ht="66" x14ac:dyDescent="0.25">
      <c r="A1143" s="9"/>
      <c r="B1143" s="34" t="s">
        <v>147</v>
      </c>
      <c r="C1143" s="1024"/>
      <c r="D1143" s="869">
        <f>5</f>
        <v>5</v>
      </c>
      <c r="E1143" s="1024" t="s">
        <v>1721</v>
      </c>
      <c r="F1143" s="273" t="s">
        <v>3446</v>
      </c>
      <c r="G1143" s="1040" t="s">
        <v>3463</v>
      </c>
      <c r="H1143" s="273" t="s">
        <v>3462</v>
      </c>
      <c r="I1143" s="722">
        <f t="shared" si="255"/>
        <v>1002.24</v>
      </c>
      <c r="J1143" s="771">
        <f>5011.2</f>
        <v>5011.2</v>
      </c>
      <c r="K1143" s="131">
        <f t="shared" si="240"/>
        <v>5011.2</v>
      </c>
      <c r="L1143" s="335">
        <f t="shared" si="249"/>
        <v>0</v>
      </c>
      <c r="M1143" s="335"/>
      <c r="N1143" s="335"/>
      <c r="O1143" s="335"/>
      <c r="P1143" s="335"/>
      <c r="Q1143" s="110">
        <v>2</v>
      </c>
      <c r="R1143" s="131">
        <f t="shared" si="245"/>
        <v>1252.8</v>
      </c>
      <c r="U1143" s="110">
        <v>1</v>
      </c>
      <c r="V1143" s="131">
        <f t="shared" si="247"/>
        <v>1252.8</v>
      </c>
      <c r="AA1143" s="110">
        <v>1</v>
      </c>
      <c r="AB1143" s="131">
        <f t="shared" si="250"/>
        <v>1252.8</v>
      </c>
      <c r="AE1143" s="110">
        <v>1</v>
      </c>
      <c r="AF1143" s="131">
        <f t="shared" si="251"/>
        <v>1252.8</v>
      </c>
      <c r="AK1143" s="131">
        <f t="shared" si="252"/>
        <v>5011.2</v>
      </c>
      <c r="AL1143" s="335">
        <f t="shared" si="253"/>
        <v>0</v>
      </c>
      <c r="AM1143" s="130">
        <f t="shared" si="254"/>
        <v>5</v>
      </c>
      <c r="AN1143" s="336">
        <f t="shared" si="241"/>
        <v>0</v>
      </c>
      <c r="AO1143" s="438"/>
    </row>
    <row r="1144" spans="1:42" s="130" customFormat="1" ht="66" x14ac:dyDescent="0.25">
      <c r="A1144" s="9"/>
      <c r="B1144" s="34" t="s">
        <v>148</v>
      </c>
      <c r="C1144" s="1024"/>
      <c r="D1144" s="869">
        <f>3+2</f>
        <v>5</v>
      </c>
      <c r="E1144" s="1024" t="s">
        <v>1721</v>
      </c>
      <c r="F1144" s="273" t="s">
        <v>3446</v>
      </c>
      <c r="G1144" s="1040" t="s">
        <v>3463</v>
      </c>
      <c r="H1144" s="273" t="s">
        <v>3462</v>
      </c>
      <c r="I1144" s="722">
        <f t="shared" si="255"/>
        <v>485.99200000000002</v>
      </c>
      <c r="J1144" s="759">
        <f>1457.98+971.98</f>
        <v>2429.96</v>
      </c>
      <c r="K1144" s="131">
        <f t="shared" si="240"/>
        <v>2429.96</v>
      </c>
      <c r="L1144" s="335">
        <f t="shared" si="249"/>
        <v>0</v>
      </c>
      <c r="M1144" s="335"/>
      <c r="N1144" s="335"/>
      <c r="O1144" s="335"/>
      <c r="P1144" s="335"/>
      <c r="Q1144" s="110">
        <v>2</v>
      </c>
      <c r="R1144" s="131">
        <f t="shared" si="245"/>
        <v>607.49</v>
      </c>
      <c r="U1144" s="110">
        <v>1</v>
      </c>
      <c r="V1144" s="131">
        <f t="shared" si="247"/>
        <v>607.49</v>
      </c>
      <c r="AA1144" s="110">
        <v>1</v>
      </c>
      <c r="AB1144" s="131">
        <f t="shared" si="250"/>
        <v>607.49</v>
      </c>
      <c r="AE1144" s="110">
        <v>1</v>
      </c>
      <c r="AF1144" s="131">
        <f t="shared" si="251"/>
        <v>607.49</v>
      </c>
      <c r="AK1144" s="131">
        <f t="shared" si="252"/>
        <v>2429.96</v>
      </c>
      <c r="AL1144" s="335">
        <f t="shared" si="253"/>
        <v>0</v>
      </c>
      <c r="AM1144" s="130">
        <f t="shared" si="254"/>
        <v>5</v>
      </c>
      <c r="AN1144" s="336">
        <f t="shared" si="241"/>
        <v>0</v>
      </c>
      <c r="AO1144" s="438"/>
    </row>
    <row r="1145" spans="1:42" s="130" customFormat="1" ht="66" x14ac:dyDescent="0.25">
      <c r="A1145" s="9"/>
      <c r="B1145" s="152" t="s">
        <v>1145</v>
      </c>
      <c r="C1145" s="1024"/>
      <c r="D1145" s="869">
        <f>2</f>
        <v>2</v>
      </c>
      <c r="E1145" s="1024" t="s">
        <v>1721</v>
      </c>
      <c r="F1145" s="273" t="s">
        <v>3446</v>
      </c>
      <c r="G1145" s="1040" t="s">
        <v>3463</v>
      </c>
      <c r="H1145" s="273" t="s">
        <v>3462</v>
      </c>
      <c r="I1145" s="722">
        <f t="shared" si="255"/>
        <v>1026</v>
      </c>
      <c r="J1145" s="759">
        <f>2052</f>
        <v>2052</v>
      </c>
      <c r="K1145" s="131">
        <f t="shared" si="240"/>
        <v>2052</v>
      </c>
      <c r="L1145" s="335">
        <f t="shared" si="249"/>
        <v>0</v>
      </c>
      <c r="M1145" s="335"/>
      <c r="N1145" s="335"/>
      <c r="O1145" s="335"/>
      <c r="P1145" s="335"/>
      <c r="Q1145" s="130">
        <v>1</v>
      </c>
      <c r="R1145" s="131">
        <v>1026</v>
      </c>
      <c r="U1145" s="130">
        <v>1</v>
      </c>
      <c r="V1145" s="131">
        <v>1026</v>
      </c>
      <c r="AA1145" s="130">
        <v>0</v>
      </c>
      <c r="AB1145" s="131">
        <v>0</v>
      </c>
      <c r="AE1145" s="130">
        <v>0</v>
      </c>
      <c r="AF1145" s="131">
        <v>0</v>
      </c>
      <c r="AK1145" s="131">
        <f t="shared" si="252"/>
        <v>2052</v>
      </c>
      <c r="AL1145" s="335">
        <f t="shared" si="253"/>
        <v>0</v>
      </c>
      <c r="AM1145" s="130">
        <f t="shared" si="254"/>
        <v>2</v>
      </c>
      <c r="AN1145" s="336">
        <f t="shared" si="241"/>
        <v>0</v>
      </c>
      <c r="AO1145" s="438"/>
    </row>
    <row r="1146" spans="1:42" s="130" customFormat="1" ht="66" x14ac:dyDescent="0.25">
      <c r="A1146" s="9"/>
      <c r="B1146" s="34" t="s">
        <v>149</v>
      </c>
      <c r="C1146" s="1024"/>
      <c r="D1146" s="869">
        <v>4</v>
      </c>
      <c r="E1146" s="1024" t="s">
        <v>1721</v>
      </c>
      <c r="F1146" s="273" t="s">
        <v>3446</v>
      </c>
      <c r="G1146" s="1040" t="s">
        <v>3463</v>
      </c>
      <c r="H1146" s="273" t="s">
        <v>3462</v>
      </c>
      <c r="I1146" s="722">
        <f t="shared" si="255"/>
        <v>3201.6</v>
      </c>
      <c r="J1146" s="759">
        <v>12806.4</v>
      </c>
      <c r="K1146" s="131">
        <f t="shared" si="240"/>
        <v>12806.4</v>
      </c>
      <c r="L1146" s="335">
        <f t="shared" si="249"/>
        <v>0</v>
      </c>
      <c r="M1146" s="335"/>
      <c r="N1146" s="335"/>
      <c r="O1146" s="335"/>
      <c r="P1146" s="335"/>
      <c r="Q1146" s="130">
        <f t="shared" si="244"/>
        <v>1</v>
      </c>
      <c r="R1146" s="131">
        <f t="shared" si="245"/>
        <v>3201.6</v>
      </c>
      <c r="U1146" s="130">
        <f t="shared" si="246"/>
        <v>1</v>
      </c>
      <c r="V1146" s="131">
        <f t="shared" si="247"/>
        <v>3201.6</v>
      </c>
      <c r="AA1146" s="130">
        <f t="shared" si="248"/>
        <v>1</v>
      </c>
      <c r="AB1146" s="131">
        <f t="shared" si="250"/>
        <v>3201.6</v>
      </c>
      <c r="AE1146" s="130">
        <f t="shared" si="248"/>
        <v>1</v>
      </c>
      <c r="AF1146" s="131">
        <f t="shared" si="251"/>
        <v>3201.6</v>
      </c>
      <c r="AK1146" s="131">
        <f t="shared" si="252"/>
        <v>12806.4</v>
      </c>
      <c r="AL1146" s="335">
        <f t="shared" si="253"/>
        <v>0</v>
      </c>
      <c r="AM1146" s="130">
        <f t="shared" si="254"/>
        <v>4</v>
      </c>
      <c r="AN1146" s="336">
        <f t="shared" si="241"/>
        <v>0</v>
      </c>
      <c r="AO1146" s="438"/>
    </row>
    <row r="1147" spans="1:42" s="130" customFormat="1" ht="66" x14ac:dyDescent="0.25">
      <c r="A1147" s="9"/>
      <c r="B1147" s="41" t="s">
        <v>1415</v>
      </c>
      <c r="C1147" s="1024"/>
      <c r="D1147" s="869">
        <v>3</v>
      </c>
      <c r="E1147" s="1024" t="s">
        <v>1721</v>
      </c>
      <c r="F1147" s="273" t="s">
        <v>3446</v>
      </c>
      <c r="G1147" s="1040" t="s">
        <v>3463</v>
      </c>
      <c r="H1147" s="273" t="s">
        <v>3462</v>
      </c>
      <c r="I1147" s="722">
        <f t="shared" si="255"/>
        <v>230</v>
      </c>
      <c r="J1147" s="759">
        <v>690</v>
      </c>
      <c r="K1147" s="131">
        <f t="shared" si="240"/>
        <v>690</v>
      </c>
      <c r="L1147" s="335">
        <f t="shared" si="249"/>
        <v>0</v>
      </c>
      <c r="M1147" s="335"/>
      <c r="N1147" s="335"/>
      <c r="O1147" s="335"/>
      <c r="P1147" s="335"/>
      <c r="Q1147" s="130">
        <v>1</v>
      </c>
      <c r="R1147" s="131">
        <v>230</v>
      </c>
      <c r="U1147" s="130">
        <v>1</v>
      </c>
      <c r="V1147" s="131">
        <v>230</v>
      </c>
      <c r="AA1147" s="130">
        <v>1</v>
      </c>
      <c r="AB1147" s="131">
        <v>230</v>
      </c>
      <c r="AE1147" s="130">
        <v>0</v>
      </c>
      <c r="AF1147" s="131">
        <v>0</v>
      </c>
      <c r="AK1147" s="131">
        <f t="shared" si="252"/>
        <v>690</v>
      </c>
      <c r="AL1147" s="335">
        <f t="shared" si="253"/>
        <v>0</v>
      </c>
      <c r="AM1147" s="130">
        <f t="shared" si="254"/>
        <v>3</v>
      </c>
      <c r="AN1147" s="336">
        <f t="shared" si="241"/>
        <v>0</v>
      </c>
      <c r="AO1147" s="438"/>
    </row>
    <row r="1148" spans="1:42" s="130" customFormat="1" ht="66" x14ac:dyDescent="0.25">
      <c r="A1148" s="9"/>
      <c r="B1148" s="41" t="s">
        <v>1416</v>
      </c>
      <c r="C1148" s="1024"/>
      <c r="D1148" s="869">
        <v>3</v>
      </c>
      <c r="E1148" s="1024" t="s">
        <v>1721</v>
      </c>
      <c r="F1148" s="273" t="s">
        <v>3446</v>
      </c>
      <c r="G1148" s="1040" t="s">
        <v>3463</v>
      </c>
      <c r="H1148" s="273" t="s">
        <v>3462</v>
      </c>
      <c r="I1148" s="722">
        <f t="shared" si="255"/>
        <v>961</v>
      </c>
      <c r="J1148" s="759">
        <v>2883</v>
      </c>
      <c r="K1148" s="131">
        <f t="shared" si="240"/>
        <v>2883</v>
      </c>
      <c r="L1148" s="335">
        <f t="shared" si="249"/>
        <v>0</v>
      </c>
      <c r="M1148" s="335"/>
      <c r="N1148" s="335"/>
      <c r="O1148" s="335"/>
      <c r="P1148" s="335"/>
      <c r="Q1148" s="130">
        <v>1</v>
      </c>
      <c r="R1148" s="131">
        <v>961</v>
      </c>
      <c r="U1148" s="130">
        <v>1</v>
      </c>
      <c r="V1148" s="131">
        <v>961</v>
      </c>
      <c r="AA1148" s="130">
        <v>1</v>
      </c>
      <c r="AB1148" s="131">
        <v>961</v>
      </c>
      <c r="AE1148" s="130">
        <v>0</v>
      </c>
      <c r="AF1148" s="131">
        <v>0</v>
      </c>
      <c r="AK1148" s="131">
        <f t="shared" si="252"/>
        <v>2883</v>
      </c>
      <c r="AL1148" s="335">
        <f t="shared" si="253"/>
        <v>0</v>
      </c>
      <c r="AM1148" s="130">
        <f t="shared" si="254"/>
        <v>3</v>
      </c>
      <c r="AN1148" s="336">
        <f t="shared" si="241"/>
        <v>0</v>
      </c>
      <c r="AO1148" s="438"/>
    </row>
    <row r="1149" spans="1:42" s="130" customFormat="1" ht="66" x14ac:dyDescent="0.25">
      <c r="A1149" s="9"/>
      <c r="B1149" s="41" t="s">
        <v>1417</v>
      </c>
      <c r="C1149" s="1024"/>
      <c r="D1149" s="869">
        <v>3</v>
      </c>
      <c r="E1149" s="1024" t="s">
        <v>1721</v>
      </c>
      <c r="F1149" s="273" t="s">
        <v>3446</v>
      </c>
      <c r="G1149" s="1040" t="s">
        <v>3463</v>
      </c>
      <c r="H1149" s="273" t="s">
        <v>3462</v>
      </c>
      <c r="I1149" s="722">
        <f t="shared" si="255"/>
        <v>961</v>
      </c>
      <c r="J1149" s="759">
        <v>2883</v>
      </c>
      <c r="K1149" s="131">
        <f t="shared" si="240"/>
        <v>2883</v>
      </c>
      <c r="L1149" s="335">
        <f t="shared" si="249"/>
        <v>0</v>
      </c>
      <c r="M1149" s="335"/>
      <c r="N1149" s="335"/>
      <c r="O1149" s="335"/>
      <c r="P1149" s="335"/>
      <c r="Q1149" s="130">
        <v>1</v>
      </c>
      <c r="R1149" s="131">
        <v>961</v>
      </c>
      <c r="U1149" s="130">
        <v>1</v>
      </c>
      <c r="V1149" s="131">
        <v>961</v>
      </c>
      <c r="AA1149" s="130">
        <v>1</v>
      </c>
      <c r="AB1149" s="131">
        <v>961</v>
      </c>
      <c r="AE1149" s="130">
        <v>0</v>
      </c>
      <c r="AF1149" s="131">
        <v>0</v>
      </c>
      <c r="AK1149" s="131">
        <f t="shared" si="252"/>
        <v>2883</v>
      </c>
      <c r="AL1149" s="335">
        <f t="shared" si="253"/>
        <v>0</v>
      </c>
      <c r="AM1149" s="130">
        <f t="shared" si="254"/>
        <v>3</v>
      </c>
      <c r="AN1149" s="336">
        <f t="shared" si="241"/>
        <v>0</v>
      </c>
      <c r="AO1149" s="438"/>
    </row>
    <row r="1150" spans="1:42" s="130" customFormat="1" ht="66" x14ac:dyDescent="0.25">
      <c r="A1150" s="9"/>
      <c r="B1150" s="41" t="s">
        <v>1418</v>
      </c>
      <c r="C1150" s="1024"/>
      <c r="D1150" s="869">
        <v>3</v>
      </c>
      <c r="E1150" s="1024" t="s">
        <v>1721</v>
      </c>
      <c r="F1150" s="273" t="s">
        <v>3446</v>
      </c>
      <c r="G1150" s="1040" t="s">
        <v>3463</v>
      </c>
      <c r="H1150" s="273" t="s">
        <v>3462</v>
      </c>
      <c r="I1150" s="722">
        <f t="shared" si="255"/>
        <v>961</v>
      </c>
      <c r="J1150" s="759">
        <v>2883</v>
      </c>
      <c r="K1150" s="131">
        <f t="shared" si="240"/>
        <v>2883</v>
      </c>
      <c r="L1150" s="335">
        <f t="shared" si="249"/>
        <v>0</v>
      </c>
      <c r="M1150" s="335"/>
      <c r="N1150" s="335"/>
      <c r="O1150" s="335"/>
      <c r="P1150" s="335"/>
      <c r="Q1150" s="130">
        <v>1</v>
      </c>
      <c r="R1150" s="131">
        <f t="shared" si="245"/>
        <v>720.75</v>
      </c>
      <c r="U1150" s="130">
        <v>1</v>
      </c>
      <c r="V1150" s="131">
        <f t="shared" si="247"/>
        <v>720.75</v>
      </c>
      <c r="AA1150" s="130">
        <v>1</v>
      </c>
      <c r="AB1150" s="131">
        <f t="shared" si="250"/>
        <v>720.75</v>
      </c>
      <c r="AE1150" s="130">
        <v>0</v>
      </c>
      <c r="AF1150" s="131">
        <f t="shared" si="251"/>
        <v>720.75</v>
      </c>
      <c r="AK1150" s="131">
        <f t="shared" si="252"/>
        <v>2883</v>
      </c>
      <c r="AL1150" s="335">
        <f t="shared" si="253"/>
        <v>0</v>
      </c>
      <c r="AM1150" s="130">
        <f t="shared" si="254"/>
        <v>3</v>
      </c>
      <c r="AN1150" s="336">
        <f t="shared" si="241"/>
        <v>0</v>
      </c>
      <c r="AO1150" s="438"/>
    </row>
    <row r="1151" spans="1:42" s="130" customFormat="1" ht="66" x14ac:dyDescent="0.25">
      <c r="A1151" s="9"/>
      <c r="B1151" s="41" t="s">
        <v>1419</v>
      </c>
      <c r="C1151" s="1024"/>
      <c r="D1151" s="869">
        <v>2</v>
      </c>
      <c r="E1151" s="1024" t="s">
        <v>1721</v>
      </c>
      <c r="F1151" s="273" t="s">
        <v>3446</v>
      </c>
      <c r="G1151" s="1040" t="s">
        <v>3463</v>
      </c>
      <c r="H1151" s="273" t="s">
        <v>3462</v>
      </c>
      <c r="I1151" s="722">
        <f t="shared" si="255"/>
        <v>2101</v>
      </c>
      <c r="J1151" s="759">
        <v>4202</v>
      </c>
      <c r="K1151" s="131">
        <f t="shared" si="240"/>
        <v>4202</v>
      </c>
      <c r="L1151" s="335">
        <f t="shared" si="249"/>
        <v>0</v>
      </c>
      <c r="M1151" s="335"/>
      <c r="N1151" s="335"/>
      <c r="O1151" s="335"/>
      <c r="P1151" s="335"/>
      <c r="Q1151" s="130">
        <v>1</v>
      </c>
      <c r="R1151" s="131">
        <v>2101</v>
      </c>
      <c r="U1151" s="130">
        <v>1</v>
      </c>
      <c r="V1151" s="131">
        <v>2101</v>
      </c>
      <c r="AA1151" s="130">
        <v>0</v>
      </c>
      <c r="AB1151" s="131">
        <v>0</v>
      </c>
      <c r="AE1151" s="130">
        <v>0</v>
      </c>
      <c r="AF1151" s="131">
        <v>0</v>
      </c>
      <c r="AK1151" s="131">
        <f t="shared" si="252"/>
        <v>4202</v>
      </c>
      <c r="AL1151" s="335">
        <f t="shared" si="253"/>
        <v>0</v>
      </c>
      <c r="AM1151" s="130">
        <f t="shared" si="254"/>
        <v>2</v>
      </c>
      <c r="AN1151" s="336">
        <f t="shared" si="241"/>
        <v>0</v>
      </c>
      <c r="AO1151" s="438"/>
    </row>
    <row r="1152" spans="1:42" s="130" customFormat="1" ht="66" x14ac:dyDescent="0.25">
      <c r="A1152" s="9"/>
      <c r="B1152" s="41" t="s">
        <v>1420</v>
      </c>
      <c r="C1152" s="1024"/>
      <c r="D1152" s="869">
        <v>2</v>
      </c>
      <c r="E1152" s="1024" t="s">
        <v>1721</v>
      </c>
      <c r="F1152" s="273" t="s">
        <v>3446</v>
      </c>
      <c r="G1152" s="1040" t="s">
        <v>3463</v>
      </c>
      <c r="H1152" s="273" t="s">
        <v>3462</v>
      </c>
      <c r="I1152" s="722">
        <f t="shared" si="255"/>
        <v>563.76</v>
      </c>
      <c r="J1152" s="759">
        <v>1127.52</v>
      </c>
      <c r="K1152" s="131">
        <f t="shared" si="240"/>
        <v>1127.52</v>
      </c>
      <c r="L1152" s="335">
        <f t="shared" si="249"/>
        <v>0</v>
      </c>
      <c r="M1152" s="335"/>
      <c r="N1152" s="335"/>
      <c r="O1152" s="335"/>
      <c r="P1152" s="335"/>
      <c r="Q1152" s="130">
        <v>1</v>
      </c>
      <c r="R1152" s="131">
        <v>563.76</v>
      </c>
      <c r="U1152" s="130">
        <v>1</v>
      </c>
      <c r="V1152" s="131">
        <v>563.76</v>
      </c>
      <c r="AA1152" s="130">
        <v>0</v>
      </c>
      <c r="AB1152" s="131">
        <v>0</v>
      </c>
      <c r="AE1152" s="130">
        <v>0</v>
      </c>
      <c r="AF1152" s="131">
        <v>0</v>
      </c>
      <c r="AK1152" s="131">
        <f t="shared" si="252"/>
        <v>1127.52</v>
      </c>
      <c r="AL1152" s="335">
        <f t="shared" si="253"/>
        <v>0</v>
      </c>
      <c r="AM1152" s="130">
        <f t="shared" si="254"/>
        <v>2</v>
      </c>
      <c r="AN1152" s="336">
        <f t="shared" si="241"/>
        <v>0</v>
      </c>
      <c r="AO1152" s="438"/>
    </row>
    <row r="1153" spans="1:41" s="130" customFormat="1" ht="66" x14ac:dyDescent="0.25">
      <c r="A1153" s="9"/>
      <c r="B1153" s="43" t="s">
        <v>1421</v>
      </c>
      <c r="C1153" s="1024"/>
      <c r="D1153" s="869">
        <v>1</v>
      </c>
      <c r="E1153" s="1024" t="s">
        <v>1721</v>
      </c>
      <c r="F1153" s="273" t="s">
        <v>3446</v>
      </c>
      <c r="G1153" s="1040" t="s">
        <v>3463</v>
      </c>
      <c r="H1153" s="273" t="s">
        <v>3462</v>
      </c>
      <c r="I1153" s="722">
        <f t="shared" si="255"/>
        <v>1134</v>
      </c>
      <c r="J1153" s="759">
        <v>1134</v>
      </c>
      <c r="K1153" s="131">
        <f t="shared" si="240"/>
        <v>1134</v>
      </c>
      <c r="L1153" s="335">
        <f t="shared" si="249"/>
        <v>0</v>
      </c>
      <c r="M1153" s="335"/>
      <c r="N1153" s="335"/>
      <c r="O1153" s="335"/>
      <c r="P1153" s="335"/>
      <c r="Q1153" s="130">
        <v>1</v>
      </c>
      <c r="R1153" s="131">
        <v>1134</v>
      </c>
      <c r="U1153" s="110">
        <v>0</v>
      </c>
      <c r="V1153" s="131">
        <v>0</v>
      </c>
      <c r="AA1153" s="110">
        <v>0</v>
      </c>
      <c r="AB1153" s="131">
        <v>0</v>
      </c>
      <c r="AE1153" s="110">
        <v>0</v>
      </c>
      <c r="AF1153" s="131">
        <v>0</v>
      </c>
      <c r="AK1153" s="131">
        <f t="shared" si="252"/>
        <v>1134</v>
      </c>
      <c r="AL1153" s="335">
        <f t="shared" si="253"/>
        <v>0</v>
      </c>
      <c r="AM1153" s="130">
        <f t="shared" si="254"/>
        <v>1</v>
      </c>
      <c r="AN1153" s="336">
        <f t="shared" si="241"/>
        <v>0</v>
      </c>
      <c r="AO1153" s="438"/>
    </row>
    <row r="1154" spans="1:41" s="130" customFormat="1" ht="66" x14ac:dyDescent="0.25">
      <c r="A1154" s="9"/>
      <c r="B1154" s="34" t="s">
        <v>1809</v>
      </c>
      <c r="C1154" s="1024"/>
      <c r="D1154" s="869">
        <v>4</v>
      </c>
      <c r="E1154" s="1024" t="s">
        <v>1721</v>
      </c>
      <c r="F1154" s="273" t="s">
        <v>3446</v>
      </c>
      <c r="G1154" s="1040" t="s">
        <v>3463</v>
      </c>
      <c r="H1154" s="273" t="s">
        <v>3462</v>
      </c>
      <c r="I1154" s="722">
        <f t="shared" si="255"/>
        <v>290.52</v>
      </c>
      <c r="J1154" s="759">
        <v>1162.08</v>
      </c>
      <c r="K1154" s="131">
        <f t="shared" si="240"/>
        <v>1162.08</v>
      </c>
      <c r="L1154" s="335">
        <f t="shared" si="249"/>
        <v>0</v>
      </c>
      <c r="M1154" s="335"/>
      <c r="N1154" s="335"/>
      <c r="O1154" s="335"/>
      <c r="P1154" s="335"/>
      <c r="Q1154" s="130">
        <f t="shared" si="244"/>
        <v>1</v>
      </c>
      <c r="R1154" s="131">
        <f t="shared" si="245"/>
        <v>290.52</v>
      </c>
      <c r="U1154" s="130">
        <f t="shared" si="246"/>
        <v>1</v>
      </c>
      <c r="V1154" s="131">
        <f t="shared" si="247"/>
        <v>290.52</v>
      </c>
      <c r="AA1154" s="130">
        <f t="shared" si="248"/>
        <v>1</v>
      </c>
      <c r="AB1154" s="131">
        <f t="shared" si="250"/>
        <v>290.52</v>
      </c>
      <c r="AE1154" s="130">
        <f t="shared" si="248"/>
        <v>1</v>
      </c>
      <c r="AF1154" s="131">
        <f t="shared" si="251"/>
        <v>290.52</v>
      </c>
      <c r="AK1154" s="131">
        <f t="shared" si="252"/>
        <v>1162.08</v>
      </c>
      <c r="AL1154" s="335">
        <f t="shared" si="253"/>
        <v>0</v>
      </c>
      <c r="AM1154" s="130">
        <f t="shared" si="254"/>
        <v>4</v>
      </c>
      <c r="AN1154" s="336">
        <f t="shared" si="241"/>
        <v>0</v>
      </c>
      <c r="AO1154" s="438"/>
    </row>
    <row r="1155" spans="1:41" s="130" customFormat="1" ht="66" x14ac:dyDescent="0.25">
      <c r="A1155" s="9"/>
      <c r="B1155" s="34" t="s">
        <v>1810</v>
      </c>
      <c r="C1155" s="1024"/>
      <c r="D1155" s="869">
        <v>2</v>
      </c>
      <c r="E1155" s="1024" t="s">
        <v>1721</v>
      </c>
      <c r="F1155" s="273" t="s">
        <v>3446</v>
      </c>
      <c r="G1155" s="1040" t="s">
        <v>3463</v>
      </c>
      <c r="H1155" s="273" t="s">
        <v>3462</v>
      </c>
      <c r="I1155" s="722">
        <f t="shared" si="255"/>
        <v>290.52</v>
      </c>
      <c r="J1155" s="759">
        <v>581.04</v>
      </c>
      <c r="K1155" s="131">
        <f t="shared" si="240"/>
        <v>581.04</v>
      </c>
      <c r="L1155" s="335">
        <f t="shared" si="249"/>
        <v>0</v>
      </c>
      <c r="M1155" s="335"/>
      <c r="N1155" s="335"/>
      <c r="O1155" s="335"/>
      <c r="P1155" s="335"/>
      <c r="Q1155" s="130">
        <v>1</v>
      </c>
      <c r="R1155" s="131">
        <v>290.52</v>
      </c>
      <c r="U1155" s="130">
        <v>1</v>
      </c>
      <c r="V1155" s="131">
        <v>290.52</v>
      </c>
      <c r="AA1155" s="130">
        <v>0</v>
      </c>
      <c r="AB1155" s="131">
        <v>0</v>
      </c>
      <c r="AE1155" s="130">
        <v>0</v>
      </c>
      <c r="AF1155" s="131">
        <v>0</v>
      </c>
      <c r="AK1155" s="131">
        <f t="shared" si="252"/>
        <v>581.04</v>
      </c>
      <c r="AL1155" s="335">
        <f t="shared" si="253"/>
        <v>0</v>
      </c>
      <c r="AM1155" s="130">
        <f t="shared" si="254"/>
        <v>2</v>
      </c>
      <c r="AN1155" s="336">
        <f t="shared" si="241"/>
        <v>0</v>
      </c>
      <c r="AO1155" s="438"/>
    </row>
    <row r="1156" spans="1:41" s="130" customFormat="1" ht="66" x14ac:dyDescent="0.25">
      <c r="A1156" s="9"/>
      <c r="B1156" s="34" t="s">
        <v>1811</v>
      </c>
      <c r="C1156" s="1024"/>
      <c r="D1156" s="869">
        <v>4</v>
      </c>
      <c r="E1156" s="1024" t="s">
        <v>1721</v>
      </c>
      <c r="F1156" s="273" t="s">
        <v>3446</v>
      </c>
      <c r="G1156" s="1040" t="s">
        <v>3463</v>
      </c>
      <c r="H1156" s="273" t="s">
        <v>3462</v>
      </c>
      <c r="I1156" s="722">
        <f t="shared" si="255"/>
        <v>1080</v>
      </c>
      <c r="J1156" s="759">
        <v>4320</v>
      </c>
      <c r="K1156" s="131">
        <f t="shared" ref="K1156:K1219" si="256">+D1156*I1156</f>
        <v>4320</v>
      </c>
      <c r="L1156" s="335">
        <f t="shared" si="249"/>
        <v>0</v>
      </c>
      <c r="M1156" s="335"/>
      <c r="N1156" s="335"/>
      <c r="O1156" s="335"/>
      <c r="P1156" s="335"/>
      <c r="Q1156" s="130">
        <f t="shared" si="244"/>
        <v>1</v>
      </c>
      <c r="R1156" s="131">
        <f t="shared" si="245"/>
        <v>1080</v>
      </c>
      <c r="U1156" s="130">
        <f t="shared" si="246"/>
        <v>1</v>
      </c>
      <c r="V1156" s="131">
        <f t="shared" si="247"/>
        <v>1080</v>
      </c>
      <c r="AA1156" s="130">
        <f t="shared" si="248"/>
        <v>1</v>
      </c>
      <c r="AB1156" s="131">
        <f t="shared" si="250"/>
        <v>1080</v>
      </c>
      <c r="AE1156" s="130">
        <f t="shared" si="248"/>
        <v>1</v>
      </c>
      <c r="AF1156" s="131">
        <f t="shared" si="251"/>
        <v>1080</v>
      </c>
      <c r="AK1156" s="131">
        <f t="shared" si="252"/>
        <v>4320</v>
      </c>
      <c r="AL1156" s="335">
        <f t="shared" si="253"/>
        <v>0</v>
      </c>
      <c r="AM1156" s="130">
        <f t="shared" si="254"/>
        <v>4</v>
      </c>
      <c r="AN1156" s="336">
        <f t="shared" ref="AN1156:AN1219" si="257">+D1156-AM1156</f>
        <v>0</v>
      </c>
      <c r="AO1156" s="438"/>
    </row>
    <row r="1157" spans="1:41" s="130" customFormat="1" ht="66" x14ac:dyDescent="0.25">
      <c r="A1157" s="9"/>
      <c r="B1157" s="34" t="s">
        <v>1812</v>
      </c>
      <c r="C1157" s="1024"/>
      <c r="D1157" s="869">
        <v>3</v>
      </c>
      <c r="E1157" s="1024" t="s">
        <v>1721</v>
      </c>
      <c r="F1157" s="273" t="s">
        <v>3446</v>
      </c>
      <c r="G1157" s="1040" t="s">
        <v>3463</v>
      </c>
      <c r="H1157" s="273" t="s">
        <v>3462</v>
      </c>
      <c r="I1157" s="722">
        <f t="shared" si="255"/>
        <v>754</v>
      </c>
      <c r="J1157" s="759">
        <v>2262</v>
      </c>
      <c r="K1157" s="131">
        <f t="shared" si="256"/>
        <v>2262</v>
      </c>
      <c r="L1157" s="335">
        <f t="shared" si="249"/>
        <v>0</v>
      </c>
      <c r="M1157" s="335"/>
      <c r="N1157" s="335"/>
      <c r="O1157" s="335"/>
      <c r="P1157" s="335"/>
      <c r="Q1157" s="130">
        <v>1</v>
      </c>
      <c r="R1157" s="131">
        <v>754</v>
      </c>
      <c r="U1157" s="130">
        <v>1</v>
      </c>
      <c r="V1157" s="131">
        <v>754</v>
      </c>
      <c r="AA1157" s="130">
        <v>1</v>
      </c>
      <c r="AB1157" s="131">
        <v>754</v>
      </c>
      <c r="AE1157" s="130">
        <v>0</v>
      </c>
      <c r="AF1157" s="131">
        <v>0</v>
      </c>
      <c r="AK1157" s="131">
        <f t="shared" si="252"/>
        <v>2262</v>
      </c>
      <c r="AL1157" s="335">
        <f t="shared" si="253"/>
        <v>0</v>
      </c>
      <c r="AM1157" s="130">
        <f t="shared" si="254"/>
        <v>3</v>
      </c>
      <c r="AN1157" s="336">
        <f t="shared" si="257"/>
        <v>0</v>
      </c>
      <c r="AO1157" s="438"/>
    </row>
    <row r="1158" spans="1:41" s="130" customFormat="1" ht="66" x14ac:dyDescent="0.25">
      <c r="A1158" s="9"/>
      <c r="B1158" s="34" t="s">
        <v>1813</v>
      </c>
      <c r="C1158" s="1024"/>
      <c r="D1158" s="869">
        <v>3</v>
      </c>
      <c r="E1158" s="1024" t="s">
        <v>1721</v>
      </c>
      <c r="F1158" s="273" t="s">
        <v>3446</v>
      </c>
      <c r="G1158" s="1040" t="s">
        <v>3463</v>
      </c>
      <c r="H1158" s="273" t="s">
        <v>3462</v>
      </c>
      <c r="I1158" s="722">
        <f t="shared" si="255"/>
        <v>754</v>
      </c>
      <c r="J1158" s="759">
        <v>2262</v>
      </c>
      <c r="K1158" s="131">
        <f t="shared" si="256"/>
        <v>2262</v>
      </c>
      <c r="L1158" s="335">
        <f t="shared" si="249"/>
        <v>0</v>
      </c>
      <c r="M1158" s="335"/>
      <c r="N1158" s="335"/>
      <c r="O1158" s="335"/>
      <c r="P1158" s="335"/>
      <c r="Q1158" s="130">
        <v>1</v>
      </c>
      <c r="R1158" s="131">
        <v>754</v>
      </c>
      <c r="U1158" s="130">
        <v>1</v>
      </c>
      <c r="V1158" s="131">
        <v>754</v>
      </c>
      <c r="AA1158" s="130">
        <v>1</v>
      </c>
      <c r="AB1158" s="131">
        <v>754</v>
      </c>
      <c r="AE1158" s="130">
        <v>0</v>
      </c>
      <c r="AF1158" s="131">
        <v>0</v>
      </c>
      <c r="AK1158" s="131">
        <f t="shared" si="252"/>
        <v>2262</v>
      </c>
      <c r="AL1158" s="335">
        <f t="shared" si="253"/>
        <v>0</v>
      </c>
      <c r="AM1158" s="130">
        <f t="shared" si="254"/>
        <v>3</v>
      </c>
      <c r="AN1158" s="336">
        <f t="shared" si="257"/>
        <v>0</v>
      </c>
      <c r="AO1158" s="438"/>
    </row>
    <row r="1159" spans="1:41" s="130" customFormat="1" ht="66" x14ac:dyDescent="0.25">
      <c r="A1159" s="9"/>
      <c r="B1159" s="34" t="s">
        <v>1814</v>
      </c>
      <c r="C1159" s="1024"/>
      <c r="D1159" s="869">
        <v>3</v>
      </c>
      <c r="E1159" s="1024" t="s">
        <v>1721</v>
      </c>
      <c r="F1159" s="273" t="s">
        <v>3446</v>
      </c>
      <c r="G1159" s="1040" t="s">
        <v>3463</v>
      </c>
      <c r="H1159" s="273" t="s">
        <v>3462</v>
      </c>
      <c r="I1159" s="722">
        <f t="shared" si="255"/>
        <v>754</v>
      </c>
      <c r="J1159" s="759">
        <v>2262</v>
      </c>
      <c r="K1159" s="131">
        <f t="shared" si="256"/>
        <v>2262</v>
      </c>
      <c r="L1159" s="335">
        <f t="shared" si="249"/>
        <v>0</v>
      </c>
      <c r="M1159" s="335"/>
      <c r="N1159" s="335"/>
      <c r="O1159" s="335"/>
      <c r="P1159" s="335"/>
      <c r="Q1159" s="130">
        <v>1</v>
      </c>
      <c r="R1159" s="131">
        <v>754</v>
      </c>
      <c r="U1159" s="130">
        <v>1</v>
      </c>
      <c r="V1159" s="131">
        <v>754</v>
      </c>
      <c r="AA1159" s="130">
        <v>1</v>
      </c>
      <c r="AB1159" s="131">
        <v>754</v>
      </c>
      <c r="AE1159" s="130">
        <v>0</v>
      </c>
      <c r="AF1159" s="131">
        <v>0</v>
      </c>
      <c r="AK1159" s="131">
        <f t="shared" si="252"/>
        <v>2262</v>
      </c>
      <c r="AL1159" s="335">
        <f t="shared" si="253"/>
        <v>0</v>
      </c>
      <c r="AM1159" s="130">
        <f t="shared" si="254"/>
        <v>3</v>
      </c>
      <c r="AN1159" s="336">
        <f t="shared" si="257"/>
        <v>0</v>
      </c>
      <c r="AO1159" s="438"/>
    </row>
    <row r="1160" spans="1:41" s="130" customFormat="1" ht="66" x14ac:dyDescent="0.25">
      <c r="A1160" s="9"/>
      <c r="B1160" s="476" t="s">
        <v>1855</v>
      </c>
      <c r="C1160" s="1024"/>
      <c r="D1160" s="869">
        <v>3</v>
      </c>
      <c r="E1160" s="1024" t="s">
        <v>1725</v>
      </c>
      <c r="F1160" s="273" t="s">
        <v>3446</v>
      </c>
      <c r="G1160" s="1040" t="s">
        <v>3463</v>
      </c>
      <c r="H1160" s="273" t="s">
        <v>3462</v>
      </c>
      <c r="I1160" s="722">
        <f t="shared" si="255"/>
        <v>800</v>
      </c>
      <c r="J1160" s="759">
        <v>2400</v>
      </c>
      <c r="K1160" s="131">
        <f t="shared" si="256"/>
        <v>2400</v>
      </c>
      <c r="L1160" s="335">
        <f t="shared" si="249"/>
        <v>0</v>
      </c>
      <c r="M1160" s="335"/>
      <c r="N1160" s="335"/>
      <c r="O1160" s="335"/>
      <c r="P1160" s="335"/>
      <c r="Q1160" s="130">
        <v>1</v>
      </c>
      <c r="R1160" s="131">
        <v>800</v>
      </c>
      <c r="U1160" s="130">
        <v>1</v>
      </c>
      <c r="V1160" s="131">
        <v>800</v>
      </c>
      <c r="AA1160" s="130">
        <v>1</v>
      </c>
      <c r="AB1160" s="131">
        <v>800</v>
      </c>
      <c r="AE1160" s="130">
        <v>0</v>
      </c>
      <c r="AF1160" s="131">
        <v>0</v>
      </c>
      <c r="AK1160" s="131">
        <f t="shared" si="252"/>
        <v>2400</v>
      </c>
      <c r="AL1160" s="335">
        <f t="shared" si="253"/>
        <v>0</v>
      </c>
      <c r="AM1160" s="130">
        <f t="shared" si="254"/>
        <v>3</v>
      </c>
      <c r="AN1160" s="336">
        <f t="shared" si="257"/>
        <v>0</v>
      </c>
      <c r="AO1160" s="438"/>
    </row>
    <row r="1161" spans="1:41" s="130" customFormat="1" ht="66" x14ac:dyDescent="0.25">
      <c r="A1161" s="9"/>
      <c r="B1161" s="34" t="s">
        <v>1951</v>
      </c>
      <c r="C1161" s="1024"/>
      <c r="D1161" s="869">
        <v>6</v>
      </c>
      <c r="E1161" s="1024" t="s">
        <v>1931</v>
      </c>
      <c r="F1161" s="273" t="s">
        <v>3446</v>
      </c>
      <c r="G1161" s="1040" t="s">
        <v>3463</v>
      </c>
      <c r="H1161" s="273" t="s">
        <v>3462</v>
      </c>
      <c r="I1161" s="722">
        <f t="shared" si="255"/>
        <v>486</v>
      </c>
      <c r="J1161" s="759">
        <v>2916</v>
      </c>
      <c r="K1161" s="131">
        <f t="shared" si="256"/>
        <v>2916</v>
      </c>
      <c r="L1161" s="335">
        <f t="shared" si="249"/>
        <v>0</v>
      </c>
      <c r="M1161" s="335"/>
      <c r="N1161" s="335"/>
      <c r="O1161" s="335"/>
      <c r="P1161" s="335"/>
      <c r="Q1161" s="130">
        <v>2</v>
      </c>
      <c r="R1161" s="131">
        <f t="shared" si="245"/>
        <v>729</v>
      </c>
      <c r="U1161" s="130">
        <v>2</v>
      </c>
      <c r="V1161" s="131">
        <f t="shared" si="247"/>
        <v>729</v>
      </c>
      <c r="AA1161" s="130">
        <v>1</v>
      </c>
      <c r="AB1161" s="131">
        <f t="shared" si="250"/>
        <v>729</v>
      </c>
      <c r="AE1161" s="130">
        <v>1</v>
      </c>
      <c r="AF1161" s="131">
        <f t="shared" si="251"/>
        <v>729</v>
      </c>
      <c r="AK1161" s="131">
        <f t="shared" si="252"/>
        <v>2916</v>
      </c>
      <c r="AL1161" s="335">
        <f t="shared" si="253"/>
        <v>0</v>
      </c>
      <c r="AM1161" s="130">
        <f t="shared" si="254"/>
        <v>6</v>
      </c>
      <c r="AN1161" s="336">
        <f t="shared" si="257"/>
        <v>0</v>
      </c>
      <c r="AO1161" s="438"/>
    </row>
    <row r="1162" spans="1:41" s="130" customFormat="1" ht="66" x14ac:dyDescent="0.25">
      <c r="A1162" s="9"/>
      <c r="B1162" s="34" t="s">
        <v>1145</v>
      </c>
      <c r="C1162" s="1024"/>
      <c r="D1162" s="869">
        <v>2</v>
      </c>
      <c r="E1162" s="1024" t="s">
        <v>1954</v>
      </c>
      <c r="F1162" s="273" t="s">
        <v>3446</v>
      </c>
      <c r="G1162" s="1040" t="s">
        <v>3463</v>
      </c>
      <c r="H1162" s="273" t="s">
        <v>3462</v>
      </c>
      <c r="I1162" s="722">
        <f t="shared" si="255"/>
        <v>884.49</v>
      </c>
      <c r="J1162" s="759">
        <v>1768.98</v>
      </c>
      <c r="K1162" s="131">
        <f t="shared" si="256"/>
        <v>1768.98</v>
      </c>
      <c r="L1162" s="335">
        <f t="shared" si="249"/>
        <v>0</v>
      </c>
      <c r="M1162" s="335"/>
      <c r="N1162" s="335"/>
      <c r="O1162" s="335"/>
      <c r="P1162" s="335"/>
      <c r="Q1162" s="130">
        <v>1</v>
      </c>
      <c r="R1162" s="131">
        <v>884.49</v>
      </c>
      <c r="U1162" s="130">
        <v>1</v>
      </c>
      <c r="V1162" s="131">
        <v>884.49</v>
      </c>
      <c r="AA1162" s="130">
        <v>0</v>
      </c>
      <c r="AB1162" s="131">
        <v>0</v>
      </c>
      <c r="AE1162" s="130">
        <v>0</v>
      </c>
      <c r="AF1162" s="131">
        <v>0</v>
      </c>
      <c r="AK1162" s="131">
        <f t="shared" si="252"/>
        <v>1768.98</v>
      </c>
      <c r="AL1162" s="335">
        <f t="shared" si="253"/>
        <v>0</v>
      </c>
      <c r="AM1162" s="130">
        <f t="shared" si="254"/>
        <v>2</v>
      </c>
      <c r="AN1162" s="336">
        <f t="shared" si="257"/>
        <v>0</v>
      </c>
      <c r="AO1162" s="438"/>
    </row>
    <row r="1163" spans="1:41" s="130" customFormat="1" ht="66" x14ac:dyDescent="0.25">
      <c r="A1163" s="9"/>
      <c r="B1163" s="34" t="s">
        <v>1952</v>
      </c>
      <c r="C1163" s="1024"/>
      <c r="D1163" s="869">
        <v>2</v>
      </c>
      <c r="E1163" s="1024" t="s">
        <v>1931</v>
      </c>
      <c r="F1163" s="273" t="s">
        <v>3446</v>
      </c>
      <c r="G1163" s="1040" t="s">
        <v>3463</v>
      </c>
      <c r="H1163" s="273" t="s">
        <v>3462</v>
      </c>
      <c r="I1163" s="722">
        <f t="shared" si="255"/>
        <v>139.65</v>
      </c>
      <c r="J1163" s="759">
        <v>279.3</v>
      </c>
      <c r="K1163" s="131">
        <f t="shared" si="256"/>
        <v>279.3</v>
      </c>
      <c r="L1163" s="335">
        <f t="shared" si="249"/>
        <v>0</v>
      </c>
      <c r="M1163" s="335"/>
      <c r="N1163" s="335"/>
      <c r="O1163" s="335"/>
      <c r="P1163" s="335"/>
      <c r="Q1163" s="130">
        <v>1</v>
      </c>
      <c r="R1163" s="131">
        <v>139.65</v>
      </c>
      <c r="U1163" s="130">
        <v>1</v>
      </c>
      <c r="V1163" s="131">
        <v>139.65</v>
      </c>
      <c r="AA1163" s="130">
        <v>0</v>
      </c>
      <c r="AB1163" s="131">
        <v>0</v>
      </c>
      <c r="AE1163" s="130">
        <v>0</v>
      </c>
      <c r="AF1163" s="131">
        <v>0</v>
      </c>
      <c r="AK1163" s="131">
        <f t="shared" si="252"/>
        <v>279.3</v>
      </c>
      <c r="AL1163" s="335">
        <f t="shared" si="253"/>
        <v>0</v>
      </c>
      <c r="AM1163" s="130">
        <f t="shared" si="254"/>
        <v>2</v>
      </c>
      <c r="AN1163" s="336">
        <f t="shared" si="257"/>
        <v>0</v>
      </c>
      <c r="AO1163" s="438"/>
    </row>
    <row r="1164" spans="1:41" s="130" customFormat="1" ht="66" x14ac:dyDescent="0.25">
      <c r="A1164" s="9"/>
      <c r="B1164" s="34" t="s">
        <v>1953</v>
      </c>
      <c r="C1164" s="1024"/>
      <c r="D1164" s="869">
        <v>2</v>
      </c>
      <c r="E1164" s="1024" t="s">
        <v>1931</v>
      </c>
      <c r="F1164" s="273" t="s">
        <v>3446</v>
      </c>
      <c r="G1164" s="1040" t="s">
        <v>3463</v>
      </c>
      <c r="H1164" s="273" t="s">
        <v>3462</v>
      </c>
      <c r="I1164" s="722">
        <f t="shared" si="255"/>
        <v>1620</v>
      </c>
      <c r="J1164" s="759">
        <v>3240</v>
      </c>
      <c r="K1164" s="131">
        <f t="shared" si="256"/>
        <v>3240</v>
      </c>
      <c r="L1164" s="335">
        <f t="shared" si="249"/>
        <v>0</v>
      </c>
      <c r="M1164" s="335"/>
      <c r="N1164" s="335"/>
      <c r="O1164" s="335"/>
      <c r="P1164" s="335"/>
      <c r="Q1164" s="130">
        <v>1</v>
      </c>
      <c r="R1164" s="131">
        <v>1620</v>
      </c>
      <c r="U1164" s="130">
        <v>1</v>
      </c>
      <c r="V1164" s="131">
        <v>1620</v>
      </c>
      <c r="AA1164" s="130">
        <v>0</v>
      </c>
      <c r="AB1164" s="131">
        <v>0</v>
      </c>
      <c r="AE1164" s="130">
        <v>0</v>
      </c>
      <c r="AF1164" s="131">
        <v>0</v>
      </c>
      <c r="AK1164" s="131">
        <f t="shared" si="252"/>
        <v>3240</v>
      </c>
      <c r="AL1164" s="335">
        <f t="shared" si="253"/>
        <v>0</v>
      </c>
      <c r="AM1164" s="130">
        <f t="shared" si="254"/>
        <v>2</v>
      </c>
      <c r="AN1164" s="336">
        <f t="shared" si="257"/>
        <v>0</v>
      </c>
      <c r="AO1164" s="438"/>
    </row>
    <row r="1165" spans="1:41" s="130" customFormat="1" ht="66" x14ac:dyDescent="0.25">
      <c r="A1165" s="9"/>
      <c r="B1165" s="34" t="s">
        <v>2064</v>
      </c>
      <c r="C1165" s="1024"/>
      <c r="D1165" s="869">
        <v>3</v>
      </c>
      <c r="E1165" s="1024" t="s">
        <v>1721</v>
      </c>
      <c r="F1165" s="273" t="s">
        <v>3446</v>
      </c>
      <c r="G1165" s="1040" t="s">
        <v>3463</v>
      </c>
      <c r="H1165" s="273" t="s">
        <v>3462</v>
      </c>
      <c r="I1165" s="722">
        <f t="shared" si="255"/>
        <v>149</v>
      </c>
      <c r="J1165" s="759">
        <v>447</v>
      </c>
      <c r="K1165" s="131">
        <f t="shared" si="256"/>
        <v>447</v>
      </c>
      <c r="L1165" s="335">
        <f t="shared" si="249"/>
        <v>0</v>
      </c>
      <c r="M1165" s="335"/>
      <c r="N1165" s="335"/>
      <c r="O1165" s="335"/>
      <c r="P1165" s="335"/>
      <c r="Q1165" s="130">
        <v>1</v>
      </c>
      <c r="R1165" s="131">
        <v>149</v>
      </c>
      <c r="U1165" s="130">
        <v>1</v>
      </c>
      <c r="V1165" s="131">
        <v>149</v>
      </c>
      <c r="AA1165" s="130">
        <v>1</v>
      </c>
      <c r="AB1165" s="131">
        <v>149</v>
      </c>
      <c r="AE1165" s="130">
        <v>0</v>
      </c>
      <c r="AF1165" s="131">
        <v>0</v>
      </c>
      <c r="AK1165" s="131">
        <f t="shared" si="252"/>
        <v>447</v>
      </c>
      <c r="AL1165" s="335">
        <f t="shared" si="253"/>
        <v>0</v>
      </c>
      <c r="AM1165" s="130">
        <f t="shared" si="254"/>
        <v>3</v>
      </c>
      <c r="AN1165" s="336">
        <f t="shared" si="257"/>
        <v>0</v>
      </c>
      <c r="AO1165" s="438"/>
    </row>
    <row r="1166" spans="1:41" s="130" customFormat="1" ht="66" x14ac:dyDescent="0.25">
      <c r="A1166" s="9"/>
      <c r="B1166" s="34" t="s">
        <v>2065</v>
      </c>
      <c r="C1166" s="1024"/>
      <c r="D1166" s="869">
        <v>2</v>
      </c>
      <c r="E1166" s="1024" t="s">
        <v>1721</v>
      </c>
      <c r="F1166" s="273" t="s">
        <v>3446</v>
      </c>
      <c r="G1166" s="1040" t="s">
        <v>3463</v>
      </c>
      <c r="H1166" s="273" t="s">
        <v>3462</v>
      </c>
      <c r="I1166" s="722">
        <f t="shared" si="255"/>
        <v>151.19999999999999</v>
      </c>
      <c r="J1166" s="759">
        <v>302.39999999999998</v>
      </c>
      <c r="K1166" s="131">
        <f t="shared" si="256"/>
        <v>302.39999999999998</v>
      </c>
      <c r="L1166" s="335">
        <f t="shared" si="249"/>
        <v>0</v>
      </c>
      <c r="M1166" s="335"/>
      <c r="N1166" s="335"/>
      <c r="O1166" s="335"/>
      <c r="P1166" s="335"/>
      <c r="Q1166" s="130">
        <v>1</v>
      </c>
      <c r="R1166" s="131">
        <v>151.19999999999999</v>
      </c>
      <c r="U1166" s="130">
        <v>1</v>
      </c>
      <c r="V1166" s="131">
        <v>151.19999999999999</v>
      </c>
      <c r="AA1166" s="130">
        <v>0</v>
      </c>
      <c r="AB1166" s="131">
        <v>0</v>
      </c>
      <c r="AE1166" s="130">
        <v>0</v>
      </c>
      <c r="AF1166" s="131">
        <v>0</v>
      </c>
      <c r="AK1166" s="131">
        <f t="shared" si="252"/>
        <v>302.39999999999998</v>
      </c>
      <c r="AL1166" s="335">
        <f t="shared" si="253"/>
        <v>0</v>
      </c>
      <c r="AM1166" s="130">
        <f t="shared" si="254"/>
        <v>2</v>
      </c>
      <c r="AN1166" s="336">
        <f t="shared" si="257"/>
        <v>0</v>
      </c>
      <c r="AO1166" s="438"/>
    </row>
    <row r="1167" spans="1:41" s="130" customFormat="1" ht="66" x14ac:dyDescent="0.25">
      <c r="A1167" s="9"/>
      <c r="B1167" s="34" t="s">
        <v>2066</v>
      </c>
      <c r="C1167" s="1024"/>
      <c r="D1167" s="869">
        <v>4</v>
      </c>
      <c r="E1167" s="1024" t="s">
        <v>1725</v>
      </c>
      <c r="F1167" s="273" t="s">
        <v>3446</v>
      </c>
      <c r="G1167" s="1040" t="s">
        <v>3463</v>
      </c>
      <c r="H1167" s="273" t="s">
        <v>3462</v>
      </c>
      <c r="I1167" s="722">
        <f t="shared" si="255"/>
        <v>250</v>
      </c>
      <c r="J1167" s="759">
        <v>1000</v>
      </c>
      <c r="K1167" s="131">
        <f t="shared" si="256"/>
        <v>1000</v>
      </c>
      <c r="L1167" s="335">
        <f t="shared" si="249"/>
        <v>0</v>
      </c>
      <c r="M1167" s="335"/>
      <c r="N1167" s="335"/>
      <c r="O1167" s="335"/>
      <c r="P1167" s="335"/>
      <c r="Q1167" s="130">
        <f t="shared" si="244"/>
        <v>1</v>
      </c>
      <c r="R1167" s="131">
        <f t="shared" si="245"/>
        <v>250</v>
      </c>
      <c r="U1167" s="130">
        <f t="shared" si="246"/>
        <v>1</v>
      </c>
      <c r="V1167" s="131">
        <f t="shared" si="247"/>
        <v>250</v>
      </c>
      <c r="AA1167" s="130">
        <f t="shared" si="248"/>
        <v>1</v>
      </c>
      <c r="AB1167" s="131">
        <f t="shared" si="250"/>
        <v>250</v>
      </c>
      <c r="AE1167" s="130">
        <f t="shared" si="248"/>
        <v>1</v>
      </c>
      <c r="AF1167" s="131">
        <f t="shared" si="251"/>
        <v>250</v>
      </c>
      <c r="AK1167" s="131">
        <f t="shared" si="252"/>
        <v>1000</v>
      </c>
      <c r="AL1167" s="335">
        <f t="shared" si="253"/>
        <v>0</v>
      </c>
      <c r="AM1167" s="130">
        <f t="shared" si="254"/>
        <v>4</v>
      </c>
      <c r="AN1167" s="336">
        <f t="shared" si="257"/>
        <v>0</v>
      </c>
      <c r="AO1167" s="438"/>
    </row>
    <row r="1168" spans="1:41" s="130" customFormat="1" ht="66" x14ac:dyDescent="0.25">
      <c r="A1168" s="9"/>
      <c r="B1168" s="43" t="s">
        <v>2240</v>
      </c>
      <c r="C1168" s="1024"/>
      <c r="D1168" s="869">
        <v>5</v>
      </c>
      <c r="E1168" s="1024" t="s">
        <v>1721</v>
      </c>
      <c r="F1168" s="273" t="s">
        <v>3446</v>
      </c>
      <c r="G1168" s="1040" t="s">
        <v>3463</v>
      </c>
      <c r="H1168" s="273" t="s">
        <v>3462</v>
      </c>
      <c r="I1168" s="722">
        <f t="shared" si="255"/>
        <v>1869.5</v>
      </c>
      <c r="J1168" s="759">
        <v>9347.5</v>
      </c>
      <c r="K1168" s="131">
        <f t="shared" si="256"/>
        <v>9347.5</v>
      </c>
      <c r="L1168" s="335">
        <f t="shared" si="249"/>
        <v>0</v>
      </c>
      <c r="M1168" s="335"/>
      <c r="N1168" s="335"/>
      <c r="O1168" s="335"/>
      <c r="P1168" s="335"/>
      <c r="Q1168" s="110">
        <v>2</v>
      </c>
      <c r="R1168" s="131">
        <f t="shared" si="245"/>
        <v>2336.875</v>
      </c>
      <c r="U1168" s="110">
        <v>1</v>
      </c>
      <c r="V1168" s="131">
        <f t="shared" si="247"/>
        <v>2336.875</v>
      </c>
      <c r="AA1168" s="110">
        <v>1</v>
      </c>
      <c r="AB1168" s="131">
        <f t="shared" si="250"/>
        <v>2336.875</v>
      </c>
      <c r="AE1168" s="110">
        <v>1</v>
      </c>
      <c r="AF1168" s="131">
        <f t="shared" si="251"/>
        <v>2336.875</v>
      </c>
      <c r="AK1168" s="131">
        <f t="shared" si="252"/>
        <v>9347.5</v>
      </c>
      <c r="AL1168" s="335">
        <f t="shared" si="253"/>
        <v>0</v>
      </c>
      <c r="AM1168" s="130">
        <f t="shared" si="254"/>
        <v>5</v>
      </c>
      <c r="AN1168" s="336">
        <f t="shared" si="257"/>
        <v>0</v>
      </c>
      <c r="AO1168" s="438"/>
    </row>
    <row r="1169" spans="1:42" s="130" customFormat="1" ht="66" x14ac:dyDescent="0.25">
      <c r="A1169" s="9"/>
      <c r="B1169" s="59" t="s">
        <v>2241</v>
      </c>
      <c r="C1169" s="1024"/>
      <c r="D1169" s="869">
        <v>4</v>
      </c>
      <c r="E1169" s="1024" t="s">
        <v>1721</v>
      </c>
      <c r="F1169" s="273" t="s">
        <v>3446</v>
      </c>
      <c r="G1169" s="1040" t="s">
        <v>3463</v>
      </c>
      <c r="H1169" s="273" t="s">
        <v>3462</v>
      </c>
      <c r="I1169" s="722">
        <f t="shared" si="255"/>
        <v>1869.5</v>
      </c>
      <c r="J1169" s="759">
        <v>7478</v>
      </c>
      <c r="K1169" s="131">
        <f t="shared" si="256"/>
        <v>7478</v>
      </c>
      <c r="L1169" s="335">
        <f t="shared" si="249"/>
        <v>0</v>
      </c>
      <c r="M1169" s="335"/>
      <c r="N1169" s="335"/>
      <c r="O1169" s="335"/>
      <c r="P1169" s="335"/>
      <c r="Q1169" s="130">
        <f t="shared" si="244"/>
        <v>1</v>
      </c>
      <c r="R1169" s="131">
        <f t="shared" si="245"/>
        <v>1869.5</v>
      </c>
      <c r="U1169" s="130">
        <f t="shared" si="246"/>
        <v>1</v>
      </c>
      <c r="V1169" s="131">
        <f t="shared" si="247"/>
        <v>1869.5</v>
      </c>
      <c r="AA1169" s="130">
        <f t="shared" si="248"/>
        <v>1</v>
      </c>
      <c r="AB1169" s="131">
        <f t="shared" si="250"/>
        <v>1869.5</v>
      </c>
      <c r="AE1169" s="130">
        <f t="shared" si="248"/>
        <v>1</v>
      </c>
      <c r="AF1169" s="131">
        <f t="shared" si="251"/>
        <v>1869.5</v>
      </c>
      <c r="AK1169" s="131">
        <f t="shared" si="252"/>
        <v>7478</v>
      </c>
      <c r="AL1169" s="335">
        <f t="shared" si="253"/>
        <v>0</v>
      </c>
      <c r="AM1169" s="130">
        <f t="shared" si="254"/>
        <v>4</v>
      </c>
      <c r="AN1169" s="336">
        <f t="shared" si="257"/>
        <v>0</v>
      </c>
      <c r="AO1169" s="438"/>
    </row>
    <row r="1170" spans="1:42" s="130" customFormat="1" ht="66" x14ac:dyDescent="0.25">
      <c r="A1170" s="9"/>
      <c r="B1170" s="34" t="s">
        <v>155</v>
      </c>
      <c r="C1170" s="1024"/>
      <c r="D1170" s="869">
        <v>1</v>
      </c>
      <c r="E1170" s="1024" t="s">
        <v>1721</v>
      </c>
      <c r="F1170" s="273" t="s">
        <v>3446</v>
      </c>
      <c r="G1170" s="1040" t="s">
        <v>3463</v>
      </c>
      <c r="H1170" s="273" t="s">
        <v>3462</v>
      </c>
      <c r="I1170" s="722">
        <f t="shared" si="255"/>
        <v>1027.3599999999999</v>
      </c>
      <c r="J1170" s="759">
        <v>1027.3599999999999</v>
      </c>
      <c r="K1170" s="131">
        <f t="shared" si="256"/>
        <v>1027.3599999999999</v>
      </c>
      <c r="L1170" s="335">
        <f t="shared" si="249"/>
        <v>0</v>
      </c>
      <c r="M1170" s="335"/>
      <c r="N1170" s="335"/>
      <c r="O1170" s="335"/>
      <c r="P1170" s="335"/>
      <c r="Q1170" s="130">
        <v>1</v>
      </c>
      <c r="R1170" s="131">
        <v>1027.3599999999999</v>
      </c>
      <c r="U1170" s="110">
        <v>0</v>
      </c>
      <c r="V1170" s="131">
        <v>0</v>
      </c>
      <c r="AA1170" s="110">
        <v>0</v>
      </c>
      <c r="AB1170" s="131">
        <v>0</v>
      </c>
      <c r="AE1170" s="110">
        <v>0</v>
      </c>
      <c r="AF1170" s="131">
        <v>0</v>
      </c>
      <c r="AK1170" s="131">
        <f t="shared" si="252"/>
        <v>1027.3599999999999</v>
      </c>
      <c r="AL1170" s="335">
        <f t="shared" si="253"/>
        <v>0</v>
      </c>
      <c r="AM1170" s="130">
        <f t="shared" si="254"/>
        <v>1</v>
      </c>
      <c r="AN1170" s="336">
        <f t="shared" si="257"/>
        <v>0</v>
      </c>
      <c r="AO1170" s="438"/>
    </row>
    <row r="1171" spans="1:42" s="130" customFormat="1" ht="66" x14ac:dyDescent="0.25">
      <c r="A1171" s="9"/>
      <c r="B1171" s="515" t="s">
        <v>2896</v>
      </c>
      <c r="C1171" s="1024"/>
      <c r="D1171" s="869">
        <v>15</v>
      </c>
      <c r="E1171" s="337" t="s">
        <v>1767</v>
      </c>
      <c r="F1171" s="273" t="s">
        <v>3446</v>
      </c>
      <c r="G1171" s="1040" t="s">
        <v>3463</v>
      </c>
      <c r="H1171" s="273" t="s">
        <v>3462</v>
      </c>
      <c r="I1171" s="722">
        <f t="shared" si="255"/>
        <v>1241.6500000000001</v>
      </c>
      <c r="J1171" s="759">
        <v>18624.75</v>
      </c>
      <c r="K1171" s="131">
        <f t="shared" si="256"/>
        <v>18624.75</v>
      </c>
      <c r="L1171" s="335">
        <f t="shared" si="249"/>
        <v>0</v>
      </c>
      <c r="M1171" s="335"/>
      <c r="N1171" s="335"/>
      <c r="O1171" s="335"/>
      <c r="P1171" s="335"/>
      <c r="Q1171" s="110">
        <v>4</v>
      </c>
      <c r="R1171" s="131">
        <f t="shared" si="245"/>
        <v>4656.1875</v>
      </c>
      <c r="U1171" s="110">
        <v>4</v>
      </c>
      <c r="V1171" s="131">
        <f t="shared" si="247"/>
        <v>4656.1875</v>
      </c>
      <c r="AA1171" s="110">
        <v>4</v>
      </c>
      <c r="AB1171" s="131">
        <f t="shared" si="250"/>
        <v>4656.1875</v>
      </c>
      <c r="AE1171" s="110">
        <v>3</v>
      </c>
      <c r="AF1171" s="131">
        <f t="shared" si="251"/>
        <v>4656.1875</v>
      </c>
      <c r="AK1171" s="131">
        <f t="shared" si="252"/>
        <v>18624.75</v>
      </c>
      <c r="AL1171" s="335">
        <f t="shared" si="253"/>
        <v>0</v>
      </c>
      <c r="AM1171" s="130">
        <f t="shared" si="254"/>
        <v>15</v>
      </c>
      <c r="AN1171" s="336">
        <f t="shared" si="257"/>
        <v>0</v>
      </c>
      <c r="AO1171" s="438"/>
    </row>
    <row r="1172" spans="1:42" s="130" customFormat="1" ht="66" x14ac:dyDescent="0.25">
      <c r="A1172" s="9"/>
      <c r="B1172" s="515" t="s">
        <v>2897</v>
      </c>
      <c r="C1172" s="1024"/>
      <c r="D1172" s="869">
        <v>1</v>
      </c>
      <c r="E1172" s="337" t="s">
        <v>1767</v>
      </c>
      <c r="F1172" s="273" t="s">
        <v>3446</v>
      </c>
      <c r="G1172" s="1040" t="s">
        <v>3463</v>
      </c>
      <c r="H1172" s="273" t="s">
        <v>3462</v>
      </c>
      <c r="I1172" s="722">
        <f t="shared" si="255"/>
        <v>3700</v>
      </c>
      <c r="J1172" s="759">
        <v>3700</v>
      </c>
      <c r="K1172" s="131">
        <f t="shared" si="256"/>
        <v>3700</v>
      </c>
      <c r="L1172" s="335">
        <f t="shared" si="249"/>
        <v>0</v>
      </c>
      <c r="M1172" s="335"/>
      <c r="N1172" s="335"/>
      <c r="O1172" s="335"/>
      <c r="P1172" s="335"/>
      <c r="Q1172" s="130">
        <v>1</v>
      </c>
      <c r="R1172" s="131">
        <v>3700</v>
      </c>
      <c r="U1172" s="110">
        <v>0</v>
      </c>
      <c r="V1172" s="131">
        <v>0</v>
      </c>
      <c r="AA1172" s="110">
        <v>0</v>
      </c>
      <c r="AB1172" s="131">
        <v>0</v>
      </c>
      <c r="AE1172" s="110">
        <v>0</v>
      </c>
      <c r="AF1172" s="131">
        <v>0</v>
      </c>
      <c r="AK1172" s="131">
        <f t="shared" si="252"/>
        <v>3700</v>
      </c>
      <c r="AL1172" s="335">
        <f t="shared" si="253"/>
        <v>0</v>
      </c>
      <c r="AM1172" s="130">
        <f t="shared" si="254"/>
        <v>1</v>
      </c>
      <c r="AN1172" s="336">
        <f t="shared" si="257"/>
        <v>0</v>
      </c>
      <c r="AO1172" s="438"/>
    </row>
    <row r="1173" spans="1:42" s="130" customFormat="1" ht="66" x14ac:dyDescent="0.25">
      <c r="A1173" s="9"/>
      <c r="B1173" s="515" t="s">
        <v>2898</v>
      </c>
      <c r="C1173" s="1024"/>
      <c r="D1173" s="869">
        <v>2</v>
      </c>
      <c r="E1173" s="337" t="s">
        <v>1767</v>
      </c>
      <c r="F1173" s="273" t="s">
        <v>3446</v>
      </c>
      <c r="G1173" s="1040" t="s">
        <v>3463</v>
      </c>
      <c r="H1173" s="273" t="s">
        <v>3462</v>
      </c>
      <c r="I1173" s="722">
        <f t="shared" si="255"/>
        <v>3650</v>
      </c>
      <c r="J1173" s="759">
        <v>7300</v>
      </c>
      <c r="K1173" s="131">
        <f t="shared" si="256"/>
        <v>7300</v>
      </c>
      <c r="L1173" s="335">
        <f t="shared" si="249"/>
        <v>0</v>
      </c>
      <c r="M1173" s="335"/>
      <c r="N1173" s="335"/>
      <c r="O1173" s="335"/>
      <c r="P1173" s="335"/>
      <c r="Q1173" s="130">
        <v>1</v>
      </c>
      <c r="R1173" s="131">
        <v>3650</v>
      </c>
      <c r="U1173" s="130">
        <v>1</v>
      </c>
      <c r="V1173" s="131">
        <v>3650</v>
      </c>
      <c r="AA1173" s="130">
        <v>0</v>
      </c>
      <c r="AB1173" s="131">
        <v>0</v>
      </c>
      <c r="AE1173" s="130">
        <v>0</v>
      </c>
      <c r="AF1173" s="131">
        <v>0</v>
      </c>
      <c r="AK1173" s="131">
        <f t="shared" si="252"/>
        <v>7300</v>
      </c>
      <c r="AL1173" s="335">
        <f t="shared" si="253"/>
        <v>0</v>
      </c>
      <c r="AM1173" s="130">
        <f t="shared" si="254"/>
        <v>2</v>
      </c>
      <c r="AN1173" s="336">
        <f t="shared" si="257"/>
        <v>0</v>
      </c>
      <c r="AO1173" s="438"/>
    </row>
    <row r="1174" spans="1:42" s="130" customFormat="1" ht="66" x14ac:dyDescent="0.25">
      <c r="A1174" s="9"/>
      <c r="B1174" s="515" t="s">
        <v>2899</v>
      </c>
      <c r="C1174" s="1024"/>
      <c r="D1174" s="869">
        <v>24</v>
      </c>
      <c r="E1174" s="337" t="s">
        <v>1767</v>
      </c>
      <c r="F1174" s="273" t="s">
        <v>3446</v>
      </c>
      <c r="G1174" s="1040" t="s">
        <v>3463</v>
      </c>
      <c r="H1174" s="273" t="s">
        <v>3462</v>
      </c>
      <c r="I1174" s="722">
        <f t="shared" si="255"/>
        <v>1458.3344999999999</v>
      </c>
      <c r="J1174" s="759">
        <v>35000.027999999998</v>
      </c>
      <c r="K1174" s="131">
        <f t="shared" si="256"/>
        <v>35000.027999999998</v>
      </c>
      <c r="L1174" s="335">
        <f t="shared" si="249"/>
        <v>0</v>
      </c>
      <c r="M1174" s="335"/>
      <c r="N1174" s="335"/>
      <c r="O1174" s="335"/>
      <c r="P1174" s="335"/>
      <c r="Q1174" s="130">
        <f t="shared" si="244"/>
        <v>6</v>
      </c>
      <c r="R1174" s="131">
        <f t="shared" si="245"/>
        <v>8750.0069999999996</v>
      </c>
      <c r="U1174" s="130">
        <f t="shared" si="246"/>
        <v>6</v>
      </c>
      <c r="V1174" s="131">
        <f t="shared" si="247"/>
        <v>8750.0069999999996</v>
      </c>
      <c r="AA1174" s="130">
        <f t="shared" si="248"/>
        <v>6</v>
      </c>
      <c r="AB1174" s="131">
        <f t="shared" si="250"/>
        <v>8750.0069999999996</v>
      </c>
      <c r="AE1174" s="130">
        <f t="shared" si="248"/>
        <v>6</v>
      </c>
      <c r="AF1174" s="131">
        <f t="shared" si="251"/>
        <v>8750.0069999999996</v>
      </c>
      <c r="AK1174" s="131">
        <f t="shared" si="252"/>
        <v>35000.027999999998</v>
      </c>
      <c r="AL1174" s="335">
        <f t="shared" si="253"/>
        <v>0</v>
      </c>
      <c r="AM1174" s="130">
        <f t="shared" si="254"/>
        <v>24</v>
      </c>
      <c r="AN1174" s="336">
        <f t="shared" si="257"/>
        <v>0</v>
      </c>
      <c r="AO1174" s="438"/>
    </row>
    <row r="1175" spans="1:42" s="130" customFormat="1" ht="66" x14ac:dyDescent="0.25">
      <c r="A1175" s="9"/>
      <c r="B1175" s="515" t="s">
        <v>2900</v>
      </c>
      <c r="C1175" s="1024"/>
      <c r="D1175" s="869">
        <v>2</v>
      </c>
      <c r="E1175" s="337" t="s">
        <v>1767</v>
      </c>
      <c r="F1175" s="273" t="s">
        <v>3446</v>
      </c>
      <c r="G1175" s="1040" t="s">
        <v>3463</v>
      </c>
      <c r="H1175" s="273" t="s">
        <v>3462</v>
      </c>
      <c r="I1175" s="722">
        <f t="shared" si="255"/>
        <v>300.44499999999999</v>
      </c>
      <c r="J1175" s="759">
        <v>600.89</v>
      </c>
      <c r="K1175" s="131">
        <f t="shared" si="256"/>
        <v>600.89</v>
      </c>
      <c r="L1175" s="335">
        <f t="shared" si="249"/>
        <v>0</v>
      </c>
      <c r="M1175" s="335"/>
      <c r="N1175" s="335"/>
      <c r="O1175" s="335"/>
      <c r="P1175" s="335"/>
      <c r="Q1175" s="130">
        <v>1</v>
      </c>
      <c r="R1175" s="131">
        <v>300.45</v>
      </c>
      <c r="U1175" s="130">
        <v>1</v>
      </c>
      <c r="V1175" s="131">
        <v>300.45</v>
      </c>
      <c r="AA1175" s="130">
        <v>0</v>
      </c>
      <c r="AB1175" s="131">
        <v>0</v>
      </c>
      <c r="AE1175" s="130">
        <v>0</v>
      </c>
      <c r="AF1175" s="131">
        <v>0</v>
      </c>
      <c r="AK1175" s="131">
        <f t="shared" si="252"/>
        <v>600.9</v>
      </c>
      <c r="AL1175" s="335">
        <f t="shared" si="253"/>
        <v>-9.9999999999909051E-3</v>
      </c>
      <c r="AM1175" s="130">
        <f t="shared" si="254"/>
        <v>2</v>
      </c>
      <c r="AN1175" s="336">
        <f t="shared" si="257"/>
        <v>0</v>
      </c>
      <c r="AO1175" s="438"/>
    </row>
    <row r="1176" spans="1:42" s="130" customFormat="1" ht="66" x14ac:dyDescent="0.25">
      <c r="A1176" s="9"/>
      <c r="B1176" s="515" t="s">
        <v>2901</v>
      </c>
      <c r="C1176" s="1024"/>
      <c r="D1176" s="869">
        <v>2</v>
      </c>
      <c r="E1176" s="337" t="s">
        <v>1767</v>
      </c>
      <c r="F1176" s="273" t="s">
        <v>3446</v>
      </c>
      <c r="G1176" s="1040" t="s">
        <v>3463</v>
      </c>
      <c r="H1176" s="273" t="s">
        <v>3462</v>
      </c>
      <c r="I1176" s="722">
        <f t="shared" si="255"/>
        <v>950</v>
      </c>
      <c r="J1176" s="759">
        <v>1900</v>
      </c>
      <c r="K1176" s="131">
        <f t="shared" si="256"/>
        <v>1900</v>
      </c>
      <c r="L1176" s="335">
        <f t="shared" si="249"/>
        <v>0</v>
      </c>
      <c r="M1176" s="335"/>
      <c r="N1176" s="335"/>
      <c r="O1176" s="335"/>
      <c r="P1176" s="335"/>
      <c r="Q1176" s="130">
        <v>1</v>
      </c>
      <c r="R1176" s="131">
        <v>950</v>
      </c>
      <c r="U1176" s="130">
        <v>1</v>
      </c>
      <c r="V1176" s="131">
        <v>950</v>
      </c>
      <c r="AA1176" s="130">
        <v>0</v>
      </c>
      <c r="AB1176" s="131">
        <v>0</v>
      </c>
      <c r="AE1176" s="130">
        <v>0</v>
      </c>
      <c r="AF1176" s="131">
        <v>0</v>
      </c>
      <c r="AK1176" s="131">
        <f t="shared" si="252"/>
        <v>1900</v>
      </c>
      <c r="AL1176" s="335">
        <f t="shared" si="253"/>
        <v>0</v>
      </c>
      <c r="AM1176" s="130">
        <f t="shared" si="254"/>
        <v>2</v>
      </c>
      <c r="AN1176" s="336">
        <f t="shared" si="257"/>
        <v>0</v>
      </c>
      <c r="AO1176" s="438"/>
    </row>
    <row r="1177" spans="1:42" s="130" customFormat="1" ht="66" x14ac:dyDescent="0.25">
      <c r="A1177" s="9"/>
      <c r="B1177" s="515" t="s">
        <v>2902</v>
      </c>
      <c r="C1177" s="1024"/>
      <c r="D1177" s="869">
        <v>2</v>
      </c>
      <c r="E1177" s="337" t="s">
        <v>1767</v>
      </c>
      <c r="F1177" s="273" t="s">
        <v>3446</v>
      </c>
      <c r="G1177" s="1040" t="s">
        <v>3463</v>
      </c>
      <c r="H1177" s="273" t="s">
        <v>3462</v>
      </c>
      <c r="I1177" s="722">
        <f t="shared" si="255"/>
        <v>595</v>
      </c>
      <c r="J1177" s="759">
        <v>1190</v>
      </c>
      <c r="K1177" s="131">
        <f t="shared" si="256"/>
        <v>1190</v>
      </c>
      <c r="L1177" s="335">
        <f t="shared" si="249"/>
        <v>0</v>
      </c>
      <c r="M1177" s="335"/>
      <c r="N1177" s="335"/>
      <c r="O1177" s="335"/>
      <c r="P1177" s="335"/>
      <c r="Q1177" s="130">
        <v>1</v>
      </c>
      <c r="R1177" s="131">
        <v>595</v>
      </c>
      <c r="U1177" s="130">
        <v>1</v>
      </c>
      <c r="V1177" s="131">
        <v>595</v>
      </c>
      <c r="AA1177" s="130">
        <v>0</v>
      </c>
      <c r="AB1177" s="131">
        <v>0</v>
      </c>
      <c r="AE1177" s="130">
        <v>0</v>
      </c>
      <c r="AF1177" s="131">
        <v>0</v>
      </c>
      <c r="AK1177" s="131">
        <f t="shared" si="252"/>
        <v>1190</v>
      </c>
      <c r="AL1177" s="335">
        <f t="shared" si="253"/>
        <v>0</v>
      </c>
      <c r="AM1177" s="130">
        <f t="shared" si="254"/>
        <v>2</v>
      </c>
      <c r="AN1177" s="336">
        <f t="shared" si="257"/>
        <v>0</v>
      </c>
      <c r="AO1177" s="438"/>
    </row>
    <row r="1178" spans="1:42" s="130" customFormat="1" ht="66" x14ac:dyDescent="0.25">
      <c r="A1178" s="9"/>
      <c r="B1178" s="515" t="s">
        <v>2903</v>
      </c>
      <c r="C1178" s="1024"/>
      <c r="D1178" s="869">
        <v>2</v>
      </c>
      <c r="E1178" s="337" t="s">
        <v>1767</v>
      </c>
      <c r="F1178" s="273" t="s">
        <v>3446</v>
      </c>
      <c r="G1178" s="1040" t="s">
        <v>3463</v>
      </c>
      <c r="H1178" s="273" t="s">
        <v>3462</v>
      </c>
      <c r="I1178" s="722">
        <f t="shared" si="255"/>
        <v>595</v>
      </c>
      <c r="J1178" s="759">
        <v>1190</v>
      </c>
      <c r="K1178" s="131">
        <f t="shared" si="256"/>
        <v>1190</v>
      </c>
      <c r="L1178" s="335">
        <f t="shared" si="249"/>
        <v>0</v>
      </c>
      <c r="M1178" s="335"/>
      <c r="N1178" s="335"/>
      <c r="O1178" s="335"/>
      <c r="P1178" s="335"/>
      <c r="Q1178" s="130">
        <v>1</v>
      </c>
      <c r="R1178" s="131">
        <v>595</v>
      </c>
      <c r="U1178" s="130">
        <v>1</v>
      </c>
      <c r="V1178" s="131">
        <v>595</v>
      </c>
      <c r="AA1178" s="130">
        <v>0</v>
      </c>
      <c r="AB1178" s="131">
        <v>0</v>
      </c>
      <c r="AE1178" s="130">
        <v>0</v>
      </c>
      <c r="AF1178" s="131">
        <v>0</v>
      </c>
      <c r="AK1178" s="131">
        <f t="shared" si="252"/>
        <v>1190</v>
      </c>
      <c r="AL1178" s="335">
        <f t="shared" si="253"/>
        <v>0</v>
      </c>
      <c r="AM1178" s="130">
        <f t="shared" si="254"/>
        <v>2</v>
      </c>
      <c r="AN1178" s="336">
        <f t="shared" si="257"/>
        <v>0</v>
      </c>
      <c r="AO1178" s="438"/>
    </row>
    <row r="1179" spans="1:42" s="130" customFormat="1" ht="66" x14ac:dyDescent="0.25">
      <c r="A1179" s="9"/>
      <c r="B1179" s="515" t="s">
        <v>2904</v>
      </c>
      <c r="C1179" s="1024"/>
      <c r="D1179" s="869">
        <v>2</v>
      </c>
      <c r="E1179" s="337" t="s">
        <v>1767</v>
      </c>
      <c r="F1179" s="273" t="s">
        <v>3446</v>
      </c>
      <c r="G1179" s="1040" t="s">
        <v>3463</v>
      </c>
      <c r="H1179" s="273" t="s">
        <v>3462</v>
      </c>
      <c r="I1179" s="722">
        <f t="shared" si="255"/>
        <v>595</v>
      </c>
      <c r="J1179" s="759">
        <v>1190</v>
      </c>
      <c r="K1179" s="131">
        <f t="shared" si="256"/>
        <v>1190</v>
      </c>
      <c r="L1179" s="335">
        <f t="shared" si="249"/>
        <v>0</v>
      </c>
      <c r="M1179" s="335"/>
      <c r="N1179" s="335"/>
      <c r="O1179" s="335"/>
      <c r="P1179" s="335"/>
      <c r="Q1179" s="130">
        <v>1</v>
      </c>
      <c r="R1179" s="131">
        <v>595</v>
      </c>
      <c r="U1179" s="130">
        <v>1</v>
      </c>
      <c r="V1179" s="131">
        <v>595</v>
      </c>
      <c r="AA1179" s="130">
        <v>0</v>
      </c>
      <c r="AB1179" s="131">
        <v>0</v>
      </c>
      <c r="AE1179" s="130">
        <v>0</v>
      </c>
      <c r="AF1179" s="131">
        <v>0</v>
      </c>
      <c r="AK1179" s="131">
        <f t="shared" si="252"/>
        <v>1190</v>
      </c>
      <c r="AL1179" s="335">
        <f t="shared" si="253"/>
        <v>0</v>
      </c>
      <c r="AM1179" s="130">
        <f t="shared" si="254"/>
        <v>2</v>
      </c>
      <c r="AN1179" s="336">
        <f t="shared" si="257"/>
        <v>0</v>
      </c>
      <c r="AO1179" s="438"/>
    </row>
    <row r="1180" spans="1:42" s="130" customFormat="1" ht="66" x14ac:dyDescent="0.25">
      <c r="A1180" s="9"/>
      <c r="B1180" s="515" t="s">
        <v>2905</v>
      </c>
      <c r="C1180" s="1024"/>
      <c r="D1180" s="869">
        <v>2</v>
      </c>
      <c r="E1180" s="337" t="s">
        <v>1767</v>
      </c>
      <c r="F1180" s="273" t="s">
        <v>3446</v>
      </c>
      <c r="G1180" s="1040" t="s">
        <v>3463</v>
      </c>
      <c r="H1180" s="273" t="s">
        <v>3462</v>
      </c>
      <c r="I1180" s="722">
        <f t="shared" si="255"/>
        <v>265</v>
      </c>
      <c r="J1180" s="759">
        <v>530</v>
      </c>
      <c r="K1180" s="131">
        <f t="shared" si="256"/>
        <v>530</v>
      </c>
      <c r="L1180" s="335">
        <f t="shared" si="249"/>
        <v>0</v>
      </c>
      <c r="M1180" s="335"/>
      <c r="N1180" s="335"/>
      <c r="O1180" s="335"/>
      <c r="P1180" s="335"/>
      <c r="Q1180" s="130">
        <v>1</v>
      </c>
      <c r="R1180" s="131">
        <v>265</v>
      </c>
      <c r="U1180" s="130">
        <v>1</v>
      </c>
      <c r="V1180" s="131">
        <v>265</v>
      </c>
      <c r="AA1180" s="130">
        <v>0</v>
      </c>
      <c r="AB1180" s="131">
        <v>0</v>
      </c>
      <c r="AE1180" s="130">
        <v>0</v>
      </c>
      <c r="AF1180" s="131">
        <v>0</v>
      </c>
      <c r="AK1180" s="131">
        <f t="shared" si="252"/>
        <v>530</v>
      </c>
      <c r="AL1180" s="335">
        <f t="shared" si="253"/>
        <v>0</v>
      </c>
      <c r="AM1180" s="130">
        <f t="shared" si="254"/>
        <v>2</v>
      </c>
      <c r="AN1180" s="336">
        <f t="shared" si="257"/>
        <v>0</v>
      </c>
      <c r="AO1180" s="438"/>
    </row>
    <row r="1181" spans="1:42" s="130" customFormat="1" ht="66" x14ac:dyDescent="0.25">
      <c r="A1181" s="9"/>
      <c r="B1181" s="515" t="s">
        <v>2906</v>
      </c>
      <c r="C1181" s="1024"/>
      <c r="D1181" s="869">
        <v>2</v>
      </c>
      <c r="E1181" s="337" t="s">
        <v>1767</v>
      </c>
      <c r="F1181" s="273" t="s">
        <v>3446</v>
      </c>
      <c r="G1181" s="1040" t="s">
        <v>3463</v>
      </c>
      <c r="H1181" s="273" t="s">
        <v>3462</v>
      </c>
      <c r="I1181" s="722">
        <f t="shared" si="255"/>
        <v>330</v>
      </c>
      <c r="J1181" s="759">
        <v>660</v>
      </c>
      <c r="K1181" s="131">
        <f t="shared" si="256"/>
        <v>660</v>
      </c>
      <c r="L1181" s="335">
        <f t="shared" si="249"/>
        <v>0</v>
      </c>
      <c r="M1181" s="335"/>
      <c r="N1181" s="335"/>
      <c r="O1181" s="335"/>
      <c r="P1181" s="335"/>
      <c r="Q1181" s="130">
        <v>1</v>
      </c>
      <c r="R1181" s="131">
        <v>330</v>
      </c>
      <c r="U1181" s="130">
        <v>1</v>
      </c>
      <c r="V1181" s="131">
        <v>330</v>
      </c>
      <c r="AA1181" s="130">
        <v>0</v>
      </c>
      <c r="AB1181" s="131">
        <v>0</v>
      </c>
      <c r="AE1181" s="130">
        <v>0</v>
      </c>
      <c r="AF1181" s="131">
        <v>0</v>
      </c>
      <c r="AK1181" s="131">
        <f t="shared" si="252"/>
        <v>660</v>
      </c>
      <c r="AL1181" s="335">
        <f t="shared" si="253"/>
        <v>0</v>
      </c>
      <c r="AM1181" s="130">
        <f t="shared" si="254"/>
        <v>2</v>
      </c>
      <c r="AN1181" s="336">
        <f t="shared" si="257"/>
        <v>0</v>
      </c>
      <c r="AO1181" s="438"/>
    </row>
    <row r="1182" spans="1:42" s="130" customFormat="1" ht="66" x14ac:dyDescent="0.25">
      <c r="A1182" s="9"/>
      <c r="B1182" s="515" t="s">
        <v>2907</v>
      </c>
      <c r="C1182" s="1024"/>
      <c r="D1182" s="869">
        <v>10</v>
      </c>
      <c r="E1182" s="337" t="s">
        <v>1767</v>
      </c>
      <c r="F1182" s="273" t="s">
        <v>3446</v>
      </c>
      <c r="G1182" s="1040" t="s">
        <v>3463</v>
      </c>
      <c r="H1182" s="273" t="s">
        <v>3462</v>
      </c>
      <c r="I1182" s="722">
        <f t="shared" si="255"/>
        <v>260.70999999999998</v>
      </c>
      <c r="J1182" s="759">
        <v>2607.1</v>
      </c>
      <c r="K1182" s="131">
        <f t="shared" si="256"/>
        <v>2607.1</v>
      </c>
      <c r="L1182" s="335">
        <f t="shared" si="249"/>
        <v>0</v>
      </c>
      <c r="M1182" s="335"/>
      <c r="N1182" s="335"/>
      <c r="O1182" s="335"/>
      <c r="P1182" s="335"/>
      <c r="Q1182" s="130">
        <v>3</v>
      </c>
      <c r="R1182" s="131">
        <f t="shared" si="245"/>
        <v>651.77499999999998</v>
      </c>
      <c r="U1182" s="130">
        <v>3</v>
      </c>
      <c r="V1182" s="131">
        <f t="shared" si="247"/>
        <v>651.77499999999998</v>
      </c>
      <c r="AA1182" s="130">
        <v>2</v>
      </c>
      <c r="AB1182" s="131">
        <f t="shared" si="250"/>
        <v>651.77499999999998</v>
      </c>
      <c r="AE1182" s="130">
        <v>2</v>
      </c>
      <c r="AF1182" s="131">
        <f t="shared" si="251"/>
        <v>651.77499999999998</v>
      </c>
      <c r="AK1182" s="131">
        <f t="shared" si="252"/>
        <v>2607.1</v>
      </c>
      <c r="AL1182" s="335">
        <f t="shared" si="253"/>
        <v>0</v>
      </c>
      <c r="AM1182" s="130">
        <f t="shared" si="254"/>
        <v>10</v>
      </c>
      <c r="AN1182" s="336">
        <f t="shared" si="257"/>
        <v>0</v>
      </c>
      <c r="AO1182" s="438"/>
    </row>
    <row r="1183" spans="1:42" x14ac:dyDescent="0.25">
      <c r="A1183" s="338">
        <v>215</v>
      </c>
      <c r="B1183" s="516" t="s">
        <v>150</v>
      </c>
      <c r="C1183" s="339"/>
      <c r="D1183" s="893"/>
      <c r="E1183" s="340"/>
      <c r="F1183" s="341"/>
      <c r="G1183" s="341"/>
      <c r="H1183" s="341"/>
      <c r="I1183" s="726"/>
      <c r="J1183" s="772"/>
      <c r="K1183" s="131">
        <f t="shared" si="256"/>
        <v>0</v>
      </c>
      <c r="L1183" s="335">
        <f t="shared" si="249"/>
        <v>0</v>
      </c>
      <c r="M1183" s="451"/>
      <c r="N1183" s="451"/>
      <c r="O1183" s="451"/>
      <c r="P1183" s="451"/>
      <c r="Q1183" s="386">
        <f t="shared" si="244"/>
        <v>0</v>
      </c>
      <c r="R1183" s="309">
        <f t="shared" si="245"/>
        <v>0</v>
      </c>
      <c r="S1183" s="386"/>
      <c r="T1183" s="386"/>
      <c r="U1183" s="386">
        <f t="shared" si="246"/>
        <v>0</v>
      </c>
      <c r="V1183" s="309">
        <f t="shared" si="247"/>
        <v>0</v>
      </c>
      <c r="W1183" s="386"/>
      <c r="X1183" s="386"/>
      <c r="Y1183" s="386"/>
      <c r="Z1183" s="386"/>
      <c r="AA1183" s="386">
        <f t="shared" si="248"/>
        <v>0</v>
      </c>
      <c r="AB1183" s="309">
        <f t="shared" si="250"/>
        <v>0</v>
      </c>
      <c r="AC1183" s="386"/>
      <c r="AD1183" s="386"/>
      <c r="AE1183" s="386">
        <f t="shared" si="248"/>
        <v>0</v>
      </c>
      <c r="AF1183" s="309">
        <f t="shared" si="251"/>
        <v>0</v>
      </c>
      <c r="AG1183" s="386"/>
      <c r="AH1183" s="386"/>
      <c r="AI1183" s="386"/>
      <c r="AJ1183" s="386"/>
      <c r="AK1183" s="309">
        <f t="shared" si="252"/>
        <v>0</v>
      </c>
      <c r="AL1183" s="451">
        <f t="shared" si="253"/>
        <v>0</v>
      </c>
      <c r="AM1183" s="386">
        <f t="shared" si="254"/>
        <v>0</v>
      </c>
      <c r="AN1183" s="452">
        <f t="shared" si="257"/>
        <v>0</v>
      </c>
      <c r="AO1183" s="108"/>
      <c r="AP1183"/>
    </row>
    <row r="1184" spans="1:42" x14ac:dyDescent="0.25">
      <c r="A1184" s="315">
        <v>21501</v>
      </c>
      <c r="B1184" s="517" t="s">
        <v>151</v>
      </c>
      <c r="C1184" s="316"/>
      <c r="D1184" s="886"/>
      <c r="E1184" s="318"/>
      <c r="F1184" s="319"/>
      <c r="G1184" s="319"/>
      <c r="H1184" s="319"/>
      <c r="I1184" s="724"/>
      <c r="J1184" s="762"/>
      <c r="K1184" s="131">
        <f t="shared" si="256"/>
        <v>0</v>
      </c>
      <c r="L1184" s="335">
        <f t="shared" si="249"/>
        <v>0</v>
      </c>
      <c r="M1184" s="449"/>
      <c r="N1184" s="449"/>
      <c r="O1184" s="449"/>
      <c r="P1184" s="449"/>
      <c r="Q1184" s="448">
        <f t="shared" si="244"/>
        <v>0</v>
      </c>
      <c r="R1184" s="317">
        <f t="shared" si="245"/>
        <v>0</v>
      </c>
      <c r="S1184" s="448"/>
      <c r="T1184" s="448"/>
      <c r="U1184" s="448">
        <f t="shared" si="246"/>
        <v>0</v>
      </c>
      <c r="V1184" s="317">
        <f t="shared" si="247"/>
        <v>0</v>
      </c>
      <c r="W1184" s="448"/>
      <c r="X1184" s="448"/>
      <c r="Y1184" s="448"/>
      <c r="Z1184" s="448"/>
      <c r="AA1184" s="448">
        <f t="shared" si="248"/>
        <v>0</v>
      </c>
      <c r="AB1184" s="317">
        <f t="shared" si="250"/>
        <v>0</v>
      </c>
      <c r="AC1184" s="448"/>
      <c r="AD1184" s="448"/>
      <c r="AE1184" s="448">
        <f t="shared" si="248"/>
        <v>0</v>
      </c>
      <c r="AF1184" s="317">
        <f t="shared" si="251"/>
        <v>0</v>
      </c>
      <c r="AG1184" s="448"/>
      <c r="AH1184" s="448"/>
      <c r="AI1184" s="448"/>
      <c r="AJ1184" s="448"/>
      <c r="AK1184" s="317">
        <f t="shared" si="252"/>
        <v>0</v>
      </c>
      <c r="AL1184" s="449">
        <f t="shared" si="253"/>
        <v>0</v>
      </c>
      <c r="AM1184" s="448">
        <f t="shared" si="254"/>
        <v>0</v>
      </c>
      <c r="AN1184" s="450">
        <f t="shared" si="257"/>
        <v>0</v>
      </c>
      <c r="AO1184" s="108"/>
      <c r="AP1184"/>
    </row>
    <row r="1185" spans="1:42" x14ac:dyDescent="0.25">
      <c r="A1185" s="9"/>
      <c r="B1185" s="518"/>
      <c r="C1185" s="1024"/>
      <c r="D1185" s="894"/>
      <c r="E1185" s="138"/>
      <c r="F1185" s="279"/>
      <c r="G1185" s="279"/>
      <c r="H1185" s="279"/>
      <c r="I1185" s="720"/>
      <c r="J1185" s="773"/>
      <c r="K1185" s="131">
        <f t="shared" si="256"/>
        <v>0</v>
      </c>
      <c r="L1185" s="335">
        <f t="shared" si="249"/>
        <v>0</v>
      </c>
      <c r="M1185" s="446"/>
      <c r="N1185" s="446"/>
      <c r="O1185" s="446"/>
      <c r="P1185" s="446"/>
      <c r="Q1185" s="110">
        <f t="shared" si="244"/>
        <v>0</v>
      </c>
      <c r="R1185" s="111">
        <f t="shared" si="245"/>
        <v>0</v>
      </c>
      <c r="S1185" s="110"/>
      <c r="T1185" s="110"/>
      <c r="U1185" s="110">
        <f t="shared" si="246"/>
        <v>0</v>
      </c>
      <c r="V1185" s="111">
        <f t="shared" si="247"/>
        <v>0</v>
      </c>
      <c r="W1185" s="110"/>
      <c r="X1185" s="110"/>
      <c r="Y1185" s="110"/>
      <c r="Z1185" s="110"/>
      <c r="AA1185" s="110">
        <f t="shared" si="248"/>
        <v>0</v>
      </c>
      <c r="AB1185" s="111">
        <f t="shared" si="250"/>
        <v>0</v>
      </c>
      <c r="AC1185" s="110"/>
      <c r="AD1185" s="110"/>
      <c r="AE1185" s="110">
        <f t="shared" si="248"/>
        <v>0</v>
      </c>
      <c r="AF1185" s="111">
        <f t="shared" si="251"/>
        <v>0</v>
      </c>
      <c r="AG1185" s="110"/>
      <c r="AH1185" s="110"/>
      <c r="AI1185" s="110"/>
      <c r="AJ1185" s="110"/>
      <c r="AK1185" s="111">
        <f t="shared" si="252"/>
        <v>0</v>
      </c>
      <c r="AL1185" s="446">
        <f t="shared" si="253"/>
        <v>0</v>
      </c>
      <c r="AM1185" s="110">
        <f t="shared" si="254"/>
        <v>0</v>
      </c>
      <c r="AN1185" s="447">
        <f t="shared" si="257"/>
        <v>0</v>
      </c>
      <c r="AO1185"/>
      <c r="AP1185"/>
    </row>
    <row r="1186" spans="1:42" x14ac:dyDescent="0.25">
      <c r="A1186" s="315">
        <v>21502</v>
      </c>
      <c r="B1186" s="500" t="s">
        <v>152</v>
      </c>
      <c r="C1186" s="316"/>
      <c r="D1186" s="886"/>
      <c r="E1186" s="316"/>
      <c r="F1186" s="363"/>
      <c r="G1186" s="363"/>
      <c r="H1186" s="363"/>
      <c r="I1186" s="724"/>
      <c r="J1186" s="774"/>
      <c r="K1186" s="131">
        <f t="shared" si="256"/>
        <v>0</v>
      </c>
      <c r="L1186" s="335">
        <f t="shared" si="249"/>
        <v>0</v>
      </c>
      <c r="M1186" s="449"/>
      <c r="N1186" s="449"/>
      <c r="O1186" s="449"/>
      <c r="P1186" s="449"/>
      <c r="Q1186" s="448">
        <f t="shared" si="244"/>
        <v>0</v>
      </c>
      <c r="R1186" s="317">
        <f t="shared" si="245"/>
        <v>0</v>
      </c>
      <c r="S1186" s="448"/>
      <c r="T1186" s="448"/>
      <c r="U1186" s="448">
        <f t="shared" si="246"/>
        <v>0</v>
      </c>
      <c r="V1186" s="317">
        <f t="shared" si="247"/>
        <v>0</v>
      </c>
      <c r="W1186" s="448"/>
      <c r="X1186" s="448"/>
      <c r="Y1186" s="448"/>
      <c r="Z1186" s="448"/>
      <c r="AA1186" s="448">
        <f t="shared" si="248"/>
        <v>0</v>
      </c>
      <c r="AB1186" s="317">
        <f t="shared" si="250"/>
        <v>0</v>
      </c>
      <c r="AC1186" s="448"/>
      <c r="AD1186" s="448"/>
      <c r="AE1186" s="448">
        <f t="shared" si="248"/>
        <v>0</v>
      </c>
      <c r="AF1186" s="317">
        <f t="shared" si="251"/>
        <v>0</v>
      </c>
      <c r="AG1186" s="448"/>
      <c r="AH1186" s="448"/>
      <c r="AI1186" s="448"/>
      <c r="AJ1186" s="448"/>
      <c r="AK1186" s="317">
        <f t="shared" si="252"/>
        <v>0</v>
      </c>
      <c r="AL1186" s="449">
        <f t="shared" si="253"/>
        <v>0</v>
      </c>
      <c r="AM1186" s="448">
        <f t="shared" si="254"/>
        <v>0</v>
      </c>
      <c r="AN1186" s="450">
        <f t="shared" si="257"/>
        <v>0</v>
      </c>
      <c r="AO1186" s="108"/>
      <c r="AP1186"/>
    </row>
    <row r="1187" spans="1:42" x14ac:dyDescent="0.25">
      <c r="A1187" s="9"/>
      <c r="B1187" s="519"/>
      <c r="C1187" s="358"/>
      <c r="D1187" s="872"/>
      <c r="E1187" s="265"/>
      <c r="F1187" s="289"/>
      <c r="G1187" s="289"/>
      <c r="H1187" s="289"/>
      <c r="I1187" s="727"/>
      <c r="J1187" s="775"/>
      <c r="K1187" s="131">
        <f t="shared" si="256"/>
        <v>0</v>
      </c>
      <c r="L1187" s="335">
        <f t="shared" si="249"/>
        <v>0</v>
      </c>
      <c r="M1187" s="446"/>
      <c r="N1187" s="446"/>
      <c r="O1187" s="446"/>
      <c r="P1187" s="446"/>
      <c r="Q1187" s="110">
        <f t="shared" si="244"/>
        <v>0</v>
      </c>
      <c r="R1187" s="111">
        <f t="shared" si="245"/>
        <v>0</v>
      </c>
      <c r="S1187" s="110"/>
      <c r="T1187" s="110"/>
      <c r="U1187" s="110">
        <f t="shared" si="246"/>
        <v>0</v>
      </c>
      <c r="V1187" s="111">
        <f t="shared" si="247"/>
        <v>0</v>
      </c>
      <c r="W1187" s="110"/>
      <c r="X1187" s="110"/>
      <c r="Y1187" s="110"/>
      <c r="Z1187" s="110"/>
      <c r="AA1187" s="110">
        <f t="shared" si="248"/>
        <v>0</v>
      </c>
      <c r="AB1187" s="111">
        <f t="shared" si="250"/>
        <v>0</v>
      </c>
      <c r="AC1187" s="110"/>
      <c r="AD1187" s="110"/>
      <c r="AE1187" s="110">
        <f t="shared" si="248"/>
        <v>0</v>
      </c>
      <c r="AF1187" s="111">
        <f t="shared" si="251"/>
        <v>0</v>
      </c>
      <c r="AG1187" s="110"/>
      <c r="AH1187" s="110"/>
      <c r="AI1187" s="110"/>
      <c r="AJ1187" s="110"/>
      <c r="AK1187" s="111">
        <f t="shared" si="252"/>
        <v>0</v>
      </c>
      <c r="AL1187" s="446">
        <f t="shared" si="253"/>
        <v>0</v>
      </c>
      <c r="AM1187" s="110">
        <f t="shared" si="254"/>
        <v>0</v>
      </c>
      <c r="AN1187" s="447">
        <f t="shared" si="257"/>
        <v>0</v>
      </c>
      <c r="AO1187"/>
      <c r="AP1187"/>
    </row>
    <row r="1188" spans="1:42" x14ac:dyDescent="0.25">
      <c r="A1188" s="315">
        <v>21503</v>
      </c>
      <c r="B1188" s="500" t="s">
        <v>153</v>
      </c>
      <c r="C1188" s="316"/>
      <c r="D1188" s="886"/>
      <c r="E1188" s="316"/>
      <c r="F1188" s="363"/>
      <c r="G1188" s="363"/>
      <c r="H1188" s="363"/>
      <c r="I1188" s="724"/>
      <c r="J1188" s="774"/>
      <c r="K1188" s="131">
        <f t="shared" si="256"/>
        <v>0</v>
      </c>
      <c r="L1188" s="335">
        <f t="shared" si="249"/>
        <v>0</v>
      </c>
      <c r="M1188" s="414"/>
      <c r="N1188" s="414"/>
      <c r="O1188" s="414"/>
      <c r="P1188" s="414"/>
      <c r="Q1188" s="413">
        <f t="shared" si="244"/>
        <v>0</v>
      </c>
      <c r="R1188" s="345">
        <f t="shared" si="245"/>
        <v>0</v>
      </c>
      <c r="S1188" s="413"/>
      <c r="T1188" s="413"/>
      <c r="U1188" s="413">
        <f t="shared" si="246"/>
        <v>0</v>
      </c>
      <c r="V1188" s="345">
        <f t="shared" si="247"/>
        <v>0</v>
      </c>
      <c r="W1188" s="413"/>
      <c r="X1188" s="413"/>
      <c r="Y1188" s="413"/>
      <c r="Z1188" s="413"/>
      <c r="AA1188" s="413">
        <f t="shared" si="248"/>
        <v>0</v>
      </c>
      <c r="AB1188" s="345">
        <f t="shared" si="250"/>
        <v>0</v>
      </c>
      <c r="AC1188" s="413"/>
      <c r="AD1188" s="413"/>
      <c r="AE1188" s="413">
        <f t="shared" si="248"/>
        <v>0</v>
      </c>
      <c r="AF1188" s="345">
        <f t="shared" si="251"/>
        <v>0</v>
      </c>
      <c r="AG1188" s="413"/>
      <c r="AH1188" s="413"/>
      <c r="AI1188" s="413"/>
      <c r="AJ1188" s="413"/>
      <c r="AK1188" s="345">
        <f t="shared" si="252"/>
        <v>0</v>
      </c>
      <c r="AL1188" s="414">
        <f t="shared" si="253"/>
        <v>0</v>
      </c>
      <c r="AM1188" s="413">
        <f t="shared" si="254"/>
        <v>0</v>
      </c>
      <c r="AN1188" s="415">
        <f t="shared" si="257"/>
        <v>0</v>
      </c>
      <c r="AO1188" s="436">
        <f>SUM(J1189:J1190)</f>
        <v>17610</v>
      </c>
      <c r="AP1188" s="111"/>
    </row>
    <row r="1189" spans="1:42" ht="66" x14ac:dyDescent="0.25">
      <c r="A1189" s="11"/>
      <c r="B1189" s="224" t="s">
        <v>154</v>
      </c>
      <c r="C1189" s="359"/>
      <c r="D1189" s="895">
        <v>6</v>
      </c>
      <c r="E1189" s="360" t="s">
        <v>1721</v>
      </c>
      <c r="F1189" s="273" t="s">
        <v>3446</v>
      </c>
      <c r="G1189" s="1040" t="s">
        <v>3463</v>
      </c>
      <c r="H1189" s="273" t="s">
        <v>3462</v>
      </c>
      <c r="I1189" s="727">
        <f>+J1189/D1189</f>
        <v>2800</v>
      </c>
      <c r="J1189" s="776">
        <v>16800</v>
      </c>
      <c r="K1189" s="131">
        <f t="shared" si="256"/>
        <v>16800</v>
      </c>
      <c r="L1189" s="335">
        <f t="shared" si="249"/>
        <v>0</v>
      </c>
      <c r="M1189" s="446"/>
      <c r="N1189" s="446"/>
      <c r="O1189" s="446"/>
      <c r="P1189" s="446"/>
      <c r="Q1189" s="130">
        <v>2</v>
      </c>
      <c r="R1189" s="111">
        <f t="shared" si="245"/>
        <v>4200</v>
      </c>
      <c r="S1189" s="110"/>
      <c r="T1189" s="110"/>
      <c r="U1189" s="130">
        <v>2</v>
      </c>
      <c r="V1189" s="111">
        <f t="shared" si="247"/>
        <v>4200</v>
      </c>
      <c r="W1189" s="110"/>
      <c r="X1189" s="110"/>
      <c r="Y1189" s="110"/>
      <c r="Z1189" s="110"/>
      <c r="AA1189" s="130">
        <v>1</v>
      </c>
      <c r="AB1189" s="111">
        <f t="shared" si="250"/>
        <v>4200</v>
      </c>
      <c r="AC1189" s="110"/>
      <c r="AD1189" s="110"/>
      <c r="AE1189" s="130">
        <v>1</v>
      </c>
      <c r="AF1189" s="111">
        <f t="shared" si="251"/>
        <v>4200</v>
      </c>
      <c r="AG1189" s="110"/>
      <c r="AH1189" s="110"/>
      <c r="AI1189" s="110"/>
      <c r="AJ1189" s="110"/>
      <c r="AK1189" s="111">
        <f t="shared" si="252"/>
        <v>16800</v>
      </c>
      <c r="AL1189" s="446">
        <f t="shared" si="253"/>
        <v>0</v>
      </c>
      <c r="AM1189" s="110">
        <f t="shared" si="254"/>
        <v>6</v>
      </c>
      <c r="AN1189" s="447">
        <f t="shared" si="257"/>
        <v>0</v>
      </c>
      <c r="AO1189"/>
      <c r="AP1189"/>
    </row>
    <row r="1190" spans="1:42" ht="66" x14ac:dyDescent="0.25">
      <c r="A1190" s="11"/>
      <c r="B1190" s="37" t="s">
        <v>155</v>
      </c>
      <c r="C1190" s="22"/>
      <c r="D1190" s="882">
        <v>1</v>
      </c>
      <c r="E1190" s="1025" t="s">
        <v>1725</v>
      </c>
      <c r="F1190" s="273" t="s">
        <v>3446</v>
      </c>
      <c r="G1190" s="1040" t="s">
        <v>3463</v>
      </c>
      <c r="H1190" s="273" t="s">
        <v>3462</v>
      </c>
      <c r="I1190" s="720">
        <f>+J1190/D1190</f>
        <v>810</v>
      </c>
      <c r="J1190" s="756">
        <v>810</v>
      </c>
      <c r="K1190" s="131">
        <f t="shared" si="256"/>
        <v>810</v>
      </c>
      <c r="L1190" s="335">
        <f t="shared" si="249"/>
        <v>0</v>
      </c>
      <c r="M1190" s="446"/>
      <c r="N1190" s="446"/>
      <c r="O1190" s="446"/>
      <c r="P1190" s="446"/>
      <c r="Q1190" s="110">
        <v>1</v>
      </c>
      <c r="R1190" s="111">
        <v>810</v>
      </c>
      <c r="S1190" s="110"/>
      <c r="T1190" s="110"/>
      <c r="U1190" s="110">
        <v>0</v>
      </c>
      <c r="V1190" s="111">
        <v>0</v>
      </c>
      <c r="W1190" s="110"/>
      <c r="X1190" s="110"/>
      <c r="Y1190" s="110"/>
      <c r="Z1190" s="110"/>
      <c r="AA1190" s="110">
        <v>0</v>
      </c>
      <c r="AB1190" s="111">
        <v>0</v>
      </c>
      <c r="AC1190" s="110"/>
      <c r="AD1190" s="110"/>
      <c r="AE1190" s="110">
        <v>0</v>
      </c>
      <c r="AF1190" s="111">
        <v>0</v>
      </c>
      <c r="AG1190" s="110"/>
      <c r="AH1190" s="110"/>
      <c r="AI1190" s="110"/>
      <c r="AJ1190" s="110"/>
      <c r="AK1190" s="111">
        <f t="shared" si="252"/>
        <v>810</v>
      </c>
      <c r="AL1190" s="446">
        <f t="shared" si="253"/>
        <v>0</v>
      </c>
      <c r="AM1190" s="110">
        <f t="shared" si="254"/>
        <v>1</v>
      </c>
      <c r="AN1190" s="447">
        <f t="shared" si="257"/>
        <v>0</v>
      </c>
      <c r="AO1190"/>
      <c r="AP1190"/>
    </row>
    <row r="1191" spans="1:42" x14ac:dyDescent="0.25">
      <c r="A1191" s="315">
        <v>21504</v>
      </c>
      <c r="B1191" s="500" t="s">
        <v>156</v>
      </c>
      <c r="C1191" s="316"/>
      <c r="D1191" s="886"/>
      <c r="E1191" s="316"/>
      <c r="F1191" s="363"/>
      <c r="G1191" s="363"/>
      <c r="H1191" s="363"/>
      <c r="I1191" s="724"/>
      <c r="J1191" s="777"/>
      <c r="K1191" s="131">
        <f t="shared" si="256"/>
        <v>0</v>
      </c>
      <c r="L1191" s="335">
        <f t="shared" si="249"/>
        <v>0</v>
      </c>
      <c r="M1191" s="414"/>
      <c r="N1191" s="414"/>
      <c r="O1191" s="414"/>
      <c r="P1191" s="414"/>
      <c r="Q1191" s="413">
        <f t="shared" ref="Q1191:Q1248" si="258">+$D1191/4</f>
        <v>0</v>
      </c>
      <c r="R1191" s="345">
        <f t="shared" ref="R1191:R1254" si="259">+J1191/4</f>
        <v>0</v>
      </c>
      <c r="S1191" s="413"/>
      <c r="T1191" s="413"/>
      <c r="U1191" s="413">
        <f t="shared" ref="U1191:U1248" si="260">+$D1191/4</f>
        <v>0</v>
      </c>
      <c r="V1191" s="345">
        <f t="shared" ref="V1191:V1254" si="261">+J1191/4</f>
        <v>0</v>
      </c>
      <c r="W1191" s="413"/>
      <c r="X1191" s="413"/>
      <c r="Y1191" s="413"/>
      <c r="Z1191" s="413"/>
      <c r="AA1191" s="413">
        <f t="shared" ref="AA1191:AE1248" si="262">+$D1191/4</f>
        <v>0</v>
      </c>
      <c r="AB1191" s="345">
        <f t="shared" si="250"/>
        <v>0</v>
      </c>
      <c r="AC1191" s="413"/>
      <c r="AD1191" s="413"/>
      <c r="AE1191" s="413">
        <f t="shared" si="262"/>
        <v>0</v>
      </c>
      <c r="AF1191" s="345">
        <f t="shared" si="251"/>
        <v>0</v>
      </c>
      <c r="AG1191" s="413"/>
      <c r="AH1191" s="413"/>
      <c r="AI1191" s="413"/>
      <c r="AJ1191" s="413"/>
      <c r="AK1191" s="345">
        <f t="shared" si="252"/>
        <v>0</v>
      </c>
      <c r="AL1191" s="414">
        <f t="shared" si="253"/>
        <v>0</v>
      </c>
      <c r="AM1191" s="413">
        <f t="shared" si="254"/>
        <v>0</v>
      </c>
      <c r="AN1191" s="415">
        <f t="shared" si="257"/>
        <v>0</v>
      </c>
      <c r="AO1191" s="436">
        <f>SUM(J1192:J1200)</f>
        <v>82397.079999999987</v>
      </c>
      <c r="AP1191" s="111"/>
    </row>
    <row r="1192" spans="1:42" ht="66" x14ac:dyDescent="0.25">
      <c r="A1192" s="9"/>
      <c r="B1192" s="158" t="s">
        <v>1146</v>
      </c>
      <c r="C1192" s="180"/>
      <c r="D1192" s="872">
        <f>4</f>
        <v>4</v>
      </c>
      <c r="E1192" s="265" t="s">
        <v>1725</v>
      </c>
      <c r="F1192" s="273" t="s">
        <v>3446</v>
      </c>
      <c r="G1192" s="1040" t="s">
        <v>3463</v>
      </c>
      <c r="H1192" s="273" t="s">
        <v>3462</v>
      </c>
      <c r="I1192" s="727">
        <f t="shared" ref="I1192:I1200" si="263">+J1192/D1192</f>
        <v>3453.03</v>
      </c>
      <c r="J1192" s="776">
        <f>13812.12</f>
        <v>13812.12</v>
      </c>
      <c r="K1192" s="131">
        <f t="shared" si="256"/>
        <v>13812.12</v>
      </c>
      <c r="L1192" s="335">
        <f t="shared" si="249"/>
        <v>0</v>
      </c>
      <c r="M1192" s="446"/>
      <c r="N1192" s="446"/>
      <c r="O1192" s="446"/>
      <c r="P1192" s="446"/>
      <c r="Q1192" s="110">
        <f t="shared" si="258"/>
        <v>1</v>
      </c>
      <c r="R1192" s="111">
        <f t="shared" si="259"/>
        <v>3453.03</v>
      </c>
      <c r="S1192" s="110"/>
      <c r="T1192" s="110"/>
      <c r="U1192" s="110">
        <f t="shared" si="260"/>
        <v>1</v>
      </c>
      <c r="V1192" s="111">
        <f t="shared" si="261"/>
        <v>3453.03</v>
      </c>
      <c r="W1192" s="110"/>
      <c r="X1192" s="110"/>
      <c r="Y1192" s="110"/>
      <c r="Z1192" s="110"/>
      <c r="AA1192" s="110">
        <f t="shared" si="262"/>
        <v>1</v>
      </c>
      <c r="AB1192" s="111">
        <f t="shared" si="250"/>
        <v>3453.03</v>
      </c>
      <c r="AC1192" s="110"/>
      <c r="AD1192" s="110"/>
      <c r="AE1192" s="110">
        <f t="shared" si="262"/>
        <v>1</v>
      </c>
      <c r="AF1192" s="111">
        <f t="shared" si="251"/>
        <v>3453.03</v>
      </c>
      <c r="AG1192" s="110"/>
      <c r="AH1192" s="110"/>
      <c r="AI1192" s="110"/>
      <c r="AJ1192" s="110"/>
      <c r="AK1192" s="111">
        <f t="shared" si="252"/>
        <v>13812.12</v>
      </c>
      <c r="AL1192" s="446">
        <f t="shared" si="253"/>
        <v>0</v>
      </c>
      <c r="AM1192" s="110">
        <f t="shared" si="254"/>
        <v>4</v>
      </c>
      <c r="AN1192" s="447">
        <f t="shared" si="257"/>
        <v>0</v>
      </c>
      <c r="AO1192"/>
      <c r="AP1192"/>
    </row>
    <row r="1193" spans="1:42" ht="66" x14ac:dyDescent="0.25">
      <c r="A1193" s="9"/>
      <c r="B1193" s="123" t="s">
        <v>1147</v>
      </c>
      <c r="C1193" s="1024"/>
      <c r="D1193" s="869">
        <f>4</f>
        <v>4</v>
      </c>
      <c r="E1193" s="1027" t="s">
        <v>1725</v>
      </c>
      <c r="F1193" s="273" t="s">
        <v>3446</v>
      </c>
      <c r="G1193" s="1040" t="s">
        <v>3463</v>
      </c>
      <c r="H1193" s="273" t="s">
        <v>3462</v>
      </c>
      <c r="I1193" s="720">
        <f t="shared" si="263"/>
        <v>2330.2075</v>
      </c>
      <c r="J1193" s="756">
        <f>9320.83</f>
        <v>9320.83</v>
      </c>
      <c r="K1193" s="131">
        <f t="shared" si="256"/>
        <v>9320.83</v>
      </c>
      <c r="L1193" s="335">
        <f t="shared" si="249"/>
        <v>0</v>
      </c>
      <c r="M1193" s="446"/>
      <c r="N1193" s="446"/>
      <c r="O1193" s="446"/>
      <c r="P1193" s="446"/>
      <c r="Q1193" s="110">
        <f t="shared" si="258"/>
        <v>1</v>
      </c>
      <c r="R1193" s="111">
        <f t="shared" si="259"/>
        <v>2330.2075</v>
      </c>
      <c r="S1193" s="110"/>
      <c r="T1193" s="110"/>
      <c r="U1193" s="110">
        <f t="shared" si="260"/>
        <v>1</v>
      </c>
      <c r="V1193" s="111">
        <f t="shared" si="261"/>
        <v>2330.2075</v>
      </c>
      <c r="W1193" s="110"/>
      <c r="X1193" s="110"/>
      <c r="Y1193" s="110"/>
      <c r="Z1193" s="110"/>
      <c r="AA1193" s="110">
        <f t="shared" si="262"/>
        <v>1</v>
      </c>
      <c r="AB1193" s="111">
        <f t="shared" si="250"/>
        <v>2330.2075</v>
      </c>
      <c r="AC1193" s="110"/>
      <c r="AD1193" s="110"/>
      <c r="AE1193" s="110">
        <f t="shared" si="262"/>
        <v>1</v>
      </c>
      <c r="AF1193" s="111">
        <f t="shared" si="251"/>
        <v>2330.2075</v>
      </c>
      <c r="AG1193" s="110"/>
      <c r="AH1193" s="110"/>
      <c r="AI1193" s="110"/>
      <c r="AJ1193" s="110"/>
      <c r="AK1193" s="111">
        <f t="shared" si="252"/>
        <v>9320.83</v>
      </c>
      <c r="AL1193" s="446">
        <f t="shared" si="253"/>
        <v>0</v>
      </c>
      <c r="AM1193" s="110">
        <f t="shared" si="254"/>
        <v>4</v>
      </c>
      <c r="AN1193" s="447">
        <f t="shared" si="257"/>
        <v>0</v>
      </c>
      <c r="AO1193"/>
      <c r="AP1193"/>
    </row>
    <row r="1194" spans="1:42" ht="66" x14ac:dyDescent="0.25">
      <c r="A1194" s="9"/>
      <c r="B1194" s="123" t="s">
        <v>1148</v>
      </c>
      <c r="C1194" s="1024"/>
      <c r="D1194" s="869">
        <f>4</f>
        <v>4</v>
      </c>
      <c r="E1194" s="1027" t="s">
        <v>1725</v>
      </c>
      <c r="F1194" s="273" t="s">
        <v>3446</v>
      </c>
      <c r="G1194" s="1040" t="s">
        <v>3463</v>
      </c>
      <c r="H1194" s="273" t="s">
        <v>3462</v>
      </c>
      <c r="I1194" s="720">
        <f t="shared" si="263"/>
        <v>2286.36</v>
      </c>
      <c r="J1194" s="756">
        <f>9145.44</f>
        <v>9145.44</v>
      </c>
      <c r="K1194" s="131">
        <f t="shared" si="256"/>
        <v>9145.44</v>
      </c>
      <c r="L1194" s="335">
        <f t="shared" si="249"/>
        <v>0</v>
      </c>
      <c r="M1194" s="446"/>
      <c r="N1194" s="446"/>
      <c r="O1194" s="446"/>
      <c r="P1194" s="446"/>
      <c r="Q1194" s="110">
        <f t="shared" si="258"/>
        <v>1</v>
      </c>
      <c r="R1194" s="111">
        <f t="shared" si="259"/>
        <v>2286.36</v>
      </c>
      <c r="S1194" s="110"/>
      <c r="T1194" s="110"/>
      <c r="U1194" s="110">
        <f t="shared" si="260"/>
        <v>1</v>
      </c>
      <c r="V1194" s="111">
        <f t="shared" si="261"/>
        <v>2286.36</v>
      </c>
      <c r="W1194" s="110"/>
      <c r="X1194" s="110"/>
      <c r="Y1194" s="110"/>
      <c r="Z1194" s="110"/>
      <c r="AA1194" s="110">
        <f t="shared" si="262"/>
        <v>1</v>
      </c>
      <c r="AB1194" s="111">
        <f t="shared" si="250"/>
        <v>2286.36</v>
      </c>
      <c r="AC1194" s="110"/>
      <c r="AD1194" s="110"/>
      <c r="AE1194" s="110">
        <f t="shared" si="262"/>
        <v>1</v>
      </c>
      <c r="AF1194" s="111">
        <f t="shared" si="251"/>
        <v>2286.36</v>
      </c>
      <c r="AG1194" s="110"/>
      <c r="AH1194" s="110"/>
      <c r="AI1194" s="110"/>
      <c r="AJ1194" s="110"/>
      <c r="AK1194" s="111">
        <f t="shared" si="252"/>
        <v>9145.44</v>
      </c>
      <c r="AL1194" s="446">
        <f t="shared" si="253"/>
        <v>0</v>
      </c>
      <c r="AM1194" s="110">
        <f t="shared" si="254"/>
        <v>4</v>
      </c>
      <c r="AN1194" s="447">
        <f t="shared" si="257"/>
        <v>0</v>
      </c>
      <c r="AO1194"/>
      <c r="AP1194"/>
    </row>
    <row r="1195" spans="1:42" ht="66" x14ac:dyDescent="0.25">
      <c r="A1195" s="9"/>
      <c r="B1195" s="123" t="s">
        <v>1150</v>
      </c>
      <c r="C1195" s="1024"/>
      <c r="D1195" s="869">
        <f>6</f>
        <v>6</v>
      </c>
      <c r="E1195" s="1027" t="s">
        <v>1725</v>
      </c>
      <c r="F1195" s="273" t="s">
        <v>3446</v>
      </c>
      <c r="G1195" s="1040" t="s">
        <v>3463</v>
      </c>
      <c r="H1195" s="273" t="s">
        <v>3462</v>
      </c>
      <c r="I1195" s="720">
        <f t="shared" si="263"/>
        <v>2241.7000000000003</v>
      </c>
      <c r="J1195" s="756">
        <f>13450.2</f>
        <v>13450.2</v>
      </c>
      <c r="K1195" s="131">
        <f t="shared" si="256"/>
        <v>13450.2</v>
      </c>
      <c r="L1195" s="335">
        <f t="shared" si="249"/>
        <v>0</v>
      </c>
      <c r="M1195" s="446"/>
      <c r="N1195" s="446"/>
      <c r="O1195" s="446"/>
      <c r="P1195" s="446"/>
      <c r="Q1195" s="130">
        <v>2</v>
      </c>
      <c r="R1195" s="111">
        <f t="shared" si="259"/>
        <v>3362.55</v>
      </c>
      <c r="S1195" s="110"/>
      <c r="T1195" s="110"/>
      <c r="U1195" s="130">
        <v>2</v>
      </c>
      <c r="V1195" s="111">
        <f t="shared" si="261"/>
        <v>3362.55</v>
      </c>
      <c r="W1195" s="110"/>
      <c r="X1195" s="110"/>
      <c r="Y1195" s="110"/>
      <c r="Z1195" s="110"/>
      <c r="AA1195" s="130">
        <v>1</v>
      </c>
      <c r="AB1195" s="111">
        <f t="shared" si="250"/>
        <v>3362.55</v>
      </c>
      <c r="AC1195" s="110"/>
      <c r="AD1195" s="110"/>
      <c r="AE1195" s="130">
        <v>1</v>
      </c>
      <c r="AF1195" s="111">
        <f t="shared" si="251"/>
        <v>3362.55</v>
      </c>
      <c r="AG1195" s="110"/>
      <c r="AH1195" s="110"/>
      <c r="AI1195" s="110"/>
      <c r="AJ1195" s="110"/>
      <c r="AK1195" s="111">
        <f t="shared" si="252"/>
        <v>13450.2</v>
      </c>
      <c r="AL1195" s="446">
        <f t="shared" si="253"/>
        <v>0</v>
      </c>
      <c r="AM1195" s="110">
        <f t="shared" si="254"/>
        <v>6</v>
      </c>
      <c r="AN1195" s="447">
        <f t="shared" si="257"/>
        <v>0</v>
      </c>
      <c r="AO1195"/>
      <c r="AP1195"/>
    </row>
    <row r="1196" spans="1:42" ht="66" x14ac:dyDescent="0.25">
      <c r="A1196" s="9"/>
      <c r="B1196" s="123" t="s">
        <v>1151</v>
      </c>
      <c r="C1196" s="1024"/>
      <c r="D1196" s="869">
        <f>6</f>
        <v>6</v>
      </c>
      <c r="E1196" s="1027" t="s">
        <v>1725</v>
      </c>
      <c r="F1196" s="273" t="s">
        <v>3446</v>
      </c>
      <c r="G1196" s="1040" t="s">
        <v>3463</v>
      </c>
      <c r="H1196" s="273" t="s">
        <v>3462</v>
      </c>
      <c r="I1196" s="720">
        <f t="shared" si="263"/>
        <v>2574.9450000000002</v>
      </c>
      <c r="J1196" s="756">
        <f>15449.67</f>
        <v>15449.67</v>
      </c>
      <c r="K1196" s="131">
        <f t="shared" si="256"/>
        <v>15449.670000000002</v>
      </c>
      <c r="L1196" s="335">
        <f t="shared" si="249"/>
        <v>0</v>
      </c>
      <c r="M1196" s="446"/>
      <c r="N1196" s="446"/>
      <c r="O1196" s="446"/>
      <c r="P1196" s="446"/>
      <c r="Q1196" s="130">
        <v>2</v>
      </c>
      <c r="R1196" s="111">
        <f t="shared" si="259"/>
        <v>3862.4175</v>
      </c>
      <c r="S1196" s="110"/>
      <c r="T1196" s="110"/>
      <c r="U1196" s="130">
        <v>2</v>
      </c>
      <c r="V1196" s="111">
        <f t="shared" si="261"/>
        <v>3862.4175</v>
      </c>
      <c r="W1196" s="110"/>
      <c r="X1196" s="110"/>
      <c r="Y1196" s="110"/>
      <c r="Z1196" s="110"/>
      <c r="AA1196" s="130">
        <v>1</v>
      </c>
      <c r="AB1196" s="111">
        <f t="shared" si="250"/>
        <v>3862.4175</v>
      </c>
      <c r="AC1196" s="110"/>
      <c r="AD1196" s="110"/>
      <c r="AE1196" s="130">
        <v>1</v>
      </c>
      <c r="AF1196" s="111">
        <f t="shared" si="251"/>
        <v>3862.4175</v>
      </c>
      <c r="AG1196" s="110"/>
      <c r="AH1196" s="110"/>
      <c r="AI1196" s="110"/>
      <c r="AJ1196" s="110"/>
      <c r="AK1196" s="111">
        <f t="shared" si="252"/>
        <v>15449.67</v>
      </c>
      <c r="AL1196" s="446">
        <f t="shared" si="253"/>
        <v>0</v>
      </c>
      <c r="AM1196" s="110">
        <f t="shared" si="254"/>
        <v>6</v>
      </c>
      <c r="AN1196" s="447">
        <f t="shared" si="257"/>
        <v>0</v>
      </c>
      <c r="AO1196"/>
      <c r="AP1196"/>
    </row>
    <row r="1197" spans="1:42" ht="66" x14ac:dyDescent="0.25">
      <c r="A1197" s="9"/>
      <c r="B1197" s="123" t="s">
        <v>1149</v>
      </c>
      <c r="C1197" s="1024"/>
      <c r="D1197" s="869">
        <f>21</f>
        <v>21</v>
      </c>
      <c r="E1197" s="1027" t="s">
        <v>1725</v>
      </c>
      <c r="F1197" s="278" t="s">
        <v>3446</v>
      </c>
      <c r="G1197" s="1040" t="s">
        <v>3463</v>
      </c>
      <c r="H1197" s="273" t="s">
        <v>3462</v>
      </c>
      <c r="I1197" s="720">
        <f t="shared" si="263"/>
        <v>400.89619047619044</v>
      </c>
      <c r="J1197" s="756">
        <f>8418.82</f>
        <v>8418.82</v>
      </c>
      <c r="K1197" s="131">
        <f t="shared" si="256"/>
        <v>8418.82</v>
      </c>
      <c r="L1197" s="335">
        <f t="shared" si="249"/>
        <v>0</v>
      </c>
      <c r="M1197" s="446"/>
      <c r="N1197" s="446"/>
      <c r="O1197" s="446"/>
      <c r="P1197" s="446"/>
      <c r="Q1197" s="110">
        <v>6</v>
      </c>
      <c r="R1197" s="111">
        <f t="shared" si="259"/>
        <v>2104.7049999999999</v>
      </c>
      <c r="S1197" s="110"/>
      <c r="T1197" s="110"/>
      <c r="U1197" s="110">
        <v>5</v>
      </c>
      <c r="V1197" s="111">
        <f t="shared" si="261"/>
        <v>2104.7049999999999</v>
      </c>
      <c r="W1197" s="110"/>
      <c r="X1197" s="110"/>
      <c r="Y1197" s="110"/>
      <c r="Z1197" s="110"/>
      <c r="AA1197" s="110">
        <v>5</v>
      </c>
      <c r="AB1197" s="111">
        <f t="shared" si="250"/>
        <v>2104.7049999999999</v>
      </c>
      <c r="AC1197" s="110"/>
      <c r="AD1197" s="110"/>
      <c r="AE1197" s="110">
        <v>5</v>
      </c>
      <c r="AF1197" s="111">
        <f t="shared" si="251"/>
        <v>2104.7049999999999</v>
      </c>
      <c r="AG1197" s="110"/>
      <c r="AH1197" s="110"/>
      <c r="AI1197" s="110"/>
      <c r="AJ1197" s="110"/>
      <c r="AK1197" s="111">
        <f t="shared" si="252"/>
        <v>8418.82</v>
      </c>
      <c r="AL1197" s="446">
        <f t="shared" si="253"/>
        <v>0</v>
      </c>
      <c r="AM1197" s="110">
        <f t="shared" si="254"/>
        <v>21</v>
      </c>
      <c r="AN1197" s="447">
        <f t="shared" si="257"/>
        <v>0</v>
      </c>
      <c r="AO1197"/>
      <c r="AP1197"/>
    </row>
    <row r="1198" spans="1:42" ht="66" x14ac:dyDescent="0.25">
      <c r="A1198" s="9"/>
      <c r="B1198" s="124" t="s">
        <v>156</v>
      </c>
      <c r="C1198" s="1024"/>
      <c r="D1198" s="869">
        <f>10</f>
        <v>10</v>
      </c>
      <c r="E1198" s="1027" t="s">
        <v>3447</v>
      </c>
      <c r="F1198" s="273" t="s">
        <v>3446</v>
      </c>
      <c r="G1198" s="1040" t="s">
        <v>3463</v>
      </c>
      <c r="H1198" s="273" t="s">
        <v>3462</v>
      </c>
      <c r="I1198" s="720">
        <f t="shared" si="263"/>
        <v>580</v>
      </c>
      <c r="J1198" s="756">
        <f>5800</f>
        <v>5800</v>
      </c>
      <c r="K1198" s="131">
        <f t="shared" si="256"/>
        <v>5800</v>
      </c>
      <c r="L1198" s="335">
        <f t="shared" si="249"/>
        <v>0</v>
      </c>
      <c r="M1198" s="446"/>
      <c r="N1198" s="446"/>
      <c r="O1198" s="446"/>
      <c r="P1198" s="446"/>
      <c r="Q1198" s="130">
        <v>3</v>
      </c>
      <c r="R1198" s="111">
        <f t="shared" si="259"/>
        <v>1450</v>
      </c>
      <c r="S1198" s="110"/>
      <c r="T1198" s="110"/>
      <c r="U1198" s="130">
        <v>3</v>
      </c>
      <c r="V1198" s="111">
        <f t="shared" si="261"/>
        <v>1450</v>
      </c>
      <c r="W1198" s="110"/>
      <c r="X1198" s="110"/>
      <c r="Y1198" s="110"/>
      <c r="Z1198" s="110"/>
      <c r="AA1198" s="130">
        <v>2</v>
      </c>
      <c r="AB1198" s="111">
        <f t="shared" si="250"/>
        <v>1450</v>
      </c>
      <c r="AC1198" s="110"/>
      <c r="AD1198" s="110"/>
      <c r="AE1198" s="130">
        <v>2</v>
      </c>
      <c r="AF1198" s="111">
        <f t="shared" si="251"/>
        <v>1450</v>
      </c>
      <c r="AG1198" s="110"/>
      <c r="AH1198" s="110"/>
      <c r="AI1198" s="110"/>
      <c r="AJ1198" s="110"/>
      <c r="AK1198" s="111">
        <f t="shared" si="252"/>
        <v>5800</v>
      </c>
      <c r="AL1198" s="446">
        <f t="shared" si="253"/>
        <v>0</v>
      </c>
      <c r="AM1198" s="110">
        <f t="shared" si="254"/>
        <v>10</v>
      </c>
      <c r="AN1198" s="447">
        <f t="shared" si="257"/>
        <v>0</v>
      </c>
      <c r="AO1198"/>
      <c r="AP1198"/>
    </row>
    <row r="1199" spans="1:42" ht="66" x14ac:dyDescent="0.25">
      <c r="A1199" s="9"/>
      <c r="B1199" s="476" t="s">
        <v>2007</v>
      </c>
      <c r="C1199" s="1024"/>
      <c r="D1199" s="869">
        <v>1</v>
      </c>
      <c r="E1199" s="1027" t="s">
        <v>1725</v>
      </c>
      <c r="F1199" s="273" t="s">
        <v>3446</v>
      </c>
      <c r="G1199" s="1040" t="s">
        <v>3463</v>
      </c>
      <c r="H1199" s="273" t="s">
        <v>3462</v>
      </c>
      <c r="I1199" s="720">
        <f t="shared" si="263"/>
        <v>1000</v>
      </c>
      <c r="J1199" s="756">
        <v>1000</v>
      </c>
      <c r="K1199" s="131">
        <f t="shared" si="256"/>
        <v>1000</v>
      </c>
      <c r="L1199" s="335">
        <f t="shared" si="249"/>
        <v>0</v>
      </c>
      <c r="M1199" s="446"/>
      <c r="N1199" s="446"/>
      <c r="O1199" s="446"/>
      <c r="P1199" s="446"/>
      <c r="Q1199" s="110">
        <v>1</v>
      </c>
      <c r="R1199" s="111">
        <v>1000</v>
      </c>
      <c r="S1199" s="110"/>
      <c r="T1199" s="110"/>
      <c r="U1199" s="110">
        <v>0</v>
      </c>
      <c r="V1199" s="111">
        <v>0</v>
      </c>
      <c r="W1199" s="110"/>
      <c r="X1199" s="110"/>
      <c r="Y1199" s="110"/>
      <c r="Z1199" s="110"/>
      <c r="AA1199" s="110">
        <v>0</v>
      </c>
      <c r="AB1199" s="111">
        <v>0</v>
      </c>
      <c r="AC1199" s="110"/>
      <c r="AD1199" s="110"/>
      <c r="AE1199" s="110">
        <v>0</v>
      </c>
      <c r="AF1199" s="111">
        <v>0</v>
      </c>
      <c r="AG1199" s="110"/>
      <c r="AH1199" s="110"/>
      <c r="AI1199" s="110"/>
      <c r="AJ1199" s="110"/>
      <c r="AK1199" s="111">
        <f t="shared" si="252"/>
        <v>1000</v>
      </c>
      <c r="AL1199" s="446">
        <f t="shared" si="253"/>
        <v>0</v>
      </c>
      <c r="AM1199" s="110">
        <f t="shared" si="254"/>
        <v>1</v>
      </c>
      <c r="AN1199" s="447">
        <f t="shared" si="257"/>
        <v>0</v>
      </c>
      <c r="AO1199"/>
      <c r="AP1199"/>
    </row>
    <row r="1200" spans="1:42" ht="66" x14ac:dyDescent="0.25">
      <c r="A1200" s="9"/>
      <c r="B1200" s="45" t="s">
        <v>2908</v>
      </c>
      <c r="C1200" s="1024"/>
      <c r="D1200" s="869">
        <v>5</v>
      </c>
      <c r="E1200" s="1027" t="s">
        <v>1749</v>
      </c>
      <c r="F1200" s="273" t="s">
        <v>3446</v>
      </c>
      <c r="G1200" s="1040" t="s">
        <v>3463</v>
      </c>
      <c r="H1200" s="273" t="s">
        <v>3462</v>
      </c>
      <c r="I1200" s="720">
        <f t="shared" si="263"/>
        <v>1200</v>
      </c>
      <c r="J1200" s="756">
        <v>6000</v>
      </c>
      <c r="K1200" s="131">
        <f t="shared" si="256"/>
        <v>6000</v>
      </c>
      <c r="L1200" s="335">
        <f t="shared" si="249"/>
        <v>0</v>
      </c>
      <c r="M1200" s="446"/>
      <c r="N1200" s="446"/>
      <c r="O1200" s="446"/>
      <c r="P1200" s="446"/>
      <c r="Q1200" s="110">
        <v>2</v>
      </c>
      <c r="R1200" s="111">
        <v>2400</v>
      </c>
      <c r="S1200" s="110"/>
      <c r="T1200" s="110"/>
      <c r="U1200" s="110">
        <v>1</v>
      </c>
      <c r="V1200" s="111">
        <v>2400</v>
      </c>
      <c r="W1200" s="110"/>
      <c r="X1200" s="110"/>
      <c r="Y1200" s="110"/>
      <c r="Z1200" s="110"/>
      <c r="AA1200" s="110">
        <v>1</v>
      </c>
      <c r="AB1200" s="111">
        <v>1200</v>
      </c>
      <c r="AC1200" s="110"/>
      <c r="AD1200" s="110"/>
      <c r="AE1200" s="110">
        <v>0</v>
      </c>
      <c r="AF1200" s="111">
        <v>0</v>
      </c>
      <c r="AG1200" s="110"/>
      <c r="AH1200" s="110"/>
      <c r="AI1200" s="110"/>
      <c r="AJ1200" s="110"/>
      <c r="AK1200" s="111">
        <f t="shared" si="252"/>
        <v>6000</v>
      </c>
      <c r="AL1200" s="446">
        <f t="shared" si="253"/>
        <v>0</v>
      </c>
      <c r="AM1200" s="110">
        <f t="shared" si="254"/>
        <v>4</v>
      </c>
      <c r="AN1200" s="447">
        <f t="shared" si="257"/>
        <v>1</v>
      </c>
      <c r="AO1200"/>
      <c r="AP1200"/>
    </row>
    <row r="1201" spans="1:42" x14ac:dyDescent="0.25">
      <c r="A1201" s="305">
        <v>216</v>
      </c>
      <c r="B1201" s="470" t="s">
        <v>157</v>
      </c>
      <c r="C1201" s="306"/>
      <c r="D1201" s="896"/>
      <c r="E1201" s="365"/>
      <c r="F1201" s="366"/>
      <c r="G1201" s="366"/>
      <c r="H1201" s="366"/>
      <c r="I1201" s="716"/>
      <c r="J1201" s="778"/>
      <c r="K1201" s="131">
        <f t="shared" si="256"/>
        <v>0</v>
      </c>
      <c r="L1201" s="335">
        <f t="shared" si="249"/>
        <v>0</v>
      </c>
      <c r="M1201" s="451"/>
      <c r="N1201" s="451"/>
      <c r="O1201" s="451"/>
      <c r="P1201" s="451"/>
      <c r="Q1201" s="386">
        <f t="shared" si="258"/>
        <v>0</v>
      </c>
      <c r="R1201" s="309">
        <f t="shared" si="259"/>
        <v>0</v>
      </c>
      <c r="S1201" s="386"/>
      <c r="T1201" s="386"/>
      <c r="U1201" s="386">
        <f t="shared" si="260"/>
        <v>0</v>
      </c>
      <c r="V1201" s="309">
        <f t="shared" si="261"/>
        <v>0</v>
      </c>
      <c r="W1201" s="386"/>
      <c r="X1201" s="386"/>
      <c r="Y1201" s="386"/>
      <c r="Z1201" s="386"/>
      <c r="AA1201" s="386">
        <f t="shared" si="262"/>
        <v>0</v>
      </c>
      <c r="AB1201" s="309">
        <f t="shared" si="250"/>
        <v>0</v>
      </c>
      <c r="AC1201" s="386"/>
      <c r="AD1201" s="386"/>
      <c r="AE1201" s="386">
        <f t="shared" si="262"/>
        <v>0</v>
      </c>
      <c r="AF1201" s="309">
        <f t="shared" si="251"/>
        <v>0</v>
      </c>
      <c r="AG1201" s="386"/>
      <c r="AH1201" s="386"/>
      <c r="AI1201" s="386"/>
      <c r="AJ1201" s="386"/>
      <c r="AK1201" s="309">
        <f t="shared" si="252"/>
        <v>0</v>
      </c>
      <c r="AL1201" s="451">
        <f t="shared" si="253"/>
        <v>0</v>
      </c>
      <c r="AM1201" s="386">
        <f t="shared" si="254"/>
        <v>0</v>
      </c>
      <c r="AN1201" s="452">
        <f t="shared" si="257"/>
        <v>0</v>
      </c>
      <c r="AO1201" s="108"/>
      <c r="AP1201"/>
    </row>
    <row r="1202" spans="1:42" x14ac:dyDescent="0.25">
      <c r="A1202" s="315">
        <v>21601</v>
      </c>
      <c r="B1202" s="500" t="s">
        <v>158</v>
      </c>
      <c r="C1202" s="316"/>
      <c r="D1202" s="886"/>
      <c r="E1202" s="316"/>
      <c r="F1202" s="363"/>
      <c r="G1202" s="363"/>
      <c r="H1202" s="363"/>
      <c r="I1202" s="724"/>
      <c r="J1202" s="777"/>
      <c r="K1202" s="131">
        <f t="shared" si="256"/>
        <v>0</v>
      </c>
      <c r="L1202" s="335">
        <f t="shared" si="249"/>
        <v>0</v>
      </c>
      <c r="M1202" s="414"/>
      <c r="N1202" s="414"/>
      <c r="O1202" s="414"/>
      <c r="P1202" s="414"/>
      <c r="Q1202" s="413">
        <f t="shared" si="258"/>
        <v>0</v>
      </c>
      <c r="R1202" s="345">
        <f t="shared" si="259"/>
        <v>0</v>
      </c>
      <c r="S1202" s="413"/>
      <c r="T1202" s="413"/>
      <c r="U1202" s="413">
        <f t="shared" si="260"/>
        <v>0</v>
      </c>
      <c r="V1202" s="345">
        <f t="shared" si="261"/>
        <v>0</v>
      </c>
      <c r="W1202" s="413"/>
      <c r="X1202" s="413"/>
      <c r="Y1202" s="413"/>
      <c r="Z1202" s="413"/>
      <c r="AA1202" s="413">
        <f t="shared" si="262"/>
        <v>0</v>
      </c>
      <c r="AB1202" s="345">
        <f t="shared" si="250"/>
        <v>0</v>
      </c>
      <c r="AC1202" s="413"/>
      <c r="AD1202" s="413"/>
      <c r="AE1202" s="413">
        <f t="shared" si="262"/>
        <v>0</v>
      </c>
      <c r="AF1202" s="345">
        <f t="shared" si="251"/>
        <v>0</v>
      </c>
      <c r="AG1202" s="413"/>
      <c r="AH1202" s="413"/>
      <c r="AI1202" s="413"/>
      <c r="AJ1202" s="413"/>
      <c r="AK1202" s="345">
        <f t="shared" si="252"/>
        <v>0</v>
      </c>
      <c r="AL1202" s="414">
        <f t="shared" si="253"/>
        <v>0</v>
      </c>
      <c r="AM1202" s="413">
        <f t="shared" si="254"/>
        <v>0</v>
      </c>
      <c r="AN1202" s="415">
        <f t="shared" si="257"/>
        <v>0</v>
      </c>
      <c r="AO1202" s="436">
        <f>SUM(J1203:J1366)</f>
        <v>563714.48400000005</v>
      </c>
      <c r="AP1202" s="111"/>
    </row>
    <row r="1203" spans="1:42" ht="66" x14ac:dyDescent="0.25">
      <c r="A1203" s="40"/>
      <c r="B1203" s="520" t="s">
        <v>1166</v>
      </c>
      <c r="C1203" s="38"/>
      <c r="D1203" s="872">
        <f>40+12</f>
        <v>52</v>
      </c>
      <c r="E1203" s="265" t="s">
        <v>1721</v>
      </c>
      <c r="F1203" s="273" t="s">
        <v>3446</v>
      </c>
      <c r="G1203" s="1040" t="s">
        <v>3463</v>
      </c>
      <c r="H1203" s="273" t="s">
        <v>3462</v>
      </c>
      <c r="I1203" s="727">
        <f t="shared" ref="I1203:I1266" si="264">+J1203/D1203</f>
        <v>91.440192307692314</v>
      </c>
      <c r="J1203" s="779">
        <f>2402.13+2352.76</f>
        <v>4754.8900000000003</v>
      </c>
      <c r="K1203" s="131">
        <f t="shared" si="256"/>
        <v>4754.8900000000003</v>
      </c>
      <c r="L1203" s="335">
        <f t="shared" si="249"/>
        <v>0</v>
      </c>
      <c r="M1203" s="446"/>
      <c r="N1203" s="446"/>
      <c r="O1203" s="446"/>
      <c r="P1203" s="446"/>
      <c r="Q1203" s="110">
        <f t="shared" si="258"/>
        <v>13</v>
      </c>
      <c r="R1203" s="111">
        <f t="shared" si="259"/>
        <v>1188.7225000000001</v>
      </c>
      <c r="S1203" s="110"/>
      <c r="T1203" s="110"/>
      <c r="U1203" s="110">
        <f t="shared" si="260"/>
        <v>13</v>
      </c>
      <c r="V1203" s="111">
        <f t="shared" si="261"/>
        <v>1188.7225000000001</v>
      </c>
      <c r="W1203" s="110"/>
      <c r="X1203" s="110"/>
      <c r="Y1203" s="110"/>
      <c r="Z1203" s="110"/>
      <c r="AA1203" s="110">
        <f t="shared" si="262"/>
        <v>13</v>
      </c>
      <c r="AB1203" s="111">
        <f t="shared" si="250"/>
        <v>1188.7225000000001</v>
      </c>
      <c r="AC1203" s="110"/>
      <c r="AD1203" s="110"/>
      <c r="AE1203" s="110">
        <f t="shared" si="262"/>
        <v>13</v>
      </c>
      <c r="AF1203" s="111">
        <f t="shared" si="251"/>
        <v>1188.7225000000001</v>
      </c>
      <c r="AG1203" s="110"/>
      <c r="AH1203" s="110"/>
      <c r="AI1203" s="110"/>
      <c r="AJ1203" s="110"/>
      <c r="AK1203" s="111">
        <f t="shared" si="252"/>
        <v>4754.8900000000003</v>
      </c>
      <c r="AL1203" s="446">
        <f t="shared" si="253"/>
        <v>0</v>
      </c>
      <c r="AM1203" s="110">
        <f t="shared" si="254"/>
        <v>52</v>
      </c>
      <c r="AN1203" s="447">
        <f t="shared" si="257"/>
        <v>0</v>
      </c>
      <c r="AO1203"/>
      <c r="AP1203"/>
    </row>
    <row r="1204" spans="1:42" ht="66" x14ac:dyDescent="0.25">
      <c r="A1204" s="40"/>
      <c r="B1204" s="521" t="s">
        <v>1167</v>
      </c>
      <c r="C1204" s="38"/>
      <c r="D1204" s="869">
        <f>100</f>
        <v>100</v>
      </c>
      <c r="E1204" s="1027" t="s">
        <v>1721</v>
      </c>
      <c r="F1204" s="273" t="s">
        <v>3446</v>
      </c>
      <c r="G1204" s="1040" t="s">
        <v>3463</v>
      </c>
      <c r="H1204" s="273" t="s">
        <v>3462</v>
      </c>
      <c r="I1204" s="720">
        <f t="shared" si="264"/>
        <v>65.621200000000002</v>
      </c>
      <c r="J1204" s="780">
        <f>6562.12</f>
        <v>6562.12</v>
      </c>
      <c r="K1204" s="131">
        <f t="shared" si="256"/>
        <v>6562.12</v>
      </c>
      <c r="L1204" s="335">
        <f t="shared" ref="L1204:L1267" si="265">+J1204-K1204</f>
        <v>0</v>
      </c>
      <c r="M1204" s="446"/>
      <c r="N1204" s="446"/>
      <c r="O1204" s="446"/>
      <c r="P1204" s="446"/>
      <c r="Q1204" s="110">
        <v>30</v>
      </c>
      <c r="R1204" s="111">
        <f t="shared" si="259"/>
        <v>1640.53</v>
      </c>
      <c r="S1204" s="110"/>
      <c r="T1204" s="110"/>
      <c r="U1204" s="110">
        <v>30</v>
      </c>
      <c r="V1204" s="111">
        <f t="shared" si="261"/>
        <v>1640.53</v>
      </c>
      <c r="W1204" s="110"/>
      <c r="X1204" s="110"/>
      <c r="Y1204" s="110"/>
      <c r="Z1204" s="110"/>
      <c r="AA1204" s="110">
        <v>30</v>
      </c>
      <c r="AB1204" s="111">
        <f t="shared" ref="AB1204:AB1267" si="266">+J1204/4</f>
        <v>1640.53</v>
      </c>
      <c r="AC1204" s="110"/>
      <c r="AD1204" s="110"/>
      <c r="AE1204" s="110">
        <v>10</v>
      </c>
      <c r="AF1204" s="111">
        <f t="shared" ref="AF1204:AF1250" si="267">+J1204/4</f>
        <v>1640.53</v>
      </c>
      <c r="AG1204" s="110"/>
      <c r="AH1204" s="110"/>
      <c r="AI1204" s="110"/>
      <c r="AJ1204" s="110"/>
      <c r="AK1204" s="111">
        <f t="shared" ref="AK1204:AK1267" si="268">+R1204+V1204+AB1204+AF1204</f>
        <v>6562.12</v>
      </c>
      <c r="AL1204" s="446">
        <f t="shared" ref="AL1204:AL1267" si="269">+J1204-AK1204</f>
        <v>0</v>
      </c>
      <c r="AM1204" s="110">
        <f t="shared" ref="AM1204:AM1267" si="270">+Q1204+U1204+AA1204+AE1204</f>
        <v>100</v>
      </c>
      <c r="AN1204" s="447">
        <f t="shared" si="257"/>
        <v>0</v>
      </c>
      <c r="AO1204"/>
      <c r="AP1204"/>
    </row>
    <row r="1205" spans="1:42" ht="66" x14ac:dyDescent="0.25">
      <c r="A1205" s="1027"/>
      <c r="B1205" s="486" t="s">
        <v>159</v>
      </c>
      <c r="C1205" s="38"/>
      <c r="D1205" s="869">
        <v>24</v>
      </c>
      <c r="E1205" s="1027" t="s">
        <v>1721</v>
      </c>
      <c r="F1205" s="273" t="s">
        <v>3446</v>
      </c>
      <c r="G1205" s="1040" t="s">
        <v>3463</v>
      </c>
      <c r="H1205" s="273" t="s">
        <v>3462</v>
      </c>
      <c r="I1205" s="720">
        <f t="shared" si="264"/>
        <v>20.021666666666665</v>
      </c>
      <c r="J1205" s="756">
        <v>480.52</v>
      </c>
      <c r="K1205" s="131">
        <f t="shared" si="256"/>
        <v>480.52</v>
      </c>
      <c r="L1205" s="335">
        <f t="shared" si="265"/>
        <v>0</v>
      </c>
      <c r="M1205" s="446"/>
      <c r="N1205" s="446"/>
      <c r="O1205" s="446"/>
      <c r="P1205" s="446"/>
      <c r="Q1205" s="110">
        <f t="shared" si="258"/>
        <v>6</v>
      </c>
      <c r="R1205" s="111">
        <f t="shared" si="259"/>
        <v>120.13</v>
      </c>
      <c r="S1205" s="110"/>
      <c r="T1205" s="110"/>
      <c r="U1205" s="110">
        <f t="shared" si="260"/>
        <v>6</v>
      </c>
      <c r="V1205" s="111">
        <f t="shared" si="261"/>
        <v>120.13</v>
      </c>
      <c r="W1205" s="110"/>
      <c r="X1205" s="110"/>
      <c r="Y1205" s="110"/>
      <c r="Z1205" s="110"/>
      <c r="AA1205" s="110">
        <f t="shared" si="262"/>
        <v>6</v>
      </c>
      <c r="AB1205" s="111">
        <f t="shared" si="266"/>
        <v>120.13</v>
      </c>
      <c r="AC1205" s="110"/>
      <c r="AD1205" s="110"/>
      <c r="AE1205" s="110">
        <f t="shared" si="262"/>
        <v>6</v>
      </c>
      <c r="AF1205" s="111">
        <f t="shared" si="267"/>
        <v>120.13</v>
      </c>
      <c r="AG1205" s="110"/>
      <c r="AH1205" s="110"/>
      <c r="AI1205" s="110"/>
      <c r="AJ1205" s="110"/>
      <c r="AK1205" s="111">
        <f t="shared" si="268"/>
        <v>480.52</v>
      </c>
      <c r="AL1205" s="446">
        <f t="shared" si="269"/>
        <v>0</v>
      </c>
      <c r="AM1205" s="110">
        <f t="shared" si="270"/>
        <v>24</v>
      </c>
      <c r="AN1205" s="447">
        <f t="shared" si="257"/>
        <v>0</v>
      </c>
      <c r="AO1205"/>
      <c r="AP1205"/>
    </row>
    <row r="1206" spans="1:42" ht="66" x14ac:dyDescent="0.25">
      <c r="A1206" s="1027"/>
      <c r="B1206" s="152" t="s">
        <v>160</v>
      </c>
      <c r="C1206" s="1028"/>
      <c r="D1206" s="869">
        <f>6+12</f>
        <v>18</v>
      </c>
      <c r="E1206" s="1027" t="s">
        <v>1721</v>
      </c>
      <c r="F1206" s="273" t="s">
        <v>3446</v>
      </c>
      <c r="G1206" s="1040" t="s">
        <v>3463</v>
      </c>
      <c r="H1206" s="273" t="s">
        <v>3462</v>
      </c>
      <c r="I1206" s="720">
        <f t="shared" si="264"/>
        <v>64.496111111111119</v>
      </c>
      <c r="J1206" s="756">
        <f>386.98+773.95</f>
        <v>1160.93</v>
      </c>
      <c r="K1206" s="131">
        <f t="shared" si="256"/>
        <v>1160.93</v>
      </c>
      <c r="L1206" s="335">
        <f t="shared" si="265"/>
        <v>0</v>
      </c>
      <c r="M1206" s="446"/>
      <c r="N1206" s="446"/>
      <c r="O1206" s="446"/>
      <c r="P1206" s="446"/>
      <c r="Q1206" s="110">
        <v>5</v>
      </c>
      <c r="R1206" s="111">
        <f t="shared" si="259"/>
        <v>290.23250000000002</v>
      </c>
      <c r="S1206" s="110"/>
      <c r="T1206" s="110"/>
      <c r="U1206" s="110">
        <v>5</v>
      </c>
      <c r="V1206" s="111">
        <f t="shared" si="261"/>
        <v>290.23250000000002</v>
      </c>
      <c r="W1206" s="110"/>
      <c r="X1206" s="110"/>
      <c r="Y1206" s="110"/>
      <c r="Z1206" s="110"/>
      <c r="AA1206" s="110">
        <v>4</v>
      </c>
      <c r="AB1206" s="111">
        <f t="shared" si="266"/>
        <v>290.23250000000002</v>
      </c>
      <c r="AC1206" s="110"/>
      <c r="AD1206" s="110"/>
      <c r="AE1206" s="110">
        <v>4</v>
      </c>
      <c r="AF1206" s="111">
        <f t="shared" si="267"/>
        <v>290.23250000000002</v>
      </c>
      <c r="AG1206" s="110"/>
      <c r="AH1206" s="110"/>
      <c r="AI1206" s="110"/>
      <c r="AJ1206" s="110"/>
      <c r="AK1206" s="111">
        <f t="shared" si="268"/>
        <v>1160.93</v>
      </c>
      <c r="AL1206" s="446">
        <f t="shared" si="269"/>
        <v>0</v>
      </c>
      <c r="AM1206" s="110">
        <f t="shared" si="270"/>
        <v>18</v>
      </c>
      <c r="AN1206" s="447">
        <f t="shared" si="257"/>
        <v>0</v>
      </c>
      <c r="AO1206"/>
      <c r="AP1206"/>
    </row>
    <row r="1207" spans="1:42" ht="66" x14ac:dyDescent="0.25">
      <c r="A1207" s="1027"/>
      <c r="B1207" s="34" t="s">
        <v>161</v>
      </c>
      <c r="C1207" s="1028"/>
      <c r="D1207" s="869">
        <v>60</v>
      </c>
      <c r="E1207" s="1027" t="s">
        <v>1721</v>
      </c>
      <c r="F1207" s="273" t="s">
        <v>3446</v>
      </c>
      <c r="G1207" s="1040" t="s">
        <v>3463</v>
      </c>
      <c r="H1207" s="273" t="s">
        <v>3462</v>
      </c>
      <c r="I1207" s="720">
        <f t="shared" si="264"/>
        <v>29</v>
      </c>
      <c r="J1207" s="756">
        <v>1740</v>
      </c>
      <c r="K1207" s="131">
        <f t="shared" si="256"/>
        <v>1740</v>
      </c>
      <c r="L1207" s="335">
        <f t="shared" si="265"/>
        <v>0</v>
      </c>
      <c r="M1207" s="446"/>
      <c r="N1207" s="446"/>
      <c r="O1207" s="446"/>
      <c r="P1207" s="446"/>
      <c r="Q1207" s="110">
        <f t="shared" si="258"/>
        <v>15</v>
      </c>
      <c r="R1207" s="111">
        <f t="shared" si="259"/>
        <v>435</v>
      </c>
      <c r="S1207" s="110"/>
      <c r="T1207" s="110"/>
      <c r="U1207" s="110">
        <f t="shared" si="260"/>
        <v>15</v>
      </c>
      <c r="V1207" s="111">
        <f t="shared" si="261"/>
        <v>435</v>
      </c>
      <c r="W1207" s="110"/>
      <c r="X1207" s="110"/>
      <c r="Y1207" s="110"/>
      <c r="Z1207" s="110"/>
      <c r="AA1207" s="110">
        <f t="shared" si="262"/>
        <v>15</v>
      </c>
      <c r="AB1207" s="111">
        <f t="shared" si="266"/>
        <v>435</v>
      </c>
      <c r="AC1207" s="110"/>
      <c r="AD1207" s="110"/>
      <c r="AE1207" s="110">
        <f t="shared" si="262"/>
        <v>15</v>
      </c>
      <c r="AF1207" s="111">
        <f t="shared" si="267"/>
        <v>435</v>
      </c>
      <c r="AG1207" s="110"/>
      <c r="AH1207" s="110"/>
      <c r="AI1207" s="110"/>
      <c r="AJ1207" s="110"/>
      <c r="AK1207" s="111">
        <f t="shared" si="268"/>
        <v>1740</v>
      </c>
      <c r="AL1207" s="446">
        <f t="shared" si="269"/>
        <v>0</v>
      </c>
      <c r="AM1207" s="110">
        <f t="shared" si="270"/>
        <v>60</v>
      </c>
      <c r="AN1207" s="447">
        <f t="shared" si="257"/>
        <v>0</v>
      </c>
      <c r="AO1207"/>
      <c r="AP1207"/>
    </row>
    <row r="1208" spans="1:42" ht="66" x14ac:dyDescent="0.25">
      <c r="A1208" s="1027"/>
      <c r="B1208" s="152" t="s">
        <v>162</v>
      </c>
      <c r="C1208" s="1028"/>
      <c r="D1208" s="869">
        <f>30+12</f>
        <v>42</v>
      </c>
      <c r="E1208" s="1027" t="s">
        <v>1721</v>
      </c>
      <c r="F1208" s="273" t="s">
        <v>3446</v>
      </c>
      <c r="G1208" s="1040" t="s">
        <v>3463</v>
      </c>
      <c r="H1208" s="273" t="s">
        <v>3462</v>
      </c>
      <c r="I1208" s="720">
        <f t="shared" si="264"/>
        <v>18.397619047619045</v>
      </c>
      <c r="J1208" s="756">
        <f>551.93+220.77</f>
        <v>772.69999999999993</v>
      </c>
      <c r="K1208" s="131">
        <f t="shared" si="256"/>
        <v>772.69999999999993</v>
      </c>
      <c r="L1208" s="335">
        <f t="shared" si="265"/>
        <v>0</v>
      </c>
      <c r="M1208" s="446"/>
      <c r="N1208" s="446"/>
      <c r="O1208" s="446"/>
      <c r="P1208" s="446"/>
      <c r="Q1208" s="110">
        <v>11</v>
      </c>
      <c r="R1208" s="111">
        <f t="shared" si="259"/>
        <v>193.17499999999998</v>
      </c>
      <c r="S1208" s="110"/>
      <c r="T1208" s="110"/>
      <c r="U1208" s="110">
        <v>11</v>
      </c>
      <c r="V1208" s="111">
        <f t="shared" si="261"/>
        <v>193.17499999999998</v>
      </c>
      <c r="W1208" s="110"/>
      <c r="X1208" s="110"/>
      <c r="Y1208" s="110"/>
      <c r="Z1208" s="110"/>
      <c r="AA1208" s="110">
        <v>10</v>
      </c>
      <c r="AB1208" s="111">
        <f t="shared" si="266"/>
        <v>193.17499999999998</v>
      </c>
      <c r="AC1208" s="110"/>
      <c r="AD1208" s="110"/>
      <c r="AE1208" s="110">
        <v>10</v>
      </c>
      <c r="AF1208" s="111">
        <f t="shared" si="267"/>
        <v>193.17499999999998</v>
      </c>
      <c r="AG1208" s="110"/>
      <c r="AH1208" s="110"/>
      <c r="AI1208" s="110"/>
      <c r="AJ1208" s="110"/>
      <c r="AK1208" s="111">
        <f t="shared" si="268"/>
        <v>772.69999999999993</v>
      </c>
      <c r="AL1208" s="446">
        <f t="shared" si="269"/>
        <v>0</v>
      </c>
      <c r="AM1208" s="110">
        <f t="shared" si="270"/>
        <v>42</v>
      </c>
      <c r="AN1208" s="447">
        <f t="shared" si="257"/>
        <v>0</v>
      </c>
      <c r="AO1208"/>
      <c r="AP1208"/>
    </row>
    <row r="1209" spans="1:42" ht="66" x14ac:dyDescent="0.25">
      <c r="A1209" s="1027"/>
      <c r="B1209" s="152" t="s">
        <v>163</v>
      </c>
      <c r="C1209" s="1028"/>
      <c r="D1209" s="869">
        <f>73+6</f>
        <v>79</v>
      </c>
      <c r="E1209" s="1027" t="s">
        <v>1721</v>
      </c>
      <c r="F1209" s="273" t="s">
        <v>3446</v>
      </c>
      <c r="G1209" s="1040" t="s">
        <v>3463</v>
      </c>
      <c r="H1209" s="273" t="s">
        <v>3462</v>
      </c>
      <c r="I1209" s="720">
        <f t="shared" si="264"/>
        <v>37.108354430379748</v>
      </c>
      <c r="J1209" s="756">
        <f>2708.91+222.65</f>
        <v>2931.56</v>
      </c>
      <c r="K1209" s="131">
        <f t="shared" si="256"/>
        <v>2931.56</v>
      </c>
      <c r="L1209" s="335">
        <f t="shared" si="265"/>
        <v>0</v>
      </c>
      <c r="M1209" s="446"/>
      <c r="N1209" s="446"/>
      <c r="O1209" s="446"/>
      <c r="P1209" s="446"/>
      <c r="Q1209" s="110">
        <v>21</v>
      </c>
      <c r="R1209" s="111">
        <f t="shared" si="259"/>
        <v>732.89</v>
      </c>
      <c r="S1209" s="110"/>
      <c r="T1209" s="110"/>
      <c r="U1209" s="110">
        <v>23</v>
      </c>
      <c r="V1209" s="111">
        <f t="shared" si="261"/>
        <v>732.89</v>
      </c>
      <c r="W1209" s="110"/>
      <c r="X1209" s="110"/>
      <c r="Y1209" s="110"/>
      <c r="Z1209" s="110"/>
      <c r="AA1209" s="110">
        <v>18</v>
      </c>
      <c r="AB1209" s="111">
        <f t="shared" si="266"/>
        <v>732.89</v>
      </c>
      <c r="AC1209" s="110"/>
      <c r="AD1209" s="110"/>
      <c r="AE1209" s="110">
        <v>17</v>
      </c>
      <c r="AF1209" s="111">
        <f t="shared" si="267"/>
        <v>732.89</v>
      </c>
      <c r="AG1209" s="110"/>
      <c r="AH1209" s="110"/>
      <c r="AI1209" s="110"/>
      <c r="AJ1209" s="110"/>
      <c r="AK1209" s="111">
        <f t="shared" si="268"/>
        <v>2931.56</v>
      </c>
      <c r="AL1209" s="446">
        <f t="shared" si="269"/>
        <v>0</v>
      </c>
      <c r="AM1209" s="110">
        <f t="shared" si="270"/>
        <v>79</v>
      </c>
      <c r="AN1209" s="447">
        <f t="shared" si="257"/>
        <v>0</v>
      </c>
      <c r="AO1209"/>
      <c r="AP1209"/>
    </row>
    <row r="1210" spans="1:42" ht="66" x14ac:dyDescent="0.25">
      <c r="A1210" s="1027"/>
      <c r="B1210" s="152" t="s">
        <v>1161</v>
      </c>
      <c r="C1210" s="1028"/>
      <c r="D1210" s="869">
        <f>10</f>
        <v>10</v>
      </c>
      <c r="E1210" s="1027" t="s">
        <v>1721</v>
      </c>
      <c r="F1210" s="273" t="s">
        <v>3446</v>
      </c>
      <c r="G1210" s="1040" t="s">
        <v>3463</v>
      </c>
      <c r="H1210" s="273" t="s">
        <v>3462</v>
      </c>
      <c r="I1210" s="720">
        <f t="shared" si="264"/>
        <v>82.070000000000007</v>
      </c>
      <c r="J1210" s="756">
        <f>820.7</f>
        <v>820.7</v>
      </c>
      <c r="K1210" s="131">
        <f t="shared" si="256"/>
        <v>820.7</v>
      </c>
      <c r="L1210" s="335">
        <f t="shared" si="265"/>
        <v>0</v>
      </c>
      <c r="M1210" s="446"/>
      <c r="N1210" s="446"/>
      <c r="O1210" s="446"/>
      <c r="P1210" s="446"/>
      <c r="Q1210" s="130">
        <v>3</v>
      </c>
      <c r="R1210" s="111">
        <f t="shared" si="259"/>
        <v>205.17500000000001</v>
      </c>
      <c r="S1210" s="110"/>
      <c r="T1210" s="110"/>
      <c r="U1210" s="130">
        <v>3</v>
      </c>
      <c r="V1210" s="111">
        <f t="shared" si="261"/>
        <v>205.17500000000001</v>
      </c>
      <c r="W1210" s="110"/>
      <c r="X1210" s="110"/>
      <c r="Y1210" s="110"/>
      <c r="Z1210" s="110"/>
      <c r="AA1210" s="130">
        <v>2</v>
      </c>
      <c r="AB1210" s="111">
        <f t="shared" si="266"/>
        <v>205.17500000000001</v>
      </c>
      <c r="AC1210" s="110"/>
      <c r="AD1210" s="110"/>
      <c r="AE1210" s="130">
        <v>2</v>
      </c>
      <c r="AF1210" s="111">
        <f t="shared" si="267"/>
        <v>205.17500000000001</v>
      </c>
      <c r="AG1210" s="110"/>
      <c r="AH1210" s="110"/>
      <c r="AI1210" s="110"/>
      <c r="AJ1210" s="110"/>
      <c r="AK1210" s="111">
        <f t="shared" si="268"/>
        <v>820.7</v>
      </c>
      <c r="AL1210" s="446">
        <f t="shared" si="269"/>
        <v>0</v>
      </c>
      <c r="AM1210" s="110">
        <f t="shared" si="270"/>
        <v>10</v>
      </c>
      <c r="AN1210" s="447">
        <f t="shared" si="257"/>
        <v>0</v>
      </c>
      <c r="AO1210"/>
      <c r="AP1210"/>
    </row>
    <row r="1211" spans="1:42" ht="66" x14ac:dyDescent="0.25">
      <c r="A1211" s="1027"/>
      <c r="B1211" s="152" t="s">
        <v>164</v>
      </c>
      <c r="C1211" s="1028"/>
      <c r="D1211" s="869">
        <f>73+59+12</f>
        <v>144</v>
      </c>
      <c r="E1211" s="1027" t="s">
        <v>1721</v>
      </c>
      <c r="F1211" s="273" t="s">
        <v>3446</v>
      </c>
      <c r="G1211" s="1040" t="s">
        <v>3463</v>
      </c>
      <c r="H1211" s="273" t="s">
        <v>3462</v>
      </c>
      <c r="I1211" s="720">
        <f t="shared" si="264"/>
        <v>135.11326388888887</v>
      </c>
      <c r="J1211" s="756">
        <f>9295.32+8632.99+1528</f>
        <v>19456.309999999998</v>
      </c>
      <c r="K1211" s="131">
        <f t="shared" si="256"/>
        <v>19456.309999999998</v>
      </c>
      <c r="L1211" s="335">
        <f t="shared" si="265"/>
        <v>0</v>
      </c>
      <c r="M1211" s="446"/>
      <c r="N1211" s="446"/>
      <c r="O1211" s="446"/>
      <c r="P1211" s="446"/>
      <c r="Q1211" s="110">
        <v>40</v>
      </c>
      <c r="R1211" s="111">
        <f t="shared" si="259"/>
        <v>4864.0774999999994</v>
      </c>
      <c r="S1211" s="110"/>
      <c r="T1211" s="110"/>
      <c r="U1211" s="110">
        <v>40</v>
      </c>
      <c r="V1211" s="111">
        <f t="shared" si="261"/>
        <v>4864.0774999999994</v>
      </c>
      <c r="W1211" s="110"/>
      <c r="X1211" s="110"/>
      <c r="Y1211" s="110"/>
      <c r="Z1211" s="110"/>
      <c r="AA1211" s="110">
        <v>50</v>
      </c>
      <c r="AB1211" s="111">
        <f t="shared" si="266"/>
        <v>4864.0774999999994</v>
      </c>
      <c r="AC1211" s="110"/>
      <c r="AD1211" s="110"/>
      <c r="AE1211" s="110">
        <v>14</v>
      </c>
      <c r="AF1211" s="111">
        <f t="shared" si="267"/>
        <v>4864.0774999999994</v>
      </c>
      <c r="AG1211" s="110"/>
      <c r="AH1211" s="110"/>
      <c r="AI1211" s="110"/>
      <c r="AJ1211" s="110"/>
      <c r="AK1211" s="111">
        <f t="shared" si="268"/>
        <v>19456.309999999998</v>
      </c>
      <c r="AL1211" s="446">
        <f t="shared" si="269"/>
        <v>0</v>
      </c>
      <c r="AM1211" s="110">
        <f t="shared" si="270"/>
        <v>144</v>
      </c>
      <c r="AN1211" s="447">
        <f t="shared" si="257"/>
        <v>0</v>
      </c>
      <c r="AO1211"/>
      <c r="AP1211"/>
    </row>
    <row r="1212" spans="1:42" ht="66" x14ac:dyDescent="0.25">
      <c r="A1212" s="1027"/>
      <c r="B1212" s="152" t="s">
        <v>165</v>
      </c>
      <c r="C1212" s="1028"/>
      <c r="D1212" s="869">
        <v>70</v>
      </c>
      <c r="E1212" s="1027" t="s">
        <v>1721</v>
      </c>
      <c r="F1212" s="273" t="s">
        <v>3446</v>
      </c>
      <c r="G1212" s="1040" t="s">
        <v>3463</v>
      </c>
      <c r="H1212" s="273" t="s">
        <v>3462</v>
      </c>
      <c r="I1212" s="720">
        <f t="shared" si="264"/>
        <v>34.365857142857145</v>
      </c>
      <c r="J1212" s="756">
        <v>2405.61</v>
      </c>
      <c r="K1212" s="131">
        <f t="shared" si="256"/>
        <v>2405.61</v>
      </c>
      <c r="L1212" s="335">
        <f t="shared" si="265"/>
        <v>0</v>
      </c>
      <c r="M1212" s="446"/>
      <c r="N1212" s="446"/>
      <c r="O1212" s="446"/>
      <c r="P1212" s="446"/>
      <c r="Q1212" s="110">
        <v>18</v>
      </c>
      <c r="R1212" s="111">
        <f t="shared" si="259"/>
        <v>601.40250000000003</v>
      </c>
      <c r="S1212" s="110"/>
      <c r="T1212" s="110"/>
      <c r="U1212" s="110">
        <v>18</v>
      </c>
      <c r="V1212" s="111">
        <f t="shared" si="261"/>
        <v>601.40250000000003</v>
      </c>
      <c r="W1212" s="110"/>
      <c r="X1212" s="110"/>
      <c r="Y1212" s="110"/>
      <c r="Z1212" s="110"/>
      <c r="AA1212" s="110">
        <v>17</v>
      </c>
      <c r="AB1212" s="111">
        <f t="shared" si="266"/>
        <v>601.40250000000003</v>
      </c>
      <c r="AC1212" s="110"/>
      <c r="AD1212" s="110"/>
      <c r="AE1212" s="110">
        <v>17</v>
      </c>
      <c r="AF1212" s="111">
        <f t="shared" si="267"/>
        <v>601.40250000000003</v>
      </c>
      <c r="AG1212" s="110"/>
      <c r="AH1212" s="110"/>
      <c r="AI1212" s="110"/>
      <c r="AJ1212" s="110"/>
      <c r="AK1212" s="111">
        <f t="shared" si="268"/>
        <v>2405.61</v>
      </c>
      <c r="AL1212" s="446">
        <f t="shared" si="269"/>
        <v>0</v>
      </c>
      <c r="AM1212" s="110">
        <f t="shared" si="270"/>
        <v>70</v>
      </c>
      <c r="AN1212" s="447">
        <f t="shared" si="257"/>
        <v>0</v>
      </c>
      <c r="AO1212"/>
      <c r="AP1212"/>
    </row>
    <row r="1213" spans="1:42" ht="66" x14ac:dyDescent="0.25">
      <c r="A1213" s="1027"/>
      <c r="B1213" s="152" t="s">
        <v>166</v>
      </c>
      <c r="C1213" s="1028"/>
      <c r="D1213" s="869">
        <f>8+10</f>
        <v>18</v>
      </c>
      <c r="E1213" s="1027" t="s">
        <v>1721</v>
      </c>
      <c r="F1213" s="273" t="s">
        <v>3446</v>
      </c>
      <c r="G1213" s="1040" t="s">
        <v>3463</v>
      </c>
      <c r="H1213" s="273" t="s">
        <v>3462</v>
      </c>
      <c r="I1213" s="720">
        <f t="shared" si="264"/>
        <v>21.888888888888889</v>
      </c>
      <c r="J1213" s="756">
        <f>175.11+218.89</f>
        <v>394</v>
      </c>
      <c r="K1213" s="131">
        <f t="shared" si="256"/>
        <v>394</v>
      </c>
      <c r="L1213" s="335">
        <f t="shared" si="265"/>
        <v>0</v>
      </c>
      <c r="M1213" s="446"/>
      <c r="N1213" s="446"/>
      <c r="O1213" s="446"/>
      <c r="P1213" s="446"/>
      <c r="Q1213" s="110">
        <v>5</v>
      </c>
      <c r="R1213" s="111">
        <f t="shared" si="259"/>
        <v>98.5</v>
      </c>
      <c r="S1213" s="110"/>
      <c r="T1213" s="110"/>
      <c r="U1213" s="110">
        <v>5</v>
      </c>
      <c r="V1213" s="111">
        <f t="shared" si="261"/>
        <v>98.5</v>
      </c>
      <c r="W1213" s="110"/>
      <c r="X1213" s="110"/>
      <c r="Y1213" s="110"/>
      <c r="Z1213" s="110"/>
      <c r="AA1213" s="110">
        <v>4</v>
      </c>
      <c r="AB1213" s="111">
        <f t="shared" si="266"/>
        <v>98.5</v>
      </c>
      <c r="AC1213" s="110"/>
      <c r="AD1213" s="110"/>
      <c r="AE1213" s="110">
        <v>4</v>
      </c>
      <c r="AF1213" s="111">
        <f t="shared" si="267"/>
        <v>98.5</v>
      </c>
      <c r="AG1213" s="110"/>
      <c r="AH1213" s="110"/>
      <c r="AI1213" s="110"/>
      <c r="AJ1213" s="110"/>
      <c r="AK1213" s="111">
        <f t="shared" si="268"/>
        <v>394</v>
      </c>
      <c r="AL1213" s="446">
        <f t="shared" si="269"/>
        <v>0</v>
      </c>
      <c r="AM1213" s="110">
        <f t="shared" si="270"/>
        <v>18</v>
      </c>
      <c r="AN1213" s="447">
        <f t="shared" si="257"/>
        <v>0</v>
      </c>
      <c r="AO1213"/>
      <c r="AP1213"/>
    </row>
    <row r="1214" spans="1:42" ht="66" x14ac:dyDescent="0.25">
      <c r="A1214" s="1027"/>
      <c r="B1214" s="522" t="s">
        <v>1163</v>
      </c>
      <c r="C1214" s="1028"/>
      <c r="D1214" s="869">
        <f>5+6</f>
        <v>11</v>
      </c>
      <c r="E1214" s="1027" t="s">
        <v>1721</v>
      </c>
      <c r="F1214" s="273" t="s">
        <v>3446</v>
      </c>
      <c r="G1214" s="1040" t="s">
        <v>3463</v>
      </c>
      <c r="H1214" s="273" t="s">
        <v>3462</v>
      </c>
      <c r="I1214" s="720">
        <f t="shared" si="264"/>
        <v>158.88454545454545</v>
      </c>
      <c r="J1214" s="756">
        <f>859.73+888</f>
        <v>1747.73</v>
      </c>
      <c r="K1214" s="131">
        <f t="shared" si="256"/>
        <v>1747.73</v>
      </c>
      <c r="L1214" s="335">
        <f t="shared" si="265"/>
        <v>0</v>
      </c>
      <c r="M1214" s="446"/>
      <c r="N1214" s="446"/>
      <c r="O1214" s="446"/>
      <c r="P1214" s="446"/>
      <c r="Q1214" s="110">
        <v>3</v>
      </c>
      <c r="R1214" s="111">
        <f t="shared" si="259"/>
        <v>436.9325</v>
      </c>
      <c r="S1214" s="110"/>
      <c r="T1214" s="110"/>
      <c r="U1214" s="110">
        <v>3</v>
      </c>
      <c r="V1214" s="111">
        <f t="shared" si="261"/>
        <v>436.9325</v>
      </c>
      <c r="W1214" s="110"/>
      <c r="X1214" s="110"/>
      <c r="Y1214" s="110"/>
      <c r="Z1214" s="110"/>
      <c r="AA1214" s="110">
        <v>3</v>
      </c>
      <c r="AB1214" s="111">
        <f t="shared" si="266"/>
        <v>436.9325</v>
      </c>
      <c r="AC1214" s="110"/>
      <c r="AD1214" s="110"/>
      <c r="AE1214" s="110">
        <v>2</v>
      </c>
      <c r="AF1214" s="111">
        <f t="shared" si="267"/>
        <v>436.9325</v>
      </c>
      <c r="AG1214" s="110"/>
      <c r="AH1214" s="110"/>
      <c r="AI1214" s="110"/>
      <c r="AJ1214" s="110"/>
      <c r="AK1214" s="111">
        <f t="shared" si="268"/>
        <v>1747.73</v>
      </c>
      <c r="AL1214" s="446">
        <f t="shared" si="269"/>
        <v>0</v>
      </c>
      <c r="AM1214" s="110">
        <f t="shared" si="270"/>
        <v>11</v>
      </c>
      <c r="AN1214" s="447">
        <f t="shared" si="257"/>
        <v>0</v>
      </c>
      <c r="AO1214"/>
      <c r="AP1214"/>
    </row>
    <row r="1215" spans="1:42" ht="66" x14ac:dyDescent="0.25">
      <c r="A1215" s="1027"/>
      <c r="B1215" s="152" t="s">
        <v>167</v>
      </c>
      <c r="C1215" s="1028"/>
      <c r="D1215" s="869">
        <v>24</v>
      </c>
      <c r="E1215" s="1027" t="s">
        <v>1721</v>
      </c>
      <c r="F1215" s="273" t="s">
        <v>3446</v>
      </c>
      <c r="G1215" s="1040" t="s">
        <v>3463</v>
      </c>
      <c r="H1215" s="273" t="s">
        <v>3462</v>
      </c>
      <c r="I1215" s="720">
        <f t="shared" si="264"/>
        <v>43.337499999999999</v>
      </c>
      <c r="J1215" s="756">
        <v>1040.0999999999999</v>
      </c>
      <c r="K1215" s="131">
        <f t="shared" si="256"/>
        <v>1040.0999999999999</v>
      </c>
      <c r="L1215" s="335">
        <f t="shared" si="265"/>
        <v>0</v>
      </c>
      <c r="M1215" s="446"/>
      <c r="N1215" s="446"/>
      <c r="O1215" s="446"/>
      <c r="P1215" s="446"/>
      <c r="Q1215" s="110">
        <f t="shared" si="258"/>
        <v>6</v>
      </c>
      <c r="R1215" s="111">
        <f t="shared" si="259"/>
        <v>260.02499999999998</v>
      </c>
      <c r="S1215" s="110"/>
      <c r="T1215" s="110"/>
      <c r="U1215" s="110">
        <f t="shared" si="260"/>
        <v>6</v>
      </c>
      <c r="V1215" s="111">
        <f t="shared" si="261"/>
        <v>260.02499999999998</v>
      </c>
      <c r="W1215" s="110"/>
      <c r="X1215" s="110"/>
      <c r="Y1215" s="110"/>
      <c r="Z1215" s="110"/>
      <c r="AA1215" s="110">
        <f t="shared" si="262"/>
        <v>6</v>
      </c>
      <c r="AB1215" s="111">
        <f t="shared" si="266"/>
        <v>260.02499999999998</v>
      </c>
      <c r="AC1215" s="110"/>
      <c r="AD1215" s="110"/>
      <c r="AE1215" s="110">
        <f t="shared" si="262"/>
        <v>6</v>
      </c>
      <c r="AF1215" s="111">
        <f t="shared" si="267"/>
        <v>260.02499999999998</v>
      </c>
      <c r="AG1215" s="110"/>
      <c r="AH1215" s="110"/>
      <c r="AI1215" s="110"/>
      <c r="AJ1215" s="110"/>
      <c r="AK1215" s="111">
        <f t="shared" si="268"/>
        <v>1040.0999999999999</v>
      </c>
      <c r="AL1215" s="446">
        <f t="shared" si="269"/>
        <v>0</v>
      </c>
      <c r="AM1215" s="110">
        <f t="shared" si="270"/>
        <v>24</v>
      </c>
      <c r="AN1215" s="447">
        <f t="shared" si="257"/>
        <v>0</v>
      </c>
      <c r="AO1215"/>
      <c r="AP1215"/>
    </row>
    <row r="1216" spans="1:42" ht="66" x14ac:dyDescent="0.25">
      <c r="A1216" s="1027"/>
      <c r="B1216" s="152" t="s">
        <v>168</v>
      </c>
      <c r="C1216" s="1028"/>
      <c r="D1216" s="869">
        <f>20+11+5</f>
        <v>36</v>
      </c>
      <c r="E1216" s="1027" t="s">
        <v>1721</v>
      </c>
      <c r="F1216" s="273" t="s">
        <v>3446</v>
      </c>
      <c r="G1216" s="1040" t="s">
        <v>3463</v>
      </c>
      <c r="H1216" s="273" t="s">
        <v>3462</v>
      </c>
      <c r="I1216" s="720">
        <f t="shared" si="264"/>
        <v>30.818333333333335</v>
      </c>
      <c r="J1216" s="756">
        <f>587.66+374.89+146.91</f>
        <v>1109.46</v>
      </c>
      <c r="K1216" s="131">
        <f t="shared" si="256"/>
        <v>1109.46</v>
      </c>
      <c r="L1216" s="335">
        <f t="shared" si="265"/>
        <v>0</v>
      </c>
      <c r="M1216" s="446"/>
      <c r="N1216" s="446"/>
      <c r="O1216" s="446"/>
      <c r="P1216" s="446"/>
      <c r="Q1216" s="110">
        <f t="shared" si="258"/>
        <v>9</v>
      </c>
      <c r="R1216" s="111">
        <f t="shared" si="259"/>
        <v>277.36500000000001</v>
      </c>
      <c r="S1216" s="110"/>
      <c r="T1216" s="110"/>
      <c r="U1216" s="110">
        <f t="shared" si="260"/>
        <v>9</v>
      </c>
      <c r="V1216" s="111">
        <f t="shared" si="261"/>
        <v>277.36500000000001</v>
      </c>
      <c r="W1216" s="110"/>
      <c r="X1216" s="110"/>
      <c r="Y1216" s="110"/>
      <c r="Z1216" s="110"/>
      <c r="AA1216" s="110">
        <f t="shared" si="262"/>
        <v>9</v>
      </c>
      <c r="AB1216" s="111">
        <f t="shared" si="266"/>
        <v>277.36500000000001</v>
      </c>
      <c r="AC1216" s="110"/>
      <c r="AD1216" s="110"/>
      <c r="AE1216" s="110">
        <f t="shared" si="262"/>
        <v>9</v>
      </c>
      <c r="AF1216" s="111">
        <f t="shared" si="267"/>
        <v>277.36500000000001</v>
      </c>
      <c r="AG1216" s="110"/>
      <c r="AH1216" s="110"/>
      <c r="AI1216" s="110"/>
      <c r="AJ1216" s="110"/>
      <c r="AK1216" s="111">
        <f t="shared" si="268"/>
        <v>1109.46</v>
      </c>
      <c r="AL1216" s="446">
        <f t="shared" si="269"/>
        <v>0</v>
      </c>
      <c r="AM1216" s="110">
        <f t="shared" si="270"/>
        <v>36</v>
      </c>
      <c r="AN1216" s="447">
        <f t="shared" si="257"/>
        <v>0</v>
      </c>
      <c r="AO1216"/>
      <c r="AP1216"/>
    </row>
    <row r="1217" spans="1:42" ht="66" x14ac:dyDescent="0.25">
      <c r="A1217" s="1027"/>
      <c r="B1217" s="152" t="s">
        <v>1422</v>
      </c>
      <c r="C1217" s="1028"/>
      <c r="D1217" s="869">
        <v>2</v>
      </c>
      <c r="E1217" s="1027" t="s">
        <v>1721</v>
      </c>
      <c r="F1217" s="273" t="s">
        <v>3446</v>
      </c>
      <c r="G1217" s="1040" t="s">
        <v>3463</v>
      </c>
      <c r="H1217" s="273" t="s">
        <v>3462</v>
      </c>
      <c r="I1217" s="720">
        <f t="shared" si="264"/>
        <v>167.85</v>
      </c>
      <c r="J1217" s="756">
        <v>335.7</v>
      </c>
      <c r="K1217" s="131">
        <f t="shared" si="256"/>
        <v>335.7</v>
      </c>
      <c r="L1217" s="335">
        <f t="shared" si="265"/>
        <v>0</v>
      </c>
      <c r="M1217" s="446"/>
      <c r="N1217" s="446"/>
      <c r="O1217" s="446"/>
      <c r="P1217" s="446"/>
      <c r="Q1217" s="130">
        <v>1</v>
      </c>
      <c r="R1217" s="111">
        <v>167.85</v>
      </c>
      <c r="S1217" s="110"/>
      <c r="T1217" s="110"/>
      <c r="U1217" s="130">
        <v>1</v>
      </c>
      <c r="V1217" s="111">
        <v>167.85</v>
      </c>
      <c r="W1217" s="110"/>
      <c r="X1217" s="110"/>
      <c r="Y1217" s="110"/>
      <c r="Z1217" s="110"/>
      <c r="AA1217" s="130">
        <v>0</v>
      </c>
      <c r="AB1217" s="111">
        <v>0</v>
      </c>
      <c r="AC1217" s="110"/>
      <c r="AD1217" s="110"/>
      <c r="AE1217" s="130">
        <v>0</v>
      </c>
      <c r="AF1217" s="111">
        <v>0</v>
      </c>
      <c r="AG1217" s="110"/>
      <c r="AH1217" s="110"/>
      <c r="AI1217" s="110"/>
      <c r="AJ1217" s="110"/>
      <c r="AK1217" s="111">
        <f t="shared" si="268"/>
        <v>335.7</v>
      </c>
      <c r="AL1217" s="446">
        <f t="shared" si="269"/>
        <v>0</v>
      </c>
      <c r="AM1217" s="110">
        <f t="shared" si="270"/>
        <v>2</v>
      </c>
      <c r="AN1217" s="447">
        <f t="shared" si="257"/>
        <v>0</v>
      </c>
      <c r="AO1217"/>
      <c r="AP1217"/>
    </row>
    <row r="1218" spans="1:42" ht="66" x14ac:dyDescent="0.25">
      <c r="A1218" s="1027"/>
      <c r="B1218" s="152" t="s">
        <v>169</v>
      </c>
      <c r="C1218" s="1028"/>
      <c r="D1218" s="869">
        <f>4+1</f>
        <v>5</v>
      </c>
      <c r="E1218" s="1027" t="s">
        <v>1721</v>
      </c>
      <c r="F1218" s="273" t="s">
        <v>3446</v>
      </c>
      <c r="G1218" s="1040" t="s">
        <v>3463</v>
      </c>
      <c r="H1218" s="273" t="s">
        <v>3462</v>
      </c>
      <c r="I1218" s="720">
        <f t="shared" si="264"/>
        <v>23.675999999999998</v>
      </c>
      <c r="J1218" s="756">
        <f>94.7+23.68</f>
        <v>118.38</v>
      </c>
      <c r="K1218" s="131">
        <f t="shared" si="256"/>
        <v>118.38</v>
      </c>
      <c r="L1218" s="335">
        <f t="shared" si="265"/>
        <v>0</v>
      </c>
      <c r="M1218" s="446"/>
      <c r="N1218" s="446"/>
      <c r="O1218" s="446"/>
      <c r="P1218" s="446"/>
      <c r="Q1218" s="110">
        <v>2</v>
      </c>
      <c r="R1218" s="111">
        <f t="shared" si="259"/>
        <v>29.594999999999999</v>
      </c>
      <c r="S1218" s="110"/>
      <c r="T1218" s="110"/>
      <c r="U1218" s="110">
        <v>1</v>
      </c>
      <c r="V1218" s="111">
        <f t="shared" si="261"/>
        <v>29.594999999999999</v>
      </c>
      <c r="W1218" s="110"/>
      <c r="X1218" s="110"/>
      <c r="Y1218" s="110"/>
      <c r="Z1218" s="110"/>
      <c r="AA1218" s="110">
        <v>1</v>
      </c>
      <c r="AB1218" s="111">
        <f t="shared" si="266"/>
        <v>29.594999999999999</v>
      </c>
      <c r="AC1218" s="110"/>
      <c r="AD1218" s="110"/>
      <c r="AE1218" s="110">
        <v>1</v>
      </c>
      <c r="AF1218" s="111">
        <f t="shared" si="267"/>
        <v>29.594999999999999</v>
      </c>
      <c r="AG1218" s="110"/>
      <c r="AH1218" s="110"/>
      <c r="AI1218" s="110"/>
      <c r="AJ1218" s="110"/>
      <c r="AK1218" s="111">
        <f t="shared" si="268"/>
        <v>118.38</v>
      </c>
      <c r="AL1218" s="446">
        <f t="shared" si="269"/>
        <v>0</v>
      </c>
      <c r="AM1218" s="110">
        <f t="shared" si="270"/>
        <v>5</v>
      </c>
      <c r="AN1218" s="447">
        <f t="shared" si="257"/>
        <v>0</v>
      </c>
      <c r="AO1218"/>
      <c r="AP1218"/>
    </row>
    <row r="1219" spans="1:42" ht="66" x14ac:dyDescent="0.25">
      <c r="A1219" s="1027"/>
      <c r="B1219" s="152" t="s">
        <v>170</v>
      </c>
      <c r="C1219" s="1028"/>
      <c r="D1219" s="869">
        <f>33+15</f>
        <v>48</v>
      </c>
      <c r="E1219" s="1027" t="s">
        <v>1721</v>
      </c>
      <c r="F1219" s="273" t="s">
        <v>3446</v>
      </c>
      <c r="G1219" s="1040" t="s">
        <v>3463</v>
      </c>
      <c r="H1219" s="273" t="s">
        <v>3462</v>
      </c>
      <c r="I1219" s="720">
        <f t="shared" si="264"/>
        <v>92.296041666666667</v>
      </c>
      <c r="J1219" s="756">
        <f>3182.98+1247.23</f>
        <v>4430.21</v>
      </c>
      <c r="K1219" s="131">
        <f t="shared" si="256"/>
        <v>4430.21</v>
      </c>
      <c r="L1219" s="335">
        <f t="shared" si="265"/>
        <v>0</v>
      </c>
      <c r="M1219" s="446"/>
      <c r="N1219" s="446"/>
      <c r="O1219" s="446"/>
      <c r="P1219" s="446"/>
      <c r="Q1219" s="110">
        <f t="shared" si="258"/>
        <v>12</v>
      </c>
      <c r="R1219" s="111">
        <f t="shared" si="259"/>
        <v>1107.5525</v>
      </c>
      <c r="S1219" s="110"/>
      <c r="T1219" s="110"/>
      <c r="U1219" s="110">
        <f t="shared" si="260"/>
        <v>12</v>
      </c>
      <c r="V1219" s="111">
        <f t="shared" si="261"/>
        <v>1107.5525</v>
      </c>
      <c r="W1219" s="110"/>
      <c r="X1219" s="110"/>
      <c r="Y1219" s="110"/>
      <c r="Z1219" s="110"/>
      <c r="AA1219" s="110">
        <f t="shared" si="262"/>
        <v>12</v>
      </c>
      <c r="AB1219" s="111">
        <f t="shared" si="266"/>
        <v>1107.5525</v>
      </c>
      <c r="AC1219" s="110"/>
      <c r="AD1219" s="110"/>
      <c r="AE1219" s="110">
        <f t="shared" si="262"/>
        <v>12</v>
      </c>
      <c r="AF1219" s="111">
        <f t="shared" si="267"/>
        <v>1107.5525</v>
      </c>
      <c r="AG1219" s="110"/>
      <c r="AH1219" s="110"/>
      <c r="AI1219" s="110"/>
      <c r="AJ1219" s="110"/>
      <c r="AK1219" s="111">
        <f t="shared" si="268"/>
        <v>4430.21</v>
      </c>
      <c r="AL1219" s="446">
        <f t="shared" si="269"/>
        <v>0</v>
      </c>
      <c r="AM1219" s="110">
        <f t="shared" si="270"/>
        <v>48</v>
      </c>
      <c r="AN1219" s="447">
        <f t="shared" si="257"/>
        <v>0</v>
      </c>
      <c r="AO1219"/>
      <c r="AP1219"/>
    </row>
    <row r="1220" spans="1:42" ht="66" x14ac:dyDescent="0.25">
      <c r="A1220" s="1027"/>
      <c r="B1220" s="152" t="s">
        <v>1153</v>
      </c>
      <c r="C1220" s="1028"/>
      <c r="D1220" s="869">
        <f>150+75</f>
        <v>225</v>
      </c>
      <c r="E1220" s="1027" t="s">
        <v>1721</v>
      </c>
      <c r="F1220" s="273" t="s">
        <v>3446</v>
      </c>
      <c r="G1220" s="1040" t="s">
        <v>3463</v>
      </c>
      <c r="H1220" s="273" t="s">
        <v>3462</v>
      </c>
      <c r="I1220" s="720">
        <f t="shared" si="264"/>
        <v>45.65528888888889</v>
      </c>
      <c r="J1220" s="756">
        <f>6986.1+3286.34</f>
        <v>10272.44</v>
      </c>
      <c r="K1220" s="131">
        <f t="shared" ref="K1220:K1283" si="271">+D1220*I1220</f>
        <v>10272.44</v>
      </c>
      <c r="L1220" s="335">
        <f t="shared" si="265"/>
        <v>0</v>
      </c>
      <c r="M1220" s="446"/>
      <c r="N1220" s="446"/>
      <c r="O1220" s="446"/>
      <c r="P1220" s="446"/>
      <c r="Q1220" s="110">
        <v>57</v>
      </c>
      <c r="R1220" s="111">
        <f t="shared" si="259"/>
        <v>2568.11</v>
      </c>
      <c r="S1220" s="110"/>
      <c r="T1220" s="110"/>
      <c r="U1220" s="110">
        <v>56</v>
      </c>
      <c r="V1220" s="111">
        <f t="shared" si="261"/>
        <v>2568.11</v>
      </c>
      <c r="W1220" s="110"/>
      <c r="X1220" s="110"/>
      <c r="Y1220" s="110"/>
      <c r="Z1220" s="110"/>
      <c r="AA1220" s="110">
        <v>56</v>
      </c>
      <c r="AB1220" s="111">
        <f t="shared" si="266"/>
        <v>2568.11</v>
      </c>
      <c r="AC1220" s="110"/>
      <c r="AD1220" s="110"/>
      <c r="AE1220" s="110">
        <v>56</v>
      </c>
      <c r="AF1220" s="111">
        <f t="shared" si="267"/>
        <v>2568.11</v>
      </c>
      <c r="AG1220" s="110"/>
      <c r="AH1220" s="110"/>
      <c r="AI1220" s="110"/>
      <c r="AJ1220" s="110"/>
      <c r="AK1220" s="111">
        <f t="shared" si="268"/>
        <v>10272.44</v>
      </c>
      <c r="AL1220" s="446">
        <f t="shared" si="269"/>
        <v>0</v>
      </c>
      <c r="AM1220" s="110">
        <f t="shared" si="270"/>
        <v>225</v>
      </c>
      <c r="AN1220" s="447">
        <f t="shared" ref="AN1220:AN1283" si="272">+D1220-AM1220</f>
        <v>0</v>
      </c>
      <c r="AO1220"/>
      <c r="AP1220"/>
    </row>
    <row r="1221" spans="1:42" ht="66" x14ac:dyDescent="0.25">
      <c r="A1221" s="1027"/>
      <c r="B1221" s="152" t="s">
        <v>171</v>
      </c>
      <c r="C1221" s="1028"/>
      <c r="D1221" s="869">
        <f>22+2</f>
        <v>24</v>
      </c>
      <c r="E1221" s="1027" t="s">
        <v>1721</v>
      </c>
      <c r="F1221" s="273" t="s">
        <v>3446</v>
      </c>
      <c r="G1221" s="1040" t="s">
        <v>3463</v>
      </c>
      <c r="H1221" s="273" t="s">
        <v>3462</v>
      </c>
      <c r="I1221" s="720">
        <f t="shared" si="264"/>
        <v>253.57791666666665</v>
      </c>
      <c r="J1221" s="756">
        <f>5716.99+368.88</f>
        <v>6085.87</v>
      </c>
      <c r="K1221" s="131">
        <f t="shared" si="271"/>
        <v>6085.87</v>
      </c>
      <c r="L1221" s="335">
        <f t="shared" si="265"/>
        <v>0</v>
      </c>
      <c r="M1221" s="446"/>
      <c r="N1221" s="446"/>
      <c r="O1221" s="446"/>
      <c r="P1221" s="446"/>
      <c r="Q1221" s="110">
        <f t="shared" si="258"/>
        <v>6</v>
      </c>
      <c r="R1221" s="111">
        <f t="shared" si="259"/>
        <v>1521.4675</v>
      </c>
      <c r="S1221" s="110"/>
      <c r="T1221" s="110"/>
      <c r="U1221" s="110">
        <f t="shared" si="260"/>
        <v>6</v>
      </c>
      <c r="V1221" s="111">
        <f t="shared" si="261"/>
        <v>1521.4675</v>
      </c>
      <c r="W1221" s="110"/>
      <c r="X1221" s="110"/>
      <c r="Y1221" s="110"/>
      <c r="Z1221" s="110"/>
      <c r="AA1221" s="110">
        <f t="shared" si="262"/>
        <v>6</v>
      </c>
      <c r="AB1221" s="111">
        <f t="shared" si="266"/>
        <v>1521.4675</v>
      </c>
      <c r="AC1221" s="110"/>
      <c r="AD1221" s="110"/>
      <c r="AE1221" s="110">
        <f t="shared" si="262"/>
        <v>6</v>
      </c>
      <c r="AF1221" s="111">
        <f t="shared" si="267"/>
        <v>1521.4675</v>
      </c>
      <c r="AG1221" s="110"/>
      <c r="AH1221" s="110"/>
      <c r="AI1221" s="110"/>
      <c r="AJ1221" s="110"/>
      <c r="AK1221" s="111">
        <f t="shared" si="268"/>
        <v>6085.87</v>
      </c>
      <c r="AL1221" s="446">
        <f t="shared" si="269"/>
        <v>0</v>
      </c>
      <c r="AM1221" s="110">
        <f t="shared" si="270"/>
        <v>24</v>
      </c>
      <c r="AN1221" s="447">
        <f t="shared" si="272"/>
        <v>0</v>
      </c>
      <c r="AO1221"/>
      <c r="AP1221"/>
    </row>
    <row r="1222" spans="1:42" ht="66" x14ac:dyDescent="0.25">
      <c r="A1222" s="1027"/>
      <c r="B1222" s="152" t="s">
        <v>172</v>
      </c>
      <c r="C1222" s="1028"/>
      <c r="D1222" s="869">
        <f>4+6</f>
        <v>10</v>
      </c>
      <c r="E1222" s="1027" t="s">
        <v>1721</v>
      </c>
      <c r="F1222" s="273" t="s">
        <v>3446</v>
      </c>
      <c r="G1222" s="1040" t="s">
        <v>3463</v>
      </c>
      <c r="H1222" s="273" t="s">
        <v>3462</v>
      </c>
      <c r="I1222" s="720">
        <f t="shared" si="264"/>
        <v>25.774999999999999</v>
      </c>
      <c r="J1222" s="756">
        <f>103.1+154.65</f>
        <v>257.75</v>
      </c>
      <c r="K1222" s="131">
        <f t="shared" si="271"/>
        <v>257.75</v>
      </c>
      <c r="L1222" s="335">
        <f t="shared" si="265"/>
        <v>0</v>
      </c>
      <c r="M1222" s="446"/>
      <c r="N1222" s="446"/>
      <c r="O1222" s="446"/>
      <c r="P1222" s="446"/>
      <c r="Q1222" s="130">
        <v>3</v>
      </c>
      <c r="R1222" s="111">
        <f t="shared" si="259"/>
        <v>64.4375</v>
      </c>
      <c r="S1222" s="110"/>
      <c r="T1222" s="110"/>
      <c r="U1222" s="130">
        <v>3</v>
      </c>
      <c r="V1222" s="111">
        <f t="shared" si="261"/>
        <v>64.4375</v>
      </c>
      <c r="W1222" s="110"/>
      <c r="X1222" s="110"/>
      <c r="Y1222" s="110"/>
      <c r="Z1222" s="110"/>
      <c r="AA1222" s="130">
        <v>2</v>
      </c>
      <c r="AB1222" s="111">
        <f t="shared" si="266"/>
        <v>64.4375</v>
      </c>
      <c r="AC1222" s="110"/>
      <c r="AD1222" s="110"/>
      <c r="AE1222" s="130">
        <v>2</v>
      </c>
      <c r="AF1222" s="111">
        <f t="shared" si="267"/>
        <v>64.4375</v>
      </c>
      <c r="AG1222" s="110"/>
      <c r="AH1222" s="110"/>
      <c r="AI1222" s="110"/>
      <c r="AJ1222" s="110"/>
      <c r="AK1222" s="111">
        <f t="shared" si="268"/>
        <v>257.75</v>
      </c>
      <c r="AL1222" s="446">
        <f t="shared" si="269"/>
        <v>0</v>
      </c>
      <c r="AM1222" s="110">
        <f t="shared" si="270"/>
        <v>10</v>
      </c>
      <c r="AN1222" s="447">
        <f t="shared" si="272"/>
        <v>0</v>
      </c>
      <c r="AO1222"/>
      <c r="AP1222"/>
    </row>
    <row r="1223" spans="1:42" ht="66" x14ac:dyDescent="0.25">
      <c r="A1223" s="1027"/>
      <c r="B1223" s="152" t="s">
        <v>1157</v>
      </c>
      <c r="C1223" s="1028"/>
      <c r="D1223" s="869">
        <f>5+4</f>
        <v>9</v>
      </c>
      <c r="E1223" s="1027" t="s">
        <v>1721</v>
      </c>
      <c r="F1223" s="273" t="s">
        <v>3446</v>
      </c>
      <c r="G1223" s="1040" t="s">
        <v>3463</v>
      </c>
      <c r="H1223" s="273" t="s">
        <v>3462</v>
      </c>
      <c r="I1223" s="720">
        <f t="shared" si="264"/>
        <v>17.96777777777778</v>
      </c>
      <c r="J1223" s="756">
        <f>97.03+64.68</f>
        <v>161.71</v>
      </c>
      <c r="K1223" s="131">
        <f t="shared" si="271"/>
        <v>161.71</v>
      </c>
      <c r="L1223" s="335">
        <f t="shared" si="265"/>
        <v>0</v>
      </c>
      <c r="M1223" s="446"/>
      <c r="N1223" s="446"/>
      <c r="O1223" s="446"/>
      <c r="P1223" s="446"/>
      <c r="Q1223" s="110">
        <v>3</v>
      </c>
      <c r="R1223" s="111">
        <f t="shared" si="259"/>
        <v>40.427500000000002</v>
      </c>
      <c r="S1223" s="110"/>
      <c r="T1223" s="110"/>
      <c r="U1223" s="110">
        <v>2</v>
      </c>
      <c r="V1223" s="111">
        <f t="shared" si="261"/>
        <v>40.427500000000002</v>
      </c>
      <c r="W1223" s="110"/>
      <c r="X1223" s="110"/>
      <c r="Y1223" s="110"/>
      <c r="Z1223" s="110"/>
      <c r="AA1223" s="110">
        <v>2</v>
      </c>
      <c r="AB1223" s="111">
        <f t="shared" si="266"/>
        <v>40.427500000000002</v>
      </c>
      <c r="AC1223" s="110"/>
      <c r="AD1223" s="110"/>
      <c r="AE1223" s="110">
        <v>2</v>
      </c>
      <c r="AF1223" s="111">
        <f t="shared" si="267"/>
        <v>40.427500000000002</v>
      </c>
      <c r="AG1223" s="110"/>
      <c r="AH1223" s="110"/>
      <c r="AI1223" s="110"/>
      <c r="AJ1223" s="110"/>
      <c r="AK1223" s="111">
        <f t="shared" si="268"/>
        <v>161.71</v>
      </c>
      <c r="AL1223" s="446">
        <f t="shared" si="269"/>
        <v>0</v>
      </c>
      <c r="AM1223" s="110">
        <f t="shared" si="270"/>
        <v>9</v>
      </c>
      <c r="AN1223" s="447">
        <f t="shared" si="272"/>
        <v>0</v>
      </c>
      <c r="AO1223"/>
      <c r="AP1223"/>
    </row>
    <row r="1224" spans="1:42" ht="66" x14ac:dyDescent="0.25">
      <c r="A1224" s="1027"/>
      <c r="B1224" s="152" t="s">
        <v>173</v>
      </c>
      <c r="C1224" s="1028"/>
      <c r="D1224" s="869">
        <v>24</v>
      </c>
      <c r="E1224" s="1027" t="s">
        <v>1721</v>
      </c>
      <c r="F1224" s="273" t="s">
        <v>3446</v>
      </c>
      <c r="G1224" s="1040" t="s">
        <v>3463</v>
      </c>
      <c r="H1224" s="273" t="s">
        <v>3462</v>
      </c>
      <c r="I1224" s="720">
        <f t="shared" si="264"/>
        <v>23.130416666666665</v>
      </c>
      <c r="J1224" s="756">
        <v>555.13</v>
      </c>
      <c r="K1224" s="131">
        <f t="shared" si="271"/>
        <v>555.13</v>
      </c>
      <c r="L1224" s="335">
        <f t="shared" si="265"/>
        <v>0</v>
      </c>
      <c r="M1224" s="446"/>
      <c r="N1224" s="446"/>
      <c r="O1224" s="446"/>
      <c r="P1224" s="446"/>
      <c r="Q1224" s="110">
        <f t="shared" si="258"/>
        <v>6</v>
      </c>
      <c r="R1224" s="111">
        <f t="shared" si="259"/>
        <v>138.7825</v>
      </c>
      <c r="S1224" s="110"/>
      <c r="T1224" s="110"/>
      <c r="U1224" s="110">
        <f t="shared" si="260"/>
        <v>6</v>
      </c>
      <c r="V1224" s="111">
        <f t="shared" si="261"/>
        <v>138.7825</v>
      </c>
      <c r="W1224" s="110"/>
      <c r="X1224" s="110"/>
      <c r="Y1224" s="110"/>
      <c r="Z1224" s="110"/>
      <c r="AA1224" s="110">
        <f t="shared" si="262"/>
        <v>6</v>
      </c>
      <c r="AB1224" s="111">
        <f t="shared" si="266"/>
        <v>138.7825</v>
      </c>
      <c r="AC1224" s="110"/>
      <c r="AD1224" s="110"/>
      <c r="AE1224" s="110">
        <f t="shared" si="262"/>
        <v>6</v>
      </c>
      <c r="AF1224" s="111">
        <f t="shared" si="267"/>
        <v>138.7825</v>
      </c>
      <c r="AG1224" s="110"/>
      <c r="AH1224" s="110"/>
      <c r="AI1224" s="110"/>
      <c r="AJ1224" s="110"/>
      <c r="AK1224" s="111">
        <f t="shared" si="268"/>
        <v>555.13</v>
      </c>
      <c r="AL1224" s="446">
        <f t="shared" si="269"/>
        <v>0</v>
      </c>
      <c r="AM1224" s="110">
        <f t="shared" si="270"/>
        <v>24</v>
      </c>
      <c r="AN1224" s="447">
        <f t="shared" si="272"/>
        <v>0</v>
      </c>
      <c r="AO1224"/>
      <c r="AP1224"/>
    </row>
    <row r="1225" spans="1:42" ht="66" x14ac:dyDescent="0.25">
      <c r="A1225" s="1027"/>
      <c r="B1225" s="152" t="s">
        <v>174</v>
      </c>
      <c r="C1225" s="1028"/>
      <c r="D1225" s="869">
        <f>75+15+48</f>
        <v>138</v>
      </c>
      <c r="E1225" s="1027" t="s">
        <v>2443</v>
      </c>
      <c r="F1225" s="273" t="s">
        <v>3446</v>
      </c>
      <c r="G1225" s="1040" t="s">
        <v>3463</v>
      </c>
      <c r="H1225" s="273" t="s">
        <v>3462</v>
      </c>
      <c r="I1225" s="720">
        <f t="shared" si="264"/>
        <v>153.52217391304347</v>
      </c>
      <c r="J1225" s="756">
        <f>11369.16+2540.64+7276.26</f>
        <v>21186.059999999998</v>
      </c>
      <c r="K1225" s="131">
        <f t="shared" si="271"/>
        <v>21186.059999999998</v>
      </c>
      <c r="L1225" s="335">
        <f t="shared" si="265"/>
        <v>0</v>
      </c>
      <c r="M1225" s="446"/>
      <c r="N1225" s="446"/>
      <c r="O1225" s="446"/>
      <c r="P1225" s="446"/>
      <c r="Q1225" s="110">
        <v>40</v>
      </c>
      <c r="R1225" s="111">
        <f t="shared" si="259"/>
        <v>5296.5149999999994</v>
      </c>
      <c r="S1225" s="110"/>
      <c r="T1225" s="110"/>
      <c r="U1225" s="110">
        <v>40</v>
      </c>
      <c r="V1225" s="111">
        <f t="shared" si="261"/>
        <v>5296.5149999999994</v>
      </c>
      <c r="W1225" s="110"/>
      <c r="X1225" s="110"/>
      <c r="Y1225" s="110"/>
      <c r="Z1225" s="110"/>
      <c r="AA1225" s="110">
        <v>40</v>
      </c>
      <c r="AB1225" s="111">
        <f t="shared" si="266"/>
        <v>5296.5149999999994</v>
      </c>
      <c r="AC1225" s="110"/>
      <c r="AD1225" s="110"/>
      <c r="AE1225" s="110">
        <v>18</v>
      </c>
      <c r="AF1225" s="111">
        <f t="shared" si="267"/>
        <v>5296.5149999999994</v>
      </c>
      <c r="AG1225" s="110"/>
      <c r="AH1225" s="110"/>
      <c r="AI1225" s="110"/>
      <c r="AJ1225" s="110"/>
      <c r="AK1225" s="111">
        <f t="shared" si="268"/>
        <v>21186.059999999998</v>
      </c>
      <c r="AL1225" s="446">
        <f t="shared" si="269"/>
        <v>0</v>
      </c>
      <c r="AM1225" s="110">
        <f t="shared" si="270"/>
        <v>138</v>
      </c>
      <c r="AN1225" s="447">
        <f t="shared" si="272"/>
        <v>0</v>
      </c>
      <c r="AO1225"/>
      <c r="AP1225"/>
    </row>
    <row r="1226" spans="1:42" ht="66" x14ac:dyDescent="0.25">
      <c r="A1226" s="1027"/>
      <c r="B1226" s="152" t="s">
        <v>175</v>
      </c>
      <c r="C1226" s="1028"/>
      <c r="D1226" s="869">
        <f>4+30</f>
        <v>34</v>
      </c>
      <c r="E1226" s="1027" t="s">
        <v>1721</v>
      </c>
      <c r="F1226" s="273" t="s">
        <v>3446</v>
      </c>
      <c r="G1226" s="1040" t="s">
        <v>3463</v>
      </c>
      <c r="H1226" s="273" t="s">
        <v>3462</v>
      </c>
      <c r="I1226" s="720">
        <f t="shared" si="264"/>
        <v>11.576764705882354</v>
      </c>
      <c r="J1226" s="756">
        <f>46.31+347.3</f>
        <v>393.61</v>
      </c>
      <c r="K1226" s="131">
        <f t="shared" si="271"/>
        <v>393.61</v>
      </c>
      <c r="L1226" s="335">
        <f t="shared" si="265"/>
        <v>0</v>
      </c>
      <c r="M1226" s="446"/>
      <c r="N1226" s="446"/>
      <c r="O1226" s="446"/>
      <c r="P1226" s="446"/>
      <c r="Q1226" s="110">
        <v>9</v>
      </c>
      <c r="R1226" s="111">
        <f t="shared" si="259"/>
        <v>98.402500000000003</v>
      </c>
      <c r="S1226" s="110"/>
      <c r="T1226" s="110"/>
      <c r="U1226" s="110">
        <v>9</v>
      </c>
      <c r="V1226" s="111">
        <f t="shared" si="261"/>
        <v>98.402500000000003</v>
      </c>
      <c r="W1226" s="110"/>
      <c r="X1226" s="110"/>
      <c r="Y1226" s="110"/>
      <c r="Z1226" s="110"/>
      <c r="AA1226" s="110">
        <v>8</v>
      </c>
      <c r="AB1226" s="111">
        <f t="shared" si="266"/>
        <v>98.402500000000003</v>
      </c>
      <c r="AC1226" s="110"/>
      <c r="AD1226" s="110"/>
      <c r="AE1226" s="110">
        <v>8</v>
      </c>
      <c r="AF1226" s="111">
        <f t="shared" si="267"/>
        <v>98.402500000000003</v>
      </c>
      <c r="AG1226" s="110"/>
      <c r="AH1226" s="110"/>
      <c r="AI1226" s="110"/>
      <c r="AJ1226" s="110"/>
      <c r="AK1226" s="111">
        <f t="shared" si="268"/>
        <v>393.61</v>
      </c>
      <c r="AL1226" s="446">
        <f t="shared" si="269"/>
        <v>0</v>
      </c>
      <c r="AM1226" s="110">
        <f t="shared" si="270"/>
        <v>34</v>
      </c>
      <c r="AN1226" s="447">
        <f t="shared" si="272"/>
        <v>0</v>
      </c>
      <c r="AO1226"/>
      <c r="AP1226"/>
    </row>
    <row r="1227" spans="1:42" ht="66" x14ac:dyDescent="0.25">
      <c r="A1227" s="1027"/>
      <c r="B1227" s="152" t="s">
        <v>176</v>
      </c>
      <c r="C1227" s="1028"/>
      <c r="D1227" s="869">
        <f>40+1+1</f>
        <v>42</v>
      </c>
      <c r="E1227" s="1027" t="s">
        <v>1721</v>
      </c>
      <c r="F1227" s="273" t="s">
        <v>3446</v>
      </c>
      <c r="G1227" s="1040" t="s">
        <v>3463</v>
      </c>
      <c r="H1227" s="273" t="s">
        <v>3462</v>
      </c>
      <c r="I1227" s="720">
        <f t="shared" si="264"/>
        <v>315.33428571428567</v>
      </c>
      <c r="J1227" s="756">
        <f>12613.38+315.33+315.33</f>
        <v>13244.039999999999</v>
      </c>
      <c r="K1227" s="131">
        <f t="shared" si="271"/>
        <v>13244.039999999997</v>
      </c>
      <c r="L1227" s="335">
        <f t="shared" si="265"/>
        <v>0</v>
      </c>
      <c r="M1227" s="446"/>
      <c r="N1227" s="446"/>
      <c r="O1227" s="446"/>
      <c r="P1227" s="446"/>
      <c r="Q1227" s="110">
        <v>11</v>
      </c>
      <c r="R1227" s="111">
        <f t="shared" si="259"/>
        <v>3311.0099999999998</v>
      </c>
      <c r="S1227" s="110"/>
      <c r="T1227" s="110"/>
      <c r="U1227" s="110">
        <v>11</v>
      </c>
      <c r="V1227" s="111">
        <f t="shared" si="261"/>
        <v>3311.0099999999998</v>
      </c>
      <c r="W1227" s="110"/>
      <c r="X1227" s="110"/>
      <c r="Y1227" s="110"/>
      <c r="Z1227" s="110"/>
      <c r="AA1227" s="110">
        <v>10</v>
      </c>
      <c r="AB1227" s="111">
        <f t="shared" si="266"/>
        <v>3311.0099999999998</v>
      </c>
      <c r="AC1227" s="110"/>
      <c r="AD1227" s="110"/>
      <c r="AE1227" s="110">
        <v>10</v>
      </c>
      <c r="AF1227" s="111">
        <f t="shared" si="267"/>
        <v>3311.0099999999998</v>
      </c>
      <c r="AG1227" s="110"/>
      <c r="AH1227" s="110"/>
      <c r="AI1227" s="110"/>
      <c r="AJ1227" s="110"/>
      <c r="AK1227" s="111">
        <f t="shared" si="268"/>
        <v>13244.039999999999</v>
      </c>
      <c r="AL1227" s="446">
        <f t="shared" si="269"/>
        <v>0</v>
      </c>
      <c r="AM1227" s="110">
        <f t="shared" si="270"/>
        <v>42</v>
      </c>
      <c r="AN1227" s="447">
        <f t="shared" si="272"/>
        <v>0</v>
      </c>
      <c r="AO1227"/>
      <c r="AP1227"/>
    </row>
    <row r="1228" spans="1:42" ht="66" x14ac:dyDescent="0.25">
      <c r="A1228" s="1027"/>
      <c r="B1228" s="152" t="s">
        <v>1158</v>
      </c>
      <c r="C1228" s="1028"/>
      <c r="D1228" s="869">
        <f>20</f>
        <v>20</v>
      </c>
      <c r="E1228" s="1027" t="s">
        <v>1721</v>
      </c>
      <c r="F1228" s="273" t="s">
        <v>3446</v>
      </c>
      <c r="G1228" s="1040" t="s">
        <v>3463</v>
      </c>
      <c r="H1228" s="273" t="s">
        <v>3462</v>
      </c>
      <c r="I1228" s="720">
        <f t="shared" si="264"/>
        <v>46.887</v>
      </c>
      <c r="J1228" s="756">
        <f>937.74</f>
        <v>937.74</v>
      </c>
      <c r="K1228" s="131">
        <f t="shared" si="271"/>
        <v>937.74</v>
      </c>
      <c r="L1228" s="335">
        <f t="shared" si="265"/>
        <v>0</v>
      </c>
      <c r="M1228" s="446"/>
      <c r="N1228" s="446"/>
      <c r="O1228" s="446"/>
      <c r="P1228" s="446"/>
      <c r="Q1228" s="110">
        <f t="shared" si="258"/>
        <v>5</v>
      </c>
      <c r="R1228" s="111">
        <f t="shared" si="259"/>
        <v>234.435</v>
      </c>
      <c r="S1228" s="110"/>
      <c r="T1228" s="110"/>
      <c r="U1228" s="110">
        <f t="shared" si="260"/>
        <v>5</v>
      </c>
      <c r="V1228" s="111">
        <f t="shared" si="261"/>
        <v>234.435</v>
      </c>
      <c r="W1228" s="110"/>
      <c r="X1228" s="110"/>
      <c r="Y1228" s="110"/>
      <c r="Z1228" s="110"/>
      <c r="AA1228" s="110">
        <f t="shared" si="262"/>
        <v>5</v>
      </c>
      <c r="AB1228" s="111">
        <f t="shared" si="266"/>
        <v>234.435</v>
      </c>
      <c r="AC1228" s="110"/>
      <c r="AD1228" s="110"/>
      <c r="AE1228" s="110">
        <f t="shared" si="262"/>
        <v>5</v>
      </c>
      <c r="AF1228" s="111">
        <f t="shared" si="267"/>
        <v>234.435</v>
      </c>
      <c r="AG1228" s="110"/>
      <c r="AH1228" s="110"/>
      <c r="AI1228" s="110"/>
      <c r="AJ1228" s="110"/>
      <c r="AK1228" s="111">
        <f t="shared" si="268"/>
        <v>937.74</v>
      </c>
      <c r="AL1228" s="446">
        <f t="shared" si="269"/>
        <v>0</v>
      </c>
      <c r="AM1228" s="110">
        <f t="shared" si="270"/>
        <v>20</v>
      </c>
      <c r="AN1228" s="447">
        <f t="shared" si="272"/>
        <v>0</v>
      </c>
      <c r="AO1228"/>
      <c r="AP1228"/>
    </row>
    <row r="1229" spans="1:42" ht="66" x14ac:dyDescent="0.25">
      <c r="A1229" s="1027"/>
      <c r="B1229" s="152" t="s">
        <v>177</v>
      </c>
      <c r="C1229" s="1028"/>
      <c r="D1229" s="869">
        <f>120+4+12</f>
        <v>136</v>
      </c>
      <c r="E1229" s="1027" t="s">
        <v>2248</v>
      </c>
      <c r="F1229" s="273" t="s">
        <v>3446</v>
      </c>
      <c r="G1229" s="1040" t="s">
        <v>3463</v>
      </c>
      <c r="H1229" s="273" t="s">
        <v>3462</v>
      </c>
      <c r="I1229" s="720">
        <f t="shared" si="264"/>
        <v>19.778014705882356</v>
      </c>
      <c r="J1229" s="756">
        <f>2373.36+79.11+237.34</f>
        <v>2689.8100000000004</v>
      </c>
      <c r="K1229" s="131">
        <f t="shared" si="271"/>
        <v>2689.8100000000004</v>
      </c>
      <c r="L1229" s="335">
        <f t="shared" si="265"/>
        <v>0</v>
      </c>
      <c r="M1229" s="446"/>
      <c r="N1229" s="446"/>
      <c r="O1229" s="446"/>
      <c r="P1229" s="446"/>
      <c r="Q1229" s="110">
        <f t="shared" si="258"/>
        <v>34</v>
      </c>
      <c r="R1229" s="111">
        <f t="shared" si="259"/>
        <v>672.4525000000001</v>
      </c>
      <c r="S1229" s="110"/>
      <c r="T1229" s="110"/>
      <c r="U1229" s="110">
        <f t="shared" si="260"/>
        <v>34</v>
      </c>
      <c r="V1229" s="111">
        <f t="shared" si="261"/>
        <v>672.4525000000001</v>
      </c>
      <c r="W1229" s="110"/>
      <c r="X1229" s="110"/>
      <c r="Y1229" s="110"/>
      <c r="Z1229" s="110"/>
      <c r="AA1229" s="110">
        <f t="shared" si="262"/>
        <v>34</v>
      </c>
      <c r="AB1229" s="111">
        <f t="shared" si="266"/>
        <v>672.4525000000001</v>
      </c>
      <c r="AC1229" s="110"/>
      <c r="AD1229" s="110"/>
      <c r="AE1229" s="110">
        <f t="shared" si="262"/>
        <v>34</v>
      </c>
      <c r="AF1229" s="111">
        <f t="shared" si="267"/>
        <v>672.4525000000001</v>
      </c>
      <c r="AG1229" s="110"/>
      <c r="AH1229" s="110"/>
      <c r="AI1229" s="110"/>
      <c r="AJ1229" s="110"/>
      <c r="AK1229" s="111">
        <f t="shared" si="268"/>
        <v>2689.8100000000004</v>
      </c>
      <c r="AL1229" s="446">
        <f t="shared" si="269"/>
        <v>0</v>
      </c>
      <c r="AM1229" s="110">
        <f t="shared" si="270"/>
        <v>136</v>
      </c>
      <c r="AN1229" s="447">
        <f t="shared" si="272"/>
        <v>0</v>
      </c>
      <c r="AO1229"/>
      <c r="AP1229"/>
    </row>
    <row r="1230" spans="1:42" ht="66" x14ac:dyDescent="0.25">
      <c r="A1230" s="1027"/>
      <c r="B1230" s="152" t="s">
        <v>178</v>
      </c>
      <c r="C1230" s="1028"/>
      <c r="D1230" s="869">
        <f>1600+247+252</f>
        <v>2099</v>
      </c>
      <c r="E1230" s="1027" t="s">
        <v>1721</v>
      </c>
      <c r="F1230" s="273" t="s">
        <v>3446</v>
      </c>
      <c r="G1230" s="1040" t="s">
        <v>3463</v>
      </c>
      <c r="H1230" s="273" t="s">
        <v>3462</v>
      </c>
      <c r="I1230" s="720">
        <f t="shared" si="264"/>
        <v>34.266727012863271</v>
      </c>
      <c r="J1230" s="756">
        <f>54139.52+9410.4+8375.94</f>
        <v>71925.86</v>
      </c>
      <c r="K1230" s="131">
        <f t="shared" si="271"/>
        <v>71925.86</v>
      </c>
      <c r="L1230" s="335">
        <f t="shared" si="265"/>
        <v>0</v>
      </c>
      <c r="M1230" s="446"/>
      <c r="N1230" s="446"/>
      <c r="O1230" s="446"/>
      <c r="P1230" s="446"/>
      <c r="Q1230" s="110">
        <v>550</v>
      </c>
      <c r="R1230" s="111">
        <f t="shared" si="259"/>
        <v>17981.465</v>
      </c>
      <c r="S1230" s="110"/>
      <c r="T1230" s="110"/>
      <c r="U1230" s="110">
        <v>550</v>
      </c>
      <c r="V1230" s="111">
        <f t="shared" si="261"/>
        <v>17981.465</v>
      </c>
      <c r="W1230" s="110"/>
      <c r="X1230" s="110"/>
      <c r="Y1230" s="110"/>
      <c r="Z1230" s="110"/>
      <c r="AA1230" s="110">
        <v>540</v>
      </c>
      <c r="AB1230" s="111">
        <f t="shared" si="266"/>
        <v>17981.465</v>
      </c>
      <c r="AC1230" s="110"/>
      <c r="AD1230" s="110"/>
      <c r="AE1230" s="110">
        <v>459</v>
      </c>
      <c r="AF1230" s="111">
        <f t="shared" si="267"/>
        <v>17981.465</v>
      </c>
      <c r="AG1230" s="110"/>
      <c r="AH1230" s="110"/>
      <c r="AI1230" s="110"/>
      <c r="AJ1230" s="110"/>
      <c r="AK1230" s="111">
        <f t="shared" si="268"/>
        <v>71925.86</v>
      </c>
      <c r="AL1230" s="446">
        <f t="shared" si="269"/>
        <v>0</v>
      </c>
      <c r="AM1230" s="110">
        <f t="shared" si="270"/>
        <v>2099</v>
      </c>
      <c r="AN1230" s="447">
        <f t="shared" si="272"/>
        <v>0</v>
      </c>
      <c r="AO1230"/>
      <c r="AP1230"/>
    </row>
    <row r="1231" spans="1:42" ht="66" x14ac:dyDescent="0.25">
      <c r="A1231" s="1027"/>
      <c r="B1231" s="152" t="s">
        <v>179</v>
      </c>
      <c r="C1231" s="1028"/>
      <c r="D1231" s="869">
        <v>36</v>
      </c>
      <c r="E1231" s="1027" t="s">
        <v>2443</v>
      </c>
      <c r="F1231" s="273" t="s">
        <v>3446</v>
      </c>
      <c r="G1231" s="1040" t="s">
        <v>3463</v>
      </c>
      <c r="H1231" s="273" t="s">
        <v>3462</v>
      </c>
      <c r="I1231" s="720">
        <f t="shared" si="264"/>
        <v>381.9997222222222</v>
      </c>
      <c r="J1231" s="756">
        <v>13751.99</v>
      </c>
      <c r="K1231" s="131">
        <f t="shared" si="271"/>
        <v>13751.99</v>
      </c>
      <c r="L1231" s="335">
        <f t="shared" si="265"/>
        <v>0</v>
      </c>
      <c r="M1231" s="446"/>
      <c r="N1231" s="446"/>
      <c r="O1231" s="446"/>
      <c r="P1231" s="446"/>
      <c r="Q1231" s="110">
        <f t="shared" si="258"/>
        <v>9</v>
      </c>
      <c r="R1231" s="111">
        <f t="shared" si="259"/>
        <v>3437.9974999999999</v>
      </c>
      <c r="S1231" s="110"/>
      <c r="T1231" s="110"/>
      <c r="U1231" s="110">
        <f t="shared" si="260"/>
        <v>9</v>
      </c>
      <c r="V1231" s="111">
        <f t="shared" si="261"/>
        <v>3437.9974999999999</v>
      </c>
      <c r="W1231" s="110"/>
      <c r="X1231" s="110"/>
      <c r="Y1231" s="110"/>
      <c r="Z1231" s="110"/>
      <c r="AA1231" s="110">
        <f t="shared" si="262"/>
        <v>9</v>
      </c>
      <c r="AB1231" s="111">
        <f t="shared" si="266"/>
        <v>3437.9974999999999</v>
      </c>
      <c r="AC1231" s="110"/>
      <c r="AD1231" s="110"/>
      <c r="AE1231" s="110">
        <f t="shared" si="262"/>
        <v>9</v>
      </c>
      <c r="AF1231" s="111">
        <f t="shared" si="267"/>
        <v>3437.9974999999999</v>
      </c>
      <c r="AG1231" s="110"/>
      <c r="AH1231" s="110"/>
      <c r="AI1231" s="110"/>
      <c r="AJ1231" s="110"/>
      <c r="AK1231" s="111">
        <f t="shared" si="268"/>
        <v>13751.99</v>
      </c>
      <c r="AL1231" s="446">
        <f t="shared" si="269"/>
        <v>0</v>
      </c>
      <c r="AM1231" s="110">
        <f t="shared" si="270"/>
        <v>36</v>
      </c>
      <c r="AN1231" s="447">
        <f t="shared" si="272"/>
        <v>0</v>
      </c>
      <c r="AO1231"/>
      <c r="AP1231"/>
    </row>
    <row r="1232" spans="1:42" ht="66" x14ac:dyDescent="0.25">
      <c r="A1232" s="1027"/>
      <c r="B1232" s="152" t="s">
        <v>180</v>
      </c>
      <c r="C1232" s="1028"/>
      <c r="D1232" s="869">
        <f>850+300</f>
        <v>1150</v>
      </c>
      <c r="E1232" s="1027" t="s">
        <v>1721</v>
      </c>
      <c r="F1232" s="273" t="s">
        <v>3446</v>
      </c>
      <c r="G1232" s="1040" t="s">
        <v>3463</v>
      </c>
      <c r="H1232" s="273" t="s">
        <v>3462</v>
      </c>
      <c r="I1232" s="720">
        <f t="shared" si="264"/>
        <v>47.513599999999997</v>
      </c>
      <c r="J1232" s="756">
        <f>40386.56+14254.08</f>
        <v>54640.639999999999</v>
      </c>
      <c r="K1232" s="131">
        <f t="shared" si="271"/>
        <v>54640.639999999999</v>
      </c>
      <c r="L1232" s="335">
        <f t="shared" si="265"/>
        <v>0</v>
      </c>
      <c r="M1232" s="446"/>
      <c r="N1232" s="446"/>
      <c r="O1232" s="446"/>
      <c r="P1232" s="446"/>
      <c r="Q1232" s="110">
        <v>300</v>
      </c>
      <c r="R1232" s="111">
        <f t="shared" si="259"/>
        <v>13660.16</v>
      </c>
      <c r="S1232" s="110"/>
      <c r="T1232" s="110"/>
      <c r="U1232" s="110">
        <v>290</v>
      </c>
      <c r="V1232" s="111">
        <f t="shared" si="261"/>
        <v>13660.16</v>
      </c>
      <c r="W1232" s="110"/>
      <c r="X1232" s="110"/>
      <c r="Y1232" s="110"/>
      <c r="Z1232" s="110"/>
      <c r="AA1232" s="110">
        <v>280</v>
      </c>
      <c r="AB1232" s="111">
        <f t="shared" si="266"/>
        <v>13660.16</v>
      </c>
      <c r="AC1232" s="110"/>
      <c r="AD1232" s="110"/>
      <c r="AE1232" s="110">
        <v>280</v>
      </c>
      <c r="AF1232" s="111">
        <f t="shared" si="267"/>
        <v>13660.16</v>
      </c>
      <c r="AG1232" s="110"/>
      <c r="AH1232" s="110"/>
      <c r="AI1232" s="110"/>
      <c r="AJ1232" s="110"/>
      <c r="AK1232" s="111">
        <f t="shared" si="268"/>
        <v>54640.639999999999</v>
      </c>
      <c r="AL1232" s="446">
        <f t="shared" si="269"/>
        <v>0</v>
      </c>
      <c r="AM1232" s="110">
        <f t="shared" si="270"/>
        <v>1150</v>
      </c>
      <c r="AN1232" s="447">
        <f t="shared" si="272"/>
        <v>0</v>
      </c>
      <c r="AO1232"/>
      <c r="AP1232"/>
    </row>
    <row r="1233" spans="1:42" ht="66" x14ac:dyDescent="0.25">
      <c r="A1233" s="1027"/>
      <c r="B1233" s="34" t="s">
        <v>181</v>
      </c>
      <c r="C1233" s="1028"/>
      <c r="D1233" s="869">
        <f>440+110+60</f>
        <v>610</v>
      </c>
      <c r="E1233" s="1027" t="s">
        <v>1721</v>
      </c>
      <c r="F1233" s="273" t="s">
        <v>3446</v>
      </c>
      <c r="G1233" s="1040" t="s">
        <v>3463</v>
      </c>
      <c r="H1233" s="273" t="s">
        <v>3462</v>
      </c>
      <c r="I1233" s="720">
        <f t="shared" si="264"/>
        <v>48.658196721311477</v>
      </c>
      <c r="J1233" s="756">
        <f>21523.57+5380.89+2777.04</f>
        <v>29681.5</v>
      </c>
      <c r="K1233" s="131">
        <f t="shared" si="271"/>
        <v>29681.5</v>
      </c>
      <c r="L1233" s="335">
        <f t="shared" si="265"/>
        <v>0</v>
      </c>
      <c r="M1233" s="446"/>
      <c r="N1233" s="446"/>
      <c r="O1233" s="446"/>
      <c r="P1233" s="446"/>
      <c r="Q1233" s="110">
        <f t="shared" si="258"/>
        <v>152.5</v>
      </c>
      <c r="R1233" s="111">
        <f t="shared" si="259"/>
        <v>7420.375</v>
      </c>
      <c r="S1233" s="110"/>
      <c r="T1233" s="110"/>
      <c r="U1233" s="110">
        <f t="shared" si="260"/>
        <v>152.5</v>
      </c>
      <c r="V1233" s="111">
        <f t="shared" si="261"/>
        <v>7420.375</v>
      </c>
      <c r="W1233" s="110"/>
      <c r="X1233" s="110"/>
      <c r="Y1233" s="110"/>
      <c r="Z1233" s="110"/>
      <c r="AA1233" s="110">
        <f t="shared" si="262"/>
        <v>152.5</v>
      </c>
      <c r="AB1233" s="111">
        <f t="shared" si="266"/>
        <v>7420.375</v>
      </c>
      <c r="AC1233" s="110"/>
      <c r="AD1233" s="110"/>
      <c r="AE1233" s="110">
        <f t="shared" si="262"/>
        <v>152.5</v>
      </c>
      <c r="AF1233" s="111">
        <f t="shared" si="267"/>
        <v>7420.375</v>
      </c>
      <c r="AG1233" s="110"/>
      <c r="AH1233" s="110"/>
      <c r="AI1233" s="110"/>
      <c r="AJ1233" s="110"/>
      <c r="AK1233" s="111">
        <f t="shared" si="268"/>
        <v>29681.5</v>
      </c>
      <c r="AL1233" s="446">
        <f t="shared" si="269"/>
        <v>0</v>
      </c>
      <c r="AM1233" s="110">
        <f t="shared" si="270"/>
        <v>610</v>
      </c>
      <c r="AN1233" s="447">
        <f t="shared" si="272"/>
        <v>0</v>
      </c>
      <c r="AO1233"/>
      <c r="AP1233"/>
    </row>
    <row r="1234" spans="1:42" ht="66" x14ac:dyDescent="0.25">
      <c r="A1234" s="1027"/>
      <c r="B1234" s="34" t="s">
        <v>182</v>
      </c>
      <c r="C1234" s="1028"/>
      <c r="D1234" s="869">
        <v>6</v>
      </c>
      <c r="E1234" s="1027" t="s">
        <v>2443</v>
      </c>
      <c r="F1234" s="273" t="s">
        <v>3446</v>
      </c>
      <c r="G1234" s="1040" t="s">
        <v>3463</v>
      </c>
      <c r="H1234" s="273" t="s">
        <v>3462</v>
      </c>
      <c r="I1234" s="720">
        <f t="shared" si="264"/>
        <v>363.31166666666667</v>
      </c>
      <c r="J1234" s="756">
        <v>2179.87</v>
      </c>
      <c r="K1234" s="131">
        <f t="shared" si="271"/>
        <v>2179.87</v>
      </c>
      <c r="L1234" s="335">
        <f t="shared" si="265"/>
        <v>0</v>
      </c>
      <c r="M1234" s="446"/>
      <c r="N1234" s="446"/>
      <c r="O1234" s="446"/>
      <c r="P1234" s="446"/>
      <c r="Q1234" s="130">
        <v>2</v>
      </c>
      <c r="R1234" s="111">
        <f t="shared" si="259"/>
        <v>544.96749999999997</v>
      </c>
      <c r="S1234" s="110"/>
      <c r="T1234" s="110"/>
      <c r="U1234" s="130">
        <v>2</v>
      </c>
      <c r="V1234" s="111">
        <f t="shared" si="261"/>
        <v>544.96749999999997</v>
      </c>
      <c r="W1234" s="110"/>
      <c r="X1234" s="110"/>
      <c r="Y1234" s="110"/>
      <c r="Z1234" s="110"/>
      <c r="AA1234" s="130">
        <v>1</v>
      </c>
      <c r="AB1234" s="111">
        <f t="shared" si="266"/>
        <v>544.96749999999997</v>
      </c>
      <c r="AC1234" s="110"/>
      <c r="AD1234" s="110"/>
      <c r="AE1234" s="130">
        <v>1</v>
      </c>
      <c r="AF1234" s="111">
        <f t="shared" si="267"/>
        <v>544.96749999999997</v>
      </c>
      <c r="AG1234" s="110"/>
      <c r="AH1234" s="110"/>
      <c r="AI1234" s="110"/>
      <c r="AJ1234" s="110"/>
      <c r="AK1234" s="111">
        <f t="shared" si="268"/>
        <v>2179.87</v>
      </c>
      <c r="AL1234" s="446">
        <f t="shared" si="269"/>
        <v>0</v>
      </c>
      <c r="AM1234" s="110">
        <f t="shared" si="270"/>
        <v>6</v>
      </c>
      <c r="AN1234" s="447">
        <f t="shared" si="272"/>
        <v>0</v>
      </c>
      <c r="AO1234"/>
      <c r="AP1234"/>
    </row>
    <row r="1235" spans="1:42" ht="66" x14ac:dyDescent="0.25">
      <c r="A1235" s="1027"/>
      <c r="B1235" s="523" t="s">
        <v>1165</v>
      </c>
      <c r="C1235" s="1028"/>
      <c r="D1235" s="869">
        <f>20</f>
        <v>20</v>
      </c>
      <c r="E1235" s="1027" t="s">
        <v>1721</v>
      </c>
      <c r="F1235" s="273" t="s">
        <v>3446</v>
      </c>
      <c r="G1235" s="1040" t="s">
        <v>3463</v>
      </c>
      <c r="H1235" s="273" t="s">
        <v>3462</v>
      </c>
      <c r="I1235" s="720">
        <f t="shared" si="264"/>
        <v>67.744</v>
      </c>
      <c r="J1235" s="756">
        <f>1354.88</f>
        <v>1354.88</v>
      </c>
      <c r="K1235" s="131">
        <f t="shared" si="271"/>
        <v>1354.88</v>
      </c>
      <c r="L1235" s="335">
        <f t="shared" si="265"/>
        <v>0</v>
      </c>
      <c r="M1235" s="446"/>
      <c r="N1235" s="446"/>
      <c r="O1235" s="446"/>
      <c r="P1235" s="446"/>
      <c r="Q1235" s="110">
        <f t="shared" si="258"/>
        <v>5</v>
      </c>
      <c r="R1235" s="111">
        <f t="shared" si="259"/>
        <v>338.72</v>
      </c>
      <c r="S1235" s="110"/>
      <c r="T1235" s="110"/>
      <c r="U1235" s="110">
        <f t="shared" si="260"/>
        <v>5</v>
      </c>
      <c r="V1235" s="111">
        <f t="shared" si="261"/>
        <v>338.72</v>
      </c>
      <c r="W1235" s="110"/>
      <c r="X1235" s="110"/>
      <c r="Y1235" s="110"/>
      <c r="Z1235" s="110"/>
      <c r="AA1235" s="110">
        <f t="shared" si="262"/>
        <v>5</v>
      </c>
      <c r="AB1235" s="111">
        <f t="shared" si="266"/>
        <v>338.72</v>
      </c>
      <c r="AC1235" s="110"/>
      <c r="AD1235" s="110"/>
      <c r="AE1235" s="110">
        <f t="shared" si="262"/>
        <v>5</v>
      </c>
      <c r="AF1235" s="111">
        <f t="shared" si="267"/>
        <v>338.72</v>
      </c>
      <c r="AG1235" s="110"/>
      <c r="AH1235" s="110"/>
      <c r="AI1235" s="110"/>
      <c r="AJ1235" s="110"/>
      <c r="AK1235" s="111">
        <f t="shared" si="268"/>
        <v>1354.88</v>
      </c>
      <c r="AL1235" s="446">
        <f t="shared" si="269"/>
        <v>0</v>
      </c>
      <c r="AM1235" s="110">
        <f t="shared" si="270"/>
        <v>20</v>
      </c>
      <c r="AN1235" s="447">
        <f t="shared" si="272"/>
        <v>0</v>
      </c>
      <c r="AO1235"/>
      <c r="AP1235"/>
    </row>
    <row r="1236" spans="1:42" ht="66" x14ac:dyDescent="0.25">
      <c r="A1236" s="1027"/>
      <c r="B1236" s="34" t="s">
        <v>183</v>
      </c>
      <c r="C1236" s="1028"/>
      <c r="D1236" s="869">
        <v>60</v>
      </c>
      <c r="E1236" s="1027" t="s">
        <v>1721</v>
      </c>
      <c r="F1236" s="273" t="s">
        <v>3446</v>
      </c>
      <c r="G1236" s="1040" t="s">
        <v>3463</v>
      </c>
      <c r="H1236" s="273" t="s">
        <v>3462</v>
      </c>
      <c r="I1236" s="720">
        <f t="shared" si="264"/>
        <v>31.32</v>
      </c>
      <c r="J1236" s="756">
        <v>1879.2</v>
      </c>
      <c r="K1236" s="131">
        <f t="shared" si="271"/>
        <v>1879.2</v>
      </c>
      <c r="L1236" s="335">
        <f t="shared" si="265"/>
        <v>0</v>
      </c>
      <c r="M1236" s="446"/>
      <c r="N1236" s="446"/>
      <c r="O1236" s="446"/>
      <c r="P1236" s="446"/>
      <c r="Q1236" s="110">
        <f t="shared" si="258"/>
        <v>15</v>
      </c>
      <c r="R1236" s="111">
        <f t="shared" si="259"/>
        <v>469.8</v>
      </c>
      <c r="S1236" s="110"/>
      <c r="T1236" s="110"/>
      <c r="U1236" s="110">
        <f t="shared" si="260"/>
        <v>15</v>
      </c>
      <c r="V1236" s="111">
        <f t="shared" si="261"/>
        <v>469.8</v>
      </c>
      <c r="W1236" s="110"/>
      <c r="X1236" s="110"/>
      <c r="Y1236" s="110"/>
      <c r="Z1236" s="110"/>
      <c r="AA1236" s="110">
        <f t="shared" si="262"/>
        <v>15</v>
      </c>
      <c r="AB1236" s="111">
        <f t="shared" si="266"/>
        <v>469.8</v>
      </c>
      <c r="AC1236" s="110"/>
      <c r="AD1236" s="110"/>
      <c r="AE1236" s="110">
        <f t="shared" si="262"/>
        <v>15</v>
      </c>
      <c r="AF1236" s="111">
        <f t="shared" si="267"/>
        <v>469.8</v>
      </c>
      <c r="AG1236" s="110"/>
      <c r="AH1236" s="110"/>
      <c r="AI1236" s="110"/>
      <c r="AJ1236" s="110"/>
      <c r="AK1236" s="111">
        <f t="shared" si="268"/>
        <v>1879.2</v>
      </c>
      <c r="AL1236" s="446">
        <f t="shared" si="269"/>
        <v>0</v>
      </c>
      <c r="AM1236" s="110">
        <f t="shared" si="270"/>
        <v>60</v>
      </c>
      <c r="AN1236" s="447">
        <f t="shared" si="272"/>
        <v>0</v>
      </c>
      <c r="AO1236"/>
      <c r="AP1236"/>
    </row>
    <row r="1237" spans="1:42" ht="66" x14ac:dyDescent="0.25">
      <c r="A1237" s="1027"/>
      <c r="B1237" s="523" t="s">
        <v>1156</v>
      </c>
      <c r="C1237" s="1028"/>
      <c r="D1237" s="869">
        <f>220</f>
        <v>220</v>
      </c>
      <c r="E1237" s="1027" t="s">
        <v>1721</v>
      </c>
      <c r="F1237" s="273" t="s">
        <v>3446</v>
      </c>
      <c r="G1237" s="1040" t="s">
        <v>3463</v>
      </c>
      <c r="H1237" s="273" t="s">
        <v>3462</v>
      </c>
      <c r="I1237" s="720">
        <f t="shared" si="264"/>
        <v>34.730409090909092</v>
      </c>
      <c r="J1237" s="756">
        <f>7640.69</f>
        <v>7640.69</v>
      </c>
      <c r="K1237" s="131">
        <f t="shared" si="271"/>
        <v>7640.6900000000005</v>
      </c>
      <c r="L1237" s="335">
        <f t="shared" si="265"/>
        <v>0</v>
      </c>
      <c r="M1237" s="446"/>
      <c r="N1237" s="446"/>
      <c r="O1237" s="446"/>
      <c r="P1237" s="446"/>
      <c r="Q1237" s="110">
        <f t="shared" si="258"/>
        <v>55</v>
      </c>
      <c r="R1237" s="111">
        <f t="shared" si="259"/>
        <v>1910.1724999999999</v>
      </c>
      <c r="S1237" s="110"/>
      <c r="T1237" s="110"/>
      <c r="U1237" s="110">
        <f t="shared" si="260"/>
        <v>55</v>
      </c>
      <c r="V1237" s="111">
        <f t="shared" si="261"/>
        <v>1910.1724999999999</v>
      </c>
      <c r="W1237" s="110"/>
      <c r="X1237" s="110"/>
      <c r="Y1237" s="110"/>
      <c r="Z1237" s="110"/>
      <c r="AA1237" s="110">
        <f t="shared" si="262"/>
        <v>55</v>
      </c>
      <c r="AB1237" s="111">
        <f t="shared" si="266"/>
        <v>1910.1724999999999</v>
      </c>
      <c r="AC1237" s="110"/>
      <c r="AD1237" s="110"/>
      <c r="AE1237" s="110">
        <f t="shared" si="262"/>
        <v>55</v>
      </c>
      <c r="AF1237" s="111">
        <f t="shared" si="267"/>
        <v>1910.1724999999999</v>
      </c>
      <c r="AG1237" s="110"/>
      <c r="AH1237" s="110"/>
      <c r="AI1237" s="110"/>
      <c r="AJ1237" s="110"/>
      <c r="AK1237" s="111">
        <f t="shared" si="268"/>
        <v>7640.69</v>
      </c>
      <c r="AL1237" s="446">
        <f t="shared" si="269"/>
        <v>0</v>
      </c>
      <c r="AM1237" s="110">
        <f t="shared" si="270"/>
        <v>220</v>
      </c>
      <c r="AN1237" s="447">
        <f t="shared" si="272"/>
        <v>0</v>
      </c>
      <c r="AO1237"/>
      <c r="AP1237"/>
    </row>
    <row r="1238" spans="1:42" ht="66" x14ac:dyDescent="0.25">
      <c r="A1238" s="1027"/>
      <c r="B1238" s="152" t="s">
        <v>1159</v>
      </c>
      <c r="C1238" s="1028"/>
      <c r="D1238" s="869">
        <f>55+120</f>
        <v>175</v>
      </c>
      <c r="E1238" s="1027" t="s">
        <v>1721</v>
      </c>
      <c r="F1238" s="273" t="s">
        <v>3446</v>
      </c>
      <c r="G1238" s="1040" t="s">
        <v>3463</v>
      </c>
      <c r="H1238" s="273" t="s">
        <v>3462</v>
      </c>
      <c r="I1238" s="720">
        <f t="shared" si="264"/>
        <v>37.235999999999997</v>
      </c>
      <c r="J1238" s="756">
        <f>2047.98+4468.32</f>
        <v>6516.2999999999993</v>
      </c>
      <c r="K1238" s="131">
        <f t="shared" si="271"/>
        <v>6516.2999999999993</v>
      </c>
      <c r="L1238" s="335">
        <f t="shared" si="265"/>
        <v>0</v>
      </c>
      <c r="M1238" s="446"/>
      <c r="N1238" s="446"/>
      <c r="O1238" s="446"/>
      <c r="P1238" s="446"/>
      <c r="Q1238" s="110">
        <v>40</v>
      </c>
      <c r="R1238" s="111">
        <f t="shared" si="259"/>
        <v>1629.0749999999998</v>
      </c>
      <c r="S1238" s="110"/>
      <c r="T1238" s="110"/>
      <c r="U1238" s="110">
        <v>40</v>
      </c>
      <c r="V1238" s="111">
        <f t="shared" si="261"/>
        <v>1629.0749999999998</v>
      </c>
      <c r="W1238" s="110"/>
      <c r="X1238" s="110"/>
      <c r="Y1238" s="110"/>
      <c r="Z1238" s="110"/>
      <c r="AA1238" s="110">
        <v>55</v>
      </c>
      <c r="AB1238" s="111">
        <f t="shared" si="266"/>
        <v>1629.0749999999998</v>
      </c>
      <c r="AC1238" s="110"/>
      <c r="AD1238" s="110"/>
      <c r="AE1238" s="110">
        <v>40</v>
      </c>
      <c r="AF1238" s="111">
        <f t="shared" si="267"/>
        <v>1629.0749999999998</v>
      </c>
      <c r="AG1238" s="110"/>
      <c r="AH1238" s="110"/>
      <c r="AI1238" s="110"/>
      <c r="AJ1238" s="110"/>
      <c r="AK1238" s="111">
        <f t="shared" si="268"/>
        <v>6516.2999999999993</v>
      </c>
      <c r="AL1238" s="446">
        <f t="shared" si="269"/>
        <v>0</v>
      </c>
      <c r="AM1238" s="110">
        <f t="shared" si="270"/>
        <v>175</v>
      </c>
      <c r="AN1238" s="447">
        <f t="shared" si="272"/>
        <v>0</v>
      </c>
      <c r="AO1238"/>
      <c r="AP1238"/>
    </row>
    <row r="1239" spans="1:42" ht="66" x14ac:dyDescent="0.25">
      <c r="A1239" s="1027"/>
      <c r="B1239" s="152" t="s">
        <v>1160</v>
      </c>
      <c r="C1239" s="1028"/>
      <c r="D1239" s="869">
        <f>20</f>
        <v>20</v>
      </c>
      <c r="E1239" s="1027" t="s">
        <v>1721</v>
      </c>
      <c r="F1239" s="273" t="s">
        <v>3446</v>
      </c>
      <c r="G1239" s="1040" t="s">
        <v>3463</v>
      </c>
      <c r="H1239" s="273" t="s">
        <v>3462</v>
      </c>
      <c r="I1239" s="720">
        <f t="shared" si="264"/>
        <v>71.270499999999998</v>
      </c>
      <c r="J1239" s="756">
        <f>1425.41</f>
        <v>1425.41</v>
      </c>
      <c r="K1239" s="131">
        <f t="shared" si="271"/>
        <v>1425.4099999999999</v>
      </c>
      <c r="L1239" s="335">
        <f t="shared" si="265"/>
        <v>0</v>
      </c>
      <c r="M1239" s="446"/>
      <c r="N1239" s="446"/>
      <c r="O1239" s="446"/>
      <c r="P1239" s="446"/>
      <c r="Q1239" s="110">
        <f t="shared" si="258"/>
        <v>5</v>
      </c>
      <c r="R1239" s="111">
        <f t="shared" si="259"/>
        <v>356.35250000000002</v>
      </c>
      <c r="S1239" s="110"/>
      <c r="T1239" s="110"/>
      <c r="U1239" s="110">
        <f t="shared" si="260"/>
        <v>5</v>
      </c>
      <c r="V1239" s="111">
        <f t="shared" si="261"/>
        <v>356.35250000000002</v>
      </c>
      <c r="W1239" s="110"/>
      <c r="X1239" s="110"/>
      <c r="Y1239" s="110"/>
      <c r="Z1239" s="110"/>
      <c r="AA1239" s="110">
        <f t="shared" si="262"/>
        <v>5</v>
      </c>
      <c r="AB1239" s="111">
        <f t="shared" si="266"/>
        <v>356.35250000000002</v>
      </c>
      <c r="AC1239" s="110"/>
      <c r="AD1239" s="110"/>
      <c r="AE1239" s="110">
        <f t="shared" si="262"/>
        <v>5</v>
      </c>
      <c r="AF1239" s="111">
        <f t="shared" si="267"/>
        <v>356.35250000000002</v>
      </c>
      <c r="AG1239" s="110"/>
      <c r="AH1239" s="110"/>
      <c r="AI1239" s="110"/>
      <c r="AJ1239" s="110"/>
      <c r="AK1239" s="111">
        <f t="shared" si="268"/>
        <v>1425.41</v>
      </c>
      <c r="AL1239" s="446">
        <f t="shared" si="269"/>
        <v>0</v>
      </c>
      <c r="AM1239" s="110">
        <f t="shared" si="270"/>
        <v>20</v>
      </c>
      <c r="AN1239" s="447">
        <f t="shared" si="272"/>
        <v>0</v>
      </c>
      <c r="AO1239"/>
      <c r="AP1239"/>
    </row>
    <row r="1240" spans="1:42" ht="66" x14ac:dyDescent="0.25">
      <c r="A1240" s="1027"/>
      <c r="B1240" s="152" t="s">
        <v>1162</v>
      </c>
      <c r="C1240" s="1028"/>
      <c r="D1240" s="869">
        <f>5</f>
        <v>5</v>
      </c>
      <c r="E1240" s="1027" t="s">
        <v>1721</v>
      </c>
      <c r="F1240" s="273" t="s">
        <v>3446</v>
      </c>
      <c r="G1240" s="1040" t="s">
        <v>3463</v>
      </c>
      <c r="H1240" s="273" t="s">
        <v>3462</v>
      </c>
      <c r="I1240" s="720">
        <f t="shared" si="264"/>
        <v>100.77000000000001</v>
      </c>
      <c r="J1240" s="756">
        <f>503.85</f>
        <v>503.85</v>
      </c>
      <c r="K1240" s="131">
        <f t="shared" si="271"/>
        <v>503.85</v>
      </c>
      <c r="L1240" s="335">
        <f t="shared" si="265"/>
        <v>0</v>
      </c>
      <c r="M1240" s="446"/>
      <c r="N1240" s="446"/>
      <c r="O1240" s="446"/>
      <c r="P1240" s="446"/>
      <c r="Q1240" s="110">
        <v>2</v>
      </c>
      <c r="R1240" s="111">
        <f t="shared" si="259"/>
        <v>125.96250000000001</v>
      </c>
      <c r="S1240" s="110"/>
      <c r="T1240" s="110"/>
      <c r="U1240" s="110">
        <v>1</v>
      </c>
      <c r="V1240" s="111">
        <f t="shared" si="261"/>
        <v>125.96250000000001</v>
      </c>
      <c r="W1240" s="110"/>
      <c r="X1240" s="110"/>
      <c r="Y1240" s="110"/>
      <c r="Z1240" s="110"/>
      <c r="AA1240" s="110">
        <v>1</v>
      </c>
      <c r="AB1240" s="111">
        <f t="shared" si="266"/>
        <v>125.96250000000001</v>
      </c>
      <c r="AC1240" s="110"/>
      <c r="AD1240" s="110"/>
      <c r="AE1240" s="110">
        <v>1</v>
      </c>
      <c r="AF1240" s="111">
        <f t="shared" si="267"/>
        <v>125.96250000000001</v>
      </c>
      <c r="AG1240" s="110"/>
      <c r="AH1240" s="110"/>
      <c r="AI1240" s="110"/>
      <c r="AJ1240" s="110"/>
      <c r="AK1240" s="111">
        <f t="shared" si="268"/>
        <v>503.85</v>
      </c>
      <c r="AL1240" s="446">
        <f t="shared" si="269"/>
        <v>0</v>
      </c>
      <c r="AM1240" s="110">
        <f t="shared" si="270"/>
        <v>5</v>
      </c>
      <c r="AN1240" s="447">
        <f t="shared" si="272"/>
        <v>0</v>
      </c>
      <c r="AO1240"/>
      <c r="AP1240"/>
    </row>
    <row r="1241" spans="1:42" ht="66" x14ac:dyDescent="0.25">
      <c r="A1241" s="1027"/>
      <c r="B1241" s="152" t="s">
        <v>1079</v>
      </c>
      <c r="C1241" s="1028"/>
      <c r="D1241" s="869">
        <f>3</f>
        <v>3</v>
      </c>
      <c r="E1241" s="1027" t="s">
        <v>1721</v>
      </c>
      <c r="F1241" s="273" t="s">
        <v>3446</v>
      </c>
      <c r="G1241" s="1040" t="s">
        <v>3463</v>
      </c>
      <c r="H1241" s="273" t="s">
        <v>3462</v>
      </c>
      <c r="I1241" s="720">
        <f t="shared" si="264"/>
        <v>21.080000000000002</v>
      </c>
      <c r="J1241" s="756">
        <f>63.24</f>
        <v>63.24</v>
      </c>
      <c r="K1241" s="131">
        <f t="shared" si="271"/>
        <v>63.240000000000009</v>
      </c>
      <c r="L1241" s="335">
        <f t="shared" si="265"/>
        <v>0</v>
      </c>
      <c r="M1241" s="446"/>
      <c r="N1241" s="446"/>
      <c r="O1241" s="446"/>
      <c r="P1241" s="446"/>
      <c r="Q1241" s="130">
        <v>1</v>
      </c>
      <c r="R1241" s="111">
        <v>21.08</v>
      </c>
      <c r="S1241" s="110"/>
      <c r="T1241" s="110"/>
      <c r="U1241" s="130">
        <v>1</v>
      </c>
      <c r="V1241" s="111">
        <v>21.08</v>
      </c>
      <c r="W1241" s="110"/>
      <c r="X1241" s="110"/>
      <c r="Y1241" s="110"/>
      <c r="Z1241" s="110"/>
      <c r="AA1241" s="130">
        <v>1</v>
      </c>
      <c r="AB1241" s="111">
        <v>21.08</v>
      </c>
      <c r="AC1241" s="110"/>
      <c r="AD1241" s="110"/>
      <c r="AE1241" s="130">
        <v>0</v>
      </c>
      <c r="AF1241" s="111">
        <v>0</v>
      </c>
      <c r="AG1241" s="110"/>
      <c r="AH1241" s="110"/>
      <c r="AI1241" s="110"/>
      <c r="AJ1241" s="110"/>
      <c r="AK1241" s="111">
        <f t="shared" si="268"/>
        <v>63.239999999999995</v>
      </c>
      <c r="AL1241" s="446">
        <f t="shared" si="269"/>
        <v>0</v>
      </c>
      <c r="AM1241" s="110">
        <f t="shared" si="270"/>
        <v>3</v>
      </c>
      <c r="AN1241" s="447">
        <f t="shared" si="272"/>
        <v>0</v>
      </c>
      <c r="AO1241"/>
      <c r="AP1241"/>
    </row>
    <row r="1242" spans="1:42" ht="66" x14ac:dyDescent="0.25">
      <c r="A1242" s="1027"/>
      <c r="B1242" s="522" t="s">
        <v>1155</v>
      </c>
      <c r="C1242" s="1028"/>
      <c r="D1242" s="869">
        <f>2050+48</f>
        <v>2098</v>
      </c>
      <c r="E1242" s="1027" t="s">
        <v>1721</v>
      </c>
      <c r="F1242" s="273" t="s">
        <v>3446</v>
      </c>
      <c r="G1242" s="1040" t="s">
        <v>3463</v>
      </c>
      <c r="H1242" s="273" t="s">
        <v>3462</v>
      </c>
      <c r="I1242" s="720">
        <f t="shared" si="264"/>
        <v>14.163598665395615</v>
      </c>
      <c r="J1242" s="756">
        <f>29035.38+679.85</f>
        <v>29715.23</v>
      </c>
      <c r="K1242" s="131">
        <f t="shared" si="271"/>
        <v>29715.23</v>
      </c>
      <c r="L1242" s="335">
        <f t="shared" si="265"/>
        <v>0</v>
      </c>
      <c r="M1242" s="446"/>
      <c r="N1242" s="446"/>
      <c r="O1242" s="446"/>
      <c r="P1242" s="446"/>
      <c r="Q1242" s="110">
        <v>500</v>
      </c>
      <c r="R1242" s="111">
        <f t="shared" si="259"/>
        <v>7428.8074999999999</v>
      </c>
      <c r="S1242" s="110"/>
      <c r="T1242" s="110"/>
      <c r="U1242" s="110">
        <v>550</v>
      </c>
      <c r="V1242" s="111">
        <f t="shared" si="261"/>
        <v>7428.8074999999999</v>
      </c>
      <c r="W1242" s="110"/>
      <c r="X1242" s="110"/>
      <c r="Y1242" s="110"/>
      <c r="Z1242" s="110"/>
      <c r="AA1242" s="110">
        <v>590</v>
      </c>
      <c r="AB1242" s="111">
        <f t="shared" si="266"/>
        <v>7428.8074999999999</v>
      </c>
      <c r="AC1242" s="110"/>
      <c r="AD1242" s="110"/>
      <c r="AE1242" s="110">
        <v>458</v>
      </c>
      <c r="AF1242" s="111">
        <f t="shared" si="267"/>
        <v>7428.8074999999999</v>
      </c>
      <c r="AG1242" s="110"/>
      <c r="AH1242" s="110"/>
      <c r="AI1242" s="110"/>
      <c r="AJ1242" s="110"/>
      <c r="AK1242" s="111">
        <f t="shared" si="268"/>
        <v>29715.23</v>
      </c>
      <c r="AL1242" s="446">
        <f t="shared" si="269"/>
        <v>0</v>
      </c>
      <c r="AM1242" s="110">
        <f t="shared" si="270"/>
        <v>2098</v>
      </c>
      <c r="AN1242" s="447">
        <f t="shared" si="272"/>
        <v>0</v>
      </c>
      <c r="AO1242"/>
      <c r="AP1242"/>
    </row>
    <row r="1243" spans="1:42" ht="66" x14ac:dyDescent="0.25">
      <c r="A1243" s="1027"/>
      <c r="B1243" s="152" t="s">
        <v>184</v>
      </c>
      <c r="C1243" s="1028"/>
      <c r="D1243" s="869">
        <f>75+15+12</f>
        <v>102</v>
      </c>
      <c r="E1243" s="1027" t="s">
        <v>2443</v>
      </c>
      <c r="F1243" s="273" t="s">
        <v>3446</v>
      </c>
      <c r="G1243" s="1040" t="s">
        <v>3463</v>
      </c>
      <c r="H1243" s="273" t="s">
        <v>3462</v>
      </c>
      <c r="I1243" s="720">
        <f t="shared" si="264"/>
        <v>208.01254901960783</v>
      </c>
      <c r="J1243" s="756">
        <f>15336.36+3427.1+2453.82</f>
        <v>21217.279999999999</v>
      </c>
      <c r="K1243" s="131">
        <f t="shared" si="271"/>
        <v>21217.279999999999</v>
      </c>
      <c r="L1243" s="335">
        <f t="shared" si="265"/>
        <v>0</v>
      </c>
      <c r="M1243" s="446"/>
      <c r="N1243" s="446"/>
      <c r="O1243" s="446"/>
      <c r="P1243" s="446"/>
      <c r="Q1243" s="110">
        <v>30</v>
      </c>
      <c r="R1243" s="111">
        <f t="shared" si="259"/>
        <v>5304.32</v>
      </c>
      <c r="S1243" s="110"/>
      <c r="T1243" s="110"/>
      <c r="U1243" s="110">
        <v>30</v>
      </c>
      <c r="V1243" s="111">
        <f t="shared" si="261"/>
        <v>5304.32</v>
      </c>
      <c r="W1243" s="110"/>
      <c r="X1243" s="110"/>
      <c r="Y1243" s="110"/>
      <c r="Z1243" s="110"/>
      <c r="AA1243" s="110">
        <v>30</v>
      </c>
      <c r="AB1243" s="111">
        <f t="shared" si="266"/>
        <v>5304.32</v>
      </c>
      <c r="AC1243" s="110"/>
      <c r="AD1243" s="110"/>
      <c r="AE1243" s="110">
        <v>12</v>
      </c>
      <c r="AF1243" s="111">
        <f t="shared" si="267"/>
        <v>5304.32</v>
      </c>
      <c r="AG1243" s="110"/>
      <c r="AH1243" s="110"/>
      <c r="AI1243" s="110"/>
      <c r="AJ1243" s="110"/>
      <c r="AK1243" s="111">
        <f t="shared" si="268"/>
        <v>21217.279999999999</v>
      </c>
      <c r="AL1243" s="446">
        <f t="shared" si="269"/>
        <v>0</v>
      </c>
      <c r="AM1243" s="110">
        <f t="shared" si="270"/>
        <v>102</v>
      </c>
      <c r="AN1243" s="447">
        <f t="shared" si="272"/>
        <v>0</v>
      </c>
      <c r="AO1243"/>
      <c r="AP1243"/>
    </row>
    <row r="1244" spans="1:42" ht="66" x14ac:dyDescent="0.25">
      <c r="A1244" s="1027"/>
      <c r="B1244" s="152" t="s">
        <v>185</v>
      </c>
      <c r="C1244" s="1028"/>
      <c r="D1244" s="869">
        <v>2</v>
      </c>
      <c r="E1244" s="1027" t="s">
        <v>1721</v>
      </c>
      <c r="F1244" s="273" t="s">
        <v>3446</v>
      </c>
      <c r="G1244" s="1040" t="s">
        <v>3463</v>
      </c>
      <c r="H1244" s="273" t="s">
        <v>3462</v>
      </c>
      <c r="I1244" s="720">
        <f t="shared" si="264"/>
        <v>50.62</v>
      </c>
      <c r="J1244" s="756">
        <v>101.24</v>
      </c>
      <c r="K1244" s="131">
        <f t="shared" si="271"/>
        <v>101.24</v>
      </c>
      <c r="L1244" s="335">
        <f t="shared" si="265"/>
        <v>0</v>
      </c>
      <c r="M1244" s="446"/>
      <c r="N1244" s="446"/>
      <c r="O1244" s="446"/>
      <c r="P1244" s="446"/>
      <c r="Q1244" s="130">
        <v>1</v>
      </c>
      <c r="R1244" s="111">
        <v>50.62</v>
      </c>
      <c r="S1244" s="110"/>
      <c r="T1244" s="110"/>
      <c r="U1244" s="130">
        <v>1</v>
      </c>
      <c r="V1244" s="111">
        <v>50.62</v>
      </c>
      <c r="W1244" s="110"/>
      <c r="X1244" s="110"/>
      <c r="Y1244" s="110"/>
      <c r="Z1244" s="110"/>
      <c r="AA1244" s="130">
        <v>0</v>
      </c>
      <c r="AB1244" s="111">
        <v>0</v>
      </c>
      <c r="AC1244" s="110"/>
      <c r="AD1244" s="110"/>
      <c r="AE1244" s="130">
        <v>0</v>
      </c>
      <c r="AF1244" s="111">
        <v>0</v>
      </c>
      <c r="AG1244" s="110"/>
      <c r="AH1244" s="110"/>
      <c r="AI1244" s="110"/>
      <c r="AJ1244" s="110"/>
      <c r="AK1244" s="111">
        <f t="shared" si="268"/>
        <v>101.24</v>
      </c>
      <c r="AL1244" s="446">
        <f t="shared" si="269"/>
        <v>0</v>
      </c>
      <c r="AM1244" s="110">
        <f t="shared" si="270"/>
        <v>2</v>
      </c>
      <c r="AN1244" s="447">
        <f t="shared" si="272"/>
        <v>0</v>
      </c>
      <c r="AO1244"/>
      <c r="AP1244"/>
    </row>
    <row r="1245" spans="1:42" ht="66" x14ac:dyDescent="0.25">
      <c r="A1245" s="1027"/>
      <c r="B1245" s="152" t="s">
        <v>186</v>
      </c>
      <c r="C1245" s="1028"/>
      <c r="D1245" s="869">
        <v>12</v>
      </c>
      <c r="E1245" s="1027" t="s">
        <v>1721</v>
      </c>
      <c r="F1245" s="273" t="s">
        <v>3446</v>
      </c>
      <c r="G1245" s="1040" t="s">
        <v>3463</v>
      </c>
      <c r="H1245" s="273" t="s">
        <v>3462</v>
      </c>
      <c r="I1245" s="720">
        <f t="shared" si="264"/>
        <v>54.288333333333334</v>
      </c>
      <c r="J1245" s="756">
        <v>651.46</v>
      </c>
      <c r="K1245" s="131">
        <f t="shared" si="271"/>
        <v>651.46</v>
      </c>
      <c r="L1245" s="335">
        <f t="shared" si="265"/>
        <v>0</v>
      </c>
      <c r="M1245" s="446"/>
      <c r="N1245" s="446"/>
      <c r="O1245" s="446"/>
      <c r="P1245" s="446"/>
      <c r="Q1245" s="110">
        <f t="shared" si="258"/>
        <v>3</v>
      </c>
      <c r="R1245" s="111">
        <f t="shared" si="259"/>
        <v>162.86500000000001</v>
      </c>
      <c r="S1245" s="110"/>
      <c r="T1245" s="110"/>
      <c r="U1245" s="110">
        <f t="shared" si="260"/>
        <v>3</v>
      </c>
      <c r="V1245" s="111">
        <f t="shared" si="261"/>
        <v>162.86500000000001</v>
      </c>
      <c r="W1245" s="110"/>
      <c r="X1245" s="110"/>
      <c r="Y1245" s="110"/>
      <c r="Z1245" s="110"/>
      <c r="AA1245" s="110">
        <f t="shared" si="262"/>
        <v>3</v>
      </c>
      <c r="AB1245" s="111">
        <f t="shared" si="266"/>
        <v>162.86500000000001</v>
      </c>
      <c r="AC1245" s="110"/>
      <c r="AD1245" s="110"/>
      <c r="AE1245" s="110">
        <f t="shared" si="262"/>
        <v>3</v>
      </c>
      <c r="AF1245" s="111">
        <f t="shared" si="267"/>
        <v>162.86500000000001</v>
      </c>
      <c r="AG1245" s="110"/>
      <c r="AH1245" s="110"/>
      <c r="AI1245" s="110"/>
      <c r="AJ1245" s="110"/>
      <c r="AK1245" s="111">
        <f t="shared" si="268"/>
        <v>651.46</v>
      </c>
      <c r="AL1245" s="446">
        <f t="shared" si="269"/>
        <v>0</v>
      </c>
      <c r="AM1245" s="110">
        <f t="shared" si="270"/>
        <v>12</v>
      </c>
      <c r="AN1245" s="447">
        <f t="shared" si="272"/>
        <v>0</v>
      </c>
      <c r="AO1245"/>
      <c r="AP1245"/>
    </row>
    <row r="1246" spans="1:42" ht="66" x14ac:dyDescent="0.25">
      <c r="A1246" s="1027"/>
      <c r="B1246" s="152" t="s">
        <v>1154</v>
      </c>
      <c r="C1246" s="1028"/>
      <c r="D1246" s="869">
        <f>155+4+81</f>
        <v>240</v>
      </c>
      <c r="E1246" s="1027" t="s">
        <v>1721</v>
      </c>
      <c r="F1246" s="273" t="s">
        <v>3446</v>
      </c>
      <c r="G1246" s="1040" t="s">
        <v>3463</v>
      </c>
      <c r="H1246" s="273" t="s">
        <v>3462</v>
      </c>
      <c r="I1246" s="720">
        <f t="shared" si="264"/>
        <v>23.308041666666668</v>
      </c>
      <c r="J1246" s="756">
        <f>2454.27+63.34+3076.32</f>
        <v>5593.93</v>
      </c>
      <c r="K1246" s="131">
        <f t="shared" si="271"/>
        <v>5593.93</v>
      </c>
      <c r="L1246" s="335">
        <f t="shared" si="265"/>
        <v>0</v>
      </c>
      <c r="M1246" s="446"/>
      <c r="N1246" s="446"/>
      <c r="O1246" s="446"/>
      <c r="P1246" s="446"/>
      <c r="Q1246" s="110">
        <f t="shared" si="258"/>
        <v>60</v>
      </c>
      <c r="R1246" s="111">
        <f t="shared" si="259"/>
        <v>1398.4825000000001</v>
      </c>
      <c r="S1246" s="110"/>
      <c r="T1246" s="110"/>
      <c r="U1246" s="110">
        <f t="shared" si="260"/>
        <v>60</v>
      </c>
      <c r="V1246" s="111">
        <f t="shared" si="261"/>
        <v>1398.4825000000001</v>
      </c>
      <c r="W1246" s="110"/>
      <c r="X1246" s="110"/>
      <c r="Y1246" s="110"/>
      <c r="Z1246" s="110"/>
      <c r="AA1246" s="110">
        <f t="shared" si="262"/>
        <v>60</v>
      </c>
      <c r="AB1246" s="111">
        <f t="shared" si="266"/>
        <v>1398.4825000000001</v>
      </c>
      <c r="AC1246" s="110"/>
      <c r="AD1246" s="110"/>
      <c r="AE1246" s="110">
        <f t="shared" si="262"/>
        <v>60</v>
      </c>
      <c r="AF1246" s="111">
        <f t="shared" si="267"/>
        <v>1398.4825000000001</v>
      </c>
      <c r="AG1246" s="110"/>
      <c r="AH1246" s="110"/>
      <c r="AI1246" s="110"/>
      <c r="AJ1246" s="110"/>
      <c r="AK1246" s="111">
        <f t="shared" si="268"/>
        <v>5593.93</v>
      </c>
      <c r="AL1246" s="446">
        <f t="shared" si="269"/>
        <v>0</v>
      </c>
      <c r="AM1246" s="110">
        <f t="shared" si="270"/>
        <v>240</v>
      </c>
      <c r="AN1246" s="447">
        <f t="shared" si="272"/>
        <v>0</v>
      </c>
      <c r="AO1246"/>
      <c r="AP1246"/>
    </row>
    <row r="1247" spans="1:42" ht="66" x14ac:dyDescent="0.25">
      <c r="A1247" s="1027"/>
      <c r="B1247" s="152" t="s">
        <v>187</v>
      </c>
      <c r="C1247" s="1028"/>
      <c r="D1247" s="869">
        <v>2</v>
      </c>
      <c r="E1247" s="1027" t="s">
        <v>1721</v>
      </c>
      <c r="F1247" s="273" t="s">
        <v>3446</v>
      </c>
      <c r="G1247" s="1040" t="s">
        <v>3463</v>
      </c>
      <c r="H1247" s="273" t="s">
        <v>3462</v>
      </c>
      <c r="I1247" s="720">
        <f t="shared" si="264"/>
        <v>43.63</v>
      </c>
      <c r="J1247" s="756">
        <v>87.26</v>
      </c>
      <c r="K1247" s="131">
        <f t="shared" si="271"/>
        <v>87.26</v>
      </c>
      <c r="L1247" s="335">
        <f t="shared" si="265"/>
        <v>0</v>
      </c>
      <c r="M1247" s="446"/>
      <c r="N1247" s="446"/>
      <c r="O1247" s="446"/>
      <c r="P1247" s="446"/>
      <c r="Q1247" s="130">
        <v>1</v>
      </c>
      <c r="R1247" s="111">
        <v>43.63</v>
      </c>
      <c r="S1247" s="110"/>
      <c r="T1247" s="110"/>
      <c r="U1247" s="130">
        <v>1</v>
      </c>
      <c r="V1247" s="111">
        <v>43.63</v>
      </c>
      <c r="W1247" s="110"/>
      <c r="X1247" s="110"/>
      <c r="Y1247" s="110"/>
      <c r="Z1247" s="110"/>
      <c r="AA1247" s="130">
        <v>0</v>
      </c>
      <c r="AB1247" s="111">
        <v>0</v>
      </c>
      <c r="AC1247" s="110"/>
      <c r="AD1247" s="110"/>
      <c r="AE1247" s="130">
        <v>0</v>
      </c>
      <c r="AF1247" s="111">
        <v>0</v>
      </c>
      <c r="AG1247" s="110"/>
      <c r="AH1247" s="110"/>
      <c r="AI1247" s="110"/>
      <c r="AJ1247" s="110"/>
      <c r="AK1247" s="111">
        <f t="shared" si="268"/>
        <v>87.26</v>
      </c>
      <c r="AL1247" s="446">
        <f t="shared" si="269"/>
        <v>0</v>
      </c>
      <c r="AM1247" s="110">
        <f t="shared" si="270"/>
        <v>2</v>
      </c>
      <c r="AN1247" s="447">
        <f t="shared" si="272"/>
        <v>0</v>
      </c>
      <c r="AO1247"/>
      <c r="AP1247"/>
    </row>
    <row r="1248" spans="1:42" ht="66" x14ac:dyDescent="0.25">
      <c r="A1248" s="1027"/>
      <c r="B1248" s="152" t="s">
        <v>188</v>
      </c>
      <c r="C1248" s="1028"/>
      <c r="D1248" s="869">
        <v>12</v>
      </c>
      <c r="E1248" s="1027" t="s">
        <v>2443</v>
      </c>
      <c r="F1248" s="273" t="s">
        <v>3446</v>
      </c>
      <c r="G1248" s="1040" t="s">
        <v>3463</v>
      </c>
      <c r="H1248" s="273" t="s">
        <v>3462</v>
      </c>
      <c r="I1248" s="720">
        <f t="shared" si="264"/>
        <v>382</v>
      </c>
      <c r="J1248" s="756">
        <v>4584</v>
      </c>
      <c r="K1248" s="131">
        <f t="shared" si="271"/>
        <v>4584</v>
      </c>
      <c r="L1248" s="335">
        <f t="shared" si="265"/>
        <v>0</v>
      </c>
      <c r="M1248" s="446"/>
      <c r="N1248" s="446"/>
      <c r="O1248" s="446"/>
      <c r="P1248" s="446"/>
      <c r="Q1248" s="110">
        <f t="shared" si="258"/>
        <v>3</v>
      </c>
      <c r="R1248" s="111">
        <f t="shared" si="259"/>
        <v>1146</v>
      </c>
      <c r="S1248" s="110"/>
      <c r="T1248" s="110"/>
      <c r="U1248" s="110">
        <f t="shared" si="260"/>
        <v>3</v>
      </c>
      <c r="V1248" s="111">
        <f t="shared" si="261"/>
        <v>1146</v>
      </c>
      <c r="W1248" s="110"/>
      <c r="X1248" s="110"/>
      <c r="Y1248" s="110"/>
      <c r="Z1248" s="110"/>
      <c r="AA1248" s="110">
        <f t="shared" si="262"/>
        <v>3</v>
      </c>
      <c r="AB1248" s="111">
        <f t="shared" si="266"/>
        <v>1146</v>
      </c>
      <c r="AC1248" s="110"/>
      <c r="AD1248" s="110"/>
      <c r="AE1248" s="110">
        <f t="shared" si="262"/>
        <v>3</v>
      </c>
      <c r="AF1248" s="111">
        <f t="shared" si="267"/>
        <v>1146</v>
      </c>
      <c r="AG1248" s="110"/>
      <c r="AH1248" s="110"/>
      <c r="AI1248" s="110"/>
      <c r="AJ1248" s="110"/>
      <c r="AK1248" s="111">
        <f t="shared" si="268"/>
        <v>4584</v>
      </c>
      <c r="AL1248" s="446">
        <f t="shared" si="269"/>
        <v>0</v>
      </c>
      <c r="AM1248" s="110">
        <f t="shared" si="270"/>
        <v>12</v>
      </c>
      <c r="AN1248" s="447">
        <f t="shared" si="272"/>
        <v>0</v>
      </c>
      <c r="AO1248"/>
      <c r="AP1248"/>
    </row>
    <row r="1249" spans="1:42" ht="66" x14ac:dyDescent="0.25">
      <c r="A1249" s="1027"/>
      <c r="B1249" s="152" t="s">
        <v>1152</v>
      </c>
      <c r="C1249" s="1028"/>
      <c r="D1249" s="869">
        <f>6+33+100</f>
        <v>139</v>
      </c>
      <c r="E1249" s="1027" t="s">
        <v>1721</v>
      </c>
      <c r="F1249" s="273" t="s">
        <v>3446</v>
      </c>
      <c r="G1249" s="1040" t="s">
        <v>3463</v>
      </c>
      <c r="H1249" s="273" t="s">
        <v>3462</v>
      </c>
      <c r="I1249" s="720">
        <f t="shared" si="264"/>
        <v>79.685971223021568</v>
      </c>
      <c r="J1249" s="756">
        <f>386.91+2468.29+8221.15</f>
        <v>11076.349999999999</v>
      </c>
      <c r="K1249" s="131">
        <f t="shared" si="271"/>
        <v>11076.349999999999</v>
      </c>
      <c r="L1249" s="335">
        <f t="shared" si="265"/>
        <v>0</v>
      </c>
      <c r="M1249" s="446"/>
      <c r="N1249" s="446"/>
      <c r="O1249" s="446"/>
      <c r="P1249" s="446"/>
      <c r="Q1249" s="110">
        <v>60</v>
      </c>
      <c r="R1249" s="111">
        <f t="shared" si="259"/>
        <v>2769.0874999999996</v>
      </c>
      <c r="S1249" s="110"/>
      <c r="T1249" s="110"/>
      <c r="U1249" s="110">
        <v>30</v>
      </c>
      <c r="V1249" s="111">
        <f t="shared" si="261"/>
        <v>2769.0874999999996</v>
      </c>
      <c r="W1249" s="110"/>
      <c r="X1249" s="110"/>
      <c r="Y1249" s="110"/>
      <c r="Z1249" s="110"/>
      <c r="AA1249" s="110">
        <v>19</v>
      </c>
      <c r="AB1249" s="111">
        <f t="shared" si="266"/>
        <v>2769.0874999999996</v>
      </c>
      <c r="AC1249" s="110"/>
      <c r="AD1249" s="110"/>
      <c r="AE1249" s="110">
        <v>30</v>
      </c>
      <c r="AF1249" s="111">
        <f t="shared" si="267"/>
        <v>2769.0874999999996</v>
      </c>
      <c r="AG1249" s="110"/>
      <c r="AH1249" s="110"/>
      <c r="AI1249" s="110"/>
      <c r="AJ1249" s="110"/>
      <c r="AK1249" s="111">
        <f t="shared" si="268"/>
        <v>11076.349999999999</v>
      </c>
      <c r="AL1249" s="446">
        <f t="shared" si="269"/>
        <v>0</v>
      </c>
      <c r="AM1249" s="110">
        <f t="shared" si="270"/>
        <v>139</v>
      </c>
      <c r="AN1249" s="447">
        <f t="shared" si="272"/>
        <v>0</v>
      </c>
      <c r="AO1249"/>
      <c r="AP1249"/>
    </row>
    <row r="1250" spans="1:42" ht="66" x14ac:dyDescent="0.25">
      <c r="A1250" s="1027"/>
      <c r="B1250" s="152" t="s">
        <v>189</v>
      </c>
      <c r="C1250" s="1024"/>
      <c r="D1250" s="869">
        <f>20+2</f>
        <v>22</v>
      </c>
      <c r="E1250" s="1027" t="s">
        <v>1721</v>
      </c>
      <c r="F1250" s="273" t="s">
        <v>3446</v>
      </c>
      <c r="G1250" s="1040" t="s">
        <v>3463</v>
      </c>
      <c r="H1250" s="273" t="s">
        <v>3462</v>
      </c>
      <c r="I1250" s="720">
        <f t="shared" si="264"/>
        <v>101.54636363636364</v>
      </c>
      <c r="J1250" s="756">
        <f>2030.93+203.09</f>
        <v>2234.02</v>
      </c>
      <c r="K1250" s="131">
        <f t="shared" si="271"/>
        <v>2234.02</v>
      </c>
      <c r="L1250" s="335">
        <f t="shared" si="265"/>
        <v>0</v>
      </c>
      <c r="M1250" s="446"/>
      <c r="N1250" s="446"/>
      <c r="O1250" s="446"/>
      <c r="P1250" s="446"/>
      <c r="Q1250" s="110">
        <v>6</v>
      </c>
      <c r="R1250" s="111">
        <f t="shared" si="259"/>
        <v>558.505</v>
      </c>
      <c r="S1250" s="110"/>
      <c r="T1250" s="110"/>
      <c r="U1250" s="110">
        <v>6</v>
      </c>
      <c r="V1250" s="111">
        <f t="shared" si="261"/>
        <v>558.505</v>
      </c>
      <c r="W1250" s="110"/>
      <c r="X1250" s="110"/>
      <c r="Y1250" s="110"/>
      <c r="Z1250" s="110"/>
      <c r="AA1250" s="110">
        <v>5</v>
      </c>
      <c r="AB1250" s="111">
        <f t="shared" si="266"/>
        <v>558.505</v>
      </c>
      <c r="AC1250" s="110"/>
      <c r="AD1250" s="110"/>
      <c r="AE1250" s="110">
        <v>5</v>
      </c>
      <c r="AF1250" s="111">
        <f t="shared" si="267"/>
        <v>558.505</v>
      </c>
      <c r="AG1250" s="110"/>
      <c r="AH1250" s="110"/>
      <c r="AI1250" s="110"/>
      <c r="AJ1250" s="110"/>
      <c r="AK1250" s="111">
        <f t="shared" si="268"/>
        <v>2234.02</v>
      </c>
      <c r="AL1250" s="446">
        <f t="shared" si="269"/>
        <v>0</v>
      </c>
      <c r="AM1250" s="110">
        <f t="shared" si="270"/>
        <v>22</v>
      </c>
      <c r="AN1250" s="447">
        <f t="shared" si="272"/>
        <v>0</v>
      </c>
      <c r="AO1250"/>
      <c r="AP1250"/>
    </row>
    <row r="1251" spans="1:42" ht="66" x14ac:dyDescent="0.25">
      <c r="A1251" s="1027"/>
      <c r="B1251" s="34" t="s">
        <v>1808</v>
      </c>
      <c r="C1251" s="1024"/>
      <c r="D1251" s="869">
        <v>2</v>
      </c>
      <c r="E1251" s="1027" t="s">
        <v>1736</v>
      </c>
      <c r="F1251" s="273" t="s">
        <v>3446</v>
      </c>
      <c r="G1251" s="1040" t="s">
        <v>3463</v>
      </c>
      <c r="H1251" s="273" t="s">
        <v>3462</v>
      </c>
      <c r="I1251" s="720">
        <f t="shared" si="264"/>
        <v>183.59</v>
      </c>
      <c r="J1251" s="756">
        <v>367.18</v>
      </c>
      <c r="K1251" s="131">
        <f t="shared" si="271"/>
        <v>367.18</v>
      </c>
      <c r="L1251" s="335">
        <f t="shared" si="265"/>
        <v>0</v>
      </c>
      <c r="M1251" s="446"/>
      <c r="N1251" s="446"/>
      <c r="O1251" s="446"/>
      <c r="P1251" s="446"/>
      <c r="Q1251" s="130">
        <v>1</v>
      </c>
      <c r="R1251" s="111">
        <v>183.59</v>
      </c>
      <c r="S1251" s="110"/>
      <c r="T1251" s="110"/>
      <c r="U1251" s="130">
        <v>1</v>
      </c>
      <c r="V1251" s="111">
        <v>183.59</v>
      </c>
      <c r="W1251" s="110"/>
      <c r="X1251" s="110"/>
      <c r="Y1251" s="110"/>
      <c r="Z1251" s="110"/>
      <c r="AA1251" s="130">
        <v>0</v>
      </c>
      <c r="AB1251" s="111">
        <v>0</v>
      </c>
      <c r="AC1251" s="110"/>
      <c r="AD1251" s="110"/>
      <c r="AE1251" s="130">
        <v>0</v>
      </c>
      <c r="AF1251" s="111">
        <v>0</v>
      </c>
      <c r="AG1251" s="110"/>
      <c r="AH1251" s="110"/>
      <c r="AI1251" s="110"/>
      <c r="AJ1251" s="110"/>
      <c r="AK1251" s="111">
        <f t="shared" si="268"/>
        <v>367.18</v>
      </c>
      <c r="AL1251" s="446">
        <f t="shared" si="269"/>
        <v>0</v>
      </c>
      <c r="AM1251" s="110">
        <f t="shared" si="270"/>
        <v>2</v>
      </c>
      <c r="AN1251" s="447">
        <f t="shared" si="272"/>
        <v>0</v>
      </c>
      <c r="AO1251"/>
      <c r="AP1251"/>
    </row>
    <row r="1252" spans="1:42" ht="66" x14ac:dyDescent="0.25">
      <c r="A1252" s="1027"/>
      <c r="B1252" s="476" t="s">
        <v>1162</v>
      </c>
      <c r="C1252" s="1028"/>
      <c r="D1252" s="869">
        <v>12</v>
      </c>
      <c r="E1252" s="249" t="s">
        <v>1721</v>
      </c>
      <c r="F1252" s="273" t="s">
        <v>3446</v>
      </c>
      <c r="G1252" s="1040" t="s">
        <v>3463</v>
      </c>
      <c r="H1252" s="273" t="s">
        <v>3462</v>
      </c>
      <c r="I1252" s="720">
        <f t="shared" si="264"/>
        <v>100.77</v>
      </c>
      <c r="J1252" s="756">
        <v>1209.24</v>
      </c>
      <c r="K1252" s="131">
        <f t="shared" si="271"/>
        <v>1209.24</v>
      </c>
      <c r="L1252" s="335">
        <f t="shared" si="265"/>
        <v>0</v>
      </c>
      <c r="M1252" s="446"/>
      <c r="N1252" s="446"/>
      <c r="O1252" s="446"/>
      <c r="P1252" s="446"/>
      <c r="Q1252" s="110">
        <f t="shared" ref="Q1252:Q1287" si="273">+$D1252/4</f>
        <v>3</v>
      </c>
      <c r="R1252" s="111">
        <f t="shared" si="259"/>
        <v>302.31</v>
      </c>
      <c r="S1252" s="110"/>
      <c r="T1252" s="110"/>
      <c r="U1252" s="110">
        <f t="shared" ref="U1252:U1287" si="274">+$D1252/4</f>
        <v>3</v>
      </c>
      <c r="V1252" s="111">
        <f t="shared" si="261"/>
        <v>302.31</v>
      </c>
      <c r="W1252" s="110"/>
      <c r="X1252" s="110"/>
      <c r="Y1252" s="110"/>
      <c r="Z1252" s="110"/>
      <c r="AA1252" s="110">
        <f t="shared" ref="AA1252:AE1287" si="275">+$D1252/4</f>
        <v>3</v>
      </c>
      <c r="AB1252" s="111">
        <f t="shared" si="266"/>
        <v>302.31</v>
      </c>
      <c r="AC1252" s="110"/>
      <c r="AD1252" s="110"/>
      <c r="AE1252" s="110">
        <f t="shared" si="275"/>
        <v>3</v>
      </c>
      <c r="AF1252" s="111">
        <f t="shared" ref="AF1252:AF1298" si="276">+J1252/4</f>
        <v>302.31</v>
      </c>
      <c r="AG1252" s="110"/>
      <c r="AH1252" s="110"/>
      <c r="AI1252" s="110"/>
      <c r="AJ1252" s="110"/>
      <c r="AK1252" s="111">
        <f t="shared" si="268"/>
        <v>1209.24</v>
      </c>
      <c r="AL1252" s="446">
        <f t="shared" si="269"/>
        <v>0</v>
      </c>
      <c r="AM1252" s="110">
        <f t="shared" si="270"/>
        <v>12</v>
      </c>
      <c r="AN1252" s="447">
        <f t="shared" si="272"/>
        <v>0</v>
      </c>
      <c r="AO1252"/>
      <c r="AP1252"/>
    </row>
    <row r="1253" spans="1:42" ht="66" x14ac:dyDescent="0.25">
      <c r="A1253" s="1027"/>
      <c r="B1253" s="476" t="s">
        <v>1163</v>
      </c>
      <c r="C1253" s="1028"/>
      <c r="D1253" s="869">
        <v>12</v>
      </c>
      <c r="E1253" s="249" t="s">
        <v>1721</v>
      </c>
      <c r="F1253" s="273" t="s">
        <v>3446</v>
      </c>
      <c r="G1253" s="1040" t="s">
        <v>3463</v>
      </c>
      <c r="H1253" s="273" t="s">
        <v>3462</v>
      </c>
      <c r="I1253" s="720">
        <f t="shared" si="264"/>
        <v>171.93999999999997</v>
      </c>
      <c r="J1253" s="756">
        <v>2063.2799999999997</v>
      </c>
      <c r="K1253" s="131">
        <f t="shared" si="271"/>
        <v>2063.2799999999997</v>
      </c>
      <c r="L1253" s="335">
        <f t="shared" si="265"/>
        <v>0</v>
      </c>
      <c r="M1253" s="446"/>
      <c r="N1253" s="446"/>
      <c r="O1253" s="446"/>
      <c r="P1253" s="446"/>
      <c r="Q1253" s="110">
        <f t="shared" si="273"/>
        <v>3</v>
      </c>
      <c r="R1253" s="111">
        <f t="shared" si="259"/>
        <v>515.81999999999994</v>
      </c>
      <c r="S1253" s="110"/>
      <c r="T1253" s="110"/>
      <c r="U1253" s="110">
        <f t="shared" si="274"/>
        <v>3</v>
      </c>
      <c r="V1253" s="111">
        <f t="shared" si="261"/>
        <v>515.81999999999994</v>
      </c>
      <c r="W1253" s="110"/>
      <c r="X1253" s="110"/>
      <c r="Y1253" s="110"/>
      <c r="Z1253" s="110"/>
      <c r="AA1253" s="110">
        <f t="shared" si="275"/>
        <v>3</v>
      </c>
      <c r="AB1253" s="111">
        <f t="shared" si="266"/>
        <v>515.81999999999994</v>
      </c>
      <c r="AC1253" s="110"/>
      <c r="AD1253" s="110"/>
      <c r="AE1253" s="110">
        <f t="shared" si="275"/>
        <v>3</v>
      </c>
      <c r="AF1253" s="111">
        <f t="shared" si="276"/>
        <v>515.81999999999994</v>
      </c>
      <c r="AG1253" s="110"/>
      <c r="AH1253" s="110"/>
      <c r="AI1253" s="110"/>
      <c r="AJ1253" s="110"/>
      <c r="AK1253" s="111">
        <f t="shared" si="268"/>
        <v>2063.2799999999997</v>
      </c>
      <c r="AL1253" s="446">
        <f t="shared" si="269"/>
        <v>0</v>
      </c>
      <c r="AM1253" s="110">
        <f t="shared" si="270"/>
        <v>12</v>
      </c>
      <c r="AN1253" s="447">
        <f t="shared" si="272"/>
        <v>0</v>
      </c>
      <c r="AO1253"/>
      <c r="AP1253"/>
    </row>
    <row r="1254" spans="1:42" ht="66" x14ac:dyDescent="0.25">
      <c r="A1254" s="1027"/>
      <c r="B1254" s="476" t="s">
        <v>1856</v>
      </c>
      <c r="C1254" s="1028"/>
      <c r="D1254" s="869">
        <v>12</v>
      </c>
      <c r="E1254" s="249" t="s">
        <v>1721</v>
      </c>
      <c r="F1254" s="273" t="s">
        <v>3446</v>
      </c>
      <c r="G1254" s="1040" t="s">
        <v>3463</v>
      </c>
      <c r="H1254" s="273" t="s">
        <v>3462</v>
      </c>
      <c r="I1254" s="720">
        <f t="shared" si="264"/>
        <v>48.919999999999995</v>
      </c>
      <c r="J1254" s="756">
        <v>587.04</v>
      </c>
      <c r="K1254" s="131">
        <f t="shared" si="271"/>
        <v>587.04</v>
      </c>
      <c r="L1254" s="335">
        <f t="shared" si="265"/>
        <v>0</v>
      </c>
      <c r="M1254" s="446"/>
      <c r="N1254" s="446"/>
      <c r="O1254" s="446"/>
      <c r="P1254" s="446"/>
      <c r="Q1254" s="110">
        <f t="shared" si="273"/>
        <v>3</v>
      </c>
      <c r="R1254" s="111">
        <f t="shared" si="259"/>
        <v>146.76</v>
      </c>
      <c r="S1254" s="110"/>
      <c r="T1254" s="110"/>
      <c r="U1254" s="110">
        <f t="shared" si="274"/>
        <v>3</v>
      </c>
      <c r="V1254" s="111">
        <f t="shared" si="261"/>
        <v>146.76</v>
      </c>
      <c r="W1254" s="110"/>
      <c r="X1254" s="110"/>
      <c r="Y1254" s="110"/>
      <c r="Z1254" s="110"/>
      <c r="AA1254" s="110">
        <f t="shared" si="275"/>
        <v>3</v>
      </c>
      <c r="AB1254" s="111">
        <f t="shared" si="266"/>
        <v>146.76</v>
      </c>
      <c r="AC1254" s="110"/>
      <c r="AD1254" s="110"/>
      <c r="AE1254" s="110">
        <f t="shared" si="275"/>
        <v>3</v>
      </c>
      <c r="AF1254" s="111">
        <f t="shared" si="276"/>
        <v>146.76</v>
      </c>
      <c r="AG1254" s="110"/>
      <c r="AH1254" s="110"/>
      <c r="AI1254" s="110"/>
      <c r="AJ1254" s="110"/>
      <c r="AK1254" s="111">
        <f t="shared" si="268"/>
        <v>587.04</v>
      </c>
      <c r="AL1254" s="446">
        <f t="shared" si="269"/>
        <v>0</v>
      </c>
      <c r="AM1254" s="110">
        <f t="shared" si="270"/>
        <v>12</v>
      </c>
      <c r="AN1254" s="447">
        <f t="shared" si="272"/>
        <v>0</v>
      </c>
      <c r="AO1254"/>
      <c r="AP1254"/>
    </row>
    <row r="1255" spans="1:42" ht="66" x14ac:dyDescent="0.25">
      <c r="A1255" s="1027"/>
      <c r="B1255" s="476" t="s">
        <v>1167</v>
      </c>
      <c r="C1255" s="1028"/>
      <c r="D1255" s="869">
        <v>12</v>
      </c>
      <c r="E1255" s="249" t="s">
        <v>1721</v>
      </c>
      <c r="F1255" s="273" t="s">
        <v>3446</v>
      </c>
      <c r="G1255" s="1040" t="s">
        <v>3463</v>
      </c>
      <c r="H1255" s="273" t="s">
        <v>3462</v>
      </c>
      <c r="I1255" s="720">
        <f t="shared" si="264"/>
        <v>65.62</v>
      </c>
      <c r="J1255" s="756">
        <v>787.44</v>
      </c>
      <c r="K1255" s="131">
        <f t="shared" si="271"/>
        <v>787.44</v>
      </c>
      <c r="L1255" s="335">
        <f t="shared" si="265"/>
        <v>0</v>
      </c>
      <c r="M1255" s="446"/>
      <c r="N1255" s="446"/>
      <c r="O1255" s="446"/>
      <c r="P1255" s="446"/>
      <c r="Q1255" s="110">
        <f t="shared" si="273"/>
        <v>3</v>
      </c>
      <c r="R1255" s="111">
        <f t="shared" ref="R1255:R1298" si="277">+J1255/4</f>
        <v>196.86</v>
      </c>
      <c r="S1255" s="110"/>
      <c r="T1255" s="110"/>
      <c r="U1255" s="110">
        <f t="shared" si="274"/>
        <v>3</v>
      </c>
      <c r="V1255" s="111">
        <f t="shared" ref="V1255:V1298" si="278">+J1255/4</f>
        <v>196.86</v>
      </c>
      <c r="W1255" s="110"/>
      <c r="X1255" s="110"/>
      <c r="Y1255" s="110"/>
      <c r="Z1255" s="110"/>
      <c r="AA1255" s="110">
        <f t="shared" si="275"/>
        <v>3</v>
      </c>
      <c r="AB1255" s="111">
        <f t="shared" si="266"/>
        <v>196.86</v>
      </c>
      <c r="AC1255" s="110"/>
      <c r="AD1255" s="110"/>
      <c r="AE1255" s="110">
        <f t="shared" si="275"/>
        <v>3</v>
      </c>
      <c r="AF1255" s="111">
        <f t="shared" si="276"/>
        <v>196.86</v>
      </c>
      <c r="AG1255" s="110"/>
      <c r="AH1255" s="110"/>
      <c r="AI1255" s="110"/>
      <c r="AJ1255" s="110"/>
      <c r="AK1255" s="111">
        <f t="shared" si="268"/>
        <v>787.44</v>
      </c>
      <c r="AL1255" s="446">
        <f t="shared" si="269"/>
        <v>0</v>
      </c>
      <c r="AM1255" s="110">
        <f t="shared" si="270"/>
        <v>12</v>
      </c>
      <c r="AN1255" s="447">
        <f t="shared" si="272"/>
        <v>0</v>
      </c>
      <c r="AO1255"/>
      <c r="AP1255"/>
    </row>
    <row r="1256" spans="1:42" ht="66" x14ac:dyDescent="0.25">
      <c r="A1256" s="1027"/>
      <c r="B1256" s="476" t="s">
        <v>1857</v>
      </c>
      <c r="C1256" s="1028"/>
      <c r="D1256" s="869">
        <v>4</v>
      </c>
      <c r="E1256" s="249" t="s">
        <v>1721</v>
      </c>
      <c r="F1256" s="273" t="s">
        <v>3446</v>
      </c>
      <c r="G1256" s="1040" t="s">
        <v>3463</v>
      </c>
      <c r="H1256" s="273" t="s">
        <v>3462</v>
      </c>
      <c r="I1256" s="720">
        <f t="shared" si="264"/>
        <v>250</v>
      </c>
      <c r="J1256" s="756">
        <v>1000</v>
      </c>
      <c r="K1256" s="131">
        <f t="shared" si="271"/>
        <v>1000</v>
      </c>
      <c r="L1256" s="335">
        <f t="shared" si="265"/>
        <v>0</v>
      </c>
      <c r="M1256" s="446"/>
      <c r="N1256" s="446"/>
      <c r="O1256" s="446"/>
      <c r="P1256" s="446"/>
      <c r="Q1256" s="110">
        <f t="shared" si="273"/>
        <v>1</v>
      </c>
      <c r="R1256" s="111">
        <f t="shared" si="277"/>
        <v>250</v>
      </c>
      <c r="S1256" s="110"/>
      <c r="T1256" s="110"/>
      <c r="U1256" s="110">
        <f t="shared" si="274"/>
        <v>1</v>
      </c>
      <c r="V1256" s="111">
        <f t="shared" si="278"/>
        <v>250</v>
      </c>
      <c r="W1256" s="110"/>
      <c r="X1256" s="110"/>
      <c r="Y1256" s="110"/>
      <c r="Z1256" s="110"/>
      <c r="AA1256" s="110">
        <f t="shared" si="275"/>
        <v>1</v>
      </c>
      <c r="AB1256" s="111">
        <f t="shared" si="266"/>
        <v>250</v>
      </c>
      <c r="AC1256" s="110"/>
      <c r="AD1256" s="110"/>
      <c r="AE1256" s="110">
        <f t="shared" si="275"/>
        <v>1</v>
      </c>
      <c r="AF1256" s="111">
        <f t="shared" si="276"/>
        <v>250</v>
      </c>
      <c r="AG1256" s="110"/>
      <c r="AH1256" s="110"/>
      <c r="AI1256" s="110"/>
      <c r="AJ1256" s="110"/>
      <c r="AK1256" s="111">
        <f t="shared" si="268"/>
        <v>1000</v>
      </c>
      <c r="AL1256" s="446">
        <f t="shared" si="269"/>
        <v>0</v>
      </c>
      <c r="AM1256" s="110">
        <f t="shared" si="270"/>
        <v>4</v>
      </c>
      <c r="AN1256" s="447">
        <f t="shared" si="272"/>
        <v>0</v>
      </c>
      <c r="AO1256"/>
      <c r="AP1256"/>
    </row>
    <row r="1257" spans="1:42" ht="66" x14ac:dyDescent="0.25">
      <c r="A1257" s="1027"/>
      <c r="B1257" s="476" t="s">
        <v>1858</v>
      </c>
      <c r="C1257" s="1028"/>
      <c r="D1257" s="869">
        <v>24</v>
      </c>
      <c r="E1257" s="249" t="s">
        <v>1721</v>
      </c>
      <c r="F1257" s="273" t="s">
        <v>3446</v>
      </c>
      <c r="G1257" s="1040" t="s">
        <v>3463</v>
      </c>
      <c r="H1257" s="273" t="s">
        <v>3462</v>
      </c>
      <c r="I1257" s="720">
        <f t="shared" si="264"/>
        <v>196.06000000000003</v>
      </c>
      <c r="J1257" s="756">
        <v>4705.4400000000005</v>
      </c>
      <c r="K1257" s="131">
        <f t="shared" si="271"/>
        <v>4705.4400000000005</v>
      </c>
      <c r="L1257" s="335">
        <f t="shared" si="265"/>
        <v>0</v>
      </c>
      <c r="M1257" s="446"/>
      <c r="N1257" s="446"/>
      <c r="O1257" s="446"/>
      <c r="P1257" s="446"/>
      <c r="Q1257" s="110">
        <f t="shared" si="273"/>
        <v>6</v>
      </c>
      <c r="R1257" s="111">
        <f t="shared" si="277"/>
        <v>1176.3600000000001</v>
      </c>
      <c r="S1257" s="110"/>
      <c r="T1257" s="110"/>
      <c r="U1257" s="110">
        <f t="shared" si="274"/>
        <v>6</v>
      </c>
      <c r="V1257" s="111">
        <f t="shared" si="278"/>
        <v>1176.3600000000001</v>
      </c>
      <c r="W1257" s="110"/>
      <c r="X1257" s="110"/>
      <c r="Y1257" s="110"/>
      <c r="Z1257" s="110"/>
      <c r="AA1257" s="110">
        <f t="shared" si="275"/>
        <v>6</v>
      </c>
      <c r="AB1257" s="111">
        <f t="shared" si="266"/>
        <v>1176.3600000000001</v>
      </c>
      <c r="AC1257" s="110"/>
      <c r="AD1257" s="110"/>
      <c r="AE1257" s="110">
        <f t="shared" si="275"/>
        <v>6</v>
      </c>
      <c r="AF1257" s="111">
        <f t="shared" si="276"/>
        <v>1176.3600000000001</v>
      </c>
      <c r="AG1257" s="110"/>
      <c r="AH1257" s="110"/>
      <c r="AI1257" s="110"/>
      <c r="AJ1257" s="110"/>
      <c r="AK1257" s="111">
        <f t="shared" si="268"/>
        <v>4705.4400000000005</v>
      </c>
      <c r="AL1257" s="446">
        <f t="shared" si="269"/>
        <v>0</v>
      </c>
      <c r="AM1257" s="110">
        <f t="shared" si="270"/>
        <v>24</v>
      </c>
      <c r="AN1257" s="447">
        <f t="shared" si="272"/>
        <v>0</v>
      </c>
      <c r="AO1257"/>
      <c r="AP1257"/>
    </row>
    <row r="1258" spans="1:42" ht="66" x14ac:dyDescent="0.25">
      <c r="A1258" s="1027"/>
      <c r="B1258" s="128" t="s">
        <v>2067</v>
      </c>
      <c r="C1258" s="1028"/>
      <c r="D1258" s="869">
        <v>6</v>
      </c>
      <c r="E1258" s="1027" t="s">
        <v>1723</v>
      </c>
      <c r="F1258" s="273" t="s">
        <v>3446</v>
      </c>
      <c r="G1258" s="1040" t="s">
        <v>3463</v>
      </c>
      <c r="H1258" s="273" t="s">
        <v>3462</v>
      </c>
      <c r="I1258" s="720">
        <f t="shared" si="264"/>
        <v>131</v>
      </c>
      <c r="J1258" s="756">
        <v>786</v>
      </c>
      <c r="K1258" s="131">
        <f t="shared" si="271"/>
        <v>786</v>
      </c>
      <c r="L1258" s="335">
        <f t="shared" si="265"/>
        <v>0</v>
      </c>
      <c r="M1258" s="446"/>
      <c r="N1258" s="446"/>
      <c r="O1258" s="446"/>
      <c r="P1258" s="446"/>
      <c r="Q1258" s="130">
        <v>2</v>
      </c>
      <c r="R1258" s="111">
        <f t="shared" si="277"/>
        <v>196.5</v>
      </c>
      <c r="S1258" s="110"/>
      <c r="T1258" s="110"/>
      <c r="U1258" s="130">
        <v>2</v>
      </c>
      <c r="V1258" s="111">
        <f t="shared" si="278"/>
        <v>196.5</v>
      </c>
      <c r="W1258" s="110"/>
      <c r="X1258" s="110"/>
      <c r="Y1258" s="110"/>
      <c r="Z1258" s="110"/>
      <c r="AA1258" s="130">
        <v>1</v>
      </c>
      <c r="AB1258" s="111">
        <f t="shared" si="266"/>
        <v>196.5</v>
      </c>
      <c r="AC1258" s="110"/>
      <c r="AD1258" s="110"/>
      <c r="AE1258" s="130">
        <v>1</v>
      </c>
      <c r="AF1258" s="111">
        <f t="shared" si="276"/>
        <v>196.5</v>
      </c>
      <c r="AG1258" s="110"/>
      <c r="AH1258" s="110"/>
      <c r="AI1258" s="110"/>
      <c r="AJ1258" s="110"/>
      <c r="AK1258" s="111">
        <f t="shared" si="268"/>
        <v>786</v>
      </c>
      <c r="AL1258" s="446">
        <f t="shared" si="269"/>
        <v>0</v>
      </c>
      <c r="AM1258" s="110">
        <f t="shared" si="270"/>
        <v>6</v>
      </c>
      <c r="AN1258" s="447">
        <f t="shared" si="272"/>
        <v>0</v>
      </c>
      <c r="AO1258"/>
      <c r="AP1258"/>
    </row>
    <row r="1259" spans="1:42" ht="66" x14ac:dyDescent="0.25">
      <c r="A1259" s="1027"/>
      <c r="B1259" s="128" t="s">
        <v>1162</v>
      </c>
      <c r="C1259" s="1028"/>
      <c r="D1259" s="869">
        <v>6</v>
      </c>
      <c r="E1259" s="1027" t="s">
        <v>1723</v>
      </c>
      <c r="F1259" s="273" t="s">
        <v>3446</v>
      </c>
      <c r="G1259" s="1040" t="s">
        <v>3463</v>
      </c>
      <c r="H1259" s="273" t="s">
        <v>3462</v>
      </c>
      <c r="I1259" s="720">
        <f t="shared" si="264"/>
        <v>101</v>
      </c>
      <c r="J1259" s="756">
        <v>606</v>
      </c>
      <c r="K1259" s="131">
        <f t="shared" si="271"/>
        <v>606</v>
      </c>
      <c r="L1259" s="335">
        <f t="shared" si="265"/>
        <v>0</v>
      </c>
      <c r="M1259" s="446"/>
      <c r="N1259" s="446"/>
      <c r="O1259" s="446"/>
      <c r="P1259" s="446"/>
      <c r="Q1259" s="130">
        <v>2</v>
      </c>
      <c r="R1259" s="111">
        <f t="shared" si="277"/>
        <v>151.5</v>
      </c>
      <c r="S1259" s="110"/>
      <c r="T1259" s="110"/>
      <c r="U1259" s="130">
        <v>2</v>
      </c>
      <c r="V1259" s="111">
        <f t="shared" si="278"/>
        <v>151.5</v>
      </c>
      <c r="W1259" s="110"/>
      <c r="X1259" s="110"/>
      <c r="Y1259" s="110"/>
      <c r="Z1259" s="110"/>
      <c r="AA1259" s="130">
        <v>1</v>
      </c>
      <c r="AB1259" s="111">
        <f t="shared" si="266"/>
        <v>151.5</v>
      </c>
      <c r="AC1259" s="110"/>
      <c r="AD1259" s="110"/>
      <c r="AE1259" s="130">
        <v>1</v>
      </c>
      <c r="AF1259" s="111">
        <f t="shared" si="276"/>
        <v>151.5</v>
      </c>
      <c r="AG1259" s="110"/>
      <c r="AH1259" s="110"/>
      <c r="AI1259" s="110"/>
      <c r="AJ1259" s="110"/>
      <c r="AK1259" s="111">
        <f t="shared" si="268"/>
        <v>606</v>
      </c>
      <c r="AL1259" s="446">
        <f t="shared" si="269"/>
        <v>0</v>
      </c>
      <c r="AM1259" s="110">
        <f t="shared" si="270"/>
        <v>6</v>
      </c>
      <c r="AN1259" s="447">
        <f t="shared" si="272"/>
        <v>0</v>
      </c>
      <c r="AO1259"/>
      <c r="AP1259"/>
    </row>
    <row r="1260" spans="1:42" ht="66" x14ac:dyDescent="0.25">
      <c r="A1260" s="1027"/>
      <c r="B1260" s="128" t="s">
        <v>1163</v>
      </c>
      <c r="C1260" s="1028"/>
      <c r="D1260" s="869">
        <v>8</v>
      </c>
      <c r="E1260" s="1027" t="s">
        <v>1723</v>
      </c>
      <c r="F1260" s="273" t="s">
        <v>3446</v>
      </c>
      <c r="G1260" s="1040" t="s">
        <v>3463</v>
      </c>
      <c r="H1260" s="273" t="s">
        <v>3462</v>
      </c>
      <c r="I1260" s="720">
        <f t="shared" si="264"/>
        <v>172</v>
      </c>
      <c r="J1260" s="756">
        <v>1376</v>
      </c>
      <c r="K1260" s="131">
        <f t="shared" si="271"/>
        <v>1376</v>
      </c>
      <c r="L1260" s="335">
        <f t="shared" si="265"/>
        <v>0</v>
      </c>
      <c r="M1260" s="446"/>
      <c r="N1260" s="446"/>
      <c r="O1260" s="446"/>
      <c r="P1260" s="446"/>
      <c r="Q1260" s="110">
        <f t="shared" si="273"/>
        <v>2</v>
      </c>
      <c r="R1260" s="111">
        <f t="shared" si="277"/>
        <v>344</v>
      </c>
      <c r="S1260" s="110"/>
      <c r="T1260" s="110"/>
      <c r="U1260" s="110">
        <f t="shared" si="274"/>
        <v>2</v>
      </c>
      <c r="V1260" s="111">
        <f t="shared" si="278"/>
        <v>344</v>
      </c>
      <c r="W1260" s="110"/>
      <c r="X1260" s="110"/>
      <c r="Y1260" s="110"/>
      <c r="Z1260" s="110"/>
      <c r="AA1260" s="110">
        <f t="shared" si="275"/>
        <v>2</v>
      </c>
      <c r="AB1260" s="111">
        <f t="shared" si="266"/>
        <v>344</v>
      </c>
      <c r="AC1260" s="110"/>
      <c r="AD1260" s="110"/>
      <c r="AE1260" s="110">
        <f t="shared" si="275"/>
        <v>2</v>
      </c>
      <c r="AF1260" s="111">
        <f t="shared" si="276"/>
        <v>344</v>
      </c>
      <c r="AG1260" s="110"/>
      <c r="AH1260" s="110"/>
      <c r="AI1260" s="110"/>
      <c r="AJ1260" s="110"/>
      <c r="AK1260" s="111">
        <f t="shared" si="268"/>
        <v>1376</v>
      </c>
      <c r="AL1260" s="446">
        <f t="shared" si="269"/>
        <v>0</v>
      </c>
      <c r="AM1260" s="110">
        <f t="shared" si="270"/>
        <v>8</v>
      </c>
      <c r="AN1260" s="447">
        <f t="shared" si="272"/>
        <v>0</v>
      </c>
      <c r="AO1260"/>
      <c r="AP1260"/>
    </row>
    <row r="1261" spans="1:42" ht="66" x14ac:dyDescent="0.25">
      <c r="A1261" s="1027"/>
      <c r="B1261" s="128" t="s">
        <v>2068</v>
      </c>
      <c r="C1261" s="1028"/>
      <c r="D1261" s="869">
        <v>2</v>
      </c>
      <c r="E1261" s="1027" t="s">
        <v>1723</v>
      </c>
      <c r="F1261" s="273" t="s">
        <v>3446</v>
      </c>
      <c r="G1261" s="1040" t="s">
        <v>3463</v>
      </c>
      <c r="H1261" s="273" t="s">
        <v>3462</v>
      </c>
      <c r="I1261" s="720">
        <f t="shared" si="264"/>
        <v>61</v>
      </c>
      <c r="J1261" s="756">
        <v>122</v>
      </c>
      <c r="K1261" s="131">
        <f t="shared" si="271"/>
        <v>122</v>
      </c>
      <c r="L1261" s="335">
        <f t="shared" si="265"/>
        <v>0</v>
      </c>
      <c r="M1261" s="446"/>
      <c r="N1261" s="446"/>
      <c r="O1261" s="446"/>
      <c r="P1261" s="446"/>
      <c r="Q1261" s="130">
        <v>1</v>
      </c>
      <c r="R1261" s="111">
        <v>61</v>
      </c>
      <c r="S1261" s="110"/>
      <c r="T1261" s="110"/>
      <c r="U1261" s="130">
        <v>1</v>
      </c>
      <c r="V1261" s="111">
        <v>61</v>
      </c>
      <c r="W1261" s="110"/>
      <c r="X1261" s="110"/>
      <c r="Y1261" s="110"/>
      <c r="Z1261" s="110"/>
      <c r="AA1261" s="130">
        <v>0</v>
      </c>
      <c r="AB1261" s="111">
        <v>0</v>
      </c>
      <c r="AC1261" s="110"/>
      <c r="AD1261" s="110"/>
      <c r="AE1261" s="130">
        <v>0</v>
      </c>
      <c r="AF1261" s="111">
        <v>0</v>
      </c>
      <c r="AG1261" s="110"/>
      <c r="AH1261" s="110"/>
      <c r="AI1261" s="110"/>
      <c r="AJ1261" s="110"/>
      <c r="AK1261" s="111">
        <f t="shared" si="268"/>
        <v>122</v>
      </c>
      <c r="AL1261" s="446">
        <f t="shared" si="269"/>
        <v>0</v>
      </c>
      <c r="AM1261" s="110">
        <f t="shared" si="270"/>
        <v>2</v>
      </c>
      <c r="AN1261" s="447">
        <f t="shared" si="272"/>
        <v>0</v>
      </c>
      <c r="AO1261"/>
      <c r="AP1261"/>
    </row>
    <row r="1262" spans="1:42" ht="66" x14ac:dyDescent="0.25">
      <c r="A1262" s="1027"/>
      <c r="B1262" s="128" t="s">
        <v>1167</v>
      </c>
      <c r="C1262" s="1028"/>
      <c r="D1262" s="869">
        <v>22</v>
      </c>
      <c r="E1262" s="1027" t="s">
        <v>1723</v>
      </c>
      <c r="F1262" s="273" t="s">
        <v>3446</v>
      </c>
      <c r="G1262" s="1040" t="s">
        <v>3463</v>
      </c>
      <c r="H1262" s="273" t="s">
        <v>3462</v>
      </c>
      <c r="I1262" s="720">
        <f t="shared" si="264"/>
        <v>66</v>
      </c>
      <c r="J1262" s="756">
        <v>1452</v>
      </c>
      <c r="K1262" s="131">
        <f t="shared" si="271"/>
        <v>1452</v>
      </c>
      <c r="L1262" s="335">
        <f t="shared" si="265"/>
        <v>0</v>
      </c>
      <c r="M1262" s="446"/>
      <c r="N1262" s="446"/>
      <c r="O1262" s="446"/>
      <c r="P1262" s="446"/>
      <c r="Q1262" s="110">
        <v>6</v>
      </c>
      <c r="R1262" s="111">
        <f t="shared" si="277"/>
        <v>363</v>
      </c>
      <c r="S1262" s="110"/>
      <c r="T1262" s="110"/>
      <c r="U1262" s="110">
        <v>6</v>
      </c>
      <c r="V1262" s="111">
        <f t="shared" si="278"/>
        <v>363</v>
      </c>
      <c r="W1262" s="110"/>
      <c r="X1262" s="110"/>
      <c r="Y1262" s="110"/>
      <c r="Z1262" s="110"/>
      <c r="AA1262" s="110">
        <v>5</v>
      </c>
      <c r="AB1262" s="111">
        <f t="shared" si="266"/>
        <v>363</v>
      </c>
      <c r="AC1262" s="110"/>
      <c r="AD1262" s="110"/>
      <c r="AE1262" s="110">
        <v>5</v>
      </c>
      <c r="AF1262" s="111">
        <f t="shared" si="276"/>
        <v>363</v>
      </c>
      <c r="AG1262" s="110"/>
      <c r="AH1262" s="110"/>
      <c r="AI1262" s="110"/>
      <c r="AJ1262" s="110"/>
      <c r="AK1262" s="111">
        <f t="shared" si="268"/>
        <v>1452</v>
      </c>
      <c r="AL1262" s="446">
        <f t="shared" si="269"/>
        <v>0</v>
      </c>
      <c r="AM1262" s="110">
        <f t="shared" si="270"/>
        <v>22</v>
      </c>
      <c r="AN1262" s="447">
        <f t="shared" si="272"/>
        <v>0</v>
      </c>
      <c r="AO1262"/>
      <c r="AP1262"/>
    </row>
    <row r="1263" spans="1:42" ht="66" x14ac:dyDescent="0.25">
      <c r="A1263" s="1027"/>
      <c r="B1263" s="128" t="s">
        <v>1858</v>
      </c>
      <c r="C1263" s="1028"/>
      <c r="D1263" s="869">
        <v>22</v>
      </c>
      <c r="E1263" s="1027" t="s">
        <v>1723</v>
      </c>
      <c r="F1263" s="273" t="s">
        <v>3446</v>
      </c>
      <c r="G1263" s="1040" t="s">
        <v>3463</v>
      </c>
      <c r="H1263" s="273" t="s">
        <v>3462</v>
      </c>
      <c r="I1263" s="720">
        <f t="shared" si="264"/>
        <v>150</v>
      </c>
      <c r="J1263" s="756">
        <v>3300</v>
      </c>
      <c r="K1263" s="131">
        <f t="shared" si="271"/>
        <v>3300</v>
      </c>
      <c r="L1263" s="335">
        <f t="shared" si="265"/>
        <v>0</v>
      </c>
      <c r="M1263" s="446"/>
      <c r="N1263" s="446"/>
      <c r="O1263" s="446"/>
      <c r="P1263" s="446"/>
      <c r="Q1263" s="110">
        <v>6</v>
      </c>
      <c r="R1263" s="111">
        <f t="shared" si="277"/>
        <v>825</v>
      </c>
      <c r="S1263" s="110"/>
      <c r="T1263" s="110"/>
      <c r="U1263" s="110">
        <v>6</v>
      </c>
      <c r="V1263" s="111">
        <f t="shared" si="278"/>
        <v>825</v>
      </c>
      <c r="W1263" s="110"/>
      <c r="X1263" s="110"/>
      <c r="Y1263" s="110"/>
      <c r="Z1263" s="110"/>
      <c r="AA1263" s="110">
        <v>5</v>
      </c>
      <c r="AB1263" s="111">
        <f t="shared" si="266"/>
        <v>825</v>
      </c>
      <c r="AC1263" s="110"/>
      <c r="AD1263" s="110"/>
      <c r="AE1263" s="110">
        <v>5</v>
      </c>
      <c r="AF1263" s="111">
        <f t="shared" si="276"/>
        <v>825</v>
      </c>
      <c r="AG1263" s="110"/>
      <c r="AH1263" s="110"/>
      <c r="AI1263" s="110"/>
      <c r="AJ1263" s="110"/>
      <c r="AK1263" s="111">
        <f t="shared" si="268"/>
        <v>3300</v>
      </c>
      <c r="AL1263" s="446">
        <f t="shared" si="269"/>
        <v>0</v>
      </c>
      <c r="AM1263" s="110">
        <f t="shared" si="270"/>
        <v>22</v>
      </c>
      <c r="AN1263" s="447">
        <f t="shared" si="272"/>
        <v>0</v>
      </c>
      <c r="AO1263"/>
      <c r="AP1263"/>
    </row>
    <row r="1264" spans="1:42" ht="66" x14ac:dyDescent="0.25">
      <c r="A1264" s="1027"/>
      <c r="B1264" s="128" t="s">
        <v>2069</v>
      </c>
      <c r="C1264" s="1028"/>
      <c r="D1264" s="869">
        <v>5</v>
      </c>
      <c r="E1264" s="1027" t="s">
        <v>1723</v>
      </c>
      <c r="F1264" s="273" t="s">
        <v>3446</v>
      </c>
      <c r="G1264" s="1040" t="s">
        <v>3463</v>
      </c>
      <c r="H1264" s="273" t="s">
        <v>3462</v>
      </c>
      <c r="I1264" s="720">
        <f t="shared" si="264"/>
        <v>90</v>
      </c>
      <c r="J1264" s="756">
        <v>450</v>
      </c>
      <c r="K1264" s="131">
        <f t="shared" si="271"/>
        <v>450</v>
      </c>
      <c r="L1264" s="335">
        <f t="shared" si="265"/>
        <v>0</v>
      </c>
      <c r="M1264" s="446"/>
      <c r="N1264" s="446"/>
      <c r="O1264" s="446"/>
      <c r="P1264" s="446"/>
      <c r="Q1264" s="110">
        <v>2</v>
      </c>
      <c r="R1264" s="111">
        <f t="shared" si="277"/>
        <v>112.5</v>
      </c>
      <c r="S1264" s="110"/>
      <c r="T1264" s="110"/>
      <c r="U1264" s="110">
        <v>1</v>
      </c>
      <c r="V1264" s="111">
        <f t="shared" si="278"/>
        <v>112.5</v>
      </c>
      <c r="W1264" s="110"/>
      <c r="X1264" s="110"/>
      <c r="Y1264" s="110"/>
      <c r="Z1264" s="110"/>
      <c r="AA1264" s="110">
        <v>1</v>
      </c>
      <c r="AB1264" s="111">
        <f t="shared" si="266"/>
        <v>112.5</v>
      </c>
      <c r="AC1264" s="110"/>
      <c r="AD1264" s="110"/>
      <c r="AE1264" s="110">
        <v>1</v>
      </c>
      <c r="AF1264" s="111">
        <f t="shared" si="276"/>
        <v>112.5</v>
      </c>
      <c r="AG1264" s="110"/>
      <c r="AH1264" s="110"/>
      <c r="AI1264" s="110"/>
      <c r="AJ1264" s="110"/>
      <c r="AK1264" s="111">
        <f t="shared" si="268"/>
        <v>450</v>
      </c>
      <c r="AL1264" s="446">
        <f t="shared" si="269"/>
        <v>0</v>
      </c>
      <c r="AM1264" s="110">
        <f t="shared" si="270"/>
        <v>5</v>
      </c>
      <c r="AN1264" s="447">
        <f t="shared" si="272"/>
        <v>0</v>
      </c>
      <c r="AO1264"/>
      <c r="AP1264"/>
    </row>
    <row r="1265" spans="1:42" ht="66" x14ac:dyDescent="0.25">
      <c r="A1265" s="1027"/>
      <c r="B1265" s="128" t="s">
        <v>2070</v>
      </c>
      <c r="C1265" s="1028"/>
      <c r="D1265" s="869">
        <v>22</v>
      </c>
      <c r="E1265" s="1027" t="s">
        <v>1723</v>
      </c>
      <c r="F1265" s="273" t="s">
        <v>3446</v>
      </c>
      <c r="G1265" s="1040" t="s">
        <v>3463</v>
      </c>
      <c r="H1265" s="273" t="s">
        <v>3462</v>
      </c>
      <c r="I1265" s="720">
        <f t="shared" si="264"/>
        <v>35</v>
      </c>
      <c r="J1265" s="756">
        <v>770</v>
      </c>
      <c r="K1265" s="131">
        <f t="shared" si="271"/>
        <v>770</v>
      </c>
      <c r="L1265" s="335">
        <f t="shared" si="265"/>
        <v>0</v>
      </c>
      <c r="M1265" s="446"/>
      <c r="N1265" s="446"/>
      <c r="O1265" s="446"/>
      <c r="P1265" s="446"/>
      <c r="Q1265" s="110">
        <v>6</v>
      </c>
      <c r="R1265" s="111">
        <f t="shared" si="277"/>
        <v>192.5</v>
      </c>
      <c r="S1265" s="110"/>
      <c r="T1265" s="110"/>
      <c r="U1265" s="110">
        <v>6</v>
      </c>
      <c r="V1265" s="111">
        <f t="shared" si="278"/>
        <v>192.5</v>
      </c>
      <c r="W1265" s="110"/>
      <c r="X1265" s="110"/>
      <c r="Y1265" s="110"/>
      <c r="Z1265" s="110"/>
      <c r="AA1265" s="110">
        <v>5</v>
      </c>
      <c r="AB1265" s="111">
        <f t="shared" si="266"/>
        <v>192.5</v>
      </c>
      <c r="AC1265" s="110"/>
      <c r="AD1265" s="110"/>
      <c r="AE1265" s="110">
        <v>5</v>
      </c>
      <c r="AF1265" s="111">
        <f t="shared" si="276"/>
        <v>192.5</v>
      </c>
      <c r="AG1265" s="110"/>
      <c r="AH1265" s="110"/>
      <c r="AI1265" s="110"/>
      <c r="AJ1265" s="110"/>
      <c r="AK1265" s="111">
        <f t="shared" si="268"/>
        <v>770</v>
      </c>
      <c r="AL1265" s="446">
        <f t="shared" si="269"/>
        <v>0</v>
      </c>
      <c r="AM1265" s="110">
        <f t="shared" si="270"/>
        <v>22</v>
      </c>
      <c r="AN1265" s="447">
        <f t="shared" si="272"/>
        <v>0</v>
      </c>
      <c r="AO1265"/>
      <c r="AP1265"/>
    </row>
    <row r="1266" spans="1:42" ht="66" x14ac:dyDescent="0.25">
      <c r="A1266" s="1024"/>
      <c r="B1266" s="128" t="s">
        <v>2071</v>
      </c>
      <c r="C1266" s="1024"/>
      <c r="D1266" s="869">
        <v>11</v>
      </c>
      <c r="E1266" s="1027" t="s">
        <v>1723</v>
      </c>
      <c r="F1266" s="273" t="s">
        <v>3446</v>
      </c>
      <c r="G1266" s="1040" t="s">
        <v>3463</v>
      </c>
      <c r="H1266" s="273" t="s">
        <v>3462</v>
      </c>
      <c r="I1266" s="720">
        <f t="shared" si="264"/>
        <v>60</v>
      </c>
      <c r="J1266" s="756">
        <v>660</v>
      </c>
      <c r="K1266" s="131">
        <f t="shared" si="271"/>
        <v>660</v>
      </c>
      <c r="L1266" s="335">
        <f t="shared" si="265"/>
        <v>0</v>
      </c>
      <c r="M1266" s="446"/>
      <c r="N1266" s="446"/>
      <c r="O1266" s="446"/>
      <c r="P1266" s="446"/>
      <c r="Q1266" s="110">
        <v>3</v>
      </c>
      <c r="R1266" s="111">
        <f t="shared" si="277"/>
        <v>165</v>
      </c>
      <c r="S1266" s="110"/>
      <c r="T1266" s="110"/>
      <c r="U1266" s="110">
        <v>3</v>
      </c>
      <c r="V1266" s="111">
        <f t="shared" si="278"/>
        <v>165</v>
      </c>
      <c r="W1266" s="110"/>
      <c r="X1266" s="110"/>
      <c r="Y1266" s="110"/>
      <c r="Z1266" s="110"/>
      <c r="AA1266" s="110">
        <v>3</v>
      </c>
      <c r="AB1266" s="111">
        <f t="shared" si="266"/>
        <v>165</v>
      </c>
      <c r="AC1266" s="110"/>
      <c r="AD1266" s="110"/>
      <c r="AE1266" s="110">
        <v>2</v>
      </c>
      <c r="AF1266" s="111">
        <f t="shared" si="276"/>
        <v>165</v>
      </c>
      <c r="AG1266" s="110"/>
      <c r="AH1266" s="110"/>
      <c r="AI1266" s="110"/>
      <c r="AJ1266" s="110"/>
      <c r="AK1266" s="111">
        <f t="shared" si="268"/>
        <v>660</v>
      </c>
      <c r="AL1266" s="446">
        <f t="shared" si="269"/>
        <v>0</v>
      </c>
      <c r="AM1266" s="110">
        <f t="shared" si="270"/>
        <v>11</v>
      </c>
      <c r="AN1266" s="447">
        <f t="shared" si="272"/>
        <v>0</v>
      </c>
      <c r="AO1266"/>
      <c r="AP1266"/>
    </row>
    <row r="1267" spans="1:42" ht="66" x14ac:dyDescent="0.25">
      <c r="A1267" s="1024"/>
      <c r="B1267" s="213" t="s">
        <v>2072</v>
      </c>
      <c r="C1267" s="1024"/>
      <c r="D1267" s="897">
        <v>4</v>
      </c>
      <c r="E1267" s="89" t="s">
        <v>1721</v>
      </c>
      <c r="F1267" s="273" t="s">
        <v>3446</v>
      </c>
      <c r="G1267" s="1040" t="s">
        <v>3463</v>
      </c>
      <c r="H1267" s="273" t="s">
        <v>3462</v>
      </c>
      <c r="I1267" s="720">
        <f t="shared" ref="I1267:I1330" si="279">+J1267/D1267</f>
        <v>92</v>
      </c>
      <c r="J1267" s="756">
        <v>368</v>
      </c>
      <c r="K1267" s="131">
        <f t="shared" si="271"/>
        <v>368</v>
      </c>
      <c r="L1267" s="335">
        <f t="shared" si="265"/>
        <v>0</v>
      </c>
      <c r="M1267" s="446"/>
      <c r="N1267" s="446"/>
      <c r="O1267" s="446"/>
      <c r="P1267" s="446"/>
      <c r="Q1267" s="110">
        <f t="shared" si="273"/>
        <v>1</v>
      </c>
      <c r="R1267" s="111">
        <f t="shared" si="277"/>
        <v>92</v>
      </c>
      <c r="S1267" s="110"/>
      <c r="T1267" s="110"/>
      <c r="U1267" s="110">
        <f t="shared" si="274"/>
        <v>1</v>
      </c>
      <c r="V1267" s="111">
        <f t="shared" si="278"/>
        <v>92</v>
      </c>
      <c r="W1267" s="110"/>
      <c r="X1267" s="110"/>
      <c r="Y1267" s="110"/>
      <c r="Z1267" s="110"/>
      <c r="AA1267" s="110">
        <f t="shared" si="275"/>
        <v>1</v>
      </c>
      <c r="AB1267" s="111">
        <f t="shared" si="266"/>
        <v>92</v>
      </c>
      <c r="AC1267" s="110"/>
      <c r="AD1267" s="110"/>
      <c r="AE1267" s="110">
        <f t="shared" si="275"/>
        <v>1</v>
      </c>
      <c r="AF1267" s="111">
        <f t="shared" si="276"/>
        <v>92</v>
      </c>
      <c r="AG1267" s="110"/>
      <c r="AH1267" s="110"/>
      <c r="AI1267" s="110"/>
      <c r="AJ1267" s="110"/>
      <c r="AK1267" s="111">
        <f t="shared" si="268"/>
        <v>368</v>
      </c>
      <c r="AL1267" s="446">
        <f t="shared" si="269"/>
        <v>0</v>
      </c>
      <c r="AM1267" s="110">
        <f t="shared" si="270"/>
        <v>4</v>
      </c>
      <c r="AN1267" s="447">
        <f t="shared" si="272"/>
        <v>0</v>
      </c>
      <c r="AO1267"/>
      <c r="AP1267"/>
    </row>
    <row r="1268" spans="1:42" ht="66" x14ac:dyDescent="0.25">
      <c r="A1268" s="1024"/>
      <c r="B1268" s="227" t="s">
        <v>2242</v>
      </c>
      <c r="C1268" s="1024"/>
      <c r="D1268" s="882">
        <v>20</v>
      </c>
      <c r="E1268" s="1025" t="s">
        <v>1721</v>
      </c>
      <c r="F1268" s="273" t="s">
        <v>3446</v>
      </c>
      <c r="G1268" s="1040" t="s">
        <v>3463</v>
      </c>
      <c r="H1268" s="273" t="s">
        <v>3462</v>
      </c>
      <c r="I1268" s="720">
        <f t="shared" si="279"/>
        <v>30</v>
      </c>
      <c r="J1268" s="756">
        <v>600</v>
      </c>
      <c r="K1268" s="131">
        <f t="shared" si="271"/>
        <v>600</v>
      </c>
      <c r="L1268" s="335">
        <f t="shared" ref="L1268:L1331" si="280">+J1268-K1268</f>
        <v>0</v>
      </c>
      <c r="M1268" s="446"/>
      <c r="N1268" s="446"/>
      <c r="O1268" s="446"/>
      <c r="P1268" s="446"/>
      <c r="Q1268" s="110">
        <f t="shared" si="273"/>
        <v>5</v>
      </c>
      <c r="R1268" s="111">
        <f t="shared" si="277"/>
        <v>150</v>
      </c>
      <c r="S1268" s="110"/>
      <c r="T1268" s="110"/>
      <c r="U1268" s="110">
        <f t="shared" si="274"/>
        <v>5</v>
      </c>
      <c r="V1268" s="111">
        <f t="shared" si="278"/>
        <v>150</v>
      </c>
      <c r="W1268" s="110"/>
      <c r="X1268" s="110"/>
      <c r="Y1268" s="110"/>
      <c r="Z1268" s="110"/>
      <c r="AA1268" s="110">
        <f t="shared" si="275"/>
        <v>5</v>
      </c>
      <c r="AB1268" s="111">
        <f t="shared" ref="AB1268:AB1298" si="281">+J1268/4</f>
        <v>150</v>
      </c>
      <c r="AC1268" s="110"/>
      <c r="AD1268" s="110"/>
      <c r="AE1268" s="110">
        <f t="shared" si="275"/>
        <v>5</v>
      </c>
      <c r="AF1268" s="111">
        <f t="shared" si="276"/>
        <v>150</v>
      </c>
      <c r="AG1268" s="110"/>
      <c r="AH1268" s="110"/>
      <c r="AI1268" s="110"/>
      <c r="AJ1268" s="110"/>
      <c r="AK1268" s="111">
        <f t="shared" ref="AK1268:AK1331" si="282">+R1268+V1268+AB1268+AF1268</f>
        <v>600</v>
      </c>
      <c r="AL1268" s="446">
        <f t="shared" ref="AL1268:AL1331" si="283">+J1268-AK1268</f>
        <v>0</v>
      </c>
      <c r="AM1268" s="110">
        <f t="shared" ref="AM1268:AM1331" si="284">+Q1268+U1268+AA1268+AE1268</f>
        <v>20</v>
      </c>
      <c r="AN1268" s="447">
        <f t="shared" si="272"/>
        <v>0</v>
      </c>
      <c r="AO1268"/>
      <c r="AP1268"/>
    </row>
    <row r="1269" spans="1:42" ht="66" x14ac:dyDescent="0.25">
      <c r="A1269" s="1024"/>
      <c r="B1269" s="227" t="s">
        <v>2243</v>
      </c>
      <c r="C1269" s="1024"/>
      <c r="D1269" s="882">
        <v>10</v>
      </c>
      <c r="E1269" s="1025" t="s">
        <v>1721</v>
      </c>
      <c r="F1269" s="273" t="s">
        <v>3446</v>
      </c>
      <c r="G1269" s="1040" t="s">
        <v>3463</v>
      </c>
      <c r="H1269" s="273" t="s">
        <v>3462</v>
      </c>
      <c r="I1269" s="720">
        <f t="shared" si="279"/>
        <v>32</v>
      </c>
      <c r="J1269" s="756">
        <v>320</v>
      </c>
      <c r="K1269" s="131">
        <f t="shared" si="271"/>
        <v>320</v>
      </c>
      <c r="L1269" s="335">
        <f t="shared" si="280"/>
        <v>0</v>
      </c>
      <c r="M1269" s="446"/>
      <c r="N1269" s="446"/>
      <c r="O1269" s="446"/>
      <c r="P1269" s="446"/>
      <c r="Q1269" s="130">
        <v>3</v>
      </c>
      <c r="R1269" s="111">
        <f t="shared" si="277"/>
        <v>80</v>
      </c>
      <c r="S1269" s="110"/>
      <c r="T1269" s="110"/>
      <c r="U1269" s="130">
        <v>3</v>
      </c>
      <c r="V1269" s="111">
        <f t="shared" si="278"/>
        <v>80</v>
      </c>
      <c r="W1269" s="110"/>
      <c r="X1269" s="110"/>
      <c r="Y1269" s="110"/>
      <c r="Z1269" s="110"/>
      <c r="AA1269" s="130">
        <v>2</v>
      </c>
      <c r="AB1269" s="111">
        <f t="shared" si="281"/>
        <v>80</v>
      </c>
      <c r="AC1269" s="110"/>
      <c r="AD1269" s="110"/>
      <c r="AE1269" s="130">
        <v>2</v>
      </c>
      <c r="AF1269" s="111">
        <f t="shared" si="276"/>
        <v>80</v>
      </c>
      <c r="AG1269" s="110"/>
      <c r="AH1269" s="110"/>
      <c r="AI1269" s="110"/>
      <c r="AJ1269" s="110"/>
      <c r="AK1269" s="111">
        <f t="shared" si="282"/>
        <v>320</v>
      </c>
      <c r="AL1269" s="446">
        <f t="shared" si="283"/>
        <v>0</v>
      </c>
      <c r="AM1269" s="110">
        <f t="shared" si="284"/>
        <v>10</v>
      </c>
      <c r="AN1269" s="447">
        <f t="shared" si="272"/>
        <v>0</v>
      </c>
      <c r="AO1269"/>
      <c r="AP1269"/>
    </row>
    <row r="1270" spans="1:42" ht="66" x14ac:dyDescent="0.25">
      <c r="A1270" s="1024"/>
      <c r="B1270" s="501" t="s">
        <v>2244</v>
      </c>
      <c r="C1270" s="1024"/>
      <c r="D1270" s="882">
        <v>14</v>
      </c>
      <c r="E1270" s="1025" t="s">
        <v>2247</v>
      </c>
      <c r="F1270" s="273" t="s">
        <v>3446</v>
      </c>
      <c r="G1270" s="1040" t="s">
        <v>3463</v>
      </c>
      <c r="H1270" s="273" t="s">
        <v>3462</v>
      </c>
      <c r="I1270" s="720">
        <f t="shared" si="279"/>
        <v>37</v>
      </c>
      <c r="J1270" s="756">
        <v>518</v>
      </c>
      <c r="K1270" s="131">
        <f t="shared" si="271"/>
        <v>518</v>
      </c>
      <c r="L1270" s="335">
        <f t="shared" si="280"/>
        <v>0</v>
      </c>
      <c r="M1270" s="446"/>
      <c r="N1270" s="446"/>
      <c r="O1270" s="446"/>
      <c r="P1270" s="446"/>
      <c r="Q1270" s="110">
        <f t="shared" si="273"/>
        <v>3.5</v>
      </c>
      <c r="R1270" s="111">
        <f t="shared" si="277"/>
        <v>129.5</v>
      </c>
      <c r="S1270" s="110"/>
      <c r="T1270" s="110"/>
      <c r="U1270" s="110">
        <f t="shared" si="274"/>
        <v>3.5</v>
      </c>
      <c r="V1270" s="111">
        <f t="shared" si="278"/>
        <v>129.5</v>
      </c>
      <c r="W1270" s="110"/>
      <c r="X1270" s="110"/>
      <c r="Y1270" s="110"/>
      <c r="Z1270" s="110"/>
      <c r="AA1270" s="110">
        <f t="shared" si="275"/>
        <v>3.5</v>
      </c>
      <c r="AB1270" s="111">
        <f t="shared" si="281"/>
        <v>129.5</v>
      </c>
      <c r="AC1270" s="110"/>
      <c r="AD1270" s="110"/>
      <c r="AE1270" s="110">
        <f t="shared" si="275"/>
        <v>3.5</v>
      </c>
      <c r="AF1270" s="111">
        <f t="shared" si="276"/>
        <v>129.5</v>
      </c>
      <c r="AG1270" s="110"/>
      <c r="AH1270" s="110"/>
      <c r="AI1270" s="110"/>
      <c r="AJ1270" s="110"/>
      <c r="AK1270" s="111">
        <f t="shared" si="282"/>
        <v>518</v>
      </c>
      <c r="AL1270" s="446">
        <f t="shared" si="283"/>
        <v>0</v>
      </c>
      <c r="AM1270" s="110">
        <f t="shared" si="284"/>
        <v>14</v>
      </c>
      <c r="AN1270" s="447">
        <f t="shared" si="272"/>
        <v>0</v>
      </c>
      <c r="AO1270"/>
      <c r="AP1270"/>
    </row>
    <row r="1271" spans="1:42" ht="66" x14ac:dyDescent="0.25">
      <c r="A1271" s="1024"/>
      <c r="B1271" s="227" t="s">
        <v>2245</v>
      </c>
      <c r="C1271" s="1024"/>
      <c r="D1271" s="882">
        <v>6</v>
      </c>
      <c r="E1271" s="1025" t="s">
        <v>1873</v>
      </c>
      <c r="F1271" s="273" t="s">
        <v>3446</v>
      </c>
      <c r="G1271" s="1040" t="s">
        <v>3463</v>
      </c>
      <c r="H1271" s="273" t="s">
        <v>3462</v>
      </c>
      <c r="I1271" s="720">
        <f t="shared" si="279"/>
        <v>25</v>
      </c>
      <c r="J1271" s="756">
        <v>150</v>
      </c>
      <c r="K1271" s="131">
        <f t="shared" si="271"/>
        <v>150</v>
      </c>
      <c r="L1271" s="335">
        <f t="shared" si="280"/>
        <v>0</v>
      </c>
      <c r="M1271" s="446"/>
      <c r="N1271" s="446"/>
      <c r="O1271" s="446"/>
      <c r="P1271" s="446"/>
      <c r="Q1271" s="130">
        <v>2</v>
      </c>
      <c r="R1271" s="111">
        <f t="shared" si="277"/>
        <v>37.5</v>
      </c>
      <c r="S1271" s="110"/>
      <c r="T1271" s="110"/>
      <c r="U1271" s="130">
        <v>2</v>
      </c>
      <c r="V1271" s="111">
        <f t="shared" si="278"/>
        <v>37.5</v>
      </c>
      <c r="W1271" s="110"/>
      <c r="X1271" s="110"/>
      <c r="Y1271" s="110"/>
      <c r="Z1271" s="110"/>
      <c r="AA1271" s="130">
        <v>1</v>
      </c>
      <c r="AB1271" s="111">
        <f t="shared" si="281"/>
        <v>37.5</v>
      </c>
      <c r="AC1271" s="110"/>
      <c r="AD1271" s="110"/>
      <c r="AE1271" s="130">
        <v>1</v>
      </c>
      <c r="AF1271" s="111">
        <f t="shared" si="276"/>
        <v>37.5</v>
      </c>
      <c r="AG1271" s="110"/>
      <c r="AH1271" s="110"/>
      <c r="AI1271" s="110"/>
      <c r="AJ1271" s="110"/>
      <c r="AK1271" s="111">
        <f t="shared" si="282"/>
        <v>150</v>
      </c>
      <c r="AL1271" s="446">
        <f t="shared" si="283"/>
        <v>0</v>
      </c>
      <c r="AM1271" s="110">
        <f t="shared" si="284"/>
        <v>6</v>
      </c>
      <c r="AN1271" s="447">
        <f t="shared" si="272"/>
        <v>0</v>
      </c>
      <c r="AO1271"/>
      <c r="AP1271"/>
    </row>
    <row r="1272" spans="1:42" ht="66" x14ac:dyDescent="0.25">
      <c r="A1272" s="1024"/>
      <c r="B1272" s="225" t="s">
        <v>2246</v>
      </c>
      <c r="C1272" s="1024"/>
      <c r="D1272" s="882">
        <v>5</v>
      </c>
      <c r="E1272" s="1025" t="s">
        <v>2248</v>
      </c>
      <c r="F1272" s="273" t="s">
        <v>3446</v>
      </c>
      <c r="G1272" s="1040" t="s">
        <v>3463</v>
      </c>
      <c r="H1272" s="273" t="s">
        <v>3462</v>
      </c>
      <c r="I1272" s="720">
        <f t="shared" si="279"/>
        <v>17.5</v>
      </c>
      <c r="J1272" s="756">
        <v>87.5</v>
      </c>
      <c r="K1272" s="131">
        <f t="shared" si="271"/>
        <v>87.5</v>
      </c>
      <c r="L1272" s="335">
        <f t="shared" si="280"/>
        <v>0</v>
      </c>
      <c r="M1272" s="446"/>
      <c r="N1272" s="446"/>
      <c r="O1272" s="446"/>
      <c r="P1272" s="446"/>
      <c r="Q1272" s="110">
        <v>2</v>
      </c>
      <c r="R1272" s="111">
        <f t="shared" si="277"/>
        <v>21.875</v>
      </c>
      <c r="S1272" s="110"/>
      <c r="T1272" s="110"/>
      <c r="U1272" s="110">
        <v>1</v>
      </c>
      <c r="V1272" s="111">
        <f t="shared" si="278"/>
        <v>21.875</v>
      </c>
      <c r="W1272" s="110"/>
      <c r="X1272" s="110"/>
      <c r="Y1272" s="110"/>
      <c r="Z1272" s="110"/>
      <c r="AA1272" s="110">
        <v>1</v>
      </c>
      <c r="AB1272" s="111">
        <f t="shared" si="281"/>
        <v>21.875</v>
      </c>
      <c r="AC1272" s="110"/>
      <c r="AD1272" s="110"/>
      <c r="AE1272" s="110">
        <v>1</v>
      </c>
      <c r="AF1272" s="111">
        <f t="shared" si="276"/>
        <v>21.875</v>
      </c>
      <c r="AG1272" s="110"/>
      <c r="AH1272" s="110"/>
      <c r="AI1272" s="110"/>
      <c r="AJ1272" s="110"/>
      <c r="AK1272" s="111">
        <f t="shared" si="282"/>
        <v>87.5</v>
      </c>
      <c r="AL1272" s="446">
        <f t="shared" si="283"/>
        <v>0</v>
      </c>
      <c r="AM1272" s="110">
        <f t="shared" si="284"/>
        <v>5</v>
      </c>
      <c r="AN1272" s="447">
        <f t="shared" si="272"/>
        <v>0</v>
      </c>
      <c r="AO1272"/>
      <c r="AP1272"/>
    </row>
    <row r="1273" spans="1:42" ht="66" x14ac:dyDescent="0.25">
      <c r="A1273" s="1024"/>
      <c r="B1273" s="524" t="s">
        <v>2514</v>
      </c>
      <c r="C1273" s="1024"/>
      <c r="D1273" s="874">
        <v>4</v>
      </c>
      <c r="E1273" s="1025" t="s">
        <v>2443</v>
      </c>
      <c r="F1273" s="273" t="s">
        <v>3446</v>
      </c>
      <c r="G1273" s="1040" t="s">
        <v>3463</v>
      </c>
      <c r="H1273" s="273" t="s">
        <v>3462</v>
      </c>
      <c r="I1273" s="720">
        <f t="shared" si="279"/>
        <v>151.59</v>
      </c>
      <c r="J1273" s="756">
        <v>606.36</v>
      </c>
      <c r="K1273" s="131">
        <f t="shared" si="271"/>
        <v>606.36</v>
      </c>
      <c r="L1273" s="335">
        <f t="shared" si="280"/>
        <v>0</v>
      </c>
      <c r="M1273" s="446"/>
      <c r="N1273" s="446"/>
      <c r="O1273" s="446"/>
      <c r="P1273" s="446"/>
      <c r="Q1273" s="110">
        <f t="shared" si="273"/>
        <v>1</v>
      </c>
      <c r="R1273" s="111">
        <f t="shared" si="277"/>
        <v>151.59</v>
      </c>
      <c r="S1273" s="110"/>
      <c r="T1273" s="110"/>
      <c r="U1273" s="110">
        <f t="shared" si="274"/>
        <v>1</v>
      </c>
      <c r="V1273" s="111">
        <f t="shared" si="278"/>
        <v>151.59</v>
      </c>
      <c r="W1273" s="110"/>
      <c r="X1273" s="110"/>
      <c r="Y1273" s="110"/>
      <c r="Z1273" s="110"/>
      <c r="AA1273" s="110">
        <f t="shared" si="275"/>
        <v>1</v>
      </c>
      <c r="AB1273" s="111">
        <f t="shared" si="281"/>
        <v>151.59</v>
      </c>
      <c r="AC1273" s="110"/>
      <c r="AD1273" s="110"/>
      <c r="AE1273" s="110">
        <f t="shared" si="275"/>
        <v>1</v>
      </c>
      <c r="AF1273" s="111">
        <f t="shared" si="276"/>
        <v>151.59</v>
      </c>
      <c r="AG1273" s="110"/>
      <c r="AH1273" s="110"/>
      <c r="AI1273" s="110"/>
      <c r="AJ1273" s="110"/>
      <c r="AK1273" s="111">
        <f t="shared" si="282"/>
        <v>606.36</v>
      </c>
      <c r="AL1273" s="446">
        <f t="shared" si="283"/>
        <v>0</v>
      </c>
      <c r="AM1273" s="110">
        <f t="shared" si="284"/>
        <v>4</v>
      </c>
      <c r="AN1273" s="447">
        <f t="shared" si="272"/>
        <v>0</v>
      </c>
      <c r="AO1273"/>
      <c r="AP1273"/>
    </row>
    <row r="1274" spans="1:42" ht="66" x14ac:dyDescent="0.25">
      <c r="A1274" s="1024"/>
      <c r="B1274" s="524" t="s">
        <v>2515</v>
      </c>
      <c r="C1274" s="1024"/>
      <c r="D1274" s="874">
        <v>4</v>
      </c>
      <c r="E1274" s="1025" t="s">
        <v>1721</v>
      </c>
      <c r="F1274" s="273" t="s">
        <v>3446</v>
      </c>
      <c r="G1274" s="1040" t="s">
        <v>3463</v>
      </c>
      <c r="H1274" s="273" t="s">
        <v>3462</v>
      </c>
      <c r="I1274" s="720">
        <f t="shared" si="279"/>
        <v>62.7</v>
      </c>
      <c r="J1274" s="756">
        <v>250.8</v>
      </c>
      <c r="K1274" s="131">
        <f t="shared" si="271"/>
        <v>250.8</v>
      </c>
      <c r="L1274" s="335">
        <f t="shared" si="280"/>
        <v>0</v>
      </c>
      <c r="M1274" s="446"/>
      <c r="N1274" s="446"/>
      <c r="O1274" s="446"/>
      <c r="P1274" s="446"/>
      <c r="Q1274" s="110">
        <f t="shared" si="273"/>
        <v>1</v>
      </c>
      <c r="R1274" s="111">
        <f t="shared" si="277"/>
        <v>62.7</v>
      </c>
      <c r="S1274" s="110"/>
      <c r="T1274" s="110"/>
      <c r="U1274" s="110">
        <f t="shared" si="274"/>
        <v>1</v>
      </c>
      <c r="V1274" s="111">
        <f t="shared" si="278"/>
        <v>62.7</v>
      </c>
      <c r="W1274" s="110"/>
      <c r="X1274" s="110"/>
      <c r="Y1274" s="110"/>
      <c r="Z1274" s="110"/>
      <c r="AA1274" s="110">
        <f t="shared" si="275"/>
        <v>1</v>
      </c>
      <c r="AB1274" s="111">
        <f t="shared" si="281"/>
        <v>62.7</v>
      </c>
      <c r="AC1274" s="110"/>
      <c r="AD1274" s="110"/>
      <c r="AE1274" s="110">
        <f t="shared" si="275"/>
        <v>1</v>
      </c>
      <c r="AF1274" s="111">
        <f t="shared" si="276"/>
        <v>62.7</v>
      </c>
      <c r="AG1274" s="110"/>
      <c r="AH1274" s="110"/>
      <c r="AI1274" s="110"/>
      <c r="AJ1274" s="110"/>
      <c r="AK1274" s="111">
        <f t="shared" si="282"/>
        <v>250.8</v>
      </c>
      <c r="AL1274" s="446">
        <f t="shared" si="283"/>
        <v>0</v>
      </c>
      <c r="AM1274" s="110">
        <f t="shared" si="284"/>
        <v>4</v>
      </c>
      <c r="AN1274" s="447">
        <f t="shared" si="272"/>
        <v>0</v>
      </c>
      <c r="AO1274"/>
      <c r="AP1274"/>
    </row>
    <row r="1275" spans="1:42" ht="66" x14ac:dyDescent="0.25">
      <c r="A1275" s="1024"/>
      <c r="B1275" s="524" t="s">
        <v>2516</v>
      </c>
      <c r="C1275" s="1024"/>
      <c r="D1275" s="874">
        <v>4</v>
      </c>
      <c r="E1275" s="1025" t="s">
        <v>2443</v>
      </c>
      <c r="F1275" s="273" t="s">
        <v>3446</v>
      </c>
      <c r="G1275" s="1040" t="s">
        <v>3463</v>
      </c>
      <c r="H1275" s="273" t="s">
        <v>3462</v>
      </c>
      <c r="I1275" s="720">
        <f t="shared" si="279"/>
        <v>127.33</v>
      </c>
      <c r="J1275" s="756">
        <v>509.32</v>
      </c>
      <c r="K1275" s="131">
        <f t="shared" si="271"/>
        <v>509.32</v>
      </c>
      <c r="L1275" s="335">
        <f t="shared" si="280"/>
        <v>0</v>
      </c>
      <c r="M1275" s="446"/>
      <c r="N1275" s="446"/>
      <c r="O1275" s="446"/>
      <c r="P1275" s="446"/>
      <c r="Q1275" s="110">
        <f t="shared" si="273"/>
        <v>1</v>
      </c>
      <c r="R1275" s="111">
        <f t="shared" si="277"/>
        <v>127.33</v>
      </c>
      <c r="S1275" s="110"/>
      <c r="T1275" s="110"/>
      <c r="U1275" s="110">
        <f t="shared" si="274"/>
        <v>1</v>
      </c>
      <c r="V1275" s="111">
        <f t="shared" si="278"/>
        <v>127.33</v>
      </c>
      <c r="W1275" s="110"/>
      <c r="X1275" s="110"/>
      <c r="Y1275" s="110"/>
      <c r="Z1275" s="110"/>
      <c r="AA1275" s="110">
        <f t="shared" si="275"/>
        <v>1</v>
      </c>
      <c r="AB1275" s="111">
        <f t="shared" si="281"/>
        <v>127.33</v>
      </c>
      <c r="AC1275" s="110"/>
      <c r="AD1275" s="110"/>
      <c r="AE1275" s="110">
        <f t="shared" si="275"/>
        <v>1</v>
      </c>
      <c r="AF1275" s="111">
        <f t="shared" si="276"/>
        <v>127.33</v>
      </c>
      <c r="AG1275" s="110"/>
      <c r="AH1275" s="110"/>
      <c r="AI1275" s="110"/>
      <c r="AJ1275" s="110"/>
      <c r="AK1275" s="111">
        <f t="shared" si="282"/>
        <v>509.32</v>
      </c>
      <c r="AL1275" s="446">
        <f t="shared" si="283"/>
        <v>0</v>
      </c>
      <c r="AM1275" s="110">
        <f t="shared" si="284"/>
        <v>4</v>
      </c>
      <c r="AN1275" s="447">
        <f t="shared" si="272"/>
        <v>0</v>
      </c>
      <c r="AO1275"/>
      <c r="AP1275"/>
    </row>
    <row r="1276" spans="1:42" ht="66" x14ac:dyDescent="0.25">
      <c r="A1276" s="1024"/>
      <c r="B1276" s="524" t="s">
        <v>2517</v>
      </c>
      <c r="C1276" s="1024"/>
      <c r="D1276" s="874">
        <v>5</v>
      </c>
      <c r="E1276" s="1025" t="s">
        <v>1721</v>
      </c>
      <c r="F1276" s="273" t="s">
        <v>3446</v>
      </c>
      <c r="G1276" s="1040" t="s">
        <v>3463</v>
      </c>
      <c r="H1276" s="273" t="s">
        <v>3462</v>
      </c>
      <c r="I1276" s="720">
        <f t="shared" si="279"/>
        <v>46.58</v>
      </c>
      <c r="J1276" s="756">
        <v>232.89999999999998</v>
      </c>
      <c r="K1276" s="131">
        <f t="shared" si="271"/>
        <v>232.89999999999998</v>
      </c>
      <c r="L1276" s="335">
        <f t="shared" si="280"/>
        <v>0</v>
      </c>
      <c r="M1276" s="446"/>
      <c r="N1276" s="446"/>
      <c r="O1276" s="446"/>
      <c r="P1276" s="446"/>
      <c r="Q1276" s="110">
        <v>2</v>
      </c>
      <c r="R1276" s="111">
        <f t="shared" si="277"/>
        <v>58.224999999999994</v>
      </c>
      <c r="S1276" s="110"/>
      <c r="T1276" s="110"/>
      <c r="U1276" s="110">
        <v>1</v>
      </c>
      <c r="V1276" s="111">
        <f t="shared" si="278"/>
        <v>58.224999999999994</v>
      </c>
      <c r="W1276" s="110"/>
      <c r="X1276" s="110"/>
      <c r="Y1276" s="110"/>
      <c r="Z1276" s="110"/>
      <c r="AA1276" s="110">
        <v>1</v>
      </c>
      <c r="AB1276" s="111">
        <f t="shared" si="281"/>
        <v>58.224999999999994</v>
      </c>
      <c r="AC1276" s="110"/>
      <c r="AD1276" s="110"/>
      <c r="AE1276" s="110">
        <v>1</v>
      </c>
      <c r="AF1276" s="111">
        <f t="shared" si="276"/>
        <v>58.224999999999994</v>
      </c>
      <c r="AG1276" s="110"/>
      <c r="AH1276" s="110"/>
      <c r="AI1276" s="110"/>
      <c r="AJ1276" s="110"/>
      <c r="AK1276" s="111">
        <f t="shared" si="282"/>
        <v>232.89999999999998</v>
      </c>
      <c r="AL1276" s="446">
        <f t="shared" si="283"/>
        <v>0</v>
      </c>
      <c r="AM1276" s="110">
        <f t="shared" si="284"/>
        <v>5</v>
      </c>
      <c r="AN1276" s="447">
        <f t="shared" si="272"/>
        <v>0</v>
      </c>
      <c r="AO1276"/>
      <c r="AP1276"/>
    </row>
    <row r="1277" spans="1:42" ht="66" x14ac:dyDescent="0.25">
      <c r="A1277" s="1024"/>
      <c r="B1277" s="524" t="s">
        <v>2518</v>
      </c>
      <c r="C1277" s="1024"/>
      <c r="D1277" s="874">
        <v>5</v>
      </c>
      <c r="E1277" s="1025" t="s">
        <v>1721</v>
      </c>
      <c r="F1277" s="273" t="s">
        <v>3446</v>
      </c>
      <c r="G1277" s="1040" t="s">
        <v>3463</v>
      </c>
      <c r="H1277" s="273" t="s">
        <v>3462</v>
      </c>
      <c r="I1277" s="720">
        <f t="shared" si="279"/>
        <v>64.98</v>
      </c>
      <c r="J1277" s="756">
        <v>324.90000000000003</v>
      </c>
      <c r="K1277" s="131">
        <f t="shared" si="271"/>
        <v>324.90000000000003</v>
      </c>
      <c r="L1277" s="335">
        <f t="shared" si="280"/>
        <v>0</v>
      </c>
      <c r="M1277" s="446"/>
      <c r="N1277" s="446"/>
      <c r="O1277" s="446"/>
      <c r="P1277" s="446"/>
      <c r="Q1277" s="110">
        <v>2</v>
      </c>
      <c r="R1277" s="111">
        <f t="shared" si="277"/>
        <v>81.225000000000009</v>
      </c>
      <c r="S1277" s="110"/>
      <c r="T1277" s="110"/>
      <c r="U1277" s="110">
        <v>1</v>
      </c>
      <c r="V1277" s="111">
        <f t="shared" si="278"/>
        <v>81.225000000000009</v>
      </c>
      <c r="W1277" s="110"/>
      <c r="X1277" s="110"/>
      <c r="Y1277" s="110"/>
      <c r="Z1277" s="110"/>
      <c r="AA1277" s="110">
        <v>1</v>
      </c>
      <c r="AB1277" s="111">
        <f t="shared" si="281"/>
        <v>81.225000000000009</v>
      </c>
      <c r="AC1277" s="110"/>
      <c r="AD1277" s="110"/>
      <c r="AE1277" s="110">
        <v>1</v>
      </c>
      <c r="AF1277" s="111">
        <f t="shared" si="276"/>
        <v>81.225000000000009</v>
      </c>
      <c r="AG1277" s="110"/>
      <c r="AH1277" s="110"/>
      <c r="AI1277" s="110"/>
      <c r="AJ1277" s="110"/>
      <c r="AK1277" s="111">
        <f t="shared" si="282"/>
        <v>324.90000000000003</v>
      </c>
      <c r="AL1277" s="446">
        <f t="shared" si="283"/>
        <v>0</v>
      </c>
      <c r="AM1277" s="110">
        <f t="shared" si="284"/>
        <v>5</v>
      </c>
      <c r="AN1277" s="447">
        <f t="shared" si="272"/>
        <v>0</v>
      </c>
      <c r="AO1277"/>
      <c r="AP1277"/>
    </row>
    <row r="1278" spans="1:42" ht="66" x14ac:dyDescent="0.25">
      <c r="A1278" s="1024"/>
      <c r="B1278" s="524" t="s">
        <v>2519</v>
      </c>
      <c r="C1278" s="1024"/>
      <c r="D1278" s="874">
        <v>1</v>
      </c>
      <c r="E1278" s="1025" t="s">
        <v>1722</v>
      </c>
      <c r="F1278" s="273" t="s">
        <v>3446</v>
      </c>
      <c r="G1278" s="1040" t="s">
        <v>3463</v>
      </c>
      <c r="H1278" s="273" t="s">
        <v>3462</v>
      </c>
      <c r="I1278" s="720">
        <f t="shared" si="279"/>
        <v>315.33</v>
      </c>
      <c r="J1278" s="756">
        <v>315.33</v>
      </c>
      <c r="K1278" s="131">
        <f t="shared" si="271"/>
        <v>315.33</v>
      </c>
      <c r="L1278" s="335">
        <f t="shared" si="280"/>
        <v>0</v>
      </c>
      <c r="M1278" s="446"/>
      <c r="N1278" s="446"/>
      <c r="O1278" s="446"/>
      <c r="P1278" s="446"/>
      <c r="Q1278" s="110">
        <v>1</v>
      </c>
      <c r="R1278" s="111">
        <f t="shared" si="277"/>
        <v>78.832499999999996</v>
      </c>
      <c r="S1278" s="110"/>
      <c r="T1278" s="110"/>
      <c r="U1278" s="110">
        <v>0</v>
      </c>
      <c r="V1278" s="111">
        <f t="shared" si="278"/>
        <v>78.832499999999996</v>
      </c>
      <c r="W1278" s="110"/>
      <c r="X1278" s="110"/>
      <c r="Y1278" s="110"/>
      <c r="Z1278" s="110"/>
      <c r="AA1278" s="110">
        <v>0</v>
      </c>
      <c r="AB1278" s="111">
        <f t="shared" si="281"/>
        <v>78.832499999999996</v>
      </c>
      <c r="AC1278" s="110"/>
      <c r="AD1278" s="110"/>
      <c r="AE1278" s="110">
        <v>0</v>
      </c>
      <c r="AF1278" s="111">
        <f t="shared" si="276"/>
        <v>78.832499999999996</v>
      </c>
      <c r="AG1278" s="110"/>
      <c r="AH1278" s="110"/>
      <c r="AI1278" s="110"/>
      <c r="AJ1278" s="110"/>
      <c r="AK1278" s="111">
        <f t="shared" si="282"/>
        <v>315.33</v>
      </c>
      <c r="AL1278" s="446">
        <f t="shared" si="283"/>
        <v>0</v>
      </c>
      <c r="AM1278" s="110">
        <f t="shared" si="284"/>
        <v>1</v>
      </c>
      <c r="AN1278" s="447">
        <f t="shared" si="272"/>
        <v>0</v>
      </c>
      <c r="AO1278"/>
      <c r="AP1278"/>
    </row>
    <row r="1279" spans="1:42" ht="66" x14ac:dyDescent="0.25">
      <c r="A1279" s="1024"/>
      <c r="B1279" s="524" t="s">
        <v>2520</v>
      </c>
      <c r="C1279" s="1024"/>
      <c r="D1279" s="874">
        <v>11</v>
      </c>
      <c r="E1279" s="1025" t="s">
        <v>2248</v>
      </c>
      <c r="F1279" s="273" t="s">
        <v>3446</v>
      </c>
      <c r="G1279" s="1040" t="s">
        <v>3463</v>
      </c>
      <c r="H1279" s="273" t="s">
        <v>3462</v>
      </c>
      <c r="I1279" s="720">
        <f t="shared" si="279"/>
        <v>19.78</v>
      </c>
      <c r="J1279" s="756">
        <v>217.58</v>
      </c>
      <c r="K1279" s="131">
        <f t="shared" si="271"/>
        <v>217.58</v>
      </c>
      <c r="L1279" s="335">
        <f t="shared" si="280"/>
        <v>0</v>
      </c>
      <c r="M1279" s="446"/>
      <c r="N1279" s="446"/>
      <c r="O1279" s="446"/>
      <c r="P1279" s="446"/>
      <c r="Q1279" s="110">
        <v>3</v>
      </c>
      <c r="R1279" s="111">
        <f t="shared" si="277"/>
        <v>54.395000000000003</v>
      </c>
      <c r="S1279" s="110"/>
      <c r="T1279" s="110"/>
      <c r="U1279" s="110">
        <v>3</v>
      </c>
      <c r="V1279" s="111">
        <f t="shared" si="278"/>
        <v>54.395000000000003</v>
      </c>
      <c r="W1279" s="110"/>
      <c r="X1279" s="110"/>
      <c r="Y1279" s="110"/>
      <c r="Z1279" s="110"/>
      <c r="AA1279" s="110">
        <v>3</v>
      </c>
      <c r="AB1279" s="111">
        <f t="shared" si="281"/>
        <v>54.395000000000003</v>
      </c>
      <c r="AC1279" s="110"/>
      <c r="AD1279" s="110"/>
      <c r="AE1279" s="110">
        <v>2</v>
      </c>
      <c r="AF1279" s="111">
        <f t="shared" si="276"/>
        <v>54.395000000000003</v>
      </c>
      <c r="AG1279" s="110"/>
      <c r="AH1279" s="110"/>
      <c r="AI1279" s="110"/>
      <c r="AJ1279" s="110"/>
      <c r="AK1279" s="111">
        <f t="shared" si="282"/>
        <v>217.58</v>
      </c>
      <c r="AL1279" s="446">
        <f t="shared" si="283"/>
        <v>0</v>
      </c>
      <c r="AM1279" s="110">
        <f t="shared" si="284"/>
        <v>11</v>
      </c>
      <c r="AN1279" s="447">
        <f t="shared" si="272"/>
        <v>0</v>
      </c>
      <c r="AO1279"/>
      <c r="AP1279"/>
    </row>
    <row r="1280" spans="1:42" ht="66" x14ac:dyDescent="0.25">
      <c r="A1280" s="1024"/>
      <c r="B1280" s="524" t="s">
        <v>2521</v>
      </c>
      <c r="C1280" s="1024"/>
      <c r="D1280" s="874">
        <v>32</v>
      </c>
      <c r="E1280" s="1025" t="s">
        <v>1827</v>
      </c>
      <c r="F1280" s="273" t="s">
        <v>3446</v>
      </c>
      <c r="G1280" s="1040" t="s">
        <v>3463</v>
      </c>
      <c r="H1280" s="273" t="s">
        <v>3462</v>
      </c>
      <c r="I1280" s="720">
        <f t="shared" si="279"/>
        <v>33.83</v>
      </c>
      <c r="J1280" s="756">
        <v>1082.56</v>
      </c>
      <c r="K1280" s="131">
        <f t="shared" si="271"/>
        <v>1082.56</v>
      </c>
      <c r="L1280" s="335">
        <f t="shared" si="280"/>
        <v>0</v>
      </c>
      <c r="M1280" s="446"/>
      <c r="N1280" s="446"/>
      <c r="O1280" s="446"/>
      <c r="P1280" s="446"/>
      <c r="Q1280" s="110">
        <f t="shared" si="273"/>
        <v>8</v>
      </c>
      <c r="R1280" s="111">
        <f t="shared" si="277"/>
        <v>270.64</v>
      </c>
      <c r="S1280" s="110"/>
      <c r="T1280" s="110"/>
      <c r="U1280" s="110">
        <f t="shared" si="274"/>
        <v>8</v>
      </c>
      <c r="V1280" s="111">
        <f t="shared" si="278"/>
        <v>270.64</v>
      </c>
      <c r="W1280" s="110"/>
      <c r="X1280" s="110"/>
      <c r="Y1280" s="110"/>
      <c r="Z1280" s="110"/>
      <c r="AA1280" s="110">
        <f t="shared" si="275"/>
        <v>8</v>
      </c>
      <c r="AB1280" s="111">
        <f t="shared" si="281"/>
        <v>270.64</v>
      </c>
      <c r="AC1280" s="110"/>
      <c r="AD1280" s="110"/>
      <c r="AE1280" s="110">
        <f t="shared" si="275"/>
        <v>8</v>
      </c>
      <c r="AF1280" s="111">
        <f t="shared" si="276"/>
        <v>270.64</v>
      </c>
      <c r="AG1280" s="110"/>
      <c r="AH1280" s="110"/>
      <c r="AI1280" s="110"/>
      <c r="AJ1280" s="110"/>
      <c r="AK1280" s="111">
        <f t="shared" si="282"/>
        <v>1082.56</v>
      </c>
      <c r="AL1280" s="446">
        <f t="shared" si="283"/>
        <v>0</v>
      </c>
      <c r="AM1280" s="110">
        <f t="shared" si="284"/>
        <v>32</v>
      </c>
      <c r="AN1280" s="447">
        <f t="shared" si="272"/>
        <v>0</v>
      </c>
      <c r="AO1280"/>
      <c r="AP1280"/>
    </row>
    <row r="1281" spans="1:42" ht="66" x14ac:dyDescent="0.25">
      <c r="A1281" s="1024"/>
      <c r="B1281" s="524" t="s">
        <v>2522</v>
      </c>
      <c r="C1281" s="1024"/>
      <c r="D1281" s="874">
        <v>1</v>
      </c>
      <c r="E1281" s="1025" t="s">
        <v>2443</v>
      </c>
      <c r="F1281" s="273" t="s">
        <v>3446</v>
      </c>
      <c r="G1281" s="1040" t="s">
        <v>3463</v>
      </c>
      <c r="H1281" s="273" t="s">
        <v>3462</v>
      </c>
      <c r="I1281" s="720">
        <f t="shared" si="279"/>
        <v>589</v>
      </c>
      <c r="J1281" s="756">
        <v>589</v>
      </c>
      <c r="K1281" s="131">
        <f t="shared" si="271"/>
        <v>589</v>
      </c>
      <c r="L1281" s="335">
        <f t="shared" si="280"/>
        <v>0</v>
      </c>
      <c r="M1281" s="446"/>
      <c r="N1281" s="446"/>
      <c r="O1281" s="446"/>
      <c r="P1281" s="446"/>
      <c r="Q1281" s="110">
        <v>1</v>
      </c>
      <c r="R1281" s="111">
        <f t="shared" si="277"/>
        <v>147.25</v>
      </c>
      <c r="S1281" s="110"/>
      <c r="T1281" s="110"/>
      <c r="U1281" s="110">
        <v>0</v>
      </c>
      <c r="V1281" s="111">
        <f t="shared" si="278"/>
        <v>147.25</v>
      </c>
      <c r="W1281" s="110"/>
      <c r="X1281" s="110"/>
      <c r="Y1281" s="110"/>
      <c r="Z1281" s="110"/>
      <c r="AA1281" s="110">
        <v>0</v>
      </c>
      <c r="AB1281" s="111">
        <f t="shared" si="281"/>
        <v>147.25</v>
      </c>
      <c r="AC1281" s="110"/>
      <c r="AD1281" s="110"/>
      <c r="AE1281" s="110">
        <v>0</v>
      </c>
      <c r="AF1281" s="111">
        <f t="shared" si="276"/>
        <v>147.25</v>
      </c>
      <c r="AG1281" s="110"/>
      <c r="AH1281" s="110"/>
      <c r="AI1281" s="110"/>
      <c r="AJ1281" s="110"/>
      <c r="AK1281" s="111">
        <f t="shared" si="282"/>
        <v>589</v>
      </c>
      <c r="AL1281" s="446">
        <f t="shared" si="283"/>
        <v>0</v>
      </c>
      <c r="AM1281" s="110">
        <f t="shared" si="284"/>
        <v>1</v>
      </c>
      <c r="AN1281" s="447">
        <f t="shared" si="272"/>
        <v>0</v>
      </c>
      <c r="AO1281"/>
      <c r="AP1281"/>
    </row>
    <row r="1282" spans="1:42" ht="66" x14ac:dyDescent="0.25">
      <c r="A1282" s="1024"/>
      <c r="B1282" s="525" t="s">
        <v>2523</v>
      </c>
      <c r="C1282" s="1024"/>
      <c r="D1282" s="874">
        <v>5</v>
      </c>
      <c r="E1282" s="1025" t="s">
        <v>1721</v>
      </c>
      <c r="F1282" s="273" t="s">
        <v>3446</v>
      </c>
      <c r="G1282" s="1040" t="s">
        <v>3463</v>
      </c>
      <c r="H1282" s="273" t="s">
        <v>3462</v>
      </c>
      <c r="I1282" s="720">
        <f t="shared" si="279"/>
        <v>15.830000000000002</v>
      </c>
      <c r="J1282" s="756">
        <v>79.150000000000006</v>
      </c>
      <c r="K1282" s="131">
        <f t="shared" si="271"/>
        <v>79.150000000000006</v>
      </c>
      <c r="L1282" s="335">
        <f t="shared" si="280"/>
        <v>0</v>
      </c>
      <c r="M1282" s="446"/>
      <c r="N1282" s="446"/>
      <c r="O1282" s="446"/>
      <c r="P1282" s="446"/>
      <c r="Q1282" s="110">
        <v>5</v>
      </c>
      <c r="R1282" s="111">
        <v>79.150000000000006</v>
      </c>
      <c r="S1282" s="110"/>
      <c r="T1282" s="110"/>
      <c r="U1282" s="110">
        <v>0</v>
      </c>
      <c r="V1282" s="111">
        <v>0</v>
      </c>
      <c r="W1282" s="110"/>
      <c r="X1282" s="110"/>
      <c r="Y1282" s="110"/>
      <c r="Z1282" s="110"/>
      <c r="AA1282" s="110">
        <v>0</v>
      </c>
      <c r="AB1282" s="111">
        <v>0</v>
      </c>
      <c r="AC1282" s="110"/>
      <c r="AD1282" s="110"/>
      <c r="AE1282" s="110">
        <v>0</v>
      </c>
      <c r="AF1282" s="111">
        <v>0</v>
      </c>
      <c r="AG1282" s="110"/>
      <c r="AH1282" s="110"/>
      <c r="AI1282" s="110"/>
      <c r="AJ1282" s="110"/>
      <c r="AK1282" s="111">
        <f t="shared" si="282"/>
        <v>79.150000000000006</v>
      </c>
      <c r="AL1282" s="446">
        <f t="shared" si="283"/>
        <v>0</v>
      </c>
      <c r="AM1282" s="110">
        <f t="shared" si="284"/>
        <v>5</v>
      </c>
      <c r="AN1282" s="447">
        <f t="shared" si="272"/>
        <v>0</v>
      </c>
      <c r="AO1282"/>
      <c r="AP1282"/>
    </row>
    <row r="1283" spans="1:42" ht="66" x14ac:dyDescent="0.25">
      <c r="A1283" s="1024"/>
      <c r="B1283" s="524" t="s">
        <v>2524</v>
      </c>
      <c r="C1283" s="1024"/>
      <c r="D1283" s="874">
        <v>2</v>
      </c>
      <c r="E1283" s="1025" t="s">
        <v>1827</v>
      </c>
      <c r="F1283" s="273" t="s">
        <v>3446</v>
      </c>
      <c r="G1283" s="1040" t="s">
        <v>3463</v>
      </c>
      <c r="H1283" s="273" t="s">
        <v>3462</v>
      </c>
      <c r="I1283" s="720">
        <f t="shared" si="279"/>
        <v>204.47</v>
      </c>
      <c r="J1283" s="756">
        <v>408.94</v>
      </c>
      <c r="K1283" s="131">
        <f t="shared" si="271"/>
        <v>408.94</v>
      </c>
      <c r="L1283" s="335">
        <f t="shared" si="280"/>
        <v>0</v>
      </c>
      <c r="M1283" s="446"/>
      <c r="N1283" s="446"/>
      <c r="O1283" s="446"/>
      <c r="P1283" s="446"/>
      <c r="Q1283" s="130">
        <v>1</v>
      </c>
      <c r="R1283" s="111">
        <v>204.47</v>
      </c>
      <c r="S1283" s="110"/>
      <c r="T1283" s="110"/>
      <c r="U1283" s="130">
        <v>1</v>
      </c>
      <c r="V1283" s="111">
        <v>204.47</v>
      </c>
      <c r="W1283" s="110"/>
      <c r="X1283" s="110"/>
      <c r="Y1283" s="110"/>
      <c r="Z1283" s="110"/>
      <c r="AA1283" s="130">
        <v>0</v>
      </c>
      <c r="AB1283" s="111">
        <v>0</v>
      </c>
      <c r="AC1283" s="110"/>
      <c r="AD1283" s="110"/>
      <c r="AE1283" s="130">
        <v>0</v>
      </c>
      <c r="AF1283" s="111">
        <v>0</v>
      </c>
      <c r="AG1283" s="110"/>
      <c r="AH1283" s="110"/>
      <c r="AI1283" s="110"/>
      <c r="AJ1283" s="110"/>
      <c r="AK1283" s="111">
        <f t="shared" si="282"/>
        <v>408.94</v>
      </c>
      <c r="AL1283" s="446">
        <f t="shared" si="283"/>
        <v>0</v>
      </c>
      <c r="AM1283" s="110">
        <f t="shared" si="284"/>
        <v>2</v>
      </c>
      <c r="AN1283" s="447">
        <f t="shared" si="272"/>
        <v>0</v>
      </c>
      <c r="AO1283"/>
      <c r="AP1283"/>
    </row>
    <row r="1284" spans="1:42" ht="66" x14ac:dyDescent="0.25">
      <c r="A1284" s="1024"/>
      <c r="B1284" s="524" t="s">
        <v>2525</v>
      </c>
      <c r="C1284" s="1024"/>
      <c r="D1284" s="874">
        <v>3</v>
      </c>
      <c r="E1284" s="1025" t="s">
        <v>2443</v>
      </c>
      <c r="F1284" s="273" t="s">
        <v>3446</v>
      </c>
      <c r="G1284" s="1040" t="s">
        <v>3463</v>
      </c>
      <c r="H1284" s="273" t="s">
        <v>3462</v>
      </c>
      <c r="I1284" s="720">
        <f t="shared" si="279"/>
        <v>204.48</v>
      </c>
      <c r="J1284" s="756">
        <v>613.43999999999994</v>
      </c>
      <c r="K1284" s="131">
        <f t="shared" ref="K1284:K1347" si="285">+D1284*I1284</f>
        <v>613.43999999999994</v>
      </c>
      <c r="L1284" s="335">
        <f t="shared" si="280"/>
        <v>0</v>
      </c>
      <c r="M1284" s="446"/>
      <c r="N1284" s="446"/>
      <c r="O1284" s="446"/>
      <c r="P1284" s="446"/>
      <c r="Q1284" s="130">
        <v>1</v>
      </c>
      <c r="R1284" s="111">
        <v>204.48</v>
      </c>
      <c r="S1284" s="110"/>
      <c r="T1284" s="110"/>
      <c r="U1284" s="130">
        <v>1</v>
      </c>
      <c r="V1284" s="111">
        <v>204.48</v>
      </c>
      <c r="W1284" s="110"/>
      <c r="X1284" s="110"/>
      <c r="Y1284" s="110"/>
      <c r="Z1284" s="110"/>
      <c r="AA1284" s="130">
        <v>1</v>
      </c>
      <c r="AB1284" s="111">
        <v>204.48</v>
      </c>
      <c r="AC1284" s="110"/>
      <c r="AD1284" s="110"/>
      <c r="AE1284" s="130">
        <v>0</v>
      </c>
      <c r="AF1284" s="111">
        <v>0</v>
      </c>
      <c r="AG1284" s="110"/>
      <c r="AH1284" s="110"/>
      <c r="AI1284" s="110"/>
      <c r="AJ1284" s="110"/>
      <c r="AK1284" s="111">
        <f t="shared" si="282"/>
        <v>613.43999999999994</v>
      </c>
      <c r="AL1284" s="446">
        <f t="shared" si="283"/>
        <v>0</v>
      </c>
      <c r="AM1284" s="110">
        <f t="shared" si="284"/>
        <v>3</v>
      </c>
      <c r="AN1284" s="447">
        <f t="shared" ref="AN1284:AN1347" si="286">+D1284-AM1284</f>
        <v>0</v>
      </c>
      <c r="AO1284"/>
      <c r="AP1284"/>
    </row>
    <row r="1285" spans="1:42" ht="66" x14ac:dyDescent="0.25">
      <c r="A1285" s="1024"/>
      <c r="B1285" s="45" t="s">
        <v>2557</v>
      </c>
      <c r="C1285" s="1024"/>
      <c r="D1285" s="869">
        <v>8</v>
      </c>
      <c r="E1285" s="1027" t="s">
        <v>2443</v>
      </c>
      <c r="F1285" s="273" t="s">
        <v>3446</v>
      </c>
      <c r="G1285" s="1040" t="s">
        <v>3463</v>
      </c>
      <c r="H1285" s="273" t="s">
        <v>3462</v>
      </c>
      <c r="I1285" s="720">
        <f t="shared" si="279"/>
        <v>127.33</v>
      </c>
      <c r="J1285" s="756">
        <v>1018.64</v>
      </c>
      <c r="K1285" s="131">
        <f t="shared" si="285"/>
        <v>1018.64</v>
      </c>
      <c r="L1285" s="335">
        <f t="shared" si="280"/>
        <v>0</v>
      </c>
      <c r="M1285" s="446"/>
      <c r="N1285" s="446"/>
      <c r="O1285" s="446"/>
      <c r="P1285" s="446"/>
      <c r="Q1285" s="110">
        <f t="shared" si="273"/>
        <v>2</v>
      </c>
      <c r="R1285" s="111">
        <f t="shared" si="277"/>
        <v>254.66</v>
      </c>
      <c r="S1285" s="110"/>
      <c r="T1285" s="110"/>
      <c r="U1285" s="110">
        <f t="shared" si="274"/>
        <v>2</v>
      </c>
      <c r="V1285" s="111">
        <f t="shared" si="278"/>
        <v>254.66</v>
      </c>
      <c r="W1285" s="110"/>
      <c r="X1285" s="110"/>
      <c r="Y1285" s="110"/>
      <c r="Z1285" s="110"/>
      <c r="AA1285" s="110">
        <f t="shared" si="275"/>
        <v>2</v>
      </c>
      <c r="AB1285" s="111">
        <f t="shared" si="281"/>
        <v>254.66</v>
      </c>
      <c r="AC1285" s="110"/>
      <c r="AD1285" s="110"/>
      <c r="AE1285" s="110">
        <f t="shared" si="275"/>
        <v>2</v>
      </c>
      <c r="AF1285" s="111">
        <f t="shared" si="276"/>
        <v>254.66</v>
      </c>
      <c r="AG1285" s="110"/>
      <c r="AH1285" s="110"/>
      <c r="AI1285" s="110"/>
      <c r="AJ1285" s="110"/>
      <c r="AK1285" s="111">
        <f t="shared" si="282"/>
        <v>1018.64</v>
      </c>
      <c r="AL1285" s="446">
        <f t="shared" si="283"/>
        <v>0</v>
      </c>
      <c r="AM1285" s="110">
        <f t="shared" si="284"/>
        <v>8</v>
      </c>
      <c r="AN1285" s="447">
        <f t="shared" si="286"/>
        <v>0</v>
      </c>
      <c r="AO1285"/>
      <c r="AP1285"/>
    </row>
    <row r="1286" spans="1:42" ht="66" x14ac:dyDescent="0.25">
      <c r="A1286" s="1024"/>
      <c r="B1286" s="45" t="s">
        <v>2558</v>
      </c>
      <c r="C1286" s="1024"/>
      <c r="D1286" s="869">
        <v>8</v>
      </c>
      <c r="E1286" s="1027" t="s">
        <v>2443</v>
      </c>
      <c r="F1286" s="273" t="s">
        <v>3446</v>
      </c>
      <c r="G1286" s="1040" t="s">
        <v>3463</v>
      </c>
      <c r="H1286" s="273" t="s">
        <v>3462</v>
      </c>
      <c r="I1286" s="720">
        <f t="shared" si="279"/>
        <v>151.59</v>
      </c>
      <c r="J1286" s="756">
        <v>1212.72</v>
      </c>
      <c r="K1286" s="131">
        <f t="shared" si="285"/>
        <v>1212.72</v>
      </c>
      <c r="L1286" s="335">
        <f t="shared" si="280"/>
        <v>0</v>
      </c>
      <c r="M1286" s="446"/>
      <c r="N1286" s="446"/>
      <c r="O1286" s="446"/>
      <c r="P1286" s="446"/>
      <c r="Q1286" s="110">
        <f t="shared" si="273"/>
        <v>2</v>
      </c>
      <c r="R1286" s="111">
        <f t="shared" si="277"/>
        <v>303.18</v>
      </c>
      <c r="S1286" s="110"/>
      <c r="T1286" s="110"/>
      <c r="U1286" s="110">
        <f t="shared" si="274"/>
        <v>2</v>
      </c>
      <c r="V1286" s="111">
        <f t="shared" si="278"/>
        <v>303.18</v>
      </c>
      <c r="W1286" s="110"/>
      <c r="X1286" s="110"/>
      <c r="Y1286" s="110"/>
      <c r="Z1286" s="110"/>
      <c r="AA1286" s="110">
        <f t="shared" si="275"/>
        <v>2</v>
      </c>
      <c r="AB1286" s="111">
        <f t="shared" si="281"/>
        <v>303.18</v>
      </c>
      <c r="AC1286" s="110"/>
      <c r="AD1286" s="110"/>
      <c r="AE1286" s="110">
        <f t="shared" si="275"/>
        <v>2</v>
      </c>
      <c r="AF1286" s="111">
        <f t="shared" si="276"/>
        <v>303.18</v>
      </c>
      <c r="AG1286" s="110"/>
      <c r="AH1286" s="110"/>
      <c r="AI1286" s="110"/>
      <c r="AJ1286" s="110"/>
      <c r="AK1286" s="111">
        <f t="shared" si="282"/>
        <v>1212.72</v>
      </c>
      <c r="AL1286" s="446">
        <f t="shared" si="283"/>
        <v>0</v>
      </c>
      <c r="AM1286" s="110">
        <f t="shared" si="284"/>
        <v>8</v>
      </c>
      <c r="AN1286" s="447">
        <f t="shared" si="286"/>
        <v>0</v>
      </c>
      <c r="AO1286"/>
      <c r="AP1286"/>
    </row>
    <row r="1287" spans="1:42" ht="66" x14ac:dyDescent="0.25">
      <c r="A1287" s="1024"/>
      <c r="B1287" s="45" t="s">
        <v>184</v>
      </c>
      <c r="C1287" s="1024"/>
      <c r="D1287" s="869">
        <v>8</v>
      </c>
      <c r="E1287" s="1027" t="s">
        <v>2443</v>
      </c>
      <c r="F1287" s="273" t="s">
        <v>3446</v>
      </c>
      <c r="G1287" s="1040" t="s">
        <v>3463</v>
      </c>
      <c r="H1287" s="273" t="s">
        <v>3462</v>
      </c>
      <c r="I1287" s="720">
        <f t="shared" si="279"/>
        <v>204.48</v>
      </c>
      <c r="J1287" s="756">
        <v>1635.84</v>
      </c>
      <c r="K1287" s="131">
        <f t="shared" si="285"/>
        <v>1635.84</v>
      </c>
      <c r="L1287" s="335">
        <f t="shared" si="280"/>
        <v>0</v>
      </c>
      <c r="M1287" s="446"/>
      <c r="N1287" s="446"/>
      <c r="O1287" s="446"/>
      <c r="P1287" s="446"/>
      <c r="Q1287" s="110">
        <f t="shared" si="273"/>
        <v>2</v>
      </c>
      <c r="R1287" s="111">
        <f t="shared" si="277"/>
        <v>408.96</v>
      </c>
      <c r="S1287" s="110"/>
      <c r="T1287" s="110"/>
      <c r="U1287" s="110">
        <f t="shared" si="274"/>
        <v>2</v>
      </c>
      <c r="V1287" s="111">
        <f t="shared" si="278"/>
        <v>408.96</v>
      </c>
      <c r="W1287" s="110"/>
      <c r="X1287" s="110"/>
      <c r="Y1287" s="110"/>
      <c r="Z1287" s="110"/>
      <c r="AA1287" s="110">
        <f t="shared" si="275"/>
        <v>2</v>
      </c>
      <c r="AB1287" s="111">
        <f t="shared" si="281"/>
        <v>408.96</v>
      </c>
      <c r="AC1287" s="110"/>
      <c r="AD1287" s="110"/>
      <c r="AE1287" s="110">
        <f t="shared" si="275"/>
        <v>2</v>
      </c>
      <c r="AF1287" s="111">
        <f t="shared" si="276"/>
        <v>408.96</v>
      </c>
      <c r="AG1287" s="110"/>
      <c r="AH1287" s="110"/>
      <c r="AI1287" s="110"/>
      <c r="AJ1287" s="110"/>
      <c r="AK1287" s="111">
        <f t="shared" si="282"/>
        <v>1635.84</v>
      </c>
      <c r="AL1287" s="446">
        <f t="shared" si="283"/>
        <v>0</v>
      </c>
      <c r="AM1287" s="110">
        <f t="shared" si="284"/>
        <v>8</v>
      </c>
      <c r="AN1287" s="447">
        <f t="shared" si="286"/>
        <v>0</v>
      </c>
      <c r="AO1287"/>
      <c r="AP1287"/>
    </row>
    <row r="1288" spans="1:42" ht="66" x14ac:dyDescent="0.25">
      <c r="A1288" s="1024"/>
      <c r="B1288" s="45" t="s">
        <v>2559</v>
      </c>
      <c r="C1288" s="1024"/>
      <c r="D1288" s="869">
        <v>10</v>
      </c>
      <c r="E1288" s="1027" t="s">
        <v>1721</v>
      </c>
      <c r="F1288" s="273" t="s">
        <v>3446</v>
      </c>
      <c r="G1288" s="1040" t="s">
        <v>3463</v>
      </c>
      <c r="H1288" s="273" t="s">
        <v>3462</v>
      </c>
      <c r="I1288" s="720">
        <f t="shared" si="279"/>
        <v>21.88</v>
      </c>
      <c r="J1288" s="756">
        <v>218.79999999999998</v>
      </c>
      <c r="K1288" s="131">
        <f t="shared" si="285"/>
        <v>218.79999999999998</v>
      </c>
      <c r="L1288" s="335">
        <f t="shared" si="280"/>
        <v>0</v>
      </c>
      <c r="M1288" s="446"/>
      <c r="N1288" s="446"/>
      <c r="O1288" s="446"/>
      <c r="P1288" s="446"/>
      <c r="Q1288" s="130">
        <v>3</v>
      </c>
      <c r="R1288" s="111">
        <f t="shared" si="277"/>
        <v>54.699999999999996</v>
      </c>
      <c r="S1288" s="110"/>
      <c r="T1288" s="110"/>
      <c r="U1288" s="130">
        <v>3</v>
      </c>
      <c r="V1288" s="111">
        <f t="shared" si="278"/>
        <v>54.699999999999996</v>
      </c>
      <c r="W1288" s="110"/>
      <c r="X1288" s="110"/>
      <c r="Y1288" s="110"/>
      <c r="Z1288" s="110"/>
      <c r="AA1288" s="130">
        <v>2</v>
      </c>
      <c r="AB1288" s="111">
        <f t="shared" si="281"/>
        <v>54.699999999999996</v>
      </c>
      <c r="AC1288" s="110"/>
      <c r="AD1288" s="110"/>
      <c r="AE1288" s="130">
        <v>2</v>
      </c>
      <c r="AF1288" s="111">
        <f t="shared" si="276"/>
        <v>54.699999999999996</v>
      </c>
      <c r="AG1288" s="110"/>
      <c r="AH1288" s="110"/>
      <c r="AI1288" s="110"/>
      <c r="AJ1288" s="110"/>
      <c r="AK1288" s="111">
        <f t="shared" si="282"/>
        <v>218.79999999999998</v>
      </c>
      <c r="AL1288" s="446">
        <f t="shared" si="283"/>
        <v>0</v>
      </c>
      <c r="AM1288" s="110">
        <f t="shared" si="284"/>
        <v>10</v>
      </c>
      <c r="AN1288" s="447">
        <f t="shared" si="286"/>
        <v>0</v>
      </c>
      <c r="AO1288"/>
      <c r="AP1288"/>
    </row>
    <row r="1289" spans="1:42" ht="66" x14ac:dyDescent="0.25">
      <c r="A1289" s="1024"/>
      <c r="B1289" s="45" t="s">
        <v>2560</v>
      </c>
      <c r="C1289" s="1024"/>
      <c r="D1289" s="869">
        <v>6</v>
      </c>
      <c r="E1289" s="1027" t="s">
        <v>1721</v>
      </c>
      <c r="F1289" s="273" t="s">
        <v>3446</v>
      </c>
      <c r="G1289" s="1040" t="s">
        <v>3463</v>
      </c>
      <c r="H1289" s="273" t="s">
        <v>3462</v>
      </c>
      <c r="I1289" s="720">
        <f t="shared" si="279"/>
        <v>37.11</v>
      </c>
      <c r="J1289" s="756">
        <v>222.66</v>
      </c>
      <c r="K1289" s="131">
        <f t="shared" si="285"/>
        <v>222.66</v>
      </c>
      <c r="L1289" s="335">
        <f t="shared" si="280"/>
        <v>0</v>
      </c>
      <c r="M1289" s="446"/>
      <c r="N1289" s="446"/>
      <c r="O1289" s="446"/>
      <c r="P1289" s="446"/>
      <c r="Q1289" s="130">
        <v>2</v>
      </c>
      <c r="R1289" s="111">
        <f t="shared" si="277"/>
        <v>55.664999999999999</v>
      </c>
      <c r="S1289" s="110"/>
      <c r="T1289" s="110"/>
      <c r="U1289" s="130">
        <v>2</v>
      </c>
      <c r="V1289" s="111">
        <f t="shared" si="278"/>
        <v>55.664999999999999</v>
      </c>
      <c r="W1289" s="110"/>
      <c r="X1289" s="110"/>
      <c r="Y1289" s="110"/>
      <c r="Z1289" s="110"/>
      <c r="AA1289" s="130">
        <v>1</v>
      </c>
      <c r="AB1289" s="111">
        <f t="shared" si="281"/>
        <v>55.664999999999999</v>
      </c>
      <c r="AC1289" s="110"/>
      <c r="AD1289" s="110"/>
      <c r="AE1289" s="130">
        <v>1</v>
      </c>
      <c r="AF1289" s="111">
        <f t="shared" si="276"/>
        <v>55.664999999999999</v>
      </c>
      <c r="AG1289" s="110"/>
      <c r="AH1289" s="110"/>
      <c r="AI1289" s="110"/>
      <c r="AJ1289" s="110"/>
      <c r="AK1289" s="111">
        <f t="shared" si="282"/>
        <v>222.66</v>
      </c>
      <c r="AL1289" s="446">
        <f t="shared" si="283"/>
        <v>0</v>
      </c>
      <c r="AM1289" s="110">
        <f t="shared" si="284"/>
        <v>6</v>
      </c>
      <c r="AN1289" s="447">
        <f t="shared" si="286"/>
        <v>0</v>
      </c>
      <c r="AO1289"/>
      <c r="AP1289"/>
    </row>
    <row r="1290" spans="1:42" ht="66" x14ac:dyDescent="0.25">
      <c r="A1290" s="1024"/>
      <c r="B1290" s="45" t="s">
        <v>178</v>
      </c>
      <c r="C1290" s="1024"/>
      <c r="D1290" s="869">
        <v>30</v>
      </c>
      <c r="E1290" s="1027" t="s">
        <v>1827</v>
      </c>
      <c r="F1290" s="273" t="s">
        <v>3446</v>
      </c>
      <c r="G1290" s="1040" t="s">
        <v>3463</v>
      </c>
      <c r="H1290" s="273" t="s">
        <v>3462</v>
      </c>
      <c r="I1290" s="720">
        <f t="shared" si="279"/>
        <v>33.83</v>
      </c>
      <c r="J1290" s="756">
        <v>1014.9</v>
      </c>
      <c r="K1290" s="131">
        <f t="shared" si="285"/>
        <v>1014.9</v>
      </c>
      <c r="L1290" s="335">
        <f t="shared" si="280"/>
        <v>0</v>
      </c>
      <c r="M1290" s="446"/>
      <c r="N1290" s="446"/>
      <c r="O1290" s="446"/>
      <c r="P1290" s="446"/>
      <c r="Q1290" s="110">
        <v>8</v>
      </c>
      <c r="R1290" s="111">
        <f t="shared" si="277"/>
        <v>253.72499999999999</v>
      </c>
      <c r="S1290" s="110"/>
      <c r="T1290" s="110"/>
      <c r="U1290" s="110">
        <v>8</v>
      </c>
      <c r="V1290" s="111">
        <f t="shared" si="278"/>
        <v>253.72499999999999</v>
      </c>
      <c r="W1290" s="110"/>
      <c r="X1290" s="110"/>
      <c r="Y1290" s="110"/>
      <c r="Z1290" s="110"/>
      <c r="AA1290" s="110">
        <v>7</v>
      </c>
      <c r="AB1290" s="111">
        <f t="shared" si="281"/>
        <v>253.72499999999999</v>
      </c>
      <c r="AC1290" s="110"/>
      <c r="AD1290" s="110"/>
      <c r="AE1290" s="110">
        <v>7</v>
      </c>
      <c r="AF1290" s="111">
        <f t="shared" si="276"/>
        <v>253.72499999999999</v>
      </c>
      <c r="AG1290" s="110"/>
      <c r="AH1290" s="110"/>
      <c r="AI1290" s="110"/>
      <c r="AJ1290" s="110"/>
      <c r="AK1290" s="111">
        <f t="shared" si="282"/>
        <v>1014.9</v>
      </c>
      <c r="AL1290" s="446">
        <f t="shared" si="283"/>
        <v>0</v>
      </c>
      <c r="AM1290" s="110">
        <f t="shared" si="284"/>
        <v>30</v>
      </c>
      <c r="AN1290" s="447">
        <f t="shared" si="286"/>
        <v>0</v>
      </c>
      <c r="AO1290"/>
      <c r="AP1290"/>
    </row>
    <row r="1291" spans="1:42" ht="66" x14ac:dyDescent="0.25">
      <c r="A1291" s="1024"/>
      <c r="B1291" s="45" t="s">
        <v>2561</v>
      </c>
      <c r="C1291" s="1024"/>
      <c r="D1291" s="869">
        <v>10</v>
      </c>
      <c r="E1291" s="1027" t="s">
        <v>1721</v>
      </c>
      <c r="F1291" s="273" t="s">
        <v>3446</v>
      </c>
      <c r="G1291" s="1040" t="s">
        <v>3463</v>
      </c>
      <c r="H1291" s="273" t="s">
        <v>3462</v>
      </c>
      <c r="I1291" s="720">
        <f t="shared" si="279"/>
        <v>167.85</v>
      </c>
      <c r="J1291" s="756">
        <v>1678.5</v>
      </c>
      <c r="K1291" s="131">
        <f t="shared" si="285"/>
        <v>1678.5</v>
      </c>
      <c r="L1291" s="335">
        <f t="shared" si="280"/>
        <v>0</v>
      </c>
      <c r="M1291" s="446"/>
      <c r="N1291" s="446"/>
      <c r="O1291" s="446"/>
      <c r="P1291" s="446"/>
      <c r="Q1291" s="130">
        <v>3</v>
      </c>
      <c r="R1291" s="111">
        <f t="shared" si="277"/>
        <v>419.625</v>
      </c>
      <c r="S1291" s="110"/>
      <c r="T1291" s="110"/>
      <c r="U1291" s="130">
        <v>3</v>
      </c>
      <c r="V1291" s="111">
        <f t="shared" si="278"/>
        <v>419.625</v>
      </c>
      <c r="W1291" s="110"/>
      <c r="X1291" s="110"/>
      <c r="Y1291" s="110"/>
      <c r="Z1291" s="110"/>
      <c r="AA1291" s="130">
        <v>2</v>
      </c>
      <c r="AB1291" s="111">
        <f t="shared" si="281"/>
        <v>419.625</v>
      </c>
      <c r="AC1291" s="110"/>
      <c r="AD1291" s="110"/>
      <c r="AE1291" s="130">
        <v>2</v>
      </c>
      <c r="AF1291" s="111">
        <f t="shared" si="276"/>
        <v>419.625</v>
      </c>
      <c r="AG1291" s="110"/>
      <c r="AH1291" s="110"/>
      <c r="AI1291" s="110"/>
      <c r="AJ1291" s="110"/>
      <c r="AK1291" s="111">
        <f t="shared" si="282"/>
        <v>1678.5</v>
      </c>
      <c r="AL1291" s="446">
        <f t="shared" si="283"/>
        <v>0</v>
      </c>
      <c r="AM1291" s="110">
        <f t="shared" si="284"/>
        <v>10</v>
      </c>
      <c r="AN1291" s="447">
        <f t="shared" si="286"/>
        <v>0</v>
      </c>
      <c r="AO1291"/>
      <c r="AP1291"/>
    </row>
    <row r="1292" spans="1:42" ht="66" x14ac:dyDescent="0.25">
      <c r="A1292" s="1024"/>
      <c r="B1292" s="45" t="s">
        <v>2562</v>
      </c>
      <c r="C1292" s="1024"/>
      <c r="D1292" s="869">
        <v>5</v>
      </c>
      <c r="E1292" s="1027" t="s">
        <v>1721</v>
      </c>
      <c r="F1292" s="273" t="s">
        <v>3446</v>
      </c>
      <c r="G1292" s="1040" t="s">
        <v>3463</v>
      </c>
      <c r="H1292" s="273" t="s">
        <v>3462</v>
      </c>
      <c r="I1292" s="720">
        <f t="shared" si="279"/>
        <v>50.62</v>
      </c>
      <c r="J1292" s="756">
        <v>253.1</v>
      </c>
      <c r="K1292" s="131">
        <f t="shared" si="285"/>
        <v>253.1</v>
      </c>
      <c r="L1292" s="335">
        <f t="shared" si="280"/>
        <v>0</v>
      </c>
      <c r="M1292" s="446"/>
      <c r="N1292" s="446"/>
      <c r="O1292" s="446"/>
      <c r="P1292" s="446"/>
      <c r="Q1292" s="110">
        <v>2</v>
      </c>
      <c r="R1292" s="111">
        <f t="shared" si="277"/>
        <v>63.274999999999999</v>
      </c>
      <c r="S1292" s="110"/>
      <c r="T1292" s="110"/>
      <c r="U1292" s="110">
        <v>1</v>
      </c>
      <c r="V1292" s="111">
        <f t="shared" si="278"/>
        <v>63.274999999999999</v>
      </c>
      <c r="W1292" s="110"/>
      <c r="X1292" s="110"/>
      <c r="Y1292" s="110"/>
      <c r="Z1292" s="110"/>
      <c r="AA1292" s="110">
        <v>1</v>
      </c>
      <c r="AB1292" s="111">
        <f t="shared" si="281"/>
        <v>63.274999999999999</v>
      </c>
      <c r="AC1292" s="110"/>
      <c r="AD1292" s="110"/>
      <c r="AE1292" s="110">
        <v>1</v>
      </c>
      <c r="AF1292" s="111">
        <f t="shared" si="276"/>
        <v>63.274999999999999</v>
      </c>
      <c r="AG1292" s="110"/>
      <c r="AH1292" s="110"/>
      <c r="AI1292" s="110"/>
      <c r="AJ1292" s="110"/>
      <c r="AK1292" s="111">
        <f t="shared" si="282"/>
        <v>253.1</v>
      </c>
      <c r="AL1292" s="446">
        <f t="shared" si="283"/>
        <v>0</v>
      </c>
      <c r="AM1292" s="110">
        <f t="shared" si="284"/>
        <v>5</v>
      </c>
      <c r="AN1292" s="447">
        <f t="shared" si="286"/>
        <v>0</v>
      </c>
      <c r="AO1292"/>
      <c r="AP1292"/>
    </row>
    <row r="1293" spans="1:42" ht="66" x14ac:dyDescent="0.25">
      <c r="A1293" s="1024"/>
      <c r="B1293" s="45" t="s">
        <v>2563</v>
      </c>
      <c r="C1293" s="1024"/>
      <c r="D1293" s="869">
        <v>2</v>
      </c>
      <c r="E1293" s="1027" t="s">
        <v>1721</v>
      </c>
      <c r="F1293" s="273" t="s">
        <v>3446</v>
      </c>
      <c r="G1293" s="1040" t="s">
        <v>3463</v>
      </c>
      <c r="H1293" s="273" t="s">
        <v>3462</v>
      </c>
      <c r="I1293" s="720">
        <f t="shared" si="279"/>
        <v>315.33</v>
      </c>
      <c r="J1293" s="756">
        <v>630.66</v>
      </c>
      <c r="K1293" s="131">
        <f t="shared" si="285"/>
        <v>630.66</v>
      </c>
      <c r="L1293" s="335">
        <f t="shared" si="280"/>
        <v>0</v>
      </c>
      <c r="M1293" s="446"/>
      <c r="N1293" s="446"/>
      <c r="O1293" s="446"/>
      <c r="P1293" s="446"/>
      <c r="Q1293" s="130">
        <v>1</v>
      </c>
      <c r="R1293" s="111">
        <v>315.33</v>
      </c>
      <c r="S1293" s="110"/>
      <c r="T1293" s="110"/>
      <c r="U1293" s="130">
        <v>1</v>
      </c>
      <c r="V1293" s="111">
        <v>315.33</v>
      </c>
      <c r="W1293" s="110"/>
      <c r="X1293" s="110"/>
      <c r="Y1293" s="110"/>
      <c r="Z1293" s="110"/>
      <c r="AA1293" s="130">
        <v>0</v>
      </c>
      <c r="AB1293" s="111">
        <v>0</v>
      </c>
      <c r="AC1293" s="110"/>
      <c r="AD1293" s="110"/>
      <c r="AE1293" s="130">
        <v>0</v>
      </c>
      <c r="AF1293" s="111">
        <v>0</v>
      </c>
      <c r="AG1293" s="110"/>
      <c r="AH1293" s="110"/>
      <c r="AI1293" s="110"/>
      <c r="AJ1293" s="110"/>
      <c r="AK1293" s="111">
        <f t="shared" si="282"/>
        <v>630.66</v>
      </c>
      <c r="AL1293" s="446">
        <f t="shared" si="283"/>
        <v>0</v>
      </c>
      <c r="AM1293" s="110">
        <f t="shared" si="284"/>
        <v>2</v>
      </c>
      <c r="AN1293" s="447">
        <f t="shared" si="286"/>
        <v>0</v>
      </c>
      <c r="AO1293"/>
      <c r="AP1293"/>
    </row>
    <row r="1294" spans="1:42" ht="66" x14ac:dyDescent="0.25">
      <c r="A1294" s="1024"/>
      <c r="B1294" s="45" t="s">
        <v>2564</v>
      </c>
      <c r="C1294" s="1024"/>
      <c r="D1294" s="869">
        <v>5</v>
      </c>
      <c r="E1294" s="1027" t="s">
        <v>1721</v>
      </c>
      <c r="F1294" s="273" t="s">
        <v>3446</v>
      </c>
      <c r="G1294" s="1040" t="s">
        <v>3463</v>
      </c>
      <c r="H1294" s="273" t="s">
        <v>3462</v>
      </c>
      <c r="I1294" s="720">
        <f t="shared" si="279"/>
        <v>54.279999999999994</v>
      </c>
      <c r="J1294" s="756">
        <v>271.39999999999998</v>
      </c>
      <c r="K1294" s="131">
        <f t="shared" si="285"/>
        <v>271.39999999999998</v>
      </c>
      <c r="L1294" s="335">
        <f t="shared" si="280"/>
        <v>0</v>
      </c>
      <c r="M1294" s="446"/>
      <c r="N1294" s="446"/>
      <c r="O1294" s="446"/>
      <c r="P1294" s="446"/>
      <c r="Q1294" s="110">
        <v>2</v>
      </c>
      <c r="R1294" s="111">
        <f t="shared" si="277"/>
        <v>67.849999999999994</v>
      </c>
      <c r="S1294" s="110"/>
      <c r="T1294" s="110"/>
      <c r="U1294" s="110">
        <v>1</v>
      </c>
      <c r="V1294" s="111">
        <f t="shared" si="278"/>
        <v>67.849999999999994</v>
      </c>
      <c r="W1294" s="110"/>
      <c r="X1294" s="110"/>
      <c r="Y1294" s="110"/>
      <c r="Z1294" s="110"/>
      <c r="AA1294" s="110">
        <v>1</v>
      </c>
      <c r="AB1294" s="111">
        <f t="shared" si="281"/>
        <v>67.849999999999994</v>
      </c>
      <c r="AC1294" s="110"/>
      <c r="AD1294" s="110"/>
      <c r="AE1294" s="110">
        <v>1</v>
      </c>
      <c r="AF1294" s="111">
        <f t="shared" si="276"/>
        <v>67.849999999999994</v>
      </c>
      <c r="AG1294" s="110"/>
      <c r="AH1294" s="110"/>
      <c r="AI1294" s="110"/>
      <c r="AJ1294" s="110"/>
      <c r="AK1294" s="111">
        <f t="shared" si="282"/>
        <v>271.39999999999998</v>
      </c>
      <c r="AL1294" s="446">
        <f t="shared" si="283"/>
        <v>0</v>
      </c>
      <c r="AM1294" s="110">
        <f t="shared" si="284"/>
        <v>5</v>
      </c>
      <c r="AN1294" s="447">
        <f t="shared" si="286"/>
        <v>0</v>
      </c>
      <c r="AO1294"/>
      <c r="AP1294"/>
    </row>
    <row r="1295" spans="1:42" ht="66" x14ac:dyDescent="0.25">
      <c r="A1295" s="1024"/>
      <c r="B1295" s="45" t="s">
        <v>2565</v>
      </c>
      <c r="C1295" s="1024"/>
      <c r="D1295" s="869">
        <v>15</v>
      </c>
      <c r="E1295" s="1027" t="s">
        <v>1721</v>
      </c>
      <c r="F1295" s="273" t="s">
        <v>3446</v>
      </c>
      <c r="G1295" s="1040" t="s">
        <v>3463</v>
      </c>
      <c r="H1295" s="273" t="s">
        <v>3462</v>
      </c>
      <c r="I1295" s="720">
        <f t="shared" si="279"/>
        <v>46.58</v>
      </c>
      <c r="J1295" s="756">
        <v>698.69999999999993</v>
      </c>
      <c r="K1295" s="131">
        <f t="shared" si="285"/>
        <v>698.69999999999993</v>
      </c>
      <c r="L1295" s="335">
        <f t="shared" si="280"/>
        <v>0</v>
      </c>
      <c r="M1295" s="446"/>
      <c r="N1295" s="446"/>
      <c r="O1295" s="446"/>
      <c r="P1295" s="446"/>
      <c r="Q1295" s="110">
        <v>4</v>
      </c>
      <c r="R1295" s="111">
        <f t="shared" si="277"/>
        <v>174.67499999999998</v>
      </c>
      <c r="S1295" s="110"/>
      <c r="T1295" s="110"/>
      <c r="U1295" s="110">
        <v>4</v>
      </c>
      <c r="V1295" s="111">
        <f t="shared" si="278"/>
        <v>174.67499999999998</v>
      </c>
      <c r="W1295" s="110"/>
      <c r="X1295" s="110"/>
      <c r="Y1295" s="110"/>
      <c r="Z1295" s="110"/>
      <c r="AA1295" s="110">
        <v>4</v>
      </c>
      <c r="AB1295" s="111">
        <f t="shared" si="281"/>
        <v>174.67499999999998</v>
      </c>
      <c r="AC1295" s="110"/>
      <c r="AD1295" s="110"/>
      <c r="AE1295" s="110">
        <v>3</v>
      </c>
      <c r="AF1295" s="111">
        <f t="shared" si="276"/>
        <v>174.67499999999998</v>
      </c>
      <c r="AG1295" s="110"/>
      <c r="AH1295" s="110"/>
      <c r="AI1295" s="110"/>
      <c r="AJ1295" s="110"/>
      <c r="AK1295" s="111">
        <f t="shared" si="282"/>
        <v>698.69999999999993</v>
      </c>
      <c r="AL1295" s="446">
        <f t="shared" si="283"/>
        <v>0</v>
      </c>
      <c r="AM1295" s="110">
        <f t="shared" si="284"/>
        <v>15</v>
      </c>
      <c r="AN1295" s="447">
        <f t="shared" si="286"/>
        <v>0</v>
      </c>
      <c r="AO1295"/>
      <c r="AP1295"/>
    </row>
    <row r="1296" spans="1:42" ht="66" x14ac:dyDescent="0.25">
      <c r="A1296" s="1024"/>
      <c r="B1296" s="45" t="s">
        <v>2566</v>
      </c>
      <c r="C1296" s="1024"/>
      <c r="D1296" s="869">
        <v>10</v>
      </c>
      <c r="E1296" s="1027" t="s">
        <v>1736</v>
      </c>
      <c r="F1296" s="273" t="s">
        <v>3446</v>
      </c>
      <c r="G1296" s="1040" t="s">
        <v>3463</v>
      </c>
      <c r="H1296" s="273" t="s">
        <v>3462</v>
      </c>
      <c r="I1296" s="720">
        <f t="shared" si="279"/>
        <v>47.52</v>
      </c>
      <c r="J1296" s="756">
        <v>475.20000000000005</v>
      </c>
      <c r="K1296" s="131">
        <f t="shared" si="285"/>
        <v>475.20000000000005</v>
      </c>
      <c r="L1296" s="335">
        <f t="shared" si="280"/>
        <v>0</v>
      </c>
      <c r="M1296" s="446"/>
      <c r="N1296" s="446"/>
      <c r="O1296" s="446"/>
      <c r="P1296" s="446"/>
      <c r="Q1296" s="130">
        <v>3</v>
      </c>
      <c r="R1296" s="111">
        <f t="shared" si="277"/>
        <v>118.80000000000001</v>
      </c>
      <c r="S1296" s="110"/>
      <c r="T1296" s="110"/>
      <c r="U1296" s="130">
        <v>3</v>
      </c>
      <c r="V1296" s="111">
        <f t="shared" si="278"/>
        <v>118.80000000000001</v>
      </c>
      <c r="W1296" s="110"/>
      <c r="X1296" s="110"/>
      <c r="Y1296" s="110"/>
      <c r="Z1296" s="110"/>
      <c r="AA1296" s="130">
        <v>2</v>
      </c>
      <c r="AB1296" s="111">
        <f t="shared" si="281"/>
        <v>118.80000000000001</v>
      </c>
      <c r="AC1296" s="110"/>
      <c r="AD1296" s="110"/>
      <c r="AE1296" s="130">
        <v>2</v>
      </c>
      <c r="AF1296" s="111">
        <f t="shared" si="276"/>
        <v>118.80000000000001</v>
      </c>
      <c r="AG1296" s="110"/>
      <c r="AH1296" s="110"/>
      <c r="AI1296" s="110"/>
      <c r="AJ1296" s="110"/>
      <c r="AK1296" s="111">
        <f t="shared" si="282"/>
        <v>475.20000000000005</v>
      </c>
      <c r="AL1296" s="446">
        <f t="shared" si="283"/>
        <v>0</v>
      </c>
      <c r="AM1296" s="110">
        <f t="shared" si="284"/>
        <v>10</v>
      </c>
      <c r="AN1296" s="447">
        <f t="shared" si="286"/>
        <v>0</v>
      </c>
      <c r="AO1296"/>
      <c r="AP1296"/>
    </row>
    <row r="1297" spans="1:42" ht="66" x14ac:dyDescent="0.25">
      <c r="A1297" s="1024"/>
      <c r="B1297" s="45" t="s">
        <v>2567</v>
      </c>
      <c r="C1297" s="1024"/>
      <c r="D1297" s="869">
        <v>6</v>
      </c>
      <c r="E1297" s="1027" t="s">
        <v>1721</v>
      </c>
      <c r="F1297" s="273" t="s">
        <v>3446</v>
      </c>
      <c r="G1297" s="1040" t="s">
        <v>3463</v>
      </c>
      <c r="H1297" s="273" t="s">
        <v>3462</v>
      </c>
      <c r="I1297" s="720">
        <f t="shared" si="279"/>
        <v>15.83</v>
      </c>
      <c r="J1297" s="756">
        <v>94.98</v>
      </c>
      <c r="K1297" s="131">
        <f t="shared" si="285"/>
        <v>94.98</v>
      </c>
      <c r="L1297" s="335">
        <f t="shared" si="280"/>
        <v>0</v>
      </c>
      <c r="M1297" s="446"/>
      <c r="N1297" s="446"/>
      <c r="O1297" s="446"/>
      <c r="P1297" s="446"/>
      <c r="Q1297" s="130">
        <v>2</v>
      </c>
      <c r="R1297" s="111">
        <f t="shared" si="277"/>
        <v>23.745000000000001</v>
      </c>
      <c r="S1297" s="110"/>
      <c r="T1297" s="110"/>
      <c r="U1297" s="130">
        <v>2</v>
      </c>
      <c r="V1297" s="111">
        <f t="shared" si="278"/>
        <v>23.745000000000001</v>
      </c>
      <c r="W1297" s="110"/>
      <c r="X1297" s="110"/>
      <c r="Y1297" s="110"/>
      <c r="Z1297" s="110"/>
      <c r="AA1297" s="130">
        <v>1</v>
      </c>
      <c r="AB1297" s="111">
        <f t="shared" si="281"/>
        <v>23.745000000000001</v>
      </c>
      <c r="AC1297" s="110"/>
      <c r="AD1297" s="110"/>
      <c r="AE1297" s="130">
        <v>1</v>
      </c>
      <c r="AF1297" s="111">
        <f t="shared" si="276"/>
        <v>23.745000000000001</v>
      </c>
      <c r="AG1297" s="110"/>
      <c r="AH1297" s="110"/>
      <c r="AI1297" s="110"/>
      <c r="AJ1297" s="110"/>
      <c r="AK1297" s="111">
        <f t="shared" si="282"/>
        <v>94.98</v>
      </c>
      <c r="AL1297" s="446">
        <f t="shared" si="283"/>
        <v>0</v>
      </c>
      <c r="AM1297" s="110">
        <f t="shared" si="284"/>
        <v>6</v>
      </c>
      <c r="AN1297" s="447">
        <f t="shared" si="286"/>
        <v>0</v>
      </c>
      <c r="AO1297"/>
      <c r="AP1297"/>
    </row>
    <row r="1298" spans="1:42" ht="66" x14ac:dyDescent="0.25">
      <c r="A1298" s="1024"/>
      <c r="B1298" s="45" t="s">
        <v>2568</v>
      </c>
      <c r="C1298" s="1024"/>
      <c r="D1298" s="869">
        <v>15</v>
      </c>
      <c r="E1298" s="1027" t="s">
        <v>1721</v>
      </c>
      <c r="F1298" s="273" t="s">
        <v>3446</v>
      </c>
      <c r="G1298" s="1040" t="s">
        <v>3463</v>
      </c>
      <c r="H1298" s="273" t="s">
        <v>3462</v>
      </c>
      <c r="I1298" s="720">
        <f t="shared" si="279"/>
        <v>64.48</v>
      </c>
      <c r="J1298" s="756">
        <v>967.2</v>
      </c>
      <c r="K1298" s="131">
        <f t="shared" si="285"/>
        <v>967.2</v>
      </c>
      <c r="L1298" s="335">
        <f t="shared" si="280"/>
        <v>0</v>
      </c>
      <c r="M1298" s="446"/>
      <c r="N1298" s="446"/>
      <c r="O1298" s="446"/>
      <c r="P1298" s="446"/>
      <c r="Q1298" s="110">
        <v>4</v>
      </c>
      <c r="R1298" s="111">
        <f t="shared" si="277"/>
        <v>241.8</v>
      </c>
      <c r="S1298" s="110"/>
      <c r="T1298" s="110"/>
      <c r="U1298" s="110">
        <v>4</v>
      </c>
      <c r="V1298" s="111">
        <f t="shared" si="278"/>
        <v>241.8</v>
      </c>
      <c r="W1298" s="110"/>
      <c r="X1298" s="110"/>
      <c r="Y1298" s="110"/>
      <c r="Z1298" s="110"/>
      <c r="AA1298" s="110">
        <v>4</v>
      </c>
      <c r="AB1298" s="111">
        <f t="shared" si="281"/>
        <v>241.8</v>
      </c>
      <c r="AC1298" s="110"/>
      <c r="AD1298" s="110"/>
      <c r="AE1298" s="110">
        <v>3</v>
      </c>
      <c r="AF1298" s="111">
        <f t="shared" si="276"/>
        <v>241.8</v>
      </c>
      <c r="AG1298" s="110"/>
      <c r="AH1298" s="110"/>
      <c r="AI1298" s="110"/>
      <c r="AJ1298" s="110"/>
      <c r="AK1298" s="111">
        <f t="shared" si="282"/>
        <v>967.2</v>
      </c>
      <c r="AL1298" s="446">
        <f t="shared" si="283"/>
        <v>0</v>
      </c>
      <c r="AM1298" s="110">
        <f t="shared" si="284"/>
        <v>15</v>
      </c>
      <c r="AN1298" s="447">
        <f t="shared" si="286"/>
        <v>0</v>
      </c>
      <c r="AO1298"/>
      <c r="AP1298"/>
    </row>
    <row r="1299" spans="1:42" ht="66" x14ac:dyDescent="0.25">
      <c r="A1299" s="1024"/>
      <c r="B1299" s="219" t="s">
        <v>2606</v>
      </c>
      <c r="C1299" s="1024"/>
      <c r="D1299" s="880">
        <v>1</v>
      </c>
      <c r="E1299" s="1025" t="s">
        <v>2599</v>
      </c>
      <c r="F1299" s="273" t="s">
        <v>3446</v>
      </c>
      <c r="G1299" s="1040" t="s">
        <v>3463</v>
      </c>
      <c r="H1299" s="273" t="s">
        <v>3462</v>
      </c>
      <c r="I1299" s="720">
        <f t="shared" si="279"/>
        <v>46.573999999999998</v>
      </c>
      <c r="J1299" s="756">
        <v>46.573999999999998</v>
      </c>
      <c r="K1299" s="131">
        <f t="shared" si="285"/>
        <v>46.573999999999998</v>
      </c>
      <c r="L1299" s="335">
        <f t="shared" si="280"/>
        <v>0</v>
      </c>
      <c r="M1299" s="446"/>
      <c r="N1299" s="446"/>
      <c r="O1299" s="446"/>
      <c r="P1299" s="446"/>
      <c r="Q1299" s="110">
        <v>1</v>
      </c>
      <c r="R1299" s="111">
        <v>46.57</v>
      </c>
      <c r="S1299" s="110"/>
      <c r="T1299" s="110"/>
      <c r="U1299" s="110">
        <v>0</v>
      </c>
      <c r="V1299" s="111">
        <v>0</v>
      </c>
      <c r="W1299" s="110"/>
      <c r="X1299" s="110"/>
      <c r="Y1299" s="110"/>
      <c r="Z1299" s="110"/>
      <c r="AA1299" s="110">
        <v>0</v>
      </c>
      <c r="AB1299" s="111">
        <v>0</v>
      </c>
      <c r="AC1299" s="110"/>
      <c r="AD1299" s="110"/>
      <c r="AE1299" s="110">
        <v>0</v>
      </c>
      <c r="AF1299" s="111">
        <v>0</v>
      </c>
      <c r="AG1299" s="110"/>
      <c r="AH1299" s="110"/>
      <c r="AI1299" s="110"/>
      <c r="AJ1299" s="110"/>
      <c r="AK1299" s="111">
        <f t="shared" si="282"/>
        <v>46.57</v>
      </c>
      <c r="AL1299" s="446">
        <f t="shared" si="283"/>
        <v>3.9999999999977831E-3</v>
      </c>
      <c r="AM1299" s="110">
        <f t="shared" si="284"/>
        <v>1</v>
      </c>
      <c r="AN1299" s="447">
        <f t="shared" si="286"/>
        <v>0</v>
      </c>
      <c r="AO1299"/>
      <c r="AP1299"/>
    </row>
    <row r="1300" spans="1:42" ht="66" x14ac:dyDescent="0.25">
      <c r="A1300" s="1024"/>
      <c r="B1300" s="219" t="s">
        <v>2607</v>
      </c>
      <c r="C1300" s="1024"/>
      <c r="D1300" s="880">
        <v>1</v>
      </c>
      <c r="E1300" s="1025" t="s">
        <v>2599</v>
      </c>
      <c r="F1300" s="273" t="s">
        <v>3446</v>
      </c>
      <c r="G1300" s="1040" t="s">
        <v>3463</v>
      </c>
      <c r="H1300" s="273" t="s">
        <v>3462</v>
      </c>
      <c r="I1300" s="720">
        <f t="shared" si="279"/>
        <v>64.484399999999994</v>
      </c>
      <c r="J1300" s="756">
        <v>64.484399999999994</v>
      </c>
      <c r="K1300" s="131">
        <f t="shared" si="285"/>
        <v>64.484399999999994</v>
      </c>
      <c r="L1300" s="335">
        <f t="shared" si="280"/>
        <v>0</v>
      </c>
      <c r="M1300" s="446"/>
      <c r="N1300" s="446"/>
      <c r="O1300" s="446"/>
      <c r="P1300" s="446"/>
      <c r="Q1300" s="110">
        <v>1</v>
      </c>
      <c r="R1300" s="111">
        <v>64.48</v>
      </c>
      <c r="S1300" s="110"/>
      <c r="T1300" s="110"/>
      <c r="U1300" s="110">
        <v>0</v>
      </c>
      <c r="V1300" s="111">
        <v>0</v>
      </c>
      <c r="W1300" s="110"/>
      <c r="X1300" s="110"/>
      <c r="Y1300" s="110"/>
      <c r="Z1300" s="110"/>
      <c r="AA1300" s="110">
        <v>0</v>
      </c>
      <c r="AB1300" s="111">
        <v>0</v>
      </c>
      <c r="AC1300" s="110"/>
      <c r="AD1300" s="110"/>
      <c r="AE1300" s="110">
        <v>0</v>
      </c>
      <c r="AF1300" s="111">
        <v>0</v>
      </c>
      <c r="AG1300" s="110"/>
      <c r="AH1300" s="110"/>
      <c r="AI1300" s="110"/>
      <c r="AJ1300" s="110"/>
      <c r="AK1300" s="111">
        <f t="shared" si="282"/>
        <v>64.48</v>
      </c>
      <c r="AL1300" s="446">
        <f t="shared" si="283"/>
        <v>4.3999999999897454E-3</v>
      </c>
      <c r="AM1300" s="110">
        <f t="shared" si="284"/>
        <v>1</v>
      </c>
      <c r="AN1300" s="447">
        <f t="shared" si="286"/>
        <v>0</v>
      </c>
      <c r="AO1300"/>
      <c r="AP1300"/>
    </row>
    <row r="1301" spans="1:42" ht="66" x14ac:dyDescent="0.25">
      <c r="A1301" s="1024"/>
      <c r="B1301" s="219" t="s">
        <v>2557</v>
      </c>
      <c r="C1301" s="1024"/>
      <c r="D1301" s="880">
        <v>1</v>
      </c>
      <c r="E1301" s="1025" t="s">
        <v>2443</v>
      </c>
      <c r="F1301" s="273" t="s">
        <v>3446</v>
      </c>
      <c r="G1301" s="1040" t="s">
        <v>3463</v>
      </c>
      <c r="H1301" s="273" t="s">
        <v>3462</v>
      </c>
      <c r="I1301" s="720">
        <f t="shared" si="279"/>
        <v>127.33319999999999</v>
      </c>
      <c r="J1301" s="756">
        <v>127.33319999999999</v>
      </c>
      <c r="K1301" s="131">
        <f t="shared" si="285"/>
        <v>127.33319999999999</v>
      </c>
      <c r="L1301" s="335">
        <f t="shared" si="280"/>
        <v>0</v>
      </c>
      <c r="M1301" s="446"/>
      <c r="N1301" s="446"/>
      <c r="O1301" s="446"/>
      <c r="P1301" s="446"/>
      <c r="Q1301" s="110">
        <v>1</v>
      </c>
      <c r="R1301" s="111">
        <v>127.33</v>
      </c>
      <c r="S1301" s="110"/>
      <c r="T1301" s="110"/>
      <c r="U1301" s="110">
        <v>0</v>
      </c>
      <c r="V1301" s="111">
        <v>0</v>
      </c>
      <c r="W1301" s="110"/>
      <c r="X1301" s="110"/>
      <c r="Y1301" s="110"/>
      <c r="Z1301" s="110"/>
      <c r="AA1301" s="110">
        <v>0</v>
      </c>
      <c r="AB1301" s="111">
        <v>0</v>
      </c>
      <c r="AC1301" s="110"/>
      <c r="AD1301" s="110"/>
      <c r="AE1301" s="110">
        <v>0</v>
      </c>
      <c r="AF1301" s="111">
        <v>0</v>
      </c>
      <c r="AG1301" s="110"/>
      <c r="AH1301" s="110"/>
      <c r="AI1301" s="110"/>
      <c r="AJ1301" s="110"/>
      <c r="AK1301" s="111">
        <f t="shared" si="282"/>
        <v>127.33</v>
      </c>
      <c r="AL1301" s="446">
        <f t="shared" si="283"/>
        <v>3.1999999999925421E-3</v>
      </c>
      <c r="AM1301" s="110">
        <f t="shared" si="284"/>
        <v>1</v>
      </c>
      <c r="AN1301" s="447">
        <f t="shared" si="286"/>
        <v>0</v>
      </c>
      <c r="AO1301"/>
      <c r="AP1301"/>
    </row>
    <row r="1302" spans="1:42" ht="66" x14ac:dyDescent="0.25">
      <c r="A1302" s="1024"/>
      <c r="B1302" s="219" t="s">
        <v>2608</v>
      </c>
      <c r="C1302" s="1024"/>
      <c r="D1302" s="880">
        <v>1</v>
      </c>
      <c r="E1302" s="1025" t="s">
        <v>2443</v>
      </c>
      <c r="F1302" s="273" t="s">
        <v>3446</v>
      </c>
      <c r="G1302" s="1040" t="s">
        <v>3463</v>
      </c>
      <c r="H1302" s="273" t="s">
        <v>3462</v>
      </c>
      <c r="I1302" s="720">
        <f t="shared" si="279"/>
        <v>204.48479999999998</v>
      </c>
      <c r="J1302" s="756">
        <v>204.48479999999998</v>
      </c>
      <c r="K1302" s="131">
        <f t="shared" si="285"/>
        <v>204.48479999999998</v>
      </c>
      <c r="L1302" s="335">
        <f t="shared" si="280"/>
        <v>0</v>
      </c>
      <c r="M1302" s="446"/>
      <c r="N1302" s="446"/>
      <c r="O1302" s="446"/>
      <c r="P1302" s="446"/>
      <c r="Q1302" s="110">
        <v>1</v>
      </c>
      <c r="R1302" s="111">
        <v>204.48</v>
      </c>
      <c r="S1302" s="110"/>
      <c r="T1302" s="110"/>
      <c r="U1302" s="110">
        <v>0</v>
      </c>
      <c r="V1302" s="111">
        <v>0</v>
      </c>
      <c r="W1302" s="110"/>
      <c r="X1302" s="110"/>
      <c r="Y1302" s="110"/>
      <c r="Z1302" s="110"/>
      <c r="AA1302" s="110">
        <v>0</v>
      </c>
      <c r="AB1302" s="111">
        <v>0</v>
      </c>
      <c r="AC1302" s="110"/>
      <c r="AD1302" s="110"/>
      <c r="AE1302" s="110">
        <v>0</v>
      </c>
      <c r="AF1302" s="111">
        <v>0</v>
      </c>
      <c r="AG1302" s="110"/>
      <c r="AH1302" s="110"/>
      <c r="AI1302" s="110"/>
      <c r="AJ1302" s="110"/>
      <c r="AK1302" s="111">
        <f t="shared" si="282"/>
        <v>204.48</v>
      </c>
      <c r="AL1302" s="446">
        <f t="shared" si="283"/>
        <v>4.7999999999888132E-3</v>
      </c>
      <c r="AM1302" s="110">
        <f t="shared" si="284"/>
        <v>1</v>
      </c>
      <c r="AN1302" s="447">
        <f t="shared" si="286"/>
        <v>0</v>
      </c>
      <c r="AO1302"/>
      <c r="AP1302"/>
    </row>
    <row r="1303" spans="1:42" ht="66" x14ac:dyDescent="0.25">
      <c r="A1303" s="1024"/>
      <c r="B1303" s="219" t="s">
        <v>2609</v>
      </c>
      <c r="C1303" s="1024"/>
      <c r="D1303" s="880">
        <v>1</v>
      </c>
      <c r="E1303" s="1025" t="s">
        <v>2443</v>
      </c>
      <c r="F1303" s="273" t="s">
        <v>3446</v>
      </c>
      <c r="G1303" s="1040" t="s">
        <v>3463</v>
      </c>
      <c r="H1303" s="273" t="s">
        <v>3462</v>
      </c>
      <c r="I1303" s="720">
        <f t="shared" si="279"/>
        <v>151.58879999999999</v>
      </c>
      <c r="J1303" s="756">
        <v>151.58879999999999</v>
      </c>
      <c r="K1303" s="131">
        <f t="shared" si="285"/>
        <v>151.58879999999999</v>
      </c>
      <c r="L1303" s="335">
        <f t="shared" si="280"/>
        <v>0</v>
      </c>
      <c r="M1303" s="446"/>
      <c r="N1303" s="446"/>
      <c r="O1303" s="446"/>
      <c r="P1303" s="446"/>
      <c r="Q1303" s="110">
        <v>1</v>
      </c>
      <c r="R1303" s="111">
        <v>151.59</v>
      </c>
      <c r="S1303" s="110"/>
      <c r="T1303" s="110"/>
      <c r="U1303" s="110">
        <v>0</v>
      </c>
      <c r="V1303" s="111">
        <v>0</v>
      </c>
      <c r="W1303" s="110"/>
      <c r="X1303" s="110"/>
      <c r="Y1303" s="110"/>
      <c r="Z1303" s="110"/>
      <c r="AA1303" s="110">
        <v>0</v>
      </c>
      <c r="AB1303" s="111">
        <v>0</v>
      </c>
      <c r="AC1303" s="110"/>
      <c r="AD1303" s="110"/>
      <c r="AE1303" s="110">
        <v>0</v>
      </c>
      <c r="AF1303" s="111">
        <v>0</v>
      </c>
      <c r="AG1303" s="110"/>
      <c r="AH1303" s="110"/>
      <c r="AI1303" s="110"/>
      <c r="AJ1303" s="110"/>
      <c r="AK1303" s="111">
        <f t="shared" si="282"/>
        <v>151.59</v>
      </c>
      <c r="AL1303" s="446">
        <f t="shared" si="283"/>
        <v>-1.2000000000114142E-3</v>
      </c>
      <c r="AM1303" s="110">
        <f t="shared" si="284"/>
        <v>1</v>
      </c>
      <c r="AN1303" s="447">
        <f t="shared" si="286"/>
        <v>0</v>
      </c>
      <c r="AO1303"/>
      <c r="AP1303"/>
    </row>
    <row r="1304" spans="1:42" ht="66" x14ac:dyDescent="0.25">
      <c r="A1304" s="1024"/>
      <c r="B1304" s="219" t="s">
        <v>2610</v>
      </c>
      <c r="C1304" s="1024"/>
      <c r="D1304" s="880">
        <v>1</v>
      </c>
      <c r="E1304" s="1025" t="s">
        <v>2628</v>
      </c>
      <c r="F1304" s="273" t="s">
        <v>3446</v>
      </c>
      <c r="G1304" s="1040" t="s">
        <v>3463</v>
      </c>
      <c r="H1304" s="273" t="s">
        <v>3462</v>
      </c>
      <c r="I1304" s="720">
        <f t="shared" si="279"/>
        <v>33.837200000000003</v>
      </c>
      <c r="J1304" s="756">
        <v>33.837200000000003</v>
      </c>
      <c r="K1304" s="131">
        <f t="shared" si="285"/>
        <v>33.837200000000003</v>
      </c>
      <c r="L1304" s="335">
        <f t="shared" si="280"/>
        <v>0</v>
      </c>
      <c r="M1304" s="446"/>
      <c r="N1304" s="446"/>
      <c r="O1304" s="446"/>
      <c r="P1304" s="446"/>
      <c r="Q1304" s="110">
        <v>1</v>
      </c>
      <c r="R1304" s="111">
        <v>33.840000000000003</v>
      </c>
      <c r="S1304" s="110"/>
      <c r="T1304" s="110"/>
      <c r="U1304" s="110">
        <v>0</v>
      </c>
      <c r="V1304" s="111">
        <v>0</v>
      </c>
      <c r="W1304" s="110"/>
      <c r="X1304" s="110"/>
      <c r="Y1304" s="110"/>
      <c r="Z1304" s="110"/>
      <c r="AA1304" s="110">
        <v>0</v>
      </c>
      <c r="AB1304" s="111">
        <v>0</v>
      </c>
      <c r="AC1304" s="110"/>
      <c r="AD1304" s="110"/>
      <c r="AE1304" s="110">
        <v>0</v>
      </c>
      <c r="AF1304" s="111">
        <v>0</v>
      </c>
      <c r="AG1304" s="110"/>
      <c r="AH1304" s="110"/>
      <c r="AI1304" s="110"/>
      <c r="AJ1304" s="110"/>
      <c r="AK1304" s="111">
        <f t="shared" si="282"/>
        <v>33.840000000000003</v>
      </c>
      <c r="AL1304" s="446">
        <f t="shared" si="283"/>
        <v>-2.8000000000005798E-3</v>
      </c>
      <c r="AM1304" s="110">
        <f t="shared" si="284"/>
        <v>1</v>
      </c>
      <c r="AN1304" s="447">
        <f t="shared" si="286"/>
        <v>0</v>
      </c>
      <c r="AO1304"/>
      <c r="AP1304"/>
    </row>
    <row r="1305" spans="1:42" ht="66" x14ac:dyDescent="0.25">
      <c r="A1305" s="1024"/>
      <c r="B1305" s="219" t="s">
        <v>2611</v>
      </c>
      <c r="C1305" s="1024"/>
      <c r="D1305" s="880">
        <v>1</v>
      </c>
      <c r="E1305" s="1025" t="s">
        <v>2470</v>
      </c>
      <c r="F1305" s="273" t="s">
        <v>3446</v>
      </c>
      <c r="G1305" s="1040" t="s">
        <v>3463</v>
      </c>
      <c r="H1305" s="273" t="s">
        <v>3462</v>
      </c>
      <c r="I1305" s="720">
        <f t="shared" si="279"/>
        <v>48.917200000000001</v>
      </c>
      <c r="J1305" s="756">
        <v>48.917200000000001</v>
      </c>
      <c r="K1305" s="131">
        <f t="shared" si="285"/>
        <v>48.917200000000001</v>
      </c>
      <c r="L1305" s="335">
        <f t="shared" si="280"/>
        <v>0</v>
      </c>
      <c r="M1305" s="446"/>
      <c r="N1305" s="446"/>
      <c r="O1305" s="446"/>
      <c r="P1305" s="446"/>
      <c r="Q1305" s="110">
        <v>1</v>
      </c>
      <c r="R1305" s="111">
        <v>48.92</v>
      </c>
      <c r="S1305" s="110"/>
      <c r="T1305" s="110"/>
      <c r="U1305" s="110">
        <v>0</v>
      </c>
      <c r="V1305" s="111">
        <v>0</v>
      </c>
      <c r="W1305" s="110"/>
      <c r="X1305" s="110"/>
      <c r="Y1305" s="110"/>
      <c r="Z1305" s="110"/>
      <c r="AA1305" s="110">
        <v>0</v>
      </c>
      <c r="AB1305" s="111">
        <v>0</v>
      </c>
      <c r="AC1305" s="110"/>
      <c r="AD1305" s="110"/>
      <c r="AE1305" s="110">
        <v>0</v>
      </c>
      <c r="AF1305" s="111">
        <v>0</v>
      </c>
      <c r="AG1305" s="110"/>
      <c r="AH1305" s="110"/>
      <c r="AI1305" s="110"/>
      <c r="AJ1305" s="110"/>
      <c r="AK1305" s="111">
        <f t="shared" si="282"/>
        <v>48.92</v>
      </c>
      <c r="AL1305" s="446">
        <f t="shared" si="283"/>
        <v>-2.8000000000005798E-3</v>
      </c>
      <c r="AM1305" s="110">
        <f t="shared" si="284"/>
        <v>1</v>
      </c>
      <c r="AN1305" s="447">
        <f t="shared" si="286"/>
        <v>0</v>
      </c>
      <c r="AO1305"/>
      <c r="AP1305"/>
    </row>
    <row r="1306" spans="1:42" ht="66" x14ac:dyDescent="0.25">
      <c r="A1306" s="1024"/>
      <c r="B1306" s="219" t="s">
        <v>2612</v>
      </c>
      <c r="C1306" s="1024"/>
      <c r="D1306" s="880">
        <v>1</v>
      </c>
      <c r="E1306" s="1025" t="s">
        <v>2599</v>
      </c>
      <c r="F1306" s="273" t="s">
        <v>3446</v>
      </c>
      <c r="G1306" s="1040" t="s">
        <v>3463</v>
      </c>
      <c r="H1306" s="273" t="s">
        <v>3462</v>
      </c>
      <c r="I1306" s="720">
        <f t="shared" si="279"/>
        <v>65.621200000000002</v>
      </c>
      <c r="J1306" s="756">
        <v>65.621200000000002</v>
      </c>
      <c r="K1306" s="131">
        <f t="shared" si="285"/>
        <v>65.621200000000002</v>
      </c>
      <c r="L1306" s="335">
        <f t="shared" si="280"/>
        <v>0</v>
      </c>
      <c r="M1306" s="446"/>
      <c r="N1306" s="446"/>
      <c r="O1306" s="446"/>
      <c r="P1306" s="446"/>
      <c r="Q1306" s="110">
        <v>1</v>
      </c>
      <c r="R1306" s="111">
        <v>65.62</v>
      </c>
      <c r="S1306" s="110"/>
      <c r="T1306" s="110"/>
      <c r="U1306" s="110">
        <v>0</v>
      </c>
      <c r="V1306" s="111">
        <v>0</v>
      </c>
      <c r="W1306" s="110"/>
      <c r="X1306" s="110"/>
      <c r="Y1306" s="110"/>
      <c r="Z1306" s="110"/>
      <c r="AA1306" s="110">
        <v>0</v>
      </c>
      <c r="AB1306" s="111">
        <v>0</v>
      </c>
      <c r="AC1306" s="110"/>
      <c r="AD1306" s="110"/>
      <c r="AE1306" s="110">
        <v>0</v>
      </c>
      <c r="AF1306" s="111">
        <v>0</v>
      </c>
      <c r="AG1306" s="110"/>
      <c r="AH1306" s="110"/>
      <c r="AI1306" s="110"/>
      <c r="AJ1306" s="110"/>
      <c r="AK1306" s="111">
        <f t="shared" si="282"/>
        <v>65.62</v>
      </c>
      <c r="AL1306" s="446">
        <f t="shared" si="283"/>
        <v>1.1999999999972033E-3</v>
      </c>
      <c r="AM1306" s="110">
        <f t="shared" si="284"/>
        <v>1</v>
      </c>
      <c r="AN1306" s="447">
        <f t="shared" si="286"/>
        <v>0</v>
      </c>
      <c r="AO1306"/>
      <c r="AP1306"/>
    </row>
    <row r="1307" spans="1:42" ht="66" x14ac:dyDescent="0.25">
      <c r="A1307" s="1024"/>
      <c r="B1307" s="219" t="s">
        <v>176</v>
      </c>
      <c r="C1307" s="1024"/>
      <c r="D1307" s="880">
        <v>1</v>
      </c>
      <c r="E1307" s="1025" t="s">
        <v>2599</v>
      </c>
      <c r="F1307" s="273" t="s">
        <v>3446</v>
      </c>
      <c r="G1307" s="1040" t="s">
        <v>3463</v>
      </c>
      <c r="H1307" s="273" t="s">
        <v>3462</v>
      </c>
      <c r="I1307" s="720">
        <f t="shared" si="279"/>
        <v>303.73439999999994</v>
      </c>
      <c r="J1307" s="756">
        <v>303.73439999999994</v>
      </c>
      <c r="K1307" s="131">
        <f t="shared" si="285"/>
        <v>303.73439999999994</v>
      </c>
      <c r="L1307" s="335">
        <f t="shared" si="280"/>
        <v>0</v>
      </c>
      <c r="M1307" s="446"/>
      <c r="N1307" s="446"/>
      <c r="O1307" s="446"/>
      <c r="P1307" s="446"/>
      <c r="Q1307" s="110">
        <v>1</v>
      </c>
      <c r="R1307" s="111">
        <v>303.73</v>
      </c>
      <c r="S1307" s="110"/>
      <c r="T1307" s="110"/>
      <c r="U1307" s="110">
        <v>0</v>
      </c>
      <c r="V1307" s="111">
        <v>0</v>
      </c>
      <c r="W1307" s="110"/>
      <c r="X1307" s="110"/>
      <c r="Y1307" s="110"/>
      <c r="Z1307" s="110"/>
      <c r="AA1307" s="110">
        <v>0</v>
      </c>
      <c r="AB1307" s="111">
        <v>0</v>
      </c>
      <c r="AC1307" s="110"/>
      <c r="AD1307" s="110"/>
      <c r="AE1307" s="110">
        <v>0</v>
      </c>
      <c r="AF1307" s="111">
        <v>0</v>
      </c>
      <c r="AG1307" s="110"/>
      <c r="AH1307" s="110"/>
      <c r="AI1307" s="110"/>
      <c r="AJ1307" s="110"/>
      <c r="AK1307" s="111">
        <f t="shared" si="282"/>
        <v>303.73</v>
      </c>
      <c r="AL1307" s="446">
        <f t="shared" si="283"/>
        <v>4.3999999999186912E-3</v>
      </c>
      <c r="AM1307" s="110">
        <f t="shared" si="284"/>
        <v>1</v>
      </c>
      <c r="AN1307" s="447">
        <f t="shared" si="286"/>
        <v>0</v>
      </c>
      <c r="AO1307"/>
      <c r="AP1307"/>
    </row>
    <row r="1308" spans="1:42" ht="66" x14ac:dyDescent="0.25">
      <c r="A1308" s="1024"/>
      <c r="B1308" s="219" t="s">
        <v>2613</v>
      </c>
      <c r="C1308" s="1024"/>
      <c r="D1308" s="880">
        <v>1</v>
      </c>
      <c r="E1308" s="1025" t="s">
        <v>2599</v>
      </c>
      <c r="F1308" s="273" t="s">
        <v>3446</v>
      </c>
      <c r="G1308" s="1040" t="s">
        <v>3463</v>
      </c>
      <c r="H1308" s="273" t="s">
        <v>3462</v>
      </c>
      <c r="I1308" s="720">
        <f t="shared" si="279"/>
        <v>14.163600000000001</v>
      </c>
      <c r="J1308" s="756">
        <v>14.163600000000001</v>
      </c>
      <c r="K1308" s="131">
        <f t="shared" si="285"/>
        <v>14.163600000000001</v>
      </c>
      <c r="L1308" s="335">
        <f t="shared" si="280"/>
        <v>0</v>
      </c>
      <c r="M1308" s="446"/>
      <c r="N1308" s="446"/>
      <c r="O1308" s="446"/>
      <c r="P1308" s="446"/>
      <c r="Q1308" s="110">
        <v>1</v>
      </c>
      <c r="R1308" s="111">
        <v>14.16</v>
      </c>
      <c r="S1308" s="110"/>
      <c r="T1308" s="110"/>
      <c r="U1308" s="110">
        <v>0</v>
      </c>
      <c r="V1308" s="111">
        <v>0</v>
      </c>
      <c r="W1308" s="110"/>
      <c r="X1308" s="110"/>
      <c r="Y1308" s="110"/>
      <c r="Z1308" s="110"/>
      <c r="AA1308" s="110">
        <v>0</v>
      </c>
      <c r="AB1308" s="111">
        <v>0</v>
      </c>
      <c r="AC1308" s="110"/>
      <c r="AD1308" s="110"/>
      <c r="AE1308" s="110">
        <v>0</v>
      </c>
      <c r="AF1308" s="111">
        <v>0</v>
      </c>
      <c r="AG1308" s="110"/>
      <c r="AH1308" s="110"/>
      <c r="AI1308" s="110"/>
      <c r="AJ1308" s="110"/>
      <c r="AK1308" s="111">
        <f t="shared" si="282"/>
        <v>14.16</v>
      </c>
      <c r="AL1308" s="446">
        <f t="shared" si="283"/>
        <v>3.6000000000004917E-3</v>
      </c>
      <c r="AM1308" s="110">
        <f t="shared" si="284"/>
        <v>1</v>
      </c>
      <c r="AN1308" s="447">
        <f t="shared" si="286"/>
        <v>0</v>
      </c>
      <c r="AO1308"/>
      <c r="AP1308"/>
    </row>
    <row r="1309" spans="1:42" ht="66" x14ac:dyDescent="0.25">
      <c r="A1309" s="1024"/>
      <c r="B1309" s="219" t="s">
        <v>173</v>
      </c>
      <c r="C1309" s="1024"/>
      <c r="D1309" s="880">
        <v>1</v>
      </c>
      <c r="E1309" s="1025" t="s">
        <v>2599</v>
      </c>
      <c r="F1309" s="273" t="s">
        <v>3446</v>
      </c>
      <c r="G1309" s="1040" t="s">
        <v>3463</v>
      </c>
      <c r="H1309" s="273" t="s">
        <v>3462</v>
      </c>
      <c r="I1309" s="720">
        <f t="shared" si="279"/>
        <v>16.170399999999997</v>
      </c>
      <c r="J1309" s="756">
        <v>16.170399999999997</v>
      </c>
      <c r="K1309" s="131">
        <f t="shared" si="285"/>
        <v>16.170399999999997</v>
      </c>
      <c r="L1309" s="335">
        <f t="shared" si="280"/>
        <v>0</v>
      </c>
      <c r="M1309" s="446"/>
      <c r="N1309" s="446"/>
      <c r="O1309" s="446"/>
      <c r="P1309" s="446"/>
      <c r="Q1309" s="110">
        <v>1</v>
      </c>
      <c r="R1309" s="111">
        <v>16.170000000000002</v>
      </c>
      <c r="S1309" s="110"/>
      <c r="T1309" s="110"/>
      <c r="U1309" s="110">
        <v>0</v>
      </c>
      <c r="V1309" s="111">
        <v>0</v>
      </c>
      <c r="W1309" s="110"/>
      <c r="X1309" s="110"/>
      <c r="Y1309" s="110"/>
      <c r="Z1309" s="110"/>
      <c r="AA1309" s="110">
        <v>0</v>
      </c>
      <c r="AB1309" s="111">
        <v>0</v>
      </c>
      <c r="AC1309" s="110"/>
      <c r="AD1309" s="110"/>
      <c r="AE1309" s="110">
        <v>0</v>
      </c>
      <c r="AF1309" s="111">
        <v>0</v>
      </c>
      <c r="AG1309" s="110"/>
      <c r="AH1309" s="110"/>
      <c r="AI1309" s="110"/>
      <c r="AJ1309" s="110"/>
      <c r="AK1309" s="111">
        <f t="shared" si="282"/>
        <v>16.170000000000002</v>
      </c>
      <c r="AL1309" s="446">
        <f t="shared" si="283"/>
        <v>3.9999999999551505E-4</v>
      </c>
      <c r="AM1309" s="110">
        <f t="shared" si="284"/>
        <v>1</v>
      </c>
      <c r="AN1309" s="447">
        <f t="shared" si="286"/>
        <v>0</v>
      </c>
      <c r="AO1309"/>
      <c r="AP1309"/>
    </row>
    <row r="1310" spans="1:42" ht="66" x14ac:dyDescent="0.25">
      <c r="A1310" s="1024"/>
      <c r="B1310" s="219" t="s">
        <v>2614</v>
      </c>
      <c r="C1310" s="1024"/>
      <c r="D1310" s="880">
        <v>1</v>
      </c>
      <c r="E1310" s="1025" t="s">
        <v>2599</v>
      </c>
      <c r="F1310" s="273" t="s">
        <v>3446</v>
      </c>
      <c r="G1310" s="1040" t="s">
        <v>3463</v>
      </c>
      <c r="H1310" s="273" t="s">
        <v>3462</v>
      </c>
      <c r="I1310" s="720">
        <f t="shared" si="279"/>
        <v>15.95</v>
      </c>
      <c r="J1310" s="756">
        <v>15.95</v>
      </c>
      <c r="K1310" s="131">
        <f t="shared" si="285"/>
        <v>15.95</v>
      </c>
      <c r="L1310" s="335">
        <f t="shared" si="280"/>
        <v>0</v>
      </c>
      <c r="M1310" s="446"/>
      <c r="N1310" s="446"/>
      <c r="O1310" s="446"/>
      <c r="P1310" s="446"/>
      <c r="Q1310" s="110">
        <v>1</v>
      </c>
      <c r="R1310" s="111">
        <v>15.95</v>
      </c>
      <c r="S1310" s="110"/>
      <c r="T1310" s="110"/>
      <c r="U1310" s="110">
        <v>0</v>
      </c>
      <c r="V1310" s="111">
        <v>0</v>
      </c>
      <c r="W1310" s="110"/>
      <c r="X1310" s="110"/>
      <c r="Y1310" s="110"/>
      <c r="Z1310" s="110"/>
      <c r="AA1310" s="110">
        <v>0</v>
      </c>
      <c r="AB1310" s="111">
        <v>0</v>
      </c>
      <c r="AC1310" s="110"/>
      <c r="AD1310" s="110"/>
      <c r="AE1310" s="110">
        <v>0</v>
      </c>
      <c r="AF1310" s="111">
        <v>0</v>
      </c>
      <c r="AG1310" s="110"/>
      <c r="AH1310" s="110"/>
      <c r="AI1310" s="110"/>
      <c r="AJ1310" s="110"/>
      <c r="AK1310" s="111">
        <f t="shared" si="282"/>
        <v>15.95</v>
      </c>
      <c r="AL1310" s="446">
        <f t="shared" si="283"/>
        <v>0</v>
      </c>
      <c r="AM1310" s="110">
        <f t="shared" si="284"/>
        <v>1</v>
      </c>
      <c r="AN1310" s="447">
        <f t="shared" si="286"/>
        <v>0</v>
      </c>
      <c r="AO1310"/>
      <c r="AP1310"/>
    </row>
    <row r="1311" spans="1:42" ht="66" x14ac:dyDescent="0.25">
      <c r="A1311" s="1024"/>
      <c r="B1311" s="219" t="s">
        <v>2615</v>
      </c>
      <c r="C1311" s="1024"/>
      <c r="D1311" s="880">
        <v>1</v>
      </c>
      <c r="E1311" s="1025" t="s">
        <v>2599</v>
      </c>
      <c r="F1311" s="273" t="s">
        <v>3446</v>
      </c>
      <c r="G1311" s="1040" t="s">
        <v>3463</v>
      </c>
      <c r="H1311" s="273" t="s">
        <v>3462</v>
      </c>
      <c r="I1311" s="720">
        <f t="shared" si="279"/>
        <v>18.525199999999998</v>
      </c>
      <c r="J1311" s="756">
        <v>18.525199999999998</v>
      </c>
      <c r="K1311" s="131">
        <f t="shared" si="285"/>
        <v>18.525199999999998</v>
      </c>
      <c r="L1311" s="335">
        <f t="shared" si="280"/>
        <v>0</v>
      </c>
      <c r="M1311" s="446"/>
      <c r="N1311" s="446"/>
      <c r="O1311" s="446"/>
      <c r="P1311" s="446"/>
      <c r="Q1311" s="110">
        <v>1</v>
      </c>
      <c r="R1311" s="111">
        <v>18.53</v>
      </c>
      <c r="S1311" s="110"/>
      <c r="T1311" s="110"/>
      <c r="U1311" s="110">
        <v>0</v>
      </c>
      <c r="V1311" s="111">
        <v>0</v>
      </c>
      <c r="W1311" s="110"/>
      <c r="X1311" s="110"/>
      <c r="Y1311" s="110"/>
      <c r="Z1311" s="110"/>
      <c r="AA1311" s="110">
        <v>0</v>
      </c>
      <c r="AB1311" s="111">
        <v>0</v>
      </c>
      <c r="AC1311" s="110"/>
      <c r="AD1311" s="110"/>
      <c r="AE1311" s="110">
        <v>0</v>
      </c>
      <c r="AF1311" s="111">
        <v>0</v>
      </c>
      <c r="AG1311" s="110"/>
      <c r="AH1311" s="110"/>
      <c r="AI1311" s="110"/>
      <c r="AJ1311" s="110"/>
      <c r="AK1311" s="111">
        <f t="shared" si="282"/>
        <v>18.53</v>
      </c>
      <c r="AL1311" s="446">
        <f t="shared" si="283"/>
        <v>-4.8000000000030241E-3</v>
      </c>
      <c r="AM1311" s="110">
        <f t="shared" si="284"/>
        <v>1</v>
      </c>
      <c r="AN1311" s="447">
        <f t="shared" si="286"/>
        <v>0</v>
      </c>
      <c r="AO1311"/>
      <c r="AP1311"/>
    </row>
    <row r="1312" spans="1:42" ht="66" x14ac:dyDescent="0.25">
      <c r="A1312" s="1024"/>
      <c r="B1312" s="219" t="s">
        <v>2616</v>
      </c>
      <c r="C1312" s="1024"/>
      <c r="D1312" s="880">
        <v>1</v>
      </c>
      <c r="E1312" s="1025" t="s">
        <v>2599</v>
      </c>
      <c r="F1312" s="273" t="s">
        <v>3446</v>
      </c>
      <c r="G1312" s="1040" t="s">
        <v>3463</v>
      </c>
      <c r="H1312" s="273" t="s">
        <v>3462</v>
      </c>
      <c r="I1312" s="720">
        <f t="shared" si="279"/>
        <v>25.775199999999998</v>
      </c>
      <c r="J1312" s="756">
        <v>25.775199999999998</v>
      </c>
      <c r="K1312" s="131">
        <f t="shared" si="285"/>
        <v>25.775199999999998</v>
      </c>
      <c r="L1312" s="335">
        <f t="shared" si="280"/>
        <v>0</v>
      </c>
      <c r="M1312" s="446"/>
      <c r="N1312" s="446"/>
      <c r="O1312" s="446"/>
      <c r="P1312" s="446"/>
      <c r="Q1312" s="110">
        <v>1</v>
      </c>
      <c r="R1312" s="111">
        <v>25.78</v>
      </c>
      <c r="S1312" s="110"/>
      <c r="T1312" s="110"/>
      <c r="U1312" s="110">
        <v>0</v>
      </c>
      <c r="V1312" s="111">
        <v>0</v>
      </c>
      <c r="W1312" s="110"/>
      <c r="X1312" s="110"/>
      <c r="Y1312" s="110"/>
      <c r="Z1312" s="110"/>
      <c r="AA1312" s="110">
        <v>0</v>
      </c>
      <c r="AB1312" s="111">
        <v>0</v>
      </c>
      <c r="AC1312" s="110"/>
      <c r="AD1312" s="110"/>
      <c r="AE1312" s="110">
        <v>0</v>
      </c>
      <c r="AF1312" s="111">
        <v>0</v>
      </c>
      <c r="AG1312" s="110"/>
      <c r="AH1312" s="110"/>
      <c r="AI1312" s="110"/>
      <c r="AJ1312" s="110"/>
      <c r="AK1312" s="111">
        <f t="shared" si="282"/>
        <v>25.78</v>
      </c>
      <c r="AL1312" s="446">
        <f t="shared" si="283"/>
        <v>-4.8000000000030241E-3</v>
      </c>
      <c r="AM1312" s="110">
        <f t="shared" si="284"/>
        <v>1</v>
      </c>
      <c r="AN1312" s="447">
        <f t="shared" si="286"/>
        <v>0</v>
      </c>
      <c r="AO1312"/>
      <c r="AP1312"/>
    </row>
    <row r="1313" spans="1:42" ht="66" x14ac:dyDescent="0.25">
      <c r="A1313" s="1024"/>
      <c r="B1313" s="219" t="s">
        <v>2617</v>
      </c>
      <c r="C1313" s="1024"/>
      <c r="D1313" s="880">
        <v>1</v>
      </c>
      <c r="E1313" s="1025" t="s">
        <v>2599</v>
      </c>
      <c r="F1313" s="273" t="s">
        <v>3446</v>
      </c>
      <c r="G1313" s="1040" t="s">
        <v>3463</v>
      </c>
      <c r="H1313" s="273" t="s">
        <v>3462</v>
      </c>
      <c r="I1313" s="720">
        <f t="shared" si="279"/>
        <v>18.397599999999997</v>
      </c>
      <c r="J1313" s="756">
        <v>18.397599999999997</v>
      </c>
      <c r="K1313" s="131">
        <f t="shared" si="285"/>
        <v>18.397599999999997</v>
      </c>
      <c r="L1313" s="335">
        <f t="shared" si="280"/>
        <v>0</v>
      </c>
      <c r="M1313" s="446"/>
      <c r="N1313" s="446"/>
      <c r="O1313" s="446"/>
      <c r="P1313" s="446"/>
      <c r="Q1313" s="110">
        <v>1</v>
      </c>
      <c r="R1313" s="111">
        <v>18.399999999999999</v>
      </c>
      <c r="S1313" s="110"/>
      <c r="T1313" s="110"/>
      <c r="U1313" s="110">
        <v>0</v>
      </c>
      <c r="V1313" s="111">
        <v>0</v>
      </c>
      <c r="W1313" s="110"/>
      <c r="X1313" s="110"/>
      <c r="Y1313" s="110"/>
      <c r="Z1313" s="110"/>
      <c r="AA1313" s="110">
        <v>0</v>
      </c>
      <c r="AB1313" s="111">
        <v>0</v>
      </c>
      <c r="AC1313" s="110"/>
      <c r="AD1313" s="110"/>
      <c r="AE1313" s="110">
        <v>0</v>
      </c>
      <c r="AF1313" s="111">
        <v>0</v>
      </c>
      <c r="AG1313" s="110"/>
      <c r="AH1313" s="110"/>
      <c r="AI1313" s="110"/>
      <c r="AJ1313" s="110"/>
      <c r="AK1313" s="111">
        <f t="shared" si="282"/>
        <v>18.399999999999999</v>
      </c>
      <c r="AL1313" s="446">
        <f t="shared" si="283"/>
        <v>-2.400000000001512E-3</v>
      </c>
      <c r="AM1313" s="110">
        <f t="shared" si="284"/>
        <v>1</v>
      </c>
      <c r="AN1313" s="447">
        <f t="shared" si="286"/>
        <v>0</v>
      </c>
      <c r="AO1313"/>
      <c r="AP1313"/>
    </row>
    <row r="1314" spans="1:42" ht="66" x14ac:dyDescent="0.25">
      <c r="A1314" s="1024"/>
      <c r="B1314" s="219" t="s">
        <v>168</v>
      </c>
      <c r="C1314" s="1024"/>
      <c r="D1314" s="880">
        <v>1</v>
      </c>
      <c r="E1314" s="1025" t="s">
        <v>2599</v>
      </c>
      <c r="F1314" s="273" t="s">
        <v>3446</v>
      </c>
      <c r="G1314" s="1040" t="s">
        <v>3463</v>
      </c>
      <c r="H1314" s="273" t="s">
        <v>3462</v>
      </c>
      <c r="I1314" s="720">
        <f t="shared" si="279"/>
        <v>29.382799999999996</v>
      </c>
      <c r="J1314" s="756">
        <v>29.382799999999996</v>
      </c>
      <c r="K1314" s="131">
        <f t="shared" si="285"/>
        <v>29.382799999999996</v>
      </c>
      <c r="L1314" s="335">
        <f t="shared" si="280"/>
        <v>0</v>
      </c>
      <c r="M1314" s="446"/>
      <c r="N1314" s="446"/>
      <c r="O1314" s="446"/>
      <c r="P1314" s="446"/>
      <c r="Q1314" s="110">
        <v>1</v>
      </c>
      <c r="R1314" s="111">
        <v>29.38</v>
      </c>
      <c r="S1314" s="110"/>
      <c r="T1314" s="110"/>
      <c r="U1314" s="110">
        <v>0</v>
      </c>
      <c r="V1314" s="111">
        <v>0</v>
      </c>
      <c r="W1314" s="110"/>
      <c r="X1314" s="110"/>
      <c r="Y1314" s="110"/>
      <c r="Z1314" s="110"/>
      <c r="AA1314" s="110">
        <v>0</v>
      </c>
      <c r="AB1314" s="111">
        <v>0</v>
      </c>
      <c r="AC1314" s="110"/>
      <c r="AD1314" s="110"/>
      <c r="AE1314" s="110">
        <v>0</v>
      </c>
      <c r="AF1314" s="111">
        <v>0</v>
      </c>
      <c r="AG1314" s="110"/>
      <c r="AH1314" s="110"/>
      <c r="AI1314" s="110"/>
      <c r="AJ1314" s="110"/>
      <c r="AK1314" s="111">
        <f t="shared" si="282"/>
        <v>29.38</v>
      </c>
      <c r="AL1314" s="446">
        <f t="shared" si="283"/>
        <v>2.7999999999970271E-3</v>
      </c>
      <c r="AM1314" s="110">
        <f t="shared" si="284"/>
        <v>1</v>
      </c>
      <c r="AN1314" s="447">
        <f t="shared" si="286"/>
        <v>0</v>
      </c>
      <c r="AO1314"/>
      <c r="AP1314"/>
    </row>
    <row r="1315" spans="1:42" ht="66" x14ac:dyDescent="0.25">
      <c r="A1315" s="1024"/>
      <c r="B1315" s="219" t="s">
        <v>2618</v>
      </c>
      <c r="C1315" s="1024"/>
      <c r="D1315" s="880">
        <v>1</v>
      </c>
      <c r="E1315" s="1025" t="s">
        <v>2599</v>
      </c>
      <c r="F1315" s="273" t="s">
        <v>3446</v>
      </c>
      <c r="G1315" s="1040" t="s">
        <v>3463</v>
      </c>
      <c r="H1315" s="273" t="s">
        <v>3462</v>
      </c>
      <c r="I1315" s="720">
        <f t="shared" si="279"/>
        <v>25.844799999999999</v>
      </c>
      <c r="J1315" s="756">
        <v>25.844799999999999</v>
      </c>
      <c r="K1315" s="131">
        <f t="shared" si="285"/>
        <v>25.844799999999999</v>
      </c>
      <c r="L1315" s="335">
        <f t="shared" si="280"/>
        <v>0</v>
      </c>
      <c r="M1315" s="446"/>
      <c r="N1315" s="446"/>
      <c r="O1315" s="446"/>
      <c r="P1315" s="446"/>
      <c r="Q1315" s="110">
        <v>1</v>
      </c>
      <c r="R1315" s="111">
        <v>25.84</v>
      </c>
      <c r="S1315" s="110"/>
      <c r="T1315" s="110"/>
      <c r="U1315" s="110">
        <v>0</v>
      </c>
      <c r="V1315" s="111">
        <v>0</v>
      </c>
      <c r="W1315" s="110"/>
      <c r="X1315" s="110"/>
      <c r="Y1315" s="110"/>
      <c r="Z1315" s="110"/>
      <c r="AA1315" s="110">
        <v>0</v>
      </c>
      <c r="AB1315" s="111">
        <v>0</v>
      </c>
      <c r="AC1315" s="110"/>
      <c r="AD1315" s="110"/>
      <c r="AE1315" s="110">
        <v>0</v>
      </c>
      <c r="AF1315" s="111">
        <v>0</v>
      </c>
      <c r="AG1315" s="110"/>
      <c r="AH1315" s="110"/>
      <c r="AI1315" s="110"/>
      <c r="AJ1315" s="110"/>
      <c r="AK1315" s="111">
        <f t="shared" si="282"/>
        <v>25.84</v>
      </c>
      <c r="AL1315" s="446">
        <f t="shared" si="283"/>
        <v>4.7999999999994714E-3</v>
      </c>
      <c r="AM1315" s="110">
        <f t="shared" si="284"/>
        <v>1</v>
      </c>
      <c r="AN1315" s="447">
        <f t="shared" si="286"/>
        <v>0</v>
      </c>
      <c r="AO1315"/>
      <c r="AP1315"/>
    </row>
    <row r="1316" spans="1:42" ht="66" x14ac:dyDescent="0.25">
      <c r="A1316" s="1024"/>
      <c r="B1316" s="219" t="s">
        <v>2619</v>
      </c>
      <c r="C1316" s="1024"/>
      <c r="D1316" s="880">
        <v>1</v>
      </c>
      <c r="E1316" s="1025" t="s">
        <v>2443</v>
      </c>
      <c r="F1316" s="273" t="s">
        <v>3446</v>
      </c>
      <c r="G1316" s="1040" t="s">
        <v>3463</v>
      </c>
      <c r="H1316" s="273" t="s">
        <v>3462</v>
      </c>
      <c r="I1316" s="720">
        <f t="shared" si="279"/>
        <v>381.99959999999999</v>
      </c>
      <c r="J1316" s="756">
        <v>381.99959999999999</v>
      </c>
      <c r="K1316" s="131">
        <f t="shared" si="285"/>
        <v>381.99959999999999</v>
      </c>
      <c r="L1316" s="335">
        <f t="shared" si="280"/>
        <v>0</v>
      </c>
      <c r="M1316" s="446"/>
      <c r="N1316" s="446"/>
      <c r="O1316" s="446"/>
      <c r="P1316" s="446"/>
      <c r="Q1316" s="110">
        <v>1</v>
      </c>
      <c r="R1316" s="111">
        <v>382</v>
      </c>
      <c r="S1316" s="110"/>
      <c r="T1316" s="110"/>
      <c r="U1316" s="110">
        <v>0</v>
      </c>
      <c r="V1316" s="111">
        <v>0</v>
      </c>
      <c r="W1316" s="110"/>
      <c r="X1316" s="110"/>
      <c r="Y1316" s="110"/>
      <c r="Z1316" s="110"/>
      <c r="AA1316" s="110">
        <v>0</v>
      </c>
      <c r="AB1316" s="111">
        <v>0</v>
      </c>
      <c r="AC1316" s="110"/>
      <c r="AD1316" s="110"/>
      <c r="AE1316" s="110">
        <v>0</v>
      </c>
      <c r="AF1316" s="111">
        <v>0</v>
      </c>
      <c r="AG1316" s="110"/>
      <c r="AH1316" s="110"/>
      <c r="AI1316" s="110"/>
      <c r="AJ1316" s="110"/>
      <c r="AK1316" s="111">
        <f t="shared" si="282"/>
        <v>382</v>
      </c>
      <c r="AL1316" s="446">
        <f t="shared" si="283"/>
        <v>-4.0000000001327862E-4</v>
      </c>
      <c r="AM1316" s="110">
        <f t="shared" si="284"/>
        <v>1</v>
      </c>
      <c r="AN1316" s="447">
        <f t="shared" si="286"/>
        <v>0</v>
      </c>
      <c r="AO1316"/>
      <c r="AP1316"/>
    </row>
    <row r="1317" spans="1:42" ht="66" x14ac:dyDescent="0.25">
      <c r="A1317" s="1024"/>
      <c r="B1317" s="219" t="s">
        <v>2620</v>
      </c>
      <c r="C1317" s="1024"/>
      <c r="D1317" s="880">
        <v>1</v>
      </c>
      <c r="E1317" s="1025" t="s">
        <v>2443</v>
      </c>
      <c r="F1317" s="273" t="s">
        <v>3446</v>
      </c>
      <c r="G1317" s="1040" t="s">
        <v>3463</v>
      </c>
      <c r="H1317" s="273" t="s">
        <v>3462</v>
      </c>
      <c r="I1317" s="720">
        <f t="shared" si="279"/>
        <v>381.99959999999999</v>
      </c>
      <c r="J1317" s="756">
        <v>381.99959999999999</v>
      </c>
      <c r="K1317" s="131">
        <f t="shared" si="285"/>
        <v>381.99959999999999</v>
      </c>
      <c r="L1317" s="335">
        <f t="shared" si="280"/>
        <v>0</v>
      </c>
      <c r="M1317" s="446"/>
      <c r="N1317" s="446"/>
      <c r="O1317" s="446"/>
      <c r="P1317" s="446"/>
      <c r="Q1317" s="110">
        <v>1</v>
      </c>
      <c r="R1317" s="111">
        <v>382</v>
      </c>
      <c r="S1317" s="110"/>
      <c r="T1317" s="110"/>
      <c r="U1317" s="110">
        <v>0</v>
      </c>
      <c r="V1317" s="111">
        <v>0</v>
      </c>
      <c r="W1317" s="110"/>
      <c r="X1317" s="110"/>
      <c r="Y1317" s="110"/>
      <c r="Z1317" s="110"/>
      <c r="AA1317" s="110">
        <v>0</v>
      </c>
      <c r="AB1317" s="111">
        <v>0</v>
      </c>
      <c r="AC1317" s="110"/>
      <c r="AD1317" s="110"/>
      <c r="AE1317" s="110">
        <v>0</v>
      </c>
      <c r="AF1317" s="111">
        <v>0</v>
      </c>
      <c r="AG1317" s="110"/>
      <c r="AH1317" s="110"/>
      <c r="AI1317" s="110"/>
      <c r="AJ1317" s="110"/>
      <c r="AK1317" s="111">
        <f t="shared" si="282"/>
        <v>382</v>
      </c>
      <c r="AL1317" s="446">
        <f t="shared" si="283"/>
        <v>-4.0000000001327862E-4</v>
      </c>
      <c r="AM1317" s="110">
        <f t="shared" si="284"/>
        <v>1</v>
      </c>
      <c r="AN1317" s="447">
        <f t="shared" si="286"/>
        <v>0</v>
      </c>
      <c r="AO1317"/>
      <c r="AP1317"/>
    </row>
    <row r="1318" spans="1:42" ht="66" x14ac:dyDescent="0.25">
      <c r="A1318" s="1024"/>
      <c r="B1318" s="526" t="s">
        <v>2069</v>
      </c>
      <c r="C1318" s="1024"/>
      <c r="D1318" s="880">
        <v>1</v>
      </c>
      <c r="E1318" s="1025" t="s">
        <v>2443</v>
      </c>
      <c r="F1318" s="273" t="s">
        <v>3446</v>
      </c>
      <c r="G1318" s="1040" t="s">
        <v>3463</v>
      </c>
      <c r="H1318" s="273" t="s">
        <v>3462</v>
      </c>
      <c r="I1318" s="720">
        <f t="shared" si="279"/>
        <v>101.29119999999999</v>
      </c>
      <c r="J1318" s="756">
        <v>101.29119999999999</v>
      </c>
      <c r="K1318" s="131">
        <f t="shared" si="285"/>
        <v>101.29119999999999</v>
      </c>
      <c r="L1318" s="335">
        <f t="shared" si="280"/>
        <v>0</v>
      </c>
      <c r="M1318" s="446"/>
      <c r="N1318" s="446"/>
      <c r="O1318" s="446"/>
      <c r="P1318" s="446"/>
      <c r="Q1318" s="110">
        <v>1</v>
      </c>
      <c r="R1318" s="111">
        <v>101.29</v>
      </c>
      <c r="S1318" s="110"/>
      <c r="T1318" s="110"/>
      <c r="U1318" s="110">
        <v>0</v>
      </c>
      <c r="V1318" s="111">
        <v>0</v>
      </c>
      <c r="W1318" s="110"/>
      <c r="X1318" s="110"/>
      <c r="Y1318" s="110"/>
      <c r="Z1318" s="110"/>
      <c r="AA1318" s="110">
        <v>0</v>
      </c>
      <c r="AB1318" s="111">
        <v>0</v>
      </c>
      <c r="AC1318" s="110"/>
      <c r="AD1318" s="110"/>
      <c r="AE1318" s="110">
        <v>0</v>
      </c>
      <c r="AF1318" s="111">
        <v>0</v>
      </c>
      <c r="AG1318" s="110"/>
      <c r="AH1318" s="110"/>
      <c r="AI1318" s="110"/>
      <c r="AJ1318" s="110"/>
      <c r="AK1318" s="111">
        <f t="shared" si="282"/>
        <v>101.29</v>
      </c>
      <c r="AL1318" s="446">
        <f t="shared" si="283"/>
        <v>1.1999999999829924E-3</v>
      </c>
      <c r="AM1318" s="110">
        <f t="shared" si="284"/>
        <v>1</v>
      </c>
      <c r="AN1318" s="447">
        <f t="shared" si="286"/>
        <v>0</v>
      </c>
      <c r="AO1318"/>
      <c r="AP1318"/>
    </row>
    <row r="1319" spans="1:42" ht="66" x14ac:dyDescent="0.25">
      <c r="A1319" s="1024"/>
      <c r="B1319" s="219" t="s">
        <v>2621</v>
      </c>
      <c r="C1319" s="1024"/>
      <c r="D1319" s="880">
        <v>1</v>
      </c>
      <c r="E1319" s="1025" t="s">
        <v>2599</v>
      </c>
      <c r="F1319" s="273" t="s">
        <v>3446</v>
      </c>
      <c r="G1319" s="1040" t="s">
        <v>3463</v>
      </c>
      <c r="H1319" s="273" t="s">
        <v>3462</v>
      </c>
      <c r="I1319" s="720">
        <f t="shared" si="279"/>
        <v>54.28799999999999</v>
      </c>
      <c r="J1319" s="756">
        <v>54.28799999999999</v>
      </c>
      <c r="K1319" s="131">
        <f t="shared" si="285"/>
        <v>54.28799999999999</v>
      </c>
      <c r="L1319" s="335">
        <f t="shared" si="280"/>
        <v>0</v>
      </c>
      <c r="M1319" s="446"/>
      <c r="N1319" s="446"/>
      <c r="O1319" s="446"/>
      <c r="P1319" s="446"/>
      <c r="Q1319" s="110">
        <v>1</v>
      </c>
      <c r="R1319" s="111">
        <v>54.29</v>
      </c>
      <c r="S1319" s="110"/>
      <c r="T1319" s="110"/>
      <c r="U1319" s="110">
        <v>0</v>
      </c>
      <c r="V1319" s="111">
        <v>0</v>
      </c>
      <c r="W1319" s="110"/>
      <c r="X1319" s="110"/>
      <c r="Y1319" s="110"/>
      <c r="Z1319" s="110"/>
      <c r="AA1319" s="110">
        <v>0</v>
      </c>
      <c r="AB1319" s="111">
        <v>0</v>
      </c>
      <c r="AC1319" s="110"/>
      <c r="AD1319" s="110"/>
      <c r="AE1319" s="110">
        <v>0</v>
      </c>
      <c r="AF1319" s="111">
        <v>0</v>
      </c>
      <c r="AG1319" s="110"/>
      <c r="AH1319" s="110"/>
      <c r="AI1319" s="110"/>
      <c r="AJ1319" s="110"/>
      <c r="AK1319" s="111">
        <f t="shared" si="282"/>
        <v>54.29</v>
      </c>
      <c r="AL1319" s="446">
        <f t="shared" si="283"/>
        <v>-2.0000000000095497E-3</v>
      </c>
      <c r="AM1319" s="110">
        <f t="shared" si="284"/>
        <v>1</v>
      </c>
      <c r="AN1319" s="447">
        <f t="shared" si="286"/>
        <v>0</v>
      </c>
      <c r="AO1319"/>
      <c r="AP1319"/>
    </row>
    <row r="1320" spans="1:42" ht="66" x14ac:dyDescent="0.25">
      <c r="A1320" s="1024"/>
      <c r="B1320" s="219" t="s">
        <v>1165</v>
      </c>
      <c r="C1320" s="1024"/>
      <c r="D1320" s="880">
        <v>1</v>
      </c>
      <c r="E1320" s="1025" t="s">
        <v>2599</v>
      </c>
      <c r="F1320" s="273" t="s">
        <v>3446</v>
      </c>
      <c r="G1320" s="1040" t="s">
        <v>3463</v>
      </c>
      <c r="H1320" s="273" t="s">
        <v>3462</v>
      </c>
      <c r="I1320" s="720">
        <f t="shared" si="279"/>
        <v>67.744</v>
      </c>
      <c r="J1320" s="756">
        <v>67.744</v>
      </c>
      <c r="K1320" s="131">
        <f t="shared" si="285"/>
        <v>67.744</v>
      </c>
      <c r="L1320" s="335">
        <f t="shared" si="280"/>
        <v>0</v>
      </c>
      <c r="M1320" s="446"/>
      <c r="N1320" s="446"/>
      <c r="O1320" s="446"/>
      <c r="P1320" s="446"/>
      <c r="Q1320" s="110">
        <v>1</v>
      </c>
      <c r="R1320" s="111">
        <v>67.739999999999995</v>
      </c>
      <c r="S1320" s="110"/>
      <c r="T1320" s="110"/>
      <c r="U1320" s="110">
        <v>0</v>
      </c>
      <c r="V1320" s="111">
        <v>0</v>
      </c>
      <c r="W1320" s="110"/>
      <c r="X1320" s="110"/>
      <c r="Y1320" s="110"/>
      <c r="Z1320" s="110"/>
      <c r="AA1320" s="110">
        <v>0</v>
      </c>
      <c r="AB1320" s="111">
        <v>0</v>
      </c>
      <c r="AC1320" s="110"/>
      <c r="AD1320" s="110"/>
      <c r="AE1320" s="110">
        <v>0</v>
      </c>
      <c r="AF1320" s="111">
        <v>0</v>
      </c>
      <c r="AG1320" s="110"/>
      <c r="AH1320" s="110"/>
      <c r="AI1320" s="110"/>
      <c r="AJ1320" s="110"/>
      <c r="AK1320" s="111">
        <f t="shared" si="282"/>
        <v>67.739999999999995</v>
      </c>
      <c r="AL1320" s="446">
        <f t="shared" si="283"/>
        <v>4.0000000000048885E-3</v>
      </c>
      <c r="AM1320" s="110">
        <f t="shared" si="284"/>
        <v>1</v>
      </c>
      <c r="AN1320" s="447">
        <f t="shared" si="286"/>
        <v>0</v>
      </c>
      <c r="AO1320"/>
      <c r="AP1320"/>
    </row>
    <row r="1321" spans="1:42" ht="66" x14ac:dyDescent="0.25">
      <c r="A1321" s="1024"/>
      <c r="B1321" s="219" t="s">
        <v>189</v>
      </c>
      <c r="C1321" s="1024"/>
      <c r="D1321" s="880">
        <v>1</v>
      </c>
      <c r="E1321" s="1025" t="s">
        <v>2599</v>
      </c>
      <c r="F1321" s="273" t="s">
        <v>3446</v>
      </c>
      <c r="G1321" s="1040" t="s">
        <v>3463</v>
      </c>
      <c r="H1321" s="273" t="s">
        <v>3462</v>
      </c>
      <c r="I1321" s="720">
        <f t="shared" si="279"/>
        <v>101.54640000000001</v>
      </c>
      <c r="J1321" s="756">
        <v>101.54640000000001</v>
      </c>
      <c r="K1321" s="131">
        <f t="shared" si="285"/>
        <v>101.54640000000001</v>
      </c>
      <c r="L1321" s="335">
        <f t="shared" si="280"/>
        <v>0</v>
      </c>
      <c r="M1321" s="446"/>
      <c r="N1321" s="446"/>
      <c r="O1321" s="446"/>
      <c r="P1321" s="446"/>
      <c r="Q1321" s="110">
        <v>1</v>
      </c>
      <c r="R1321" s="111">
        <v>101.55</v>
      </c>
      <c r="S1321" s="110"/>
      <c r="T1321" s="110"/>
      <c r="U1321" s="110">
        <v>0</v>
      </c>
      <c r="V1321" s="111">
        <v>0</v>
      </c>
      <c r="W1321" s="110"/>
      <c r="X1321" s="110"/>
      <c r="Y1321" s="110"/>
      <c r="Z1321" s="110"/>
      <c r="AA1321" s="110">
        <v>0</v>
      </c>
      <c r="AB1321" s="111">
        <v>0</v>
      </c>
      <c r="AC1321" s="110"/>
      <c r="AD1321" s="110"/>
      <c r="AE1321" s="110">
        <v>0</v>
      </c>
      <c r="AF1321" s="111">
        <v>0</v>
      </c>
      <c r="AG1321" s="110"/>
      <c r="AH1321" s="110"/>
      <c r="AI1321" s="110"/>
      <c r="AJ1321" s="110"/>
      <c r="AK1321" s="111">
        <f t="shared" si="282"/>
        <v>101.55</v>
      </c>
      <c r="AL1321" s="446">
        <f t="shared" si="283"/>
        <v>-3.5999999999916099E-3</v>
      </c>
      <c r="AM1321" s="110">
        <f t="shared" si="284"/>
        <v>1</v>
      </c>
      <c r="AN1321" s="447">
        <f t="shared" si="286"/>
        <v>0</v>
      </c>
      <c r="AO1321"/>
      <c r="AP1321"/>
    </row>
    <row r="1322" spans="1:42" ht="66" x14ac:dyDescent="0.25">
      <c r="A1322" s="1024"/>
      <c r="B1322" s="219" t="s">
        <v>171</v>
      </c>
      <c r="C1322" s="1024"/>
      <c r="D1322" s="880">
        <v>1</v>
      </c>
      <c r="E1322" s="1025" t="s">
        <v>2599</v>
      </c>
      <c r="F1322" s="273" t="s">
        <v>3446</v>
      </c>
      <c r="G1322" s="1040" t="s">
        <v>3463</v>
      </c>
      <c r="H1322" s="273" t="s">
        <v>3462</v>
      </c>
      <c r="I1322" s="720">
        <f t="shared" si="279"/>
        <v>259.86320000000001</v>
      </c>
      <c r="J1322" s="756">
        <v>259.86320000000001</v>
      </c>
      <c r="K1322" s="131">
        <f t="shared" si="285"/>
        <v>259.86320000000001</v>
      </c>
      <c r="L1322" s="335">
        <f t="shared" si="280"/>
        <v>0</v>
      </c>
      <c r="M1322" s="446"/>
      <c r="N1322" s="446"/>
      <c r="O1322" s="446"/>
      <c r="P1322" s="446"/>
      <c r="Q1322" s="110">
        <v>1</v>
      </c>
      <c r="R1322" s="111">
        <v>259.86</v>
      </c>
      <c r="S1322" s="110"/>
      <c r="T1322" s="110"/>
      <c r="U1322" s="110">
        <v>0</v>
      </c>
      <c r="V1322" s="111">
        <v>0</v>
      </c>
      <c r="W1322" s="110"/>
      <c r="X1322" s="110"/>
      <c r="Y1322" s="110"/>
      <c r="Z1322" s="110"/>
      <c r="AA1322" s="110">
        <v>0</v>
      </c>
      <c r="AB1322" s="111">
        <v>0</v>
      </c>
      <c r="AC1322" s="110"/>
      <c r="AD1322" s="110"/>
      <c r="AE1322" s="110">
        <v>0</v>
      </c>
      <c r="AF1322" s="111">
        <v>0</v>
      </c>
      <c r="AG1322" s="110"/>
      <c r="AH1322" s="110"/>
      <c r="AI1322" s="110"/>
      <c r="AJ1322" s="110"/>
      <c r="AK1322" s="111">
        <f t="shared" si="282"/>
        <v>259.86</v>
      </c>
      <c r="AL1322" s="446">
        <f t="shared" si="283"/>
        <v>3.1999999999925421E-3</v>
      </c>
      <c r="AM1322" s="110">
        <f t="shared" si="284"/>
        <v>1</v>
      </c>
      <c r="AN1322" s="447">
        <f t="shared" si="286"/>
        <v>0</v>
      </c>
      <c r="AO1322"/>
      <c r="AP1322"/>
    </row>
    <row r="1323" spans="1:42" ht="66" x14ac:dyDescent="0.25">
      <c r="A1323" s="1024"/>
      <c r="B1323" s="219" t="s">
        <v>2622</v>
      </c>
      <c r="C1323" s="1024"/>
      <c r="D1323" s="880">
        <v>1</v>
      </c>
      <c r="E1323" s="1025" t="s">
        <v>2599</v>
      </c>
      <c r="F1323" s="273" t="s">
        <v>3446</v>
      </c>
      <c r="G1323" s="1040" t="s">
        <v>3463</v>
      </c>
      <c r="H1323" s="273" t="s">
        <v>3462</v>
      </c>
      <c r="I1323" s="720">
        <f t="shared" si="279"/>
        <v>20.021599999999999</v>
      </c>
      <c r="J1323" s="756">
        <v>20.021599999999999</v>
      </c>
      <c r="K1323" s="131">
        <f t="shared" si="285"/>
        <v>20.021599999999999</v>
      </c>
      <c r="L1323" s="335">
        <f t="shared" si="280"/>
        <v>0</v>
      </c>
      <c r="M1323" s="446"/>
      <c r="N1323" s="446"/>
      <c r="O1323" s="446"/>
      <c r="P1323" s="446"/>
      <c r="Q1323" s="110">
        <v>1</v>
      </c>
      <c r="R1323" s="111">
        <v>20.02</v>
      </c>
      <c r="S1323" s="110"/>
      <c r="T1323" s="110"/>
      <c r="U1323" s="110">
        <v>0</v>
      </c>
      <c r="V1323" s="111">
        <v>0</v>
      </c>
      <c r="W1323" s="110"/>
      <c r="X1323" s="110"/>
      <c r="Y1323" s="110"/>
      <c r="Z1323" s="110"/>
      <c r="AA1323" s="110">
        <v>0</v>
      </c>
      <c r="AB1323" s="111">
        <v>0</v>
      </c>
      <c r="AC1323" s="110"/>
      <c r="AD1323" s="110"/>
      <c r="AE1323" s="110">
        <v>0</v>
      </c>
      <c r="AF1323" s="111">
        <v>0</v>
      </c>
      <c r="AG1323" s="110"/>
      <c r="AH1323" s="110"/>
      <c r="AI1323" s="110"/>
      <c r="AJ1323" s="110"/>
      <c r="AK1323" s="111">
        <f t="shared" si="282"/>
        <v>20.02</v>
      </c>
      <c r="AL1323" s="446">
        <f t="shared" si="283"/>
        <v>1.5999999999998238E-3</v>
      </c>
      <c r="AM1323" s="110">
        <f t="shared" si="284"/>
        <v>1</v>
      </c>
      <c r="AN1323" s="447">
        <f t="shared" si="286"/>
        <v>0</v>
      </c>
      <c r="AO1323"/>
      <c r="AP1323"/>
    </row>
    <row r="1324" spans="1:42" ht="66" x14ac:dyDescent="0.25">
      <c r="A1324" s="1024"/>
      <c r="B1324" s="219" t="s">
        <v>2623</v>
      </c>
      <c r="C1324" s="1024"/>
      <c r="D1324" s="880">
        <v>1</v>
      </c>
      <c r="E1324" s="1025" t="s">
        <v>2599</v>
      </c>
      <c r="F1324" s="273" t="s">
        <v>3446</v>
      </c>
      <c r="G1324" s="1040" t="s">
        <v>3463</v>
      </c>
      <c r="H1324" s="273" t="s">
        <v>3462</v>
      </c>
      <c r="I1324" s="720">
        <f t="shared" si="279"/>
        <v>37.235999999999997</v>
      </c>
      <c r="J1324" s="756">
        <v>37.235999999999997</v>
      </c>
      <c r="K1324" s="131">
        <f t="shared" si="285"/>
        <v>37.235999999999997</v>
      </c>
      <c r="L1324" s="335">
        <f t="shared" si="280"/>
        <v>0</v>
      </c>
      <c r="M1324" s="446"/>
      <c r="N1324" s="446"/>
      <c r="O1324" s="446"/>
      <c r="P1324" s="446"/>
      <c r="Q1324" s="110">
        <v>1</v>
      </c>
      <c r="R1324" s="111">
        <v>37.24</v>
      </c>
      <c r="S1324" s="110"/>
      <c r="T1324" s="110"/>
      <c r="U1324" s="110">
        <v>0</v>
      </c>
      <c r="V1324" s="111">
        <v>0</v>
      </c>
      <c r="W1324" s="110"/>
      <c r="X1324" s="110"/>
      <c r="Y1324" s="110"/>
      <c r="Z1324" s="110"/>
      <c r="AA1324" s="110">
        <v>0</v>
      </c>
      <c r="AB1324" s="111">
        <v>0</v>
      </c>
      <c r="AC1324" s="110"/>
      <c r="AD1324" s="110"/>
      <c r="AE1324" s="110">
        <v>0</v>
      </c>
      <c r="AF1324" s="111">
        <v>0</v>
      </c>
      <c r="AG1324" s="110"/>
      <c r="AH1324" s="110"/>
      <c r="AI1324" s="110"/>
      <c r="AJ1324" s="110"/>
      <c r="AK1324" s="111">
        <f t="shared" si="282"/>
        <v>37.24</v>
      </c>
      <c r="AL1324" s="446">
        <f t="shared" si="283"/>
        <v>-4.0000000000048885E-3</v>
      </c>
      <c r="AM1324" s="110">
        <f t="shared" si="284"/>
        <v>1</v>
      </c>
      <c r="AN1324" s="447">
        <f t="shared" si="286"/>
        <v>0</v>
      </c>
      <c r="AO1324"/>
      <c r="AP1324"/>
    </row>
    <row r="1325" spans="1:42" ht="66" x14ac:dyDescent="0.25">
      <c r="A1325" s="1024"/>
      <c r="B1325" s="219" t="s">
        <v>185</v>
      </c>
      <c r="C1325" s="1024"/>
      <c r="D1325" s="880">
        <v>1</v>
      </c>
      <c r="E1325" s="1025" t="s">
        <v>2599</v>
      </c>
      <c r="F1325" s="273" t="s">
        <v>3446</v>
      </c>
      <c r="G1325" s="1040" t="s">
        <v>3463</v>
      </c>
      <c r="H1325" s="273" t="s">
        <v>3462</v>
      </c>
      <c r="I1325" s="720">
        <f t="shared" si="279"/>
        <v>50.622399999999999</v>
      </c>
      <c r="J1325" s="756">
        <v>50.622399999999999</v>
      </c>
      <c r="K1325" s="131">
        <f t="shared" si="285"/>
        <v>50.622399999999999</v>
      </c>
      <c r="L1325" s="335">
        <f t="shared" si="280"/>
        <v>0</v>
      </c>
      <c r="M1325" s="446"/>
      <c r="N1325" s="446"/>
      <c r="O1325" s="446"/>
      <c r="P1325" s="446"/>
      <c r="Q1325" s="110">
        <v>1</v>
      </c>
      <c r="R1325" s="111">
        <v>50.62</v>
      </c>
      <c r="S1325" s="110"/>
      <c r="T1325" s="110"/>
      <c r="U1325" s="110">
        <v>0</v>
      </c>
      <c r="V1325" s="111">
        <v>0</v>
      </c>
      <c r="W1325" s="110"/>
      <c r="X1325" s="110"/>
      <c r="Y1325" s="110"/>
      <c r="Z1325" s="110"/>
      <c r="AA1325" s="110">
        <v>0</v>
      </c>
      <c r="AB1325" s="111">
        <v>0</v>
      </c>
      <c r="AC1325" s="110"/>
      <c r="AD1325" s="110"/>
      <c r="AE1325" s="110">
        <v>0</v>
      </c>
      <c r="AF1325" s="111">
        <v>0</v>
      </c>
      <c r="AG1325" s="110"/>
      <c r="AH1325" s="110"/>
      <c r="AI1325" s="110"/>
      <c r="AJ1325" s="110"/>
      <c r="AK1325" s="111">
        <f t="shared" si="282"/>
        <v>50.62</v>
      </c>
      <c r="AL1325" s="446">
        <f t="shared" si="283"/>
        <v>2.400000000001512E-3</v>
      </c>
      <c r="AM1325" s="110">
        <f t="shared" si="284"/>
        <v>1</v>
      </c>
      <c r="AN1325" s="447">
        <f t="shared" si="286"/>
        <v>0</v>
      </c>
      <c r="AO1325"/>
      <c r="AP1325"/>
    </row>
    <row r="1326" spans="1:42" ht="66" x14ac:dyDescent="0.25">
      <c r="A1326" s="1024"/>
      <c r="B1326" s="219" t="s">
        <v>2624</v>
      </c>
      <c r="C1326" s="1024"/>
      <c r="D1326" s="880">
        <v>1</v>
      </c>
      <c r="E1326" s="1025" t="s">
        <v>2599</v>
      </c>
      <c r="F1326" s="273" t="s">
        <v>3446</v>
      </c>
      <c r="G1326" s="1040" t="s">
        <v>3463</v>
      </c>
      <c r="H1326" s="273" t="s">
        <v>3462</v>
      </c>
      <c r="I1326" s="720">
        <f t="shared" si="279"/>
        <v>23.675599999999999</v>
      </c>
      <c r="J1326" s="756">
        <v>23.675599999999999</v>
      </c>
      <c r="K1326" s="131">
        <f t="shared" si="285"/>
        <v>23.675599999999999</v>
      </c>
      <c r="L1326" s="335">
        <f t="shared" si="280"/>
        <v>0</v>
      </c>
      <c r="M1326" s="446"/>
      <c r="N1326" s="446"/>
      <c r="O1326" s="446"/>
      <c r="P1326" s="446"/>
      <c r="Q1326" s="110">
        <v>1</v>
      </c>
      <c r="R1326" s="111">
        <v>23.68</v>
      </c>
      <c r="S1326" s="110"/>
      <c r="T1326" s="110"/>
      <c r="U1326" s="110">
        <v>0</v>
      </c>
      <c r="V1326" s="111">
        <v>0</v>
      </c>
      <c r="W1326" s="110"/>
      <c r="X1326" s="110"/>
      <c r="Y1326" s="110"/>
      <c r="Z1326" s="110"/>
      <c r="AA1326" s="110">
        <v>0</v>
      </c>
      <c r="AB1326" s="111">
        <v>0</v>
      </c>
      <c r="AC1326" s="110"/>
      <c r="AD1326" s="110"/>
      <c r="AE1326" s="110">
        <v>0</v>
      </c>
      <c r="AF1326" s="111">
        <v>0</v>
      </c>
      <c r="AG1326" s="110"/>
      <c r="AH1326" s="110"/>
      <c r="AI1326" s="110"/>
      <c r="AJ1326" s="110"/>
      <c r="AK1326" s="111">
        <f t="shared" si="282"/>
        <v>23.68</v>
      </c>
      <c r="AL1326" s="446">
        <f t="shared" si="283"/>
        <v>-4.4000000000004036E-3</v>
      </c>
      <c r="AM1326" s="110">
        <f t="shared" si="284"/>
        <v>1</v>
      </c>
      <c r="AN1326" s="447">
        <f t="shared" si="286"/>
        <v>0</v>
      </c>
      <c r="AO1326"/>
      <c r="AP1326"/>
    </row>
    <row r="1327" spans="1:42" ht="66" x14ac:dyDescent="0.25">
      <c r="A1327" s="1024"/>
      <c r="B1327" s="219" t="s">
        <v>2625</v>
      </c>
      <c r="C1327" s="1024"/>
      <c r="D1327" s="880">
        <v>1</v>
      </c>
      <c r="E1327" s="1025" t="s">
        <v>2629</v>
      </c>
      <c r="F1327" s="273" t="s">
        <v>3446</v>
      </c>
      <c r="G1327" s="1040" t="s">
        <v>3463</v>
      </c>
      <c r="H1327" s="273" t="s">
        <v>3462</v>
      </c>
      <c r="I1327" s="720">
        <f t="shared" si="279"/>
        <v>59.16</v>
      </c>
      <c r="J1327" s="756">
        <v>59.16</v>
      </c>
      <c r="K1327" s="131">
        <f t="shared" si="285"/>
        <v>59.16</v>
      </c>
      <c r="L1327" s="335">
        <f t="shared" si="280"/>
        <v>0</v>
      </c>
      <c r="M1327" s="446"/>
      <c r="N1327" s="446"/>
      <c r="O1327" s="446"/>
      <c r="P1327" s="446"/>
      <c r="Q1327" s="110">
        <v>1</v>
      </c>
      <c r="R1327" s="111">
        <v>59.16</v>
      </c>
      <c r="S1327" s="110"/>
      <c r="T1327" s="110"/>
      <c r="U1327" s="110"/>
      <c r="V1327" s="111"/>
      <c r="W1327" s="110"/>
      <c r="X1327" s="110"/>
      <c r="Y1327" s="110"/>
      <c r="Z1327" s="110"/>
      <c r="AA1327" s="110">
        <v>0</v>
      </c>
      <c r="AB1327" s="111">
        <v>0</v>
      </c>
      <c r="AC1327" s="110"/>
      <c r="AD1327" s="110"/>
      <c r="AE1327" s="110">
        <v>0</v>
      </c>
      <c r="AF1327" s="111">
        <v>0</v>
      </c>
      <c r="AG1327" s="110"/>
      <c r="AH1327" s="110"/>
      <c r="AI1327" s="110"/>
      <c r="AJ1327" s="110"/>
      <c r="AK1327" s="111">
        <f t="shared" si="282"/>
        <v>59.16</v>
      </c>
      <c r="AL1327" s="446">
        <f t="shared" si="283"/>
        <v>0</v>
      </c>
      <c r="AM1327" s="110">
        <f t="shared" si="284"/>
        <v>1</v>
      </c>
      <c r="AN1327" s="447">
        <f t="shared" si="286"/>
        <v>0</v>
      </c>
      <c r="AO1327"/>
      <c r="AP1327"/>
    </row>
    <row r="1328" spans="1:42" ht="66" x14ac:dyDescent="0.25">
      <c r="A1328" s="1024"/>
      <c r="B1328" s="219" t="s">
        <v>2626</v>
      </c>
      <c r="C1328" s="1024"/>
      <c r="D1328" s="880">
        <v>1</v>
      </c>
      <c r="E1328" s="1025" t="s">
        <v>2599</v>
      </c>
      <c r="F1328" s="273" t="s">
        <v>3446</v>
      </c>
      <c r="G1328" s="1040" t="s">
        <v>3463</v>
      </c>
      <c r="H1328" s="273" t="s">
        <v>3462</v>
      </c>
      <c r="I1328" s="720">
        <f t="shared" si="279"/>
        <v>22.422799999999995</v>
      </c>
      <c r="J1328" s="756">
        <v>22.422799999999995</v>
      </c>
      <c r="K1328" s="131">
        <f t="shared" si="285"/>
        <v>22.422799999999995</v>
      </c>
      <c r="L1328" s="335">
        <f t="shared" si="280"/>
        <v>0</v>
      </c>
      <c r="M1328" s="446"/>
      <c r="N1328" s="446"/>
      <c r="O1328" s="446"/>
      <c r="P1328" s="446"/>
      <c r="Q1328" s="110">
        <v>1</v>
      </c>
      <c r="R1328" s="111">
        <v>22.42</v>
      </c>
      <c r="S1328" s="110"/>
      <c r="T1328" s="110"/>
      <c r="U1328" s="110">
        <v>0</v>
      </c>
      <c r="V1328" s="111">
        <v>0</v>
      </c>
      <c r="W1328" s="110"/>
      <c r="X1328" s="110"/>
      <c r="Y1328" s="110"/>
      <c r="Z1328" s="110"/>
      <c r="AA1328" s="110">
        <v>0</v>
      </c>
      <c r="AB1328" s="111">
        <v>0</v>
      </c>
      <c r="AC1328" s="110"/>
      <c r="AD1328" s="110"/>
      <c r="AE1328" s="110">
        <v>0</v>
      </c>
      <c r="AF1328" s="111">
        <v>0</v>
      </c>
      <c r="AG1328" s="110"/>
      <c r="AH1328" s="110"/>
      <c r="AI1328" s="110"/>
      <c r="AJ1328" s="110"/>
      <c r="AK1328" s="111">
        <f t="shared" si="282"/>
        <v>22.42</v>
      </c>
      <c r="AL1328" s="446">
        <f t="shared" si="283"/>
        <v>2.7999999999934744E-3</v>
      </c>
      <c r="AM1328" s="110">
        <f t="shared" si="284"/>
        <v>1</v>
      </c>
      <c r="AN1328" s="447">
        <f t="shared" si="286"/>
        <v>0</v>
      </c>
      <c r="AO1328"/>
      <c r="AP1328"/>
    </row>
    <row r="1329" spans="1:42" ht="66" x14ac:dyDescent="0.25">
      <c r="A1329" s="1024"/>
      <c r="B1329" s="231" t="s">
        <v>160</v>
      </c>
      <c r="C1329" s="1024"/>
      <c r="D1329" s="880">
        <v>1</v>
      </c>
      <c r="E1329" s="1025" t="s">
        <v>2599</v>
      </c>
      <c r="F1329" s="273" t="s">
        <v>3446</v>
      </c>
      <c r="G1329" s="1040" t="s">
        <v>3463</v>
      </c>
      <c r="H1329" s="273" t="s">
        <v>3462</v>
      </c>
      <c r="I1329" s="720">
        <f t="shared" si="279"/>
        <v>64.495999999999995</v>
      </c>
      <c r="J1329" s="756">
        <v>64.495999999999995</v>
      </c>
      <c r="K1329" s="131">
        <f t="shared" si="285"/>
        <v>64.495999999999995</v>
      </c>
      <c r="L1329" s="335">
        <f t="shared" si="280"/>
        <v>0</v>
      </c>
      <c r="M1329" s="446"/>
      <c r="N1329" s="446"/>
      <c r="O1329" s="446"/>
      <c r="P1329" s="446"/>
      <c r="Q1329" s="110">
        <v>1</v>
      </c>
      <c r="R1329" s="111">
        <v>64.5</v>
      </c>
      <c r="S1329" s="110"/>
      <c r="T1329" s="110"/>
      <c r="U1329" s="110">
        <v>0</v>
      </c>
      <c r="V1329" s="111">
        <v>0</v>
      </c>
      <c r="W1329" s="110"/>
      <c r="X1329" s="110"/>
      <c r="Y1329" s="110"/>
      <c r="Z1329" s="110"/>
      <c r="AA1329" s="110">
        <v>0</v>
      </c>
      <c r="AB1329" s="111">
        <v>0</v>
      </c>
      <c r="AC1329" s="110"/>
      <c r="AD1329" s="110"/>
      <c r="AE1329" s="110">
        <v>0</v>
      </c>
      <c r="AF1329" s="111">
        <v>0</v>
      </c>
      <c r="AG1329" s="110"/>
      <c r="AH1329" s="110"/>
      <c r="AI1329" s="110"/>
      <c r="AJ1329" s="110"/>
      <c r="AK1329" s="111">
        <f t="shared" si="282"/>
        <v>64.5</v>
      </c>
      <c r="AL1329" s="446">
        <f t="shared" si="283"/>
        <v>-4.0000000000048885E-3</v>
      </c>
      <c r="AM1329" s="110">
        <f t="shared" si="284"/>
        <v>1</v>
      </c>
      <c r="AN1329" s="447">
        <f t="shared" si="286"/>
        <v>0</v>
      </c>
      <c r="AO1329"/>
      <c r="AP1329"/>
    </row>
    <row r="1330" spans="1:42" ht="66" x14ac:dyDescent="0.25">
      <c r="A1330" s="1024"/>
      <c r="B1330" s="527" t="s">
        <v>165</v>
      </c>
      <c r="C1330" s="1024"/>
      <c r="D1330" s="880">
        <v>1</v>
      </c>
      <c r="E1330" s="1025" t="s">
        <v>2599</v>
      </c>
      <c r="F1330" s="273" t="s">
        <v>3446</v>
      </c>
      <c r="G1330" s="1040" t="s">
        <v>3463</v>
      </c>
      <c r="H1330" s="273" t="s">
        <v>3462</v>
      </c>
      <c r="I1330" s="720">
        <f t="shared" si="279"/>
        <v>31.760799999999996</v>
      </c>
      <c r="J1330" s="756">
        <v>31.760799999999996</v>
      </c>
      <c r="K1330" s="131">
        <f t="shared" si="285"/>
        <v>31.760799999999996</v>
      </c>
      <c r="L1330" s="335">
        <f t="shared" si="280"/>
        <v>0</v>
      </c>
      <c r="M1330" s="446"/>
      <c r="N1330" s="446"/>
      <c r="O1330" s="446"/>
      <c r="P1330" s="446"/>
      <c r="Q1330" s="110">
        <v>1</v>
      </c>
      <c r="R1330" s="111">
        <v>31.76</v>
      </c>
      <c r="S1330" s="110"/>
      <c r="T1330" s="110"/>
      <c r="U1330" s="110">
        <v>0</v>
      </c>
      <c r="V1330" s="111">
        <v>0</v>
      </c>
      <c r="W1330" s="110"/>
      <c r="X1330" s="110"/>
      <c r="Y1330" s="110"/>
      <c r="Z1330" s="110"/>
      <c r="AA1330" s="110">
        <v>0</v>
      </c>
      <c r="AB1330" s="111">
        <v>0</v>
      </c>
      <c r="AC1330" s="110"/>
      <c r="AD1330" s="110"/>
      <c r="AE1330" s="110">
        <v>0</v>
      </c>
      <c r="AF1330" s="111">
        <v>0</v>
      </c>
      <c r="AG1330" s="110"/>
      <c r="AH1330" s="110"/>
      <c r="AI1330" s="110"/>
      <c r="AJ1330" s="110"/>
      <c r="AK1330" s="111">
        <f t="shared" si="282"/>
        <v>31.76</v>
      </c>
      <c r="AL1330" s="446">
        <f t="shared" si="283"/>
        <v>7.9999999999458282E-4</v>
      </c>
      <c r="AM1330" s="110">
        <f t="shared" si="284"/>
        <v>1</v>
      </c>
      <c r="AN1330" s="447">
        <f t="shared" si="286"/>
        <v>0</v>
      </c>
      <c r="AO1330"/>
      <c r="AP1330"/>
    </row>
    <row r="1331" spans="1:42" ht="66" x14ac:dyDescent="0.25">
      <c r="A1331" s="1024"/>
      <c r="B1331" s="527" t="s">
        <v>163</v>
      </c>
      <c r="C1331" s="1024"/>
      <c r="D1331" s="880">
        <v>1</v>
      </c>
      <c r="E1331" s="1025" t="s">
        <v>2599</v>
      </c>
      <c r="F1331" s="273" t="s">
        <v>3446</v>
      </c>
      <c r="G1331" s="1040" t="s">
        <v>3463</v>
      </c>
      <c r="H1331" s="273" t="s">
        <v>3462</v>
      </c>
      <c r="I1331" s="720">
        <f t="shared" ref="I1331:I1366" si="287">+J1331/D1331</f>
        <v>37.108399999999996</v>
      </c>
      <c r="J1331" s="756">
        <v>37.108399999999996</v>
      </c>
      <c r="K1331" s="131">
        <f t="shared" si="285"/>
        <v>37.108399999999996</v>
      </c>
      <c r="L1331" s="335">
        <f t="shared" si="280"/>
        <v>0</v>
      </c>
      <c r="M1331" s="446"/>
      <c r="N1331" s="446"/>
      <c r="O1331" s="446"/>
      <c r="P1331" s="446"/>
      <c r="Q1331" s="110">
        <v>1</v>
      </c>
      <c r="R1331" s="111">
        <v>37.11</v>
      </c>
      <c r="S1331" s="110"/>
      <c r="T1331" s="110"/>
      <c r="U1331" s="110">
        <v>0</v>
      </c>
      <c r="V1331" s="111">
        <v>0</v>
      </c>
      <c r="W1331" s="110"/>
      <c r="X1331" s="110"/>
      <c r="Y1331" s="110"/>
      <c r="Z1331" s="110"/>
      <c r="AA1331" s="110">
        <v>0</v>
      </c>
      <c r="AB1331" s="111">
        <v>0</v>
      </c>
      <c r="AC1331" s="110"/>
      <c r="AD1331" s="110"/>
      <c r="AE1331" s="110">
        <v>0</v>
      </c>
      <c r="AF1331" s="111">
        <v>0</v>
      </c>
      <c r="AG1331" s="110"/>
      <c r="AH1331" s="110"/>
      <c r="AI1331" s="110"/>
      <c r="AJ1331" s="110"/>
      <c r="AK1331" s="111">
        <f t="shared" si="282"/>
        <v>37.11</v>
      </c>
      <c r="AL1331" s="446">
        <f t="shared" si="283"/>
        <v>-1.6000000000033765E-3</v>
      </c>
      <c r="AM1331" s="110">
        <f t="shared" si="284"/>
        <v>1</v>
      </c>
      <c r="AN1331" s="447">
        <f t="shared" si="286"/>
        <v>0</v>
      </c>
      <c r="AO1331"/>
      <c r="AP1331"/>
    </row>
    <row r="1332" spans="1:42" ht="66" x14ac:dyDescent="0.25">
      <c r="A1332" s="1024"/>
      <c r="B1332" s="527" t="s">
        <v>695</v>
      </c>
      <c r="C1332" s="1024"/>
      <c r="D1332" s="880">
        <v>1</v>
      </c>
      <c r="E1332" s="1025" t="s">
        <v>2599</v>
      </c>
      <c r="F1332" s="273" t="s">
        <v>3446</v>
      </c>
      <c r="G1332" s="1040" t="s">
        <v>3463</v>
      </c>
      <c r="H1332" s="273" t="s">
        <v>3462</v>
      </c>
      <c r="I1332" s="720">
        <f t="shared" si="287"/>
        <v>15.973199999999999</v>
      </c>
      <c r="J1332" s="756">
        <v>15.973199999999999</v>
      </c>
      <c r="K1332" s="131">
        <f t="shared" si="285"/>
        <v>15.973199999999999</v>
      </c>
      <c r="L1332" s="335">
        <f t="shared" ref="L1332:L1395" si="288">+J1332-K1332</f>
        <v>0</v>
      </c>
      <c r="M1332" s="446"/>
      <c r="N1332" s="446"/>
      <c r="O1332" s="446"/>
      <c r="P1332" s="446"/>
      <c r="Q1332" s="110">
        <v>1</v>
      </c>
      <c r="R1332" s="111">
        <v>15.97</v>
      </c>
      <c r="S1332" s="110"/>
      <c r="T1332" s="110"/>
      <c r="U1332" s="110">
        <v>0</v>
      </c>
      <c r="V1332" s="111">
        <v>0</v>
      </c>
      <c r="W1332" s="110"/>
      <c r="X1332" s="110"/>
      <c r="Y1332" s="110"/>
      <c r="Z1332" s="110"/>
      <c r="AA1332" s="110">
        <v>0</v>
      </c>
      <c r="AB1332" s="111">
        <v>0</v>
      </c>
      <c r="AC1332" s="110"/>
      <c r="AD1332" s="110"/>
      <c r="AE1332" s="110">
        <v>0</v>
      </c>
      <c r="AF1332" s="111">
        <v>0</v>
      </c>
      <c r="AG1332" s="110"/>
      <c r="AH1332" s="110"/>
      <c r="AI1332" s="110"/>
      <c r="AJ1332" s="110"/>
      <c r="AK1332" s="111">
        <f t="shared" ref="AK1332:AK1395" si="289">+R1332+V1332+AB1332+AF1332</f>
        <v>15.97</v>
      </c>
      <c r="AL1332" s="446">
        <f t="shared" ref="AL1332:AL1395" si="290">+J1332-AK1332</f>
        <v>3.1999999999978712E-3</v>
      </c>
      <c r="AM1332" s="110">
        <f t="shared" ref="AM1332:AM1395" si="291">+Q1332+U1332+AA1332+AE1332</f>
        <v>1</v>
      </c>
      <c r="AN1332" s="447">
        <f t="shared" si="286"/>
        <v>0</v>
      </c>
      <c r="AO1332"/>
      <c r="AP1332"/>
    </row>
    <row r="1333" spans="1:42" ht="66" x14ac:dyDescent="0.25">
      <c r="A1333" s="1024"/>
      <c r="B1333" s="527" t="s">
        <v>2627</v>
      </c>
      <c r="C1333" s="1024"/>
      <c r="D1333" s="880">
        <v>1</v>
      </c>
      <c r="E1333" s="1025" t="s">
        <v>2599</v>
      </c>
      <c r="F1333" s="273" t="s">
        <v>3446</v>
      </c>
      <c r="G1333" s="1040" t="s">
        <v>3463</v>
      </c>
      <c r="H1333" s="273" t="s">
        <v>3462</v>
      </c>
      <c r="I1333" s="720">
        <f t="shared" si="287"/>
        <v>14.5116</v>
      </c>
      <c r="J1333" s="756">
        <v>14.5116</v>
      </c>
      <c r="K1333" s="131">
        <f t="shared" si="285"/>
        <v>14.5116</v>
      </c>
      <c r="L1333" s="335">
        <f t="shared" si="288"/>
        <v>0</v>
      </c>
      <c r="M1333" s="446"/>
      <c r="N1333" s="446"/>
      <c r="O1333" s="446"/>
      <c r="P1333" s="446"/>
      <c r="Q1333" s="110">
        <v>1</v>
      </c>
      <c r="R1333" s="111">
        <v>14.51</v>
      </c>
      <c r="S1333" s="110"/>
      <c r="T1333" s="110"/>
      <c r="U1333" s="110">
        <v>0</v>
      </c>
      <c r="V1333" s="111">
        <v>0</v>
      </c>
      <c r="W1333" s="110"/>
      <c r="X1333" s="110"/>
      <c r="Y1333" s="110"/>
      <c r="Z1333" s="110"/>
      <c r="AA1333" s="110">
        <v>0</v>
      </c>
      <c r="AB1333" s="111">
        <v>0</v>
      </c>
      <c r="AC1333" s="110"/>
      <c r="AD1333" s="110"/>
      <c r="AE1333" s="110">
        <v>0</v>
      </c>
      <c r="AF1333" s="111">
        <v>0</v>
      </c>
      <c r="AG1333" s="110"/>
      <c r="AH1333" s="110"/>
      <c r="AI1333" s="110"/>
      <c r="AJ1333" s="110"/>
      <c r="AK1333" s="111">
        <f t="shared" si="289"/>
        <v>14.51</v>
      </c>
      <c r="AL1333" s="446">
        <f t="shared" si="290"/>
        <v>1.5999999999998238E-3</v>
      </c>
      <c r="AM1333" s="110">
        <f t="shared" si="291"/>
        <v>1</v>
      </c>
      <c r="AN1333" s="447">
        <f t="shared" si="286"/>
        <v>0</v>
      </c>
      <c r="AO1333"/>
      <c r="AP1333"/>
    </row>
    <row r="1334" spans="1:42" ht="66" x14ac:dyDescent="0.25">
      <c r="A1334" s="1024"/>
      <c r="B1334" s="528" t="s">
        <v>2909</v>
      </c>
      <c r="C1334" s="1024"/>
      <c r="D1334" s="882">
        <v>60</v>
      </c>
      <c r="E1334" s="251" t="s">
        <v>2938</v>
      </c>
      <c r="F1334" s="273" t="s">
        <v>3446</v>
      </c>
      <c r="G1334" s="1040" t="s">
        <v>3463</v>
      </c>
      <c r="H1334" s="273" t="s">
        <v>3462</v>
      </c>
      <c r="I1334" s="720">
        <f t="shared" si="287"/>
        <v>76</v>
      </c>
      <c r="J1334" s="756">
        <v>4560</v>
      </c>
      <c r="K1334" s="131">
        <f t="shared" si="285"/>
        <v>4560</v>
      </c>
      <c r="L1334" s="335">
        <f t="shared" si="288"/>
        <v>0</v>
      </c>
      <c r="M1334" s="446"/>
      <c r="N1334" s="446"/>
      <c r="O1334" s="446"/>
      <c r="P1334" s="446"/>
      <c r="Q1334" s="110">
        <f t="shared" ref="Q1334:Q1395" si="292">+$D1334/4</f>
        <v>15</v>
      </c>
      <c r="R1334" s="111">
        <f t="shared" ref="R1334:R1397" si="293">+J1334/4</f>
        <v>1140</v>
      </c>
      <c r="S1334" s="110"/>
      <c r="T1334" s="110"/>
      <c r="U1334" s="110">
        <f t="shared" ref="U1334:U1395" si="294">+$D1334/4</f>
        <v>15</v>
      </c>
      <c r="V1334" s="111">
        <f t="shared" ref="V1334:V1397" si="295">+J1334/4</f>
        <v>1140</v>
      </c>
      <c r="W1334" s="110"/>
      <c r="X1334" s="110"/>
      <c r="Y1334" s="110"/>
      <c r="Z1334" s="110"/>
      <c r="AA1334" s="110">
        <f t="shared" ref="AA1334:AE1375" si="296">+$D1334/4</f>
        <v>15</v>
      </c>
      <c r="AB1334" s="111">
        <f t="shared" ref="AB1334:AB1397" si="297">+J1334/4</f>
        <v>1140</v>
      </c>
      <c r="AC1334" s="110"/>
      <c r="AD1334" s="110"/>
      <c r="AE1334" s="110">
        <f t="shared" si="296"/>
        <v>15</v>
      </c>
      <c r="AF1334" s="111">
        <f t="shared" ref="AF1334:AF1397" si="298">+J1334/4</f>
        <v>1140</v>
      </c>
      <c r="AG1334" s="110"/>
      <c r="AH1334" s="110"/>
      <c r="AI1334" s="110"/>
      <c r="AJ1334" s="110"/>
      <c r="AK1334" s="111">
        <f t="shared" si="289"/>
        <v>4560</v>
      </c>
      <c r="AL1334" s="446">
        <f t="shared" si="290"/>
        <v>0</v>
      </c>
      <c r="AM1334" s="110">
        <f t="shared" si="291"/>
        <v>60</v>
      </c>
      <c r="AN1334" s="447">
        <f t="shared" si="286"/>
        <v>0</v>
      </c>
      <c r="AO1334"/>
      <c r="AP1334"/>
    </row>
    <row r="1335" spans="1:42" ht="66" x14ac:dyDescent="0.25">
      <c r="A1335" s="1024"/>
      <c r="B1335" s="528" t="s">
        <v>2910</v>
      </c>
      <c r="C1335" s="1024"/>
      <c r="D1335" s="882">
        <v>12</v>
      </c>
      <c r="E1335" s="251" t="s">
        <v>1736</v>
      </c>
      <c r="F1335" s="273" t="s">
        <v>3446</v>
      </c>
      <c r="G1335" s="1040" t="s">
        <v>3463</v>
      </c>
      <c r="H1335" s="273" t="s">
        <v>3462</v>
      </c>
      <c r="I1335" s="720">
        <f t="shared" si="287"/>
        <v>522</v>
      </c>
      <c r="J1335" s="756">
        <v>6264</v>
      </c>
      <c r="K1335" s="131">
        <f t="shared" si="285"/>
        <v>6264</v>
      </c>
      <c r="L1335" s="335">
        <f t="shared" si="288"/>
        <v>0</v>
      </c>
      <c r="M1335" s="446"/>
      <c r="N1335" s="446"/>
      <c r="O1335" s="446"/>
      <c r="P1335" s="446"/>
      <c r="Q1335" s="110">
        <f t="shared" si="292"/>
        <v>3</v>
      </c>
      <c r="R1335" s="111">
        <f t="shared" si="293"/>
        <v>1566</v>
      </c>
      <c r="S1335" s="110"/>
      <c r="T1335" s="110"/>
      <c r="U1335" s="110">
        <f t="shared" si="294"/>
        <v>3</v>
      </c>
      <c r="V1335" s="111">
        <f t="shared" si="295"/>
        <v>1566</v>
      </c>
      <c r="W1335" s="110"/>
      <c r="X1335" s="110"/>
      <c r="Y1335" s="110"/>
      <c r="Z1335" s="110"/>
      <c r="AA1335" s="110">
        <f t="shared" si="296"/>
        <v>3</v>
      </c>
      <c r="AB1335" s="111">
        <f t="shared" si="297"/>
        <v>1566</v>
      </c>
      <c r="AC1335" s="110"/>
      <c r="AD1335" s="110"/>
      <c r="AE1335" s="110">
        <f t="shared" si="296"/>
        <v>3</v>
      </c>
      <c r="AF1335" s="111">
        <f t="shared" si="298"/>
        <v>1566</v>
      </c>
      <c r="AG1335" s="110"/>
      <c r="AH1335" s="110"/>
      <c r="AI1335" s="110"/>
      <c r="AJ1335" s="110"/>
      <c r="AK1335" s="111">
        <f t="shared" si="289"/>
        <v>6264</v>
      </c>
      <c r="AL1335" s="446">
        <f t="shared" si="290"/>
        <v>0</v>
      </c>
      <c r="AM1335" s="110">
        <f t="shared" si="291"/>
        <v>12</v>
      </c>
      <c r="AN1335" s="447">
        <f t="shared" si="286"/>
        <v>0</v>
      </c>
      <c r="AO1335"/>
      <c r="AP1335"/>
    </row>
    <row r="1336" spans="1:42" ht="66" x14ac:dyDescent="0.25">
      <c r="A1336" s="1024"/>
      <c r="B1336" s="528" t="s">
        <v>2911</v>
      </c>
      <c r="C1336" s="1024"/>
      <c r="D1336" s="882">
        <v>12</v>
      </c>
      <c r="E1336" s="251" t="s">
        <v>2939</v>
      </c>
      <c r="F1336" s="273" t="s">
        <v>3446</v>
      </c>
      <c r="G1336" s="1040" t="s">
        <v>3463</v>
      </c>
      <c r="H1336" s="273" t="s">
        <v>3462</v>
      </c>
      <c r="I1336" s="720">
        <f t="shared" si="287"/>
        <v>231.99999999999997</v>
      </c>
      <c r="J1336" s="756">
        <v>2783.9999999999995</v>
      </c>
      <c r="K1336" s="131">
        <f t="shared" si="285"/>
        <v>2783.9999999999995</v>
      </c>
      <c r="L1336" s="335">
        <f t="shared" si="288"/>
        <v>0</v>
      </c>
      <c r="M1336" s="446"/>
      <c r="N1336" s="446"/>
      <c r="O1336" s="446"/>
      <c r="P1336" s="446"/>
      <c r="Q1336" s="110">
        <f t="shared" si="292"/>
        <v>3</v>
      </c>
      <c r="R1336" s="111">
        <f t="shared" si="293"/>
        <v>695.99999999999989</v>
      </c>
      <c r="S1336" s="110"/>
      <c r="T1336" s="110"/>
      <c r="U1336" s="110">
        <f t="shared" si="294"/>
        <v>3</v>
      </c>
      <c r="V1336" s="111">
        <f t="shared" si="295"/>
        <v>695.99999999999989</v>
      </c>
      <c r="W1336" s="110"/>
      <c r="X1336" s="110"/>
      <c r="Y1336" s="110"/>
      <c r="Z1336" s="110"/>
      <c r="AA1336" s="110">
        <f t="shared" si="296"/>
        <v>3</v>
      </c>
      <c r="AB1336" s="111">
        <f t="shared" si="297"/>
        <v>695.99999999999989</v>
      </c>
      <c r="AC1336" s="110"/>
      <c r="AD1336" s="110"/>
      <c r="AE1336" s="110">
        <f t="shared" si="296"/>
        <v>3</v>
      </c>
      <c r="AF1336" s="111">
        <f t="shared" si="298"/>
        <v>695.99999999999989</v>
      </c>
      <c r="AG1336" s="110"/>
      <c r="AH1336" s="110"/>
      <c r="AI1336" s="110"/>
      <c r="AJ1336" s="110"/>
      <c r="AK1336" s="111">
        <f t="shared" si="289"/>
        <v>2783.9999999999995</v>
      </c>
      <c r="AL1336" s="446">
        <f t="shared" si="290"/>
        <v>0</v>
      </c>
      <c r="AM1336" s="110">
        <f t="shared" si="291"/>
        <v>12</v>
      </c>
      <c r="AN1336" s="447">
        <f t="shared" si="286"/>
        <v>0</v>
      </c>
      <c r="AO1336"/>
      <c r="AP1336"/>
    </row>
    <row r="1337" spans="1:42" ht="66" x14ac:dyDescent="0.25">
      <c r="A1337" s="1024"/>
      <c r="B1337" s="528" t="s">
        <v>2912</v>
      </c>
      <c r="C1337" s="1024"/>
      <c r="D1337" s="882">
        <v>10</v>
      </c>
      <c r="E1337" s="251" t="s">
        <v>1767</v>
      </c>
      <c r="F1337" s="273" t="s">
        <v>3446</v>
      </c>
      <c r="G1337" s="1040" t="s">
        <v>3463</v>
      </c>
      <c r="H1337" s="273" t="s">
        <v>3462</v>
      </c>
      <c r="I1337" s="720">
        <f t="shared" si="287"/>
        <v>46.955640000000002</v>
      </c>
      <c r="J1337" s="756">
        <v>469.55640000000005</v>
      </c>
      <c r="K1337" s="131">
        <f t="shared" si="285"/>
        <v>469.55640000000005</v>
      </c>
      <c r="L1337" s="335">
        <f t="shared" si="288"/>
        <v>0</v>
      </c>
      <c r="M1337" s="446"/>
      <c r="N1337" s="446"/>
      <c r="O1337" s="446"/>
      <c r="P1337" s="446"/>
      <c r="Q1337" s="130">
        <v>3</v>
      </c>
      <c r="R1337" s="111">
        <f t="shared" si="293"/>
        <v>117.38910000000001</v>
      </c>
      <c r="S1337" s="110"/>
      <c r="T1337" s="110"/>
      <c r="U1337" s="130">
        <v>3</v>
      </c>
      <c r="V1337" s="111">
        <f t="shared" si="295"/>
        <v>117.38910000000001</v>
      </c>
      <c r="W1337" s="110"/>
      <c r="X1337" s="110"/>
      <c r="Y1337" s="110"/>
      <c r="Z1337" s="110"/>
      <c r="AA1337" s="130">
        <v>2</v>
      </c>
      <c r="AB1337" s="111">
        <f t="shared" si="297"/>
        <v>117.38910000000001</v>
      </c>
      <c r="AC1337" s="110"/>
      <c r="AD1337" s="110"/>
      <c r="AE1337" s="130">
        <v>2</v>
      </c>
      <c r="AF1337" s="111">
        <f t="shared" si="298"/>
        <v>117.38910000000001</v>
      </c>
      <c r="AG1337" s="110"/>
      <c r="AH1337" s="110"/>
      <c r="AI1337" s="110"/>
      <c r="AJ1337" s="110"/>
      <c r="AK1337" s="111">
        <f t="shared" si="289"/>
        <v>469.55640000000005</v>
      </c>
      <c r="AL1337" s="446">
        <f t="shared" si="290"/>
        <v>0</v>
      </c>
      <c r="AM1337" s="110">
        <f t="shared" si="291"/>
        <v>10</v>
      </c>
      <c r="AN1337" s="447">
        <f t="shared" si="286"/>
        <v>0</v>
      </c>
      <c r="AO1337"/>
      <c r="AP1337"/>
    </row>
    <row r="1338" spans="1:42" ht="66" x14ac:dyDescent="0.25">
      <c r="A1338" s="1024"/>
      <c r="B1338" s="528" t="s">
        <v>2913</v>
      </c>
      <c r="C1338" s="1024"/>
      <c r="D1338" s="882">
        <v>24</v>
      </c>
      <c r="E1338" s="251" t="s">
        <v>2940</v>
      </c>
      <c r="F1338" s="273" t="s">
        <v>3446</v>
      </c>
      <c r="G1338" s="1040" t="s">
        <v>3463</v>
      </c>
      <c r="H1338" s="273" t="s">
        <v>3462</v>
      </c>
      <c r="I1338" s="720">
        <f t="shared" si="287"/>
        <v>82.5</v>
      </c>
      <c r="J1338" s="756">
        <v>1980</v>
      </c>
      <c r="K1338" s="131">
        <f t="shared" si="285"/>
        <v>1980</v>
      </c>
      <c r="L1338" s="335">
        <f t="shared" si="288"/>
        <v>0</v>
      </c>
      <c r="M1338" s="446"/>
      <c r="N1338" s="446"/>
      <c r="O1338" s="446"/>
      <c r="P1338" s="446"/>
      <c r="Q1338" s="110">
        <f t="shared" si="292"/>
        <v>6</v>
      </c>
      <c r="R1338" s="111">
        <f t="shared" si="293"/>
        <v>495</v>
      </c>
      <c r="S1338" s="110"/>
      <c r="T1338" s="110"/>
      <c r="U1338" s="110">
        <f t="shared" si="294"/>
        <v>6</v>
      </c>
      <c r="V1338" s="111">
        <f t="shared" si="295"/>
        <v>495</v>
      </c>
      <c r="W1338" s="110"/>
      <c r="X1338" s="110"/>
      <c r="Y1338" s="110"/>
      <c r="Z1338" s="110"/>
      <c r="AA1338" s="110">
        <f t="shared" si="296"/>
        <v>6</v>
      </c>
      <c r="AB1338" s="111">
        <f t="shared" si="297"/>
        <v>495</v>
      </c>
      <c r="AC1338" s="110"/>
      <c r="AD1338" s="110"/>
      <c r="AE1338" s="110">
        <f t="shared" si="296"/>
        <v>6</v>
      </c>
      <c r="AF1338" s="111">
        <f t="shared" si="298"/>
        <v>495</v>
      </c>
      <c r="AG1338" s="110"/>
      <c r="AH1338" s="110"/>
      <c r="AI1338" s="110"/>
      <c r="AJ1338" s="110"/>
      <c r="AK1338" s="111">
        <f t="shared" si="289"/>
        <v>1980</v>
      </c>
      <c r="AL1338" s="446">
        <f t="shared" si="290"/>
        <v>0</v>
      </c>
      <c r="AM1338" s="110">
        <f t="shared" si="291"/>
        <v>24</v>
      </c>
      <c r="AN1338" s="447">
        <f t="shared" si="286"/>
        <v>0</v>
      </c>
      <c r="AO1338"/>
      <c r="AP1338"/>
    </row>
    <row r="1339" spans="1:42" ht="66" x14ac:dyDescent="0.25">
      <c r="A1339" s="1024"/>
      <c r="B1339" s="528" t="s">
        <v>2914</v>
      </c>
      <c r="C1339" s="1024"/>
      <c r="D1339" s="882">
        <v>24</v>
      </c>
      <c r="E1339" s="251" t="s">
        <v>1767</v>
      </c>
      <c r="F1339" s="273" t="s">
        <v>3446</v>
      </c>
      <c r="G1339" s="1040" t="s">
        <v>3463</v>
      </c>
      <c r="H1339" s="273" t="s">
        <v>3462</v>
      </c>
      <c r="I1339" s="720">
        <f t="shared" si="287"/>
        <v>17.260000000000002</v>
      </c>
      <c r="J1339" s="756">
        <v>414.24</v>
      </c>
      <c r="K1339" s="131">
        <f t="shared" si="285"/>
        <v>414.24</v>
      </c>
      <c r="L1339" s="335">
        <f t="shared" si="288"/>
        <v>0</v>
      </c>
      <c r="M1339" s="446"/>
      <c r="N1339" s="446"/>
      <c r="O1339" s="446"/>
      <c r="P1339" s="446"/>
      <c r="Q1339" s="110">
        <f t="shared" si="292"/>
        <v>6</v>
      </c>
      <c r="R1339" s="111">
        <f t="shared" si="293"/>
        <v>103.56</v>
      </c>
      <c r="S1339" s="110"/>
      <c r="T1339" s="110"/>
      <c r="U1339" s="110">
        <f t="shared" si="294"/>
        <v>6</v>
      </c>
      <c r="V1339" s="111">
        <f t="shared" si="295"/>
        <v>103.56</v>
      </c>
      <c r="W1339" s="110"/>
      <c r="X1339" s="110"/>
      <c r="Y1339" s="110"/>
      <c r="Z1339" s="110"/>
      <c r="AA1339" s="110">
        <f t="shared" si="296"/>
        <v>6</v>
      </c>
      <c r="AB1339" s="111">
        <f t="shared" si="297"/>
        <v>103.56</v>
      </c>
      <c r="AC1339" s="110"/>
      <c r="AD1339" s="110"/>
      <c r="AE1339" s="110">
        <f t="shared" si="296"/>
        <v>6</v>
      </c>
      <c r="AF1339" s="111">
        <f t="shared" si="298"/>
        <v>103.56</v>
      </c>
      <c r="AG1339" s="110"/>
      <c r="AH1339" s="110"/>
      <c r="AI1339" s="110"/>
      <c r="AJ1339" s="110"/>
      <c r="AK1339" s="111">
        <f t="shared" si="289"/>
        <v>414.24</v>
      </c>
      <c r="AL1339" s="446">
        <f t="shared" si="290"/>
        <v>0</v>
      </c>
      <c r="AM1339" s="110">
        <f t="shared" si="291"/>
        <v>24</v>
      </c>
      <c r="AN1339" s="447">
        <f t="shared" si="286"/>
        <v>0</v>
      </c>
      <c r="AO1339"/>
      <c r="AP1339"/>
    </row>
    <row r="1340" spans="1:42" ht="66" x14ac:dyDescent="0.25">
      <c r="A1340" s="1024"/>
      <c r="B1340" s="528" t="s">
        <v>2915</v>
      </c>
      <c r="C1340" s="1024"/>
      <c r="D1340" s="882">
        <v>12</v>
      </c>
      <c r="E1340" s="251" t="s">
        <v>1767</v>
      </c>
      <c r="F1340" s="273" t="s">
        <v>3446</v>
      </c>
      <c r="G1340" s="1040" t="s">
        <v>3463</v>
      </c>
      <c r="H1340" s="273" t="s">
        <v>3462</v>
      </c>
      <c r="I1340" s="720">
        <f t="shared" si="287"/>
        <v>348</v>
      </c>
      <c r="J1340" s="756">
        <v>4176</v>
      </c>
      <c r="K1340" s="131">
        <f t="shared" si="285"/>
        <v>4176</v>
      </c>
      <c r="L1340" s="335">
        <f t="shared" si="288"/>
        <v>0</v>
      </c>
      <c r="M1340" s="446"/>
      <c r="N1340" s="446"/>
      <c r="O1340" s="446"/>
      <c r="P1340" s="446"/>
      <c r="Q1340" s="110">
        <f t="shared" si="292"/>
        <v>3</v>
      </c>
      <c r="R1340" s="111">
        <f t="shared" si="293"/>
        <v>1044</v>
      </c>
      <c r="S1340" s="110"/>
      <c r="T1340" s="110"/>
      <c r="U1340" s="110">
        <f t="shared" si="294"/>
        <v>3</v>
      </c>
      <c r="V1340" s="111">
        <f t="shared" si="295"/>
        <v>1044</v>
      </c>
      <c r="W1340" s="110"/>
      <c r="X1340" s="110"/>
      <c r="Y1340" s="110"/>
      <c r="Z1340" s="110"/>
      <c r="AA1340" s="110">
        <f t="shared" si="296"/>
        <v>3</v>
      </c>
      <c r="AB1340" s="111">
        <f t="shared" si="297"/>
        <v>1044</v>
      </c>
      <c r="AC1340" s="110"/>
      <c r="AD1340" s="110"/>
      <c r="AE1340" s="110">
        <f t="shared" si="296"/>
        <v>3</v>
      </c>
      <c r="AF1340" s="111">
        <f t="shared" si="298"/>
        <v>1044</v>
      </c>
      <c r="AG1340" s="110"/>
      <c r="AH1340" s="110"/>
      <c r="AI1340" s="110"/>
      <c r="AJ1340" s="110"/>
      <c r="AK1340" s="111">
        <f t="shared" si="289"/>
        <v>4176</v>
      </c>
      <c r="AL1340" s="446">
        <f t="shared" si="290"/>
        <v>0</v>
      </c>
      <c r="AM1340" s="110">
        <f t="shared" si="291"/>
        <v>12</v>
      </c>
      <c r="AN1340" s="447">
        <f t="shared" si="286"/>
        <v>0</v>
      </c>
      <c r="AO1340"/>
      <c r="AP1340"/>
    </row>
    <row r="1341" spans="1:42" ht="66" x14ac:dyDescent="0.25">
      <c r="A1341" s="1024"/>
      <c r="B1341" s="528" t="s">
        <v>2916</v>
      </c>
      <c r="C1341" s="1024"/>
      <c r="D1341" s="882">
        <v>1</v>
      </c>
      <c r="E1341" s="251" t="s">
        <v>1767</v>
      </c>
      <c r="F1341" s="273" t="s">
        <v>3446</v>
      </c>
      <c r="G1341" s="1040" t="s">
        <v>3463</v>
      </c>
      <c r="H1341" s="273" t="s">
        <v>3462</v>
      </c>
      <c r="I1341" s="720">
        <f t="shared" si="287"/>
        <v>225</v>
      </c>
      <c r="J1341" s="756">
        <v>225</v>
      </c>
      <c r="K1341" s="131">
        <f t="shared" si="285"/>
        <v>225</v>
      </c>
      <c r="L1341" s="335">
        <f t="shared" si="288"/>
        <v>0</v>
      </c>
      <c r="M1341" s="446"/>
      <c r="N1341" s="446"/>
      <c r="O1341" s="446"/>
      <c r="P1341" s="446"/>
      <c r="Q1341" s="110">
        <v>1</v>
      </c>
      <c r="R1341" s="111">
        <v>225</v>
      </c>
      <c r="S1341" s="110"/>
      <c r="T1341" s="110"/>
      <c r="U1341" s="110">
        <v>0</v>
      </c>
      <c r="V1341" s="111">
        <v>0</v>
      </c>
      <c r="W1341" s="110"/>
      <c r="X1341" s="110"/>
      <c r="Y1341" s="110"/>
      <c r="Z1341" s="110"/>
      <c r="AA1341" s="110">
        <v>0</v>
      </c>
      <c r="AB1341" s="111">
        <v>0</v>
      </c>
      <c r="AC1341" s="110"/>
      <c r="AD1341" s="110"/>
      <c r="AE1341" s="110">
        <v>0</v>
      </c>
      <c r="AF1341" s="111">
        <v>0</v>
      </c>
      <c r="AG1341" s="110"/>
      <c r="AH1341" s="110"/>
      <c r="AI1341" s="110"/>
      <c r="AJ1341" s="110"/>
      <c r="AK1341" s="111">
        <f t="shared" si="289"/>
        <v>225</v>
      </c>
      <c r="AL1341" s="446">
        <f t="shared" si="290"/>
        <v>0</v>
      </c>
      <c r="AM1341" s="110">
        <f t="shared" si="291"/>
        <v>1</v>
      </c>
      <c r="AN1341" s="447">
        <f t="shared" si="286"/>
        <v>0</v>
      </c>
      <c r="AO1341"/>
      <c r="AP1341"/>
    </row>
    <row r="1342" spans="1:42" ht="66" x14ac:dyDescent="0.25">
      <c r="A1342" s="1024"/>
      <c r="B1342" s="528" t="s">
        <v>2917</v>
      </c>
      <c r="C1342" s="1024"/>
      <c r="D1342" s="882">
        <v>24</v>
      </c>
      <c r="E1342" s="251" t="s">
        <v>2939</v>
      </c>
      <c r="F1342" s="273" t="s">
        <v>3446</v>
      </c>
      <c r="G1342" s="1040" t="s">
        <v>3463</v>
      </c>
      <c r="H1342" s="273" t="s">
        <v>3462</v>
      </c>
      <c r="I1342" s="720">
        <f t="shared" si="287"/>
        <v>232</v>
      </c>
      <c r="J1342" s="756">
        <v>5568</v>
      </c>
      <c r="K1342" s="131">
        <f t="shared" si="285"/>
        <v>5568</v>
      </c>
      <c r="L1342" s="335">
        <f t="shared" si="288"/>
        <v>0</v>
      </c>
      <c r="M1342" s="446"/>
      <c r="N1342" s="446"/>
      <c r="O1342" s="446"/>
      <c r="P1342" s="446"/>
      <c r="Q1342" s="110">
        <f t="shared" si="292"/>
        <v>6</v>
      </c>
      <c r="R1342" s="111">
        <f t="shared" si="293"/>
        <v>1392</v>
      </c>
      <c r="S1342" s="110"/>
      <c r="T1342" s="110"/>
      <c r="U1342" s="110">
        <f t="shared" si="294"/>
        <v>6</v>
      </c>
      <c r="V1342" s="111">
        <f t="shared" si="295"/>
        <v>1392</v>
      </c>
      <c r="W1342" s="110"/>
      <c r="X1342" s="110"/>
      <c r="Y1342" s="110"/>
      <c r="Z1342" s="110"/>
      <c r="AA1342" s="110">
        <f t="shared" si="296"/>
        <v>6</v>
      </c>
      <c r="AB1342" s="111">
        <f t="shared" si="297"/>
        <v>1392</v>
      </c>
      <c r="AC1342" s="110"/>
      <c r="AD1342" s="110"/>
      <c r="AE1342" s="110">
        <f t="shared" si="296"/>
        <v>6</v>
      </c>
      <c r="AF1342" s="111">
        <f t="shared" si="298"/>
        <v>1392</v>
      </c>
      <c r="AG1342" s="110"/>
      <c r="AH1342" s="110"/>
      <c r="AI1342" s="110"/>
      <c r="AJ1342" s="110"/>
      <c r="AK1342" s="111">
        <f t="shared" si="289"/>
        <v>5568</v>
      </c>
      <c r="AL1342" s="446">
        <f t="shared" si="290"/>
        <v>0</v>
      </c>
      <c r="AM1342" s="110">
        <f t="shared" si="291"/>
        <v>24</v>
      </c>
      <c r="AN1342" s="447">
        <f t="shared" si="286"/>
        <v>0</v>
      </c>
      <c r="AO1342"/>
      <c r="AP1342"/>
    </row>
    <row r="1343" spans="1:42" ht="66" x14ac:dyDescent="0.25">
      <c r="A1343" s="1024"/>
      <c r="B1343" s="528" t="s">
        <v>164</v>
      </c>
      <c r="C1343" s="1024"/>
      <c r="D1343" s="882">
        <v>6</v>
      </c>
      <c r="E1343" s="251" t="s">
        <v>2941</v>
      </c>
      <c r="F1343" s="273" t="s">
        <v>3446</v>
      </c>
      <c r="G1343" s="1040" t="s">
        <v>3463</v>
      </c>
      <c r="H1343" s="273" t="s">
        <v>3462</v>
      </c>
      <c r="I1343" s="720">
        <f t="shared" si="287"/>
        <v>109.77</v>
      </c>
      <c r="J1343" s="756">
        <v>658.62</v>
      </c>
      <c r="K1343" s="131">
        <f t="shared" si="285"/>
        <v>658.62</v>
      </c>
      <c r="L1343" s="335">
        <f t="shared" si="288"/>
        <v>0</v>
      </c>
      <c r="M1343" s="446"/>
      <c r="N1343" s="446"/>
      <c r="O1343" s="446"/>
      <c r="P1343" s="446"/>
      <c r="Q1343" s="130">
        <v>2</v>
      </c>
      <c r="R1343" s="111">
        <f t="shared" si="293"/>
        <v>164.655</v>
      </c>
      <c r="S1343" s="110"/>
      <c r="T1343" s="110"/>
      <c r="U1343" s="130">
        <v>2</v>
      </c>
      <c r="V1343" s="111">
        <f t="shared" si="295"/>
        <v>164.655</v>
      </c>
      <c r="W1343" s="110"/>
      <c r="X1343" s="110"/>
      <c r="Y1343" s="110"/>
      <c r="Z1343" s="110"/>
      <c r="AA1343" s="130">
        <v>1</v>
      </c>
      <c r="AB1343" s="111">
        <f t="shared" si="297"/>
        <v>164.655</v>
      </c>
      <c r="AC1343" s="110"/>
      <c r="AD1343" s="110"/>
      <c r="AE1343" s="130">
        <v>1</v>
      </c>
      <c r="AF1343" s="111">
        <f t="shared" si="298"/>
        <v>164.655</v>
      </c>
      <c r="AG1343" s="110"/>
      <c r="AH1343" s="110"/>
      <c r="AI1343" s="110"/>
      <c r="AJ1343" s="110"/>
      <c r="AK1343" s="111">
        <f t="shared" si="289"/>
        <v>658.62</v>
      </c>
      <c r="AL1343" s="446">
        <f t="shared" si="290"/>
        <v>0</v>
      </c>
      <c r="AM1343" s="110">
        <f t="shared" si="291"/>
        <v>6</v>
      </c>
      <c r="AN1343" s="447">
        <f t="shared" si="286"/>
        <v>0</v>
      </c>
      <c r="AO1343"/>
      <c r="AP1343"/>
    </row>
    <row r="1344" spans="1:42" ht="66" x14ac:dyDescent="0.25">
      <c r="A1344" s="1024"/>
      <c r="B1344" s="529" t="s">
        <v>1163</v>
      </c>
      <c r="C1344" s="1024"/>
      <c r="D1344" s="898">
        <v>24</v>
      </c>
      <c r="E1344" s="251" t="s">
        <v>1767</v>
      </c>
      <c r="F1344" s="273" t="s">
        <v>3446</v>
      </c>
      <c r="G1344" s="1040" t="s">
        <v>3463</v>
      </c>
      <c r="H1344" s="273" t="s">
        <v>3462</v>
      </c>
      <c r="I1344" s="720">
        <f t="shared" si="287"/>
        <v>148</v>
      </c>
      <c r="J1344" s="756">
        <v>3552</v>
      </c>
      <c r="K1344" s="131">
        <f t="shared" si="285"/>
        <v>3552</v>
      </c>
      <c r="L1344" s="335">
        <f t="shared" si="288"/>
        <v>0</v>
      </c>
      <c r="M1344" s="446"/>
      <c r="N1344" s="446"/>
      <c r="O1344" s="446"/>
      <c r="P1344" s="446"/>
      <c r="Q1344" s="110">
        <f t="shared" si="292"/>
        <v>6</v>
      </c>
      <c r="R1344" s="111">
        <f t="shared" si="293"/>
        <v>888</v>
      </c>
      <c r="S1344" s="110"/>
      <c r="T1344" s="110"/>
      <c r="U1344" s="110">
        <f t="shared" si="294"/>
        <v>6</v>
      </c>
      <c r="V1344" s="111">
        <f t="shared" si="295"/>
        <v>888</v>
      </c>
      <c r="W1344" s="110"/>
      <c r="X1344" s="110"/>
      <c r="Y1344" s="110"/>
      <c r="Z1344" s="110"/>
      <c r="AA1344" s="110">
        <f t="shared" si="296"/>
        <v>6</v>
      </c>
      <c r="AB1344" s="111">
        <f t="shared" si="297"/>
        <v>888</v>
      </c>
      <c r="AC1344" s="110"/>
      <c r="AD1344" s="110"/>
      <c r="AE1344" s="110">
        <f t="shared" si="296"/>
        <v>6</v>
      </c>
      <c r="AF1344" s="111">
        <f t="shared" si="298"/>
        <v>888</v>
      </c>
      <c r="AG1344" s="110"/>
      <c r="AH1344" s="110"/>
      <c r="AI1344" s="110"/>
      <c r="AJ1344" s="110"/>
      <c r="AK1344" s="111">
        <f t="shared" si="289"/>
        <v>3552</v>
      </c>
      <c r="AL1344" s="446">
        <f t="shared" si="290"/>
        <v>0</v>
      </c>
      <c r="AM1344" s="110">
        <f t="shared" si="291"/>
        <v>24</v>
      </c>
      <c r="AN1344" s="447">
        <f t="shared" si="286"/>
        <v>0</v>
      </c>
      <c r="AO1344"/>
      <c r="AP1344"/>
    </row>
    <row r="1345" spans="1:42" ht="66" x14ac:dyDescent="0.25">
      <c r="A1345" s="1024"/>
      <c r="B1345" s="528" t="s">
        <v>178</v>
      </c>
      <c r="C1345" s="1024"/>
      <c r="D1345" s="882">
        <v>120</v>
      </c>
      <c r="E1345" s="251" t="s">
        <v>1949</v>
      </c>
      <c r="F1345" s="273" t="s">
        <v>3446</v>
      </c>
      <c r="G1345" s="1040" t="s">
        <v>3463</v>
      </c>
      <c r="H1345" s="273" t="s">
        <v>3462</v>
      </c>
      <c r="I1345" s="720">
        <f t="shared" si="287"/>
        <v>29.17</v>
      </c>
      <c r="J1345" s="756">
        <v>3500.4</v>
      </c>
      <c r="K1345" s="131">
        <f t="shared" si="285"/>
        <v>3500.4</v>
      </c>
      <c r="L1345" s="335">
        <f t="shared" si="288"/>
        <v>0</v>
      </c>
      <c r="M1345" s="446"/>
      <c r="N1345" s="446"/>
      <c r="O1345" s="446"/>
      <c r="P1345" s="446"/>
      <c r="Q1345" s="110">
        <v>50</v>
      </c>
      <c r="R1345" s="111">
        <f t="shared" si="293"/>
        <v>875.1</v>
      </c>
      <c r="S1345" s="110"/>
      <c r="T1345" s="110"/>
      <c r="U1345" s="110">
        <v>50</v>
      </c>
      <c r="V1345" s="111">
        <f t="shared" si="295"/>
        <v>875.1</v>
      </c>
      <c r="W1345" s="110"/>
      <c r="X1345" s="110"/>
      <c r="Y1345" s="110"/>
      <c r="Z1345" s="110"/>
      <c r="AA1345" s="110">
        <v>10</v>
      </c>
      <c r="AB1345" s="111">
        <f t="shared" si="297"/>
        <v>875.1</v>
      </c>
      <c r="AC1345" s="110"/>
      <c r="AD1345" s="110"/>
      <c r="AE1345" s="110">
        <v>10</v>
      </c>
      <c r="AF1345" s="111">
        <f t="shared" si="298"/>
        <v>875.1</v>
      </c>
      <c r="AG1345" s="110"/>
      <c r="AH1345" s="110"/>
      <c r="AI1345" s="110"/>
      <c r="AJ1345" s="110"/>
      <c r="AK1345" s="111">
        <f t="shared" si="289"/>
        <v>3500.4</v>
      </c>
      <c r="AL1345" s="446">
        <f t="shared" si="290"/>
        <v>0</v>
      </c>
      <c r="AM1345" s="110">
        <f t="shared" si="291"/>
        <v>120</v>
      </c>
      <c r="AN1345" s="447">
        <f t="shared" si="286"/>
        <v>0</v>
      </c>
      <c r="AO1345"/>
      <c r="AP1345"/>
    </row>
    <row r="1346" spans="1:42" ht="66" x14ac:dyDescent="0.25">
      <c r="A1346" s="1024"/>
      <c r="B1346" s="528" t="s">
        <v>2918</v>
      </c>
      <c r="C1346" s="1024"/>
      <c r="D1346" s="882">
        <v>12</v>
      </c>
      <c r="E1346" s="251" t="s">
        <v>2940</v>
      </c>
      <c r="F1346" s="273" t="s">
        <v>3446</v>
      </c>
      <c r="G1346" s="1040" t="s">
        <v>3463</v>
      </c>
      <c r="H1346" s="273" t="s">
        <v>3462</v>
      </c>
      <c r="I1346" s="720">
        <f t="shared" si="287"/>
        <v>174</v>
      </c>
      <c r="J1346" s="756">
        <v>2088</v>
      </c>
      <c r="K1346" s="131">
        <f t="shared" si="285"/>
        <v>2088</v>
      </c>
      <c r="L1346" s="335">
        <f t="shared" si="288"/>
        <v>0</v>
      </c>
      <c r="M1346" s="446"/>
      <c r="N1346" s="446"/>
      <c r="O1346" s="446"/>
      <c r="P1346" s="446"/>
      <c r="Q1346" s="110">
        <f t="shared" si="292"/>
        <v>3</v>
      </c>
      <c r="R1346" s="111">
        <f t="shared" si="293"/>
        <v>522</v>
      </c>
      <c r="S1346" s="110"/>
      <c r="T1346" s="110"/>
      <c r="U1346" s="110">
        <f t="shared" si="294"/>
        <v>3</v>
      </c>
      <c r="V1346" s="111">
        <f t="shared" si="295"/>
        <v>522</v>
      </c>
      <c r="W1346" s="110"/>
      <c r="X1346" s="110"/>
      <c r="Y1346" s="110"/>
      <c r="Z1346" s="110"/>
      <c r="AA1346" s="110">
        <f t="shared" si="296"/>
        <v>3</v>
      </c>
      <c r="AB1346" s="111">
        <f t="shared" si="297"/>
        <v>522</v>
      </c>
      <c r="AC1346" s="110"/>
      <c r="AD1346" s="110"/>
      <c r="AE1346" s="110">
        <f t="shared" si="296"/>
        <v>3</v>
      </c>
      <c r="AF1346" s="111">
        <f t="shared" si="298"/>
        <v>522</v>
      </c>
      <c r="AG1346" s="110"/>
      <c r="AH1346" s="110"/>
      <c r="AI1346" s="110"/>
      <c r="AJ1346" s="110"/>
      <c r="AK1346" s="111">
        <f t="shared" si="289"/>
        <v>2088</v>
      </c>
      <c r="AL1346" s="446">
        <f t="shared" si="290"/>
        <v>0</v>
      </c>
      <c r="AM1346" s="110">
        <f t="shared" si="291"/>
        <v>12</v>
      </c>
      <c r="AN1346" s="447">
        <f t="shared" si="286"/>
        <v>0</v>
      </c>
      <c r="AO1346"/>
      <c r="AP1346"/>
    </row>
    <row r="1347" spans="1:42" ht="66" x14ac:dyDescent="0.25">
      <c r="A1347" s="1024"/>
      <c r="B1347" s="528" t="s">
        <v>2919</v>
      </c>
      <c r="C1347" s="1024"/>
      <c r="D1347" s="882">
        <v>12</v>
      </c>
      <c r="E1347" s="251" t="s">
        <v>2940</v>
      </c>
      <c r="F1347" s="273" t="s">
        <v>3446</v>
      </c>
      <c r="G1347" s="1040" t="s">
        <v>3463</v>
      </c>
      <c r="H1347" s="273" t="s">
        <v>3462</v>
      </c>
      <c r="I1347" s="720">
        <f t="shared" si="287"/>
        <v>174</v>
      </c>
      <c r="J1347" s="756">
        <v>2088</v>
      </c>
      <c r="K1347" s="131">
        <f t="shared" si="285"/>
        <v>2088</v>
      </c>
      <c r="L1347" s="335">
        <f t="shared" si="288"/>
        <v>0</v>
      </c>
      <c r="M1347" s="446"/>
      <c r="N1347" s="446"/>
      <c r="O1347" s="446"/>
      <c r="P1347" s="446"/>
      <c r="Q1347" s="110">
        <f t="shared" si="292"/>
        <v>3</v>
      </c>
      <c r="R1347" s="111">
        <f t="shared" si="293"/>
        <v>522</v>
      </c>
      <c r="S1347" s="110"/>
      <c r="T1347" s="110"/>
      <c r="U1347" s="110">
        <f t="shared" si="294"/>
        <v>3</v>
      </c>
      <c r="V1347" s="111">
        <f t="shared" si="295"/>
        <v>522</v>
      </c>
      <c r="W1347" s="110"/>
      <c r="X1347" s="110"/>
      <c r="Y1347" s="110"/>
      <c r="Z1347" s="110"/>
      <c r="AA1347" s="110">
        <f t="shared" si="296"/>
        <v>3</v>
      </c>
      <c r="AB1347" s="111">
        <f t="shared" si="297"/>
        <v>522</v>
      </c>
      <c r="AC1347" s="110"/>
      <c r="AD1347" s="110"/>
      <c r="AE1347" s="110">
        <f t="shared" si="296"/>
        <v>3</v>
      </c>
      <c r="AF1347" s="111">
        <f t="shared" si="298"/>
        <v>522</v>
      </c>
      <c r="AG1347" s="110"/>
      <c r="AH1347" s="110"/>
      <c r="AI1347" s="110"/>
      <c r="AJ1347" s="110"/>
      <c r="AK1347" s="111">
        <f t="shared" si="289"/>
        <v>2088</v>
      </c>
      <c r="AL1347" s="446">
        <f t="shared" si="290"/>
        <v>0</v>
      </c>
      <c r="AM1347" s="110">
        <f t="shared" si="291"/>
        <v>12</v>
      </c>
      <c r="AN1347" s="447">
        <f t="shared" si="286"/>
        <v>0</v>
      </c>
      <c r="AO1347"/>
      <c r="AP1347"/>
    </row>
    <row r="1348" spans="1:42" ht="66" x14ac:dyDescent="0.25">
      <c r="A1348" s="1024"/>
      <c r="B1348" s="528" t="s">
        <v>2920</v>
      </c>
      <c r="C1348" s="1024"/>
      <c r="D1348" s="882">
        <v>12</v>
      </c>
      <c r="E1348" s="251" t="s">
        <v>2940</v>
      </c>
      <c r="F1348" s="273" t="s">
        <v>3446</v>
      </c>
      <c r="G1348" s="1040" t="s">
        <v>3463</v>
      </c>
      <c r="H1348" s="273" t="s">
        <v>3462</v>
      </c>
      <c r="I1348" s="720">
        <f t="shared" si="287"/>
        <v>197.19999999999996</v>
      </c>
      <c r="J1348" s="756">
        <v>2366.3999999999996</v>
      </c>
      <c r="K1348" s="131">
        <f t="shared" ref="K1348:K1411" si="299">+D1348*I1348</f>
        <v>2366.3999999999996</v>
      </c>
      <c r="L1348" s="335">
        <f t="shared" si="288"/>
        <v>0</v>
      </c>
      <c r="M1348" s="446"/>
      <c r="N1348" s="446"/>
      <c r="O1348" s="446"/>
      <c r="P1348" s="446"/>
      <c r="Q1348" s="110">
        <f t="shared" si="292"/>
        <v>3</v>
      </c>
      <c r="R1348" s="111">
        <f t="shared" si="293"/>
        <v>591.59999999999991</v>
      </c>
      <c r="S1348" s="110"/>
      <c r="T1348" s="110"/>
      <c r="U1348" s="110">
        <f t="shared" si="294"/>
        <v>3</v>
      </c>
      <c r="V1348" s="111">
        <f t="shared" si="295"/>
        <v>591.59999999999991</v>
      </c>
      <c r="W1348" s="110"/>
      <c r="X1348" s="110"/>
      <c r="Y1348" s="110"/>
      <c r="Z1348" s="110"/>
      <c r="AA1348" s="110">
        <f t="shared" si="296"/>
        <v>3</v>
      </c>
      <c r="AB1348" s="111">
        <f t="shared" si="297"/>
        <v>591.59999999999991</v>
      </c>
      <c r="AC1348" s="110"/>
      <c r="AD1348" s="110"/>
      <c r="AE1348" s="110">
        <f t="shared" si="296"/>
        <v>3</v>
      </c>
      <c r="AF1348" s="111">
        <f t="shared" si="298"/>
        <v>591.59999999999991</v>
      </c>
      <c r="AG1348" s="110"/>
      <c r="AH1348" s="110"/>
      <c r="AI1348" s="110"/>
      <c r="AJ1348" s="110"/>
      <c r="AK1348" s="111">
        <f t="shared" si="289"/>
        <v>2366.3999999999996</v>
      </c>
      <c r="AL1348" s="446">
        <f t="shared" si="290"/>
        <v>0</v>
      </c>
      <c r="AM1348" s="110">
        <f t="shared" si="291"/>
        <v>12</v>
      </c>
      <c r="AN1348" s="447">
        <f t="shared" ref="AN1348:AN1411" si="300">+D1348-AM1348</f>
        <v>0</v>
      </c>
      <c r="AO1348"/>
      <c r="AP1348"/>
    </row>
    <row r="1349" spans="1:42" ht="66" x14ac:dyDescent="0.25">
      <c r="A1349" s="1024"/>
      <c r="B1349" s="528" t="s">
        <v>2921</v>
      </c>
      <c r="C1349" s="1024"/>
      <c r="D1349" s="882">
        <v>12</v>
      </c>
      <c r="E1349" s="251" t="s">
        <v>1767</v>
      </c>
      <c r="F1349" s="273" t="s">
        <v>3446</v>
      </c>
      <c r="G1349" s="1040" t="s">
        <v>3463</v>
      </c>
      <c r="H1349" s="273" t="s">
        <v>3462</v>
      </c>
      <c r="I1349" s="720">
        <f t="shared" si="287"/>
        <v>197.01</v>
      </c>
      <c r="J1349" s="756">
        <v>2364.12</v>
      </c>
      <c r="K1349" s="131">
        <f t="shared" si="299"/>
        <v>2364.12</v>
      </c>
      <c r="L1349" s="335">
        <f t="shared" si="288"/>
        <v>0</v>
      </c>
      <c r="M1349" s="446"/>
      <c r="N1349" s="446"/>
      <c r="O1349" s="446"/>
      <c r="P1349" s="446"/>
      <c r="Q1349" s="110">
        <f t="shared" si="292"/>
        <v>3</v>
      </c>
      <c r="R1349" s="111">
        <f t="shared" si="293"/>
        <v>591.03</v>
      </c>
      <c r="S1349" s="110"/>
      <c r="T1349" s="110"/>
      <c r="U1349" s="110">
        <f t="shared" si="294"/>
        <v>3</v>
      </c>
      <c r="V1349" s="111">
        <f t="shared" si="295"/>
        <v>591.03</v>
      </c>
      <c r="W1349" s="110"/>
      <c r="X1349" s="110"/>
      <c r="Y1349" s="110"/>
      <c r="Z1349" s="110"/>
      <c r="AA1349" s="110">
        <f t="shared" si="296"/>
        <v>3</v>
      </c>
      <c r="AB1349" s="111">
        <f t="shared" si="297"/>
        <v>591.03</v>
      </c>
      <c r="AC1349" s="110"/>
      <c r="AD1349" s="110"/>
      <c r="AE1349" s="110">
        <f t="shared" si="296"/>
        <v>3</v>
      </c>
      <c r="AF1349" s="111">
        <f t="shared" si="298"/>
        <v>591.03</v>
      </c>
      <c r="AG1349" s="110"/>
      <c r="AH1349" s="110"/>
      <c r="AI1349" s="110"/>
      <c r="AJ1349" s="110"/>
      <c r="AK1349" s="111">
        <f t="shared" si="289"/>
        <v>2364.12</v>
      </c>
      <c r="AL1349" s="446">
        <f t="shared" si="290"/>
        <v>0</v>
      </c>
      <c r="AM1349" s="110">
        <f t="shared" si="291"/>
        <v>12</v>
      </c>
      <c r="AN1349" s="447">
        <f t="shared" si="300"/>
        <v>0</v>
      </c>
      <c r="AO1349"/>
      <c r="AP1349"/>
    </row>
    <row r="1350" spans="1:42" ht="66" x14ac:dyDescent="0.25">
      <c r="A1350" s="1024"/>
      <c r="B1350" s="528" t="s">
        <v>174</v>
      </c>
      <c r="C1350" s="1024"/>
      <c r="D1350" s="882">
        <v>5</v>
      </c>
      <c r="E1350" s="251" t="s">
        <v>2443</v>
      </c>
      <c r="F1350" s="273" t="s">
        <v>3446</v>
      </c>
      <c r="G1350" s="1040" t="s">
        <v>3463</v>
      </c>
      <c r="H1350" s="273" t="s">
        <v>3462</v>
      </c>
      <c r="I1350" s="720">
        <f t="shared" si="287"/>
        <v>176.28</v>
      </c>
      <c r="J1350" s="756">
        <v>881.4</v>
      </c>
      <c r="K1350" s="131">
        <f t="shared" si="299"/>
        <v>881.4</v>
      </c>
      <c r="L1350" s="335">
        <f t="shared" si="288"/>
        <v>0</v>
      </c>
      <c r="M1350" s="446"/>
      <c r="N1350" s="446"/>
      <c r="O1350" s="446"/>
      <c r="P1350" s="446"/>
      <c r="Q1350" s="110">
        <v>2</v>
      </c>
      <c r="R1350" s="111">
        <f t="shared" si="293"/>
        <v>220.35</v>
      </c>
      <c r="S1350" s="110"/>
      <c r="T1350" s="110"/>
      <c r="U1350" s="110">
        <v>1</v>
      </c>
      <c r="V1350" s="111">
        <f t="shared" si="295"/>
        <v>220.35</v>
      </c>
      <c r="W1350" s="110"/>
      <c r="X1350" s="110"/>
      <c r="Y1350" s="110"/>
      <c r="Z1350" s="110"/>
      <c r="AA1350" s="110">
        <v>1</v>
      </c>
      <c r="AB1350" s="111">
        <f t="shared" si="297"/>
        <v>220.35</v>
      </c>
      <c r="AC1350" s="110"/>
      <c r="AD1350" s="110"/>
      <c r="AE1350" s="110">
        <v>1</v>
      </c>
      <c r="AF1350" s="111">
        <f t="shared" si="298"/>
        <v>220.35</v>
      </c>
      <c r="AG1350" s="110"/>
      <c r="AH1350" s="110"/>
      <c r="AI1350" s="110"/>
      <c r="AJ1350" s="110"/>
      <c r="AK1350" s="111">
        <f t="shared" si="289"/>
        <v>881.4</v>
      </c>
      <c r="AL1350" s="446">
        <f t="shared" si="290"/>
        <v>0</v>
      </c>
      <c r="AM1350" s="110">
        <f t="shared" si="291"/>
        <v>5</v>
      </c>
      <c r="AN1350" s="447">
        <f t="shared" si="300"/>
        <v>0</v>
      </c>
      <c r="AO1350"/>
      <c r="AP1350"/>
    </row>
    <row r="1351" spans="1:42" ht="66" x14ac:dyDescent="0.25">
      <c r="A1351" s="1024"/>
      <c r="B1351" s="528" t="s">
        <v>2922</v>
      </c>
      <c r="C1351" s="1024"/>
      <c r="D1351" s="882">
        <v>120</v>
      </c>
      <c r="E1351" s="251" t="s">
        <v>1767</v>
      </c>
      <c r="F1351" s="273" t="s">
        <v>3446</v>
      </c>
      <c r="G1351" s="1040" t="s">
        <v>3463</v>
      </c>
      <c r="H1351" s="273" t="s">
        <v>3462</v>
      </c>
      <c r="I1351" s="720">
        <f t="shared" si="287"/>
        <v>76</v>
      </c>
      <c r="J1351" s="756">
        <v>9120</v>
      </c>
      <c r="K1351" s="131">
        <f t="shared" si="299"/>
        <v>9120</v>
      </c>
      <c r="L1351" s="335">
        <f t="shared" si="288"/>
        <v>0</v>
      </c>
      <c r="M1351" s="446"/>
      <c r="N1351" s="446"/>
      <c r="O1351" s="446"/>
      <c r="P1351" s="446"/>
      <c r="Q1351" s="110">
        <v>50</v>
      </c>
      <c r="R1351" s="111">
        <f t="shared" si="293"/>
        <v>2280</v>
      </c>
      <c r="S1351" s="110"/>
      <c r="T1351" s="110"/>
      <c r="U1351" s="110">
        <v>50</v>
      </c>
      <c r="V1351" s="111">
        <f t="shared" si="295"/>
        <v>2280</v>
      </c>
      <c r="W1351" s="110"/>
      <c r="X1351" s="110"/>
      <c r="Y1351" s="110"/>
      <c r="Z1351" s="110"/>
      <c r="AA1351" s="110">
        <v>10</v>
      </c>
      <c r="AB1351" s="111">
        <f t="shared" si="297"/>
        <v>2280</v>
      </c>
      <c r="AC1351" s="110"/>
      <c r="AD1351" s="110"/>
      <c r="AE1351" s="110">
        <v>10</v>
      </c>
      <c r="AF1351" s="111">
        <f t="shared" si="298"/>
        <v>2280</v>
      </c>
      <c r="AG1351" s="110"/>
      <c r="AH1351" s="110"/>
      <c r="AI1351" s="110"/>
      <c r="AJ1351" s="110"/>
      <c r="AK1351" s="111">
        <f t="shared" si="289"/>
        <v>9120</v>
      </c>
      <c r="AL1351" s="446">
        <f t="shared" si="290"/>
        <v>0</v>
      </c>
      <c r="AM1351" s="110">
        <f t="shared" si="291"/>
        <v>120</v>
      </c>
      <c r="AN1351" s="447">
        <f t="shared" si="300"/>
        <v>0</v>
      </c>
      <c r="AO1351"/>
      <c r="AP1351"/>
    </row>
    <row r="1352" spans="1:42" ht="66" x14ac:dyDescent="0.25">
      <c r="A1352" s="1024"/>
      <c r="B1352" s="528" t="s">
        <v>2923</v>
      </c>
      <c r="C1352" s="1024"/>
      <c r="D1352" s="882">
        <v>50</v>
      </c>
      <c r="E1352" s="251" t="s">
        <v>2938</v>
      </c>
      <c r="F1352" s="273" t="s">
        <v>3446</v>
      </c>
      <c r="G1352" s="1040" t="s">
        <v>3463</v>
      </c>
      <c r="H1352" s="273" t="s">
        <v>3462</v>
      </c>
      <c r="I1352" s="720">
        <f t="shared" si="287"/>
        <v>78.88</v>
      </c>
      <c r="J1352" s="756">
        <v>3944</v>
      </c>
      <c r="K1352" s="131">
        <f t="shared" si="299"/>
        <v>3944</v>
      </c>
      <c r="L1352" s="335">
        <f t="shared" si="288"/>
        <v>0</v>
      </c>
      <c r="M1352" s="446"/>
      <c r="N1352" s="446"/>
      <c r="O1352" s="446"/>
      <c r="P1352" s="446"/>
      <c r="Q1352" s="110">
        <v>13</v>
      </c>
      <c r="R1352" s="111">
        <f t="shared" si="293"/>
        <v>986</v>
      </c>
      <c r="S1352" s="110"/>
      <c r="T1352" s="110"/>
      <c r="U1352" s="110">
        <v>12</v>
      </c>
      <c r="V1352" s="111">
        <f t="shared" si="295"/>
        <v>986</v>
      </c>
      <c r="W1352" s="110"/>
      <c r="X1352" s="110"/>
      <c r="Y1352" s="110"/>
      <c r="Z1352" s="110"/>
      <c r="AA1352" s="110">
        <v>12</v>
      </c>
      <c r="AB1352" s="111">
        <f t="shared" si="297"/>
        <v>986</v>
      </c>
      <c r="AC1352" s="110"/>
      <c r="AD1352" s="110"/>
      <c r="AE1352" s="110">
        <v>13</v>
      </c>
      <c r="AF1352" s="111">
        <f t="shared" si="298"/>
        <v>986</v>
      </c>
      <c r="AG1352" s="110"/>
      <c r="AH1352" s="110"/>
      <c r="AI1352" s="110"/>
      <c r="AJ1352" s="110"/>
      <c r="AK1352" s="111">
        <f t="shared" si="289"/>
        <v>3944</v>
      </c>
      <c r="AL1352" s="446">
        <f t="shared" si="290"/>
        <v>0</v>
      </c>
      <c r="AM1352" s="110">
        <f t="shared" si="291"/>
        <v>50</v>
      </c>
      <c r="AN1352" s="447">
        <f t="shared" si="300"/>
        <v>0</v>
      </c>
      <c r="AO1352"/>
      <c r="AP1352"/>
    </row>
    <row r="1353" spans="1:42" ht="66" x14ac:dyDescent="0.25">
      <c r="A1353" s="1024"/>
      <c r="B1353" s="528" t="s">
        <v>2924</v>
      </c>
      <c r="C1353" s="1024"/>
      <c r="D1353" s="882">
        <v>12</v>
      </c>
      <c r="E1353" s="251" t="s">
        <v>2939</v>
      </c>
      <c r="F1353" s="273" t="s">
        <v>3446</v>
      </c>
      <c r="G1353" s="1040" t="s">
        <v>3463</v>
      </c>
      <c r="H1353" s="273" t="s">
        <v>3462</v>
      </c>
      <c r="I1353" s="720">
        <f t="shared" si="287"/>
        <v>1392</v>
      </c>
      <c r="J1353" s="756">
        <v>16704</v>
      </c>
      <c r="K1353" s="131">
        <f t="shared" si="299"/>
        <v>16704</v>
      </c>
      <c r="L1353" s="335">
        <f t="shared" si="288"/>
        <v>0</v>
      </c>
      <c r="M1353" s="446"/>
      <c r="N1353" s="446"/>
      <c r="O1353" s="446"/>
      <c r="P1353" s="446"/>
      <c r="Q1353" s="110">
        <f t="shared" si="292"/>
        <v>3</v>
      </c>
      <c r="R1353" s="111">
        <f t="shared" si="293"/>
        <v>4176</v>
      </c>
      <c r="S1353" s="110"/>
      <c r="T1353" s="110"/>
      <c r="U1353" s="110">
        <f t="shared" si="294"/>
        <v>3</v>
      </c>
      <c r="V1353" s="111">
        <f t="shared" si="295"/>
        <v>4176</v>
      </c>
      <c r="W1353" s="110"/>
      <c r="X1353" s="110"/>
      <c r="Y1353" s="110"/>
      <c r="Z1353" s="110"/>
      <c r="AA1353" s="110">
        <f t="shared" si="296"/>
        <v>3</v>
      </c>
      <c r="AB1353" s="111">
        <f t="shared" si="297"/>
        <v>4176</v>
      </c>
      <c r="AC1353" s="110"/>
      <c r="AD1353" s="110"/>
      <c r="AE1353" s="110">
        <f t="shared" si="296"/>
        <v>3</v>
      </c>
      <c r="AF1353" s="111">
        <f t="shared" si="298"/>
        <v>4176</v>
      </c>
      <c r="AG1353" s="110"/>
      <c r="AH1353" s="110"/>
      <c r="AI1353" s="110"/>
      <c r="AJ1353" s="110"/>
      <c r="AK1353" s="111">
        <f t="shared" si="289"/>
        <v>16704</v>
      </c>
      <c r="AL1353" s="446">
        <f t="shared" si="290"/>
        <v>0</v>
      </c>
      <c r="AM1353" s="110">
        <f t="shared" si="291"/>
        <v>12</v>
      </c>
      <c r="AN1353" s="447">
        <f t="shared" si="300"/>
        <v>0</v>
      </c>
      <c r="AO1353"/>
      <c r="AP1353"/>
    </row>
    <row r="1354" spans="1:42" ht="66" x14ac:dyDescent="0.25">
      <c r="A1354" s="1024"/>
      <c r="B1354" s="528" t="s">
        <v>2925</v>
      </c>
      <c r="C1354" s="1024"/>
      <c r="D1354" s="882">
        <v>12</v>
      </c>
      <c r="E1354" s="251" t="s">
        <v>1767</v>
      </c>
      <c r="F1354" s="273" t="s">
        <v>3446</v>
      </c>
      <c r="G1354" s="1040" t="s">
        <v>3463</v>
      </c>
      <c r="H1354" s="273" t="s">
        <v>3462</v>
      </c>
      <c r="I1354" s="720">
        <f t="shared" si="287"/>
        <v>54.496799999999986</v>
      </c>
      <c r="J1354" s="756">
        <v>653.96159999999986</v>
      </c>
      <c r="K1354" s="131">
        <f t="shared" si="299"/>
        <v>653.96159999999986</v>
      </c>
      <c r="L1354" s="335">
        <f t="shared" si="288"/>
        <v>0</v>
      </c>
      <c r="M1354" s="446"/>
      <c r="N1354" s="446"/>
      <c r="O1354" s="446"/>
      <c r="P1354" s="446"/>
      <c r="Q1354" s="110">
        <f t="shared" si="292"/>
        <v>3</v>
      </c>
      <c r="R1354" s="111">
        <f t="shared" si="293"/>
        <v>163.49039999999997</v>
      </c>
      <c r="S1354" s="110"/>
      <c r="T1354" s="110"/>
      <c r="U1354" s="110">
        <f t="shared" si="294"/>
        <v>3</v>
      </c>
      <c r="V1354" s="111">
        <f t="shared" si="295"/>
        <v>163.49039999999997</v>
      </c>
      <c r="W1354" s="110"/>
      <c r="X1354" s="110"/>
      <c r="Y1354" s="110"/>
      <c r="Z1354" s="110"/>
      <c r="AA1354" s="110">
        <f t="shared" si="296"/>
        <v>3</v>
      </c>
      <c r="AB1354" s="111">
        <f t="shared" si="297"/>
        <v>163.49039999999997</v>
      </c>
      <c r="AC1354" s="110"/>
      <c r="AD1354" s="110"/>
      <c r="AE1354" s="110">
        <f t="shared" si="296"/>
        <v>3</v>
      </c>
      <c r="AF1354" s="111">
        <f t="shared" si="298"/>
        <v>163.49039999999997</v>
      </c>
      <c r="AG1354" s="110"/>
      <c r="AH1354" s="110"/>
      <c r="AI1354" s="110"/>
      <c r="AJ1354" s="110"/>
      <c r="AK1354" s="111">
        <f t="shared" si="289"/>
        <v>653.96159999999986</v>
      </c>
      <c r="AL1354" s="446">
        <f t="shared" si="290"/>
        <v>0</v>
      </c>
      <c r="AM1354" s="110">
        <f t="shared" si="291"/>
        <v>12</v>
      </c>
      <c r="AN1354" s="447">
        <f t="shared" si="300"/>
        <v>0</v>
      </c>
      <c r="AO1354"/>
      <c r="AP1354"/>
    </row>
    <row r="1355" spans="1:42" ht="66" x14ac:dyDescent="0.25">
      <c r="A1355" s="1024"/>
      <c r="B1355" s="529" t="s">
        <v>2926</v>
      </c>
      <c r="C1355" s="1024"/>
      <c r="D1355" s="882">
        <v>12</v>
      </c>
      <c r="E1355" s="251" t="s">
        <v>2938</v>
      </c>
      <c r="F1355" s="273" t="s">
        <v>3446</v>
      </c>
      <c r="G1355" s="1040" t="s">
        <v>3463</v>
      </c>
      <c r="H1355" s="273" t="s">
        <v>3462</v>
      </c>
      <c r="I1355" s="720">
        <f t="shared" si="287"/>
        <v>58</v>
      </c>
      <c r="J1355" s="756">
        <v>696</v>
      </c>
      <c r="K1355" s="131">
        <f t="shared" si="299"/>
        <v>696</v>
      </c>
      <c r="L1355" s="335">
        <f t="shared" si="288"/>
        <v>0</v>
      </c>
      <c r="M1355" s="446"/>
      <c r="N1355" s="446"/>
      <c r="O1355" s="446"/>
      <c r="P1355" s="446"/>
      <c r="Q1355" s="110">
        <f t="shared" si="292"/>
        <v>3</v>
      </c>
      <c r="R1355" s="111">
        <f t="shared" si="293"/>
        <v>174</v>
      </c>
      <c r="S1355" s="110"/>
      <c r="T1355" s="110"/>
      <c r="U1355" s="110">
        <f t="shared" si="294"/>
        <v>3</v>
      </c>
      <c r="V1355" s="111">
        <f t="shared" si="295"/>
        <v>174</v>
      </c>
      <c r="W1355" s="110"/>
      <c r="X1355" s="110"/>
      <c r="Y1355" s="110"/>
      <c r="Z1355" s="110"/>
      <c r="AA1355" s="110">
        <f t="shared" si="296"/>
        <v>3</v>
      </c>
      <c r="AB1355" s="111">
        <f t="shared" si="297"/>
        <v>174</v>
      </c>
      <c r="AC1355" s="110"/>
      <c r="AD1355" s="110"/>
      <c r="AE1355" s="110">
        <f t="shared" si="296"/>
        <v>3</v>
      </c>
      <c r="AF1355" s="111">
        <f t="shared" si="298"/>
        <v>174</v>
      </c>
      <c r="AG1355" s="110"/>
      <c r="AH1355" s="110"/>
      <c r="AI1355" s="110"/>
      <c r="AJ1355" s="110"/>
      <c r="AK1355" s="111">
        <f t="shared" si="289"/>
        <v>696</v>
      </c>
      <c r="AL1355" s="446">
        <f t="shared" si="290"/>
        <v>0</v>
      </c>
      <c r="AM1355" s="110">
        <f t="shared" si="291"/>
        <v>12</v>
      </c>
      <c r="AN1355" s="447">
        <f t="shared" si="300"/>
        <v>0</v>
      </c>
      <c r="AO1355"/>
      <c r="AP1355"/>
    </row>
    <row r="1356" spans="1:42" ht="66" x14ac:dyDescent="0.25">
      <c r="A1356" s="1024"/>
      <c r="B1356" s="528" t="s">
        <v>2927</v>
      </c>
      <c r="C1356" s="1024"/>
      <c r="D1356" s="882">
        <v>12</v>
      </c>
      <c r="E1356" s="251" t="s">
        <v>1766</v>
      </c>
      <c r="F1356" s="273" t="s">
        <v>3446</v>
      </c>
      <c r="G1356" s="1040" t="s">
        <v>3463</v>
      </c>
      <c r="H1356" s="273" t="s">
        <v>3462</v>
      </c>
      <c r="I1356" s="720">
        <f t="shared" si="287"/>
        <v>499.99</v>
      </c>
      <c r="J1356" s="756">
        <v>5999.88</v>
      </c>
      <c r="K1356" s="131">
        <f t="shared" si="299"/>
        <v>5999.88</v>
      </c>
      <c r="L1356" s="335">
        <f t="shared" si="288"/>
        <v>0</v>
      </c>
      <c r="M1356" s="446"/>
      <c r="N1356" s="446"/>
      <c r="O1356" s="446"/>
      <c r="P1356" s="446"/>
      <c r="Q1356" s="110">
        <f t="shared" si="292"/>
        <v>3</v>
      </c>
      <c r="R1356" s="111">
        <f t="shared" si="293"/>
        <v>1499.97</v>
      </c>
      <c r="S1356" s="110"/>
      <c r="T1356" s="110"/>
      <c r="U1356" s="110">
        <f t="shared" si="294"/>
        <v>3</v>
      </c>
      <c r="V1356" s="111">
        <f t="shared" si="295"/>
        <v>1499.97</v>
      </c>
      <c r="W1356" s="110"/>
      <c r="X1356" s="110"/>
      <c r="Y1356" s="110"/>
      <c r="Z1356" s="110"/>
      <c r="AA1356" s="110">
        <f t="shared" si="296"/>
        <v>3</v>
      </c>
      <c r="AB1356" s="111">
        <f t="shared" si="297"/>
        <v>1499.97</v>
      </c>
      <c r="AC1356" s="110"/>
      <c r="AD1356" s="110"/>
      <c r="AE1356" s="110">
        <f t="shared" si="296"/>
        <v>3</v>
      </c>
      <c r="AF1356" s="111">
        <f t="shared" si="298"/>
        <v>1499.97</v>
      </c>
      <c r="AG1356" s="110"/>
      <c r="AH1356" s="110"/>
      <c r="AI1356" s="110"/>
      <c r="AJ1356" s="110"/>
      <c r="AK1356" s="111">
        <f t="shared" si="289"/>
        <v>5999.88</v>
      </c>
      <c r="AL1356" s="446">
        <f t="shared" si="290"/>
        <v>0</v>
      </c>
      <c r="AM1356" s="110">
        <f t="shared" si="291"/>
        <v>12</v>
      </c>
      <c r="AN1356" s="447">
        <f t="shared" si="300"/>
        <v>0</v>
      </c>
      <c r="AO1356"/>
      <c r="AP1356"/>
    </row>
    <row r="1357" spans="1:42" ht="66" x14ac:dyDescent="0.25">
      <c r="A1357" s="1024"/>
      <c r="B1357" s="528" t="s">
        <v>2928</v>
      </c>
      <c r="C1357" s="1024"/>
      <c r="D1357" s="882">
        <v>8</v>
      </c>
      <c r="E1357" s="251" t="s">
        <v>2941</v>
      </c>
      <c r="F1357" s="273" t="s">
        <v>3446</v>
      </c>
      <c r="G1357" s="1040" t="s">
        <v>3463</v>
      </c>
      <c r="H1357" s="273" t="s">
        <v>3462</v>
      </c>
      <c r="I1357" s="720">
        <f t="shared" si="287"/>
        <v>435.16699999999997</v>
      </c>
      <c r="J1357" s="756">
        <v>3481.3359999999998</v>
      </c>
      <c r="K1357" s="131">
        <f t="shared" si="299"/>
        <v>3481.3359999999998</v>
      </c>
      <c r="L1357" s="335">
        <f t="shared" si="288"/>
        <v>0</v>
      </c>
      <c r="M1357" s="446"/>
      <c r="N1357" s="446"/>
      <c r="O1357" s="446"/>
      <c r="P1357" s="446"/>
      <c r="Q1357" s="110">
        <f t="shared" si="292"/>
        <v>2</v>
      </c>
      <c r="R1357" s="111">
        <f t="shared" si="293"/>
        <v>870.33399999999995</v>
      </c>
      <c r="S1357" s="110"/>
      <c r="T1357" s="110"/>
      <c r="U1357" s="110">
        <f t="shared" si="294"/>
        <v>2</v>
      </c>
      <c r="V1357" s="111">
        <f t="shared" si="295"/>
        <v>870.33399999999995</v>
      </c>
      <c r="W1357" s="110"/>
      <c r="X1357" s="110"/>
      <c r="Y1357" s="110"/>
      <c r="Z1357" s="110"/>
      <c r="AA1357" s="110">
        <f t="shared" si="296"/>
        <v>2</v>
      </c>
      <c r="AB1357" s="111">
        <f t="shared" si="297"/>
        <v>870.33399999999995</v>
      </c>
      <c r="AC1357" s="110"/>
      <c r="AD1357" s="110"/>
      <c r="AE1357" s="110">
        <f t="shared" si="296"/>
        <v>2</v>
      </c>
      <c r="AF1357" s="111">
        <f t="shared" si="298"/>
        <v>870.33399999999995</v>
      </c>
      <c r="AG1357" s="110"/>
      <c r="AH1357" s="110"/>
      <c r="AI1357" s="110"/>
      <c r="AJ1357" s="110"/>
      <c r="AK1357" s="111">
        <f t="shared" si="289"/>
        <v>3481.3359999999998</v>
      </c>
      <c r="AL1357" s="446">
        <f t="shared" si="290"/>
        <v>0</v>
      </c>
      <c r="AM1357" s="110">
        <f t="shared" si="291"/>
        <v>8</v>
      </c>
      <c r="AN1357" s="447">
        <f t="shared" si="300"/>
        <v>0</v>
      </c>
      <c r="AO1357"/>
      <c r="AP1357"/>
    </row>
    <row r="1358" spans="1:42" ht="66" x14ac:dyDescent="0.25">
      <c r="A1358" s="1024"/>
      <c r="B1358" s="528" t="s">
        <v>2929</v>
      </c>
      <c r="C1358" s="1024"/>
      <c r="D1358" s="882">
        <v>12</v>
      </c>
      <c r="E1358" s="251" t="s">
        <v>1767</v>
      </c>
      <c r="F1358" s="273" t="s">
        <v>3446</v>
      </c>
      <c r="G1358" s="1040" t="s">
        <v>3463</v>
      </c>
      <c r="H1358" s="273" t="s">
        <v>3462</v>
      </c>
      <c r="I1358" s="720">
        <f t="shared" si="287"/>
        <v>14</v>
      </c>
      <c r="J1358" s="756">
        <v>168</v>
      </c>
      <c r="K1358" s="131">
        <f t="shared" si="299"/>
        <v>168</v>
      </c>
      <c r="L1358" s="335">
        <f t="shared" si="288"/>
        <v>0</v>
      </c>
      <c r="M1358" s="446"/>
      <c r="N1358" s="446"/>
      <c r="O1358" s="446"/>
      <c r="P1358" s="446"/>
      <c r="Q1358" s="110">
        <f t="shared" si="292"/>
        <v>3</v>
      </c>
      <c r="R1358" s="111">
        <f t="shared" si="293"/>
        <v>42</v>
      </c>
      <c r="S1358" s="110"/>
      <c r="T1358" s="110"/>
      <c r="U1358" s="110">
        <f t="shared" si="294"/>
        <v>3</v>
      </c>
      <c r="V1358" s="111">
        <f t="shared" si="295"/>
        <v>42</v>
      </c>
      <c r="W1358" s="110"/>
      <c r="X1358" s="110"/>
      <c r="Y1358" s="110"/>
      <c r="Z1358" s="110"/>
      <c r="AA1358" s="110">
        <f t="shared" si="296"/>
        <v>3</v>
      </c>
      <c r="AB1358" s="111">
        <f t="shared" si="297"/>
        <v>42</v>
      </c>
      <c r="AC1358" s="110"/>
      <c r="AD1358" s="110"/>
      <c r="AE1358" s="110">
        <f t="shared" si="296"/>
        <v>3</v>
      </c>
      <c r="AF1358" s="111">
        <f t="shared" si="298"/>
        <v>42</v>
      </c>
      <c r="AG1358" s="110"/>
      <c r="AH1358" s="110"/>
      <c r="AI1358" s="110"/>
      <c r="AJ1358" s="110"/>
      <c r="AK1358" s="111">
        <f t="shared" si="289"/>
        <v>168</v>
      </c>
      <c r="AL1358" s="446">
        <f t="shared" si="290"/>
        <v>0</v>
      </c>
      <c r="AM1358" s="110">
        <f t="shared" si="291"/>
        <v>12</v>
      </c>
      <c r="AN1358" s="447">
        <f t="shared" si="300"/>
        <v>0</v>
      </c>
      <c r="AO1358"/>
      <c r="AP1358"/>
    </row>
    <row r="1359" spans="1:42" ht="66" x14ac:dyDescent="0.25">
      <c r="A1359" s="1024"/>
      <c r="B1359" s="528" t="s">
        <v>2930</v>
      </c>
      <c r="C1359" s="1024"/>
      <c r="D1359" s="882">
        <v>12</v>
      </c>
      <c r="E1359" s="251" t="s">
        <v>1767</v>
      </c>
      <c r="F1359" s="273" t="s">
        <v>3446</v>
      </c>
      <c r="G1359" s="1040" t="s">
        <v>3463</v>
      </c>
      <c r="H1359" s="273" t="s">
        <v>3462</v>
      </c>
      <c r="I1359" s="720">
        <f t="shared" si="287"/>
        <v>77.900000000000006</v>
      </c>
      <c r="J1359" s="756">
        <v>934.80000000000007</v>
      </c>
      <c r="K1359" s="131">
        <f t="shared" si="299"/>
        <v>934.80000000000007</v>
      </c>
      <c r="L1359" s="335">
        <f t="shared" si="288"/>
        <v>0</v>
      </c>
      <c r="M1359" s="446"/>
      <c r="N1359" s="446"/>
      <c r="O1359" s="446"/>
      <c r="P1359" s="446"/>
      <c r="Q1359" s="110">
        <f t="shared" si="292"/>
        <v>3</v>
      </c>
      <c r="R1359" s="111">
        <f t="shared" si="293"/>
        <v>233.70000000000002</v>
      </c>
      <c r="S1359" s="110"/>
      <c r="T1359" s="110"/>
      <c r="U1359" s="110">
        <f t="shared" si="294"/>
        <v>3</v>
      </c>
      <c r="V1359" s="111">
        <f t="shared" si="295"/>
        <v>233.70000000000002</v>
      </c>
      <c r="W1359" s="110"/>
      <c r="X1359" s="110"/>
      <c r="Y1359" s="110"/>
      <c r="Z1359" s="110"/>
      <c r="AA1359" s="110">
        <f t="shared" si="296"/>
        <v>3</v>
      </c>
      <c r="AB1359" s="111">
        <f t="shared" si="297"/>
        <v>233.70000000000002</v>
      </c>
      <c r="AC1359" s="110"/>
      <c r="AD1359" s="110"/>
      <c r="AE1359" s="110">
        <f t="shared" si="296"/>
        <v>3</v>
      </c>
      <c r="AF1359" s="111">
        <f t="shared" si="298"/>
        <v>233.70000000000002</v>
      </c>
      <c r="AG1359" s="110"/>
      <c r="AH1359" s="110"/>
      <c r="AI1359" s="110"/>
      <c r="AJ1359" s="110"/>
      <c r="AK1359" s="111">
        <f t="shared" si="289"/>
        <v>934.80000000000007</v>
      </c>
      <c r="AL1359" s="446">
        <f t="shared" si="290"/>
        <v>0</v>
      </c>
      <c r="AM1359" s="110">
        <f t="shared" si="291"/>
        <v>12</v>
      </c>
      <c r="AN1359" s="447">
        <f t="shared" si="300"/>
        <v>0</v>
      </c>
      <c r="AO1359"/>
      <c r="AP1359"/>
    </row>
    <row r="1360" spans="1:42" ht="66" x14ac:dyDescent="0.25">
      <c r="A1360" s="1024"/>
      <c r="B1360" s="528" t="s">
        <v>2931</v>
      </c>
      <c r="C1360" s="1024"/>
      <c r="D1360" s="882">
        <v>150</v>
      </c>
      <c r="E1360" s="251" t="s">
        <v>2938</v>
      </c>
      <c r="F1360" s="273" t="s">
        <v>3446</v>
      </c>
      <c r="G1360" s="1040" t="s">
        <v>3463</v>
      </c>
      <c r="H1360" s="273" t="s">
        <v>3462</v>
      </c>
      <c r="I1360" s="720">
        <f t="shared" si="287"/>
        <v>93.96</v>
      </c>
      <c r="J1360" s="756">
        <v>14093.999999999998</v>
      </c>
      <c r="K1360" s="131">
        <f t="shared" si="299"/>
        <v>14093.999999999998</v>
      </c>
      <c r="L1360" s="335">
        <f t="shared" si="288"/>
        <v>0</v>
      </c>
      <c r="M1360" s="446"/>
      <c r="N1360" s="446"/>
      <c r="O1360" s="446"/>
      <c r="P1360" s="446"/>
      <c r="Q1360" s="110">
        <v>50</v>
      </c>
      <c r="R1360" s="111">
        <f t="shared" si="293"/>
        <v>3523.4999999999995</v>
      </c>
      <c r="S1360" s="110"/>
      <c r="T1360" s="110"/>
      <c r="U1360" s="110">
        <v>50</v>
      </c>
      <c r="V1360" s="111">
        <f t="shared" si="295"/>
        <v>3523.4999999999995</v>
      </c>
      <c r="W1360" s="110"/>
      <c r="X1360" s="110"/>
      <c r="Y1360" s="110"/>
      <c r="Z1360" s="110"/>
      <c r="AA1360" s="110">
        <v>50</v>
      </c>
      <c r="AB1360" s="111">
        <f t="shared" si="297"/>
        <v>3523.4999999999995</v>
      </c>
      <c r="AC1360" s="110"/>
      <c r="AD1360" s="110"/>
      <c r="AE1360" s="110">
        <v>0</v>
      </c>
      <c r="AF1360" s="111">
        <f t="shared" si="298"/>
        <v>3523.4999999999995</v>
      </c>
      <c r="AG1360" s="110"/>
      <c r="AH1360" s="110"/>
      <c r="AI1360" s="110"/>
      <c r="AJ1360" s="110"/>
      <c r="AK1360" s="111">
        <f t="shared" si="289"/>
        <v>14093.999999999998</v>
      </c>
      <c r="AL1360" s="446">
        <f t="shared" si="290"/>
        <v>0</v>
      </c>
      <c r="AM1360" s="110">
        <f t="shared" si="291"/>
        <v>150</v>
      </c>
      <c r="AN1360" s="447">
        <f t="shared" si="300"/>
        <v>0</v>
      </c>
      <c r="AO1360"/>
      <c r="AP1360"/>
    </row>
    <row r="1361" spans="1:42" ht="66" x14ac:dyDescent="0.25">
      <c r="A1361" s="1024"/>
      <c r="B1361" s="528" t="s">
        <v>2932</v>
      </c>
      <c r="C1361" s="1024"/>
      <c r="D1361" s="882">
        <v>120</v>
      </c>
      <c r="E1361" s="251" t="s">
        <v>1767</v>
      </c>
      <c r="F1361" s="273" t="s">
        <v>3446</v>
      </c>
      <c r="G1361" s="1040" t="s">
        <v>3463</v>
      </c>
      <c r="H1361" s="273" t="s">
        <v>3462</v>
      </c>
      <c r="I1361" s="720">
        <f t="shared" si="287"/>
        <v>21.08</v>
      </c>
      <c r="J1361" s="756">
        <v>2529.6</v>
      </c>
      <c r="K1361" s="131">
        <f t="shared" si="299"/>
        <v>2529.6</v>
      </c>
      <c r="L1361" s="335">
        <f t="shared" si="288"/>
        <v>0</v>
      </c>
      <c r="M1361" s="446"/>
      <c r="N1361" s="446"/>
      <c r="O1361" s="446"/>
      <c r="P1361" s="446"/>
      <c r="Q1361" s="110">
        <v>50</v>
      </c>
      <c r="R1361" s="111">
        <f t="shared" si="293"/>
        <v>632.4</v>
      </c>
      <c r="S1361" s="110"/>
      <c r="T1361" s="110"/>
      <c r="U1361" s="110">
        <v>50</v>
      </c>
      <c r="V1361" s="111">
        <f t="shared" si="295"/>
        <v>632.4</v>
      </c>
      <c r="W1361" s="110"/>
      <c r="X1361" s="110"/>
      <c r="Y1361" s="110"/>
      <c r="Z1361" s="110"/>
      <c r="AA1361" s="110">
        <v>10</v>
      </c>
      <c r="AB1361" s="111">
        <f t="shared" si="297"/>
        <v>632.4</v>
      </c>
      <c r="AC1361" s="110"/>
      <c r="AD1361" s="110"/>
      <c r="AE1361" s="110">
        <v>10</v>
      </c>
      <c r="AF1361" s="111">
        <f t="shared" si="298"/>
        <v>632.4</v>
      </c>
      <c r="AG1361" s="110"/>
      <c r="AH1361" s="110"/>
      <c r="AI1361" s="110"/>
      <c r="AJ1361" s="110"/>
      <c r="AK1361" s="111">
        <f t="shared" si="289"/>
        <v>2529.6</v>
      </c>
      <c r="AL1361" s="446">
        <f t="shared" si="290"/>
        <v>0</v>
      </c>
      <c r="AM1361" s="110">
        <f t="shared" si="291"/>
        <v>120</v>
      </c>
      <c r="AN1361" s="447">
        <f t="shared" si="300"/>
        <v>0</v>
      </c>
      <c r="AO1361"/>
      <c r="AP1361"/>
    </row>
    <row r="1362" spans="1:42" ht="66" x14ac:dyDescent="0.25">
      <c r="A1362" s="1024"/>
      <c r="B1362" s="529" t="s">
        <v>2933</v>
      </c>
      <c r="C1362" s="1024"/>
      <c r="D1362" s="898">
        <v>120</v>
      </c>
      <c r="E1362" s="253" t="s">
        <v>1767</v>
      </c>
      <c r="F1362" s="273" t="s">
        <v>3446</v>
      </c>
      <c r="G1362" s="1040" t="s">
        <v>3463</v>
      </c>
      <c r="H1362" s="273" t="s">
        <v>3462</v>
      </c>
      <c r="I1362" s="720">
        <f t="shared" si="287"/>
        <v>79.040000000000006</v>
      </c>
      <c r="J1362" s="756">
        <v>9484.8000000000011</v>
      </c>
      <c r="K1362" s="131">
        <f t="shared" si="299"/>
        <v>9484.8000000000011</v>
      </c>
      <c r="L1362" s="335">
        <f t="shared" si="288"/>
        <v>0</v>
      </c>
      <c r="M1362" s="446"/>
      <c r="N1362" s="446"/>
      <c r="O1362" s="446"/>
      <c r="P1362" s="446"/>
      <c r="Q1362" s="110">
        <v>50</v>
      </c>
      <c r="R1362" s="111">
        <f t="shared" si="293"/>
        <v>2371.2000000000003</v>
      </c>
      <c r="S1362" s="110"/>
      <c r="T1362" s="110"/>
      <c r="U1362" s="110">
        <v>50</v>
      </c>
      <c r="V1362" s="111">
        <f t="shared" si="295"/>
        <v>2371.2000000000003</v>
      </c>
      <c r="W1362" s="110"/>
      <c r="X1362" s="110"/>
      <c r="Y1362" s="110"/>
      <c r="Z1362" s="110"/>
      <c r="AA1362" s="110">
        <v>10</v>
      </c>
      <c r="AB1362" s="111">
        <f t="shared" si="297"/>
        <v>2371.2000000000003</v>
      </c>
      <c r="AC1362" s="110"/>
      <c r="AD1362" s="110"/>
      <c r="AE1362" s="110">
        <v>10</v>
      </c>
      <c r="AF1362" s="111">
        <f t="shared" si="298"/>
        <v>2371.2000000000003</v>
      </c>
      <c r="AG1362" s="110"/>
      <c r="AH1362" s="110"/>
      <c r="AI1362" s="110"/>
      <c r="AJ1362" s="110"/>
      <c r="AK1362" s="111">
        <f t="shared" si="289"/>
        <v>9484.8000000000011</v>
      </c>
      <c r="AL1362" s="446">
        <f t="shared" si="290"/>
        <v>0</v>
      </c>
      <c r="AM1362" s="110">
        <f t="shared" si="291"/>
        <v>120</v>
      </c>
      <c r="AN1362" s="447">
        <f t="shared" si="300"/>
        <v>0</v>
      </c>
      <c r="AO1362"/>
      <c r="AP1362"/>
    </row>
    <row r="1363" spans="1:42" ht="66" x14ac:dyDescent="0.25">
      <c r="A1363" s="1024"/>
      <c r="B1363" s="528" t="s">
        <v>2934</v>
      </c>
      <c r="C1363" s="1024"/>
      <c r="D1363" s="882">
        <v>12</v>
      </c>
      <c r="E1363" s="251" t="s">
        <v>2940</v>
      </c>
      <c r="F1363" s="273" t="s">
        <v>3446</v>
      </c>
      <c r="G1363" s="1040" t="s">
        <v>3463</v>
      </c>
      <c r="H1363" s="273" t="s">
        <v>3462</v>
      </c>
      <c r="I1363" s="720">
        <f t="shared" si="287"/>
        <v>696</v>
      </c>
      <c r="J1363" s="756">
        <v>8352</v>
      </c>
      <c r="K1363" s="131">
        <f t="shared" si="299"/>
        <v>8352</v>
      </c>
      <c r="L1363" s="335">
        <f t="shared" si="288"/>
        <v>0</v>
      </c>
      <c r="M1363" s="446"/>
      <c r="N1363" s="446"/>
      <c r="O1363" s="446"/>
      <c r="P1363" s="446"/>
      <c r="Q1363" s="110">
        <f t="shared" si="292"/>
        <v>3</v>
      </c>
      <c r="R1363" s="111">
        <f t="shared" si="293"/>
        <v>2088</v>
      </c>
      <c r="S1363" s="110"/>
      <c r="T1363" s="110"/>
      <c r="U1363" s="110">
        <f t="shared" si="294"/>
        <v>3</v>
      </c>
      <c r="V1363" s="111">
        <f t="shared" si="295"/>
        <v>2088</v>
      </c>
      <c r="W1363" s="110"/>
      <c r="X1363" s="110"/>
      <c r="Y1363" s="110"/>
      <c r="Z1363" s="110"/>
      <c r="AA1363" s="110">
        <f t="shared" si="296"/>
        <v>3</v>
      </c>
      <c r="AB1363" s="111">
        <f t="shared" si="297"/>
        <v>2088</v>
      </c>
      <c r="AC1363" s="110"/>
      <c r="AD1363" s="110"/>
      <c r="AE1363" s="110">
        <f t="shared" si="296"/>
        <v>3</v>
      </c>
      <c r="AF1363" s="111">
        <f t="shared" si="298"/>
        <v>2088</v>
      </c>
      <c r="AG1363" s="110"/>
      <c r="AH1363" s="110"/>
      <c r="AI1363" s="110"/>
      <c r="AJ1363" s="110"/>
      <c r="AK1363" s="111">
        <f t="shared" si="289"/>
        <v>8352</v>
      </c>
      <c r="AL1363" s="446">
        <f t="shared" si="290"/>
        <v>0</v>
      </c>
      <c r="AM1363" s="110">
        <f t="shared" si="291"/>
        <v>12</v>
      </c>
      <c r="AN1363" s="447">
        <f t="shared" si="300"/>
        <v>0</v>
      </c>
      <c r="AO1363"/>
      <c r="AP1363"/>
    </row>
    <row r="1364" spans="1:42" ht="66" x14ac:dyDescent="0.25">
      <c r="A1364" s="1024"/>
      <c r="B1364" s="528" t="s">
        <v>2935</v>
      </c>
      <c r="C1364" s="1024"/>
      <c r="D1364" s="882">
        <v>12</v>
      </c>
      <c r="E1364" s="251" t="s">
        <v>2940</v>
      </c>
      <c r="F1364" s="273" t="s">
        <v>3446</v>
      </c>
      <c r="G1364" s="1040" t="s">
        <v>3463</v>
      </c>
      <c r="H1364" s="273" t="s">
        <v>3462</v>
      </c>
      <c r="I1364" s="720">
        <f t="shared" si="287"/>
        <v>580</v>
      </c>
      <c r="J1364" s="756">
        <v>6960</v>
      </c>
      <c r="K1364" s="131">
        <f t="shared" si="299"/>
        <v>6960</v>
      </c>
      <c r="L1364" s="335">
        <f t="shared" si="288"/>
        <v>0</v>
      </c>
      <c r="M1364" s="446"/>
      <c r="N1364" s="446"/>
      <c r="O1364" s="446"/>
      <c r="P1364" s="446"/>
      <c r="Q1364" s="110">
        <f t="shared" si="292"/>
        <v>3</v>
      </c>
      <c r="R1364" s="111">
        <f t="shared" si="293"/>
        <v>1740</v>
      </c>
      <c r="S1364" s="110"/>
      <c r="T1364" s="110"/>
      <c r="U1364" s="110">
        <f t="shared" si="294"/>
        <v>3</v>
      </c>
      <c r="V1364" s="111">
        <f t="shared" si="295"/>
        <v>1740</v>
      </c>
      <c r="W1364" s="110"/>
      <c r="X1364" s="110"/>
      <c r="Y1364" s="110"/>
      <c r="Z1364" s="110"/>
      <c r="AA1364" s="110">
        <f t="shared" si="296"/>
        <v>3</v>
      </c>
      <c r="AB1364" s="111">
        <f t="shared" si="297"/>
        <v>1740</v>
      </c>
      <c r="AC1364" s="110"/>
      <c r="AD1364" s="110"/>
      <c r="AE1364" s="110">
        <f t="shared" si="296"/>
        <v>3</v>
      </c>
      <c r="AF1364" s="111">
        <f t="shared" si="298"/>
        <v>1740</v>
      </c>
      <c r="AG1364" s="110"/>
      <c r="AH1364" s="110"/>
      <c r="AI1364" s="110"/>
      <c r="AJ1364" s="110"/>
      <c r="AK1364" s="111">
        <f t="shared" si="289"/>
        <v>6960</v>
      </c>
      <c r="AL1364" s="446">
        <f t="shared" si="290"/>
        <v>0</v>
      </c>
      <c r="AM1364" s="110">
        <f t="shared" si="291"/>
        <v>12</v>
      </c>
      <c r="AN1364" s="447">
        <f t="shared" si="300"/>
        <v>0</v>
      </c>
      <c r="AO1364"/>
      <c r="AP1364"/>
    </row>
    <row r="1365" spans="1:42" ht="66" x14ac:dyDescent="0.25">
      <c r="A1365" s="1024"/>
      <c r="B1365" s="528" t="s">
        <v>2936</v>
      </c>
      <c r="C1365" s="1024"/>
      <c r="D1365" s="882">
        <v>12</v>
      </c>
      <c r="E1365" s="251" t="s">
        <v>1767</v>
      </c>
      <c r="F1365" s="273" t="s">
        <v>3446</v>
      </c>
      <c r="G1365" s="1040" t="s">
        <v>3463</v>
      </c>
      <c r="H1365" s="273" t="s">
        <v>3462</v>
      </c>
      <c r="I1365" s="720">
        <f t="shared" si="287"/>
        <v>341.55039999999991</v>
      </c>
      <c r="J1365" s="756">
        <v>4098.6047999999992</v>
      </c>
      <c r="K1365" s="131">
        <f t="shared" si="299"/>
        <v>4098.6047999999992</v>
      </c>
      <c r="L1365" s="335">
        <f t="shared" si="288"/>
        <v>0</v>
      </c>
      <c r="M1365" s="446"/>
      <c r="N1365" s="446"/>
      <c r="O1365" s="446"/>
      <c r="P1365" s="446"/>
      <c r="Q1365" s="110">
        <f t="shared" si="292"/>
        <v>3</v>
      </c>
      <c r="R1365" s="111">
        <f t="shared" si="293"/>
        <v>1024.6511999999998</v>
      </c>
      <c r="S1365" s="110"/>
      <c r="T1365" s="110"/>
      <c r="U1365" s="110">
        <f t="shared" si="294"/>
        <v>3</v>
      </c>
      <c r="V1365" s="111">
        <f t="shared" si="295"/>
        <v>1024.6511999999998</v>
      </c>
      <c r="W1365" s="110"/>
      <c r="X1365" s="110"/>
      <c r="Y1365" s="110"/>
      <c r="Z1365" s="110"/>
      <c r="AA1365" s="110">
        <f t="shared" si="296"/>
        <v>3</v>
      </c>
      <c r="AB1365" s="111">
        <f t="shared" si="297"/>
        <v>1024.6511999999998</v>
      </c>
      <c r="AC1365" s="110"/>
      <c r="AD1365" s="110"/>
      <c r="AE1365" s="110">
        <f t="shared" si="296"/>
        <v>3</v>
      </c>
      <c r="AF1365" s="111">
        <f t="shared" si="298"/>
        <v>1024.6511999999998</v>
      </c>
      <c r="AG1365" s="110"/>
      <c r="AH1365" s="110"/>
      <c r="AI1365" s="110"/>
      <c r="AJ1365" s="110"/>
      <c r="AK1365" s="111">
        <f t="shared" si="289"/>
        <v>4098.6047999999992</v>
      </c>
      <c r="AL1365" s="446">
        <f t="shared" si="290"/>
        <v>0</v>
      </c>
      <c r="AM1365" s="110">
        <f t="shared" si="291"/>
        <v>12</v>
      </c>
      <c r="AN1365" s="447">
        <f t="shared" si="300"/>
        <v>0</v>
      </c>
      <c r="AO1365"/>
      <c r="AP1365"/>
    </row>
    <row r="1366" spans="1:42" ht="66" x14ac:dyDescent="0.25">
      <c r="A1366" s="1024"/>
      <c r="B1366" s="528" t="s">
        <v>2937</v>
      </c>
      <c r="C1366" s="1024"/>
      <c r="D1366" s="882">
        <v>120</v>
      </c>
      <c r="E1366" s="251" t="s">
        <v>1767</v>
      </c>
      <c r="F1366" s="273" t="s">
        <v>3446</v>
      </c>
      <c r="G1366" s="1040" t="s">
        <v>3463</v>
      </c>
      <c r="H1366" s="273" t="s">
        <v>3462</v>
      </c>
      <c r="I1366" s="720">
        <f t="shared" si="287"/>
        <v>156.994</v>
      </c>
      <c r="J1366" s="756">
        <v>18839.28</v>
      </c>
      <c r="K1366" s="131">
        <f t="shared" si="299"/>
        <v>18839.28</v>
      </c>
      <c r="L1366" s="335">
        <f t="shared" si="288"/>
        <v>0</v>
      </c>
      <c r="M1366" s="446"/>
      <c r="N1366" s="446"/>
      <c r="O1366" s="446"/>
      <c r="P1366" s="446"/>
      <c r="Q1366" s="110">
        <v>50</v>
      </c>
      <c r="R1366" s="111">
        <f t="shared" si="293"/>
        <v>4709.82</v>
      </c>
      <c r="S1366" s="110"/>
      <c r="T1366" s="110"/>
      <c r="U1366" s="110">
        <v>50</v>
      </c>
      <c r="V1366" s="111">
        <f t="shared" si="295"/>
        <v>4709.82</v>
      </c>
      <c r="W1366" s="110"/>
      <c r="X1366" s="110"/>
      <c r="Y1366" s="110"/>
      <c r="Z1366" s="110"/>
      <c r="AA1366" s="110">
        <v>10</v>
      </c>
      <c r="AB1366" s="111">
        <f t="shared" si="297"/>
        <v>4709.82</v>
      </c>
      <c r="AC1366" s="110"/>
      <c r="AD1366" s="110"/>
      <c r="AE1366" s="110">
        <v>10</v>
      </c>
      <c r="AF1366" s="111">
        <f t="shared" si="298"/>
        <v>4709.82</v>
      </c>
      <c r="AG1366" s="110"/>
      <c r="AH1366" s="110"/>
      <c r="AI1366" s="110"/>
      <c r="AJ1366" s="110"/>
      <c r="AK1366" s="111">
        <f t="shared" si="289"/>
        <v>18839.28</v>
      </c>
      <c r="AL1366" s="446">
        <f t="shared" si="290"/>
        <v>0</v>
      </c>
      <c r="AM1366" s="110">
        <f t="shared" si="291"/>
        <v>120</v>
      </c>
      <c r="AN1366" s="447">
        <f t="shared" si="300"/>
        <v>0</v>
      </c>
      <c r="AO1366"/>
      <c r="AP1366"/>
    </row>
    <row r="1367" spans="1:42" x14ac:dyDescent="0.25">
      <c r="A1367" s="315">
        <v>21602</v>
      </c>
      <c r="B1367" s="500" t="s">
        <v>190</v>
      </c>
      <c r="C1367" s="316"/>
      <c r="D1367" s="886"/>
      <c r="E1367" s="316"/>
      <c r="F1367" s="363"/>
      <c r="G1367" s="363"/>
      <c r="H1367" s="363"/>
      <c r="I1367" s="724"/>
      <c r="J1367" s="781"/>
      <c r="K1367" s="131">
        <f t="shared" si="299"/>
        <v>0</v>
      </c>
      <c r="L1367" s="335">
        <f t="shared" si="288"/>
        <v>0</v>
      </c>
      <c r="M1367" s="449"/>
      <c r="N1367" s="449"/>
      <c r="O1367" s="449"/>
      <c r="P1367" s="449"/>
      <c r="Q1367" s="448">
        <f t="shared" si="292"/>
        <v>0</v>
      </c>
      <c r="R1367" s="317">
        <f t="shared" si="293"/>
        <v>0</v>
      </c>
      <c r="S1367" s="448"/>
      <c r="T1367" s="448"/>
      <c r="U1367" s="448">
        <f t="shared" si="294"/>
        <v>0</v>
      </c>
      <c r="V1367" s="317">
        <f t="shared" si="295"/>
        <v>0</v>
      </c>
      <c r="W1367" s="448"/>
      <c r="X1367" s="448"/>
      <c r="Y1367" s="448"/>
      <c r="Z1367" s="448"/>
      <c r="AA1367" s="448">
        <f t="shared" si="296"/>
        <v>0</v>
      </c>
      <c r="AB1367" s="317">
        <f t="shared" si="297"/>
        <v>0</v>
      </c>
      <c r="AC1367" s="448"/>
      <c r="AD1367" s="448"/>
      <c r="AE1367" s="448">
        <f t="shared" si="296"/>
        <v>0</v>
      </c>
      <c r="AF1367" s="317">
        <f t="shared" si="298"/>
        <v>0</v>
      </c>
      <c r="AG1367" s="448"/>
      <c r="AH1367" s="448"/>
      <c r="AI1367" s="448"/>
      <c r="AJ1367" s="448"/>
      <c r="AK1367" s="317">
        <f t="shared" si="289"/>
        <v>0</v>
      </c>
      <c r="AL1367" s="449">
        <f t="shared" si="290"/>
        <v>0</v>
      </c>
      <c r="AM1367" s="448">
        <f t="shared" si="291"/>
        <v>0</v>
      </c>
      <c r="AN1367" s="450">
        <f t="shared" si="300"/>
        <v>0</v>
      </c>
      <c r="AO1367" s="436">
        <f>SUM(J1368:J1428)</f>
        <v>489389.33039999998</v>
      </c>
      <c r="AP1367" s="111"/>
    </row>
    <row r="1368" spans="1:42" ht="66" x14ac:dyDescent="0.25">
      <c r="A1368" s="9"/>
      <c r="B1368" s="486" t="s">
        <v>194</v>
      </c>
      <c r="C1368" s="180"/>
      <c r="D1368" s="872">
        <f>320+24+20</f>
        <v>364</v>
      </c>
      <c r="E1368" s="265" t="s">
        <v>1725</v>
      </c>
      <c r="F1368" s="273" t="s">
        <v>3446</v>
      </c>
      <c r="G1368" s="1040" t="s">
        <v>3463</v>
      </c>
      <c r="H1368" s="273" t="s">
        <v>3462</v>
      </c>
      <c r="I1368" s="727">
        <f t="shared" ref="I1368:I1428" si="301">+J1368/D1368</f>
        <v>366.30964285714282</v>
      </c>
      <c r="J1368" s="779">
        <f>116096+9984.51+7256.2</f>
        <v>133336.71</v>
      </c>
      <c r="K1368" s="131">
        <f t="shared" si="299"/>
        <v>133336.71</v>
      </c>
      <c r="L1368" s="335">
        <f t="shared" si="288"/>
        <v>0</v>
      </c>
      <c r="M1368" s="446"/>
      <c r="N1368" s="446"/>
      <c r="O1368" s="446"/>
      <c r="P1368" s="446"/>
      <c r="Q1368" s="110">
        <f t="shared" si="292"/>
        <v>91</v>
      </c>
      <c r="R1368" s="111">
        <f t="shared" si="293"/>
        <v>33334.177499999998</v>
      </c>
      <c r="S1368" s="110"/>
      <c r="T1368" s="110"/>
      <c r="U1368" s="110">
        <f t="shared" si="294"/>
        <v>91</v>
      </c>
      <c r="V1368" s="111">
        <f t="shared" si="295"/>
        <v>33334.177499999998</v>
      </c>
      <c r="W1368" s="110"/>
      <c r="X1368" s="110"/>
      <c r="Y1368" s="110"/>
      <c r="Z1368" s="110"/>
      <c r="AA1368" s="110">
        <f t="shared" si="296"/>
        <v>91</v>
      </c>
      <c r="AB1368" s="111">
        <f t="shared" si="297"/>
        <v>33334.177499999998</v>
      </c>
      <c r="AC1368" s="110"/>
      <c r="AD1368" s="110"/>
      <c r="AE1368" s="110">
        <f t="shared" si="296"/>
        <v>91</v>
      </c>
      <c r="AF1368" s="111">
        <f t="shared" si="298"/>
        <v>33334.177499999998</v>
      </c>
      <c r="AG1368" s="110"/>
      <c r="AH1368" s="110"/>
      <c r="AI1368" s="110"/>
      <c r="AJ1368" s="110"/>
      <c r="AK1368" s="111">
        <f t="shared" si="289"/>
        <v>133336.71</v>
      </c>
      <c r="AL1368" s="446">
        <f t="shared" si="290"/>
        <v>0</v>
      </c>
      <c r="AM1368" s="110">
        <f t="shared" si="291"/>
        <v>364</v>
      </c>
      <c r="AN1368" s="447">
        <f t="shared" si="300"/>
        <v>0</v>
      </c>
      <c r="AO1368"/>
      <c r="AP1368"/>
    </row>
    <row r="1369" spans="1:42" ht="66" x14ac:dyDescent="0.25">
      <c r="A1369" s="9"/>
      <c r="B1369" s="523" t="s">
        <v>196</v>
      </c>
      <c r="C1369" s="1024"/>
      <c r="D1369" s="869">
        <f>210+13+6+20</f>
        <v>249</v>
      </c>
      <c r="E1369" s="1027" t="s">
        <v>1722</v>
      </c>
      <c r="F1369" s="273" t="s">
        <v>3446</v>
      </c>
      <c r="G1369" s="1040" t="s">
        <v>3463</v>
      </c>
      <c r="H1369" s="273" t="s">
        <v>3462</v>
      </c>
      <c r="I1369" s="720">
        <f t="shared" si="301"/>
        <v>273.07662650602413</v>
      </c>
      <c r="J1369" s="780">
        <f>56943.6+4002.32+1626.96+5423.2</f>
        <v>67996.08</v>
      </c>
      <c r="K1369" s="131">
        <f t="shared" si="299"/>
        <v>67996.08</v>
      </c>
      <c r="L1369" s="335">
        <f t="shared" si="288"/>
        <v>0</v>
      </c>
      <c r="M1369" s="446"/>
      <c r="N1369" s="446"/>
      <c r="O1369" s="446"/>
      <c r="P1369" s="446"/>
      <c r="Q1369" s="110">
        <v>63</v>
      </c>
      <c r="R1369" s="111">
        <f t="shared" si="293"/>
        <v>16999.02</v>
      </c>
      <c r="S1369" s="110"/>
      <c r="T1369" s="110"/>
      <c r="U1369" s="110">
        <v>63</v>
      </c>
      <c r="V1369" s="111">
        <f t="shared" si="295"/>
        <v>16999.02</v>
      </c>
      <c r="W1369" s="110"/>
      <c r="X1369" s="110"/>
      <c r="Y1369" s="110"/>
      <c r="Z1369" s="110"/>
      <c r="AA1369" s="110">
        <v>63</v>
      </c>
      <c r="AB1369" s="111">
        <f t="shared" si="297"/>
        <v>16999.02</v>
      </c>
      <c r="AC1369" s="110"/>
      <c r="AD1369" s="110"/>
      <c r="AE1369" s="110">
        <v>60</v>
      </c>
      <c r="AF1369" s="111">
        <f t="shared" si="298"/>
        <v>16999.02</v>
      </c>
      <c r="AG1369" s="110"/>
      <c r="AH1369" s="110"/>
      <c r="AI1369" s="110"/>
      <c r="AJ1369" s="110"/>
      <c r="AK1369" s="111">
        <f t="shared" si="289"/>
        <v>67996.08</v>
      </c>
      <c r="AL1369" s="446">
        <f t="shared" si="290"/>
        <v>0</v>
      </c>
      <c r="AM1369" s="110">
        <f t="shared" si="291"/>
        <v>249</v>
      </c>
      <c r="AN1369" s="447">
        <f t="shared" si="300"/>
        <v>0</v>
      </c>
      <c r="AO1369"/>
      <c r="AP1369"/>
    </row>
    <row r="1370" spans="1:42" ht="66" x14ac:dyDescent="0.25">
      <c r="A1370" s="9"/>
      <c r="B1370" s="128" t="s">
        <v>197</v>
      </c>
      <c r="C1370" s="1024"/>
      <c r="D1370" s="869">
        <v>12</v>
      </c>
      <c r="E1370" s="1027" t="s">
        <v>1725</v>
      </c>
      <c r="F1370" s="273" t="s">
        <v>3446</v>
      </c>
      <c r="G1370" s="1040" t="s">
        <v>3463</v>
      </c>
      <c r="H1370" s="273" t="s">
        <v>3462</v>
      </c>
      <c r="I1370" s="720">
        <f t="shared" si="301"/>
        <v>84.598799999999997</v>
      </c>
      <c r="J1370" s="780">
        <v>1015.1856</v>
      </c>
      <c r="K1370" s="131">
        <f t="shared" si="299"/>
        <v>1015.1856</v>
      </c>
      <c r="L1370" s="335">
        <f t="shared" si="288"/>
        <v>0</v>
      </c>
      <c r="M1370" s="446"/>
      <c r="N1370" s="446"/>
      <c r="O1370" s="446"/>
      <c r="P1370" s="446"/>
      <c r="Q1370" s="110">
        <f t="shared" si="292"/>
        <v>3</v>
      </c>
      <c r="R1370" s="111">
        <f t="shared" si="293"/>
        <v>253.79640000000001</v>
      </c>
      <c r="S1370" s="110"/>
      <c r="T1370" s="110"/>
      <c r="U1370" s="110">
        <f t="shared" si="294"/>
        <v>3</v>
      </c>
      <c r="V1370" s="111">
        <f t="shared" si="295"/>
        <v>253.79640000000001</v>
      </c>
      <c r="W1370" s="110"/>
      <c r="X1370" s="110"/>
      <c r="Y1370" s="110"/>
      <c r="Z1370" s="110"/>
      <c r="AA1370" s="110">
        <f t="shared" si="296"/>
        <v>3</v>
      </c>
      <c r="AB1370" s="111">
        <f t="shared" si="297"/>
        <v>253.79640000000001</v>
      </c>
      <c r="AC1370" s="110"/>
      <c r="AD1370" s="110"/>
      <c r="AE1370" s="110">
        <f t="shared" si="296"/>
        <v>3</v>
      </c>
      <c r="AF1370" s="111">
        <f t="shared" si="298"/>
        <v>253.79640000000001</v>
      </c>
      <c r="AG1370" s="110"/>
      <c r="AH1370" s="110"/>
      <c r="AI1370" s="110"/>
      <c r="AJ1370" s="110"/>
      <c r="AK1370" s="111">
        <f t="shared" si="289"/>
        <v>1015.1856</v>
      </c>
      <c r="AL1370" s="446">
        <f t="shared" si="290"/>
        <v>0</v>
      </c>
      <c r="AM1370" s="110">
        <f t="shared" si="291"/>
        <v>12</v>
      </c>
      <c r="AN1370" s="447">
        <f t="shared" si="300"/>
        <v>0</v>
      </c>
      <c r="AO1370"/>
      <c r="AP1370"/>
    </row>
    <row r="1371" spans="1:42" ht="66" x14ac:dyDescent="0.25">
      <c r="A1371" s="9"/>
      <c r="B1371" s="128" t="s">
        <v>1423</v>
      </c>
      <c r="C1371" s="1024"/>
      <c r="D1371" s="869">
        <v>264</v>
      </c>
      <c r="E1371" s="1027" t="s">
        <v>1721</v>
      </c>
      <c r="F1371" s="273" t="s">
        <v>3446</v>
      </c>
      <c r="G1371" s="1040" t="s">
        <v>3463</v>
      </c>
      <c r="H1371" s="273" t="s">
        <v>3462</v>
      </c>
      <c r="I1371" s="720">
        <f t="shared" si="301"/>
        <v>21.529599999999995</v>
      </c>
      <c r="J1371" s="780">
        <v>5683.8143999999984</v>
      </c>
      <c r="K1371" s="131">
        <f t="shared" si="299"/>
        <v>5683.8143999999984</v>
      </c>
      <c r="L1371" s="335">
        <f t="shared" si="288"/>
        <v>0</v>
      </c>
      <c r="M1371" s="446"/>
      <c r="N1371" s="446"/>
      <c r="O1371" s="446"/>
      <c r="P1371" s="446"/>
      <c r="Q1371" s="110">
        <f t="shared" si="292"/>
        <v>66</v>
      </c>
      <c r="R1371" s="111">
        <f t="shared" si="293"/>
        <v>1420.9535999999996</v>
      </c>
      <c r="S1371" s="110"/>
      <c r="T1371" s="110"/>
      <c r="U1371" s="110">
        <f t="shared" si="294"/>
        <v>66</v>
      </c>
      <c r="V1371" s="111">
        <f t="shared" si="295"/>
        <v>1420.9535999999996</v>
      </c>
      <c r="W1371" s="110"/>
      <c r="X1371" s="110"/>
      <c r="Y1371" s="110"/>
      <c r="Z1371" s="110"/>
      <c r="AA1371" s="110">
        <f t="shared" si="296"/>
        <v>66</v>
      </c>
      <c r="AB1371" s="111">
        <f t="shared" si="297"/>
        <v>1420.9535999999996</v>
      </c>
      <c r="AC1371" s="110"/>
      <c r="AD1371" s="110"/>
      <c r="AE1371" s="110">
        <f t="shared" si="296"/>
        <v>66</v>
      </c>
      <c r="AF1371" s="111">
        <f t="shared" si="298"/>
        <v>1420.9535999999996</v>
      </c>
      <c r="AG1371" s="110"/>
      <c r="AH1371" s="110"/>
      <c r="AI1371" s="110"/>
      <c r="AJ1371" s="110"/>
      <c r="AK1371" s="111">
        <f t="shared" si="289"/>
        <v>5683.8143999999984</v>
      </c>
      <c r="AL1371" s="446">
        <f t="shared" si="290"/>
        <v>0</v>
      </c>
      <c r="AM1371" s="110">
        <f t="shared" si="291"/>
        <v>264</v>
      </c>
      <c r="AN1371" s="447">
        <f t="shared" si="300"/>
        <v>0</v>
      </c>
      <c r="AO1371"/>
      <c r="AP1371"/>
    </row>
    <row r="1372" spans="1:42" ht="66" x14ac:dyDescent="0.25">
      <c r="A1372" s="9"/>
      <c r="B1372" s="128" t="s">
        <v>1424</v>
      </c>
      <c r="C1372" s="1024"/>
      <c r="D1372" s="869">
        <v>11</v>
      </c>
      <c r="E1372" s="1027" t="s">
        <v>1721</v>
      </c>
      <c r="F1372" s="273" t="s">
        <v>3446</v>
      </c>
      <c r="G1372" s="1040" t="s">
        <v>3463</v>
      </c>
      <c r="H1372" s="273" t="s">
        <v>3462</v>
      </c>
      <c r="I1372" s="720">
        <f t="shared" si="301"/>
        <v>163.10759999999999</v>
      </c>
      <c r="J1372" s="780">
        <v>1794.1835999999998</v>
      </c>
      <c r="K1372" s="131">
        <f t="shared" si="299"/>
        <v>1794.1835999999998</v>
      </c>
      <c r="L1372" s="335">
        <f t="shared" si="288"/>
        <v>0</v>
      </c>
      <c r="M1372" s="446"/>
      <c r="N1372" s="446"/>
      <c r="O1372" s="446"/>
      <c r="P1372" s="446"/>
      <c r="Q1372" s="110">
        <v>3</v>
      </c>
      <c r="R1372" s="111">
        <f t="shared" si="293"/>
        <v>448.54589999999996</v>
      </c>
      <c r="S1372" s="110"/>
      <c r="T1372" s="110"/>
      <c r="U1372" s="110">
        <v>3</v>
      </c>
      <c r="V1372" s="111">
        <f t="shared" si="295"/>
        <v>448.54589999999996</v>
      </c>
      <c r="W1372" s="110"/>
      <c r="X1372" s="110"/>
      <c r="Y1372" s="110"/>
      <c r="Z1372" s="110"/>
      <c r="AA1372" s="110">
        <v>3</v>
      </c>
      <c r="AB1372" s="111">
        <f t="shared" si="297"/>
        <v>448.54589999999996</v>
      </c>
      <c r="AC1372" s="110"/>
      <c r="AD1372" s="110"/>
      <c r="AE1372" s="110">
        <v>2</v>
      </c>
      <c r="AF1372" s="111">
        <f t="shared" si="298"/>
        <v>448.54589999999996</v>
      </c>
      <c r="AG1372" s="110"/>
      <c r="AH1372" s="110"/>
      <c r="AI1372" s="110"/>
      <c r="AJ1372" s="110"/>
      <c r="AK1372" s="111">
        <f t="shared" si="289"/>
        <v>1794.1835999999998</v>
      </c>
      <c r="AL1372" s="446">
        <f t="shared" si="290"/>
        <v>0</v>
      </c>
      <c r="AM1372" s="110">
        <f t="shared" si="291"/>
        <v>11</v>
      </c>
      <c r="AN1372" s="447">
        <f t="shared" si="300"/>
        <v>0</v>
      </c>
      <c r="AO1372"/>
      <c r="AP1372"/>
    </row>
    <row r="1373" spans="1:42" ht="66" x14ac:dyDescent="0.25">
      <c r="A1373" s="9"/>
      <c r="B1373" s="145" t="s">
        <v>1425</v>
      </c>
      <c r="C1373" s="1024"/>
      <c r="D1373" s="869">
        <v>407</v>
      </c>
      <c r="E1373" s="1027" t="s">
        <v>1721</v>
      </c>
      <c r="F1373" s="273" t="s">
        <v>3446</v>
      </c>
      <c r="G1373" s="1040" t="s">
        <v>3463</v>
      </c>
      <c r="H1373" s="273" t="s">
        <v>3462</v>
      </c>
      <c r="I1373" s="720">
        <f t="shared" si="301"/>
        <v>22.62</v>
      </c>
      <c r="J1373" s="780">
        <v>9206.34</v>
      </c>
      <c r="K1373" s="131">
        <f t="shared" si="299"/>
        <v>9206.34</v>
      </c>
      <c r="L1373" s="335">
        <f t="shared" si="288"/>
        <v>0</v>
      </c>
      <c r="M1373" s="446"/>
      <c r="N1373" s="446"/>
      <c r="O1373" s="446"/>
      <c r="P1373" s="446"/>
      <c r="Q1373" s="110">
        <v>102</v>
      </c>
      <c r="R1373" s="111">
        <f t="shared" si="293"/>
        <v>2301.585</v>
      </c>
      <c r="S1373" s="110"/>
      <c r="T1373" s="110"/>
      <c r="U1373" s="110">
        <v>102</v>
      </c>
      <c r="V1373" s="111">
        <f t="shared" si="295"/>
        <v>2301.585</v>
      </c>
      <c r="W1373" s="110"/>
      <c r="X1373" s="110"/>
      <c r="Y1373" s="110"/>
      <c r="Z1373" s="110"/>
      <c r="AA1373" s="110">
        <v>101</v>
      </c>
      <c r="AB1373" s="111">
        <f t="shared" si="297"/>
        <v>2301.585</v>
      </c>
      <c r="AC1373" s="110"/>
      <c r="AD1373" s="110"/>
      <c r="AE1373" s="110">
        <v>102</v>
      </c>
      <c r="AF1373" s="111">
        <f t="shared" si="298"/>
        <v>2301.585</v>
      </c>
      <c r="AG1373" s="110"/>
      <c r="AH1373" s="110"/>
      <c r="AI1373" s="110"/>
      <c r="AJ1373" s="110"/>
      <c r="AK1373" s="111">
        <f t="shared" si="289"/>
        <v>9206.34</v>
      </c>
      <c r="AL1373" s="446">
        <f t="shared" si="290"/>
        <v>0</v>
      </c>
      <c r="AM1373" s="110">
        <f t="shared" si="291"/>
        <v>407</v>
      </c>
      <c r="AN1373" s="447">
        <f t="shared" si="300"/>
        <v>0</v>
      </c>
      <c r="AO1373"/>
      <c r="AP1373"/>
    </row>
    <row r="1374" spans="1:42" ht="66" x14ac:dyDescent="0.25">
      <c r="A1374" s="9"/>
      <c r="B1374" s="145" t="s">
        <v>1426</v>
      </c>
      <c r="C1374" s="1024"/>
      <c r="D1374" s="869">
        <v>99</v>
      </c>
      <c r="E1374" s="1027" t="s">
        <v>1721</v>
      </c>
      <c r="F1374" s="273" t="s">
        <v>3446</v>
      </c>
      <c r="G1374" s="1040" t="s">
        <v>3463</v>
      </c>
      <c r="H1374" s="273" t="s">
        <v>3462</v>
      </c>
      <c r="I1374" s="720">
        <f t="shared" si="301"/>
        <v>19.14</v>
      </c>
      <c r="J1374" s="780">
        <v>1894.86</v>
      </c>
      <c r="K1374" s="131">
        <f t="shared" si="299"/>
        <v>1894.8600000000001</v>
      </c>
      <c r="L1374" s="335">
        <f t="shared" si="288"/>
        <v>0</v>
      </c>
      <c r="M1374" s="446"/>
      <c r="N1374" s="446"/>
      <c r="O1374" s="446"/>
      <c r="P1374" s="446"/>
      <c r="Q1374" s="110">
        <v>25</v>
      </c>
      <c r="R1374" s="111">
        <f t="shared" si="293"/>
        <v>473.71499999999997</v>
      </c>
      <c r="S1374" s="110"/>
      <c r="T1374" s="110"/>
      <c r="U1374" s="110">
        <v>25</v>
      </c>
      <c r="V1374" s="111">
        <f t="shared" si="295"/>
        <v>473.71499999999997</v>
      </c>
      <c r="W1374" s="110"/>
      <c r="X1374" s="110"/>
      <c r="Y1374" s="110"/>
      <c r="Z1374" s="110"/>
      <c r="AA1374" s="110">
        <v>25</v>
      </c>
      <c r="AB1374" s="111">
        <f t="shared" si="297"/>
        <v>473.71499999999997</v>
      </c>
      <c r="AC1374" s="110"/>
      <c r="AD1374" s="110"/>
      <c r="AE1374" s="110">
        <v>24</v>
      </c>
      <c r="AF1374" s="111">
        <f t="shared" si="298"/>
        <v>473.71499999999997</v>
      </c>
      <c r="AG1374" s="110"/>
      <c r="AH1374" s="110"/>
      <c r="AI1374" s="110"/>
      <c r="AJ1374" s="110"/>
      <c r="AK1374" s="111">
        <f t="shared" si="289"/>
        <v>1894.86</v>
      </c>
      <c r="AL1374" s="446">
        <f t="shared" si="290"/>
        <v>0</v>
      </c>
      <c r="AM1374" s="110">
        <f t="shared" si="291"/>
        <v>99</v>
      </c>
      <c r="AN1374" s="447">
        <f t="shared" si="300"/>
        <v>0</v>
      </c>
      <c r="AO1374"/>
      <c r="AP1374"/>
    </row>
    <row r="1375" spans="1:42" ht="66" x14ac:dyDescent="0.25">
      <c r="A1375" s="9"/>
      <c r="B1375" s="128" t="s">
        <v>1427</v>
      </c>
      <c r="C1375" s="1024"/>
      <c r="D1375" s="869">
        <v>28</v>
      </c>
      <c r="E1375" s="1027" t="s">
        <v>1721</v>
      </c>
      <c r="F1375" s="273" t="s">
        <v>3446</v>
      </c>
      <c r="G1375" s="1040" t="s">
        <v>3463</v>
      </c>
      <c r="H1375" s="273" t="s">
        <v>3462</v>
      </c>
      <c r="I1375" s="720">
        <f t="shared" si="301"/>
        <v>197.42039999999997</v>
      </c>
      <c r="J1375" s="780">
        <v>5527.7711999999992</v>
      </c>
      <c r="K1375" s="131">
        <f t="shared" si="299"/>
        <v>5527.7711999999992</v>
      </c>
      <c r="L1375" s="335">
        <f t="shared" si="288"/>
        <v>0</v>
      </c>
      <c r="M1375" s="446"/>
      <c r="N1375" s="446"/>
      <c r="O1375" s="446"/>
      <c r="P1375" s="446"/>
      <c r="Q1375" s="110">
        <f t="shared" si="292"/>
        <v>7</v>
      </c>
      <c r="R1375" s="111">
        <f t="shared" si="293"/>
        <v>1381.9427999999998</v>
      </c>
      <c r="S1375" s="110"/>
      <c r="T1375" s="110"/>
      <c r="U1375" s="110">
        <f t="shared" si="294"/>
        <v>7</v>
      </c>
      <c r="V1375" s="111">
        <f t="shared" si="295"/>
        <v>1381.9427999999998</v>
      </c>
      <c r="W1375" s="110"/>
      <c r="X1375" s="110"/>
      <c r="Y1375" s="110"/>
      <c r="Z1375" s="110"/>
      <c r="AA1375" s="110">
        <f t="shared" si="296"/>
        <v>7</v>
      </c>
      <c r="AB1375" s="111">
        <f t="shared" si="297"/>
        <v>1381.9427999999998</v>
      </c>
      <c r="AC1375" s="110"/>
      <c r="AD1375" s="110"/>
      <c r="AE1375" s="110">
        <f t="shared" si="296"/>
        <v>7</v>
      </c>
      <c r="AF1375" s="111">
        <f t="shared" si="298"/>
        <v>1381.9427999999998</v>
      </c>
      <c r="AG1375" s="110"/>
      <c r="AH1375" s="110"/>
      <c r="AI1375" s="110"/>
      <c r="AJ1375" s="110"/>
      <c r="AK1375" s="111">
        <f t="shared" si="289"/>
        <v>5527.7711999999992</v>
      </c>
      <c r="AL1375" s="446">
        <f t="shared" si="290"/>
        <v>0</v>
      </c>
      <c r="AM1375" s="110">
        <f t="shared" si="291"/>
        <v>28</v>
      </c>
      <c r="AN1375" s="447">
        <f t="shared" si="300"/>
        <v>0</v>
      </c>
      <c r="AO1375"/>
      <c r="AP1375"/>
    </row>
    <row r="1376" spans="1:42" ht="66" x14ac:dyDescent="0.25">
      <c r="A1376" s="9"/>
      <c r="B1376" s="128" t="s">
        <v>192</v>
      </c>
      <c r="C1376" s="1024"/>
      <c r="D1376" s="869">
        <v>220</v>
      </c>
      <c r="E1376" s="1027" t="s">
        <v>1721</v>
      </c>
      <c r="F1376" s="273" t="s">
        <v>3446</v>
      </c>
      <c r="G1376" s="1040" t="s">
        <v>3463</v>
      </c>
      <c r="H1376" s="273" t="s">
        <v>3462</v>
      </c>
      <c r="I1376" s="720">
        <f t="shared" si="301"/>
        <v>51.503999999999998</v>
      </c>
      <c r="J1376" s="780">
        <v>11330.88</v>
      </c>
      <c r="K1376" s="131">
        <f t="shared" si="299"/>
        <v>11330.88</v>
      </c>
      <c r="L1376" s="335">
        <f t="shared" si="288"/>
        <v>0</v>
      </c>
      <c r="M1376" s="446"/>
      <c r="N1376" s="446"/>
      <c r="O1376" s="446"/>
      <c r="P1376" s="446"/>
      <c r="Q1376" s="110">
        <f t="shared" si="292"/>
        <v>55</v>
      </c>
      <c r="R1376" s="111">
        <f t="shared" si="293"/>
        <v>2832.72</v>
      </c>
      <c r="S1376" s="110"/>
      <c r="T1376" s="110"/>
      <c r="U1376" s="110">
        <f t="shared" si="294"/>
        <v>55</v>
      </c>
      <c r="V1376" s="111">
        <f t="shared" si="295"/>
        <v>2832.72</v>
      </c>
      <c r="W1376" s="110"/>
      <c r="X1376" s="110"/>
      <c r="Y1376" s="110"/>
      <c r="Z1376" s="110"/>
      <c r="AA1376" s="110">
        <f t="shared" ref="AA1376:AE1431" si="302">+$D1376/4</f>
        <v>55</v>
      </c>
      <c r="AB1376" s="111">
        <f t="shared" si="297"/>
        <v>2832.72</v>
      </c>
      <c r="AC1376" s="110"/>
      <c r="AD1376" s="110"/>
      <c r="AE1376" s="110">
        <f t="shared" si="302"/>
        <v>55</v>
      </c>
      <c r="AF1376" s="111">
        <f t="shared" si="298"/>
        <v>2832.72</v>
      </c>
      <c r="AG1376" s="110"/>
      <c r="AH1376" s="110"/>
      <c r="AI1376" s="110"/>
      <c r="AJ1376" s="110"/>
      <c r="AK1376" s="111">
        <f t="shared" si="289"/>
        <v>11330.88</v>
      </c>
      <c r="AL1376" s="446">
        <f t="shared" si="290"/>
        <v>0</v>
      </c>
      <c r="AM1376" s="110">
        <f t="shared" si="291"/>
        <v>220</v>
      </c>
      <c r="AN1376" s="447">
        <f t="shared" si="300"/>
        <v>0</v>
      </c>
      <c r="AO1376"/>
      <c r="AP1376"/>
    </row>
    <row r="1377" spans="1:42" ht="66" x14ac:dyDescent="0.25">
      <c r="A1377" s="9"/>
      <c r="B1377" s="128" t="s">
        <v>195</v>
      </c>
      <c r="C1377" s="1024"/>
      <c r="D1377" s="869">
        <v>110</v>
      </c>
      <c r="E1377" s="1027" t="s">
        <v>1721</v>
      </c>
      <c r="F1377" s="273" t="s">
        <v>3446</v>
      </c>
      <c r="G1377" s="1040" t="s">
        <v>3463</v>
      </c>
      <c r="H1377" s="273" t="s">
        <v>3462</v>
      </c>
      <c r="I1377" s="720">
        <f t="shared" si="301"/>
        <v>24.452799999999996</v>
      </c>
      <c r="J1377" s="780">
        <v>2689.8079999999995</v>
      </c>
      <c r="K1377" s="131">
        <f t="shared" si="299"/>
        <v>2689.8079999999995</v>
      </c>
      <c r="L1377" s="335">
        <f t="shared" si="288"/>
        <v>0</v>
      </c>
      <c r="M1377" s="446"/>
      <c r="N1377" s="446"/>
      <c r="O1377" s="446"/>
      <c r="P1377" s="446"/>
      <c r="Q1377" s="110">
        <v>30</v>
      </c>
      <c r="R1377" s="111">
        <f t="shared" si="293"/>
        <v>672.45199999999988</v>
      </c>
      <c r="S1377" s="110"/>
      <c r="T1377" s="110"/>
      <c r="U1377" s="110">
        <v>30</v>
      </c>
      <c r="V1377" s="111">
        <f t="shared" si="295"/>
        <v>672.45199999999988</v>
      </c>
      <c r="W1377" s="110"/>
      <c r="X1377" s="110"/>
      <c r="Y1377" s="110"/>
      <c r="Z1377" s="110"/>
      <c r="AA1377" s="110">
        <v>30</v>
      </c>
      <c r="AB1377" s="111">
        <f t="shared" si="297"/>
        <v>672.45199999999988</v>
      </c>
      <c r="AC1377" s="110"/>
      <c r="AD1377" s="110"/>
      <c r="AE1377" s="110">
        <v>11</v>
      </c>
      <c r="AF1377" s="111">
        <f t="shared" si="298"/>
        <v>672.45199999999988</v>
      </c>
      <c r="AG1377" s="110"/>
      <c r="AH1377" s="110"/>
      <c r="AI1377" s="110"/>
      <c r="AJ1377" s="110"/>
      <c r="AK1377" s="111">
        <f t="shared" si="289"/>
        <v>2689.8079999999995</v>
      </c>
      <c r="AL1377" s="446">
        <f t="shared" si="290"/>
        <v>0</v>
      </c>
      <c r="AM1377" s="110">
        <f t="shared" si="291"/>
        <v>101</v>
      </c>
      <c r="AN1377" s="447">
        <f t="shared" si="300"/>
        <v>9</v>
      </c>
      <c r="AO1377"/>
      <c r="AP1377"/>
    </row>
    <row r="1378" spans="1:42" ht="66" x14ac:dyDescent="0.25">
      <c r="A1378" s="9"/>
      <c r="B1378" s="129" t="s">
        <v>1428</v>
      </c>
      <c r="C1378" s="1024"/>
      <c r="D1378" s="869">
        <v>44</v>
      </c>
      <c r="E1378" s="1027" t="s">
        <v>1721</v>
      </c>
      <c r="F1378" s="273" t="s">
        <v>3446</v>
      </c>
      <c r="G1378" s="1040" t="s">
        <v>3463</v>
      </c>
      <c r="H1378" s="273" t="s">
        <v>3462</v>
      </c>
      <c r="I1378" s="720">
        <f t="shared" si="301"/>
        <v>24.197599999999998</v>
      </c>
      <c r="J1378" s="780">
        <v>1064.6943999999999</v>
      </c>
      <c r="K1378" s="131">
        <f t="shared" si="299"/>
        <v>1064.6943999999999</v>
      </c>
      <c r="L1378" s="335">
        <f t="shared" si="288"/>
        <v>0</v>
      </c>
      <c r="M1378" s="446"/>
      <c r="N1378" s="446"/>
      <c r="O1378" s="446"/>
      <c r="P1378" s="446"/>
      <c r="Q1378" s="110">
        <f t="shared" si="292"/>
        <v>11</v>
      </c>
      <c r="R1378" s="111">
        <f t="shared" si="293"/>
        <v>266.17359999999996</v>
      </c>
      <c r="S1378" s="110"/>
      <c r="T1378" s="110"/>
      <c r="U1378" s="110">
        <f t="shared" si="294"/>
        <v>11</v>
      </c>
      <c r="V1378" s="111">
        <f t="shared" si="295"/>
        <v>266.17359999999996</v>
      </c>
      <c r="W1378" s="110"/>
      <c r="X1378" s="110"/>
      <c r="Y1378" s="110"/>
      <c r="Z1378" s="110"/>
      <c r="AA1378" s="110">
        <f t="shared" si="302"/>
        <v>11</v>
      </c>
      <c r="AB1378" s="111">
        <f t="shared" si="297"/>
        <v>266.17359999999996</v>
      </c>
      <c r="AC1378" s="110"/>
      <c r="AD1378" s="110"/>
      <c r="AE1378" s="110">
        <f t="shared" si="302"/>
        <v>11</v>
      </c>
      <c r="AF1378" s="111">
        <f t="shared" si="298"/>
        <v>266.17359999999996</v>
      </c>
      <c r="AG1378" s="110"/>
      <c r="AH1378" s="110"/>
      <c r="AI1378" s="110"/>
      <c r="AJ1378" s="110"/>
      <c r="AK1378" s="111">
        <f t="shared" si="289"/>
        <v>1064.6943999999999</v>
      </c>
      <c r="AL1378" s="446">
        <f t="shared" si="290"/>
        <v>0</v>
      </c>
      <c r="AM1378" s="110">
        <f t="shared" si="291"/>
        <v>44</v>
      </c>
      <c r="AN1378" s="447">
        <f t="shared" si="300"/>
        <v>0</v>
      </c>
      <c r="AO1378"/>
      <c r="AP1378"/>
    </row>
    <row r="1379" spans="1:42" ht="66" x14ac:dyDescent="0.25">
      <c r="A1379" s="9"/>
      <c r="B1379" s="128" t="s">
        <v>191</v>
      </c>
      <c r="C1379" s="1024"/>
      <c r="D1379" s="869">
        <v>22</v>
      </c>
      <c r="E1379" s="1027" t="s">
        <v>1721</v>
      </c>
      <c r="F1379" s="273" t="s">
        <v>3446</v>
      </c>
      <c r="G1379" s="1040" t="s">
        <v>3463</v>
      </c>
      <c r="H1379" s="273" t="s">
        <v>3462</v>
      </c>
      <c r="I1379" s="720">
        <f t="shared" si="301"/>
        <v>94.853200000000001</v>
      </c>
      <c r="J1379" s="780">
        <v>2086.7703999999999</v>
      </c>
      <c r="K1379" s="131">
        <f t="shared" si="299"/>
        <v>2086.7703999999999</v>
      </c>
      <c r="L1379" s="335">
        <f t="shared" si="288"/>
        <v>0</v>
      </c>
      <c r="M1379" s="446"/>
      <c r="N1379" s="446"/>
      <c r="O1379" s="446"/>
      <c r="P1379" s="446"/>
      <c r="Q1379" s="110">
        <v>6</v>
      </c>
      <c r="R1379" s="111">
        <f t="shared" si="293"/>
        <v>521.69259999999997</v>
      </c>
      <c r="S1379" s="110"/>
      <c r="T1379" s="110"/>
      <c r="U1379" s="110">
        <v>6</v>
      </c>
      <c r="V1379" s="111">
        <f t="shared" si="295"/>
        <v>521.69259999999997</v>
      </c>
      <c r="W1379" s="110"/>
      <c r="X1379" s="110"/>
      <c r="Y1379" s="110"/>
      <c r="Z1379" s="110"/>
      <c r="AA1379" s="110">
        <v>5</v>
      </c>
      <c r="AB1379" s="111">
        <f t="shared" si="297"/>
        <v>521.69259999999997</v>
      </c>
      <c r="AC1379" s="110"/>
      <c r="AD1379" s="110"/>
      <c r="AE1379" s="110">
        <v>5</v>
      </c>
      <c r="AF1379" s="111">
        <f t="shared" si="298"/>
        <v>521.69259999999997</v>
      </c>
      <c r="AG1379" s="110"/>
      <c r="AH1379" s="110"/>
      <c r="AI1379" s="110"/>
      <c r="AJ1379" s="110"/>
      <c r="AK1379" s="111">
        <f t="shared" si="289"/>
        <v>2086.7703999999999</v>
      </c>
      <c r="AL1379" s="446">
        <f t="shared" si="290"/>
        <v>0</v>
      </c>
      <c r="AM1379" s="110">
        <f t="shared" si="291"/>
        <v>22</v>
      </c>
      <c r="AN1379" s="447">
        <f t="shared" si="300"/>
        <v>0</v>
      </c>
      <c r="AO1379"/>
      <c r="AP1379"/>
    </row>
    <row r="1380" spans="1:42" ht="66" x14ac:dyDescent="0.25">
      <c r="A1380" s="9"/>
      <c r="B1380" s="128" t="s">
        <v>1429</v>
      </c>
      <c r="C1380" s="1024"/>
      <c r="D1380" s="869">
        <v>74</v>
      </c>
      <c r="E1380" s="1027" t="s">
        <v>1725</v>
      </c>
      <c r="F1380" s="273" t="s">
        <v>3446</v>
      </c>
      <c r="G1380" s="1040" t="s">
        <v>3463</v>
      </c>
      <c r="H1380" s="273" t="s">
        <v>3462</v>
      </c>
      <c r="I1380" s="720">
        <f t="shared" si="301"/>
        <v>31.563502702702703</v>
      </c>
      <c r="J1380" s="780">
        <v>2335.6992</v>
      </c>
      <c r="K1380" s="131">
        <f t="shared" si="299"/>
        <v>2335.6992</v>
      </c>
      <c r="L1380" s="335">
        <f t="shared" si="288"/>
        <v>0</v>
      </c>
      <c r="M1380" s="446"/>
      <c r="N1380" s="446"/>
      <c r="O1380" s="446"/>
      <c r="P1380" s="446"/>
      <c r="Q1380" s="110">
        <v>20</v>
      </c>
      <c r="R1380" s="111">
        <f t="shared" si="293"/>
        <v>583.9248</v>
      </c>
      <c r="S1380" s="110"/>
      <c r="T1380" s="110"/>
      <c r="U1380" s="110">
        <v>20</v>
      </c>
      <c r="V1380" s="111">
        <f t="shared" si="295"/>
        <v>583.9248</v>
      </c>
      <c r="W1380" s="110"/>
      <c r="X1380" s="110"/>
      <c r="Y1380" s="110"/>
      <c r="Z1380" s="110"/>
      <c r="AA1380" s="110">
        <v>21</v>
      </c>
      <c r="AB1380" s="111">
        <f t="shared" si="297"/>
        <v>583.9248</v>
      </c>
      <c r="AC1380" s="110"/>
      <c r="AD1380" s="110"/>
      <c r="AE1380" s="110">
        <v>13</v>
      </c>
      <c r="AF1380" s="111">
        <f t="shared" si="298"/>
        <v>583.9248</v>
      </c>
      <c r="AG1380" s="110"/>
      <c r="AH1380" s="110"/>
      <c r="AI1380" s="110"/>
      <c r="AJ1380" s="110"/>
      <c r="AK1380" s="111">
        <f t="shared" si="289"/>
        <v>2335.6992</v>
      </c>
      <c r="AL1380" s="446">
        <f t="shared" si="290"/>
        <v>0</v>
      </c>
      <c r="AM1380" s="110">
        <f t="shared" si="291"/>
        <v>74</v>
      </c>
      <c r="AN1380" s="447">
        <f t="shared" si="300"/>
        <v>0</v>
      </c>
      <c r="AO1380"/>
      <c r="AP1380"/>
    </row>
    <row r="1381" spans="1:42" ht="66" x14ac:dyDescent="0.25">
      <c r="A1381" s="9"/>
      <c r="B1381" s="128" t="s">
        <v>193</v>
      </c>
      <c r="C1381" s="1024"/>
      <c r="D1381" s="869">
        <v>275</v>
      </c>
      <c r="E1381" s="1027" t="s">
        <v>1721</v>
      </c>
      <c r="F1381" s="273" t="s">
        <v>3446</v>
      </c>
      <c r="G1381" s="1040" t="s">
        <v>3463</v>
      </c>
      <c r="H1381" s="273" t="s">
        <v>3462</v>
      </c>
      <c r="I1381" s="720">
        <f t="shared" si="301"/>
        <v>55.865599999999993</v>
      </c>
      <c r="J1381" s="780">
        <v>15363.039999999997</v>
      </c>
      <c r="K1381" s="131">
        <f t="shared" si="299"/>
        <v>15363.039999999999</v>
      </c>
      <c r="L1381" s="335">
        <f t="shared" si="288"/>
        <v>0</v>
      </c>
      <c r="M1381" s="446"/>
      <c r="N1381" s="446"/>
      <c r="O1381" s="446"/>
      <c r="P1381" s="446"/>
      <c r="Q1381" s="110">
        <v>70</v>
      </c>
      <c r="R1381" s="111">
        <f t="shared" si="293"/>
        <v>3840.7599999999993</v>
      </c>
      <c r="S1381" s="110"/>
      <c r="T1381" s="110"/>
      <c r="U1381" s="110">
        <v>70</v>
      </c>
      <c r="V1381" s="111">
        <f t="shared" si="295"/>
        <v>3840.7599999999993</v>
      </c>
      <c r="W1381" s="110"/>
      <c r="X1381" s="110"/>
      <c r="Y1381" s="110"/>
      <c r="Z1381" s="110"/>
      <c r="AA1381" s="110">
        <v>60</v>
      </c>
      <c r="AB1381" s="111">
        <f t="shared" si="297"/>
        <v>3840.7599999999993</v>
      </c>
      <c r="AC1381" s="110"/>
      <c r="AD1381" s="110"/>
      <c r="AE1381" s="110">
        <v>75</v>
      </c>
      <c r="AF1381" s="111">
        <f t="shared" si="298"/>
        <v>3840.7599999999993</v>
      </c>
      <c r="AG1381" s="110"/>
      <c r="AH1381" s="110"/>
      <c r="AI1381" s="110"/>
      <c r="AJ1381" s="110"/>
      <c r="AK1381" s="111">
        <f t="shared" si="289"/>
        <v>15363.039999999997</v>
      </c>
      <c r="AL1381" s="446">
        <f t="shared" si="290"/>
        <v>0</v>
      </c>
      <c r="AM1381" s="110">
        <f t="shared" si="291"/>
        <v>275</v>
      </c>
      <c r="AN1381" s="447">
        <f t="shared" si="300"/>
        <v>0</v>
      </c>
      <c r="AO1381"/>
      <c r="AP1381"/>
    </row>
    <row r="1382" spans="1:42" ht="66" x14ac:dyDescent="0.25">
      <c r="A1382" s="9"/>
      <c r="B1382" s="227" t="s">
        <v>2526</v>
      </c>
      <c r="C1382" s="1024"/>
      <c r="D1382" s="869">
        <v>6</v>
      </c>
      <c r="E1382" s="1027" t="s">
        <v>1722</v>
      </c>
      <c r="F1382" s="273" t="s">
        <v>3446</v>
      </c>
      <c r="G1382" s="1040" t="s">
        <v>3463</v>
      </c>
      <c r="H1382" s="273" t="s">
        <v>3462</v>
      </c>
      <c r="I1382" s="720">
        <f t="shared" si="301"/>
        <v>362.81</v>
      </c>
      <c r="J1382" s="780">
        <v>2176.86</v>
      </c>
      <c r="K1382" s="131">
        <f t="shared" si="299"/>
        <v>2176.86</v>
      </c>
      <c r="L1382" s="335">
        <f t="shared" si="288"/>
        <v>0</v>
      </c>
      <c r="M1382" s="446"/>
      <c r="N1382" s="446"/>
      <c r="O1382" s="446"/>
      <c r="P1382" s="446"/>
      <c r="Q1382" s="130">
        <v>2</v>
      </c>
      <c r="R1382" s="111">
        <f t="shared" si="293"/>
        <v>544.21500000000003</v>
      </c>
      <c r="S1382" s="110"/>
      <c r="T1382" s="110"/>
      <c r="U1382" s="130">
        <v>2</v>
      </c>
      <c r="V1382" s="111">
        <f t="shared" si="295"/>
        <v>544.21500000000003</v>
      </c>
      <c r="W1382" s="110"/>
      <c r="X1382" s="110"/>
      <c r="Y1382" s="110"/>
      <c r="Z1382" s="110"/>
      <c r="AA1382" s="130">
        <v>1</v>
      </c>
      <c r="AB1382" s="111">
        <f t="shared" si="297"/>
        <v>544.21500000000003</v>
      </c>
      <c r="AC1382" s="110"/>
      <c r="AD1382" s="110"/>
      <c r="AE1382" s="130">
        <v>1</v>
      </c>
      <c r="AF1382" s="111">
        <f t="shared" si="298"/>
        <v>544.21500000000003</v>
      </c>
      <c r="AG1382" s="110"/>
      <c r="AH1382" s="110"/>
      <c r="AI1382" s="110"/>
      <c r="AJ1382" s="110"/>
      <c r="AK1382" s="111">
        <f t="shared" si="289"/>
        <v>2176.86</v>
      </c>
      <c r="AL1382" s="446">
        <f t="shared" si="290"/>
        <v>0</v>
      </c>
      <c r="AM1382" s="110">
        <f t="shared" si="291"/>
        <v>6</v>
      </c>
      <c r="AN1382" s="447">
        <f t="shared" si="300"/>
        <v>0</v>
      </c>
      <c r="AO1382"/>
      <c r="AP1382"/>
    </row>
    <row r="1383" spans="1:42" ht="66" x14ac:dyDescent="0.25">
      <c r="A1383" s="9"/>
      <c r="B1383" s="152" t="s">
        <v>1510</v>
      </c>
      <c r="C1383" s="1024"/>
      <c r="D1383" s="869">
        <v>20</v>
      </c>
      <c r="E1383" s="1027" t="s">
        <v>1721</v>
      </c>
      <c r="F1383" s="273" t="s">
        <v>3446</v>
      </c>
      <c r="G1383" s="1040" t="s">
        <v>3463</v>
      </c>
      <c r="H1383" s="273" t="s">
        <v>3462</v>
      </c>
      <c r="I1383" s="720">
        <f t="shared" si="301"/>
        <v>91.454400000000007</v>
      </c>
      <c r="J1383" s="780">
        <v>1829.0880000000002</v>
      </c>
      <c r="K1383" s="131">
        <f t="shared" si="299"/>
        <v>1829.0880000000002</v>
      </c>
      <c r="L1383" s="335">
        <f t="shared" si="288"/>
        <v>0</v>
      </c>
      <c r="M1383" s="446"/>
      <c r="N1383" s="446"/>
      <c r="O1383" s="446"/>
      <c r="P1383" s="446"/>
      <c r="Q1383" s="110">
        <f t="shared" si="292"/>
        <v>5</v>
      </c>
      <c r="R1383" s="111">
        <f t="shared" si="293"/>
        <v>457.27200000000005</v>
      </c>
      <c r="S1383" s="110"/>
      <c r="T1383" s="110"/>
      <c r="U1383" s="110">
        <f t="shared" si="294"/>
        <v>5</v>
      </c>
      <c r="V1383" s="111">
        <f t="shared" si="295"/>
        <v>457.27200000000005</v>
      </c>
      <c r="W1383" s="110"/>
      <c r="X1383" s="110"/>
      <c r="Y1383" s="110"/>
      <c r="Z1383" s="110"/>
      <c r="AA1383" s="110">
        <f t="shared" si="302"/>
        <v>5</v>
      </c>
      <c r="AB1383" s="111">
        <f t="shared" si="297"/>
        <v>457.27200000000005</v>
      </c>
      <c r="AC1383" s="110"/>
      <c r="AD1383" s="110"/>
      <c r="AE1383" s="110">
        <f t="shared" si="302"/>
        <v>5</v>
      </c>
      <c r="AF1383" s="111">
        <f t="shared" si="298"/>
        <v>457.27200000000005</v>
      </c>
      <c r="AG1383" s="110"/>
      <c r="AH1383" s="110"/>
      <c r="AI1383" s="110"/>
      <c r="AJ1383" s="110"/>
      <c r="AK1383" s="111">
        <f t="shared" si="289"/>
        <v>1829.0880000000002</v>
      </c>
      <c r="AL1383" s="446">
        <f t="shared" si="290"/>
        <v>0</v>
      </c>
      <c r="AM1383" s="110">
        <f t="shared" si="291"/>
        <v>20</v>
      </c>
      <c r="AN1383" s="447">
        <f t="shared" si="300"/>
        <v>0</v>
      </c>
      <c r="AO1383"/>
      <c r="AP1383"/>
    </row>
    <row r="1384" spans="1:42" ht="66" x14ac:dyDescent="0.25">
      <c r="A1384" s="9"/>
      <c r="B1384" s="152" t="s">
        <v>191</v>
      </c>
      <c r="C1384" s="1024"/>
      <c r="D1384" s="869">
        <v>30</v>
      </c>
      <c r="E1384" s="1027" t="s">
        <v>1721</v>
      </c>
      <c r="F1384" s="273" t="s">
        <v>3446</v>
      </c>
      <c r="G1384" s="1040" t="s">
        <v>3463</v>
      </c>
      <c r="H1384" s="273" t="s">
        <v>3462</v>
      </c>
      <c r="I1384" s="720">
        <f t="shared" si="301"/>
        <v>82.765999999999991</v>
      </c>
      <c r="J1384" s="780">
        <v>2482.9799999999996</v>
      </c>
      <c r="K1384" s="131">
        <f t="shared" si="299"/>
        <v>2482.9799999999996</v>
      </c>
      <c r="L1384" s="335">
        <f t="shared" si="288"/>
        <v>0</v>
      </c>
      <c r="M1384" s="446"/>
      <c r="N1384" s="446"/>
      <c r="O1384" s="446"/>
      <c r="P1384" s="446"/>
      <c r="Q1384" s="110">
        <v>8</v>
      </c>
      <c r="R1384" s="111">
        <f t="shared" si="293"/>
        <v>620.74499999999989</v>
      </c>
      <c r="S1384" s="110"/>
      <c r="T1384" s="110"/>
      <c r="U1384" s="110">
        <v>8</v>
      </c>
      <c r="V1384" s="111">
        <f t="shared" si="295"/>
        <v>620.74499999999989</v>
      </c>
      <c r="W1384" s="110"/>
      <c r="X1384" s="110"/>
      <c r="Y1384" s="110"/>
      <c r="Z1384" s="110"/>
      <c r="AA1384" s="110">
        <v>7</v>
      </c>
      <c r="AB1384" s="111">
        <f t="shared" si="297"/>
        <v>620.74499999999989</v>
      </c>
      <c r="AC1384" s="110"/>
      <c r="AD1384" s="110"/>
      <c r="AE1384" s="110">
        <v>7</v>
      </c>
      <c r="AF1384" s="111">
        <f t="shared" si="298"/>
        <v>620.74499999999989</v>
      </c>
      <c r="AG1384" s="110"/>
      <c r="AH1384" s="110"/>
      <c r="AI1384" s="110"/>
      <c r="AJ1384" s="110"/>
      <c r="AK1384" s="111">
        <f t="shared" si="289"/>
        <v>2482.9799999999996</v>
      </c>
      <c r="AL1384" s="446">
        <f t="shared" si="290"/>
        <v>0</v>
      </c>
      <c r="AM1384" s="110">
        <f t="shared" si="291"/>
        <v>30</v>
      </c>
      <c r="AN1384" s="447">
        <f t="shared" si="300"/>
        <v>0</v>
      </c>
      <c r="AO1384"/>
      <c r="AP1384"/>
    </row>
    <row r="1385" spans="1:42" ht="66" x14ac:dyDescent="0.25">
      <c r="A1385" s="9"/>
      <c r="B1385" s="152" t="s">
        <v>1511</v>
      </c>
      <c r="C1385" s="1024"/>
      <c r="D1385" s="869">
        <v>16</v>
      </c>
      <c r="E1385" s="1027" t="s">
        <v>1721</v>
      </c>
      <c r="F1385" s="273" t="s">
        <v>3446</v>
      </c>
      <c r="G1385" s="1040" t="s">
        <v>3463</v>
      </c>
      <c r="H1385" s="273" t="s">
        <v>3462</v>
      </c>
      <c r="I1385" s="720">
        <f t="shared" si="301"/>
        <v>40.089600000000004</v>
      </c>
      <c r="J1385" s="780">
        <v>641.43360000000007</v>
      </c>
      <c r="K1385" s="131">
        <f t="shared" si="299"/>
        <v>641.43360000000007</v>
      </c>
      <c r="L1385" s="335">
        <f t="shared" si="288"/>
        <v>0</v>
      </c>
      <c r="M1385" s="446"/>
      <c r="N1385" s="446"/>
      <c r="O1385" s="446"/>
      <c r="P1385" s="446"/>
      <c r="Q1385" s="110">
        <f t="shared" si="292"/>
        <v>4</v>
      </c>
      <c r="R1385" s="111">
        <f t="shared" si="293"/>
        <v>160.35840000000002</v>
      </c>
      <c r="S1385" s="110"/>
      <c r="T1385" s="110"/>
      <c r="U1385" s="110">
        <f t="shared" si="294"/>
        <v>4</v>
      </c>
      <c r="V1385" s="111">
        <f t="shared" si="295"/>
        <v>160.35840000000002</v>
      </c>
      <c r="W1385" s="110"/>
      <c r="X1385" s="110"/>
      <c r="Y1385" s="110"/>
      <c r="Z1385" s="110"/>
      <c r="AA1385" s="110">
        <f t="shared" si="302"/>
        <v>4</v>
      </c>
      <c r="AB1385" s="111">
        <f t="shared" si="297"/>
        <v>160.35840000000002</v>
      </c>
      <c r="AC1385" s="110"/>
      <c r="AD1385" s="110"/>
      <c r="AE1385" s="110">
        <f t="shared" si="302"/>
        <v>4</v>
      </c>
      <c r="AF1385" s="111">
        <f t="shared" si="298"/>
        <v>160.35840000000002</v>
      </c>
      <c r="AG1385" s="110"/>
      <c r="AH1385" s="110"/>
      <c r="AI1385" s="110"/>
      <c r="AJ1385" s="110"/>
      <c r="AK1385" s="111">
        <f t="shared" si="289"/>
        <v>641.43360000000007</v>
      </c>
      <c r="AL1385" s="446">
        <f t="shared" si="290"/>
        <v>0</v>
      </c>
      <c r="AM1385" s="110">
        <f t="shared" si="291"/>
        <v>16</v>
      </c>
      <c r="AN1385" s="447">
        <f t="shared" si="300"/>
        <v>0</v>
      </c>
      <c r="AO1385"/>
      <c r="AP1385"/>
    </row>
    <row r="1386" spans="1:42" ht="66" x14ac:dyDescent="0.25">
      <c r="A1386" s="9"/>
      <c r="B1386" s="152" t="s">
        <v>1512</v>
      </c>
      <c r="C1386" s="1024"/>
      <c r="D1386" s="869">
        <v>8</v>
      </c>
      <c r="E1386" s="1027" t="s">
        <v>1721</v>
      </c>
      <c r="F1386" s="273" t="s">
        <v>3446</v>
      </c>
      <c r="G1386" s="1040" t="s">
        <v>3463</v>
      </c>
      <c r="H1386" s="273" t="s">
        <v>3462</v>
      </c>
      <c r="I1386" s="720">
        <f t="shared" si="301"/>
        <v>108.99359999999999</v>
      </c>
      <c r="J1386" s="780">
        <v>871.94879999999989</v>
      </c>
      <c r="K1386" s="131">
        <f t="shared" si="299"/>
        <v>871.94879999999989</v>
      </c>
      <c r="L1386" s="335">
        <f t="shared" si="288"/>
        <v>0</v>
      </c>
      <c r="M1386" s="446"/>
      <c r="N1386" s="446"/>
      <c r="O1386" s="446"/>
      <c r="P1386" s="446"/>
      <c r="Q1386" s="110">
        <f t="shared" si="292"/>
        <v>2</v>
      </c>
      <c r="R1386" s="111">
        <f t="shared" si="293"/>
        <v>217.98719999999997</v>
      </c>
      <c r="S1386" s="110"/>
      <c r="T1386" s="110"/>
      <c r="U1386" s="110">
        <f t="shared" si="294"/>
        <v>2</v>
      </c>
      <c r="V1386" s="111">
        <f t="shared" si="295"/>
        <v>217.98719999999997</v>
      </c>
      <c r="W1386" s="110"/>
      <c r="X1386" s="110"/>
      <c r="Y1386" s="110"/>
      <c r="Z1386" s="110"/>
      <c r="AA1386" s="110">
        <f t="shared" si="302"/>
        <v>2</v>
      </c>
      <c r="AB1386" s="111">
        <f t="shared" si="297"/>
        <v>217.98719999999997</v>
      </c>
      <c r="AC1386" s="110"/>
      <c r="AD1386" s="110"/>
      <c r="AE1386" s="110">
        <f t="shared" si="302"/>
        <v>2</v>
      </c>
      <c r="AF1386" s="111">
        <f t="shared" si="298"/>
        <v>217.98719999999997</v>
      </c>
      <c r="AG1386" s="110"/>
      <c r="AH1386" s="110"/>
      <c r="AI1386" s="110"/>
      <c r="AJ1386" s="110"/>
      <c r="AK1386" s="111">
        <f t="shared" si="289"/>
        <v>871.94879999999989</v>
      </c>
      <c r="AL1386" s="446">
        <f t="shared" si="290"/>
        <v>0</v>
      </c>
      <c r="AM1386" s="110">
        <f t="shared" si="291"/>
        <v>8</v>
      </c>
      <c r="AN1386" s="447">
        <f t="shared" si="300"/>
        <v>0</v>
      </c>
      <c r="AO1386"/>
      <c r="AP1386"/>
    </row>
    <row r="1387" spans="1:42" ht="66" x14ac:dyDescent="0.25">
      <c r="A1387" s="9"/>
      <c r="B1387" s="152" t="s">
        <v>1513</v>
      </c>
      <c r="C1387" s="1024"/>
      <c r="D1387" s="869">
        <v>6</v>
      </c>
      <c r="E1387" s="1027" t="s">
        <v>1721</v>
      </c>
      <c r="F1387" s="273" t="s">
        <v>3446</v>
      </c>
      <c r="G1387" s="1040" t="s">
        <v>3463</v>
      </c>
      <c r="H1387" s="273" t="s">
        <v>3462</v>
      </c>
      <c r="I1387" s="720">
        <f t="shared" si="301"/>
        <v>27.561600000000002</v>
      </c>
      <c r="J1387" s="780">
        <v>165.36960000000002</v>
      </c>
      <c r="K1387" s="131">
        <f t="shared" si="299"/>
        <v>165.36960000000002</v>
      </c>
      <c r="L1387" s="335">
        <f t="shared" si="288"/>
        <v>0</v>
      </c>
      <c r="M1387" s="446"/>
      <c r="N1387" s="446"/>
      <c r="O1387" s="446"/>
      <c r="P1387" s="446"/>
      <c r="Q1387" s="130">
        <v>2</v>
      </c>
      <c r="R1387" s="111">
        <f t="shared" si="293"/>
        <v>41.342400000000005</v>
      </c>
      <c r="S1387" s="110"/>
      <c r="T1387" s="110"/>
      <c r="U1387" s="130">
        <v>2</v>
      </c>
      <c r="V1387" s="111">
        <f t="shared" si="295"/>
        <v>41.342400000000005</v>
      </c>
      <c r="W1387" s="110"/>
      <c r="X1387" s="110"/>
      <c r="Y1387" s="110"/>
      <c r="Z1387" s="110"/>
      <c r="AA1387" s="130">
        <v>1</v>
      </c>
      <c r="AB1387" s="111">
        <f t="shared" si="297"/>
        <v>41.342400000000005</v>
      </c>
      <c r="AC1387" s="110"/>
      <c r="AD1387" s="110"/>
      <c r="AE1387" s="130">
        <v>1</v>
      </c>
      <c r="AF1387" s="111">
        <f t="shared" si="298"/>
        <v>41.342400000000005</v>
      </c>
      <c r="AG1387" s="110"/>
      <c r="AH1387" s="110"/>
      <c r="AI1387" s="110"/>
      <c r="AJ1387" s="110"/>
      <c r="AK1387" s="111">
        <f t="shared" si="289"/>
        <v>165.36960000000002</v>
      </c>
      <c r="AL1387" s="446">
        <f t="shared" si="290"/>
        <v>0</v>
      </c>
      <c r="AM1387" s="110">
        <f t="shared" si="291"/>
        <v>6</v>
      </c>
      <c r="AN1387" s="447">
        <f t="shared" si="300"/>
        <v>0</v>
      </c>
      <c r="AO1387"/>
      <c r="AP1387"/>
    </row>
    <row r="1388" spans="1:42" ht="66" x14ac:dyDescent="0.25">
      <c r="A1388" s="9"/>
      <c r="B1388" s="152" t="s">
        <v>1514</v>
      </c>
      <c r="C1388" s="1024"/>
      <c r="D1388" s="869">
        <v>30</v>
      </c>
      <c r="E1388" s="1027" t="s">
        <v>1721</v>
      </c>
      <c r="F1388" s="273" t="s">
        <v>3446</v>
      </c>
      <c r="G1388" s="1040" t="s">
        <v>3463</v>
      </c>
      <c r="H1388" s="273" t="s">
        <v>3462</v>
      </c>
      <c r="I1388" s="720">
        <f t="shared" si="301"/>
        <v>170.1952</v>
      </c>
      <c r="J1388" s="780">
        <v>5105.8559999999998</v>
      </c>
      <c r="K1388" s="131">
        <f t="shared" si="299"/>
        <v>5105.8559999999998</v>
      </c>
      <c r="L1388" s="335">
        <f t="shared" si="288"/>
        <v>0</v>
      </c>
      <c r="M1388" s="446"/>
      <c r="N1388" s="446"/>
      <c r="O1388" s="446"/>
      <c r="P1388" s="446"/>
      <c r="Q1388" s="110">
        <v>8</v>
      </c>
      <c r="R1388" s="111">
        <f t="shared" si="293"/>
        <v>1276.4639999999999</v>
      </c>
      <c r="S1388" s="110"/>
      <c r="T1388" s="110"/>
      <c r="U1388" s="110">
        <v>8</v>
      </c>
      <c r="V1388" s="111">
        <f t="shared" si="295"/>
        <v>1276.4639999999999</v>
      </c>
      <c r="W1388" s="110"/>
      <c r="X1388" s="110"/>
      <c r="Y1388" s="110"/>
      <c r="Z1388" s="110"/>
      <c r="AA1388" s="110">
        <v>7</v>
      </c>
      <c r="AB1388" s="111">
        <f t="shared" si="297"/>
        <v>1276.4639999999999</v>
      </c>
      <c r="AC1388" s="110"/>
      <c r="AD1388" s="110"/>
      <c r="AE1388" s="110">
        <v>7</v>
      </c>
      <c r="AF1388" s="111">
        <f t="shared" si="298"/>
        <v>1276.4639999999999</v>
      </c>
      <c r="AG1388" s="110"/>
      <c r="AH1388" s="110"/>
      <c r="AI1388" s="110"/>
      <c r="AJ1388" s="110"/>
      <c r="AK1388" s="111">
        <f t="shared" si="289"/>
        <v>5105.8559999999998</v>
      </c>
      <c r="AL1388" s="446">
        <f t="shared" si="290"/>
        <v>0</v>
      </c>
      <c r="AM1388" s="110">
        <f t="shared" si="291"/>
        <v>30</v>
      </c>
      <c r="AN1388" s="447">
        <f t="shared" si="300"/>
        <v>0</v>
      </c>
      <c r="AO1388"/>
      <c r="AP1388"/>
    </row>
    <row r="1389" spans="1:42" ht="66" x14ac:dyDescent="0.25">
      <c r="A1389" s="9"/>
      <c r="B1389" s="152" t="s">
        <v>1515</v>
      </c>
      <c r="C1389" s="1024"/>
      <c r="D1389" s="869">
        <v>12</v>
      </c>
      <c r="E1389" s="1027" t="s">
        <v>1721</v>
      </c>
      <c r="F1389" s="273" t="s">
        <v>3446</v>
      </c>
      <c r="G1389" s="1040" t="s">
        <v>3463</v>
      </c>
      <c r="H1389" s="273" t="s">
        <v>3462</v>
      </c>
      <c r="I1389" s="720">
        <f t="shared" si="301"/>
        <v>88.786400000000015</v>
      </c>
      <c r="J1389" s="780">
        <v>1065.4368000000002</v>
      </c>
      <c r="K1389" s="131">
        <f t="shared" si="299"/>
        <v>1065.4368000000002</v>
      </c>
      <c r="L1389" s="335">
        <f t="shared" si="288"/>
        <v>0</v>
      </c>
      <c r="M1389" s="446"/>
      <c r="N1389" s="446"/>
      <c r="O1389" s="446"/>
      <c r="P1389" s="446"/>
      <c r="Q1389" s="110">
        <f t="shared" si="292"/>
        <v>3</v>
      </c>
      <c r="R1389" s="111">
        <f t="shared" si="293"/>
        <v>266.35920000000004</v>
      </c>
      <c r="S1389" s="110"/>
      <c r="T1389" s="110"/>
      <c r="U1389" s="110">
        <f t="shared" si="294"/>
        <v>3</v>
      </c>
      <c r="V1389" s="111">
        <f t="shared" si="295"/>
        <v>266.35920000000004</v>
      </c>
      <c r="W1389" s="110"/>
      <c r="X1389" s="110"/>
      <c r="Y1389" s="110"/>
      <c r="Z1389" s="110"/>
      <c r="AA1389" s="110">
        <f t="shared" si="302"/>
        <v>3</v>
      </c>
      <c r="AB1389" s="111">
        <f t="shared" si="297"/>
        <v>266.35920000000004</v>
      </c>
      <c r="AC1389" s="110"/>
      <c r="AD1389" s="110"/>
      <c r="AE1389" s="110">
        <f t="shared" si="302"/>
        <v>3</v>
      </c>
      <c r="AF1389" s="111">
        <f t="shared" si="298"/>
        <v>266.35920000000004</v>
      </c>
      <c r="AG1389" s="110"/>
      <c r="AH1389" s="110"/>
      <c r="AI1389" s="110"/>
      <c r="AJ1389" s="110"/>
      <c r="AK1389" s="111">
        <f t="shared" si="289"/>
        <v>1065.4368000000002</v>
      </c>
      <c r="AL1389" s="446">
        <f t="shared" si="290"/>
        <v>0</v>
      </c>
      <c r="AM1389" s="110">
        <f t="shared" si="291"/>
        <v>12</v>
      </c>
      <c r="AN1389" s="447">
        <f t="shared" si="300"/>
        <v>0</v>
      </c>
      <c r="AO1389"/>
      <c r="AP1389"/>
    </row>
    <row r="1390" spans="1:42" ht="66" x14ac:dyDescent="0.25">
      <c r="A1390" s="9"/>
      <c r="B1390" s="152" t="s">
        <v>1516</v>
      </c>
      <c r="C1390" s="1024"/>
      <c r="D1390" s="869">
        <v>30</v>
      </c>
      <c r="E1390" s="1027" t="s">
        <v>1721</v>
      </c>
      <c r="F1390" s="273" t="s">
        <v>3446</v>
      </c>
      <c r="G1390" s="1040" t="s">
        <v>3463</v>
      </c>
      <c r="H1390" s="273" t="s">
        <v>3462</v>
      </c>
      <c r="I1390" s="720">
        <f t="shared" si="301"/>
        <v>38.512000000000008</v>
      </c>
      <c r="J1390" s="780">
        <v>1155.3600000000001</v>
      </c>
      <c r="K1390" s="131">
        <f t="shared" si="299"/>
        <v>1155.3600000000001</v>
      </c>
      <c r="L1390" s="335">
        <f t="shared" si="288"/>
        <v>0</v>
      </c>
      <c r="M1390" s="446"/>
      <c r="N1390" s="446"/>
      <c r="O1390" s="446"/>
      <c r="P1390" s="446"/>
      <c r="Q1390" s="110">
        <v>8</v>
      </c>
      <c r="R1390" s="111">
        <f t="shared" si="293"/>
        <v>288.84000000000003</v>
      </c>
      <c r="S1390" s="110"/>
      <c r="T1390" s="110"/>
      <c r="U1390" s="110">
        <v>8</v>
      </c>
      <c r="V1390" s="111">
        <f t="shared" si="295"/>
        <v>288.84000000000003</v>
      </c>
      <c r="W1390" s="110"/>
      <c r="X1390" s="110"/>
      <c r="Y1390" s="110"/>
      <c r="Z1390" s="110"/>
      <c r="AA1390" s="110">
        <v>7</v>
      </c>
      <c r="AB1390" s="111">
        <f t="shared" si="297"/>
        <v>288.84000000000003</v>
      </c>
      <c r="AC1390" s="110"/>
      <c r="AD1390" s="110"/>
      <c r="AE1390" s="110">
        <v>7</v>
      </c>
      <c r="AF1390" s="111">
        <f t="shared" si="298"/>
        <v>288.84000000000003</v>
      </c>
      <c r="AG1390" s="110"/>
      <c r="AH1390" s="110"/>
      <c r="AI1390" s="110"/>
      <c r="AJ1390" s="110"/>
      <c r="AK1390" s="111">
        <f t="shared" si="289"/>
        <v>1155.3600000000001</v>
      </c>
      <c r="AL1390" s="446">
        <f t="shared" si="290"/>
        <v>0</v>
      </c>
      <c r="AM1390" s="110">
        <f t="shared" si="291"/>
        <v>30</v>
      </c>
      <c r="AN1390" s="447">
        <f t="shared" si="300"/>
        <v>0</v>
      </c>
      <c r="AO1390"/>
      <c r="AP1390"/>
    </row>
    <row r="1391" spans="1:42" ht="66" x14ac:dyDescent="0.25">
      <c r="A1391" s="9"/>
      <c r="B1391" s="487" t="s">
        <v>192</v>
      </c>
      <c r="C1391" s="1024"/>
      <c r="D1391" s="869">
        <v>100</v>
      </c>
      <c r="E1391" s="1027" t="s">
        <v>1721</v>
      </c>
      <c r="F1391" s="273" t="s">
        <v>3446</v>
      </c>
      <c r="G1391" s="1040" t="s">
        <v>3463</v>
      </c>
      <c r="H1391" s="273" t="s">
        <v>3462</v>
      </c>
      <c r="I1391" s="720">
        <f t="shared" si="301"/>
        <v>44.404800000000002</v>
      </c>
      <c r="J1391" s="780">
        <v>4440.4800000000005</v>
      </c>
      <c r="K1391" s="131">
        <f t="shared" si="299"/>
        <v>4440.4800000000005</v>
      </c>
      <c r="L1391" s="335">
        <f t="shared" si="288"/>
        <v>0</v>
      </c>
      <c r="M1391" s="446"/>
      <c r="N1391" s="446"/>
      <c r="O1391" s="446"/>
      <c r="P1391" s="446"/>
      <c r="Q1391" s="110">
        <v>30</v>
      </c>
      <c r="R1391" s="111">
        <f t="shared" si="293"/>
        <v>1110.1200000000001</v>
      </c>
      <c r="S1391" s="110"/>
      <c r="T1391" s="110"/>
      <c r="U1391" s="110">
        <v>30</v>
      </c>
      <c r="V1391" s="111">
        <f t="shared" si="295"/>
        <v>1110.1200000000001</v>
      </c>
      <c r="W1391" s="110"/>
      <c r="X1391" s="110"/>
      <c r="Y1391" s="110"/>
      <c r="Z1391" s="110"/>
      <c r="AA1391" s="110">
        <v>30</v>
      </c>
      <c r="AB1391" s="111">
        <f t="shared" si="297"/>
        <v>1110.1200000000001</v>
      </c>
      <c r="AC1391" s="110"/>
      <c r="AD1391" s="110"/>
      <c r="AE1391" s="110">
        <v>10</v>
      </c>
      <c r="AF1391" s="111">
        <f t="shared" si="298"/>
        <v>1110.1200000000001</v>
      </c>
      <c r="AG1391" s="110"/>
      <c r="AH1391" s="110"/>
      <c r="AI1391" s="110"/>
      <c r="AJ1391" s="110"/>
      <c r="AK1391" s="111">
        <f t="shared" si="289"/>
        <v>4440.4800000000005</v>
      </c>
      <c r="AL1391" s="446">
        <f t="shared" si="290"/>
        <v>0</v>
      </c>
      <c r="AM1391" s="110">
        <f t="shared" si="291"/>
        <v>100</v>
      </c>
      <c r="AN1391" s="447">
        <f t="shared" si="300"/>
        <v>0</v>
      </c>
      <c r="AO1391"/>
      <c r="AP1391"/>
    </row>
    <row r="1392" spans="1:42" ht="66" x14ac:dyDescent="0.25">
      <c r="A1392" s="9"/>
      <c r="B1392" s="152" t="s">
        <v>193</v>
      </c>
      <c r="C1392" s="1024"/>
      <c r="D1392" s="869">
        <v>30</v>
      </c>
      <c r="E1392" s="1027" t="s">
        <v>1721</v>
      </c>
      <c r="F1392" s="273" t="s">
        <v>3446</v>
      </c>
      <c r="G1392" s="1040" t="s">
        <v>3463</v>
      </c>
      <c r="H1392" s="273" t="s">
        <v>3462</v>
      </c>
      <c r="I1392" s="720">
        <f t="shared" si="301"/>
        <v>48.163200000000003</v>
      </c>
      <c r="J1392" s="780">
        <v>1444.8960000000002</v>
      </c>
      <c r="K1392" s="131">
        <f t="shared" si="299"/>
        <v>1444.8960000000002</v>
      </c>
      <c r="L1392" s="335">
        <f t="shared" si="288"/>
        <v>0</v>
      </c>
      <c r="M1392" s="446"/>
      <c r="N1392" s="446"/>
      <c r="O1392" s="446"/>
      <c r="P1392" s="446"/>
      <c r="Q1392" s="110">
        <v>8</v>
      </c>
      <c r="R1392" s="111">
        <f t="shared" si="293"/>
        <v>361.22400000000005</v>
      </c>
      <c r="S1392" s="110"/>
      <c r="T1392" s="110"/>
      <c r="U1392" s="110">
        <v>8</v>
      </c>
      <c r="V1392" s="111">
        <f t="shared" si="295"/>
        <v>361.22400000000005</v>
      </c>
      <c r="W1392" s="110"/>
      <c r="X1392" s="110"/>
      <c r="Y1392" s="110"/>
      <c r="Z1392" s="110"/>
      <c r="AA1392" s="110">
        <v>7</v>
      </c>
      <c r="AB1392" s="111">
        <f t="shared" si="297"/>
        <v>361.22400000000005</v>
      </c>
      <c r="AC1392" s="110"/>
      <c r="AD1392" s="110"/>
      <c r="AE1392" s="110">
        <v>7</v>
      </c>
      <c r="AF1392" s="111">
        <f t="shared" si="298"/>
        <v>361.22400000000005</v>
      </c>
      <c r="AG1392" s="110"/>
      <c r="AH1392" s="110"/>
      <c r="AI1392" s="110"/>
      <c r="AJ1392" s="110"/>
      <c r="AK1392" s="111">
        <f t="shared" si="289"/>
        <v>1444.8960000000002</v>
      </c>
      <c r="AL1392" s="446">
        <f t="shared" si="290"/>
        <v>0</v>
      </c>
      <c r="AM1392" s="110">
        <f t="shared" si="291"/>
        <v>30</v>
      </c>
      <c r="AN1392" s="447">
        <f t="shared" si="300"/>
        <v>0</v>
      </c>
      <c r="AO1392"/>
      <c r="AP1392"/>
    </row>
    <row r="1393" spans="1:42" ht="66" x14ac:dyDescent="0.25">
      <c r="A1393" s="9"/>
      <c r="B1393" s="152" t="s">
        <v>1517</v>
      </c>
      <c r="C1393" s="1024"/>
      <c r="D1393" s="869">
        <v>60</v>
      </c>
      <c r="E1393" s="1027" t="s">
        <v>1721</v>
      </c>
      <c r="F1393" s="273" t="s">
        <v>3446</v>
      </c>
      <c r="G1393" s="1040" t="s">
        <v>3463</v>
      </c>
      <c r="H1393" s="273" t="s">
        <v>3462</v>
      </c>
      <c r="I1393" s="720">
        <f t="shared" si="301"/>
        <v>100.224</v>
      </c>
      <c r="J1393" s="780">
        <v>6013.4400000000005</v>
      </c>
      <c r="K1393" s="131">
        <f t="shared" si="299"/>
        <v>6013.4400000000005</v>
      </c>
      <c r="L1393" s="335">
        <f t="shared" si="288"/>
        <v>0</v>
      </c>
      <c r="M1393" s="446"/>
      <c r="N1393" s="446"/>
      <c r="O1393" s="446"/>
      <c r="P1393" s="446"/>
      <c r="Q1393" s="110">
        <f t="shared" si="292"/>
        <v>15</v>
      </c>
      <c r="R1393" s="111">
        <f t="shared" si="293"/>
        <v>1503.3600000000001</v>
      </c>
      <c r="S1393" s="110"/>
      <c r="T1393" s="110"/>
      <c r="U1393" s="110">
        <f t="shared" si="294"/>
        <v>15</v>
      </c>
      <c r="V1393" s="111">
        <f t="shared" si="295"/>
        <v>1503.3600000000001</v>
      </c>
      <c r="W1393" s="110"/>
      <c r="X1393" s="110"/>
      <c r="Y1393" s="110"/>
      <c r="Z1393" s="110"/>
      <c r="AA1393" s="110">
        <f t="shared" si="302"/>
        <v>15</v>
      </c>
      <c r="AB1393" s="111">
        <f t="shared" si="297"/>
        <v>1503.3600000000001</v>
      </c>
      <c r="AC1393" s="110"/>
      <c r="AD1393" s="110"/>
      <c r="AE1393" s="110">
        <f t="shared" si="302"/>
        <v>15</v>
      </c>
      <c r="AF1393" s="111">
        <f t="shared" si="298"/>
        <v>1503.3600000000001</v>
      </c>
      <c r="AG1393" s="110"/>
      <c r="AH1393" s="110"/>
      <c r="AI1393" s="110"/>
      <c r="AJ1393" s="110"/>
      <c r="AK1393" s="111">
        <f t="shared" si="289"/>
        <v>6013.4400000000005</v>
      </c>
      <c r="AL1393" s="446">
        <f t="shared" si="290"/>
        <v>0</v>
      </c>
      <c r="AM1393" s="110">
        <f t="shared" si="291"/>
        <v>60</v>
      </c>
      <c r="AN1393" s="447">
        <f t="shared" si="300"/>
        <v>0</v>
      </c>
      <c r="AO1393"/>
      <c r="AP1393"/>
    </row>
    <row r="1394" spans="1:42" ht="66" x14ac:dyDescent="0.25">
      <c r="A1394" s="9"/>
      <c r="B1394" s="152" t="s">
        <v>1518</v>
      </c>
      <c r="C1394" s="1024"/>
      <c r="D1394" s="869">
        <v>300</v>
      </c>
      <c r="E1394" s="1027" t="s">
        <v>1721</v>
      </c>
      <c r="F1394" s="273" t="s">
        <v>3446</v>
      </c>
      <c r="G1394" s="1040" t="s">
        <v>3463</v>
      </c>
      <c r="H1394" s="273" t="s">
        <v>3462</v>
      </c>
      <c r="I1394" s="720">
        <f t="shared" si="301"/>
        <v>18.559999999999999</v>
      </c>
      <c r="J1394" s="780">
        <v>5568</v>
      </c>
      <c r="K1394" s="131">
        <f t="shared" si="299"/>
        <v>5568</v>
      </c>
      <c r="L1394" s="335">
        <f t="shared" si="288"/>
        <v>0</v>
      </c>
      <c r="M1394" s="446"/>
      <c r="N1394" s="446"/>
      <c r="O1394" s="446"/>
      <c r="P1394" s="446"/>
      <c r="Q1394" s="110">
        <f t="shared" si="292"/>
        <v>75</v>
      </c>
      <c r="R1394" s="111">
        <f t="shared" si="293"/>
        <v>1392</v>
      </c>
      <c r="S1394" s="110"/>
      <c r="T1394" s="110"/>
      <c r="U1394" s="110">
        <f t="shared" si="294"/>
        <v>75</v>
      </c>
      <c r="V1394" s="111">
        <f t="shared" si="295"/>
        <v>1392</v>
      </c>
      <c r="W1394" s="110"/>
      <c r="X1394" s="110"/>
      <c r="Y1394" s="110"/>
      <c r="Z1394" s="110"/>
      <c r="AA1394" s="110">
        <f t="shared" si="302"/>
        <v>75</v>
      </c>
      <c r="AB1394" s="111">
        <f t="shared" si="297"/>
        <v>1392</v>
      </c>
      <c r="AC1394" s="110"/>
      <c r="AD1394" s="110"/>
      <c r="AE1394" s="110">
        <f t="shared" si="302"/>
        <v>75</v>
      </c>
      <c r="AF1394" s="111">
        <f t="shared" si="298"/>
        <v>1392</v>
      </c>
      <c r="AG1394" s="110"/>
      <c r="AH1394" s="110"/>
      <c r="AI1394" s="110"/>
      <c r="AJ1394" s="110"/>
      <c r="AK1394" s="111">
        <f t="shared" si="289"/>
        <v>5568</v>
      </c>
      <c r="AL1394" s="446">
        <f t="shared" si="290"/>
        <v>0</v>
      </c>
      <c r="AM1394" s="110">
        <f t="shared" si="291"/>
        <v>300</v>
      </c>
      <c r="AN1394" s="447">
        <f t="shared" si="300"/>
        <v>0</v>
      </c>
      <c r="AO1394"/>
      <c r="AP1394"/>
    </row>
    <row r="1395" spans="1:42" ht="66" x14ac:dyDescent="0.25">
      <c r="A1395" s="9"/>
      <c r="B1395" s="152" t="s">
        <v>1519</v>
      </c>
      <c r="C1395" s="1024"/>
      <c r="D1395" s="869">
        <v>40</v>
      </c>
      <c r="E1395" s="1027" t="s">
        <v>1721</v>
      </c>
      <c r="F1395" s="273" t="s">
        <v>3446</v>
      </c>
      <c r="G1395" s="1040" t="s">
        <v>3463</v>
      </c>
      <c r="H1395" s="273" t="s">
        <v>3462</v>
      </c>
      <c r="I1395" s="720">
        <f t="shared" si="301"/>
        <v>11.6464</v>
      </c>
      <c r="J1395" s="780">
        <v>465.85599999999999</v>
      </c>
      <c r="K1395" s="131">
        <f t="shared" si="299"/>
        <v>465.85599999999999</v>
      </c>
      <c r="L1395" s="335">
        <f t="shared" si="288"/>
        <v>0</v>
      </c>
      <c r="M1395" s="446"/>
      <c r="N1395" s="446"/>
      <c r="O1395" s="446"/>
      <c r="P1395" s="446"/>
      <c r="Q1395" s="110">
        <f t="shared" si="292"/>
        <v>10</v>
      </c>
      <c r="R1395" s="111">
        <f t="shared" si="293"/>
        <v>116.464</v>
      </c>
      <c r="S1395" s="110"/>
      <c r="T1395" s="110"/>
      <c r="U1395" s="110">
        <f t="shared" si="294"/>
        <v>10</v>
      </c>
      <c r="V1395" s="111">
        <f t="shared" si="295"/>
        <v>116.464</v>
      </c>
      <c r="W1395" s="110"/>
      <c r="X1395" s="110"/>
      <c r="Y1395" s="110"/>
      <c r="Z1395" s="110"/>
      <c r="AA1395" s="110">
        <f t="shared" si="302"/>
        <v>10</v>
      </c>
      <c r="AB1395" s="111">
        <f t="shared" si="297"/>
        <v>116.464</v>
      </c>
      <c r="AC1395" s="110"/>
      <c r="AD1395" s="110"/>
      <c r="AE1395" s="110">
        <f t="shared" si="302"/>
        <v>10</v>
      </c>
      <c r="AF1395" s="111">
        <f t="shared" si="298"/>
        <v>116.464</v>
      </c>
      <c r="AG1395" s="110"/>
      <c r="AH1395" s="110"/>
      <c r="AI1395" s="110"/>
      <c r="AJ1395" s="110"/>
      <c r="AK1395" s="111">
        <f t="shared" si="289"/>
        <v>465.85599999999999</v>
      </c>
      <c r="AL1395" s="446">
        <f t="shared" si="290"/>
        <v>0</v>
      </c>
      <c r="AM1395" s="110">
        <f t="shared" si="291"/>
        <v>40</v>
      </c>
      <c r="AN1395" s="447">
        <f t="shared" si="300"/>
        <v>0</v>
      </c>
      <c r="AO1395"/>
      <c r="AP1395"/>
    </row>
    <row r="1396" spans="1:42" ht="66" x14ac:dyDescent="0.25">
      <c r="A1396" s="9"/>
      <c r="B1396" s="152" t="s">
        <v>1520</v>
      </c>
      <c r="C1396" s="1024"/>
      <c r="D1396" s="869">
        <v>6</v>
      </c>
      <c r="E1396" s="1027" t="s">
        <v>1721</v>
      </c>
      <c r="F1396" s="273" t="s">
        <v>3446</v>
      </c>
      <c r="G1396" s="1040" t="s">
        <v>3463</v>
      </c>
      <c r="H1396" s="273" t="s">
        <v>3462</v>
      </c>
      <c r="I1396" s="720">
        <f t="shared" si="301"/>
        <v>113.3784</v>
      </c>
      <c r="J1396" s="780">
        <v>680.2704</v>
      </c>
      <c r="K1396" s="131">
        <f t="shared" si="299"/>
        <v>680.2704</v>
      </c>
      <c r="L1396" s="335">
        <f t="shared" ref="L1396:L1459" si="303">+J1396-K1396</f>
        <v>0</v>
      </c>
      <c r="M1396" s="446"/>
      <c r="N1396" s="446"/>
      <c r="O1396" s="446"/>
      <c r="P1396" s="446"/>
      <c r="Q1396" s="130">
        <v>2</v>
      </c>
      <c r="R1396" s="111">
        <f t="shared" si="293"/>
        <v>170.0676</v>
      </c>
      <c r="S1396" s="110"/>
      <c r="T1396" s="110"/>
      <c r="U1396" s="130">
        <v>2</v>
      </c>
      <c r="V1396" s="111">
        <f t="shared" si="295"/>
        <v>170.0676</v>
      </c>
      <c r="W1396" s="110"/>
      <c r="X1396" s="110"/>
      <c r="Y1396" s="110"/>
      <c r="Z1396" s="110"/>
      <c r="AA1396" s="130">
        <v>1</v>
      </c>
      <c r="AB1396" s="111">
        <f t="shared" si="297"/>
        <v>170.0676</v>
      </c>
      <c r="AC1396" s="110"/>
      <c r="AD1396" s="110"/>
      <c r="AE1396" s="130">
        <v>1</v>
      </c>
      <c r="AF1396" s="111">
        <f t="shared" si="298"/>
        <v>170.0676</v>
      </c>
      <c r="AG1396" s="110"/>
      <c r="AH1396" s="110"/>
      <c r="AI1396" s="110"/>
      <c r="AJ1396" s="110"/>
      <c r="AK1396" s="111">
        <f t="shared" ref="AK1396:AK1459" si="304">+R1396+V1396+AB1396+AF1396</f>
        <v>680.2704</v>
      </c>
      <c r="AL1396" s="446">
        <f t="shared" ref="AL1396:AL1459" si="305">+J1396-AK1396</f>
        <v>0</v>
      </c>
      <c r="AM1396" s="110">
        <f t="shared" ref="AM1396:AM1459" si="306">+Q1396+U1396+AA1396+AE1396</f>
        <v>6</v>
      </c>
      <c r="AN1396" s="447">
        <f t="shared" si="300"/>
        <v>0</v>
      </c>
      <c r="AO1396"/>
      <c r="AP1396"/>
    </row>
    <row r="1397" spans="1:42" ht="66" x14ac:dyDescent="0.25">
      <c r="A1397" s="9"/>
      <c r="B1397" s="152" t="s">
        <v>194</v>
      </c>
      <c r="C1397" s="1024"/>
      <c r="D1397" s="869">
        <v>50</v>
      </c>
      <c r="E1397" s="1027" t="s">
        <v>1725</v>
      </c>
      <c r="F1397" s="273" t="s">
        <v>3446</v>
      </c>
      <c r="G1397" s="1040" t="s">
        <v>3463</v>
      </c>
      <c r="H1397" s="273" t="s">
        <v>3462</v>
      </c>
      <c r="I1397" s="720">
        <f t="shared" si="301"/>
        <v>362.80160000000001</v>
      </c>
      <c r="J1397" s="780">
        <v>18140.080000000002</v>
      </c>
      <c r="K1397" s="131">
        <f t="shared" si="299"/>
        <v>18140.080000000002</v>
      </c>
      <c r="L1397" s="335">
        <f t="shared" si="303"/>
        <v>0</v>
      </c>
      <c r="M1397" s="446"/>
      <c r="N1397" s="446"/>
      <c r="O1397" s="446"/>
      <c r="P1397" s="446"/>
      <c r="Q1397" s="110">
        <v>13</v>
      </c>
      <c r="R1397" s="111">
        <f t="shared" si="293"/>
        <v>4535.0200000000004</v>
      </c>
      <c r="S1397" s="110"/>
      <c r="T1397" s="110"/>
      <c r="U1397" s="110">
        <v>12</v>
      </c>
      <c r="V1397" s="111">
        <f t="shared" si="295"/>
        <v>4535.0200000000004</v>
      </c>
      <c r="W1397" s="110"/>
      <c r="X1397" s="110"/>
      <c r="Y1397" s="110"/>
      <c r="Z1397" s="110"/>
      <c r="AA1397" s="110">
        <v>12</v>
      </c>
      <c r="AB1397" s="111">
        <f t="shared" si="297"/>
        <v>4535.0200000000004</v>
      </c>
      <c r="AC1397" s="110"/>
      <c r="AD1397" s="110"/>
      <c r="AE1397" s="110">
        <v>13</v>
      </c>
      <c r="AF1397" s="111">
        <f t="shared" si="298"/>
        <v>4535.0200000000004</v>
      </c>
      <c r="AG1397" s="110"/>
      <c r="AH1397" s="110"/>
      <c r="AI1397" s="110"/>
      <c r="AJ1397" s="110"/>
      <c r="AK1397" s="111">
        <f t="shared" si="304"/>
        <v>18140.080000000002</v>
      </c>
      <c r="AL1397" s="446">
        <f t="shared" si="305"/>
        <v>0</v>
      </c>
      <c r="AM1397" s="110">
        <f t="shared" si="306"/>
        <v>50</v>
      </c>
      <c r="AN1397" s="447">
        <f t="shared" si="300"/>
        <v>0</v>
      </c>
      <c r="AO1397"/>
      <c r="AP1397"/>
    </row>
    <row r="1398" spans="1:42" ht="66" x14ac:dyDescent="0.25">
      <c r="A1398" s="9"/>
      <c r="B1398" s="523" t="s">
        <v>195</v>
      </c>
      <c r="C1398" s="1024"/>
      <c r="D1398" s="869">
        <v>365</v>
      </c>
      <c r="E1398" s="1027" t="s">
        <v>1721</v>
      </c>
      <c r="F1398" s="273" t="s">
        <v>3446</v>
      </c>
      <c r="G1398" s="1040" t="s">
        <v>3463</v>
      </c>
      <c r="H1398" s="273" t="s">
        <v>3462</v>
      </c>
      <c r="I1398" s="720">
        <f t="shared" si="301"/>
        <v>21.088799999999999</v>
      </c>
      <c r="J1398" s="780">
        <v>7697.4119999999994</v>
      </c>
      <c r="K1398" s="131">
        <f t="shared" si="299"/>
        <v>7697.4119999999994</v>
      </c>
      <c r="L1398" s="335">
        <f t="shared" si="303"/>
        <v>0</v>
      </c>
      <c r="M1398" s="446"/>
      <c r="N1398" s="446"/>
      <c r="O1398" s="446"/>
      <c r="P1398" s="446"/>
      <c r="Q1398" s="110">
        <v>92</v>
      </c>
      <c r="R1398" s="111">
        <f t="shared" ref="R1398:R1461" si="307">+J1398/4</f>
        <v>1924.3529999999998</v>
      </c>
      <c r="S1398" s="110"/>
      <c r="T1398" s="110"/>
      <c r="U1398" s="110">
        <v>91</v>
      </c>
      <c r="V1398" s="111">
        <f t="shared" ref="V1398:V1461" si="308">+J1398/4</f>
        <v>1924.3529999999998</v>
      </c>
      <c r="W1398" s="110"/>
      <c r="X1398" s="110"/>
      <c r="Y1398" s="110"/>
      <c r="Z1398" s="110"/>
      <c r="AA1398" s="110">
        <v>91</v>
      </c>
      <c r="AB1398" s="111">
        <f t="shared" ref="AB1398:AB1461" si="309">+J1398/4</f>
        <v>1924.3529999999998</v>
      </c>
      <c r="AC1398" s="110"/>
      <c r="AD1398" s="110"/>
      <c r="AE1398" s="110">
        <v>91</v>
      </c>
      <c r="AF1398" s="111">
        <f t="shared" ref="AF1398:AF1461" si="310">+J1398/4</f>
        <v>1924.3529999999998</v>
      </c>
      <c r="AG1398" s="110"/>
      <c r="AH1398" s="110"/>
      <c r="AI1398" s="110"/>
      <c r="AJ1398" s="110"/>
      <c r="AK1398" s="111">
        <f t="shared" si="304"/>
        <v>7697.4119999999994</v>
      </c>
      <c r="AL1398" s="446">
        <f t="shared" si="305"/>
        <v>0</v>
      </c>
      <c r="AM1398" s="110">
        <f t="shared" si="306"/>
        <v>365</v>
      </c>
      <c r="AN1398" s="447">
        <f t="shared" si="300"/>
        <v>0</v>
      </c>
      <c r="AO1398"/>
      <c r="AP1398"/>
    </row>
    <row r="1399" spans="1:42" ht="66" x14ac:dyDescent="0.25">
      <c r="A1399" s="9"/>
      <c r="B1399" s="523" t="s">
        <v>1521</v>
      </c>
      <c r="C1399" s="1024"/>
      <c r="D1399" s="869">
        <v>13</v>
      </c>
      <c r="E1399" s="1027" t="s">
        <v>1721</v>
      </c>
      <c r="F1399" s="273" t="s">
        <v>3446</v>
      </c>
      <c r="G1399" s="1040" t="s">
        <v>3463</v>
      </c>
      <c r="H1399" s="273" t="s">
        <v>3462</v>
      </c>
      <c r="I1399" s="720">
        <f t="shared" si="301"/>
        <v>55.749600000000001</v>
      </c>
      <c r="J1399" s="780">
        <v>724.74480000000005</v>
      </c>
      <c r="K1399" s="131">
        <f t="shared" si="299"/>
        <v>724.74480000000005</v>
      </c>
      <c r="L1399" s="335">
        <f t="shared" si="303"/>
        <v>0</v>
      </c>
      <c r="M1399" s="446"/>
      <c r="N1399" s="446"/>
      <c r="O1399" s="446"/>
      <c r="P1399" s="446"/>
      <c r="Q1399" s="110">
        <v>4</v>
      </c>
      <c r="R1399" s="111">
        <f t="shared" si="307"/>
        <v>181.18620000000001</v>
      </c>
      <c r="S1399" s="110"/>
      <c r="T1399" s="110"/>
      <c r="U1399" s="110">
        <v>3</v>
      </c>
      <c r="V1399" s="111">
        <f t="shared" si="308"/>
        <v>181.18620000000001</v>
      </c>
      <c r="W1399" s="110"/>
      <c r="X1399" s="110"/>
      <c r="Y1399" s="110"/>
      <c r="Z1399" s="110"/>
      <c r="AA1399" s="110">
        <v>3</v>
      </c>
      <c r="AB1399" s="111">
        <f t="shared" si="309"/>
        <v>181.18620000000001</v>
      </c>
      <c r="AC1399" s="110"/>
      <c r="AD1399" s="110"/>
      <c r="AE1399" s="110">
        <v>3</v>
      </c>
      <c r="AF1399" s="111">
        <f t="shared" si="310"/>
        <v>181.18620000000001</v>
      </c>
      <c r="AG1399" s="110"/>
      <c r="AH1399" s="110"/>
      <c r="AI1399" s="110"/>
      <c r="AJ1399" s="110"/>
      <c r="AK1399" s="111">
        <f t="shared" si="304"/>
        <v>724.74480000000005</v>
      </c>
      <c r="AL1399" s="446">
        <f t="shared" si="305"/>
        <v>0</v>
      </c>
      <c r="AM1399" s="110">
        <f t="shared" si="306"/>
        <v>13</v>
      </c>
      <c r="AN1399" s="447">
        <f t="shared" si="300"/>
        <v>0</v>
      </c>
      <c r="AO1399"/>
      <c r="AP1399"/>
    </row>
    <row r="1400" spans="1:42" ht="66" x14ac:dyDescent="0.25">
      <c r="A1400" s="9"/>
      <c r="B1400" s="523" t="s">
        <v>1522</v>
      </c>
      <c r="C1400" s="1024"/>
      <c r="D1400" s="869">
        <v>192</v>
      </c>
      <c r="E1400" s="1027" t="s">
        <v>1721</v>
      </c>
      <c r="F1400" s="273" t="s">
        <v>3446</v>
      </c>
      <c r="G1400" s="1040" t="s">
        <v>3463</v>
      </c>
      <c r="H1400" s="273" t="s">
        <v>3462</v>
      </c>
      <c r="I1400" s="720">
        <f t="shared" si="301"/>
        <v>140.6036</v>
      </c>
      <c r="J1400" s="780">
        <v>26995.891199999998</v>
      </c>
      <c r="K1400" s="131">
        <f t="shared" si="299"/>
        <v>26995.891199999998</v>
      </c>
      <c r="L1400" s="335">
        <f t="shared" si="303"/>
        <v>0</v>
      </c>
      <c r="M1400" s="446"/>
      <c r="N1400" s="446"/>
      <c r="O1400" s="446"/>
      <c r="P1400" s="446"/>
      <c r="Q1400" s="110">
        <f t="shared" ref="Q1400:Q1431" si="311">+$D1400/4</f>
        <v>48</v>
      </c>
      <c r="R1400" s="111">
        <f t="shared" si="307"/>
        <v>6748.9727999999996</v>
      </c>
      <c r="S1400" s="110"/>
      <c r="T1400" s="110"/>
      <c r="U1400" s="110">
        <f t="shared" ref="U1400:U1431" si="312">+$D1400/4</f>
        <v>48</v>
      </c>
      <c r="V1400" s="111">
        <f t="shared" si="308"/>
        <v>6748.9727999999996</v>
      </c>
      <c r="W1400" s="110"/>
      <c r="X1400" s="110"/>
      <c r="Y1400" s="110"/>
      <c r="Z1400" s="110"/>
      <c r="AA1400" s="110">
        <f t="shared" si="302"/>
        <v>48</v>
      </c>
      <c r="AB1400" s="111">
        <f t="shared" si="309"/>
        <v>6748.9727999999996</v>
      </c>
      <c r="AC1400" s="110"/>
      <c r="AD1400" s="110"/>
      <c r="AE1400" s="110">
        <f t="shared" si="302"/>
        <v>48</v>
      </c>
      <c r="AF1400" s="111">
        <f t="shared" si="310"/>
        <v>6748.9727999999996</v>
      </c>
      <c r="AG1400" s="110"/>
      <c r="AH1400" s="110"/>
      <c r="AI1400" s="110"/>
      <c r="AJ1400" s="110"/>
      <c r="AK1400" s="111">
        <f t="shared" si="304"/>
        <v>26995.891199999998</v>
      </c>
      <c r="AL1400" s="446">
        <f t="shared" si="305"/>
        <v>0</v>
      </c>
      <c r="AM1400" s="110">
        <f t="shared" si="306"/>
        <v>192</v>
      </c>
      <c r="AN1400" s="447">
        <f t="shared" si="300"/>
        <v>0</v>
      </c>
      <c r="AO1400"/>
      <c r="AP1400"/>
    </row>
    <row r="1401" spans="1:42" ht="66" x14ac:dyDescent="0.25">
      <c r="A1401" s="9"/>
      <c r="B1401" s="523" t="s">
        <v>1523</v>
      </c>
      <c r="C1401" s="1024"/>
      <c r="D1401" s="869">
        <v>12</v>
      </c>
      <c r="E1401" s="1027" t="s">
        <v>1721</v>
      </c>
      <c r="F1401" s="273" t="s">
        <v>3446</v>
      </c>
      <c r="G1401" s="1040" t="s">
        <v>3463</v>
      </c>
      <c r="H1401" s="273" t="s">
        <v>3462</v>
      </c>
      <c r="I1401" s="720">
        <f t="shared" si="301"/>
        <v>269.37520000000001</v>
      </c>
      <c r="J1401" s="780">
        <v>3232.5024000000003</v>
      </c>
      <c r="K1401" s="131">
        <f t="shared" si="299"/>
        <v>3232.5024000000003</v>
      </c>
      <c r="L1401" s="335">
        <f t="shared" si="303"/>
        <v>0</v>
      </c>
      <c r="M1401" s="446"/>
      <c r="N1401" s="446"/>
      <c r="O1401" s="446"/>
      <c r="P1401" s="446"/>
      <c r="Q1401" s="110">
        <f t="shared" si="311"/>
        <v>3</v>
      </c>
      <c r="R1401" s="111">
        <f t="shared" si="307"/>
        <v>808.12560000000008</v>
      </c>
      <c r="S1401" s="110"/>
      <c r="T1401" s="110"/>
      <c r="U1401" s="110">
        <f t="shared" si="312"/>
        <v>3</v>
      </c>
      <c r="V1401" s="111">
        <f t="shared" si="308"/>
        <v>808.12560000000008</v>
      </c>
      <c r="W1401" s="110"/>
      <c r="X1401" s="110"/>
      <c r="Y1401" s="110"/>
      <c r="Z1401" s="110"/>
      <c r="AA1401" s="110">
        <f t="shared" si="302"/>
        <v>3</v>
      </c>
      <c r="AB1401" s="111">
        <f t="shared" si="309"/>
        <v>808.12560000000008</v>
      </c>
      <c r="AC1401" s="110"/>
      <c r="AD1401" s="110"/>
      <c r="AE1401" s="110">
        <f t="shared" si="302"/>
        <v>3</v>
      </c>
      <c r="AF1401" s="111">
        <f t="shared" si="310"/>
        <v>808.12560000000008</v>
      </c>
      <c r="AG1401" s="110"/>
      <c r="AH1401" s="110"/>
      <c r="AI1401" s="110"/>
      <c r="AJ1401" s="110"/>
      <c r="AK1401" s="111">
        <f t="shared" si="304"/>
        <v>3232.5024000000003</v>
      </c>
      <c r="AL1401" s="446">
        <f t="shared" si="305"/>
        <v>0</v>
      </c>
      <c r="AM1401" s="110">
        <f t="shared" si="306"/>
        <v>12</v>
      </c>
      <c r="AN1401" s="447">
        <f t="shared" si="300"/>
        <v>0</v>
      </c>
      <c r="AO1401"/>
      <c r="AP1401"/>
    </row>
    <row r="1402" spans="1:42" ht="66" x14ac:dyDescent="0.25">
      <c r="A1402" s="9"/>
      <c r="B1402" s="523" t="s">
        <v>1524</v>
      </c>
      <c r="C1402" s="1024"/>
      <c r="D1402" s="869">
        <v>12</v>
      </c>
      <c r="E1402" s="1027" t="s">
        <v>1721</v>
      </c>
      <c r="F1402" s="273" t="s">
        <v>3446</v>
      </c>
      <c r="G1402" s="1040" t="s">
        <v>3463</v>
      </c>
      <c r="H1402" s="273" t="s">
        <v>3462</v>
      </c>
      <c r="I1402" s="720">
        <f t="shared" si="301"/>
        <v>993.65600000000006</v>
      </c>
      <c r="J1402" s="780">
        <v>11923.872000000001</v>
      </c>
      <c r="K1402" s="131">
        <f t="shared" si="299"/>
        <v>11923.872000000001</v>
      </c>
      <c r="L1402" s="335">
        <f t="shared" si="303"/>
        <v>0</v>
      </c>
      <c r="M1402" s="446"/>
      <c r="N1402" s="446"/>
      <c r="O1402" s="446"/>
      <c r="P1402" s="446"/>
      <c r="Q1402" s="110">
        <f t="shared" si="311"/>
        <v>3</v>
      </c>
      <c r="R1402" s="111">
        <f t="shared" si="307"/>
        <v>2980.9680000000003</v>
      </c>
      <c r="S1402" s="110"/>
      <c r="T1402" s="110"/>
      <c r="U1402" s="110">
        <f t="shared" si="312"/>
        <v>3</v>
      </c>
      <c r="V1402" s="111">
        <f t="shared" si="308"/>
        <v>2980.9680000000003</v>
      </c>
      <c r="W1402" s="110"/>
      <c r="X1402" s="110"/>
      <c r="Y1402" s="110"/>
      <c r="Z1402" s="110"/>
      <c r="AA1402" s="110">
        <f t="shared" si="302"/>
        <v>3</v>
      </c>
      <c r="AB1402" s="111">
        <f t="shared" si="309"/>
        <v>2980.9680000000003</v>
      </c>
      <c r="AC1402" s="110"/>
      <c r="AD1402" s="110"/>
      <c r="AE1402" s="110">
        <f t="shared" si="302"/>
        <v>3</v>
      </c>
      <c r="AF1402" s="111">
        <f t="shared" si="310"/>
        <v>2980.9680000000003</v>
      </c>
      <c r="AG1402" s="110"/>
      <c r="AH1402" s="110"/>
      <c r="AI1402" s="110"/>
      <c r="AJ1402" s="110"/>
      <c r="AK1402" s="111">
        <f t="shared" si="304"/>
        <v>11923.872000000001</v>
      </c>
      <c r="AL1402" s="446">
        <f t="shared" si="305"/>
        <v>0</v>
      </c>
      <c r="AM1402" s="110">
        <f t="shared" si="306"/>
        <v>12</v>
      </c>
      <c r="AN1402" s="447">
        <f t="shared" si="300"/>
        <v>0</v>
      </c>
      <c r="AO1402"/>
      <c r="AP1402"/>
    </row>
    <row r="1403" spans="1:42" ht="66" x14ac:dyDescent="0.25">
      <c r="A1403" s="9"/>
      <c r="B1403" s="523" t="s">
        <v>1525</v>
      </c>
      <c r="C1403" s="42"/>
      <c r="D1403" s="899">
        <v>24</v>
      </c>
      <c r="E1403" s="1027" t="s">
        <v>1721</v>
      </c>
      <c r="F1403" s="273" t="s">
        <v>3446</v>
      </c>
      <c r="G1403" s="1040" t="s">
        <v>3463</v>
      </c>
      <c r="H1403" s="273" t="s">
        <v>3462</v>
      </c>
      <c r="I1403" s="720">
        <f t="shared" si="301"/>
        <v>80.179200000000009</v>
      </c>
      <c r="J1403" s="780">
        <v>1924.3008000000002</v>
      </c>
      <c r="K1403" s="131">
        <f t="shared" si="299"/>
        <v>1924.3008000000002</v>
      </c>
      <c r="L1403" s="335">
        <f t="shared" si="303"/>
        <v>0</v>
      </c>
      <c r="M1403" s="446"/>
      <c r="N1403" s="446"/>
      <c r="O1403" s="446"/>
      <c r="P1403" s="446"/>
      <c r="Q1403" s="110">
        <f t="shared" si="311"/>
        <v>6</v>
      </c>
      <c r="R1403" s="111">
        <f t="shared" si="307"/>
        <v>481.07520000000005</v>
      </c>
      <c r="S1403" s="110"/>
      <c r="T1403" s="110"/>
      <c r="U1403" s="110">
        <f t="shared" si="312"/>
        <v>6</v>
      </c>
      <c r="V1403" s="111">
        <f t="shared" si="308"/>
        <v>481.07520000000005</v>
      </c>
      <c r="W1403" s="110"/>
      <c r="X1403" s="110"/>
      <c r="Y1403" s="110"/>
      <c r="Z1403" s="110"/>
      <c r="AA1403" s="110">
        <f t="shared" si="302"/>
        <v>6</v>
      </c>
      <c r="AB1403" s="111">
        <f t="shared" si="309"/>
        <v>481.07520000000005</v>
      </c>
      <c r="AC1403" s="110"/>
      <c r="AD1403" s="110"/>
      <c r="AE1403" s="110">
        <f t="shared" si="302"/>
        <v>6</v>
      </c>
      <c r="AF1403" s="111">
        <f t="shared" si="310"/>
        <v>481.07520000000005</v>
      </c>
      <c r="AG1403" s="110"/>
      <c r="AH1403" s="110"/>
      <c r="AI1403" s="110"/>
      <c r="AJ1403" s="110"/>
      <c r="AK1403" s="111">
        <f t="shared" si="304"/>
        <v>1924.3008000000002</v>
      </c>
      <c r="AL1403" s="446">
        <f t="shared" si="305"/>
        <v>0</v>
      </c>
      <c r="AM1403" s="110">
        <f t="shared" si="306"/>
        <v>24</v>
      </c>
      <c r="AN1403" s="447">
        <f t="shared" si="300"/>
        <v>0</v>
      </c>
      <c r="AO1403"/>
      <c r="AP1403"/>
    </row>
    <row r="1404" spans="1:42" ht="66" x14ac:dyDescent="0.25">
      <c r="A1404" s="9"/>
      <c r="B1404" s="523" t="s">
        <v>1526</v>
      </c>
      <c r="C1404" s="42"/>
      <c r="D1404" s="899">
        <v>12</v>
      </c>
      <c r="E1404" s="1027" t="s">
        <v>1721</v>
      </c>
      <c r="F1404" s="273" t="s">
        <v>3446</v>
      </c>
      <c r="G1404" s="1040" t="s">
        <v>3463</v>
      </c>
      <c r="H1404" s="273" t="s">
        <v>3462</v>
      </c>
      <c r="I1404" s="720">
        <f t="shared" si="301"/>
        <v>98.971199999999996</v>
      </c>
      <c r="J1404" s="780">
        <v>1187.6543999999999</v>
      </c>
      <c r="K1404" s="131">
        <f t="shared" si="299"/>
        <v>1187.6543999999999</v>
      </c>
      <c r="L1404" s="335">
        <f t="shared" si="303"/>
        <v>0</v>
      </c>
      <c r="M1404" s="446"/>
      <c r="N1404" s="446"/>
      <c r="O1404" s="446"/>
      <c r="P1404" s="446"/>
      <c r="Q1404" s="110">
        <f t="shared" si="311"/>
        <v>3</v>
      </c>
      <c r="R1404" s="111">
        <f t="shared" si="307"/>
        <v>296.91359999999997</v>
      </c>
      <c r="S1404" s="110"/>
      <c r="T1404" s="110"/>
      <c r="U1404" s="110">
        <f t="shared" si="312"/>
        <v>3</v>
      </c>
      <c r="V1404" s="111">
        <f t="shared" si="308"/>
        <v>296.91359999999997</v>
      </c>
      <c r="W1404" s="110"/>
      <c r="X1404" s="110"/>
      <c r="Y1404" s="110"/>
      <c r="Z1404" s="110"/>
      <c r="AA1404" s="110">
        <f t="shared" si="302"/>
        <v>3</v>
      </c>
      <c r="AB1404" s="111">
        <f t="shared" si="309"/>
        <v>296.91359999999997</v>
      </c>
      <c r="AC1404" s="110"/>
      <c r="AD1404" s="110"/>
      <c r="AE1404" s="110">
        <f t="shared" si="302"/>
        <v>3</v>
      </c>
      <c r="AF1404" s="111">
        <f t="shared" si="310"/>
        <v>296.91359999999997</v>
      </c>
      <c r="AG1404" s="110"/>
      <c r="AH1404" s="110"/>
      <c r="AI1404" s="110"/>
      <c r="AJ1404" s="110"/>
      <c r="AK1404" s="111">
        <f t="shared" si="304"/>
        <v>1187.6543999999999</v>
      </c>
      <c r="AL1404" s="446">
        <f t="shared" si="305"/>
        <v>0</v>
      </c>
      <c r="AM1404" s="110">
        <f t="shared" si="306"/>
        <v>12</v>
      </c>
      <c r="AN1404" s="447">
        <f t="shared" si="300"/>
        <v>0</v>
      </c>
      <c r="AO1404"/>
      <c r="AP1404"/>
    </row>
    <row r="1405" spans="1:42" ht="66" x14ac:dyDescent="0.25">
      <c r="A1405" s="9"/>
      <c r="B1405" s="523" t="s">
        <v>1527</v>
      </c>
      <c r="C1405" s="1024"/>
      <c r="D1405" s="869">
        <v>40</v>
      </c>
      <c r="E1405" s="1027" t="s">
        <v>1721</v>
      </c>
      <c r="F1405" s="273" t="s">
        <v>3446</v>
      </c>
      <c r="G1405" s="1040" t="s">
        <v>3463</v>
      </c>
      <c r="H1405" s="273" t="s">
        <v>3462</v>
      </c>
      <c r="I1405" s="720">
        <f t="shared" si="301"/>
        <v>31.32</v>
      </c>
      <c r="J1405" s="780">
        <v>1252.8</v>
      </c>
      <c r="K1405" s="131">
        <f t="shared" si="299"/>
        <v>1252.8</v>
      </c>
      <c r="L1405" s="335">
        <f t="shared" si="303"/>
        <v>0</v>
      </c>
      <c r="M1405" s="446"/>
      <c r="N1405" s="446"/>
      <c r="O1405" s="446"/>
      <c r="P1405" s="446"/>
      <c r="Q1405" s="110">
        <f t="shared" si="311"/>
        <v>10</v>
      </c>
      <c r="R1405" s="111">
        <f t="shared" si="307"/>
        <v>313.2</v>
      </c>
      <c r="S1405" s="110"/>
      <c r="T1405" s="110"/>
      <c r="U1405" s="110">
        <f t="shared" si="312"/>
        <v>10</v>
      </c>
      <c r="V1405" s="111">
        <f t="shared" si="308"/>
        <v>313.2</v>
      </c>
      <c r="W1405" s="110"/>
      <c r="X1405" s="110"/>
      <c r="Y1405" s="110"/>
      <c r="Z1405" s="110"/>
      <c r="AA1405" s="110">
        <f t="shared" si="302"/>
        <v>10</v>
      </c>
      <c r="AB1405" s="111">
        <f t="shared" si="309"/>
        <v>313.2</v>
      </c>
      <c r="AC1405" s="110"/>
      <c r="AD1405" s="110"/>
      <c r="AE1405" s="110">
        <f t="shared" si="302"/>
        <v>10</v>
      </c>
      <c r="AF1405" s="111">
        <f t="shared" si="310"/>
        <v>313.2</v>
      </c>
      <c r="AG1405" s="110"/>
      <c r="AH1405" s="110"/>
      <c r="AI1405" s="110"/>
      <c r="AJ1405" s="110"/>
      <c r="AK1405" s="111">
        <f t="shared" si="304"/>
        <v>1252.8</v>
      </c>
      <c r="AL1405" s="446">
        <f t="shared" si="305"/>
        <v>0</v>
      </c>
      <c r="AM1405" s="110">
        <f t="shared" si="306"/>
        <v>40</v>
      </c>
      <c r="AN1405" s="447">
        <f t="shared" si="300"/>
        <v>0</v>
      </c>
      <c r="AO1405"/>
      <c r="AP1405"/>
    </row>
    <row r="1406" spans="1:42" ht="66" x14ac:dyDescent="0.25">
      <c r="A1406" s="9"/>
      <c r="B1406" s="523" t="s">
        <v>1528</v>
      </c>
      <c r="C1406" s="1024"/>
      <c r="D1406" s="869">
        <v>40</v>
      </c>
      <c r="E1406" s="1027" t="s">
        <v>1721</v>
      </c>
      <c r="F1406" s="273" t="s">
        <v>3446</v>
      </c>
      <c r="G1406" s="1040" t="s">
        <v>3463</v>
      </c>
      <c r="H1406" s="273" t="s">
        <v>3462</v>
      </c>
      <c r="I1406" s="720">
        <f t="shared" si="301"/>
        <v>51.04</v>
      </c>
      <c r="J1406" s="756">
        <v>2041.6</v>
      </c>
      <c r="K1406" s="131">
        <f t="shared" si="299"/>
        <v>2041.6</v>
      </c>
      <c r="L1406" s="335">
        <f t="shared" si="303"/>
        <v>0</v>
      </c>
      <c r="M1406" s="446"/>
      <c r="N1406" s="446"/>
      <c r="O1406" s="446"/>
      <c r="P1406" s="446"/>
      <c r="Q1406" s="110">
        <f t="shared" si="311"/>
        <v>10</v>
      </c>
      <c r="R1406" s="111">
        <f t="shared" si="307"/>
        <v>510.4</v>
      </c>
      <c r="S1406" s="110"/>
      <c r="T1406" s="110"/>
      <c r="U1406" s="110">
        <f t="shared" si="312"/>
        <v>10</v>
      </c>
      <c r="V1406" s="111">
        <f t="shared" si="308"/>
        <v>510.4</v>
      </c>
      <c r="W1406" s="110"/>
      <c r="X1406" s="110"/>
      <c r="Y1406" s="110"/>
      <c r="Z1406" s="110"/>
      <c r="AA1406" s="110">
        <f t="shared" si="302"/>
        <v>10</v>
      </c>
      <c r="AB1406" s="111">
        <f t="shared" si="309"/>
        <v>510.4</v>
      </c>
      <c r="AC1406" s="110"/>
      <c r="AD1406" s="110"/>
      <c r="AE1406" s="110">
        <f t="shared" si="302"/>
        <v>10</v>
      </c>
      <c r="AF1406" s="111">
        <f t="shared" si="310"/>
        <v>510.4</v>
      </c>
      <c r="AG1406" s="110"/>
      <c r="AH1406" s="110"/>
      <c r="AI1406" s="110"/>
      <c r="AJ1406" s="110"/>
      <c r="AK1406" s="111">
        <f t="shared" si="304"/>
        <v>2041.6</v>
      </c>
      <c r="AL1406" s="446">
        <f t="shared" si="305"/>
        <v>0</v>
      </c>
      <c r="AM1406" s="110">
        <f t="shared" si="306"/>
        <v>40</v>
      </c>
      <c r="AN1406" s="447">
        <f t="shared" si="300"/>
        <v>0</v>
      </c>
      <c r="AO1406"/>
      <c r="AP1406"/>
    </row>
    <row r="1407" spans="1:42" ht="66" x14ac:dyDescent="0.25">
      <c r="A1407" s="9"/>
      <c r="B1407" s="523" t="s">
        <v>196</v>
      </c>
      <c r="C1407" s="1024"/>
      <c r="D1407" s="869">
        <v>12</v>
      </c>
      <c r="E1407" s="1027" t="s">
        <v>1721</v>
      </c>
      <c r="F1407" s="273" t="s">
        <v>3446</v>
      </c>
      <c r="G1407" s="1040" t="s">
        <v>3463</v>
      </c>
      <c r="H1407" s="273" t="s">
        <v>3462</v>
      </c>
      <c r="I1407" s="720">
        <f t="shared" si="301"/>
        <v>271.16160000000002</v>
      </c>
      <c r="J1407" s="756">
        <v>3253.9392000000003</v>
      </c>
      <c r="K1407" s="131">
        <f t="shared" si="299"/>
        <v>3253.9392000000003</v>
      </c>
      <c r="L1407" s="335">
        <f t="shared" si="303"/>
        <v>0</v>
      </c>
      <c r="M1407" s="446"/>
      <c r="N1407" s="446"/>
      <c r="O1407" s="446"/>
      <c r="P1407" s="446"/>
      <c r="Q1407" s="110">
        <f t="shared" si="311"/>
        <v>3</v>
      </c>
      <c r="R1407" s="111">
        <f t="shared" si="307"/>
        <v>813.48480000000006</v>
      </c>
      <c r="S1407" s="110"/>
      <c r="T1407" s="110"/>
      <c r="U1407" s="110">
        <f t="shared" si="312"/>
        <v>3</v>
      </c>
      <c r="V1407" s="111">
        <f t="shared" si="308"/>
        <v>813.48480000000006</v>
      </c>
      <c r="W1407" s="110"/>
      <c r="X1407" s="110"/>
      <c r="Y1407" s="110"/>
      <c r="Z1407" s="110"/>
      <c r="AA1407" s="110">
        <f t="shared" si="302"/>
        <v>3</v>
      </c>
      <c r="AB1407" s="111">
        <f t="shared" si="309"/>
        <v>813.48480000000006</v>
      </c>
      <c r="AC1407" s="110"/>
      <c r="AD1407" s="110"/>
      <c r="AE1407" s="110">
        <f t="shared" si="302"/>
        <v>3</v>
      </c>
      <c r="AF1407" s="111">
        <f t="shared" si="310"/>
        <v>813.48480000000006</v>
      </c>
      <c r="AG1407" s="110"/>
      <c r="AH1407" s="110"/>
      <c r="AI1407" s="110"/>
      <c r="AJ1407" s="110"/>
      <c r="AK1407" s="111">
        <f t="shared" si="304"/>
        <v>3253.9392000000003</v>
      </c>
      <c r="AL1407" s="446">
        <f t="shared" si="305"/>
        <v>0</v>
      </c>
      <c r="AM1407" s="110">
        <f t="shared" si="306"/>
        <v>12</v>
      </c>
      <c r="AN1407" s="447">
        <f t="shared" si="300"/>
        <v>0</v>
      </c>
      <c r="AO1407"/>
      <c r="AP1407"/>
    </row>
    <row r="1408" spans="1:42" ht="66" x14ac:dyDescent="0.25">
      <c r="A1408" s="9"/>
      <c r="B1408" s="523" t="s">
        <v>197</v>
      </c>
      <c r="C1408" s="1024"/>
      <c r="D1408" s="869">
        <v>650</v>
      </c>
      <c r="E1408" s="1027" t="s">
        <v>1721</v>
      </c>
      <c r="F1408" s="273" t="s">
        <v>3446</v>
      </c>
      <c r="G1408" s="1040" t="s">
        <v>3463</v>
      </c>
      <c r="H1408" s="273" t="s">
        <v>3462</v>
      </c>
      <c r="I1408" s="720">
        <f t="shared" si="301"/>
        <v>72.929199999999994</v>
      </c>
      <c r="J1408" s="756">
        <v>47403.979999999996</v>
      </c>
      <c r="K1408" s="131">
        <f t="shared" si="299"/>
        <v>47403.979999999996</v>
      </c>
      <c r="L1408" s="335">
        <f t="shared" si="303"/>
        <v>0</v>
      </c>
      <c r="M1408" s="446"/>
      <c r="N1408" s="446"/>
      <c r="O1408" s="446"/>
      <c r="P1408" s="446"/>
      <c r="Q1408" s="110">
        <f t="shared" si="311"/>
        <v>162.5</v>
      </c>
      <c r="R1408" s="111">
        <f t="shared" si="307"/>
        <v>11850.994999999999</v>
      </c>
      <c r="S1408" s="110"/>
      <c r="T1408" s="110"/>
      <c r="U1408" s="110">
        <f t="shared" si="312"/>
        <v>162.5</v>
      </c>
      <c r="V1408" s="111">
        <f t="shared" si="308"/>
        <v>11850.994999999999</v>
      </c>
      <c r="W1408" s="110"/>
      <c r="X1408" s="110"/>
      <c r="Y1408" s="110"/>
      <c r="Z1408" s="110"/>
      <c r="AA1408" s="110">
        <f t="shared" si="302"/>
        <v>162.5</v>
      </c>
      <c r="AB1408" s="111">
        <f t="shared" si="309"/>
        <v>11850.994999999999</v>
      </c>
      <c r="AC1408" s="110"/>
      <c r="AD1408" s="110"/>
      <c r="AE1408" s="110">
        <f t="shared" si="302"/>
        <v>162.5</v>
      </c>
      <c r="AF1408" s="111">
        <f t="shared" si="310"/>
        <v>11850.994999999999</v>
      </c>
      <c r="AG1408" s="110"/>
      <c r="AH1408" s="110"/>
      <c r="AI1408" s="110"/>
      <c r="AJ1408" s="110"/>
      <c r="AK1408" s="111">
        <f t="shared" si="304"/>
        <v>47403.979999999996</v>
      </c>
      <c r="AL1408" s="446">
        <f t="shared" si="305"/>
        <v>0</v>
      </c>
      <c r="AM1408" s="110">
        <f t="shared" si="306"/>
        <v>650</v>
      </c>
      <c r="AN1408" s="447">
        <f t="shared" si="300"/>
        <v>0</v>
      </c>
      <c r="AO1408"/>
      <c r="AP1408"/>
    </row>
    <row r="1409" spans="1:42" ht="66" x14ac:dyDescent="0.25">
      <c r="A1409" s="9"/>
      <c r="B1409" s="476" t="s">
        <v>1429</v>
      </c>
      <c r="C1409" s="1024"/>
      <c r="D1409" s="869">
        <v>12</v>
      </c>
      <c r="E1409" s="249" t="s">
        <v>1722</v>
      </c>
      <c r="F1409" s="273" t="s">
        <v>3446</v>
      </c>
      <c r="G1409" s="1040" t="s">
        <v>3463</v>
      </c>
      <c r="H1409" s="273" t="s">
        <v>3462</v>
      </c>
      <c r="I1409" s="720">
        <f t="shared" si="301"/>
        <v>30.48</v>
      </c>
      <c r="J1409" s="756">
        <v>365.76</v>
      </c>
      <c r="K1409" s="131">
        <f t="shared" si="299"/>
        <v>365.76</v>
      </c>
      <c r="L1409" s="335">
        <f t="shared" si="303"/>
        <v>0</v>
      </c>
      <c r="M1409" s="446"/>
      <c r="N1409" s="446"/>
      <c r="O1409" s="446"/>
      <c r="P1409" s="446"/>
      <c r="Q1409" s="110">
        <f t="shared" si="311"/>
        <v>3</v>
      </c>
      <c r="R1409" s="111">
        <f t="shared" si="307"/>
        <v>91.44</v>
      </c>
      <c r="S1409" s="110"/>
      <c r="T1409" s="110"/>
      <c r="U1409" s="110">
        <f t="shared" si="312"/>
        <v>3</v>
      </c>
      <c r="V1409" s="111">
        <f t="shared" si="308"/>
        <v>91.44</v>
      </c>
      <c r="W1409" s="110"/>
      <c r="X1409" s="110"/>
      <c r="Y1409" s="110"/>
      <c r="Z1409" s="110"/>
      <c r="AA1409" s="110">
        <f t="shared" si="302"/>
        <v>3</v>
      </c>
      <c r="AB1409" s="111">
        <f t="shared" si="309"/>
        <v>91.44</v>
      </c>
      <c r="AC1409" s="110"/>
      <c r="AD1409" s="110"/>
      <c r="AE1409" s="110">
        <f t="shared" si="302"/>
        <v>3</v>
      </c>
      <c r="AF1409" s="111">
        <f t="shared" si="310"/>
        <v>91.44</v>
      </c>
      <c r="AG1409" s="110"/>
      <c r="AH1409" s="110"/>
      <c r="AI1409" s="110"/>
      <c r="AJ1409" s="110"/>
      <c r="AK1409" s="111">
        <f t="shared" si="304"/>
        <v>365.76</v>
      </c>
      <c r="AL1409" s="446">
        <f t="shared" si="305"/>
        <v>0</v>
      </c>
      <c r="AM1409" s="110">
        <f t="shared" si="306"/>
        <v>12</v>
      </c>
      <c r="AN1409" s="447">
        <f t="shared" si="300"/>
        <v>0</v>
      </c>
      <c r="AO1409"/>
      <c r="AP1409"/>
    </row>
    <row r="1410" spans="1:42" ht="66" x14ac:dyDescent="0.25">
      <c r="A1410" s="9"/>
      <c r="B1410" s="476" t="s">
        <v>1859</v>
      </c>
      <c r="C1410" s="1024"/>
      <c r="D1410" s="869">
        <v>4</v>
      </c>
      <c r="E1410" s="249" t="s">
        <v>1722</v>
      </c>
      <c r="F1410" s="273" t="s">
        <v>3446</v>
      </c>
      <c r="G1410" s="1040" t="s">
        <v>3463</v>
      </c>
      <c r="H1410" s="273" t="s">
        <v>3462</v>
      </c>
      <c r="I1410" s="720">
        <f t="shared" si="301"/>
        <v>271.16000000000003</v>
      </c>
      <c r="J1410" s="756">
        <v>1084.6400000000001</v>
      </c>
      <c r="K1410" s="131">
        <f t="shared" si="299"/>
        <v>1084.6400000000001</v>
      </c>
      <c r="L1410" s="335">
        <f t="shared" si="303"/>
        <v>0</v>
      </c>
      <c r="M1410" s="446"/>
      <c r="N1410" s="446"/>
      <c r="O1410" s="446"/>
      <c r="P1410" s="446"/>
      <c r="Q1410" s="110">
        <f t="shared" si="311"/>
        <v>1</v>
      </c>
      <c r="R1410" s="111">
        <f t="shared" si="307"/>
        <v>271.16000000000003</v>
      </c>
      <c r="S1410" s="110"/>
      <c r="T1410" s="110"/>
      <c r="U1410" s="110">
        <f t="shared" si="312"/>
        <v>1</v>
      </c>
      <c r="V1410" s="111">
        <f t="shared" si="308"/>
        <v>271.16000000000003</v>
      </c>
      <c r="W1410" s="110"/>
      <c r="X1410" s="110"/>
      <c r="Y1410" s="110"/>
      <c r="Z1410" s="110"/>
      <c r="AA1410" s="110">
        <f t="shared" si="302"/>
        <v>1</v>
      </c>
      <c r="AB1410" s="111">
        <f t="shared" si="309"/>
        <v>271.16000000000003</v>
      </c>
      <c r="AC1410" s="110"/>
      <c r="AD1410" s="110"/>
      <c r="AE1410" s="110">
        <f t="shared" si="302"/>
        <v>1</v>
      </c>
      <c r="AF1410" s="111">
        <f t="shared" si="310"/>
        <v>271.16000000000003</v>
      </c>
      <c r="AG1410" s="110"/>
      <c r="AH1410" s="110"/>
      <c r="AI1410" s="110"/>
      <c r="AJ1410" s="110"/>
      <c r="AK1410" s="111">
        <f t="shared" si="304"/>
        <v>1084.6400000000001</v>
      </c>
      <c r="AL1410" s="446">
        <f t="shared" si="305"/>
        <v>0</v>
      </c>
      <c r="AM1410" s="110">
        <f t="shared" si="306"/>
        <v>4</v>
      </c>
      <c r="AN1410" s="447">
        <f t="shared" si="300"/>
        <v>0</v>
      </c>
      <c r="AO1410"/>
      <c r="AP1410"/>
    </row>
    <row r="1411" spans="1:42" ht="66" x14ac:dyDescent="0.25">
      <c r="A1411" s="9"/>
      <c r="B1411" s="476" t="s">
        <v>1860</v>
      </c>
      <c r="C1411" s="1024"/>
      <c r="D1411" s="869">
        <v>30</v>
      </c>
      <c r="E1411" s="249" t="s">
        <v>1725</v>
      </c>
      <c r="F1411" s="273" t="s">
        <v>3446</v>
      </c>
      <c r="G1411" s="1040" t="s">
        <v>3463</v>
      </c>
      <c r="H1411" s="273" t="s">
        <v>3462</v>
      </c>
      <c r="I1411" s="720">
        <f t="shared" si="301"/>
        <v>52.67</v>
      </c>
      <c r="J1411" s="756">
        <v>1580.1000000000001</v>
      </c>
      <c r="K1411" s="131">
        <f t="shared" si="299"/>
        <v>1580.1000000000001</v>
      </c>
      <c r="L1411" s="335">
        <f t="shared" si="303"/>
        <v>0</v>
      </c>
      <c r="M1411" s="446"/>
      <c r="N1411" s="446"/>
      <c r="O1411" s="446"/>
      <c r="P1411" s="446"/>
      <c r="Q1411" s="110">
        <v>8</v>
      </c>
      <c r="R1411" s="111">
        <f t="shared" si="307"/>
        <v>395.02500000000003</v>
      </c>
      <c r="S1411" s="110"/>
      <c r="T1411" s="110"/>
      <c r="U1411" s="110">
        <v>8</v>
      </c>
      <c r="V1411" s="111">
        <f t="shared" si="308"/>
        <v>395.02500000000003</v>
      </c>
      <c r="W1411" s="110"/>
      <c r="X1411" s="110"/>
      <c r="Y1411" s="110"/>
      <c r="Z1411" s="110"/>
      <c r="AA1411" s="110">
        <v>7</v>
      </c>
      <c r="AB1411" s="111">
        <f t="shared" si="309"/>
        <v>395.02500000000003</v>
      </c>
      <c r="AC1411" s="110"/>
      <c r="AD1411" s="110"/>
      <c r="AE1411" s="110">
        <v>7</v>
      </c>
      <c r="AF1411" s="111">
        <f t="shared" si="310"/>
        <v>395.02500000000003</v>
      </c>
      <c r="AG1411" s="110"/>
      <c r="AH1411" s="110"/>
      <c r="AI1411" s="110"/>
      <c r="AJ1411" s="110"/>
      <c r="AK1411" s="111">
        <f t="shared" si="304"/>
        <v>1580.1000000000001</v>
      </c>
      <c r="AL1411" s="446">
        <f t="shared" si="305"/>
        <v>0</v>
      </c>
      <c r="AM1411" s="110">
        <f t="shared" si="306"/>
        <v>30</v>
      </c>
      <c r="AN1411" s="447">
        <f t="shared" si="300"/>
        <v>0</v>
      </c>
      <c r="AO1411"/>
      <c r="AP1411"/>
    </row>
    <row r="1412" spans="1:42" ht="66" x14ac:dyDescent="0.25">
      <c r="A1412" s="9"/>
      <c r="B1412" s="530" t="s">
        <v>1861</v>
      </c>
      <c r="C1412" s="1024"/>
      <c r="D1412" s="869">
        <v>12</v>
      </c>
      <c r="E1412" s="1027" t="s">
        <v>1725</v>
      </c>
      <c r="F1412" s="273" t="s">
        <v>3446</v>
      </c>
      <c r="G1412" s="1040" t="s">
        <v>3463</v>
      </c>
      <c r="H1412" s="273" t="s">
        <v>3462</v>
      </c>
      <c r="I1412" s="720">
        <f t="shared" si="301"/>
        <v>64.59</v>
      </c>
      <c r="J1412" s="756">
        <v>775.08</v>
      </c>
      <c r="K1412" s="131">
        <f t="shared" ref="K1412:K1475" si="313">+D1412*I1412</f>
        <v>775.08</v>
      </c>
      <c r="L1412" s="335">
        <f t="shared" si="303"/>
        <v>0</v>
      </c>
      <c r="M1412" s="446"/>
      <c r="N1412" s="446"/>
      <c r="O1412" s="446"/>
      <c r="P1412" s="446"/>
      <c r="Q1412" s="110">
        <f t="shared" si="311"/>
        <v>3</v>
      </c>
      <c r="R1412" s="111">
        <f t="shared" si="307"/>
        <v>193.77</v>
      </c>
      <c r="S1412" s="110"/>
      <c r="T1412" s="110"/>
      <c r="U1412" s="110">
        <f t="shared" si="312"/>
        <v>3</v>
      </c>
      <c r="V1412" s="111">
        <f t="shared" si="308"/>
        <v>193.77</v>
      </c>
      <c r="W1412" s="110"/>
      <c r="X1412" s="110"/>
      <c r="Y1412" s="110"/>
      <c r="Z1412" s="110"/>
      <c r="AA1412" s="110">
        <f t="shared" si="302"/>
        <v>3</v>
      </c>
      <c r="AB1412" s="111">
        <f t="shared" si="309"/>
        <v>193.77</v>
      </c>
      <c r="AC1412" s="110"/>
      <c r="AD1412" s="110"/>
      <c r="AE1412" s="110">
        <f t="shared" si="302"/>
        <v>3</v>
      </c>
      <c r="AF1412" s="111">
        <f t="shared" si="310"/>
        <v>193.77</v>
      </c>
      <c r="AG1412" s="110"/>
      <c r="AH1412" s="110"/>
      <c r="AI1412" s="110"/>
      <c r="AJ1412" s="110"/>
      <c r="AK1412" s="111">
        <f t="shared" si="304"/>
        <v>775.08</v>
      </c>
      <c r="AL1412" s="446">
        <f t="shared" si="305"/>
        <v>0</v>
      </c>
      <c r="AM1412" s="110">
        <f t="shared" si="306"/>
        <v>12</v>
      </c>
      <c r="AN1412" s="447">
        <f t="shared" ref="AN1412:AN1475" si="314">+D1412-AM1412</f>
        <v>0</v>
      </c>
      <c r="AO1412"/>
      <c r="AP1412"/>
    </row>
    <row r="1413" spans="1:42" ht="66" x14ac:dyDescent="0.25">
      <c r="A1413" s="9"/>
      <c r="B1413" s="531" t="s">
        <v>2073</v>
      </c>
      <c r="C1413" s="1024"/>
      <c r="D1413" s="869">
        <v>30</v>
      </c>
      <c r="E1413" s="1027" t="s">
        <v>1723</v>
      </c>
      <c r="F1413" s="273" t="s">
        <v>3446</v>
      </c>
      <c r="G1413" s="1040" t="s">
        <v>3463</v>
      </c>
      <c r="H1413" s="273" t="s">
        <v>3462</v>
      </c>
      <c r="I1413" s="720">
        <f t="shared" si="301"/>
        <v>15</v>
      </c>
      <c r="J1413" s="756">
        <v>450</v>
      </c>
      <c r="K1413" s="131">
        <f t="shared" si="313"/>
        <v>450</v>
      </c>
      <c r="L1413" s="335">
        <f t="shared" si="303"/>
        <v>0</v>
      </c>
      <c r="M1413" s="446"/>
      <c r="N1413" s="446"/>
      <c r="O1413" s="446"/>
      <c r="P1413" s="446"/>
      <c r="Q1413" s="110">
        <v>8</v>
      </c>
      <c r="R1413" s="111">
        <f t="shared" si="307"/>
        <v>112.5</v>
      </c>
      <c r="S1413" s="110"/>
      <c r="T1413" s="110"/>
      <c r="U1413" s="110">
        <v>8</v>
      </c>
      <c r="V1413" s="111">
        <f t="shared" si="308"/>
        <v>112.5</v>
      </c>
      <c r="W1413" s="110"/>
      <c r="X1413" s="110"/>
      <c r="Y1413" s="110"/>
      <c r="Z1413" s="110"/>
      <c r="AA1413" s="110">
        <v>7</v>
      </c>
      <c r="AB1413" s="111">
        <f t="shared" si="309"/>
        <v>112.5</v>
      </c>
      <c r="AC1413" s="110"/>
      <c r="AD1413" s="110"/>
      <c r="AE1413" s="110">
        <v>7</v>
      </c>
      <c r="AF1413" s="111">
        <f t="shared" si="310"/>
        <v>112.5</v>
      </c>
      <c r="AG1413" s="110"/>
      <c r="AH1413" s="110"/>
      <c r="AI1413" s="110"/>
      <c r="AJ1413" s="110"/>
      <c r="AK1413" s="111">
        <f t="shared" si="304"/>
        <v>450</v>
      </c>
      <c r="AL1413" s="446">
        <f t="shared" si="305"/>
        <v>0</v>
      </c>
      <c r="AM1413" s="110">
        <f t="shared" si="306"/>
        <v>30</v>
      </c>
      <c r="AN1413" s="447">
        <f t="shared" si="314"/>
        <v>0</v>
      </c>
      <c r="AO1413"/>
      <c r="AP1413"/>
    </row>
    <row r="1414" spans="1:42" ht="66" x14ac:dyDescent="0.25">
      <c r="A1414" s="9"/>
      <c r="B1414" s="531" t="s">
        <v>2074</v>
      </c>
      <c r="C1414" s="1024"/>
      <c r="D1414" s="869">
        <v>3</v>
      </c>
      <c r="E1414" s="1027" t="s">
        <v>1725</v>
      </c>
      <c r="F1414" s="273" t="s">
        <v>3446</v>
      </c>
      <c r="G1414" s="1040" t="s">
        <v>3463</v>
      </c>
      <c r="H1414" s="273" t="s">
        <v>3462</v>
      </c>
      <c r="I1414" s="720">
        <f t="shared" si="301"/>
        <v>272</v>
      </c>
      <c r="J1414" s="756">
        <v>816</v>
      </c>
      <c r="K1414" s="131">
        <f t="shared" si="313"/>
        <v>816</v>
      </c>
      <c r="L1414" s="335">
        <f t="shared" si="303"/>
        <v>0</v>
      </c>
      <c r="M1414" s="446"/>
      <c r="N1414" s="446"/>
      <c r="O1414" s="446"/>
      <c r="P1414" s="446"/>
      <c r="Q1414" s="130">
        <v>1</v>
      </c>
      <c r="R1414" s="111">
        <f t="shared" si="307"/>
        <v>204</v>
      </c>
      <c r="S1414" s="110"/>
      <c r="T1414" s="110"/>
      <c r="U1414" s="130">
        <v>1</v>
      </c>
      <c r="V1414" s="111">
        <f t="shared" si="308"/>
        <v>204</v>
      </c>
      <c r="W1414" s="110"/>
      <c r="X1414" s="110"/>
      <c r="Y1414" s="110"/>
      <c r="Z1414" s="110"/>
      <c r="AA1414" s="130">
        <v>1</v>
      </c>
      <c r="AB1414" s="111">
        <f t="shared" si="309"/>
        <v>204</v>
      </c>
      <c r="AC1414" s="110"/>
      <c r="AD1414" s="110"/>
      <c r="AE1414" s="130">
        <v>0</v>
      </c>
      <c r="AF1414" s="111">
        <f t="shared" si="310"/>
        <v>204</v>
      </c>
      <c r="AG1414" s="110"/>
      <c r="AH1414" s="110"/>
      <c r="AI1414" s="110"/>
      <c r="AJ1414" s="110"/>
      <c r="AK1414" s="111">
        <f t="shared" si="304"/>
        <v>816</v>
      </c>
      <c r="AL1414" s="446">
        <f t="shared" si="305"/>
        <v>0</v>
      </c>
      <c r="AM1414" s="110">
        <f t="shared" si="306"/>
        <v>3</v>
      </c>
      <c r="AN1414" s="447">
        <f t="shared" si="314"/>
        <v>0</v>
      </c>
      <c r="AO1414"/>
      <c r="AP1414"/>
    </row>
    <row r="1415" spans="1:42" ht="66" x14ac:dyDescent="0.25">
      <c r="A1415" s="9"/>
      <c r="B1415" s="531" t="s">
        <v>2075</v>
      </c>
      <c r="C1415" s="1024"/>
      <c r="D1415" s="869">
        <v>22</v>
      </c>
      <c r="E1415" s="1027" t="s">
        <v>1722</v>
      </c>
      <c r="F1415" s="273" t="s">
        <v>3446</v>
      </c>
      <c r="G1415" s="1040" t="s">
        <v>3463</v>
      </c>
      <c r="H1415" s="273" t="s">
        <v>3462</v>
      </c>
      <c r="I1415" s="720">
        <f t="shared" si="301"/>
        <v>21.5</v>
      </c>
      <c r="J1415" s="756">
        <v>473</v>
      </c>
      <c r="K1415" s="131">
        <f t="shared" si="313"/>
        <v>473</v>
      </c>
      <c r="L1415" s="335">
        <f t="shared" si="303"/>
        <v>0</v>
      </c>
      <c r="M1415" s="446"/>
      <c r="N1415" s="446"/>
      <c r="O1415" s="446"/>
      <c r="P1415" s="446"/>
      <c r="Q1415" s="110">
        <v>6</v>
      </c>
      <c r="R1415" s="111">
        <f t="shared" si="307"/>
        <v>118.25</v>
      </c>
      <c r="S1415" s="110"/>
      <c r="T1415" s="110"/>
      <c r="U1415" s="110">
        <v>6</v>
      </c>
      <c r="V1415" s="111">
        <f t="shared" si="308"/>
        <v>118.25</v>
      </c>
      <c r="W1415" s="110"/>
      <c r="X1415" s="110"/>
      <c r="Y1415" s="110"/>
      <c r="Z1415" s="110"/>
      <c r="AA1415" s="110">
        <v>5</v>
      </c>
      <c r="AB1415" s="111">
        <f t="shared" si="309"/>
        <v>118.25</v>
      </c>
      <c r="AC1415" s="110"/>
      <c r="AD1415" s="110"/>
      <c r="AE1415" s="110">
        <v>5</v>
      </c>
      <c r="AF1415" s="111">
        <f t="shared" si="310"/>
        <v>118.25</v>
      </c>
      <c r="AG1415" s="110"/>
      <c r="AH1415" s="110"/>
      <c r="AI1415" s="110"/>
      <c r="AJ1415" s="110"/>
      <c r="AK1415" s="111">
        <f t="shared" si="304"/>
        <v>473</v>
      </c>
      <c r="AL1415" s="446">
        <f t="shared" si="305"/>
        <v>0</v>
      </c>
      <c r="AM1415" s="110">
        <f t="shared" si="306"/>
        <v>22</v>
      </c>
      <c r="AN1415" s="447">
        <f t="shared" si="314"/>
        <v>0</v>
      </c>
      <c r="AO1415"/>
      <c r="AP1415"/>
    </row>
    <row r="1416" spans="1:42" ht="66" x14ac:dyDescent="0.25">
      <c r="A1416" s="9"/>
      <c r="B1416" s="531" t="s">
        <v>2076</v>
      </c>
      <c r="C1416" s="1024"/>
      <c r="D1416" s="869">
        <v>22</v>
      </c>
      <c r="E1416" s="1027" t="s">
        <v>1722</v>
      </c>
      <c r="F1416" s="273" t="s">
        <v>3446</v>
      </c>
      <c r="G1416" s="1040" t="s">
        <v>3463</v>
      </c>
      <c r="H1416" s="273" t="s">
        <v>3462</v>
      </c>
      <c r="I1416" s="720">
        <f t="shared" si="301"/>
        <v>31</v>
      </c>
      <c r="J1416" s="756">
        <v>682</v>
      </c>
      <c r="K1416" s="131">
        <f t="shared" si="313"/>
        <v>682</v>
      </c>
      <c r="L1416" s="335">
        <f t="shared" si="303"/>
        <v>0</v>
      </c>
      <c r="M1416" s="446"/>
      <c r="N1416" s="446"/>
      <c r="O1416" s="446"/>
      <c r="P1416" s="446"/>
      <c r="Q1416" s="110">
        <v>6</v>
      </c>
      <c r="R1416" s="111">
        <f t="shared" si="307"/>
        <v>170.5</v>
      </c>
      <c r="S1416" s="110"/>
      <c r="T1416" s="110"/>
      <c r="U1416" s="110">
        <v>6</v>
      </c>
      <c r="V1416" s="111">
        <f t="shared" si="308"/>
        <v>170.5</v>
      </c>
      <c r="W1416" s="110"/>
      <c r="X1416" s="110"/>
      <c r="Y1416" s="110"/>
      <c r="Z1416" s="110"/>
      <c r="AA1416" s="110">
        <v>5</v>
      </c>
      <c r="AB1416" s="111">
        <f t="shared" si="309"/>
        <v>170.5</v>
      </c>
      <c r="AC1416" s="110"/>
      <c r="AD1416" s="110"/>
      <c r="AE1416" s="110">
        <v>5</v>
      </c>
      <c r="AF1416" s="111">
        <f t="shared" si="310"/>
        <v>170.5</v>
      </c>
      <c r="AG1416" s="110"/>
      <c r="AH1416" s="110"/>
      <c r="AI1416" s="110"/>
      <c r="AJ1416" s="110"/>
      <c r="AK1416" s="111">
        <f t="shared" si="304"/>
        <v>682</v>
      </c>
      <c r="AL1416" s="446">
        <f t="shared" si="305"/>
        <v>0</v>
      </c>
      <c r="AM1416" s="110">
        <f t="shared" si="306"/>
        <v>22</v>
      </c>
      <c r="AN1416" s="447">
        <f t="shared" si="314"/>
        <v>0</v>
      </c>
      <c r="AO1416"/>
      <c r="AP1416"/>
    </row>
    <row r="1417" spans="1:42" ht="66" x14ac:dyDescent="0.25">
      <c r="A1417" s="9"/>
      <c r="B1417" s="530" t="s">
        <v>2077</v>
      </c>
      <c r="C1417" s="1024"/>
      <c r="D1417" s="869">
        <v>11</v>
      </c>
      <c r="E1417" s="1027" t="s">
        <v>1725</v>
      </c>
      <c r="F1417" s="273" t="s">
        <v>3446</v>
      </c>
      <c r="G1417" s="1040" t="s">
        <v>3463</v>
      </c>
      <c r="H1417" s="273" t="s">
        <v>3462</v>
      </c>
      <c r="I1417" s="720">
        <f t="shared" si="301"/>
        <v>53</v>
      </c>
      <c r="J1417" s="756">
        <v>583</v>
      </c>
      <c r="K1417" s="131">
        <f t="shared" si="313"/>
        <v>583</v>
      </c>
      <c r="L1417" s="335">
        <f t="shared" si="303"/>
        <v>0</v>
      </c>
      <c r="M1417" s="446"/>
      <c r="N1417" s="446"/>
      <c r="O1417" s="446"/>
      <c r="P1417" s="446"/>
      <c r="Q1417" s="110">
        <v>3</v>
      </c>
      <c r="R1417" s="111">
        <f t="shared" si="307"/>
        <v>145.75</v>
      </c>
      <c r="S1417" s="110"/>
      <c r="T1417" s="110"/>
      <c r="U1417" s="110">
        <v>3</v>
      </c>
      <c r="V1417" s="111">
        <f t="shared" si="308"/>
        <v>145.75</v>
      </c>
      <c r="W1417" s="110"/>
      <c r="X1417" s="110"/>
      <c r="Y1417" s="110"/>
      <c r="Z1417" s="110"/>
      <c r="AA1417" s="110">
        <v>3</v>
      </c>
      <c r="AB1417" s="111">
        <f t="shared" si="309"/>
        <v>145.75</v>
      </c>
      <c r="AC1417" s="110"/>
      <c r="AD1417" s="110"/>
      <c r="AE1417" s="110">
        <v>2</v>
      </c>
      <c r="AF1417" s="111">
        <f t="shared" si="310"/>
        <v>145.75</v>
      </c>
      <c r="AG1417" s="110"/>
      <c r="AH1417" s="110"/>
      <c r="AI1417" s="110"/>
      <c r="AJ1417" s="110"/>
      <c r="AK1417" s="111">
        <f t="shared" si="304"/>
        <v>583</v>
      </c>
      <c r="AL1417" s="446">
        <f t="shared" si="305"/>
        <v>0</v>
      </c>
      <c r="AM1417" s="110">
        <f t="shared" si="306"/>
        <v>11</v>
      </c>
      <c r="AN1417" s="447">
        <f t="shared" si="314"/>
        <v>0</v>
      </c>
      <c r="AO1417"/>
      <c r="AP1417"/>
    </row>
    <row r="1418" spans="1:42" ht="66" x14ac:dyDescent="0.25">
      <c r="A1418" s="9"/>
      <c r="B1418" s="530" t="s">
        <v>2078</v>
      </c>
      <c r="C1418" s="1024"/>
      <c r="D1418" s="869">
        <f>1+12</f>
        <v>13</v>
      </c>
      <c r="E1418" s="1027" t="s">
        <v>1722</v>
      </c>
      <c r="F1418" s="273" t="s">
        <v>3446</v>
      </c>
      <c r="G1418" s="1040" t="s">
        <v>3463</v>
      </c>
      <c r="H1418" s="273" t="s">
        <v>3462</v>
      </c>
      <c r="I1418" s="720">
        <f t="shared" si="301"/>
        <v>220.72307692307692</v>
      </c>
      <c r="J1418" s="756">
        <f>272+2597.4</f>
        <v>2869.4</v>
      </c>
      <c r="K1418" s="131">
        <f t="shared" si="313"/>
        <v>2869.4</v>
      </c>
      <c r="L1418" s="335">
        <f t="shared" si="303"/>
        <v>0</v>
      </c>
      <c r="M1418" s="446"/>
      <c r="N1418" s="446"/>
      <c r="O1418" s="446"/>
      <c r="P1418" s="446"/>
      <c r="Q1418" s="110">
        <v>4</v>
      </c>
      <c r="R1418" s="111">
        <f t="shared" si="307"/>
        <v>717.35</v>
      </c>
      <c r="S1418" s="110"/>
      <c r="T1418" s="110"/>
      <c r="U1418" s="110">
        <v>3</v>
      </c>
      <c r="V1418" s="111">
        <f t="shared" si="308"/>
        <v>717.35</v>
      </c>
      <c r="W1418" s="110"/>
      <c r="X1418" s="110"/>
      <c r="Y1418" s="110"/>
      <c r="Z1418" s="110"/>
      <c r="AA1418" s="110">
        <v>3</v>
      </c>
      <c r="AB1418" s="111">
        <f t="shared" si="309"/>
        <v>717.35</v>
      </c>
      <c r="AC1418" s="110"/>
      <c r="AD1418" s="110"/>
      <c r="AE1418" s="110">
        <v>3</v>
      </c>
      <c r="AF1418" s="111">
        <f t="shared" si="310"/>
        <v>717.35</v>
      </c>
      <c r="AG1418" s="110"/>
      <c r="AH1418" s="110"/>
      <c r="AI1418" s="110"/>
      <c r="AJ1418" s="110"/>
      <c r="AK1418" s="111">
        <f t="shared" si="304"/>
        <v>2869.4</v>
      </c>
      <c r="AL1418" s="446">
        <f t="shared" si="305"/>
        <v>0</v>
      </c>
      <c r="AM1418" s="110">
        <f t="shared" si="306"/>
        <v>13</v>
      </c>
      <c r="AN1418" s="447">
        <f t="shared" si="314"/>
        <v>0</v>
      </c>
      <c r="AO1418"/>
      <c r="AP1418"/>
    </row>
    <row r="1419" spans="1:42" ht="66" x14ac:dyDescent="0.25">
      <c r="A1419" s="9"/>
      <c r="B1419" s="149" t="s">
        <v>2630</v>
      </c>
      <c r="C1419" s="1024"/>
      <c r="D1419" s="882">
        <v>1</v>
      </c>
      <c r="E1419" s="1025" t="s">
        <v>1748</v>
      </c>
      <c r="F1419" s="273" t="s">
        <v>3446</v>
      </c>
      <c r="G1419" s="1040" t="s">
        <v>3463</v>
      </c>
      <c r="H1419" s="273" t="s">
        <v>3462</v>
      </c>
      <c r="I1419" s="720">
        <f t="shared" si="301"/>
        <v>271.16159999999996</v>
      </c>
      <c r="J1419" s="760">
        <v>271.16159999999996</v>
      </c>
      <c r="K1419" s="131">
        <f t="shared" si="313"/>
        <v>271.16159999999996</v>
      </c>
      <c r="L1419" s="335">
        <f t="shared" si="303"/>
        <v>0</v>
      </c>
      <c r="M1419" s="446"/>
      <c r="N1419" s="446"/>
      <c r="O1419" s="446"/>
      <c r="P1419" s="446"/>
      <c r="Q1419" s="110">
        <v>1</v>
      </c>
      <c r="R1419" s="111">
        <v>271.16000000000003</v>
      </c>
      <c r="S1419" s="110"/>
      <c r="T1419" s="110"/>
      <c r="U1419" s="110">
        <v>0</v>
      </c>
      <c r="V1419" s="111">
        <v>0</v>
      </c>
      <c r="W1419" s="110"/>
      <c r="X1419" s="110"/>
      <c r="Y1419" s="110"/>
      <c r="Z1419" s="110"/>
      <c r="AA1419" s="110">
        <v>0</v>
      </c>
      <c r="AB1419" s="111">
        <v>0</v>
      </c>
      <c r="AC1419" s="110"/>
      <c r="AD1419" s="110"/>
      <c r="AE1419" s="110">
        <v>0</v>
      </c>
      <c r="AF1419" s="111">
        <v>0</v>
      </c>
      <c r="AG1419" s="110"/>
      <c r="AH1419" s="110"/>
      <c r="AI1419" s="110"/>
      <c r="AJ1419" s="110"/>
      <c r="AK1419" s="111">
        <f t="shared" si="304"/>
        <v>271.16000000000003</v>
      </c>
      <c r="AL1419" s="446">
        <f t="shared" si="305"/>
        <v>1.5999999999394277E-3</v>
      </c>
      <c r="AM1419" s="110">
        <f t="shared" si="306"/>
        <v>1</v>
      </c>
      <c r="AN1419" s="447">
        <f t="shared" si="314"/>
        <v>0</v>
      </c>
      <c r="AO1419"/>
      <c r="AP1419"/>
    </row>
    <row r="1420" spans="1:42" ht="66" x14ac:dyDescent="0.25">
      <c r="A1420" s="9"/>
      <c r="B1420" s="149" t="s">
        <v>2631</v>
      </c>
      <c r="C1420" s="1024"/>
      <c r="D1420" s="882">
        <v>1</v>
      </c>
      <c r="E1420" s="1025" t="s">
        <v>1748</v>
      </c>
      <c r="F1420" s="273" t="s">
        <v>3446</v>
      </c>
      <c r="G1420" s="1040" t="s">
        <v>3463</v>
      </c>
      <c r="H1420" s="273" t="s">
        <v>3462</v>
      </c>
      <c r="I1420" s="720">
        <f t="shared" si="301"/>
        <v>714.56</v>
      </c>
      <c r="J1420" s="760">
        <v>714.56</v>
      </c>
      <c r="K1420" s="131">
        <f t="shared" si="313"/>
        <v>714.56</v>
      </c>
      <c r="L1420" s="335">
        <f t="shared" si="303"/>
        <v>0</v>
      </c>
      <c r="M1420" s="446"/>
      <c r="N1420" s="446"/>
      <c r="O1420" s="446"/>
      <c r="P1420" s="446"/>
      <c r="Q1420" s="110">
        <v>1</v>
      </c>
      <c r="R1420" s="111">
        <v>714.56</v>
      </c>
      <c r="S1420" s="110"/>
      <c r="T1420" s="110"/>
      <c r="U1420" s="110">
        <v>0</v>
      </c>
      <c r="V1420" s="111">
        <v>0</v>
      </c>
      <c r="W1420" s="110"/>
      <c r="X1420" s="110"/>
      <c r="Y1420" s="110"/>
      <c r="Z1420" s="110"/>
      <c r="AA1420" s="110">
        <v>0</v>
      </c>
      <c r="AB1420" s="111">
        <v>0</v>
      </c>
      <c r="AC1420" s="110"/>
      <c r="AD1420" s="110"/>
      <c r="AE1420" s="110">
        <v>0</v>
      </c>
      <c r="AF1420" s="111">
        <v>0</v>
      </c>
      <c r="AG1420" s="110"/>
      <c r="AH1420" s="110"/>
      <c r="AI1420" s="110"/>
      <c r="AJ1420" s="110"/>
      <c r="AK1420" s="111">
        <f t="shared" si="304"/>
        <v>714.56</v>
      </c>
      <c r="AL1420" s="446">
        <f t="shared" si="305"/>
        <v>0</v>
      </c>
      <c r="AM1420" s="110">
        <f t="shared" si="306"/>
        <v>1</v>
      </c>
      <c r="AN1420" s="447">
        <f t="shared" si="314"/>
        <v>0</v>
      </c>
      <c r="AO1420"/>
      <c r="AP1420"/>
    </row>
    <row r="1421" spans="1:42" ht="66" x14ac:dyDescent="0.25">
      <c r="A1421" s="9"/>
      <c r="B1421" s="149" t="s">
        <v>2632</v>
      </c>
      <c r="C1421" s="1024"/>
      <c r="D1421" s="882">
        <v>1</v>
      </c>
      <c r="E1421" s="1025" t="s">
        <v>1747</v>
      </c>
      <c r="F1421" s="273" t="s">
        <v>3446</v>
      </c>
      <c r="G1421" s="1040" t="s">
        <v>3463</v>
      </c>
      <c r="H1421" s="273" t="s">
        <v>3462</v>
      </c>
      <c r="I1421" s="720">
        <f t="shared" si="301"/>
        <v>123.63279999999999</v>
      </c>
      <c r="J1421" s="760">
        <v>123.63279999999999</v>
      </c>
      <c r="K1421" s="131">
        <f t="shared" si="313"/>
        <v>123.63279999999999</v>
      </c>
      <c r="L1421" s="335">
        <f t="shared" si="303"/>
        <v>0</v>
      </c>
      <c r="M1421" s="446"/>
      <c r="N1421" s="446"/>
      <c r="O1421" s="446"/>
      <c r="P1421" s="446"/>
      <c r="Q1421" s="110">
        <v>1</v>
      </c>
      <c r="R1421" s="111">
        <v>123.63</v>
      </c>
      <c r="S1421" s="110"/>
      <c r="T1421" s="110"/>
      <c r="U1421" s="110">
        <v>0</v>
      </c>
      <c r="V1421" s="111">
        <v>0</v>
      </c>
      <c r="W1421" s="110"/>
      <c r="X1421" s="110"/>
      <c r="Y1421" s="110"/>
      <c r="Z1421" s="110"/>
      <c r="AA1421" s="110">
        <v>0</v>
      </c>
      <c r="AB1421" s="111">
        <v>0</v>
      </c>
      <c r="AC1421" s="110"/>
      <c r="AD1421" s="110"/>
      <c r="AE1421" s="110">
        <v>0</v>
      </c>
      <c r="AF1421" s="111">
        <v>0</v>
      </c>
      <c r="AG1421" s="110"/>
      <c r="AH1421" s="110"/>
      <c r="AI1421" s="110"/>
      <c r="AJ1421" s="110"/>
      <c r="AK1421" s="111">
        <f t="shared" si="304"/>
        <v>123.63</v>
      </c>
      <c r="AL1421" s="446">
        <f t="shared" si="305"/>
        <v>2.7999999999934744E-3</v>
      </c>
      <c r="AM1421" s="110">
        <f t="shared" si="306"/>
        <v>1</v>
      </c>
      <c r="AN1421" s="447">
        <f t="shared" si="314"/>
        <v>0</v>
      </c>
      <c r="AO1421"/>
      <c r="AP1421"/>
    </row>
    <row r="1422" spans="1:42" ht="66" x14ac:dyDescent="0.25">
      <c r="A1422" s="9"/>
      <c r="B1422" s="149" t="s">
        <v>2633</v>
      </c>
      <c r="C1422" s="1024"/>
      <c r="D1422" s="882">
        <v>1</v>
      </c>
      <c r="E1422" s="1025" t="s">
        <v>1747</v>
      </c>
      <c r="F1422" s="273" t="s">
        <v>3446</v>
      </c>
      <c r="G1422" s="1040" t="s">
        <v>3463</v>
      </c>
      <c r="H1422" s="273" t="s">
        <v>3462</v>
      </c>
      <c r="I1422" s="720">
        <f t="shared" si="301"/>
        <v>43.163599999999995</v>
      </c>
      <c r="J1422" s="760">
        <v>43.163599999999995</v>
      </c>
      <c r="K1422" s="131">
        <f t="shared" si="313"/>
        <v>43.163599999999995</v>
      </c>
      <c r="L1422" s="335">
        <f t="shared" si="303"/>
        <v>0</v>
      </c>
      <c r="M1422" s="446"/>
      <c r="N1422" s="446"/>
      <c r="O1422" s="446"/>
      <c r="P1422" s="446"/>
      <c r="Q1422" s="110">
        <v>1</v>
      </c>
      <c r="R1422" s="111">
        <v>43.16</v>
      </c>
      <c r="S1422" s="110"/>
      <c r="T1422" s="110"/>
      <c r="U1422" s="110">
        <v>0</v>
      </c>
      <c r="V1422" s="111">
        <v>0</v>
      </c>
      <c r="W1422" s="110"/>
      <c r="X1422" s="110"/>
      <c r="Y1422" s="110"/>
      <c r="Z1422" s="110"/>
      <c r="AA1422" s="110">
        <v>0</v>
      </c>
      <c r="AB1422" s="111">
        <v>0</v>
      </c>
      <c r="AC1422" s="110"/>
      <c r="AD1422" s="110"/>
      <c r="AE1422" s="110">
        <v>0</v>
      </c>
      <c r="AF1422" s="111">
        <v>0</v>
      </c>
      <c r="AG1422" s="110"/>
      <c r="AH1422" s="110"/>
      <c r="AI1422" s="110"/>
      <c r="AJ1422" s="110"/>
      <c r="AK1422" s="111">
        <f t="shared" si="304"/>
        <v>43.16</v>
      </c>
      <c r="AL1422" s="446">
        <f t="shared" si="305"/>
        <v>3.5999999999987153E-3</v>
      </c>
      <c r="AM1422" s="110">
        <f t="shared" si="306"/>
        <v>1</v>
      </c>
      <c r="AN1422" s="447">
        <f t="shared" si="314"/>
        <v>0</v>
      </c>
      <c r="AO1422"/>
      <c r="AP1422"/>
    </row>
    <row r="1423" spans="1:42" ht="66" x14ac:dyDescent="0.25">
      <c r="A1423" s="9"/>
      <c r="B1423" s="532" t="s">
        <v>1424</v>
      </c>
      <c r="C1423" s="1024"/>
      <c r="D1423" s="882">
        <v>1</v>
      </c>
      <c r="E1423" s="1025" t="s">
        <v>2599</v>
      </c>
      <c r="F1423" s="273" t="s">
        <v>3446</v>
      </c>
      <c r="G1423" s="1040" t="s">
        <v>3463</v>
      </c>
      <c r="H1423" s="273" t="s">
        <v>3462</v>
      </c>
      <c r="I1423" s="720">
        <f t="shared" si="301"/>
        <v>140.60359999999997</v>
      </c>
      <c r="J1423" s="782">
        <v>140.60359999999997</v>
      </c>
      <c r="K1423" s="131">
        <f t="shared" si="313"/>
        <v>140.60359999999997</v>
      </c>
      <c r="L1423" s="335">
        <f t="shared" si="303"/>
        <v>0</v>
      </c>
      <c r="M1423" s="446"/>
      <c r="N1423" s="446"/>
      <c r="O1423" s="446"/>
      <c r="P1423" s="446"/>
      <c r="Q1423" s="110">
        <v>1</v>
      </c>
      <c r="R1423" s="111">
        <v>140.6</v>
      </c>
      <c r="S1423" s="110"/>
      <c r="T1423" s="110"/>
      <c r="U1423" s="110">
        <v>0</v>
      </c>
      <c r="V1423" s="111">
        <v>0</v>
      </c>
      <c r="W1423" s="110"/>
      <c r="X1423" s="110"/>
      <c r="Y1423" s="110"/>
      <c r="Z1423" s="110"/>
      <c r="AA1423" s="110">
        <v>0</v>
      </c>
      <c r="AB1423" s="111">
        <v>0</v>
      </c>
      <c r="AC1423" s="110"/>
      <c r="AD1423" s="110"/>
      <c r="AE1423" s="110">
        <v>0</v>
      </c>
      <c r="AF1423" s="111">
        <v>0</v>
      </c>
      <c r="AG1423" s="110"/>
      <c r="AH1423" s="110"/>
      <c r="AI1423" s="110"/>
      <c r="AJ1423" s="110"/>
      <c r="AK1423" s="111">
        <f t="shared" si="304"/>
        <v>140.6</v>
      </c>
      <c r="AL1423" s="446">
        <f t="shared" si="305"/>
        <v>3.5999999999773991E-3</v>
      </c>
      <c r="AM1423" s="110">
        <f t="shared" si="306"/>
        <v>1</v>
      </c>
      <c r="AN1423" s="447">
        <f t="shared" si="314"/>
        <v>0</v>
      </c>
      <c r="AO1423"/>
      <c r="AP1423"/>
    </row>
    <row r="1424" spans="1:42" ht="66" x14ac:dyDescent="0.25">
      <c r="A1424" s="9"/>
      <c r="B1424" s="532" t="s">
        <v>2634</v>
      </c>
      <c r="C1424" s="1024"/>
      <c r="D1424" s="882">
        <v>1</v>
      </c>
      <c r="E1424" s="1025" t="s">
        <v>2599</v>
      </c>
      <c r="F1424" s="273" t="s">
        <v>3446</v>
      </c>
      <c r="G1424" s="1040" t="s">
        <v>3463</v>
      </c>
      <c r="H1424" s="273" t="s">
        <v>3462</v>
      </c>
      <c r="I1424" s="720">
        <f t="shared" si="301"/>
        <v>76.559999999999988</v>
      </c>
      <c r="J1424" s="756">
        <v>76.559999999999988</v>
      </c>
      <c r="K1424" s="131">
        <f t="shared" si="313"/>
        <v>76.559999999999988</v>
      </c>
      <c r="L1424" s="335">
        <f t="shared" si="303"/>
        <v>0</v>
      </c>
      <c r="M1424" s="446"/>
      <c r="N1424" s="446"/>
      <c r="O1424" s="446"/>
      <c r="P1424" s="446"/>
      <c r="Q1424" s="110">
        <v>1</v>
      </c>
      <c r="R1424" s="111">
        <v>76.56</v>
      </c>
      <c r="S1424" s="110"/>
      <c r="T1424" s="110"/>
      <c r="U1424" s="110">
        <v>0</v>
      </c>
      <c r="V1424" s="111">
        <v>0</v>
      </c>
      <c r="W1424" s="110"/>
      <c r="X1424" s="110"/>
      <c r="Y1424" s="110"/>
      <c r="Z1424" s="110"/>
      <c r="AA1424" s="110">
        <v>0</v>
      </c>
      <c r="AB1424" s="111">
        <v>0</v>
      </c>
      <c r="AC1424" s="110"/>
      <c r="AD1424" s="110"/>
      <c r="AE1424" s="110">
        <v>0</v>
      </c>
      <c r="AF1424" s="111">
        <v>0</v>
      </c>
      <c r="AG1424" s="110"/>
      <c r="AH1424" s="110"/>
      <c r="AI1424" s="110"/>
      <c r="AJ1424" s="110"/>
      <c r="AK1424" s="111">
        <f t="shared" si="304"/>
        <v>76.56</v>
      </c>
      <c r="AL1424" s="446">
        <f t="shared" si="305"/>
        <v>0</v>
      </c>
      <c r="AM1424" s="110">
        <f t="shared" si="306"/>
        <v>1</v>
      </c>
      <c r="AN1424" s="447">
        <f t="shared" si="314"/>
        <v>0</v>
      </c>
      <c r="AO1424"/>
      <c r="AP1424"/>
    </row>
    <row r="1425" spans="1:42" ht="66" x14ac:dyDescent="0.25">
      <c r="A1425" s="9"/>
      <c r="B1425" s="533" t="s">
        <v>2635</v>
      </c>
      <c r="C1425" s="1024"/>
      <c r="D1425" s="880">
        <v>1</v>
      </c>
      <c r="E1425" s="1025" t="s">
        <v>2599</v>
      </c>
      <c r="F1425" s="273" t="s">
        <v>3446</v>
      </c>
      <c r="G1425" s="1040" t="s">
        <v>3463</v>
      </c>
      <c r="H1425" s="273" t="s">
        <v>3462</v>
      </c>
      <c r="I1425" s="720">
        <f t="shared" si="301"/>
        <v>102.08</v>
      </c>
      <c r="J1425" s="756">
        <v>102.08</v>
      </c>
      <c r="K1425" s="131">
        <f t="shared" si="313"/>
        <v>102.08</v>
      </c>
      <c r="L1425" s="335">
        <f t="shared" si="303"/>
        <v>0</v>
      </c>
      <c r="M1425" s="446"/>
      <c r="N1425" s="446"/>
      <c r="O1425" s="446"/>
      <c r="P1425" s="446"/>
      <c r="Q1425" s="110">
        <v>1</v>
      </c>
      <c r="R1425" s="111">
        <v>102.08</v>
      </c>
      <c r="S1425" s="110"/>
      <c r="T1425" s="110"/>
      <c r="U1425" s="110">
        <v>0</v>
      </c>
      <c r="V1425" s="111">
        <v>0</v>
      </c>
      <c r="W1425" s="110"/>
      <c r="X1425" s="110"/>
      <c r="Y1425" s="110"/>
      <c r="Z1425" s="110"/>
      <c r="AA1425" s="110">
        <v>0</v>
      </c>
      <c r="AB1425" s="111">
        <v>0</v>
      </c>
      <c r="AC1425" s="110"/>
      <c r="AD1425" s="110"/>
      <c r="AE1425" s="110">
        <v>0</v>
      </c>
      <c r="AF1425" s="111">
        <v>0</v>
      </c>
      <c r="AG1425" s="110"/>
      <c r="AH1425" s="110"/>
      <c r="AI1425" s="110"/>
      <c r="AJ1425" s="110"/>
      <c r="AK1425" s="111">
        <f t="shared" si="304"/>
        <v>102.08</v>
      </c>
      <c r="AL1425" s="446">
        <f t="shared" si="305"/>
        <v>0</v>
      </c>
      <c r="AM1425" s="110">
        <f t="shared" si="306"/>
        <v>1</v>
      </c>
      <c r="AN1425" s="447">
        <f t="shared" si="314"/>
        <v>0</v>
      </c>
      <c r="AO1425"/>
      <c r="AP1425"/>
    </row>
    <row r="1426" spans="1:42" ht="66" x14ac:dyDescent="0.25">
      <c r="A1426" s="9"/>
      <c r="B1426" s="528" t="s">
        <v>2942</v>
      </c>
      <c r="C1426" s="1024"/>
      <c r="D1426" s="882">
        <v>70</v>
      </c>
      <c r="E1426" s="251" t="s">
        <v>1766</v>
      </c>
      <c r="F1426" s="273" t="s">
        <v>3446</v>
      </c>
      <c r="G1426" s="1040" t="s">
        <v>3463</v>
      </c>
      <c r="H1426" s="273" t="s">
        <v>3462</v>
      </c>
      <c r="I1426" s="720">
        <f t="shared" si="301"/>
        <v>312.76</v>
      </c>
      <c r="J1426" s="756">
        <v>21893.200000000001</v>
      </c>
      <c r="K1426" s="131">
        <f t="shared" si="313"/>
        <v>21893.200000000001</v>
      </c>
      <c r="L1426" s="335">
        <f t="shared" si="303"/>
        <v>0</v>
      </c>
      <c r="M1426" s="446"/>
      <c r="N1426" s="446"/>
      <c r="O1426" s="446"/>
      <c r="P1426" s="446"/>
      <c r="Q1426" s="110">
        <v>18</v>
      </c>
      <c r="R1426" s="111">
        <f t="shared" si="307"/>
        <v>5473.3</v>
      </c>
      <c r="S1426" s="110"/>
      <c r="T1426" s="110"/>
      <c r="U1426" s="110">
        <v>18</v>
      </c>
      <c r="V1426" s="111">
        <f t="shared" si="308"/>
        <v>5473.3</v>
      </c>
      <c r="W1426" s="110"/>
      <c r="X1426" s="110"/>
      <c r="Y1426" s="110"/>
      <c r="Z1426" s="110"/>
      <c r="AA1426" s="110">
        <v>17</v>
      </c>
      <c r="AB1426" s="111">
        <f t="shared" si="309"/>
        <v>5473.3</v>
      </c>
      <c r="AC1426" s="110"/>
      <c r="AD1426" s="110"/>
      <c r="AE1426" s="110">
        <v>17</v>
      </c>
      <c r="AF1426" s="111">
        <f t="shared" si="310"/>
        <v>5473.3</v>
      </c>
      <c r="AG1426" s="110"/>
      <c r="AH1426" s="110"/>
      <c r="AI1426" s="110"/>
      <c r="AJ1426" s="110"/>
      <c r="AK1426" s="111">
        <f t="shared" si="304"/>
        <v>21893.200000000001</v>
      </c>
      <c r="AL1426" s="446">
        <f t="shared" si="305"/>
        <v>0</v>
      </c>
      <c r="AM1426" s="110">
        <f t="shared" si="306"/>
        <v>70</v>
      </c>
      <c r="AN1426" s="447">
        <f t="shared" si="314"/>
        <v>0</v>
      </c>
      <c r="AO1426"/>
      <c r="AP1426"/>
    </row>
    <row r="1427" spans="1:42" ht="66" x14ac:dyDescent="0.25">
      <c r="A1427" s="9"/>
      <c r="B1427" s="528" t="s">
        <v>2943</v>
      </c>
      <c r="C1427" s="1024"/>
      <c r="D1427" s="882">
        <v>50</v>
      </c>
      <c r="E1427" s="251" t="s">
        <v>1766</v>
      </c>
      <c r="F1427" s="273" t="s">
        <v>3446</v>
      </c>
      <c r="G1427" s="1040" t="s">
        <v>3463</v>
      </c>
      <c r="H1427" s="273" t="s">
        <v>3462</v>
      </c>
      <c r="I1427" s="720">
        <f t="shared" si="301"/>
        <v>468.91</v>
      </c>
      <c r="J1427" s="756">
        <v>23445.5</v>
      </c>
      <c r="K1427" s="131">
        <f t="shared" si="313"/>
        <v>23445.5</v>
      </c>
      <c r="L1427" s="335">
        <f t="shared" si="303"/>
        <v>0</v>
      </c>
      <c r="M1427" s="446"/>
      <c r="N1427" s="446"/>
      <c r="O1427" s="446"/>
      <c r="P1427" s="446"/>
      <c r="Q1427" s="110">
        <v>13</v>
      </c>
      <c r="R1427" s="111">
        <f t="shared" si="307"/>
        <v>5861.375</v>
      </c>
      <c r="S1427" s="110"/>
      <c r="T1427" s="110"/>
      <c r="U1427" s="110">
        <v>12</v>
      </c>
      <c r="V1427" s="111">
        <f t="shared" si="308"/>
        <v>5861.375</v>
      </c>
      <c r="W1427" s="110"/>
      <c r="X1427" s="110"/>
      <c r="Y1427" s="110"/>
      <c r="Z1427" s="110"/>
      <c r="AA1427" s="110">
        <v>12</v>
      </c>
      <c r="AB1427" s="111">
        <f t="shared" si="309"/>
        <v>5861.375</v>
      </c>
      <c r="AC1427" s="110"/>
      <c r="AD1427" s="110"/>
      <c r="AE1427" s="110">
        <v>13</v>
      </c>
      <c r="AF1427" s="111">
        <f t="shared" si="310"/>
        <v>5861.375</v>
      </c>
      <c r="AG1427" s="110"/>
      <c r="AH1427" s="110"/>
      <c r="AI1427" s="110"/>
      <c r="AJ1427" s="110"/>
      <c r="AK1427" s="111">
        <f t="shared" si="304"/>
        <v>23445.5</v>
      </c>
      <c r="AL1427" s="446">
        <f t="shared" si="305"/>
        <v>0</v>
      </c>
      <c r="AM1427" s="110">
        <f t="shared" si="306"/>
        <v>50</v>
      </c>
      <c r="AN1427" s="447">
        <f t="shared" si="314"/>
        <v>0</v>
      </c>
      <c r="AO1427"/>
      <c r="AP1427"/>
    </row>
    <row r="1428" spans="1:42" ht="66" x14ac:dyDescent="0.25">
      <c r="A1428" s="9"/>
      <c r="B1428" s="528" t="s">
        <v>2944</v>
      </c>
      <c r="C1428" s="1024"/>
      <c r="D1428" s="882">
        <v>50</v>
      </c>
      <c r="E1428" s="251" t="s">
        <v>1766</v>
      </c>
      <c r="F1428" s="273" t="s">
        <v>3446</v>
      </c>
      <c r="G1428" s="1040" t="s">
        <v>3463</v>
      </c>
      <c r="H1428" s="273" t="s">
        <v>3462</v>
      </c>
      <c r="I1428" s="720">
        <f t="shared" si="301"/>
        <v>233.76</v>
      </c>
      <c r="J1428" s="756">
        <v>11688</v>
      </c>
      <c r="K1428" s="131">
        <f t="shared" si="313"/>
        <v>11688</v>
      </c>
      <c r="L1428" s="335">
        <f t="shared" si="303"/>
        <v>0</v>
      </c>
      <c r="M1428" s="446"/>
      <c r="N1428" s="446"/>
      <c r="O1428" s="446"/>
      <c r="P1428" s="446"/>
      <c r="Q1428" s="110">
        <v>13</v>
      </c>
      <c r="R1428" s="111">
        <f t="shared" si="307"/>
        <v>2922</v>
      </c>
      <c r="S1428" s="110"/>
      <c r="T1428" s="110"/>
      <c r="U1428" s="110">
        <v>12</v>
      </c>
      <c r="V1428" s="111">
        <f t="shared" si="308"/>
        <v>2922</v>
      </c>
      <c r="W1428" s="110"/>
      <c r="X1428" s="110"/>
      <c r="Y1428" s="110"/>
      <c r="Z1428" s="110"/>
      <c r="AA1428" s="110">
        <v>12</v>
      </c>
      <c r="AB1428" s="111">
        <f t="shared" si="309"/>
        <v>2922</v>
      </c>
      <c r="AC1428" s="110"/>
      <c r="AD1428" s="110"/>
      <c r="AE1428" s="110">
        <v>13</v>
      </c>
      <c r="AF1428" s="111">
        <f t="shared" si="310"/>
        <v>2922</v>
      </c>
      <c r="AG1428" s="110"/>
      <c r="AH1428" s="110"/>
      <c r="AI1428" s="110"/>
      <c r="AJ1428" s="110"/>
      <c r="AK1428" s="111">
        <f t="shared" si="304"/>
        <v>11688</v>
      </c>
      <c r="AL1428" s="446">
        <f t="shared" si="305"/>
        <v>0</v>
      </c>
      <c r="AM1428" s="110">
        <f t="shared" si="306"/>
        <v>50</v>
      </c>
      <c r="AN1428" s="447">
        <f t="shared" si="314"/>
        <v>0</v>
      </c>
      <c r="AO1428"/>
      <c r="AP1428"/>
    </row>
    <row r="1429" spans="1:42" x14ac:dyDescent="0.25">
      <c r="A1429" s="315">
        <v>21603</v>
      </c>
      <c r="B1429" s="500" t="s">
        <v>198</v>
      </c>
      <c r="C1429" s="316"/>
      <c r="D1429" s="886"/>
      <c r="E1429" s="316"/>
      <c r="F1429" s="363"/>
      <c r="G1429" s="363"/>
      <c r="H1429" s="363"/>
      <c r="I1429" s="724"/>
      <c r="J1429" s="781"/>
      <c r="K1429" s="131">
        <f t="shared" si="313"/>
        <v>0</v>
      </c>
      <c r="L1429" s="335">
        <f t="shared" si="303"/>
        <v>0</v>
      </c>
      <c r="M1429" s="449"/>
      <c r="N1429" s="449"/>
      <c r="O1429" s="449"/>
      <c r="P1429" s="449"/>
      <c r="Q1429" s="448">
        <f t="shared" si="311"/>
        <v>0</v>
      </c>
      <c r="R1429" s="317">
        <f t="shared" si="307"/>
        <v>0</v>
      </c>
      <c r="S1429" s="448"/>
      <c r="T1429" s="448"/>
      <c r="U1429" s="448">
        <f t="shared" si="312"/>
        <v>0</v>
      </c>
      <c r="V1429" s="317">
        <f t="shared" si="308"/>
        <v>0</v>
      </c>
      <c r="W1429" s="448"/>
      <c r="X1429" s="448"/>
      <c r="Y1429" s="448"/>
      <c r="Z1429" s="448"/>
      <c r="AA1429" s="448">
        <f t="shared" si="302"/>
        <v>0</v>
      </c>
      <c r="AB1429" s="317">
        <f t="shared" si="309"/>
        <v>0</v>
      </c>
      <c r="AC1429" s="448"/>
      <c r="AD1429" s="448"/>
      <c r="AE1429" s="448">
        <f t="shared" si="302"/>
        <v>0</v>
      </c>
      <c r="AF1429" s="317">
        <f t="shared" si="310"/>
        <v>0</v>
      </c>
      <c r="AG1429" s="448"/>
      <c r="AH1429" s="448"/>
      <c r="AI1429" s="448"/>
      <c r="AJ1429" s="448"/>
      <c r="AK1429" s="317">
        <f t="shared" si="304"/>
        <v>0</v>
      </c>
      <c r="AL1429" s="449">
        <f t="shared" si="305"/>
        <v>0</v>
      </c>
      <c r="AM1429" s="448">
        <f t="shared" si="306"/>
        <v>0</v>
      </c>
      <c r="AN1429" s="450">
        <f t="shared" si="314"/>
        <v>0</v>
      </c>
      <c r="AO1429" s="436">
        <f>SUM(J1430:J1434)</f>
        <v>13720.000000000002</v>
      </c>
      <c r="AP1429" s="111"/>
    </row>
    <row r="1430" spans="1:42" ht="66" x14ac:dyDescent="0.25">
      <c r="A1430" s="1024"/>
      <c r="B1430" s="44" t="s">
        <v>199</v>
      </c>
      <c r="C1430" s="180"/>
      <c r="D1430" s="872">
        <f>265+45+100+40+100</f>
        <v>550</v>
      </c>
      <c r="E1430" s="265" t="s">
        <v>1826</v>
      </c>
      <c r="F1430" s="273" t="s">
        <v>3446</v>
      </c>
      <c r="G1430" s="1033"/>
      <c r="H1430" s="273" t="s">
        <v>3462</v>
      </c>
      <c r="I1430" s="727">
        <f>+J1430/D1430</f>
        <v>19.904836363636363</v>
      </c>
      <c r="J1430" s="776">
        <f>5114.5+970.82+2164.1+768+1930.24</f>
        <v>10947.66</v>
      </c>
      <c r="K1430" s="131">
        <f t="shared" si="313"/>
        <v>10947.66</v>
      </c>
      <c r="L1430" s="335">
        <f t="shared" si="303"/>
        <v>0</v>
      </c>
      <c r="M1430" s="446"/>
      <c r="N1430" s="446"/>
      <c r="O1430" s="446"/>
      <c r="P1430" s="446"/>
      <c r="Q1430" s="110">
        <v>140</v>
      </c>
      <c r="R1430" s="111">
        <f t="shared" si="307"/>
        <v>2736.915</v>
      </c>
      <c r="S1430" s="110"/>
      <c r="T1430" s="110"/>
      <c r="U1430" s="110">
        <v>150</v>
      </c>
      <c r="V1430" s="111">
        <f t="shared" si="308"/>
        <v>2736.915</v>
      </c>
      <c r="W1430" s="110"/>
      <c r="X1430" s="110"/>
      <c r="Y1430" s="110"/>
      <c r="Z1430" s="110"/>
      <c r="AA1430" s="110">
        <v>140</v>
      </c>
      <c r="AB1430" s="111">
        <f t="shared" si="309"/>
        <v>2736.915</v>
      </c>
      <c r="AC1430" s="110"/>
      <c r="AD1430" s="110"/>
      <c r="AE1430" s="110">
        <v>120</v>
      </c>
      <c r="AF1430" s="111">
        <f t="shared" si="310"/>
        <v>2736.915</v>
      </c>
      <c r="AG1430" s="110"/>
      <c r="AH1430" s="110"/>
      <c r="AI1430" s="110"/>
      <c r="AJ1430" s="110"/>
      <c r="AK1430" s="111">
        <f t="shared" si="304"/>
        <v>10947.66</v>
      </c>
      <c r="AL1430" s="446">
        <f t="shared" si="305"/>
        <v>0</v>
      </c>
      <c r="AM1430" s="110">
        <f t="shared" si="306"/>
        <v>550</v>
      </c>
      <c r="AN1430" s="447">
        <f t="shared" si="314"/>
        <v>0</v>
      </c>
      <c r="AO1430"/>
      <c r="AP1430"/>
    </row>
    <row r="1431" spans="1:42" ht="66" x14ac:dyDescent="0.25">
      <c r="A1431" s="1024"/>
      <c r="B1431" s="501" t="s">
        <v>187</v>
      </c>
      <c r="C1431" s="1024"/>
      <c r="D1431" s="869">
        <f>20</f>
        <v>20</v>
      </c>
      <c r="E1431" s="1027" t="s">
        <v>1721</v>
      </c>
      <c r="F1431" s="273" t="s">
        <v>3446</v>
      </c>
      <c r="G1431" s="273"/>
      <c r="H1431" s="273" t="s">
        <v>3462</v>
      </c>
      <c r="I1431" s="720">
        <f>+J1431/D1431</f>
        <v>43.63</v>
      </c>
      <c r="J1431" s="756">
        <f>872.6</f>
        <v>872.6</v>
      </c>
      <c r="K1431" s="131">
        <f t="shared" si="313"/>
        <v>872.6</v>
      </c>
      <c r="L1431" s="335">
        <f t="shared" si="303"/>
        <v>0</v>
      </c>
      <c r="M1431" s="446"/>
      <c r="N1431" s="446"/>
      <c r="O1431" s="446"/>
      <c r="P1431" s="446"/>
      <c r="Q1431" s="110">
        <f t="shared" si="311"/>
        <v>5</v>
      </c>
      <c r="R1431" s="111">
        <f t="shared" si="307"/>
        <v>218.15</v>
      </c>
      <c r="S1431" s="110"/>
      <c r="T1431" s="110"/>
      <c r="U1431" s="110">
        <f t="shared" si="312"/>
        <v>5</v>
      </c>
      <c r="V1431" s="111">
        <f t="shared" si="308"/>
        <v>218.15</v>
      </c>
      <c r="W1431" s="110"/>
      <c r="X1431" s="110"/>
      <c r="Y1431" s="110"/>
      <c r="Z1431" s="110"/>
      <c r="AA1431" s="110">
        <f t="shared" si="302"/>
        <v>5</v>
      </c>
      <c r="AB1431" s="111">
        <f t="shared" si="309"/>
        <v>218.15</v>
      </c>
      <c r="AC1431" s="110"/>
      <c r="AD1431" s="110"/>
      <c r="AE1431" s="110">
        <f t="shared" si="302"/>
        <v>5</v>
      </c>
      <c r="AF1431" s="111">
        <f t="shared" si="310"/>
        <v>218.15</v>
      </c>
      <c r="AG1431" s="110"/>
      <c r="AH1431" s="110"/>
      <c r="AI1431" s="110"/>
      <c r="AJ1431" s="110"/>
      <c r="AK1431" s="111">
        <f t="shared" si="304"/>
        <v>872.6</v>
      </c>
      <c r="AL1431" s="446">
        <f t="shared" si="305"/>
        <v>0</v>
      </c>
      <c r="AM1431" s="110">
        <f t="shared" si="306"/>
        <v>20</v>
      </c>
      <c r="AN1431" s="447">
        <f t="shared" si="314"/>
        <v>0</v>
      </c>
      <c r="AO1431"/>
      <c r="AP1431"/>
    </row>
    <row r="1432" spans="1:42" ht="66" x14ac:dyDescent="0.25">
      <c r="A1432" s="1024"/>
      <c r="B1432" s="501" t="s">
        <v>1169</v>
      </c>
      <c r="C1432" s="1024"/>
      <c r="D1432" s="869">
        <f>10</f>
        <v>10</v>
      </c>
      <c r="E1432" s="1027" t="s">
        <v>1721</v>
      </c>
      <c r="F1432" s="273" t="s">
        <v>3446</v>
      </c>
      <c r="G1432" s="273"/>
      <c r="H1432" s="273" t="s">
        <v>3462</v>
      </c>
      <c r="I1432" s="720">
        <f>+J1432/D1432</f>
        <v>53.796000000000006</v>
      </c>
      <c r="J1432" s="756">
        <f>244.53+293.43</f>
        <v>537.96</v>
      </c>
      <c r="K1432" s="131">
        <f t="shared" si="313"/>
        <v>537.96</v>
      </c>
      <c r="L1432" s="335">
        <f t="shared" si="303"/>
        <v>0</v>
      </c>
      <c r="M1432" s="446"/>
      <c r="N1432" s="446"/>
      <c r="O1432" s="446"/>
      <c r="P1432" s="446"/>
      <c r="Q1432" s="130">
        <v>3</v>
      </c>
      <c r="R1432" s="111">
        <f t="shared" si="307"/>
        <v>134.49</v>
      </c>
      <c r="S1432" s="110"/>
      <c r="T1432" s="110"/>
      <c r="U1432" s="130">
        <v>3</v>
      </c>
      <c r="V1432" s="111">
        <f t="shared" si="308"/>
        <v>134.49</v>
      </c>
      <c r="W1432" s="110"/>
      <c r="X1432" s="110"/>
      <c r="Y1432" s="110"/>
      <c r="Z1432" s="110"/>
      <c r="AA1432" s="130">
        <v>2</v>
      </c>
      <c r="AB1432" s="111">
        <f t="shared" si="309"/>
        <v>134.49</v>
      </c>
      <c r="AC1432" s="110"/>
      <c r="AD1432" s="110"/>
      <c r="AE1432" s="130">
        <v>2</v>
      </c>
      <c r="AF1432" s="111">
        <f t="shared" si="310"/>
        <v>134.49</v>
      </c>
      <c r="AG1432" s="110"/>
      <c r="AH1432" s="110"/>
      <c r="AI1432" s="110"/>
      <c r="AJ1432" s="110"/>
      <c r="AK1432" s="111">
        <f t="shared" si="304"/>
        <v>537.96</v>
      </c>
      <c r="AL1432" s="446">
        <f t="shared" si="305"/>
        <v>0</v>
      </c>
      <c r="AM1432" s="110">
        <f t="shared" si="306"/>
        <v>10</v>
      </c>
      <c r="AN1432" s="447">
        <f t="shared" si="314"/>
        <v>0</v>
      </c>
      <c r="AO1432"/>
      <c r="AP1432"/>
    </row>
    <row r="1433" spans="1:42" ht="66" x14ac:dyDescent="0.25">
      <c r="A1433" s="1024"/>
      <c r="B1433" s="534" t="s">
        <v>1170</v>
      </c>
      <c r="C1433" s="1024"/>
      <c r="D1433" s="869">
        <f>6+1</f>
        <v>7</v>
      </c>
      <c r="E1433" s="1027" t="s">
        <v>1721</v>
      </c>
      <c r="F1433" s="273" t="s">
        <v>3446</v>
      </c>
      <c r="G1433" s="273"/>
      <c r="H1433" s="273" t="s">
        <v>3462</v>
      </c>
      <c r="I1433" s="720">
        <f>+J1433/D1433</f>
        <v>98.44285714285715</v>
      </c>
      <c r="J1433" s="756">
        <f>600+89.1</f>
        <v>689.1</v>
      </c>
      <c r="K1433" s="131">
        <f t="shared" si="313"/>
        <v>689.1</v>
      </c>
      <c r="L1433" s="335">
        <f t="shared" si="303"/>
        <v>0</v>
      </c>
      <c r="M1433" s="446"/>
      <c r="N1433" s="446"/>
      <c r="O1433" s="446"/>
      <c r="P1433" s="446"/>
      <c r="Q1433" s="130">
        <v>2</v>
      </c>
      <c r="R1433" s="111">
        <f t="shared" si="307"/>
        <v>172.27500000000001</v>
      </c>
      <c r="S1433" s="110"/>
      <c r="T1433" s="110"/>
      <c r="U1433" s="130">
        <v>2</v>
      </c>
      <c r="V1433" s="111">
        <f t="shared" si="308"/>
        <v>172.27500000000001</v>
      </c>
      <c r="W1433" s="110"/>
      <c r="X1433" s="110"/>
      <c r="Y1433" s="110"/>
      <c r="Z1433" s="110"/>
      <c r="AA1433" s="130">
        <v>2</v>
      </c>
      <c r="AB1433" s="111">
        <f t="shared" si="309"/>
        <v>172.27500000000001</v>
      </c>
      <c r="AC1433" s="110"/>
      <c r="AD1433" s="110"/>
      <c r="AE1433" s="130">
        <v>1</v>
      </c>
      <c r="AF1433" s="111">
        <f t="shared" si="310"/>
        <v>172.27500000000001</v>
      </c>
      <c r="AG1433" s="110"/>
      <c r="AH1433" s="110"/>
      <c r="AI1433" s="110"/>
      <c r="AJ1433" s="110"/>
      <c r="AK1433" s="111">
        <f t="shared" si="304"/>
        <v>689.1</v>
      </c>
      <c r="AL1433" s="446">
        <f t="shared" si="305"/>
        <v>0</v>
      </c>
      <c r="AM1433" s="110">
        <f t="shared" si="306"/>
        <v>7</v>
      </c>
      <c r="AN1433" s="447">
        <f t="shared" si="314"/>
        <v>0</v>
      </c>
      <c r="AO1433"/>
      <c r="AP1433"/>
    </row>
    <row r="1434" spans="1:42" ht="66" x14ac:dyDescent="0.25">
      <c r="A1434" s="1024"/>
      <c r="B1434" s="45" t="s">
        <v>1529</v>
      </c>
      <c r="C1434" s="1024"/>
      <c r="D1434" s="869">
        <v>30</v>
      </c>
      <c r="E1434" s="1027" t="s">
        <v>1721</v>
      </c>
      <c r="F1434" s="273" t="s">
        <v>3446</v>
      </c>
      <c r="G1434" s="273"/>
      <c r="H1434" s="273" t="s">
        <v>3462</v>
      </c>
      <c r="I1434" s="720">
        <f>+J1434/D1434</f>
        <v>22.422666666666665</v>
      </c>
      <c r="J1434" s="756">
        <v>672.68</v>
      </c>
      <c r="K1434" s="131">
        <f t="shared" si="313"/>
        <v>672.68</v>
      </c>
      <c r="L1434" s="335">
        <f t="shared" si="303"/>
        <v>0</v>
      </c>
      <c r="M1434" s="446"/>
      <c r="N1434" s="446"/>
      <c r="O1434" s="446"/>
      <c r="P1434" s="446"/>
      <c r="Q1434" s="110">
        <v>8</v>
      </c>
      <c r="R1434" s="111">
        <f t="shared" si="307"/>
        <v>168.17</v>
      </c>
      <c r="S1434" s="110"/>
      <c r="T1434" s="110"/>
      <c r="U1434" s="110">
        <v>8</v>
      </c>
      <c r="V1434" s="111">
        <f t="shared" si="308"/>
        <v>168.17</v>
      </c>
      <c r="W1434" s="110"/>
      <c r="X1434" s="110"/>
      <c r="Y1434" s="110"/>
      <c r="Z1434" s="110"/>
      <c r="AA1434" s="110">
        <v>7</v>
      </c>
      <c r="AB1434" s="111">
        <f t="shared" si="309"/>
        <v>168.17</v>
      </c>
      <c r="AC1434" s="110"/>
      <c r="AD1434" s="110"/>
      <c r="AE1434" s="110">
        <v>7</v>
      </c>
      <c r="AF1434" s="111">
        <f t="shared" si="310"/>
        <v>168.17</v>
      </c>
      <c r="AG1434" s="110"/>
      <c r="AH1434" s="110"/>
      <c r="AI1434" s="110"/>
      <c r="AJ1434" s="110"/>
      <c r="AK1434" s="111">
        <f t="shared" si="304"/>
        <v>672.68</v>
      </c>
      <c r="AL1434" s="446">
        <f t="shared" si="305"/>
        <v>0</v>
      </c>
      <c r="AM1434" s="110">
        <f t="shared" si="306"/>
        <v>30</v>
      </c>
      <c r="AN1434" s="447">
        <f t="shared" si="314"/>
        <v>0</v>
      </c>
      <c r="AO1434"/>
      <c r="AP1434"/>
    </row>
    <row r="1435" spans="1:42" x14ac:dyDescent="0.25">
      <c r="A1435" s="305">
        <v>217</v>
      </c>
      <c r="B1435" s="470" t="s">
        <v>200</v>
      </c>
      <c r="C1435" s="306"/>
      <c r="D1435" s="900"/>
      <c r="E1435" s="306"/>
      <c r="F1435" s="364"/>
      <c r="G1435" s="364"/>
      <c r="H1435" s="364"/>
      <c r="I1435" s="716"/>
      <c r="J1435" s="778"/>
      <c r="K1435" s="131">
        <f t="shared" si="313"/>
        <v>0</v>
      </c>
      <c r="L1435" s="335">
        <f t="shared" si="303"/>
        <v>0</v>
      </c>
      <c r="M1435" s="451"/>
      <c r="N1435" s="451"/>
      <c r="O1435" s="451"/>
      <c r="P1435" s="451"/>
      <c r="Q1435" s="386">
        <f t="shared" ref="Q1435:Q1498" si="315">+$D1435/4</f>
        <v>0</v>
      </c>
      <c r="R1435" s="309">
        <f t="shared" si="307"/>
        <v>0</v>
      </c>
      <c r="S1435" s="386"/>
      <c r="T1435" s="386"/>
      <c r="U1435" s="386">
        <f t="shared" ref="U1435:U1498" si="316">+$D1435/4</f>
        <v>0</v>
      </c>
      <c r="V1435" s="309">
        <f t="shared" si="308"/>
        <v>0</v>
      </c>
      <c r="W1435" s="386"/>
      <c r="X1435" s="386"/>
      <c r="Y1435" s="386"/>
      <c r="Z1435" s="386"/>
      <c r="AA1435" s="386">
        <f t="shared" ref="AA1435:AE1497" si="317">+$D1435/4</f>
        <v>0</v>
      </c>
      <c r="AB1435" s="309">
        <f t="shared" si="309"/>
        <v>0</v>
      </c>
      <c r="AC1435" s="386"/>
      <c r="AD1435" s="386"/>
      <c r="AE1435" s="386">
        <f t="shared" si="317"/>
        <v>0</v>
      </c>
      <c r="AF1435" s="309">
        <f t="shared" si="310"/>
        <v>0</v>
      </c>
      <c r="AG1435" s="386"/>
      <c r="AH1435" s="386"/>
      <c r="AI1435" s="386"/>
      <c r="AJ1435" s="386"/>
      <c r="AK1435" s="309">
        <f t="shared" si="304"/>
        <v>0</v>
      </c>
      <c r="AL1435" s="451">
        <f t="shared" si="305"/>
        <v>0</v>
      </c>
      <c r="AM1435" s="386">
        <f t="shared" si="306"/>
        <v>0</v>
      </c>
      <c r="AN1435" s="452">
        <f t="shared" si="314"/>
        <v>0</v>
      </c>
      <c r="AO1435" s="108"/>
      <c r="AP1435"/>
    </row>
    <row r="1436" spans="1:42" x14ac:dyDescent="0.25">
      <c r="A1436" s="315">
        <v>21701</v>
      </c>
      <c r="B1436" s="500" t="s">
        <v>201</v>
      </c>
      <c r="C1436" s="316"/>
      <c r="D1436" s="886"/>
      <c r="E1436" s="316"/>
      <c r="F1436" s="363"/>
      <c r="G1436" s="363"/>
      <c r="H1436" s="363"/>
      <c r="I1436" s="724"/>
      <c r="J1436" s="777"/>
      <c r="K1436" s="131">
        <f t="shared" si="313"/>
        <v>0</v>
      </c>
      <c r="L1436" s="335">
        <f t="shared" si="303"/>
        <v>0</v>
      </c>
      <c r="M1436" s="449"/>
      <c r="N1436" s="449"/>
      <c r="O1436" s="449"/>
      <c r="P1436" s="449"/>
      <c r="Q1436" s="448">
        <f t="shared" si="315"/>
        <v>0</v>
      </c>
      <c r="R1436" s="317">
        <f t="shared" si="307"/>
        <v>0</v>
      </c>
      <c r="S1436" s="448"/>
      <c r="T1436" s="448"/>
      <c r="U1436" s="448">
        <f t="shared" si="316"/>
        <v>0</v>
      </c>
      <c r="V1436" s="317">
        <f t="shared" si="308"/>
        <v>0</v>
      </c>
      <c r="W1436" s="448"/>
      <c r="X1436" s="448"/>
      <c r="Y1436" s="448"/>
      <c r="Z1436" s="448"/>
      <c r="AA1436" s="448">
        <f t="shared" si="317"/>
        <v>0</v>
      </c>
      <c r="AB1436" s="317">
        <f t="shared" si="309"/>
        <v>0</v>
      </c>
      <c r="AC1436" s="448"/>
      <c r="AD1436" s="448"/>
      <c r="AE1436" s="448">
        <f t="shared" si="317"/>
        <v>0</v>
      </c>
      <c r="AF1436" s="317">
        <f t="shared" si="310"/>
        <v>0</v>
      </c>
      <c r="AG1436" s="448"/>
      <c r="AH1436" s="448"/>
      <c r="AI1436" s="448"/>
      <c r="AJ1436" s="448"/>
      <c r="AK1436" s="317">
        <f t="shared" si="304"/>
        <v>0</v>
      </c>
      <c r="AL1436" s="449">
        <f t="shared" si="305"/>
        <v>0</v>
      </c>
      <c r="AM1436" s="448">
        <f t="shared" si="306"/>
        <v>0</v>
      </c>
      <c r="AN1436" s="450">
        <f t="shared" si="314"/>
        <v>0</v>
      </c>
      <c r="AO1436" s="436">
        <f>SUM(J1437:J1584)</f>
        <v>251484.06479999993</v>
      </c>
      <c r="AP1436" s="111"/>
    </row>
    <row r="1437" spans="1:42" ht="66" x14ac:dyDescent="0.25">
      <c r="A1437" s="1027"/>
      <c r="B1437" s="535" t="s">
        <v>203</v>
      </c>
      <c r="C1437" s="38"/>
      <c r="D1437" s="872">
        <v>25</v>
      </c>
      <c r="E1437" s="265" t="s">
        <v>1721</v>
      </c>
      <c r="F1437" s="273" t="s">
        <v>3446</v>
      </c>
      <c r="G1437" s="1040" t="s">
        <v>3463</v>
      </c>
      <c r="H1437" s="273" t="s">
        <v>3462</v>
      </c>
      <c r="I1437" s="727">
        <f t="shared" ref="I1437:I1500" si="318">+J1437/D1437</f>
        <v>75.399999999999991</v>
      </c>
      <c r="J1437" s="776">
        <v>1884.9999999999998</v>
      </c>
      <c r="K1437" s="131">
        <f t="shared" si="313"/>
        <v>1884.9999999999998</v>
      </c>
      <c r="L1437" s="335">
        <f t="shared" si="303"/>
        <v>0</v>
      </c>
      <c r="M1437" s="446"/>
      <c r="N1437" s="446"/>
      <c r="O1437" s="446"/>
      <c r="P1437" s="446"/>
      <c r="Q1437" s="110">
        <v>7</v>
      </c>
      <c r="R1437" s="111">
        <f t="shared" si="307"/>
        <v>471.24999999999994</v>
      </c>
      <c r="S1437" s="110"/>
      <c r="T1437" s="110"/>
      <c r="U1437" s="110">
        <v>6</v>
      </c>
      <c r="V1437" s="111">
        <f t="shared" si="308"/>
        <v>471.24999999999994</v>
      </c>
      <c r="W1437" s="110"/>
      <c r="X1437" s="110"/>
      <c r="Y1437" s="110"/>
      <c r="Z1437" s="110"/>
      <c r="AA1437" s="110">
        <v>6</v>
      </c>
      <c r="AB1437" s="111">
        <f t="shared" si="309"/>
        <v>471.24999999999994</v>
      </c>
      <c r="AC1437" s="110"/>
      <c r="AD1437" s="110"/>
      <c r="AE1437" s="110">
        <v>6</v>
      </c>
      <c r="AF1437" s="111">
        <f t="shared" si="310"/>
        <v>471.24999999999994</v>
      </c>
      <c r="AG1437" s="110"/>
      <c r="AH1437" s="110"/>
      <c r="AI1437" s="110"/>
      <c r="AJ1437" s="110"/>
      <c r="AK1437" s="111">
        <f t="shared" si="304"/>
        <v>1884.9999999999998</v>
      </c>
      <c r="AL1437" s="446">
        <f t="shared" si="305"/>
        <v>0</v>
      </c>
      <c r="AM1437" s="110">
        <f t="shared" si="306"/>
        <v>25</v>
      </c>
      <c r="AN1437" s="447">
        <f t="shared" si="314"/>
        <v>0</v>
      </c>
      <c r="AO1437"/>
      <c r="AP1437"/>
    </row>
    <row r="1438" spans="1:42" ht="66" x14ac:dyDescent="0.25">
      <c r="A1438" s="1027"/>
      <c r="B1438" s="41" t="s">
        <v>204</v>
      </c>
      <c r="C1438" s="1028"/>
      <c r="D1438" s="869">
        <v>10</v>
      </c>
      <c r="E1438" s="1027" t="s">
        <v>1721</v>
      </c>
      <c r="F1438" s="273" t="s">
        <v>3446</v>
      </c>
      <c r="G1438" s="1040" t="s">
        <v>3463</v>
      </c>
      <c r="H1438" s="273" t="s">
        <v>3462</v>
      </c>
      <c r="I1438" s="720">
        <f t="shared" si="318"/>
        <v>91.64</v>
      </c>
      <c r="J1438" s="756">
        <v>916.4</v>
      </c>
      <c r="K1438" s="131">
        <f t="shared" si="313"/>
        <v>916.4</v>
      </c>
      <c r="L1438" s="335">
        <f t="shared" si="303"/>
        <v>0</v>
      </c>
      <c r="M1438" s="446"/>
      <c r="N1438" s="446"/>
      <c r="O1438" s="446"/>
      <c r="P1438" s="446"/>
      <c r="Q1438" s="130">
        <v>3</v>
      </c>
      <c r="R1438" s="111">
        <f t="shared" si="307"/>
        <v>229.1</v>
      </c>
      <c r="S1438" s="110"/>
      <c r="T1438" s="110"/>
      <c r="U1438" s="130">
        <v>3</v>
      </c>
      <c r="V1438" s="111">
        <f t="shared" si="308"/>
        <v>229.1</v>
      </c>
      <c r="W1438" s="110"/>
      <c r="X1438" s="110"/>
      <c r="Y1438" s="110"/>
      <c r="Z1438" s="110"/>
      <c r="AA1438" s="130">
        <v>2</v>
      </c>
      <c r="AB1438" s="111">
        <f t="shared" si="309"/>
        <v>229.1</v>
      </c>
      <c r="AC1438" s="110"/>
      <c r="AD1438" s="110"/>
      <c r="AE1438" s="130">
        <v>2</v>
      </c>
      <c r="AF1438" s="111">
        <f t="shared" si="310"/>
        <v>229.1</v>
      </c>
      <c r="AG1438" s="110"/>
      <c r="AH1438" s="110"/>
      <c r="AI1438" s="110"/>
      <c r="AJ1438" s="110"/>
      <c r="AK1438" s="111">
        <f t="shared" si="304"/>
        <v>916.4</v>
      </c>
      <c r="AL1438" s="446">
        <f t="shared" si="305"/>
        <v>0</v>
      </c>
      <c r="AM1438" s="110">
        <f t="shared" si="306"/>
        <v>10</v>
      </c>
      <c r="AN1438" s="447">
        <f t="shared" si="314"/>
        <v>0</v>
      </c>
      <c r="AO1438"/>
      <c r="AP1438"/>
    </row>
    <row r="1439" spans="1:42" ht="66" x14ac:dyDescent="0.25">
      <c r="A1439" s="1027"/>
      <c r="B1439" s="41" t="s">
        <v>205</v>
      </c>
      <c r="C1439" s="1028"/>
      <c r="D1439" s="869">
        <v>60</v>
      </c>
      <c r="E1439" s="84" t="s">
        <v>1721</v>
      </c>
      <c r="F1439" s="273" t="s">
        <v>3446</v>
      </c>
      <c r="G1439" s="1040" t="s">
        <v>3463</v>
      </c>
      <c r="H1439" s="273" t="s">
        <v>3462</v>
      </c>
      <c r="I1439" s="720">
        <f t="shared" si="318"/>
        <v>141.51999999999998</v>
      </c>
      <c r="J1439" s="756">
        <v>8491.1999999999989</v>
      </c>
      <c r="K1439" s="131">
        <f t="shared" si="313"/>
        <v>8491.1999999999989</v>
      </c>
      <c r="L1439" s="335">
        <f t="shared" si="303"/>
        <v>0</v>
      </c>
      <c r="M1439" s="446"/>
      <c r="N1439" s="446"/>
      <c r="O1439" s="446"/>
      <c r="P1439" s="446"/>
      <c r="Q1439" s="110">
        <f t="shared" si="315"/>
        <v>15</v>
      </c>
      <c r="R1439" s="111">
        <f t="shared" si="307"/>
        <v>2122.7999999999997</v>
      </c>
      <c r="S1439" s="110"/>
      <c r="T1439" s="110"/>
      <c r="U1439" s="110">
        <f t="shared" si="316"/>
        <v>15</v>
      </c>
      <c r="V1439" s="111">
        <f t="shared" si="308"/>
        <v>2122.7999999999997</v>
      </c>
      <c r="W1439" s="110"/>
      <c r="X1439" s="110"/>
      <c r="Y1439" s="110"/>
      <c r="Z1439" s="110"/>
      <c r="AA1439" s="110">
        <f t="shared" si="317"/>
        <v>15</v>
      </c>
      <c r="AB1439" s="111">
        <f t="shared" si="309"/>
        <v>2122.7999999999997</v>
      </c>
      <c r="AC1439" s="110"/>
      <c r="AD1439" s="110"/>
      <c r="AE1439" s="110">
        <f t="shared" si="317"/>
        <v>15</v>
      </c>
      <c r="AF1439" s="111">
        <f t="shared" si="310"/>
        <v>2122.7999999999997</v>
      </c>
      <c r="AG1439" s="110"/>
      <c r="AH1439" s="110"/>
      <c r="AI1439" s="110"/>
      <c r="AJ1439" s="110"/>
      <c r="AK1439" s="111">
        <f t="shared" si="304"/>
        <v>8491.1999999999989</v>
      </c>
      <c r="AL1439" s="446">
        <f t="shared" si="305"/>
        <v>0</v>
      </c>
      <c r="AM1439" s="110">
        <f t="shared" si="306"/>
        <v>60</v>
      </c>
      <c r="AN1439" s="447">
        <f t="shared" si="314"/>
        <v>0</v>
      </c>
      <c r="AO1439"/>
      <c r="AP1439"/>
    </row>
    <row r="1440" spans="1:42" ht="66" x14ac:dyDescent="0.25">
      <c r="A1440" s="1027"/>
      <c r="B1440" s="41" t="s">
        <v>206</v>
      </c>
      <c r="C1440" s="1028"/>
      <c r="D1440" s="869">
        <v>5</v>
      </c>
      <c r="E1440" s="1027" t="s">
        <v>1721</v>
      </c>
      <c r="F1440" s="273" t="s">
        <v>3446</v>
      </c>
      <c r="G1440" s="1040" t="s">
        <v>3463</v>
      </c>
      <c r="H1440" s="273" t="s">
        <v>3462</v>
      </c>
      <c r="I1440" s="720">
        <f t="shared" si="318"/>
        <v>69.715999999999994</v>
      </c>
      <c r="J1440" s="756">
        <v>348.58</v>
      </c>
      <c r="K1440" s="131">
        <f t="shared" si="313"/>
        <v>348.58</v>
      </c>
      <c r="L1440" s="335">
        <f t="shared" si="303"/>
        <v>0</v>
      </c>
      <c r="M1440" s="446"/>
      <c r="N1440" s="446"/>
      <c r="O1440" s="446"/>
      <c r="P1440" s="446"/>
      <c r="Q1440" s="110">
        <v>2</v>
      </c>
      <c r="R1440" s="111">
        <f t="shared" si="307"/>
        <v>87.144999999999996</v>
      </c>
      <c r="S1440" s="110"/>
      <c r="T1440" s="110"/>
      <c r="U1440" s="110">
        <v>1</v>
      </c>
      <c r="V1440" s="111">
        <f t="shared" si="308"/>
        <v>87.144999999999996</v>
      </c>
      <c r="W1440" s="110"/>
      <c r="X1440" s="110"/>
      <c r="Y1440" s="110"/>
      <c r="Z1440" s="110"/>
      <c r="AA1440" s="110">
        <v>1</v>
      </c>
      <c r="AB1440" s="111">
        <f t="shared" si="309"/>
        <v>87.144999999999996</v>
      </c>
      <c r="AC1440" s="110"/>
      <c r="AD1440" s="110"/>
      <c r="AE1440" s="110">
        <v>1</v>
      </c>
      <c r="AF1440" s="111">
        <f t="shared" si="310"/>
        <v>87.144999999999996</v>
      </c>
      <c r="AG1440" s="110"/>
      <c r="AH1440" s="110"/>
      <c r="AI1440" s="110"/>
      <c r="AJ1440" s="110"/>
      <c r="AK1440" s="111">
        <f t="shared" si="304"/>
        <v>348.58</v>
      </c>
      <c r="AL1440" s="446">
        <f t="shared" si="305"/>
        <v>0</v>
      </c>
      <c r="AM1440" s="110">
        <f t="shared" si="306"/>
        <v>5</v>
      </c>
      <c r="AN1440" s="447">
        <f t="shared" si="314"/>
        <v>0</v>
      </c>
      <c r="AO1440"/>
      <c r="AP1440"/>
    </row>
    <row r="1441" spans="1:42" ht="66" x14ac:dyDescent="0.25">
      <c r="A1441" s="1027"/>
      <c r="B1441" s="41" t="s">
        <v>207</v>
      </c>
      <c r="C1441" s="1028"/>
      <c r="D1441" s="869">
        <v>5</v>
      </c>
      <c r="E1441" s="1027" t="s">
        <v>1721</v>
      </c>
      <c r="F1441" s="273" t="s">
        <v>3446</v>
      </c>
      <c r="G1441" s="1040" t="s">
        <v>3463</v>
      </c>
      <c r="H1441" s="273" t="s">
        <v>3462</v>
      </c>
      <c r="I1441" s="720">
        <f t="shared" si="318"/>
        <v>69.599999999999994</v>
      </c>
      <c r="J1441" s="756">
        <v>348</v>
      </c>
      <c r="K1441" s="131">
        <f t="shared" si="313"/>
        <v>348</v>
      </c>
      <c r="L1441" s="335">
        <f t="shared" si="303"/>
        <v>0</v>
      </c>
      <c r="M1441" s="446"/>
      <c r="N1441" s="446"/>
      <c r="O1441" s="446"/>
      <c r="P1441" s="446"/>
      <c r="Q1441" s="110">
        <v>2</v>
      </c>
      <c r="R1441" s="111">
        <f t="shared" si="307"/>
        <v>87</v>
      </c>
      <c r="S1441" s="110"/>
      <c r="T1441" s="110"/>
      <c r="U1441" s="110">
        <v>1</v>
      </c>
      <c r="V1441" s="111">
        <f t="shared" si="308"/>
        <v>87</v>
      </c>
      <c r="W1441" s="110"/>
      <c r="X1441" s="110"/>
      <c r="Y1441" s="110"/>
      <c r="Z1441" s="110"/>
      <c r="AA1441" s="110">
        <v>1</v>
      </c>
      <c r="AB1441" s="111">
        <f t="shared" si="309"/>
        <v>87</v>
      </c>
      <c r="AC1441" s="110"/>
      <c r="AD1441" s="110"/>
      <c r="AE1441" s="110">
        <v>1</v>
      </c>
      <c r="AF1441" s="111">
        <f t="shared" si="310"/>
        <v>87</v>
      </c>
      <c r="AG1441" s="110"/>
      <c r="AH1441" s="110"/>
      <c r="AI1441" s="110"/>
      <c r="AJ1441" s="110"/>
      <c r="AK1441" s="111">
        <f t="shared" si="304"/>
        <v>348</v>
      </c>
      <c r="AL1441" s="446">
        <f t="shared" si="305"/>
        <v>0</v>
      </c>
      <c r="AM1441" s="110">
        <f t="shared" si="306"/>
        <v>5</v>
      </c>
      <c r="AN1441" s="447">
        <f t="shared" si="314"/>
        <v>0</v>
      </c>
      <c r="AO1441"/>
      <c r="AP1441"/>
    </row>
    <row r="1442" spans="1:42" ht="66" x14ac:dyDescent="0.25">
      <c r="A1442" s="1027"/>
      <c r="B1442" s="41" t="s">
        <v>208</v>
      </c>
      <c r="C1442" s="1028"/>
      <c r="D1442" s="869">
        <v>10</v>
      </c>
      <c r="E1442" s="1027" t="s">
        <v>1721</v>
      </c>
      <c r="F1442" s="273" t="s">
        <v>3446</v>
      </c>
      <c r="G1442" s="1040" t="s">
        <v>3463</v>
      </c>
      <c r="H1442" s="273" t="s">
        <v>3462</v>
      </c>
      <c r="I1442" s="720">
        <f t="shared" si="318"/>
        <v>439.64</v>
      </c>
      <c r="J1442" s="756">
        <v>4396.3999999999996</v>
      </c>
      <c r="K1442" s="131">
        <f t="shared" si="313"/>
        <v>4396.3999999999996</v>
      </c>
      <c r="L1442" s="335">
        <f t="shared" si="303"/>
        <v>0</v>
      </c>
      <c r="M1442" s="446"/>
      <c r="N1442" s="446"/>
      <c r="O1442" s="446"/>
      <c r="P1442" s="446"/>
      <c r="Q1442" s="130">
        <v>3</v>
      </c>
      <c r="R1442" s="111">
        <f t="shared" si="307"/>
        <v>1099.0999999999999</v>
      </c>
      <c r="S1442" s="110"/>
      <c r="T1442" s="110"/>
      <c r="U1442" s="130">
        <v>3</v>
      </c>
      <c r="V1442" s="111">
        <f t="shared" si="308"/>
        <v>1099.0999999999999</v>
      </c>
      <c r="W1442" s="110"/>
      <c r="X1442" s="110"/>
      <c r="Y1442" s="110"/>
      <c r="Z1442" s="110"/>
      <c r="AA1442" s="130">
        <v>2</v>
      </c>
      <c r="AB1442" s="111">
        <f t="shared" si="309"/>
        <v>1099.0999999999999</v>
      </c>
      <c r="AC1442" s="110"/>
      <c r="AD1442" s="110"/>
      <c r="AE1442" s="130">
        <v>2</v>
      </c>
      <c r="AF1442" s="111">
        <f t="shared" si="310"/>
        <v>1099.0999999999999</v>
      </c>
      <c r="AG1442" s="110"/>
      <c r="AH1442" s="110"/>
      <c r="AI1442" s="110"/>
      <c r="AJ1442" s="110"/>
      <c r="AK1442" s="111">
        <f t="shared" si="304"/>
        <v>4396.3999999999996</v>
      </c>
      <c r="AL1442" s="446">
        <f t="shared" si="305"/>
        <v>0</v>
      </c>
      <c r="AM1442" s="110">
        <f t="shared" si="306"/>
        <v>10</v>
      </c>
      <c r="AN1442" s="447">
        <f t="shared" si="314"/>
        <v>0</v>
      </c>
      <c r="AO1442"/>
      <c r="AP1442"/>
    </row>
    <row r="1443" spans="1:42" ht="66" x14ac:dyDescent="0.25">
      <c r="A1443" s="1027"/>
      <c r="B1443" s="46" t="s">
        <v>209</v>
      </c>
      <c r="C1443" s="1028"/>
      <c r="D1443" s="869">
        <v>20</v>
      </c>
      <c r="E1443" s="1027" t="s">
        <v>1721</v>
      </c>
      <c r="F1443" s="273" t="s">
        <v>3446</v>
      </c>
      <c r="G1443" s="1040" t="s">
        <v>3463</v>
      </c>
      <c r="H1443" s="273" t="s">
        <v>3462</v>
      </c>
      <c r="I1443" s="720">
        <f t="shared" si="318"/>
        <v>463.99999999999989</v>
      </c>
      <c r="J1443" s="756">
        <v>9279.9999999999982</v>
      </c>
      <c r="K1443" s="131">
        <f t="shared" si="313"/>
        <v>9279.9999999999982</v>
      </c>
      <c r="L1443" s="335">
        <f t="shared" si="303"/>
        <v>0</v>
      </c>
      <c r="M1443" s="446"/>
      <c r="N1443" s="446"/>
      <c r="O1443" s="446"/>
      <c r="P1443" s="446"/>
      <c r="Q1443" s="110">
        <f t="shared" si="315"/>
        <v>5</v>
      </c>
      <c r="R1443" s="111">
        <f t="shared" si="307"/>
        <v>2319.9999999999995</v>
      </c>
      <c r="S1443" s="110"/>
      <c r="T1443" s="110"/>
      <c r="U1443" s="110">
        <f t="shared" si="316"/>
        <v>5</v>
      </c>
      <c r="V1443" s="111">
        <f t="shared" si="308"/>
        <v>2319.9999999999995</v>
      </c>
      <c r="W1443" s="110"/>
      <c r="X1443" s="110"/>
      <c r="Y1443" s="110"/>
      <c r="Z1443" s="110"/>
      <c r="AA1443" s="110">
        <f t="shared" si="317"/>
        <v>5</v>
      </c>
      <c r="AB1443" s="111">
        <f t="shared" si="309"/>
        <v>2319.9999999999995</v>
      </c>
      <c r="AC1443" s="110"/>
      <c r="AD1443" s="110"/>
      <c r="AE1443" s="110">
        <f t="shared" si="317"/>
        <v>5</v>
      </c>
      <c r="AF1443" s="111">
        <f t="shared" si="310"/>
        <v>2319.9999999999995</v>
      </c>
      <c r="AG1443" s="110"/>
      <c r="AH1443" s="110"/>
      <c r="AI1443" s="110"/>
      <c r="AJ1443" s="110"/>
      <c r="AK1443" s="111">
        <f t="shared" si="304"/>
        <v>9279.9999999999982</v>
      </c>
      <c r="AL1443" s="446">
        <f t="shared" si="305"/>
        <v>0</v>
      </c>
      <c r="AM1443" s="110">
        <f t="shared" si="306"/>
        <v>20</v>
      </c>
      <c r="AN1443" s="447">
        <f t="shared" si="314"/>
        <v>0</v>
      </c>
      <c r="AO1443"/>
      <c r="AP1443"/>
    </row>
    <row r="1444" spans="1:42" ht="66" x14ac:dyDescent="0.25">
      <c r="A1444" s="1027"/>
      <c r="B1444" s="41" t="s">
        <v>210</v>
      </c>
      <c r="C1444" s="1028"/>
      <c r="D1444" s="869">
        <v>77</v>
      </c>
      <c r="E1444" s="84" t="s">
        <v>1721</v>
      </c>
      <c r="F1444" s="273" t="s">
        <v>3446</v>
      </c>
      <c r="G1444" s="1040" t="s">
        <v>3463</v>
      </c>
      <c r="H1444" s="273" t="s">
        <v>3462</v>
      </c>
      <c r="I1444" s="720">
        <f t="shared" si="318"/>
        <v>145</v>
      </c>
      <c r="J1444" s="756">
        <v>11165</v>
      </c>
      <c r="K1444" s="131">
        <f t="shared" si="313"/>
        <v>11165</v>
      </c>
      <c r="L1444" s="335">
        <f t="shared" si="303"/>
        <v>0</v>
      </c>
      <c r="M1444" s="446"/>
      <c r="N1444" s="446"/>
      <c r="O1444" s="446"/>
      <c r="P1444" s="446"/>
      <c r="Q1444" s="110">
        <v>25</v>
      </c>
      <c r="R1444" s="111">
        <f t="shared" si="307"/>
        <v>2791.25</v>
      </c>
      <c r="S1444" s="110"/>
      <c r="T1444" s="110"/>
      <c r="U1444" s="110">
        <v>25</v>
      </c>
      <c r="V1444" s="111">
        <f t="shared" si="308"/>
        <v>2791.25</v>
      </c>
      <c r="W1444" s="110"/>
      <c r="X1444" s="110"/>
      <c r="Y1444" s="110"/>
      <c r="Z1444" s="110"/>
      <c r="AA1444" s="110">
        <v>17</v>
      </c>
      <c r="AB1444" s="111">
        <f t="shared" si="309"/>
        <v>2791.25</v>
      </c>
      <c r="AC1444" s="110"/>
      <c r="AD1444" s="110"/>
      <c r="AE1444" s="110">
        <v>10</v>
      </c>
      <c r="AF1444" s="111">
        <f t="shared" si="310"/>
        <v>2791.25</v>
      </c>
      <c r="AG1444" s="110"/>
      <c r="AH1444" s="110"/>
      <c r="AI1444" s="110"/>
      <c r="AJ1444" s="110"/>
      <c r="AK1444" s="111">
        <f t="shared" si="304"/>
        <v>11165</v>
      </c>
      <c r="AL1444" s="446">
        <f t="shared" si="305"/>
        <v>0</v>
      </c>
      <c r="AM1444" s="110">
        <f t="shared" si="306"/>
        <v>77</v>
      </c>
      <c r="AN1444" s="447">
        <f t="shared" si="314"/>
        <v>0</v>
      </c>
      <c r="AO1444"/>
      <c r="AP1444"/>
    </row>
    <row r="1445" spans="1:42" s="108" customFormat="1" ht="66" x14ac:dyDescent="0.25">
      <c r="A1445" s="9"/>
      <c r="B1445" s="41" t="s">
        <v>211</v>
      </c>
      <c r="C1445" s="1024"/>
      <c r="D1445" s="869">
        <v>11</v>
      </c>
      <c r="E1445" s="1024" t="s">
        <v>1721</v>
      </c>
      <c r="F1445" s="273" t="s">
        <v>3446</v>
      </c>
      <c r="G1445" s="1040" t="s">
        <v>3463</v>
      </c>
      <c r="H1445" s="273" t="s">
        <v>3462</v>
      </c>
      <c r="I1445" s="722">
        <f t="shared" si="318"/>
        <v>46.4</v>
      </c>
      <c r="J1445" s="759">
        <v>510.4</v>
      </c>
      <c r="K1445" s="131">
        <f t="shared" si="313"/>
        <v>510.4</v>
      </c>
      <c r="L1445" s="335">
        <f t="shared" si="303"/>
        <v>0</v>
      </c>
      <c r="M1445" s="335"/>
      <c r="N1445" s="335"/>
      <c r="O1445" s="335"/>
      <c r="P1445" s="335"/>
      <c r="Q1445" s="110">
        <v>3</v>
      </c>
      <c r="R1445" s="131">
        <f t="shared" si="307"/>
        <v>127.6</v>
      </c>
      <c r="S1445" s="130"/>
      <c r="T1445" s="130"/>
      <c r="U1445" s="110">
        <v>3</v>
      </c>
      <c r="V1445" s="131">
        <f t="shared" si="308"/>
        <v>127.6</v>
      </c>
      <c r="W1445" s="130"/>
      <c r="X1445" s="130"/>
      <c r="Y1445" s="130"/>
      <c r="Z1445" s="130"/>
      <c r="AA1445" s="110">
        <v>3</v>
      </c>
      <c r="AB1445" s="131">
        <f t="shared" si="309"/>
        <v>127.6</v>
      </c>
      <c r="AC1445" s="130"/>
      <c r="AD1445" s="130"/>
      <c r="AE1445" s="110">
        <v>2</v>
      </c>
      <c r="AF1445" s="131">
        <f t="shared" si="310"/>
        <v>127.6</v>
      </c>
      <c r="AG1445" s="130"/>
      <c r="AH1445" s="130"/>
      <c r="AI1445" s="130"/>
      <c r="AJ1445" s="130"/>
      <c r="AK1445" s="131">
        <f t="shared" si="304"/>
        <v>510.4</v>
      </c>
      <c r="AL1445" s="335">
        <f t="shared" si="305"/>
        <v>0</v>
      </c>
      <c r="AM1445" s="130">
        <f t="shared" si="306"/>
        <v>11</v>
      </c>
      <c r="AN1445" s="336">
        <f t="shared" si="314"/>
        <v>0</v>
      </c>
    </row>
    <row r="1446" spans="1:42" s="108" customFormat="1" ht="66" x14ac:dyDescent="0.25">
      <c r="A1446" s="9"/>
      <c r="B1446" s="43" t="s">
        <v>212</v>
      </c>
      <c r="C1446" s="1024"/>
      <c r="D1446" s="869">
        <v>15</v>
      </c>
      <c r="E1446" s="1024" t="s">
        <v>1721</v>
      </c>
      <c r="F1446" s="273" t="s">
        <v>3446</v>
      </c>
      <c r="G1446" s="1040" t="s">
        <v>3463</v>
      </c>
      <c r="H1446" s="273" t="s">
        <v>3462</v>
      </c>
      <c r="I1446" s="722">
        <f t="shared" si="318"/>
        <v>85.445599999999999</v>
      </c>
      <c r="J1446" s="759">
        <v>1281.684</v>
      </c>
      <c r="K1446" s="131">
        <f t="shared" si="313"/>
        <v>1281.684</v>
      </c>
      <c r="L1446" s="335">
        <f t="shared" si="303"/>
        <v>0</v>
      </c>
      <c r="M1446" s="335"/>
      <c r="N1446" s="335"/>
      <c r="O1446" s="335"/>
      <c r="P1446" s="335"/>
      <c r="Q1446" s="110">
        <v>4</v>
      </c>
      <c r="R1446" s="131">
        <f t="shared" si="307"/>
        <v>320.42099999999999</v>
      </c>
      <c r="S1446" s="130"/>
      <c r="T1446" s="130"/>
      <c r="U1446" s="110">
        <v>4</v>
      </c>
      <c r="V1446" s="131">
        <f t="shared" si="308"/>
        <v>320.42099999999999</v>
      </c>
      <c r="W1446" s="130"/>
      <c r="X1446" s="130"/>
      <c r="Y1446" s="130"/>
      <c r="Z1446" s="130"/>
      <c r="AA1446" s="110">
        <v>4</v>
      </c>
      <c r="AB1446" s="131">
        <f t="shared" si="309"/>
        <v>320.42099999999999</v>
      </c>
      <c r="AC1446" s="130"/>
      <c r="AD1446" s="130"/>
      <c r="AE1446" s="110">
        <v>3</v>
      </c>
      <c r="AF1446" s="131">
        <f t="shared" si="310"/>
        <v>320.42099999999999</v>
      </c>
      <c r="AG1446" s="130"/>
      <c r="AH1446" s="130"/>
      <c r="AI1446" s="130"/>
      <c r="AJ1446" s="130"/>
      <c r="AK1446" s="131">
        <f t="shared" si="304"/>
        <v>1281.684</v>
      </c>
      <c r="AL1446" s="335">
        <f t="shared" si="305"/>
        <v>0</v>
      </c>
      <c r="AM1446" s="130">
        <f t="shared" si="306"/>
        <v>15</v>
      </c>
      <c r="AN1446" s="336">
        <f t="shared" si="314"/>
        <v>0</v>
      </c>
    </row>
    <row r="1447" spans="1:42" s="108" customFormat="1" ht="66" x14ac:dyDescent="0.25">
      <c r="A1447" s="9"/>
      <c r="B1447" s="43" t="s">
        <v>213</v>
      </c>
      <c r="C1447" s="1024"/>
      <c r="D1447" s="869">
        <v>15</v>
      </c>
      <c r="E1447" s="1024" t="s">
        <v>1721</v>
      </c>
      <c r="F1447" s="273" t="s">
        <v>3446</v>
      </c>
      <c r="G1447" s="1040" t="s">
        <v>3463</v>
      </c>
      <c r="H1447" s="273" t="s">
        <v>3462</v>
      </c>
      <c r="I1447" s="722">
        <f t="shared" si="318"/>
        <v>85.445599999999999</v>
      </c>
      <c r="J1447" s="759">
        <v>1281.684</v>
      </c>
      <c r="K1447" s="131">
        <f t="shared" si="313"/>
        <v>1281.684</v>
      </c>
      <c r="L1447" s="335">
        <f t="shared" si="303"/>
        <v>0</v>
      </c>
      <c r="M1447" s="335"/>
      <c r="N1447" s="335"/>
      <c r="O1447" s="335"/>
      <c r="P1447" s="335"/>
      <c r="Q1447" s="110">
        <v>4</v>
      </c>
      <c r="R1447" s="131">
        <f t="shared" si="307"/>
        <v>320.42099999999999</v>
      </c>
      <c r="S1447" s="130"/>
      <c r="T1447" s="130"/>
      <c r="U1447" s="110">
        <v>4</v>
      </c>
      <c r="V1447" s="131">
        <f t="shared" si="308"/>
        <v>320.42099999999999</v>
      </c>
      <c r="W1447" s="130"/>
      <c r="X1447" s="130"/>
      <c r="Y1447" s="130"/>
      <c r="Z1447" s="130"/>
      <c r="AA1447" s="110">
        <v>4</v>
      </c>
      <c r="AB1447" s="131">
        <f t="shared" si="309"/>
        <v>320.42099999999999</v>
      </c>
      <c r="AC1447" s="130"/>
      <c r="AD1447" s="130"/>
      <c r="AE1447" s="110">
        <v>3</v>
      </c>
      <c r="AF1447" s="131">
        <f t="shared" si="310"/>
        <v>320.42099999999999</v>
      </c>
      <c r="AG1447" s="130"/>
      <c r="AH1447" s="130"/>
      <c r="AI1447" s="130"/>
      <c r="AJ1447" s="130"/>
      <c r="AK1447" s="131">
        <f t="shared" si="304"/>
        <v>1281.684</v>
      </c>
      <c r="AL1447" s="335">
        <f t="shared" si="305"/>
        <v>0</v>
      </c>
      <c r="AM1447" s="130">
        <f t="shared" si="306"/>
        <v>15</v>
      </c>
      <c r="AN1447" s="336">
        <f t="shared" si="314"/>
        <v>0</v>
      </c>
    </row>
    <row r="1448" spans="1:42" s="108" customFormat="1" ht="66" x14ac:dyDescent="0.25">
      <c r="A1448" s="9"/>
      <c r="B1448" s="43" t="s">
        <v>214</v>
      </c>
      <c r="C1448" s="1024"/>
      <c r="D1448" s="869">
        <v>15</v>
      </c>
      <c r="E1448" s="1024" t="s">
        <v>3448</v>
      </c>
      <c r="F1448" s="273" t="s">
        <v>3446</v>
      </c>
      <c r="G1448" s="1040" t="s">
        <v>3463</v>
      </c>
      <c r="H1448" s="273" t="s">
        <v>3462</v>
      </c>
      <c r="I1448" s="722">
        <f t="shared" si="318"/>
        <v>24.800799999999999</v>
      </c>
      <c r="J1448" s="759">
        <v>372.012</v>
      </c>
      <c r="K1448" s="131">
        <f t="shared" si="313"/>
        <v>372.012</v>
      </c>
      <c r="L1448" s="335">
        <f t="shared" si="303"/>
        <v>0</v>
      </c>
      <c r="M1448" s="335"/>
      <c r="N1448" s="335"/>
      <c r="O1448" s="335"/>
      <c r="P1448" s="335"/>
      <c r="Q1448" s="110">
        <v>4</v>
      </c>
      <c r="R1448" s="131">
        <f t="shared" si="307"/>
        <v>93.003</v>
      </c>
      <c r="S1448" s="130"/>
      <c r="T1448" s="130"/>
      <c r="U1448" s="110">
        <v>4</v>
      </c>
      <c r="V1448" s="131">
        <f t="shared" si="308"/>
        <v>93.003</v>
      </c>
      <c r="W1448" s="130"/>
      <c r="X1448" s="130"/>
      <c r="Y1448" s="130"/>
      <c r="Z1448" s="130"/>
      <c r="AA1448" s="110">
        <v>4</v>
      </c>
      <c r="AB1448" s="131">
        <f t="shared" si="309"/>
        <v>93.003</v>
      </c>
      <c r="AC1448" s="130"/>
      <c r="AD1448" s="130"/>
      <c r="AE1448" s="110">
        <v>3</v>
      </c>
      <c r="AF1448" s="131">
        <f t="shared" si="310"/>
        <v>93.003</v>
      </c>
      <c r="AG1448" s="130"/>
      <c r="AH1448" s="130"/>
      <c r="AI1448" s="130"/>
      <c r="AJ1448" s="130"/>
      <c r="AK1448" s="131">
        <f t="shared" si="304"/>
        <v>372.012</v>
      </c>
      <c r="AL1448" s="335">
        <f t="shared" si="305"/>
        <v>0</v>
      </c>
      <c r="AM1448" s="130">
        <f t="shared" si="306"/>
        <v>15</v>
      </c>
      <c r="AN1448" s="336">
        <f t="shared" si="314"/>
        <v>0</v>
      </c>
    </row>
    <row r="1449" spans="1:42" s="108" customFormat="1" ht="66" x14ac:dyDescent="0.25">
      <c r="A1449" s="9"/>
      <c r="B1449" s="43" t="s">
        <v>215</v>
      </c>
      <c r="C1449" s="1024"/>
      <c r="D1449" s="869">
        <v>15</v>
      </c>
      <c r="E1449" s="1024" t="s">
        <v>1721</v>
      </c>
      <c r="F1449" s="273" t="s">
        <v>3446</v>
      </c>
      <c r="G1449" s="1040" t="s">
        <v>3463</v>
      </c>
      <c r="H1449" s="273" t="s">
        <v>3462</v>
      </c>
      <c r="I1449" s="722">
        <f t="shared" si="318"/>
        <v>24.800799999999999</v>
      </c>
      <c r="J1449" s="759">
        <v>372.012</v>
      </c>
      <c r="K1449" s="131">
        <f t="shared" si="313"/>
        <v>372.012</v>
      </c>
      <c r="L1449" s="335">
        <f t="shared" si="303"/>
        <v>0</v>
      </c>
      <c r="M1449" s="335"/>
      <c r="N1449" s="335"/>
      <c r="O1449" s="335"/>
      <c r="P1449" s="335"/>
      <c r="Q1449" s="110">
        <v>4</v>
      </c>
      <c r="R1449" s="131">
        <f t="shared" si="307"/>
        <v>93.003</v>
      </c>
      <c r="S1449" s="130"/>
      <c r="T1449" s="130"/>
      <c r="U1449" s="110">
        <v>4</v>
      </c>
      <c r="V1449" s="131">
        <f t="shared" si="308"/>
        <v>93.003</v>
      </c>
      <c r="W1449" s="130"/>
      <c r="X1449" s="130"/>
      <c r="Y1449" s="130"/>
      <c r="Z1449" s="130"/>
      <c r="AA1449" s="110">
        <v>4</v>
      </c>
      <c r="AB1449" s="131">
        <f t="shared" si="309"/>
        <v>93.003</v>
      </c>
      <c r="AC1449" s="130"/>
      <c r="AD1449" s="130"/>
      <c r="AE1449" s="110">
        <v>3</v>
      </c>
      <c r="AF1449" s="131">
        <f t="shared" si="310"/>
        <v>93.003</v>
      </c>
      <c r="AG1449" s="130"/>
      <c r="AH1449" s="130"/>
      <c r="AI1449" s="130"/>
      <c r="AJ1449" s="130"/>
      <c r="AK1449" s="131">
        <f t="shared" si="304"/>
        <v>372.012</v>
      </c>
      <c r="AL1449" s="335">
        <f t="shared" si="305"/>
        <v>0</v>
      </c>
      <c r="AM1449" s="130">
        <f t="shared" si="306"/>
        <v>15</v>
      </c>
      <c r="AN1449" s="336">
        <f t="shared" si="314"/>
        <v>0</v>
      </c>
    </row>
    <row r="1450" spans="1:42" s="108" customFormat="1" ht="66" x14ac:dyDescent="0.25">
      <c r="A1450" s="9"/>
      <c r="B1450" s="43" t="s">
        <v>216</v>
      </c>
      <c r="C1450" s="1024"/>
      <c r="D1450" s="869">
        <v>6</v>
      </c>
      <c r="E1450" s="1024" t="s">
        <v>1721</v>
      </c>
      <c r="F1450" s="273" t="s">
        <v>3446</v>
      </c>
      <c r="G1450" s="1040" t="s">
        <v>3463</v>
      </c>
      <c r="H1450" s="273" t="s">
        <v>3462</v>
      </c>
      <c r="I1450" s="722">
        <f t="shared" si="318"/>
        <v>208.80000000000004</v>
      </c>
      <c r="J1450" s="759">
        <v>1252.8000000000002</v>
      </c>
      <c r="K1450" s="131">
        <f t="shared" si="313"/>
        <v>1252.8000000000002</v>
      </c>
      <c r="L1450" s="335">
        <f t="shared" si="303"/>
        <v>0</v>
      </c>
      <c r="M1450" s="335"/>
      <c r="N1450" s="335"/>
      <c r="O1450" s="335"/>
      <c r="P1450" s="335"/>
      <c r="Q1450" s="130">
        <v>2</v>
      </c>
      <c r="R1450" s="131">
        <f t="shared" si="307"/>
        <v>313.20000000000005</v>
      </c>
      <c r="S1450" s="130"/>
      <c r="T1450" s="130"/>
      <c r="U1450" s="130">
        <v>2</v>
      </c>
      <c r="V1450" s="131">
        <f t="shared" si="308"/>
        <v>313.20000000000005</v>
      </c>
      <c r="W1450" s="130"/>
      <c r="X1450" s="130"/>
      <c r="Y1450" s="130"/>
      <c r="Z1450" s="130"/>
      <c r="AA1450" s="130">
        <v>1</v>
      </c>
      <c r="AB1450" s="131">
        <f t="shared" si="309"/>
        <v>313.20000000000005</v>
      </c>
      <c r="AC1450" s="130"/>
      <c r="AD1450" s="130"/>
      <c r="AE1450" s="130">
        <v>1</v>
      </c>
      <c r="AF1450" s="131">
        <f t="shared" si="310"/>
        <v>313.20000000000005</v>
      </c>
      <c r="AG1450" s="130"/>
      <c r="AH1450" s="130"/>
      <c r="AI1450" s="130"/>
      <c r="AJ1450" s="130"/>
      <c r="AK1450" s="131">
        <f t="shared" si="304"/>
        <v>1252.8000000000002</v>
      </c>
      <c r="AL1450" s="335">
        <f t="shared" si="305"/>
        <v>0</v>
      </c>
      <c r="AM1450" s="130">
        <f t="shared" si="306"/>
        <v>6</v>
      </c>
      <c r="AN1450" s="336">
        <f t="shared" si="314"/>
        <v>0</v>
      </c>
    </row>
    <row r="1451" spans="1:42" s="108" customFormat="1" ht="66" x14ac:dyDescent="0.25">
      <c r="A1451" s="9"/>
      <c r="B1451" s="43" t="s">
        <v>20</v>
      </c>
      <c r="C1451" s="1024"/>
      <c r="D1451" s="869">
        <v>24</v>
      </c>
      <c r="E1451" s="1024" t="s">
        <v>1725</v>
      </c>
      <c r="F1451" s="273" t="s">
        <v>3446</v>
      </c>
      <c r="G1451" s="1040" t="s">
        <v>3463</v>
      </c>
      <c r="H1451" s="273" t="s">
        <v>3462</v>
      </c>
      <c r="I1451" s="722">
        <f t="shared" si="318"/>
        <v>49.404400000000003</v>
      </c>
      <c r="J1451" s="759">
        <v>1185.7056</v>
      </c>
      <c r="K1451" s="131">
        <f t="shared" si="313"/>
        <v>1185.7056</v>
      </c>
      <c r="L1451" s="335">
        <f t="shared" si="303"/>
        <v>0</v>
      </c>
      <c r="M1451" s="335"/>
      <c r="N1451" s="335"/>
      <c r="O1451" s="335"/>
      <c r="P1451" s="335"/>
      <c r="Q1451" s="130">
        <f t="shared" si="315"/>
        <v>6</v>
      </c>
      <c r="R1451" s="131">
        <f t="shared" si="307"/>
        <v>296.4264</v>
      </c>
      <c r="S1451" s="130"/>
      <c r="T1451" s="130"/>
      <c r="U1451" s="130">
        <f t="shared" si="316"/>
        <v>6</v>
      </c>
      <c r="V1451" s="131">
        <f t="shared" si="308"/>
        <v>296.4264</v>
      </c>
      <c r="W1451" s="130"/>
      <c r="X1451" s="130"/>
      <c r="Y1451" s="130"/>
      <c r="Z1451" s="130"/>
      <c r="AA1451" s="130">
        <f t="shared" si="317"/>
        <v>6</v>
      </c>
      <c r="AB1451" s="131">
        <f t="shared" si="309"/>
        <v>296.4264</v>
      </c>
      <c r="AC1451" s="130"/>
      <c r="AD1451" s="130"/>
      <c r="AE1451" s="130">
        <f t="shared" si="317"/>
        <v>6</v>
      </c>
      <c r="AF1451" s="131">
        <f t="shared" si="310"/>
        <v>296.4264</v>
      </c>
      <c r="AG1451" s="130"/>
      <c r="AH1451" s="130"/>
      <c r="AI1451" s="130"/>
      <c r="AJ1451" s="130"/>
      <c r="AK1451" s="131">
        <f t="shared" si="304"/>
        <v>1185.7056</v>
      </c>
      <c r="AL1451" s="335">
        <f t="shared" si="305"/>
        <v>0</v>
      </c>
      <c r="AM1451" s="130">
        <f t="shared" si="306"/>
        <v>24</v>
      </c>
      <c r="AN1451" s="336">
        <f t="shared" si="314"/>
        <v>0</v>
      </c>
    </row>
    <row r="1452" spans="1:42" s="108" customFormat="1" ht="66" x14ac:dyDescent="0.25">
      <c r="A1452" s="9"/>
      <c r="B1452" s="43" t="s">
        <v>21</v>
      </c>
      <c r="C1452" s="1024"/>
      <c r="D1452" s="869">
        <v>24</v>
      </c>
      <c r="E1452" s="1024" t="s">
        <v>1725</v>
      </c>
      <c r="F1452" s="273" t="s">
        <v>3446</v>
      </c>
      <c r="G1452" s="1040" t="s">
        <v>3463</v>
      </c>
      <c r="H1452" s="273" t="s">
        <v>3462</v>
      </c>
      <c r="I1452" s="722">
        <f t="shared" si="318"/>
        <v>49.404400000000003</v>
      </c>
      <c r="J1452" s="759">
        <v>1185.7056</v>
      </c>
      <c r="K1452" s="131">
        <f t="shared" si="313"/>
        <v>1185.7056</v>
      </c>
      <c r="L1452" s="335">
        <f t="shared" si="303"/>
        <v>0</v>
      </c>
      <c r="M1452" s="335"/>
      <c r="N1452" s="335"/>
      <c r="O1452" s="335"/>
      <c r="P1452" s="335"/>
      <c r="Q1452" s="130">
        <f t="shared" si="315"/>
        <v>6</v>
      </c>
      <c r="R1452" s="131">
        <f t="shared" si="307"/>
        <v>296.4264</v>
      </c>
      <c r="S1452" s="130"/>
      <c r="T1452" s="130"/>
      <c r="U1452" s="130">
        <f t="shared" si="316"/>
        <v>6</v>
      </c>
      <c r="V1452" s="131">
        <f t="shared" si="308"/>
        <v>296.4264</v>
      </c>
      <c r="W1452" s="130"/>
      <c r="X1452" s="130"/>
      <c r="Y1452" s="130"/>
      <c r="Z1452" s="130"/>
      <c r="AA1452" s="130">
        <f t="shared" si="317"/>
        <v>6</v>
      </c>
      <c r="AB1452" s="131">
        <f t="shared" si="309"/>
        <v>296.4264</v>
      </c>
      <c r="AC1452" s="130"/>
      <c r="AD1452" s="130"/>
      <c r="AE1452" s="130">
        <f t="shared" si="317"/>
        <v>6</v>
      </c>
      <c r="AF1452" s="131">
        <f t="shared" si="310"/>
        <v>296.4264</v>
      </c>
      <c r="AG1452" s="130"/>
      <c r="AH1452" s="130"/>
      <c r="AI1452" s="130"/>
      <c r="AJ1452" s="130"/>
      <c r="AK1452" s="131">
        <f t="shared" si="304"/>
        <v>1185.7056</v>
      </c>
      <c r="AL1452" s="335">
        <f t="shared" si="305"/>
        <v>0</v>
      </c>
      <c r="AM1452" s="130">
        <f t="shared" si="306"/>
        <v>24</v>
      </c>
      <c r="AN1452" s="336">
        <f t="shared" si="314"/>
        <v>0</v>
      </c>
    </row>
    <row r="1453" spans="1:42" s="108" customFormat="1" ht="66" x14ac:dyDescent="0.25">
      <c r="A1453" s="9"/>
      <c r="B1453" s="43" t="s">
        <v>23</v>
      </c>
      <c r="C1453" s="1024"/>
      <c r="D1453" s="869">
        <v>50</v>
      </c>
      <c r="E1453" s="1024" t="s">
        <v>1721</v>
      </c>
      <c r="F1453" s="278" t="s">
        <v>3446</v>
      </c>
      <c r="G1453" s="1040" t="s">
        <v>3463</v>
      </c>
      <c r="H1453" s="273" t="s">
        <v>3462</v>
      </c>
      <c r="I1453" s="722">
        <f t="shared" si="318"/>
        <v>5.9392000000000005</v>
      </c>
      <c r="J1453" s="759">
        <v>296.96000000000004</v>
      </c>
      <c r="K1453" s="131">
        <f t="shared" si="313"/>
        <v>296.96000000000004</v>
      </c>
      <c r="L1453" s="335">
        <f t="shared" si="303"/>
        <v>0</v>
      </c>
      <c r="M1453" s="335"/>
      <c r="N1453" s="335"/>
      <c r="O1453" s="335"/>
      <c r="P1453" s="335"/>
      <c r="Q1453" s="110">
        <v>13</v>
      </c>
      <c r="R1453" s="131">
        <f t="shared" si="307"/>
        <v>74.240000000000009</v>
      </c>
      <c r="S1453" s="130"/>
      <c r="T1453" s="130"/>
      <c r="U1453" s="110">
        <v>12</v>
      </c>
      <c r="V1453" s="131">
        <f t="shared" si="308"/>
        <v>74.240000000000009</v>
      </c>
      <c r="W1453" s="130"/>
      <c r="X1453" s="130"/>
      <c r="Y1453" s="130"/>
      <c r="Z1453" s="130"/>
      <c r="AA1453" s="110">
        <v>12</v>
      </c>
      <c r="AB1453" s="131">
        <f t="shared" si="309"/>
        <v>74.240000000000009</v>
      </c>
      <c r="AC1453" s="130"/>
      <c r="AD1453" s="130"/>
      <c r="AE1453" s="110">
        <v>13</v>
      </c>
      <c r="AF1453" s="131">
        <f t="shared" si="310"/>
        <v>74.240000000000009</v>
      </c>
      <c r="AG1453" s="130"/>
      <c r="AH1453" s="130"/>
      <c r="AI1453" s="130"/>
      <c r="AJ1453" s="130"/>
      <c r="AK1453" s="131">
        <f t="shared" si="304"/>
        <v>296.96000000000004</v>
      </c>
      <c r="AL1453" s="335">
        <f t="shared" si="305"/>
        <v>0</v>
      </c>
      <c r="AM1453" s="130">
        <f t="shared" si="306"/>
        <v>50</v>
      </c>
      <c r="AN1453" s="336">
        <f t="shared" si="314"/>
        <v>0</v>
      </c>
    </row>
    <row r="1454" spans="1:42" s="108" customFormat="1" ht="66" x14ac:dyDescent="0.25">
      <c r="A1454" s="9"/>
      <c r="B1454" s="43" t="s">
        <v>40</v>
      </c>
      <c r="C1454" s="1024"/>
      <c r="D1454" s="869">
        <v>15</v>
      </c>
      <c r="E1454" s="1024" t="s">
        <v>1721</v>
      </c>
      <c r="F1454" s="273" t="s">
        <v>3446</v>
      </c>
      <c r="G1454" s="1040" t="s">
        <v>3463</v>
      </c>
      <c r="H1454" s="273" t="s">
        <v>3462</v>
      </c>
      <c r="I1454" s="722">
        <f t="shared" si="318"/>
        <v>19.290799999999997</v>
      </c>
      <c r="J1454" s="759">
        <v>289.36199999999997</v>
      </c>
      <c r="K1454" s="131">
        <f t="shared" si="313"/>
        <v>289.36199999999997</v>
      </c>
      <c r="L1454" s="335">
        <f t="shared" si="303"/>
        <v>0</v>
      </c>
      <c r="M1454" s="335"/>
      <c r="N1454" s="335"/>
      <c r="O1454" s="335"/>
      <c r="P1454" s="335"/>
      <c r="Q1454" s="110">
        <v>4</v>
      </c>
      <c r="R1454" s="131">
        <f t="shared" si="307"/>
        <v>72.340499999999992</v>
      </c>
      <c r="S1454" s="130"/>
      <c r="T1454" s="130"/>
      <c r="U1454" s="110">
        <v>4</v>
      </c>
      <c r="V1454" s="131">
        <f t="shared" si="308"/>
        <v>72.340499999999992</v>
      </c>
      <c r="W1454" s="130"/>
      <c r="X1454" s="130"/>
      <c r="Y1454" s="130"/>
      <c r="Z1454" s="130"/>
      <c r="AA1454" s="110">
        <v>4</v>
      </c>
      <c r="AB1454" s="131">
        <f t="shared" si="309"/>
        <v>72.340499999999992</v>
      </c>
      <c r="AC1454" s="130"/>
      <c r="AD1454" s="130"/>
      <c r="AE1454" s="110">
        <v>3</v>
      </c>
      <c r="AF1454" s="131">
        <f t="shared" si="310"/>
        <v>72.340499999999992</v>
      </c>
      <c r="AG1454" s="130"/>
      <c r="AH1454" s="130"/>
      <c r="AI1454" s="130"/>
      <c r="AJ1454" s="130"/>
      <c r="AK1454" s="131">
        <f t="shared" si="304"/>
        <v>289.36199999999997</v>
      </c>
      <c r="AL1454" s="335">
        <f t="shared" si="305"/>
        <v>0</v>
      </c>
      <c r="AM1454" s="130">
        <f t="shared" si="306"/>
        <v>15</v>
      </c>
      <c r="AN1454" s="336">
        <f t="shared" si="314"/>
        <v>0</v>
      </c>
    </row>
    <row r="1455" spans="1:42" s="108" customFormat="1" ht="66" x14ac:dyDescent="0.25">
      <c r="A1455" s="9"/>
      <c r="B1455" s="43" t="s">
        <v>217</v>
      </c>
      <c r="C1455" s="1024"/>
      <c r="D1455" s="869">
        <v>15</v>
      </c>
      <c r="E1455" s="1024" t="s">
        <v>1721</v>
      </c>
      <c r="F1455" s="273" t="s">
        <v>3446</v>
      </c>
      <c r="G1455" s="1040" t="s">
        <v>3463</v>
      </c>
      <c r="H1455" s="273" t="s">
        <v>3462</v>
      </c>
      <c r="I1455" s="722">
        <f t="shared" si="318"/>
        <v>28.570799999999998</v>
      </c>
      <c r="J1455" s="759">
        <v>428.56199999999995</v>
      </c>
      <c r="K1455" s="131">
        <f t="shared" si="313"/>
        <v>428.56199999999995</v>
      </c>
      <c r="L1455" s="335">
        <f t="shared" si="303"/>
        <v>0</v>
      </c>
      <c r="M1455" s="335"/>
      <c r="N1455" s="335"/>
      <c r="O1455" s="335"/>
      <c r="P1455" s="335"/>
      <c r="Q1455" s="110">
        <v>4</v>
      </c>
      <c r="R1455" s="131">
        <f t="shared" si="307"/>
        <v>107.14049999999999</v>
      </c>
      <c r="S1455" s="130"/>
      <c r="T1455" s="130"/>
      <c r="U1455" s="110">
        <v>4</v>
      </c>
      <c r="V1455" s="131">
        <f t="shared" si="308"/>
        <v>107.14049999999999</v>
      </c>
      <c r="W1455" s="130"/>
      <c r="X1455" s="130"/>
      <c r="Y1455" s="130"/>
      <c r="Z1455" s="130"/>
      <c r="AA1455" s="110">
        <v>4</v>
      </c>
      <c r="AB1455" s="131">
        <f t="shared" si="309"/>
        <v>107.14049999999999</v>
      </c>
      <c r="AC1455" s="130"/>
      <c r="AD1455" s="130"/>
      <c r="AE1455" s="110">
        <v>3</v>
      </c>
      <c r="AF1455" s="131">
        <f t="shared" si="310"/>
        <v>107.14049999999999</v>
      </c>
      <c r="AG1455" s="130"/>
      <c r="AH1455" s="130"/>
      <c r="AI1455" s="130"/>
      <c r="AJ1455" s="130"/>
      <c r="AK1455" s="131">
        <f t="shared" si="304"/>
        <v>428.56199999999995</v>
      </c>
      <c r="AL1455" s="335">
        <f t="shared" si="305"/>
        <v>0</v>
      </c>
      <c r="AM1455" s="130">
        <f t="shared" si="306"/>
        <v>15</v>
      </c>
      <c r="AN1455" s="336">
        <f t="shared" si="314"/>
        <v>0</v>
      </c>
    </row>
    <row r="1456" spans="1:42" s="108" customFormat="1" ht="66" x14ac:dyDescent="0.25">
      <c r="A1456" s="9"/>
      <c r="B1456" s="43" t="s">
        <v>81</v>
      </c>
      <c r="C1456" s="1024"/>
      <c r="D1456" s="869">
        <v>15</v>
      </c>
      <c r="E1456" s="1024" t="s">
        <v>1721</v>
      </c>
      <c r="F1456" s="278" t="s">
        <v>3446</v>
      </c>
      <c r="G1456" s="1040" t="s">
        <v>3463</v>
      </c>
      <c r="H1456" s="273" t="s">
        <v>3462</v>
      </c>
      <c r="I1456" s="722">
        <f t="shared" si="318"/>
        <v>4.4079999999999995</v>
      </c>
      <c r="J1456" s="759">
        <v>66.11999999999999</v>
      </c>
      <c r="K1456" s="131">
        <f t="shared" si="313"/>
        <v>66.11999999999999</v>
      </c>
      <c r="L1456" s="335">
        <f t="shared" si="303"/>
        <v>0</v>
      </c>
      <c r="M1456" s="335"/>
      <c r="N1456" s="335"/>
      <c r="O1456" s="335"/>
      <c r="P1456" s="335"/>
      <c r="Q1456" s="110">
        <v>4</v>
      </c>
      <c r="R1456" s="131">
        <f t="shared" si="307"/>
        <v>16.529999999999998</v>
      </c>
      <c r="S1456" s="130"/>
      <c r="T1456" s="130"/>
      <c r="U1456" s="110">
        <v>4</v>
      </c>
      <c r="V1456" s="131">
        <f t="shared" si="308"/>
        <v>16.529999999999998</v>
      </c>
      <c r="W1456" s="130"/>
      <c r="X1456" s="130"/>
      <c r="Y1456" s="130"/>
      <c r="Z1456" s="130"/>
      <c r="AA1456" s="110">
        <v>4</v>
      </c>
      <c r="AB1456" s="131">
        <f t="shared" si="309"/>
        <v>16.529999999999998</v>
      </c>
      <c r="AC1456" s="130"/>
      <c r="AD1456" s="130"/>
      <c r="AE1456" s="110">
        <v>3</v>
      </c>
      <c r="AF1456" s="131">
        <f t="shared" si="310"/>
        <v>16.529999999999998</v>
      </c>
      <c r="AG1456" s="130"/>
      <c r="AH1456" s="130"/>
      <c r="AI1456" s="130"/>
      <c r="AJ1456" s="130"/>
      <c r="AK1456" s="131">
        <f t="shared" si="304"/>
        <v>66.11999999999999</v>
      </c>
      <c r="AL1456" s="335">
        <f t="shared" si="305"/>
        <v>0</v>
      </c>
      <c r="AM1456" s="130">
        <f t="shared" si="306"/>
        <v>15</v>
      </c>
      <c r="AN1456" s="336">
        <f t="shared" si="314"/>
        <v>0</v>
      </c>
    </row>
    <row r="1457" spans="1:40" s="108" customFormat="1" ht="66" x14ac:dyDescent="0.25">
      <c r="A1457" s="9"/>
      <c r="B1457" s="43" t="s">
        <v>61</v>
      </c>
      <c r="C1457" s="1024"/>
      <c r="D1457" s="869">
        <v>10</v>
      </c>
      <c r="E1457" s="1024" t="s">
        <v>1722</v>
      </c>
      <c r="F1457" s="273" t="s">
        <v>3446</v>
      </c>
      <c r="G1457" s="1040" t="s">
        <v>3463</v>
      </c>
      <c r="H1457" s="273" t="s">
        <v>3462</v>
      </c>
      <c r="I1457" s="722">
        <f t="shared" si="318"/>
        <v>61.630800000000001</v>
      </c>
      <c r="J1457" s="759">
        <v>616.30799999999999</v>
      </c>
      <c r="K1457" s="131">
        <f t="shared" si="313"/>
        <v>616.30799999999999</v>
      </c>
      <c r="L1457" s="335">
        <f t="shared" si="303"/>
        <v>0</v>
      </c>
      <c r="M1457" s="335"/>
      <c r="N1457" s="335"/>
      <c r="O1457" s="335"/>
      <c r="P1457" s="335"/>
      <c r="Q1457" s="130">
        <v>3</v>
      </c>
      <c r="R1457" s="131">
        <f t="shared" si="307"/>
        <v>154.077</v>
      </c>
      <c r="S1457" s="130"/>
      <c r="T1457" s="130"/>
      <c r="U1457" s="130">
        <v>3</v>
      </c>
      <c r="V1457" s="131">
        <f t="shared" si="308"/>
        <v>154.077</v>
      </c>
      <c r="W1457" s="130"/>
      <c r="X1457" s="130"/>
      <c r="Y1457" s="130"/>
      <c r="Z1457" s="130"/>
      <c r="AA1457" s="130">
        <v>2</v>
      </c>
      <c r="AB1457" s="131">
        <f t="shared" si="309"/>
        <v>154.077</v>
      </c>
      <c r="AC1457" s="130"/>
      <c r="AD1457" s="130"/>
      <c r="AE1457" s="130">
        <v>2</v>
      </c>
      <c r="AF1457" s="131">
        <f t="shared" si="310"/>
        <v>154.077</v>
      </c>
      <c r="AG1457" s="130"/>
      <c r="AH1457" s="130"/>
      <c r="AI1457" s="130"/>
      <c r="AJ1457" s="130"/>
      <c r="AK1457" s="131">
        <f t="shared" si="304"/>
        <v>616.30799999999999</v>
      </c>
      <c r="AL1457" s="335">
        <f t="shared" si="305"/>
        <v>0</v>
      </c>
      <c r="AM1457" s="130">
        <f t="shared" si="306"/>
        <v>10</v>
      </c>
      <c r="AN1457" s="336">
        <f t="shared" si="314"/>
        <v>0</v>
      </c>
    </row>
    <row r="1458" spans="1:40" s="108" customFormat="1" ht="66" x14ac:dyDescent="0.25">
      <c r="A1458" s="9"/>
      <c r="B1458" s="43" t="s">
        <v>82</v>
      </c>
      <c r="C1458" s="1024"/>
      <c r="D1458" s="869">
        <v>50</v>
      </c>
      <c r="E1458" s="1024" t="s">
        <v>1721</v>
      </c>
      <c r="F1458" s="278" t="s">
        <v>3446</v>
      </c>
      <c r="G1458" s="1040" t="s">
        <v>3463</v>
      </c>
      <c r="H1458" s="273" t="s">
        <v>3462</v>
      </c>
      <c r="I1458" s="722">
        <f t="shared" si="318"/>
        <v>1.3803999999999998</v>
      </c>
      <c r="J1458" s="759">
        <v>69.02</v>
      </c>
      <c r="K1458" s="131">
        <f t="shared" si="313"/>
        <v>69.02</v>
      </c>
      <c r="L1458" s="335">
        <f t="shared" si="303"/>
        <v>0</v>
      </c>
      <c r="M1458" s="335"/>
      <c r="N1458" s="335"/>
      <c r="O1458" s="335"/>
      <c r="P1458" s="335"/>
      <c r="Q1458" s="110">
        <v>13</v>
      </c>
      <c r="R1458" s="131">
        <f t="shared" si="307"/>
        <v>17.254999999999999</v>
      </c>
      <c r="S1458" s="130"/>
      <c r="T1458" s="130"/>
      <c r="U1458" s="110">
        <v>12</v>
      </c>
      <c r="V1458" s="131">
        <f t="shared" si="308"/>
        <v>17.254999999999999</v>
      </c>
      <c r="W1458" s="130"/>
      <c r="X1458" s="130"/>
      <c r="Y1458" s="130"/>
      <c r="Z1458" s="130"/>
      <c r="AA1458" s="110">
        <v>12</v>
      </c>
      <c r="AB1458" s="131">
        <f t="shared" si="309"/>
        <v>17.254999999999999</v>
      </c>
      <c r="AC1458" s="130"/>
      <c r="AD1458" s="130"/>
      <c r="AE1458" s="110">
        <v>13</v>
      </c>
      <c r="AF1458" s="131">
        <f t="shared" si="310"/>
        <v>17.254999999999999</v>
      </c>
      <c r="AG1458" s="130"/>
      <c r="AH1458" s="130"/>
      <c r="AI1458" s="130"/>
      <c r="AJ1458" s="130"/>
      <c r="AK1458" s="131">
        <f t="shared" si="304"/>
        <v>69.02</v>
      </c>
      <c r="AL1458" s="335">
        <f t="shared" si="305"/>
        <v>0</v>
      </c>
      <c r="AM1458" s="130">
        <f t="shared" si="306"/>
        <v>50</v>
      </c>
      <c r="AN1458" s="336">
        <f t="shared" si="314"/>
        <v>0</v>
      </c>
    </row>
    <row r="1459" spans="1:40" s="108" customFormat="1" ht="66" x14ac:dyDescent="0.25">
      <c r="A1459" s="9"/>
      <c r="B1459" s="43" t="s">
        <v>218</v>
      </c>
      <c r="C1459" s="1024"/>
      <c r="D1459" s="869">
        <v>30</v>
      </c>
      <c r="E1459" s="1024" t="s">
        <v>1721</v>
      </c>
      <c r="F1459" s="273" t="s">
        <v>3446</v>
      </c>
      <c r="G1459" s="1040" t="s">
        <v>3463</v>
      </c>
      <c r="H1459" s="273" t="s">
        <v>3462</v>
      </c>
      <c r="I1459" s="722">
        <f t="shared" si="318"/>
        <v>14.465200000000001</v>
      </c>
      <c r="J1459" s="759">
        <v>433.95600000000002</v>
      </c>
      <c r="K1459" s="131">
        <f t="shared" si="313"/>
        <v>433.95600000000002</v>
      </c>
      <c r="L1459" s="335">
        <f t="shared" si="303"/>
        <v>0</v>
      </c>
      <c r="M1459" s="335"/>
      <c r="N1459" s="335"/>
      <c r="O1459" s="335"/>
      <c r="P1459" s="335"/>
      <c r="Q1459" s="110">
        <v>8</v>
      </c>
      <c r="R1459" s="131">
        <f t="shared" si="307"/>
        <v>108.489</v>
      </c>
      <c r="S1459" s="130"/>
      <c r="T1459" s="130"/>
      <c r="U1459" s="110">
        <v>8</v>
      </c>
      <c r="V1459" s="131">
        <f t="shared" si="308"/>
        <v>108.489</v>
      </c>
      <c r="W1459" s="130"/>
      <c r="X1459" s="130"/>
      <c r="Y1459" s="130"/>
      <c r="Z1459" s="130"/>
      <c r="AA1459" s="110">
        <v>7</v>
      </c>
      <c r="AB1459" s="131">
        <f t="shared" si="309"/>
        <v>108.489</v>
      </c>
      <c r="AC1459" s="130"/>
      <c r="AD1459" s="130"/>
      <c r="AE1459" s="110">
        <v>7</v>
      </c>
      <c r="AF1459" s="131">
        <f t="shared" si="310"/>
        <v>108.489</v>
      </c>
      <c r="AG1459" s="130"/>
      <c r="AH1459" s="130"/>
      <c r="AI1459" s="130"/>
      <c r="AJ1459" s="130"/>
      <c r="AK1459" s="131">
        <f t="shared" si="304"/>
        <v>433.95600000000002</v>
      </c>
      <c r="AL1459" s="335">
        <f t="shared" si="305"/>
        <v>0</v>
      </c>
      <c r="AM1459" s="130">
        <f t="shared" si="306"/>
        <v>30</v>
      </c>
      <c r="AN1459" s="336">
        <f t="shared" si="314"/>
        <v>0</v>
      </c>
    </row>
    <row r="1460" spans="1:40" s="108" customFormat="1" ht="66" x14ac:dyDescent="0.25">
      <c r="A1460" s="9"/>
      <c r="B1460" s="43" t="s">
        <v>42</v>
      </c>
      <c r="C1460" s="1024"/>
      <c r="D1460" s="869">
        <v>100</v>
      </c>
      <c r="E1460" s="1024" t="s">
        <v>1721</v>
      </c>
      <c r="F1460" s="273" t="s">
        <v>3446</v>
      </c>
      <c r="G1460" s="1040" t="s">
        <v>3463</v>
      </c>
      <c r="H1460" s="273" t="s">
        <v>3462</v>
      </c>
      <c r="I1460" s="722">
        <f t="shared" si="318"/>
        <v>30.322400000000002</v>
      </c>
      <c r="J1460" s="759">
        <v>3032.2400000000002</v>
      </c>
      <c r="K1460" s="131">
        <f t="shared" si="313"/>
        <v>3032.2400000000002</v>
      </c>
      <c r="L1460" s="335">
        <f t="shared" ref="L1460:L1523" si="319">+J1460-K1460</f>
        <v>0</v>
      </c>
      <c r="M1460" s="335"/>
      <c r="N1460" s="335"/>
      <c r="O1460" s="335"/>
      <c r="P1460" s="335"/>
      <c r="Q1460" s="110">
        <v>30</v>
      </c>
      <c r="R1460" s="131">
        <f t="shared" si="307"/>
        <v>758.06000000000006</v>
      </c>
      <c r="S1460" s="130"/>
      <c r="T1460" s="130"/>
      <c r="U1460" s="110">
        <v>30</v>
      </c>
      <c r="V1460" s="131">
        <f t="shared" si="308"/>
        <v>758.06000000000006</v>
      </c>
      <c r="W1460" s="130"/>
      <c r="X1460" s="130"/>
      <c r="Y1460" s="130"/>
      <c r="Z1460" s="130"/>
      <c r="AA1460" s="110">
        <v>30</v>
      </c>
      <c r="AB1460" s="131">
        <f t="shared" si="309"/>
        <v>758.06000000000006</v>
      </c>
      <c r="AC1460" s="130"/>
      <c r="AD1460" s="130"/>
      <c r="AE1460" s="110">
        <v>10</v>
      </c>
      <c r="AF1460" s="131">
        <f t="shared" si="310"/>
        <v>758.06000000000006</v>
      </c>
      <c r="AG1460" s="130"/>
      <c r="AH1460" s="130"/>
      <c r="AI1460" s="130"/>
      <c r="AJ1460" s="130"/>
      <c r="AK1460" s="131">
        <f t="shared" ref="AK1460:AK1523" si="320">+R1460+V1460+AB1460+AF1460</f>
        <v>3032.2400000000002</v>
      </c>
      <c r="AL1460" s="335">
        <f t="shared" ref="AL1460:AL1523" si="321">+J1460-AK1460</f>
        <v>0</v>
      </c>
      <c r="AM1460" s="130">
        <f t="shared" ref="AM1460:AM1523" si="322">+Q1460+U1460+AA1460+AE1460</f>
        <v>100</v>
      </c>
      <c r="AN1460" s="336">
        <f t="shared" si="314"/>
        <v>0</v>
      </c>
    </row>
    <row r="1461" spans="1:40" s="108" customFormat="1" ht="66" x14ac:dyDescent="0.25">
      <c r="A1461" s="9"/>
      <c r="B1461" s="43" t="s">
        <v>219</v>
      </c>
      <c r="C1461" s="1024"/>
      <c r="D1461" s="869">
        <v>30</v>
      </c>
      <c r="E1461" s="1024" t="s">
        <v>1721</v>
      </c>
      <c r="F1461" s="273" t="s">
        <v>3446</v>
      </c>
      <c r="G1461" s="1040" t="s">
        <v>3463</v>
      </c>
      <c r="H1461" s="273" t="s">
        <v>3462</v>
      </c>
      <c r="I1461" s="722">
        <f t="shared" si="318"/>
        <v>4.7559999999999993</v>
      </c>
      <c r="J1461" s="759">
        <v>142.67999999999998</v>
      </c>
      <c r="K1461" s="131">
        <f t="shared" si="313"/>
        <v>142.67999999999998</v>
      </c>
      <c r="L1461" s="335">
        <f t="shared" si="319"/>
        <v>0</v>
      </c>
      <c r="M1461" s="335"/>
      <c r="N1461" s="335"/>
      <c r="O1461" s="335"/>
      <c r="P1461" s="335"/>
      <c r="Q1461" s="110">
        <v>8</v>
      </c>
      <c r="R1461" s="131">
        <f t="shared" si="307"/>
        <v>35.669999999999995</v>
      </c>
      <c r="S1461" s="130"/>
      <c r="T1461" s="130"/>
      <c r="U1461" s="110">
        <v>8</v>
      </c>
      <c r="V1461" s="131">
        <f t="shared" si="308"/>
        <v>35.669999999999995</v>
      </c>
      <c r="W1461" s="130"/>
      <c r="X1461" s="130"/>
      <c r="Y1461" s="130"/>
      <c r="Z1461" s="130"/>
      <c r="AA1461" s="110">
        <v>7</v>
      </c>
      <c r="AB1461" s="131">
        <f t="shared" si="309"/>
        <v>35.669999999999995</v>
      </c>
      <c r="AC1461" s="130"/>
      <c r="AD1461" s="130"/>
      <c r="AE1461" s="110">
        <v>7</v>
      </c>
      <c r="AF1461" s="131">
        <f t="shared" si="310"/>
        <v>35.669999999999995</v>
      </c>
      <c r="AG1461" s="130"/>
      <c r="AH1461" s="130"/>
      <c r="AI1461" s="130"/>
      <c r="AJ1461" s="130"/>
      <c r="AK1461" s="131">
        <f t="shared" si="320"/>
        <v>142.67999999999998</v>
      </c>
      <c r="AL1461" s="335">
        <f t="shared" si="321"/>
        <v>0</v>
      </c>
      <c r="AM1461" s="130">
        <f t="shared" si="322"/>
        <v>30</v>
      </c>
      <c r="AN1461" s="336">
        <f t="shared" si="314"/>
        <v>0</v>
      </c>
    </row>
    <row r="1462" spans="1:40" s="108" customFormat="1" ht="66" x14ac:dyDescent="0.25">
      <c r="A1462" s="9"/>
      <c r="B1462" s="43" t="s">
        <v>220</v>
      </c>
      <c r="C1462" s="1024"/>
      <c r="D1462" s="869">
        <v>50</v>
      </c>
      <c r="E1462" s="84" t="s">
        <v>1721</v>
      </c>
      <c r="F1462" s="273" t="s">
        <v>3446</v>
      </c>
      <c r="G1462" s="1040" t="s">
        <v>3463</v>
      </c>
      <c r="H1462" s="273" t="s">
        <v>3462</v>
      </c>
      <c r="I1462" s="722">
        <f t="shared" si="318"/>
        <v>14.059199999999999</v>
      </c>
      <c r="J1462" s="759">
        <v>702.95999999999992</v>
      </c>
      <c r="K1462" s="131">
        <f t="shared" si="313"/>
        <v>702.95999999999992</v>
      </c>
      <c r="L1462" s="335">
        <f t="shared" si="319"/>
        <v>0</v>
      </c>
      <c r="M1462" s="335"/>
      <c r="N1462" s="335"/>
      <c r="O1462" s="335"/>
      <c r="P1462" s="335"/>
      <c r="Q1462" s="110">
        <v>13</v>
      </c>
      <c r="R1462" s="131">
        <f t="shared" ref="R1462:R1525" si="323">+J1462/4</f>
        <v>175.73999999999998</v>
      </c>
      <c r="S1462" s="130"/>
      <c r="T1462" s="130"/>
      <c r="U1462" s="110">
        <v>12</v>
      </c>
      <c r="V1462" s="131">
        <f t="shared" ref="V1462:V1525" si="324">+J1462/4</f>
        <v>175.73999999999998</v>
      </c>
      <c r="W1462" s="130"/>
      <c r="X1462" s="130"/>
      <c r="Y1462" s="130"/>
      <c r="Z1462" s="130"/>
      <c r="AA1462" s="110">
        <v>12</v>
      </c>
      <c r="AB1462" s="131">
        <f t="shared" ref="AB1462:AB1525" si="325">+J1462/4</f>
        <v>175.73999999999998</v>
      </c>
      <c r="AC1462" s="130"/>
      <c r="AD1462" s="130"/>
      <c r="AE1462" s="110">
        <v>13</v>
      </c>
      <c r="AF1462" s="131">
        <f t="shared" ref="AF1462:AF1525" si="326">+J1462/4</f>
        <v>175.73999999999998</v>
      </c>
      <c r="AG1462" s="130"/>
      <c r="AH1462" s="130"/>
      <c r="AI1462" s="130"/>
      <c r="AJ1462" s="130"/>
      <c r="AK1462" s="131">
        <f t="shared" si="320"/>
        <v>702.95999999999992</v>
      </c>
      <c r="AL1462" s="335">
        <f t="shared" si="321"/>
        <v>0</v>
      </c>
      <c r="AM1462" s="130">
        <f t="shared" si="322"/>
        <v>50</v>
      </c>
      <c r="AN1462" s="336">
        <f t="shared" si="314"/>
        <v>0</v>
      </c>
    </row>
    <row r="1463" spans="1:40" s="108" customFormat="1" ht="66" x14ac:dyDescent="0.25">
      <c r="A1463" s="9"/>
      <c r="B1463" s="43" t="s">
        <v>79</v>
      </c>
      <c r="C1463" s="1024"/>
      <c r="D1463" s="869">
        <v>12</v>
      </c>
      <c r="E1463" s="1024" t="s">
        <v>1725</v>
      </c>
      <c r="F1463" s="273" t="s">
        <v>3446</v>
      </c>
      <c r="G1463" s="1040" t="s">
        <v>3463</v>
      </c>
      <c r="H1463" s="273" t="s">
        <v>3462</v>
      </c>
      <c r="I1463" s="722">
        <f t="shared" si="318"/>
        <v>49.613200000000006</v>
      </c>
      <c r="J1463" s="759">
        <v>595.35840000000007</v>
      </c>
      <c r="K1463" s="131">
        <f t="shared" si="313"/>
        <v>595.35840000000007</v>
      </c>
      <c r="L1463" s="335">
        <f t="shared" si="319"/>
        <v>0</v>
      </c>
      <c r="M1463" s="335"/>
      <c r="N1463" s="335"/>
      <c r="O1463" s="335"/>
      <c r="P1463" s="335"/>
      <c r="Q1463" s="130">
        <f t="shared" si="315"/>
        <v>3</v>
      </c>
      <c r="R1463" s="131">
        <f t="shared" si="323"/>
        <v>148.83960000000002</v>
      </c>
      <c r="S1463" s="130"/>
      <c r="T1463" s="130"/>
      <c r="U1463" s="130">
        <f t="shared" si="316"/>
        <v>3</v>
      </c>
      <c r="V1463" s="131">
        <f t="shared" si="324"/>
        <v>148.83960000000002</v>
      </c>
      <c r="W1463" s="130"/>
      <c r="X1463" s="130"/>
      <c r="Y1463" s="130"/>
      <c r="Z1463" s="130"/>
      <c r="AA1463" s="130">
        <f t="shared" si="317"/>
        <v>3</v>
      </c>
      <c r="AB1463" s="131">
        <f t="shared" si="325"/>
        <v>148.83960000000002</v>
      </c>
      <c r="AC1463" s="130"/>
      <c r="AD1463" s="130"/>
      <c r="AE1463" s="130">
        <f t="shared" si="317"/>
        <v>3</v>
      </c>
      <c r="AF1463" s="131">
        <f t="shared" si="326"/>
        <v>148.83960000000002</v>
      </c>
      <c r="AG1463" s="130"/>
      <c r="AH1463" s="130"/>
      <c r="AI1463" s="130"/>
      <c r="AJ1463" s="130"/>
      <c r="AK1463" s="131">
        <f t="shared" si="320"/>
        <v>595.35840000000007</v>
      </c>
      <c r="AL1463" s="335">
        <f t="shared" si="321"/>
        <v>0</v>
      </c>
      <c r="AM1463" s="130">
        <f t="shared" si="322"/>
        <v>12</v>
      </c>
      <c r="AN1463" s="336">
        <f t="shared" si="314"/>
        <v>0</v>
      </c>
    </row>
    <row r="1464" spans="1:40" s="108" customFormat="1" ht="66" x14ac:dyDescent="0.25">
      <c r="A1464" s="9"/>
      <c r="B1464" s="43" t="s">
        <v>221</v>
      </c>
      <c r="C1464" s="1024"/>
      <c r="D1464" s="869">
        <v>6</v>
      </c>
      <c r="E1464" s="1024" t="s">
        <v>1725</v>
      </c>
      <c r="F1464" s="273" t="s">
        <v>3446</v>
      </c>
      <c r="G1464" s="1040" t="s">
        <v>3463</v>
      </c>
      <c r="H1464" s="273" t="s">
        <v>3462</v>
      </c>
      <c r="I1464" s="722">
        <f t="shared" si="318"/>
        <v>15.845599999999999</v>
      </c>
      <c r="J1464" s="759">
        <v>95.073599999999999</v>
      </c>
      <c r="K1464" s="131">
        <f t="shared" si="313"/>
        <v>95.073599999999999</v>
      </c>
      <c r="L1464" s="335">
        <f t="shared" si="319"/>
        <v>0</v>
      </c>
      <c r="M1464" s="335"/>
      <c r="N1464" s="335"/>
      <c r="O1464" s="335"/>
      <c r="P1464" s="335"/>
      <c r="Q1464" s="130">
        <v>2</v>
      </c>
      <c r="R1464" s="131">
        <f t="shared" si="323"/>
        <v>23.7684</v>
      </c>
      <c r="S1464" s="130"/>
      <c r="T1464" s="130"/>
      <c r="U1464" s="130">
        <v>2</v>
      </c>
      <c r="V1464" s="131">
        <f t="shared" si="324"/>
        <v>23.7684</v>
      </c>
      <c r="W1464" s="130"/>
      <c r="X1464" s="130"/>
      <c r="Y1464" s="130"/>
      <c r="Z1464" s="130"/>
      <c r="AA1464" s="130">
        <v>1</v>
      </c>
      <c r="AB1464" s="131">
        <f t="shared" si="325"/>
        <v>23.7684</v>
      </c>
      <c r="AC1464" s="130"/>
      <c r="AD1464" s="130"/>
      <c r="AE1464" s="130">
        <v>1</v>
      </c>
      <c r="AF1464" s="131">
        <f t="shared" si="326"/>
        <v>23.7684</v>
      </c>
      <c r="AG1464" s="130"/>
      <c r="AH1464" s="130"/>
      <c r="AI1464" s="130"/>
      <c r="AJ1464" s="130"/>
      <c r="AK1464" s="131">
        <f t="shared" si="320"/>
        <v>95.073599999999999</v>
      </c>
      <c r="AL1464" s="335">
        <f t="shared" si="321"/>
        <v>0</v>
      </c>
      <c r="AM1464" s="130">
        <f t="shared" si="322"/>
        <v>6</v>
      </c>
      <c r="AN1464" s="336">
        <f t="shared" si="314"/>
        <v>0</v>
      </c>
    </row>
    <row r="1465" spans="1:40" s="108" customFormat="1" ht="66" x14ac:dyDescent="0.25">
      <c r="A1465" s="9"/>
      <c r="B1465" s="43" t="s">
        <v>222</v>
      </c>
      <c r="C1465" s="1024"/>
      <c r="D1465" s="869">
        <v>3</v>
      </c>
      <c r="E1465" s="1024" t="s">
        <v>1721</v>
      </c>
      <c r="F1465" s="273" t="s">
        <v>3446</v>
      </c>
      <c r="G1465" s="1040" t="s">
        <v>3463</v>
      </c>
      <c r="H1465" s="273" t="s">
        <v>3462</v>
      </c>
      <c r="I1465" s="722">
        <f t="shared" si="318"/>
        <v>14.465200000000001</v>
      </c>
      <c r="J1465" s="759">
        <v>43.395600000000002</v>
      </c>
      <c r="K1465" s="131">
        <f t="shared" si="313"/>
        <v>43.395600000000002</v>
      </c>
      <c r="L1465" s="335">
        <f t="shared" si="319"/>
        <v>0</v>
      </c>
      <c r="M1465" s="335"/>
      <c r="N1465" s="335"/>
      <c r="O1465" s="335"/>
      <c r="P1465" s="335"/>
      <c r="Q1465" s="130">
        <v>2</v>
      </c>
      <c r="R1465" s="131">
        <f>14.47*2</f>
        <v>28.94</v>
      </c>
      <c r="S1465" s="130"/>
      <c r="T1465" s="130"/>
      <c r="U1465" s="130">
        <v>1</v>
      </c>
      <c r="V1465" s="131">
        <v>14.47</v>
      </c>
      <c r="W1465" s="130"/>
      <c r="X1465" s="130"/>
      <c r="Y1465" s="130"/>
      <c r="Z1465" s="130"/>
      <c r="AA1465" s="130">
        <v>0</v>
      </c>
      <c r="AB1465" s="131">
        <v>0</v>
      </c>
      <c r="AC1465" s="130"/>
      <c r="AD1465" s="130"/>
      <c r="AE1465" s="130">
        <v>0</v>
      </c>
      <c r="AF1465" s="131">
        <v>0</v>
      </c>
      <c r="AG1465" s="130"/>
      <c r="AH1465" s="130"/>
      <c r="AI1465" s="130"/>
      <c r="AJ1465" s="130"/>
      <c r="AK1465" s="131">
        <f t="shared" si="320"/>
        <v>43.410000000000004</v>
      </c>
      <c r="AL1465" s="335">
        <f t="shared" si="321"/>
        <v>-1.4400000000001967E-2</v>
      </c>
      <c r="AM1465" s="130">
        <f t="shared" si="322"/>
        <v>3</v>
      </c>
      <c r="AN1465" s="336">
        <f t="shared" si="314"/>
        <v>0</v>
      </c>
    </row>
    <row r="1466" spans="1:40" s="108" customFormat="1" ht="66" x14ac:dyDescent="0.25">
      <c r="A1466" s="9"/>
      <c r="B1466" s="43" t="s">
        <v>223</v>
      </c>
      <c r="C1466" s="1024"/>
      <c r="D1466" s="869">
        <v>10</v>
      </c>
      <c r="E1466" s="1024" t="s">
        <v>1721</v>
      </c>
      <c r="F1466" s="273" t="s">
        <v>3446</v>
      </c>
      <c r="G1466" s="1040" t="s">
        <v>3463</v>
      </c>
      <c r="H1466" s="273" t="s">
        <v>3462</v>
      </c>
      <c r="I1466" s="722">
        <f t="shared" si="318"/>
        <v>13.780800000000003</v>
      </c>
      <c r="J1466" s="759">
        <v>137.80800000000002</v>
      </c>
      <c r="K1466" s="131">
        <f t="shared" si="313"/>
        <v>137.80800000000002</v>
      </c>
      <c r="L1466" s="335">
        <f t="shared" si="319"/>
        <v>0</v>
      </c>
      <c r="M1466" s="335"/>
      <c r="N1466" s="335"/>
      <c r="O1466" s="335"/>
      <c r="P1466" s="335"/>
      <c r="Q1466" s="130">
        <v>3</v>
      </c>
      <c r="R1466" s="131">
        <f t="shared" si="323"/>
        <v>34.452000000000005</v>
      </c>
      <c r="S1466" s="130"/>
      <c r="T1466" s="130"/>
      <c r="U1466" s="130">
        <v>3</v>
      </c>
      <c r="V1466" s="131">
        <f t="shared" si="324"/>
        <v>34.452000000000005</v>
      </c>
      <c r="W1466" s="130"/>
      <c r="X1466" s="130"/>
      <c r="Y1466" s="130"/>
      <c r="Z1466" s="130"/>
      <c r="AA1466" s="130">
        <v>2</v>
      </c>
      <c r="AB1466" s="131">
        <f t="shared" si="325"/>
        <v>34.452000000000005</v>
      </c>
      <c r="AC1466" s="130"/>
      <c r="AD1466" s="130"/>
      <c r="AE1466" s="130">
        <v>2</v>
      </c>
      <c r="AF1466" s="131">
        <f t="shared" si="326"/>
        <v>34.452000000000005</v>
      </c>
      <c r="AG1466" s="130"/>
      <c r="AH1466" s="130"/>
      <c r="AI1466" s="130"/>
      <c r="AJ1466" s="130"/>
      <c r="AK1466" s="131">
        <f t="shared" si="320"/>
        <v>137.80800000000002</v>
      </c>
      <c r="AL1466" s="335">
        <f t="shared" si="321"/>
        <v>0</v>
      </c>
      <c r="AM1466" s="130">
        <f t="shared" si="322"/>
        <v>10</v>
      </c>
      <c r="AN1466" s="336">
        <f t="shared" si="314"/>
        <v>0</v>
      </c>
    </row>
    <row r="1467" spans="1:40" s="108" customFormat="1" ht="66" x14ac:dyDescent="0.25">
      <c r="A1467" s="9"/>
      <c r="B1467" s="43" t="s">
        <v>224</v>
      </c>
      <c r="C1467" s="1024"/>
      <c r="D1467" s="869">
        <v>10</v>
      </c>
      <c r="E1467" s="1024" t="s">
        <v>1721</v>
      </c>
      <c r="F1467" s="273" t="s">
        <v>3446</v>
      </c>
      <c r="G1467" s="1040" t="s">
        <v>3463</v>
      </c>
      <c r="H1467" s="273" t="s">
        <v>3462</v>
      </c>
      <c r="I1467" s="722">
        <f t="shared" si="318"/>
        <v>13.780800000000003</v>
      </c>
      <c r="J1467" s="759">
        <v>137.80800000000002</v>
      </c>
      <c r="K1467" s="131">
        <f t="shared" si="313"/>
        <v>137.80800000000002</v>
      </c>
      <c r="L1467" s="335">
        <f t="shared" si="319"/>
        <v>0</v>
      </c>
      <c r="M1467" s="335"/>
      <c r="N1467" s="335"/>
      <c r="O1467" s="335"/>
      <c r="P1467" s="335"/>
      <c r="Q1467" s="130">
        <v>3</v>
      </c>
      <c r="R1467" s="131">
        <f t="shared" si="323"/>
        <v>34.452000000000005</v>
      </c>
      <c r="S1467" s="130"/>
      <c r="T1467" s="130"/>
      <c r="U1467" s="130">
        <v>3</v>
      </c>
      <c r="V1467" s="131">
        <f t="shared" si="324"/>
        <v>34.452000000000005</v>
      </c>
      <c r="W1467" s="130"/>
      <c r="X1467" s="130"/>
      <c r="Y1467" s="130"/>
      <c r="Z1467" s="130"/>
      <c r="AA1467" s="130">
        <v>2</v>
      </c>
      <c r="AB1467" s="131">
        <f t="shared" si="325"/>
        <v>34.452000000000005</v>
      </c>
      <c r="AC1467" s="130"/>
      <c r="AD1467" s="130"/>
      <c r="AE1467" s="130">
        <v>2</v>
      </c>
      <c r="AF1467" s="131">
        <f t="shared" si="326"/>
        <v>34.452000000000005</v>
      </c>
      <c r="AG1467" s="130"/>
      <c r="AH1467" s="130"/>
      <c r="AI1467" s="130"/>
      <c r="AJ1467" s="130"/>
      <c r="AK1467" s="131">
        <f t="shared" si="320"/>
        <v>137.80800000000002</v>
      </c>
      <c r="AL1467" s="335">
        <f t="shared" si="321"/>
        <v>0</v>
      </c>
      <c r="AM1467" s="130">
        <f t="shared" si="322"/>
        <v>10</v>
      </c>
      <c r="AN1467" s="336">
        <f t="shared" si="314"/>
        <v>0</v>
      </c>
    </row>
    <row r="1468" spans="1:40" s="108" customFormat="1" ht="66" x14ac:dyDescent="0.25">
      <c r="A1468" s="9"/>
      <c r="B1468" s="43" t="s">
        <v>225</v>
      </c>
      <c r="C1468" s="1024"/>
      <c r="D1468" s="869">
        <v>10</v>
      </c>
      <c r="E1468" s="1024" t="s">
        <v>1721</v>
      </c>
      <c r="F1468" s="273" t="s">
        <v>3446</v>
      </c>
      <c r="G1468" s="1040" t="s">
        <v>3463</v>
      </c>
      <c r="H1468" s="273" t="s">
        <v>3462</v>
      </c>
      <c r="I1468" s="722">
        <f t="shared" si="318"/>
        <v>13.780800000000003</v>
      </c>
      <c r="J1468" s="759">
        <v>137.80800000000002</v>
      </c>
      <c r="K1468" s="131">
        <f t="shared" si="313"/>
        <v>137.80800000000002</v>
      </c>
      <c r="L1468" s="335">
        <f t="shared" si="319"/>
        <v>0</v>
      </c>
      <c r="M1468" s="335"/>
      <c r="N1468" s="335"/>
      <c r="O1468" s="335"/>
      <c r="P1468" s="335"/>
      <c r="Q1468" s="130">
        <v>3</v>
      </c>
      <c r="R1468" s="131">
        <f t="shared" si="323"/>
        <v>34.452000000000005</v>
      </c>
      <c r="S1468" s="130"/>
      <c r="T1468" s="130"/>
      <c r="U1468" s="130">
        <v>3</v>
      </c>
      <c r="V1468" s="131">
        <f t="shared" si="324"/>
        <v>34.452000000000005</v>
      </c>
      <c r="W1468" s="130"/>
      <c r="X1468" s="130"/>
      <c r="Y1468" s="130"/>
      <c r="Z1468" s="130"/>
      <c r="AA1468" s="130">
        <v>2</v>
      </c>
      <c r="AB1468" s="131">
        <f t="shared" si="325"/>
        <v>34.452000000000005</v>
      </c>
      <c r="AC1468" s="130"/>
      <c r="AD1468" s="130"/>
      <c r="AE1468" s="130">
        <v>2</v>
      </c>
      <c r="AF1468" s="131">
        <f t="shared" si="326"/>
        <v>34.452000000000005</v>
      </c>
      <c r="AG1468" s="130"/>
      <c r="AH1468" s="130"/>
      <c r="AI1468" s="130"/>
      <c r="AJ1468" s="130"/>
      <c r="AK1468" s="131">
        <f t="shared" si="320"/>
        <v>137.80800000000002</v>
      </c>
      <c r="AL1468" s="335">
        <f t="shared" si="321"/>
        <v>0</v>
      </c>
      <c r="AM1468" s="130">
        <f t="shared" si="322"/>
        <v>10</v>
      </c>
      <c r="AN1468" s="336">
        <f t="shared" si="314"/>
        <v>0</v>
      </c>
    </row>
    <row r="1469" spans="1:40" s="108" customFormat="1" ht="66" x14ac:dyDescent="0.25">
      <c r="A1469" s="9"/>
      <c r="B1469" s="43" t="s">
        <v>226</v>
      </c>
      <c r="C1469" s="1024"/>
      <c r="D1469" s="869">
        <v>10</v>
      </c>
      <c r="E1469" s="1024" t="s">
        <v>1721</v>
      </c>
      <c r="F1469" s="273" t="s">
        <v>3446</v>
      </c>
      <c r="G1469" s="1040" t="s">
        <v>3463</v>
      </c>
      <c r="H1469" s="273" t="s">
        <v>3462</v>
      </c>
      <c r="I1469" s="722">
        <f t="shared" si="318"/>
        <v>13.780800000000003</v>
      </c>
      <c r="J1469" s="759">
        <v>137.80800000000002</v>
      </c>
      <c r="K1469" s="131">
        <f t="shared" si="313"/>
        <v>137.80800000000002</v>
      </c>
      <c r="L1469" s="335">
        <f t="shared" si="319"/>
        <v>0</v>
      </c>
      <c r="M1469" s="335"/>
      <c r="N1469" s="335"/>
      <c r="O1469" s="335"/>
      <c r="P1469" s="335"/>
      <c r="Q1469" s="130">
        <v>3</v>
      </c>
      <c r="R1469" s="131">
        <f t="shared" si="323"/>
        <v>34.452000000000005</v>
      </c>
      <c r="S1469" s="130"/>
      <c r="T1469" s="130"/>
      <c r="U1469" s="130">
        <v>3</v>
      </c>
      <c r="V1469" s="131">
        <f t="shared" si="324"/>
        <v>34.452000000000005</v>
      </c>
      <c r="W1469" s="130"/>
      <c r="X1469" s="130"/>
      <c r="Y1469" s="130"/>
      <c r="Z1469" s="130"/>
      <c r="AA1469" s="130">
        <v>2</v>
      </c>
      <c r="AB1469" s="131">
        <f t="shared" si="325"/>
        <v>34.452000000000005</v>
      </c>
      <c r="AC1469" s="130"/>
      <c r="AD1469" s="130"/>
      <c r="AE1469" s="130">
        <v>2</v>
      </c>
      <c r="AF1469" s="131">
        <f t="shared" si="326"/>
        <v>34.452000000000005</v>
      </c>
      <c r="AG1469" s="130"/>
      <c r="AH1469" s="130"/>
      <c r="AI1469" s="130"/>
      <c r="AJ1469" s="130"/>
      <c r="AK1469" s="131">
        <f t="shared" si="320"/>
        <v>137.80800000000002</v>
      </c>
      <c r="AL1469" s="335">
        <f t="shared" si="321"/>
        <v>0</v>
      </c>
      <c r="AM1469" s="130">
        <f t="shared" si="322"/>
        <v>10</v>
      </c>
      <c r="AN1469" s="336">
        <f t="shared" si="314"/>
        <v>0</v>
      </c>
    </row>
    <row r="1470" spans="1:40" s="108" customFormat="1" ht="66" x14ac:dyDescent="0.25">
      <c r="A1470" s="9"/>
      <c r="B1470" s="43" t="s">
        <v>227</v>
      </c>
      <c r="C1470" s="1024"/>
      <c r="D1470" s="869">
        <v>10</v>
      </c>
      <c r="E1470" s="1024" t="s">
        <v>1721</v>
      </c>
      <c r="F1470" s="273" t="s">
        <v>3446</v>
      </c>
      <c r="G1470" s="1040" t="s">
        <v>3463</v>
      </c>
      <c r="H1470" s="273" t="s">
        <v>3462</v>
      </c>
      <c r="I1470" s="722">
        <f t="shared" si="318"/>
        <v>13.780800000000003</v>
      </c>
      <c r="J1470" s="759">
        <v>137.80800000000002</v>
      </c>
      <c r="K1470" s="131">
        <f t="shared" si="313"/>
        <v>137.80800000000002</v>
      </c>
      <c r="L1470" s="335">
        <f t="shared" si="319"/>
        <v>0</v>
      </c>
      <c r="M1470" s="335"/>
      <c r="N1470" s="335"/>
      <c r="O1470" s="335"/>
      <c r="P1470" s="335"/>
      <c r="Q1470" s="130">
        <v>3</v>
      </c>
      <c r="R1470" s="131">
        <f t="shared" si="323"/>
        <v>34.452000000000005</v>
      </c>
      <c r="S1470" s="130"/>
      <c r="T1470" s="130"/>
      <c r="U1470" s="130">
        <v>3</v>
      </c>
      <c r="V1470" s="131">
        <f t="shared" si="324"/>
        <v>34.452000000000005</v>
      </c>
      <c r="W1470" s="130"/>
      <c r="X1470" s="130"/>
      <c r="Y1470" s="130"/>
      <c r="Z1470" s="130"/>
      <c r="AA1470" s="130">
        <v>2</v>
      </c>
      <c r="AB1470" s="131">
        <f t="shared" si="325"/>
        <v>34.452000000000005</v>
      </c>
      <c r="AC1470" s="130"/>
      <c r="AD1470" s="130"/>
      <c r="AE1470" s="130">
        <v>2</v>
      </c>
      <c r="AF1470" s="131">
        <f t="shared" si="326"/>
        <v>34.452000000000005</v>
      </c>
      <c r="AG1470" s="130"/>
      <c r="AH1470" s="130"/>
      <c r="AI1470" s="130"/>
      <c r="AJ1470" s="130"/>
      <c r="AK1470" s="131">
        <f t="shared" si="320"/>
        <v>137.80800000000002</v>
      </c>
      <c r="AL1470" s="335">
        <f t="shared" si="321"/>
        <v>0</v>
      </c>
      <c r="AM1470" s="130">
        <f t="shared" si="322"/>
        <v>10</v>
      </c>
      <c r="AN1470" s="336">
        <f t="shared" si="314"/>
        <v>0</v>
      </c>
    </row>
    <row r="1471" spans="1:40" s="108" customFormat="1" ht="66" x14ac:dyDescent="0.25">
      <c r="A1471" s="9"/>
      <c r="B1471" s="43" t="s">
        <v>228</v>
      </c>
      <c r="C1471" s="1024"/>
      <c r="D1471" s="869">
        <v>10</v>
      </c>
      <c r="E1471" s="1024" t="s">
        <v>1721</v>
      </c>
      <c r="F1471" s="273" t="s">
        <v>3446</v>
      </c>
      <c r="G1471" s="1040" t="s">
        <v>3463</v>
      </c>
      <c r="H1471" s="273" t="s">
        <v>3462</v>
      </c>
      <c r="I1471" s="722">
        <f t="shared" si="318"/>
        <v>13.780800000000003</v>
      </c>
      <c r="J1471" s="759">
        <v>137.80800000000002</v>
      </c>
      <c r="K1471" s="131">
        <f t="shared" si="313"/>
        <v>137.80800000000002</v>
      </c>
      <c r="L1471" s="335">
        <f t="shared" si="319"/>
        <v>0</v>
      </c>
      <c r="M1471" s="335"/>
      <c r="N1471" s="335"/>
      <c r="O1471" s="335"/>
      <c r="P1471" s="335"/>
      <c r="Q1471" s="130">
        <v>3</v>
      </c>
      <c r="R1471" s="131">
        <f t="shared" si="323"/>
        <v>34.452000000000005</v>
      </c>
      <c r="S1471" s="130"/>
      <c r="T1471" s="130"/>
      <c r="U1471" s="130">
        <v>3</v>
      </c>
      <c r="V1471" s="131">
        <f t="shared" si="324"/>
        <v>34.452000000000005</v>
      </c>
      <c r="W1471" s="130"/>
      <c r="X1471" s="130"/>
      <c r="Y1471" s="130"/>
      <c r="Z1471" s="130"/>
      <c r="AA1471" s="130">
        <v>2</v>
      </c>
      <c r="AB1471" s="131">
        <f t="shared" si="325"/>
        <v>34.452000000000005</v>
      </c>
      <c r="AC1471" s="130"/>
      <c r="AD1471" s="130"/>
      <c r="AE1471" s="130">
        <v>2</v>
      </c>
      <c r="AF1471" s="131">
        <f t="shared" si="326"/>
        <v>34.452000000000005</v>
      </c>
      <c r="AG1471" s="130"/>
      <c r="AH1471" s="130"/>
      <c r="AI1471" s="130"/>
      <c r="AJ1471" s="130"/>
      <c r="AK1471" s="131">
        <f t="shared" si="320"/>
        <v>137.80800000000002</v>
      </c>
      <c r="AL1471" s="335">
        <f t="shared" si="321"/>
        <v>0</v>
      </c>
      <c r="AM1471" s="130">
        <f t="shared" si="322"/>
        <v>10</v>
      </c>
      <c r="AN1471" s="336">
        <f t="shared" si="314"/>
        <v>0</v>
      </c>
    </row>
    <row r="1472" spans="1:40" s="108" customFormat="1" ht="66" x14ac:dyDescent="0.25">
      <c r="A1472" s="9"/>
      <c r="B1472" s="43" t="s">
        <v>229</v>
      </c>
      <c r="C1472" s="1024"/>
      <c r="D1472" s="869">
        <v>10</v>
      </c>
      <c r="E1472" s="1024" t="s">
        <v>1721</v>
      </c>
      <c r="F1472" s="273" t="s">
        <v>3446</v>
      </c>
      <c r="G1472" s="1040" t="s">
        <v>3463</v>
      </c>
      <c r="H1472" s="273" t="s">
        <v>3462</v>
      </c>
      <c r="I1472" s="722">
        <f t="shared" si="318"/>
        <v>13.780800000000003</v>
      </c>
      <c r="J1472" s="759">
        <v>137.80800000000002</v>
      </c>
      <c r="K1472" s="131">
        <f t="shared" si="313"/>
        <v>137.80800000000002</v>
      </c>
      <c r="L1472" s="335">
        <f t="shared" si="319"/>
        <v>0</v>
      </c>
      <c r="M1472" s="335"/>
      <c r="N1472" s="335"/>
      <c r="O1472" s="335"/>
      <c r="P1472" s="335"/>
      <c r="Q1472" s="130">
        <v>3</v>
      </c>
      <c r="R1472" s="131">
        <f t="shared" si="323"/>
        <v>34.452000000000005</v>
      </c>
      <c r="S1472" s="130"/>
      <c r="T1472" s="130"/>
      <c r="U1472" s="130">
        <v>3</v>
      </c>
      <c r="V1472" s="131">
        <f t="shared" si="324"/>
        <v>34.452000000000005</v>
      </c>
      <c r="W1472" s="130"/>
      <c r="X1472" s="130"/>
      <c r="Y1472" s="130"/>
      <c r="Z1472" s="130"/>
      <c r="AA1472" s="130">
        <v>2</v>
      </c>
      <c r="AB1472" s="131">
        <f t="shared" si="325"/>
        <v>34.452000000000005</v>
      </c>
      <c r="AC1472" s="130"/>
      <c r="AD1472" s="130"/>
      <c r="AE1472" s="130">
        <v>2</v>
      </c>
      <c r="AF1472" s="131">
        <f t="shared" si="326"/>
        <v>34.452000000000005</v>
      </c>
      <c r="AG1472" s="130"/>
      <c r="AH1472" s="130"/>
      <c r="AI1472" s="130"/>
      <c r="AJ1472" s="130"/>
      <c r="AK1472" s="131">
        <f t="shared" si="320"/>
        <v>137.80800000000002</v>
      </c>
      <c r="AL1472" s="335">
        <f t="shared" si="321"/>
        <v>0</v>
      </c>
      <c r="AM1472" s="130">
        <f t="shared" si="322"/>
        <v>10</v>
      </c>
      <c r="AN1472" s="336">
        <f t="shared" si="314"/>
        <v>0</v>
      </c>
    </row>
    <row r="1473" spans="1:40" s="108" customFormat="1" ht="66" x14ac:dyDescent="0.25">
      <c r="A1473" s="9"/>
      <c r="B1473" s="43" t="s">
        <v>230</v>
      </c>
      <c r="C1473" s="1024"/>
      <c r="D1473" s="869">
        <v>10</v>
      </c>
      <c r="E1473" s="1024" t="s">
        <v>1721</v>
      </c>
      <c r="F1473" s="273" t="s">
        <v>3446</v>
      </c>
      <c r="G1473" s="1040" t="s">
        <v>3463</v>
      </c>
      <c r="H1473" s="273" t="s">
        <v>3462</v>
      </c>
      <c r="I1473" s="722">
        <f t="shared" si="318"/>
        <v>13.780800000000003</v>
      </c>
      <c r="J1473" s="759">
        <v>137.80800000000002</v>
      </c>
      <c r="K1473" s="131">
        <f t="shared" si="313"/>
        <v>137.80800000000002</v>
      </c>
      <c r="L1473" s="335">
        <f t="shared" si="319"/>
        <v>0</v>
      </c>
      <c r="M1473" s="335"/>
      <c r="N1473" s="335"/>
      <c r="O1473" s="335"/>
      <c r="P1473" s="335"/>
      <c r="Q1473" s="130">
        <v>3</v>
      </c>
      <c r="R1473" s="131">
        <f t="shared" si="323"/>
        <v>34.452000000000005</v>
      </c>
      <c r="S1473" s="130"/>
      <c r="T1473" s="130"/>
      <c r="U1473" s="130">
        <v>3</v>
      </c>
      <c r="V1473" s="131">
        <f t="shared" si="324"/>
        <v>34.452000000000005</v>
      </c>
      <c r="W1473" s="130"/>
      <c r="X1473" s="130"/>
      <c r="Y1473" s="130"/>
      <c r="Z1473" s="130"/>
      <c r="AA1473" s="130">
        <v>2</v>
      </c>
      <c r="AB1473" s="131">
        <f t="shared" si="325"/>
        <v>34.452000000000005</v>
      </c>
      <c r="AC1473" s="130"/>
      <c r="AD1473" s="130"/>
      <c r="AE1473" s="130">
        <v>2</v>
      </c>
      <c r="AF1473" s="131">
        <f t="shared" si="326"/>
        <v>34.452000000000005</v>
      </c>
      <c r="AG1473" s="130"/>
      <c r="AH1473" s="130"/>
      <c r="AI1473" s="130"/>
      <c r="AJ1473" s="130"/>
      <c r="AK1473" s="131">
        <f t="shared" si="320"/>
        <v>137.80800000000002</v>
      </c>
      <c r="AL1473" s="335">
        <f t="shared" si="321"/>
        <v>0</v>
      </c>
      <c r="AM1473" s="130">
        <f t="shared" si="322"/>
        <v>10</v>
      </c>
      <c r="AN1473" s="336">
        <f t="shared" si="314"/>
        <v>0</v>
      </c>
    </row>
    <row r="1474" spans="1:40" s="108" customFormat="1" ht="66" x14ac:dyDescent="0.25">
      <c r="A1474" s="9"/>
      <c r="B1474" s="43" t="s">
        <v>231</v>
      </c>
      <c r="C1474" s="1024"/>
      <c r="D1474" s="869">
        <v>10</v>
      </c>
      <c r="E1474" s="1024" t="s">
        <v>1721</v>
      </c>
      <c r="F1474" s="273" t="s">
        <v>3446</v>
      </c>
      <c r="G1474" s="1040" t="s">
        <v>3463</v>
      </c>
      <c r="H1474" s="273" t="s">
        <v>3462</v>
      </c>
      <c r="I1474" s="722">
        <f t="shared" si="318"/>
        <v>13.780800000000003</v>
      </c>
      <c r="J1474" s="759">
        <v>137.80800000000002</v>
      </c>
      <c r="K1474" s="131">
        <f t="shared" si="313"/>
        <v>137.80800000000002</v>
      </c>
      <c r="L1474" s="335">
        <f t="shared" si="319"/>
        <v>0</v>
      </c>
      <c r="M1474" s="335"/>
      <c r="N1474" s="335"/>
      <c r="O1474" s="335"/>
      <c r="P1474" s="335"/>
      <c r="Q1474" s="130">
        <v>3</v>
      </c>
      <c r="R1474" s="131">
        <f t="shared" si="323"/>
        <v>34.452000000000005</v>
      </c>
      <c r="S1474" s="130"/>
      <c r="T1474" s="130"/>
      <c r="U1474" s="130">
        <v>3</v>
      </c>
      <c r="V1474" s="131">
        <f t="shared" si="324"/>
        <v>34.452000000000005</v>
      </c>
      <c r="W1474" s="130"/>
      <c r="X1474" s="130"/>
      <c r="Y1474" s="130"/>
      <c r="Z1474" s="130"/>
      <c r="AA1474" s="130">
        <v>2</v>
      </c>
      <c r="AB1474" s="131">
        <f t="shared" si="325"/>
        <v>34.452000000000005</v>
      </c>
      <c r="AC1474" s="130"/>
      <c r="AD1474" s="130"/>
      <c r="AE1474" s="130">
        <v>2</v>
      </c>
      <c r="AF1474" s="131">
        <f t="shared" si="326"/>
        <v>34.452000000000005</v>
      </c>
      <c r="AG1474" s="130"/>
      <c r="AH1474" s="130"/>
      <c r="AI1474" s="130"/>
      <c r="AJ1474" s="130"/>
      <c r="AK1474" s="131">
        <f t="shared" si="320"/>
        <v>137.80800000000002</v>
      </c>
      <c r="AL1474" s="335">
        <f t="shared" si="321"/>
        <v>0</v>
      </c>
      <c r="AM1474" s="130">
        <f t="shared" si="322"/>
        <v>10</v>
      </c>
      <c r="AN1474" s="336">
        <f t="shared" si="314"/>
        <v>0</v>
      </c>
    </row>
    <row r="1475" spans="1:40" s="108" customFormat="1" ht="66" x14ac:dyDescent="0.25">
      <c r="A1475" s="9"/>
      <c r="B1475" s="43" t="s">
        <v>232</v>
      </c>
      <c r="C1475" s="1024"/>
      <c r="D1475" s="869">
        <v>10</v>
      </c>
      <c r="E1475" s="1024" t="s">
        <v>1725</v>
      </c>
      <c r="F1475" s="273" t="s">
        <v>3446</v>
      </c>
      <c r="G1475" s="1040" t="s">
        <v>3463</v>
      </c>
      <c r="H1475" s="273" t="s">
        <v>3462</v>
      </c>
      <c r="I1475" s="722">
        <f t="shared" si="318"/>
        <v>86.814400000000006</v>
      </c>
      <c r="J1475" s="759">
        <v>868.14400000000001</v>
      </c>
      <c r="K1475" s="131">
        <f t="shared" si="313"/>
        <v>868.14400000000001</v>
      </c>
      <c r="L1475" s="335">
        <f t="shared" si="319"/>
        <v>0</v>
      </c>
      <c r="M1475" s="335"/>
      <c r="N1475" s="335"/>
      <c r="O1475" s="335"/>
      <c r="P1475" s="335"/>
      <c r="Q1475" s="130">
        <v>3</v>
      </c>
      <c r="R1475" s="131">
        <f t="shared" si="323"/>
        <v>217.036</v>
      </c>
      <c r="S1475" s="130"/>
      <c r="T1475" s="130"/>
      <c r="U1475" s="130">
        <v>3</v>
      </c>
      <c r="V1475" s="131">
        <f t="shared" si="324"/>
        <v>217.036</v>
      </c>
      <c r="W1475" s="130"/>
      <c r="X1475" s="130"/>
      <c r="Y1475" s="130"/>
      <c r="Z1475" s="130"/>
      <c r="AA1475" s="130">
        <v>2</v>
      </c>
      <c r="AB1475" s="131">
        <f t="shared" si="325"/>
        <v>217.036</v>
      </c>
      <c r="AC1475" s="130"/>
      <c r="AD1475" s="130"/>
      <c r="AE1475" s="130">
        <v>2</v>
      </c>
      <c r="AF1475" s="131">
        <f t="shared" si="326"/>
        <v>217.036</v>
      </c>
      <c r="AG1475" s="130"/>
      <c r="AH1475" s="130"/>
      <c r="AI1475" s="130"/>
      <c r="AJ1475" s="130"/>
      <c r="AK1475" s="131">
        <f t="shared" si="320"/>
        <v>868.14400000000001</v>
      </c>
      <c r="AL1475" s="335">
        <f t="shared" si="321"/>
        <v>0</v>
      </c>
      <c r="AM1475" s="130">
        <f t="shared" si="322"/>
        <v>10</v>
      </c>
      <c r="AN1475" s="336">
        <f t="shared" si="314"/>
        <v>0</v>
      </c>
    </row>
    <row r="1476" spans="1:40" s="108" customFormat="1" ht="66" x14ac:dyDescent="0.25">
      <c r="A1476" s="9"/>
      <c r="B1476" s="43" t="s">
        <v>233</v>
      </c>
      <c r="C1476" s="1024"/>
      <c r="D1476" s="869">
        <v>30</v>
      </c>
      <c r="E1476" s="1024" t="s">
        <v>1721</v>
      </c>
      <c r="F1476" s="273" t="s">
        <v>3446</v>
      </c>
      <c r="G1476" s="1040" t="s">
        <v>3463</v>
      </c>
      <c r="H1476" s="273" t="s">
        <v>3462</v>
      </c>
      <c r="I1476" s="722">
        <f t="shared" si="318"/>
        <v>50.112000000000002</v>
      </c>
      <c r="J1476" s="759">
        <v>1503.3600000000001</v>
      </c>
      <c r="K1476" s="131">
        <f t="shared" ref="K1476:K1539" si="327">+D1476*I1476</f>
        <v>1503.3600000000001</v>
      </c>
      <c r="L1476" s="335">
        <f t="shared" si="319"/>
        <v>0</v>
      </c>
      <c r="M1476" s="335"/>
      <c r="N1476" s="335"/>
      <c r="O1476" s="335"/>
      <c r="P1476" s="335"/>
      <c r="Q1476" s="110">
        <v>8</v>
      </c>
      <c r="R1476" s="131">
        <f t="shared" si="323"/>
        <v>375.84000000000003</v>
      </c>
      <c r="S1476" s="130"/>
      <c r="T1476" s="130"/>
      <c r="U1476" s="110">
        <v>8</v>
      </c>
      <c r="V1476" s="131">
        <f t="shared" si="324"/>
        <v>375.84000000000003</v>
      </c>
      <c r="W1476" s="130"/>
      <c r="X1476" s="130"/>
      <c r="Y1476" s="130"/>
      <c r="Z1476" s="130"/>
      <c r="AA1476" s="110">
        <v>7</v>
      </c>
      <c r="AB1476" s="131">
        <f t="shared" si="325"/>
        <v>375.84000000000003</v>
      </c>
      <c r="AC1476" s="130"/>
      <c r="AD1476" s="130"/>
      <c r="AE1476" s="110">
        <v>7</v>
      </c>
      <c r="AF1476" s="131">
        <f t="shared" si="326"/>
        <v>375.84000000000003</v>
      </c>
      <c r="AG1476" s="130"/>
      <c r="AH1476" s="130"/>
      <c r="AI1476" s="130"/>
      <c r="AJ1476" s="130"/>
      <c r="AK1476" s="131">
        <f t="shared" si="320"/>
        <v>1503.3600000000001</v>
      </c>
      <c r="AL1476" s="335">
        <f t="shared" si="321"/>
        <v>0</v>
      </c>
      <c r="AM1476" s="130">
        <f t="shared" si="322"/>
        <v>30</v>
      </c>
      <c r="AN1476" s="336">
        <f t="shared" ref="AN1476:AN1539" si="328">+D1476-AM1476</f>
        <v>0</v>
      </c>
    </row>
    <row r="1477" spans="1:40" s="108" customFormat="1" ht="66" x14ac:dyDescent="0.25">
      <c r="A1477" s="9"/>
      <c r="B1477" s="43" t="s">
        <v>234</v>
      </c>
      <c r="C1477" s="1024"/>
      <c r="D1477" s="869">
        <v>30</v>
      </c>
      <c r="E1477" s="1024" t="s">
        <v>1721</v>
      </c>
      <c r="F1477" s="273" t="s">
        <v>3446</v>
      </c>
      <c r="G1477" s="1040" t="s">
        <v>3463</v>
      </c>
      <c r="H1477" s="273" t="s">
        <v>3462</v>
      </c>
      <c r="I1477" s="722">
        <f t="shared" si="318"/>
        <v>86.44319999999999</v>
      </c>
      <c r="J1477" s="759">
        <v>2593.2959999999998</v>
      </c>
      <c r="K1477" s="131">
        <f t="shared" si="327"/>
        <v>2593.2959999999998</v>
      </c>
      <c r="L1477" s="335">
        <f t="shared" si="319"/>
        <v>0</v>
      </c>
      <c r="M1477" s="335"/>
      <c r="N1477" s="335"/>
      <c r="O1477" s="335"/>
      <c r="P1477" s="335"/>
      <c r="Q1477" s="110">
        <v>8</v>
      </c>
      <c r="R1477" s="131">
        <f t="shared" si="323"/>
        <v>648.32399999999996</v>
      </c>
      <c r="S1477" s="130"/>
      <c r="T1477" s="130"/>
      <c r="U1477" s="110">
        <v>8</v>
      </c>
      <c r="V1477" s="131">
        <f t="shared" si="324"/>
        <v>648.32399999999996</v>
      </c>
      <c r="W1477" s="130"/>
      <c r="X1477" s="130"/>
      <c r="Y1477" s="130"/>
      <c r="Z1477" s="130"/>
      <c r="AA1477" s="110">
        <v>7</v>
      </c>
      <c r="AB1477" s="131">
        <f t="shared" si="325"/>
        <v>648.32399999999996</v>
      </c>
      <c r="AC1477" s="130"/>
      <c r="AD1477" s="130"/>
      <c r="AE1477" s="110">
        <v>7</v>
      </c>
      <c r="AF1477" s="131">
        <f t="shared" si="326"/>
        <v>648.32399999999996</v>
      </c>
      <c r="AG1477" s="130"/>
      <c r="AH1477" s="130"/>
      <c r="AI1477" s="130"/>
      <c r="AJ1477" s="130"/>
      <c r="AK1477" s="131">
        <f t="shared" si="320"/>
        <v>2593.2959999999998</v>
      </c>
      <c r="AL1477" s="335">
        <f t="shared" si="321"/>
        <v>0</v>
      </c>
      <c r="AM1477" s="130">
        <f t="shared" si="322"/>
        <v>30</v>
      </c>
      <c r="AN1477" s="336">
        <f t="shared" si="328"/>
        <v>0</v>
      </c>
    </row>
    <row r="1478" spans="1:40" s="108" customFormat="1" ht="66" x14ac:dyDescent="0.25">
      <c r="A1478" s="9"/>
      <c r="B1478" s="43" t="s">
        <v>235</v>
      </c>
      <c r="C1478" s="1024"/>
      <c r="D1478" s="869">
        <v>20</v>
      </c>
      <c r="E1478" s="1024" t="s">
        <v>1721</v>
      </c>
      <c r="F1478" s="273" t="s">
        <v>3446</v>
      </c>
      <c r="G1478" s="1040" t="s">
        <v>3463</v>
      </c>
      <c r="H1478" s="273" t="s">
        <v>3462</v>
      </c>
      <c r="I1478" s="722">
        <f t="shared" si="318"/>
        <v>63.8</v>
      </c>
      <c r="J1478" s="759">
        <v>1276</v>
      </c>
      <c r="K1478" s="131">
        <f t="shared" si="327"/>
        <v>1276</v>
      </c>
      <c r="L1478" s="335">
        <f t="shared" si="319"/>
        <v>0</v>
      </c>
      <c r="M1478" s="335"/>
      <c r="N1478" s="335"/>
      <c r="O1478" s="335"/>
      <c r="P1478" s="335"/>
      <c r="Q1478" s="130">
        <f t="shared" si="315"/>
        <v>5</v>
      </c>
      <c r="R1478" s="131">
        <f t="shared" si="323"/>
        <v>319</v>
      </c>
      <c r="S1478" s="130"/>
      <c r="T1478" s="130"/>
      <c r="U1478" s="130">
        <f t="shared" si="316"/>
        <v>5</v>
      </c>
      <c r="V1478" s="131">
        <f t="shared" si="324"/>
        <v>319</v>
      </c>
      <c r="W1478" s="130"/>
      <c r="X1478" s="130"/>
      <c r="Y1478" s="130"/>
      <c r="Z1478" s="130"/>
      <c r="AA1478" s="130">
        <f t="shared" si="317"/>
        <v>5</v>
      </c>
      <c r="AB1478" s="131">
        <f t="shared" si="325"/>
        <v>319</v>
      </c>
      <c r="AC1478" s="130"/>
      <c r="AD1478" s="130"/>
      <c r="AE1478" s="130">
        <f t="shared" si="317"/>
        <v>5</v>
      </c>
      <c r="AF1478" s="131">
        <f t="shared" si="326"/>
        <v>319</v>
      </c>
      <c r="AG1478" s="130"/>
      <c r="AH1478" s="130"/>
      <c r="AI1478" s="130"/>
      <c r="AJ1478" s="130"/>
      <c r="AK1478" s="131">
        <f t="shared" si="320"/>
        <v>1276</v>
      </c>
      <c r="AL1478" s="335">
        <f t="shared" si="321"/>
        <v>0</v>
      </c>
      <c r="AM1478" s="130">
        <f t="shared" si="322"/>
        <v>20</v>
      </c>
      <c r="AN1478" s="336">
        <f t="shared" si="328"/>
        <v>0</v>
      </c>
    </row>
    <row r="1479" spans="1:40" s="108" customFormat="1" ht="66" x14ac:dyDescent="0.25">
      <c r="A1479" s="9"/>
      <c r="B1479" s="1031" t="s">
        <v>236</v>
      </c>
      <c r="C1479" s="1024"/>
      <c r="D1479" s="869">
        <v>30</v>
      </c>
      <c r="E1479" s="1024" t="s">
        <v>1721</v>
      </c>
      <c r="F1479" s="273" t="s">
        <v>3446</v>
      </c>
      <c r="G1479" s="1040" t="s">
        <v>3463</v>
      </c>
      <c r="H1479" s="273" t="s">
        <v>3462</v>
      </c>
      <c r="I1479" s="722">
        <f t="shared" si="318"/>
        <v>37.583999999999996</v>
      </c>
      <c r="J1479" s="759">
        <v>1127.52</v>
      </c>
      <c r="K1479" s="131">
        <f t="shared" si="327"/>
        <v>1127.52</v>
      </c>
      <c r="L1479" s="335">
        <f t="shared" si="319"/>
        <v>0</v>
      </c>
      <c r="M1479" s="335"/>
      <c r="N1479" s="335"/>
      <c r="O1479" s="335"/>
      <c r="P1479" s="335"/>
      <c r="Q1479" s="110">
        <v>8</v>
      </c>
      <c r="R1479" s="131">
        <f t="shared" si="323"/>
        <v>281.88</v>
      </c>
      <c r="S1479" s="130"/>
      <c r="T1479" s="130"/>
      <c r="U1479" s="110">
        <v>8</v>
      </c>
      <c r="V1479" s="131">
        <f t="shared" si="324"/>
        <v>281.88</v>
      </c>
      <c r="W1479" s="130"/>
      <c r="X1479" s="130"/>
      <c r="Y1479" s="130"/>
      <c r="Z1479" s="130"/>
      <c r="AA1479" s="110">
        <v>7</v>
      </c>
      <c r="AB1479" s="131">
        <f t="shared" si="325"/>
        <v>281.88</v>
      </c>
      <c r="AC1479" s="130"/>
      <c r="AD1479" s="130"/>
      <c r="AE1479" s="110">
        <v>7</v>
      </c>
      <c r="AF1479" s="131">
        <f t="shared" si="326"/>
        <v>281.88</v>
      </c>
      <c r="AG1479" s="130"/>
      <c r="AH1479" s="130"/>
      <c r="AI1479" s="130"/>
      <c r="AJ1479" s="130"/>
      <c r="AK1479" s="131">
        <f t="shared" si="320"/>
        <v>1127.52</v>
      </c>
      <c r="AL1479" s="335">
        <f t="shared" si="321"/>
        <v>0</v>
      </c>
      <c r="AM1479" s="130">
        <f t="shared" si="322"/>
        <v>30</v>
      </c>
      <c r="AN1479" s="336">
        <f t="shared" si="328"/>
        <v>0</v>
      </c>
    </row>
    <row r="1480" spans="1:40" s="108" customFormat="1" ht="66" x14ac:dyDescent="0.25">
      <c r="A1480" s="9"/>
      <c r="B1480" s="43" t="s">
        <v>237</v>
      </c>
      <c r="C1480" s="1024"/>
      <c r="D1480" s="869">
        <v>10</v>
      </c>
      <c r="E1480" s="1024" t="s">
        <v>1721</v>
      </c>
      <c r="F1480" s="273" t="s">
        <v>3446</v>
      </c>
      <c r="G1480" s="1040" t="s">
        <v>3463</v>
      </c>
      <c r="H1480" s="273" t="s">
        <v>3462</v>
      </c>
      <c r="I1480" s="722">
        <f t="shared" si="318"/>
        <v>81.432000000000002</v>
      </c>
      <c r="J1480" s="759">
        <v>814.32</v>
      </c>
      <c r="K1480" s="131">
        <f t="shared" si="327"/>
        <v>814.32</v>
      </c>
      <c r="L1480" s="335">
        <f t="shared" si="319"/>
        <v>0</v>
      </c>
      <c r="M1480" s="335"/>
      <c r="N1480" s="335"/>
      <c r="O1480" s="335"/>
      <c r="P1480" s="335"/>
      <c r="Q1480" s="130">
        <v>3</v>
      </c>
      <c r="R1480" s="131">
        <f t="shared" si="323"/>
        <v>203.58</v>
      </c>
      <c r="S1480" s="130"/>
      <c r="T1480" s="130"/>
      <c r="U1480" s="130">
        <v>3</v>
      </c>
      <c r="V1480" s="131">
        <f t="shared" si="324"/>
        <v>203.58</v>
      </c>
      <c r="W1480" s="130"/>
      <c r="X1480" s="130"/>
      <c r="Y1480" s="130"/>
      <c r="Z1480" s="130"/>
      <c r="AA1480" s="130">
        <v>2</v>
      </c>
      <c r="AB1480" s="131">
        <f t="shared" si="325"/>
        <v>203.58</v>
      </c>
      <c r="AC1480" s="130"/>
      <c r="AD1480" s="130"/>
      <c r="AE1480" s="130">
        <v>2</v>
      </c>
      <c r="AF1480" s="131">
        <f t="shared" si="326"/>
        <v>203.58</v>
      </c>
      <c r="AG1480" s="130"/>
      <c r="AH1480" s="130"/>
      <c r="AI1480" s="130"/>
      <c r="AJ1480" s="130"/>
      <c r="AK1480" s="131">
        <f t="shared" si="320"/>
        <v>814.32</v>
      </c>
      <c r="AL1480" s="335">
        <f t="shared" si="321"/>
        <v>0</v>
      </c>
      <c r="AM1480" s="130">
        <f t="shared" si="322"/>
        <v>10</v>
      </c>
      <c r="AN1480" s="336">
        <f t="shared" si="328"/>
        <v>0</v>
      </c>
    </row>
    <row r="1481" spans="1:40" s="108" customFormat="1" ht="66" x14ac:dyDescent="0.25">
      <c r="A1481" s="9"/>
      <c r="B1481" s="43" t="s">
        <v>238</v>
      </c>
      <c r="C1481" s="1024"/>
      <c r="D1481" s="869">
        <v>20</v>
      </c>
      <c r="E1481" s="1024" t="s">
        <v>1721</v>
      </c>
      <c r="F1481" s="273" t="s">
        <v>3446</v>
      </c>
      <c r="G1481" s="1040" t="s">
        <v>3463</v>
      </c>
      <c r="H1481" s="273" t="s">
        <v>3462</v>
      </c>
      <c r="I1481" s="722">
        <f t="shared" si="318"/>
        <v>50.112000000000002</v>
      </c>
      <c r="J1481" s="759">
        <v>1002.24</v>
      </c>
      <c r="K1481" s="131">
        <f t="shared" si="327"/>
        <v>1002.24</v>
      </c>
      <c r="L1481" s="335">
        <f t="shared" si="319"/>
        <v>0</v>
      </c>
      <c r="M1481" s="335"/>
      <c r="N1481" s="335"/>
      <c r="O1481" s="335"/>
      <c r="P1481" s="335"/>
      <c r="Q1481" s="130">
        <f t="shared" si="315"/>
        <v>5</v>
      </c>
      <c r="R1481" s="131">
        <f t="shared" si="323"/>
        <v>250.56</v>
      </c>
      <c r="S1481" s="130"/>
      <c r="T1481" s="130"/>
      <c r="U1481" s="130">
        <f t="shared" si="316"/>
        <v>5</v>
      </c>
      <c r="V1481" s="131">
        <f t="shared" si="324"/>
        <v>250.56</v>
      </c>
      <c r="W1481" s="130"/>
      <c r="X1481" s="130"/>
      <c r="Y1481" s="130"/>
      <c r="Z1481" s="130"/>
      <c r="AA1481" s="130">
        <f t="shared" si="317"/>
        <v>5</v>
      </c>
      <c r="AB1481" s="131">
        <f t="shared" si="325"/>
        <v>250.56</v>
      </c>
      <c r="AC1481" s="130"/>
      <c r="AD1481" s="130"/>
      <c r="AE1481" s="130">
        <f t="shared" si="317"/>
        <v>5</v>
      </c>
      <c r="AF1481" s="131">
        <f t="shared" si="326"/>
        <v>250.56</v>
      </c>
      <c r="AG1481" s="130"/>
      <c r="AH1481" s="130"/>
      <c r="AI1481" s="130"/>
      <c r="AJ1481" s="130"/>
      <c r="AK1481" s="131">
        <f t="shared" si="320"/>
        <v>1002.24</v>
      </c>
      <c r="AL1481" s="335">
        <f t="shared" si="321"/>
        <v>0</v>
      </c>
      <c r="AM1481" s="130">
        <f t="shared" si="322"/>
        <v>20</v>
      </c>
      <c r="AN1481" s="336">
        <f t="shared" si="328"/>
        <v>0</v>
      </c>
    </row>
    <row r="1482" spans="1:40" s="108" customFormat="1" ht="66" x14ac:dyDescent="0.25">
      <c r="A1482" s="9"/>
      <c r="B1482" s="43" t="s">
        <v>239</v>
      </c>
      <c r="C1482" s="1024"/>
      <c r="D1482" s="869">
        <v>30</v>
      </c>
      <c r="E1482" s="1024" t="s">
        <v>1721</v>
      </c>
      <c r="F1482" s="273" t="s">
        <v>3446</v>
      </c>
      <c r="G1482" s="1040" t="s">
        <v>3463</v>
      </c>
      <c r="H1482" s="273" t="s">
        <v>3462</v>
      </c>
      <c r="I1482" s="722">
        <f t="shared" si="318"/>
        <v>55.123200000000004</v>
      </c>
      <c r="J1482" s="759">
        <v>1653.6960000000001</v>
      </c>
      <c r="K1482" s="131">
        <f t="shared" si="327"/>
        <v>1653.6960000000001</v>
      </c>
      <c r="L1482" s="335">
        <f t="shared" si="319"/>
        <v>0</v>
      </c>
      <c r="M1482" s="335"/>
      <c r="N1482" s="335"/>
      <c r="O1482" s="335"/>
      <c r="P1482" s="335"/>
      <c r="Q1482" s="110">
        <v>8</v>
      </c>
      <c r="R1482" s="131">
        <f t="shared" si="323"/>
        <v>413.42400000000004</v>
      </c>
      <c r="S1482" s="130"/>
      <c r="T1482" s="130"/>
      <c r="U1482" s="110">
        <v>8</v>
      </c>
      <c r="V1482" s="131">
        <f t="shared" si="324"/>
        <v>413.42400000000004</v>
      </c>
      <c r="W1482" s="130"/>
      <c r="X1482" s="130"/>
      <c r="Y1482" s="130"/>
      <c r="Z1482" s="130"/>
      <c r="AA1482" s="110">
        <v>7</v>
      </c>
      <c r="AB1482" s="131">
        <f t="shared" si="325"/>
        <v>413.42400000000004</v>
      </c>
      <c r="AC1482" s="130"/>
      <c r="AD1482" s="130"/>
      <c r="AE1482" s="110">
        <v>7</v>
      </c>
      <c r="AF1482" s="131">
        <f t="shared" si="326"/>
        <v>413.42400000000004</v>
      </c>
      <c r="AG1482" s="130"/>
      <c r="AH1482" s="130"/>
      <c r="AI1482" s="130"/>
      <c r="AJ1482" s="130"/>
      <c r="AK1482" s="131">
        <f t="shared" si="320"/>
        <v>1653.6960000000001</v>
      </c>
      <c r="AL1482" s="335">
        <f t="shared" si="321"/>
        <v>0</v>
      </c>
      <c r="AM1482" s="130">
        <f t="shared" si="322"/>
        <v>30</v>
      </c>
      <c r="AN1482" s="336">
        <f t="shared" si="328"/>
        <v>0</v>
      </c>
    </row>
    <row r="1483" spans="1:40" s="108" customFormat="1" ht="66" x14ac:dyDescent="0.25">
      <c r="A1483" s="9"/>
      <c r="B1483" s="43" t="s">
        <v>240</v>
      </c>
      <c r="C1483" s="1024"/>
      <c r="D1483" s="869">
        <v>20</v>
      </c>
      <c r="E1483" s="1024" t="s">
        <v>1721</v>
      </c>
      <c r="F1483" s="273" t="s">
        <v>3446</v>
      </c>
      <c r="G1483" s="1040" t="s">
        <v>3463</v>
      </c>
      <c r="H1483" s="273" t="s">
        <v>3462</v>
      </c>
      <c r="I1483" s="722">
        <f t="shared" si="318"/>
        <v>87.695999999999998</v>
      </c>
      <c r="J1483" s="759">
        <v>1753.92</v>
      </c>
      <c r="K1483" s="131">
        <f t="shared" si="327"/>
        <v>1753.92</v>
      </c>
      <c r="L1483" s="335">
        <f t="shared" si="319"/>
        <v>0</v>
      </c>
      <c r="M1483" s="335"/>
      <c r="N1483" s="335"/>
      <c r="O1483" s="335"/>
      <c r="P1483" s="335"/>
      <c r="Q1483" s="130">
        <f t="shared" si="315"/>
        <v>5</v>
      </c>
      <c r="R1483" s="131">
        <f t="shared" si="323"/>
        <v>438.48</v>
      </c>
      <c r="S1483" s="130"/>
      <c r="T1483" s="130"/>
      <c r="U1483" s="130">
        <f t="shared" si="316"/>
        <v>5</v>
      </c>
      <c r="V1483" s="131">
        <f t="shared" si="324"/>
        <v>438.48</v>
      </c>
      <c r="W1483" s="130"/>
      <c r="X1483" s="130"/>
      <c r="Y1483" s="130"/>
      <c r="Z1483" s="130"/>
      <c r="AA1483" s="130">
        <f t="shared" si="317"/>
        <v>5</v>
      </c>
      <c r="AB1483" s="131">
        <f t="shared" si="325"/>
        <v>438.48</v>
      </c>
      <c r="AC1483" s="130"/>
      <c r="AD1483" s="130"/>
      <c r="AE1483" s="130">
        <f t="shared" si="317"/>
        <v>5</v>
      </c>
      <c r="AF1483" s="131">
        <f t="shared" si="326"/>
        <v>438.48</v>
      </c>
      <c r="AG1483" s="130"/>
      <c r="AH1483" s="130"/>
      <c r="AI1483" s="130"/>
      <c r="AJ1483" s="130"/>
      <c r="AK1483" s="131">
        <f t="shared" si="320"/>
        <v>1753.92</v>
      </c>
      <c r="AL1483" s="335">
        <f t="shared" si="321"/>
        <v>0</v>
      </c>
      <c r="AM1483" s="130">
        <f t="shared" si="322"/>
        <v>20</v>
      </c>
      <c r="AN1483" s="336">
        <f t="shared" si="328"/>
        <v>0</v>
      </c>
    </row>
    <row r="1484" spans="1:40" s="108" customFormat="1" ht="66" x14ac:dyDescent="0.25">
      <c r="A1484" s="9"/>
      <c r="B1484" s="43" t="s">
        <v>241</v>
      </c>
      <c r="C1484" s="1024"/>
      <c r="D1484" s="869">
        <v>10</v>
      </c>
      <c r="E1484" s="1024" t="s">
        <v>1721</v>
      </c>
      <c r="F1484" s="273" t="s">
        <v>3446</v>
      </c>
      <c r="G1484" s="1040" t="s">
        <v>3463</v>
      </c>
      <c r="H1484" s="273" t="s">
        <v>3462</v>
      </c>
      <c r="I1484" s="722">
        <f t="shared" si="318"/>
        <v>18.791999999999998</v>
      </c>
      <c r="J1484" s="759">
        <v>187.92</v>
      </c>
      <c r="K1484" s="131">
        <f t="shared" si="327"/>
        <v>187.92</v>
      </c>
      <c r="L1484" s="335">
        <f t="shared" si="319"/>
        <v>0</v>
      </c>
      <c r="M1484" s="335"/>
      <c r="N1484" s="335"/>
      <c r="O1484" s="335"/>
      <c r="P1484" s="335"/>
      <c r="Q1484" s="130">
        <v>3</v>
      </c>
      <c r="R1484" s="131">
        <f t="shared" si="323"/>
        <v>46.98</v>
      </c>
      <c r="S1484" s="130"/>
      <c r="T1484" s="130"/>
      <c r="U1484" s="130">
        <v>3</v>
      </c>
      <c r="V1484" s="131">
        <f t="shared" si="324"/>
        <v>46.98</v>
      </c>
      <c r="W1484" s="130"/>
      <c r="X1484" s="130"/>
      <c r="Y1484" s="130"/>
      <c r="Z1484" s="130"/>
      <c r="AA1484" s="130">
        <v>2</v>
      </c>
      <c r="AB1484" s="131">
        <f t="shared" si="325"/>
        <v>46.98</v>
      </c>
      <c r="AC1484" s="130"/>
      <c r="AD1484" s="130"/>
      <c r="AE1484" s="130">
        <v>2</v>
      </c>
      <c r="AF1484" s="131">
        <f t="shared" si="326"/>
        <v>46.98</v>
      </c>
      <c r="AG1484" s="130"/>
      <c r="AH1484" s="130"/>
      <c r="AI1484" s="130"/>
      <c r="AJ1484" s="130"/>
      <c r="AK1484" s="131">
        <f t="shared" si="320"/>
        <v>187.92</v>
      </c>
      <c r="AL1484" s="335">
        <f t="shared" si="321"/>
        <v>0</v>
      </c>
      <c r="AM1484" s="130">
        <f t="shared" si="322"/>
        <v>10</v>
      </c>
      <c r="AN1484" s="336">
        <f t="shared" si="328"/>
        <v>0</v>
      </c>
    </row>
    <row r="1485" spans="1:40" s="108" customFormat="1" ht="66" x14ac:dyDescent="0.25">
      <c r="A1485" s="9"/>
      <c r="B1485" s="43" t="s">
        <v>242</v>
      </c>
      <c r="C1485" s="1024"/>
      <c r="D1485" s="869">
        <v>10</v>
      </c>
      <c r="E1485" s="1024" t="s">
        <v>1721</v>
      </c>
      <c r="F1485" s="273" t="s">
        <v>3446</v>
      </c>
      <c r="G1485" s="1040" t="s">
        <v>3463</v>
      </c>
      <c r="H1485" s="273" t="s">
        <v>3462</v>
      </c>
      <c r="I1485" s="722">
        <f t="shared" si="318"/>
        <v>18.791999999999998</v>
      </c>
      <c r="J1485" s="759">
        <v>187.92</v>
      </c>
      <c r="K1485" s="131">
        <f t="shared" si="327"/>
        <v>187.92</v>
      </c>
      <c r="L1485" s="335">
        <f t="shared" si="319"/>
        <v>0</v>
      </c>
      <c r="M1485" s="335"/>
      <c r="N1485" s="335"/>
      <c r="O1485" s="335"/>
      <c r="P1485" s="335"/>
      <c r="Q1485" s="130">
        <v>3</v>
      </c>
      <c r="R1485" s="131">
        <f t="shared" si="323"/>
        <v>46.98</v>
      </c>
      <c r="S1485" s="130"/>
      <c r="T1485" s="130"/>
      <c r="U1485" s="130">
        <v>3</v>
      </c>
      <c r="V1485" s="131">
        <f t="shared" si="324"/>
        <v>46.98</v>
      </c>
      <c r="W1485" s="130"/>
      <c r="X1485" s="130"/>
      <c r="Y1485" s="130"/>
      <c r="Z1485" s="130"/>
      <c r="AA1485" s="130">
        <v>2</v>
      </c>
      <c r="AB1485" s="131">
        <f t="shared" si="325"/>
        <v>46.98</v>
      </c>
      <c r="AC1485" s="130"/>
      <c r="AD1485" s="130"/>
      <c r="AE1485" s="130">
        <v>2</v>
      </c>
      <c r="AF1485" s="131">
        <f t="shared" si="326"/>
        <v>46.98</v>
      </c>
      <c r="AG1485" s="130"/>
      <c r="AH1485" s="130"/>
      <c r="AI1485" s="130"/>
      <c r="AJ1485" s="130"/>
      <c r="AK1485" s="131">
        <f t="shared" si="320"/>
        <v>187.92</v>
      </c>
      <c r="AL1485" s="335">
        <f t="shared" si="321"/>
        <v>0</v>
      </c>
      <c r="AM1485" s="130">
        <f t="shared" si="322"/>
        <v>10</v>
      </c>
      <c r="AN1485" s="336">
        <f t="shared" si="328"/>
        <v>0</v>
      </c>
    </row>
    <row r="1486" spans="1:40" s="108" customFormat="1" ht="66" x14ac:dyDescent="0.25">
      <c r="A1486" s="9"/>
      <c r="B1486" s="43" t="s">
        <v>243</v>
      </c>
      <c r="C1486" s="1024"/>
      <c r="D1486" s="869">
        <v>10</v>
      </c>
      <c r="E1486" s="1024" t="s">
        <v>1721</v>
      </c>
      <c r="F1486" s="273" t="s">
        <v>3446</v>
      </c>
      <c r="G1486" s="1040" t="s">
        <v>3463</v>
      </c>
      <c r="H1486" s="273" t="s">
        <v>3462</v>
      </c>
      <c r="I1486" s="722">
        <f t="shared" si="318"/>
        <v>18.791999999999998</v>
      </c>
      <c r="J1486" s="759">
        <v>187.92</v>
      </c>
      <c r="K1486" s="131">
        <f t="shared" si="327"/>
        <v>187.92</v>
      </c>
      <c r="L1486" s="335">
        <f t="shared" si="319"/>
        <v>0</v>
      </c>
      <c r="M1486" s="335"/>
      <c r="N1486" s="335"/>
      <c r="O1486" s="335"/>
      <c r="P1486" s="335"/>
      <c r="Q1486" s="130">
        <v>3</v>
      </c>
      <c r="R1486" s="131">
        <f t="shared" si="323"/>
        <v>46.98</v>
      </c>
      <c r="S1486" s="130"/>
      <c r="T1486" s="130"/>
      <c r="U1486" s="130">
        <v>3</v>
      </c>
      <c r="V1486" s="131">
        <f t="shared" si="324"/>
        <v>46.98</v>
      </c>
      <c r="W1486" s="130"/>
      <c r="X1486" s="130"/>
      <c r="Y1486" s="130"/>
      <c r="Z1486" s="130"/>
      <c r="AA1486" s="130">
        <v>2</v>
      </c>
      <c r="AB1486" s="131">
        <f t="shared" si="325"/>
        <v>46.98</v>
      </c>
      <c r="AC1486" s="130"/>
      <c r="AD1486" s="130"/>
      <c r="AE1486" s="130">
        <v>2</v>
      </c>
      <c r="AF1486" s="131">
        <f t="shared" si="326"/>
        <v>46.98</v>
      </c>
      <c r="AG1486" s="130"/>
      <c r="AH1486" s="130"/>
      <c r="AI1486" s="130"/>
      <c r="AJ1486" s="130"/>
      <c r="AK1486" s="131">
        <f t="shared" si="320"/>
        <v>187.92</v>
      </c>
      <c r="AL1486" s="335">
        <f t="shared" si="321"/>
        <v>0</v>
      </c>
      <c r="AM1486" s="130">
        <f t="shared" si="322"/>
        <v>10</v>
      </c>
      <c r="AN1486" s="336">
        <f t="shared" si="328"/>
        <v>0</v>
      </c>
    </row>
    <row r="1487" spans="1:40" s="108" customFormat="1" ht="66" x14ac:dyDescent="0.25">
      <c r="A1487" s="9"/>
      <c r="B1487" s="43" t="s">
        <v>244</v>
      </c>
      <c r="C1487" s="1024"/>
      <c r="D1487" s="869">
        <v>10</v>
      </c>
      <c r="E1487" s="1024" t="s">
        <v>1721</v>
      </c>
      <c r="F1487" s="273" t="s">
        <v>3446</v>
      </c>
      <c r="G1487" s="1040" t="s">
        <v>3463</v>
      </c>
      <c r="H1487" s="273" t="s">
        <v>3462</v>
      </c>
      <c r="I1487" s="722">
        <f t="shared" si="318"/>
        <v>18.791999999999998</v>
      </c>
      <c r="J1487" s="759">
        <v>187.92</v>
      </c>
      <c r="K1487" s="131">
        <f t="shared" si="327"/>
        <v>187.92</v>
      </c>
      <c r="L1487" s="335">
        <f t="shared" si="319"/>
        <v>0</v>
      </c>
      <c r="M1487" s="335"/>
      <c r="N1487" s="335"/>
      <c r="O1487" s="335"/>
      <c r="P1487" s="335"/>
      <c r="Q1487" s="130">
        <v>3</v>
      </c>
      <c r="R1487" s="131">
        <f t="shared" si="323"/>
        <v>46.98</v>
      </c>
      <c r="S1487" s="130"/>
      <c r="T1487" s="130"/>
      <c r="U1487" s="130">
        <v>3</v>
      </c>
      <c r="V1487" s="131">
        <f t="shared" si="324"/>
        <v>46.98</v>
      </c>
      <c r="W1487" s="130"/>
      <c r="X1487" s="130"/>
      <c r="Y1487" s="130"/>
      <c r="Z1487" s="130"/>
      <c r="AA1487" s="130">
        <v>2</v>
      </c>
      <c r="AB1487" s="131">
        <f t="shared" si="325"/>
        <v>46.98</v>
      </c>
      <c r="AC1487" s="130"/>
      <c r="AD1487" s="130"/>
      <c r="AE1487" s="130">
        <v>2</v>
      </c>
      <c r="AF1487" s="131">
        <f t="shared" si="326"/>
        <v>46.98</v>
      </c>
      <c r="AG1487" s="130"/>
      <c r="AH1487" s="130"/>
      <c r="AI1487" s="130"/>
      <c r="AJ1487" s="130"/>
      <c r="AK1487" s="131">
        <f t="shared" si="320"/>
        <v>187.92</v>
      </c>
      <c r="AL1487" s="335">
        <f t="shared" si="321"/>
        <v>0</v>
      </c>
      <c r="AM1487" s="130">
        <f t="shared" si="322"/>
        <v>10</v>
      </c>
      <c r="AN1487" s="336">
        <f t="shared" si="328"/>
        <v>0</v>
      </c>
    </row>
    <row r="1488" spans="1:40" s="108" customFormat="1" ht="66" x14ac:dyDescent="0.25">
      <c r="A1488" s="9"/>
      <c r="B1488" s="43" t="s">
        <v>245</v>
      </c>
      <c r="C1488" s="1024"/>
      <c r="D1488" s="869">
        <v>10</v>
      </c>
      <c r="E1488" s="1024" t="s">
        <v>1721</v>
      </c>
      <c r="F1488" s="273" t="s">
        <v>3446</v>
      </c>
      <c r="G1488" s="1040" t="s">
        <v>3463</v>
      </c>
      <c r="H1488" s="273" t="s">
        <v>3462</v>
      </c>
      <c r="I1488" s="722">
        <f t="shared" si="318"/>
        <v>18.791999999999998</v>
      </c>
      <c r="J1488" s="759">
        <v>187.92</v>
      </c>
      <c r="K1488" s="131">
        <f t="shared" si="327"/>
        <v>187.92</v>
      </c>
      <c r="L1488" s="335">
        <f t="shared" si="319"/>
        <v>0</v>
      </c>
      <c r="M1488" s="335"/>
      <c r="N1488" s="335"/>
      <c r="O1488" s="335"/>
      <c r="P1488" s="335"/>
      <c r="Q1488" s="130">
        <v>3</v>
      </c>
      <c r="R1488" s="131">
        <f t="shared" si="323"/>
        <v>46.98</v>
      </c>
      <c r="S1488" s="130"/>
      <c r="T1488" s="130"/>
      <c r="U1488" s="130">
        <v>3</v>
      </c>
      <c r="V1488" s="131">
        <f t="shared" si="324"/>
        <v>46.98</v>
      </c>
      <c r="W1488" s="130"/>
      <c r="X1488" s="130"/>
      <c r="Y1488" s="130"/>
      <c r="Z1488" s="130"/>
      <c r="AA1488" s="130">
        <v>2</v>
      </c>
      <c r="AB1488" s="131">
        <f t="shared" si="325"/>
        <v>46.98</v>
      </c>
      <c r="AC1488" s="130"/>
      <c r="AD1488" s="130"/>
      <c r="AE1488" s="130">
        <v>2</v>
      </c>
      <c r="AF1488" s="131">
        <f t="shared" si="326"/>
        <v>46.98</v>
      </c>
      <c r="AG1488" s="130"/>
      <c r="AH1488" s="130"/>
      <c r="AI1488" s="130"/>
      <c r="AJ1488" s="130"/>
      <c r="AK1488" s="131">
        <f t="shared" si="320"/>
        <v>187.92</v>
      </c>
      <c r="AL1488" s="335">
        <f t="shared" si="321"/>
        <v>0</v>
      </c>
      <c r="AM1488" s="130">
        <f t="shared" si="322"/>
        <v>10</v>
      </c>
      <c r="AN1488" s="336">
        <f t="shared" si="328"/>
        <v>0</v>
      </c>
    </row>
    <row r="1489" spans="1:40" s="108" customFormat="1" ht="66" x14ac:dyDescent="0.25">
      <c r="A1489" s="9"/>
      <c r="B1489" s="43" t="s">
        <v>246</v>
      </c>
      <c r="C1489" s="1024"/>
      <c r="D1489" s="869">
        <v>30</v>
      </c>
      <c r="E1489" s="1024" t="s">
        <v>1721</v>
      </c>
      <c r="F1489" s="273" t="s">
        <v>3446</v>
      </c>
      <c r="G1489" s="1040" t="s">
        <v>3463</v>
      </c>
      <c r="H1489" s="273" t="s">
        <v>3462</v>
      </c>
      <c r="I1489" s="722">
        <f t="shared" si="318"/>
        <v>87</v>
      </c>
      <c r="J1489" s="759">
        <v>2610</v>
      </c>
      <c r="K1489" s="131">
        <f t="shared" si="327"/>
        <v>2610</v>
      </c>
      <c r="L1489" s="335">
        <f t="shared" si="319"/>
        <v>0</v>
      </c>
      <c r="M1489" s="335"/>
      <c r="N1489" s="335"/>
      <c r="O1489" s="335"/>
      <c r="P1489" s="335"/>
      <c r="Q1489" s="110">
        <v>8</v>
      </c>
      <c r="R1489" s="131">
        <f t="shared" si="323"/>
        <v>652.5</v>
      </c>
      <c r="S1489" s="130"/>
      <c r="T1489" s="130"/>
      <c r="U1489" s="110">
        <v>8</v>
      </c>
      <c r="V1489" s="131">
        <f t="shared" si="324"/>
        <v>652.5</v>
      </c>
      <c r="W1489" s="130"/>
      <c r="X1489" s="130"/>
      <c r="Y1489" s="130"/>
      <c r="Z1489" s="130"/>
      <c r="AA1489" s="110">
        <v>7</v>
      </c>
      <c r="AB1489" s="131">
        <f t="shared" si="325"/>
        <v>652.5</v>
      </c>
      <c r="AC1489" s="130"/>
      <c r="AD1489" s="130"/>
      <c r="AE1489" s="110">
        <v>7</v>
      </c>
      <c r="AF1489" s="131">
        <f t="shared" si="326"/>
        <v>652.5</v>
      </c>
      <c r="AG1489" s="130"/>
      <c r="AH1489" s="130"/>
      <c r="AI1489" s="130"/>
      <c r="AJ1489" s="130"/>
      <c r="AK1489" s="131">
        <f t="shared" si="320"/>
        <v>2610</v>
      </c>
      <c r="AL1489" s="335">
        <f t="shared" si="321"/>
        <v>0</v>
      </c>
      <c r="AM1489" s="130">
        <f t="shared" si="322"/>
        <v>30</v>
      </c>
      <c r="AN1489" s="336">
        <f t="shared" si="328"/>
        <v>0</v>
      </c>
    </row>
    <row r="1490" spans="1:40" s="108" customFormat="1" ht="66" x14ac:dyDescent="0.25">
      <c r="A1490" s="9"/>
      <c r="B1490" s="43" t="s">
        <v>247</v>
      </c>
      <c r="C1490" s="1024"/>
      <c r="D1490" s="869">
        <v>15</v>
      </c>
      <c r="E1490" s="1024" t="s">
        <v>1721</v>
      </c>
      <c r="F1490" s="273" t="s">
        <v>3446</v>
      </c>
      <c r="G1490" s="1040" t="s">
        <v>3463</v>
      </c>
      <c r="H1490" s="273" t="s">
        <v>3462</v>
      </c>
      <c r="I1490" s="722">
        <f t="shared" si="318"/>
        <v>34.799999999999997</v>
      </c>
      <c r="J1490" s="759">
        <v>522</v>
      </c>
      <c r="K1490" s="131">
        <f t="shared" si="327"/>
        <v>522</v>
      </c>
      <c r="L1490" s="335">
        <f t="shared" si="319"/>
        <v>0</v>
      </c>
      <c r="M1490" s="335"/>
      <c r="N1490" s="335"/>
      <c r="O1490" s="335"/>
      <c r="P1490" s="335"/>
      <c r="Q1490" s="110">
        <v>4</v>
      </c>
      <c r="R1490" s="131">
        <f t="shared" si="323"/>
        <v>130.5</v>
      </c>
      <c r="S1490" s="130"/>
      <c r="T1490" s="130"/>
      <c r="U1490" s="110">
        <v>4</v>
      </c>
      <c r="V1490" s="131">
        <f t="shared" si="324"/>
        <v>130.5</v>
      </c>
      <c r="W1490" s="130"/>
      <c r="X1490" s="130"/>
      <c r="Y1490" s="130"/>
      <c r="Z1490" s="130"/>
      <c r="AA1490" s="110">
        <v>4</v>
      </c>
      <c r="AB1490" s="131">
        <f t="shared" si="325"/>
        <v>130.5</v>
      </c>
      <c r="AC1490" s="130"/>
      <c r="AD1490" s="130"/>
      <c r="AE1490" s="110">
        <v>3</v>
      </c>
      <c r="AF1490" s="131">
        <f t="shared" si="326"/>
        <v>130.5</v>
      </c>
      <c r="AG1490" s="130"/>
      <c r="AH1490" s="130"/>
      <c r="AI1490" s="130"/>
      <c r="AJ1490" s="130"/>
      <c r="AK1490" s="131">
        <f t="shared" si="320"/>
        <v>522</v>
      </c>
      <c r="AL1490" s="335">
        <f t="shared" si="321"/>
        <v>0</v>
      </c>
      <c r="AM1490" s="130">
        <f t="shared" si="322"/>
        <v>15</v>
      </c>
      <c r="AN1490" s="336">
        <f t="shared" si="328"/>
        <v>0</v>
      </c>
    </row>
    <row r="1491" spans="1:40" s="108" customFormat="1" ht="66" x14ac:dyDescent="0.25">
      <c r="A1491" s="9"/>
      <c r="B1491" s="43" t="s">
        <v>248</v>
      </c>
      <c r="C1491" s="1024"/>
      <c r="D1491" s="869">
        <v>50</v>
      </c>
      <c r="E1491" s="1024" t="s">
        <v>1721</v>
      </c>
      <c r="F1491" s="273" t="s">
        <v>3446</v>
      </c>
      <c r="G1491" s="1040" t="s">
        <v>3463</v>
      </c>
      <c r="H1491" s="273" t="s">
        <v>3462</v>
      </c>
      <c r="I1491" s="722">
        <f t="shared" si="318"/>
        <v>11.275200000000002</v>
      </c>
      <c r="J1491" s="759">
        <v>563.7600000000001</v>
      </c>
      <c r="K1491" s="131">
        <f t="shared" si="327"/>
        <v>563.7600000000001</v>
      </c>
      <c r="L1491" s="335">
        <f t="shared" si="319"/>
        <v>0</v>
      </c>
      <c r="M1491" s="335"/>
      <c r="N1491" s="335"/>
      <c r="O1491" s="335"/>
      <c r="P1491" s="335"/>
      <c r="Q1491" s="110">
        <v>13</v>
      </c>
      <c r="R1491" s="131">
        <f t="shared" si="323"/>
        <v>140.94000000000003</v>
      </c>
      <c r="S1491" s="130"/>
      <c r="T1491" s="130"/>
      <c r="U1491" s="110">
        <v>12</v>
      </c>
      <c r="V1491" s="131">
        <f t="shared" si="324"/>
        <v>140.94000000000003</v>
      </c>
      <c r="W1491" s="130"/>
      <c r="X1491" s="130"/>
      <c r="Y1491" s="130"/>
      <c r="Z1491" s="130"/>
      <c r="AA1491" s="110">
        <v>12</v>
      </c>
      <c r="AB1491" s="131">
        <f t="shared" si="325"/>
        <v>140.94000000000003</v>
      </c>
      <c r="AC1491" s="130"/>
      <c r="AD1491" s="130"/>
      <c r="AE1491" s="110">
        <v>13</v>
      </c>
      <c r="AF1491" s="131">
        <f t="shared" si="326"/>
        <v>140.94000000000003</v>
      </c>
      <c r="AG1491" s="130"/>
      <c r="AH1491" s="130"/>
      <c r="AI1491" s="130"/>
      <c r="AJ1491" s="130"/>
      <c r="AK1491" s="131">
        <f t="shared" si="320"/>
        <v>563.7600000000001</v>
      </c>
      <c r="AL1491" s="335">
        <f t="shared" si="321"/>
        <v>0</v>
      </c>
      <c r="AM1491" s="130">
        <f t="shared" si="322"/>
        <v>50</v>
      </c>
      <c r="AN1491" s="336">
        <f t="shared" si="328"/>
        <v>0</v>
      </c>
    </row>
    <row r="1492" spans="1:40" s="108" customFormat="1" ht="66" x14ac:dyDescent="0.25">
      <c r="A1492" s="9"/>
      <c r="B1492" s="43" t="s">
        <v>249</v>
      </c>
      <c r="C1492" s="1024"/>
      <c r="D1492" s="869">
        <v>20</v>
      </c>
      <c r="E1492" s="1024" t="s">
        <v>1721</v>
      </c>
      <c r="F1492" s="273" t="s">
        <v>3446</v>
      </c>
      <c r="G1492" s="1040" t="s">
        <v>3463</v>
      </c>
      <c r="H1492" s="273" t="s">
        <v>3462</v>
      </c>
      <c r="I1492" s="722">
        <f t="shared" si="318"/>
        <v>7.5284000000000004</v>
      </c>
      <c r="J1492" s="759">
        <v>150.56800000000001</v>
      </c>
      <c r="K1492" s="131">
        <f t="shared" si="327"/>
        <v>150.56800000000001</v>
      </c>
      <c r="L1492" s="335">
        <f t="shared" si="319"/>
        <v>0</v>
      </c>
      <c r="M1492" s="335"/>
      <c r="N1492" s="335"/>
      <c r="O1492" s="335"/>
      <c r="P1492" s="335"/>
      <c r="Q1492" s="130">
        <f t="shared" si="315"/>
        <v>5</v>
      </c>
      <c r="R1492" s="131">
        <f t="shared" si="323"/>
        <v>37.642000000000003</v>
      </c>
      <c r="S1492" s="130"/>
      <c r="T1492" s="130"/>
      <c r="U1492" s="130">
        <f t="shared" si="316"/>
        <v>5</v>
      </c>
      <c r="V1492" s="131">
        <f t="shared" si="324"/>
        <v>37.642000000000003</v>
      </c>
      <c r="W1492" s="130"/>
      <c r="X1492" s="130"/>
      <c r="Y1492" s="130"/>
      <c r="Z1492" s="130"/>
      <c r="AA1492" s="130">
        <f t="shared" si="317"/>
        <v>5</v>
      </c>
      <c r="AB1492" s="131">
        <f t="shared" si="325"/>
        <v>37.642000000000003</v>
      </c>
      <c r="AC1492" s="130"/>
      <c r="AD1492" s="130"/>
      <c r="AE1492" s="130">
        <f t="shared" si="317"/>
        <v>5</v>
      </c>
      <c r="AF1492" s="131">
        <f t="shared" si="326"/>
        <v>37.642000000000003</v>
      </c>
      <c r="AG1492" s="130"/>
      <c r="AH1492" s="130"/>
      <c r="AI1492" s="130"/>
      <c r="AJ1492" s="130"/>
      <c r="AK1492" s="131">
        <f t="shared" si="320"/>
        <v>150.56800000000001</v>
      </c>
      <c r="AL1492" s="335">
        <f t="shared" si="321"/>
        <v>0</v>
      </c>
      <c r="AM1492" s="130">
        <f t="shared" si="322"/>
        <v>20</v>
      </c>
      <c r="AN1492" s="336">
        <f t="shared" si="328"/>
        <v>0</v>
      </c>
    </row>
    <row r="1493" spans="1:40" s="108" customFormat="1" ht="66" x14ac:dyDescent="0.25">
      <c r="A1493" s="9"/>
      <c r="B1493" s="43" t="s">
        <v>250</v>
      </c>
      <c r="C1493" s="1024"/>
      <c r="D1493" s="869">
        <v>20</v>
      </c>
      <c r="E1493" s="1024" t="s">
        <v>1721</v>
      </c>
      <c r="F1493" s="273" t="s">
        <v>3446</v>
      </c>
      <c r="G1493" s="1040" t="s">
        <v>3463</v>
      </c>
      <c r="H1493" s="273" t="s">
        <v>3462</v>
      </c>
      <c r="I1493" s="722">
        <f t="shared" si="318"/>
        <v>7.5284000000000004</v>
      </c>
      <c r="J1493" s="759">
        <v>150.56800000000001</v>
      </c>
      <c r="K1493" s="131">
        <f t="shared" si="327"/>
        <v>150.56800000000001</v>
      </c>
      <c r="L1493" s="335">
        <f t="shared" si="319"/>
        <v>0</v>
      </c>
      <c r="M1493" s="335"/>
      <c r="N1493" s="335"/>
      <c r="O1493" s="335"/>
      <c r="P1493" s="335"/>
      <c r="Q1493" s="130">
        <f t="shared" si="315"/>
        <v>5</v>
      </c>
      <c r="R1493" s="131">
        <f t="shared" si="323"/>
        <v>37.642000000000003</v>
      </c>
      <c r="S1493" s="130"/>
      <c r="T1493" s="130"/>
      <c r="U1493" s="130">
        <f t="shared" si="316"/>
        <v>5</v>
      </c>
      <c r="V1493" s="131">
        <f t="shared" si="324"/>
        <v>37.642000000000003</v>
      </c>
      <c r="W1493" s="130"/>
      <c r="X1493" s="130"/>
      <c r="Y1493" s="130"/>
      <c r="Z1493" s="130"/>
      <c r="AA1493" s="130">
        <f t="shared" si="317"/>
        <v>5</v>
      </c>
      <c r="AB1493" s="131">
        <f t="shared" si="325"/>
        <v>37.642000000000003</v>
      </c>
      <c r="AC1493" s="130"/>
      <c r="AD1493" s="130"/>
      <c r="AE1493" s="130">
        <f t="shared" si="317"/>
        <v>5</v>
      </c>
      <c r="AF1493" s="131">
        <f t="shared" si="326"/>
        <v>37.642000000000003</v>
      </c>
      <c r="AG1493" s="130"/>
      <c r="AH1493" s="130"/>
      <c r="AI1493" s="130"/>
      <c r="AJ1493" s="130"/>
      <c r="AK1493" s="131">
        <f t="shared" si="320"/>
        <v>150.56800000000001</v>
      </c>
      <c r="AL1493" s="335">
        <f t="shared" si="321"/>
        <v>0</v>
      </c>
      <c r="AM1493" s="130">
        <f t="shared" si="322"/>
        <v>20</v>
      </c>
      <c r="AN1493" s="336">
        <f t="shared" si="328"/>
        <v>0</v>
      </c>
    </row>
    <row r="1494" spans="1:40" s="108" customFormat="1" ht="66" x14ac:dyDescent="0.25">
      <c r="A1494" s="9"/>
      <c r="B1494" s="43" t="s">
        <v>251</v>
      </c>
      <c r="C1494" s="1024"/>
      <c r="D1494" s="869">
        <v>20</v>
      </c>
      <c r="E1494" s="1024" t="s">
        <v>1721</v>
      </c>
      <c r="F1494" s="273" t="s">
        <v>3446</v>
      </c>
      <c r="G1494" s="1040" t="s">
        <v>3463</v>
      </c>
      <c r="H1494" s="273" t="s">
        <v>3462</v>
      </c>
      <c r="I1494" s="722">
        <f t="shared" si="318"/>
        <v>7.5284000000000004</v>
      </c>
      <c r="J1494" s="759">
        <v>150.56800000000001</v>
      </c>
      <c r="K1494" s="131">
        <f t="shared" si="327"/>
        <v>150.56800000000001</v>
      </c>
      <c r="L1494" s="335">
        <f t="shared" si="319"/>
        <v>0</v>
      </c>
      <c r="M1494" s="335"/>
      <c r="N1494" s="335"/>
      <c r="O1494" s="335"/>
      <c r="P1494" s="335"/>
      <c r="Q1494" s="130">
        <f t="shared" si="315"/>
        <v>5</v>
      </c>
      <c r="R1494" s="131">
        <f t="shared" si="323"/>
        <v>37.642000000000003</v>
      </c>
      <c r="S1494" s="130"/>
      <c r="T1494" s="130"/>
      <c r="U1494" s="130">
        <f t="shared" si="316"/>
        <v>5</v>
      </c>
      <c r="V1494" s="131">
        <f t="shared" si="324"/>
        <v>37.642000000000003</v>
      </c>
      <c r="W1494" s="130"/>
      <c r="X1494" s="130"/>
      <c r="Y1494" s="130"/>
      <c r="Z1494" s="130"/>
      <c r="AA1494" s="130">
        <f t="shared" si="317"/>
        <v>5</v>
      </c>
      <c r="AB1494" s="131">
        <f t="shared" si="325"/>
        <v>37.642000000000003</v>
      </c>
      <c r="AC1494" s="130"/>
      <c r="AD1494" s="130"/>
      <c r="AE1494" s="130">
        <f t="shared" si="317"/>
        <v>5</v>
      </c>
      <c r="AF1494" s="131">
        <f t="shared" si="326"/>
        <v>37.642000000000003</v>
      </c>
      <c r="AG1494" s="130"/>
      <c r="AH1494" s="130"/>
      <c r="AI1494" s="130"/>
      <c r="AJ1494" s="130"/>
      <c r="AK1494" s="131">
        <f t="shared" si="320"/>
        <v>150.56800000000001</v>
      </c>
      <c r="AL1494" s="335">
        <f t="shared" si="321"/>
        <v>0</v>
      </c>
      <c r="AM1494" s="130">
        <f t="shared" si="322"/>
        <v>20</v>
      </c>
      <c r="AN1494" s="336">
        <f t="shared" si="328"/>
        <v>0</v>
      </c>
    </row>
    <row r="1495" spans="1:40" s="108" customFormat="1" ht="66" x14ac:dyDescent="0.25">
      <c r="A1495" s="9"/>
      <c r="B1495" s="43" t="s">
        <v>252</v>
      </c>
      <c r="C1495" s="1024"/>
      <c r="D1495" s="869">
        <v>20</v>
      </c>
      <c r="E1495" s="1024" t="s">
        <v>1721</v>
      </c>
      <c r="F1495" s="273" t="s">
        <v>3446</v>
      </c>
      <c r="G1495" s="1040" t="s">
        <v>3463</v>
      </c>
      <c r="H1495" s="273" t="s">
        <v>3462</v>
      </c>
      <c r="I1495" s="722">
        <f t="shared" si="318"/>
        <v>7.5284000000000004</v>
      </c>
      <c r="J1495" s="759">
        <v>150.56800000000001</v>
      </c>
      <c r="K1495" s="131">
        <f t="shared" si="327"/>
        <v>150.56800000000001</v>
      </c>
      <c r="L1495" s="335">
        <f t="shared" si="319"/>
        <v>0</v>
      </c>
      <c r="M1495" s="335"/>
      <c r="N1495" s="335"/>
      <c r="O1495" s="335"/>
      <c r="P1495" s="335"/>
      <c r="Q1495" s="130">
        <f t="shared" si="315"/>
        <v>5</v>
      </c>
      <c r="R1495" s="131">
        <f t="shared" si="323"/>
        <v>37.642000000000003</v>
      </c>
      <c r="S1495" s="130"/>
      <c r="T1495" s="130"/>
      <c r="U1495" s="130">
        <f t="shared" si="316"/>
        <v>5</v>
      </c>
      <c r="V1495" s="131">
        <f t="shared" si="324"/>
        <v>37.642000000000003</v>
      </c>
      <c r="W1495" s="130"/>
      <c r="X1495" s="130"/>
      <c r="Y1495" s="130"/>
      <c r="Z1495" s="130"/>
      <c r="AA1495" s="130">
        <f t="shared" si="317"/>
        <v>5</v>
      </c>
      <c r="AB1495" s="131">
        <f t="shared" si="325"/>
        <v>37.642000000000003</v>
      </c>
      <c r="AC1495" s="130"/>
      <c r="AD1495" s="130"/>
      <c r="AE1495" s="130">
        <f t="shared" si="317"/>
        <v>5</v>
      </c>
      <c r="AF1495" s="131">
        <f t="shared" si="326"/>
        <v>37.642000000000003</v>
      </c>
      <c r="AG1495" s="130"/>
      <c r="AH1495" s="130"/>
      <c r="AI1495" s="130"/>
      <c r="AJ1495" s="130"/>
      <c r="AK1495" s="131">
        <f t="shared" si="320"/>
        <v>150.56800000000001</v>
      </c>
      <c r="AL1495" s="335">
        <f t="shared" si="321"/>
        <v>0</v>
      </c>
      <c r="AM1495" s="130">
        <f t="shared" si="322"/>
        <v>20</v>
      </c>
      <c r="AN1495" s="336">
        <f t="shared" si="328"/>
        <v>0</v>
      </c>
    </row>
    <row r="1496" spans="1:40" s="108" customFormat="1" ht="66" x14ac:dyDescent="0.25">
      <c r="A1496" s="9"/>
      <c r="B1496" s="43" t="s">
        <v>253</v>
      </c>
      <c r="C1496" s="1024"/>
      <c r="D1496" s="869">
        <v>20</v>
      </c>
      <c r="E1496" s="1024" t="s">
        <v>1721</v>
      </c>
      <c r="F1496" s="273" t="s">
        <v>3446</v>
      </c>
      <c r="G1496" s="1040" t="s">
        <v>3463</v>
      </c>
      <c r="H1496" s="273" t="s">
        <v>3462</v>
      </c>
      <c r="I1496" s="722">
        <f t="shared" si="318"/>
        <v>7.5284000000000004</v>
      </c>
      <c r="J1496" s="759">
        <v>150.56800000000001</v>
      </c>
      <c r="K1496" s="131">
        <f t="shared" si="327"/>
        <v>150.56800000000001</v>
      </c>
      <c r="L1496" s="335">
        <f t="shared" si="319"/>
        <v>0</v>
      </c>
      <c r="M1496" s="335"/>
      <c r="N1496" s="335"/>
      <c r="O1496" s="335"/>
      <c r="P1496" s="335"/>
      <c r="Q1496" s="130">
        <f t="shared" si="315"/>
        <v>5</v>
      </c>
      <c r="R1496" s="131">
        <f t="shared" si="323"/>
        <v>37.642000000000003</v>
      </c>
      <c r="S1496" s="130"/>
      <c r="T1496" s="130"/>
      <c r="U1496" s="130">
        <f t="shared" si="316"/>
        <v>5</v>
      </c>
      <c r="V1496" s="131">
        <f t="shared" si="324"/>
        <v>37.642000000000003</v>
      </c>
      <c r="W1496" s="130"/>
      <c r="X1496" s="130"/>
      <c r="Y1496" s="130"/>
      <c r="Z1496" s="130"/>
      <c r="AA1496" s="130">
        <f t="shared" si="317"/>
        <v>5</v>
      </c>
      <c r="AB1496" s="131">
        <f t="shared" si="325"/>
        <v>37.642000000000003</v>
      </c>
      <c r="AC1496" s="130"/>
      <c r="AD1496" s="130"/>
      <c r="AE1496" s="130">
        <f t="shared" si="317"/>
        <v>5</v>
      </c>
      <c r="AF1496" s="131">
        <f t="shared" si="326"/>
        <v>37.642000000000003</v>
      </c>
      <c r="AG1496" s="130"/>
      <c r="AH1496" s="130"/>
      <c r="AI1496" s="130"/>
      <c r="AJ1496" s="130"/>
      <c r="AK1496" s="131">
        <f t="shared" si="320"/>
        <v>150.56800000000001</v>
      </c>
      <c r="AL1496" s="335">
        <f t="shared" si="321"/>
        <v>0</v>
      </c>
      <c r="AM1496" s="130">
        <f t="shared" si="322"/>
        <v>20</v>
      </c>
      <c r="AN1496" s="336">
        <f t="shared" si="328"/>
        <v>0</v>
      </c>
    </row>
    <row r="1497" spans="1:40" s="108" customFormat="1" ht="66" x14ac:dyDescent="0.25">
      <c r="A1497" s="9"/>
      <c r="B1497" s="43" t="s">
        <v>254</v>
      </c>
      <c r="C1497" s="1024"/>
      <c r="D1497" s="869">
        <v>20</v>
      </c>
      <c r="E1497" s="1024" t="s">
        <v>1721</v>
      </c>
      <c r="F1497" s="273" t="s">
        <v>3446</v>
      </c>
      <c r="G1497" s="1040" t="s">
        <v>3463</v>
      </c>
      <c r="H1497" s="273" t="s">
        <v>3462</v>
      </c>
      <c r="I1497" s="722">
        <f t="shared" si="318"/>
        <v>7.5284000000000004</v>
      </c>
      <c r="J1497" s="759">
        <v>150.56800000000001</v>
      </c>
      <c r="K1497" s="131">
        <f t="shared" si="327"/>
        <v>150.56800000000001</v>
      </c>
      <c r="L1497" s="335">
        <f t="shared" si="319"/>
        <v>0</v>
      </c>
      <c r="M1497" s="335"/>
      <c r="N1497" s="335"/>
      <c r="O1497" s="335"/>
      <c r="P1497" s="335"/>
      <c r="Q1497" s="130">
        <f t="shared" si="315"/>
        <v>5</v>
      </c>
      <c r="R1497" s="131">
        <f t="shared" si="323"/>
        <v>37.642000000000003</v>
      </c>
      <c r="S1497" s="130"/>
      <c r="T1497" s="130"/>
      <c r="U1497" s="130">
        <f t="shared" si="316"/>
        <v>5</v>
      </c>
      <c r="V1497" s="131">
        <f t="shared" si="324"/>
        <v>37.642000000000003</v>
      </c>
      <c r="W1497" s="130"/>
      <c r="X1497" s="130"/>
      <c r="Y1497" s="130"/>
      <c r="Z1497" s="130"/>
      <c r="AA1497" s="130">
        <f t="shared" si="317"/>
        <v>5</v>
      </c>
      <c r="AB1497" s="131">
        <f t="shared" si="325"/>
        <v>37.642000000000003</v>
      </c>
      <c r="AC1497" s="130"/>
      <c r="AD1497" s="130"/>
      <c r="AE1497" s="130">
        <f t="shared" si="317"/>
        <v>5</v>
      </c>
      <c r="AF1497" s="131">
        <f t="shared" si="326"/>
        <v>37.642000000000003</v>
      </c>
      <c r="AG1497" s="130"/>
      <c r="AH1497" s="130"/>
      <c r="AI1497" s="130"/>
      <c r="AJ1497" s="130"/>
      <c r="AK1497" s="131">
        <f t="shared" si="320"/>
        <v>150.56800000000001</v>
      </c>
      <c r="AL1497" s="335">
        <f t="shared" si="321"/>
        <v>0</v>
      </c>
      <c r="AM1497" s="130">
        <f t="shared" si="322"/>
        <v>20</v>
      </c>
      <c r="AN1497" s="336">
        <f t="shared" si="328"/>
        <v>0</v>
      </c>
    </row>
    <row r="1498" spans="1:40" s="108" customFormat="1" ht="66" x14ac:dyDescent="0.25">
      <c r="A1498" s="9"/>
      <c r="B1498" s="43" t="s">
        <v>255</v>
      </c>
      <c r="C1498" s="1024"/>
      <c r="D1498" s="869">
        <v>20</v>
      </c>
      <c r="E1498" s="1024" t="s">
        <v>1721</v>
      </c>
      <c r="F1498" s="273" t="s">
        <v>3446</v>
      </c>
      <c r="G1498" s="1040" t="s">
        <v>3463</v>
      </c>
      <c r="H1498" s="273" t="s">
        <v>3462</v>
      </c>
      <c r="I1498" s="722">
        <f t="shared" si="318"/>
        <v>1.8792000000000002</v>
      </c>
      <c r="J1498" s="759">
        <v>37.584000000000003</v>
      </c>
      <c r="K1498" s="131">
        <f t="shared" si="327"/>
        <v>37.584000000000003</v>
      </c>
      <c r="L1498" s="335">
        <f t="shared" si="319"/>
        <v>0</v>
      </c>
      <c r="M1498" s="335"/>
      <c r="N1498" s="335"/>
      <c r="O1498" s="335"/>
      <c r="P1498" s="335"/>
      <c r="Q1498" s="130">
        <f t="shared" si="315"/>
        <v>5</v>
      </c>
      <c r="R1498" s="131">
        <f t="shared" si="323"/>
        <v>9.3960000000000008</v>
      </c>
      <c r="S1498" s="130"/>
      <c r="T1498" s="130"/>
      <c r="U1498" s="130">
        <f t="shared" si="316"/>
        <v>5</v>
      </c>
      <c r="V1498" s="131">
        <f t="shared" si="324"/>
        <v>9.3960000000000008</v>
      </c>
      <c r="W1498" s="130"/>
      <c r="X1498" s="130"/>
      <c r="Y1498" s="130"/>
      <c r="Z1498" s="130"/>
      <c r="AA1498" s="130">
        <f t="shared" ref="AA1498:AE1554" si="329">+$D1498/4</f>
        <v>5</v>
      </c>
      <c r="AB1498" s="131">
        <f t="shared" si="325"/>
        <v>9.3960000000000008</v>
      </c>
      <c r="AC1498" s="130"/>
      <c r="AD1498" s="130"/>
      <c r="AE1498" s="130">
        <f t="shared" si="329"/>
        <v>5</v>
      </c>
      <c r="AF1498" s="131">
        <f t="shared" si="326"/>
        <v>9.3960000000000008</v>
      </c>
      <c r="AG1498" s="130"/>
      <c r="AH1498" s="130"/>
      <c r="AI1498" s="130"/>
      <c r="AJ1498" s="130"/>
      <c r="AK1498" s="131">
        <f t="shared" si="320"/>
        <v>37.584000000000003</v>
      </c>
      <c r="AL1498" s="335">
        <f t="shared" si="321"/>
        <v>0</v>
      </c>
      <c r="AM1498" s="130">
        <f t="shared" si="322"/>
        <v>20</v>
      </c>
      <c r="AN1498" s="336">
        <f t="shared" si="328"/>
        <v>0</v>
      </c>
    </row>
    <row r="1499" spans="1:40" s="108" customFormat="1" ht="66" x14ac:dyDescent="0.25">
      <c r="A1499" s="9"/>
      <c r="B1499" s="43" t="s">
        <v>256</v>
      </c>
      <c r="C1499" s="1024"/>
      <c r="D1499" s="869">
        <v>20</v>
      </c>
      <c r="E1499" s="1024" t="s">
        <v>1721</v>
      </c>
      <c r="F1499" s="273" t="s">
        <v>3446</v>
      </c>
      <c r="G1499" s="1040" t="s">
        <v>3463</v>
      </c>
      <c r="H1499" s="273" t="s">
        <v>3462</v>
      </c>
      <c r="I1499" s="722">
        <f t="shared" si="318"/>
        <v>1.8792000000000002</v>
      </c>
      <c r="J1499" s="759">
        <v>37.584000000000003</v>
      </c>
      <c r="K1499" s="131">
        <f t="shared" si="327"/>
        <v>37.584000000000003</v>
      </c>
      <c r="L1499" s="335">
        <f t="shared" si="319"/>
        <v>0</v>
      </c>
      <c r="M1499" s="335"/>
      <c r="N1499" s="335"/>
      <c r="O1499" s="335"/>
      <c r="P1499" s="335"/>
      <c r="Q1499" s="130">
        <f t="shared" ref="Q1499:Q1554" si="330">+$D1499/4</f>
        <v>5</v>
      </c>
      <c r="R1499" s="131">
        <f t="shared" si="323"/>
        <v>9.3960000000000008</v>
      </c>
      <c r="S1499" s="130"/>
      <c r="T1499" s="130"/>
      <c r="U1499" s="130">
        <f t="shared" ref="U1499:U1554" si="331">+$D1499/4</f>
        <v>5</v>
      </c>
      <c r="V1499" s="131">
        <f t="shared" si="324"/>
        <v>9.3960000000000008</v>
      </c>
      <c r="W1499" s="130"/>
      <c r="X1499" s="130"/>
      <c r="Y1499" s="130"/>
      <c r="Z1499" s="130"/>
      <c r="AA1499" s="130">
        <f t="shared" si="329"/>
        <v>5</v>
      </c>
      <c r="AB1499" s="131">
        <f t="shared" si="325"/>
        <v>9.3960000000000008</v>
      </c>
      <c r="AC1499" s="130"/>
      <c r="AD1499" s="130"/>
      <c r="AE1499" s="130">
        <f t="shared" si="329"/>
        <v>5</v>
      </c>
      <c r="AF1499" s="131">
        <f t="shared" si="326"/>
        <v>9.3960000000000008</v>
      </c>
      <c r="AG1499" s="130"/>
      <c r="AH1499" s="130"/>
      <c r="AI1499" s="130"/>
      <c r="AJ1499" s="130"/>
      <c r="AK1499" s="131">
        <f t="shared" si="320"/>
        <v>37.584000000000003</v>
      </c>
      <c r="AL1499" s="335">
        <f t="shared" si="321"/>
        <v>0</v>
      </c>
      <c r="AM1499" s="130">
        <f t="shared" si="322"/>
        <v>20</v>
      </c>
      <c r="AN1499" s="336">
        <f t="shared" si="328"/>
        <v>0</v>
      </c>
    </row>
    <row r="1500" spans="1:40" s="108" customFormat="1" ht="66" x14ac:dyDescent="0.25">
      <c r="A1500" s="9"/>
      <c r="B1500" s="43" t="s">
        <v>257</v>
      </c>
      <c r="C1500" s="1024"/>
      <c r="D1500" s="869">
        <v>20</v>
      </c>
      <c r="E1500" s="1024" t="s">
        <v>1721</v>
      </c>
      <c r="F1500" s="273" t="s">
        <v>3446</v>
      </c>
      <c r="G1500" s="1040" t="s">
        <v>3463</v>
      </c>
      <c r="H1500" s="273" t="s">
        <v>3462</v>
      </c>
      <c r="I1500" s="722">
        <f t="shared" si="318"/>
        <v>1.8792000000000002</v>
      </c>
      <c r="J1500" s="759">
        <v>37.584000000000003</v>
      </c>
      <c r="K1500" s="131">
        <f t="shared" si="327"/>
        <v>37.584000000000003</v>
      </c>
      <c r="L1500" s="335">
        <f t="shared" si="319"/>
        <v>0</v>
      </c>
      <c r="M1500" s="335"/>
      <c r="N1500" s="335"/>
      <c r="O1500" s="335"/>
      <c r="P1500" s="335"/>
      <c r="Q1500" s="130">
        <f t="shared" si="330"/>
        <v>5</v>
      </c>
      <c r="R1500" s="131">
        <f t="shared" si="323"/>
        <v>9.3960000000000008</v>
      </c>
      <c r="S1500" s="130"/>
      <c r="T1500" s="130"/>
      <c r="U1500" s="130">
        <f t="shared" si="331"/>
        <v>5</v>
      </c>
      <c r="V1500" s="131">
        <f t="shared" si="324"/>
        <v>9.3960000000000008</v>
      </c>
      <c r="W1500" s="130"/>
      <c r="X1500" s="130"/>
      <c r="Y1500" s="130"/>
      <c r="Z1500" s="130"/>
      <c r="AA1500" s="130">
        <f t="shared" si="329"/>
        <v>5</v>
      </c>
      <c r="AB1500" s="131">
        <f t="shared" si="325"/>
        <v>9.3960000000000008</v>
      </c>
      <c r="AC1500" s="130"/>
      <c r="AD1500" s="130"/>
      <c r="AE1500" s="130">
        <f t="shared" si="329"/>
        <v>5</v>
      </c>
      <c r="AF1500" s="131">
        <f t="shared" si="326"/>
        <v>9.3960000000000008</v>
      </c>
      <c r="AG1500" s="130"/>
      <c r="AH1500" s="130"/>
      <c r="AI1500" s="130"/>
      <c r="AJ1500" s="130"/>
      <c r="AK1500" s="131">
        <f t="shared" si="320"/>
        <v>37.584000000000003</v>
      </c>
      <c r="AL1500" s="335">
        <f t="shared" si="321"/>
        <v>0</v>
      </c>
      <c r="AM1500" s="130">
        <f t="shared" si="322"/>
        <v>20</v>
      </c>
      <c r="AN1500" s="336">
        <f t="shared" si="328"/>
        <v>0</v>
      </c>
    </row>
    <row r="1501" spans="1:40" s="108" customFormat="1" ht="66" x14ac:dyDescent="0.25">
      <c r="A1501" s="9"/>
      <c r="B1501" s="43" t="s">
        <v>258</v>
      </c>
      <c r="C1501" s="1024"/>
      <c r="D1501" s="869">
        <v>20</v>
      </c>
      <c r="E1501" s="1024" t="s">
        <v>1721</v>
      </c>
      <c r="F1501" s="273" t="s">
        <v>3446</v>
      </c>
      <c r="G1501" s="1040" t="s">
        <v>3463</v>
      </c>
      <c r="H1501" s="273" t="s">
        <v>3462</v>
      </c>
      <c r="I1501" s="722">
        <f t="shared" ref="I1501:I1564" si="332">+J1501/D1501</f>
        <v>1.8792000000000002</v>
      </c>
      <c r="J1501" s="759">
        <v>37.584000000000003</v>
      </c>
      <c r="K1501" s="131">
        <f t="shared" si="327"/>
        <v>37.584000000000003</v>
      </c>
      <c r="L1501" s="335">
        <f t="shared" si="319"/>
        <v>0</v>
      </c>
      <c r="M1501" s="335"/>
      <c r="N1501" s="335"/>
      <c r="O1501" s="335"/>
      <c r="P1501" s="335"/>
      <c r="Q1501" s="130">
        <f t="shared" si="330"/>
        <v>5</v>
      </c>
      <c r="R1501" s="131">
        <f t="shared" si="323"/>
        <v>9.3960000000000008</v>
      </c>
      <c r="S1501" s="130"/>
      <c r="T1501" s="130"/>
      <c r="U1501" s="130">
        <f t="shared" si="331"/>
        <v>5</v>
      </c>
      <c r="V1501" s="131">
        <f t="shared" si="324"/>
        <v>9.3960000000000008</v>
      </c>
      <c r="W1501" s="130"/>
      <c r="X1501" s="130"/>
      <c r="Y1501" s="130"/>
      <c r="Z1501" s="130"/>
      <c r="AA1501" s="130">
        <f t="shared" si="329"/>
        <v>5</v>
      </c>
      <c r="AB1501" s="131">
        <f t="shared" si="325"/>
        <v>9.3960000000000008</v>
      </c>
      <c r="AC1501" s="130"/>
      <c r="AD1501" s="130"/>
      <c r="AE1501" s="130">
        <f t="shared" si="329"/>
        <v>5</v>
      </c>
      <c r="AF1501" s="131">
        <f t="shared" si="326"/>
        <v>9.3960000000000008</v>
      </c>
      <c r="AG1501" s="130"/>
      <c r="AH1501" s="130"/>
      <c r="AI1501" s="130"/>
      <c r="AJ1501" s="130"/>
      <c r="AK1501" s="131">
        <f t="shared" si="320"/>
        <v>37.584000000000003</v>
      </c>
      <c r="AL1501" s="335">
        <f t="shared" si="321"/>
        <v>0</v>
      </c>
      <c r="AM1501" s="130">
        <f t="shared" si="322"/>
        <v>20</v>
      </c>
      <c r="AN1501" s="336">
        <f t="shared" si="328"/>
        <v>0</v>
      </c>
    </row>
    <row r="1502" spans="1:40" s="108" customFormat="1" ht="66" x14ac:dyDescent="0.25">
      <c r="A1502" s="9"/>
      <c r="B1502" s="43" t="s">
        <v>259</v>
      </c>
      <c r="C1502" s="1024"/>
      <c r="D1502" s="869">
        <v>20</v>
      </c>
      <c r="E1502" s="1024" t="s">
        <v>1721</v>
      </c>
      <c r="F1502" s="273" t="s">
        <v>3446</v>
      </c>
      <c r="G1502" s="1040" t="s">
        <v>3463</v>
      </c>
      <c r="H1502" s="273" t="s">
        <v>3462</v>
      </c>
      <c r="I1502" s="722">
        <f t="shared" si="332"/>
        <v>1.8792000000000002</v>
      </c>
      <c r="J1502" s="759">
        <v>37.584000000000003</v>
      </c>
      <c r="K1502" s="131">
        <f t="shared" si="327"/>
        <v>37.584000000000003</v>
      </c>
      <c r="L1502" s="335">
        <f t="shared" si="319"/>
        <v>0</v>
      </c>
      <c r="M1502" s="335"/>
      <c r="N1502" s="335"/>
      <c r="O1502" s="335"/>
      <c r="P1502" s="335"/>
      <c r="Q1502" s="130">
        <f t="shared" si="330"/>
        <v>5</v>
      </c>
      <c r="R1502" s="131">
        <f t="shared" si="323"/>
        <v>9.3960000000000008</v>
      </c>
      <c r="S1502" s="130"/>
      <c r="T1502" s="130"/>
      <c r="U1502" s="130">
        <f t="shared" si="331"/>
        <v>5</v>
      </c>
      <c r="V1502" s="131">
        <f t="shared" si="324"/>
        <v>9.3960000000000008</v>
      </c>
      <c r="W1502" s="130"/>
      <c r="X1502" s="130"/>
      <c r="Y1502" s="130"/>
      <c r="Z1502" s="130"/>
      <c r="AA1502" s="130">
        <f t="shared" si="329"/>
        <v>5</v>
      </c>
      <c r="AB1502" s="131">
        <f t="shared" si="325"/>
        <v>9.3960000000000008</v>
      </c>
      <c r="AC1502" s="130"/>
      <c r="AD1502" s="130"/>
      <c r="AE1502" s="130">
        <f t="shared" si="329"/>
        <v>5</v>
      </c>
      <c r="AF1502" s="131">
        <f t="shared" si="326"/>
        <v>9.3960000000000008</v>
      </c>
      <c r="AG1502" s="130"/>
      <c r="AH1502" s="130"/>
      <c r="AI1502" s="130"/>
      <c r="AJ1502" s="130"/>
      <c r="AK1502" s="131">
        <f t="shared" si="320"/>
        <v>37.584000000000003</v>
      </c>
      <c r="AL1502" s="335">
        <f t="shared" si="321"/>
        <v>0</v>
      </c>
      <c r="AM1502" s="130">
        <f t="shared" si="322"/>
        <v>20</v>
      </c>
      <c r="AN1502" s="336">
        <f t="shared" si="328"/>
        <v>0</v>
      </c>
    </row>
    <row r="1503" spans="1:40" s="108" customFormat="1" ht="66" x14ac:dyDescent="0.25">
      <c r="A1503" s="9"/>
      <c r="B1503" s="43" t="s">
        <v>260</v>
      </c>
      <c r="C1503" s="1024"/>
      <c r="D1503" s="869">
        <v>20</v>
      </c>
      <c r="E1503" s="1024" t="s">
        <v>1721</v>
      </c>
      <c r="F1503" s="273" t="s">
        <v>3446</v>
      </c>
      <c r="G1503" s="1040" t="s">
        <v>3463</v>
      </c>
      <c r="H1503" s="273" t="s">
        <v>3462</v>
      </c>
      <c r="I1503" s="722">
        <f t="shared" si="332"/>
        <v>1.8792000000000002</v>
      </c>
      <c r="J1503" s="759">
        <v>37.584000000000003</v>
      </c>
      <c r="K1503" s="131">
        <f t="shared" si="327"/>
        <v>37.584000000000003</v>
      </c>
      <c r="L1503" s="335">
        <f t="shared" si="319"/>
        <v>0</v>
      </c>
      <c r="M1503" s="335"/>
      <c r="N1503" s="335"/>
      <c r="O1503" s="335"/>
      <c r="P1503" s="335"/>
      <c r="Q1503" s="130">
        <f t="shared" si="330"/>
        <v>5</v>
      </c>
      <c r="R1503" s="131">
        <f t="shared" si="323"/>
        <v>9.3960000000000008</v>
      </c>
      <c r="S1503" s="130"/>
      <c r="T1503" s="130"/>
      <c r="U1503" s="130">
        <f t="shared" si="331"/>
        <v>5</v>
      </c>
      <c r="V1503" s="131">
        <f t="shared" si="324"/>
        <v>9.3960000000000008</v>
      </c>
      <c r="W1503" s="130"/>
      <c r="X1503" s="130"/>
      <c r="Y1503" s="130"/>
      <c r="Z1503" s="130"/>
      <c r="AA1503" s="130">
        <f t="shared" si="329"/>
        <v>5</v>
      </c>
      <c r="AB1503" s="131">
        <f t="shared" si="325"/>
        <v>9.3960000000000008</v>
      </c>
      <c r="AC1503" s="130"/>
      <c r="AD1503" s="130"/>
      <c r="AE1503" s="130">
        <f t="shared" si="329"/>
        <v>5</v>
      </c>
      <c r="AF1503" s="131">
        <f t="shared" si="326"/>
        <v>9.3960000000000008</v>
      </c>
      <c r="AG1503" s="130"/>
      <c r="AH1503" s="130"/>
      <c r="AI1503" s="130"/>
      <c r="AJ1503" s="130"/>
      <c r="AK1503" s="131">
        <f t="shared" si="320"/>
        <v>37.584000000000003</v>
      </c>
      <c r="AL1503" s="335">
        <f t="shared" si="321"/>
        <v>0</v>
      </c>
      <c r="AM1503" s="130">
        <f t="shared" si="322"/>
        <v>20</v>
      </c>
      <c r="AN1503" s="336">
        <f t="shared" si="328"/>
        <v>0</v>
      </c>
    </row>
    <row r="1504" spans="1:40" s="108" customFormat="1" ht="66" x14ac:dyDescent="0.25">
      <c r="A1504" s="9"/>
      <c r="B1504" s="43" t="s">
        <v>261</v>
      </c>
      <c r="C1504" s="1024"/>
      <c r="D1504" s="869">
        <v>20</v>
      </c>
      <c r="E1504" s="1024" t="s">
        <v>1721</v>
      </c>
      <c r="F1504" s="273" t="s">
        <v>3446</v>
      </c>
      <c r="G1504" s="1040" t="s">
        <v>3463</v>
      </c>
      <c r="H1504" s="273" t="s">
        <v>3462</v>
      </c>
      <c r="I1504" s="722">
        <f t="shared" si="332"/>
        <v>4.6284000000000001</v>
      </c>
      <c r="J1504" s="759">
        <v>92.567999999999998</v>
      </c>
      <c r="K1504" s="131">
        <f t="shared" si="327"/>
        <v>92.567999999999998</v>
      </c>
      <c r="L1504" s="335">
        <f t="shared" si="319"/>
        <v>0</v>
      </c>
      <c r="M1504" s="335"/>
      <c r="N1504" s="335"/>
      <c r="O1504" s="335"/>
      <c r="P1504" s="335"/>
      <c r="Q1504" s="130">
        <f t="shared" si="330"/>
        <v>5</v>
      </c>
      <c r="R1504" s="131">
        <f t="shared" si="323"/>
        <v>23.141999999999999</v>
      </c>
      <c r="S1504" s="130"/>
      <c r="T1504" s="130"/>
      <c r="U1504" s="130">
        <f t="shared" si="331"/>
        <v>5</v>
      </c>
      <c r="V1504" s="131">
        <f t="shared" si="324"/>
        <v>23.141999999999999</v>
      </c>
      <c r="W1504" s="130"/>
      <c r="X1504" s="130"/>
      <c r="Y1504" s="130"/>
      <c r="Z1504" s="130"/>
      <c r="AA1504" s="130">
        <f t="shared" si="329"/>
        <v>5</v>
      </c>
      <c r="AB1504" s="131">
        <f t="shared" si="325"/>
        <v>23.141999999999999</v>
      </c>
      <c r="AC1504" s="130"/>
      <c r="AD1504" s="130"/>
      <c r="AE1504" s="130">
        <f t="shared" si="329"/>
        <v>5</v>
      </c>
      <c r="AF1504" s="131">
        <f t="shared" si="326"/>
        <v>23.141999999999999</v>
      </c>
      <c r="AG1504" s="130"/>
      <c r="AH1504" s="130"/>
      <c r="AI1504" s="130"/>
      <c r="AJ1504" s="130"/>
      <c r="AK1504" s="131">
        <f t="shared" si="320"/>
        <v>92.567999999999998</v>
      </c>
      <c r="AL1504" s="335">
        <f t="shared" si="321"/>
        <v>0</v>
      </c>
      <c r="AM1504" s="130">
        <f t="shared" si="322"/>
        <v>20</v>
      </c>
      <c r="AN1504" s="336">
        <f t="shared" si="328"/>
        <v>0</v>
      </c>
    </row>
    <row r="1505" spans="1:40" s="108" customFormat="1" ht="66" x14ac:dyDescent="0.25">
      <c r="A1505" s="9"/>
      <c r="B1505" s="43" t="s">
        <v>262</v>
      </c>
      <c r="C1505" s="1024"/>
      <c r="D1505" s="869">
        <v>20</v>
      </c>
      <c r="E1505" s="1024" t="s">
        <v>1721</v>
      </c>
      <c r="F1505" s="273" t="s">
        <v>3446</v>
      </c>
      <c r="G1505" s="1040" t="s">
        <v>3463</v>
      </c>
      <c r="H1505" s="273" t="s">
        <v>3462</v>
      </c>
      <c r="I1505" s="722">
        <f t="shared" si="332"/>
        <v>4.6284000000000001</v>
      </c>
      <c r="J1505" s="759">
        <v>92.567999999999998</v>
      </c>
      <c r="K1505" s="131">
        <f t="shared" si="327"/>
        <v>92.567999999999998</v>
      </c>
      <c r="L1505" s="335">
        <f t="shared" si="319"/>
        <v>0</v>
      </c>
      <c r="M1505" s="335"/>
      <c r="N1505" s="335"/>
      <c r="O1505" s="335"/>
      <c r="P1505" s="335"/>
      <c r="Q1505" s="130">
        <f t="shared" si="330"/>
        <v>5</v>
      </c>
      <c r="R1505" s="131">
        <f t="shared" si="323"/>
        <v>23.141999999999999</v>
      </c>
      <c r="S1505" s="130"/>
      <c r="T1505" s="130"/>
      <c r="U1505" s="130">
        <f t="shared" si="331"/>
        <v>5</v>
      </c>
      <c r="V1505" s="131">
        <f t="shared" si="324"/>
        <v>23.141999999999999</v>
      </c>
      <c r="W1505" s="130"/>
      <c r="X1505" s="130"/>
      <c r="Y1505" s="130"/>
      <c r="Z1505" s="130"/>
      <c r="AA1505" s="130">
        <f t="shared" si="329"/>
        <v>5</v>
      </c>
      <c r="AB1505" s="131">
        <f t="shared" si="325"/>
        <v>23.141999999999999</v>
      </c>
      <c r="AC1505" s="130"/>
      <c r="AD1505" s="130"/>
      <c r="AE1505" s="130">
        <f t="shared" si="329"/>
        <v>5</v>
      </c>
      <c r="AF1505" s="131">
        <f t="shared" si="326"/>
        <v>23.141999999999999</v>
      </c>
      <c r="AG1505" s="130"/>
      <c r="AH1505" s="130"/>
      <c r="AI1505" s="130"/>
      <c r="AJ1505" s="130"/>
      <c r="AK1505" s="131">
        <f t="shared" si="320"/>
        <v>92.567999999999998</v>
      </c>
      <c r="AL1505" s="335">
        <f t="shared" si="321"/>
        <v>0</v>
      </c>
      <c r="AM1505" s="130">
        <f t="shared" si="322"/>
        <v>20</v>
      </c>
      <c r="AN1505" s="336">
        <f t="shared" si="328"/>
        <v>0</v>
      </c>
    </row>
    <row r="1506" spans="1:40" s="108" customFormat="1" ht="66" x14ac:dyDescent="0.25">
      <c r="A1506" s="9"/>
      <c r="B1506" s="43" t="s">
        <v>263</v>
      </c>
      <c r="C1506" s="1024"/>
      <c r="D1506" s="869">
        <v>20</v>
      </c>
      <c r="E1506" s="1024" t="s">
        <v>1721</v>
      </c>
      <c r="F1506" s="273" t="s">
        <v>3446</v>
      </c>
      <c r="G1506" s="1040" t="s">
        <v>3463</v>
      </c>
      <c r="H1506" s="273" t="s">
        <v>3462</v>
      </c>
      <c r="I1506" s="722">
        <f t="shared" si="332"/>
        <v>4.6284000000000001</v>
      </c>
      <c r="J1506" s="759">
        <v>92.567999999999998</v>
      </c>
      <c r="K1506" s="131">
        <f t="shared" si="327"/>
        <v>92.567999999999998</v>
      </c>
      <c r="L1506" s="335">
        <f t="shared" si="319"/>
        <v>0</v>
      </c>
      <c r="M1506" s="335"/>
      <c r="N1506" s="335"/>
      <c r="O1506" s="335"/>
      <c r="P1506" s="335"/>
      <c r="Q1506" s="130">
        <f t="shared" si="330"/>
        <v>5</v>
      </c>
      <c r="R1506" s="131">
        <f t="shared" si="323"/>
        <v>23.141999999999999</v>
      </c>
      <c r="S1506" s="130"/>
      <c r="T1506" s="130"/>
      <c r="U1506" s="130">
        <f t="shared" si="331"/>
        <v>5</v>
      </c>
      <c r="V1506" s="131">
        <f t="shared" si="324"/>
        <v>23.141999999999999</v>
      </c>
      <c r="W1506" s="130"/>
      <c r="X1506" s="130"/>
      <c r="Y1506" s="130"/>
      <c r="Z1506" s="130"/>
      <c r="AA1506" s="130">
        <f t="shared" si="329"/>
        <v>5</v>
      </c>
      <c r="AB1506" s="131">
        <f t="shared" si="325"/>
        <v>23.141999999999999</v>
      </c>
      <c r="AC1506" s="130"/>
      <c r="AD1506" s="130"/>
      <c r="AE1506" s="130">
        <f t="shared" si="329"/>
        <v>5</v>
      </c>
      <c r="AF1506" s="131">
        <f t="shared" si="326"/>
        <v>23.141999999999999</v>
      </c>
      <c r="AG1506" s="130"/>
      <c r="AH1506" s="130"/>
      <c r="AI1506" s="130"/>
      <c r="AJ1506" s="130"/>
      <c r="AK1506" s="131">
        <f t="shared" si="320"/>
        <v>92.567999999999998</v>
      </c>
      <c r="AL1506" s="335">
        <f t="shared" si="321"/>
        <v>0</v>
      </c>
      <c r="AM1506" s="130">
        <f t="shared" si="322"/>
        <v>20</v>
      </c>
      <c r="AN1506" s="336">
        <f t="shared" si="328"/>
        <v>0</v>
      </c>
    </row>
    <row r="1507" spans="1:40" s="108" customFormat="1" ht="66" x14ac:dyDescent="0.25">
      <c r="A1507" s="9"/>
      <c r="B1507" s="43" t="s">
        <v>264</v>
      </c>
      <c r="C1507" s="1024"/>
      <c r="D1507" s="869">
        <v>20</v>
      </c>
      <c r="E1507" s="1024" t="s">
        <v>1721</v>
      </c>
      <c r="F1507" s="273" t="s">
        <v>3446</v>
      </c>
      <c r="G1507" s="1040" t="s">
        <v>3463</v>
      </c>
      <c r="H1507" s="273" t="s">
        <v>3462</v>
      </c>
      <c r="I1507" s="722">
        <f t="shared" si="332"/>
        <v>4.6284000000000001</v>
      </c>
      <c r="J1507" s="759">
        <v>92.567999999999998</v>
      </c>
      <c r="K1507" s="131">
        <f t="shared" si="327"/>
        <v>92.567999999999998</v>
      </c>
      <c r="L1507" s="335">
        <f t="shared" si="319"/>
        <v>0</v>
      </c>
      <c r="M1507" s="335"/>
      <c r="N1507" s="335"/>
      <c r="O1507" s="335"/>
      <c r="P1507" s="335"/>
      <c r="Q1507" s="130">
        <f t="shared" si="330"/>
        <v>5</v>
      </c>
      <c r="R1507" s="131">
        <f t="shared" si="323"/>
        <v>23.141999999999999</v>
      </c>
      <c r="S1507" s="130"/>
      <c r="T1507" s="130"/>
      <c r="U1507" s="130">
        <f t="shared" si="331"/>
        <v>5</v>
      </c>
      <c r="V1507" s="131">
        <f t="shared" si="324"/>
        <v>23.141999999999999</v>
      </c>
      <c r="W1507" s="130"/>
      <c r="X1507" s="130"/>
      <c r="Y1507" s="130"/>
      <c r="Z1507" s="130"/>
      <c r="AA1507" s="130">
        <f t="shared" si="329"/>
        <v>5</v>
      </c>
      <c r="AB1507" s="131">
        <f t="shared" si="325"/>
        <v>23.141999999999999</v>
      </c>
      <c r="AC1507" s="130"/>
      <c r="AD1507" s="130"/>
      <c r="AE1507" s="130">
        <f t="shared" si="329"/>
        <v>5</v>
      </c>
      <c r="AF1507" s="131">
        <f t="shared" si="326"/>
        <v>23.141999999999999</v>
      </c>
      <c r="AG1507" s="130"/>
      <c r="AH1507" s="130"/>
      <c r="AI1507" s="130"/>
      <c r="AJ1507" s="130"/>
      <c r="AK1507" s="131">
        <f t="shared" si="320"/>
        <v>92.567999999999998</v>
      </c>
      <c r="AL1507" s="335">
        <f t="shared" si="321"/>
        <v>0</v>
      </c>
      <c r="AM1507" s="130">
        <f t="shared" si="322"/>
        <v>20</v>
      </c>
      <c r="AN1507" s="336">
        <f t="shared" si="328"/>
        <v>0</v>
      </c>
    </row>
    <row r="1508" spans="1:40" s="108" customFormat="1" ht="66" x14ac:dyDescent="0.25">
      <c r="A1508" s="9"/>
      <c r="B1508" s="43" t="s">
        <v>265</v>
      </c>
      <c r="C1508" s="1024"/>
      <c r="D1508" s="869">
        <v>20</v>
      </c>
      <c r="E1508" s="1024" t="s">
        <v>1721</v>
      </c>
      <c r="F1508" s="273" t="s">
        <v>3446</v>
      </c>
      <c r="G1508" s="1040" t="s">
        <v>3463</v>
      </c>
      <c r="H1508" s="273" t="s">
        <v>3462</v>
      </c>
      <c r="I1508" s="722">
        <f t="shared" si="332"/>
        <v>4.6284000000000001</v>
      </c>
      <c r="J1508" s="759">
        <v>92.567999999999998</v>
      </c>
      <c r="K1508" s="131">
        <f t="shared" si="327"/>
        <v>92.567999999999998</v>
      </c>
      <c r="L1508" s="335">
        <f t="shared" si="319"/>
        <v>0</v>
      </c>
      <c r="M1508" s="335"/>
      <c r="N1508" s="335"/>
      <c r="O1508" s="335"/>
      <c r="P1508" s="335"/>
      <c r="Q1508" s="130">
        <f t="shared" si="330"/>
        <v>5</v>
      </c>
      <c r="R1508" s="131">
        <f t="shared" si="323"/>
        <v>23.141999999999999</v>
      </c>
      <c r="S1508" s="130"/>
      <c r="T1508" s="130"/>
      <c r="U1508" s="130">
        <f t="shared" si="331"/>
        <v>5</v>
      </c>
      <c r="V1508" s="131">
        <f t="shared" si="324"/>
        <v>23.141999999999999</v>
      </c>
      <c r="W1508" s="130"/>
      <c r="X1508" s="130"/>
      <c r="Y1508" s="130"/>
      <c r="Z1508" s="130"/>
      <c r="AA1508" s="130">
        <f t="shared" si="329"/>
        <v>5</v>
      </c>
      <c r="AB1508" s="131">
        <f t="shared" si="325"/>
        <v>23.141999999999999</v>
      </c>
      <c r="AC1508" s="130"/>
      <c r="AD1508" s="130"/>
      <c r="AE1508" s="130">
        <f t="shared" si="329"/>
        <v>5</v>
      </c>
      <c r="AF1508" s="131">
        <f t="shared" si="326"/>
        <v>23.141999999999999</v>
      </c>
      <c r="AG1508" s="130"/>
      <c r="AH1508" s="130"/>
      <c r="AI1508" s="130"/>
      <c r="AJ1508" s="130"/>
      <c r="AK1508" s="131">
        <f t="shared" si="320"/>
        <v>92.567999999999998</v>
      </c>
      <c r="AL1508" s="335">
        <f t="shared" si="321"/>
        <v>0</v>
      </c>
      <c r="AM1508" s="130">
        <f t="shared" si="322"/>
        <v>20</v>
      </c>
      <c r="AN1508" s="336">
        <f t="shared" si="328"/>
        <v>0</v>
      </c>
    </row>
    <row r="1509" spans="1:40" s="108" customFormat="1" ht="66" x14ac:dyDescent="0.25">
      <c r="A1509" s="40"/>
      <c r="B1509" s="43" t="s">
        <v>266</v>
      </c>
      <c r="C1509" s="1028"/>
      <c r="D1509" s="869">
        <v>20</v>
      </c>
      <c r="E1509" s="1024" t="s">
        <v>1721</v>
      </c>
      <c r="F1509" s="273" t="s">
        <v>3446</v>
      </c>
      <c r="G1509" s="1040" t="s">
        <v>3463</v>
      </c>
      <c r="H1509" s="273" t="s">
        <v>3462</v>
      </c>
      <c r="I1509" s="722">
        <f t="shared" si="332"/>
        <v>4.6284000000000001</v>
      </c>
      <c r="J1509" s="756">
        <v>92.567999999999998</v>
      </c>
      <c r="K1509" s="131">
        <f t="shared" si="327"/>
        <v>92.567999999999998</v>
      </c>
      <c r="L1509" s="335">
        <f t="shared" si="319"/>
        <v>0</v>
      </c>
      <c r="M1509" s="335"/>
      <c r="N1509" s="335"/>
      <c r="O1509" s="335"/>
      <c r="P1509" s="335"/>
      <c r="Q1509" s="130">
        <f t="shared" si="330"/>
        <v>5</v>
      </c>
      <c r="R1509" s="131">
        <f t="shared" si="323"/>
        <v>23.141999999999999</v>
      </c>
      <c r="S1509" s="130"/>
      <c r="T1509" s="130"/>
      <c r="U1509" s="130">
        <f t="shared" si="331"/>
        <v>5</v>
      </c>
      <c r="V1509" s="131">
        <f t="shared" si="324"/>
        <v>23.141999999999999</v>
      </c>
      <c r="W1509" s="130"/>
      <c r="X1509" s="130"/>
      <c r="Y1509" s="130"/>
      <c r="Z1509" s="130"/>
      <c r="AA1509" s="130">
        <f t="shared" si="329"/>
        <v>5</v>
      </c>
      <c r="AB1509" s="131">
        <f t="shared" si="325"/>
        <v>23.141999999999999</v>
      </c>
      <c r="AC1509" s="130"/>
      <c r="AD1509" s="130"/>
      <c r="AE1509" s="130">
        <f t="shared" si="329"/>
        <v>5</v>
      </c>
      <c r="AF1509" s="131">
        <f t="shared" si="326"/>
        <v>23.141999999999999</v>
      </c>
      <c r="AG1509" s="130"/>
      <c r="AH1509" s="130"/>
      <c r="AI1509" s="130"/>
      <c r="AJ1509" s="130"/>
      <c r="AK1509" s="131">
        <f t="shared" si="320"/>
        <v>92.567999999999998</v>
      </c>
      <c r="AL1509" s="335">
        <f t="shared" si="321"/>
        <v>0</v>
      </c>
      <c r="AM1509" s="130">
        <f t="shared" si="322"/>
        <v>20</v>
      </c>
      <c r="AN1509" s="336">
        <f t="shared" si="328"/>
        <v>0</v>
      </c>
    </row>
    <row r="1510" spans="1:40" s="108" customFormat="1" ht="66" x14ac:dyDescent="0.25">
      <c r="A1510" s="40"/>
      <c r="B1510" s="43" t="s">
        <v>267</v>
      </c>
      <c r="C1510" s="1028"/>
      <c r="D1510" s="869">
        <v>3</v>
      </c>
      <c r="E1510" s="1027" t="s">
        <v>1725</v>
      </c>
      <c r="F1510" s="273" t="s">
        <v>3446</v>
      </c>
      <c r="G1510" s="1040" t="s">
        <v>3463</v>
      </c>
      <c r="H1510" s="273" t="s">
        <v>3462</v>
      </c>
      <c r="I1510" s="722">
        <f t="shared" si="332"/>
        <v>413.42399999999998</v>
      </c>
      <c r="J1510" s="756">
        <v>1240.2719999999999</v>
      </c>
      <c r="K1510" s="131">
        <f t="shared" si="327"/>
        <v>1240.2719999999999</v>
      </c>
      <c r="L1510" s="335">
        <f t="shared" si="319"/>
        <v>0</v>
      </c>
      <c r="M1510" s="335"/>
      <c r="N1510" s="335"/>
      <c r="O1510" s="335"/>
      <c r="P1510" s="335"/>
      <c r="Q1510" s="130">
        <v>1</v>
      </c>
      <c r="R1510" s="131">
        <f t="shared" si="323"/>
        <v>310.06799999999998</v>
      </c>
      <c r="S1510" s="130"/>
      <c r="T1510" s="130"/>
      <c r="U1510" s="130">
        <v>1</v>
      </c>
      <c r="V1510" s="131">
        <f t="shared" si="324"/>
        <v>310.06799999999998</v>
      </c>
      <c r="W1510" s="130"/>
      <c r="X1510" s="130"/>
      <c r="Y1510" s="130"/>
      <c r="Z1510" s="130"/>
      <c r="AA1510" s="130">
        <v>1</v>
      </c>
      <c r="AB1510" s="131">
        <f t="shared" si="325"/>
        <v>310.06799999999998</v>
      </c>
      <c r="AC1510" s="130"/>
      <c r="AD1510" s="130"/>
      <c r="AE1510" s="130">
        <v>0</v>
      </c>
      <c r="AF1510" s="131">
        <f t="shared" si="326"/>
        <v>310.06799999999998</v>
      </c>
      <c r="AG1510" s="130"/>
      <c r="AH1510" s="130"/>
      <c r="AI1510" s="130"/>
      <c r="AJ1510" s="130"/>
      <c r="AK1510" s="131">
        <f t="shared" si="320"/>
        <v>1240.2719999999999</v>
      </c>
      <c r="AL1510" s="335">
        <f t="shared" si="321"/>
        <v>0</v>
      </c>
      <c r="AM1510" s="130">
        <f t="shared" si="322"/>
        <v>3</v>
      </c>
      <c r="AN1510" s="336">
        <f t="shared" si="328"/>
        <v>0</v>
      </c>
    </row>
    <row r="1511" spans="1:40" s="108" customFormat="1" ht="66" x14ac:dyDescent="0.25">
      <c r="A1511" s="40"/>
      <c r="B1511" s="43" t="s">
        <v>268</v>
      </c>
      <c r="C1511" s="1028"/>
      <c r="D1511" s="869">
        <v>20</v>
      </c>
      <c r="E1511" s="1027" t="s">
        <v>1725</v>
      </c>
      <c r="F1511" s="273" t="s">
        <v>3446</v>
      </c>
      <c r="G1511" s="1040" t="s">
        <v>3463</v>
      </c>
      <c r="H1511" s="273" t="s">
        <v>3462</v>
      </c>
      <c r="I1511" s="722">
        <f t="shared" si="332"/>
        <v>31.006799999999998</v>
      </c>
      <c r="J1511" s="756">
        <v>620.13599999999997</v>
      </c>
      <c r="K1511" s="131">
        <f t="shared" si="327"/>
        <v>620.13599999999997</v>
      </c>
      <c r="L1511" s="335">
        <f t="shared" si="319"/>
        <v>0</v>
      </c>
      <c r="M1511" s="335"/>
      <c r="N1511" s="335"/>
      <c r="O1511" s="335"/>
      <c r="P1511" s="335"/>
      <c r="Q1511" s="130">
        <f t="shared" si="330"/>
        <v>5</v>
      </c>
      <c r="R1511" s="131">
        <f t="shared" si="323"/>
        <v>155.03399999999999</v>
      </c>
      <c r="S1511" s="130"/>
      <c r="T1511" s="130"/>
      <c r="U1511" s="130">
        <f t="shared" si="331"/>
        <v>5</v>
      </c>
      <c r="V1511" s="131">
        <f t="shared" si="324"/>
        <v>155.03399999999999</v>
      </c>
      <c r="W1511" s="130"/>
      <c r="X1511" s="130"/>
      <c r="Y1511" s="130"/>
      <c r="Z1511" s="130"/>
      <c r="AA1511" s="130">
        <f t="shared" si="329"/>
        <v>5</v>
      </c>
      <c r="AB1511" s="131">
        <f t="shared" si="325"/>
        <v>155.03399999999999</v>
      </c>
      <c r="AC1511" s="130"/>
      <c r="AD1511" s="130"/>
      <c r="AE1511" s="130">
        <f t="shared" si="329"/>
        <v>5</v>
      </c>
      <c r="AF1511" s="131">
        <f t="shared" si="326"/>
        <v>155.03399999999999</v>
      </c>
      <c r="AG1511" s="130"/>
      <c r="AH1511" s="130"/>
      <c r="AI1511" s="130"/>
      <c r="AJ1511" s="130"/>
      <c r="AK1511" s="131">
        <f t="shared" si="320"/>
        <v>620.13599999999997</v>
      </c>
      <c r="AL1511" s="335">
        <f t="shared" si="321"/>
        <v>0</v>
      </c>
      <c r="AM1511" s="130">
        <f t="shared" si="322"/>
        <v>20</v>
      </c>
      <c r="AN1511" s="336">
        <f t="shared" si="328"/>
        <v>0</v>
      </c>
    </row>
    <row r="1512" spans="1:40" s="108" customFormat="1" ht="66" x14ac:dyDescent="0.25">
      <c r="A1512" s="40"/>
      <c r="B1512" s="43" t="s">
        <v>118</v>
      </c>
      <c r="C1512" s="1028"/>
      <c r="D1512" s="869">
        <v>7</v>
      </c>
      <c r="E1512" s="1027" t="s">
        <v>1721</v>
      </c>
      <c r="F1512" s="273" t="s">
        <v>3446</v>
      </c>
      <c r="G1512" s="1040" t="s">
        <v>3463</v>
      </c>
      <c r="H1512" s="273" t="s">
        <v>3462</v>
      </c>
      <c r="I1512" s="722">
        <f t="shared" si="332"/>
        <v>237.59119999999999</v>
      </c>
      <c r="J1512" s="756">
        <v>1663.1383999999998</v>
      </c>
      <c r="K1512" s="131">
        <f t="shared" si="327"/>
        <v>1663.1383999999998</v>
      </c>
      <c r="L1512" s="335">
        <f t="shared" si="319"/>
        <v>0</v>
      </c>
      <c r="M1512" s="335"/>
      <c r="N1512" s="335"/>
      <c r="O1512" s="335"/>
      <c r="P1512" s="335"/>
      <c r="Q1512" s="130">
        <v>2</v>
      </c>
      <c r="R1512" s="131">
        <f t="shared" si="323"/>
        <v>415.78459999999995</v>
      </c>
      <c r="S1512" s="130"/>
      <c r="T1512" s="130"/>
      <c r="U1512" s="130">
        <v>2</v>
      </c>
      <c r="V1512" s="131">
        <f t="shared" si="324"/>
        <v>415.78459999999995</v>
      </c>
      <c r="W1512" s="130"/>
      <c r="X1512" s="130"/>
      <c r="Y1512" s="130"/>
      <c r="Z1512" s="130"/>
      <c r="AA1512" s="130">
        <v>2</v>
      </c>
      <c r="AB1512" s="131">
        <f t="shared" si="325"/>
        <v>415.78459999999995</v>
      </c>
      <c r="AC1512" s="130"/>
      <c r="AD1512" s="130"/>
      <c r="AE1512" s="130">
        <v>1</v>
      </c>
      <c r="AF1512" s="131">
        <f t="shared" si="326"/>
        <v>415.78459999999995</v>
      </c>
      <c r="AG1512" s="130"/>
      <c r="AH1512" s="130"/>
      <c r="AI1512" s="130"/>
      <c r="AJ1512" s="130"/>
      <c r="AK1512" s="131">
        <f t="shared" si="320"/>
        <v>1663.1383999999998</v>
      </c>
      <c r="AL1512" s="335">
        <f t="shared" si="321"/>
        <v>0</v>
      </c>
      <c r="AM1512" s="130">
        <f t="shared" si="322"/>
        <v>7</v>
      </c>
      <c r="AN1512" s="336">
        <f t="shared" si="328"/>
        <v>0</v>
      </c>
    </row>
    <row r="1513" spans="1:40" s="108" customFormat="1" ht="66" x14ac:dyDescent="0.25">
      <c r="A1513" s="40"/>
      <c r="B1513" s="43" t="s">
        <v>269</v>
      </c>
      <c r="C1513" s="1028"/>
      <c r="D1513" s="869">
        <v>20</v>
      </c>
      <c r="E1513" s="1027" t="s">
        <v>1721</v>
      </c>
      <c r="F1513" s="273" t="s">
        <v>3446</v>
      </c>
      <c r="G1513" s="1040" t="s">
        <v>3463</v>
      </c>
      <c r="H1513" s="273" t="s">
        <v>3462</v>
      </c>
      <c r="I1513" s="722">
        <f t="shared" si="332"/>
        <v>30.183199999999999</v>
      </c>
      <c r="J1513" s="756">
        <v>603.66399999999999</v>
      </c>
      <c r="K1513" s="131">
        <f t="shared" si="327"/>
        <v>603.66399999999999</v>
      </c>
      <c r="L1513" s="335">
        <f t="shared" si="319"/>
        <v>0</v>
      </c>
      <c r="M1513" s="335"/>
      <c r="N1513" s="335"/>
      <c r="O1513" s="335"/>
      <c r="P1513" s="335"/>
      <c r="Q1513" s="130">
        <f t="shared" si="330"/>
        <v>5</v>
      </c>
      <c r="R1513" s="131">
        <f t="shared" si="323"/>
        <v>150.916</v>
      </c>
      <c r="S1513" s="130"/>
      <c r="T1513" s="130"/>
      <c r="U1513" s="130">
        <f t="shared" si="331"/>
        <v>5</v>
      </c>
      <c r="V1513" s="131">
        <f t="shared" si="324"/>
        <v>150.916</v>
      </c>
      <c r="W1513" s="130"/>
      <c r="X1513" s="130"/>
      <c r="Y1513" s="130"/>
      <c r="Z1513" s="130"/>
      <c r="AA1513" s="130">
        <f t="shared" si="329"/>
        <v>5</v>
      </c>
      <c r="AB1513" s="131">
        <f t="shared" si="325"/>
        <v>150.916</v>
      </c>
      <c r="AC1513" s="130"/>
      <c r="AD1513" s="130"/>
      <c r="AE1513" s="130">
        <f t="shared" si="329"/>
        <v>5</v>
      </c>
      <c r="AF1513" s="131">
        <f t="shared" si="326"/>
        <v>150.916</v>
      </c>
      <c r="AG1513" s="130"/>
      <c r="AH1513" s="130"/>
      <c r="AI1513" s="130"/>
      <c r="AJ1513" s="130"/>
      <c r="AK1513" s="131">
        <f t="shared" si="320"/>
        <v>603.66399999999999</v>
      </c>
      <c r="AL1513" s="335">
        <f t="shared" si="321"/>
        <v>0</v>
      </c>
      <c r="AM1513" s="130">
        <f t="shared" si="322"/>
        <v>20</v>
      </c>
      <c r="AN1513" s="336">
        <f t="shared" si="328"/>
        <v>0</v>
      </c>
    </row>
    <row r="1514" spans="1:40" s="108" customFormat="1" ht="66" x14ac:dyDescent="0.25">
      <c r="A1514" s="40"/>
      <c r="B1514" s="43" t="s">
        <v>105</v>
      </c>
      <c r="C1514" s="1028"/>
      <c r="D1514" s="869">
        <v>15</v>
      </c>
      <c r="E1514" s="1027" t="s">
        <v>1721</v>
      </c>
      <c r="F1514" s="273" t="s">
        <v>3446</v>
      </c>
      <c r="G1514" s="1040" t="s">
        <v>3463</v>
      </c>
      <c r="H1514" s="273" t="s">
        <v>3462</v>
      </c>
      <c r="I1514" s="722">
        <f t="shared" si="332"/>
        <v>119.8976</v>
      </c>
      <c r="J1514" s="756">
        <v>1798.4639999999999</v>
      </c>
      <c r="K1514" s="131">
        <f t="shared" si="327"/>
        <v>1798.4639999999999</v>
      </c>
      <c r="L1514" s="335">
        <f t="shared" si="319"/>
        <v>0</v>
      </c>
      <c r="M1514" s="335"/>
      <c r="N1514" s="335"/>
      <c r="O1514" s="335"/>
      <c r="P1514" s="335"/>
      <c r="Q1514" s="110">
        <v>4</v>
      </c>
      <c r="R1514" s="131">
        <f t="shared" si="323"/>
        <v>449.61599999999999</v>
      </c>
      <c r="S1514" s="130"/>
      <c r="T1514" s="130"/>
      <c r="U1514" s="110">
        <v>4</v>
      </c>
      <c r="V1514" s="131">
        <f t="shared" si="324"/>
        <v>449.61599999999999</v>
      </c>
      <c r="W1514" s="130"/>
      <c r="X1514" s="130"/>
      <c r="Y1514" s="130"/>
      <c r="Z1514" s="130"/>
      <c r="AA1514" s="110">
        <v>4</v>
      </c>
      <c r="AB1514" s="131">
        <f t="shared" si="325"/>
        <v>449.61599999999999</v>
      </c>
      <c r="AC1514" s="130"/>
      <c r="AD1514" s="130"/>
      <c r="AE1514" s="110">
        <v>3</v>
      </c>
      <c r="AF1514" s="131">
        <f t="shared" si="326"/>
        <v>449.61599999999999</v>
      </c>
      <c r="AG1514" s="130"/>
      <c r="AH1514" s="130"/>
      <c r="AI1514" s="130"/>
      <c r="AJ1514" s="130"/>
      <c r="AK1514" s="131">
        <f t="shared" si="320"/>
        <v>1798.4639999999999</v>
      </c>
      <c r="AL1514" s="335">
        <f t="shared" si="321"/>
        <v>0</v>
      </c>
      <c r="AM1514" s="130">
        <f t="shared" si="322"/>
        <v>15</v>
      </c>
      <c r="AN1514" s="336">
        <f t="shared" si="328"/>
        <v>0</v>
      </c>
    </row>
    <row r="1515" spans="1:40" s="108" customFormat="1" ht="66" x14ac:dyDescent="0.25">
      <c r="A1515" s="40"/>
      <c r="B1515" s="43" t="s">
        <v>270</v>
      </c>
      <c r="C1515" s="1028"/>
      <c r="D1515" s="869">
        <v>10</v>
      </c>
      <c r="E1515" s="1027" t="s">
        <v>1721</v>
      </c>
      <c r="F1515" s="273" t="s">
        <v>3446</v>
      </c>
      <c r="G1515" s="1040" t="s">
        <v>3463</v>
      </c>
      <c r="H1515" s="273" t="s">
        <v>3462</v>
      </c>
      <c r="I1515" s="722">
        <f t="shared" si="332"/>
        <v>2.7607999999999997</v>
      </c>
      <c r="J1515" s="756">
        <v>27.607999999999997</v>
      </c>
      <c r="K1515" s="131">
        <f t="shared" si="327"/>
        <v>27.607999999999997</v>
      </c>
      <c r="L1515" s="335">
        <f t="shared" si="319"/>
        <v>0</v>
      </c>
      <c r="M1515" s="335"/>
      <c r="N1515" s="335"/>
      <c r="O1515" s="335"/>
      <c r="P1515" s="335"/>
      <c r="Q1515" s="130">
        <v>3</v>
      </c>
      <c r="R1515" s="131">
        <f t="shared" si="323"/>
        <v>6.9019999999999992</v>
      </c>
      <c r="S1515" s="130"/>
      <c r="T1515" s="130"/>
      <c r="U1515" s="130">
        <v>3</v>
      </c>
      <c r="V1515" s="131">
        <f t="shared" si="324"/>
        <v>6.9019999999999992</v>
      </c>
      <c r="W1515" s="130"/>
      <c r="X1515" s="130"/>
      <c r="Y1515" s="130"/>
      <c r="Z1515" s="130"/>
      <c r="AA1515" s="130">
        <v>2</v>
      </c>
      <c r="AB1515" s="131">
        <f t="shared" si="325"/>
        <v>6.9019999999999992</v>
      </c>
      <c r="AC1515" s="130"/>
      <c r="AD1515" s="130"/>
      <c r="AE1515" s="130">
        <v>2</v>
      </c>
      <c r="AF1515" s="131">
        <f t="shared" si="326"/>
        <v>6.9019999999999992</v>
      </c>
      <c r="AG1515" s="130"/>
      <c r="AH1515" s="130"/>
      <c r="AI1515" s="130"/>
      <c r="AJ1515" s="130"/>
      <c r="AK1515" s="131">
        <f t="shared" si="320"/>
        <v>27.607999999999997</v>
      </c>
      <c r="AL1515" s="335">
        <f t="shared" si="321"/>
        <v>0</v>
      </c>
      <c r="AM1515" s="130">
        <f t="shared" si="322"/>
        <v>10</v>
      </c>
      <c r="AN1515" s="336">
        <f t="shared" si="328"/>
        <v>0</v>
      </c>
    </row>
    <row r="1516" spans="1:40" s="108" customFormat="1" ht="66" x14ac:dyDescent="0.25">
      <c r="A1516" s="40"/>
      <c r="B1516" s="43" t="s">
        <v>271</v>
      </c>
      <c r="C1516" s="1028"/>
      <c r="D1516" s="869">
        <v>10</v>
      </c>
      <c r="E1516" s="1027" t="s">
        <v>1721</v>
      </c>
      <c r="F1516" s="273" t="s">
        <v>3446</v>
      </c>
      <c r="G1516" s="1040" t="s">
        <v>3463</v>
      </c>
      <c r="H1516" s="273" t="s">
        <v>3462</v>
      </c>
      <c r="I1516" s="722">
        <f t="shared" si="332"/>
        <v>2.7607999999999997</v>
      </c>
      <c r="J1516" s="756">
        <v>27.607999999999997</v>
      </c>
      <c r="K1516" s="131">
        <f t="shared" si="327"/>
        <v>27.607999999999997</v>
      </c>
      <c r="L1516" s="335">
        <f t="shared" si="319"/>
        <v>0</v>
      </c>
      <c r="M1516" s="335"/>
      <c r="N1516" s="335"/>
      <c r="O1516" s="335"/>
      <c r="P1516" s="335"/>
      <c r="Q1516" s="130">
        <v>3</v>
      </c>
      <c r="R1516" s="131">
        <f t="shared" si="323"/>
        <v>6.9019999999999992</v>
      </c>
      <c r="S1516" s="130"/>
      <c r="T1516" s="130"/>
      <c r="U1516" s="130">
        <v>3</v>
      </c>
      <c r="V1516" s="131">
        <f t="shared" si="324"/>
        <v>6.9019999999999992</v>
      </c>
      <c r="W1516" s="130"/>
      <c r="X1516" s="130"/>
      <c r="Y1516" s="130"/>
      <c r="Z1516" s="130"/>
      <c r="AA1516" s="130">
        <v>2</v>
      </c>
      <c r="AB1516" s="131">
        <f t="shared" si="325"/>
        <v>6.9019999999999992</v>
      </c>
      <c r="AC1516" s="130"/>
      <c r="AD1516" s="130"/>
      <c r="AE1516" s="130">
        <v>2</v>
      </c>
      <c r="AF1516" s="131">
        <f t="shared" si="326"/>
        <v>6.9019999999999992</v>
      </c>
      <c r="AG1516" s="130"/>
      <c r="AH1516" s="130"/>
      <c r="AI1516" s="130"/>
      <c r="AJ1516" s="130"/>
      <c r="AK1516" s="131">
        <f t="shared" si="320"/>
        <v>27.607999999999997</v>
      </c>
      <c r="AL1516" s="335">
        <f t="shared" si="321"/>
        <v>0</v>
      </c>
      <c r="AM1516" s="130">
        <f t="shared" si="322"/>
        <v>10</v>
      </c>
      <c r="AN1516" s="336">
        <f t="shared" si="328"/>
        <v>0</v>
      </c>
    </row>
    <row r="1517" spans="1:40" s="108" customFormat="1" ht="66" x14ac:dyDescent="0.25">
      <c r="A1517" s="40"/>
      <c r="B1517" s="43" t="s">
        <v>272</v>
      </c>
      <c r="C1517" s="1028"/>
      <c r="D1517" s="869">
        <v>10</v>
      </c>
      <c r="E1517" s="1027" t="s">
        <v>1721</v>
      </c>
      <c r="F1517" s="273" t="s">
        <v>3446</v>
      </c>
      <c r="G1517" s="1040" t="s">
        <v>3463</v>
      </c>
      <c r="H1517" s="273" t="s">
        <v>3462</v>
      </c>
      <c r="I1517" s="722">
        <f t="shared" si="332"/>
        <v>2.7607999999999997</v>
      </c>
      <c r="J1517" s="756">
        <v>27.607999999999997</v>
      </c>
      <c r="K1517" s="131">
        <f t="shared" si="327"/>
        <v>27.607999999999997</v>
      </c>
      <c r="L1517" s="335">
        <f t="shared" si="319"/>
        <v>0</v>
      </c>
      <c r="M1517" s="335"/>
      <c r="N1517" s="335"/>
      <c r="O1517" s="335"/>
      <c r="P1517" s="335"/>
      <c r="Q1517" s="130">
        <v>3</v>
      </c>
      <c r="R1517" s="131">
        <f t="shared" si="323"/>
        <v>6.9019999999999992</v>
      </c>
      <c r="S1517" s="130"/>
      <c r="T1517" s="130"/>
      <c r="U1517" s="130">
        <v>3</v>
      </c>
      <c r="V1517" s="131">
        <f t="shared" si="324"/>
        <v>6.9019999999999992</v>
      </c>
      <c r="W1517" s="130"/>
      <c r="X1517" s="130"/>
      <c r="Y1517" s="130"/>
      <c r="Z1517" s="130"/>
      <c r="AA1517" s="130">
        <v>2</v>
      </c>
      <c r="AB1517" s="131">
        <f t="shared" si="325"/>
        <v>6.9019999999999992</v>
      </c>
      <c r="AC1517" s="130"/>
      <c r="AD1517" s="130"/>
      <c r="AE1517" s="130">
        <v>2</v>
      </c>
      <c r="AF1517" s="131">
        <f t="shared" si="326"/>
        <v>6.9019999999999992</v>
      </c>
      <c r="AG1517" s="130"/>
      <c r="AH1517" s="130"/>
      <c r="AI1517" s="130"/>
      <c r="AJ1517" s="130"/>
      <c r="AK1517" s="131">
        <f t="shared" si="320"/>
        <v>27.607999999999997</v>
      </c>
      <c r="AL1517" s="335">
        <f t="shared" si="321"/>
        <v>0</v>
      </c>
      <c r="AM1517" s="130">
        <f t="shared" si="322"/>
        <v>10</v>
      </c>
      <c r="AN1517" s="336">
        <f t="shared" si="328"/>
        <v>0</v>
      </c>
    </row>
    <row r="1518" spans="1:40" s="108" customFormat="1" ht="66" x14ac:dyDescent="0.25">
      <c r="A1518" s="40"/>
      <c r="B1518" s="43" t="s">
        <v>273</v>
      </c>
      <c r="C1518" s="1028"/>
      <c r="D1518" s="869">
        <v>10</v>
      </c>
      <c r="E1518" s="1027" t="s">
        <v>1721</v>
      </c>
      <c r="F1518" s="273" t="s">
        <v>3446</v>
      </c>
      <c r="G1518" s="1040" t="s">
        <v>3463</v>
      </c>
      <c r="H1518" s="273" t="s">
        <v>3462</v>
      </c>
      <c r="I1518" s="722">
        <f t="shared" si="332"/>
        <v>2.7607999999999997</v>
      </c>
      <c r="J1518" s="756">
        <v>27.607999999999997</v>
      </c>
      <c r="K1518" s="131">
        <f t="shared" si="327"/>
        <v>27.607999999999997</v>
      </c>
      <c r="L1518" s="335">
        <f t="shared" si="319"/>
        <v>0</v>
      </c>
      <c r="M1518" s="335"/>
      <c r="N1518" s="335"/>
      <c r="O1518" s="335"/>
      <c r="P1518" s="335"/>
      <c r="Q1518" s="130">
        <v>3</v>
      </c>
      <c r="R1518" s="131">
        <f t="shared" si="323"/>
        <v>6.9019999999999992</v>
      </c>
      <c r="S1518" s="130"/>
      <c r="T1518" s="130"/>
      <c r="U1518" s="130">
        <v>3</v>
      </c>
      <c r="V1518" s="131">
        <f t="shared" si="324"/>
        <v>6.9019999999999992</v>
      </c>
      <c r="W1518" s="130"/>
      <c r="X1518" s="130"/>
      <c r="Y1518" s="130"/>
      <c r="Z1518" s="130"/>
      <c r="AA1518" s="130">
        <v>2</v>
      </c>
      <c r="AB1518" s="131">
        <f t="shared" si="325"/>
        <v>6.9019999999999992</v>
      </c>
      <c r="AC1518" s="130"/>
      <c r="AD1518" s="130"/>
      <c r="AE1518" s="130">
        <v>2</v>
      </c>
      <c r="AF1518" s="131">
        <f t="shared" si="326"/>
        <v>6.9019999999999992</v>
      </c>
      <c r="AG1518" s="130"/>
      <c r="AH1518" s="130"/>
      <c r="AI1518" s="130"/>
      <c r="AJ1518" s="130"/>
      <c r="AK1518" s="131">
        <f t="shared" si="320"/>
        <v>27.607999999999997</v>
      </c>
      <c r="AL1518" s="335">
        <f t="shared" si="321"/>
        <v>0</v>
      </c>
      <c r="AM1518" s="130">
        <f t="shared" si="322"/>
        <v>10</v>
      </c>
      <c r="AN1518" s="336">
        <f t="shared" si="328"/>
        <v>0</v>
      </c>
    </row>
    <row r="1519" spans="1:40" s="108" customFormat="1" ht="66" x14ac:dyDescent="0.25">
      <c r="A1519" s="40"/>
      <c r="B1519" s="43" t="s">
        <v>274</v>
      </c>
      <c r="C1519" s="1028"/>
      <c r="D1519" s="869">
        <v>10</v>
      </c>
      <c r="E1519" s="1027" t="s">
        <v>1721</v>
      </c>
      <c r="F1519" s="273" t="s">
        <v>3446</v>
      </c>
      <c r="G1519" s="1040" t="s">
        <v>3463</v>
      </c>
      <c r="H1519" s="273" t="s">
        <v>3462</v>
      </c>
      <c r="I1519" s="722">
        <f t="shared" si="332"/>
        <v>2.7607999999999997</v>
      </c>
      <c r="J1519" s="756">
        <v>27.607999999999997</v>
      </c>
      <c r="K1519" s="131">
        <f t="shared" si="327"/>
        <v>27.607999999999997</v>
      </c>
      <c r="L1519" s="335">
        <f t="shared" si="319"/>
        <v>0</v>
      </c>
      <c r="M1519" s="335"/>
      <c r="N1519" s="335"/>
      <c r="O1519" s="335"/>
      <c r="P1519" s="335"/>
      <c r="Q1519" s="130">
        <v>3</v>
      </c>
      <c r="R1519" s="131">
        <f t="shared" si="323"/>
        <v>6.9019999999999992</v>
      </c>
      <c r="S1519" s="130"/>
      <c r="T1519" s="130"/>
      <c r="U1519" s="130">
        <v>3</v>
      </c>
      <c r="V1519" s="131">
        <f t="shared" si="324"/>
        <v>6.9019999999999992</v>
      </c>
      <c r="W1519" s="130"/>
      <c r="X1519" s="130"/>
      <c r="Y1519" s="130"/>
      <c r="Z1519" s="130"/>
      <c r="AA1519" s="130">
        <v>2</v>
      </c>
      <c r="AB1519" s="131">
        <f t="shared" si="325"/>
        <v>6.9019999999999992</v>
      </c>
      <c r="AC1519" s="130"/>
      <c r="AD1519" s="130"/>
      <c r="AE1519" s="130">
        <v>2</v>
      </c>
      <c r="AF1519" s="131">
        <f t="shared" si="326"/>
        <v>6.9019999999999992</v>
      </c>
      <c r="AG1519" s="130"/>
      <c r="AH1519" s="130"/>
      <c r="AI1519" s="130"/>
      <c r="AJ1519" s="130"/>
      <c r="AK1519" s="131">
        <f t="shared" si="320"/>
        <v>27.607999999999997</v>
      </c>
      <c r="AL1519" s="335">
        <f t="shared" si="321"/>
        <v>0</v>
      </c>
      <c r="AM1519" s="130">
        <f t="shared" si="322"/>
        <v>10</v>
      </c>
      <c r="AN1519" s="336">
        <f t="shared" si="328"/>
        <v>0</v>
      </c>
    </row>
    <row r="1520" spans="1:40" s="108" customFormat="1" ht="66" x14ac:dyDescent="0.25">
      <c r="A1520" s="40"/>
      <c r="B1520" s="43" t="s">
        <v>275</v>
      </c>
      <c r="C1520" s="1028"/>
      <c r="D1520" s="869">
        <v>10</v>
      </c>
      <c r="E1520" s="1027" t="s">
        <v>1721</v>
      </c>
      <c r="F1520" s="273" t="s">
        <v>3446</v>
      </c>
      <c r="G1520" s="1040" t="s">
        <v>3463</v>
      </c>
      <c r="H1520" s="273" t="s">
        <v>3462</v>
      </c>
      <c r="I1520" s="722">
        <f t="shared" si="332"/>
        <v>2.7607999999999997</v>
      </c>
      <c r="J1520" s="756">
        <v>27.607999999999997</v>
      </c>
      <c r="K1520" s="131">
        <f t="shared" si="327"/>
        <v>27.607999999999997</v>
      </c>
      <c r="L1520" s="335">
        <f t="shared" si="319"/>
        <v>0</v>
      </c>
      <c r="M1520" s="335"/>
      <c r="N1520" s="335"/>
      <c r="O1520" s="335"/>
      <c r="P1520" s="335"/>
      <c r="Q1520" s="130">
        <v>3</v>
      </c>
      <c r="R1520" s="131">
        <f t="shared" si="323"/>
        <v>6.9019999999999992</v>
      </c>
      <c r="S1520" s="130"/>
      <c r="T1520" s="130"/>
      <c r="U1520" s="130">
        <v>3</v>
      </c>
      <c r="V1520" s="131">
        <f t="shared" si="324"/>
        <v>6.9019999999999992</v>
      </c>
      <c r="W1520" s="130"/>
      <c r="X1520" s="130"/>
      <c r="Y1520" s="130"/>
      <c r="Z1520" s="130"/>
      <c r="AA1520" s="130">
        <v>2</v>
      </c>
      <c r="AB1520" s="131">
        <f t="shared" si="325"/>
        <v>6.9019999999999992</v>
      </c>
      <c r="AC1520" s="130"/>
      <c r="AD1520" s="130"/>
      <c r="AE1520" s="130">
        <v>2</v>
      </c>
      <c r="AF1520" s="131">
        <f t="shared" si="326"/>
        <v>6.9019999999999992</v>
      </c>
      <c r="AG1520" s="130"/>
      <c r="AH1520" s="130"/>
      <c r="AI1520" s="130"/>
      <c r="AJ1520" s="130"/>
      <c r="AK1520" s="131">
        <f t="shared" si="320"/>
        <v>27.607999999999997</v>
      </c>
      <c r="AL1520" s="335">
        <f t="shared" si="321"/>
        <v>0</v>
      </c>
      <c r="AM1520" s="130">
        <f t="shared" si="322"/>
        <v>10</v>
      </c>
      <c r="AN1520" s="336">
        <f t="shared" si="328"/>
        <v>0</v>
      </c>
    </row>
    <row r="1521" spans="1:40" s="108" customFormat="1" ht="66" x14ac:dyDescent="0.25">
      <c r="A1521" s="40"/>
      <c r="B1521" s="43" t="s">
        <v>276</v>
      </c>
      <c r="C1521" s="1028"/>
      <c r="D1521" s="869">
        <v>10</v>
      </c>
      <c r="E1521" s="1027" t="s">
        <v>1721</v>
      </c>
      <c r="F1521" s="273" t="s">
        <v>3446</v>
      </c>
      <c r="G1521" s="1040" t="s">
        <v>3463</v>
      </c>
      <c r="H1521" s="273" t="s">
        <v>3462</v>
      </c>
      <c r="I1521" s="722">
        <f t="shared" si="332"/>
        <v>8.5608000000000004</v>
      </c>
      <c r="J1521" s="756">
        <v>85.608000000000004</v>
      </c>
      <c r="K1521" s="131">
        <f t="shared" si="327"/>
        <v>85.608000000000004</v>
      </c>
      <c r="L1521" s="335">
        <f t="shared" si="319"/>
        <v>0</v>
      </c>
      <c r="M1521" s="335"/>
      <c r="N1521" s="335"/>
      <c r="O1521" s="335"/>
      <c r="P1521" s="335"/>
      <c r="Q1521" s="130">
        <v>3</v>
      </c>
      <c r="R1521" s="131">
        <f t="shared" si="323"/>
        <v>21.402000000000001</v>
      </c>
      <c r="S1521" s="130"/>
      <c r="T1521" s="130"/>
      <c r="U1521" s="130">
        <v>3</v>
      </c>
      <c r="V1521" s="131">
        <f t="shared" si="324"/>
        <v>21.402000000000001</v>
      </c>
      <c r="W1521" s="130"/>
      <c r="X1521" s="130"/>
      <c r="Y1521" s="130"/>
      <c r="Z1521" s="130"/>
      <c r="AA1521" s="130">
        <v>2</v>
      </c>
      <c r="AB1521" s="131">
        <f t="shared" si="325"/>
        <v>21.402000000000001</v>
      </c>
      <c r="AC1521" s="130"/>
      <c r="AD1521" s="130"/>
      <c r="AE1521" s="130">
        <v>2</v>
      </c>
      <c r="AF1521" s="131">
        <f t="shared" si="326"/>
        <v>21.402000000000001</v>
      </c>
      <c r="AG1521" s="130"/>
      <c r="AH1521" s="130"/>
      <c r="AI1521" s="130"/>
      <c r="AJ1521" s="130"/>
      <c r="AK1521" s="131">
        <f t="shared" si="320"/>
        <v>85.608000000000004</v>
      </c>
      <c r="AL1521" s="335">
        <f t="shared" si="321"/>
        <v>0</v>
      </c>
      <c r="AM1521" s="130">
        <f t="shared" si="322"/>
        <v>10</v>
      </c>
      <c r="AN1521" s="336">
        <f t="shared" si="328"/>
        <v>0</v>
      </c>
    </row>
    <row r="1522" spans="1:40" s="108" customFormat="1" ht="66" x14ac:dyDescent="0.25">
      <c r="A1522" s="40"/>
      <c r="B1522" s="536" t="s">
        <v>277</v>
      </c>
      <c r="C1522" s="1028"/>
      <c r="D1522" s="869">
        <v>10</v>
      </c>
      <c r="E1522" s="1027" t="s">
        <v>1721</v>
      </c>
      <c r="F1522" s="273" t="s">
        <v>3446</v>
      </c>
      <c r="G1522" s="1040" t="s">
        <v>3463</v>
      </c>
      <c r="H1522" s="273" t="s">
        <v>3462</v>
      </c>
      <c r="I1522" s="722">
        <f t="shared" si="332"/>
        <v>8.5608000000000004</v>
      </c>
      <c r="J1522" s="756">
        <v>85.608000000000004</v>
      </c>
      <c r="K1522" s="131">
        <f t="shared" si="327"/>
        <v>85.608000000000004</v>
      </c>
      <c r="L1522" s="335">
        <f t="shared" si="319"/>
        <v>0</v>
      </c>
      <c r="M1522" s="335"/>
      <c r="N1522" s="335"/>
      <c r="O1522" s="335"/>
      <c r="P1522" s="335"/>
      <c r="Q1522" s="130">
        <v>3</v>
      </c>
      <c r="R1522" s="131">
        <f t="shared" si="323"/>
        <v>21.402000000000001</v>
      </c>
      <c r="S1522" s="130"/>
      <c r="T1522" s="130"/>
      <c r="U1522" s="130">
        <v>3</v>
      </c>
      <c r="V1522" s="131">
        <f t="shared" si="324"/>
        <v>21.402000000000001</v>
      </c>
      <c r="W1522" s="130"/>
      <c r="X1522" s="130"/>
      <c r="Y1522" s="130"/>
      <c r="Z1522" s="130"/>
      <c r="AA1522" s="130">
        <v>2</v>
      </c>
      <c r="AB1522" s="131">
        <f t="shared" si="325"/>
        <v>21.402000000000001</v>
      </c>
      <c r="AC1522" s="130"/>
      <c r="AD1522" s="130"/>
      <c r="AE1522" s="130">
        <v>2</v>
      </c>
      <c r="AF1522" s="131">
        <f t="shared" si="326"/>
        <v>21.402000000000001</v>
      </c>
      <c r="AG1522" s="130"/>
      <c r="AH1522" s="130"/>
      <c r="AI1522" s="130"/>
      <c r="AJ1522" s="130"/>
      <c r="AK1522" s="131">
        <f t="shared" si="320"/>
        <v>85.608000000000004</v>
      </c>
      <c r="AL1522" s="335">
        <f t="shared" si="321"/>
        <v>0</v>
      </c>
      <c r="AM1522" s="130">
        <f t="shared" si="322"/>
        <v>10</v>
      </c>
      <c r="AN1522" s="336">
        <f t="shared" si="328"/>
        <v>0</v>
      </c>
    </row>
    <row r="1523" spans="1:40" s="108" customFormat="1" ht="66" x14ac:dyDescent="0.25">
      <c r="A1523" s="40"/>
      <c r="B1523" s="536" t="s">
        <v>278</v>
      </c>
      <c r="C1523" s="1028"/>
      <c r="D1523" s="869">
        <v>10</v>
      </c>
      <c r="E1523" s="1027" t="s">
        <v>1721</v>
      </c>
      <c r="F1523" s="273" t="s">
        <v>3446</v>
      </c>
      <c r="G1523" s="1040" t="s">
        <v>3463</v>
      </c>
      <c r="H1523" s="273" t="s">
        <v>3462</v>
      </c>
      <c r="I1523" s="722">
        <f t="shared" si="332"/>
        <v>8.5608000000000004</v>
      </c>
      <c r="J1523" s="756">
        <v>85.608000000000004</v>
      </c>
      <c r="K1523" s="131">
        <f t="shared" si="327"/>
        <v>85.608000000000004</v>
      </c>
      <c r="L1523" s="335">
        <f t="shared" si="319"/>
        <v>0</v>
      </c>
      <c r="M1523" s="335"/>
      <c r="N1523" s="335"/>
      <c r="O1523" s="335"/>
      <c r="P1523" s="335"/>
      <c r="Q1523" s="130">
        <v>3</v>
      </c>
      <c r="R1523" s="131">
        <f t="shared" si="323"/>
        <v>21.402000000000001</v>
      </c>
      <c r="S1523" s="130"/>
      <c r="T1523" s="130"/>
      <c r="U1523" s="130">
        <v>3</v>
      </c>
      <c r="V1523" s="131">
        <f t="shared" si="324"/>
        <v>21.402000000000001</v>
      </c>
      <c r="W1523" s="130"/>
      <c r="X1523" s="130"/>
      <c r="Y1523" s="130"/>
      <c r="Z1523" s="130"/>
      <c r="AA1523" s="130">
        <v>2</v>
      </c>
      <c r="AB1523" s="131">
        <f t="shared" si="325"/>
        <v>21.402000000000001</v>
      </c>
      <c r="AC1523" s="130"/>
      <c r="AD1523" s="130"/>
      <c r="AE1523" s="130">
        <v>2</v>
      </c>
      <c r="AF1523" s="131">
        <f t="shared" si="326"/>
        <v>21.402000000000001</v>
      </c>
      <c r="AG1523" s="130"/>
      <c r="AH1523" s="130"/>
      <c r="AI1523" s="130"/>
      <c r="AJ1523" s="130"/>
      <c r="AK1523" s="131">
        <f t="shared" si="320"/>
        <v>85.608000000000004</v>
      </c>
      <c r="AL1523" s="335">
        <f t="shared" si="321"/>
        <v>0</v>
      </c>
      <c r="AM1523" s="130">
        <f t="shared" si="322"/>
        <v>10</v>
      </c>
      <c r="AN1523" s="336">
        <f t="shared" si="328"/>
        <v>0</v>
      </c>
    </row>
    <row r="1524" spans="1:40" s="108" customFormat="1" ht="66" x14ac:dyDescent="0.25">
      <c r="A1524" s="40"/>
      <c r="B1524" s="536" t="s">
        <v>279</v>
      </c>
      <c r="C1524" s="1028"/>
      <c r="D1524" s="869">
        <v>10</v>
      </c>
      <c r="E1524" s="1027" t="s">
        <v>1721</v>
      </c>
      <c r="F1524" s="273" t="s">
        <v>3446</v>
      </c>
      <c r="G1524" s="1040" t="s">
        <v>3463</v>
      </c>
      <c r="H1524" s="273" t="s">
        <v>3462</v>
      </c>
      <c r="I1524" s="722">
        <f t="shared" si="332"/>
        <v>8.5608000000000004</v>
      </c>
      <c r="J1524" s="756">
        <v>85.608000000000004</v>
      </c>
      <c r="K1524" s="131">
        <f t="shared" si="327"/>
        <v>85.608000000000004</v>
      </c>
      <c r="L1524" s="335">
        <f t="shared" ref="L1524:L1587" si="333">+J1524-K1524</f>
        <v>0</v>
      </c>
      <c r="M1524" s="335"/>
      <c r="N1524" s="335"/>
      <c r="O1524" s="335"/>
      <c r="P1524" s="335"/>
      <c r="Q1524" s="130">
        <v>3</v>
      </c>
      <c r="R1524" s="131">
        <f t="shared" si="323"/>
        <v>21.402000000000001</v>
      </c>
      <c r="S1524" s="130"/>
      <c r="T1524" s="130"/>
      <c r="U1524" s="130">
        <v>3</v>
      </c>
      <c r="V1524" s="131">
        <f t="shared" si="324"/>
        <v>21.402000000000001</v>
      </c>
      <c r="W1524" s="130"/>
      <c r="X1524" s="130"/>
      <c r="Y1524" s="130"/>
      <c r="Z1524" s="130"/>
      <c r="AA1524" s="130">
        <v>2</v>
      </c>
      <c r="AB1524" s="131">
        <f t="shared" si="325"/>
        <v>21.402000000000001</v>
      </c>
      <c r="AC1524" s="130"/>
      <c r="AD1524" s="130"/>
      <c r="AE1524" s="130">
        <v>2</v>
      </c>
      <c r="AF1524" s="131">
        <f t="shared" si="326"/>
        <v>21.402000000000001</v>
      </c>
      <c r="AG1524" s="130"/>
      <c r="AH1524" s="130"/>
      <c r="AI1524" s="130"/>
      <c r="AJ1524" s="130"/>
      <c r="AK1524" s="131">
        <f t="shared" ref="AK1524:AK1587" si="334">+R1524+V1524+AB1524+AF1524</f>
        <v>85.608000000000004</v>
      </c>
      <c r="AL1524" s="335">
        <f t="shared" ref="AL1524:AL1587" si="335">+J1524-AK1524</f>
        <v>0</v>
      </c>
      <c r="AM1524" s="130">
        <f t="shared" ref="AM1524:AM1587" si="336">+Q1524+U1524+AA1524+AE1524</f>
        <v>10</v>
      </c>
      <c r="AN1524" s="336">
        <f t="shared" si="328"/>
        <v>0</v>
      </c>
    </row>
    <row r="1525" spans="1:40" s="108" customFormat="1" ht="66" x14ac:dyDescent="0.25">
      <c r="A1525" s="40"/>
      <c r="B1525" s="536" t="s">
        <v>280</v>
      </c>
      <c r="C1525" s="1028"/>
      <c r="D1525" s="869">
        <v>10</v>
      </c>
      <c r="E1525" s="1027" t="s">
        <v>1721</v>
      </c>
      <c r="F1525" s="273" t="s">
        <v>3446</v>
      </c>
      <c r="G1525" s="1040" t="s">
        <v>3463</v>
      </c>
      <c r="H1525" s="273" t="s">
        <v>3462</v>
      </c>
      <c r="I1525" s="722">
        <f t="shared" si="332"/>
        <v>8.5608000000000004</v>
      </c>
      <c r="J1525" s="756">
        <v>85.608000000000004</v>
      </c>
      <c r="K1525" s="131">
        <f t="shared" si="327"/>
        <v>85.608000000000004</v>
      </c>
      <c r="L1525" s="335">
        <f t="shared" si="333"/>
        <v>0</v>
      </c>
      <c r="M1525" s="335"/>
      <c r="N1525" s="335"/>
      <c r="O1525" s="335"/>
      <c r="P1525" s="335"/>
      <c r="Q1525" s="130">
        <v>3</v>
      </c>
      <c r="R1525" s="131">
        <f t="shared" si="323"/>
        <v>21.402000000000001</v>
      </c>
      <c r="S1525" s="130"/>
      <c r="T1525" s="130"/>
      <c r="U1525" s="130">
        <v>3</v>
      </c>
      <c r="V1525" s="131">
        <f t="shared" si="324"/>
        <v>21.402000000000001</v>
      </c>
      <c r="W1525" s="130"/>
      <c r="X1525" s="130"/>
      <c r="Y1525" s="130"/>
      <c r="Z1525" s="130"/>
      <c r="AA1525" s="130">
        <v>2</v>
      </c>
      <c r="AB1525" s="131">
        <f t="shared" si="325"/>
        <v>21.402000000000001</v>
      </c>
      <c r="AC1525" s="130"/>
      <c r="AD1525" s="130"/>
      <c r="AE1525" s="130">
        <v>2</v>
      </c>
      <c r="AF1525" s="131">
        <f t="shared" si="326"/>
        <v>21.402000000000001</v>
      </c>
      <c r="AG1525" s="130"/>
      <c r="AH1525" s="130"/>
      <c r="AI1525" s="130"/>
      <c r="AJ1525" s="130"/>
      <c r="AK1525" s="131">
        <f t="shared" si="334"/>
        <v>85.608000000000004</v>
      </c>
      <c r="AL1525" s="335">
        <f t="shared" si="335"/>
        <v>0</v>
      </c>
      <c r="AM1525" s="130">
        <f t="shared" si="336"/>
        <v>10</v>
      </c>
      <c r="AN1525" s="336">
        <f t="shared" si="328"/>
        <v>0</v>
      </c>
    </row>
    <row r="1526" spans="1:40" s="108" customFormat="1" ht="66" x14ac:dyDescent="0.25">
      <c r="A1526" s="40"/>
      <c r="B1526" s="536" t="s">
        <v>281</v>
      </c>
      <c r="C1526" s="1028"/>
      <c r="D1526" s="869">
        <v>10</v>
      </c>
      <c r="E1526" s="1027" t="s">
        <v>1721</v>
      </c>
      <c r="F1526" s="273" t="s">
        <v>3446</v>
      </c>
      <c r="G1526" s="1040" t="s">
        <v>3463</v>
      </c>
      <c r="H1526" s="273" t="s">
        <v>3462</v>
      </c>
      <c r="I1526" s="722">
        <f t="shared" si="332"/>
        <v>8.5608000000000004</v>
      </c>
      <c r="J1526" s="756">
        <v>85.608000000000004</v>
      </c>
      <c r="K1526" s="131">
        <f t="shared" si="327"/>
        <v>85.608000000000004</v>
      </c>
      <c r="L1526" s="335">
        <f t="shared" si="333"/>
        <v>0</v>
      </c>
      <c r="M1526" s="335"/>
      <c r="N1526" s="335"/>
      <c r="O1526" s="335"/>
      <c r="P1526" s="335"/>
      <c r="Q1526" s="130">
        <v>3</v>
      </c>
      <c r="R1526" s="131">
        <f t="shared" ref="R1526:R1554" si="337">+J1526/4</f>
        <v>21.402000000000001</v>
      </c>
      <c r="S1526" s="130"/>
      <c r="T1526" s="130"/>
      <c r="U1526" s="130">
        <v>3</v>
      </c>
      <c r="V1526" s="131">
        <f t="shared" ref="V1526:V1554" si="338">+J1526/4</f>
        <v>21.402000000000001</v>
      </c>
      <c r="W1526" s="130"/>
      <c r="X1526" s="130"/>
      <c r="Y1526" s="130"/>
      <c r="Z1526" s="130"/>
      <c r="AA1526" s="130">
        <v>2</v>
      </c>
      <c r="AB1526" s="131">
        <f t="shared" ref="AB1526:AB1564" si="339">+J1526/4</f>
        <v>21.402000000000001</v>
      </c>
      <c r="AC1526" s="130"/>
      <c r="AD1526" s="130"/>
      <c r="AE1526" s="130">
        <v>2</v>
      </c>
      <c r="AF1526" s="131">
        <f t="shared" ref="AF1526:AF1564" si="340">+J1526/4</f>
        <v>21.402000000000001</v>
      </c>
      <c r="AG1526" s="130"/>
      <c r="AH1526" s="130"/>
      <c r="AI1526" s="130"/>
      <c r="AJ1526" s="130"/>
      <c r="AK1526" s="131">
        <f t="shared" si="334"/>
        <v>85.608000000000004</v>
      </c>
      <c r="AL1526" s="335">
        <f t="shared" si="335"/>
        <v>0</v>
      </c>
      <c r="AM1526" s="130">
        <f t="shared" si="336"/>
        <v>10</v>
      </c>
      <c r="AN1526" s="336">
        <f t="shared" si="328"/>
        <v>0</v>
      </c>
    </row>
    <row r="1527" spans="1:40" s="108" customFormat="1" ht="66" x14ac:dyDescent="0.25">
      <c r="A1527" s="40"/>
      <c r="B1527" s="43" t="s">
        <v>107</v>
      </c>
      <c r="C1527" s="1028"/>
      <c r="D1527" s="869">
        <v>2</v>
      </c>
      <c r="E1527" s="1027" t="s">
        <v>1725</v>
      </c>
      <c r="F1527" s="273" t="s">
        <v>3446</v>
      </c>
      <c r="G1527" s="1040" t="s">
        <v>3463</v>
      </c>
      <c r="H1527" s="273" t="s">
        <v>3462</v>
      </c>
      <c r="I1527" s="722">
        <f t="shared" si="332"/>
        <v>19.290799999999997</v>
      </c>
      <c r="J1527" s="756">
        <v>38.581599999999995</v>
      </c>
      <c r="K1527" s="131">
        <f t="shared" si="327"/>
        <v>38.581599999999995</v>
      </c>
      <c r="L1527" s="335">
        <f t="shared" si="333"/>
        <v>0</v>
      </c>
      <c r="M1527" s="335"/>
      <c r="N1527" s="335"/>
      <c r="O1527" s="335"/>
      <c r="P1527" s="335"/>
      <c r="Q1527" s="130">
        <v>1</v>
      </c>
      <c r="R1527" s="131">
        <f t="shared" si="337"/>
        <v>9.6453999999999986</v>
      </c>
      <c r="S1527" s="130"/>
      <c r="T1527" s="130"/>
      <c r="U1527" s="130">
        <v>1</v>
      </c>
      <c r="V1527" s="131">
        <f t="shared" si="338"/>
        <v>9.6453999999999986</v>
      </c>
      <c r="W1527" s="130"/>
      <c r="X1527" s="130"/>
      <c r="Y1527" s="130"/>
      <c r="Z1527" s="130"/>
      <c r="AA1527" s="130">
        <v>0</v>
      </c>
      <c r="AB1527" s="131">
        <f t="shared" si="339"/>
        <v>9.6453999999999986</v>
      </c>
      <c r="AC1527" s="130"/>
      <c r="AD1527" s="130"/>
      <c r="AE1527" s="130">
        <v>0</v>
      </c>
      <c r="AF1527" s="131">
        <f t="shared" si="340"/>
        <v>9.6453999999999986</v>
      </c>
      <c r="AG1527" s="130"/>
      <c r="AH1527" s="130"/>
      <c r="AI1527" s="130"/>
      <c r="AJ1527" s="130"/>
      <c r="AK1527" s="131">
        <f t="shared" si="334"/>
        <v>38.581599999999995</v>
      </c>
      <c r="AL1527" s="335">
        <f t="shared" si="335"/>
        <v>0</v>
      </c>
      <c r="AM1527" s="130">
        <f t="shared" si="336"/>
        <v>2</v>
      </c>
      <c r="AN1527" s="336">
        <f t="shared" si="328"/>
        <v>0</v>
      </c>
    </row>
    <row r="1528" spans="1:40" s="108" customFormat="1" ht="66" x14ac:dyDescent="0.25">
      <c r="A1528" s="40"/>
      <c r="B1528" s="43" t="s">
        <v>282</v>
      </c>
      <c r="C1528" s="1028"/>
      <c r="D1528" s="869">
        <v>30</v>
      </c>
      <c r="E1528" s="1027" t="s">
        <v>1721</v>
      </c>
      <c r="F1528" s="273" t="s">
        <v>3446</v>
      </c>
      <c r="G1528" s="1040" t="s">
        <v>3463</v>
      </c>
      <c r="H1528" s="273" t="s">
        <v>3462</v>
      </c>
      <c r="I1528" s="722">
        <f t="shared" si="332"/>
        <v>2.5056000000000003</v>
      </c>
      <c r="J1528" s="756">
        <v>75.168000000000006</v>
      </c>
      <c r="K1528" s="131">
        <f t="shared" si="327"/>
        <v>75.168000000000006</v>
      </c>
      <c r="L1528" s="335">
        <f t="shared" si="333"/>
        <v>0</v>
      </c>
      <c r="M1528" s="335"/>
      <c r="N1528" s="335"/>
      <c r="O1528" s="335"/>
      <c r="P1528" s="335"/>
      <c r="Q1528" s="110">
        <v>8</v>
      </c>
      <c r="R1528" s="131">
        <f t="shared" si="337"/>
        <v>18.792000000000002</v>
      </c>
      <c r="S1528" s="130"/>
      <c r="T1528" s="130"/>
      <c r="U1528" s="110">
        <v>8</v>
      </c>
      <c r="V1528" s="131">
        <f t="shared" si="338"/>
        <v>18.792000000000002</v>
      </c>
      <c r="W1528" s="130"/>
      <c r="X1528" s="130"/>
      <c r="Y1528" s="130"/>
      <c r="Z1528" s="130"/>
      <c r="AA1528" s="110">
        <v>7</v>
      </c>
      <c r="AB1528" s="131">
        <f t="shared" si="339"/>
        <v>18.792000000000002</v>
      </c>
      <c r="AC1528" s="130"/>
      <c r="AD1528" s="130"/>
      <c r="AE1528" s="110">
        <v>7</v>
      </c>
      <c r="AF1528" s="131">
        <f t="shared" si="340"/>
        <v>18.792000000000002</v>
      </c>
      <c r="AG1528" s="130"/>
      <c r="AH1528" s="130"/>
      <c r="AI1528" s="130"/>
      <c r="AJ1528" s="130"/>
      <c r="AK1528" s="131">
        <f t="shared" si="334"/>
        <v>75.168000000000006</v>
      </c>
      <c r="AL1528" s="335">
        <f t="shared" si="335"/>
        <v>0</v>
      </c>
      <c r="AM1528" s="130">
        <f t="shared" si="336"/>
        <v>30</v>
      </c>
      <c r="AN1528" s="336">
        <f t="shared" si="328"/>
        <v>0</v>
      </c>
    </row>
    <row r="1529" spans="1:40" s="108" customFormat="1" ht="66" x14ac:dyDescent="0.25">
      <c r="A1529" s="40"/>
      <c r="B1529" s="43" t="s">
        <v>283</v>
      </c>
      <c r="C1529" s="1028"/>
      <c r="D1529" s="869">
        <v>30</v>
      </c>
      <c r="E1529" s="1027" t="s">
        <v>1721</v>
      </c>
      <c r="F1529" s="273" t="s">
        <v>3446</v>
      </c>
      <c r="G1529" s="1040" t="s">
        <v>3463</v>
      </c>
      <c r="H1529" s="273" t="s">
        <v>3462</v>
      </c>
      <c r="I1529" s="722">
        <f t="shared" si="332"/>
        <v>2.5056000000000003</v>
      </c>
      <c r="J1529" s="756">
        <v>75.168000000000006</v>
      </c>
      <c r="K1529" s="131">
        <f t="shared" si="327"/>
        <v>75.168000000000006</v>
      </c>
      <c r="L1529" s="335">
        <f t="shared" si="333"/>
        <v>0</v>
      </c>
      <c r="M1529" s="335"/>
      <c r="N1529" s="335"/>
      <c r="O1529" s="335"/>
      <c r="P1529" s="335"/>
      <c r="Q1529" s="110">
        <v>8</v>
      </c>
      <c r="R1529" s="131">
        <f t="shared" si="337"/>
        <v>18.792000000000002</v>
      </c>
      <c r="S1529" s="130"/>
      <c r="T1529" s="130"/>
      <c r="U1529" s="110">
        <v>8</v>
      </c>
      <c r="V1529" s="131">
        <f t="shared" si="338"/>
        <v>18.792000000000002</v>
      </c>
      <c r="W1529" s="130"/>
      <c r="X1529" s="130"/>
      <c r="Y1529" s="130"/>
      <c r="Z1529" s="130"/>
      <c r="AA1529" s="110">
        <v>7</v>
      </c>
      <c r="AB1529" s="131">
        <f t="shared" si="339"/>
        <v>18.792000000000002</v>
      </c>
      <c r="AC1529" s="130"/>
      <c r="AD1529" s="130"/>
      <c r="AE1529" s="110">
        <v>7</v>
      </c>
      <c r="AF1529" s="131">
        <f t="shared" si="340"/>
        <v>18.792000000000002</v>
      </c>
      <c r="AG1529" s="130"/>
      <c r="AH1529" s="130"/>
      <c r="AI1529" s="130"/>
      <c r="AJ1529" s="130"/>
      <c r="AK1529" s="131">
        <f t="shared" si="334"/>
        <v>75.168000000000006</v>
      </c>
      <c r="AL1529" s="335">
        <f t="shared" si="335"/>
        <v>0</v>
      </c>
      <c r="AM1529" s="130">
        <f t="shared" si="336"/>
        <v>30</v>
      </c>
      <c r="AN1529" s="336">
        <f t="shared" si="328"/>
        <v>0</v>
      </c>
    </row>
    <row r="1530" spans="1:40" s="108" customFormat="1" ht="66" x14ac:dyDescent="0.25">
      <c r="A1530" s="40"/>
      <c r="B1530" s="43" t="s">
        <v>284</v>
      </c>
      <c r="C1530" s="1028"/>
      <c r="D1530" s="869">
        <v>30</v>
      </c>
      <c r="E1530" s="1027" t="s">
        <v>1721</v>
      </c>
      <c r="F1530" s="273" t="s">
        <v>3446</v>
      </c>
      <c r="G1530" s="1040" t="s">
        <v>3463</v>
      </c>
      <c r="H1530" s="273" t="s">
        <v>3462</v>
      </c>
      <c r="I1530" s="722">
        <f t="shared" si="332"/>
        <v>2.5055999999999998</v>
      </c>
      <c r="J1530" s="756">
        <v>75.167999999999992</v>
      </c>
      <c r="K1530" s="131">
        <f t="shared" si="327"/>
        <v>75.167999999999992</v>
      </c>
      <c r="L1530" s="335">
        <f t="shared" si="333"/>
        <v>0</v>
      </c>
      <c r="M1530" s="335"/>
      <c r="N1530" s="335"/>
      <c r="O1530" s="335"/>
      <c r="P1530" s="335"/>
      <c r="Q1530" s="110">
        <v>8</v>
      </c>
      <c r="R1530" s="131">
        <f t="shared" si="337"/>
        <v>18.791999999999998</v>
      </c>
      <c r="S1530" s="130"/>
      <c r="T1530" s="130"/>
      <c r="U1530" s="110">
        <v>8</v>
      </c>
      <c r="V1530" s="131">
        <f t="shared" si="338"/>
        <v>18.791999999999998</v>
      </c>
      <c r="W1530" s="130"/>
      <c r="X1530" s="130"/>
      <c r="Y1530" s="130"/>
      <c r="Z1530" s="130"/>
      <c r="AA1530" s="110">
        <v>7</v>
      </c>
      <c r="AB1530" s="131">
        <f t="shared" si="339"/>
        <v>18.791999999999998</v>
      </c>
      <c r="AC1530" s="130"/>
      <c r="AD1530" s="130"/>
      <c r="AE1530" s="110">
        <v>7</v>
      </c>
      <c r="AF1530" s="131">
        <f t="shared" si="340"/>
        <v>18.791999999999998</v>
      </c>
      <c r="AG1530" s="130"/>
      <c r="AH1530" s="130"/>
      <c r="AI1530" s="130"/>
      <c r="AJ1530" s="130"/>
      <c r="AK1530" s="131">
        <f t="shared" si="334"/>
        <v>75.167999999999992</v>
      </c>
      <c r="AL1530" s="335">
        <f t="shared" si="335"/>
        <v>0</v>
      </c>
      <c r="AM1530" s="130">
        <f t="shared" si="336"/>
        <v>30</v>
      </c>
      <c r="AN1530" s="336">
        <f t="shared" si="328"/>
        <v>0</v>
      </c>
    </row>
    <row r="1531" spans="1:40" s="108" customFormat="1" ht="66" x14ac:dyDescent="0.25">
      <c r="A1531" s="40"/>
      <c r="B1531" s="536" t="s">
        <v>285</v>
      </c>
      <c r="C1531" s="1028"/>
      <c r="D1531" s="869">
        <v>20</v>
      </c>
      <c r="E1531" s="1027" t="s">
        <v>1721</v>
      </c>
      <c r="F1531" s="273" t="s">
        <v>3446</v>
      </c>
      <c r="G1531" s="1040" t="s">
        <v>3463</v>
      </c>
      <c r="H1531" s="273" t="s">
        <v>3462</v>
      </c>
      <c r="I1531" s="722">
        <f t="shared" si="332"/>
        <v>10.44</v>
      </c>
      <c r="J1531" s="756">
        <v>208.79999999999998</v>
      </c>
      <c r="K1531" s="131">
        <f t="shared" si="327"/>
        <v>208.79999999999998</v>
      </c>
      <c r="L1531" s="335">
        <f t="shared" si="333"/>
        <v>0</v>
      </c>
      <c r="M1531" s="335"/>
      <c r="N1531" s="335"/>
      <c r="O1531" s="335"/>
      <c r="P1531" s="335"/>
      <c r="Q1531" s="130">
        <f t="shared" si="330"/>
        <v>5</v>
      </c>
      <c r="R1531" s="131">
        <f t="shared" si="337"/>
        <v>52.199999999999996</v>
      </c>
      <c r="S1531" s="130"/>
      <c r="T1531" s="130"/>
      <c r="U1531" s="130">
        <f t="shared" si="331"/>
        <v>5</v>
      </c>
      <c r="V1531" s="131">
        <f t="shared" si="338"/>
        <v>52.199999999999996</v>
      </c>
      <c r="W1531" s="130"/>
      <c r="X1531" s="130"/>
      <c r="Y1531" s="130"/>
      <c r="Z1531" s="130"/>
      <c r="AA1531" s="130">
        <f t="shared" si="329"/>
        <v>5</v>
      </c>
      <c r="AB1531" s="131">
        <f t="shared" si="339"/>
        <v>52.199999999999996</v>
      </c>
      <c r="AC1531" s="130"/>
      <c r="AD1531" s="130"/>
      <c r="AE1531" s="130">
        <f t="shared" si="329"/>
        <v>5</v>
      </c>
      <c r="AF1531" s="131">
        <f t="shared" si="340"/>
        <v>52.199999999999996</v>
      </c>
      <c r="AG1531" s="130"/>
      <c r="AH1531" s="130"/>
      <c r="AI1531" s="130"/>
      <c r="AJ1531" s="130"/>
      <c r="AK1531" s="131">
        <f t="shared" si="334"/>
        <v>208.79999999999998</v>
      </c>
      <c r="AL1531" s="335">
        <f t="shared" si="335"/>
        <v>0</v>
      </c>
      <c r="AM1531" s="130">
        <f t="shared" si="336"/>
        <v>20</v>
      </c>
      <c r="AN1531" s="336">
        <f t="shared" si="328"/>
        <v>0</v>
      </c>
    </row>
    <row r="1532" spans="1:40" s="108" customFormat="1" ht="66" x14ac:dyDescent="0.25">
      <c r="A1532" s="40"/>
      <c r="B1532" s="43" t="s">
        <v>286</v>
      </c>
      <c r="C1532" s="1028"/>
      <c r="D1532" s="869">
        <v>100</v>
      </c>
      <c r="E1532" s="1027" t="s">
        <v>1721</v>
      </c>
      <c r="F1532" s="273" t="s">
        <v>3446</v>
      </c>
      <c r="G1532" s="1040" t="s">
        <v>3463</v>
      </c>
      <c r="H1532" s="273" t="s">
        <v>3462</v>
      </c>
      <c r="I1532" s="722">
        <f t="shared" si="332"/>
        <v>5.0808</v>
      </c>
      <c r="J1532" s="756">
        <v>508.08</v>
      </c>
      <c r="K1532" s="131">
        <f t="shared" si="327"/>
        <v>508.08</v>
      </c>
      <c r="L1532" s="335">
        <f t="shared" si="333"/>
        <v>0</v>
      </c>
      <c r="M1532" s="335"/>
      <c r="N1532" s="335"/>
      <c r="O1532" s="335"/>
      <c r="P1532" s="335"/>
      <c r="Q1532" s="110">
        <v>30</v>
      </c>
      <c r="R1532" s="131">
        <f t="shared" si="337"/>
        <v>127.02</v>
      </c>
      <c r="S1532" s="130"/>
      <c r="T1532" s="130"/>
      <c r="U1532" s="110">
        <v>30</v>
      </c>
      <c r="V1532" s="131">
        <f t="shared" si="338"/>
        <v>127.02</v>
      </c>
      <c r="W1532" s="130"/>
      <c r="X1532" s="130"/>
      <c r="Y1532" s="130"/>
      <c r="Z1532" s="130"/>
      <c r="AA1532" s="110">
        <v>30</v>
      </c>
      <c r="AB1532" s="131">
        <f t="shared" si="339"/>
        <v>127.02</v>
      </c>
      <c r="AC1532" s="130"/>
      <c r="AD1532" s="130"/>
      <c r="AE1532" s="110">
        <v>10</v>
      </c>
      <c r="AF1532" s="131">
        <f t="shared" si="340"/>
        <v>127.02</v>
      </c>
      <c r="AG1532" s="130"/>
      <c r="AH1532" s="130"/>
      <c r="AI1532" s="130"/>
      <c r="AJ1532" s="130"/>
      <c r="AK1532" s="131">
        <f t="shared" si="334"/>
        <v>508.08</v>
      </c>
      <c r="AL1532" s="335">
        <f t="shared" si="335"/>
        <v>0</v>
      </c>
      <c r="AM1532" s="130">
        <f t="shared" si="336"/>
        <v>100</v>
      </c>
      <c r="AN1532" s="336">
        <f t="shared" si="328"/>
        <v>0</v>
      </c>
    </row>
    <row r="1533" spans="1:40" s="108" customFormat="1" ht="66" x14ac:dyDescent="0.25">
      <c r="A1533" s="40"/>
      <c r="B1533" s="43" t="s">
        <v>287</v>
      </c>
      <c r="C1533" s="1028"/>
      <c r="D1533" s="869">
        <v>10</v>
      </c>
      <c r="E1533" s="1027" t="s">
        <v>1721</v>
      </c>
      <c r="F1533" s="273" t="s">
        <v>3446</v>
      </c>
      <c r="G1533" s="1040" t="s">
        <v>3463</v>
      </c>
      <c r="H1533" s="273" t="s">
        <v>3462</v>
      </c>
      <c r="I1533" s="722">
        <f t="shared" si="332"/>
        <v>78.474000000000004</v>
      </c>
      <c r="J1533" s="756">
        <v>784.74</v>
      </c>
      <c r="K1533" s="131">
        <f t="shared" si="327"/>
        <v>784.74</v>
      </c>
      <c r="L1533" s="335">
        <f t="shared" si="333"/>
        <v>0</v>
      </c>
      <c r="M1533" s="335"/>
      <c r="N1533" s="335"/>
      <c r="O1533" s="335"/>
      <c r="P1533" s="335"/>
      <c r="Q1533" s="130">
        <v>3</v>
      </c>
      <c r="R1533" s="131">
        <f t="shared" si="337"/>
        <v>196.185</v>
      </c>
      <c r="S1533" s="130"/>
      <c r="T1533" s="130"/>
      <c r="U1533" s="130">
        <v>3</v>
      </c>
      <c r="V1533" s="131">
        <f t="shared" si="338"/>
        <v>196.185</v>
      </c>
      <c r="W1533" s="130"/>
      <c r="X1533" s="130"/>
      <c r="Y1533" s="130"/>
      <c r="Z1533" s="130"/>
      <c r="AA1533" s="130">
        <v>2</v>
      </c>
      <c r="AB1533" s="131">
        <f t="shared" si="339"/>
        <v>196.185</v>
      </c>
      <c r="AC1533" s="130"/>
      <c r="AD1533" s="130"/>
      <c r="AE1533" s="130">
        <v>2</v>
      </c>
      <c r="AF1533" s="131">
        <f t="shared" si="340"/>
        <v>196.185</v>
      </c>
      <c r="AG1533" s="130"/>
      <c r="AH1533" s="130"/>
      <c r="AI1533" s="130"/>
      <c r="AJ1533" s="130"/>
      <c r="AK1533" s="131">
        <f t="shared" si="334"/>
        <v>784.74</v>
      </c>
      <c r="AL1533" s="335">
        <f t="shared" si="335"/>
        <v>0</v>
      </c>
      <c r="AM1533" s="130">
        <f t="shared" si="336"/>
        <v>10</v>
      </c>
      <c r="AN1533" s="336">
        <f t="shared" si="328"/>
        <v>0</v>
      </c>
    </row>
    <row r="1534" spans="1:40" s="108" customFormat="1" ht="66" x14ac:dyDescent="0.25">
      <c r="A1534" s="40"/>
      <c r="B1534" s="43" t="s">
        <v>288</v>
      </c>
      <c r="C1534" s="1028"/>
      <c r="D1534" s="869">
        <v>10</v>
      </c>
      <c r="E1534" s="1027" t="s">
        <v>1721</v>
      </c>
      <c r="F1534" s="273" t="s">
        <v>3446</v>
      </c>
      <c r="G1534" s="1040" t="s">
        <v>3463</v>
      </c>
      <c r="H1534" s="273" t="s">
        <v>3462</v>
      </c>
      <c r="I1534" s="722">
        <f t="shared" si="332"/>
        <v>69.750799999999998</v>
      </c>
      <c r="J1534" s="756">
        <v>697.50800000000004</v>
      </c>
      <c r="K1534" s="131">
        <f t="shared" si="327"/>
        <v>697.50800000000004</v>
      </c>
      <c r="L1534" s="335">
        <f t="shared" si="333"/>
        <v>0</v>
      </c>
      <c r="M1534" s="335"/>
      <c r="N1534" s="335"/>
      <c r="O1534" s="335"/>
      <c r="P1534" s="335"/>
      <c r="Q1534" s="130">
        <v>3</v>
      </c>
      <c r="R1534" s="131">
        <f t="shared" si="337"/>
        <v>174.37700000000001</v>
      </c>
      <c r="S1534" s="130"/>
      <c r="T1534" s="130"/>
      <c r="U1534" s="130">
        <v>3</v>
      </c>
      <c r="V1534" s="131">
        <f t="shared" si="338"/>
        <v>174.37700000000001</v>
      </c>
      <c r="W1534" s="130"/>
      <c r="X1534" s="130"/>
      <c r="Y1534" s="130"/>
      <c r="Z1534" s="130"/>
      <c r="AA1534" s="130">
        <v>2</v>
      </c>
      <c r="AB1534" s="131">
        <f t="shared" si="339"/>
        <v>174.37700000000001</v>
      </c>
      <c r="AC1534" s="130"/>
      <c r="AD1534" s="130"/>
      <c r="AE1534" s="130">
        <v>2</v>
      </c>
      <c r="AF1534" s="131">
        <f t="shared" si="340"/>
        <v>174.37700000000001</v>
      </c>
      <c r="AG1534" s="130"/>
      <c r="AH1534" s="130"/>
      <c r="AI1534" s="130"/>
      <c r="AJ1534" s="130"/>
      <c r="AK1534" s="131">
        <f t="shared" si="334"/>
        <v>697.50800000000004</v>
      </c>
      <c r="AL1534" s="335">
        <f t="shared" si="335"/>
        <v>0</v>
      </c>
      <c r="AM1534" s="130">
        <f t="shared" si="336"/>
        <v>10</v>
      </c>
      <c r="AN1534" s="336">
        <f t="shared" si="328"/>
        <v>0</v>
      </c>
    </row>
    <row r="1535" spans="1:40" s="108" customFormat="1" ht="66" x14ac:dyDescent="0.25">
      <c r="A1535" s="9"/>
      <c r="B1535" s="43" t="s">
        <v>289</v>
      </c>
      <c r="C1535" s="1024"/>
      <c r="D1535" s="869">
        <v>10</v>
      </c>
      <c r="E1535" s="1027" t="s">
        <v>1721</v>
      </c>
      <c r="F1535" s="273" t="s">
        <v>3446</v>
      </c>
      <c r="G1535" s="1040" t="s">
        <v>3463</v>
      </c>
      <c r="H1535" s="273" t="s">
        <v>3462</v>
      </c>
      <c r="I1535" s="722">
        <f t="shared" si="332"/>
        <v>78.474000000000004</v>
      </c>
      <c r="J1535" s="756">
        <v>784.74</v>
      </c>
      <c r="K1535" s="131">
        <f t="shared" si="327"/>
        <v>784.74</v>
      </c>
      <c r="L1535" s="335">
        <f t="shared" si="333"/>
        <v>0</v>
      </c>
      <c r="M1535" s="335"/>
      <c r="N1535" s="335"/>
      <c r="O1535" s="335"/>
      <c r="P1535" s="335"/>
      <c r="Q1535" s="130">
        <v>3</v>
      </c>
      <c r="R1535" s="131">
        <f t="shared" si="337"/>
        <v>196.185</v>
      </c>
      <c r="S1535" s="130"/>
      <c r="T1535" s="130"/>
      <c r="U1535" s="130">
        <v>3</v>
      </c>
      <c r="V1535" s="131">
        <f t="shared" si="338"/>
        <v>196.185</v>
      </c>
      <c r="W1535" s="130"/>
      <c r="X1535" s="130"/>
      <c r="Y1535" s="130"/>
      <c r="Z1535" s="130"/>
      <c r="AA1535" s="130">
        <v>2</v>
      </c>
      <c r="AB1535" s="131">
        <f t="shared" si="339"/>
        <v>196.185</v>
      </c>
      <c r="AC1535" s="130"/>
      <c r="AD1535" s="130"/>
      <c r="AE1535" s="130">
        <v>2</v>
      </c>
      <c r="AF1535" s="131">
        <f t="shared" si="340"/>
        <v>196.185</v>
      </c>
      <c r="AG1535" s="130"/>
      <c r="AH1535" s="130"/>
      <c r="AI1535" s="130"/>
      <c r="AJ1535" s="130"/>
      <c r="AK1535" s="131">
        <f t="shared" si="334"/>
        <v>784.74</v>
      </c>
      <c r="AL1535" s="335">
        <f t="shared" si="335"/>
        <v>0</v>
      </c>
      <c r="AM1535" s="130">
        <f t="shared" si="336"/>
        <v>10</v>
      </c>
      <c r="AN1535" s="336">
        <f t="shared" si="328"/>
        <v>0</v>
      </c>
    </row>
    <row r="1536" spans="1:40" s="108" customFormat="1" ht="66" x14ac:dyDescent="0.25">
      <c r="A1536" s="9"/>
      <c r="B1536" s="43" t="s">
        <v>290</v>
      </c>
      <c r="C1536" s="1024"/>
      <c r="D1536" s="869">
        <v>10</v>
      </c>
      <c r="E1536" s="1027" t="s">
        <v>1721</v>
      </c>
      <c r="F1536" s="273" t="s">
        <v>3446</v>
      </c>
      <c r="G1536" s="1040" t="s">
        <v>3463</v>
      </c>
      <c r="H1536" s="273" t="s">
        <v>3462</v>
      </c>
      <c r="I1536" s="722">
        <f t="shared" si="332"/>
        <v>78.392799999999994</v>
      </c>
      <c r="J1536" s="756">
        <v>783.92799999999988</v>
      </c>
      <c r="K1536" s="131">
        <f t="shared" si="327"/>
        <v>783.92799999999988</v>
      </c>
      <c r="L1536" s="335">
        <f t="shared" si="333"/>
        <v>0</v>
      </c>
      <c r="M1536" s="335"/>
      <c r="N1536" s="335"/>
      <c r="O1536" s="335"/>
      <c r="P1536" s="335"/>
      <c r="Q1536" s="130">
        <v>3</v>
      </c>
      <c r="R1536" s="131">
        <f t="shared" si="337"/>
        <v>195.98199999999997</v>
      </c>
      <c r="S1536" s="130"/>
      <c r="T1536" s="130"/>
      <c r="U1536" s="130">
        <v>3</v>
      </c>
      <c r="V1536" s="131">
        <f t="shared" si="338"/>
        <v>195.98199999999997</v>
      </c>
      <c r="W1536" s="130"/>
      <c r="X1536" s="130"/>
      <c r="Y1536" s="130"/>
      <c r="Z1536" s="130"/>
      <c r="AA1536" s="130">
        <v>2</v>
      </c>
      <c r="AB1536" s="131">
        <f t="shared" si="339"/>
        <v>195.98199999999997</v>
      </c>
      <c r="AC1536" s="130"/>
      <c r="AD1536" s="130"/>
      <c r="AE1536" s="130">
        <v>2</v>
      </c>
      <c r="AF1536" s="131">
        <f t="shared" si="340"/>
        <v>195.98199999999997</v>
      </c>
      <c r="AG1536" s="130"/>
      <c r="AH1536" s="130"/>
      <c r="AI1536" s="130"/>
      <c r="AJ1536" s="130"/>
      <c r="AK1536" s="131">
        <f t="shared" si="334"/>
        <v>783.92799999999988</v>
      </c>
      <c r="AL1536" s="335">
        <f t="shared" si="335"/>
        <v>0</v>
      </c>
      <c r="AM1536" s="130">
        <f t="shared" si="336"/>
        <v>10</v>
      </c>
      <c r="AN1536" s="336">
        <f t="shared" si="328"/>
        <v>0</v>
      </c>
    </row>
    <row r="1537" spans="1:40" s="108" customFormat="1" ht="66" x14ac:dyDescent="0.25">
      <c r="A1537" s="9"/>
      <c r="B1537" s="43" t="s">
        <v>291</v>
      </c>
      <c r="C1537" s="1024"/>
      <c r="D1537" s="869">
        <v>10</v>
      </c>
      <c r="E1537" s="1027" t="s">
        <v>1721</v>
      </c>
      <c r="F1537" s="273" t="s">
        <v>3446</v>
      </c>
      <c r="G1537" s="1040" t="s">
        <v>3463</v>
      </c>
      <c r="H1537" s="273" t="s">
        <v>3462</v>
      </c>
      <c r="I1537" s="722">
        <f t="shared" si="332"/>
        <v>75.574000000000012</v>
      </c>
      <c r="J1537" s="756">
        <v>755.74000000000012</v>
      </c>
      <c r="K1537" s="131">
        <f t="shared" si="327"/>
        <v>755.74000000000012</v>
      </c>
      <c r="L1537" s="335">
        <f t="shared" si="333"/>
        <v>0</v>
      </c>
      <c r="M1537" s="335"/>
      <c r="N1537" s="335"/>
      <c r="O1537" s="335"/>
      <c r="P1537" s="335"/>
      <c r="Q1537" s="130">
        <v>3</v>
      </c>
      <c r="R1537" s="131">
        <f t="shared" si="337"/>
        <v>188.93500000000003</v>
      </c>
      <c r="S1537" s="130"/>
      <c r="T1537" s="130"/>
      <c r="U1537" s="130">
        <v>3</v>
      </c>
      <c r="V1537" s="131">
        <f t="shared" si="338"/>
        <v>188.93500000000003</v>
      </c>
      <c r="W1537" s="130"/>
      <c r="X1537" s="130"/>
      <c r="Y1537" s="130"/>
      <c r="Z1537" s="130"/>
      <c r="AA1537" s="130">
        <v>2</v>
      </c>
      <c r="AB1537" s="131">
        <f t="shared" si="339"/>
        <v>188.93500000000003</v>
      </c>
      <c r="AC1537" s="130"/>
      <c r="AD1537" s="130"/>
      <c r="AE1537" s="130">
        <v>2</v>
      </c>
      <c r="AF1537" s="131">
        <f t="shared" si="340"/>
        <v>188.93500000000003</v>
      </c>
      <c r="AG1537" s="130"/>
      <c r="AH1537" s="130"/>
      <c r="AI1537" s="130"/>
      <c r="AJ1537" s="130"/>
      <c r="AK1537" s="131">
        <f t="shared" si="334"/>
        <v>755.74000000000012</v>
      </c>
      <c r="AL1537" s="335">
        <f t="shared" si="335"/>
        <v>0</v>
      </c>
      <c r="AM1537" s="130">
        <f t="shared" si="336"/>
        <v>10</v>
      </c>
      <c r="AN1537" s="336">
        <f t="shared" si="328"/>
        <v>0</v>
      </c>
    </row>
    <row r="1538" spans="1:40" s="108" customFormat="1" ht="66" x14ac:dyDescent="0.25">
      <c r="A1538" s="9"/>
      <c r="B1538" s="43" t="s">
        <v>292</v>
      </c>
      <c r="C1538" s="1024"/>
      <c r="D1538" s="869">
        <v>10</v>
      </c>
      <c r="E1538" s="1027" t="s">
        <v>1721</v>
      </c>
      <c r="F1538" s="273" t="s">
        <v>3446</v>
      </c>
      <c r="G1538" s="1040" t="s">
        <v>3463</v>
      </c>
      <c r="H1538" s="273" t="s">
        <v>3462</v>
      </c>
      <c r="I1538" s="722">
        <f t="shared" si="332"/>
        <v>78.474000000000004</v>
      </c>
      <c r="J1538" s="756">
        <v>784.74</v>
      </c>
      <c r="K1538" s="131">
        <f t="shared" si="327"/>
        <v>784.74</v>
      </c>
      <c r="L1538" s="335">
        <f t="shared" si="333"/>
        <v>0</v>
      </c>
      <c r="M1538" s="335"/>
      <c r="N1538" s="335"/>
      <c r="O1538" s="335"/>
      <c r="P1538" s="335"/>
      <c r="Q1538" s="130">
        <v>3</v>
      </c>
      <c r="R1538" s="131">
        <f t="shared" si="337"/>
        <v>196.185</v>
      </c>
      <c r="S1538" s="130"/>
      <c r="T1538" s="130"/>
      <c r="U1538" s="130">
        <v>3</v>
      </c>
      <c r="V1538" s="131">
        <f t="shared" si="338"/>
        <v>196.185</v>
      </c>
      <c r="W1538" s="130"/>
      <c r="X1538" s="130"/>
      <c r="Y1538" s="130"/>
      <c r="Z1538" s="130"/>
      <c r="AA1538" s="130">
        <v>2</v>
      </c>
      <c r="AB1538" s="131">
        <f t="shared" si="339"/>
        <v>196.185</v>
      </c>
      <c r="AC1538" s="130"/>
      <c r="AD1538" s="130"/>
      <c r="AE1538" s="130">
        <v>2</v>
      </c>
      <c r="AF1538" s="131">
        <f t="shared" si="340"/>
        <v>196.185</v>
      </c>
      <c r="AG1538" s="130"/>
      <c r="AH1538" s="130"/>
      <c r="AI1538" s="130"/>
      <c r="AJ1538" s="130"/>
      <c r="AK1538" s="131">
        <f t="shared" si="334"/>
        <v>784.74</v>
      </c>
      <c r="AL1538" s="335">
        <f t="shared" si="335"/>
        <v>0</v>
      </c>
      <c r="AM1538" s="130">
        <f t="shared" si="336"/>
        <v>10</v>
      </c>
      <c r="AN1538" s="336">
        <f t="shared" si="328"/>
        <v>0</v>
      </c>
    </row>
    <row r="1539" spans="1:40" s="108" customFormat="1" ht="66" x14ac:dyDescent="0.25">
      <c r="A1539" s="9"/>
      <c r="B1539" s="43" t="s">
        <v>293</v>
      </c>
      <c r="C1539" s="1024"/>
      <c r="D1539" s="869">
        <v>10</v>
      </c>
      <c r="E1539" s="1027" t="s">
        <v>1721</v>
      </c>
      <c r="F1539" s="273" t="s">
        <v>3446</v>
      </c>
      <c r="G1539" s="1040" t="s">
        <v>3463</v>
      </c>
      <c r="H1539" s="273" t="s">
        <v>3462</v>
      </c>
      <c r="I1539" s="722">
        <f t="shared" si="332"/>
        <v>81.432000000000002</v>
      </c>
      <c r="J1539" s="756">
        <v>814.32</v>
      </c>
      <c r="K1539" s="131">
        <f t="shared" si="327"/>
        <v>814.32</v>
      </c>
      <c r="L1539" s="335">
        <f t="shared" si="333"/>
        <v>0</v>
      </c>
      <c r="M1539" s="335"/>
      <c r="N1539" s="335"/>
      <c r="O1539" s="335"/>
      <c r="P1539" s="335"/>
      <c r="Q1539" s="130">
        <v>3</v>
      </c>
      <c r="R1539" s="131">
        <f t="shared" si="337"/>
        <v>203.58</v>
      </c>
      <c r="S1539" s="130"/>
      <c r="T1539" s="130"/>
      <c r="U1539" s="130">
        <v>3</v>
      </c>
      <c r="V1539" s="131">
        <f t="shared" si="338"/>
        <v>203.58</v>
      </c>
      <c r="W1539" s="130"/>
      <c r="X1539" s="130"/>
      <c r="Y1539" s="130"/>
      <c r="Z1539" s="130"/>
      <c r="AA1539" s="130">
        <v>2</v>
      </c>
      <c r="AB1539" s="131">
        <f t="shared" si="339"/>
        <v>203.58</v>
      </c>
      <c r="AC1539" s="130"/>
      <c r="AD1539" s="130"/>
      <c r="AE1539" s="130">
        <v>2</v>
      </c>
      <c r="AF1539" s="131">
        <f t="shared" si="340"/>
        <v>203.58</v>
      </c>
      <c r="AG1539" s="130"/>
      <c r="AH1539" s="130"/>
      <c r="AI1539" s="130"/>
      <c r="AJ1539" s="130"/>
      <c r="AK1539" s="131">
        <f t="shared" si="334"/>
        <v>814.32</v>
      </c>
      <c r="AL1539" s="335">
        <f t="shared" si="335"/>
        <v>0</v>
      </c>
      <c r="AM1539" s="130">
        <f t="shared" si="336"/>
        <v>10</v>
      </c>
      <c r="AN1539" s="336">
        <f t="shared" si="328"/>
        <v>0</v>
      </c>
    </row>
    <row r="1540" spans="1:40" s="108" customFormat="1" ht="66" x14ac:dyDescent="0.25">
      <c r="A1540" s="9"/>
      <c r="B1540" s="43" t="s">
        <v>294</v>
      </c>
      <c r="C1540" s="1024"/>
      <c r="D1540" s="869">
        <v>10</v>
      </c>
      <c r="E1540" s="1027" t="s">
        <v>1721</v>
      </c>
      <c r="F1540" s="273" t="s">
        <v>3446</v>
      </c>
      <c r="G1540" s="1040" t="s">
        <v>3463</v>
      </c>
      <c r="H1540" s="273" t="s">
        <v>3462</v>
      </c>
      <c r="I1540" s="722">
        <f t="shared" si="332"/>
        <v>81.432000000000002</v>
      </c>
      <c r="J1540" s="756">
        <v>814.32</v>
      </c>
      <c r="K1540" s="131">
        <f t="shared" ref="K1540:K1603" si="341">+D1540*I1540</f>
        <v>814.32</v>
      </c>
      <c r="L1540" s="335">
        <f t="shared" si="333"/>
        <v>0</v>
      </c>
      <c r="M1540" s="335"/>
      <c r="N1540" s="335"/>
      <c r="O1540" s="335"/>
      <c r="P1540" s="335"/>
      <c r="Q1540" s="130">
        <v>3</v>
      </c>
      <c r="R1540" s="131">
        <f t="shared" si="337"/>
        <v>203.58</v>
      </c>
      <c r="S1540" s="130"/>
      <c r="T1540" s="130"/>
      <c r="U1540" s="130">
        <v>3</v>
      </c>
      <c r="V1540" s="131">
        <f t="shared" si="338"/>
        <v>203.58</v>
      </c>
      <c r="W1540" s="130"/>
      <c r="X1540" s="130"/>
      <c r="Y1540" s="130"/>
      <c r="Z1540" s="130"/>
      <c r="AA1540" s="130">
        <v>2</v>
      </c>
      <c r="AB1540" s="131">
        <f t="shared" si="339"/>
        <v>203.58</v>
      </c>
      <c r="AC1540" s="130"/>
      <c r="AD1540" s="130"/>
      <c r="AE1540" s="130">
        <v>2</v>
      </c>
      <c r="AF1540" s="131">
        <f t="shared" si="340"/>
        <v>203.58</v>
      </c>
      <c r="AG1540" s="130"/>
      <c r="AH1540" s="130"/>
      <c r="AI1540" s="130"/>
      <c r="AJ1540" s="130"/>
      <c r="AK1540" s="131">
        <f t="shared" si="334"/>
        <v>814.32</v>
      </c>
      <c r="AL1540" s="335">
        <f t="shared" si="335"/>
        <v>0</v>
      </c>
      <c r="AM1540" s="130">
        <f t="shared" si="336"/>
        <v>10</v>
      </c>
      <c r="AN1540" s="336">
        <f t="shared" ref="AN1540:AN1603" si="342">+D1540-AM1540</f>
        <v>0</v>
      </c>
    </row>
    <row r="1541" spans="1:40" s="108" customFormat="1" ht="66" x14ac:dyDescent="0.25">
      <c r="A1541" s="9"/>
      <c r="B1541" s="43" t="s">
        <v>295</v>
      </c>
      <c r="C1541" s="1024"/>
      <c r="D1541" s="869">
        <v>10</v>
      </c>
      <c r="E1541" s="1027" t="s">
        <v>1721</v>
      </c>
      <c r="F1541" s="273" t="s">
        <v>3446</v>
      </c>
      <c r="G1541" s="1040" t="s">
        <v>3463</v>
      </c>
      <c r="H1541" s="273" t="s">
        <v>3462</v>
      </c>
      <c r="I1541" s="722">
        <f t="shared" si="332"/>
        <v>81.432000000000002</v>
      </c>
      <c r="J1541" s="756">
        <v>814.32</v>
      </c>
      <c r="K1541" s="131">
        <f t="shared" si="341"/>
        <v>814.32</v>
      </c>
      <c r="L1541" s="335">
        <f t="shared" si="333"/>
        <v>0</v>
      </c>
      <c r="M1541" s="335"/>
      <c r="N1541" s="335"/>
      <c r="O1541" s="335"/>
      <c r="P1541" s="335"/>
      <c r="Q1541" s="130">
        <v>3</v>
      </c>
      <c r="R1541" s="131">
        <f t="shared" si="337"/>
        <v>203.58</v>
      </c>
      <c r="S1541" s="130"/>
      <c r="T1541" s="130"/>
      <c r="U1541" s="130">
        <v>3</v>
      </c>
      <c r="V1541" s="131">
        <f t="shared" si="338"/>
        <v>203.58</v>
      </c>
      <c r="W1541" s="130"/>
      <c r="X1541" s="130"/>
      <c r="Y1541" s="130"/>
      <c r="Z1541" s="130"/>
      <c r="AA1541" s="130">
        <v>2</v>
      </c>
      <c r="AB1541" s="131">
        <f t="shared" si="339"/>
        <v>203.58</v>
      </c>
      <c r="AC1541" s="130"/>
      <c r="AD1541" s="130"/>
      <c r="AE1541" s="130">
        <v>2</v>
      </c>
      <c r="AF1541" s="131">
        <f t="shared" si="340"/>
        <v>203.58</v>
      </c>
      <c r="AG1541" s="130"/>
      <c r="AH1541" s="130"/>
      <c r="AI1541" s="130"/>
      <c r="AJ1541" s="130"/>
      <c r="AK1541" s="131">
        <f t="shared" si="334"/>
        <v>814.32</v>
      </c>
      <c r="AL1541" s="335">
        <f t="shared" si="335"/>
        <v>0</v>
      </c>
      <c r="AM1541" s="130">
        <f t="shared" si="336"/>
        <v>10</v>
      </c>
      <c r="AN1541" s="336">
        <f t="shared" si="342"/>
        <v>0</v>
      </c>
    </row>
    <row r="1542" spans="1:40" s="108" customFormat="1" ht="66" x14ac:dyDescent="0.25">
      <c r="A1542" s="9"/>
      <c r="B1542" s="41" t="s">
        <v>296</v>
      </c>
      <c r="C1542" s="1024"/>
      <c r="D1542" s="869">
        <v>50</v>
      </c>
      <c r="E1542" s="1027" t="s">
        <v>1721</v>
      </c>
      <c r="F1542" s="273" t="s">
        <v>3446</v>
      </c>
      <c r="G1542" s="1040" t="s">
        <v>3463</v>
      </c>
      <c r="H1542" s="273" t="s">
        <v>3462</v>
      </c>
      <c r="I1542" s="722">
        <f t="shared" si="332"/>
        <v>501.12</v>
      </c>
      <c r="J1542" s="756">
        <v>25056</v>
      </c>
      <c r="K1542" s="131">
        <f t="shared" si="341"/>
        <v>25056</v>
      </c>
      <c r="L1542" s="335">
        <f t="shared" si="333"/>
        <v>0</v>
      </c>
      <c r="M1542" s="335"/>
      <c r="N1542" s="335"/>
      <c r="O1542" s="335"/>
      <c r="P1542" s="335"/>
      <c r="Q1542" s="110">
        <v>13</v>
      </c>
      <c r="R1542" s="131">
        <f t="shared" si="337"/>
        <v>6264</v>
      </c>
      <c r="S1542" s="130"/>
      <c r="T1542" s="130"/>
      <c r="U1542" s="110">
        <v>12</v>
      </c>
      <c r="V1542" s="131">
        <f t="shared" si="338"/>
        <v>6264</v>
      </c>
      <c r="W1542" s="130"/>
      <c r="X1542" s="130"/>
      <c r="Y1542" s="130"/>
      <c r="Z1542" s="130"/>
      <c r="AA1542" s="110">
        <v>12</v>
      </c>
      <c r="AB1542" s="131">
        <f t="shared" si="339"/>
        <v>6264</v>
      </c>
      <c r="AC1542" s="130"/>
      <c r="AD1542" s="130"/>
      <c r="AE1542" s="110">
        <v>13</v>
      </c>
      <c r="AF1542" s="131">
        <f t="shared" si="340"/>
        <v>6264</v>
      </c>
      <c r="AG1542" s="130"/>
      <c r="AH1542" s="130"/>
      <c r="AI1542" s="130"/>
      <c r="AJ1542" s="130"/>
      <c r="AK1542" s="131">
        <f t="shared" si="334"/>
        <v>25056</v>
      </c>
      <c r="AL1542" s="335">
        <f t="shared" si="335"/>
        <v>0</v>
      </c>
      <c r="AM1542" s="130">
        <f t="shared" si="336"/>
        <v>50</v>
      </c>
      <c r="AN1542" s="336">
        <f t="shared" si="342"/>
        <v>0</v>
      </c>
    </row>
    <row r="1543" spans="1:40" s="108" customFormat="1" ht="66" x14ac:dyDescent="0.25">
      <c r="A1543" s="9"/>
      <c r="B1543" s="41" t="s">
        <v>297</v>
      </c>
      <c r="C1543" s="1024"/>
      <c r="D1543" s="869">
        <v>50</v>
      </c>
      <c r="E1543" s="1027" t="s">
        <v>1721</v>
      </c>
      <c r="F1543" s="273" t="s">
        <v>3446</v>
      </c>
      <c r="G1543" s="1040" t="s">
        <v>3463</v>
      </c>
      <c r="H1543" s="273" t="s">
        <v>3462</v>
      </c>
      <c r="I1543" s="722">
        <f t="shared" si="332"/>
        <v>149.70959999999999</v>
      </c>
      <c r="J1543" s="756">
        <v>7485.48</v>
      </c>
      <c r="K1543" s="131">
        <f t="shared" si="341"/>
        <v>7485.48</v>
      </c>
      <c r="L1543" s="335">
        <f t="shared" si="333"/>
        <v>0</v>
      </c>
      <c r="M1543" s="335"/>
      <c r="N1543" s="335"/>
      <c r="O1543" s="335"/>
      <c r="P1543" s="335"/>
      <c r="Q1543" s="110">
        <v>13</v>
      </c>
      <c r="R1543" s="131">
        <f t="shared" si="337"/>
        <v>1871.37</v>
      </c>
      <c r="S1543" s="130"/>
      <c r="T1543" s="130"/>
      <c r="U1543" s="110">
        <v>12</v>
      </c>
      <c r="V1543" s="131">
        <f t="shared" si="338"/>
        <v>1871.37</v>
      </c>
      <c r="W1543" s="130"/>
      <c r="X1543" s="130"/>
      <c r="Y1543" s="130"/>
      <c r="Z1543" s="130"/>
      <c r="AA1543" s="110">
        <v>12</v>
      </c>
      <c r="AB1543" s="131">
        <f t="shared" si="339"/>
        <v>1871.37</v>
      </c>
      <c r="AC1543" s="130"/>
      <c r="AD1543" s="130"/>
      <c r="AE1543" s="110">
        <v>13</v>
      </c>
      <c r="AF1543" s="131">
        <f t="shared" si="340"/>
        <v>1871.37</v>
      </c>
      <c r="AG1543" s="130"/>
      <c r="AH1543" s="130"/>
      <c r="AI1543" s="130"/>
      <c r="AJ1543" s="130"/>
      <c r="AK1543" s="131">
        <f t="shared" si="334"/>
        <v>7485.48</v>
      </c>
      <c r="AL1543" s="335">
        <f t="shared" si="335"/>
        <v>0</v>
      </c>
      <c r="AM1543" s="130">
        <f t="shared" si="336"/>
        <v>50</v>
      </c>
      <c r="AN1543" s="336">
        <f t="shared" si="342"/>
        <v>0</v>
      </c>
    </row>
    <row r="1544" spans="1:40" s="108" customFormat="1" ht="66" x14ac:dyDescent="0.25">
      <c r="A1544" s="9"/>
      <c r="B1544" s="46" t="s">
        <v>1430</v>
      </c>
      <c r="C1544" s="1024"/>
      <c r="D1544" s="869">
        <v>302</v>
      </c>
      <c r="E1544" s="1027" t="s">
        <v>1721</v>
      </c>
      <c r="F1544" s="273" t="s">
        <v>3446</v>
      </c>
      <c r="G1544" s="1040" t="s">
        <v>3463</v>
      </c>
      <c r="H1544" s="273" t="s">
        <v>3462</v>
      </c>
      <c r="I1544" s="722">
        <f t="shared" si="332"/>
        <v>244</v>
      </c>
      <c r="J1544" s="756">
        <f>73688</f>
        <v>73688</v>
      </c>
      <c r="K1544" s="131">
        <f t="shared" si="341"/>
        <v>73688</v>
      </c>
      <c r="L1544" s="335">
        <f t="shared" si="333"/>
        <v>0</v>
      </c>
      <c r="M1544" s="335"/>
      <c r="N1544" s="335"/>
      <c r="O1544" s="335"/>
      <c r="P1544" s="335"/>
      <c r="Q1544" s="130">
        <v>80</v>
      </c>
      <c r="R1544" s="131">
        <f t="shared" si="337"/>
        <v>18422</v>
      </c>
      <c r="S1544" s="130"/>
      <c r="T1544" s="130"/>
      <c r="U1544" s="130">
        <v>80</v>
      </c>
      <c r="V1544" s="131">
        <f t="shared" si="338"/>
        <v>18422</v>
      </c>
      <c r="W1544" s="130"/>
      <c r="X1544" s="130"/>
      <c r="Y1544" s="130"/>
      <c r="Z1544" s="130"/>
      <c r="AA1544" s="130">
        <v>100</v>
      </c>
      <c r="AB1544" s="131">
        <f t="shared" si="339"/>
        <v>18422</v>
      </c>
      <c r="AC1544" s="130"/>
      <c r="AD1544" s="130"/>
      <c r="AE1544" s="130">
        <v>42</v>
      </c>
      <c r="AF1544" s="131">
        <f t="shared" si="340"/>
        <v>18422</v>
      </c>
      <c r="AG1544" s="130"/>
      <c r="AH1544" s="130"/>
      <c r="AI1544" s="130"/>
      <c r="AJ1544" s="130"/>
      <c r="AK1544" s="131">
        <f t="shared" si="334"/>
        <v>73688</v>
      </c>
      <c r="AL1544" s="335">
        <f t="shared" si="335"/>
        <v>0</v>
      </c>
      <c r="AM1544" s="130">
        <f t="shared" si="336"/>
        <v>302</v>
      </c>
      <c r="AN1544" s="336">
        <f t="shared" si="342"/>
        <v>0</v>
      </c>
    </row>
    <row r="1545" spans="1:40" s="108" customFormat="1" ht="66" x14ac:dyDescent="0.25">
      <c r="A1545" s="9"/>
      <c r="B1545" s="488" t="s">
        <v>2249</v>
      </c>
      <c r="C1545" s="1024"/>
      <c r="D1545" s="869">
        <v>4</v>
      </c>
      <c r="E1545" s="1024" t="s">
        <v>1722</v>
      </c>
      <c r="F1545" s="273" t="s">
        <v>3446</v>
      </c>
      <c r="G1545" s="1040" t="s">
        <v>3463</v>
      </c>
      <c r="H1545" s="273" t="s">
        <v>3462</v>
      </c>
      <c r="I1545" s="722">
        <f t="shared" si="332"/>
        <v>79.3</v>
      </c>
      <c r="J1545" s="756">
        <v>317.2</v>
      </c>
      <c r="K1545" s="131">
        <f t="shared" si="341"/>
        <v>317.2</v>
      </c>
      <c r="L1545" s="335">
        <f t="shared" si="333"/>
        <v>0</v>
      </c>
      <c r="M1545" s="335"/>
      <c r="N1545" s="335"/>
      <c r="O1545" s="335"/>
      <c r="P1545" s="335"/>
      <c r="Q1545" s="130">
        <f t="shared" si="330"/>
        <v>1</v>
      </c>
      <c r="R1545" s="131">
        <f t="shared" si="337"/>
        <v>79.3</v>
      </c>
      <c r="S1545" s="130"/>
      <c r="T1545" s="130"/>
      <c r="U1545" s="130">
        <f t="shared" si="331"/>
        <v>1</v>
      </c>
      <c r="V1545" s="131">
        <f t="shared" si="338"/>
        <v>79.3</v>
      </c>
      <c r="W1545" s="130"/>
      <c r="X1545" s="130"/>
      <c r="Y1545" s="130"/>
      <c r="Z1545" s="130"/>
      <c r="AA1545" s="130">
        <f t="shared" si="329"/>
        <v>1</v>
      </c>
      <c r="AB1545" s="131">
        <f t="shared" si="339"/>
        <v>79.3</v>
      </c>
      <c r="AC1545" s="130"/>
      <c r="AD1545" s="130"/>
      <c r="AE1545" s="130">
        <f t="shared" si="329"/>
        <v>1</v>
      </c>
      <c r="AF1545" s="131">
        <f t="shared" si="340"/>
        <v>79.3</v>
      </c>
      <c r="AG1545" s="130"/>
      <c r="AH1545" s="130"/>
      <c r="AI1545" s="130"/>
      <c r="AJ1545" s="130"/>
      <c r="AK1545" s="131">
        <f t="shared" si="334"/>
        <v>317.2</v>
      </c>
      <c r="AL1545" s="335">
        <f t="shared" si="335"/>
        <v>0</v>
      </c>
      <c r="AM1545" s="130">
        <f t="shared" si="336"/>
        <v>4</v>
      </c>
      <c r="AN1545" s="336">
        <f t="shared" si="342"/>
        <v>0</v>
      </c>
    </row>
    <row r="1546" spans="1:40" s="108" customFormat="1" ht="66" x14ac:dyDescent="0.25">
      <c r="A1546" s="9"/>
      <c r="B1546" s="488" t="s">
        <v>2135</v>
      </c>
      <c r="C1546" s="1024"/>
      <c r="D1546" s="869">
        <v>4</v>
      </c>
      <c r="E1546" s="1024" t="s">
        <v>1722</v>
      </c>
      <c r="F1546" s="273" t="s">
        <v>3446</v>
      </c>
      <c r="G1546" s="1040" t="s">
        <v>3463</v>
      </c>
      <c r="H1546" s="273" t="s">
        <v>3462</v>
      </c>
      <c r="I1546" s="722">
        <f t="shared" si="332"/>
        <v>129.49</v>
      </c>
      <c r="J1546" s="756">
        <v>517.96</v>
      </c>
      <c r="K1546" s="131">
        <f t="shared" si="341"/>
        <v>517.96</v>
      </c>
      <c r="L1546" s="335">
        <f t="shared" si="333"/>
        <v>0</v>
      </c>
      <c r="M1546" s="335"/>
      <c r="N1546" s="335"/>
      <c r="O1546" s="335"/>
      <c r="P1546" s="335"/>
      <c r="Q1546" s="130">
        <f t="shared" si="330"/>
        <v>1</v>
      </c>
      <c r="R1546" s="131">
        <f t="shared" si="337"/>
        <v>129.49</v>
      </c>
      <c r="S1546" s="130"/>
      <c r="T1546" s="130"/>
      <c r="U1546" s="130">
        <f t="shared" si="331"/>
        <v>1</v>
      </c>
      <c r="V1546" s="131">
        <f t="shared" si="338"/>
        <v>129.49</v>
      </c>
      <c r="W1546" s="130"/>
      <c r="X1546" s="130"/>
      <c r="Y1546" s="130"/>
      <c r="Z1546" s="130"/>
      <c r="AA1546" s="130">
        <f t="shared" si="329"/>
        <v>1</v>
      </c>
      <c r="AB1546" s="131">
        <f t="shared" si="339"/>
        <v>129.49</v>
      </c>
      <c r="AC1546" s="130"/>
      <c r="AD1546" s="130"/>
      <c r="AE1546" s="130">
        <f t="shared" si="329"/>
        <v>1</v>
      </c>
      <c r="AF1546" s="131">
        <f t="shared" si="340"/>
        <v>129.49</v>
      </c>
      <c r="AG1546" s="130"/>
      <c r="AH1546" s="130"/>
      <c r="AI1546" s="130"/>
      <c r="AJ1546" s="130"/>
      <c r="AK1546" s="131">
        <f t="shared" si="334"/>
        <v>517.96</v>
      </c>
      <c r="AL1546" s="335">
        <f t="shared" si="335"/>
        <v>0</v>
      </c>
      <c r="AM1546" s="130">
        <f t="shared" si="336"/>
        <v>4</v>
      </c>
      <c r="AN1546" s="336">
        <f t="shared" si="342"/>
        <v>0</v>
      </c>
    </row>
    <row r="1547" spans="1:40" s="108" customFormat="1" ht="66" x14ac:dyDescent="0.25">
      <c r="A1547" s="9"/>
      <c r="B1547" s="488" t="s">
        <v>2250</v>
      </c>
      <c r="C1547" s="1024"/>
      <c r="D1547" s="869">
        <v>40</v>
      </c>
      <c r="E1547" s="1024" t="s">
        <v>1721</v>
      </c>
      <c r="F1547" s="273" t="s">
        <v>3446</v>
      </c>
      <c r="G1547" s="1040" t="s">
        <v>3463</v>
      </c>
      <c r="H1547" s="273" t="s">
        <v>3462</v>
      </c>
      <c r="I1547" s="722">
        <f t="shared" si="332"/>
        <v>11.88</v>
      </c>
      <c r="J1547" s="756">
        <v>475.20000000000005</v>
      </c>
      <c r="K1547" s="131">
        <f t="shared" si="341"/>
        <v>475.20000000000005</v>
      </c>
      <c r="L1547" s="335">
        <f t="shared" si="333"/>
        <v>0</v>
      </c>
      <c r="M1547" s="335"/>
      <c r="N1547" s="335"/>
      <c r="O1547" s="335"/>
      <c r="P1547" s="335"/>
      <c r="Q1547" s="130">
        <f t="shared" si="330"/>
        <v>10</v>
      </c>
      <c r="R1547" s="131">
        <f t="shared" si="337"/>
        <v>118.80000000000001</v>
      </c>
      <c r="S1547" s="130"/>
      <c r="T1547" s="130"/>
      <c r="U1547" s="130">
        <f t="shared" si="331"/>
        <v>10</v>
      </c>
      <c r="V1547" s="131">
        <f t="shared" si="338"/>
        <v>118.80000000000001</v>
      </c>
      <c r="W1547" s="130"/>
      <c r="X1547" s="130"/>
      <c r="Y1547" s="130"/>
      <c r="Z1547" s="130"/>
      <c r="AA1547" s="130">
        <f t="shared" si="329"/>
        <v>10</v>
      </c>
      <c r="AB1547" s="131">
        <f t="shared" si="339"/>
        <v>118.80000000000001</v>
      </c>
      <c r="AC1547" s="130"/>
      <c r="AD1547" s="130"/>
      <c r="AE1547" s="130">
        <f t="shared" si="329"/>
        <v>10</v>
      </c>
      <c r="AF1547" s="131">
        <f t="shared" si="340"/>
        <v>118.80000000000001</v>
      </c>
      <c r="AG1547" s="130"/>
      <c r="AH1547" s="130"/>
      <c r="AI1547" s="130"/>
      <c r="AJ1547" s="130"/>
      <c r="AK1547" s="131">
        <f t="shared" si="334"/>
        <v>475.20000000000005</v>
      </c>
      <c r="AL1547" s="335">
        <f t="shared" si="335"/>
        <v>0</v>
      </c>
      <c r="AM1547" s="130">
        <f t="shared" si="336"/>
        <v>40</v>
      </c>
      <c r="AN1547" s="336">
        <f t="shared" si="342"/>
        <v>0</v>
      </c>
    </row>
    <row r="1548" spans="1:40" s="108" customFormat="1" ht="66" x14ac:dyDescent="0.25">
      <c r="A1548" s="9"/>
      <c r="B1548" s="488" t="s">
        <v>299</v>
      </c>
      <c r="C1548" s="1024"/>
      <c r="D1548" s="869">
        <v>3</v>
      </c>
      <c r="E1548" s="1024" t="s">
        <v>1721</v>
      </c>
      <c r="F1548" s="273" t="s">
        <v>3446</v>
      </c>
      <c r="G1548" s="1040" t="s">
        <v>3463</v>
      </c>
      <c r="H1548" s="273" t="s">
        <v>3462</v>
      </c>
      <c r="I1548" s="722">
        <f t="shared" si="332"/>
        <v>48.707999999999998</v>
      </c>
      <c r="J1548" s="756">
        <v>146.124</v>
      </c>
      <c r="K1548" s="131">
        <f t="shared" si="341"/>
        <v>146.124</v>
      </c>
      <c r="L1548" s="335">
        <f t="shared" si="333"/>
        <v>0</v>
      </c>
      <c r="M1548" s="335"/>
      <c r="N1548" s="335"/>
      <c r="O1548" s="335"/>
      <c r="P1548" s="335"/>
      <c r="Q1548" s="130">
        <v>1</v>
      </c>
      <c r="R1548" s="131">
        <v>48.71</v>
      </c>
      <c r="S1548" s="130"/>
      <c r="T1548" s="130"/>
      <c r="U1548" s="130">
        <v>1</v>
      </c>
      <c r="V1548" s="131">
        <v>48.71</v>
      </c>
      <c r="W1548" s="130"/>
      <c r="X1548" s="130"/>
      <c r="Y1548" s="130"/>
      <c r="Z1548" s="130"/>
      <c r="AA1548" s="130">
        <v>1</v>
      </c>
      <c r="AB1548" s="131">
        <v>48.71</v>
      </c>
      <c r="AC1548" s="130"/>
      <c r="AD1548" s="130"/>
      <c r="AE1548" s="130">
        <v>0</v>
      </c>
      <c r="AF1548" s="131">
        <v>0</v>
      </c>
      <c r="AG1548" s="130"/>
      <c r="AH1548" s="130"/>
      <c r="AI1548" s="130"/>
      <c r="AJ1548" s="130"/>
      <c r="AK1548" s="131">
        <f t="shared" si="334"/>
        <v>146.13</v>
      </c>
      <c r="AL1548" s="335">
        <f t="shared" si="335"/>
        <v>-6.0000000000002274E-3</v>
      </c>
      <c r="AM1548" s="130">
        <f t="shared" si="336"/>
        <v>3</v>
      </c>
      <c r="AN1548" s="336">
        <f t="shared" si="342"/>
        <v>0</v>
      </c>
    </row>
    <row r="1549" spans="1:40" s="108" customFormat="1" ht="66" x14ac:dyDescent="0.25">
      <c r="A1549" s="9"/>
      <c r="B1549" s="34" t="s">
        <v>232</v>
      </c>
      <c r="C1549" s="1024"/>
      <c r="D1549" s="869">
        <v>30</v>
      </c>
      <c r="E1549" s="1024" t="s">
        <v>2599</v>
      </c>
      <c r="F1549" s="273" t="s">
        <v>3446</v>
      </c>
      <c r="G1549" s="1040" t="s">
        <v>3463</v>
      </c>
      <c r="H1549" s="273" t="s">
        <v>3462</v>
      </c>
      <c r="I1549" s="722">
        <f t="shared" si="332"/>
        <v>27.561599999999999</v>
      </c>
      <c r="J1549" s="756">
        <v>826.84799999999996</v>
      </c>
      <c r="K1549" s="131">
        <f t="shared" si="341"/>
        <v>826.84799999999996</v>
      </c>
      <c r="L1549" s="335">
        <f t="shared" si="333"/>
        <v>0</v>
      </c>
      <c r="M1549" s="335"/>
      <c r="N1549" s="335"/>
      <c r="O1549" s="335"/>
      <c r="P1549" s="335"/>
      <c r="Q1549" s="110">
        <v>8</v>
      </c>
      <c r="R1549" s="131">
        <f t="shared" si="337"/>
        <v>206.71199999999999</v>
      </c>
      <c r="S1549" s="130"/>
      <c r="T1549" s="130"/>
      <c r="U1549" s="110">
        <v>8</v>
      </c>
      <c r="V1549" s="131">
        <f t="shared" si="338"/>
        <v>206.71199999999999</v>
      </c>
      <c r="W1549" s="130"/>
      <c r="X1549" s="130"/>
      <c r="Y1549" s="130"/>
      <c r="Z1549" s="130"/>
      <c r="AA1549" s="110">
        <v>7</v>
      </c>
      <c r="AB1549" s="131">
        <f t="shared" si="339"/>
        <v>206.71199999999999</v>
      </c>
      <c r="AC1549" s="130"/>
      <c r="AD1549" s="130"/>
      <c r="AE1549" s="110">
        <v>7</v>
      </c>
      <c r="AF1549" s="131">
        <f t="shared" si="340"/>
        <v>206.71199999999999</v>
      </c>
      <c r="AG1549" s="130"/>
      <c r="AH1549" s="130"/>
      <c r="AI1549" s="130"/>
      <c r="AJ1549" s="130"/>
      <c r="AK1549" s="131">
        <f t="shared" si="334"/>
        <v>826.84799999999996</v>
      </c>
      <c r="AL1549" s="335">
        <f t="shared" si="335"/>
        <v>0</v>
      </c>
      <c r="AM1549" s="130">
        <f t="shared" si="336"/>
        <v>30</v>
      </c>
      <c r="AN1549" s="336">
        <f t="shared" si="342"/>
        <v>0</v>
      </c>
    </row>
    <row r="1550" spans="1:40" s="108" customFormat="1" ht="66" x14ac:dyDescent="0.25">
      <c r="A1550" s="9"/>
      <c r="B1550" s="43" t="s">
        <v>2636</v>
      </c>
      <c r="C1550" s="1024"/>
      <c r="D1550" s="869">
        <v>75</v>
      </c>
      <c r="E1550" s="1024" t="s">
        <v>2599</v>
      </c>
      <c r="F1550" s="273" t="s">
        <v>3446</v>
      </c>
      <c r="G1550" s="1040" t="s">
        <v>3463</v>
      </c>
      <c r="H1550" s="273" t="s">
        <v>3462</v>
      </c>
      <c r="I1550" s="722">
        <f t="shared" si="332"/>
        <v>3.8511999999999995</v>
      </c>
      <c r="J1550" s="756">
        <v>288.83999999999997</v>
      </c>
      <c r="K1550" s="131">
        <f t="shared" si="341"/>
        <v>288.83999999999997</v>
      </c>
      <c r="L1550" s="335">
        <f t="shared" si="333"/>
        <v>0</v>
      </c>
      <c r="M1550" s="335"/>
      <c r="N1550" s="335"/>
      <c r="O1550" s="335"/>
      <c r="P1550" s="335"/>
      <c r="Q1550" s="130">
        <v>19</v>
      </c>
      <c r="R1550" s="131">
        <f t="shared" si="337"/>
        <v>72.209999999999994</v>
      </c>
      <c r="S1550" s="130"/>
      <c r="T1550" s="130"/>
      <c r="U1550" s="130">
        <v>19</v>
      </c>
      <c r="V1550" s="131">
        <f t="shared" si="338"/>
        <v>72.209999999999994</v>
      </c>
      <c r="W1550" s="130"/>
      <c r="X1550" s="130"/>
      <c r="Y1550" s="130"/>
      <c r="Z1550" s="130"/>
      <c r="AA1550" s="130">
        <v>20</v>
      </c>
      <c r="AB1550" s="131">
        <f t="shared" si="339"/>
        <v>72.209999999999994</v>
      </c>
      <c r="AC1550" s="130"/>
      <c r="AD1550" s="130"/>
      <c r="AE1550" s="130">
        <v>17</v>
      </c>
      <c r="AF1550" s="131">
        <f t="shared" si="340"/>
        <v>72.209999999999994</v>
      </c>
      <c r="AG1550" s="130"/>
      <c r="AH1550" s="130"/>
      <c r="AI1550" s="130"/>
      <c r="AJ1550" s="130"/>
      <c r="AK1550" s="131">
        <f t="shared" si="334"/>
        <v>288.83999999999997</v>
      </c>
      <c r="AL1550" s="335">
        <f t="shared" si="335"/>
        <v>0</v>
      </c>
      <c r="AM1550" s="130">
        <f t="shared" si="336"/>
        <v>75</v>
      </c>
      <c r="AN1550" s="336">
        <f t="shared" si="342"/>
        <v>0</v>
      </c>
    </row>
    <row r="1551" spans="1:40" s="108" customFormat="1" ht="66" x14ac:dyDescent="0.25">
      <c r="A1551" s="9"/>
      <c r="B1551" s="34" t="s">
        <v>2637</v>
      </c>
      <c r="C1551" s="1024"/>
      <c r="D1551" s="869">
        <v>10</v>
      </c>
      <c r="E1551" s="1024" t="s">
        <v>2599</v>
      </c>
      <c r="F1551" s="273" t="s">
        <v>3446</v>
      </c>
      <c r="G1551" s="1040" t="s">
        <v>3463</v>
      </c>
      <c r="H1551" s="273" t="s">
        <v>3462</v>
      </c>
      <c r="I1551" s="722">
        <f t="shared" si="332"/>
        <v>106.42999999999999</v>
      </c>
      <c r="J1551" s="756">
        <v>1064.3</v>
      </c>
      <c r="K1551" s="131">
        <f t="shared" si="341"/>
        <v>1064.3</v>
      </c>
      <c r="L1551" s="335">
        <f t="shared" si="333"/>
        <v>0</v>
      </c>
      <c r="M1551" s="335"/>
      <c r="N1551" s="335"/>
      <c r="O1551" s="335"/>
      <c r="P1551" s="335"/>
      <c r="Q1551" s="130">
        <v>3</v>
      </c>
      <c r="R1551" s="131">
        <f t="shared" si="337"/>
        <v>266.07499999999999</v>
      </c>
      <c r="S1551" s="130"/>
      <c r="T1551" s="130"/>
      <c r="U1551" s="130">
        <v>3</v>
      </c>
      <c r="V1551" s="131">
        <f t="shared" si="338"/>
        <v>266.07499999999999</v>
      </c>
      <c r="W1551" s="130"/>
      <c r="X1551" s="130"/>
      <c r="Y1551" s="130"/>
      <c r="Z1551" s="130"/>
      <c r="AA1551" s="130">
        <v>2</v>
      </c>
      <c r="AB1551" s="131">
        <f t="shared" si="339"/>
        <v>266.07499999999999</v>
      </c>
      <c r="AC1551" s="130"/>
      <c r="AD1551" s="130"/>
      <c r="AE1551" s="130">
        <v>2</v>
      </c>
      <c r="AF1551" s="131">
        <f t="shared" si="340"/>
        <v>266.07499999999999</v>
      </c>
      <c r="AG1551" s="130"/>
      <c r="AH1551" s="130"/>
      <c r="AI1551" s="130"/>
      <c r="AJ1551" s="130"/>
      <c r="AK1551" s="131">
        <f t="shared" si="334"/>
        <v>1064.3</v>
      </c>
      <c r="AL1551" s="335">
        <f t="shared" si="335"/>
        <v>0</v>
      </c>
      <c r="AM1551" s="130">
        <f t="shared" si="336"/>
        <v>10</v>
      </c>
      <c r="AN1551" s="336">
        <f t="shared" si="342"/>
        <v>0</v>
      </c>
    </row>
    <row r="1552" spans="1:40" s="108" customFormat="1" ht="66" x14ac:dyDescent="0.25">
      <c r="A1552" s="9"/>
      <c r="B1552" s="43" t="s">
        <v>2638</v>
      </c>
      <c r="C1552" s="1024"/>
      <c r="D1552" s="869">
        <v>95</v>
      </c>
      <c r="E1552" s="1024" t="s">
        <v>2600</v>
      </c>
      <c r="F1552" s="273" t="s">
        <v>3446</v>
      </c>
      <c r="G1552" s="1040" t="s">
        <v>3463</v>
      </c>
      <c r="H1552" s="273" t="s">
        <v>3462</v>
      </c>
      <c r="I1552" s="722">
        <f t="shared" si="332"/>
        <v>1.6007999999999996</v>
      </c>
      <c r="J1552" s="756">
        <v>152.07599999999996</v>
      </c>
      <c r="K1552" s="131">
        <f t="shared" si="341"/>
        <v>152.07599999999996</v>
      </c>
      <c r="L1552" s="335">
        <f t="shared" si="333"/>
        <v>0</v>
      </c>
      <c r="M1552" s="335"/>
      <c r="N1552" s="335"/>
      <c r="O1552" s="335"/>
      <c r="P1552" s="335"/>
      <c r="Q1552" s="110">
        <v>24</v>
      </c>
      <c r="R1552" s="131">
        <f t="shared" si="337"/>
        <v>38.018999999999991</v>
      </c>
      <c r="S1552" s="130"/>
      <c r="T1552" s="130"/>
      <c r="U1552" s="110">
        <v>24</v>
      </c>
      <c r="V1552" s="131">
        <f t="shared" si="338"/>
        <v>38.018999999999991</v>
      </c>
      <c r="W1552" s="130"/>
      <c r="X1552" s="130"/>
      <c r="Y1552" s="130"/>
      <c r="Z1552" s="130"/>
      <c r="AA1552" s="110">
        <v>24</v>
      </c>
      <c r="AB1552" s="131">
        <f t="shared" si="339"/>
        <v>38.018999999999991</v>
      </c>
      <c r="AC1552" s="130"/>
      <c r="AD1552" s="130"/>
      <c r="AE1552" s="110">
        <v>23</v>
      </c>
      <c r="AF1552" s="131">
        <f t="shared" si="340"/>
        <v>38.018999999999991</v>
      </c>
      <c r="AG1552" s="130"/>
      <c r="AH1552" s="130"/>
      <c r="AI1552" s="130"/>
      <c r="AJ1552" s="130"/>
      <c r="AK1552" s="131">
        <f t="shared" si="334"/>
        <v>152.07599999999996</v>
      </c>
      <c r="AL1552" s="335">
        <f t="shared" si="335"/>
        <v>0</v>
      </c>
      <c r="AM1552" s="130">
        <f t="shared" si="336"/>
        <v>95</v>
      </c>
      <c r="AN1552" s="336">
        <f t="shared" si="342"/>
        <v>0</v>
      </c>
    </row>
    <row r="1553" spans="1:40" s="108" customFormat="1" ht="66" x14ac:dyDescent="0.25">
      <c r="A1553" s="9"/>
      <c r="B1553" s="34" t="s">
        <v>1143</v>
      </c>
      <c r="C1553" s="1024"/>
      <c r="D1553" s="869">
        <v>50</v>
      </c>
      <c r="E1553" s="1024" t="s">
        <v>2238</v>
      </c>
      <c r="F1553" s="273" t="s">
        <v>3446</v>
      </c>
      <c r="G1553" s="1040" t="s">
        <v>3463</v>
      </c>
      <c r="H1553" s="273" t="s">
        <v>3462</v>
      </c>
      <c r="I1553" s="722">
        <f t="shared" si="332"/>
        <v>5.2084000000000001</v>
      </c>
      <c r="J1553" s="756">
        <v>260.42</v>
      </c>
      <c r="K1553" s="131">
        <f t="shared" si="341"/>
        <v>260.42</v>
      </c>
      <c r="L1553" s="335">
        <f t="shared" si="333"/>
        <v>0</v>
      </c>
      <c r="M1553" s="335"/>
      <c r="N1553" s="335"/>
      <c r="O1553" s="335"/>
      <c r="P1553" s="335"/>
      <c r="Q1553" s="110">
        <v>13</v>
      </c>
      <c r="R1553" s="131">
        <f t="shared" si="337"/>
        <v>65.105000000000004</v>
      </c>
      <c r="S1553" s="130"/>
      <c r="T1553" s="130"/>
      <c r="U1553" s="110">
        <v>12</v>
      </c>
      <c r="V1553" s="131">
        <f t="shared" si="338"/>
        <v>65.105000000000004</v>
      </c>
      <c r="W1553" s="130"/>
      <c r="X1553" s="130"/>
      <c r="Y1553" s="130"/>
      <c r="Z1553" s="130"/>
      <c r="AA1553" s="110">
        <v>12</v>
      </c>
      <c r="AB1553" s="131">
        <f t="shared" si="339"/>
        <v>65.105000000000004</v>
      </c>
      <c r="AC1553" s="130"/>
      <c r="AD1553" s="130"/>
      <c r="AE1553" s="110">
        <v>13</v>
      </c>
      <c r="AF1553" s="131">
        <f t="shared" si="340"/>
        <v>65.105000000000004</v>
      </c>
      <c r="AG1553" s="130"/>
      <c r="AH1553" s="130"/>
      <c r="AI1553" s="130"/>
      <c r="AJ1553" s="130"/>
      <c r="AK1553" s="131">
        <f t="shared" si="334"/>
        <v>260.42</v>
      </c>
      <c r="AL1553" s="335">
        <f t="shared" si="335"/>
        <v>0</v>
      </c>
      <c r="AM1553" s="130">
        <f t="shared" si="336"/>
        <v>50</v>
      </c>
      <c r="AN1553" s="336">
        <f t="shared" si="342"/>
        <v>0</v>
      </c>
    </row>
    <row r="1554" spans="1:40" s="108" customFormat="1" ht="66" x14ac:dyDescent="0.25">
      <c r="A1554" s="9"/>
      <c r="B1554" s="43" t="s">
        <v>2639</v>
      </c>
      <c r="C1554" s="1024"/>
      <c r="D1554" s="869">
        <v>3500</v>
      </c>
      <c r="E1554" s="1024" t="s">
        <v>1721</v>
      </c>
      <c r="F1554" s="273" t="s">
        <v>3446</v>
      </c>
      <c r="G1554" s="1040" t="s">
        <v>3463</v>
      </c>
      <c r="H1554" s="273" t="s">
        <v>3462</v>
      </c>
      <c r="I1554" s="722">
        <f t="shared" si="332"/>
        <v>1.6007999999999998</v>
      </c>
      <c r="J1554" s="756">
        <v>5602.7999999999993</v>
      </c>
      <c r="K1554" s="131">
        <f t="shared" si="341"/>
        <v>5602.7999999999993</v>
      </c>
      <c r="L1554" s="335">
        <f t="shared" si="333"/>
        <v>0</v>
      </c>
      <c r="M1554" s="335"/>
      <c r="N1554" s="335"/>
      <c r="O1554" s="335"/>
      <c r="P1554" s="335"/>
      <c r="Q1554" s="130">
        <f t="shared" si="330"/>
        <v>875</v>
      </c>
      <c r="R1554" s="131">
        <f t="shared" si="337"/>
        <v>1400.6999999999998</v>
      </c>
      <c r="S1554" s="130"/>
      <c r="T1554" s="130"/>
      <c r="U1554" s="130">
        <f t="shared" si="331"/>
        <v>875</v>
      </c>
      <c r="V1554" s="131">
        <f t="shared" si="338"/>
        <v>1400.6999999999998</v>
      </c>
      <c r="W1554" s="130"/>
      <c r="X1554" s="130"/>
      <c r="Y1554" s="130"/>
      <c r="Z1554" s="130"/>
      <c r="AA1554" s="130">
        <f t="shared" si="329"/>
        <v>875</v>
      </c>
      <c r="AB1554" s="131">
        <f t="shared" si="339"/>
        <v>1400.6999999999998</v>
      </c>
      <c r="AC1554" s="130"/>
      <c r="AD1554" s="130"/>
      <c r="AE1554" s="130">
        <f t="shared" si="329"/>
        <v>875</v>
      </c>
      <c r="AF1554" s="131">
        <f t="shared" si="340"/>
        <v>1400.6999999999998</v>
      </c>
      <c r="AG1554" s="130"/>
      <c r="AH1554" s="130"/>
      <c r="AI1554" s="130"/>
      <c r="AJ1554" s="130"/>
      <c r="AK1554" s="131">
        <f t="shared" si="334"/>
        <v>5602.7999999999993</v>
      </c>
      <c r="AL1554" s="335">
        <f t="shared" si="335"/>
        <v>0</v>
      </c>
      <c r="AM1554" s="130">
        <f t="shared" si="336"/>
        <v>3500</v>
      </c>
      <c r="AN1554" s="336">
        <f t="shared" si="342"/>
        <v>0</v>
      </c>
    </row>
    <row r="1555" spans="1:40" s="108" customFormat="1" ht="66" x14ac:dyDescent="0.25">
      <c r="A1555" s="9"/>
      <c r="B1555" s="43" t="s">
        <v>2640</v>
      </c>
      <c r="C1555" s="1024"/>
      <c r="D1555" s="869">
        <v>1</v>
      </c>
      <c r="E1555" s="1024" t="s">
        <v>1873</v>
      </c>
      <c r="F1555" s="273" t="s">
        <v>3446</v>
      </c>
      <c r="G1555" s="1040" t="s">
        <v>3463</v>
      </c>
      <c r="H1555" s="273" t="s">
        <v>3462</v>
      </c>
      <c r="I1555" s="722">
        <f t="shared" si="332"/>
        <v>1142.02</v>
      </c>
      <c r="J1555" s="756">
        <v>1142.02</v>
      </c>
      <c r="K1555" s="131">
        <f t="shared" si="341"/>
        <v>1142.02</v>
      </c>
      <c r="L1555" s="335">
        <f t="shared" si="333"/>
        <v>0</v>
      </c>
      <c r="M1555" s="335"/>
      <c r="N1555" s="335"/>
      <c r="O1555" s="335"/>
      <c r="P1555" s="335"/>
      <c r="Q1555" s="130">
        <v>1</v>
      </c>
      <c r="R1555" s="131">
        <v>1142.02</v>
      </c>
      <c r="S1555" s="130"/>
      <c r="T1555" s="130"/>
      <c r="U1555" s="110">
        <v>0</v>
      </c>
      <c r="V1555" s="131">
        <v>0</v>
      </c>
      <c r="W1555" s="130"/>
      <c r="X1555" s="130"/>
      <c r="Y1555" s="130"/>
      <c r="Z1555" s="130"/>
      <c r="AA1555" s="110">
        <v>0</v>
      </c>
      <c r="AB1555" s="131">
        <v>0</v>
      </c>
      <c r="AC1555" s="130"/>
      <c r="AD1555" s="130"/>
      <c r="AE1555" s="110">
        <v>0</v>
      </c>
      <c r="AF1555" s="131">
        <v>0</v>
      </c>
      <c r="AG1555" s="130"/>
      <c r="AH1555" s="130"/>
      <c r="AI1555" s="130"/>
      <c r="AJ1555" s="130"/>
      <c r="AK1555" s="131">
        <f t="shared" si="334"/>
        <v>1142.02</v>
      </c>
      <c r="AL1555" s="335">
        <f t="shared" si="335"/>
        <v>0</v>
      </c>
      <c r="AM1555" s="130">
        <f t="shared" si="336"/>
        <v>1</v>
      </c>
      <c r="AN1555" s="336">
        <f t="shared" si="342"/>
        <v>0</v>
      </c>
    </row>
    <row r="1556" spans="1:40" s="108" customFormat="1" ht="66" x14ac:dyDescent="0.25">
      <c r="A1556" s="9"/>
      <c r="B1556" s="43" t="s">
        <v>2641</v>
      </c>
      <c r="C1556" s="1024"/>
      <c r="D1556" s="869">
        <v>1</v>
      </c>
      <c r="E1556" s="1024" t="s">
        <v>1725</v>
      </c>
      <c r="F1556" s="273" t="s">
        <v>3446</v>
      </c>
      <c r="G1556" s="1040" t="s">
        <v>3463</v>
      </c>
      <c r="H1556" s="273" t="s">
        <v>3462</v>
      </c>
      <c r="I1556" s="722">
        <f t="shared" si="332"/>
        <v>122.96</v>
      </c>
      <c r="J1556" s="756">
        <v>122.96</v>
      </c>
      <c r="K1556" s="131">
        <f t="shared" si="341"/>
        <v>122.96</v>
      </c>
      <c r="L1556" s="335">
        <f t="shared" si="333"/>
        <v>0</v>
      </c>
      <c r="M1556" s="335"/>
      <c r="N1556" s="335"/>
      <c r="O1556" s="335"/>
      <c r="P1556" s="335"/>
      <c r="Q1556" s="130">
        <v>1</v>
      </c>
      <c r="R1556" s="131">
        <v>122.96</v>
      </c>
      <c r="S1556" s="130"/>
      <c r="T1556" s="130"/>
      <c r="U1556" s="110">
        <v>0</v>
      </c>
      <c r="V1556" s="131">
        <v>0</v>
      </c>
      <c r="W1556" s="130"/>
      <c r="X1556" s="130"/>
      <c r="Y1556" s="130"/>
      <c r="Z1556" s="130"/>
      <c r="AA1556" s="110">
        <v>0</v>
      </c>
      <c r="AB1556" s="131">
        <v>0</v>
      </c>
      <c r="AC1556" s="130"/>
      <c r="AD1556" s="130"/>
      <c r="AE1556" s="110">
        <v>0</v>
      </c>
      <c r="AF1556" s="131">
        <v>0</v>
      </c>
      <c r="AG1556" s="130"/>
      <c r="AH1556" s="130"/>
      <c r="AI1556" s="130"/>
      <c r="AJ1556" s="130"/>
      <c r="AK1556" s="131">
        <f t="shared" si="334"/>
        <v>122.96</v>
      </c>
      <c r="AL1556" s="335">
        <f t="shared" si="335"/>
        <v>0</v>
      </c>
      <c r="AM1556" s="130">
        <f t="shared" si="336"/>
        <v>1</v>
      </c>
      <c r="AN1556" s="336">
        <f t="shared" si="342"/>
        <v>0</v>
      </c>
    </row>
    <row r="1557" spans="1:40" s="108" customFormat="1" ht="66" x14ac:dyDescent="0.25">
      <c r="A1557" s="9"/>
      <c r="B1557" s="43" t="s">
        <v>2642</v>
      </c>
      <c r="C1557" s="1024"/>
      <c r="D1557" s="869">
        <v>1</v>
      </c>
      <c r="E1557" s="1024" t="s">
        <v>1725</v>
      </c>
      <c r="F1557" s="273" t="s">
        <v>3446</v>
      </c>
      <c r="G1557" s="1040" t="s">
        <v>3463</v>
      </c>
      <c r="H1557" s="273" t="s">
        <v>3462</v>
      </c>
      <c r="I1557" s="722">
        <f t="shared" si="332"/>
        <v>183.28</v>
      </c>
      <c r="J1557" s="756">
        <v>183.28</v>
      </c>
      <c r="K1557" s="131">
        <f t="shared" si="341"/>
        <v>183.28</v>
      </c>
      <c r="L1557" s="335">
        <f t="shared" si="333"/>
        <v>0</v>
      </c>
      <c r="M1557" s="335"/>
      <c r="N1557" s="335"/>
      <c r="O1557" s="335"/>
      <c r="P1557" s="335"/>
      <c r="Q1557" s="130">
        <v>1</v>
      </c>
      <c r="R1557" s="131">
        <v>183.28</v>
      </c>
      <c r="S1557" s="130"/>
      <c r="T1557" s="130"/>
      <c r="U1557" s="110">
        <v>0</v>
      </c>
      <c r="V1557" s="131">
        <v>0</v>
      </c>
      <c r="W1557" s="130"/>
      <c r="X1557" s="130"/>
      <c r="Y1557" s="130"/>
      <c r="Z1557" s="130"/>
      <c r="AA1557" s="110">
        <v>0</v>
      </c>
      <c r="AB1557" s="131">
        <v>0</v>
      </c>
      <c r="AC1557" s="130"/>
      <c r="AD1557" s="130"/>
      <c r="AE1557" s="110">
        <v>0</v>
      </c>
      <c r="AF1557" s="131">
        <v>0</v>
      </c>
      <c r="AG1557" s="130"/>
      <c r="AH1557" s="130"/>
      <c r="AI1557" s="130"/>
      <c r="AJ1557" s="130"/>
      <c r="AK1557" s="131">
        <f t="shared" si="334"/>
        <v>183.28</v>
      </c>
      <c r="AL1557" s="335">
        <f t="shared" si="335"/>
        <v>0</v>
      </c>
      <c r="AM1557" s="130">
        <f t="shared" si="336"/>
        <v>1</v>
      </c>
      <c r="AN1557" s="336">
        <f t="shared" si="342"/>
        <v>0</v>
      </c>
    </row>
    <row r="1558" spans="1:40" s="108" customFormat="1" ht="66" x14ac:dyDescent="0.25">
      <c r="A1558" s="9"/>
      <c r="B1558" s="43" t="s">
        <v>2643</v>
      </c>
      <c r="C1558" s="1024"/>
      <c r="D1558" s="869">
        <v>1</v>
      </c>
      <c r="E1558" s="1024" t="s">
        <v>1725</v>
      </c>
      <c r="F1558" s="273" t="s">
        <v>3446</v>
      </c>
      <c r="G1558" s="1040" t="s">
        <v>3463</v>
      </c>
      <c r="H1558" s="273" t="s">
        <v>3462</v>
      </c>
      <c r="I1558" s="722">
        <f t="shared" si="332"/>
        <v>173.42</v>
      </c>
      <c r="J1558" s="756">
        <v>173.42</v>
      </c>
      <c r="K1558" s="131">
        <f t="shared" si="341"/>
        <v>173.42</v>
      </c>
      <c r="L1558" s="335">
        <f t="shared" si="333"/>
        <v>0</v>
      </c>
      <c r="M1558" s="335"/>
      <c r="N1558" s="335"/>
      <c r="O1558" s="335"/>
      <c r="P1558" s="335"/>
      <c r="Q1558" s="130">
        <v>1</v>
      </c>
      <c r="R1558" s="131">
        <v>173.42</v>
      </c>
      <c r="S1558" s="130"/>
      <c r="T1558" s="130"/>
      <c r="U1558" s="110">
        <v>0</v>
      </c>
      <c r="V1558" s="131">
        <v>0</v>
      </c>
      <c r="W1558" s="130"/>
      <c r="X1558" s="130"/>
      <c r="Y1558" s="130"/>
      <c r="Z1558" s="130"/>
      <c r="AA1558" s="110">
        <v>0</v>
      </c>
      <c r="AB1558" s="131">
        <v>0</v>
      </c>
      <c r="AC1558" s="130"/>
      <c r="AD1558" s="130"/>
      <c r="AE1558" s="110">
        <v>0</v>
      </c>
      <c r="AF1558" s="131">
        <v>0</v>
      </c>
      <c r="AG1558" s="130"/>
      <c r="AH1558" s="130"/>
      <c r="AI1558" s="130"/>
      <c r="AJ1558" s="130"/>
      <c r="AK1558" s="131">
        <f t="shared" si="334"/>
        <v>173.42</v>
      </c>
      <c r="AL1558" s="335">
        <f t="shared" si="335"/>
        <v>0</v>
      </c>
      <c r="AM1558" s="130">
        <f t="shared" si="336"/>
        <v>1</v>
      </c>
      <c r="AN1558" s="336">
        <f t="shared" si="342"/>
        <v>0</v>
      </c>
    </row>
    <row r="1559" spans="1:40" s="108" customFormat="1" ht="66" x14ac:dyDescent="0.25">
      <c r="A1559" s="9"/>
      <c r="B1559" s="43" t="s">
        <v>2644</v>
      </c>
      <c r="C1559" s="1024"/>
      <c r="D1559" s="869">
        <v>1</v>
      </c>
      <c r="E1559" s="1024" t="s">
        <v>1725</v>
      </c>
      <c r="F1559" s="273" t="s">
        <v>3446</v>
      </c>
      <c r="G1559" s="1040" t="s">
        <v>3463</v>
      </c>
      <c r="H1559" s="273" t="s">
        <v>3462</v>
      </c>
      <c r="I1559" s="722">
        <f t="shared" si="332"/>
        <v>193.72</v>
      </c>
      <c r="J1559" s="756">
        <v>193.72</v>
      </c>
      <c r="K1559" s="131">
        <f t="shared" si="341"/>
        <v>193.72</v>
      </c>
      <c r="L1559" s="335">
        <f t="shared" si="333"/>
        <v>0</v>
      </c>
      <c r="M1559" s="335"/>
      <c r="N1559" s="335"/>
      <c r="O1559" s="335"/>
      <c r="P1559" s="335"/>
      <c r="Q1559" s="130">
        <v>1</v>
      </c>
      <c r="R1559" s="131">
        <v>193.72</v>
      </c>
      <c r="S1559" s="130"/>
      <c r="T1559" s="130"/>
      <c r="U1559" s="110">
        <v>0</v>
      </c>
      <c r="V1559" s="131">
        <v>0</v>
      </c>
      <c r="W1559" s="130"/>
      <c r="X1559" s="130"/>
      <c r="Y1559" s="130"/>
      <c r="Z1559" s="130"/>
      <c r="AA1559" s="110">
        <v>0</v>
      </c>
      <c r="AB1559" s="131">
        <v>0</v>
      </c>
      <c r="AC1559" s="130"/>
      <c r="AD1559" s="130"/>
      <c r="AE1559" s="110">
        <v>0</v>
      </c>
      <c r="AF1559" s="131">
        <v>0</v>
      </c>
      <c r="AG1559" s="130"/>
      <c r="AH1559" s="130"/>
      <c r="AI1559" s="130"/>
      <c r="AJ1559" s="130"/>
      <c r="AK1559" s="131">
        <f t="shared" si="334"/>
        <v>193.72</v>
      </c>
      <c r="AL1559" s="335">
        <f t="shared" si="335"/>
        <v>0</v>
      </c>
      <c r="AM1559" s="130">
        <f t="shared" si="336"/>
        <v>1</v>
      </c>
      <c r="AN1559" s="336">
        <f t="shared" si="342"/>
        <v>0</v>
      </c>
    </row>
    <row r="1560" spans="1:40" s="108" customFormat="1" ht="66" x14ac:dyDescent="0.25">
      <c r="A1560" s="9"/>
      <c r="B1560" s="43" t="s">
        <v>2645</v>
      </c>
      <c r="C1560" s="1024"/>
      <c r="D1560" s="869">
        <v>2</v>
      </c>
      <c r="E1560" s="1024" t="s">
        <v>1725</v>
      </c>
      <c r="F1560" s="273" t="s">
        <v>3446</v>
      </c>
      <c r="G1560" s="1040" t="s">
        <v>3463</v>
      </c>
      <c r="H1560" s="273" t="s">
        <v>3462</v>
      </c>
      <c r="I1560" s="722">
        <f t="shared" si="332"/>
        <v>205.32</v>
      </c>
      <c r="J1560" s="756">
        <v>410.64</v>
      </c>
      <c r="K1560" s="131">
        <f t="shared" si="341"/>
        <v>410.64</v>
      </c>
      <c r="L1560" s="335">
        <f t="shared" si="333"/>
        <v>0</v>
      </c>
      <c r="M1560" s="335"/>
      <c r="N1560" s="335"/>
      <c r="O1560" s="335"/>
      <c r="P1560" s="335"/>
      <c r="Q1560" s="130">
        <v>1</v>
      </c>
      <c r="R1560" s="131">
        <v>205.32</v>
      </c>
      <c r="S1560" s="130"/>
      <c r="T1560" s="130"/>
      <c r="U1560" s="130">
        <v>1</v>
      </c>
      <c r="V1560" s="131">
        <v>205.32</v>
      </c>
      <c r="W1560" s="130"/>
      <c r="X1560" s="130"/>
      <c r="Y1560" s="130"/>
      <c r="Z1560" s="130"/>
      <c r="AA1560" s="130">
        <v>0</v>
      </c>
      <c r="AB1560" s="131">
        <v>0</v>
      </c>
      <c r="AC1560" s="130"/>
      <c r="AD1560" s="130"/>
      <c r="AE1560" s="130">
        <v>0</v>
      </c>
      <c r="AF1560" s="131">
        <v>0</v>
      </c>
      <c r="AG1560" s="130"/>
      <c r="AH1560" s="130"/>
      <c r="AI1560" s="130"/>
      <c r="AJ1560" s="130"/>
      <c r="AK1560" s="131">
        <f t="shared" si="334"/>
        <v>410.64</v>
      </c>
      <c r="AL1560" s="335">
        <f t="shared" si="335"/>
        <v>0</v>
      </c>
      <c r="AM1560" s="130">
        <f t="shared" si="336"/>
        <v>2</v>
      </c>
      <c r="AN1560" s="336">
        <f t="shared" si="342"/>
        <v>0</v>
      </c>
    </row>
    <row r="1561" spans="1:40" s="108" customFormat="1" ht="66" x14ac:dyDescent="0.25">
      <c r="A1561" s="9"/>
      <c r="B1561" s="43" t="s">
        <v>2646</v>
      </c>
      <c r="C1561" s="1024"/>
      <c r="D1561" s="869">
        <v>1</v>
      </c>
      <c r="E1561" s="1024" t="s">
        <v>1725</v>
      </c>
      <c r="F1561" s="273" t="s">
        <v>3446</v>
      </c>
      <c r="G1561" s="1040" t="s">
        <v>3463</v>
      </c>
      <c r="H1561" s="273" t="s">
        <v>3462</v>
      </c>
      <c r="I1561" s="722">
        <f t="shared" si="332"/>
        <v>530.12</v>
      </c>
      <c r="J1561" s="759">
        <v>530.12</v>
      </c>
      <c r="K1561" s="131">
        <f t="shared" si="341"/>
        <v>530.12</v>
      </c>
      <c r="L1561" s="335">
        <f t="shared" si="333"/>
        <v>0</v>
      </c>
      <c r="M1561" s="335"/>
      <c r="N1561" s="335"/>
      <c r="O1561" s="335"/>
      <c r="P1561" s="335"/>
      <c r="Q1561" s="130">
        <v>0</v>
      </c>
      <c r="R1561" s="131">
        <v>0</v>
      </c>
      <c r="S1561" s="130"/>
      <c r="T1561" s="130"/>
      <c r="U1561" s="110">
        <v>1</v>
      </c>
      <c r="V1561" s="131">
        <v>530.12</v>
      </c>
      <c r="W1561" s="130"/>
      <c r="X1561" s="130"/>
      <c r="Y1561" s="130"/>
      <c r="Z1561" s="130"/>
      <c r="AA1561" s="110">
        <v>0</v>
      </c>
      <c r="AB1561" s="131">
        <v>0</v>
      </c>
      <c r="AC1561" s="130"/>
      <c r="AD1561" s="130"/>
      <c r="AE1561" s="110">
        <v>0</v>
      </c>
      <c r="AF1561" s="131">
        <v>0</v>
      </c>
      <c r="AG1561" s="130"/>
      <c r="AH1561" s="130"/>
      <c r="AI1561" s="130"/>
      <c r="AJ1561" s="130"/>
      <c r="AK1561" s="131">
        <f t="shared" si="334"/>
        <v>530.12</v>
      </c>
      <c r="AL1561" s="335">
        <f t="shared" si="335"/>
        <v>0</v>
      </c>
      <c r="AM1561" s="130">
        <f t="shared" si="336"/>
        <v>1</v>
      </c>
      <c r="AN1561" s="336">
        <f t="shared" si="342"/>
        <v>0</v>
      </c>
    </row>
    <row r="1562" spans="1:40" s="108" customFormat="1" ht="66" x14ac:dyDescent="0.25">
      <c r="A1562" s="9"/>
      <c r="B1562" s="43" t="s">
        <v>2647</v>
      </c>
      <c r="C1562" s="1024"/>
      <c r="D1562" s="869">
        <v>30</v>
      </c>
      <c r="E1562" s="1024" t="s">
        <v>1749</v>
      </c>
      <c r="F1562" s="273" t="s">
        <v>3446</v>
      </c>
      <c r="G1562" s="1040" t="s">
        <v>3463</v>
      </c>
      <c r="H1562" s="273" t="s">
        <v>3462</v>
      </c>
      <c r="I1562" s="722">
        <f t="shared" si="332"/>
        <v>209.95999999999998</v>
      </c>
      <c r="J1562" s="759">
        <v>6298.7999999999993</v>
      </c>
      <c r="K1562" s="131">
        <f t="shared" si="341"/>
        <v>6298.7999999999993</v>
      </c>
      <c r="L1562" s="335">
        <f t="shared" si="333"/>
        <v>0</v>
      </c>
      <c r="M1562" s="335"/>
      <c r="N1562" s="335"/>
      <c r="O1562" s="335"/>
      <c r="P1562" s="335"/>
      <c r="Q1562" s="110">
        <v>8</v>
      </c>
      <c r="R1562" s="131">
        <f t="shared" ref="R1562:R1625" si="343">+J1562/4</f>
        <v>1574.6999999999998</v>
      </c>
      <c r="S1562" s="130"/>
      <c r="T1562" s="130"/>
      <c r="U1562" s="110">
        <v>8</v>
      </c>
      <c r="V1562" s="131">
        <f t="shared" ref="V1562:V1625" si="344">+J1562/4</f>
        <v>1574.6999999999998</v>
      </c>
      <c r="W1562" s="130"/>
      <c r="X1562" s="130"/>
      <c r="Y1562" s="130"/>
      <c r="Z1562" s="130"/>
      <c r="AA1562" s="110">
        <v>7</v>
      </c>
      <c r="AB1562" s="131">
        <f t="shared" si="339"/>
        <v>1574.6999999999998</v>
      </c>
      <c r="AC1562" s="130"/>
      <c r="AD1562" s="130"/>
      <c r="AE1562" s="110">
        <v>7</v>
      </c>
      <c r="AF1562" s="131">
        <f t="shared" si="340"/>
        <v>1574.6999999999998</v>
      </c>
      <c r="AG1562" s="130"/>
      <c r="AH1562" s="130"/>
      <c r="AI1562" s="130"/>
      <c r="AJ1562" s="130"/>
      <c r="AK1562" s="131">
        <f t="shared" si="334"/>
        <v>6298.7999999999993</v>
      </c>
      <c r="AL1562" s="335">
        <f t="shared" si="335"/>
        <v>0</v>
      </c>
      <c r="AM1562" s="130">
        <f t="shared" si="336"/>
        <v>30</v>
      </c>
      <c r="AN1562" s="336">
        <f t="shared" si="342"/>
        <v>0</v>
      </c>
    </row>
    <row r="1563" spans="1:40" s="108" customFormat="1" ht="66" x14ac:dyDescent="0.25">
      <c r="A1563" s="9"/>
      <c r="B1563" s="43" t="s">
        <v>2648</v>
      </c>
      <c r="C1563" s="1024"/>
      <c r="D1563" s="869">
        <v>20</v>
      </c>
      <c r="E1563" s="1024" t="s">
        <v>1725</v>
      </c>
      <c r="F1563" s="273" t="s">
        <v>3446</v>
      </c>
      <c r="G1563" s="1040" t="s">
        <v>3463</v>
      </c>
      <c r="H1563" s="273" t="s">
        <v>3462</v>
      </c>
      <c r="I1563" s="722">
        <f t="shared" si="332"/>
        <v>264.47999999999996</v>
      </c>
      <c r="J1563" s="759">
        <v>5289.5999999999995</v>
      </c>
      <c r="K1563" s="131">
        <f t="shared" si="341"/>
        <v>5289.5999999999995</v>
      </c>
      <c r="L1563" s="335">
        <f t="shared" si="333"/>
        <v>0</v>
      </c>
      <c r="M1563" s="335"/>
      <c r="N1563" s="335"/>
      <c r="O1563" s="335"/>
      <c r="P1563" s="335"/>
      <c r="Q1563" s="130">
        <f t="shared" ref="Q1563:Q1612" si="345">+$D1563/4</f>
        <v>5</v>
      </c>
      <c r="R1563" s="131">
        <f t="shared" si="343"/>
        <v>1322.3999999999999</v>
      </c>
      <c r="S1563" s="130"/>
      <c r="T1563" s="130"/>
      <c r="U1563" s="130">
        <f t="shared" ref="U1563:U1612" si="346">+$D1563/4</f>
        <v>5</v>
      </c>
      <c r="V1563" s="131">
        <f t="shared" si="344"/>
        <v>1322.3999999999999</v>
      </c>
      <c r="W1563" s="130"/>
      <c r="X1563" s="130"/>
      <c r="Y1563" s="130"/>
      <c r="Z1563" s="130"/>
      <c r="AA1563" s="130">
        <f t="shared" ref="AA1563:AE1612" si="347">+$D1563/4</f>
        <v>5</v>
      </c>
      <c r="AB1563" s="131">
        <f t="shared" si="339"/>
        <v>1322.3999999999999</v>
      </c>
      <c r="AC1563" s="130"/>
      <c r="AD1563" s="130"/>
      <c r="AE1563" s="130">
        <f t="shared" si="347"/>
        <v>5</v>
      </c>
      <c r="AF1563" s="131">
        <f t="shared" si="340"/>
        <v>1322.3999999999999</v>
      </c>
      <c r="AG1563" s="130"/>
      <c r="AH1563" s="130"/>
      <c r="AI1563" s="130"/>
      <c r="AJ1563" s="130"/>
      <c r="AK1563" s="131">
        <f t="shared" si="334"/>
        <v>5289.5999999999995</v>
      </c>
      <c r="AL1563" s="335">
        <f t="shared" si="335"/>
        <v>0</v>
      </c>
      <c r="AM1563" s="130">
        <f t="shared" si="336"/>
        <v>20</v>
      </c>
      <c r="AN1563" s="336">
        <f t="shared" si="342"/>
        <v>0</v>
      </c>
    </row>
    <row r="1564" spans="1:40" s="108" customFormat="1" ht="66" x14ac:dyDescent="0.25">
      <c r="A1564" s="9"/>
      <c r="B1564" s="43" t="s">
        <v>2649</v>
      </c>
      <c r="C1564" s="1024"/>
      <c r="D1564" s="869">
        <v>15</v>
      </c>
      <c r="E1564" s="1024" t="s">
        <v>1725</v>
      </c>
      <c r="F1564" s="273" t="s">
        <v>3446</v>
      </c>
      <c r="G1564" s="1040" t="s">
        <v>3463</v>
      </c>
      <c r="H1564" s="273" t="s">
        <v>3462</v>
      </c>
      <c r="I1564" s="722">
        <f t="shared" si="332"/>
        <v>446.59999999999997</v>
      </c>
      <c r="J1564" s="759">
        <v>6698.9999999999991</v>
      </c>
      <c r="K1564" s="131">
        <f t="shared" si="341"/>
        <v>6698.9999999999991</v>
      </c>
      <c r="L1564" s="335">
        <f t="shared" si="333"/>
        <v>0</v>
      </c>
      <c r="M1564" s="335"/>
      <c r="N1564" s="335"/>
      <c r="O1564" s="335"/>
      <c r="P1564" s="335"/>
      <c r="Q1564" s="110">
        <v>4</v>
      </c>
      <c r="R1564" s="131">
        <f t="shared" si="343"/>
        <v>1674.7499999999998</v>
      </c>
      <c r="S1564" s="130"/>
      <c r="T1564" s="130"/>
      <c r="U1564" s="110">
        <v>4</v>
      </c>
      <c r="V1564" s="131">
        <f t="shared" si="344"/>
        <v>1674.7499999999998</v>
      </c>
      <c r="W1564" s="130"/>
      <c r="X1564" s="130"/>
      <c r="Y1564" s="130"/>
      <c r="Z1564" s="130"/>
      <c r="AA1564" s="110">
        <v>4</v>
      </c>
      <c r="AB1564" s="131">
        <f t="shared" si="339"/>
        <v>1674.7499999999998</v>
      </c>
      <c r="AC1564" s="130"/>
      <c r="AD1564" s="130"/>
      <c r="AE1564" s="110">
        <v>3</v>
      </c>
      <c r="AF1564" s="131">
        <f t="shared" si="340"/>
        <v>1674.7499999999998</v>
      </c>
      <c r="AG1564" s="130"/>
      <c r="AH1564" s="130"/>
      <c r="AI1564" s="130"/>
      <c r="AJ1564" s="130"/>
      <c r="AK1564" s="131">
        <f t="shared" si="334"/>
        <v>6698.9999999999991</v>
      </c>
      <c r="AL1564" s="335">
        <f t="shared" si="335"/>
        <v>0</v>
      </c>
      <c r="AM1564" s="130">
        <f t="shared" si="336"/>
        <v>15</v>
      </c>
      <c r="AN1564" s="336">
        <f t="shared" si="342"/>
        <v>0</v>
      </c>
    </row>
    <row r="1565" spans="1:40" s="108" customFormat="1" ht="66" x14ac:dyDescent="0.25">
      <c r="A1565" s="9"/>
      <c r="B1565" s="43" t="s">
        <v>2650</v>
      </c>
      <c r="C1565" s="1024"/>
      <c r="D1565" s="869">
        <v>3</v>
      </c>
      <c r="E1565" s="1024" t="s">
        <v>1725</v>
      </c>
      <c r="F1565" s="273" t="s">
        <v>3446</v>
      </c>
      <c r="G1565" s="1040" t="s">
        <v>3463</v>
      </c>
      <c r="H1565" s="273" t="s">
        <v>3462</v>
      </c>
      <c r="I1565" s="722">
        <f t="shared" ref="I1565:I1584" si="348">+J1565/D1565</f>
        <v>241.27999999999997</v>
      </c>
      <c r="J1565" s="759">
        <v>723.83999999999992</v>
      </c>
      <c r="K1565" s="131">
        <f t="shared" si="341"/>
        <v>723.83999999999992</v>
      </c>
      <c r="L1565" s="335">
        <f t="shared" si="333"/>
        <v>0</v>
      </c>
      <c r="M1565" s="335"/>
      <c r="N1565" s="335"/>
      <c r="O1565" s="335"/>
      <c r="P1565" s="335"/>
      <c r="Q1565" s="130">
        <v>1</v>
      </c>
      <c r="R1565" s="131">
        <v>241.28</v>
      </c>
      <c r="S1565" s="130"/>
      <c r="T1565" s="130"/>
      <c r="U1565" s="130">
        <v>1</v>
      </c>
      <c r="V1565" s="131">
        <v>241.28</v>
      </c>
      <c r="W1565" s="130"/>
      <c r="X1565" s="130"/>
      <c r="Y1565" s="130"/>
      <c r="Z1565" s="130"/>
      <c r="AA1565" s="130">
        <v>1</v>
      </c>
      <c r="AB1565" s="131">
        <v>241.28</v>
      </c>
      <c r="AC1565" s="130"/>
      <c r="AD1565" s="130"/>
      <c r="AE1565" s="130">
        <v>0</v>
      </c>
      <c r="AF1565" s="131">
        <v>0</v>
      </c>
      <c r="AG1565" s="130"/>
      <c r="AH1565" s="130"/>
      <c r="AI1565" s="130"/>
      <c r="AJ1565" s="130"/>
      <c r="AK1565" s="131">
        <f t="shared" si="334"/>
        <v>723.84</v>
      </c>
      <c r="AL1565" s="335">
        <f t="shared" si="335"/>
        <v>0</v>
      </c>
      <c r="AM1565" s="130">
        <f t="shared" si="336"/>
        <v>3</v>
      </c>
      <c r="AN1565" s="336">
        <f t="shared" si="342"/>
        <v>0</v>
      </c>
    </row>
    <row r="1566" spans="1:40" s="108" customFormat="1" ht="66" x14ac:dyDescent="0.25">
      <c r="A1566" s="9"/>
      <c r="B1566" s="43" t="s">
        <v>2651</v>
      </c>
      <c r="C1566" s="1024"/>
      <c r="D1566" s="869">
        <v>2</v>
      </c>
      <c r="E1566" s="1024" t="s">
        <v>1725</v>
      </c>
      <c r="F1566" s="273" t="s">
        <v>3446</v>
      </c>
      <c r="G1566" s="1040" t="s">
        <v>3463</v>
      </c>
      <c r="H1566" s="273" t="s">
        <v>3462</v>
      </c>
      <c r="I1566" s="722">
        <f t="shared" si="348"/>
        <v>379.32</v>
      </c>
      <c r="J1566" s="759">
        <v>758.64</v>
      </c>
      <c r="K1566" s="131">
        <f t="shared" si="341"/>
        <v>758.64</v>
      </c>
      <c r="L1566" s="335">
        <f t="shared" si="333"/>
        <v>0</v>
      </c>
      <c r="M1566" s="335"/>
      <c r="N1566" s="335"/>
      <c r="O1566" s="335"/>
      <c r="P1566" s="335"/>
      <c r="Q1566" s="130">
        <v>1</v>
      </c>
      <c r="R1566" s="131">
        <v>379.32</v>
      </c>
      <c r="S1566" s="130"/>
      <c r="T1566" s="130"/>
      <c r="U1566" s="130">
        <v>1</v>
      </c>
      <c r="V1566" s="131">
        <v>379.32100000000003</v>
      </c>
      <c r="W1566" s="130"/>
      <c r="X1566" s="130"/>
      <c r="Y1566" s="130"/>
      <c r="Z1566" s="130"/>
      <c r="AA1566" s="130">
        <v>0</v>
      </c>
      <c r="AB1566" s="131">
        <v>0</v>
      </c>
      <c r="AC1566" s="130"/>
      <c r="AD1566" s="130"/>
      <c r="AE1566" s="130">
        <v>0</v>
      </c>
      <c r="AF1566" s="131">
        <v>0</v>
      </c>
      <c r="AG1566" s="130"/>
      <c r="AH1566" s="130"/>
      <c r="AI1566" s="130"/>
      <c r="AJ1566" s="130"/>
      <c r="AK1566" s="131">
        <f t="shared" si="334"/>
        <v>758.64100000000008</v>
      </c>
      <c r="AL1566" s="335">
        <f t="shared" si="335"/>
        <v>-1.00000000009004E-3</v>
      </c>
      <c r="AM1566" s="130">
        <f t="shared" si="336"/>
        <v>2</v>
      </c>
      <c r="AN1566" s="336">
        <f t="shared" si="342"/>
        <v>0</v>
      </c>
    </row>
    <row r="1567" spans="1:40" s="108" customFormat="1" ht="66" x14ac:dyDescent="0.25">
      <c r="A1567" s="9"/>
      <c r="B1567" s="59" t="s">
        <v>2652</v>
      </c>
      <c r="C1567" s="1024"/>
      <c r="D1567" s="869">
        <v>8</v>
      </c>
      <c r="E1567" s="1024" t="s">
        <v>1736</v>
      </c>
      <c r="F1567" s="273" t="s">
        <v>3446</v>
      </c>
      <c r="G1567" s="1040" t="s">
        <v>3463</v>
      </c>
      <c r="H1567" s="273" t="s">
        <v>3462</v>
      </c>
      <c r="I1567" s="722">
        <f t="shared" si="348"/>
        <v>106.3488</v>
      </c>
      <c r="J1567" s="759">
        <v>850.79039999999998</v>
      </c>
      <c r="K1567" s="131">
        <f t="shared" si="341"/>
        <v>850.79039999999998</v>
      </c>
      <c r="L1567" s="335">
        <f t="shared" si="333"/>
        <v>0</v>
      </c>
      <c r="M1567" s="335"/>
      <c r="N1567" s="335"/>
      <c r="O1567" s="335"/>
      <c r="P1567" s="335"/>
      <c r="Q1567" s="130">
        <f t="shared" si="345"/>
        <v>2</v>
      </c>
      <c r="R1567" s="131">
        <f t="shared" si="343"/>
        <v>212.69759999999999</v>
      </c>
      <c r="S1567" s="130"/>
      <c r="T1567" s="130"/>
      <c r="U1567" s="130">
        <f t="shared" si="346"/>
        <v>2</v>
      </c>
      <c r="V1567" s="131">
        <f t="shared" si="344"/>
        <v>212.69759999999999</v>
      </c>
      <c r="W1567" s="130"/>
      <c r="X1567" s="130"/>
      <c r="Y1567" s="130"/>
      <c r="Z1567" s="130"/>
      <c r="AA1567" s="130">
        <f t="shared" si="347"/>
        <v>2</v>
      </c>
      <c r="AB1567" s="131">
        <f t="shared" ref="AB1567:AB1629" si="349">+J1567/4</f>
        <v>212.69759999999999</v>
      </c>
      <c r="AC1567" s="130"/>
      <c r="AD1567" s="130"/>
      <c r="AE1567" s="130">
        <f t="shared" si="347"/>
        <v>2</v>
      </c>
      <c r="AF1567" s="131">
        <f t="shared" ref="AF1567:AF1629" si="350">+J1567/4</f>
        <v>212.69759999999999</v>
      </c>
      <c r="AG1567" s="130"/>
      <c r="AH1567" s="130"/>
      <c r="AI1567" s="130"/>
      <c r="AJ1567" s="130"/>
      <c r="AK1567" s="131">
        <f t="shared" si="334"/>
        <v>850.79039999999998</v>
      </c>
      <c r="AL1567" s="335">
        <f t="shared" si="335"/>
        <v>0</v>
      </c>
      <c r="AM1567" s="130">
        <f t="shared" si="336"/>
        <v>8</v>
      </c>
      <c r="AN1567" s="336">
        <f t="shared" si="342"/>
        <v>0</v>
      </c>
    </row>
    <row r="1568" spans="1:40" s="108" customFormat="1" ht="66" x14ac:dyDescent="0.25">
      <c r="A1568" s="9"/>
      <c r="B1568" s="59" t="s">
        <v>59</v>
      </c>
      <c r="C1568" s="1024"/>
      <c r="D1568" s="869">
        <v>35</v>
      </c>
      <c r="E1568" s="1024" t="s">
        <v>2599</v>
      </c>
      <c r="F1568" s="273" t="s">
        <v>3446</v>
      </c>
      <c r="G1568" s="1040" t="s">
        <v>3463</v>
      </c>
      <c r="H1568" s="273" t="s">
        <v>3462</v>
      </c>
      <c r="I1568" s="722">
        <f t="shared" si="348"/>
        <v>27.317999999999998</v>
      </c>
      <c r="J1568" s="759">
        <v>956.12999999999988</v>
      </c>
      <c r="K1568" s="131">
        <f t="shared" si="341"/>
        <v>956.12999999999988</v>
      </c>
      <c r="L1568" s="335">
        <f t="shared" si="333"/>
        <v>0</v>
      </c>
      <c r="M1568" s="335"/>
      <c r="N1568" s="335"/>
      <c r="O1568" s="335"/>
      <c r="P1568" s="335"/>
      <c r="Q1568" s="110">
        <v>9</v>
      </c>
      <c r="R1568" s="131">
        <f t="shared" si="343"/>
        <v>239.03249999999997</v>
      </c>
      <c r="S1568" s="130"/>
      <c r="T1568" s="130"/>
      <c r="U1568" s="110">
        <v>9</v>
      </c>
      <c r="V1568" s="131">
        <f t="shared" si="344"/>
        <v>239.03249999999997</v>
      </c>
      <c r="W1568" s="130"/>
      <c r="X1568" s="130"/>
      <c r="Y1568" s="130"/>
      <c r="Z1568" s="130"/>
      <c r="AA1568" s="110">
        <v>9</v>
      </c>
      <c r="AB1568" s="131">
        <f t="shared" si="349"/>
        <v>239.03249999999997</v>
      </c>
      <c r="AC1568" s="130"/>
      <c r="AD1568" s="130"/>
      <c r="AE1568" s="110">
        <v>8</v>
      </c>
      <c r="AF1568" s="131">
        <f t="shared" si="350"/>
        <v>239.03249999999997</v>
      </c>
      <c r="AG1568" s="130"/>
      <c r="AH1568" s="130"/>
      <c r="AI1568" s="130"/>
      <c r="AJ1568" s="130"/>
      <c r="AK1568" s="131">
        <f t="shared" si="334"/>
        <v>956.12999999999988</v>
      </c>
      <c r="AL1568" s="335">
        <f t="shared" si="335"/>
        <v>0</v>
      </c>
      <c r="AM1568" s="130">
        <f t="shared" si="336"/>
        <v>35</v>
      </c>
      <c r="AN1568" s="336">
        <f t="shared" si="342"/>
        <v>0</v>
      </c>
    </row>
    <row r="1569" spans="1:40" s="108" customFormat="1" ht="66" x14ac:dyDescent="0.25">
      <c r="A1569" s="9"/>
      <c r="B1569" s="59" t="s">
        <v>2653</v>
      </c>
      <c r="C1569" s="1024"/>
      <c r="D1569" s="869">
        <v>8</v>
      </c>
      <c r="E1569" s="1024" t="s">
        <v>2628</v>
      </c>
      <c r="F1569" s="273" t="s">
        <v>3446</v>
      </c>
      <c r="G1569" s="1040" t="s">
        <v>3463</v>
      </c>
      <c r="H1569" s="273" t="s">
        <v>3462</v>
      </c>
      <c r="I1569" s="722">
        <f t="shared" si="348"/>
        <v>166.37879999999998</v>
      </c>
      <c r="J1569" s="759">
        <v>1331.0303999999999</v>
      </c>
      <c r="K1569" s="131">
        <f t="shared" si="341"/>
        <v>1331.0303999999999</v>
      </c>
      <c r="L1569" s="335">
        <f t="shared" si="333"/>
        <v>0</v>
      </c>
      <c r="M1569" s="335"/>
      <c r="N1569" s="335"/>
      <c r="O1569" s="335"/>
      <c r="P1569" s="335"/>
      <c r="Q1569" s="130">
        <f t="shared" si="345"/>
        <v>2</v>
      </c>
      <c r="R1569" s="131">
        <f t="shared" si="343"/>
        <v>332.75759999999997</v>
      </c>
      <c r="S1569" s="130"/>
      <c r="T1569" s="130"/>
      <c r="U1569" s="130">
        <f t="shared" si="346"/>
        <v>2</v>
      </c>
      <c r="V1569" s="131">
        <f t="shared" si="344"/>
        <v>332.75759999999997</v>
      </c>
      <c r="W1569" s="130"/>
      <c r="X1569" s="130"/>
      <c r="Y1569" s="130"/>
      <c r="Z1569" s="130"/>
      <c r="AA1569" s="130">
        <f t="shared" si="347"/>
        <v>2</v>
      </c>
      <c r="AB1569" s="131">
        <f t="shared" si="349"/>
        <v>332.75759999999997</v>
      </c>
      <c r="AC1569" s="130"/>
      <c r="AD1569" s="130"/>
      <c r="AE1569" s="130">
        <f t="shared" si="347"/>
        <v>2</v>
      </c>
      <c r="AF1569" s="131">
        <f t="shared" si="350"/>
        <v>332.75759999999997</v>
      </c>
      <c r="AG1569" s="130"/>
      <c r="AH1569" s="130"/>
      <c r="AI1569" s="130"/>
      <c r="AJ1569" s="130"/>
      <c r="AK1569" s="131">
        <f t="shared" si="334"/>
        <v>1331.0303999999999</v>
      </c>
      <c r="AL1569" s="335">
        <f t="shared" si="335"/>
        <v>0</v>
      </c>
      <c r="AM1569" s="130">
        <f t="shared" si="336"/>
        <v>8</v>
      </c>
      <c r="AN1569" s="336">
        <f t="shared" si="342"/>
        <v>0</v>
      </c>
    </row>
    <row r="1570" spans="1:40" s="108" customFormat="1" ht="66" x14ac:dyDescent="0.25">
      <c r="A1570" s="9"/>
      <c r="B1570" s="59" t="s">
        <v>71</v>
      </c>
      <c r="C1570" s="1024"/>
      <c r="D1570" s="869">
        <v>1</v>
      </c>
      <c r="E1570" s="1024" t="s">
        <v>2599</v>
      </c>
      <c r="F1570" s="273" t="s">
        <v>3446</v>
      </c>
      <c r="G1570" s="1040" t="s">
        <v>3463</v>
      </c>
      <c r="H1570" s="273" t="s">
        <v>3462</v>
      </c>
      <c r="I1570" s="722">
        <f t="shared" si="348"/>
        <v>106.62719999999999</v>
      </c>
      <c r="J1570" s="759">
        <v>106.62719999999999</v>
      </c>
      <c r="K1570" s="131">
        <f t="shared" si="341"/>
        <v>106.62719999999999</v>
      </c>
      <c r="L1570" s="335">
        <f t="shared" si="333"/>
        <v>0</v>
      </c>
      <c r="M1570" s="335"/>
      <c r="N1570" s="335"/>
      <c r="O1570" s="335"/>
      <c r="P1570" s="335"/>
      <c r="Q1570" s="130">
        <v>1</v>
      </c>
      <c r="R1570" s="131">
        <v>106.63</v>
      </c>
      <c r="S1570" s="130"/>
      <c r="T1570" s="130"/>
      <c r="U1570" s="110">
        <v>0</v>
      </c>
      <c r="V1570" s="131">
        <v>0</v>
      </c>
      <c r="W1570" s="130"/>
      <c r="X1570" s="130"/>
      <c r="Y1570" s="130"/>
      <c r="Z1570" s="130"/>
      <c r="AA1570" s="110">
        <v>0</v>
      </c>
      <c r="AB1570" s="131">
        <v>0</v>
      </c>
      <c r="AC1570" s="130"/>
      <c r="AD1570" s="130"/>
      <c r="AE1570" s="110">
        <v>0</v>
      </c>
      <c r="AF1570" s="131">
        <v>0</v>
      </c>
      <c r="AG1570" s="130"/>
      <c r="AH1570" s="130"/>
      <c r="AI1570" s="130"/>
      <c r="AJ1570" s="130"/>
      <c r="AK1570" s="131">
        <f t="shared" si="334"/>
        <v>106.63</v>
      </c>
      <c r="AL1570" s="335">
        <f t="shared" si="335"/>
        <v>-2.8000000000076852E-3</v>
      </c>
      <c r="AM1570" s="130">
        <f t="shared" si="336"/>
        <v>1</v>
      </c>
      <c r="AN1570" s="336">
        <f t="shared" si="342"/>
        <v>0</v>
      </c>
    </row>
    <row r="1571" spans="1:40" s="108" customFormat="1" ht="66" x14ac:dyDescent="0.25">
      <c r="A1571" s="9"/>
      <c r="B1571" s="59" t="s">
        <v>2135</v>
      </c>
      <c r="C1571" s="1024"/>
      <c r="D1571" s="869">
        <v>30</v>
      </c>
      <c r="E1571" s="1024" t="s">
        <v>2600</v>
      </c>
      <c r="F1571" s="273" t="s">
        <v>3446</v>
      </c>
      <c r="G1571" s="1040" t="s">
        <v>3463</v>
      </c>
      <c r="H1571" s="273" t="s">
        <v>3462</v>
      </c>
      <c r="I1571" s="722">
        <f t="shared" si="348"/>
        <v>72.639199999999988</v>
      </c>
      <c r="J1571" s="759">
        <v>2179.1759999999995</v>
      </c>
      <c r="K1571" s="131">
        <f t="shared" si="341"/>
        <v>2179.1759999999995</v>
      </c>
      <c r="L1571" s="335">
        <f t="shared" si="333"/>
        <v>0</v>
      </c>
      <c r="M1571" s="335"/>
      <c r="N1571" s="335"/>
      <c r="O1571" s="335"/>
      <c r="P1571" s="335"/>
      <c r="Q1571" s="110">
        <v>8</v>
      </c>
      <c r="R1571" s="131">
        <f t="shared" si="343"/>
        <v>544.79399999999987</v>
      </c>
      <c r="S1571" s="130"/>
      <c r="T1571" s="130"/>
      <c r="U1571" s="110">
        <v>8</v>
      </c>
      <c r="V1571" s="131">
        <f t="shared" si="344"/>
        <v>544.79399999999987</v>
      </c>
      <c r="W1571" s="130"/>
      <c r="X1571" s="130"/>
      <c r="Y1571" s="130"/>
      <c r="Z1571" s="130"/>
      <c r="AA1571" s="110">
        <v>7</v>
      </c>
      <c r="AB1571" s="131">
        <f t="shared" si="349"/>
        <v>544.79399999999987</v>
      </c>
      <c r="AC1571" s="130"/>
      <c r="AD1571" s="130"/>
      <c r="AE1571" s="110">
        <v>7</v>
      </c>
      <c r="AF1571" s="131">
        <f t="shared" si="350"/>
        <v>544.79399999999987</v>
      </c>
      <c r="AG1571" s="130"/>
      <c r="AH1571" s="130"/>
      <c r="AI1571" s="130"/>
      <c r="AJ1571" s="130"/>
      <c r="AK1571" s="131">
        <f t="shared" si="334"/>
        <v>2179.1759999999995</v>
      </c>
      <c r="AL1571" s="335">
        <f t="shared" si="335"/>
        <v>0</v>
      </c>
      <c r="AM1571" s="130">
        <f t="shared" si="336"/>
        <v>30</v>
      </c>
      <c r="AN1571" s="336">
        <f t="shared" si="342"/>
        <v>0</v>
      </c>
    </row>
    <row r="1572" spans="1:40" s="108" customFormat="1" ht="66" x14ac:dyDescent="0.25">
      <c r="A1572" s="9"/>
      <c r="B1572" s="59" t="s">
        <v>2250</v>
      </c>
      <c r="C1572" s="1024"/>
      <c r="D1572" s="869">
        <v>30</v>
      </c>
      <c r="E1572" s="1024" t="s">
        <v>2599</v>
      </c>
      <c r="F1572" s="273" t="s">
        <v>3446</v>
      </c>
      <c r="G1572" s="1040" t="s">
        <v>3463</v>
      </c>
      <c r="H1572" s="273" t="s">
        <v>3462</v>
      </c>
      <c r="I1572" s="722">
        <f t="shared" si="348"/>
        <v>12.029199999999998</v>
      </c>
      <c r="J1572" s="759">
        <v>360.87599999999992</v>
      </c>
      <c r="K1572" s="131">
        <f t="shared" si="341"/>
        <v>360.87599999999992</v>
      </c>
      <c r="L1572" s="335">
        <f t="shared" si="333"/>
        <v>0</v>
      </c>
      <c r="M1572" s="335"/>
      <c r="N1572" s="335"/>
      <c r="O1572" s="335"/>
      <c r="P1572" s="335"/>
      <c r="Q1572" s="110">
        <v>8</v>
      </c>
      <c r="R1572" s="131">
        <f t="shared" si="343"/>
        <v>90.21899999999998</v>
      </c>
      <c r="S1572" s="130"/>
      <c r="T1572" s="130"/>
      <c r="U1572" s="110">
        <v>8</v>
      </c>
      <c r="V1572" s="131">
        <f t="shared" si="344"/>
        <v>90.21899999999998</v>
      </c>
      <c r="W1572" s="130"/>
      <c r="X1572" s="130"/>
      <c r="Y1572" s="130"/>
      <c r="Z1572" s="130"/>
      <c r="AA1572" s="110">
        <v>7</v>
      </c>
      <c r="AB1572" s="131">
        <f t="shared" si="349"/>
        <v>90.21899999999998</v>
      </c>
      <c r="AC1572" s="130"/>
      <c r="AD1572" s="130"/>
      <c r="AE1572" s="110">
        <v>7</v>
      </c>
      <c r="AF1572" s="131">
        <f t="shared" si="350"/>
        <v>90.21899999999998</v>
      </c>
      <c r="AG1572" s="130"/>
      <c r="AH1572" s="130"/>
      <c r="AI1572" s="130"/>
      <c r="AJ1572" s="130"/>
      <c r="AK1572" s="131">
        <f t="shared" si="334"/>
        <v>360.87599999999992</v>
      </c>
      <c r="AL1572" s="335">
        <f t="shared" si="335"/>
        <v>0</v>
      </c>
      <c r="AM1572" s="130">
        <f t="shared" si="336"/>
        <v>30</v>
      </c>
      <c r="AN1572" s="336">
        <f t="shared" si="342"/>
        <v>0</v>
      </c>
    </row>
    <row r="1573" spans="1:40" s="108" customFormat="1" ht="66" x14ac:dyDescent="0.25">
      <c r="A1573" s="9"/>
      <c r="B1573" s="59" t="s">
        <v>2654</v>
      </c>
      <c r="C1573" s="1024"/>
      <c r="D1573" s="869">
        <v>10</v>
      </c>
      <c r="E1573" s="1024" t="s">
        <v>2599</v>
      </c>
      <c r="F1573" s="273" t="s">
        <v>3446</v>
      </c>
      <c r="G1573" s="1040" t="s">
        <v>3463</v>
      </c>
      <c r="H1573" s="273" t="s">
        <v>3462</v>
      </c>
      <c r="I1573" s="722">
        <f t="shared" si="348"/>
        <v>414.96679999999998</v>
      </c>
      <c r="J1573" s="759">
        <v>4149.6679999999997</v>
      </c>
      <c r="K1573" s="131">
        <f t="shared" si="341"/>
        <v>4149.6679999999997</v>
      </c>
      <c r="L1573" s="335">
        <f t="shared" si="333"/>
        <v>0</v>
      </c>
      <c r="M1573" s="335"/>
      <c r="N1573" s="335"/>
      <c r="O1573" s="335"/>
      <c r="P1573" s="335"/>
      <c r="Q1573" s="130">
        <v>3</v>
      </c>
      <c r="R1573" s="131">
        <f t="shared" si="343"/>
        <v>1037.4169999999999</v>
      </c>
      <c r="S1573" s="130"/>
      <c r="T1573" s="130"/>
      <c r="U1573" s="130">
        <v>3</v>
      </c>
      <c r="V1573" s="131">
        <f t="shared" si="344"/>
        <v>1037.4169999999999</v>
      </c>
      <c r="W1573" s="130"/>
      <c r="X1573" s="130"/>
      <c r="Y1573" s="130"/>
      <c r="Z1573" s="130"/>
      <c r="AA1573" s="130">
        <v>2</v>
      </c>
      <c r="AB1573" s="131">
        <f t="shared" si="349"/>
        <v>1037.4169999999999</v>
      </c>
      <c r="AC1573" s="130"/>
      <c r="AD1573" s="130"/>
      <c r="AE1573" s="130">
        <v>2</v>
      </c>
      <c r="AF1573" s="131">
        <f t="shared" si="350"/>
        <v>1037.4169999999999</v>
      </c>
      <c r="AG1573" s="130"/>
      <c r="AH1573" s="130"/>
      <c r="AI1573" s="130"/>
      <c r="AJ1573" s="130"/>
      <c r="AK1573" s="131">
        <f t="shared" si="334"/>
        <v>4149.6679999999997</v>
      </c>
      <c r="AL1573" s="335">
        <f t="shared" si="335"/>
        <v>0</v>
      </c>
      <c r="AM1573" s="130">
        <f t="shared" si="336"/>
        <v>10</v>
      </c>
      <c r="AN1573" s="336">
        <f t="shared" si="342"/>
        <v>0</v>
      </c>
    </row>
    <row r="1574" spans="1:40" s="108" customFormat="1" ht="66" x14ac:dyDescent="0.25">
      <c r="A1574" s="9"/>
      <c r="B1574" s="59" t="s">
        <v>17</v>
      </c>
      <c r="C1574" s="1024"/>
      <c r="D1574" s="869">
        <v>1</v>
      </c>
      <c r="E1574" s="1024" t="s">
        <v>2600</v>
      </c>
      <c r="F1574" s="273" t="s">
        <v>3446</v>
      </c>
      <c r="G1574" s="1040" t="s">
        <v>3463</v>
      </c>
      <c r="H1574" s="273" t="s">
        <v>3462</v>
      </c>
      <c r="I1574" s="722">
        <f t="shared" si="348"/>
        <v>11.02</v>
      </c>
      <c r="J1574" s="759">
        <v>11.02</v>
      </c>
      <c r="K1574" s="131">
        <f t="shared" si="341"/>
        <v>11.02</v>
      </c>
      <c r="L1574" s="335">
        <f t="shared" si="333"/>
        <v>0</v>
      </c>
      <c r="M1574" s="335"/>
      <c r="N1574" s="335"/>
      <c r="O1574" s="335"/>
      <c r="P1574" s="335"/>
      <c r="Q1574" s="130">
        <v>1</v>
      </c>
      <c r="R1574" s="131">
        <v>11.02</v>
      </c>
      <c r="S1574" s="130"/>
      <c r="T1574" s="130"/>
      <c r="U1574" s="110">
        <v>0</v>
      </c>
      <c r="V1574" s="131">
        <v>0</v>
      </c>
      <c r="W1574" s="130"/>
      <c r="X1574" s="130"/>
      <c r="Y1574" s="130"/>
      <c r="Z1574" s="130"/>
      <c r="AA1574" s="110">
        <v>0</v>
      </c>
      <c r="AB1574" s="131">
        <v>0</v>
      </c>
      <c r="AC1574" s="130"/>
      <c r="AD1574" s="130"/>
      <c r="AE1574" s="110">
        <v>0</v>
      </c>
      <c r="AF1574" s="131">
        <v>0</v>
      </c>
      <c r="AG1574" s="130"/>
      <c r="AH1574" s="130"/>
      <c r="AI1574" s="130"/>
      <c r="AJ1574" s="130"/>
      <c r="AK1574" s="131">
        <f t="shared" si="334"/>
        <v>11.02</v>
      </c>
      <c r="AL1574" s="335">
        <f t="shared" si="335"/>
        <v>0</v>
      </c>
      <c r="AM1574" s="130">
        <f t="shared" si="336"/>
        <v>1</v>
      </c>
      <c r="AN1574" s="336">
        <f t="shared" si="342"/>
        <v>0</v>
      </c>
    </row>
    <row r="1575" spans="1:40" s="108" customFormat="1" ht="66" x14ac:dyDescent="0.25">
      <c r="A1575" s="9"/>
      <c r="B1575" s="59" t="s">
        <v>2655</v>
      </c>
      <c r="C1575" s="1024"/>
      <c r="D1575" s="869">
        <v>40</v>
      </c>
      <c r="E1575" s="1024" t="s">
        <v>2599</v>
      </c>
      <c r="F1575" s="273" t="s">
        <v>3446</v>
      </c>
      <c r="G1575" s="1040" t="s">
        <v>3463</v>
      </c>
      <c r="H1575" s="273" t="s">
        <v>3462</v>
      </c>
      <c r="I1575" s="722">
        <f t="shared" si="348"/>
        <v>31.691199999999998</v>
      </c>
      <c r="J1575" s="759">
        <v>1267.6479999999999</v>
      </c>
      <c r="K1575" s="131">
        <f t="shared" si="341"/>
        <v>1267.6479999999999</v>
      </c>
      <c r="L1575" s="335">
        <f t="shared" si="333"/>
        <v>0</v>
      </c>
      <c r="M1575" s="335"/>
      <c r="N1575" s="335"/>
      <c r="O1575" s="335"/>
      <c r="P1575" s="335"/>
      <c r="Q1575" s="130">
        <f t="shared" si="345"/>
        <v>10</v>
      </c>
      <c r="R1575" s="131">
        <f t="shared" si="343"/>
        <v>316.91199999999998</v>
      </c>
      <c r="S1575" s="130"/>
      <c r="T1575" s="130"/>
      <c r="U1575" s="130">
        <f t="shared" si="346"/>
        <v>10</v>
      </c>
      <c r="V1575" s="131">
        <f t="shared" si="344"/>
        <v>316.91199999999998</v>
      </c>
      <c r="W1575" s="130"/>
      <c r="X1575" s="130"/>
      <c r="Y1575" s="130"/>
      <c r="Z1575" s="130"/>
      <c r="AA1575" s="130">
        <f t="shared" si="347"/>
        <v>10</v>
      </c>
      <c r="AB1575" s="131">
        <f t="shared" si="349"/>
        <v>316.91199999999998</v>
      </c>
      <c r="AC1575" s="130"/>
      <c r="AD1575" s="130"/>
      <c r="AE1575" s="130">
        <f t="shared" si="347"/>
        <v>10</v>
      </c>
      <c r="AF1575" s="131">
        <f t="shared" si="350"/>
        <v>316.91199999999998</v>
      </c>
      <c r="AG1575" s="130"/>
      <c r="AH1575" s="130"/>
      <c r="AI1575" s="130"/>
      <c r="AJ1575" s="130"/>
      <c r="AK1575" s="131">
        <f t="shared" si="334"/>
        <v>1267.6479999999999</v>
      </c>
      <c r="AL1575" s="335">
        <f t="shared" si="335"/>
        <v>0</v>
      </c>
      <c r="AM1575" s="130">
        <f t="shared" si="336"/>
        <v>40</v>
      </c>
      <c r="AN1575" s="336">
        <f t="shared" si="342"/>
        <v>0</v>
      </c>
    </row>
    <row r="1576" spans="1:40" s="108" customFormat="1" ht="66" x14ac:dyDescent="0.25">
      <c r="A1576" s="9"/>
      <c r="B1576" s="487" t="s">
        <v>2656</v>
      </c>
      <c r="C1576" s="1024"/>
      <c r="D1576" s="869">
        <v>9</v>
      </c>
      <c r="E1576" s="1024" t="s">
        <v>2661</v>
      </c>
      <c r="F1576" s="273" t="s">
        <v>3446</v>
      </c>
      <c r="G1576" s="1040" t="s">
        <v>3463</v>
      </c>
      <c r="H1576" s="273" t="s">
        <v>3462</v>
      </c>
      <c r="I1576" s="722">
        <f t="shared" si="348"/>
        <v>199.19519999999997</v>
      </c>
      <c r="J1576" s="759">
        <v>1792.7567999999997</v>
      </c>
      <c r="K1576" s="131">
        <f t="shared" si="341"/>
        <v>1792.7567999999997</v>
      </c>
      <c r="L1576" s="335">
        <f t="shared" si="333"/>
        <v>0</v>
      </c>
      <c r="M1576" s="335"/>
      <c r="N1576" s="335"/>
      <c r="O1576" s="335"/>
      <c r="P1576" s="335"/>
      <c r="Q1576" s="110">
        <v>3</v>
      </c>
      <c r="R1576" s="131">
        <f t="shared" si="343"/>
        <v>448.18919999999991</v>
      </c>
      <c r="S1576" s="130"/>
      <c r="T1576" s="130"/>
      <c r="U1576" s="110">
        <v>2</v>
      </c>
      <c r="V1576" s="131">
        <f t="shared" si="344"/>
        <v>448.18919999999991</v>
      </c>
      <c r="W1576" s="130"/>
      <c r="X1576" s="130"/>
      <c r="Y1576" s="130"/>
      <c r="Z1576" s="130"/>
      <c r="AA1576" s="110">
        <v>2</v>
      </c>
      <c r="AB1576" s="131">
        <f t="shared" si="349"/>
        <v>448.18919999999991</v>
      </c>
      <c r="AC1576" s="130"/>
      <c r="AD1576" s="130"/>
      <c r="AE1576" s="110">
        <v>2</v>
      </c>
      <c r="AF1576" s="131">
        <f t="shared" si="350"/>
        <v>448.18919999999991</v>
      </c>
      <c r="AG1576" s="130"/>
      <c r="AH1576" s="130"/>
      <c r="AI1576" s="130"/>
      <c r="AJ1576" s="130"/>
      <c r="AK1576" s="131">
        <f t="shared" si="334"/>
        <v>1792.7567999999997</v>
      </c>
      <c r="AL1576" s="335">
        <f t="shared" si="335"/>
        <v>0</v>
      </c>
      <c r="AM1576" s="130">
        <f t="shared" si="336"/>
        <v>9</v>
      </c>
      <c r="AN1576" s="336">
        <f t="shared" si="342"/>
        <v>0</v>
      </c>
    </row>
    <row r="1577" spans="1:40" s="108" customFormat="1" ht="66" x14ac:dyDescent="0.25">
      <c r="A1577" s="9"/>
      <c r="B1577" s="59" t="s">
        <v>2657</v>
      </c>
      <c r="C1577" s="1024"/>
      <c r="D1577" s="869">
        <v>10</v>
      </c>
      <c r="E1577" s="1024" t="s">
        <v>2600</v>
      </c>
      <c r="F1577" s="273" t="s">
        <v>3446</v>
      </c>
      <c r="G1577" s="1040" t="s">
        <v>3463</v>
      </c>
      <c r="H1577" s="273" t="s">
        <v>3462</v>
      </c>
      <c r="I1577" s="722">
        <f t="shared" si="348"/>
        <v>313.2</v>
      </c>
      <c r="J1577" s="759">
        <v>3132</v>
      </c>
      <c r="K1577" s="131">
        <f t="shared" si="341"/>
        <v>3132</v>
      </c>
      <c r="L1577" s="335">
        <f t="shared" si="333"/>
        <v>0</v>
      </c>
      <c r="M1577" s="335"/>
      <c r="N1577" s="335"/>
      <c r="O1577" s="335"/>
      <c r="P1577" s="335"/>
      <c r="Q1577" s="130">
        <v>3</v>
      </c>
      <c r="R1577" s="131">
        <f t="shared" si="343"/>
        <v>783</v>
      </c>
      <c r="S1577" s="130"/>
      <c r="T1577" s="130"/>
      <c r="U1577" s="130">
        <v>3</v>
      </c>
      <c r="V1577" s="131">
        <f t="shared" si="344"/>
        <v>783</v>
      </c>
      <c r="W1577" s="130"/>
      <c r="X1577" s="130"/>
      <c r="Y1577" s="130"/>
      <c r="Z1577" s="130"/>
      <c r="AA1577" s="130">
        <v>2</v>
      </c>
      <c r="AB1577" s="131">
        <f t="shared" si="349"/>
        <v>783</v>
      </c>
      <c r="AC1577" s="130"/>
      <c r="AD1577" s="130"/>
      <c r="AE1577" s="130">
        <v>2</v>
      </c>
      <c r="AF1577" s="131">
        <f t="shared" si="350"/>
        <v>783</v>
      </c>
      <c r="AG1577" s="130"/>
      <c r="AH1577" s="130"/>
      <c r="AI1577" s="130"/>
      <c r="AJ1577" s="130"/>
      <c r="AK1577" s="131">
        <f t="shared" si="334"/>
        <v>3132</v>
      </c>
      <c r="AL1577" s="335">
        <f t="shared" si="335"/>
        <v>0</v>
      </c>
      <c r="AM1577" s="130">
        <f t="shared" si="336"/>
        <v>10</v>
      </c>
      <c r="AN1577" s="336">
        <f t="shared" si="342"/>
        <v>0</v>
      </c>
    </row>
    <row r="1578" spans="1:40" s="108" customFormat="1" ht="66" x14ac:dyDescent="0.25">
      <c r="A1578" s="9"/>
      <c r="B1578" s="59" t="s">
        <v>2658</v>
      </c>
      <c r="C1578" s="1024"/>
      <c r="D1578" s="869">
        <v>6</v>
      </c>
      <c r="E1578" s="1024" t="s">
        <v>2600</v>
      </c>
      <c r="F1578" s="273" t="s">
        <v>3446</v>
      </c>
      <c r="G1578" s="1040" t="s">
        <v>3463</v>
      </c>
      <c r="H1578" s="273" t="s">
        <v>3462</v>
      </c>
      <c r="I1578" s="722">
        <f t="shared" si="348"/>
        <v>89.575199999999995</v>
      </c>
      <c r="J1578" s="759">
        <v>537.45119999999997</v>
      </c>
      <c r="K1578" s="131">
        <f t="shared" si="341"/>
        <v>537.45119999999997</v>
      </c>
      <c r="L1578" s="335">
        <f t="shared" si="333"/>
        <v>0</v>
      </c>
      <c r="M1578" s="335"/>
      <c r="N1578" s="335"/>
      <c r="O1578" s="335"/>
      <c r="P1578" s="335"/>
      <c r="Q1578" s="130">
        <v>2</v>
      </c>
      <c r="R1578" s="131">
        <f t="shared" si="343"/>
        <v>134.36279999999999</v>
      </c>
      <c r="S1578" s="130"/>
      <c r="T1578" s="130"/>
      <c r="U1578" s="130">
        <v>2</v>
      </c>
      <c r="V1578" s="131">
        <f t="shared" si="344"/>
        <v>134.36279999999999</v>
      </c>
      <c r="W1578" s="130"/>
      <c r="X1578" s="130"/>
      <c r="Y1578" s="130"/>
      <c r="Z1578" s="130"/>
      <c r="AA1578" s="130">
        <v>1</v>
      </c>
      <c r="AB1578" s="131">
        <f t="shared" si="349"/>
        <v>134.36279999999999</v>
      </c>
      <c r="AC1578" s="130"/>
      <c r="AD1578" s="130"/>
      <c r="AE1578" s="130">
        <v>1</v>
      </c>
      <c r="AF1578" s="131">
        <f t="shared" si="350"/>
        <v>134.36279999999999</v>
      </c>
      <c r="AG1578" s="130"/>
      <c r="AH1578" s="130"/>
      <c r="AI1578" s="130"/>
      <c r="AJ1578" s="130"/>
      <c r="AK1578" s="131">
        <f t="shared" si="334"/>
        <v>537.45119999999997</v>
      </c>
      <c r="AL1578" s="335">
        <f t="shared" si="335"/>
        <v>0</v>
      </c>
      <c r="AM1578" s="130">
        <f t="shared" si="336"/>
        <v>6</v>
      </c>
      <c r="AN1578" s="336">
        <f t="shared" si="342"/>
        <v>0</v>
      </c>
    </row>
    <row r="1579" spans="1:40" s="108" customFormat="1" ht="66" x14ac:dyDescent="0.25">
      <c r="A1579" s="9"/>
      <c r="B1579" s="59" t="s">
        <v>2659</v>
      </c>
      <c r="C1579" s="1024"/>
      <c r="D1579" s="869">
        <v>6</v>
      </c>
      <c r="E1579" s="1024" t="s">
        <v>2600</v>
      </c>
      <c r="F1579" s="273" t="s">
        <v>3446</v>
      </c>
      <c r="G1579" s="1040" t="s">
        <v>3463</v>
      </c>
      <c r="H1579" s="273" t="s">
        <v>3462</v>
      </c>
      <c r="I1579" s="722">
        <f t="shared" si="348"/>
        <v>1021.9599999999999</v>
      </c>
      <c r="J1579" s="759">
        <v>6131.7599999999993</v>
      </c>
      <c r="K1579" s="131">
        <f t="shared" si="341"/>
        <v>6131.7599999999993</v>
      </c>
      <c r="L1579" s="335">
        <f t="shared" si="333"/>
        <v>0</v>
      </c>
      <c r="M1579" s="335"/>
      <c r="N1579" s="335"/>
      <c r="O1579" s="335"/>
      <c r="P1579" s="335"/>
      <c r="Q1579" s="130">
        <v>2</v>
      </c>
      <c r="R1579" s="131">
        <f t="shared" si="343"/>
        <v>1532.9399999999998</v>
      </c>
      <c r="S1579" s="130"/>
      <c r="T1579" s="130"/>
      <c r="U1579" s="130">
        <v>2</v>
      </c>
      <c r="V1579" s="131">
        <f t="shared" si="344"/>
        <v>1532.9399999999998</v>
      </c>
      <c r="W1579" s="130"/>
      <c r="X1579" s="130"/>
      <c r="Y1579" s="130"/>
      <c r="Z1579" s="130"/>
      <c r="AA1579" s="130">
        <v>1</v>
      </c>
      <c r="AB1579" s="131">
        <f t="shared" si="349"/>
        <v>1532.9399999999998</v>
      </c>
      <c r="AC1579" s="130"/>
      <c r="AD1579" s="130"/>
      <c r="AE1579" s="130">
        <v>1</v>
      </c>
      <c r="AF1579" s="131">
        <f t="shared" si="350"/>
        <v>1532.9399999999998</v>
      </c>
      <c r="AG1579" s="130"/>
      <c r="AH1579" s="130"/>
      <c r="AI1579" s="130"/>
      <c r="AJ1579" s="130"/>
      <c r="AK1579" s="131">
        <f t="shared" si="334"/>
        <v>6131.7599999999993</v>
      </c>
      <c r="AL1579" s="335">
        <f t="shared" si="335"/>
        <v>0</v>
      </c>
      <c r="AM1579" s="130">
        <f t="shared" si="336"/>
        <v>6</v>
      </c>
      <c r="AN1579" s="336">
        <f t="shared" si="342"/>
        <v>0</v>
      </c>
    </row>
    <row r="1580" spans="1:40" s="108" customFormat="1" ht="66" x14ac:dyDescent="0.25">
      <c r="A1580" s="9"/>
      <c r="B1580" s="59" t="s">
        <v>30</v>
      </c>
      <c r="C1580" s="1024"/>
      <c r="D1580" s="869">
        <v>30</v>
      </c>
      <c r="E1580" s="1024" t="s">
        <v>2599</v>
      </c>
      <c r="F1580" s="273" t="s">
        <v>3446</v>
      </c>
      <c r="G1580" s="1040" t="s">
        <v>3463</v>
      </c>
      <c r="H1580" s="273" t="s">
        <v>3462</v>
      </c>
      <c r="I1580" s="722">
        <f t="shared" si="348"/>
        <v>20.8916</v>
      </c>
      <c r="J1580" s="759">
        <v>626.74800000000005</v>
      </c>
      <c r="K1580" s="131">
        <f t="shared" si="341"/>
        <v>626.74800000000005</v>
      </c>
      <c r="L1580" s="335">
        <f t="shared" si="333"/>
        <v>0</v>
      </c>
      <c r="M1580" s="335"/>
      <c r="N1580" s="335"/>
      <c r="O1580" s="335"/>
      <c r="P1580" s="335"/>
      <c r="Q1580" s="110">
        <v>8</v>
      </c>
      <c r="R1580" s="131">
        <f t="shared" si="343"/>
        <v>156.68700000000001</v>
      </c>
      <c r="S1580" s="130"/>
      <c r="T1580" s="130"/>
      <c r="U1580" s="110">
        <v>8</v>
      </c>
      <c r="V1580" s="131">
        <f t="shared" si="344"/>
        <v>156.68700000000001</v>
      </c>
      <c r="W1580" s="130"/>
      <c r="X1580" s="130"/>
      <c r="Y1580" s="130"/>
      <c r="Z1580" s="130"/>
      <c r="AA1580" s="110">
        <v>7</v>
      </c>
      <c r="AB1580" s="131">
        <f t="shared" si="349"/>
        <v>156.68700000000001</v>
      </c>
      <c r="AC1580" s="130"/>
      <c r="AD1580" s="130"/>
      <c r="AE1580" s="110">
        <v>7</v>
      </c>
      <c r="AF1580" s="131">
        <f t="shared" si="350"/>
        <v>156.68700000000001</v>
      </c>
      <c r="AG1580" s="130"/>
      <c r="AH1580" s="130"/>
      <c r="AI1580" s="130"/>
      <c r="AJ1580" s="130"/>
      <c r="AK1580" s="131">
        <f t="shared" si="334"/>
        <v>626.74800000000005</v>
      </c>
      <c r="AL1580" s="335">
        <f t="shared" si="335"/>
        <v>0</v>
      </c>
      <c r="AM1580" s="130">
        <f t="shared" si="336"/>
        <v>30</v>
      </c>
      <c r="AN1580" s="336">
        <f t="shared" si="342"/>
        <v>0</v>
      </c>
    </row>
    <row r="1581" spans="1:40" s="108" customFormat="1" ht="66" x14ac:dyDescent="0.25">
      <c r="A1581" s="9"/>
      <c r="B1581" s="59" t="s">
        <v>31</v>
      </c>
      <c r="C1581" s="1024"/>
      <c r="D1581" s="869">
        <v>30</v>
      </c>
      <c r="E1581" s="1024" t="s">
        <v>2599</v>
      </c>
      <c r="F1581" s="273" t="s">
        <v>3446</v>
      </c>
      <c r="G1581" s="1040" t="s">
        <v>3463</v>
      </c>
      <c r="H1581" s="273" t="s">
        <v>3462</v>
      </c>
      <c r="I1581" s="722">
        <f t="shared" si="348"/>
        <v>28.303999999999995</v>
      </c>
      <c r="J1581" s="759">
        <v>849.11999999999989</v>
      </c>
      <c r="K1581" s="131">
        <f t="shared" si="341"/>
        <v>849.11999999999989</v>
      </c>
      <c r="L1581" s="335">
        <f t="shared" si="333"/>
        <v>0</v>
      </c>
      <c r="M1581" s="335"/>
      <c r="N1581" s="335"/>
      <c r="O1581" s="335"/>
      <c r="P1581" s="335"/>
      <c r="Q1581" s="110">
        <v>8</v>
      </c>
      <c r="R1581" s="131">
        <f t="shared" si="343"/>
        <v>212.27999999999997</v>
      </c>
      <c r="S1581" s="130"/>
      <c r="T1581" s="130"/>
      <c r="U1581" s="110">
        <v>8</v>
      </c>
      <c r="V1581" s="131">
        <f t="shared" si="344"/>
        <v>212.27999999999997</v>
      </c>
      <c r="W1581" s="130"/>
      <c r="X1581" s="130"/>
      <c r="Y1581" s="130"/>
      <c r="Z1581" s="130"/>
      <c r="AA1581" s="110">
        <v>7</v>
      </c>
      <c r="AB1581" s="131">
        <f t="shared" si="349"/>
        <v>212.27999999999997</v>
      </c>
      <c r="AC1581" s="130"/>
      <c r="AD1581" s="130"/>
      <c r="AE1581" s="110">
        <v>7</v>
      </c>
      <c r="AF1581" s="131">
        <f t="shared" si="350"/>
        <v>212.27999999999997</v>
      </c>
      <c r="AG1581" s="130"/>
      <c r="AH1581" s="130"/>
      <c r="AI1581" s="130"/>
      <c r="AJ1581" s="130"/>
      <c r="AK1581" s="131">
        <f t="shared" si="334"/>
        <v>849.11999999999989</v>
      </c>
      <c r="AL1581" s="335">
        <f t="shared" si="335"/>
        <v>0</v>
      </c>
      <c r="AM1581" s="130">
        <f t="shared" si="336"/>
        <v>30</v>
      </c>
      <c r="AN1581" s="336">
        <f t="shared" si="342"/>
        <v>0</v>
      </c>
    </row>
    <row r="1582" spans="1:40" s="108" customFormat="1" ht="66" x14ac:dyDescent="0.25">
      <c r="A1582" s="9"/>
      <c r="B1582" s="59" t="s">
        <v>2660</v>
      </c>
      <c r="C1582" s="1024"/>
      <c r="D1582" s="869">
        <v>35</v>
      </c>
      <c r="E1582" s="1024" t="s">
        <v>2600</v>
      </c>
      <c r="F1582" s="273" t="s">
        <v>3446</v>
      </c>
      <c r="G1582" s="1040" t="s">
        <v>3463</v>
      </c>
      <c r="H1582" s="273" t="s">
        <v>3462</v>
      </c>
      <c r="I1582" s="722">
        <f t="shared" si="348"/>
        <v>72.639199999999988</v>
      </c>
      <c r="J1582" s="759">
        <v>2542.3719999999994</v>
      </c>
      <c r="K1582" s="131">
        <f t="shared" si="341"/>
        <v>2542.3719999999994</v>
      </c>
      <c r="L1582" s="335">
        <f t="shared" si="333"/>
        <v>0</v>
      </c>
      <c r="M1582" s="335"/>
      <c r="N1582" s="335"/>
      <c r="O1582" s="335"/>
      <c r="P1582" s="335"/>
      <c r="Q1582" s="110">
        <v>9</v>
      </c>
      <c r="R1582" s="131">
        <f t="shared" si="343"/>
        <v>635.59299999999985</v>
      </c>
      <c r="S1582" s="130"/>
      <c r="T1582" s="130"/>
      <c r="U1582" s="110">
        <v>9</v>
      </c>
      <c r="V1582" s="131">
        <f t="shared" si="344"/>
        <v>635.59299999999985</v>
      </c>
      <c r="W1582" s="130"/>
      <c r="X1582" s="130"/>
      <c r="Y1582" s="130"/>
      <c r="Z1582" s="130"/>
      <c r="AA1582" s="110">
        <v>9</v>
      </c>
      <c r="AB1582" s="131">
        <f t="shared" si="349"/>
        <v>635.59299999999985</v>
      </c>
      <c r="AC1582" s="130"/>
      <c r="AD1582" s="130"/>
      <c r="AE1582" s="110">
        <v>8</v>
      </c>
      <c r="AF1582" s="131">
        <f t="shared" si="350"/>
        <v>635.59299999999985</v>
      </c>
      <c r="AG1582" s="130"/>
      <c r="AH1582" s="130"/>
      <c r="AI1582" s="130"/>
      <c r="AJ1582" s="130"/>
      <c r="AK1582" s="131">
        <f t="shared" si="334"/>
        <v>2542.3719999999994</v>
      </c>
      <c r="AL1582" s="335">
        <f t="shared" si="335"/>
        <v>0</v>
      </c>
      <c r="AM1582" s="130">
        <f t="shared" si="336"/>
        <v>35</v>
      </c>
      <c r="AN1582" s="336">
        <f t="shared" si="342"/>
        <v>0</v>
      </c>
    </row>
    <row r="1583" spans="1:40" s="108" customFormat="1" ht="66" x14ac:dyDescent="0.25">
      <c r="A1583" s="9"/>
      <c r="B1583" s="59" t="s">
        <v>219</v>
      </c>
      <c r="C1583" s="1024"/>
      <c r="D1583" s="869">
        <v>30</v>
      </c>
      <c r="E1583" s="1024" t="s">
        <v>2599</v>
      </c>
      <c r="F1583" s="273" t="s">
        <v>3446</v>
      </c>
      <c r="G1583" s="1040" t="s">
        <v>3463</v>
      </c>
      <c r="H1583" s="273" t="s">
        <v>3462</v>
      </c>
      <c r="I1583" s="722">
        <f t="shared" si="348"/>
        <v>4.7559999999999993</v>
      </c>
      <c r="J1583" s="759">
        <v>142.67999999999998</v>
      </c>
      <c r="K1583" s="131">
        <f t="shared" si="341"/>
        <v>142.67999999999998</v>
      </c>
      <c r="L1583" s="335">
        <f t="shared" si="333"/>
        <v>0</v>
      </c>
      <c r="M1583" s="335"/>
      <c r="N1583" s="335"/>
      <c r="O1583" s="335"/>
      <c r="P1583" s="335"/>
      <c r="Q1583" s="110">
        <v>8</v>
      </c>
      <c r="R1583" s="131">
        <f t="shared" si="343"/>
        <v>35.669999999999995</v>
      </c>
      <c r="S1583" s="130"/>
      <c r="T1583" s="130"/>
      <c r="U1583" s="110">
        <v>8</v>
      </c>
      <c r="V1583" s="131">
        <f t="shared" si="344"/>
        <v>35.669999999999995</v>
      </c>
      <c r="W1583" s="130"/>
      <c r="X1583" s="130"/>
      <c r="Y1583" s="130"/>
      <c r="Z1583" s="130"/>
      <c r="AA1583" s="110">
        <v>7</v>
      </c>
      <c r="AB1583" s="131">
        <f t="shared" si="349"/>
        <v>35.669999999999995</v>
      </c>
      <c r="AC1583" s="130"/>
      <c r="AD1583" s="130"/>
      <c r="AE1583" s="110">
        <v>7</v>
      </c>
      <c r="AF1583" s="131">
        <f t="shared" si="350"/>
        <v>35.669999999999995</v>
      </c>
      <c r="AG1583" s="130"/>
      <c r="AH1583" s="130"/>
      <c r="AI1583" s="130"/>
      <c r="AJ1583" s="130"/>
      <c r="AK1583" s="131">
        <f t="shared" si="334"/>
        <v>142.67999999999998</v>
      </c>
      <c r="AL1583" s="335">
        <f t="shared" si="335"/>
        <v>0</v>
      </c>
      <c r="AM1583" s="130">
        <f t="shared" si="336"/>
        <v>30</v>
      </c>
      <c r="AN1583" s="336">
        <f t="shared" si="342"/>
        <v>0</v>
      </c>
    </row>
    <row r="1584" spans="1:40" s="108" customFormat="1" ht="66" x14ac:dyDescent="0.25">
      <c r="A1584" s="9"/>
      <c r="B1584" s="59" t="s">
        <v>220</v>
      </c>
      <c r="C1584" s="1024"/>
      <c r="D1584" s="869">
        <v>30</v>
      </c>
      <c r="E1584" s="1024" t="s">
        <v>2599</v>
      </c>
      <c r="F1584" s="273" t="s">
        <v>3446</v>
      </c>
      <c r="G1584" s="1040" t="s">
        <v>3463</v>
      </c>
      <c r="H1584" s="273" t="s">
        <v>3462</v>
      </c>
      <c r="I1584" s="722">
        <f t="shared" si="348"/>
        <v>8.3867999999999991</v>
      </c>
      <c r="J1584" s="759">
        <v>251.60399999999998</v>
      </c>
      <c r="K1584" s="131">
        <f t="shared" si="341"/>
        <v>251.60399999999998</v>
      </c>
      <c r="L1584" s="335">
        <f t="shared" si="333"/>
        <v>0</v>
      </c>
      <c r="M1584" s="335"/>
      <c r="N1584" s="335"/>
      <c r="O1584" s="335"/>
      <c r="P1584" s="335"/>
      <c r="Q1584" s="110">
        <v>8</v>
      </c>
      <c r="R1584" s="131">
        <f t="shared" si="343"/>
        <v>62.900999999999996</v>
      </c>
      <c r="S1584" s="130"/>
      <c r="T1584" s="130"/>
      <c r="U1584" s="110">
        <v>8</v>
      </c>
      <c r="V1584" s="131">
        <f t="shared" si="344"/>
        <v>62.900999999999996</v>
      </c>
      <c r="W1584" s="130"/>
      <c r="X1584" s="130"/>
      <c r="Y1584" s="130"/>
      <c r="Z1584" s="130"/>
      <c r="AA1584" s="110">
        <v>7</v>
      </c>
      <c r="AB1584" s="131">
        <f t="shared" si="349"/>
        <v>62.900999999999996</v>
      </c>
      <c r="AC1584" s="130"/>
      <c r="AD1584" s="130"/>
      <c r="AE1584" s="110">
        <v>7</v>
      </c>
      <c r="AF1584" s="131">
        <f t="shared" si="350"/>
        <v>62.900999999999996</v>
      </c>
      <c r="AG1584" s="130"/>
      <c r="AH1584" s="130"/>
      <c r="AI1584" s="130"/>
      <c r="AJ1584" s="130"/>
      <c r="AK1584" s="131">
        <f t="shared" si="334"/>
        <v>251.60399999999998</v>
      </c>
      <c r="AL1584" s="335">
        <f t="shared" si="335"/>
        <v>0</v>
      </c>
      <c r="AM1584" s="130">
        <f t="shared" si="336"/>
        <v>30</v>
      </c>
      <c r="AN1584" s="336">
        <f t="shared" si="342"/>
        <v>0</v>
      </c>
    </row>
    <row r="1585" spans="1:42" x14ac:dyDescent="0.25">
      <c r="A1585" s="315"/>
      <c r="B1585" s="500"/>
      <c r="C1585" s="316"/>
      <c r="D1585" s="886"/>
      <c r="E1585" s="316"/>
      <c r="F1585" s="363"/>
      <c r="G1585" s="363"/>
      <c r="H1585" s="363"/>
      <c r="I1585" s="724"/>
      <c r="J1585" s="777"/>
      <c r="K1585" s="131"/>
      <c r="L1585" s="335"/>
      <c r="M1585" s="449"/>
      <c r="N1585" s="449"/>
      <c r="O1585" s="449"/>
      <c r="P1585" s="449"/>
      <c r="Q1585" s="448"/>
      <c r="R1585" s="317"/>
      <c r="S1585" s="448"/>
      <c r="T1585" s="448"/>
      <c r="U1585" s="448"/>
      <c r="V1585" s="317"/>
      <c r="W1585" s="448"/>
      <c r="X1585" s="448"/>
      <c r="Y1585" s="448"/>
      <c r="Z1585" s="448"/>
      <c r="AA1585" s="448"/>
      <c r="AB1585" s="317"/>
      <c r="AC1585" s="448"/>
      <c r="AD1585" s="448"/>
      <c r="AE1585" s="448"/>
      <c r="AF1585" s="317"/>
      <c r="AG1585" s="448"/>
      <c r="AH1585" s="448"/>
      <c r="AI1585" s="448"/>
      <c r="AJ1585" s="448"/>
      <c r="AK1585" s="317"/>
      <c r="AL1585" s="449"/>
      <c r="AM1585" s="448"/>
      <c r="AN1585" s="450"/>
      <c r="AO1585" s="436"/>
      <c r="AP1585" s="111"/>
    </row>
    <row r="1586" spans="1:42" s="108" customFormat="1" ht="66" x14ac:dyDescent="0.25">
      <c r="A1586" s="9"/>
      <c r="B1586" s="474" t="s">
        <v>298</v>
      </c>
      <c r="C1586" s="180"/>
      <c r="D1586" s="872">
        <v>2</v>
      </c>
      <c r="E1586" s="1027" t="s">
        <v>1721</v>
      </c>
      <c r="F1586" s="273" t="s">
        <v>3446</v>
      </c>
      <c r="G1586" s="1040" t="s">
        <v>3463</v>
      </c>
      <c r="H1586" s="273" t="s">
        <v>3462</v>
      </c>
      <c r="I1586" s="728">
        <f t="shared" ref="I1586:I1622" si="351">+J1586/D1586</f>
        <v>344.52</v>
      </c>
      <c r="J1586" s="776">
        <v>689.04</v>
      </c>
      <c r="K1586" s="131">
        <f t="shared" si="341"/>
        <v>689.04</v>
      </c>
      <c r="L1586" s="335">
        <f t="shared" si="333"/>
        <v>0</v>
      </c>
      <c r="M1586" s="335"/>
      <c r="N1586" s="335"/>
      <c r="O1586" s="335"/>
      <c r="P1586" s="335"/>
      <c r="Q1586" s="130">
        <v>1</v>
      </c>
      <c r="R1586" s="131">
        <v>344.52</v>
      </c>
      <c r="S1586" s="130"/>
      <c r="T1586" s="130"/>
      <c r="U1586" s="130">
        <v>1</v>
      </c>
      <c r="V1586" s="131">
        <v>344.52</v>
      </c>
      <c r="W1586" s="130"/>
      <c r="X1586" s="130"/>
      <c r="Y1586" s="130"/>
      <c r="Z1586" s="130"/>
      <c r="AA1586" s="130">
        <v>0</v>
      </c>
      <c r="AB1586" s="131">
        <v>0</v>
      </c>
      <c r="AC1586" s="130"/>
      <c r="AD1586" s="130"/>
      <c r="AE1586" s="130">
        <v>0</v>
      </c>
      <c r="AF1586" s="131">
        <v>0</v>
      </c>
      <c r="AG1586" s="130"/>
      <c r="AH1586" s="130"/>
      <c r="AI1586" s="130"/>
      <c r="AJ1586" s="130"/>
      <c r="AK1586" s="131">
        <f t="shared" si="334"/>
        <v>689.04</v>
      </c>
      <c r="AL1586" s="335">
        <f t="shared" si="335"/>
        <v>0</v>
      </c>
      <c r="AM1586" s="130">
        <f t="shared" si="336"/>
        <v>2</v>
      </c>
      <c r="AN1586" s="336">
        <f t="shared" si="342"/>
        <v>0</v>
      </c>
    </row>
    <row r="1587" spans="1:42" s="108" customFormat="1" ht="66" x14ac:dyDescent="0.25">
      <c r="A1587" s="9"/>
      <c r="B1587" s="34" t="s">
        <v>299</v>
      </c>
      <c r="C1587" s="1024"/>
      <c r="D1587" s="869">
        <v>10</v>
      </c>
      <c r="E1587" s="1027" t="s">
        <v>1721</v>
      </c>
      <c r="F1587" s="273" t="s">
        <v>3446</v>
      </c>
      <c r="G1587" s="1040" t="s">
        <v>3463</v>
      </c>
      <c r="H1587" s="273" t="s">
        <v>3462</v>
      </c>
      <c r="I1587" s="722">
        <f t="shared" si="351"/>
        <v>56.503599999999992</v>
      </c>
      <c r="J1587" s="756">
        <v>565.03599999999994</v>
      </c>
      <c r="K1587" s="131">
        <f t="shared" si="341"/>
        <v>565.03599999999994</v>
      </c>
      <c r="L1587" s="335">
        <f t="shared" si="333"/>
        <v>0</v>
      </c>
      <c r="M1587" s="335"/>
      <c r="N1587" s="335"/>
      <c r="O1587" s="335"/>
      <c r="P1587" s="335"/>
      <c r="Q1587" s="130">
        <v>3</v>
      </c>
      <c r="R1587" s="131">
        <f t="shared" si="343"/>
        <v>141.25899999999999</v>
      </c>
      <c r="S1587" s="130"/>
      <c r="T1587" s="130"/>
      <c r="U1587" s="130">
        <v>3</v>
      </c>
      <c r="V1587" s="131">
        <f t="shared" si="344"/>
        <v>141.25899999999999</v>
      </c>
      <c r="W1587" s="130"/>
      <c r="X1587" s="130"/>
      <c r="Y1587" s="130"/>
      <c r="Z1587" s="130"/>
      <c r="AA1587" s="130">
        <v>2</v>
      </c>
      <c r="AB1587" s="131">
        <f t="shared" si="349"/>
        <v>141.25899999999999</v>
      </c>
      <c r="AC1587" s="130"/>
      <c r="AD1587" s="130"/>
      <c r="AE1587" s="130">
        <v>2</v>
      </c>
      <c r="AF1587" s="131">
        <f t="shared" si="350"/>
        <v>141.25899999999999</v>
      </c>
      <c r="AG1587" s="130"/>
      <c r="AH1587" s="130"/>
      <c r="AI1587" s="130"/>
      <c r="AJ1587" s="130"/>
      <c r="AK1587" s="131">
        <f t="shared" si="334"/>
        <v>565.03599999999994</v>
      </c>
      <c r="AL1587" s="335">
        <f t="shared" si="335"/>
        <v>0</v>
      </c>
      <c r="AM1587" s="130">
        <f t="shared" si="336"/>
        <v>10</v>
      </c>
      <c r="AN1587" s="336">
        <f t="shared" si="342"/>
        <v>0</v>
      </c>
    </row>
    <row r="1588" spans="1:42" s="108" customFormat="1" ht="66" x14ac:dyDescent="0.25">
      <c r="A1588" s="9"/>
      <c r="B1588" s="34" t="s">
        <v>300</v>
      </c>
      <c r="C1588" s="1024"/>
      <c r="D1588" s="869">
        <v>5</v>
      </c>
      <c r="E1588" s="1027" t="s">
        <v>1721</v>
      </c>
      <c r="F1588" s="273" t="s">
        <v>3446</v>
      </c>
      <c r="G1588" s="1040" t="s">
        <v>3463</v>
      </c>
      <c r="H1588" s="273" t="s">
        <v>3462</v>
      </c>
      <c r="I1588" s="722">
        <f t="shared" si="351"/>
        <v>241.16400000000004</v>
      </c>
      <c r="J1588" s="756">
        <v>1205.8200000000002</v>
      </c>
      <c r="K1588" s="131">
        <f t="shared" si="341"/>
        <v>1205.8200000000002</v>
      </c>
      <c r="L1588" s="335">
        <f t="shared" ref="L1588:L1651" si="352">+J1588-K1588</f>
        <v>0</v>
      </c>
      <c r="M1588" s="335"/>
      <c r="N1588" s="335"/>
      <c r="O1588" s="335"/>
      <c r="P1588" s="335"/>
      <c r="Q1588" s="110">
        <v>2</v>
      </c>
      <c r="R1588" s="131">
        <f t="shared" si="343"/>
        <v>301.45500000000004</v>
      </c>
      <c r="S1588" s="130"/>
      <c r="T1588" s="130"/>
      <c r="U1588" s="110">
        <v>1</v>
      </c>
      <c r="V1588" s="131">
        <f t="shared" si="344"/>
        <v>301.45500000000004</v>
      </c>
      <c r="W1588" s="130"/>
      <c r="X1588" s="130"/>
      <c r="Y1588" s="130"/>
      <c r="Z1588" s="130"/>
      <c r="AA1588" s="110">
        <v>1</v>
      </c>
      <c r="AB1588" s="131">
        <f t="shared" si="349"/>
        <v>301.45500000000004</v>
      </c>
      <c r="AC1588" s="130"/>
      <c r="AD1588" s="130"/>
      <c r="AE1588" s="110">
        <v>1</v>
      </c>
      <c r="AF1588" s="131">
        <f t="shared" si="350"/>
        <v>301.45500000000004</v>
      </c>
      <c r="AG1588" s="130"/>
      <c r="AH1588" s="130"/>
      <c r="AI1588" s="130"/>
      <c r="AJ1588" s="130"/>
      <c r="AK1588" s="131">
        <f t="shared" ref="AK1588:AK1651" si="353">+R1588+V1588+AB1588+AF1588</f>
        <v>1205.8200000000002</v>
      </c>
      <c r="AL1588" s="335">
        <f t="shared" ref="AL1588:AL1651" si="354">+J1588-AK1588</f>
        <v>0</v>
      </c>
      <c r="AM1588" s="130">
        <f t="shared" ref="AM1588:AM1651" si="355">+Q1588+U1588+AA1588+AE1588</f>
        <v>5</v>
      </c>
      <c r="AN1588" s="336">
        <f t="shared" si="342"/>
        <v>0</v>
      </c>
    </row>
    <row r="1589" spans="1:42" s="108" customFormat="1" ht="66" x14ac:dyDescent="0.25">
      <c r="A1589" s="9"/>
      <c r="B1589" s="34" t="s">
        <v>301</v>
      </c>
      <c r="C1589" s="1024"/>
      <c r="D1589" s="869">
        <v>5</v>
      </c>
      <c r="E1589" s="1027" t="s">
        <v>1721</v>
      </c>
      <c r="F1589" s="273" t="s">
        <v>3446</v>
      </c>
      <c r="G1589" s="1040" t="s">
        <v>3463</v>
      </c>
      <c r="H1589" s="273" t="s">
        <v>3462</v>
      </c>
      <c r="I1589" s="722">
        <f t="shared" si="351"/>
        <v>323.84879999999998</v>
      </c>
      <c r="J1589" s="756">
        <v>1619.2439999999999</v>
      </c>
      <c r="K1589" s="131">
        <f t="shared" si="341"/>
        <v>1619.2439999999999</v>
      </c>
      <c r="L1589" s="335">
        <f t="shared" si="352"/>
        <v>0</v>
      </c>
      <c r="M1589" s="335"/>
      <c r="N1589" s="335"/>
      <c r="O1589" s="335"/>
      <c r="P1589" s="335"/>
      <c r="Q1589" s="110">
        <v>2</v>
      </c>
      <c r="R1589" s="131">
        <f t="shared" si="343"/>
        <v>404.81099999999998</v>
      </c>
      <c r="S1589" s="130"/>
      <c r="T1589" s="130"/>
      <c r="U1589" s="110">
        <v>1</v>
      </c>
      <c r="V1589" s="131">
        <f t="shared" si="344"/>
        <v>404.81099999999998</v>
      </c>
      <c r="W1589" s="130"/>
      <c r="X1589" s="130"/>
      <c r="Y1589" s="130"/>
      <c r="Z1589" s="130"/>
      <c r="AA1589" s="110">
        <v>1</v>
      </c>
      <c r="AB1589" s="131">
        <f t="shared" si="349"/>
        <v>404.81099999999998</v>
      </c>
      <c r="AC1589" s="130"/>
      <c r="AD1589" s="130"/>
      <c r="AE1589" s="110">
        <v>1</v>
      </c>
      <c r="AF1589" s="131">
        <f t="shared" si="350"/>
        <v>404.81099999999998</v>
      </c>
      <c r="AG1589" s="130"/>
      <c r="AH1589" s="130"/>
      <c r="AI1589" s="130"/>
      <c r="AJ1589" s="130"/>
      <c r="AK1589" s="131">
        <f t="shared" si="353"/>
        <v>1619.2439999999999</v>
      </c>
      <c r="AL1589" s="335">
        <f t="shared" si="354"/>
        <v>0</v>
      </c>
      <c r="AM1589" s="130">
        <f t="shared" si="355"/>
        <v>5</v>
      </c>
      <c r="AN1589" s="336">
        <f t="shared" si="342"/>
        <v>0</v>
      </c>
    </row>
    <row r="1590" spans="1:42" s="108" customFormat="1" ht="66" x14ac:dyDescent="0.25">
      <c r="A1590" s="9"/>
      <c r="B1590" s="34" t="s">
        <v>302</v>
      </c>
      <c r="C1590" s="1024"/>
      <c r="D1590" s="869">
        <v>2</v>
      </c>
      <c r="E1590" s="1027" t="s">
        <v>1721</v>
      </c>
      <c r="F1590" s="273" t="s">
        <v>3446</v>
      </c>
      <c r="G1590" s="1040" t="s">
        <v>3463</v>
      </c>
      <c r="H1590" s="273" t="s">
        <v>3462</v>
      </c>
      <c r="I1590" s="722">
        <f t="shared" si="351"/>
        <v>179.15039999999999</v>
      </c>
      <c r="J1590" s="756">
        <v>358.30079999999998</v>
      </c>
      <c r="K1590" s="131">
        <f t="shared" si="341"/>
        <v>358.30079999999998</v>
      </c>
      <c r="L1590" s="335">
        <f t="shared" si="352"/>
        <v>0</v>
      </c>
      <c r="M1590" s="335"/>
      <c r="N1590" s="335"/>
      <c r="O1590" s="335"/>
      <c r="P1590" s="335"/>
      <c r="Q1590" s="130">
        <v>1</v>
      </c>
      <c r="R1590" s="131">
        <v>179.15</v>
      </c>
      <c r="S1590" s="130"/>
      <c r="T1590" s="130"/>
      <c r="U1590" s="130">
        <v>1</v>
      </c>
      <c r="V1590" s="131">
        <v>179.15</v>
      </c>
      <c r="W1590" s="130"/>
      <c r="X1590" s="130"/>
      <c r="Y1590" s="130"/>
      <c r="Z1590" s="130"/>
      <c r="AA1590" s="130">
        <v>0</v>
      </c>
      <c r="AB1590" s="131">
        <v>0</v>
      </c>
      <c r="AC1590" s="130"/>
      <c r="AD1590" s="130"/>
      <c r="AE1590" s="130">
        <v>0</v>
      </c>
      <c r="AF1590" s="131">
        <v>0</v>
      </c>
      <c r="AG1590" s="130"/>
      <c r="AH1590" s="130"/>
      <c r="AI1590" s="130"/>
      <c r="AJ1590" s="130"/>
      <c r="AK1590" s="131">
        <f t="shared" si="353"/>
        <v>358.3</v>
      </c>
      <c r="AL1590" s="335">
        <f t="shared" si="354"/>
        <v>7.9999999996971383E-4</v>
      </c>
      <c r="AM1590" s="130">
        <f t="shared" si="355"/>
        <v>2</v>
      </c>
      <c r="AN1590" s="336">
        <f t="shared" si="342"/>
        <v>0</v>
      </c>
    </row>
    <row r="1591" spans="1:42" s="108" customFormat="1" ht="66" x14ac:dyDescent="0.25">
      <c r="A1591" s="9"/>
      <c r="B1591" s="34" t="s">
        <v>303</v>
      </c>
      <c r="C1591" s="1024"/>
      <c r="D1591" s="869">
        <v>2</v>
      </c>
      <c r="E1591" s="1027" t="s">
        <v>1721</v>
      </c>
      <c r="F1591" s="273" t="s">
        <v>3446</v>
      </c>
      <c r="G1591" s="1040" t="s">
        <v>3463</v>
      </c>
      <c r="H1591" s="273" t="s">
        <v>3462</v>
      </c>
      <c r="I1591" s="722">
        <f t="shared" si="351"/>
        <v>326.69079999999997</v>
      </c>
      <c r="J1591" s="756">
        <v>653.38159999999993</v>
      </c>
      <c r="K1591" s="131">
        <f t="shared" si="341"/>
        <v>653.38159999999993</v>
      </c>
      <c r="L1591" s="335">
        <f t="shared" si="352"/>
        <v>0</v>
      </c>
      <c r="M1591" s="335"/>
      <c r="N1591" s="335"/>
      <c r="O1591" s="335"/>
      <c r="P1591" s="335"/>
      <c r="Q1591" s="130">
        <v>1</v>
      </c>
      <c r="R1591" s="131">
        <v>326.69</v>
      </c>
      <c r="S1591" s="130"/>
      <c r="T1591" s="130"/>
      <c r="U1591" s="130">
        <v>1</v>
      </c>
      <c r="V1591" s="131">
        <v>326.69</v>
      </c>
      <c r="W1591" s="130"/>
      <c r="X1591" s="130"/>
      <c r="Y1591" s="130"/>
      <c r="Z1591" s="130"/>
      <c r="AA1591" s="130">
        <v>0</v>
      </c>
      <c r="AB1591" s="131">
        <v>0</v>
      </c>
      <c r="AC1591" s="130"/>
      <c r="AD1591" s="130"/>
      <c r="AE1591" s="130">
        <v>0</v>
      </c>
      <c r="AF1591" s="131">
        <v>0</v>
      </c>
      <c r="AG1591" s="130"/>
      <c r="AH1591" s="130"/>
      <c r="AI1591" s="130"/>
      <c r="AJ1591" s="130"/>
      <c r="AK1591" s="131">
        <f t="shared" si="353"/>
        <v>653.38</v>
      </c>
      <c r="AL1591" s="335">
        <f t="shared" si="354"/>
        <v>1.5999999999394277E-3</v>
      </c>
      <c r="AM1591" s="130">
        <f t="shared" si="355"/>
        <v>2</v>
      </c>
      <c r="AN1591" s="336">
        <f t="shared" si="342"/>
        <v>0</v>
      </c>
    </row>
    <row r="1592" spans="1:42" s="108" customFormat="1" ht="66" x14ac:dyDescent="0.25">
      <c r="A1592" s="9"/>
      <c r="B1592" s="34" t="s">
        <v>304</v>
      </c>
      <c r="C1592" s="1024"/>
      <c r="D1592" s="869">
        <v>2</v>
      </c>
      <c r="E1592" s="1027" t="s">
        <v>1721</v>
      </c>
      <c r="F1592" s="273" t="s">
        <v>3446</v>
      </c>
      <c r="G1592" s="1040" t="s">
        <v>3463</v>
      </c>
      <c r="H1592" s="273" t="s">
        <v>3462</v>
      </c>
      <c r="I1592" s="722">
        <f t="shared" si="351"/>
        <v>237.6028</v>
      </c>
      <c r="J1592" s="756">
        <v>475.2056</v>
      </c>
      <c r="K1592" s="131">
        <f t="shared" si="341"/>
        <v>475.2056</v>
      </c>
      <c r="L1592" s="335">
        <f t="shared" si="352"/>
        <v>0</v>
      </c>
      <c r="M1592" s="335"/>
      <c r="N1592" s="335"/>
      <c r="O1592" s="335"/>
      <c r="P1592" s="335"/>
      <c r="Q1592" s="130">
        <v>1</v>
      </c>
      <c r="R1592" s="131">
        <v>237.6</v>
      </c>
      <c r="S1592" s="130"/>
      <c r="T1592" s="130"/>
      <c r="U1592" s="130">
        <v>1</v>
      </c>
      <c r="V1592" s="131">
        <v>237.6</v>
      </c>
      <c r="W1592" s="130"/>
      <c r="X1592" s="130"/>
      <c r="Y1592" s="130"/>
      <c r="Z1592" s="130"/>
      <c r="AA1592" s="130">
        <v>0</v>
      </c>
      <c r="AB1592" s="131">
        <v>0</v>
      </c>
      <c r="AC1592" s="130"/>
      <c r="AD1592" s="130"/>
      <c r="AE1592" s="130">
        <v>0</v>
      </c>
      <c r="AF1592" s="131">
        <v>0</v>
      </c>
      <c r="AG1592" s="130"/>
      <c r="AH1592" s="130"/>
      <c r="AI1592" s="130"/>
      <c r="AJ1592" s="130"/>
      <c r="AK1592" s="131">
        <f t="shared" si="353"/>
        <v>475.2</v>
      </c>
      <c r="AL1592" s="335">
        <f t="shared" si="354"/>
        <v>5.6000000000153705E-3</v>
      </c>
      <c r="AM1592" s="130">
        <f t="shared" si="355"/>
        <v>2</v>
      </c>
      <c r="AN1592" s="336">
        <f t="shared" si="342"/>
        <v>0</v>
      </c>
    </row>
    <row r="1593" spans="1:42" s="108" customFormat="1" ht="66" x14ac:dyDescent="0.25">
      <c r="A1593" s="9"/>
      <c r="B1593" s="124" t="s">
        <v>305</v>
      </c>
      <c r="C1593" s="1024"/>
      <c r="D1593" s="869">
        <v>1</v>
      </c>
      <c r="E1593" s="1027" t="s">
        <v>1721</v>
      </c>
      <c r="F1593" s="273" t="s">
        <v>3446</v>
      </c>
      <c r="G1593" s="1040" t="s">
        <v>3463</v>
      </c>
      <c r="H1593" s="273" t="s">
        <v>3462</v>
      </c>
      <c r="I1593" s="722">
        <f t="shared" si="351"/>
        <v>750.42719999999997</v>
      </c>
      <c r="J1593" s="756">
        <v>750.42719999999997</v>
      </c>
      <c r="K1593" s="131">
        <f t="shared" si="341"/>
        <v>750.42719999999997</v>
      </c>
      <c r="L1593" s="335">
        <f t="shared" si="352"/>
        <v>0</v>
      </c>
      <c r="M1593" s="335"/>
      <c r="N1593" s="335"/>
      <c r="O1593" s="335"/>
      <c r="P1593" s="335"/>
      <c r="Q1593" s="130">
        <v>1</v>
      </c>
      <c r="R1593" s="131">
        <v>750.43</v>
      </c>
      <c r="S1593" s="130"/>
      <c r="T1593" s="130"/>
      <c r="U1593" s="110">
        <v>0</v>
      </c>
      <c r="V1593" s="131">
        <v>0</v>
      </c>
      <c r="W1593" s="130"/>
      <c r="X1593" s="130"/>
      <c r="Y1593" s="130"/>
      <c r="Z1593" s="130"/>
      <c r="AA1593" s="110">
        <v>0</v>
      </c>
      <c r="AB1593" s="131">
        <v>0</v>
      </c>
      <c r="AC1593" s="130"/>
      <c r="AD1593" s="130"/>
      <c r="AE1593" s="110">
        <v>0</v>
      </c>
      <c r="AF1593" s="131">
        <v>0</v>
      </c>
      <c r="AG1593" s="130"/>
      <c r="AH1593" s="130"/>
      <c r="AI1593" s="130"/>
      <c r="AJ1593" s="130"/>
      <c r="AK1593" s="131">
        <f t="shared" si="353"/>
        <v>750.43</v>
      </c>
      <c r="AL1593" s="335">
        <f t="shared" si="354"/>
        <v>-2.7999999999792635E-3</v>
      </c>
      <c r="AM1593" s="130">
        <f t="shared" si="355"/>
        <v>1</v>
      </c>
      <c r="AN1593" s="336">
        <f t="shared" si="342"/>
        <v>0</v>
      </c>
    </row>
    <row r="1594" spans="1:42" s="108" customFormat="1" ht="66" x14ac:dyDescent="0.25">
      <c r="A1594" s="9"/>
      <c r="B1594" s="124" t="s">
        <v>306</v>
      </c>
      <c r="C1594" s="1024"/>
      <c r="D1594" s="869">
        <v>1</v>
      </c>
      <c r="E1594" s="1027" t="s">
        <v>1721</v>
      </c>
      <c r="F1594" s="273" t="s">
        <v>3446</v>
      </c>
      <c r="G1594" s="1040" t="s">
        <v>3463</v>
      </c>
      <c r="H1594" s="273" t="s">
        <v>3462</v>
      </c>
      <c r="I1594" s="722">
        <f t="shared" si="351"/>
        <v>373.33439999999996</v>
      </c>
      <c r="J1594" s="756">
        <v>373.33439999999996</v>
      </c>
      <c r="K1594" s="131">
        <f t="shared" si="341"/>
        <v>373.33439999999996</v>
      </c>
      <c r="L1594" s="335">
        <f t="shared" si="352"/>
        <v>0</v>
      </c>
      <c r="M1594" s="335"/>
      <c r="N1594" s="335"/>
      <c r="O1594" s="335"/>
      <c r="P1594" s="335"/>
      <c r="Q1594" s="130">
        <v>1</v>
      </c>
      <c r="R1594" s="131">
        <v>373.33</v>
      </c>
      <c r="S1594" s="130"/>
      <c r="T1594" s="130"/>
      <c r="U1594" s="110">
        <v>0</v>
      </c>
      <c r="V1594" s="131">
        <v>0</v>
      </c>
      <c r="W1594" s="130"/>
      <c r="X1594" s="130"/>
      <c r="Y1594" s="130"/>
      <c r="Z1594" s="130"/>
      <c r="AA1594" s="110">
        <v>0</v>
      </c>
      <c r="AB1594" s="131">
        <v>0</v>
      </c>
      <c r="AC1594" s="130"/>
      <c r="AD1594" s="130"/>
      <c r="AE1594" s="110">
        <v>0</v>
      </c>
      <c r="AF1594" s="131">
        <v>0</v>
      </c>
      <c r="AG1594" s="130"/>
      <c r="AH1594" s="130"/>
      <c r="AI1594" s="130"/>
      <c r="AJ1594" s="130"/>
      <c r="AK1594" s="131">
        <f t="shared" si="353"/>
        <v>373.33</v>
      </c>
      <c r="AL1594" s="335">
        <f t="shared" si="354"/>
        <v>4.3999999999755346E-3</v>
      </c>
      <c r="AM1594" s="130">
        <f t="shared" si="355"/>
        <v>1</v>
      </c>
      <c r="AN1594" s="336">
        <f t="shared" si="342"/>
        <v>0</v>
      </c>
    </row>
    <row r="1595" spans="1:42" s="108" customFormat="1" ht="66" x14ac:dyDescent="0.25">
      <c r="A1595" s="9"/>
      <c r="B1595" s="34" t="s">
        <v>307</v>
      </c>
      <c r="C1595" s="1024"/>
      <c r="D1595" s="869">
        <v>20</v>
      </c>
      <c r="E1595" s="1027" t="s">
        <v>1721</v>
      </c>
      <c r="F1595" s="273" t="s">
        <v>3446</v>
      </c>
      <c r="G1595" s="1040" t="s">
        <v>3463</v>
      </c>
      <c r="H1595" s="273" t="s">
        <v>3462</v>
      </c>
      <c r="I1595" s="722">
        <f t="shared" si="351"/>
        <v>98.971199999999996</v>
      </c>
      <c r="J1595" s="756">
        <v>1979.424</v>
      </c>
      <c r="K1595" s="131">
        <f t="shared" si="341"/>
        <v>1979.424</v>
      </c>
      <c r="L1595" s="335">
        <f t="shared" si="352"/>
        <v>0</v>
      </c>
      <c r="M1595" s="335"/>
      <c r="N1595" s="335"/>
      <c r="O1595" s="335"/>
      <c r="P1595" s="335"/>
      <c r="Q1595" s="130">
        <f t="shared" si="345"/>
        <v>5</v>
      </c>
      <c r="R1595" s="131">
        <f t="shared" si="343"/>
        <v>494.85599999999999</v>
      </c>
      <c r="S1595" s="130"/>
      <c r="T1595" s="130"/>
      <c r="U1595" s="130">
        <f t="shared" si="346"/>
        <v>5</v>
      </c>
      <c r="V1595" s="131">
        <f t="shared" si="344"/>
        <v>494.85599999999999</v>
      </c>
      <c r="W1595" s="130"/>
      <c r="X1595" s="130"/>
      <c r="Y1595" s="130"/>
      <c r="Z1595" s="130"/>
      <c r="AA1595" s="130">
        <f t="shared" si="347"/>
        <v>5</v>
      </c>
      <c r="AB1595" s="131">
        <f t="shared" si="349"/>
        <v>494.85599999999999</v>
      </c>
      <c r="AC1595" s="130"/>
      <c r="AD1595" s="130"/>
      <c r="AE1595" s="130">
        <f t="shared" si="347"/>
        <v>5</v>
      </c>
      <c r="AF1595" s="131">
        <f t="shared" si="350"/>
        <v>494.85599999999999</v>
      </c>
      <c r="AG1595" s="130"/>
      <c r="AH1595" s="130"/>
      <c r="AI1595" s="130"/>
      <c r="AJ1595" s="130"/>
      <c r="AK1595" s="131">
        <f t="shared" si="353"/>
        <v>1979.424</v>
      </c>
      <c r="AL1595" s="335">
        <f t="shared" si="354"/>
        <v>0</v>
      </c>
      <c r="AM1595" s="130">
        <f t="shared" si="355"/>
        <v>20</v>
      </c>
      <c r="AN1595" s="336">
        <f t="shared" si="342"/>
        <v>0</v>
      </c>
    </row>
    <row r="1596" spans="1:42" s="108" customFormat="1" ht="66" x14ac:dyDescent="0.25">
      <c r="A1596" s="9"/>
      <c r="B1596" s="34" t="s">
        <v>308</v>
      </c>
      <c r="C1596" s="1024"/>
      <c r="D1596" s="869">
        <v>30</v>
      </c>
      <c r="E1596" s="1027" t="s">
        <v>1721</v>
      </c>
      <c r="F1596" s="273" t="s">
        <v>3446</v>
      </c>
      <c r="G1596" s="1040" t="s">
        <v>3463</v>
      </c>
      <c r="H1596" s="273" t="s">
        <v>3462</v>
      </c>
      <c r="I1596" s="722">
        <f t="shared" si="351"/>
        <v>83.937600000000003</v>
      </c>
      <c r="J1596" s="756">
        <v>2518.1280000000002</v>
      </c>
      <c r="K1596" s="131">
        <f t="shared" si="341"/>
        <v>2518.1280000000002</v>
      </c>
      <c r="L1596" s="335">
        <f t="shared" si="352"/>
        <v>0</v>
      </c>
      <c r="M1596" s="335"/>
      <c r="N1596" s="335"/>
      <c r="O1596" s="335"/>
      <c r="P1596" s="335"/>
      <c r="Q1596" s="110">
        <v>8</v>
      </c>
      <c r="R1596" s="131">
        <f t="shared" si="343"/>
        <v>629.53200000000004</v>
      </c>
      <c r="S1596" s="130"/>
      <c r="T1596" s="130"/>
      <c r="U1596" s="110">
        <v>8</v>
      </c>
      <c r="V1596" s="131">
        <f t="shared" si="344"/>
        <v>629.53200000000004</v>
      </c>
      <c r="W1596" s="130"/>
      <c r="X1596" s="130"/>
      <c r="Y1596" s="130"/>
      <c r="Z1596" s="130"/>
      <c r="AA1596" s="110">
        <v>7</v>
      </c>
      <c r="AB1596" s="131">
        <f t="shared" si="349"/>
        <v>629.53200000000004</v>
      </c>
      <c r="AC1596" s="130"/>
      <c r="AD1596" s="130"/>
      <c r="AE1596" s="110">
        <v>7</v>
      </c>
      <c r="AF1596" s="131">
        <f t="shared" si="350"/>
        <v>629.53200000000004</v>
      </c>
      <c r="AG1596" s="130"/>
      <c r="AH1596" s="130"/>
      <c r="AI1596" s="130"/>
      <c r="AJ1596" s="130"/>
      <c r="AK1596" s="131">
        <f t="shared" si="353"/>
        <v>2518.1280000000002</v>
      </c>
      <c r="AL1596" s="335">
        <f t="shared" si="354"/>
        <v>0</v>
      </c>
      <c r="AM1596" s="130">
        <f t="shared" si="355"/>
        <v>30</v>
      </c>
      <c r="AN1596" s="336">
        <f t="shared" si="342"/>
        <v>0</v>
      </c>
    </row>
    <row r="1597" spans="1:42" s="108" customFormat="1" ht="66" x14ac:dyDescent="0.25">
      <c r="A1597" s="9"/>
      <c r="B1597" s="481" t="s">
        <v>1171</v>
      </c>
      <c r="C1597" s="1024"/>
      <c r="D1597" s="869">
        <f>3</f>
        <v>3</v>
      </c>
      <c r="E1597" s="1027" t="s">
        <v>1721</v>
      </c>
      <c r="F1597" s="273" t="s">
        <v>3446</v>
      </c>
      <c r="G1597" s="1040" t="s">
        <v>3463</v>
      </c>
      <c r="H1597" s="273" t="s">
        <v>3462</v>
      </c>
      <c r="I1597" s="722">
        <f t="shared" si="351"/>
        <v>275.62666666666667</v>
      </c>
      <c r="J1597" s="756">
        <f>826.88</f>
        <v>826.88</v>
      </c>
      <c r="K1597" s="131">
        <f t="shared" si="341"/>
        <v>826.88</v>
      </c>
      <c r="L1597" s="335">
        <f t="shared" si="352"/>
        <v>0</v>
      </c>
      <c r="M1597" s="335"/>
      <c r="N1597" s="335"/>
      <c r="O1597" s="335"/>
      <c r="P1597" s="335"/>
      <c r="Q1597" s="130">
        <v>1</v>
      </c>
      <c r="R1597" s="131">
        <v>275.63</v>
      </c>
      <c r="S1597" s="130"/>
      <c r="T1597" s="130"/>
      <c r="U1597" s="130">
        <v>1</v>
      </c>
      <c r="V1597" s="131">
        <v>275.63</v>
      </c>
      <c r="W1597" s="130"/>
      <c r="X1597" s="130"/>
      <c r="Y1597" s="130"/>
      <c r="Z1597" s="130"/>
      <c r="AA1597" s="130">
        <v>1</v>
      </c>
      <c r="AB1597" s="131">
        <v>275.63</v>
      </c>
      <c r="AC1597" s="130"/>
      <c r="AD1597" s="130"/>
      <c r="AE1597" s="130">
        <v>0</v>
      </c>
      <c r="AF1597" s="131">
        <v>0</v>
      </c>
      <c r="AG1597" s="130"/>
      <c r="AH1597" s="130"/>
      <c r="AI1597" s="130"/>
      <c r="AJ1597" s="130"/>
      <c r="AK1597" s="131">
        <f t="shared" si="353"/>
        <v>826.89</v>
      </c>
      <c r="AL1597" s="335">
        <f t="shared" si="354"/>
        <v>-9.9999999999909051E-3</v>
      </c>
      <c r="AM1597" s="130">
        <f t="shared" si="355"/>
        <v>3</v>
      </c>
      <c r="AN1597" s="336">
        <f t="shared" si="342"/>
        <v>0</v>
      </c>
    </row>
    <row r="1598" spans="1:42" s="108" customFormat="1" ht="66" x14ac:dyDescent="0.25">
      <c r="A1598" s="9"/>
      <c r="B1598" s="46" t="s">
        <v>1431</v>
      </c>
      <c r="C1598" s="1024"/>
      <c r="D1598" s="869">
        <v>18</v>
      </c>
      <c r="E1598" s="1027" t="s">
        <v>1721</v>
      </c>
      <c r="F1598" s="273" t="s">
        <v>3446</v>
      </c>
      <c r="G1598" s="1040" t="s">
        <v>3463</v>
      </c>
      <c r="H1598" s="273" t="s">
        <v>3462</v>
      </c>
      <c r="I1598" s="722">
        <f t="shared" si="351"/>
        <v>604</v>
      </c>
      <c r="J1598" s="756">
        <v>10872</v>
      </c>
      <c r="K1598" s="131">
        <f t="shared" si="341"/>
        <v>10872</v>
      </c>
      <c r="L1598" s="335">
        <f t="shared" si="352"/>
        <v>0</v>
      </c>
      <c r="M1598" s="335"/>
      <c r="N1598" s="335"/>
      <c r="O1598" s="335"/>
      <c r="P1598" s="335"/>
      <c r="Q1598" s="110">
        <v>5</v>
      </c>
      <c r="R1598" s="131">
        <f t="shared" si="343"/>
        <v>2718</v>
      </c>
      <c r="S1598" s="130"/>
      <c r="T1598" s="130"/>
      <c r="U1598" s="110">
        <v>5</v>
      </c>
      <c r="V1598" s="131">
        <f t="shared" si="344"/>
        <v>2718</v>
      </c>
      <c r="W1598" s="130"/>
      <c r="X1598" s="130"/>
      <c r="Y1598" s="130"/>
      <c r="Z1598" s="130"/>
      <c r="AA1598" s="110">
        <v>4</v>
      </c>
      <c r="AB1598" s="131">
        <f t="shared" si="349"/>
        <v>2718</v>
      </c>
      <c r="AC1598" s="130"/>
      <c r="AD1598" s="130"/>
      <c r="AE1598" s="110">
        <v>4</v>
      </c>
      <c r="AF1598" s="131">
        <f t="shared" si="350"/>
        <v>2718</v>
      </c>
      <c r="AG1598" s="130"/>
      <c r="AH1598" s="130"/>
      <c r="AI1598" s="130"/>
      <c r="AJ1598" s="130"/>
      <c r="AK1598" s="131">
        <f t="shared" si="353"/>
        <v>10872</v>
      </c>
      <c r="AL1598" s="335">
        <f t="shared" si="354"/>
        <v>0</v>
      </c>
      <c r="AM1598" s="130">
        <f t="shared" si="355"/>
        <v>18</v>
      </c>
      <c r="AN1598" s="336">
        <f t="shared" si="342"/>
        <v>0</v>
      </c>
    </row>
    <row r="1599" spans="1:42" s="108" customFormat="1" ht="66" x14ac:dyDescent="0.25">
      <c r="A1599" s="9"/>
      <c r="B1599" s="46" t="s">
        <v>1432</v>
      </c>
      <c r="C1599" s="1024"/>
      <c r="D1599" s="869">
        <v>15</v>
      </c>
      <c r="E1599" s="1027" t="s">
        <v>1721</v>
      </c>
      <c r="F1599" s="273" t="s">
        <v>3446</v>
      </c>
      <c r="G1599" s="1040" t="s">
        <v>3463</v>
      </c>
      <c r="H1599" s="273" t="s">
        <v>3462</v>
      </c>
      <c r="I1599" s="722">
        <f t="shared" si="351"/>
        <v>431</v>
      </c>
      <c r="J1599" s="756">
        <v>6465</v>
      </c>
      <c r="K1599" s="131">
        <f t="shared" si="341"/>
        <v>6465</v>
      </c>
      <c r="L1599" s="335">
        <f t="shared" si="352"/>
        <v>0</v>
      </c>
      <c r="M1599" s="335"/>
      <c r="N1599" s="335"/>
      <c r="O1599" s="335"/>
      <c r="P1599" s="335"/>
      <c r="Q1599" s="110">
        <v>4</v>
      </c>
      <c r="R1599" s="131">
        <f t="shared" si="343"/>
        <v>1616.25</v>
      </c>
      <c r="S1599" s="130"/>
      <c r="T1599" s="130"/>
      <c r="U1599" s="110">
        <v>4</v>
      </c>
      <c r="V1599" s="131">
        <f t="shared" si="344"/>
        <v>1616.25</v>
      </c>
      <c r="W1599" s="130"/>
      <c r="X1599" s="130"/>
      <c r="Y1599" s="130"/>
      <c r="Z1599" s="130"/>
      <c r="AA1599" s="110">
        <v>4</v>
      </c>
      <c r="AB1599" s="131">
        <f t="shared" si="349"/>
        <v>1616.25</v>
      </c>
      <c r="AC1599" s="130"/>
      <c r="AD1599" s="130"/>
      <c r="AE1599" s="110">
        <v>3</v>
      </c>
      <c r="AF1599" s="131">
        <f t="shared" si="350"/>
        <v>1616.25</v>
      </c>
      <c r="AG1599" s="130"/>
      <c r="AH1599" s="130"/>
      <c r="AI1599" s="130"/>
      <c r="AJ1599" s="130"/>
      <c r="AK1599" s="131">
        <f t="shared" si="353"/>
        <v>6465</v>
      </c>
      <c r="AL1599" s="335">
        <f t="shared" si="354"/>
        <v>0</v>
      </c>
      <c r="AM1599" s="130">
        <f t="shared" si="355"/>
        <v>15</v>
      </c>
      <c r="AN1599" s="336">
        <f t="shared" si="342"/>
        <v>0</v>
      </c>
    </row>
    <row r="1600" spans="1:42" s="108" customFormat="1" ht="66" x14ac:dyDescent="0.25">
      <c r="A1600" s="9"/>
      <c r="B1600" s="46" t="s">
        <v>1433</v>
      </c>
      <c r="C1600" s="1024"/>
      <c r="D1600" s="869">
        <v>19</v>
      </c>
      <c r="E1600" s="1027" t="s">
        <v>1721</v>
      </c>
      <c r="F1600" s="273" t="s">
        <v>3446</v>
      </c>
      <c r="G1600" s="1040" t="s">
        <v>3463</v>
      </c>
      <c r="H1600" s="273" t="s">
        <v>3462</v>
      </c>
      <c r="I1600" s="722">
        <f t="shared" si="351"/>
        <v>260</v>
      </c>
      <c r="J1600" s="756">
        <v>4940</v>
      </c>
      <c r="K1600" s="131">
        <f t="shared" si="341"/>
        <v>4940</v>
      </c>
      <c r="L1600" s="335">
        <f t="shared" si="352"/>
        <v>0</v>
      </c>
      <c r="M1600" s="335"/>
      <c r="N1600" s="335"/>
      <c r="O1600" s="335"/>
      <c r="P1600" s="335"/>
      <c r="Q1600" s="110">
        <v>5</v>
      </c>
      <c r="R1600" s="131">
        <f t="shared" si="343"/>
        <v>1235</v>
      </c>
      <c r="S1600" s="130"/>
      <c r="T1600" s="130"/>
      <c r="U1600" s="110">
        <v>5</v>
      </c>
      <c r="V1600" s="131">
        <f t="shared" si="344"/>
        <v>1235</v>
      </c>
      <c r="W1600" s="130"/>
      <c r="X1600" s="130"/>
      <c r="Y1600" s="130"/>
      <c r="Z1600" s="130"/>
      <c r="AA1600" s="110">
        <v>5</v>
      </c>
      <c r="AB1600" s="131">
        <f t="shared" si="349"/>
        <v>1235</v>
      </c>
      <c r="AC1600" s="130"/>
      <c r="AD1600" s="130"/>
      <c r="AE1600" s="110">
        <v>4</v>
      </c>
      <c r="AF1600" s="131">
        <f t="shared" si="350"/>
        <v>1235</v>
      </c>
      <c r="AG1600" s="130"/>
      <c r="AH1600" s="130"/>
      <c r="AI1600" s="130"/>
      <c r="AJ1600" s="130"/>
      <c r="AK1600" s="131">
        <f t="shared" si="353"/>
        <v>4940</v>
      </c>
      <c r="AL1600" s="335">
        <f t="shared" si="354"/>
        <v>0</v>
      </c>
      <c r="AM1600" s="130">
        <f t="shared" si="355"/>
        <v>19</v>
      </c>
      <c r="AN1600" s="336">
        <f t="shared" si="342"/>
        <v>0</v>
      </c>
    </row>
    <row r="1601" spans="1:40" s="108" customFormat="1" ht="66" x14ac:dyDescent="0.25">
      <c r="A1601" s="9"/>
      <c r="B1601" s="537" t="s">
        <v>1773</v>
      </c>
      <c r="C1601" s="1024"/>
      <c r="D1601" s="869">
        <v>1</v>
      </c>
      <c r="E1601" s="1027" t="s">
        <v>1721</v>
      </c>
      <c r="F1601" s="273" t="s">
        <v>3446</v>
      </c>
      <c r="G1601" s="1040" t="s">
        <v>3463</v>
      </c>
      <c r="H1601" s="273" t="s">
        <v>3462</v>
      </c>
      <c r="I1601" s="722">
        <f t="shared" si="351"/>
        <v>500</v>
      </c>
      <c r="J1601" s="756">
        <v>500</v>
      </c>
      <c r="K1601" s="131">
        <f t="shared" si="341"/>
        <v>500</v>
      </c>
      <c r="L1601" s="335">
        <f t="shared" si="352"/>
        <v>0</v>
      </c>
      <c r="M1601" s="335"/>
      <c r="N1601" s="335"/>
      <c r="O1601" s="335"/>
      <c r="P1601" s="335"/>
      <c r="Q1601" s="130">
        <v>1</v>
      </c>
      <c r="R1601" s="131">
        <v>500</v>
      </c>
      <c r="S1601" s="130"/>
      <c r="T1601" s="130"/>
      <c r="U1601" s="110">
        <v>0</v>
      </c>
      <c r="V1601" s="131">
        <v>0</v>
      </c>
      <c r="W1601" s="130"/>
      <c r="X1601" s="130"/>
      <c r="Y1601" s="130"/>
      <c r="Z1601" s="130"/>
      <c r="AA1601" s="110">
        <v>0</v>
      </c>
      <c r="AB1601" s="131">
        <v>0</v>
      </c>
      <c r="AC1601" s="130"/>
      <c r="AD1601" s="130"/>
      <c r="AE1601" s="110">
        <v>0</v>
      </c>
      <c r="AF1601" s="131">
        <v>0</v>
      </c>
      <c r="AG1601" s="130"/>
      <c r="AH1601" s="130"/>
      <c r="AI1601" s="130"/>
      <c r="AJ1601" s="130"/>
      <c r="AK1601" s="131">
        <f t="shared" si="353"/>
        <v>500</v>
      </c>
      <c r="AL1601" s="335">
        <f t="shared" si="354"/>
        <v>0</v>
      </c>
      <c r="AM1601" s="130">
        <f t="shared" si="355"/>
        <v>1</v>
      </c>
      <c r="AN1601" s="336">
        <f t="shared" si="342"/>
        <v>0</v>
      </c>
    </row>
    <row r="1602" spans="1:40" s="108" customFormat="1" ht="66" x14ac:dyDescent="0.25">
      <c r="A1602" s="40"/>
      <c r="B1602" s="43" t="s">
        <v>2157</v>
      </c>
      <c r="C1602" s="1028"/>
      <c r="D1602" s="869">
        <v>7500</v>
      </c>
      <c r="E1602" s="1027" t="s">
        <v>1721</v>
      </c>
      <c r="F1602" s="273" t="s">
        <v>3446</v>
      </c>
      <c r="G1602" s="1040" t="s">
        <v>3463</v>
      </c>
      <c r="H1602" s="273" t="s">
        <v>3462</v>
      </c>
      <c r="I1602" s="722">
        <f t="shared" si="351"/>
        <v>10.02</v>
      </c>
      <c r="J1602" s="756">
        <v>75150</v>
      </c>
      <c r="K1602" s="131">
        <f t="shared" si="341"/>
        <v>75150</v>
      </c>
      <c r="L1602" s="335">
        <f t="shared" si="352"/>
        <v>0</v>
      </c>
      <c r="M1602" s="335"/>
      <c r="N1602" s="335"/>
      <c r="O1602" s="335"/>
      <c r="P1602" s="335"/>
      <c r="Q1602" s="130">
        <f t="shared" si="345"/>
        <v>1875</v>
      </c>
      <c r="R1602" s="131">
        <f t="shared" si="343"/>
        <v>18787.5</v>
      </c>
      <c r="S1602" s="130"/>
      <c r="T1602" s="130"/>
      <c r="U1602" s="130">
        <f t="shared" si="346"/>
        <v>1875</v>
      </c>
      <c r="V1602" s="131">
        <f t="shared" si="344"/>
        <v>18787.5</v>
      </c>
      <c r="W1602" s="130"/>
      <c r="X1602" s="130"/>
      <c r="Y1602" s="130"/>
      <c r="Z1602" s="130"/>
      <c r="AA1602" s="130">
        <f t="shared" si="347"/>
        <v>1875</v>
      </c>
      <c r="AB1602" s="131">
        <f t="shared" si="349"/>
        <v>18787.5</v>
      </c>
      <c r="AC1602" s="130"/>
      <c r="AD1602" s="130"/>
      <c r="AE1602" s="130">
        <f t="shared" si="347"/>
        <v>1875</v>
      </c>
      <c r="AF1602" s="131">
        <f t="shared" si="350"/>
        <v>18787.5</v>
      </c>
      <c r="AG1602" s="130"/>
      <c r="AH1602" s="130"/>
      <c r="AI1602" s="130"/>
      <c r="AJ1602" s="130"/>
      <c r="AK1602" s="131">
        <f t="shared" si="353"/>
        <v>75150</v>
      </c>
      <c r="AL1602" s="335">
        <f t="shared" si="354"/>
        <v>0</v>
      </c>
      <c r="AM1602" s="130">
        <f t="shared" si="355"/>
        <v>7500</v>
      </c>
      <c r="AN1602" s="336">
        <f t="shared" si="342"/>
        <v>0</v>
      </c>
    </row>
    <row r="1603" spans="1:40" s="108" customFormat="1" ht="66" x14ac:dyDescent="0.25">
      <c r="A1603" s="40"/>
      <c r="B1603" s="43" t="s">
        <v>2158</v>
      </c>
      <c r="C1603" s="1028"/>
      <c r="D1603" s="869">
        <v>3000</v>
      </c>
      <c r="E1603" s="1027" t="s">
        <v>1721</v>
      </c>
      <c r="F1603" s="273" t="s">
        <v>3446</v>
      </c>
      <c r="G1603" s="1040" t="s">
        <v>3463</v>
      </c>
      <c r="H1603" s="273" t="s">
        <v>3462</v>
      </c>
      <c r="I1603" s="722">
        <f t="shared" si="351"/>
        <v>15</v>
      </c>
      <c r="J1603" s="756">
        <v>45000</v>
      </c>
      <c r="K1603" s="131">
        <f t="shared" si="341"/>
        <v>45000</v>
      </c>
      <c r="L1603" s="335">
        <f t="shared" si="352"/>
        <v>0</v>
      </c>
      <c r="M1603" s="335"/>
      <c r="N1603" s="335"/>
      <c r="O1603" s="335"/>
      <c r="P1603" s="335"/>
      <c r="Q1603" s="130">
        <f t="shared" si="345"/>
        <v>750</v>
      </c>
      <c r="R1603" s="131">
        <f t="shared" si="343"/>
        <v>11250</v>
      </c>
      <c r="S1603" s="130"/>
      <c r="T1603" s="130"/>
      <c r="U1603" s="130">
        <f t="shared" si="346"/>
        <v>750</v>
      </c>
      <c r="V1603" s="131">
        <f t="shared" si="344"/>
        <v>11250</v>
      </c>
      <c r="W1603" s="130"/>
      <c r="X1603" s="130"/>
      <c r="Y1603" s="130"/>
      <c r="Z1603" s="130"/>
      <c r="AA1603" s="130">
        <f t="shared" si="347"/>
        <v>750</v>
      </c>
      <c r="AB1603" s="131">
        <f t="shared" si="349"/>
        <v>11250</v>
      </c>
      <c r="AC1603" s="130"/>
      <c r="AD1603" s="130"/>
      <c r="AE1603" s="130">
        <f t="shared" si="347"/>
        <v>750</v>
      </c>
      <c r="AF1603" s="131">
        <f t="shared" si="350"/>
        <v>11250</v>
      </c>
      <c r="AG1603" s="130"/>
      <c r="AH1603" s="130"/>
      <c r="AI1603" s="130"/>
      <c r="AJ1603" s="130"/>
      <c r="AK1603" s="131">
        <f t="shared" si="353"/>
        <v>45000</v>
      </c>
      <c r="AL1603" s="335">
        <f t="shared" si="354"/>
        <v>0</v>
      </c>
      <c r="AM1603" s="130">
        <f t="shared" si="355"/>
        <v>3000</v>
      </c>
      <c r="AN1603" s="336">
        <f t="shared" si="342"/>
        <v>0</v>
      </c>
    </row>
    <row r="1604" spans="1:40" s="108" customFormat="1" ht="66" x14ac:dyDescent="0.25">
      <c r="A1604" s="40"/>
      <c r="B1604" s="43" t="s">
        <v>2159</v>
      </c>
      <c r="C1604" s="1028"/>
      <c r="D1604" s="869">
        <v>150</v>
      </c>
      <c r="E1604" s="1027" t="s">
        <v>1806</v>
      </c>
      <c r="F1604" s="273" t="s">
        <v>3446</v>
      </c>
      <c r="G1604" s="1040" t="s">
        <v>3463</v>
      </c>
      <c r="H1604" s="273" t="s">
        <v>3462</v>
      </c>
      <c r="I1604" s="722">
        <f t="shared" si="351"/>
        <v>16.29</v>
      </c>
      <c r="J1604" s="756">
        <v>2443.5</v>
      </c>
      <c r="K1604" s="131">
        <f t="shared" ref="K1604:K1667" si="356">+D1604*I1604</f>
        <v>2443.5</v>
      </c>
      <c r="L1604" s="335">
        <f t="shared" si="352"/>
        <v>0</v>
      </c>
      <c r="M1604" s="335"/>
      <c r="N1604" s="335"/>
      <c r="O1604" s="335"/>
      <c r="P1604" s="335"/>
      <c r="Q1604" s="110">
        <v>50</v>
      </c>
      <c r="R1604" s="131">
        <f t="shared" si="343"/>
        <v>610.875</v>
      </c>
      <c r="S1604" s="130"/>
      <c r="T1604" s="130"/>
      <c r="U1604" s="110">
        <v>50</v>
      </c>
      <c r="V1604" s="131">
        <f t="shared" si="344"/>
        <v>610.875</v>
      </c>
      <c r="W1604" s="130"/>
      <c r="X1604" s="130"/>
      <c r="Y1604" s="130"/>
      <c r="Z1604" s="130"/>
      <c r="AA1604" s="110">
        <v>50</v>
      </c>
      <c r="AB1604" s="131">
        <f t="shared" si="349"/>
        <v>610.875</v>
      </c>
      <c r="AC1604" s="130"/>
      <c r="AD1604" s="130"/>
      <c r="AE1604" s="110">
        <v>0</v>
      </c>
      <c r="AF1604" s="131">
        <f t="shared" si="350"/>
        <v>610.875</v>
      </c>
      <c r="AG1604" s="130"/>
      <c r="AH1604" s="130"/>
      <c r="AI1604" s="130"/>
      <c r="AJ1604" s="130"/>
      <c r="AK1604" s="131">
        <f t="shared" si="353"/>
        <v>2443.5</v>
      </c>
      <c r="AL1604" s="335">
        <f t="shared" si="354"/>
        <v>0</v>
      </c>
      <c r="AM1604" s="130">
        <f t="shared" si="355"/>
        <v>150</v>
      </c>
      <c r="AN1604" s="336">
        <f t="shared" ref="AN1604:AN1667" si="357">+D1604-AM1604</f>
        <v>0</v>
      </c>
    </row>
    <row r="1605" spans="1:40" s="108" customFormat="1" ht="66" x14ac:dyDescent="0.25">
      <c r="A1605" s="40"/>
      <c r="B1605" s="43" t="s">
        <v>2160</v>
      </c>
      <c r="C1605" s="1028"/>
      <c r="D1605" s="869">
        <v>15000</v>
      </c>
      <c r="E1605" s="1027" t="s">
        <v>1721</v>
      </c>
      <c r="F1605" s="273" t="s">
        <v>3446</v>
      </c>
      <c r="G1605" s="1040" t="s">
        <v>3463</v>
      </c>
      <c r="H1605" s="273" t="s">
        <v>3462</v>
      </c>
      <c r="I1605" s="722">
        <f t="shared" si="351"/>
        <v>4.5</v>
      </c>
      <c r="J1605" s="756">
        <v>67500</v>
      </c>
      <c r="K1605" s="131">
        <f t="shared" si="356"/>
        <v>67500</v>
      </c>
      <c r="L1605" s="335">
        <f t="shared" si="352"/>
        <v>0</v>
      </c>
      <c r="M1605" s="335"/>
      <c r="N1605" s="335"/>
      <c r="O1605" s="335"/>
      <c r="P1605" s="335"/>
      <c r="Q1605" s="130">
        <f t="shared" si="345"/>
        <v>3750</v>
      </c>
      <c r="R1605" s="131">
        <f t="shared" si="343"/>
        <v>16875</v>
      </c>
      <c r="S1605" s="130"/>
      <c r="T1605" s="130"/>
      <c r="U1605" s="130">
        <f t="shared" si="346"/>
        <v>3750</v>
      </c>
      <c r="V1605" s="131">
        <f t="shared" si="344"/>
        <v>16875</v>
      </c>
      <c r="W1605" s="130"/>
      <c r="X1605" s="130"/>
      <c r="Y1605" s="130"/>
      <c r="Z1605" s="130"/>
      <c r="AA1605" s="130">
        <f t="shared" si="347"/>
        <v>3750</v>
      </c>
      <c r="AB1605" s="131">
        <f t="shared" si="349"/>
        <v>16875</v>
      </c>
      <c r="AC1605" s="130"/>
      <c r="AD1605" s="130"/>
      <c r="AE1605" s="130">
        <f t="shared" si="347"/>
        <v>3750</v>
      </c>
      <c r="AF1605" s="131">
        <f t="shared" si="350"/>
        <v>16875</v>
      </c>
      <c r="AG1605" s="130"/>
      <c r="AH1605" s="130"/>
      <c r="AI1605" s="130"/>
      <c r="AJ1605" s="130"/>
      <c r="AK1605" s="131">
        <f t="shared" si="353"/>
        <v>67500</v>
      </c>
      <c r="AL1605" s="335">
        <f t="shared" si="354"/>
        <v>0</v>
      </c>
      <c r="AM1605" s="130">
        <f t="shared" si="355"/>
        <v>15000</v>
      </c>
      <c r="AN1605" s="336">
        <f t="shared" si="357"/>
        <v>0</v>
      </c>
    </row>
    <row r="1606" spans="1:40" s="108" customFormat="1" ht="66" x14ac:dyDescent="0.25">
      <c r="A1606" s="40"/>
      <c r="B1606" s="43" t="s">
        <v>2161</v>
      </c>
      <c r="C1606" s="1028"/>
      <c r="D1606" s="869">
        <v>7500</v>
      </c>
      <c r="E1606" s="1027" t="s">
        <v>1721</v>
      </c>
      <c r="F1606" s="273" t="s">
        <v>3446</v>
      </c>
      <c r="G1606" s="1040" t="s">
        <v>3463</v>
      </c>
      <c r="H1606" s="273" t="s">
        <v>3462</v>
      </c>
      <c r="I1606" s="722">
        <f t="shared" si="351"/>
        <v>29</v>
      </c>
      <c r="J1606" s="756">
        <v>217500</v>
      </c>
      <c r="K1606" s="131">
        <f t="shared" si="356"/>
        <v>217500</v>
      </c>
      <c r="L1606" s="335">
        <f t="shared" si="352"/>
        <v>0</v>
      </c>
      <c r="M1606" s="335"/>
      <c r="N1606" s="335"/>
      <c r="O1606" s="335"/>
      <c r="P1606" s="335"/>
      <c r="Q1606" s="130">
        <f t="shared" si="345"/>
        <v>1875</v>
      </c>
      <c r="R1606" s="131">
        <f t="shared" si="343"/>
        <v>54375</v>
      </c>
      <c r="S1606" s="130"/>
      <c r="T1606" s="130"/>
      <c r="U1606" s="130">
        <f t="shared" si="346"/>
        <v>1875</v>
      </c>
      <c r="V1606" s="131">
        <f t="shared" si="344"/>
        <v>54375</v>
      </c>
      <c r="W1606" s="130"/>
      <c r="X1606" s="130"/>
      <c r="Y1606" s="130"/>
      <c r="Z1606" s="130"/>
      <c r="AA1606" s="130">
        <f t="shared" si="347"/>
        <v>1875</v>
      </c>
      <c r="AB1606" s="131">
        <f t="shared" si="349"/>
        <v>54375</v>
      </c>
      <c r="AC1606" s="130"/>
      <c r="AD1606" s="130"/>
      <c r="AE1606" s="130">
        <f t="shared" si="347"/>
        <v>1875</v>
      </c>
      <c r="AF1606" s="131">
        <f t="shared" si="350"/>
        <v>54375</v>
      </c>
      <c r="AG1606" s="130"/>
      <c r="AH1606" s="130"/>
      <c r="AI1606" s="130"/>
      <c r="AJ1606" s="130"/>
      <c r="AK1606" s="131">
        <f t="shared" si="353"/>
        <v>217500</v>
      </c>
      <c r="AL1606" s="335">
        <f t="shared" si="354"/>
        <v>0</v>
      </c>
      <c r="AM1606" s="130">
        <f t="shared" si="355"/>
        <v>7500</v>
      </c>
      <c r="AN1606" s="336">
        <f t="shared" si="357"/>
        <v>0</v>
      </c>
    </row>
    <row r="1607" spans="1:40" s="108" customFormat="1" ht="66" x14ac:dyDescent="0.25">
      <c r="A1607" s="9"/>
      <c r="B1607" s="538" t="s">
        <v>300</v>
      </c>
      <c r="C1607" s="1024"/>
      <c r="D1607" s="869">
        <v>3</v>
      </c>
      <c r="E1607" s="1027" t="s">
        <v>1721</v>
      </c>
      <c r="F1607" s="273" t="s">
        <v>3446</v>
      </c>
      <c r="G1607" s="1040" t="s">
        <v>3463</v>
      </c>
      <c r="H1607" s="273" t="s">
        <v>3462</v>
      </c>
      <c r="I1607" s="722">
        <f t="shared" si="351"/>
        <v>207.9</v>
      </c>
      <c r="J1607" s="756">
        <v>623.70000000000005</v>
      </c>
      <c r="K1607" s="131">
        <f t="shared" si="356"/>
        <v>623.70000000000005</v>
      </c>
      <c r="L1607" s="335">
        <f t="shared" si="352"/>
        <v>0</v>
      </c>
      <c r="M1607" s="335"/>
      <c r="N1607" s="335"/>
      <c r="O1607" s="335"/>
      <c r="P1607" s="335"/>
      <c r="Q1607" s="130">
        <v>1</v>
      </c>
      <c r="R1607" s="131">
        <v>207.9</v>
      </c>
      <c r="S1607" s="130"/>
      <c r="T1607" s="130"/>
      <c r="U1607" s="130">
        <v>1</v>
      </c>
      <c r="V1607" s="131">
        <v>207.9</v>
      </c>
      <c r="W1607" s="130"/>
      <c r="X1607" s="130"/>
      <c r="Y1607" s="130"/>
      <c r="Z1607" s="130"/>
      <c r="AA1607" s="130">
        <v>1</v>
      </c>
      <c r="AB1607" s="131">
        <v>207.9</v>
      </c>
      <c r="AC1607" s="130"/>
      <c r="AD1607" s="130"/>
      <c r="AE1607" s="130">
        <v>0</v>
      </c>
      <c r="AF1607" s="131">
        <v>0</v>
      </c>
      <c r="AG1607" s="130"/>
      <c r="AH1607" s="130"/>
      <c r="AI1607" s="130"/>
      <c r="AJ1607" s="130"/>
      <c r="AK1607" s="131">
        <f t="shared" si="353"/>
        <v>623.70000000000005</v>
      </c>
      <c r="AL1607" s="335">
        <f t="shared" si="354"/>
        <v>0</v>
      </c>
      <c r="AM1607" s="130">
        <f t="shared" si="355"/>
        <v>3</v>
      </c>
      <c r="AN1607" s="336">
        <f t="shared" si="357"/>
        <v>0</v>
      </c>
    </row>
    <row r="1608" spans="1:40" s="108" customFormat="1" ht="66" x14ac:dyDescent="0.25">
      <c r="A1608" s="9"/>
      <c r="B1608" s="538" t="s">
        <v>2251</v>
      </c>
      <c r="C1608" s="1024"/>
      <c r="D1608" s="869">
        <v>1</v>
      </c>
      <c r="E1608" s="1027" t="s">
        <v>1721</v>
      </c>
      <c r="F1608" s="273" t="s">
        <v>3446</v>
      </c>
      <c r="G1608" s="1040" t="s">
        <v>3463</v>
      </c>
      <c r="H1608" s="273" t="s">
        <v>3462</v>
      </c>
      <c r="I1608" s="722">
        <f t="shared" si="351"/>
        <v>362.29248000000001</v>
      </c>
      <c r="J1608" s="756">
        <v>362.29248000000001</v>
      </c>
      <c r="K1608" s="131">
        <f t="shared" si="356"/>
        <v>362.29248000000001</v>
      </c>
      <c r="L1608" s="335">
        <f t="shared" si="352"/>
        <v>0</v>
      </c>
      <c r="M1608" s="335"/>
      <c r="N1608" s="335"/>
      <c r="O1608" s="335"/>
      <c r="P1608" s="335"/>
      <c r="Q1608" s="130">
        <v>1</v>
      </c>
      <c r="R1608" s="131">
        <v>362.29</v>
      </c>
      <c r="S1608" s="130"/>
      <c r="T1608" s="130"/>
      <c r="U1608" s="110">
        <v>0</v>
      </c>
      <c r="V1608" s="131">
        <v>0</v>
      </c>
      <c r="W1608" s="130"/>
      <c r="X1608" s="130"/>
      <c r="Y1608" s="130"/>
      <c r="Z1608" s="130"/>
      <c r="AA1608" s="110">
        <v>0</v>
      </c>
      <c r="AB1608" s="131">
        <v>0</v>
      </c>
      <c r="AC1608" s="130"/>
      <c r="AD1608" s="130"/>
      <c r="AE1608" s="110">
        <v>0</v>
      </c>
      <c r="AF1608" s="131">
        <v>0</v>
      </c>
      <c r="AG1608" s="130"/>
      <c r="AH1608" s="130"/>
      <c r="AI1608" s="130"/>
      <c r="AJ1608" s="130"/>
      <c r="AK1608" s="131">
        <f t="shared" si="353"/>
        <v>362.29</v>
      </c>
      <c r="AL1608" s="335">
        <f t="shared" si="354"/>
        <v>2.479999999991378E-3</v>
      </c>
      <c r="AM1608" s="130">
        <f t="shared" si="355"/>
        <v>1</v>
      </c>
      <c r="AN1608" s="336">
        <f t="shared" si="357"/>
        <v>0</v>
      </c>
    </row>
    <row r="1609" spans="1:40" s="108" customFormat="1" ht="66" x14ac:dyDescent="0.25">
      <c r="A1609" s="9"/>
      <c r="B1609" s="538" t="s">
        <v>301</v>
      </c>
      <c r="C1609" s="1024"/>
      <c r="D1609" s="869">
        <v>3</v>
      </c>
      <c r="E1609" s="1027" t="s">
        <v>1721</v>
      </c>
      <c r="F1609" s="273" t="s">
        <v>3446</v>
      </c>
      <c r="G1609" s="1040" t="s">
        <v>3463</v>
      </c>
      <c r="H1609" s="273" t="s">
        <v>3462</v>
      </c>
      <c r="I1609" s="722">
        <f t="shared" si="351"/>
        <v>279.18</v>
      </c>
      <c r="J1609" s="756">
        <v>837.54</v>
      </c>
      <c r="K1609" s="131">
        <f t="shared" si="356"/>
        <v>837.54</v>
      </c>
      <c r="L1609" s="335">
        <f t="shared" si="352"/>
        <v>0</v>
      </c>
      <c r="M1609" s="335"/>
      <c r="N1609" s="335"/>
      <c r="O1609" s="335"/>
      <c r="P1609" s="335"/>
      <c r="Q1609" s="130">
        <v>1</v>
      </c>
      <c r="R1609" s="131">
        <v>279.18</v>
      </c>
      <c r="S1609" s="130"/>
      <c r="T1609" s="130"/>
      <c r="U1609" s="130">
        <v>1</v>
      </c>
      <c r="V1609" s="131">
        <v>279.18</v>
      </c>
      <c r="W1609" s="130"/>
      <c r="X1609" s="130"/>
      <c r="Y1609" s="130"/>
      <c r="Z1609" s="130"/>
      <c r="AA1609" s="130">
        <v>1</v>
      </c>
      <c r="AB1609" s="131">
        <v>279.18</v>
      </c>
      <c r="AC1609" s="130"/>
      <c r="AD1609" s="130"/>
      <c r="AE1609" s="130">
        <v>0</v>
      </c>
      <c r="AF1609" s="131">
        <v>0</v>
      </c>
      <c r="AG1609" s="130"/>
      <c r="AH1609" s="130"/>
      <c r="AI1609" s="130"/>
      <c r="AJ1609" s="130"/>
      <c r="AK1609" s="131">
        <f t="shared" si="353"/>
        <v>837.54</v>
      </c>
      <c r="AL1609" s="335">
        <f t="shared" si="354"/>
        <v>0</v>
      </c>
      <c r="AM1609" s="130">
        <f t="shared" si="355"/>
        <v>3</v>
      </c>
      <c r="AN1609" s="336">
        <f t="shared" si="357"/>
        <v>0</v>
      </c>
    </row>
    <row r="1610" spans="1:40" s="108" customFormat="1" ht="66" x14ac:dyDescent="0.25">
      <c r="A1610" s="9"/>
      <c r="B1610" s="538" t="s">
        <v>302</v>
      </c>
      <c r="C1610" s="1024"/>
      <c r="D1610" s="869">
        <v>1</v>
      </c>
      <c r="E1610" s="1027" t="s">
        <v>1721</v>
      </c>
      <c r="F1610" s="273" t="s">
        <v>3446</v>
      </c>
      <c r="G1610" s="1040" t="s">
        <v>3463</v>
      </c>
      <c r="H1610" s="273" t="s">
        <v>3462</v>
      </c>
      <c r="I1610" s="722">
        <f t="shared" si="351"/>
        <v>154.44</v>
      </c>
      <c r="J1610" s="756">
        <v>154.44</v>
      </c>
      <c r="K1610" s="131">
        <f t="shared" si="356"/>
        <v>154.44</v>
      </c>
      <c r="L1610" s="335">
        <f t="shared" si="352"/>
        <v>0</v>
      </c>
      <c r="M1610" s="335"/>
      <c r="N1610" s="335"/>
      <c r="O1610" s="335"/>
      <c r="P1610" s="335"/>
      <c r="Q1610" s="130">
        <v>1</v>
      </c>
      <c r="R1610" s="131">
        <v>154.44</v>
      </c>
      <c r="S1610" s="130"/>
      <c r="T1610" s="130"/>
      <c r="U1610" s="110">
        <v>0</v>
      </c>
      <c r="V1610" s="131">
        <v>0</v>
      </c>
      <c r="W1610" s="130"/>
      <c r="X1610" s="130"/>
      <c r="Y1610" s="130"/>
      <c r="Z1610" s="130"/>
      <c r="AA1610" s="110">
        <v>0</v>
      </c>
      <c r="AB1610" s="131">
        <v>0</v>
      </c>
      <c r="AC1610" s="130"/>
      <c r="AD1610" s="130"/>
      <c r="AE1610" s="110">
        <v>0</v>
      </c>
      <c r="AF1610" s="131">
        <v>0</v>
      </c>
      <c r="AG1610" s="130"/>
      <c r="AH1610" s="130"/>
      <c r="AI1610" s="130"/>
      <c r="AJ1610" s="130"/>
      <c r="AK1610" s="131">
        <f t="shared" si="353"/>
        <v>154.44</v>
      </c>
      <c r="AL1610" s="335">
        <f t="shared" si="354"/>
        <v>0</v>
      </c>
      <c r="AM1610" s="130">
        <f t="shared" si="355"/>
        <v>1</v>
      </c>
      <c r="AN1610" s="336">
        <f t="shared" si="357"/>
        <v>0</v>
      </c>
    </row>
    <row r="1611" spans="1:40" s="108" customFormat="1" ht="66" x14ac:dyDescent="0.25">
      <c r="A1611" s="9"/>
      <c r="B1611" s="538" t="s">
        <v>2252</v>
      </c>
      <c r="C1611" s="1024"/>
      <c r="D1611" s="869">
        <v>4</v>
      </c>
      <c r="E1611" s="1027" t="s">
        <v>1721</v>
      </c>
      <c r="F1611" s="273" t="s">
        <v>3446</v>
      </c>
      <c r="G1611" s="1040" t="s">
        <v>3463</v>
      </c>
      <c r="H1611" s="273" t="s">
        <v>3462</v>
      </c>
      <c r="I1611" s="722">
        <f t="shared" si="351"/>
        <v>172.26</v>
      </c>
      <c r="J1611" s="756">
        <v>689.04</v>
      </c>
      <c r="K1611" s="131">
        <f t="shared" si="356"/>
        <v>689.04</v>
      </c>
      <c r="L1611" s="335">
        <f t="shared" si="352"/>
        <v>0</v>
      </c>
      <c r="M1611" s="335"/>
      <c r="N1611" s="335"/>
      <c r="O1611" s="335"/>
      <c r="P1611" s="335"/>
      <c r="Q1611" s="130">
        <v>2</v>
      </c>
      <c r="R1611" s="131">
        <f>172.26*2</f>
        <v>344.52</v>
      </c>
      <c r="S1611" s="130"/>
      <c r="T1611" s="130"/>
      <c r="U1611" s="130">
        <f t="shared" si="346"/>
        <v>1</v>
      </c>
      <c r="V1611" s="131">
        <f t="shared" si="344"/>
        <v>172.26</v>
      </c>
      <c r="W1611" s="130"/>
      <c r="X1611" s="130"/>
      <c r="Y1611" s="130"/>
      <c r="Z1611" s="130"/>
      <c r="AA1611" s="130">
        <f t="shared" si="347"/>
        <v>1</v>
      </c>
      <c r="AB1611" s="131">
        <f t="shared" si="349"/>
        <v>172.26</v>
      </c>
      <c r="AC1611" s="130"/>
      <c r="AD1611" s="130"/>
      <c r="AE1611" s="130">
        <v>0</v>
      </c>
      <c r="AF1611" s="131">
        <v>0</v>
      </c>
      <c r="AG1611" s="130"/>
      <c r="AH1611" s="130"/>
      <c r="AI1611" s="130"/>
      <c r="AJ1611" s="130"/>
      <c r="AK1611" s="131">
        <f t="shared" si="353"/>
        <v>689.04</v>
      </c>
      <c r="AL1611" s="335">
        <f t="shared" si="354"/>
        <v>0</v>
      </c>
      <c r="AM1611" s="130">
        <f t="shared" si="355"/>
        <v>4</v>
      </c>
      <c r="AN1611" s="336">
        <f t="shared" si="357"/>
        <v>0</v>
      </c>
    </row>
    <row r="1612" spans="1:40" s="108" customFormat="1" ht="66" x14ac:dyDescent="0.25">
      <c r="A1612" s="9"/>
      <c r="B1612" s="538" t="s">
        <v>2253</v>
      </c>
      <c r="C1612" s="1024"/>
      <c r="D1612" s="869">
        <v>4</v>
      </c>
      <c r="E1612" s="1027" t="s">
        <v>1721</v>
      </c>
      <c r="F1612" s="273" t="s">
        <v>3446</v>
      </c>
      <c r="G1612" s="1040" t="s">
        <v>3463</v>
      </c>
      <c r="H1612" s="273" t="s">
        <v>3462</v>
      </c>
      <c r="I1612" s="722">
        <f t="shared" si="351"/>
        <v>73.656000000000006</v>
      </c>
      <c r="J1612" s="756">
        <v>294.62400000000002</v>
      </c>
      <c r="K1612" s="131">
        <f t="shared" si="356"/>
        <v>294.62400000000002</v>
      </c>
      <c r="L1612" s="335">
        <f t="shared" si="352"/>
        <v>0</v>
      </c>
      <c r="M1612" s="335"/>
      <c r="N1612" s="335"/>
      <c r="O1612" s="335"/>
      <c r="P1612" s="335"/>
      <c r="Q1612" s="130">
        <f t="shared" si="345"/>
        <v>1</v>
      </c>
      <c r="R1612" s="131">
        <f t="shared" si="343"/>
        <v>73.656000000000006</v>
      </c>
      <c r="S1612" s="130"/>
      <c r="T1612" s="130"/>
      <c r="U1612" s="130">
        <f t="shared" si="346"/>
        <v>1</v>
      </c>
      <c r="V1612" s="131">
        <f t="shared" si="344"/>
        <v>73.656000000000006</v>
      </c>
      <c r="W1612" s="130"/>
      <c r="X1612" s="130"/>
      <c r="Y1612" s="130"/>
      <c r="Z1612" s="130"/>
      <c r="AA1612" s="130">
        <f t="shared" si="347"/>
        <v>1</v>
      </c>
      <c r="AB1612" s="131">
        <f t="shared" si="349"/>
        <v>73.656000000000006</v>
      </c>
      <c r="AC1612" s="130"/>
      <c r="AD1612" s="130"/>
      <c r="AE1612" s="130">
        <f t="shared" si="347"/>
        <v>1</v>
      </c>
      <c r="AF1612" s="131">
        <f t="shared" si="350"/>
        <v>73.656000000000006</v>
      </c>
      <c r="AG1612" s="130"/>
      <c r="AH1612" s="130"/>
      <c r="AI1612" s="130"/>
      <c r="AJ1612" s="130"/>
      <c r="AK1612" s="131">
        <f t="shared" si="353"/>
        <v>294.62400000000002</v>
      </c>
      <c r="AL1612" s="335">
        <f t="shared" si="354"/>
        <v>0</v>
      </c>
      <c r="AM1612" s="130">
        <f t="shared" si="355"/>
        <v>4</v>
      </c>
      <c r="AN1612" s="336">
        <f t="shared" si="357"/>
        <v>0</v>
      </c>
    </row>
    <row r="1613" spans="1:40" s="108" customFormat="1" ht="66" x14ac:dyDescent="0.25">
      <c r="A1613" s="9"/>
      <c r="B1613" s="538" t="s">
        <v>2254</v>
      </c>
      <c r="C1613" s="1024"/>
      <c r="D1613" s="869">
        <v>2</v>
      </c>
      <c r="E1613" s="1027" t="s">
        <v>1721</v>
      </c>
      <c r="F1613" s="273" t="s">
        <v>3446</v>
      </c>
      <c r="G1613" s="1040" t="s">
        <v>3463</v>
      </c>
      <c r="H1613" s="273" t="s">
        <v>3462</v>
      </c>
      <c r="I1613" s="722">
        <f t="shared" si="351"/>
        <v>21.384</v>
      </c>
      <c r="J1613" s="756">
        <v>42.768000000000001</v>
      </c>
      <c r="K1613" s="131">
        <f t="shared" si="356"/>
        <v>42.768000000000001</v>
      </c>
      <c r="L1613" s="335">
        <f t="shared" si="352"/>
        <v>0</v>
      </c>
      <c r="M1613" s="335"/>
      <c r="N1613" s="335"/>
      <c r="O1613" s="335"/>
      <c r="P1613" s="335"/>
      <c r="Q1613" s="130">
        <v>2</v>
      </c>
      <c r="R1613" s="131">
        <v>42.77</v>
      </c>
      <c r="S1613" s="130"/>
      <c r="T1613" s="130"/>
      <c r="U1613" s="130">
        <v>0</v>
      </c>
      <c r="V1613" s="131">
        <v>0</v>
      </c>
      <c r="W1613" s="130"/>
      <c r="X1613" s="130"/>
      <c r="Y1613" s="130"/>
      <c r="Z1613" s="130"/>
      <c r="AA1613" s="130">
        <v>0</v>
      </c>
      <c r="AB1613" s="131">
        <v>0</v>
      </c>
      <c r="AC1613" s="130"/>
      <c r="AD1613" s="130"/>
      <c r="AE1613" s="130">
        <v>0</v>
      </c>
      <c r="AF1613" s="131">
        <v>0</v>
      </c>
      <c r="AG1613" s="130"/>
      <c r="AH1613" s="130"/>
      <c r="AI1613" s="130"/>
      <c r="AJ1613" s="130"/>
      <c r="AK1613" s="131">
        <f t="shared" si="353"/>
        <v>42.77</v>
      </c>
      <c r="AL1613" s="335">
        <f t="shared" si="354"/>
        <v>-2.0000000000024443E-3</v>
      </c>
      <c r="AM1613" s="130">
        <f t="shared" si="355"/>
        <v>2</v>
      </c>
      <c r="AN1613" s="336">
        <f t="shared" si="357"/>
        <v>0</v>
      </c>
    </row>
    <row r="1614" spans="1:40" s="108" customFormat="1" ht="66" x14ac:dyDescent="0.25">
      <c r="A1614" s="9"/>
      <c r="B1614" s="124" t="s">
        <v>300</v>
      </c>
      <c r="C1614" s="1024"/>
      <c r="D1614" s="901">
        <v>3</v>
      </c>
      <c r="E1614" s="1027" t="s">
        <v>2599</v>
      </c>
      <c r="F1614" s="273" t="s">
        <v>3446</v>
      </c>
      <c r="G1614" s="1040" t="s">
        <v>3463</v>
      </c>
      <c r="H1614" s="273" t="s">
        <v>3462</v>
      </c>
      <c r="I1614" s="722">
        <f t="shared" si="351"/>
        <v>241.16399999999999</v>
      </c>
      <c r="J1614" s="756">
        <v>723.49199999999996</v>
      </c>
      <c r="K1614" s="131">
        <f t="shared" si="356"/>
        <v>723.49199999999996</v>
      </c>
      <c r="L1614" s="335">
        <f t="shared" si="352"/>
        <v>0</v>
      </c>
      <c r="M1614" s="335"/>
      <c r="N1614" s="335"/>
      <c r="O1614" s="335"/>
      <c r="P1614" s="335"/>
      <c r="Q1614" s="130">
        <v>1</v>
      </c>
      <c r="R1614" s="131">
        <v>241.16</v>
      </c>
      <c r="S1614" s="130"/>
      <c r="T1614" s="130"/>
      <c r="U1614" s="130">
        <v>1</v>
      </c>
      <c r="V1614" s="131">
        <v>241.16</v>
      </c>
      <c r="W1614" s="130"/>
      <c r="X1614" s="130"/>
      <c r="Y1614" s="130"/>
      <c r="Z1614" s="130"/>
      <c r="AA1614" s="130">
        <v>1</v>
      </c>
      <c r="AB1614" s="131">
        <v>241.16</v>
      </c>
      <c r="AC1614" s="130"/>
      <c r="AD1614" s="130"/>
      <c r="AE1614" s="130">
        <v>0</v>
      </c>
      <c r="AF1614" s="131">
        <v>0</v>
      </c>
      <c r="AG1614" s="130"/>
      <c r="AH1614" s="130"/>
      <c r="AI1614" s="130"/>
      <c r="AJ1614" s="130"/>
      <c r="AK1614" s="131">
        <f t="shared" si="353"/>
        <v>723.48</v>
      </c>
      <c r="AL1614" s="335">
        <f t="shared" si="354"/>
        <v>1.1999999999943611E-2</v>
      </c>
      <c r="AM1614" s="130">
        <f t="shared" si="355"/>
        <v>3</v>
      </c>
      <c r="AN1614" s="336">
        <f t="shared" si="357"/>
        <v>0</v>
      </c>
    </row>
    <row r="1615" spans="1:40" s="108" customFormat="1" ht="66" x14ac:dyDescent="0.25">
      <c r="A1615" s="9"/>
      <c r="B1615" s="124" t="s">
        <v>2251</v>
      </c>
      <c r="C1615" s="1024"/>
      <c r="D1615" s="901">
        <v>3</v>
      </c>
      <c r="E1615" s="1027" t="s">
        <v>2599</v>
      </c>
      <c r="F1615" s="273" t="s">
        <v>3446</v>
      </c>
      <c r="G1615" s="1040" t="s">
        <v>3463</v>
      </c>
      <c r="H1615" s="273" t="s">
        <v>3462</v>
      </c>
      <c r="I1615" s="722">
        <f t="shared" si="351"/>
        <v>420.25639999999999</v>
      </c>
      <c r="J1615" s="756">
        <v>1260.7692</v>
      </c>
      <c r="K1615" s="131">
        <f t="shared" si="356"/>
        <v>1260.7692</v>
      </c>
      <c r="L1615" s="335">
        <f t="shared" si="352"/>
        <v>0</v>
      </c>
      <c r="M1615" s="335"/>
      <c r="N1615" s="335"/>
      <c r="O1615" s="335"/>
      <c r="P1615" s="335"/>
      <c r="Q1615" s="130">
        <v>1</v>
      </c>
      <c r="R1615" s="131">
        <v>420.26</v>
      </c>
      <c r="S1615" s="130"/>
      <c r="T1615" s="130"/>
      <c r="U1615" s="130">
        <v>1</v>
      </c>
      <c r="V1615" s="131">
        <v>420.26</v>
      </c>
      <c r="W1615" s="130"/>
      <c r="X1615" s="130"/>
      <c r="Y1615" s="130"/>
      <c r="Z1615" s="130"/>
      <c r="AA1615" s="130">
        <v>1</v>
      </c>
      <c r="AB1615" s="131">
        <v>420.26</v>
      </c>
      <c r="AC1615" s="130"/>
      <c r="AD1615" s="130"/>
      <c r="AE1615" s="130">
        <v>0</v>
      </c>
      <c r="AF1615" s="131">
        <v>0</v>
      </c>
      <c r="AG1615" s="130"/>
      <c r="AH1615" s="130"/>
      <c r="AI1615" s="130"/>
      <c r="AJ1615" s="130"/>
      <c r="AK1615" s="131">
        <f t="shared" si="353"/>
        <v>1260.78</v>
      </c>
      <c r="AL1615" s="335">
        <f t="shared" si="354"/>
        <v>-1.0800000000017462E-2</v>
      </c>
      <c r="AM1615" s="130">
        <f t="shared" si="355"/>
        <v>3</v>
      </c>
      <c r="AN1615" s="336">
        <f t="shared" si="357"/>
        <v>0</v>
      </c>
    </row>
    <row r="1616" spans="1:40" s="108" customFormat="1" ht="66" x14ac:dyDescent="0.25">
      <c r="A1616" s="9"/>
      <c r="B1616" s="124" t="s">
        <v>301</v>
      </c>
      <c r="C1616" s="1024"/>
      <c r="D1616" s="901">
        <v>3</v>
      </c>
      <c r="E1616" s="1027" t="s">
        <v>2599</v>
      </c>
      <c r="F1616" s="273" t="s">
        <v>3446</v>
      </c>
      <c r="G1616" s="1040" t="s">
        <v>3463</v>
      </c>
      <c r="H1616" s="273" t="s">
        <v>3462</v>
      </c>
      <c r="I1616" s="722">
        <f t="shared" si="351"/>
        <v>323.84879999999998</v>
      </c>
      <c r="J1616" s="756">
        <v>971.54639999999995</v>
      </c>
      <c r="K1616" s="131">
        <f t="shared" si="356"/>
        <v>971.54639999999995</v>
      </c>
      <c r="L1616" s="335">
        <f t="shared" si="352"/>
        <v>0</v>
      </c>
      <c r="M1616" s="335"/>
      <c r="N1616" s="335"/>
      <c r="O1616" s="335"/>
      <c r="P1616" s="335"/>
      <c r="Q1616" s="130">
        <v>1</v>
      </c>
      <c r="R1616" s="131">
        <v>323.85000000000002</v>
      </c>
      <c r="S1616" s="130"/>
      <c r="T1616" s="130"/>
      <c r="U1616" s="130">
        <v>1</v>
      </c>
      <c r="V1616" s="131">
        <v>323.85000000000002</v>
      </c>
      <c r="W1616" s="130"/>
      <c r="X1616" s="130"/>
      <c r="Y1616" s="130"/>
      <c r="Z1616" s="130"/>
      <c r="AA1616" s="130">
        <v>1</v>
      </c>
      <c r="AB1616" s="131">
        <v>323.85000000000002</v>
      </c>
      <c r="AC1616" s="130"/>
      <c r="AD1616" s="130"/>
      <c r="AE1616" s="130">
        <v>0</v>
      </c>
      <c r="AF1616" s="131">
        <v>0</v>
      </c>
      <c r="AG1616" s="130"/>
      <c r="AH1616" s="130"/>
      <c r="AI1616" s="130"/>
      <c r="AJ1616" s="130"/>
      <c r="AK1616" s="131">
        <f t="shared" si="353"/>
        <v>971.55000000000007</v>
      </c>
      <c r="AL1616" s="335">
        <f t="shared" si="354"/>
        <v>-3.6000000001195076E-3</v>
      </c>
      <c r="AM1616" s="130">
        <f t="shared" si="355"/>
        <v>3</v>
      </c>
      <c r="AN1616" s="336">
        <f t="shared" si="357"/>
        <v>0</v>
      </c>
    </row>
    <row r="1617" spans="1:42" s="108" customFormat="1" ht="66" x14ac:dyDescent="0.25">
      <c r="A1617" s="9"/>
      <c r="B1617" s="124" t="s">
        <v>302</v>
      </c>
      <c r="C1617" s="1024"/>
      <c r="D1617" s="901">
        <v>3</v>
      </c>
      <c r="E1617" s="1027" t="s">
        <v>2599</v>
      </c>
      <c r="F1617" s="273" t="s">
        <v>3446</v>
      </c>
      <c r="G1617" s="1040" t="s">
        <v>3463</v>
      </c>
      <c r="H1617" s="273" t="s">
        <v>3462</v>
      </c>
      <c r="I1617" s="722">
        <f t="shared" si="351"/>
        <v>179.15039999999999</v>
      </c>
      <c r="J1617" s="756">
        <v>537.45119999999997</v>
      </c>
      <c r="K1617" s="131">
        <f t="shared" si="356"/>
        <v>537.45119999999997</v>
      </c>
      <c r="L1617" s="335">
        <f t="shared" si="352"/>
        <v>0</v>
      </c>
      <c r="M1617" s="335"/>
      <c r="N1617" s="335"/>
      <c r="O1617" s="335"/>
      <c r="P1617" s="335"/>
      <c r="Q1617" s="130">
        <v>1</v>
      </c>
      <c r="R1617" s="131">
        <v>179.15</v>
      </c>
      <c r="S1617" s="130"/>
      <c r="T1617" s="130"/>
      <c r="U1617" s="130">
        <v>1</v>
      </c>
      <c r="V1617" s="131">
        <v>179.15</v>
      </c>
      <c r="W1617" s="130"/>
      <c r="X1617" s="130"/>
      <c r="Y1617" s="130"/>
      <c r="Z1617" s="130"/>
      <c r="AA1617" s="130">
        <v>1</v>
      </c>
      <c r="AB1617" s="131">
        <v>179.15</v>
      </c>
      <c r="AC1617" s="130"/>
      <c r="AD1617" s="130"/>
      <c r="AE1617" s="130">
        <v>0</v>
      </c>
      <c r="AF1617" s="131">
        <v>0</v>
      </c>
      <c r="AG1617" s="130"/>
      <c r="AH1617" s="130"/>
      <c r="AI1617" s="130"/>
      <c r="AJ1617" s="130"/>
      <c r="AK1617" s="131">
        <f t="shared" si="353"/>
        <v>537.45000000000005</v>
      </c>
      <c r="AL1617" s="335">
        <f t="shared" si="354"/>
        <v>1.199999999926149E-3</v>
      </c>
      <c r="AM1617" s="130">
        <f t="shared" si="355"/>
        <v>3</v>
      </c>
      <c r="AN1617" s="336">
        <f t="shared" si="357"/>
        <v>0</v>
      </c>
    </row>
    <row r="1618" spans="1:42" s="108" customFormat="1" ht="66" x14ac:dyDescent="0.25">
      <c r="A1618" s="9"/>
      <c r="B1618" s="124" t="s">
        <v>2252</v>
      </c>
      <c r="C1618" s="1024"/>
      <c r="D1618" s="901">
        <v>3</v>
      </c>
      <c r="E1618" s="1027" t="s">
        <v>2599</v>
      </c>
      <c r="F1618" s="273" t="s">
        <v>3446</v>
      </c>
      <c r="G1618" s="1040" t="s">
        <v>3463</v>
      </c>
      <c r="H1618" s="273" t="s">
        <v>3462</v>
      </c>
      <c r="I1618" s="722">
        <f t="shared" si="351"/>
        <v>199.82159999999999</v>
      </c>
      <c r="J1618" s="756">
        <v>599.46479999999997</v>
      </c>
      <c r="K1618" s="131">
        <f t="shared" si="356"/>
        <v>599.46479999999997</v>
      </c>
      <c r="L1618" s="335">
        <f t="shared" si="352"/>
        <v>0</v>
      </c>
      <c r="M1618" s="335"/>
      <c r="N1618" s="335"/>
      <c r="O1618" s="335"/>
      <c r="P1618" s="335"/>
      <c r="Q1618" s="130">
        <v>1</v>
      </c>
      <c r="R1618" s="131">
        <v>199.82</v>
      </c>
      <c r="S1618" s="130"/>
      <c r="T1618" s="130"/>
      <c r="U1618" s="130">
        <v>1</v>
      </c>
      <c r="V1618" s="131">
        <v>199.82</v>
      </c>
      <c r="W1618" s="130"/>
      <c r="X1618" s="130"/>
      <c r="Y1618" s="130"/>
      <c r="Z1618" s="130"/>
      <c r="AA1618" s="130">
        <v>1</v>
      </c>
      <c r="AB1618" s="131">
        <v>199.82</v>
      </c>
      <c r="AC1618" s="130"/>
      <c r="AD1618" s="130"/>
      <c r="AE1618" s="130">
        <v>0</v>
      </c>
      <c r="AF1618" s="131">
        <v>0</v>
      </c>
      <c r="AG1618" s="130"/>
      <c r="AH1618" s="130"/>
      <c r="AI1618" s="130"/>
      <c r="AJ1618" s="130"/>
      <c r="AK1618" s="131">
        <f t="shared" si="353"/>
        <v>599.46</v>
      </c>
      <c r="AL1618" s="335">
        <f t="shared" si="354"/>
        <v>4.7999999999319698E-3</v>
      </c>
      <c r="AM1618" s="130">
        <f t="shared" si="355"/>
        <v>3</v>
      </c>
      <c r="AN1618" s="336">
        <f t="shared" si="357"/>
        <v>0</v>
      </c>
    </row>
    <row r="1619" spans="1:42" s="108" customFormat="1" ht="66" x14ac:dyDescent="0.25">
      <c r="A1619" s="9"/>
      <c r="B1619" s="515" t="s">
        <v>2945</v>
      </c>
      <c r="C1619" s="1024"/>
      <c r="D1619" s="869">
        <v>5</v>
      </c>
      <c r="E1619" s="329" t="s">
        <v>1767</v>
      </c>
      <c r="F1619" s="273" t="s">
        <v>3446</v>
      </c>
      <c r="G1619" s="1040" t="s">
        <v>3463</v>
      </c>
      <c r="H1619" s="273" t="s">
        <v>3462</v>
      </c>
      <c r="I1619" s="722">
        <f t="shared" si="351"/>
        <v>101.49999999999999</v>
      </c>
      <c r="J1619" s="756">
        <v>507.49999999999994</v>
      </c>
      <c r="K1619" s="131">
        <f t="shared" si="356"/>
        <v>507.49999999999994</v>
      </c>
      <c r="L1619" s="335">
        <f t="shared" si="352"/>
        <v>0</v>
      </c>
      <c r="M1619" s="335"/>
      <c r="N1619" s="335"/>
      <c r="O1619" s="335"/>
      <c r="P1619" s="335"/>
      <c r="Q1619" s="110">
        <v>2</v>
      </c>
      <c r="R1619" s="131">
        <f t="shared" si="343"/>
        <v>126.87499999999999</v>
      </c>
      <c r="S1619" s="130"/>
      <c r="T1619" s="130"/>
      <c r="U1619" s="110">
        <v>1</v>
      </c>
      <c r="V1619" s="131">
        <f t="shared" si="344"/>
        <v>126.87499999999999</v>
      </c>
      <c r="W1619" s="130"/>
      <c r="X1619" s="130"/>
      <c r="Y1619" s="130"/>
      <c r="Z1619" s="130"/>
      <c r="AA1619" s="110">
        <v>1</v>
      </c>
      <c r="AB1619" s="131">
        <f t="shared" si="349"/>
        <v>126.87499999999999</v>
      </c>
      <c r="AC1619" s="130"/>
      <c r="AD1619" s="130"/>
      <c r="AE1619" s="110">
        <v>1</v>
      </c>
      <c r="AF1619" s="131">
        <f t="shared" si="350"/>
        <v>126.87499999999999</v>
      </c>
      <c r="AG1619" s="130"/>
      <c r="AH1619" s="130"/>
      <c r="AI1619" s="130"/>
      <c r="AJ1619" s="130"/>
      <c r="AK1619" s="131">
        <f t="shared" si="353"/>
        <v>507.49999999999994</v>
      </c>
      <c r="AL1619" s="335">
        <f t="shared" si="354"/>
        <v>0</v>
      </c>
      <c r="AM1619" s="130">
        <f t="shared" si="355"/>
        <v>5</v>
      </c>
      <c r="AN1619" s="336">
        <f t="shared" si="357"/>
        <v>0</v>
      </c>
    </row>
    <row r="1620" spans="1:42" s="108" customFormat="1" ht="66" x14ac:dyDescent="0.25">
      <c r="A1620" s="9"/>
      <c r="B1620" s="515" t="s">
        <v>2946</v>
      </c>
      <c r="C1620" s="1024"/>
      <c r="D1620" s="869">
        <v>5</v>
      </c>
      <c r="E1620" s="329" t="s">
        <v>1767</v>
      </c>
      <c r="F1620" s="273" t="s">
        <v>3446</v>
      </c>
      <c r="G1620" s="1040" t="s">
        <v>3463</v>
      </c>
      <c r="H1620" s="273" t="s">
        <v>3462</v>
      </c>
      <c r="I1620" s="722">
        <f t="shared" si="351"/>
        <v>101.49999999999999</v>
      </c>
      <c r="J1620" s="756">
        <v>507.49999999999994</v>
      </c>
      <c r="K1620" s="131">
        <f t="shared" si="356"/>
        <v>507.49999999999994</v>
      </c>
      <c r="L1620" s="335">
        <f t="shared" si="352"/>
        <v>0</v>
      </c>
      <c r="M1620" s="335"/>
      <c r="N1620" s="335"/>
      <c r="O1620" s="335"/>
      <c r="P1620" s="335"/>
      <c r="Q1620" s="110">
        <v>2</v>
      </c>
      <c r="R1620" s="131">
        <f t="shared" si="343"/>
        <v>126.87499999999999</v>
      </c>
      <c r="S1620" s="130"/>
      <c r="T1620" s="130"/>
      <c r="U1620" s="110">
        <v>1</v>
      </c>
      <c r="V1620" s="131">
        <f t="shared" si="344"/>
        <v>126.87499999999999</v>
      </c>
      <c r="W1620" s="130"/>
      <c r="X1620" s="130"/>
      <c r="Y1620" s="130"/>
      <c r="Z1620" s="130"/>
      <c r="AA1620" s="110">
        <v>1</v>
      </c>
      <c r="AB1620" s="131">
        <f t="shared" si="349"/>
        <v>126.87499999999999</v>
      </c>
      <c r="AC1620" s="130"/>
      <c r="AD1620" s="130"/>
      <c r="AE1620" s="110">
        <v>1</v>
      </c>
      <c r="AF1620" s="131">
        <f t="shared" si="350"/>
        <v>126.87499999999999</v>
      </c>
      <c r="AG1620" s="130"/>
      <c r="AH1620" s="130"/>
      <c r="AI1620" s="130"/>
      <c r="AJ1620" s="130"/>
      <c r="AK1620" s="131">
        <f t="shared" si="353"/>
        <v>507.49999999999994</v>
      </c>
      <c r="AL1620" s="335">
        <f t="shared" si="354"/>
        <v>0</v>
      </c>
      <c r="AM1620" s="130">
        <f t="shared" si="355"/>
        <v>5</v>
      </c>
      <c r="AN1620" s="336">
        <f t="shared" si="357"/>
        <v>0</v>
      </c>
    </row>
    <row r="1621" spans="1:42" s="108" customFormat="1" ht="66" x14ac:dyDescent="0.25">
      <c r="A1621" s="9"/>
      <c r="B1621" s="515" t="s">
        <v>2947</v>
      </c>
      <c r="C1621" s="1024"/>
      <c r="D1621" s="869">
        <v>5</v>
      </c>
      <c r="E1621" s="329" t="s">
        <v>1767</v>
      </c>
      <c r="F1621" s="273" t="s">
        <v>3446</v>
      </c>
      <c r="G1621" s="1040" t="s">
        <v>3463</v>
      </c>
      <c r="H1621" s="273" t="s">
        <v>3462</v>
      </c>
      <c r="I1621" s="722">
        <f t="shared" si="351"/>
        <v>101.49999999999999</v>
      </c>
      <c r="J1621" s="756">
        <v>507.49999999999994</v>
      </c>
      <c r="K1621" s="131">
        <f t="shared" si="356"/>
        <v>507.49999999999994</v>
      </c>
      <c r="L1621" s="335">
        <f t="shared" si="352"/>
        <v>0</v>
      </c>
      <c r="M1621" s="335"/>
      <c r="N1621" s="335"/>
      <c r="O1621" s="335"/>
      <c r="P1621" s="335"/>
      <c r="Q1621" s="110">
        <v>2</v>
      </c>
      <c r="R1621" s="131">
        <f t="shared" si="343"/>
        <v>126.87499999999999</v>
      </c>
      <c r="S1621" s="130"/>
      <c r="T1621" s="130"/>
      <c r="U1621" s="110">
        <v>1</v>
      </c>
      <c r="V1621" s="131">
        <f t="shared" si="344"/>
        <v>126.87499999999999</v>
      </c>
      <c r="W1621" s="130"/>
      <c r="X1621" s="130"/>
      <c r="Y1621" s="130"/>
      <c r="Z1621" s="130"/>
      <c r="AA1621" s="110">
        <v>1</v>
      </c>
      <c r="AB1621" s="131">
        <f t="shared" si="349"/>
        <v>126.87499999999999</v>
      </c>
      <c r="AC1621" s="130"/>
      <c r="AD1621" s="130"/>
      <c r="AE1621" s="110">
        <v>1</v>
      </c>
      <c r="AF1621" s="131">
        <f t="shared" si="350"/>
        <v>126.87499999999999</v>
      </c>
      <c r="AG1621" s="130"/>
      <c r="AH1621" s="130"/>
      <c r="AI1621" s="130"/>
      <c r="AJ1621" s="130"/>
      <c r="AK1621" s="131">
        <f t="shared" si="353"/>
        <v>507.49999999999994</v>
      </c>
      <c r="AL1621" s="335">
        <f t="shared" si="354"/>
        <v>0</v>
      </c>
      <c r="AM1621" s="130">
        <f t="shared" si="355"/>
        <v>5</v>
      </c>
      <c r="AN1621" s="336">
        <f t="shared" si="357"/>
        <v>0</v>
      </c>
    </row>
    <row r="1622" spans="1:42" s="108" customFormat="1" ht="66" x14ac:dyDescent="0.25">
      <c r="A1622" s="9"/>
      <c r="B1622" s="347" t="s">
        <v>2948</v>
      </c>
      <c r="C1622" s="1024"/>
      <c r="D1622" s="869">
        <v>30</v>
      </c>
      <c r="E1622" s="329" t="s">
        <v>1767</v>
      </c>
      <c r="F1622" s="273" t="s">
        <v>3446</v>
      </c>
      <c r="G1622" s="1040" t="s">
        <v>3463</v>
      </c>
      <c r="H1622" s="273" t="s">
        <v>3462</v>
      </c>
      <c r="I1622" s="722">
        <f t="shared" si="351"/>
        <v>500</v>
      </c>
      <c r="J1622" s="756">
        <v>15000</v>
      </c>
      <c r="K1622" s="131">
        <f t="shared" si="356"/>
        <v>15000</v>
      </c>
      <c r="L1622" s="335">
        <f t="shared" si="352"/>
        <v>0</v>
      </c>
      <c r="M1622" s="335"/>
      <c r="N1622" s="335"/>
      <c r="O1622" s="335"/>
      <c r="P1622" s="335"/>
      <c r="Q1622" s="110">
        <v>8</v>
      </c>
      <c r="R1622" s="131">
        <f t="shared" si="343"/>
        <v>3750</v>
      </c>
      <c r="S1622" s="130"/>
      <c r="T1622" s="130"/>
      <c r="U1622" s="110">
        <v>8</v>
      </c>
      <c r="V1622" s="131">
        <f t="shared" si="344"/>
        <v>3750</v>
      </c>
      <c r="W1622" s="130"/>
      <c r="X1622" s="130"/>
      <c r="Y1622" s="130"/>
      <c r="Z1622" s="130"/>
      <c r="AA1622" s="110">
        <v>7</v>
      </c>
      <c r="AB1622" s="131">
        <f t="shared" si="349"/>
        <v>3750</v>
      </c>
      <c r="AC1622" s="130"/>
      <c r="AD1622" s="130"/>
      <c r="AE1622" s="110">
        <v>7</v>
      </c>
      <c r="AF1622" s="131">
        <f t="shared" si="350"/>
        <v>3750</v>
      </c>
      <c r="AG1622" s="130"/>
      <c r="AH1622" s="130"/>
      <c r="AI1622" s="130"/>
      <c r="AJ1622" s="130"/>
      <c r="AK1622" s="131">
        <f t="shared" si="353"/>
        <v>15000</v>
      </c>
      <c r="AL1622" s="335">
        <f t="shared" si="354"/>
        <v>0</v>
      </c>
      <c r="AM1622" s="130">
        <f t="shared" si="355"/>
        <v>30</v>
      </c>
      <c r="AN1622" s="336">
        <f t="shared" si="357"/>
        <v>0</v>
      </c>
    </row>
    <row r="1623" spans="1:42" ht="22.5" x14ac:dyDescent="0.25">
      <c r="A1623" s="305">
        <v>218</v>
      </c>
      <c r="B1623" s="470" t="s">
        <v>309</v>
      </c>
      <c r="C1623" s="306"/>
      <c r="D1623" s="896"/>
      <c r="E1623" s="365"/>
      <c r="F1623" s="366"/>
      <c r="G1623" s="366"/>
      <c r="H1623" s="366"/>
      <c r="I1623" s="716"/>
      <c r="J1623" s="778"/>
      <c r="K1623" s="131">
        <f t="shared" si="356"/>
        <v>0</v>
      </c>
      <c r="L1623" s="335">
        <f t="shared" si="352"/>
        <v>0</v>
      </c>
      <c r="M1623" s="451"/>
      <c r="N1623" s="451"/>
      <c r="O1623" s="451"/>
      <c r="P1623" s="451"/>
      <c r="Q1623" s="386">
        <f t="shared" ref="Q1623:Q1673" si="358">+$D1623/4</f>
        <v>0</v>
      </c>
      <c r="R1623" s="309">
        <f t="shared" si="343"/>
        <v>0</v>
      </c>
      <c r="S1623" s="386"/>
      <c r="T1623" s="386"/>
      <c r="U1623" s="386">
        <f t="shared" ref="U1623:U1673" si="359">+$D1623/4</f>
        <v>0</v>
      </c>
      <c r="V1623" s="309">
        <f t="shared" si="344"/>
        <v>0</v>
      </c>
      <c r="W1623" s="386"/>
      <c r="X1623" s="386"/>
      <c r="Y1623" s="386"/>
      <c r="Z1623" s="386"/>
      <c r="AA1623" s="386">
        <f t="shared" ref="AA1623:AE1673" si="360">+$D1623/4</f>
        <v>0</v>
      </c>
      <c r="AB1623" s="309">
        <f t="shared" si="349"/>
        <v>0</v>
      </c>
      <c r="AC1623" s="386"/>
      <c r="AD1623" s="386"/>
      <c r="AE1623" s="386">
        <f t="shared" si="360"/>
        <v>0</v>
      </c>
      <c r="AF1623" s="309">
        <f t="shared" si="350"/>
        <v>0</v>
      </c>
      <c r="AG1623" s="386"/>
      <c r="AH1623" s="386"/>
      <c r="AI1623" s="386"/>
      <c r="AJ1623" s="386"/>
      <c r="AK1623" s="309">
        <f t="shared" si="353"/>
        <v>0</v>
      </c>
      <c r="AL1623" s="451">
        <f t="shared" si="354"/>
        <v>0</v>
      </c>
      <c r="AM1623" s="386">
        <f t="shared" si="355"/>
        <v>0</v>
      </c>
      <c r="AN1623" s="452">
        <f t="shared" si="357"/>
        <v>0</v>
      </c>
      <c r="AO1623" s="108"/>
      <c r="AP1623"/>
    </row>
    <row r="1624" spans="1:42" x14ac:dyDescent="0.25">
      <c r="A1624" s="9"/>
      <c r="B1624" s="519"/>
      <c r="C1624" s="358"/>
      <c r="D1624" s="894"/>
      <c r="E1624" s="138"/>
      <c r="F1624" s="279"/>
      <c r="G1624" s="279"/>
      <c r="H1624" s="279"/>
      <c r="I1624" s="727"/>
      <c r="J1624" s="773"/>
      <c r="K1624" s="131">
        <f t="shared" si="356"/>
        <v>0</v>
      </c>
      <c r="L1624" s="335">
        <f t="shared" si="352"/>
        <v>0</v>
      </c>
      <c r="M1624" s="446"/>
      <c r="N1624" s="446"/>
      <c r="O1624" s="446"/>
      <c r="P1624" s="446"/>
      <c r="Q1624" s="110">
        <f t="shared" si="358"/>
        <v>0</v>
      </c>
      <c r="R1624" s="111">
        <f t="shared" si="343"/>
        <v>0</v>
      </c>
      <c r="S1624" s="110"/>
      <c r="T1624" s="110"/>
      <c r="U1624" s="110">
        <f t="shared" si="359"/>
        <v>0</v>
      </c>
      <c r="V1624" s="111">
        <f t="shared" si="344"/>
        <v>0</v>
      </c>
      <c r="W1624" s="110"/>
      <c r="X1624" s="110"/>
      <c r="Y1624" s="110"/>
      <c r="Z1624" s="110"/>
      <c r="AA1624" s="110">
        <f t="shared" si="360"/>
        <v>0</v>
      </c>
      <c r="AB1624" s="111">
        <f t="shared" si="349"/>
        <v>0</v>
      </c>
      <c r="AC1624" s="110"/>
      <c r="AD1624" s="110"/>
      <c r="AE1624" s="110">
        <f t="shared" si="360"/>
        <v>0</v>
      </c>
      <c r="AF1624" s="111">
        <f t="shared" si="350"/>
        <v>0</v>
      </c>
      <c r="AG1624" s="110"/>
      <c r="AH1624" s="110"/>
      <c r="AI1624" s="110"/>
      <c r="AJ1624" s="110"/>
      <c r="AK1624" s="111">
        <f t="shared" si="353"/>
        <v>0</v>
      </c>
      <c r="AL1624" s="446">
        <f t="shared" si="354"/>
        <v>0</v>
      </c>
      <c r="AM1624" s="110">
        <f t="shared" si="355"/>
        <v>0</v>
      </c>
      <c r="AN1624" s="447">
        <f t="shared" si="357"/>
        <v>0</v>
      </c>
      <c r="AO1624"/>
      <c r="AP1624"/>
    </row>
    <row r="1625" spans="1:42" x14ac:dyDescent="0.25">
      <c r="A1625" s="310">
        <v>21801</v>
      </c>
      <c r="B1625" s="471" t="s">
        <v>310</v>
      </c>
      <c r="C1625" s="311"/>
      <c r="D1625" s="902"/>
      <c r="E1625" s="311"/>
      <c r="F1625" s="371"/>
      <c r="G1625" s="371"/>
      <c r="H1625" s="371"/>
      <c r="I1625" s="729"/>
      <c r="J1625" s="783"/>
      <c r="K1625" s="131">
        <f t="shared" si="356"/>
        <v>0</v>
      </c>
      <c r="L1625" s="335">
        <f t="shared" si="352"/>
        <v>0</v>
      </c>
      <c r="M1625" s="449"/>
      <c r="N1625" s="449"/>
      <c r="O1625" s="449"/>
      <c r="P1625" s="449"/>
      <c r="Q1625" s="448">
        <f t="shared" si="358"/>
        <v>0</v>
      </c>
      <c r="R1625" s="317">
        <f t="shared" si="343"/>
        <v>0</v>
      </c>
      <c r="S1625" s="448"/>
      <c r="T1625" s="448"/>
      <c r="U1625" s="448">
        <f t="shared" si="359"/>
        <v>0</v>
      </c>
      <c r="V1625" s="317">
        <f t="shared" si="344"/>
        <v>0</v>
      </c>
      <c r="W1625" s="448"/>
      <c r="X1625" s="448"/>
      <c r="Y1625" s="448"/>
      <c r="Z1625" s="448"/>
      <c r="AA1625" s="448">
        <f t="shared" si="360"/>
        <v>0</v>
      </c>
      <c r="AB1625" s="317">
        <f t="shared" si="349"/>
        <v>0</v>
      </c>
      <c r="AC1625" s="448"/>
      <c r="AD1625" s="448"/>
      <c r="AE1625" s="448">
        <f t="shared" si="360"/>
        <v>0</v>
      </c>
      <c r="AF1625" s="317">
        <f t="shared" si="350"/>
        <v>0</v>
      </c>
      <c r="AG1625" s="448"/>
      <c r="AH1625" s="448"/>
      <c r="AI1625" s="448"/>
      <c r="AJ1625" s="448"/>
      <c r="AK1625" s="317">
        <f t="shared" si="353"/>
        <v>0</v>
      </c>
      <c r="AL1625" s="449">
        <f t="shared" si="354"/>
        <v>0</v>
      </c>
      <c r="AM1625" s="448">
        <f t="shared" si="355"/>
        <v>0</v>
      </c>
      <c r="AN1625" s="450">
        <f t="shared" si="357"/>
        <v>0</v>
      </c>
      <c r="AO1625" s="108"/>
      <c r="AP1625"/>
    </row>
    <row r="1626" spans="1:42" x14ac:dyDescent="0.25">
      <c r="A1626" s="9"/>
      <c r="B1626" s="519"/>
      <c r="C1626" s="358"/>
      <c r="D1626" s="872"/>
      <c r="E1626" s="265"/>
      <c r="F1626" s="289"/>
      <c r="G1626" s="289"/>
      <c r="H1626" s="289"/>
      <c r="I1626" s="727"/>
      <c r="J1626" s="776"/>
      <c r="K1626" s="131">
        <f t="shared" si="356"/>
        <v>0</v>
      </c>
      <c r="L1626" s="335">
        <f t="shared" si="352"/>
        <v>0</v>
      </c>
      <c r="M1626" s="446"/>
      <c r="N1626" s="446"/>
      <c r="O1626" s="446"/>
      <c r="P1626" s="446"/>
      <c r="Q1626" s="110">
        <f t="shared" si="358"/>
        <v>0</v>
      </c>
      <c r="R1626" s="111">
        <f t="shared" ref="R1626:R1689" si="361">+J1626/4</f>
        <v>0</v>
      </c>
      <c r="S1626" s="110"/>
      <c r="T1626" s="110"/>
      <c r="U1626" s="110">
        <f t="shared" si="359"/>
        <v>0</v>
      </c>
      <c r="V1626" s="111">
        <f t="shared" ref="V1626:V1689" si="362">+J1626/4</f>
        <v>0</v>
      </c>
      <c r="W1626" s="110"/>
      <c r="X1626" s="110"/>
      <c r="Y1626" s="110"/>
      <c r="Z1626" s="110"/>
      <c r="AA1626" s="110">
        <f t="shared" si="360"/>
        <v>0</v>
      </c>
      <c r="AB1626" s="111">
        <f t="shared" si="349"/>
        <v>0</v>
      </c>
      <c r="AC1626" s="110"/>
      <c r="AD1626" s="110"/>
      <c r="AE1626" s="110">
        <f t="shared" si="360"/>
        <v>0</v>
      </c>
      <c r="AF1626" s="111">
        <f t="shared" si="350"/>
        <v>0</v>
      </c>
      <c r="AG1626" s="110"/>
      <c r="AH1626" s="110"/>
      <c r="AI1626" s="110"/>
      <c r="AJ1626" s="110"/>
      <c r="AK1626" s="111">
        <f t="shared" si="353"/>
        <v>0</v>
      </c>
      <c r="AL1626" s="446">
        <f t="shared" si="354"/>
        <v>0</v>
      </c>
      <c r="AM1626" s="110">
        <f t="shared" si="355"/>
        <v>0</v>
      </c>
      <c r="AN1626" s="447">
        <f t="shared" si="357"/>
        <v>0</v>
      </c>
      <c r="AO1626"/>
      <c r="AP1626"/>
    </row>
    <row r="1627" spans="1:42" x14ac:dyDescent="0.25">
      <c r="A1627" s="310">
        <v>21802</v>
      </c>
      <c r="B1627" s="471" t="s">
        <v>311</v>
      </c>
      <c r="C1627" s="311"/>
      <c r="D1627" s="902"/>
      <c r="E1627" s="311"/>
      <c r="F1627" s="371"/>
      <c r="G1627" s="371"/>
      <c r="H1627" s="371"/>
      <c r="I1627" s="729"/>
      <c r="J1627" s="783"/>
      <c r="K1627" s="131">
        <f t="shared" si="356"/>
        <v>0</v>
      </c>
      <c r="L1627" s="335">
        <f t="shared" si="352"/>
        <v>0</v>
      </c>
      <c r="M1627" s="449"/>
      <c r="N1627" s="449"/>
      <c r="O1627" s="449"/>
      <c r="P1627" s="449"/>
      <c r="Q1627" s="448">
        <f t="shared" si="358"/>
        <v>0</v>
      </c>
      <c r="R1627" s="317">
        <f t="shared" si="361"/>
        <v>0</v>
      </c>
      <c r="S1627" s="448"/>
      <c r="T1627" s="448"/>
      <c r="U1627" s="448">
        <f t="shared" si="359"/>
        <v>0</v>
      </c>
      <c r="V1627" s="317">
        <f t="shared" si="362"/>
        <v>0</v>
      </c>
      <c r="W1627" s="448"/>
      <c r="X1627" s="448"/>
      <c r="Y1627" s="448"/>
      <c r="Z1627" s="448"/>
      <c r="AA1627" s="448">
        <f t="shared" si="360"/>
        <v>0</v>
      </c>
      <c r="AB1627" s="317">
        <f t="shared" si="349"/>
        <v>0</v>
      </c>
      <c r="AC1627" s="448"/>
      <c r="AD1627" s="448"/>
      <c r="AE1627" s="448">
        <f t="shared" si="360"/>
        <v>0</v>
      </c>
      <c r="AF1627" s="317">
        <f t="shared" si="350"/>
        <v>0</v>
      </c>
      <c r="AG1627" s="448"/>
      <c r="AH1627" s="448"/>
      <c r="AI1627" s="448"/>
      <c r="AJ1627" s="448"/>
      <c r="AK1627" s="317">
        <f t="shared" si="353"/>
        <v>0</v>
      </c>
      <c r="AL1627" s="449">
        <f t="shared" si="354"/>
        <v>0</v>
      </c>
      <c r="AM1627" s="448">
        <f t="shared" si="355"/>
        <v>0</v>
      </c>
      <c r="AN1627" s="450">
        <f t="shared" si="357"/>
        <v>0</v>
      </c>
      <c r="AO1627" s="436">
        <f>SUM(J1628:J1629)</f>
        <v>11443.96</v>
      </c>
      <c r="AP1627" s="296"/>
    </row>
    <row r="1628" spans="1:42" ht="66" x14ac:dyDescent="0.25">
      <c r="A1628" s="9"/>
      <c r="B1628" s="44" t="s">
        <v>1080</v>
      </c>
      <c r="C1628" s="361"/>
      <c r="D1628" s="872">
        <f>2</f>
        <v>2</v>
      </c>
      <c r="E1628" s="265" t="s">
        <v>1725</v>
      </c>
      <c r="F1628" s="273" t="s">
        <v>3446</v>
      </c>
      <c r="G1628" s="1040" t="s">
        <v>3463</v>
      </c>
      <c r="H1628" s="273" t="s">
        <v>3462</v>
      </c>
      <c r="I1628" s="727">
        <f>+J1628/D1628</f>
        <v>758.8</v>
      </c>
      <c r="J1628" s="776">
        <f>1517.6</f>
        <v>1517.6</v>
      </c>
      <c r="K1628" s="131">
        <f t="shared" si="356"/>
        <v>1517.6</v>
      </c>
      <c r="L1628" s="335">
        <f t="shared" si="352"/>
        <v>0</v>
      </c>
      <c r="M1628" s="446"/>
      <c r="N1628" s="446"/>
      <c r="O1628" s="446"/>
      <c r="P1628" s="446"/>
      <c r="Q1628" s="130">
        <v>1</v>
      </c>
      <c r="R1628" s="111">
        <v>758.8</v>
      </c>
      <c r="S1628" s="110"/>
      <c r="T1628" s="110"/>
      <c r="U1628" s="130">
        <v>1</v>
      </c>
      <c r="V1628" s="111">
        <v>758.8</v>
      </c>
      <c r="W1628" s="110"/>
      <c r="X1628" s="110"/>
      <c r="Y1628" s="110"/>
      <c r="Z1628" s="110"/>
      <c r="AA1628" s="130">
        <v>0</v>
      </c>
      <c r="AB1628" s="111">
        <v>0</v>
      </c>
      <c r="AC1628" s="110"/>
      <c r="AD1628" s="110"/>
      <c r="AE1628" s="130">
        <v>0</v>
      </c>
      <c r="AF1628" s="111">
        <v>0</v>
      </c>
      <c r="AG1628" s="110"/>
      <c r="AH1628" s="110"/>
      <c r="AI1628" s="110"/>
      <c r="AJ1628" s="110"/>
      <c r="AK1628" s="111">
        <f t="shared" si="353"/>
        <v>1517.6</v>
      </c>
      <c r="AL1628" s="446">
        <f t="shared" si="354"/>
        <v>0</v>
      </c>
      <c r="AM1628" s="110">
        <f t="shared" si="355"/>
        <v>2</v>
      </c>
      <c r="AN1628" s="447">
        <f t="shared" si="357"/>
        <v>0</v>
      </c>
      <c r="AO1628"/>
      <c r="AP1628"/>
    </row>
    <row r="1629" spans="1:42" ht="66" x14ac:dyDescent="0.25">
      <c r="A1629" s="9"/>
      <c r="B1629" s="45" t="s">
        <v>1081</v>
      </c>
      <c r="C1629" s="5"/>
      <c r="D1629" s="869">
        <f>1+12</f>
        <v>13</v>
      </c>
      <c r="E1629" s="1027" t="s">
        <v>1725</v>
      </c>
      <c r="F1629" s="273" t="s">
        <v>3446</v>
      </c>
      <c r="G1629" s="1040" t="s">
        <v>3463</v>
      </c>
      <c r="H1629" s="273" t="s">
        <v>3462</v>
      </c>
      <c r="I1629" s="720">
        <f>+J1629/D1629</f>
        <v>763.56615384615372</v>
      </c>
      <c r="J1629" s="756">
        <f>926.38+8999.98</f>
        <v>9926.3599999999988</v>
      </c>
      <c r="K1629" s="131">
        <f t="shared" si="356"/>
        <v>9926.3599999999988</v>
      </c>
      <c r="L1629" s="335">
        <f t="shared" si="352"/>
        <v>0</v>
      </c>
      <c r="M1629" s="446"/>
      <c r="N1629" s="446"/>
      <c r="O1629" s="446"/>
      <c r="P1629" s="446"/>
      <c r="Q1629" s="110">
        <v>4</v>
      </c>
      <c r="R1629" s="111">
        <f t="shared" si="361"/>
        <v>2481.5899999999997</v>
      </c>
      <c r="S1629" s="110"/>
      <c r="T1629" s="110"/>
      <c r="U1629" s="110">
        <v>3</v>
      </c>
      <c r="V1629" s="111">
        <f t="shared" si="362"/>
        <v>2481.5899999999997</v>
      </c>
      <c r="W1629" s="110"/>
      <c r="X1629" s="110"/>
      <c r="Y1629" s="110"/>
      <c r="Z1629" s="110"/>
      <c r="AA1629" s="110">
        <v>3</v>
      </c>
      <c r="AB1629" s="111">
        <f t="shared" si="349"/>
        <v>2481.5899999999997</v>
      </c>
      <c r="AC1629" s="110"/>
      <c r="AD1629" s="110"/>
      <c r="AE1629" s="110">
        <v>3</v>
      </c>
      <c r="AF1629" s="111">
        <f t="shared" si="350"/>
        <v>2481.5899999999997</v>
      </c>
      <c r="AG1629" s="110"/>
      <c r="AH1629" s="110"/>
      <c r="AI1629" s="110"/>
      <c r="AJ1629" s="110"/>
      <c r="AK1629" s="111">
        <f t="shared" si="353"/>
        <v>9926.3599999999988</v>
      </c>
      <c r="AL1629" s="446">
        <f t="shared" si="354"/>
        <v>0</v>
      </c>
      <c r="AM1629" s="110">
        <f t="shared" si="355"/>
        <v>13</v>
      </c>
      <c r="AN1629" s="447">
        <f t="shared" si="357"/>
        <v>0</v>
      </c>
      <c r="AO1629"/>
      <c r="AP1629"/>
    </row>
    <row r="1630" spans="1:42" x14ac:dyDescent="0.25">
      <c r="A1630" s="299"/>
      <c r="B1630" s="539"/>
      <c r="C1630" s="300"/>
      <c r="D1630" s="903"/>
      <c r="E1630" s="348"/>
      <c r="F1630" s="349"/>
      <c r="G1630" s="349"/>
      <c r="H1630" s="349"/>
      <c r="I1630" s="715"/>
      <c r="J1630" s="784"/>
      <c r="K1630" s="131"/>
      <c r="L1630" s="335"/>
      <c r="M1630" s="453"/>
      <c r="N1630" s="453"/>
      <c r="O1630" s="453"/>
      <c r="P1630" s="453"/>
      <c r="Q1630" s="385"/>
      <c r="R1630" s="303"/>
      <c r="S1630" s="385"/>
      <c r="T1630" s="385"/>
      <c r="U1630" s="385"/>
      <c r="V1630" s="303"/>
      <c r="W1630" s="385"/>
      <c r="X1630" s="385"/>
      <c r="Y1630" s="385"/>
      <c r="Z1630" s="385"/>
      <c r="AA1630" s="385"/>
      <c r="AB1630" s="303"/>
      <c r="AC1630" s="385"/>
      <c r="AD1630" s="385"/>
      <c r="AE1630" s="385"/>
      <c r="AF1630" s="303"/>
      <c r="AG1630" s="385"/>
      <c r="AH1630" s="385"/>
      <c r="AI1630" s="385"/>
      <c r="AJ1630" s="385"/>
      <c r="AK1630" s="303"/>
      <c r="AL1630" s="453"/>
      <c r="AM1630" s="385"/>
      <c r="AN1630" s="454"/>
      <c r="AO1630" s="108"/>
      <c r="AP1630"/>
    </row>
    <row r="1631" spans="1:42" x14ac:dyDescent="0.25">
      <c r="A1631" s="367"/>
      <c r="B1631" s="540"/>
      <c r="C1631" s="323"/>
      <c r="D1631" s="890"/>
      <c r="E1631" s="324"/>
      <c r="F1631" s="325"/>
      <c r="G1631" s="325"/>
      <c r="H1631" s="325"/>
      <c r="I1631" s="730"/>
      <c r="J1631" s="785"/>
      <c r="K1631" s="131"/>
      <c r="L1631" s="335"/>
      <c r="M1631" s="451"/>
      <c r="N1631" s="451"/>
      <c r="O1631" s="451"/>
      <c r="P1631" s="451"/>
      <c r="Q1631" s="386"/>
      <c r="R1631" s="309"/>
      <c r="S1631" s="386"/>
      <c r="T1631" s="386"/>
      <c r="U1631" s="386"/>
      <c r="V1631" s="309"/>
      <c r="W1631" s="386"/>
      <c r="X1631" s="386"/>
      <c r="Y1631" s="386"/>
      <c r="Z1631" s="386"/>
      <c r="AA1631" s="386"/>
      <c r="AB1631" s="309"/>
      <c r="AC1631" s="386"/>
      <c r="AD1631" s="386"/>
      <c r="AE1631" s="386"/>
      <c r="AF1631" s="309"/>
      <c r="AG1631" s="386"/>
      <c r="AH1631" s="386"/>
      <c r="AI1631" s="386"/>
      <c r="AJ1631" s="386"/>
      <c r="AK1631" s="309"/>
      <c r="AL1631" s="451"/>
      <c r="AM1631" s="386"/>
      <c r="AN1631" s="452"/>
      <c r="AO1631" s="108"/>
      <c r="AP1631"/>
    </row>
    <row r="1632" spans="1:42" x14ac:dyDescent="0.25">
      <c r="A1632" s="310"/>
      <c r="B1632" s="471"/>
      <c r="C1632" s="311"/>
      <c r="D1632" s="902"/>
      <c r="E1632" s="311"/>
      <c r="F1632" s="371"/>
      <c r="G1632" s="371"/>
      <c r="H1632" s="371"/>
      <c r="I1632" s="729"/>
      <c r="J1632" s="783"/>
      <c r="K1632" s="131"/>
      <c r="L1632" s="335"/>
      <c r="M1632" s="449"/>
      <c r="N1632" s="449"/>
      <c r="O1632" s="449"/>
      <c r="P1632" s="449"/>
      <c r="Q1632" s="448"/>
      <c r="R1632" s="317"/>
      <c r="S1632" s="448"/>
      <c r="T1632" s="448"/>
      <c r="U1632" s="448"/>
      <c r="V1632" s="317"/>
      <c r="W1632" s="448"/>
      <c r="X1632" s="448"/>
      <c r="Y1632" s="448"/>
      <c r="Z1632" s="448"/>
      <c r="AA1632" s="448"/>
      <c r="AB1632" s="317"/>
      <c r="AC1632" s="448"/>
      <c r="AD1632" s="448"/>
      <c r="AE1632" s="448"/>
      <c r="AF1632" s="317"/>
      <c r="AG1632" s="448"/>
      <c r="AH1632" s="448"/>
      <c r="AI1632" s="448"/>
      <c r="AJ1632" s="448"/>
      <c r="AK1632" s="317"/>
      <c r="AL1632" s="449"/>
      <c r="AM1632" s="448"/>
      <c r="AN1632" s="450"/>
      <c r="AO1632" s="108"/>
      <c r="AP1632"/>
    </row>
    <row r="1633" spans="1:42" x14ac:dyDescent="0.25">
      <c r="A1633" s="368"/>
      <c r="B1633" s="541"/>
      <c r="C1633" s="30"/>
      <c r="D1633" s="904"/>
      <c r="E1633" s="210"/>
      <c r="F1633" s="281"/>
      <c r="G1633" s="281"/>
      <c r="H1633" s="281"/>
      <c r="I1633" s="731"/>
      <c r="J1633" s="786"/>
      <c r="K1633" s="131"/>
      <c r="L1633" s="335"/>
      <c r="M1633" s="446"/>
      <c r="N1633" s="446"/>
      <c r="O1633" s="446"/>
      <c r="P1633" s="446"/>
      <c r="Q1633" s="110"/>
      <c r="R1633" s="111"/>
      <c r="S1633" s="110"/>
      <c r="T1633" s="110"/>
      <c r="U1633" s="110"/>
      <c r="V1633" s="111"/>
      <c r="W1633" s="110"/>
      <c r="X1633" s="110"/>
      <c r="Y1633" s="110"/>
      <c r="Z1633" s="110"/>
      <c r="AA1633" s="110"/>
      <c r="AB1633" s="111"/>
      <c r="AC1633" s="110"/>
      <c r="AD1633" s="110"/>
      <c r="AE1633" s="110"/>
      <c r="AF1633" s="111"/>
      <c r="AG1633" s="110"/>
      <c r="AH1633" s="110"/>
      <c r="AI1633" s="110"/>
      <c r="AJ1633" s="110"/>
      <c r="AK1633" s="111"/>
      <c r="AL1633" s="446"/>
      <c r="AM1633" s="110"/>
      <c r="AN1633" s="447"/>
      <c r="AO1633"/>
      <c r="AP1633"/>
    </row>
    <row r="1634" spans="1:42" x14ac:dyDescent="0.25">
      <c r="A1634" s="310"/>
      <c r="B1634" s="471"/>
      <c r="C1634" s="311"/>
      <c r="D1634" s="902"/>
      <c r="E1634" s="311"/>
      <c r="F1634" s="371"/>
      <c r="G1634" s="371"/>
      <c r="H1634" s="371"/>
      <c r="I1634" s="729"/>
      <c r="J1634" s="783"/>
      <c r="K1634" s="131"/>
      <c r="L1634" s="335"/>
      <c r="M1634" s="449"/>
      <c r="N1634" s="449"/>
      <c r="O1634" s="449"/>
      <c r="P1634" s="449"/>
      <c r="Q1634" s="448"/>
      <c r="R1634" s="317"/>
      <c r="S1634" s="448"/>
      <c r="T1634" s="448"/>
      <c r="U1634" s="448"/>
      <c r="V1634" s="317"/>
      <c r="W1634" s="448"/>
      <c r="X1634" s="448"/>
      <c r="Y1634" s="448"/>
      <c r="Z1634" s="448"/>
      <c r="AA1634" s="448"/>
      <c r="AB1634" s="317"/>
      <c r="AC1634" s="448"/>
      <c r="AD1634" s="448"/>
      <c r="AE1634" s="448"/>
      <c r="AF1634" s="317"/>
      <c r="AG1634" s="448"/>
      <c r="AH1634" s="448"/>
      <c r="AI1634" s="448"/>
      <c r="AJ1634" s="448"/>
      <c r="AK1634" s="317"/>
      <c r="AL1634" s="449"/>
      <c r="AM1634" s="448"/>
      <c r="AN1634" s="450"/>
      <c r="AO1634" s="436"/>
      <c r="AP1634" s="111"/>
    </row>
    <row r="1635" spans="1:42" ht="66" x14ac:dyDescent="0.25">
      <c r="A1635" s="40"/>
      <c r="B1635" s="43" t="s">
        <v>312</v>
      </c>
      <c r="C1635" s="1028"/>
      <c r="D1635" s="869">
        <f>110+776</f>
        <v>886</v>
      </c>
      <c r="E1635" s="1027" t="s">
        <v>1834</v>
      </c>
      <c r="F1635" s="273" t="s">
        <v>3446</v>
      </c>
      <c r="G1635" s="1040" t="s">
        <v>3463</v>
      </c>
      <c r="H1635" s="273" t="s">
        <v>3462</v>
      </c>
      <c r="I1635" s="720">
        <f t="shared" ref="I1635:I1652" si="363">+J1635/D1635</f>
        <v>256.90317155756208</v>
      </c>
      <c r="J1635" s="780">
        <f>33234.7+194381.51</f>
        <v>227616.21000000002</v>
      </c>
      <c r="K1635" s="131">
        <f t="shared" si="356"/>
        <v>227616.21</v>
      </c>
      <c r="L1635" s="335">
        <f t="shared" si="352"/>
        <v>0</v>
      </c>
      <c r="M1635" s="446"/>
      <c r="N1635" s="446"/>
      <c r="O1635" s="446"/>
      <c r="P1635" s="446"/>
      <c r="Q1635" s="110">
        <v>200</v>
      </c>
      <c r="R1635" s="111">
        <f>I1635*Q1635</f>
        <v>51380.634311512418</v>
      </c>
      <c r="S1635" s="110"/>
      <c r="T1635" s="110"/>
      <c r="U1635" s="110">
        <v>200</v>
      </c>
      <c r="V1635" s="111">
        <v>51380.63</v>
      </c>
      <c r="W1635" s="110"/>
      <c r="X1635" s="110"/>
      <c r="Y1635" s="110"/>
      <c r="Z1635" s="110"/>
      <c r="AA1635" s="110">
        <v>300</v>
      </c>
      <c r="AB1635" s="111">
        <f>I1635*AA1635</f>
        <v>77070.95146726862</v>
      </c>
      <c r="AC1635" s="110"/>
      <c r="AD1635" s="110"/>
      <c r="AE1635" s="110">
        <v>186</v>
      </c>
      <c r="AF1635" s="111">
        <f>I1635*AE1635</f>
        <v>47783.989909706543</v>
      </c>
      <c r="AG1635" s="110"/>
      <c r="AH1635" s="110"/>
      <c r="AI1635" s="110"/>
      <c r="AJ1635" s="110"/>
      <c r="AK1635" s="111">
        <f t="shared" si="353"/>
        <v>227616.20568848759</v>
      </c>
      <c r="AL1635" s="446">
        <f t="shared" si="354"/>
        <v>4.3115124281030148E-3</v>
      </c>
      <c r="AM1635" s="110">
        <f t="shared" si="355"/>
        <v>886</v>
      </c>
      <c r="AN1635" s="447">
        <f t="shared" si="357"/>
        <v>0</v>
      </c>
      <c r="AO1635"/>
      <c r="AP1635"/>
    </row>
    <row r="1636" spans="1:42" ht="66" x14ac:dyDescent="0.25">
      <c r="A1636" s="40"/>
      <c r="B1636" s="43" t="s">
        <v>313</v>
      </c>
      <c r="C1636" s="1028"/>
      <c r="D1636" s="869">
        <f>110+488</f>
        <v>598</v>
      </c>
      <c r="E1636" s="1027" t="s">
        <v>1834</v>
      </c>
      <c r="F1636" s="273" t="s">
        <v>3446</v>
      </c>
      <c r="G1636" s="1040" t="s">
        <v>3463</v>
      </c>
      <c r="H1636" s="273" t="s">
        <v>3462</v>
      </c>
      <c r="I1636" s="720">
        <f t="shared" si="363"/>
        <v>180.61984949832777</v>
      </c>
      <c r="J1636" s="780">
        <f>23738.7+84271.97</f>
        <v>108010.67</v>
      </c>
      <c r="K1636" s="131">
        <f t="shared" si="356"/>
        <v>108010.67</v>
      </c>
      <c r="L1636" s="335">
        <f t="shared" si="352"/>
        <v>0</v>
      </c>
      <c r="M1636" s="446"/>
      <c r="N1636" s="446"/>
      <c r="O1636" s="446"/>
      <c r="P1636" s="446"/>
      <c r="Q1636" s="110">
        <v>150</v>
      </c>
      <c r="R1636" s="111">
        <f>I1636*Q1636</f>
        <v>27092.977424749166</v>
      </c>
      <c r="S1636" s="110"/>
      <c r="T1636" s="110"/>
      <c r="U1636" s="110">
        <v>150</v>
      </c>
      <c r="V1636" s="111">
        <f>I1636*U1636</f>
        <v>27092.977424749166</v>
      </c>
      <c r="W1636" s="110"/>
      <c r="X1636" s="110"/>
      <c r="Y1636" s="110"/>
      <c r="Z1636" s="110"/>
      <c r="AA1636" s="110">
        <v>150</v>
      </c>
      <c r="AB1636" s="111">
        <f>AA1636*I1636</f>
        <v>27092.977424749166</v>
      </c>
      <c r="AC1636" s="110"/>
      <c r="AD1636" s="110"/>
      <c r="AE1636" s="110">
        <v>148</v>
      </c>
      <c r="AF1636" s="111">
        <f>AE1636*I1636</f>
        <v>26731.737725752508</v>
      </c>
      <c r="AG1636" s="110"/>
      <c r="AH1636" s="111"/>
      <c r="AI1636" s="110"/>
      <c r="AJ1636" s="110"/>
      <c r="AK1636" s="111">
        <f t="shared" si="353"/>
        <v>108010.67</v>
      </c>
      <c r="AL1636" s="446">
        <f t="shared" si="354"/>
        <v>0</v>
      </c>
      <c r="AM1636" s="110">
        <f t="shared" si="355"/>
        <v>598</v>
      </c>
      <c r="AN1636" s="447">
        <f t="shared" si="357"/>
        <v>0</v>
      </c>
      <c r="AO1636"/>
      <c r="AP1636"/>
    </row>
    <row r="1637" spans="1:42" ht="66" x14ac:dyDescent="0.25">
      <c r="A1637" s="40"/>
      <c r="B1637" s="43" t="s">
        <v>314</v>
      </c>
      <c r="C1637" s="1024"/>
      <c r="D1637" s="869">
        <f>110+338</f>
        <v>448</v>
      </c>
      <c r="E1637" s="1027" t="s">
        <v>1834</v>
      </c>
      <c r="F1637" s="273" t="s">
        <v>3446</v>
      </c>
      <c r="G1637" s="1040" t="s">
        <v>3463</v>
      </c>
      <c r="H1637" s="273" t="s">
        <v>3462</v>
      </c>
      <c r="I1637" s="720">
        <f t="shared" si="363"/>
        <v>240.98908482142855</v>
      </c>
      <c r="J1637" s="780">
        <f>29892.85+78070.26</f>
        <v>107963.10999999999</v>
      </c>
      <c r="K1637" s="131">
        <f t="shared" si="356"/>
        <v>107963.10999999999</v>
      </c>
      <c r="L1637" s="335">
        <f t="shared" si="352"/>
        <v>0</v>
      </c>
      <c r="M1637" s="446"/>
      <c r="N1637" s="446"/>
      <c r="O1637" s="446"/>
      <c r="P1637" s="446"/>
      <c r="Q1637" s="110">
        <f t="shared" si="358"/>
        <v>112</v>
      </c>
      <c r="R1637" s="111">
        <f t="shared" si="361"/>
        <v>26990.777499999997</v>
      </c>
      <c r="S1637" s="110"/>
      <c r="T1637" s="110"/>
      <c r="U1637" s="110">
        <f t="shared" si="359"/>
        <v>112</v>
      </c>
      <c r="V1637" s="111">
        <f t="shared" si="362"/>
        <v>26990.777499999997</v>
      </c>
      <c r="W1637" s="110"/>
      <c r="X1637" s="110"/>
      <c r="Y1637" s="110"/>
      <c r="Z1637" s="110"/>
      <c r="AA1637" s="110">
        <f t="shared" si="360"/>
        <v>112</v>
      </c>
      <c r="AB1637" s="111">
        <f t="shared" ref="AB1637:AB1700" si="364">+J1637/4</f>
        <v>26990.777499999997</v>
      </c>
      <c r="AC1637" s="110"/>
      <c r="AD1637" s="110"/>
      <c r="AE1637" s="110">
        <f t="shared" si="360"/>
        <v>112</v>
      </c>
      <c r="AF1637" s="111">
        <f t="shared" ref="AF1637:AF1700" si="365">+J1637/4</f>
        <v>26990.777499999997</v>
      </c>
      <c r="AG1637" s="110"/>
      <c r="AH1637" s="110"/>
      <c r="AI1637" s="110"/>
      <c r="AJ1637" s="110"/>
      <c r="AK1637" s="111">
        <f t="shared" si="353"/>
        <v>107963.10999999999</v>
      </c>
      <c r="AL1637" s="446">
        <f t="shared" si="354"/>
        <v>0</v>
      </c>
      <c r="AM1637" s="110">
        <f t="shared" si="355"/>
        <v>448</v>
      </c>
      <c r="AN1637" s="447">
        <f t="shared" si="357"/>
        <v>0</v>
      </c>
      <c r="AO1637"/>
      <c r="AP1637"/>
    </row>
    <row r="1638" spans="1:42" ht="66" x14ac:dyDescent="0.25">
      <c r="A1638" s="40"/>
      <c r="B1638" s="43" t="s">
        <v>315</v>
      </c>
      <c r="C1638" s="1024"/>
      <c r="D1638" s="869">
        <v>146</v>
      </c>
      <c r="E1638" s="1027" t="s">
        <v>1834</v>
      </c>
      <c r="F1638" s="273" t="s">
        <v>3446</v>
      </c>
      <c r="G1638" s="1040" t="s">
        <v>3463</v>
      </c>
      <c r="H1638" s="273" t="s">
        <v>3462</v>
      </c>
      <c r="I1638" s="720">
        <f t="shared" si="363"/>
        <v>168.95156164383562</v>
      </c>
      <c r="J1638" s="780">
        <v>24666.928</v>
      </c>
      <c r="K1638" s="131">
        <f t="shared" si="356"/>
        <v>24666.928</v>
      </c>
      <c r="L1638" s="335">
        <f t="shared" si="352"/>
        <v>0</v>
      </c>
      <c r="M1638" s="446"/>
      <c r="N1638" s="446"/>
      <c r="O1638" s="446"/>
      <c r="P1638" s="446"/>
      <c r="Q1638" s="110">
        <v>50</v>
      </c>
      <c r="R1638" s="111">
        <f t="shared" si="361"/>
        <v>6166.732</v>
      </c>
      <c r="S1638" s="110"/>
      <c r="T1638" s="110"/>
      <c r="U1638" s="110">
        <v>50</v>
      </c>
      <c r="V1638" s="111">
        <f t="shared" si="362"/>
        <v>6166.732</v>
      </c>
      <c r="W1638" s="110"/>
      <c r="X1638" s="110"/>
      <c r="Y1638" s="110"/>
      <c r="Z1638" s="110"/>
      <c r="AA1638" s="110">
        <v>20</v>
      </c>
      <c r="AB1638" s="111">
        <f t="shared" si="364"/>
        <v>6166.732</v>
      </c>
      <c r="AC1638" s="110"/>
      <c r="AD1638" s="110"/>
      <c r="AE1638" s="110">
        <v>26</v>
      </c>
      <c r="AF1638" s="111">
        <f t="shared" si="365"/>
        <v>6166.732</v>
      </c>
      <c r="AG1638" s="110"/>
      <c r="AH1638" s="110"/>
      <c r="AI1638" s="110"/>
      <c r="AJ1638" s="110"/>
      <c r="AK1638" s="111">
        <f t="shared" si="353"/>
        <v>24666.928</v>
      </c>
      <c r="AL1638" s="446">
        <f t="shared" si="354"/>
        <v>0</v>
      </c>
      <c r="AM1638" s="110">
        <f t="shared" si="355"/>
        <v>146</v>
      </c>
      <c r="AN1638" s="447">
        <f t="shared" si="357"/>
        <v>0</v>
      </c>
      <c r="AO1638"/>
      <c r="AP1638"/>
    </row>
    <row r="1639" spans="1:42" ht="66" x14ac:dyDescent="0.25">
      <c r="A1639" s="40"/>
      <c r="B1639" s="41" t="s">
        <v>316</v>
      </c>
      <c r="C1639" s="42"/>
      <c r="D1639" s="899">
        <v>72</v>
      </c>
      <c r="E1639" s="1027" t="s">
        <v>1834</v>
      </c>
      <c r="F1639" s="273" t="s">
        <v>3446</v>
      </c>
      <c r="G1639" s="1040" t="s">
        <v>3463</v>
      </c>
      <c r="H1639" s="273" t="s">
        <v>3462</v>
      </c>
      <c r="I1639" s="720">
        <f t="shared" si="363"/>
        <v>161.41400000000002</v>
      </c>
      <c r="J1639" s="780">
        <v>11621.808000000001</v>
      </c>
      <c r="K1639" s="131">
        <f t="shared" si="356"/>
        <v>11621.808000000001</v>
      </c>
      <c r="L1639" s="335">
        <f t="shared" si="352"/>
        <v>0</v>
      </c>
      <c r="M1639" s="446"/>
      <c r="N1639" s="446"/>
      <c r="O1639" s="446"/>
      <c r="P1639" s="446"/>
      <c r="Q1639" s="110">
        <f t="shared" si="358"/>
        <v>18</v>
      </c>
      <c r="R1639" s="111">
        <f t="shared" si="361"/>
        <v>2905.4520000000002</v>
      </c>
      <c r="S1639" s="110"/>
      <c r="T1639" s="110"/>
      <c r="U1639" s="110">
        <f t="shared" si="359"/>
        <v>18</v>
      </c>
      <c r="V1639" s="111">
        <f t="shared" si="362"/>
        <v>2905.4520000000002</v>
      </c>
      <c r="W1639" s="110"/>
      <c r="X1639" s="110"/>
      <c r="Y1639" s="110"/>
      <c r="Z1639" s="110"/>
      <c r="AA1639" s="110">
        <f t="shared" si="360"/>
        <v>18</v>
      </c>
      <c r="AB1639" s="111">
        <f t="shared" si="364"/>
        <v>2905.4520000000002</v>
      </c>
      <c r="AC1639" s="110"/>
      <c r="AD1639" s="110"/>
      <c r="AE1639" s="110">
        <f t="shared" si="360"/>
        <v>18</v>
      </c>
      <c r="AF1639" s="111">
        <f t="shared" si="365"/>
        <v>2905.4520000000002</v>
      </c>
      <c r="AG1639" s="110"/>
      <c r="AH1639" s="110"/>
      <c r="AI1639" s="110"/>
      <c r="AJ1639" s="110"/>
      <c r="AK1639" s="111">
        <f t="shared" si="353"/>
        <v>11621.808000000001</v>
      </c>
      <c r="AL1639" s="446">
        <f t="shared" si="354"/>
        <v>0</v>
      </c>
      <c r="AM1639" s="110">
        <f t="shared" si="355"/>
        <v>72</v>
      </c>
      <c r="AN1639" s="447">
        <f t="shared" si="357"/>
        <v>0</v>
      </c>
      <c r="AO1639"/>
      <c r="AP1639"/>
    </row>
    <row r="1640" spans="1:42" ht="66" x14ac:dyDescent="0.25">
      <c r="A1640" s="40"/>
      <c r="B1640" s="41" t="s">
        <v>317</v>
      </c>
      <c r="C1640" s="42"/>
      <c r="D1640" s="899">
        <v>72</v>
      </c>
      <c r="E1640" s="1027" t="s">
        <v>1834</v>
      </c>
      <c r="F1640" s="273" t="s">
        <v>3446</v>
      </c>
      <c r="G1640" s="1040" t="s">
        <v>3463</v>
      </c>
      <c r="H1640" s="273" t="s">
        <v>3462</v>
      </c>
      <c r="I1640" s="720">
        <f t="shared" si="363"/>
        <v>203.52199999999999</v>
      </c>
      <c r="J1640" s="780">
        <v>14653.583999999999</v>
      </c>
      <c r="K1640" s="131">
        <f t="shared" si="356"/>
        <v>14653.583999999999</v>
      </c>
      <c r="L1640" s="335">
        <f t="shared" si="352"/>
        <v>0</v>
      </c>
      <c r="M1640" s="446"/>
      <c r="N1640" s="446"/>
      <c r="O1640" s="446"/>
      <c r="P1640" s="446"/>
      <c r="Q1640" s="110">
        <f t="shared" si="358"/>
        <v>18</v>
      </c>
      <c r="R1640" s="111">
        <f t="shared" si="361"/>
        <v>3663.3959999999997</v>
      </c>
      <c r="S1640" s="110"/>
      <c r="T1640" s="110"/>
      <c r="U1640" s="110">
        <f t="shared" si="359"/>
        <v>18</v>
      </c>
      <c r="V1640" s="111">
        <f t="shared" si="362"/>
        <v>3663.3959999999997</v>
      </c>
      <c r="W1640" s="110"/>
      <c r="X1640" s="110"/>
      <c r="Y1640" s="110"/>
      <c r="Z1640" s="110"/>
      <c r="AA1640" s="110">
        <f t="shared" si="360"/>
        <v>18</v>
      </c>
      <c r="AB1640" s="111">
        <f t="shared" si="364"/>
        <v>3663.3959999999997</v>
      </c>
      <c r="AC1640" s="110"/>
      <c r="AD1640" s="110"/>
      <c r="AE1640" s="110">
        <f t="shared" si="360"/>
        <v>18</v>
      </c>
      <c r="AF1640" s="111">
        <f t="shared" si="365"/>
        <v>3663.3959999999997</v>
      </c>
      <c r="AG1640" s="110"/>
      <c r="AH1640" s="110"/>
      <c r="AI1640" s="110"/>
      <c r="AJ1640" s="110"/>
      <c r="AK1640" s="111">
        <f t="shared" si="353"/>
        <v>14653.583999999999</v>
      </c>
      <c r="AL1640" s="446">
        <f t="shared" si="354"/>
        <v>0</v>
      </c>
      <c r="AM1640" s="110">
        <f t="shared" si="355"/>
        <v>72</v>
      </c>
      <c r="AN1640" s="447">
        <f t="shared" si="357"/>
        <v>0</v>
      </c>
      <c r="AO1640"/>
      <c r="AP1640"/>
    </row>
    <row r="1641" spans="1:42" ht="66" x14ac:dyDescent="0.25">
      <c r="A1641" s="40"/>
      <c r="B1641" s="43" t="s">
        <v>318</v>
      </c>
      <c r="C1641" s="1024"/>
      <c r="D1641" s="869">
        <v>224</v>
      </c>
      <c r="E1641" s="1027" t="s">
        <v>1834</v>
      </c>
      <c r="F1641" s="273" t="s">
        <v>3446</v>
      </c>
      <c r="G1641" s="1040" t="s">
        <v>3463</v>
      </c>
      <c r="H1641" s="273" t="s">
        <v>3462</v>
      </c>
      <c r="I1641" s="720">
        <f t="shared" si="363"/>
        <v>173.5886857142857</v>
      </c>
      <c r="J1641" s="780">
        <v>38883.865599999997</v>
      </c>
      <c r="K1641" s="131">
        <f t="shared" si="356"/>
        <v>38883.865599999997</v>
      </c>
      <c r="L1641" s="335">
        <f t="shared" si="352"/>
        <v>0</v>
      </c>
      <c r="M1641" s="446"/>
      <c r="N1641" s="446"/>
      <c r="O1641" s="446"/>
      <c r="P1641" s="446"/>
      <c r="Q1641" s="110">
        <f t="shared" si="358"/>
        <v>56</v>
      </c>
      <c r="R1641" s="111">
        <f t="shared" si="361"/>
        <v>9720.9663999999993</v>
      </c>
      <c r="S1641" s="110"/>
      <c r="T1641" s="110"/>
      <c r="U1641" s="110">
        <f t="shared" si="359"/>
        <v>56</v>
      </c>
      <c r="V1641" s="111">
        <f t="shared" si="362"/>
        <v>9720.9663999999993</v>
      </c>
      <c r="W1641" s="110"/>
      <c r="X1641" s="110"/>
      <c r="Y1641" s="110"/>
      <c r="Z1641" s="110"/>
      <c r="AA1641" s="110">
        <f t="shared" si="360"/>
        <v>56</v>
      </c>
      <c r="AB1641" s="111">
        <f t="shared" si="364"/>
        <v>9720.9663999999993</v>
      </c>
      <c r="AC1641" s="110"/>
      <c r="AD1641" s="110"/>
      <c r="AE1641" s="110">
        <f t="shared" si="360"/>
        <v>56</v>
      </c>
      <c r="AF1641" s="111">
        <f t="shared" si="365"/>
        <v>9720.9663999999993</v>
      </c>
      <c r="AG1641" s="110"/>
      <c r="AH1641" s="110"/>
      <c r="AI1641" s="110"/>
      <c r="AJ1641" s="110"/>
      <c r="AK1641" s="111">
        <f t="shared" si="353"/>
        <v>38883.865599999997</v>
      </c>
      <c r="AL1641" s="446">
        <f t="shared" si="354"/>
        <v>0</v>
      </c>
      <c r="AM1641" s="110">
        <f t="shared" si="355"/>
        <v>224</v>
      </c>
      <c r="AN1641" s="447">
        <f t="shared" si="357"/>
        <v>0</v>
      </c>
      <c r="AO1641"/>
      <c r="AP1641"/>
    </row>
    <row r="1642" spans="1:42" ht="66" x14ac:dyDescent="0.25">
      <c r="A1642" s="40"/>
      <c r="B1642" s="43" t="s">
        <v>319</v>
      </c>
      <c r="C1642" s="42"/>
      <c r="D1642" s="899">
        <v>288</v>
      </c>
      <c r="E1642" s="1027" t="s">
        <v>1834</v>
      </c>
      <c r="F1642" s="273" t="s">
        <v>3446</v>
      </c>
      <c r="G1642" s="1040" t="s">
        <v>3463</v>
      </c>
      <c r="H1642" s="273" t="s">
        <v>3462</v>
      </c>
      <c r="I1642" s="720">
        <f t="shared" si="363"/>
        <v>217.55800000000002</v>
      </c>
      <c r="J1642" s="780">
        <v>62656.704000000005</v>
      </c>
      <c r="K1642" s="131">
        <f t="shared" si="356"/>
        <v>62656.704000000005</v>
      </c>
      <c r="L1642" s="335">
        <f t="shared" si="352"/>
        <v>0</v>
      </c>
      <c r="M1642" s="446"/>
      <c r="N1642" s="446"/>
      <c r="O1642" s="446"/>
      <c r="P1642" s="446"/>
      <c r="Q1642" s="110">
        <f t="shared" si="358"/>
        <v>72</v>
      </c>
      <c r="R1642" s="111">
        <f t="shared" si="361"/>
        <v>15664.176000000001</v>
      </c>
      <c r="S1642" s="110"/>
      <c r="T1642" s="110"/>
      <c r="U1642" s="110">
        <f t="shared" si="359"/>
        <v>72</v>
      </c>
      <c r="V1642" s="111">
        <f t="shared" si="362"/>
        <v>15664.176000000001</v>
      </c>
      <c r="W1642" s="110"/>
      <c r="X1642" s="110"/>
      <c r="Y1642" s="110"/>
      <c r="Z1642" s="110"/>
      <c r="AA1642" s="110">
        <f t="shared" si="360"/>
        <v>72</v>
      </c>
      <c r="AB1642" s="111">
        <f t="shared" si="364"/>
        <v>15664.176000000001</v>
      </c>
      <c r="AC1642" s="110"/>
      <c r="AD1642" s="110"/>
      <c r="AE1642" s="110">
        <f t="shared" si="360"/>
        <v>72</v>
      </c>
      <c r="AF1642" s="111">
        <f t="shared" si="365"/>
        <v>15664.176000000001</v>
      </c>
      <c r="AG1642" s="110"/>
      <c r="AH1642" s="110"/>
      <c r="AI1642" s="110"/>
      <c r="AJ1642" s="110"/>
      <c r="AK1642" s="111">
        <f t="shared" si="353"/>
        <v>62656.704000000005</v>
      </c>
      <c r="AL1642" s="446">
        <f t="shared" si="354"/>
        <v>0</v>
      </c>
      <c r="AM1642" s="110">
        <f t="shared" si="355"/>
        <v>288</v>
      </c>
      <c r="AN1642" s="447">
        <f t="shared" si="357"/>
        <v>0</v>
      </c>
      <c r="AO1642"/>
      <c r="AP1642"/>
    </row>
    <row r="1643" spans="1:42" ht="66" x14ac:dyDescent="0.25">
      <c r="A1643" s="40"/>
      <c r="B1643" s="43" t="s">
        <v>320</v>
      </c>
      <c r="C1643" s="42"/>
      <c r="D1643" s="869">
        <f>88+386</f>
        <v>474</v>
      </c>
      <c r="E1643" s="1027" t="s">
        <v>1834</v>
      </c>
      <c r="F1643" s="273" t="s">
        <v>3446</v>
      </c>
      <c r="G1643" s="1040" t="s">
        <v>3463</v>
      </c>
      <c r="H1643" s="273" t="s">
        <v>3462</v>
      </c>
      <c r="I1643" s="720">
        <f t="shared" si="363"/>
        <v>218.20417721518987</v>
      </c>
      <c r="J1643" s="780">
        <f>21804.29+81624.49</f>
        <v>103428.78</v>
      </c>
      <c r="K1643" s="131">
        <f t="shared" si="356"/>
        <v>103428.78</v>
      </c>
      <c r="L1643" s="335">
        <f t="shared" si="352"/>
        <v>0</v>
      </c>
      <c r="M1643" s="446"/>
      <c r="N1643" s="446"/>
      <c r="O1643" s="446"/>
      <c r="P1643" s="446"/>
      <c r="Q1643" s="110">
        <v>118</v>
      </c>
      <c r="R1643" s="111">
        <f t="shared" si="361"/>
        <v>25857.195</v>
      </c>
      <c r="S1643" s="110"/>
      <c r="T1643" s="110"/>
      <c r="U1643" s="110">
        <v>119</v>
      </c>
      <c r="V1643" s="111">
        <f t="shared" si="362"/>
        <v>25857.195</v>
      </c>
      <c r="W1643" s="110"/>
      <c r="X1643" s="110"/>
      <c r="Y1643" s="110"/>
      <c r="Z1643" s="110"/>
      <c r="AA1643" s="110">
        <v>118</v>
      </c>
      <c r="AB1643" s="111">
        <f t="shared" si="364"/>
        <v>25857.195</v>
      </c>
      <c r="AC1643" s="110"/>
      <c r="AD1643" s="110"/>
      <c r="AE1643" s="110">
        <v>119</v>
      </c>
      <c r="AF1643" s="111">
        <f t="shared" si="365"/>
        <v>25857.195</v>
      </c>
      <c r="AG1643" s="110"/>
      <c r="AH1643" s="110"/>
      <c r="AI1643" s="110"/>
      <c r="AJ1643" s="110"/>
      <c r="AK1643" s="111">
        <f t="shared" si="353"/>
        <v>103428.78</v>
      </c>
      <c r="AL1643" s="446">
        <f t="shared" si="354"/>
        <v>0</v>
      </c>
      <c r="AM1643" s="110">
        <f t="shared" si="355"/>
        <v>474</v>
      </c>
      <c r="AN1643" s="447">
        <f t="shared" si="357"/>
        <v>0</v>
      </c>
      <c r="AO1643"/>
      <c r="AP1643"/>
    </row>
    <row r="1644" spans="1:42" ht="66" x14ac:dyDescent="0.25">
      <c r="A1644" s="40"/>
      <c r="B1644" s="41" t="s">
        <v>321</v>
      </c>
      <c r="C1644" s="1024"/>
      <c r="D1644" s="869">
        <v>96</v>
      </c>
      <c r="E1644" s="1027" t="s">
        <v>1834</v>
      </c>
      <c r="F1644" s="273" t="s">
        <v>3446</v>
      </c>
      <c r="G1644" s="1040" t="s">
        <v>3463</v>
      </c>
      <c r="H1644" s="273" t="s">
        <v>3462</v>
      </c>
      <c r="I1644" s="720">
        <f t="shared" si="363"/>
        <v>67.372799999999998</v>
      </c>
      <c r="J1644" s="780">
        <v>6467.7888000000003</v>
      </c>
      <c r="K1644" s="131">
        <f t="shared" si="356"/>
        <v>6467.7888000000003</v>
      </c>
      <c r="L1644" s="335">
        <f t="shared" si="352"/>
        <v>0</v>
      </c>
      <c r="M1644" s="446"/>
      <c r="N1644" s="446"/>
      <c r="O1644" s="446"/>
      <c r="P1644" s="446"/>
      <c r="Q1644" s="110">
        <f t="shared" si="358"/>
        <v>24</v>
      </c>
      <c r="R1644" s="111">
        <f t="shared" si="361"/>
        <v>1616.9472000000001</v>
      </c>
      <c r="S1644" s="110"/>
      <c r="T1644" s="110"/>
      <c r="U1644" s="110">
        <f t="shared" si="359"/>
        <v>24</v>
      </c>
      <c r="V1644" s="111">
        <f t="shared" si="362"/>
        <v>1616.9472000000001</v>
      </c>
      <c r="W1644" s="110"/>
      <c r="X1644" s="110"/>
      <c r="Y1644" s="110"/>
      <c r="Z1644" s="110"/>
      <c r="AA1644" s="110">
        <f t="shared" si="360"/>
        <v>24</v>
      </c>
      <c r="AB1644" s="111">
        <f t="shared" si="364"/>
        <v>1616.9472000000001</v>
      </c>
      <c r="AC1644" s="110"/>
      <c r="AD1644" s="110"/>
      <c r="AE1644" s="110">
        <f t="shared" si="360"/>
        <v>24</v>
      </c>
      <c r="AF1644" s="111">
        <f t="shared" si="365"/>
        <v>1616.9472000000001</v>
      </c>
      <c r="AG1644" s="110"/>
      <c r="AH1644" s="110"/>
      <c r="AI1644" s="110"/>
      <c r="AJ1644" s="110"/>
      <c r="AK1644" s="111">
        <f t="shared" si="353"/>
        <v>6467.7888000000003</v>
      </c>
      <c r="AL1644" s="446">
        <f t="shared" si="354"/>
        <v>0</v>
      </c>
      <c r="AM1644" s="110">
        <f t="shared" si="355"/>
        <v>96</v>
      </c>
      <c r="AN1644" s="447">
        <f t="shared" si="357"/>
        <v>0</v>
      </c>
      <c r="AO1644"/>
      <c r="AP1644"/>
    </row>
    <row r="1645" spans="1:42" ht="66" x14ac:dyDescent="0.25">
      <c r="A1645" s="40"/>
      <c r="B1645" s="41" t="s">
        <v>322</v>
      </c>
      <c r="C1645" s="1024"/>
      <c r="D1645" s="899">
        <v>576</v>
      </c>
      <c r="E1645" s="1027" t="s">
        <v>1834</v>
      </c>
      <c r="F1645" s="273" t="s">
        <v>3446</v>
      </c>
      <c r="G1645" s="1040" t="s">
        <v>3463</v>
      </c>
      <c r="H1645" s="273" t="s">
        <v>3462</v>
      </c>
      <c r="I1645" s="720">
        <f t="shared" si="363"/>
        <v>217.55800000000002</v>
      </c>
      <c r="J1645" s="780">
        <v>125313.40800000001</v>
      </c>
      <c r="K1645" s="131">
        <f t="shared" si="356"/>
        <v>125313.40800000001</v>
      </c>
      <c r="L1645" s="335">
        <f t="shared" si="352"/>
        <v>0</v>
      </c>
      <c r="M1645" s="446"/>
      <c r="N1645" s="446"/>
      <c r="O1645" s="446"/>
      <c r="P1645" s="446"/>
      <c r="Q1645" s="110">
        <f t="shared" si="358"/>
        <v>144</v>
      </c>
      <c r="R1645" s="111">
        <f t="shared" si="361"/>
        <v>31328.352000000003</v>
      </c>
      <c r="S1645" s="110"/>
      <c r="T1645" s="110"/>
      <c r="U1645" s="110">
        <f t="shared" si="359"/>
        <v>144</v>
      </c>
      <c r="V1645" s="111">
        <f t="shared" si="362"/>
        <v>31328.352000000003</v>
      </c>
      <c r="W1645" s="110"/>
      <c r="X1645" s="110"/>
      <c r="Y1645" s="110"/>
      <c r="Z1645" s="110"/>
      <c r="AA1645" s="110">
        <f t="shared" si="360"/>
        <v>144</v>
      </c>
      <c r="AB1645" s="111">
        <f t="shared" si="364"/>
        <v>31328.352000000003</v>
      </c>
      <c r="AC1645" s="110"/>
      <c r="AD1645" s="110"/>
      <c r="AE1645" s="110">
        <f t="shared" si="360"/>
        <v>144</v>
      </c>
      <c r="AF1645" s="111">
        <f t="shared" si="365"/>
        <v>31328.352000000003</v>
      </c>
      <c r="AG1645" s="110"/>
      <c r="AH1645" s="110"/>
      <c r="AI1645" s="110"/>
      <c r="AJ1645" s="110"/>
      <c r="AK1645" s="111">
        <f t="shared" si="353"/>
        <v>125313.40800000001</v>
      </c>
      <c r="AL1645" s="446">
        <f t="shared" si="354"/>
        <v>0</v>
      </c>
      <c r="AM1645" s="110">
        <f t="shared" si="355"/>
        <v>576</v>
      </c>
      <c r="AN1645" s="447">
        <f t="shared" si="357"/>
        <v>0</v>
      </c>
      <c r="AO1645"/>
      <c r="AP1645"/>
    </row>
    <row r="1646" spans="1:42" ht="66" x14ac:dyDescent="0.25">
      <c r="A1646" s="40"/>
      <c r="B1646" s="41" t="s">
        <v>323</v>
      </c>
      <c r="C1646" s="1024"/>
      <c r="D1646" s="869">
        <v>96</v>
      </c>
      <c r="E1646" s="1027" t="s">
        <v>1834</v>
      </c>
      <c r="F1646" s="273" t="s">
        <v>3446</v>
      </c>
      <c r="G1646" s="1040" t="s">
        <v>3463</v>
      </c>
      <c r="H1646" s="273" t="s">
        <v>3462</v>
      </c>
      <c r="I1646" s="720">
        <f t="shared" si="363"/>
        <v>67.372799999999998</v>
      </c>
      <c r="J1646" s="780">
        <v>6467.7888000000003</v>
      </c>
      <c r="K1646" s="131">
        <f t="shared" si="356"/>
        <v>6467.7888000000003</v>
      </c>
      <c r="L1646" s="335">
        <f t="shared" si="352"/>
        <v>0</v>
      </c>
      <c r="M1646" s="446"/>
      <c r="N1646" s="446"/>
      <c r="O1646" s="446"/>
      <c r="P1646" s="446"/>
      <c r="Q1646" s="110">
        <f t="shared" si="358"/>
        <v>24</v>
      </c>
      <c r="R1646" s="111">
        <f t="shared" si="361"/>
        <v>1616.9472000000001</v>
      </c>
      <c r="S1646" s="110"/>
      <c r="T1646" s="110"/>
      <c r="U1646" s="110">
        <f t="shared" si="359"/>
        <v>24</v>
      </c>
      <c r="V1646" s="111">
        <f t="shared" si="362"/>
        <v>1616.9472000000001</v>
      </c>
      <c r="W1646" s="110"/>
      <c r="X1646" s="110"/>
      <c r="Y1646" s="110"/>
      <c r="Z1646" s="110"/>
      <c r="AA1646" s="110">
        <f t="shared" si="360"/>
        <v>24</v>
      </c>
      <c r="AB1646" s="111">
        <f t="shared" si="364"/>
        <v>1616.9472000000001</v>
      </c>
      <c r="AC1646" s="110"/>
      <c r="AD1646" s="110"/>
      <c r="AE1646" s="110">
        <f t="shared" si="360"/>
        <v>24</v>
      </c>
      <c r="AF1646" s="111">
        <f t="shared" si="365"/>
        <v>1616.9472000000001</v>
      </c>
      <c r="AG1646" s="110"/>
      <c r="AH1646" s="110"/>
      <c r="AI1646" s="110"/>
      <c r="AJ1646" s="110"/>
      <c r="AK1646" s="111">
        <f t="shared" si="353"/>
        <v>6467.7888000000003</v>
      </c>
      <c r="AL1646" s="446">
        <f t="shared" si="354"/>
        <v>0</v>
      </c>
      <c r="AM1646" s="110">
        <f t="shared" si="355"/>
        <v>96</v>
      </c>
      <c r="AN1646" s="447">
        <f t="shared" si="357"/>
        <v>0</v>
      </c>
      <c r="AO1646"/>
      <c r="AP1646"/>
    </row>
    <row r="1647" spans="1:42" ht="66" x14ac:dyDescent="0.25">
      <c r="A1647" s="40"/>
      <c r="B1647" s="148" t="s">
        <v>1434</v>
      </c>
      <c r="C1647" s="1024"/>
      <c r="D1647" s="869">
        <v>88</v>
      </c>
      <c r="E1647" s="1027" t="s">
        <v>1834</v>
      </c>
      <c r="F1647" s="273" t="s">
        <v>3446</v>
      </c>
      <c r="G1647" s="1040" t="s">
        <v>3463</v>
      </c>
      <c r="H1647" s="273" t="s">
        <v>3462</v>
      </c>
      <c r="I1647" s="720">
        <f t="shared" si="363"/>
        <v>247.77602272727273</v>
      </c>
      <c r="J1647" s="780">
        <v>21804.29</v>
      </c>
      <c r="K1647" s="131">
        <f t="shared" si="356"/>
        <v>21804.29</v>
      </c>
      <c r="L1647" s="335">
        <f t="shared" si="352"/>
        <v>0</v>
      </c>
      <c r="M1647" s="446"/>
      <c r="N1647" s="446"/>
      <c r="O1647" s="446"/>
      <c r="P1647" s="446"/>
      <c r="Q1647" s="110">
        <f t="shared" si="358"/>
        <v>22</v>
      </c>
      <c r="R1647" s="111">
        <f t="shared" si="361"/>
        <v>5451.0725000000002</v>
      </c>
      <c r="S1647" s="110"/>
      <c r="T1647" s="110"/>
      <c r="U1647" s="110">
        <f t="shared" si="359"/>
        <v>22</v>
      </c>
      <c r="V1647" s="111">
        <f t="shared" si="362"/>
        <v>5451.0725000000002</v>
      </c>
      <c r="W1647" s="110"/>
      <c r="X1647" s="110"/>
      <c r="Y1647" s="110"/>
      <c r="Z1647" s="110"/>
      <c r="AA1647" s="110">
        <f t="shared" si="360"/>
        <v>22</v>
      </c>
      <c r="AB1647" s="111">
        <f t="shared" si="364"/>
        <v>5451.0725000000002</v>
      </c>
      <c r="AC1647" s="110"/>
      <c r="AD1647" s="110"/>
      <c r="AE1647" s="110">
        <f t="shared" si="360"/>
        <v>22</v>
      </c>
      <c r="AF1647" s="111">
        <f t="shared" si="365"/>
        <v>5451.0725000000002</v>
      </c>
      <c r="AG1647" s="110"/>
      <c r="AH1647" s="110"/>
      <c r="AI1647" s="110"/>
      <c r="AJ1647" s="110"/>
      <c r="AK1647" s="111">
        <f t="shared" si="353"/>
        <v>21804.29</v>
      </c>
      <c r="AL1647" s="446">
        <f t="shared" si="354"/>
        <v>0</v>
      </c>
      <c r="AM1647" s="110">
        <f t="shared" si="355"/>
        <v>88</v>
      </c>
      <c r="AN1647" s="447">
        <f t="shared" si="357"/>
        <v>0</v>
      </c>
      <c r="AO1647"/>
      <c r="AP1647"/>
    </row>
    <row r="1648" spans="1:42" ht="66" x14ac:dyDescent="0.25">
      <c r="A1648" s="40"/>
      <c r="B1648" s="225" t="s">
        <v>315</v>
      </c>
      <c r="C1648" s="1024"/>
      <c r="D1648" s="880">
        <v>261</v>
      </c>
      <c r="E1648" s="1027" t="s">
        <v>1834</v>
      </c>
      <c r="F1648" s="273" t="s">
        <v>3446</v>
      </c>
      <c r="G1648" s="1040" t="s">
        <v>3463</v>
      </c>
      <c r="H1648" s="273" t="s">
        <v>3462</v>
      </c>
      <c r="I1648" s="720">
        <f t="shared" si="363"/>
        <v>179.15039999999999</v>
      </c>
      <c r="J1648" s="780">
        <v>46758.254399999998</v>
      </c>
      <c r="K1648" s="131">
        <f t="shared" si="356"/>
        <v>46758.254399999998</v>
      </c>
      <c r="L1648" s="335">
        <f t="shared" si="352"/>
        <v>0</v>
      </c>
      <c r="M1648" s="446"/>
      <c r="N1648" s="446"/>
      <c r="O1648" s="446"/>
      <c r="P1648" s="446"/>
      <c r="Q1648" s="110">
        <v>63</v>
      </c>
      <c r="R1648" s="111">
        <f t="shared" si="361"/>
        <v>11689.563599999999</v>
      </c>
      <c r="S1648" s="110"/>
      <c r="T1648" s="110"/>
      <c r="U1648" s="110">
        <v>68</v>
      </c>
      <c r="V1648" s="111">
        <f t="shared" si="362"/>
        <v>11689.563599999999</v>
      </c>
      <c r="W1648" s="110"/>
      <c r="X1648" s="110"/>
      <c r="Y1648" s="110"/>
      <c r="Z1648" s="110"/>
      <c r="AA1648" s="110">
        <v>65</v>
      </c>
      <c r="AB1648" s="111">
        <f t="shared" si="364"/>
        <v>11689.563599999999</v>
      </c>
      <c r="AC1648" s="110"/>
      <c r="AD1648" s="110"/>
      <c r="AE1648" s="110">
        <v>65</v>
      </c>
      <c r="AF1648" s="111">
        <f t="shared" si="365"/>
        <v>11689.563599999999</v>
      </c>
      <c r="AG1648" s="110"/>
      <c r="AH1648" s="110"/>
      <c r="AI1648" s="110"/>
      <c r="AJ1648" s="110"/>
      <c r="AK1648" s="111">
        <f t="shared" si="353"/>
        <v>46758.254399999998</v>
      </c>
      <c r="AL1648" s="446">
        <f t="shared" si="354"/>
        <v>0</v>
      </c>
      <c r="AM1648" s="110">
        <f t="shared" si="355"/>
        <v>261</v>
      </c>
      <c r="AN1648" s="447">
        <f t="shared" si="357"/>
        <v>0</v>
      </c>
      <c r="AO1648"/>
      <c r="AP1648"/>
    </row>
    <row r="1649" spans="1:42" ht="66" x14ac:dyDescent="0.25">
      <c r="A1649" s="40"/>
      <c r="B1649" s="226" t="s">
        <v>2663</v>
      </c>
      <c r="C1649" s="1024"/>
      <c r="D1649" s="880">
        <v>416</v>
      </c>
      <c r="E1649" s="1027" t="s">
        <v>1834</v>
      </c>
      <c r="F1649" s="273" t="s">
        <v>3446</v>
      </c>
      <c r="G1649" s="1040" t="s">
        <v>3463</v>
      </c>
      <c r="H1649" s="273" t="s">
        <v>3462</v>
      </c>
      <c r="I1649" s="720">
        <f t="shared" si="363"/>
        <v>213.60239999999996</v>
      </c>
      <c r="J1649" s="780">
        <v>88858.598399999988</v>
      </c>
      <c r="K1649" s="131">
        <f t="shared" si="356"/>
        <v>88858.598399999988</v>
      </c>
      <c r="L1649" s="335">
        <f t="shared" si="352"/>
        <v>0</v>
      </c>
      <c r="M1649" s="446"/>
      <c r="N1649" s="446"/>
      <c r="O1649" s="446"/>
      <c r="P1649" s="446"/>
      <c r="Q1649" s="110">
        <f t="shared" si="358"/>
        <v>104</v>
      </c>
      <c r="R1649" s="111">
        <f t="shared" si="361"/>
        <v>22214.649599999997</v>
      </c>
      <c r="S1649" s="110"/>
      <c r="T1649" s="110"/>
      <c r="U1649" s="110">
        <f t="shared" si="359"/>
        <v>104</v>
      </c>
      <c r="V1649" s="111">
        <f t="shared" si="362"/>
        <v>22214.649599999997</v>
      </c>
      <c r="W1649" s="110"/>
      <c r="X1649" s="110"/>
      <c r="Y1649" s="110"/>
      <c r="Z1649" s="110"/>
      <c r="AA1649" s="110">
        <f t="shared" si="360"/>
        <v>104</v>
      </c>
      <c r="AB1649" s="111">
        <f t="shared" si="364"/>
        <v>22214.649599999997</v>
      </c>
      <c r="AC1649" s="110"/>
      <c r="AD1649" s="110"/>
      <c r="AE1649" s="110">
        <f t="shared" si="360"/>
        <v>104</v>
      </c>
      <c r="AF1649" s="111">
        <f t="shared" si="365"/>
        <v>22214.649599999997</v>
      </c>
      <c r="AG1649" s="110"/>
      <c r="AH1649" s="110"/>
      <c r="AI1649" s="110"/>
      <c r="AJ1649" s="110"/>
      <c r="AK1649" s="111">
        <f t="shared" si="353"/>
        <v>88858.598399999988</v>
      </c>
      <c r="AL1649" s="446">
        <f t="shared" si="354"/>
        <v>0</v>
      </c>
      <c r="AM1649" s="110">
        <f t="shared" si="355"/>
        <v>416</v>
      </c>
      <c r="AN1649" s="447">
        <f t="shared" si="357"/>
        <v>0</v>
      </c>
      <c r="AO1649"/>
      <c r="AP1649"/>
    </row>
    <row r="1650" spans="1:42" ht="66" x14ac:dyDescent="0.25">
      <c r="A1650" s="40"/>
      <c r="B1650" s="226" t="s">
        <v>323</v>
      </c>
      <c r="C1650" s="1024"/>
      <c r="D1650" s="880">
        <v>192</v>
      </c>
      <c r="E1650" s="1027" t="s">
        <v>1834</v>
      </c>
      <c r="F1650" s="273" t="s">
        <v>3446</v>
      </c>
      <c r="G1650" s="1040" t="s">
        <v>3463</v>
      </c>
      <c r="H1650" s="273" t="s">
        <v>3462</v>
      </c>
      <c r="I1650" s="720">
        <f t="shared" si="363"/>
        <v>66.143199999999993</v>
      </c>
      <c r="J1650" s="780">
        <v>12699.4944</v>
      </c>
      <c r="K1650" s="131">
        <f t="shared" si="356"/>
        <v>12699.4944</v>
      </c>
      <c r="L1650" s="335">
        <f t="shared" si="352"/>
        <v>0</v>
      </c>
      <c r="M1650" s="446"/>
      <c r="N1650" s="446"/>
      <c r="O1650" s="446"/>
      <c r="P1650" s="446"/>
      <c r="Q1650" s="110">
        <f t="shared" si="358"/>
        <v>48</v>
      </c>
      <c r="R1650" s="111">
        <f t="shared" si="361"/>
        <v>3174.8735999999999</v>
      </c>
      <c r="S1650" s="110"/>
      <c r="T1650" s="110"/>
      <c r="U1650" s="110">
        <f t="shared" si="359"/>
        <v>48</v>
      </c>
      <c r="V1650" s="111">
        <f t="shared" si="362"/>
        <v>3174.8735999999999</v>
      </c>
      <c r="W1650" s="110"/>
      <c r="X1650" s="110"/>
      <c r="Y1650" s="110"/>
      <c r="Z1650" s="110"/>
      <c r="AA1650" s="110">
        <f t="shared" si="360"/>
        <v>48</v>
      </c>
      <c r="AB1650" s="111">
        <f t="shared" si="364"/>
        <v>3174.8735999999999</v>
      </c>
      <c r="AC1650" s="110"/>
      <c r="AD1650" s="110"/>
      <c r="AE1650" s="110">
        <f t="shared" si="360"/>
        <v>48</v>
      </c>
      <c r="AF1650" s="111">
        <f t="shared" si="365"/>
        <v>3174.8735999999999</v>
      </c>
      <c r="AG1650" s="110"/>
      <c r="AH1650" s="110"/>
      <c r="AI1650" s="110"/>
      <c r="AJ1650" s="110"/>
      <c r="AK1650" s="111">
        <f t="shared" si="353"/>
        <v>12699.4944</v>
      </c>
      <c r="AL1650" s="446">
        <f t="shared" si="354"/>
        <v>0</v>
      </c>
      <c r="AM1650" s="110">
        <f t="shared" si="355"/>
        <v>192</v>
      </c>
      <c r="AN1650" s="447">
        <f t="shared" si="357"/>
        <v>0</v>
      </c>
      <c r="AO1650"/>
      <c r="AP1650"/>
    </row>
    <row r="1651" spans="1:42" ht="66" x14ac:dyDescent="0.25">
      <c r="A1651" s="40"/>
      <c r="B1651" s="226" t="s">
        <v>321</v>
      </c>
      <c r="C1651" s="1024"/>
      <c r="D1651" s="880">
        <v>192</v>
      </c>
      <c r="E1651" s="1027" t="s">
        <v>1834</v>
      </c>
      <c r="F1651" s="273" t="s">
        <v>3446</v>
      </c>
      <c r="G1651" s="1040" t="s">
        <v>3463</v>
      </c>
      <c r="H1651" s="273" t="s">
        <v>3462</v>
      </c>
      <c r="I1651" s="720">
        <f t="shared" si="363"/>
        <v>66.143199999999993</v>
      </c>
      <c r="J1651" s="780">
        <v>12699.4944</v>
      </c>
      <c r="K1651" s="131">
        <f t="shared" si="356"/>
        <v>12699.4944</v>
      </c>
      <c r="L1651" s="335">
        <f t="shared" si="352"/>
        <v>0</v>
      </c>
      <c r="M1651" s="446"/>
      <c r="N1651" s="446"/>
      <c r="O1651" s="446"/>
      <c r="P1651" s="446"/>
      <c r="Q1651" s="110">
        <f t="shared" si="358"/>
        <v>48</v>
      </c>
      <c r="R1651" s="111">
        <f t="shared" si="361"/>
        <v>3174.8735999999999</v>
      </c>
      <c r="S1651" s="110"/>
      <c r="T1651" s="110"/>
      <c r="U1651" s="110">
        <f t="shared" si="359"/>
        <v>48</v>
      </c>
      <c r="V1651" s="111">
        <f t="shared" si="362"/>
        <v>3174.8735999999999</v>
      </c>
      <c r="W1651" s="110"/>
      <c r="X1651" s="110"/>
      <c r="Y1651" s="110"/>
      <c r="Z1651" s="110"/>
      <c r="AA1651" s="110">
        <f t="shared" si="360"/>
        <v>48</v>
      </c>
      <c r="AB1651" s="111">
        <f t="shared" si="364"/>
        <v>3174.8735999999999</v>
      </c>
      <c r="AC1651" s="110"/>
      <c r="AD1651" s="110"/>
      <c r="AE1651" s="110">
        <f t="shared" si="360"/>
        <v>48</v>
      </c>
      <c r="AF1651" s="111">
        <f t="shared" si="365"/>
        <v>3174.8735999999999</v>
      </c>
      <c r="AG1651" s="110"/>
      <c r="AH1651" s="110"/>
      <c r="AI1651" s="110"/>
      <c r="AJ1651" s="110"/>
      <c r="AK1651" s="111">
        <f t="shared" si="353"/>
        <v>12699.4944</v>
      </c>
      <c r="AL1651" s="446">
        <f t="shared" si="354"/>
        <v>0</v>
      </c>
      <c r="AM1651" s="110">
        <f t="shared" si="355"/>
        <v>192</v>
      </c>
      <c r="AN1651" s="447">
        <f t="shared" si="357"/>
        <v>0</v>
      </c>
      <c r="AO1651"/>
      <c r="AP1651"/>
    </row>
    <row r="1652" spans="1:42" ht="66" x14ac:dyDescent="0.25">
      <c r="A1652" s="369"/>
      <c r="B1652" s="370" t="s">
        <v>2662</v>
      </c>
      <c r="C1652" s="31"/>
      <c r="D1652" s="881">
        <v>151</v>
      </c>
      <c r="E1652" s="1023" t="s">
        <v>1834</v>
      </c>
      <c r="F1652" s="273" t="s">
        <v>3446</v>
      </c>
      <c r="G1652" s="1040" t="s">
        <v>3463</v>
      </c>
      <c r="H1652" s="273" t="s">
        <v>3462</v>
      </c>
      <c r="I1652" s="731">
        <f t="shared" si="363"/>
        <v>165.88</v>
      </c>
      <c r="J1652" s="787">
        <v>25047.88</v>
      </c>
      <c r="K1652" s="131">
        <f t="shared" si="356"/>
        <v>25047.88</v>
      </c>
      <c r="L1652" s="335">
        <f t="shared" ref="L1652:L1715" si="366">+J1652-K1652</f>
        <v>0</v>
      </c>
      <c r="M1652" s="446"/>
      <c r="N1652" s="446"/>
      <c r="O1652" s="446"/>
      <c r="P1652" s="446"/>
      <c r="Q1652" s="110">
        <v>60</v>
      </c>
      <c r="R1652" s="111">
        <f t="shared" si="361"/>
        <v>6261.97</v>
      </c>
      <c r="S1652" s="110"/>
      <c r="T1652" s="110"/>
      <c r="U1652" s="110">
        <v>50</v>
      </c>
      <c r="V1652" s="111">
        <f t="shared" si="362"/>
        <v>6261.97</v>
      </c>
      <c r="W1652" s="110"/>
      <c r="X1652" s="110"/>
      <c r="Y1652" s="110"/>
      <c r="Z1652" s="110"/>
      <c r="AA1652" s="110">
        <v>40</v>
      </c>
      <c r="AB1652" s="111">
        <f t="shared" si="364"/>
        <v>6261.97</v>
      </c>
      <c r="AC1652" s="110"/>
      <c r="AD1652" s="110"/>
      <c r="AE1652" s="110">
        <v>1</v>
      </c>
      <c r="AF1652" s="111">
        <f t="shared" si="365"/>
        <v>6261.97</v>
      </c>
      <c r="AG1652" s="110"/>
      <c r="AH1652" s="110"/>
      <c r="AI1652" s="110"/>
      <c r="AJ1652" s="110"/>
      <c r="AK1652" s="111">
        <f t="shared" ref="AK1652:AK1715" si="367">+R1652+V1652+AB1652+AF1652</f>
        <v>25047.88</v>
      </c>
      <c r="AL1652" s="446">
        <f t="shared" ref="AL1652:AL1715" si="368">+J1652-AK1652</f>
        <v>0</v>
      </c>
      <c r="AM1652" s="110">
        <f t="shared" ref="AM1652:AM1715" si="369">+Q1652+U1652+AA1652+AE1652</f>
        <v>151</v>
      </c>
      <c r="AN1652" s="447">
        <f t="shared" si="357"/>
        <v>0</v>
      </c>
      <c r="AO1652"/>
      <c r="AP1652"/>
    </row>
    <row r="1653" spans="1:42" x14ac:dyDescent="0.25">
      <c r="A1653" s="310">
        <v>22103</v>
      </c>
      <c r="B1653" s="471" t="s">
        <v>324</v>
      </c>
      <c r="C1653" s="311"/>
      <c r="D1653" s="902"/>
      <c r="E1653" s="311"/>
      <c r="F1653" s="371"/>
      <c r="G1653" s="371"/>
      <c r="H1653" s="371"/>
      <c r="I1653" s="729"/>
      <c r="J1653" s="783"/>
      <c r="K1653" s="131">
        <f t="shared" si="356"/>
        <v>0</v>
      </c>
      <c r="L1653" s="335">
        <f t="shared" si="366"/>
        <v>0</v>
      </c>
      <c r="M1653" s="449"/>
      <c r="N1653" s="449"/>
      <c r="O1653" s="449"/>
      <c r="P1653" s="449"/>
      <c r="Q1653" s="448">
        <f t="shared" si="358"/>
        <v>0</v>
      </c>
      <c r="R1653" s="317">
        <f t="shared" si="361"/>
        <v>0</v>
      </c>
      <c r="S1653" s="448"/>
      <c r="T1653" s="448"/>
      <c r="U1653" s="448">
        <f t="shared" si="359"/>
        <v>0</v>
      </c>
      <c r="V1653" s="317">
        <f t="shared" si="362"/>
        <v>0</v>
      </c>
      <c r="W1653" s="448"/>
      <c r="X1653" s="448"/>
      <c r="Y1653" s="448"/>
      <c r="Z1653" s="448"/>
      <c r="AA1653" s="448">
        <f t="shared" si="360"/>
        <v>0</v>
      </c>
      <c r="AB1653" s="317">
        <f t="shared" si="364"/>
        <v>0</v>
      </c>
      <c r="AC1653" s="448"/>
      <c r="AD1653" s="448"/>
      <c r="AE1653" s="448">
        <f t="shared" si="360"/>
        <v>0</v>
      </c>
      <c r="AF1653" s="317">
        <f t="shared" si="365"/>
        <v>0</v>
      </c>
      <c r="AG1653" s="448"/>
      <c r="AH1653" s="448"/>
      <c r="AI1653" s="448"/>
      <c r="AJ1653" s="448"/>
      <c r="AK1653" s="317">
        <f t="shared" si="367"/>
        <v>0</v>
      </c>
      <c r="AL1653" s="449">
        <f t="shared" si="368"/>
        <v>0</v>
      </c>
      <c r="AM1653" s="448">
        <f t="shared" si="369"/>
        <v>0</v>
      </c>
      <c r="AN1653" s="450">
        <f t="shared" si="357"/>
        <v>0</v>
      </c>
      <c r="AO1653" s="436">
        <f>SUM(J1654:J1656)</f>
        <v>149876.54</v>
      </c>
      <c r="AP1653" s="111"/>
    </row>
    <row r="1654" spans="1:42" s="108" customFormat="1" ht="66" x14ac:dyDescent="0.25">
      <c r="A1654" s="9"/>
      <c r="B1654" s="43" t="s">
        <v>325</v>
      </c>
      <c r="C1654" s="1024"/>
      <c r="D1654" s="869">
        <v>96</v>
      </c>
      <c r="E1654" s="1027" t="s">
        <v>1834</v>
      </c>
      <c r="F1654" s="273" t="s">
        <v>3446</v>
      </c>
      <c r="G1654" s="1040" t="s">
        <v>3463</v>
      </c>
      <c r="H1654" s="273" t="s">
        <v>3462</v>
      </c>
      <c r="I1654" s="722">
        <f>+J1654/D1654</f>
        <v>190.12395833333335</v>
      </c>
      <c r="J1654" s="780">
        <v>18251.900000000001</v>
      </c>
      <c r="K1654" s="131">
        <f t="shared" si="356"/>
        <v>18251.900000000001</v>
      </c>
      <c r="L1654" s="335">
        <f t="shared" si="366"/>
        <v>0</v>
      </c>
      <c r="M1654" s="335"/>
      <c r="N1654" s="335"/>
      <c r="O1654" s="335"/>
      <c r="P1654" s="335"/>
      <c r="Q1654" s="130">
        <f t="shared" si="358"/>
        <v>24</v>
      </c>
      <c r="R1654" s="131">
        <f t="shared" si="361"/>
        <v>4562.9750000000004</v>
      </c>
      <c r="S1654" s="130"/>
      <c r="T1654" s="130"/>
      <c r="U1654" s="130">
        <f t="shared" si="359"/>
        <v>24</v>
      </c>
      <c r="V1654" s="131">
        <f t="shared" si="362"/>
        <v>4562.9750000000004</v>
      </c>
      <c r="W1654" s="130"/>
      <c r="X1654" s="130"/>
      <c r="Y1654" s="130"/>
      <c r="Z1654" s="130"/>
      <c r="AA1654" s="130">
        <f t="shared" si="360"/>
        <v>24</v>
      </c>
      <c r="AB1654" s="131">
        <f t="shared" si="364"/>
        <v>4562.9750000000004</v>
      </c>
      <c r="AC1654" s="130"/>
      <c r="AD1654" s="130"/>
      <c r="AE1654" s="130">
        <f t="shared" si="360"/>
        <v>24</v>
      </c>
      <c r="AF1654" s="131">
        <f t="shared" si="365"/>
        <v>4562.9750000000004</v>
      </c>
      <c r="AG1654" s="130"/>
      <c r="AH1654" s="130"/>
      <c r="AI1654" s="130"/>
      <c r="AJ1654" s="130"/>
      <c r="AK1654" s="131">
        <f t="shared" si="367"/>
        <v>18251.900000000001</v>
      </c>
      <c r="AL1654" s="335">
        <f t="shared" si="368"/>
        <v>0</v>
      </c>
      <c r="AM1654" s="130">
        <f t="shared" si="369"/>
        <v>96</v>
      </c>
      <c r="AN1654" s="336">
        <f t="shared" si="357"/>
        <v>0</v>
      </c>
    </row>
    <row r="1655" spans="1:42" s="108" customFormat="1" ht="66" x14ac:dyDescent="0.25">
      <c r="A1655" s="9"/>
      <c r="B1655" s="45" t="s">
        <v>326</v>
      </c>
      <c r="C1655" s="1024"/>
      <c r="D1655" s="869">
        <f>33+48+128</f>
        <v>209</v>
      </c>
      <c r="E1655" s="1027" t="s">
        <v>1834</v>
      </c>
      <c r="F1655" s="273" t="s">
        <v>3446</v>
      </c>
      <c r="G1655" s="1040" t="s">
        <v>3463</v>
      </c>
      <c r="H1655" s="273" t="s">
        <v>3462</v>
      </c>
      <c r="I1655" s="722">
        <f>+J1655/D1655</f>
        <v>383.0637320574163</v>
      </c>
      <c r="J1655" s="780">
        <f>14243.22+18190.66+47626.44</f>
        <v>80060.320000000007</v>
      </c>
      <c r="K1655" s="131">
        <f t="shared" si="356"/>
        <v>80060.320000000007</v>
      </c>
      <c r="L1655" s="335">
        <f t="shared" si="366"/>
        <v>0</v>
      </c>
      <c r="M1655" s="335"/>
      <c r="N1655" s="335"/>
      <c r="O1655" s="335"/>
      <c r="P1655" s="335"/>
      <c r="Q1655" s="130">
        <v>70</v>
      </c>
      <c r="R1655" s="131">
        <f t="shared" si="361"/>
        <v>20015.080000000002</v>
      </c>
      <c r="S1655" s="130"/>
      <c r="T1655" s="130"/>
      <c r="U1655" s="130">
        <v>50</v>
      </c>
      <c r="V1655" s="131">
        <f t="shared" si="362"/>
        <v>20015.080000000002</v>
      </c>
      <c r="W1655" s="130"/>
      <c r="X1655" s="130"/>
      <c r="Y1655" s="130"/>
      <c r="Z1655" s="130"/>
      <c r="AA1655" s="130">
        <v>45</v>
      </c>
      <c r="AB1655" s="131">
        <f t="shared" si="364"/>
        <v>20015.080000000002</v>
      </c>
      <c r="AC1655" s="130"/>
      <c r="AD1655" s="130"/>
      <c r="AE1655" s="130">
        <v>44</v>
      </c>
      <c r="AF1655" s="131">
        <f t="shared" si="365"/>
        <v>20015.080000000002</v>
      </c>
      <c r="AG1655" s="130"/>
      <c r="AH1655" s="130"/>
      <c r="AI1655" s="130"/>
      <c r="AJ1655" s="130"/>
      <c r="AK1655" s="131">
        <f t="shared" si="367"/>
        <v>80060.320000000007</v>
      </c>
      <c r="AL1655" s="335">
        <f t="shared" si="368"/>
        <v>0</v>
      </c>
      <c r="AM1655" s="130">
        <f t="shared" si="369"/>
        <v>209</v>
      </c>
      <c r="AN1655" s="336">
        <f t="shared" si="357"/>
        <v>0</v>
      </c>
    </row>
    <row r="1656" spans="1:42" s="108" customFormat="1" ht="66" x14ac:dyDescent="0.25">
      <c r="A1656" s="368"/>
      <c r="B1656" s="542" t="s">
        <v>327</v>
      </c>
      <c r="C1656" s="31"/>
      <c r="D1656" s="905">
        <f>60+280</f>
        <v>340</v>
      </c>
      <c r="E1656" s="1023" t="s">
        <v>1834</v>
      </c>
      <c r="F1656" s="273" t="s">
        <v>3446</v>
      </c>
      <c r="G1656" s="1040" t="s">
        <v>3463</v>
      </c>
      <c r="H1656" s="273" t="s">
        <v>3462</v>
      </c>
      <c r="I1656" s="732">
        <f>+J1656/D1656</f>
        <v>151.65976470588234</v>
      </c>
      <c r="J1656" s="758">
        <f>9340.32+42224</f>
        <v>51564.32</v>
      </c>
      <c r="K1656" s="131">
        <f t="shared" si="356"/>
        <v>51564.319999999992</v>
      </c>
      <c r="L1656" s="335">
        <f t="shared" si="366"/>
        <v>0</v>
      </c>
      <c r="M1656" s="335"/>
      <c r="N1656" s="335"/>
      <c r="O1656" s="335"/>
      <c r="P1656" s="335"/>
      <c r="Q1656" s="130">
        <f t="shared" si="358"/>
        <v>85</v>
      </c>
      <c r="R1656" s="131">
        <f t="shared" si="361"/>
        <v>12891.08</v>
      </c>
      <c r="S1656" s="130"/>
      <c r="T1656" s="130"/>
      <c r="U1656" s="130">
        <f t="shared" si="359"/>
        <v>85</v>
      </c>
      <c r="V1656" s="131">
        <f t="shared" si="362"/>
        <v>12891.08</v>
      </c>
      <c r="W1656" s="130"/>
      <c r="X1656" s="130"/>
      <c r="Y1656" s="130"/>
      <c r="Z1656" s="130"/>
      <c r="AA1656" s="130">
        <f t="shared" si="360"/>
        <v>85</v>
      </c>
      <c r="AB1656" s="131">
        <f t="shared" si="364"/>
        <v>12891.08</v>
      </c>
      <c r="AC1656" s="130"/>
      <c r="AD1656" s="130"/>
      <c r="AE1656" s="130">
        <f t="shared" si="360"/>
        <v>85</v>
      </c>
      <c r="AF1656" s="131">
        <f t="shared" si="365"/>
        <v>12891.08</v>
      </c>
      <c r="AG1656" s="130"/>
      <c r="AH1656" s="130"/>
      <c r="AI1656" s="130"/>
      <c r="AJ1656" s="130"/>
      <c r="AK1656" s="131">
        <f t="shared" si="367"/>
        <v>51564.32</v>
      </c>
      <c r="AL1656" s="335">
        <f t="shared" si="368"/>
        <v>0</v>
      </c>
      <c r="AM1656" s="130">
        <f t="shared" si="369"/>
        <v>340</v>
      </c>
      <c r="AN1656" s="336">
        <f t="shared" si="357"/>
        <v>0</v>
      </c>
    </row>
    <row r="1657" spans="1:42" x14ac:dyDescent="0.25">
      <c r="A1657" s="310">
        <v>22104</v>
      </c>
      <c r="B1657" s="471" t="s">
        <v>328</v>
      </c>
      <c r="C1657" s="311"/>
      <c r="D1657" s="906"/>
      <c r="E1657" s="372"/>
      <c r="F1657" s="373"/>
      <c r="G1657" s="373"/>
      <c r="H1657" s="373"/>
      <c r="I1657" s="729"/>
      <c r="J1657" s="788"/>
      <c r="K1657" s="131">
        <f t="shared" si="356"/>
        <v>0</v>
      </c>
      <c r="L1657" s="335">
        <f t="shared" si="366"/>
        <v>0</v>
      </c>
      <c r="M1657" s="449"/>
      <c r="N1657" s="449"/>
      <c r="O1657" s="449"/>
      <c r="P1657" s="449"/>
      <c r="Q1657" s="448">
        <f t="shared" si="358"/>
        <v>0</v>
      </c>
      <c r="R1657" s="317">
        <f t="shared" si="361"/>
        <v>0</v>
      </c>
      <c r="S1657" s="448"/>
      <c r="T1657" s="448"/>
      <c r="U1657" s="448">
        <f t="shared" si="359"/>
        <v>0</v>
      </c>
      <c r="V1657" s="317">
        <f t="shared" si="362"/>
        <v>0</v>
      </c>
      <c r="W1657" s="448"/>
      <c r="X1657" s="448"/>
      <c r="Y1657" s="448"/>
      <c r="Z1657" s="448"/>
      <c r="AA1657" s="448">
        <f t="shared" si="360"/>
        <v>0</v>
      </c>
      <c r="AB1657" s="317">
        <f t="shared" si="364"/>
        <v>0</v>
      </c>
      <c r="AC1657" s="448"/>
      <c r="AD1657" s="448"/>
      <c r="AE1657" s="448">
        <f t="shared" si="360"/>
        <v>0</v>
      </c>
      <c r="AF1657" s="317">
        <f t="shared" si="365"/>
        <v>0</v>
      </c>
      <c r="AG1657" s="448"/>
      <c r="AH1657" s="448"/>
      <c r="AI1657" s="448"/>
      <c r="AJ1657" s="448"/>
      <c r="AK1657" s="317">
        <f t="shared" si="367"/>
        <v>0</v>
      </c>
      <c r="AL1657" s="449">
        <f t="shared" si="368"/>
        <v>0</v>
      </c>
      <c r="AM1657" s="448">
        <f t="shared" si="369"/>
        <v>0</v>
      </c>
      <c r="AN1657" s="450">
        <f t="shared" si="357"/>
        <v>0</v>
      </c>
      <c r="AO1657" s="436">
        <f>SUM(J1658:J1751)</f>
        <v>939135.28520000027</v>
      </c>
      <c r="AP1657" s="111"/>
    </row>
    <row r="1658" spans="1:42" ht="66" x14ac:dyDescent="0.25">
      <c r="A1658" s="40"/>
      <c r="B1658" s="43" t="s">
        <v>329</v>
      </c>
      <c r="C1658" s="1028"/>
      <c r="D1658" s="869">
        <v>16</v>
      </c>
      <c r="E1658" s="1027" t="s">
        <v>1834</v>
      </c>
      <c r="F1658" s="273" t="s">
        <v>3446</v>
      </c>
      <c r="G1658" s="1040" t="s">
        <v>3463</v>
      </c>
      <c r="H1658" s="273" t="s">
        <v>3462</v>
      </c>
      <c r="I1658" s="720">
        <f t="shared" ref="I1658:I1721" si="370">+J1658/D1658</f>
        <v>152.68562499999999</v>
      </c>
      <c r="J1658" s="780">
        <f>2442.97</f>
        <v>2442.9699999999998</v>
      </c>
      <c r="K1658" s="131">
        <f t="shared" si="356"/>
        <v>2442.9699999999998</v>
      </c>
      <c r="L1658" s="335">
        <f t="shared" si="366"/>
        <v>0</v>
      </c>
      <c r="M1658" s="446"/>
      <c r="N1658" s="446"/>
      <c r="O1658" s="446"/>
      <c r="P1658" s="446"/>
      <c r="Q1658" s="110">
        <f t="shared" si="358"/>
        <v>4</v>
      </c>
      <c r="R1658" s="111">
        <f t="shared" si="361"/>
        <v>610.74249999999995</v>
      </c>
      <c r="S1658" s="110"/>
      <c r="T1658" s="110"/>
      <c r="U1658" s="110">
        <f t="shared" si="359"/>
        <v>4</v>
      </c>
      <c r="V1658" s="111">
        <f t="shared" si="362"/>
        <v>610.74249999999995</v>
      </c>
      <c r="W1658" s="110"/>
      <c r="X1658" s="110"/>
      <c r="Y1658" s="110"/>
      <c r="Z1658" s="110"/>
      <c r="AA1658" s="110">
        <f t="shared" si="360"/>
        <v>4</v>
      </c>
      <c r="AB1658" s="111">
        <f t="shared" si="364"/>
        <v>610.74249999999995</v>
      </c>
      <c r="AC1658" s="110"/>
      <c r="AD1658" s="110"/>
      <c r="AE1658" s="110">
        <f t="shared" si="360"/>
        <v>4</v>
      </c>
      <c r="AF1658" s="111">
        <f t="shared" si="365"/>
        <v>610.74249999999995</v>
      </c>
      <c r="AG1658" s="110"/>
      <c r="AH1658" s="110"/>
      <c r="AI1658" s="110"/>
      <c r="AJ1658" s="110"/>
      <c r="AK1658" s="111">
        <f t="shared" si="367"/>
        <v>2442.9699999999998</v>
      </c>
      <c r="AL1658" s="446">
        <f t="shared" si="368"/>
        <v>0</v>
      </c>
      <c r="AM1658" s="110">
        <f t="shared" si="369"/>
        <v>16</v>
      </c>
      <c r="AN1658" s="447">
        <f t="shared" si="357"/>
        <v>0</v>
      </c>
      <c r="AO1658"/>
      <c r="AP1658"/>
    </row>
    <row r="1659" spans="1:42" ht="66" x14ac:dyDescent="0.25">
      <c r="A1659" s="40"/>
      <c r="B1659" s="43" t="s">
        <v>330</v>
      </c>
      <c r="C1659" s="1028"/>
      <c r="D1659" s="869">
        <f>22</f>
        <v>22</v>
      </c>
      <c r="E1659" s="1027" t="s">
        <v>1834</v>
      </c>
      <c r="F1659" s="273" t="s">
        <v>3446</v>
      </c>
      <c r="G1659" s="1040" t="s">
        <v>3463</v>
      </c>
      <c r="H1659" s="273" t="s">
        <v>3462</v>
      </c>
      <c r="I1659" s="720">
        <f t="shared" si="370"/>
        <v>47.045909090909092</v>
      </c>
      <c r="J1659" s="780">
        <f>1035.01</f>
        <v>1035.01</v>
      </c>
      <c r="K1659" s="131">
        <f t="shared" si="356"/>
        <v>1035.01</v>
      </c>
      <c r="L1659" s="335">
        <f t="shared" si="366"/>
        <v>0</v>
      </c>
      <c r="M1659" s="446"/>
      <c r="N1659" s="446"/>
      <c r="O1659" s="446"/>
      <c r="P1659" s="446"/>
      <c r="Q1659" s="110">
        <v>6</v>
      </c>
      <c r="R1659" s="111">
        <f t="shared" si="361"/>
        <v>258.7525</v>
      </c>
      <c r="S1659" s="110"/>
      <c r="T1659" s="110"/>
      <c r="U1659" s="110">
        <v>6</v>
      </c>
      <c r="V1659" s="111">
        <f t="shared" si="362"/>
        <v>258.7525</v>
      </c>
      <c r="W1659" s="110"/>
      <c r="X1659" s="110"/>
      <c r="Y1659" s="110"/>
      <c r="Z1659" s="110"/>
      <c r="AA1659" s="110">
        <v>5</v>
      </c>
      <c r="AB1659" s="111">
        <f t="shared" si="364"/>
        <v>258.7525</v>
      </c>
      <c r="AC1659" s="110"/>
      <c r="AD1659" s="110"/>
      <c r="AE1659" s="110">
        <v>5</v>
      </c>
      <c r="AF1659" s="111">
        <f t="shared" si="365"/>
        <v>258.7525</v>
      </c>
      <c r="AG1659" s="110"/>
      <c r="AH1659" s="110"/>
      <c r="AI1659" s="110"/>
      <c r="AJ1659" s="110"/>
      <c r="AK1659" s="111">
        <f t="shared" si="367"/>
        <v>1035.01</v>
      </c>
      <c r="AL1659" s="446">
        <f t="shared" si="368"/>
        <v>0</v>
      </c>
      <c r="AM1659" s="110">
        <f t="shared" si="369"/>
        <v>22</v>
      </c>
      <c r="AN1659" s="447">
        <f t="shared" si="357"/>
        <v>0</v>
      </c>
      <c r="AO1659"/>
      <c r="AP1659"/>
    </row>
    <row r="1660" spans="1:42" ht="66" x14ac:dyDescent="0.25">
      <c r="A1660" s="40"/>
      <c r="B1660" s="43" t="s">
        <v>331</v>
      </c>
      <c r="C1660" s="1028"/>
      <c r="D1660" s="869">
        <f>220+366</f>
        <v>586</v>
      </c>
      <c r="E1660" s="1027" t="s">
        <v>1834</v>
      </c>
      <c r="F1660" s="273" t="s">
        <v>3446</v>
      </c>
      <c r="G1660" s="1040" t="s">
        <v>3463</v>
      </c>
      <c r="H1660" s="273" t="s">
        <v>3462</v>
      </c>
      <c r="I1660" s="720">
        <f t="shared" si="370"/>
        <v>52.801313993174062</v>
      </c>
      <c r="J1660" s="780">
        <f>11228.8+19712.77</f>
        <v>30941.57</v>
      </c>
      <c r="K1660" s="131">
        <f t="shared" si="356"/>
        <v>30941.57</v>
      </c>
      <c r="L1660" s="335">
        <f t="shared" si="366"/>
        <v>0</v>
      </c>
      <c r="M1660" s="446"/>
      <c r="N1660" s="446"/>
      <c r="O1660" s="446"/>
      <c r="P1660" s="446"/>
      <c r="Q1660" s="110">
        <f t="shared" si="358"/>
        <v>146.5</v>
      </c>
      <c r="R1660" s="111">
        <f t="shared" si="361"/>
        <v>7735.3924999999999</v>
      </c>
      <c r="S1660" s="110"/>
      <c r="T1660" s="110"/>
      <c r="U1660" s="110">
        <f t="shared" si="359"/>
        <v>146.5</v>
      </c>
      <c r="V1660" s="111">
        <f t="shared" si="362"/>
        <v>7735.3924999999999</v>
      </c>
      <c r="W1660" s="110"/>
      <c r="X1660" s="110"/>
      <c r="Y1660" s="110"/>
      <c r="Z1660" s="110"/>
      <c r="AA1660" s="110">
        <f t="shared" si="360"/>
        <v>146.5</v>
      </c>
      <c r="AB1660" s="111">
        <f t="shared" si="364"/>
        <v>7735.3924999999999</v>
      </c>
      <c r="AC1660" s="110"/>
      <c r="AD1660" s="110"/>
      <c r="AE1660" s="110">
        <f t="shared" si="360"/>
        <v>146.5</v>
      </c>
      <c r="AF1660" s="111">
        <f t="shared" si="365"/>
        <v>7735.3924999999999</v>
      </c>
      <c r="AG1660" s="110"/>
      <c r="AH1660" s="110"/>
      <c r="AI1660" s="110"/>
      <c r="AJ1660" s="110"/>
      <c r="AK1660" s="111">
        <f t="shared" si="367"/>
        <v>30941.57</v>
      </c>
      <c r="AL1660" s="446">
        <f t="shared" si="368"/>
        <v>0</v>
      </c>
      <c r="AM1660" s="110">
        <f t="shared" si="369"/>
        <v>586</v>
      </c>
      <c r="AN1660" s="447">
        <f t="shared" si="357"/>
        <v>0</v>
      </c>
      <c r="AO1660"/>
      <c r="AP1660"/>
    </row>
    <row r="1661" spans="1:42" ht="66" x14ac:dyDescent="0.25">
      <c r="A1661" s="40"/>
      <c r="B1661" s="43" t="s">
        <v>332</v>
      </c>
      <c r="C1661" s="1028"/>
      <c r="D1661" s="869">
        <f>68</f>
        <v>68</v>
      </c>
      <c r="E1661" s="1027" t="s">
        <v>1834</v>
      </c>
      <c r="F1661" s="273" t="s">
        <v>3446</v>
      </c>
      <c r="G1661" s="1040" t="s">
        <v>3463</v>
      </c>
      <c r="H1661" s="273" t="s">
        <v>3462</v>
      </c>
      <c r="I1661" s="720">
        <f t="shared" si="370"/>
        <v>47.96</v>
      </c>
      <c r="J1661" s="780">
        <f>3261.28</f>
        <v>3261.28</v>
      </c>
      <c r="K1661" s="131">
        <f t="shared" si="356"/>
        <v>3261.28</v>
      </c>
      <c r="L1661" s="335">
        <f t="shared" si="366"/>
        <v>0</v>
      </c>
      <c r="M1661" s="446"/>
      <c r="N1661" s="446"/>
      <c r="O1661" s="446"/>
      <c r="P1661" s="446"/>
      <c r="Q1661" s="110">
        <f t="shared" si="358"/>
        <v>17</v>
      </c>
      <c r="R1661" s="111">
        <f t="shared" si="361"/>
        <v>815.32</v>
      </c>
      <c r="S1661" s="110"/>
      <c r="T1661" s="110"/>
      <c r="U1661" s="110">
        <f t="shared" si="359"/>
        <v>17</v>
      </c>
      <c r="V1661" s="111">
        <f t="shared" si="362"/>
        <v>815.32</v>
      </c>
      <c r="W1661" s="110"/>
      <c r="X1661" s="110"/>
      <c r="Y1661" s="110"/>
      <c r="Z1661" s="110"/>
      <c r="AA1661" s="110">
        <f t="shared" si="360"/>
        <v>17</v>
      </c>
      <c r="AB1661" s="111">
        <f t="shared" si="364"/>
        <v>815.32</v>
      </c>
      <c r="AC1661" s="110"/>
      <c r="AD1661" s="110"/>
      <c r="AE1661" s="110">
        <f t="shared" si="360"/>
        <v>17</v>
      </c>
      <c r="AF1661" s="111">
        <f t="shared" si="365"/>
        <v>815.32</v>
      </c>
      <c r="AG1661" s="110"/>
      <c r="AH1661" s="110"/>
      <c r="AI1661" s="110"/>
      <c r="AJ1661" s="110"/>
      <c r="AK1661" s="111">
        <f t="shared" si="367"/>
        <v>3261.28</v>
      </c>
      <c r="AL1661" s="446">
        <f t="shared" si="368"/>
        <v>0</v>
      </c>
      <c r="AM1661" s="110">
        <f t="shared" si="369"/>
        <v>68</v>
      </c>
      <c r="AN1661" s="447">
        <f t="shared" si="357"/>
        <v>0</v>
      </c>
      <c r="AO1661"/>
      <c r="AP1661"/>
    </row>
    <row r="1662" spans="1:42" ht="66" x14ac:dyDescent="0.25">
      <c r="A1662" s="40"/>
      <c r="B1662" s="41" t="s">
        <v>333</v>
      </c>
      <c r="C1662" s="1028"/>
      <c r="D1662" s="869">
        <f>132+224</f>
        <v>356</v>
      </c>
      <c r="E1662" s="1027" t="s">
        <v>2628</v>
      </c>
      <c r="F1662" s="273" t="s">
        <v>3446</v>
      </c>
      <c r="G1662" s="1040" t="s">
        <v>3463</v>
      </c>
      <c r="H1662" s="273" t="s">
        <v>3462</v>
      </c>
      <c r="I1662" s="720">
        <f t="shared" si="370"/>
        <v>67.569016853932581</v>
      </c>
      <c r="J1662" s="780">
        <f>10128.89+13925.68</f>
        <v>24054.57</v>
      </c>
      <c r="K1662" s="131">
        <f t="shared" si="356"/>
        <v>24054.57</v>
      </c>
      <c r="L1662" s="335">
        <f t="shared" si="366"/>
        <v>0</v>
      </c>
      <c r="M1662" s="446"/>
      <c r="N1662" s="446"/>
      <c r="O1662" s="446"/>
      <c r="P1662" s="446"/>
      <c r="Q1662" s="110">
        <f t="shared" si="358"/>
        <v>89</v>
      </c>
      <c r="R1662" s="111">
        <f t="shared" si="361"/>
        <v>6013.6424999999999</v>
      </c>
      <c r="S1662" s="110"/>
      <c r="T1662" s="110"/>
      <c r="U1662" s="110">
        <f t="shared" si="359"/>
        <v>89</v>
      </c>
      <c r="V1662" s="111">
        <f t="shared" si="362"/>
        <v>6013.6424999999999</v>
      </c>
      <c r="W1662" s="110"/>
      <c r="X1662" s="110"/>
      <c r="Y1662" s="110"/>
      <c r="Z1662" s="110"/>
      <c r="AA1662" s="110">
        <f t="shared" si="360"/>
        <v>89</v>
      </c>
      <c r="AB1662" s="111">
        <f t="shared" si="364"/>
        <v>6013.6424999999999</v>
      </c>
      <c r="AC1662" s="110"/>
      <c r="AD1662" s="110"/>
      <c r="AE1662" s="110">
        <f t="shared" si="360"/>
        <v>89</v>
      </c>
      <c r="AF1662" s="111">
        <f t="shared" si="365"/>
        <v>6013.6424999999999</v>
      </c>
      <c r="AG1662" s="110"/>
      <c r="AH1662" s="110"/>
      <c r="AI1662" s="110"/>
      <c r="AJ1662" s="110"/>
      <c r="AK1662" s="111">
        <f t="shared" si="367"/>
        <v>24054.57</v>
      </c>
      <c r="AL1662" s="446">
        <f t="shared" si="368"/>
        <v>0</v>
      </c>
      <c r="AM1662" s="110">
        <f t="shared" si="369"/>
        <v>356</v>
      </c>
      <c r="AN1662" s="447">
        <f t="shared" si="357"/>
        <v>0</v>
      </c>
      <c r="AO1662"/>
      <c r="AP1662"/>
    </row>
    <row r="1663" spans="1:42" s="108" customFormat="1" ht="66" x14ac:dyDescent="0.25">
      <c r="A1663" s="40"/>
      <c r="B1663" s="43" t="s">
        <v>334</v>
      </c>
      <c r="C1663" s="1028"/>
      <c r="D1663" s="869">
        <f>960</f>
        <v>960</v>
      </c>
      <c r="E1663" s="1027" t="s">
        <v>1721</v>
      </c>
      <c r="F1663" s="273" t="s">
        <v>3446</v>
      </c>
      <c r="G1663" s="1040" t="s">
        <v>3463</v>
      </c>
      <c r="H1663" s="273" t="s">
        <v>3462</v>
      </c>
      <c r="I1663" s="722">
        <f t="shared" si="370"/>
        <v>25.52</v>
      </c>
      <c r="J1663" s="780">
        <f>24499.2</f>
        <v>24499.200000000001</v>
      </c>
      <c r="K1663" s="131">
        <f t="shared" si="356"/>
        <v>24499.200000000001</v>
      </c>
      <c r="L1663" s="335">
        <f t="shared" si="366"/>
        <v>0</v>
      </c>
      <c r="M1663" s="335"/>
      <c r="N1663" s="335"/>
      <c r="O1663" s="335"/>
      <c r="P1663" s="335"/>
      <c r="Q1663" s="130">
        <f t="shared" si="358"/>
        <v>240</v>
      </c>
      <c r="R1663" s="131">
        <f t="shared" si="361"/>
        <v>6124.8</v>
      </c>
      <c r="S1663" s="130"/>
      <c r="T1663" s="130"/>
      <c r="U1663" s="130">
        <f t="shared" si="359"/>
        <v>240</v>
      </c>
      <c r="V1663" s="131">
        <f t="shared" si="362"/>
        <v>6124.8</v>
      </c>
      <c r="W1663" s="130"/>
      <c r="X1663" s="130"/>
      <c r="Y1663" s="130"/>
      <c r="Z1663" s="130"/>
      <c r="AA1663" s="130">
        <f t="shared" si="360"/>
        <v>240</v>
      </c>
      <c r="AB1663" s="131">
        <f t="shared" si="364"/>
        <v>6124.8</v>
      </c>
      <c r="AC1663" s="130"/>
      <c r="AD1663" s="130"/>
      <c r="AE1663" s="130">
        <f t="shared" si="360"/>
        <v>240</v>
      </c>
      <c r="AF1663" s="131">
        <f t="shared" si="365"/>
        <v>6124.8</v>
      </c>
      <c r="AG1663" s="130"/>
      <c r="AH1663" s="130"/>
      <c r="AI1663" s="130"/>
      <c r="AJ1663" s="130"/>
      <c r="AK1663" s="131">
        <f t="shared" si="367"/>
        <v>24499.200000000001</v>
      </c>
      <c r="AL1663" s="335">
        <f t="shared" si="368"/>
        <v>0</v>
      </c>
      <c r="AM1663" s="130">
        <f t="shared" si="369"/>
        <v>960</v>
      </c>
      <c r="AN1663" s="336">
        <f t="shared" si="357"/>
        <v>0</v>
      </c>
    </row>
    <row r="1664" spans="1:42" s="108" customFormat="1" ht="66" x14ac:dyDescent="0.25">
      <c r="A1664" s="40"/>
      <c r="B1664" s="43" t="s">
        <v>395</v>
      </c>
      <c r="C1664" s="1028"/>
      <c r="D1664" s="869">
        <f>55+300</f>
        <v>355</v>
      </c>
      <c r="E1664" s="1027" t="s">
        <v>1721</v>
      </c>
      <c r="F1664" s="273" t="s">
        <v>3446</v>
      </c>
      <c r="G1664" s="1040" t="s">
        <v>3463</v>
      </c>
      <c r="H1664" s="273" t="s">
        <v>3462</v>
      </c>
      <c r="I1664" s="722">
        <f t="shared" si="370"/>
        <v>43.182338028169013</v>
      </c>
      <c r="J1664" s="780">
        <f>2035.22+13294.51</f>
        <v>15329.73</v>
      </c>
      <c r="K1664" s="131">
        <f t="shared" si="356"/>
        <v>15329.73</v>
      </c>
      <c r="L1664" s="335">
        <f t="shared" si="366"/>
        <v>0</v>
      </c>
      <c r="M1664" s="335"/>
      <c r="N1664" s="335"/>
      <c r="O1664" s="335"/>
      <c r="P1664" s="335"/>
      <c r="Q1664" s="130">
        <v>90</v>
      </c>
      <c r="R1664" s="131">
        <f t="shared" si="361"/>
        <v>3832.4324999999999</v>
      </c>
      <c r="S1664" s="130"/>
      <c r="T1664" s="130"/>
      <c r="U1664" s="130">
        <v>90</v>
      </c>
      <c r="V1664" s="131">
        <f t="shared" si="362"/>
        <v>3832.4324999999999</v>
      </c>
      <c r="W1664" s="130"/>
      <c r="X1664" s="130"/>
      <c r="Y1664" s="130"/>
      <c r="Z1664" s="130"/>
      <c r="AA1664" s="130">
        <v>88</v>
      </c>
      <c r="AB1664" s="131">
        <f t="shared" si="364"/>
        <v>3832.4324999999999</v>
      </c>
      <c r="AC1664" s="130"/>
      <c r="AD1664" s="130"/>
      <c r="AE1664" s="130">
        <v>87</v>
      </c>
      <c r="AF1664" s="131">
        <f t="shared" si="365"/>
        <v>3832.4324999999999</v>
      </c>
      <c r="AG1664" s="130"/>
      <c r="AH1664" s="130"/>
      <c r="AI1664" s="130"/>
      <c r="AJ1664" s="130"/>
      <c r="AK1664" s="131">
        <f t="shared" si="367"/>
        <v>15329.73</v>
      </c>
      <c r="AL1664" s="335">
        <f t="shared" si="368"/>
        <v>0</v>
      </c>
      <c r="AM1664" s="130">
        <f t="shared" si="369"/>
        <v>355</v>
      </c>
      <c r="AN1664" s="336">
        <f t="shared" si="357"/>
        <v>0</v>
      </c>
    </row>
    <row r="1665" spans="1:42" s="108" customFormat="1" ht="66" x14ac:dyDescent="0.25">
      <c r="A1665" s="40"/>
      <c r="B1665" s="41" t="s">
        <v>335</v>
      </c>
      <c r="C1665" s="1028"/>
      <c r="D1665" s="869">
        <f>132+72</f>
        <v>204</v>
      </c>
      <c r="E1665" s="1027" t="s">
        <v>1834</v>
      </c>
      <c r="F1665" s="273" t="s">
        <v>3446</v>
      </c>
      <c r="G1665" s="1040" t="s">
        <v>3463</v>
      </c>
      <c r="H1665" s="273" t="s">
        <v>3462</v>
      </c>
      <c r="I1665" s="722">
        <f t="shared" si="370"/>
        <v>49.899117647058823</v>
      </c>
      <c r="J1665" s="780">
        <f>6963.9+3215.52</f>
        <v>10179.42</v>
      </c>
      <c r="K1665" s="131">
        <f t="shared" si="356"/>
        <v>10179.42</v>
      </c>
      <c r="L1665" s="335">
        <f t="shared" si="366"/>
        <v>0</v>
      </c>
      <c r="M1665" s="335"/>
      <c r="N1665" s="335"/>
      <c r="O1665" s="335"/>
      <c r="P1665" s="335"/>
      <c r="Q1665" s="130">
        <f t="shared" si="358"/>
        <v>51</v>
      </c>
      <c r="R1665" s="131">
        <f t="shared" si="361"/>
        <v>2544.855</v>
      </c>
      <c r="S1665" s="130"/>
      <c r="T1665" s="130"/>
      <c r="U1665" s="130">
        <f t="shared" si="359"/>
        <v>51</v>
      </c>
      <c r="V1665" s="131">
        <f t="shared" si="362"/>
        <v>2544.855</v>
      </c>
      <c r="W1665" s="130"/>
      <c r="X1665" s="130"/>
      <c r="Y1665" s="130"/>
      <c r="Z1665" s="130"/>
      <c r="AA1665" s="130">
        <f t="shared" si="360"/>
        <v>51</v>
      </c>
      <c r="AB1665" s="131">
        <f t="shared" si="364"/>
        <v>2544.855</v>
      </c>
      <c r="AC1665" s="130"/>
      <c r="AD1665" s="130"/>
      <c r="AE1665" s="130">
        <f t="shared" si="360"/>
        <v>51</v>
      </c>
      <c r="AF1665" s="131">
        <f t="shared" si="365"/>
        <v>2544.855</v>
      </c>
      <c r="AG1665" s="130"/>
      <c r="AH1665" s="130"/>
      <c r="AI1665" s="130"/>
      <c r="AJ1665" s="130"/>
      <c r="AK1665" s="131">
        <f t="shared" si="367"/>
        <v>10179.42</v>
      </c>
      <c r="AL1665" s="335">
        <f t="shared" si="368"/>
        <v>0</v>
      </c>
      <c r="AM1665" s="130">
        <f t="shared" si="369"/>
        <v>204</v>
      </c>
      <c r="AN1665" s="336">
        <f t="shared" si="357"/>
        <v>0</v>
      </c>
    </row>
    <row r="1666" spans="1:42" s="108" customFormat="1" ht="66" x14ac:dyDescent="0.25">
      <c r="A1666" s="40"/>
      <c r="B1666" s="43" t="s">
        <v>336</v>
      </c>
      <c r="C1666" s="1028"/>
      <c r="D1666" s="869">
        <v>6</v>
      </c>
      <c r="E1666" s="1027"/>
      <c r="F1666" s="273" t="s">
        <v>3446</v>
      </c>
      <c r="G1666" s="1040" t="s">
        <v>3463</v>
      </c>
      <c r="H1666" s="273" t="s">
        <v>3462</v>
      </c>
      <c r="I1666" s="722">
        <f t="shared" si="370"/>
        <v>159.21</v>
      </c>
      <c r="J1666" s="780">
        <f>955.26</f>
        <v>955.26</v>
      </c>
      <c r="K1666" s="131">
        <f t="shared" si="356"/>
        <v>955.26</v>
      </c>
      <c r="L1666" s="335">
        <f t="shared" si="366"/>
        <v>0</v>
      </c>
      <c r="M1666" s="335"/>
      <c r="N1666" s="335"/>
      <c r="O1666" s="335"/>
      <c r="P1666" s="335"/>
      <c r="Q1666" s="130">
        <v>2</v>
      </c>
      <c r="R1666" s="131">
        <f t="shared" si="361"/>
        <v>238.815</v>
      </c>
      <c r="S1666" s="130"/>
      <c r="T1666" s="130"/>
      <c r="U1666" s="130">
        <v>2</v>
      </c>
      <c r="V1666" s="131">
        <f t="shared" si="362"/>
        <v>238.815</v>
      </c>
      <c r="W1666" s="130"/>
      <c r="X1666" s="130"/>
      <c r="Y1666" s="130"/>
      <c r="Z1666" s="130"/>
      <c r="AA1666" s="130">
        <v>1</v>
      </c>
      <c r="AB1666" s="131">
        <f t="shared" si="364"/>
        <v>238.815</v>
      </c>
      <c r="AC1666" s="130"/>
      <c r="AD1666" s="130"/>
      <c r="AE1666" s="130">
        <v>1</v>
      </c>
      <c r="AF1666" s="131">
        <f t="shared" si="365"/>
        <v>238.815</v>
      </c>
      <c r="AG1666" s="130"/>
      <c r="AH1666" s="130"/>
      <c r="AI1666" s="130"/>
      <c r="AJ1666" s="130"/>
      <c r="AK1666" s="131">
        <f t="shared" si="367"/>
        <v>955.26</v>
      </c>
      <c r="AL1666" s="335">
        <f t="shared" si="368"/>
        <v>0</v>
      </c>
      <c r="AM1666" s="130">
        <f t="shared" si="369"/>
        <v>6</v>
      </c>
      <c r="AN1666" s="336">
        <f t="shared" si="357"/>
        <v>0</v>
      </c>
    </row>
    <row r="1667" spans="1:42" s="108" customFormat="1" ht="66" x14ac:dyDescent="0.25">
      <c r="A1667" s="40"/>
      <c r="B1667" s="43" t="s">
        <v>337</v>
      </c>
      <c r="C1667" s="1028"/>
      <c r="D1667" s="869">
        <f>44+272</f>
        <v>316</v>
      </c>
      <c r="E1667" s="1027" t="s">
        <v>1834</v>
      </c>
      <c r="F1667" s="273" t="s">
        <v>3446</v>
      </c>
      <c r="G1667" s="1040" t="s">
        <v>3463</v>
      </c>
      <c r="H1667" s="273" t="s">
        <v>3462</v>
      </c>
      <c r="I1667" s="722">
        <f t="shared" si="370"/>
        <v>40.61623417721519</v>
      </c>
      <c r="J1667" s="780">
        <f>2109.99+10724.74</f>
        <v>12834.73</v>
      </c>
      <c r="K1667" s="131">
        <f t="shared" si="356"/>
        <v>12834.73</v>
      </c>
      <c r="L1667" s="335">
        <f t="shared" si="366"/>
        <v>0</v>
      </c>
      <c r="M1667" s="335"/>
      <c r="N1667" s="335"/>
      <c r="O1667" s="335"/>
      <c r="P1667" s="335"/>
      <c r="Q1667" s="130">
        <f t="shared" si="358"/>
        <v>79</v>
      </c>
      <c r="R1667" s="131">
        <f t="shared" si="361"/>
        <v>3208.6824999999999</v>
      </c>
      <c r="S1667" s="130"/>
      <c r="T1667" s="130"/>
      <c r="U1667" s="130">
        <f t="shared" si="359"/>
        <v>79</v>
      </c>
      <c r="V1667" s="131">
        <f t="shared" si="362"/>
        <v>3208.6824999999999</v>
      </c>
      <c r="W1667" s="130"/>
      <c r="X1667" s="130"/>
      <c r="Y1667" s="130"/>
      <c r="Z1667" s="130"/>
      <c r="AA1667" s="130">
        <f t="shared" si="360"/>
        <v>79</v>
      </c>
      <c r="AB1667" s="131">
        <f t="shared" si="364"/>
        <v>3208.6824999999999</v>
      </c>
      <c r="AC1667" s="130"/>
      <c r="AD1667" s="130"/>
      <c r="AE1667" s="130">
        <f t="shared" si="360"/>
        <v>79</v>
      </c>
      <c r="AF1667" s="131">
        <f t="shared" si="365"/>
        <v>3208.6824999999999</v>
      </c>
      <c r="AG1667" s="130"/>
      <c r="AH1667" s="130"/>
      <c r="AI1667" s="130"/>
      <c r="AJ1667" s="130"/>
      <c r="AK1667" s="131">
        <f t="shared" si="367"/>
        <v>12834.73</v>
      </c>
      <c r="AL1667" s="335">
        <f t="shared" si="368"/>
        <v>0</v>
      </c>
      <c r="AM1667" s="130">
        <f t="shared" si="369"/>
        <v>316</v>
      </c>
      <c r="AN1667" s="336">
        <f t="shared" si="357"/>
        <v>0</v>
      </c>
    </row>
    <row r="1668" spans="1:42" s="108" customFormat="1" ht="66" x14ac:dyDescent="0.25">
      <c r="A1668" s="40"/>
      <c r="B1668" s="43" t="s">
        <v>338</v>
      </c>
      <c r="C1668" s="1028"/>
      <c r="D1668" s="869">
        <v>3</v>
      </c>
      <c r="E1668" s="1027" t="s">
        <v>1834</v>
      </c>
      <c r="F1668" s="273" t="s">
        <v>3446</v>
      </c>
      <c r="G1668" s="1040" t="s">
        <v>3463</v>
      </c>
      <c r="H1668" s="273" t="s">
        <v>3462</v>
      </c>
      <c r="I1668" s="722">
        <f t="shared" si="370"/>
        <v>140.35999999999999</v>
      </c>
      <c r="J1668" s="780">
        <f>421.08</f>
        <v>421.08</v>
      </c>
      <c r="K1668" s="131">
        <f t="shared" ref="K1668:K1731" si="371">+D1668*I1668</f>
        <v>421.07999999999993</v>
      </c>
      <c r="L1668" s="335">
        <f t="shared" si="366"/>
        <v>0</v>
      </c>
      <c r="M1668" s="335"/>
      <c r="N1668" s="335"/>
      <c r="O1668" s="335"/>
      <c r="P1668" s="335"/>
      <c r="Q1668" s="130">
        <v>1</v>
      </c>
      <c r="R1668" s="131">
        <v>140.36000000000001</v>
      </c>
      <c r="S1668" s="130"/>
      <c r="T1668" s="130"/>
      <c r="U1668" s="130">
        <v>1</v>
      </c>
      <c r="V1668" s="131">
        <v>140.36000000000001</v>
      </c>
      <c r="W1668" s="130"/>
      <c r="X1668" s="130"/>
      <c r="Y1668" s="130"/>
      <c r="Z1668" s="130"/>
      <c r="AA1668" s="130">
        <v>1</v>
      </c>
      <c r="AB1668" s="131">
        <v>140.36000000000001</v>
      </c>
      <c r="AC1668" s="130"/>
      <c r="AD1668" s="130"/>
      <c r="AE1668" s="130">
        <v>0</v>
      </c>
      <c r="AF1668" s="131">
        <v>0</v>
      </c>
      <c r="AG1668" s="130"/>
      <c r="AH1668" s="130"/>
      <c r="AI1668" s="130"/>
      <c r="AJ1668" s="130"/>
      <c r="AK1668" s="131">
        <f t="shared" si="367"/>
        <v>421.08000000000004</v>
      </c>
      <c r="AL1668" s="335">
        <f t="shared" si="368"/>
        <v>0</v>
      </c>
      <c r="AM1668" s="130">
        <f t="shared" si="369"/>
        <v>3</v>
      </c>
      <c r="AN1668" s="336">
        <f t="shared" ref="AN1668:AN1731" si="372">+D1668-AM1668</f>
        <v>0</v>
      </c>
    </row>
    <row r="1669" spans="1:42" s="108" customFormat="1" ht="66" x14ac:dyDescent="0.25">
      <c r="A1669" s="40"/>
      <c r="B1669" s="43" t="s">
        <v>339</v>
      </c>
      <c r="C1669" s="1028"/>
      <c r="D1669" s="869">
        <f>2</f>
        <v>2</v>
      </c>
      <c r="E1669" s="1027" t="s">
        <v>1834</v>
      </c>
      <c r="F1669" s="273" t="s">
        <v>3446</v>
      </c>
      <c r="G1669" s="1040" t="s">
        <v>3463</v>
      </c>
      <c r="H1669" s="273" t="s">
        <v>3462</v>
      </c>
      <c r="I1669" s="722">
        <f t="shared" si="370"/>
        <v>245.63</v>
      </c>
      <c r="J1669" s="780">
        <f>491.26</f>
        <v>491.26</v>
      </c>
      <c r="K1669" s="131">
        <f t="shared" si="371"/>
        <v>491.26</v>
      </c>
      <c r="L1669" s="335">
        <f t="shared" si="366"/>
        <v>0</v>
      </c>
      <c r="M1669" s="335"/>
      <c r="N1669" s="335"/>
      <c r="O1669" s="335"/>
      <c r="P1669" s="335"/>
      <c r="Q1669" s="130">
        <v>1</v>
      </c>
      <c r="R1669" s="131">
        <v>245.63</v>
      </c>
      <c r="S1669" s="130"/>
      <c r="T1669" s="130"/>
      <c r="U1669" s="130">
        <v>1</v>
      </c>
      <c r="V1669" s="131">
        <v>245.63</v>
      </c>
      <c r="W1669" s="130"/>
      <c r="X1669" s="130"/>
      <c r="Y1669" s="130"/>
      <c r="Z1669" s="130"/>
      <c r="AA1669" s="130">
        <v>0</v>
      </c>
      <c r="AB1669" s="131">
        <v>0</v>
      </c>
      <c r="AC1669" s="130"/>
      <c r="AD1669" s="130"/>
      <c r="AE1669" s="130">
        <v>0</v>
      </c>
      <c r="AF1669" s="131">
        <v>0</v>
      </c>
      <c r="AG1669" s="130"/>
      <c r="AH1669" s="130"/>
      <c r="AI1669" s="130"/>
      <c r="AJ1669" s="130"/>
      <c r="AK1669" s="131">
        <f t="shared" si="367"/>
        <v>491.26</v>
      </c>
      <c r="AL1669" s="335">
        <f t="shared" si="368"/>
        <v>0</v>
      </c>
      <c r="AM1669" s="130">
        <f t="shared" si="369"/>
        <v>2</v>
      </c>
      <c r="AN1669" s="336">
        <f t="shared" si="372"/>
        <v>0</v>
      </c>
    </row>
    <row r="1670" spans="1:42" ht="66" x14ac:dyDescent="0.25">
      <c r="A1670" s="40"/>
      <c r="B1670" s="41" t="s">
        <v>340</v>
      </c>
      <c r="C1670" s="1028"/>
      <c r="D1670" s="869">
        <f>5</f>
        <v>5</v>
      </c>
      <c r="E1670" s="1027" t="s">
        <v>1834</v>
      </c>
      <c r="F1670" s="273" t="s">
        <v>3446</v>
      </c>
      <c r="G1670" s="1040" t="s">
        <v>3463</v>
      </c>
      <c r="H1670" s="273" t="s">
        <v>3462</v>
      </c>
      <c r="I1670" s="720">
        <f t="shared" si="370"/>
        <v>261.86199999999997</v>
      </c>
      <c r="J1670" s="780">
        <f>1309.31</f>
        <v>1309.31</v>
      </c>
      <c r="K1670" s="131">
        <f t="shared" si="371"/>
        <v>1309.31</v>
      </c>
      <c r="L1670" s="335">
        <f t="shared" si="366"/>
        <v>0</v>
      </c>
      <c r="M1670" s="446"/>
      <c r="N1670" s="446"/>
      <c r="O1670" s="446"/>
      <c r="P1670" s="446"/>
      <c r="Q1670" s="110">
        <v>2</v>
      </c>
      <c r="R1670" s="111">
        <f t="shared" si="361"/>
        <v>327.32749999999999</v>
      </c>
      <c r="S1670" s="110"/>
      <c r="T1670" s="110"/>
      <c r="U1670" s="110">
        <v>1</v>
      </c>
      <c r="V1670" s="111">
        <f t="shared" si="362"/>
        <v>327.32749999999999</v>
      </c>
      <c r="W1670" s="110"/>
      <c r="X1670" s="110"/>
      <c r="Y1670" s="110"/>
      <c r="Z1670" s="110"/>
      <c r="AA1670" s="110">
        <v>1</v>
      </c>
      <c r="AB1670" s="111">
        <f t="shared" si="364"/>
        <v>327.32749999999999</v>
      </c>
      <c r="AC1670" s="110"/>
      <c r="AD1670" s="110"/>
      <c r="AE1670" s="110">
        <v>1</v>
      </c>
      <c r="AF1670" s="111">
        <f t="shared" si="365"/>
        <v>327.32749999999999</v>
      </c>
      <c r="AG1670" s="110"/>
      <c r="AH1670" s="110"/>
      <c r="AI1670" s="110"/>
      <c r="AJ1670" s="110"/>
      <c r="AK1670" s="111">
        <f t="shared" si="367"/>
        <v>1309.31</v>
      </c>
      <c r="AL1670" s="446">
        <f t="shared" si="368"/>
        <v>0</v>
      </c>
      <c r="AM1670" s="110">
        <f t="shared" si="369"/>
        <v>5</v>
      </c>
      <c r="AN1670" s="447">
        <f t="shared" si="372"/>
        <v>0</v>
      </c>
      <c r="AO1670"/>
      <c r="AP1670"/>
    </row>
    <row r="1671" spans="1:42" ht="66" x14ac:dyDescent="0.25">
      <c r="A1671" s="40"/>
      <c r="B1671" s="41" t="s">
        <v>341</v>
      </c>
      <c r="C1671" s="1028"/>
      <c r="D1671" s="869">
        <f>54</f>
        <v>54</v>
      </c>
      <c r="E1671" s="1027" t="s">
        <v>1834</v>
      </c>
      <c r="F1671" s="273" t="s">
        <v>3446</v>
      </c>
      <c r="G1671" s="1040" t="s">
        <v>3463</v>
      </c>
      <c r="H1671" s="273" t="s">
        <v>3462</v>
      </c>
      <c r="I1671" s="720">
        <f t="shared" si="370"/>
        <v>46.927407407407408</v>
      </c>
      <c r="J1671" s="780">
        <f>2534.08</f>
        <v>2534.08</v>
      </c>
      <c r="K1671" s="131">
        <f t="shared" si="371"/>
        <v>2534.08</v>
      </c>
      <c r="L1671" s="335">
        <f t="shared" si="366"/>
        <v>0</v>
      </c>
      <c r="M1671" s="446"/>
      <c r="N1671" s="446"/>
      <c r="O1671" s="446"/>
      <c r="P1671" s="446"/>
      <c r="Q1671" s="110">
        <v>14</v>
      </c>
      <c r="R1671" s="111">
        <f t="shared" si="361"/>
        <v>633.52</v>
      </c>
      <c r="S1671" s="110"/>
      <c r="T1671" s="110"/>
      <c r="U1671" s="110">
        <v>15</v>
      </c>
      <c r="V1671" s="111">
        <f t="shared" si="362"/>
        <v>633.52</v>
      </c>
      <c r="W1671" s="110"/>
      <c r="X1671" s="110"/>
      <c r="Y1671" s="110"/>
      <c r="Z1671" s="110"/>
      <c r="AA1671" s="110">
        <v>13</v>
      </c>
      <c r="AB1671" s="111">
        <f t="shared" si="364"/>
        <v>633.52</v>
      </c>
      <c r="AC1671" s="110"/>
      <c r="AD1671" s="110"/>
      <c r="AE1671" s="110">
        <v>12</v>
      </c>
      <c r="AF1671" s="111">
        <f t="shared" si="365"/>
        <v>633.52</v>
      </c>
      <c r="AG1671" s="110"/>
      <c r="AH1671" s="110"/>
      <c r="AI1671" s="110"/>
      <c r="AJ1671" s="110"/>
      <c r="AK1671" s="111">
        <f t="shared" si="367"/>
        <v>2534.08</v>
      </c>
      <c r="AL1671" s="446">
        <f t="shared" si="368"/>
        <v>0</v>
      </c>
      <c r="AM1671" s="110">
        <f t="shared" si="369"/>
        <v>54</v>
      </c>
      <c r="AN1671" s="447">
        <f t="shared" si="372"/>
        <v>0</v>
      </c>
      <c r="AO1671"/>
      <c r="AP1671"/>
    </row>
    <row r="1672" spans="1:42" ht="66" x14ac:dyDescent="0.25">
      <c r="A1672" s="40"/>
      <c r="B1672" s="41" t="s">
        <v>342</v>
      </c>
      <c r="C1672" s="1028"/>
      <c r="D1672" s="869">
        <f>1</f>
        <v>1</v>
      </c>
      <c r="E1672" s="1027" t="s">
        <v>1834</v>
      </c>
      <c r="F1672" s="273" t="s">
        <v>3446</v>
      </c>
      <c r="G1672" s="1040" t="s">
        <v>3463</v>
      </c>
      <c r="H1672" s="273" t="s">
        <v>3462</v>
      </c>
      <c r="I1672" s="720">
        <f t="shared" si="370"/>
        <v>77</v>
      </c>
      <c r="J1672" s="780">
        <f>77</f>
        <v>77</v>
      </c>
      <c r="K1672" s="131">
        <f t="shared" si="371"/>
        <v>77</v>
      </c>
      <c r="L1672" s="335">
        <f t="shared" si="366"/>
        <v>0</v>
      </c>
      <c r="M1672" s="446"/>
      <c r="N1672" s="446"/>
      <c r="O1672" s="446"/>
      <c r="P1672" s="446"/>
      <c r="Q1672" s="110">
        <v>1</v>
      </c>
      <c r="R1672" s="111">
        <v>77</v>
      </c>
      <c r="S1672" s="110"/>
      <c r="T1672" s="110"/>
      <c r="U1672" s="110">
        <v>0</v>
      </c>
      <c r="V1672" s="111">
        <v>0</v>
      </c>
      <c r="W1672" s="110"/>
      <c r="X1672" s="110"/>
      <c r="Y1672" s="110"/>
      <c r="Z1672" s="110"/>
      <c r="AA1672" s="110">
        <v>0</v>
      </c>
      <c r="AB1672" s="111">
        <v>0</v>
      </c>
      <c r="AC1672" s="110"/>
      <c r="AD1672" s="110"/>
      <c r="AE1672" s="110">
        <v>0</v>
      </c>
      <c r="AF1672" s="111">
        <v>0</v>
      </c>
      <c r="AG1672" s="110"/>
      <c r="AH1672" s="110"/>
      <c r="AI1672" s="110"/>
      <c r="AJ1672" s="110"/>
      <c r="AK1672" s="111">
        <f t="shared" si="367"/>
        <v>77</v>
      </c>
      <c r="AL1672" s="446">
        <f t="shared" si="368"/>
        <v>0</v>
      </c>
      <c r="AM1672" s="110">
        <f t="shared" si="369"/>
        <v>1</v>
      </c>
      <c r="AN1672" s="447">
        <f t="shared" si="372"/>
        <v>0</v>
      </c>
      <c r="AO1672"/>
      <c r="AP1672"/>
    </row>
    <row r="1673" spans="1:42" ht="66" x14ac:dyDescent="0.25">
      <c r="A1673" s="40"/>
      <c r="B1673" s="43" t="s">
        <v>343</v>
      </c>
      <c r="C1673" s="1028"/>
      <c r="D1673" s="869">
        <f>24</f>
        <v>24</v>
      </c>
      <c r="E1673" s="1027"/>
      <c r="F1673" s="273" t="s">
        <v>3446</v>
      </c>
      <c r="G1673" s="1040" t="s">
        <v>3463</v>
      </c>
      <c r="H1673" s="273" t="s">
        <v>3462</v>
      </c>
      <c r="I1673" s="720">
        <f t="shared" si="370"/>
        <v>63.162083333333335</v>
      </c>
      <c r="J1673" s="780">
        <f>1515.89</f>
        <v>1515.89</v>
      </c>
      <c r="K1673" s="131">
        <f t="shared" si="371"/>
        <v>1515.89</v>
      </c>
      <c r="L1673" s="335">
        <f t="shared" si="366"/>
        <v>0</v>
      </c>
      <c r="M1673" s="446"/>
      <c r="N1673" s="446"/>
      <c r="O1673" s="446"/>
      <c r="P1673" s="446"/>
      <c r="Q1673" s="110">
        <f t="shared" si="358"/>
        <v>6</v>
      </c>
      <c r="R1673" s="111">
        <f t="shared" si="361"/>
        <v>378.97250000000003</v>
      </c>
      <c r="S1673" s="110"/>
      <c r="T1673" s="110"/>
      <c r="U1673" s="110">
        <f t="shared" si="359"/>
        <v>6</v>
      </c>
      <c r="V1673" s="111">
        <f t="shared" si="362"/>
        <v>378.97250000000003</v>
      </c>
      <c r="W1673" s="110"/>
      <c r="X1673" s="110"/>
      <c r="Y1673" s="110"/>
      <c r="Z1673" s="110"/>
      <c r="AA1673" s="110">
        <f t="shared" si="360"/>
        <v>6</v>
      </c>
      <c r="AB1673" s="111">
        <f t="shared" si="364"/>
        <v>378.97250000000003</v>
      </c>
      <c r="AC1673" s="110"/>
      <c r="AD1673" s="110"/>
      <c r="AE1673" s="110">
        <f t="shared" si="360"/>
        <v>6</v>
      </c>
      <c r="AF1673" s="111">
        <f t="shared" si="365"/>
        <v>378.97250000000003</v>
      </c>
      <c r="AG1673" s="110"/>
      <c r="AH1673" s="110"/>
      <c r="AI1673" s="110"/>
      <c r="AJ1673" s="110"/>
      <c r="AK1673" s="111">
        <f t="shared" si="367"/>
        <v>1515.89</v>
      </c>
      <c r="AL1673" s="446">
        <f t="shared" si="368"/>
        <v>0</v>
      </c>
      <c r="AM1673" s="110">
        <f t="shared" si="369"/>
        <v>24</v>
      </c>
      <c r="AN1673" s="447">
        <f t="shared" si="372"/>
        <v>0</v>
      </c>
      <c r="AO1673"/>
      <c r="AP1673"/>
    </row>
    <row r="1674" spans="1:42" ht="66" x14ac:dyDescent="0.25">
      <c r="A1674" s="40"/>
      <c r="B1674" s="43" t="s">
        <v>344</v>
      </c>
      <c r="C1674" s="1028"/>
      <c r="D1674" s="869">
        <f>58</f>
        <v>58</v>
      </c>
      <c r="E1674" s="1027" t="s">
        <v>1834</v>
      </c>
      <c r="F1674" s="273" t="s">
        <v>3446</v>
      </c>
      <c r="G1674" s="1040" t="s">
        <v>3463</v>
      </c>
      <c r="H1674" s="273" t="s">
        <v>3462</v>
      </c>
      <c r="I1674" s="720">
        <f t="shared" si="370"/>
        <v>56.616896551724139</v>
      </c>
      <c r="J1674" s="780">
        <f>3283.78</f>
        <v>3283.78</v>
      </c>
      <c r="K1674" s="131">
        <f t="shared" si="371"/>
        <v>3283.78</v>
      </c>
      <c r="L1674" s="335">
        <f t="shared" si="366"/>
        <v>0</v>
      </c>
      <c r="M1674" s="446"/>
      <c r="N1674" s="446"/>
      <c r="O1674" s="446"/>
      <c r="P1674" s="446"/>
      <c r="Q1674" s="110">
        <v>15</v>
      </c>
      <c r="R1674" s="111">
        <f t="shared" si="361"/>
        <v>820.94500000000005</v>
      </c>
      <c r="S1674" s="110"/>
      <c r="T1674" s="110"/>
      <c r="U1674" s="110">
        <v>13</v>
      </c>
      <c r="V1674" s="111">
        <f t="shared" si="362"/>
        <v>820.94500000000005</v>
      </c>
      <c r="W1674" s="110"/>
      <c r="X1674" s="110"/>
      <c r="Y1674" s="110"/>
      <c r="Z1674" s="110"/>
      <c r="AA1674" s="110">
        <v>16</v>
      </c>
      <c r="AB1674" s="111">
        <f t="shared" si="364"/>
        <v>820.94500000000005</v>
      </c>
      <c r="AC1674" s="110"/>
      <c r="AD1674" s="110"/>
      <c r="AE1674" s="110">
        <v>14</v>
      </c>
      <c r="AF1674" s="111">
        <f t="shared" si="365"/>
        <v>820.94500000000005</v>
      </c>
      <c r="AG1674" s="110"/>
      <c r="AH1674" s="110"/>
      <c r="AI1674" s="110"/>
      <c r="AJ1674" s="110"/>
      <c r="AK1674" s="111">
        <f t="shared" si="367"/>
        <v>3283.78</v>
      </c>
      <c r="AL1674" s="446">
        <f t="shared" si="368"/>
        <v>0</v>
      </c>
      <c r="AM1674" s="110">
        <f t="shared" si="369"/>
        <v>58</v>
      </c>
      <c r="AN1674" s="447">
        <f t="shared" si="372"/>
        <v>0</v>
      </c>
      <c r="AO1674"/>
      <c r="AP1674"/>
    </row>
    <row r="1675" spans="1:42" ht="66" x14ac:dyDescent="0.25">
      <c r="A1675" s="1024"/>
      <c r="B1675" s="43" t="s">
        <v>345</v>
      </c>
      <c r="C1675" s="1024"/>
      <c r="D1675" s="869">
        <v>2</v>
      </c>
      <c r="E1675" s="1027" t="s">
        <v>1834</v>
      </c>
      <c r="F1675" s="273" t="s">
        <v>3446</v>
      </c>
      <c r="G1675" s="1040" t="s">
        <v>3463</v>
      </c>
      <c r="H1675" s="273" t="s">
        <v>3462</v>
      </c>
      <c r="I1675" s="720">
        <f t="shared" si="370"/>
        <v>184.67500000000001</v>
      </c>
      <c r="J1675" s="758">
        <f>369.35</f>
        <v>369.35</v>
      </c>
      <c r="K1675" s="131">
        <f t="shared" si="371"/>
        <v>369.35</v>
      </c>
      <c r="L1675" s="335">
        <f t="shared" si="366"/>
        <v>0</v>
      </c>
      <c r="M1675" s="446"/>
      <c r="N1675" s="446"/>
      <c r="O1675" s="446"/>
      <c r="P1675" s="446"/>
      <c r="Q1675" s="130">
        <v>1</v>
      </c>
      <c r="R1675" s="111">
        <v>184.68</v>
      </c>
      <c r="S1675" s="110"/>
      <c r="T1675" s="110"/>
      <c r="U1675" s="130">
        <v>1</v>
      </c>
      <c r="V1675" s="111">
        <v>184.68</v>
      </c>
      <c r="W1675" s="110"/>
      <c r="X1675" s="110"/>
      <c r="Y1675" s="110"/>
      <c r="Z1675" s="110"/>
      <c r="AA1675" s="130">
        <v>0</v>
      </c>
      <c r="AB1675" s="111">
        <v>0</v>
      </c>
      <c r="AC1675" s="110"/>
      <c r="AD1675" s="110"/>
      <c r="AE1675" s="130">
        <v>0</v>
      </c>
      <c r="AF1675" s="111">
        <v>0</v>
      </c>
      <c r="AG1675" s="110"/>
      <c r="AH1675" s="110"/>
      <c r="AI1675" s="110"/>
      <c r="AJ1675" s="110"/>
      <c r="AK1675" s="111">
        <f t="shared" si="367"/>
        <v>369.36</v>
      </c>
      <c r="AL1675" s="446">
        <f t="shared" si="368"/>
        <v>-9.9999999999909051E-3</v>
      </c>
      <c r="AM1675" s="110">
        <f t="shared" si="369"/>
        <v>2</v>
      </c>
      <c r="AN1675" s="447">
        <f t="shared" si="372"/>
        <v>0</v>
      </c>
      <c r="AO1675"/>
      <c r="AP1675"/>
    </row>
    <row r="1676" spans="1:42" ht="66" x14ac:dyDescent="0.25">
      <c r="A1676" s="1024"/>
      <c r="B1676" s="41" t="s">
        <v>346</v>
      </c>
      <c r="C1676" s="1024"/>
      <c r="D1676" s="869">
        <f>44+104</f>
        <v>148</v>
      </c>
      <c r="E1676" s="1027" t="s">
        <v>1834</v>
      </c>
      <c r="F1676" s="273" t="s">
        <v>3446</v>
      </c>
      <c r="G1676" s="1040" t="s">
        <v>3463</v>
      </c>
      <c r="H1676" s="273" t="s">
        <v>3462</v>
      </c>
      <c r="I1676" s="720">
        <f t="shared" si="370"/>
        <v>64.871486486486489</v>
      </c>
      <c r="J1676" s="758">
        <f>3516.66+6084.32</f>
        <v>9600.98</v>
      </c>
      <c r="K1676" s="131">
        <f t="shared" si="371"/>
        <v>9600.98</v>
      </c>
      <c r="L1676" s="335">
        <f t="shared" si="366"/>
        <v>0</v>
      </c>
      <c r="M1676" s="446"/>
      <c r="N1676" s="446"/>
      <c r="O1676" s="446"/>
      <c r="P1676" s="446"/>
      <c r="Q1676" s="110">
        <f t="shared" ref="Q1676:Q1739" si="373">+$D1676/4</f>
        <v>37</v>
      </c>
      <c r="R1676" s="111">
        <f t="shared" si="361"/>
        <v>2400.2449999999999</v>
      </c>
      <c r="S1676" s="110"/>
      <c r="T1676" s="110"/>
      <c r="U1676" s="110">
        <f t="shared" ref="U1676:U1739" si="374">+$D1676/4</f>
        <v>37</v>
      </c>
      <c r="V1676" s="111">
        <f t="shared" si="362"/>
        <v>2400.2449999999999</v>
      </c>
      <c r="W1676" s="110"/>
      <c r="X1676" s="110"/>
      <c r="Y1676" s="110"/>
      <c r="Z1676" s="110"/>
      <c r="AA1676" s="110">
        <f t="shared" ref="AA1676:AE1737" si="375">+$D1676/4</f>
        <v>37</v>
      </c>
      <c r="AB1676" s="111">
        <f t="shared" si="364"/>
        <v>2400.2449999999999</v>
      </c>
      <c r="AC1676" s="110"/>
      <c r="AD1676" s="110"/>
      <c r="AE1676" s="110">
        <f t="shared" si="375"/>
        <v>37</v>
      </c>
      <c r="AF1676" s="111">
        <f t="shared" si="365"/>
        <v>2400.2449999999999</v>
      </c>
      <c r="AG1676" s="110"/>
      <c r="AH1676" s="110"/>
      <c r="AI1676" s="110"/>
      <c r="AJ1676" s="110"/>
      <c r="AK1676" s="111">
        <f t="shared" si="367"/>
        <v>9600.98</v>
      </c>
      <c r="AL1676" s="446">
        <f t="shared" si="368"/>
        <v>0</v>
      </c>
      <c r="AM1676" s="110">
        <f t="shared" si="369"/>
        <v>148</v>
      </c>
      <c r="AN1676" s="447">
        <f t="shared" si="372"/>
        <v>0</v>
      </c>
      <c r="AO1676"/>
      <c r="AP1676"/>
    </row>
    <row r="1677" spans="1:42" ht="66" x14ac:dyDescent="0.25">
      <c r="A1677" s="1024"/>
      <c r="B1677" s="43" t="s">
        <v>347</v>
      </c>
      <c r="C1677" s="1024"/>
      <c r="D1677" s="869">
        <f>288</f>
        <v>288</v>
      </c>
      <c r="E1677" s="1027" t="s">
        <v>1834</v>
      </c>
      <c r="F1677" s="273" t="s">
        <v>3446</v>
      </c>
      <c r="G1677" s="1040" t="s">
        <v>3463</v>
      </c>
      <c r="H1677" s="273" t="s">
        <v>3462</v>
      </c>
      <c r="I1677" s="720">
        <f t="shared" si="370"/>
        <v>10.080416666666666</v>
      </c>
      <c r="J1677" s="758">
        <f>2903.16</f>
        <v>2903.16</v>
      </c>
      <c r="K1677" s="131">
        <f t="shared" si="371"/>
        <v>2903.16</v>
      </c>
      <c r="L1677" s="335">
        <f t="shared" si="366"/>
        <v>0</v>
      </c>
      <c r="M1677" s="446"/>
      <c r="N1677" s="446"/>
      <c r="O1677" s="446"/>
      <c r="P1677" s="446"/>
      <c r="Q1677" s="110">
        <f t="shared" si="373"/>
        <v>72</v>
      </c>
      <c r="R1677" s="111">
        <f t="shared" si="361"/>
        <v>725.79</v>
      </c>
      <c r="S1677" s="110"/>
      <c r="T1677" s="110"/>
      <c r="U1677" s="110">
        <f t="shared" si="374"/>
        <v>72</v>
      </c>
      <c r="V1677" s="111">
        <f t="shared" si="362"/>
        <v>725.79</v>
      </c>
      <c r="W1677" s="110"/>
      <c r="X1677" s="110"/>
      <c r="Y1677" s="110"/>
      <c r="Z1677" s="110"/>
      <c r="AA1677" s="110">
        <f t="shared" si="375"/>
        <v>72</v>
      </c>
      <c r="AB1677" s="111">
        <f t="shared" si="364"/>
        <v>725.79</v>
      </c>
      <c r="AC1677" s="110"/>
      <c r="AD1677" s="110"/>
      <c r="AE1677" s="110">
        <f t="shared" si="375"/>
        <v>72</v>
      </c>
      <c r="AF1677" s="111">
        <f t="shared" si="365"/>
        <v>725.79</v>
      </c>
      <c r="AG1677" s="110"/>
      <c r="AH1677" s="110"/>
      <c r="AI1677" s="110"/>
      <c r="AJ1677" s="110"/>
      <c r="AK1677" s="111">
        <f t="shared" si="367"/>
        <v>2903.16</v>
      </c>
      <c r="AL1677" s="446">
        <f t="shared" si="368"/>
        <v>0</v>
      </c>
      <c r="AM1677" s="110">
        <f t="shared" si="369"/>
        <v>288</v>
      </c>
      <c r="AN1677" s="447">
        <f t="shared" si="372"/>
        <v>0</v>
      </c>
      <c r="AO1677"/>
      <c r="AP1677"/>
    </row>
    <row r="1678" spans="1:42" ht="66" x14ac:dyDescent="0.25">
      <c r="A1678" s="1024"/>
      <c r="B1678" s="43" t="s">
        <v>348</v>
      </c>
      <c r="C1678" s="1024"/>
      <c r="D1678" s="869">
        <f>24</f>
        <v>24</v>
      </c>
      <c r="E1678" s="1024"/>
      <c r="F1678" s="273" t="s">
        <v>3446</v>
      </c>
      <c r="G1678" s="1040" t="s">
        <v>3463</v>
      </c>
      <c r="H1678" s="273" t="s">
        <v>3462</v>
      </c>
      <c r="I1678" s="720">
        <f t="shared" si="370"/>
        <v>31.900000000000002</v>
      </c>
      <c r="J1678" s="758">
        <f>765.6</f>
        <v>765.6</v>
      </c>
      <c r="K1678" s="131">
        <f t="shared" si="371"/>
        <v>765.6</v>
      </c>
      <c r="L1678" s="335">
        <f t="shared" si="366"/>
        <v>0</v>
      </c>
      <c r="M1678" s="446"/>
      <c r="N1678" s="446"/>
      <c r="O1678" s="446"/>
      <c r="P1678" s="446"/>
      <c r="Q1678" s="110">
        <f t="shared" si="373"/>
        <v>6</v>
      </c>
      <c r="R1678" s="111">
        <f t="shared" si="361"/>
        <v>191.4</v>
      </c>
      <c r="S1678" s="110"/>
      <c r="T1678" s="110"/>
      <c r="U1678" s="110">
        <f t="shared" si="374"/>
        <v>6</v>
      </c>
      <c r="V1678" s="111">
        <f t="shared" si="362"/>
        <v>191.4</v>
      </c>
      <c r="W1678" s="110"/>
      <c r="X1678" s="110"/>
      <c r="Y1678" s="110"/>
      <c r="Z1678" s="110"/>
      <c r="AA1678" s="110">
        <f t="shared" si="375"/>
        <v>6</v>
      </c>
      <c r="AB1678" s="111">
        <f t="shared" si="364"/>
        <v>191.4</v>
      </c>
      <c r="AC1678" s="110"/>
      <c r="AD1678" s="110"/>
      <c r="AE1678" s="110">
        <f t="shared" si="375"/>
        <v>6</v>
      </c>
      <c r="AF1678" s="111">
        <f t="shared" si="365"/>
        <v>191.4</v>
      </c>
      <c r="AG1678" s="110"/>
      <c r="AH1678" s="110"/>
      <c r="AI1678" s="110"/>
      <c r="AJ1678" s="110"/>
      <c r="AK1678" s="111">
        <f t="shared" si="367"/>
        <v>765.6</v>
      </c>
      <c r="AL1678" s="446">
        <f t="shared" si="368"/>
        <v>0</v>
      </c>
      <c r="AM1678" s="110">
        <f t="shared" si="369"/>
        <v>24</v>
      </c>
      <c r="AN1678" s="447">
        <f t="shared" si="372"/>
        <v>0</v>
      </c>
      <c r="AO1678"/>
      <c r="AP1678"/>
    </row>
    <row r="1679" spans="1:42" ht="66" x14ac:dyDescent="0.25">
      <c r="A1679" s="1024"/>
      <c r="B1679" s="43" t="s">
        <v>349</v>
      </c>
      <c r="C1679" s="1024"/>
      <c r="D1679" s="869">
        <f>72</f>
        <v>72</v>
      </c>
      <c r="E1679" s="1027" t="s">
        <v>1834</v>
      </c>
      <c r="F1679" s="273" t="s">
        <v>3446</v>
      </c>
      <c r="G1679" s="1040" t="s">
        <v>3463</v>
      </c>
      <c r="H1679" s="273" t="s">
        <v>3462</v>
      </c>
      <c r="I1679" s="720">
        <f t="shared" si="370"/>
        <v>140.36000000000001</v>
      </c>
      <c r="J1679" s="758">
        <f>10105.92</f>
        <v>10105.92</v>
      </c>
      <c r="K1679" s="131">
        <f t="shared" si="371"/>
        <v>10105.920000000002</v>
      </c>
      <c r="L1679" s="335">
        <f t="shared" si="366"/>
        <v>0</v>
      </c>
      <c r="M1679" s="446"/>
      <c r="N1679" s="446"/>
      <c r="O1679" s="446"/>
      <c r="P1679" s="446"/>
      <c r="Q1679" s="110">
        <f t="shared" si="373"/>
        <v>18</v>
      </c>
      <c r="R1679" s="111">
        <f t="shared" si="361"/>
        <v>2526.48</v>
      </c>
      <c r="S1679" s="110"/>
      <c r="T1679" s="110"/>
      <c r="U1679" s="110">
        <f t="shared" si="374"/>
        <v>18</v>
      </c>
      <c r="V1679" s="111">
        <f t="shared" si="362"/>
        <v>2526.48</v>
      </c>
      <c r="W1679" s="110"/>
      <c r="X1679" s="110"/>
      <c r="Y1679" s="110"/>
      <c r="Z1679" s="110"/>
      <c r="AA1679" s="110">
        <f t="shared" si="375"/>
        <v>18</v>
      </c>
      <c r="AB1679" s="111">
        <f t="shared" si="364"/>
        <v>2526.48</v>
      </c>
      <c r="AC1679" s="110"/>
      <c r="AD1679" s="110"/>
      <c r="AE1679" s="110">
        <f t="shared" si="375"/>
        <v>18</v>
      </c>
      <c r="AF1679" s="111">
        <f t="shared" si="365"/>
        <v>2526.48</v>
      </c>
      <c r="AG1679" s="110"/>
      <c r="AH1679" s="110"/>
      <c r="AI1679" s="110"/>
      <c r="AJ1679" s="110"/>
      <c r="AK1679" s="111">
        <f t="shared" si="367"/>
        <v>10105.92</v>
      </c>
      <c r="AL1679" s="446">
        <f t="shared" si="368"/>
        <v>0</v>
      </c>
      <c r="AM1679" s="110">
        <f t="shared" si="369"/>
        <v>72</v>
      </c>
      <c r="AN1679" s="447">
        <f t="shared" si="372"/>
        <v>0</v>
      </c>
      <c r="AO1679"/>
      <c r="AP1679"/>
    </row>
    <row r="1680" spans="1:42" ht="66" x14ac:dyDescent="0.25">
      <c r="A1680" s="1024"/>
      <c r="B1680" s="41" t="s">
        <v>350</v>
      </c>
      <c r="C1680" s="1024"/>
      <c r="D1680" s="869">
        <f>11+44</f>
        <v>55</v>
      </c>
      <c r="E1680" s="1027" t="s">
        <v>1834</v>
      </c>
      <c r="F1680" s="273" t="s">
        <v>3446</v>
      </c>
      <c r="G1680" s="1040" t="s">
        <v>3463</v>
      </c>
      <c r="H1680" s="273" t="s">
        <v>3462</v>
      </c>
      <c r="I1680" s="720">
        <f t="shared" si="370"/>
        <v>1014.144</v>
      </c>
      <c r="J1680" s="758">
        <f>11228.8+44549.12</f>
        <v>55777.919999999998</v>
      </c>
      <c r="K1680" s="131">
        <f t="shared" si="371"/>
        <v>55777.919999999998</v>
      </c>
      <c r="L1680" s="335">
        <f t="shared" si="366"/>
        <v>0</v>
      </c>
      <c r="M1680" s="446"/>
      <c r="N1680" s="446"/>
      <c r="O1680" s="446"/>
      <c r="P1680" s="446"/>
      <c r="Q1680" s="110">
        <v>14</v>
      </c>
      <c r="R1680" s="111">
        <f t="shared" si="361"/>
        <v>13944.48</v>
      </c>
      <c r="S1680" s="110"/>
      <c r="T1680" s="110"/>
      <c r="U1680" s="110">
        <v>14</v>
      </c>
      <c r="V1680" s="111">
        <f t="shared" si="362"/>
        <v>13944.48</v>
      </c>
      <c r="W1680" s="110"/>
      <c r="X1680" s="110"/>
      <c r="Y1680" s="110"/>
      <c r="Z1680" s="110"/>
      <c r="AA1680" s="110">
        <v>14</v>
      </c>
      <c r="AB1680" s="111">
        <f t="shared" si="364"/>
        <v>13944.48</v>
      </c>
      <c r="AC1680" s="110"/>
      <c r="AD1680" s="110"/>
      <c r="AE1680" s="110">
        <v>13</v>
      </c>
      <c r="AF1680" s="111">
        <f t="shared" si="365"/>
        <v>13944.48</v>
      </c>
      <c r="AG1680" s="110"/>
      <c r="AH1680" s="110"/>
      <c r="AI1680" s="110"/>
      <c r="AJ1680" s="110"/>
      <c r="AK1680" s="111">
        <f t="shared" si="367"/>
        <v>55777.919999999998</v>
      </c>
      <c r="AL1680" s="446">
        <f t="shared" si="368"/>
        <v>0</v>
      </c>
      <c r="AM1680" s="110">
        <f t="shared" si="369"/>
        <v>55</v>
      </c>
      <c r="AN1680" s="447">
        <f t="shared" si="372"/>
        <v>0</v>
      </c>
      <c r="AO1680"/>
      <c r="AP1680"/>
    </row>
    <row r="1681" spans="1:42" ht="66" x14ac:dyDescent="0.25">
      <c r="A1681" s="1024"/>
      <c r="B1681" s="43" t="s">
        <v>351</v>
      </c>
      <c r="C1681" s="1024"/>
      <c r="D1681" s="869">
        <f>12</f>
        <v>12</v>
      </c>
      <c r="E1681" s="1027" t="s">
        <v>1834</v>
      </c>
      <c r="F1681" s="273" t="s">
        <v>3446</v>
      </c>
      <c r="G1681" s="1040" t="s">
        <v>3463</v>
      </c>
      <c r="H1681" s="273" t="s">
        <v>3462</v>
      </c>
      <c r="I1681" s="720">
        <f t="shared" si="370"/>
        <v>108.46</v>
      </c>
      <c r="J1681" s="758">
        <f>1301.52</f>
        <v>1301.52</v>
      </c>
      <c r="K1681" s="131">
        <f t="shared" si="371"/>
        <v>1301.52</v>
      </c>
      <c r="L1681" s="335">
        <f t="shared" si="366"/>
        <v>0</v>
      </c>
      <c r="M1681" s="446"/>
      <c r="N1681" s="446"/>
      <c r="O1681" s="446"/>
      <c r="P1681" s="446"/>
      <c r="Q1681" s="110">
        <f t="shared" si="373"/>
        <v>3</v>
      </c>
      <c r="R1681" s="111">
        <f t="shared" si="361"/>
        <v>325.38</v>
      </c>
      <c r="S1681" s="110"/>
      <c r="T1681" s="110"/>
      <c r="U1681" s="110">
        <f t="shared" si="374"/>
        <v>3</v>
      </c>
      <c r="V1681" s="111">
        <f t="shared" si="362"/>
        <v>325.38</v>
      </c>
      <c r="W1681" s="110"/>
      <c r="X1681" s="110"/>
      <c r="Y1681" s="110"/>
      <c r="Z1681" s="110"/>
      <c r="AA1681" s="110">
        <f t="shared" si="375"/>
        <v>3</v>
      </c>
      <c r="AB1681" s="111">
        <f t="shared" si="364"/>
        <v>325.38</v>
      </c>
      <c r="AC1681" s="110"/>
      <c r="AD1681" s="110"/>
      <c r="AE1681" s="110">
        <f t="shared" si="375"/>
        <v>3</v>
      </c>
      <c r="AF1681" s="111">
        <f t="shared" si="365"/>
        <v>325.38</v>
      </c>
      <c r="AG1681" s="110"/>
      <c r="AH1681" s="110"/>
      <c r="AI1681" s="110"/>
      <c r="AJ1681" s="110"/>
      <c r="AK1681" s="111">
        <f t="shared" si="367"/>
        <v>1301.52</v>
      </c>
      <c r="AL1681" s="446">
        <f t="shared" si="368"/>
        <v>0</v>
      </c>
      <c r="AM1681" s="110">
        <f t="shared" si="369"/>
        <v>12</v>
      </c>
      <c r="AN1681" s="447">
        <f t="shared" si="372"/>
        <v>0</v>
      </c>
      <c r="AO1681"/>
      <c r="AP1681"/>
    </row>
    <row r="1682" spans="1:42" ht="66" x14ac:dyDescent="0.25">
      <c r="A1682" s="1024"/>
      <c r="B1682" s="43" t="s">
        <v>352</v>
      </c>
      <c r="C1682" s="1024"/>
      <c r="D1682" s="869">
        <f>144</f>
        <v>144</v>
      </c>
      <c r="E1682" s="1023" t="s">
        <v>1834</v>
      </c>
      <c r="F1682" s="273" t="s">
        <v>3446</v>
      </c>
      <c r="G1682" s="1040" t="s">
        <v>3463</v>
      </c>
      <c r="H1682" s="273" t="s">
        <v>3462</v>
      </c>
      <c r="I1682" s="720">
        <f t="shared" si="370"/>
        <v>35.727916666666665</v>
      </c>
      <c r="J1682" s="758">
        <f>5144.82</f>
        <v>5144.82</v>
      </c>
      <c r="K1682" s="131">
        <f t="shared" si="371"/>
        <v>5144.82</v>
      </c>
      <c r="L1682" s="335">
        <f t="shared" si="366"/>
        <v>0</v>
      </c>
      <c r="M1682" s="446"/>
      <c r="N1682" s="446"/>
      <c r="O1682" s="446"/>
      <c r="P1682" s="446"/>
      <c r="Q1682" s="110">
        <v>40</v>
      </c>
      <c r="R1682" s="111">
        <f t="shared" si="361"/>
        <v>1286.2049999999999</v>
      </c>
      <c r="S1682" s="110"/>
      <c r="T1682" s="110"/>
      <c r="U1682" s="110">
        <v>40</v>
      </c>
      <c r="V1682" s="111">
        <f t="shared" si="362"/>
        <v>1286.2049999999999</v>
      </c>
      <c r="W1682" s="110"/>
      <c r="X1682" s="110"/>
      <c r="Y1682" s="110"/>
      <c r="Z1682" s="110"/>
      <c r="AA1682" s="110">
        <v>50</v>
      </c>
      <c r="AB1682" s="111">
        <f t="shared" si="364"/>
        <v>1286.2049999999999</v>
      </c>
      <c r="AC1682" s="110"/>
      <c r="AD1682" s="110"/>
      <c r="AE1682" s="110">
        <v>14</v>
      </c>
      <c r="AF1682" s="111">
        <f t="shared" si="365"/>
        <v>1286.2049999999999</v>
      </c>
      <c r="AG1682" s="110"/>
      <c r="AH1682" s="110"/>
      <c r="AI1682" s="110"/>
      <c r="AJ1682" s="110"/>
      <c r="AK1682" s="111">
        <f t="shared" si="367"/>
        <v>5144.82</v>
      </c>
      <c r="AL1682" s="446">
        <f t="shared" si="368"/>
        <v>0</v>
      </c>
      <c r="AM1682" s="110">
        <f t="shared" si="369"/>
        <v>144</v>
      </c>
      <c r="AN1682" s="447">
        <f t="shared" si="372"/>
        <v>0</v>
      </c>
      <c r="AO1682"/>
      <c r="AP1682"/>
    </row>
    <row r="1683" spans="1:42" ht="66" x14ac:dyDescent="0.25">
      <c r="A1683" s="1024"/>
      <c r="B1683" s="43" t="s">
        <v>353</v>
      </c>
      <c r="C1683" s="1024"/>
      <c r="D1683" s="869">
        <f>3</f>
        <v>3</v>
      </c>
      <c r="E1683" s="1027" t="s">
        <v>1834</v>
      </c>
      <c r="F1683" s="273" t="s">
        <v>3446</v>
      </c>
      <c r="G1683" s="1040" t="s">
        <v>3463</v>
      </c>
      <c r="H1683" s="273" t="s">
        <v>3462</v>
      </c>
      <c r="I1683" s="720">
        <f t="shared" si="370"/>
        <v>357.28</v>
      </c>
      <c r="J1683" s="758">
        <f>1071.84</f>
        <v>1071.8399999999999</v>
      </c>
      <c r="K1683" s="131">
        <f t="shared" si="371"/>
        <v>1071.8399999999999</v>
      </c>
      <c r="L1683" s="335">
        <f t="shared" si="366"/>
        <v>0</v>
      </c>
      <c r="M1683" s="446"/>
      <c r="N1683" s="446"/>
      <c r="O1683" s="446"/>
      <c r="P1683" s="446"/>
      <c r="Q1683" s="130">
        <v>1</v>
      </c>
      <c r="R1683" s="111">
        <v>357.28</v>
      </c>
      <c r="S1683" s="110"/>
      <c r="T1683" s="110"/>
      <c r="U1683" s="130">
        <v>1</v>
      </c>
      <c r="V1683" s="111">
        <v>357.28</v>
      </c>
      <c r="W1683" s="110"/>
      <c r="X1683" s="110"/>
      <c r="Y1683" s="110"/>
      <c r="Z1683" s="110"/>
      <c r="AA1683" s="130">
        <v>1</v>
      </c>
      <c r="AB1683" s="111">
        <v>357.28</v>
      </c>
      <c r="AC1683" s="110"/>
      <c r="AD1683" s="110"/>
      <c r="AE1683" s="130">
        <v>0</v>
      </c>
      <c r="AF1683" s="111">
        <v>0</v>
      </c>
      <c r="AG1683" s="110"/>
      <c r="AH1683" s="110"/>
      <c r="AI1683" s="110"/>
      <c r="AJ1683" s="110"/>
      <c r="AK1683" s="111">
        <f t="shared" si="367"/>
        <v>1071.8399999999999</v>
      </c>
      <c r="AL1683" s="446">
        <f t="shared" si="368"/>
        <v>0</v>
      </c>
      <c r="AM1683" s="110">
        <f t="shared" si="369"/>
        <v>3</v>
      </c>
      <c r="AN1683" s="447">
        <f t="shared" si="372"/>
        <v>0</v>
      </c>
      <c r="AO1683"/>
      <c r="AP1683"/>
    </row>
    <row r="1684" spans="1:42" ht="66" x14ac:dyDescent="0.25">
      <c r="A1684" s="1024"/>
      <c r="B1684" s="43" t="s">
        <v>354</v>
      </c>
      <c r="C1684" s="1024"/>
      <c r="D1684" s="869">
        <f>360</f>
        <v>360</v>
      </c>
      <c r="E1684" s="1027" t="s">
        <v>1834</v>
      </c>
      <c r="F1684" s="273" t="s">
        <v>3446</v>
      </c>
      <c r="G1684" s="1040" t="s">
        <v>3463</v>
      </c>
      <c r="H1684" s="273" t="s">
        <v>3462</v>
      </c>
      <c r="I1684" s="720">
        <f t="shared" si="370"/>
        <v>36.948333333333331</v>
      </c>
      <c r="J1684" s="758">
        <f>13301.4</f>
        <v>13301.4</v>
      </c>
      <c r="K1684" s="131">
        <f t="shared" si="371"/>
        <v>13301.4</v>
      </c>
      <c r="L1684" s="335">
        <f t="shared" si="366"/>
        <v>0</v>
      </c>
      <c r="M1684" s="446"/>
      <c r="N1684" s="446"/>
      <c r="O1684" s="446"/>
      <c r="P1684" s="446"/>
      <c r="Q1684" s="110">
        <f t="shared" si="373"/>
        <v>90</v>
      </c>
      <c r="R1684" s="111">
        <f t="shared" si="361"/>
        <v>3325.35</v>
      </c>
      <c r="S1684" s="110"/>
      <c r="T1684" s="110"/>
      <c r="U1684" s="110">
        <f t="shared" si="374"/>
        <v>90</v>
      </c>
      <c r="V1684" s="111">
        <f t="shared" si="362"/>
        <v>3325.35</v>
      </c>
      <c r="W1684" s="110"/>
      <c r="X1684" s="110"/>
      <c r="Y1684" s="110"/>
      <c r="Z1684" s="110"/>
      <c r="AA1684" s="110">
        <f t="shared" si="375"/>
        <v>90</v>
      </c>
      <c r="AB1684" s="111">
        <f t="shared" si="364"/>
        <v>3325.35</v>
      </c>
      <c r="AC1684" s="110"/>
      <c r="AD1684" s="110"/>
      <c r="AE1684" s="110">
        <f t="shared" si="375"/>
        <v>90</v>
      </c>
      <c r="AF1684" s="111">
        <f t="shared" si="365"/>
        <v>3325.35</v>
      </c>
      <c r="AG1684" s="110"/>
      <c r="AH1684" s="110"/>
      <c r="AI1684" s="110"/>
      <c r="AJ1684" s="110"/>
      <c r="AK1684" s="111">
        <f t="shared" si="367"/>
        <v>13301.4</v>
      </c>
      <c r="AL1684" s="446">
        <f t="shared" si="368"/>
        <v>0</v>
      </c>
      <c r="AM1684" s="110">
        <f t="shared" si="369"/>
        <v>360</v>
      </c>
      <c r="AN1684" s="447">
        <f t="shared" si="372"/>
        <v>0</v>
      </c>
      <c r="AO1684"/>
      <c r="AP1684"/>
    </row>
    <row r="1685" spans="1:42" ht="66" x14ac:dyDescent="0.25">
      <c r="A1685" s="1024"/>
      <c r="B1685" s="43" t="s">
        <v>355</v>
      </c>
      <c r="C1685" s="1024"/>
      <c r="D1685" s="869">
        <f>440+1360</f>
        <v>1800</v>
      </c>
      <c r="E1685" s="1024" t="s">
        <v>1834</v>
      </c>
      <c r="F1685" s="273" t="s">
        <v>3446</v>
      </c>
      <c r="G1685" s="1040" t="s">
        <v>3463</v>
      </c>
      <c r="H1685" s="273" t="s">
        <v>3462</v>
      </c>
      <c r="I1685" s="720">
        <f t="shared" si="370"/>
        <v>48.431972222222221</v>
      </c>
      <c r="J1685" s="758">
        <f>24616.59+62560.96</f>
        <v>87177.55</v>
      </c>
      <c r="K1685" s="131">
        <f t="shared" si="371"/>
        <v>87177.55</v>
      </c>
      <c r="L1685" s="335">
        <f t="shared" si="366"/>
        <v>0</v>
      </c>
      <c r="M1685" s="446"/>
      <c r="N1685" s="446"/>
      <c r="O1685" s="446"/>
      <c r="P1685" s="446"/>
      <c r="Q1685" s="110">
        <f t="shared" si="373"/>
        <v>450</v>
      </c>
      <c r="R1685" s="111">
        <f t="shared" si="361"/>
        <v>21794.387500000001</v>
      </c>
      <c r="S1685" s="110"/>
      <c r="T1685" s="110"/>
      <c r="U1685" s="110">
        <f t="shared" si="374"/>
        <v>450</v>
      </c>
      <c r="V1685" s="111">
        <f t="shared" si="362"/>
        <v>21794.387500000001</v>
      </c>
      <c r="W1685" s="110"/>
      <c r="X1685" s="110"/>
      <c r="Y1685" s="110"/>
      <c r="Z1685" s="110"/>
      <c r="AA1685" s="110">
        <f t="shared" si="375"/>
        <v>450</v>
      </c>
      <c r="AB1685" s="111">
        <f t="shared" si="364"/>
        <v>21794.387500000001</v>
      </c>
      <c r="AC1685" s="110"/>
      <c r="AD1685" s="110"/>
      <c r="AE1685" s="110">
        <f t="shared" si="375"/>
        <v>450</v>
      </c>
      <c r="AF1685" s="111">
        <f t="shared" si="365"/>
        <v>21794.387500000001</v>
      </c>
      <c r="AG1685" s="110"/>
      <c r="AH1685" s="110"/>
      <c r="AI1685" s="110"/>
      <c r="AJ1685" s="110"/>
      <c r="AK1685" s="111">
        <f t="shared" si="367"/>
        <v>87177.55</v>
      </c>
      <c r="AL1685" s="446">
        <f t="shared" si="368"/>
        <v>0</v>
      </c>
      <c r="AM1685" s="110">
        <f t="shared" si="369"/>
        <v>1800</v>
      </c>
      <c r="AN1685" s="447">
        <f t="shared" si="372"/>
        <v>0</v>
      </c>
      <c r="AO1685"/>
      <c r="AP1685"/>
    </row>
    <row r="1686" spans="1:42" ht="66" x14ac:dyDescent="0.25">
      <c r="A1686" s="1024"/>
      <c r="B1686" s="43" t="s">
        <v>356</v>
      </c>
      <c r="C1686" s="1024"/>
      <c r="D1686" s="869">
        <f>1</f>
        <v>1</v>
      </c>
      <c r="E1686" s="1027" t="s">
        <v>1834</v>
      </c>
      <c r="F1686" s="273" t="s">
        <v>3446</v>
      </c>
      <c r="G1686" s="1040" t="s">
        <v>3463</v>
      </c>
      <c r="H1686" s="273" t="s">
        <v>3462</v>
      </c>
      <c r="I1686" s="720">
        <f t="shared" si="370"/>
        <v>165</v>
      </c>
      <c r="J1686" s="758">
        <v>165</v>
      </c>
      <c r="K1686" s="131">
        <f t="shared" si="371"/>
        <v>165</v>
      </c>
      <c r="L1686" s="335">
        <f t="shared" si="366"/>
        <v>0</v>
      </c>
      <c r="M1686" s="446"/>
      <c r="N1686" s="446"/>
      <c r="O1686" s="446"/>
      <c r="P1686" s="446"/>
      <c r="Q1686" s="110">
        <v>1</v>
      </c>
      <c r="R1686" s="111">
        <v>165</v>
      </c>
      <c r="S1686" s="110"/>
      <c r="T1686" s="110"/>
      <c r="U1686" s="110">
        <v>0</v>
      </c>
      <c r="V1686" s="111">
        <v>0</v>
      </c>
      <c r="W1686" s="110"/>
      <c r="X1686" s="110"/>
      <c r="Y1686" s="110"/>
      <c r="Z1686" s="110"/>
      <c r="AA1686" s="110">
        <v>0</v>
      </c>
      <c r="AB1686" s="111">
        <v>0</v>
      </c>
      <c r="AC1686" s="110"/>
      <c r="AD1686" s="110"/>
      <c r="AE1686" s="110">
        <v>0</v>
      </c>
      <c r="AF1686" s="111">
        <v>0</v>
      </c>
      <c r="AG1686" s="110"/>
      <c r="AH1686" s="110"/>
      <c r="AI1686" s="110"/>
      <c r="AJ1686" s="110"/>
      <c r="AK1686" s="111">
        <f t="shared" si="367"/>
        <v>165</v>
      </c>
      <c r="AL1686" s="446">
        <f t="shared" si="368"/>
        <v>0</v>
      </c>
      <c r="AM1686" s="110">
        <f t="shared" si="369"/>
        <v>1</v>
      </c>
      <c r="AN1686" s="447">
        <f t="shared" si="372"/>
        <v>0</v>
      </c>
      <c r="AO1686"/>
      <c r="AP1686"/>
    </row>
    <row r="1687" spans="1:42" ht="66" x14ac:dyDescent="0.25">
      <c r="A1687" s="1024"/>
      <c r="B1687" s="41" t="s">
        <v>357</v>
      </c>
      <c r="C1687" s="1024"/>
      <c r="D1687" s="869">
        <f>44+164</f>
        <v>208</v>
      </c>
      <c r="E1687" s="1024" t="s">
        <v>1721</v>
      </c>
      <c r="F1687" s="273" t="s">
        <v>3446</v>
      </c>
      <c r="G1687" s="1040" t="s">
        <v>3463</v>
      </c>
      <c r="H1687" s="273" t="s">
        <v>3462</v>
      </c>
      <c r="I1687" s="720">
        <f t="shared" si="370"/>
        <v>42.468942307692309</v>
      </c>
      <c r="J1687" s="758">
        <f>2109.99+6723.55</f>
        <v>8833.5400000000009</v>
      </c>
      <c r="K1687" s="131">
        <f t="shared" si="371"/>
        <v>8833.5400000000009</v>
      </c>
      <c r="L1687" s="335">
        <f t="shared" si="366"/>
        <v>0</v>
      </c>
      <c r="M1687" s="446"/>
      <c r="N1687" s="446"/>
      <c r="O1687" s="446"/>
      <c r="P1687" s="446"/>
      <c r="Q1687" s="110">
        <f t="shared" si="373"/>
        <v>52</v>
      </c>
      <c r="R1687" s="111">
        <f t="shared" si="361"/>
        <v>2208.3850000000002</v>
      </c>
      <c r="S1687" s="110"/>
      <c r="T1687" s="110"/>
      <c r="U1687" s="110">
        <f t="shared" si="374"/>
        <v>52</v>
      </c>
      <c r="V1687" s="111">
        <f t="shared" si="362"/>
        <v>2208.3850000000002</v>
      </c>
      <c r="W1687" s="110"/>
      <c r="X1687" s="110"/>
      <c r="Y1687" s="110"/>
      <c r="Z1687" s="110"/>
      <c r="AA1687" s="110">
        <f t="shared" si="375"/>
        <v>52</v>
      </c>
      <c r="AB1687" s="111">
        <f t="shared" si="364"/>
        <v>2208.3850000000002</v>
      </c>
      <c r="AC1687" s="110"/>
      <c r="AD1687" s="110"/>
      <c r="AE1687" s="110">
        <f t="shared" si="375"/>
        <v>52</v>
      </c>
      <c r="AF1687" s="111">
        <f t="shared" si="365"/>
        <v>2208.3850000000002</v>
      </c>
      <c r="AG1687" s="110"/>
      <c r="AH1687" s="110"/>
      <c r="AI1687" s="110"/>
      <c r="AJ1687" s="110"/>
      <c r="AK1687" s="111">
        <f t="shared" si="367"/>
        <v>8833.5400000000009</v>
      </c>
      <c r="AL1687" s="446">
        <f t="shared" si="368"/>
        <v>0</v>
      </c>
      <c r="AM1687" s="110">
        <f t="shared" si="369"/>
        <v>208</v>
      </c>
      <c r="AN1687" s="447">
        <f t="shared" si="372"/>
        <v>0</v>
      </c>
      <c r="AO1687"/>
      <c r="AP1687"/>
    </row>
    <row r="1688" spans="1:42" ht="66" x14ac:dyDescent="0.25">
      <c r="A1688" s="1024"/>
      <c r="B1688" s="41" t="s">
        <v>358</v>
      </c>
      <c r="C1688" s="1024"/>
      <c r="D1688" s="869">
        <f>48</f>
        <v>48</v>
      </c>
      <c r="E1688" s="1027" t="s">
        <v>1834</v>
      </c>
      <c r="F1688" s="273" t="s">
        <v>3446</v>
      </c>
      <c r="G1688" s="1040" t="s">
        <v>3463</v>
      </c>
      <c r="H1688" s="273" t="s">
        <v>3462</v>
      </c>
      <c r="I1688" s="720">
        <f t="shared" si="370"/>
        <v>77.197916666666671</v>
      </c>
      <c r="J1688" s="758">
        <f>3705.5</f>
        <v>3705.5</v>
      </c>
      <c r="K1688" s="131">
        <f t="shared" si="371"/>
        <v>3705.5</v>
      </c>
      <c r="L1688" s="335">
        <f t="shared" si="366"/>
        <v>0</v>
      </c>
      <c r="M1688" s="446"/>
      <c r="N1688" s="446"/>
      <c r="O1688" s="446"/>
      <c r="P1688" s="446"/>
      <c r="Q1688" s="110">
        <f t="shared" si="373"/>
        <v>12</v>
      </c>
      <c r="R1688" s="111">
        <f t="shared" si="361"/>
        <v>926.375</v>
      </c>
      <c r="S1688" s="110"/>
      <c r="T1688" s="110"/>
      <c r="U1688" s="110">
        <f t="shared" si="374"/>
        <v>12</v>
      </c>
      <c r="V1688" s="111">
        <f t="shared" si="362"/>
        <v>926.375</v>
      </c>
      <c r="W1688" s="110"/>
      <c r="X1688" s="110"/>
      <c r="Y1688" s="110"/>
      <c r="Z1688" s="110"/>
      <c r="AA1688" s="110">
        <f t="shared" si="375"/>
        <v>12</v>
      </c>
      <c r="AB1688" s="111">
        <f t="shared" si="364"/>
        <v>926.375</v>
      </c>
      <c r="AC1688" s="110"/>
      <c r="AD1688" s="110"/>
      <c r="AE1688" s="110">
        <f t="shared" si="375"/>
        <v>12</v>
      </c>
      <c r="AF1688" s="111">
        <f t="shared" si="365"/>
        <v>926.375</v>
      </c>
      <c r="AG1688" s="110"/>
      <c r="AH1688" s="110"/>
      <c r="AI1688" s="110"/>
      <c r="AJ1688" s="110"/>
      <c r="AK1688" s="111">
        <f t="shared" si="367"/>
        <v>3705.5</v>
      </c>
      <c r="AL1688" s="446">
        <f t="shared" si="368"/>
        <v>0</v>
      </c>
      <c r="AM1688" s="110">
        <f t="shared" si="369"/>
        <v>48</v>
      </c>
      <c r="AN1688" s="447">
        <f t="shared" si="372"/>
        <v>0</v>
      </c>
      <c r="AO1688"/>
      <c r="AP1688"/>
    </row>
    <row r="1689" spans="1:42" ht="66" x14ac:dyDescent="0.25">
      <c r="A1689" s="1024"/>
      <c r="B1689" s="41" t="s">
        <v>359</v>
      </c>
      <c r="C1689" s="1024"/>
      <c r="D1689" s="869">
        <f>384</f>
        <v>384</v>
      </c>
      <c r="E1689" s="1024" t="s">
        <v>1834</v>
      </c>
      <c r="F1689" s="273" t="s">
        <v>3446</v>
      </c>
      <c r="G1689" s="1040" t="s">
        <v>3463</v>
      </c>
      <c r="H1689" s="273" t="s">
        <v>3462</v>
      </c>
      <c r="I1689" s="720">
        <f t="shared" si="370"/>
        <v>56.144010416666667</v>
      </c>
      <c r="J1689" s="758">
        <f>21559.3</f>
        <v>21559.3</v>
      </c>
      <c r="K1689" s="131">
        <f t="shared" si="371"/>
        <v>21559.3</v>
      </c>
      <c r="L1689" s="335">
        <f t="shared" si="366"/>
        <v>0</v>
      </c>
      <c r="M1689" s="446"/>
      <c r="N1689" s="446"/>
      <c r="O1689" s="446"/>
      <c r="P1689" s="446"/>
      <c r="Q1689" s="110">
        <f t="shared" si="373"/>
        <v>96</v>
      </c>
      <c r="R1689" s="111">
        <f t="shared" si="361"/>
        <v>5389.8249999999998</v>
      </c>
      <c r="S1689" s="110"/>
      <c r="T1689" s="110"/>
      <c r="U1689" s="110">
        <f t="shared" si="374"/>
        <v>96</v>
      </c>
      <c r="V1689" s="111">
        <f t="shared" si="362"/>
        <v>5389.8249999999998</v>
      </c>
      <c r="W1689" s="110"/>
      <c r="X1689" s="110"/>
      <c r="Y1689" s="110"/>
      <c r="Z1689" s="110"/>
      <c r="AA1689" s="110">
        <f t="shared" si="375"/>
        <v>96</v>
      </c>
      <c r="AB1689" s="111">
        <f t="shared" si="364"/>
        <v>5389.8249999999998</v>
      </c>
      <c r="AC1689" s="110"/>
      <c r="AD1689" s="110"/>
      <c r="AE1689" s="110">
        <f t="shared" si="375"/>
        <v>96</v>
      </c>
      <c r="AF1689" s="111">
        <f t="shared" si="365"/>
        <v>5389.8249999999998</v>
      </c>
      <c r="AG1689" s="110"/>
      <c r="AH1689" s="110"/>
      <c r="AI1689" s="110"/>
      <c r="AJ1689" s="110"/>
      <c r="AK1689" s="111">
        <f t="shared" si="367"/>
        <v>21559.3</v>
      </c>
      <c r="AL1689" s="446">
        <f t="shared" si="368"/>
        <v>0</v>
      </c>
      <c r="AM1689" s="110">
        <f t="shared" si="369"/>
        <v>384</v>
      </c>
      <c r="AN1689" s="447">
        <f t="shared" si="372"/>
        <v>0</v>
      </c>
      <c r="AO1689"/>
      <c r="AP1689"/>
    </row>
    <row r="1690" spans="1:42" ht="66" x14ac:dyDescent="0.25">
      <c r="A1690" s="1024"/>
      <c r="B1690" s="43" t="s">
        <v>360</v>
      </c>
      <c r="C1690" s="1024"/>
      <c r="D1690" s="869">
        <v>72</v>
      </c>
      <c r="E1690" s="1027" t="s">
        <v>1834</v>
      </c>
      <c r="F1690" s="273" t="s">
        <v>3446</v>
      </c>
      <c r="G1690" s="1040" t="s">
        <v>3463</v>
      </c>
      <c r="H1690" s="273" t="s">
        <v>3462</v>
      </c>
      <c r="I1690" s="720">
        <f t="shared" si="370"/>
        <v>87.023194444444442</v>
      </c>
      <c r="J1690" s="758">
        <f>6265.67</f>
        <v>6265.67</v>
      </c>
      <c r="K1690" s="131">
        <f t="shared" si="371"/>
        <v>6265.67</v>
      </c>
      <c r="L1690" s="335">
        <f t="shared" si="366"/>
        <v>0</v>
      </c>
      <c r="M1690" s="446"/>
      <c r="N1690" s="446"/>
      <c r="O1690" s="446"/>
      <c r="P1690" s="446"/>
      <c r="Q1690" s="110">
        <f t="shared" si="373"/>
        <v>18</v>
      </c>
      <c r="R1690" s="111">
        <f t="shared" ref="R1690:R1752" si="376">+J1690/4</f>
        <v>1566.4175</v>
      </c>
      <c r="S1690" s="110"/>
      <c r="T1690" s="110"/>
      <c r="U1690" s="110">
        <f t="shared" si="374"/>
        <v>18</v>
      </c>
      <c r="V1690" s="111">
        <f t="shared" ref="V1690:V1752" si="377">+J1690/4</f>
        <v>1566.4175</v>
      </c>
      <c r="W1690" s="110"/>
      <c r="X1690" s="110"/>
      <c r="Y1690" s="110"/>
      <c r="Z1690" s="110"/>
      <c r="AA1690" s="110">
        <f t="shared" si="375"/>
        <v>18</v>
      </c>
      <c r="AB1690" s="111">
        <f t="shared" si="364"/>
        <v>1566.4175</v>
      </c>
      <c r="AC1690" s="110"/>
      <c r="AD1690" s="110"/>
      <c r="AE1690" s="110">
        <f t="shared" si="375"/>
        <v>18</v>
      </c>
      <c r="AF1690" s="111">
        <f t="shared" si="365"/>
        <v>1566.4175</v>
      </c>
      <c r="AG1690" s="110"/>
      <c r="AH1690" s="110"/>
      <c r="AI1690" s="110"/>
      <c r="AJ1690" s="110"/>
      <c r="AK1690" s="111">
        <f t="shared" si="367"/>
        <v>6265.67</v>
      </c>
      <c r="AL1690" s="446">
        <f t="shared" si="368"/>
        <v>0</v>
      </c>
      <c r="AM1690" s="110">
        <f t="shared" si="369"/>
        <v>72</v>
      </c>
      <c r="AN1690" s="447">
        <f t="shared" si="372"/>
        <v>0</v>
      </c>
      <c r="AO1690"/>
      <c r="AP1690"/>
    </row>
    <row r="1691" spans="1:42" ht="66" x14ac:dyDescent="0.25">
      <c r="A1691" s="1024"/>
      <c r="B1691" s="43" t="s">
        <v>361</v>
      </c>
      <c r="C1691" s="1024"/>
      <c r="D1691" s="869">
        <f>50</f>
        <v>50</v>
      </c>
      <c r="E1691" s="1024" t="s">
        <v>1834</v>
      </c>
      <c r="F1691" s="273" t="s">
        <v>3446</v>
      </c>
      <c r="G1691" s="1040" t="s">
        <v>3463</v>
      </c>
      <c r="H1691" s="273" t="s">
        <v>3462</v>
      </c>
      <c r="I1691" s="720">
        <f t="shared" si="370"/>
        <v>43.383999999999993</v>
      </c>
      <c r="J1691" s="758">
        <f>2169.2</f>
        <v>2169.1999999999998</v>
      </c>
      <c r="K1691" s="131">
        <f t="shared" si="371"/>
        <v>2169.1999999999998</v>
      </c>
      <c r="L1691" s="335">
        <f t="shared" si="366"/>
        <v>0</v>
      </c>
      <c r="M1691" s="446"/>
      <c r="N1691" s="446"/>
      <c r="O1691" s="446"/>
      <c r="P1691" s="446"/>
      <c r="Q1691" s="110">
        <v>13</v>
      </c>
      <c r="R1691" s="111">
        <f t="shared" si="376"/>
        <v>542.29999999999995</v>
      </c>
      <c r="S1691" s="110"/>
      <c r="T1691" s="110"/>
      <c r="U1691" s="110">
        <v>12</v>
      </c>
      <c r="V1691" s="111">
        <f t="shared" si="377"/>
        <v>542.29999999999995</v>
      </c>
      <c r="W1691" s="110"/>
      <c r="X1691" s="110"/>
      <c r="Y1691" s="110"/>
      <c r="Z1691" s="110"/>
      <c r="AA1691" s="110">
        <v>12</v>
      </c>
      <c r="AB1691" s="111">
        <f t="shared" si="364"/>
        <v>542.29999999999995</v>
      </c>
      <c r="AC1691" s="110"/>
      <c r="AD1691" s="110"/>
      <c r="AE1691" s="110">
        <v>13</v>
      </c>
      <c r="AF1691" s="111">
        <f t="shared" si="365"/>
        <v>542.29999999999995</v>
      </c>
      <c r="AG1691" s="110"/>
      <c r="AH1691" s="110"/>
      <c r="AI1691" s="110"/>
      <c r="AJ1691" s="110"/>
      <c r="AK1691" s="111">
        <f t="shared" si="367"/>
        <v>2169.1999999999998</v>
      </c>
      <c r="AL1691" s="446">
        <f t="shared" si="368"/>
        <v>0</v>
      </c>
      <c r="AM1691" s="110">
        <f t="shared" si="369"/>
        <v>50</v>
      </c>
      <c r="AN1691" s="447">
        <f t="shared" si="372"/>
        <v>0</v>
      </c>
      <c r="AO1691"/>
      <c r="AP1691"/>
    </row>
    <row r="1692" spans="1:42" ht="66" x14ac:dyDescent="0.25">
      <c r="A1692" s="1024"/>
      <c r="B1692" s="43" t="s">
        <v>362</v>
      </c>
      <c r="C1692" s="1024"/>
      <c r="D1692" s="869">
        <f>240</f>
        <v>240</v>
      </c>
      <c r="E1692" s="1023" t="s">
        <v>1834</v>
      </c>
      <c r="F1692" s="273" t="s">
        <v>3446</v>
      </c>
      <c r="G1692" s="1040" t="s">
        <v>3463</v>
      </c>
      <c r="H1692" s="273" t="s">
        <v>3462</v>
      </c>
      <c r="I1692" s="720">
        <f t="shared" si="370"/>
        <v>35.727999999999994</v>
      </c>
      <c r="J1692" s="758">
        <f>8574.72</f>
        <v>8574.7199999999993</v>
      </c>
      <c r="K1692" s="131">
        <f t="shared" si="371"/>
        <v>8574.7199999999993</v>
      </c>
      <c r="L1692" s="335">
        <f t="shared" si="366"/>
        <v>0</v>
      </c>
      <c r="M1692" s="446"/>
      <c r="N1692" s="446"/>
      <c r="O1692" s="446"/>
      <c r="P1692" s="446"/>
      <c r="Q1692" s="110">
        <f t="shared" si="373"/>
        <v>60</v>
      </c>
      <c r="R1692" s="111">
        <f t="shared" si="376"/>
        <v>2143.6799999999998</v>
      </c>
      <c r="S1692" s="110"/>
      <c r="T1692" s="110"/>
      <c r="U1692" s="110">
        <f t="shared" si="374"/>
        <v>60</v>
      </c>
      <c r="V1692" s="111">
        <f t="shared" si="377"/>
        <v>2143.6799999999998</v>
      </c>
      <c r="W1692" s="110"/>
      <c r="X1692" s="110"/>
      <c r="Y1692" s="110"/>
      <c r="Z1692" s="110"/>
      <c r="AA1692" s="110">
        <f t="shared" si="375"/>
        <v>60</v>
      </c>
      <c r="AB1692" s="111">
        <f t="shared" si="364"/>
        <v>2143.6799999999998</v>
      </c>
      <c r="AC1692" s="110"/>
      <c r="AD1692" s="110"/>
      <c r="AE1692" s="110">
        <f t="shared" si="375"/>
        <v>60</v>
      </c>
      <c r="AF1692" s="111">
        <f t="shared" si="365"/>
        <v>2143.6799999999998</v>
      </c>
      <c r="AG1692" s="110"/>
      <c r="AH1692" s="110"/>
      <c r="AI1692" s="110"/>
      <c r="AJ1692" s="110"/>
      <c r="AK1692" s="111">
        <f t="shared" si="367"/>
        <v>8574.7199999999993</v>
      </c>
      <c r="AL1692" s="446">
        <f t="shared" si="368"/>
        <v>0</v>
      </c>
      <c r="AM1692" s="110">
        <f t="shared" si="369"/>
        <v>240</v>
      </c>
      <c r="AN1692" s="447">
        <f t="shared" si="372"/>
        <v>0</v>
      </c>
      <c r="AO1692"/>
      <c r="AP1692"/>
    </row>
    <row r="1693" spans="1:42" ht="66" x14ac:dyDescent="0.25">
      <c r="A1693" s="1024"/>
      <c r="B1693" s="43" t="s">
        <v>363</v>
      </c>
      <c r="C1693" s="1024"/>
      <c r="D1693" s="869">
        <f>576</f>
        <v>576</v>
      </c>
      <c r="E1693" s="1027" t="s">
        <v>1834</v>
      </c>
      <c r="F1693" s="273" t="s">
        <v>3446</v>
      </c>
      <c r="G1693" s="1040" t="s">
        <v>3463</v>
      </c>
      <c r="H1693" s="273" t="s">
        <v>3462</v>
      </c>
      <c r="I1693" s="720">
        <f t="shared" si="370"/>
        <v>102.08</v>
      </c>
      <c r="J1693" s="758">
        <f>58798.08</f>
        <v>58798.080000000002</v>
      </c>
      <c r="K1693" s="131">
        <f t="shared" si="371"/>
        <v>58798.080000000002</v>
      </c>
      <c r="L1693" s="335">
        <f t="shared" si="366"/>
        <v>0</v>
      </c>
      <c r="M1693" s="446"/>
      <c r="N1693" s="446"/>
      <c r="O1693" s="446"/>
      <c r="P1693" s="446"/>
      <c r="Q1693" s="110">
        <f t="shared" si="373"/>
        <v>144</v>
      </c>
      <c r="R1693" s="111">
        <f t="shared" si="376"/>
        <v>14699.52</v>
      </c>
      <c r="S1693" s="110"/>
      <c r="T1693" s="110"/>
      <c r="U1693" s="110">
        <f t="shared" si="374"/>
        <v>144</v>
      </c>
      <c r="V1693" s="111">
        <f t="shared" si="377"/>
        <v>14699.52</v>
      </c>
      <c r="W1693" s="110"/>
      <c r="X1693" s="110"/>
      <c r="Y1693" s="110"/>
      <c r="Z1693" s="110"/>
      <c r="AA1693" s="110">
        <f t="shared" si="375"/>
        <v>144</v>
      </c>
      <c r="AB1693" s="111">
        <f t="shared" si="364"/>
        <v>14699.52</v>
      </c>
      <c r="AC1693" s="110"/>
      <c r="AD1693" s="110"/>
      <c r="AE1693" s="110">
        <f t="shared" si="375"/>
        <v>144</v>
      </c>
      <c r="AF1693" s="111">
        <f t="shared" si="365"/>
        <v>14699.52</v>
      </c>
      <c r="AG1693" s="110"/>
      <c r="AH1693" s="110"/>
      <c r="AI1693" s="110"/>
      <c r="AJ1693" s="110"/>
      <c r="AK1693" s="111">
        <f t="shared" si="367"/>
        <v>58798.080000000002</v>
      </c>
      <c r="AL1693" s="446">
        <f t="shared" si="368"/>
        <v>0</v>
      </c>
      <c r="AM1693" s="110">
        <f t="shared" si="369"/>
        <v>576</v>
      </c>
      <c r="AN1693" s="447">
        <f t="shared" si="372"/>
        <v>0</v>
      </c>
      <c r="AO1693"/>
      <c r="AP1693"/>
    </row>
    <row r="1694" spans="1:42" ht="66" x14ac:dyDescent="0.25">
      <c r="A1694" s="1024"/>
      <c r="B1694" s="43" t="s">
        <v>364</v>
      </c>
      <c r="C1694" s="1024"/>
      <c r="D1694" s="869">
        <v>300</v>
      </c>
      <c r="E1694" s="1027" t="s">
        <v>1834</v>
      </c>
      <c r="F1694" s="273" t="s">
        <v>3446</v>
      </c>
      <c r="G1694" s="1040" t="s">
        <v>3463</v>
      </c>
      <c r="H1694" s="273" t="s">
        <v>3462</v>
      </c>
      <c r="I1694" s="720">
        <f t="shared" si="370"/>
        <v>37.004000000000005</v>
      </c>
      <c r="J1694" s="758">
        <f>11101.2</f>
        <v>11101.2</v>
      </c>
      <c r="K1694" s="131">
        <f t="shared" si="371"/>
        <v>11101.2</v>
      </c>
      <c r="L1694" s="335">
        <f t="shared" si="366"/>
        <v>0</v>
      </c>
      <c r="M1694" s="446"/>
      <c r="N1694" s="446"/>
      <c r="O1694" s="446"/>
      <c r="P1694" s="446"/>
      <c r="Q1694" s="110">
        <f t="shared" si="373"/>
        <v>75</v>
      </c>
      <c r="R1694" s="111">
        <f t="shared" si="376"/>
        <v>2775.3</v>
      </c>
      <c r="S1694" s="110"/>
      <c r="T1694" s="110"/>
      <c r="U1694" s="110">
        <f t="shared" si="374"/>
        <v>75</v>
      </c>
      <c r="V1694" s="111">
        <f t="shared" si="377"/>
        <v>2775.3</v>
      </c>
      <c r="W1694" s="110"/>
      <c r="X1694" s="110"/>
      <c r="Y1694" s="110"/>
      <c r="Z1694" s="110"/>
      <c r="AA1694" s="110">
        <f t="shared" si="375"/>
        <v>75</v>
      </c>
      <c r="AB1694" s="111">
        <f t="shared" si="364"/>
        <v>2775.3</v>
      </c>
      <c r="AC1694" s="110"/>
      <c r="AD1694" s="110"/>
      <c r="AE1694" s="110">
        <f t="shared" si="375"/>
        <v>75</v>
      </c>
      <c r="AF1694" s="111">
        <f t="shared" si="365"/>
        <v>2775.3</v>
      </c>
      <c r="AG1694" s="110"/>
      <c r="AH1694" s="110"/>
      <c r="AI1694" s="110"/>
      <c r="AJ1694" s="110"/>
      <c r="AK1694" s="111">
        <f t="shared" si="367"/>
        <v>11101.2</v>
      </c>
      <c r="AL1694" s="446">
        <f t="shared" si="368"/>
        <v>0</v>
      </c>
      <c r="AM1694" s="110">
        <f t="shared" si="369"/>
        <v>300</v>
      </c>
      <c r="AN1694" s="447">
        <f t="shared" si="372"/>
        <v>0</v>
      </c>
      <c r="AO1694"/>
      <c r="AP1694"/>
    </row>
    <row r="1695" spans="1:42" ht="66" x14ac:dyDescent="0.25">
      <c r="A1695" s="1024"/>
      <c r="B1695" s="43" t="s">
        <v>365</v>
      </c>
      <c r="C1695" s="1024"/>
      <c r="D1695" s="869">
        <f>336</f>
        <v>336</v>
      </c>
      <c r="E1695" s="1024" t="s">
        <v>1834</v>
      </c>
      <c r="F1695" s="273" t="s">
        <v>3446</v>
      </c>
      <c r="G1695" s="1040" t="s">
        <v>3463</v>
      </c>
      <c r="H1695" s="273" t="s">
        <v>3462</v>
      </c>
      <c r="I1695" s="720">
        <f t="shared" si="370"/>
        <v>28.07199404761905</v>
      </c>
      <c r="J1695" s="758">
        <f>9432.19</f>
        <v>9432.19</v>
      </c>
      <c r="K1695" s="131">
        <f t="shared" si="371"/>
        <v>9432.19</v>
      </c>
      <c r="L1695" s="335">
        <f t="shared" si="366"/>
        <v>0</v>
      </c>
      <c r="M1695" s="446"/>
      <c r="N1695" s="446"/>
      <c r="O1695" s="446"/>
      <c r="P1695" s="446"/>
      <c r="Q1695" s="110">
        <f t="shared" si="373"/>
        <v>84</v>
      </c>
      <c r="R1695" s="111">
        <f t="shared" si="376"/>
        <v>2358.0475000000001</v>
      </c>
      <c r="S1695" s="110"/>
      <c r="T1695" s="110"/>
      <c r="U1695" s="110">
        <f t="shared" si="374"/>
        <v>84</v>
      </c>
      <c r="V1695" s="111">
        <f t="shared" si="377"/>
        <v>2358.0475000000001</v>
      </c>
      <c r="W1695" s="110"/>
      <c r="X1695" s="110"/>
      <c r="Y1695" s="110"/>
      <c r="Z1695" s="110"/>
      <c r="AA1695" s="110">
        <f t="shared" si="375"/>
        <v>84</v>
      </c>
      <c r="AB1695" s="111">
        <f t="shared" si="364"/>
        <v>2358.0475000000001</v>
      </c>
      <c r="AC1695" s="110"/>
      <c r="AD1695" s="110"/>
      <c r="AE1695" s="110">
        <f t="shared" si="375"/>
        <v>84</v>
      </c>
      <c r="AF1695" s="111">
        <f t="shared" si="365"/>
        <v>2358.0475000000001</v>
      </c>
      <c r="AG1695" s="110"/>
      <c r="AH1695" s="110"/>
      <c r="AI1695" s="110"/>
      <c r="AJ1695" s="110"/>
      <c r="AK1695" s="111">
        <f t="shared" si="367"/>
        <v>9432.19</v>
      </c>
      <c r="AL1695" s="446">
        <f t="shared" si="368"/>
        <v>0</v>
      </c>
      <c r="AM1695" s="110">
        <f t="shared" si="369"/>
        <v>336</v>
      </c>
      <c r="AN1695" s="447">
        <f t="shared" si="372"/>
        <v>0</v>
      </c>
      <c r="AO1695"/>
      <c r="AP1695"/>
    </row>
    <row r="1696" spans="1:42" ht="66" x14ac:dyDescent="0.25">
      <c r="A1696" s="1024"/>
      <c r="B1696" s="43" t="s">
        <v>366</v>
      </c>
      <c r="C1696" s="1024"/>
      <c r="D1696" s="869">
        <f>33+80</f>
        <v>113</v>
      </c>
      <c r="E1696" s="1027" t="s">
        <v>1834</v>
      </c>
      <c r="F1696" s="273" t="s">
        <v>3446</v>
      </c>
      <c r="G1696" s="1040" t="s">
        <v>3463</v>
      </c>
      <c r="H1696" s="273" t="s">
        <v>3462</v>
      </c>
      <c r="I1696" s="720">
        <f t="shared" si="370"/>
        <v>39.859734513274333</v>
      </c>
      <c r="J1696" s="758">
        <f>1688.15+2816</f>
        <v>4504.1499999999996</v>
      </c>
      <c r="K1696" s="131">
        <f t="shared" si="371"/>
        <v>4504.1499999999996</v>
      </c>
      <c r="L1696" s="335">
        <f t="shared" si="366"/>
        <v>0</v>
      </c>
      <c r="M1696" s="446"/>
      <c r="N1696" s="446"/>
      <c r="O1696" s="446"/>
      <c r="P1696" s="446"/>
      <c r="Q1696" s="110">
        <v>30</v>
      </c>
      <c r="R1696" s="111">
        <f t="shared" si="376"/>
        <v>1126.0374999999999</v>
      </c>
      <c r="S1696" s="110"/>
      <c r="T1696" s="110"/>
      <c r="U1696" s="110">
        <v>30</v>
      </c>
      <c r="V1696" s="111">
        <f t="shared" si="377"/>
        <v>1126.0374999999999</v>
      </c>
      <c r="W1696" s="110"/>
      <c r="X1696" s="110"/>
      <c r="Y1696" s="110"/>
      <c r="Z1696" s="110"/>
      <c r="AA1696" s="110">
        <v>20</v>
      </c>
      <c r="AB1696" s="111">
        <f t="shared" si="364"/>
        <v>1126.0374999999999</v>
      </c>
      <c r="AC1696" s="110"/>
      <c r="AD1696" s="110"/>
      <c r="AE1696" s="110">
        <v>23</v>
      </c>
      <c r="AF1696" s="111">
        <f t="shared" si="365"/>
        <v>1126.0374999999999</v>
      </c>
      <c r="AG1696" s="110"/>
      <c r="AH1696" s="110"/>
      <c r="AI1696" s="110"/>
      <c r="AJ1696" s="110"/>
      <c r="AK1696" s="111">
        <f t="shared" si="367"/>
        <v>4504.1499999999996</v>
      </c>
      <c r="AL1696" s="446">
        <f t="shared" si="368"/>
        <v>0</v>
      </c>
      <c r="AM1696" s="110">
        <f t="shared" si="369"/>
        <v>103</v>
      </c>
      <c r="AN1696" s="447">
        <f t="shared" si="372"/>
        <v>10</v>
      </c>
      <c r="AO1696"/>
      <c r="AP1696"/>
    </row>
    <row r="1697" spans="1:42" ht="66" x14ac:dyDescent="0.25">
      <c r="A1697" s="1024"/>
      <c r="B1697" s="43" t="s">
        <v>367</v>
      </c>
      <c r="C1697" s="1024"/>
      <c r="D1697" s="869">
        <f>2</f>
        <v>2</v>
      </c>
      <c r="E1697" s="1027" t="s">
        <v>1834</v>
      </c>
      <c r="F1697" s="273" t="s">
        <v>3446</v>
      </c>
      <c r="G1697" s="1040" t="s">
        <v>3463</v>
      </c>
      <c r="H1697" s="273" t="s">
        <v>3462</v>
      </c>
      <c r="I1697" s="720">
        <f t="shared" si="370"/>
        <v>194</v>
      </c>
      <c r="J1697" s="758">
        <f>388</f>
        <v>388</v>
      </c>
      <c r="K1697" s="131">
        <f t="shared" si="371"/>
        <v>388</v>
      </c>
      <c r="L1697" s="335">
        <f t="shared" si="366"/>
        <v>0</v>
      </c>
      <c r="M1697" s="446"/>
      <c r="N1697" s="446"/>
      <c r="O1697" s="446"/>
      <c r="P1697" s="446"/>
      <c r="Q1697" s="130">
        <v>1</v>
      </c>
      <c r="R1697" s="111">
        <v>194</v>
      </c>
      <c r="S1697" s="110"/>
      <c r="T1697" s="110"/>
      <c r="U1697" s="130">
        <v>0</v>
      </c>
      <c r="V1697" s="111">
        <v>0</v>
      </c>
      <c r="W1697" s="110"/>
      <c r="X1697" s="110"/>
      <c r="Y1697" s="110"/>
      <c r="Z1697" s="110"/>
      <c r="AA1697" s="130">
        <v>1</v>
      </c>
      <c r="AB1697" s="111">
        <v>194</v>
      </c>
      <c r="AC1697" s="110"/>
      <c r="AD1697" s="110"/>
      <c r="AE1697" s="130">
        <v>0</v>
      </c>
      <c r="AF1697" s="111">
        <v>0</v>
      </c>
      <c r="AG1697" s="110"/>
      <c r="AH1697" s="110"/>
      <c r="AI1697" s="110"/>
      <c r="AJ1697" s="110"/>
      <c r="AK1697" s="111">
        <f t="shared" si="367"/>
        <v>388</v>
      </c>
      <c r="AL1697" s="446">
        <f t="shared" si="368"/>
        <v>0</v>
      </c>
      <c r="AM1697" s="110">
        <f t="shared" si="369"/>
        <v>2</v>
      </c>
      <c r="AN1697" s="447">
        <f t="shared" si="372"/>
        <v>0</v>
      </c>
      <c r="AO1697"/>
      <c r="AP1697"/>
    </row>
    <row r="1698" spans="1:42" ht="66" x14ac:dyDescent="0.25">
      <c r="A1698" s="1024"/>
      <c r="B1698" s="41" t="s">
        <v>368</v>
      </c>
      <c r="C1698" s="1024"/>
      <c r="D1698" s="869">
        <f>132+656</f>
        <v>788</v>
      </c>
      <c r="E1698" s="1027" t="s">
        <v>1834</v>
      </c>
      <c r="F1698" s="273" t="s">
        <v>3446</v>
      </c>
      <c r="G1698" s="1040" t="s">
        <v>3463</v>
      </c>
      <c r="H1698" s="273" t="s">
        <v>3462</v>
      </c>
      <c r="I1698" s="720">
        <f t="shared" si="370"/>
        <v>49.189796954314716</v>
      </c>
      <c r="J1698" s="758">
        <f>7384.98+31376.58</f>
        <v>38761.56</v>
      </c>
      <c r="K1698" s="131">
        <f t="shared" si="371"/>
        <v>38761.56</v>
      </c>
      <c r="L1698" s="335">
        <f t="shared" si="366"/>
        <v>0</v>
      </c>
      <c r="M1698" s="446"/>
      <c r="N1698" s="446"/>
      <c r="O1698" s="446"/>
      <c r="P1698" s="446"/>
      <c r="Q1698" s="110">
        <f t="shared" si="373"/>
        <v>197</v>
      </c>
      <c r="R1698" s="111">
        <f t="shared" si="376"/>
        <v>9690.39</v>
      </c>
      <c r="S1698" s="110"/>
      <c r="T1698" s="110"/>
      <c r="U1698" s="110">
        <f t="shared" si="374"/>
        <v>197</v>
      </c>
      <c r="V1698" s="111">
        <f t="shared" si="377"/>
        <v>9690.39</v>
      </c>
      <c r="W1698" s="110"/>
      <c r="X1698" s="110"/>
      <c r="Y1698" s="110"/>
      <c r="Z1698" s="110"/>
      <c r="AA1698" s="110">
        <f t="shared" si="375"/>
        <v>197</v>
      </c>
      <c r="AB1698" s="111">
        <f t="shared" si="364"/>
        <v>9690.39</v>
      </c>
      <c r="AC1698" s="110"/>
      <c r="AD1698" s="110"/>
      <c r="AE1698" s="110">
        <f t="shared" si="375"/>
        <v>197</v>
      </c>
      <c r="AF1698" s="111">
        <f t="shared" si="365"/>
        <v>9690.39</v>
      </c>
      <c r="AG1698" s="110"/>
      <c r="AH1698" s="110"/>
      <c r="AI1698" s="110"/>
      <c r="AJ1698" s="110"/>
      <c r="AK1698" s="111">
        <f t="shared" si="367"/>
        <v>38761.56</v>
      </c>
      <c r="AL1698" s="446">
        <f t="shared" si="368"/>
        <v>0</v>
      </c>
      <c r="AM1698" s="110">
        <f t="shared" si="369"/>
        <v>788</v>
      </c>
      <c r="AN1698" s="447">
        <f t="shared" si="372"/>
        <v>0</v>
      </c>
      <c r="AO1698"/>
      <c r="AP1698"/>
    </row>
    <row r="1699" spans="1:42" ht="66" x14ac:dyDescent="0.25">
      <c r="A1699" s="1024"/>
      <c r="B1699" s="43" t="s">
        <v>369</v>
      </c>
      <c r="C1699" s="1024"/>
      <c r="D1699" s="869">
        <f>384</f>
        <v>384</v>
      </c>
      <c r="E1699" s="1024" t="s">
        <v>1834</v>
      </c>
      <c r="F1699" s="273" t="s">
        <v>3446</v>
      </c>
      <c r="G1699" s="1040" t="s">
        <v>3463</v>
      </c>
      <c r="H1699" s="273" t="s">
        <v>3462</v>
      </c>
      <c r="I1699" s="720">
        <f t="shared" si="370"/>
        <v>34.452005208333333</v>
      </c>
      <c r="J1699" s="758">
        <f>13229.57</f>
        <v>13229.57</v>
      </c>
      <c r="K1699" s="131">
        <f t="shared" si="371"/>
        <v>13229.57</v>
      </c>
      <c r="L1699" s="335">
        <f t="shared" si="366"/>
        <v>0</v>
      </c>
      <c r="M1699" s="446"/>
      <c r="N1699" s="446"/>
      <c r="O1699" s="446"/>
      <c r="P1699" s="446"/>
      <c r="Q1699" s="110">
        <f t="shared" si="373"/>
        <v>96</v>
      </c>
      <c r="R1699" s="111">
        <f t="shared" si="376"/>
        <v>3307.3924999999999</v>
      </c>
      <c r="S1699" s="110"/>
      <c r="T1699" s="110"/>
      <c r="U1699" s="110">
        <f t="shared" si="374"/>
        <v>96</v>
      </c>
      <c r="V1699" s="111">
        <f t="shared" si="377"/>
        <v>3307.3924999999999</v>
      </c>
      <c r="W1699" s="110"/>
      <c r="X1699" s="110"/>
      <c r="Y1699" s="110"/>
      <c r="Z1699" s="110"/>
      <c r="AA1699" s="110">
        <f t="shared" si="375"/>
        <v>96</v>
      </c>
      <c r="AB1699" s="111">
        <f t="shared" si="364"/>
        <v>3307.3924999999999</v>
      </c>
      <c r="AC1699" s="110"/>
      <c r="AD1699" s="110"/>
      <c r="AE1699" s="110">
        <f t="shared" si="375"/>
        <v>96</v>
      </c>
      <c r="AF1699" s="111">
        <f t="shared" si="365"/>
        <v>3307.3924999999999</v>
      </c>
      <c r="AG1699" s="110"/>
      <c r="AH1699" s="110"/>
      <c r="AI1699" s="110"/>
      <c r="AJ1699" s="110"/>
      <c r="AK1699" s="111">
        <f t="shared" si="367"/>
        <v>13229.57</v>
      </c>
      <c r="AL1699" s="446">
        <f t="shared" si="368"/>
        <v>0</v>
      </c>
      <c r="AM1699" s="110">
        <f t="shared" si="369"/>
        <v>384</v>
      </c>
      <c r="AN1699" s="447">
        <f t="shared" si="372"/>
        <v>0</v>
      </c>
      <c r="AO1699"/>
      <c r="AP1699"/>
    </row>
    <row r="1700" spans="1:42" ht="66" x14ac:dyDescent="0.25">
      <c r="A1700" s="1024"/>
      <c r="B1700" s="43" t="s">
        <v>370</v>
      </c>
      <c r="C1700" s="1024"/>
      <c r="D1700" s="869">
        <f>576</f>
        <v>576</v>
      </c>
      <c r="E1700" s="1027" t="s">
        <v>1834</v>
      </c>
      <c r="F1700" s="273" t="s">
        <v>3446</v>
      </c>
      <c r="G1700" s="1040" t="s">
        <v>3463</v>
      </c>
      <c r="H1700" s="273" t="s">
        <v>3462</v>
      </c>
      <c r="I1700" s="720">
        <f t="shared" si="370"/>
        <v>40.831996527777775</v>
      </c>
      <c r="J1700" s="758">
        <f>23519.23</f>
        <v>23519.23</v>
      </c>
      <c r="K1700" s="131">
        <f t="shared" si="371"/>
        <v>23519.23</v>
      </c>
      <c r="L1700" s="335">
        <f t="shared" si="366"/>
        <v>0</v>
      </c>
      <c r="M1700" s="446"/>
      <c r="N1700" s="446"/>
      <c r="O1700" s="446"/>
      <c r="P1700" s="446"/>
      <c r="Q1700" s="110">
        <f t="shared" si="373"/>
        <v>144</v>
      </c>
      <c r="R1700" s="111">
        <f t="shared" si="376"/>
        <v>5879.8074999999999</v>
      </c>
      <c r="S1700" s="110"/>
      <c r="T1700" s="110"/>
      <c r="U1700" s="110">
        <f t="shared" si="374"/>
        <v>144</v>
      </c>
      <c r="V1700" s="111">
        <f t="shared" si="377"/>
        <v>5879.8074999999999</v>
      </c>
      <c r="W1700" s="110"/>
      <c r="X1700" s="110"/>
      <c r="Y1700" s="110"/>
      <c r="Z1700" s="110"/>
      <c r="AA1700" s="110">
        <f t="shared" si="375"/>
        <v>144</v>
      </c>
      <c r="AB1700" s="111">
        <f t="shared" si="364"/>
        <v>5879.8074999999999</v>
      </c>
      <c r="AC1700" s="110"/>
      <c r="AD1700" s="110"/>
      <c r="AE1700" s="110">
        <f t="shared" si="375"/>
        <v>144</v>
      </c>
      <c r="AF1700" s="111">
        <f t="shared" si="365"/>
        <v>5879.8074999999999</v>
      </c>
      <c r="AG1700" s="110"/>
      <c r="AH1700" s="110"/>
      <c r="AI1700" s="110"/>
      <c r="AJ1700" s="110"/>
      <c r="AK1700" s="111">
        <f t="shared" si="367"/>
        <v>23519.23</v>
      </c>
      <c r="AL1700" s="446">
        <f t="shared" si="368"/>
        <v>0</v>
      </c>
      <c r="AM1700" s="110">
        <f t="shared" si="369"/>
        <v>576</v>
      </c>
      <c r="AN1700" s="447">
        <f t="shared" si="372"/>
        <v>0</v>
      </c>
      <c r="AO1700"/>
      <c r="AP1700"/>
    </row>
    <row r="1701" spans="1:42" ht="66" x14ac:dyDescent="0.25">
      <c r="A1701" s="1024"/>
      <c r="B1701" s="43" t="s">
        <v>371</v>
      </c>
      <c r="C1701" s="1024"/>
      <c r="D1701" s="869">
        <f>96</f>
        <v>96</v>
      </c>
      <c r="E1701" s="1027" t="s">
        <v>1834</v>
      </c>
      <c r="F1701" s="273" t="s">
        <v>3446</v>
      </c>
      <c r="G1701" s="1040" t="s">
        <v>3463</v>
      </c>
      <c r="H1701" s="273" t="s">
        <v>3462</v>
      </c>
      <c r="I1701" s="720">
        <f t="shared" si="370"/>
        <v>50.912395833333335</v>
      </c>
      <c r="J1701" s="758">
        <f>4887.59</f>
        <v>4887.59</v>
      </c>
      <c r="K1701" s="131">
        <f t="shared" si="371"/>
        <v>4887.59</v>
      </c>
      <c r="L1701" s="335">
        <f t="shared" si="366"/>
        <v>0</v>
      </c>
      <c r="M1701" s="446"/>
      <c r="N1701" s="446"/>
      <c r="O1701" s="446"/>
      <c r="P1701" s="446"/>
      <c r="Q1701" s="110">
        <f t="shared" si="373"/>
        <v>24</v>
      </c>
      <c r="R1701" s="111">
        <f t="shared" si="376"/>
        <v>1221.8975</v>
      </c>
      <c r="S1701" s="110"/>
      <c r="T1701" s="110"/>
      <c r="U1701" s="110">
        <f t="shared" si="374"/>
        <v>24</v>
      </c>
      <c r="V1701" s="111">
        <f t="shared" si="377"/>
        <v>1221.8975</v>
      </c>
      <c r="W1701" s="110"/>
      <c r="X1701" s="110"/>
      <c r="Y1701" s="110"/>
      <c r="Z1701" s="110"/>
      <c r="AA1701" s="110">
        <f t="shared" si="375"/>
        <v>24</v>
      </c>
      <c r="AB1701" s="111">
        <f t="shared" ref="AB1701:AB1764" si="378">+J1701/4</f>
        <v>1221.8975</v>
      </c>
      <c r="AC1701" s="110"/>
      <c r="AD1701" s="110"/>
      <c r="AE1701" s="110">
        <f t="shared" si="375"/>
        <v>24</v>
      </c>
      <c r="AF1701" s="111">
        <f t="shared" ref="AF1701:AF1764" si="379">+J1701/4</f>
        <v>1221.8975</v>
      </c>
      <c r="AG1701" s="110"/>
      <c r="AH1701" s="110"/>
      <c r="AI1701" s="110"/>
      <c r="AJ1701" s="110"/>
      <c r="AK1701" s="111">
        <f t="shared" si="367"/>
        <v>4887.59</v>
      </c>
      <c r="AL1701" s="446">
        <f t="shared" si="368"/>
        <v>0</v>
      </c>
      <c r="AM1701" s="110">
        <f t="shared" si="369"/>
        <v>96</v>
      </c>
      <c r="AN1701" s="447">
        <f t="shared" si="372"/>
        <v>0</v>
      </c>
      <c r="AO1701"/>
      <c r="AP1701"/>
    </row>
    <row r="1702" spans="1:42" ht="66" x14ac:dyDescent="0.25">
      <c r="A1702" s="1024"/>
      <c r="B1702" s="41" t="s">
        <v>372</v>
      </c>
      <c r="C1702" s="1024"/>
      <c r="D1702" s="869">
        <f>10</f>
        <v>10</v>
      </c>
      <c r="E1702" s="1027" t="s">
        <v>1834</v>
      </c>
      <c r="F1702" s="273" t="s">
        <v>3446</v>
      </c>
      <c r="G1702" s="1040" t="s">
        <v>3463</v>
      </c>
      <c r="H1702" s="273" t="s">
        <v>3462</v>
      </c>
      <c r="I1702" s="720">
        <f t="shared" si="370"/>
        <v>228.29000000000002</v>
      </c>
      <c r="J1702" s="758">
        <f>2282.9</f>
        <v>2282.9</v>
      </c>
      <c r="K1702" s="131">
        <f t="shared" si="371"/>
        <v>2282.9</v>
      </c>
      <c r="L1702" s="335">
        <f t="shared" si="366"/>
        <v>0</v>
      </c>
      <c r="M1702" s="446"/>
      <c r="N1702" s="446"/>
      <c r="O1702" s="446"/>
      <c r="P1702" s="446"/>
      <c r="Q1702" s="130">
        <v>3</v>
      </c>
      <c r="R1702" s="111">
        <f t="shared" si="376"/>
        <v>570.72500000000002</v>
      </c>
      <c r="S1702" s="110"/>
      <c r="T1702" s="110"/>
      <c r="U1702" s="130">
        <v>3</v>
      </c>
      <c r="V1702" s="111">
        <f t="shared" si="377"/>
        <v>570.72500000000002</v>
      </c>
      <c r="W1702" s="110"/>
      <c r="X1702" s="110"/>
      <c r="Y1702" s="110"/>
      <c r="Z1702" s="110"/>
      <c r="AA1702" s="130">
        <v>2</v>
      </c>
      <c r="AB1702" s="111">
        <f t="shared" si="378"/>
        <v>570.72500000000002</v>
      </c>
      <c r="AC1702" s="110"/>
      <c r="AD1702" s="110"/>
      <c r="AE1702" s="130">
        <v>2</v>
      </c>
      <c r="AF1702" s="111">
        <f t="shared" si="379"/>
        <v>570.72500000000002</v>
      </c>
      <c r="AG1702" s="110"/>
      <c r="AH1702" s="110"/>
      <c r="AI1702" s="110"/>
      <c r="AJ1702" s="110"/>
      <c r="AK1702" s="111">
        <f t="shared" si="367"/>
        <v>2282.9</v>
      </c>
      <c r="AL1702" s="446">
        <f t="shared" si="368"/>
        <v>0</v>
      </c>
      <c r="AM1702" s="110">
        <f t="shared" si="369"/>
        <v>10</v>
      </c>
      <c r="AN1702" s="447">
        <f t="shared" si="372"/>
        <v>0</v>
      </c>
      <c r="AO1702"/>
      <c r="AP1702"/>
    </row>
    <row r="1703" spans="1:42" ht="66" x14ac:dyDescent="0.25">
      <c r="A1703" s="1024"/>
      <c r="B1703" s="43" t="s">
        <v>373</v>
      </c>
      <c r="C1703" s="1024"/>
      <c r="D1703" s="869">
        <f>44+34</f>
        <v>78</v>
      </c>
      <c r="E1703" s="1027" t="s">
        <v>1834</v>
      </c>
      <c r="F1703" s="273" t="s">
        <v>3446</v>
      </c>
      <c r="G1703" s="1040" t="s">
        <v>3463</v>
      </c>
      <c r="H1703" s="273" t="s">
        <v>3462</v>
      </c>
      <c r="I1703" s="720">
        <f t="shared" si="370"/>
        <v>84.02538461538461</v>
      </c>
      <c r="J1703" s="758">
        <f>3649.36+2904.62</f>
        <v>6553.98</v>
      </c>
      <c r="K1703" s="131">
        <f t="shared" si="371"/>
        <v>6553.98</v>
      </c>
      <c r="L1703" s="335">
        <f t="shared" si="366"/>
        <v>0</v>
      </c>
      <c r="M1703" s="446"/>
      <c r="N1703" s="446"/>
      <c r="O1703" s="446"/>
      <c r="P1703" s="446"/>
      <c r="Q1703" s="110">
        <v>19</v>
      </c>
      <c r="R1703" s="111">
        <f t="shared" si="376"/>
        <v>1638.4949999999999</v>
      </c>
      <c r="S1703" s="110"/>
      <c r="T1703" s="110"/>
      <c r="U1703" s="110">
        <v>19</v>
      </c>
      <c r="V1703" s="111">
        <f t="shared" si="377"/>
        <v>1638.4949999999999</v>
      </c>
      <c r="W1703" s="110"/>
      <c r="X1703" s="110"/>
      <c r="Y1703" s="110"/>
      <c r="Z1703" s="110"/>
      <c r="AA1703" s="110">
        <v>20</v>
      </c>
      <c r="AB1703" s="111">
        <f t="shared" si="378"/>
        <v>1638.4949999999999</v>
      </c>
      <c r="AC1703" s="110"/>
      <c r="AD1703" s="110"/>
      <c r="AE1703" s="110">
        <v>20</v>
      </c>
      <c r="AF1703" s="111">
        <f t="shared" si="379"/>
        <v>1638.4949999999999</v>
      </c>
      <c r="AG1703" s="110"/>
      <c r="AH1703" s="110"/>
      <c r="AI1703" s="110"/>
      <c r="AJ1703" s="110"/>
      <c r="AK1703" s="111">
        <f t="shared" si="367"/>
        <v>6553.98</v>
      </c>
      <c r="AL1703" s="446">
        <f t="shared" si="368"/>
        <v>0</v>
      </c>
      <c r="AM1703" s="110">
        <f t="shared" si="369"/>
        <v>78</v>
      </c>
      <c r="AN1703" s="447">
        <f t="shared" si="372"/>
        <v>0</v>
      </c>
      <c r="AO1703"/>
      <c r="AP1703"/>
    </row>
    <row r="1704" spans="1:42" ht="66" x14ac:dyDescent="0.25">
      <c r="A1704" s="1024"/>
      <c r="B1704" s="43" t="s">
        <v>374</v>
      </c>
      <c r="C1704" s="1024"/>
      <c r="D1704" s="869">
        <f>300</f>
        <v>300</v>
      </c>
      <c r="E1704" s="1027" t="s">
        <v>1834</v>
      </c>
      <c r="F1704" s="273" t="s">
        <v>3446</v>
      </c>
      <c r="G1704" s="1040" t="s">
        <v>3463</v>
      </c>
      <c r="H1704" s="273" t="s">
        <v>3462</v>
      </c>
      <c r="I1704" s="720">
        <f t="shared" si="370"/>
        <v>37.004000000000005</v>
      </c>
      <c r="J1704" s="758">
        <f>11101.2</f>
        <v>11101.2</v>
      </c>
      <c r="K1704" s="131">
        <f t="shared" si="371"/>
        <v>11101.2</v>
      </c>
      <c r="L1704" s="335">
        <f t="shared" si="366"/>
        <v>0</v>
      </c>
      <c r="M1704" s="446"/>
      <c r="N1704" s="446"/>
      <c r="O1704" s="446"/>
      <c r="P1704" s="446"/>
      <c r="Q1704" s="110">
        <f t="shared" si="373"/>
        <v>75</v>
      </c>
      <c r="R1704" s="111">
        <f t="shared" si="376"/>
        <v>2775.3</v>
      </c>
      <c r="S1704" s="110"/>
      <c r="T1704" s="110"/>
      <c r="U1704" s="110">
        <f t="shared" si="374"/>
        <v>75</v>
      </c>
      <c r="V1704" s="111">
        <f t="shared" si="377"/>
        <v>2775.3</v>
      </c>
      <c r="W1704" s="110"/>
      <c r="X1704" s="110"/>
      <c r="Y1704" s="110"/>
      <c r="Z1704" s="110"/>
      <c r="AA1704" s="110">
        <f t="shared" si="375"/>
        <v>75</v>
      </c>
      <c r="AB1704" s="111">
        <f t="shared" si="378"/>
        <v>2775.3</v>
      </c>
      <c r="AC1704" s="110"/>
      <c r="AD1704" s="110"/>
      <c r="AE1704" s="110">
        <f t="shared" si="375"/>
        <v>75</v>
      </c>
      <c r="AF1704" s="111">
        <f t="shared" si="379"/>
        <v>2775.3</v>
      </c>
      <c r="AG1704" s="110"/>
      <c r="AH1704" s="110"/>
      <c r="AI1704" s="110"/>
      <c r="AJ1704" s="110"/>
      <c r="AK1704" s="111">
        <f t="shared" si="367"/>
        <v>11101.2</v>
      </c>
      <c r="AL1704" s="446">
        <f t="shared" si="368"/>
        <v>0</v>
      </c>
      <c r="AM1704" s="110">
        <f t="shared" si="369"/>
        <v>300</v>
      </c>
      <c r="AN1704" s="447">
        <f t="shared" si="372"/>
        <v>0</v>
      </c>
      <c r="AO1704"/>
      <c r="AP1704"/>
    </row>
    <row r="1705" spans="1:42" ht="66" x14ac:dyDescent="0.25">
      <c r="A1705" s="1024"/>
      <c r="B1705" s="43" t="s">
        <v>375</v>
      </c>
      <c r="C1705" s="1024"/>
      <c r="D1705" s="869">
        <f>240</f>
        <v>240</v>
      </c>
      <c r="E1705" s="1023" t="s">
        <v>1834</v>
      </c>
      <c r="F1705" s="273" t="s">
        <v>3446</v>
      </c>
      <c r="G1705" s="1040" t="s">
        <v>3463</v>
      </c>
      <c r="H1705" s="273" t="s">
        <v>3462</v>
      </c>
      <c r="I1705" s="720">
        <f t="shared" si="370"/>
        <v>35.727999999999994</v>
      </c>
      <c r="J1705" s="758">
        <f>8574.72</f>
        <v>8574.7199999999993</v>
      </c>
      <c r="K1705" s="131">
        <f t="shared" si="371"/>
        <v>8574.7199999999993</v>
      </c>
      <c r="L1705" s="335">
        <f t="shared" si="366"/>
        <v>0</v>
      </c>
      <c r="M1705" s="446"/>
      <c r="N1705" s="446"/>
      <c r="O1705" s="446"/>
      <c r="P1705" s="446"/>
      <c r="Q1705" s="110">
        <f t="shared" si="373"/>
        <v>60</v>
      </c>
      <c r="R1705" s="111">
        <f t="shared" si="376"/>
        <v>2143.6799999999998</v>
      </c>
      <c r="S1705" s="110"/>
      <c r="T1705" s="110"/>
      <c r="U1705" s="110">
        <f t="shared" si="374"/>
        <v>60</v>
      </c>
      <c r="V1705" s="111">
        <f t="shared" si="377"/>
        <v>2143.6799999999998</v>
      </c>
      <c r="W1705" s="110"/>
      <c r="X1705" s="110"/>
      <c r="Y1705" s="110"/>
      <c r="Z1705" s="110"/>
      <c r="AA1705" s="110">
        <f t="shared" si="375"/>
        <v>60</v>
      </c>
      <c r="AB1705" s="111">
        <f t="shared" si="378"/>
        <v>2143.6799999999998</v>
      </c>
      <c r="AC1705" s="110"/>
      <c r="AD1705" s="110"/>
      <c r="AE1705" s="110">
        <f t="shared" si="375"/>
        <v>60</v>
      </c>
      <c r="AF1705" s="111">
        <f t="shared" si="379"/>
        <v>2143.6799999999998</v>
      </c>
      <c r="AG1705" s="110"/>
      <c r="AH1705" s="110"/>
      <c r="AI1705" s="110"/>
      <c r="AJ1705" s="110"/>
      <c r="AK1705" s="111">
        <f t="shared" si="367"/>
        <v>8574.7199999999993</v>
      </c>
      <c r="AL1705" s="446">
        <f t="shared" si="368"/>
        <v>0</v>
      </c>
      <c r="AM1705" s="110">
        <f t="shared" si="369"/>
        <v>240</v>
      </c>
      <c r="AN1705" s="447">
        <f t="shared" si="372"/>
        <v>0</v>
      </c>
      <c r="AO1705"/>
      <c r="AP1705"/>
    </row>
    <row r="1706" spans="1:42" ht="66" x14ac:dyDescent="0.25">
      <c r="A1706" s="1024"/>
      <c r="B1706" s="43" t="s">
        <v>376</v>
      </c>
      <c r="C1706" s="1024"/>
      <c r="D1706" s="869">
        <f>576</f>
        <v>576</v>
      </c>
      <c r="E1706" s="1027" t="s">
        <v>1834</v>
      </c>
      <c r="F1706" s="273" t="s">
        <v>3446</v>
      </c>
      <c r="G1706" s="1040" t="s">
        <v>3463</v>
      </c>
      <c r="H1706" s="273" t="s">
        <v>3462</v>
      </c>
      <c r="I1706" s="720">
        <f t="shared" si="370"/>
        <v>25.52</v>
      </c>
      <c r="J1706" s="758">
        <f>14699.52</f>
        <v>14699.52</v>
      </c>
      <c r="K1706" s="131">
        <f t="shared" si="371"/>
        <v>14699.52</v>
      </c>
      <c r="L1706" s="335">
        <f t="shared" si="366"/>
        <v>0</v>
      </c>
      <c r="M1706" s="446"/>
      <c r="N1706" s="446"/>
      <c r="O1706" s="446"/>
      <c r="P1706" s="446"/>
      <c r="Q1706" s="110">
        <f t="shared" si="373"/>
        <v>144</v>
      </c>
      <c r="R1706" s="111">
        <f t="shared" si="376"/>
        <v>3674.88</v>
      </c>
      <c r="S1706" s="110"/>
      <c r="T1706" s="110"/>
      <c r="U1706" s="110">
        <f t="shared" si="374"/>
        <v>144</v>
      </c>
      <c r="V1706" s="111">
        <f t="shared" si="377"/>
        <v>3674.88</v>
      </c>
      <c r="W1706" s="110"/>
      <c r="X1706" s="110"/>
      <c r="Y1706" s="110"/>
      <c r="Z1706" s="110"/>
      <c r="AA1706" s="110">
        <f t="shared" si="375"/>
        <v>144</v>
      </c>
      <c r="AB1706" s="111">
        <f t="shared" si="378"/>
        <v>3674.88</v>
      </c>
      <c r="AC1706" s="110"/>
      <c r="AD1706" s="110"/>
      <c r="AE1706" s="110">
        <f t="shared" si="375"/>
        <v>144</v>
      </c>
      <c r="AF1706" s="111">
        <f t="shared" si="379"/>
        <v>3674.88</v>
      </c>
      <c r="AG1706" s="110"/>
      <c r="AH1706" s="110"/>
      <c r="AI1706" s="110"/>
      <c r="AJ1706" s="110"/>
      <c r="AK1706" s="111">
        <f t="shared" si="367"/>
        <v>14699.52</v>
      </c>
      <c r="AL1706" s="446">
        <f t="shared" si="368"/>
        <v>0</v>
      </c>
      <c r="AM1706" s="110">
        <f t="shared" si="369"/>
        <v>576</v>
      </c>
      <c r="AN1706" s="447">
        <f t="shared" si="372"/>
        <v>0</v>
      </c>
      <c r="AO1706"/>
      <c r="AP1706"/>
    </row>
    <row r="1707" spans="1:42" ht="66" x14ac:dyDescent="0.25">
      <c r="A1707" s="1024"/>
      <c r="B1707" s="41" t="s">
        <v>377</v>
      </c>
      <c r="C1707" s="1024"/>
      <c r="D1707" s="869">
        <f>126</f>
        <v>126</v>
      </c>
      <c r="E1707" s="1024" t="s">
        <v>1721</v>
      </c>
      <c r="F1707" s="273" t="s">
        <v>3446</v>
      </c>
      <c r="G1707" s="1040" t="s">
        <v>3463</v>
      </c>
      <c r="H1707" s="273" t="s">
        <v>3462</v>
      </c>
      <c r="I1707" s="720">
        <f t="shared" si="370"/>
        <v>26.626269841269838</v>
      </c>
      <c r="J1707" s="758">
        <f>3354.91</f>
        <v>3354.91</v>
      </c>
      <c r="K1707" s="131">
        <f t="shared" si="371"/>
        <v>3354.91</v>
      </c>
      <c r="L1707" s="335">
        <f t="shared" si="366"/>
        <v>0</v>
      </c>
      <c r="M1707" s="446"/>
      <c r="N1707" s="446"/>
      <c r="O1707" s="446"/>
      <c r="P1707" s="446"/>
      <c r="Q1707" s="110">
        <v>40</v>
      </c>
      <c r="R1707" s="111">
        <f t="shared" si="376"/>
        <v>838.72749999999996</v>
      </c>
      <c r="S1707" s="110"/>
      <c r="T1707" s="110"/>
      <c r="U1707" s="110">
        <v>40</v>
      </c>
      <c r="V1707" s="111">
        <f t="shared" si="377"/>
        <v>838.72749999999996</v>
      </c>
      <c r="W1707" s="110"/>
      <c r="X1707" s="110"/>
      <c r="Y1707" s="110"/>
      <c r="Z1707" s="110"/>
      <c r="AA1707" s="110">
        <v>40</v>
      </c>
      <c r="AB1707" s="111">
        <f t="shared" si="378"/>
        <v>838.72749999999996</v>
      </c>
      <c r="AC1707" s="110"/>
      <c r="AD1707" s="110"/>
      <c r="AE1707" s="110">
        <v>6</v>
      </c>
      <c r="AF1707" s="111">
        <f t="shared" si="379"/>
        <v>838.72749999999996</v>
      </c>
      <c r="AG1707" s="110"/>
      <c r="AH1707" s="110"/>
      <c r="AI1707" s="110"/>
      <c r="AJ1707" s="110"/>
      <c r="AK1707" s="111">
        <f t="shared" si="367"/>
        <v>3354.91</v>
      </c>
      <c r="AL1707" s="446">
        <f t="shared" si="368"/>
        <v>0</v>
      </c>
      <c r="AM1707" s="110">
        <f t="shared" si="369"/>
        <v>126</v>
      </c>
      <c r="AN1707" s="447">
        <f t="shared" si="372"/>
        <v>0</v>
      </c>
      <c r="AO1707"/>
      <c r="AP1707"/>
    </row>
    <row r="1708" spans="1:42" ht="66" x14ac:dyDescent="0.25">
      <c r="A1708" s="1024"/>
      <c r="B1708" s="43" t="s">
        <v>378</v>
      </c>
      <c r="C1708" s="1024"/>
      <c r="D1708" s="869">
        <f>1440</f>
        <v>1440</v>
      </c>
      <c r="E1708" s="1023" t="s">
        <v>1834</v>
      </c>
      <c r="F1708" s="273" t="s">
        <v>3446</v>
      </c>
      <c r="G1708" s="1040" t="s">
        <v>3463</v>
      </c>
      <c r="H1708" s="273" t="s">
        <v>3462</v>
      </c>
      <c r="I1708" s="720">
        <f t="shared" si="370"/>
        <v>24.244</v>
      </c>
      <c r="J1708" s="758">
        <f>34911.36</f>
        <v>34911.360000000001</v>
      </c>
      <c r="K1708" s="131">
        <f t="shared" si="371"/>
        <v>34911.360000000001</v>
      </c>
      <c r="L1708" s="335">
        <f t="shared" si="366"/>
        <v>0</v>
      </c>
      <c r="M1708" s="446"/>
      <c r="N1708" s="446"/>
      <c r="O1708" s="446"/>
      <c r="P1708" s="446"/>
      <c r="Q1708" s="110">
        <f t="shared" si="373"/>
        <v>360</v>
      </c>
      <c r="R1708" s="111">
        <f t="shared" si="376"/>
        <v>8727.84</v>
      </c>
      <c r="S1708" s="110"/>
      <c r="T1708" s="110"/>
      <c r="U1708" s="110">
        <f t="shared" si="374"/>
        <v>360</v>
      </c>
      <c r="V1708" s="111">
        <f t="shared" si="377"/>
        <v>8727.84</v>
      </c>
      <c r="W1708" s="110"/>
      <c r="X1708" s="110"/>
      <c r="Y1708" s="110"/>
      <c r="Z1708" s="110"/>
      <c r="AA1708" s="110">
        <f t="shared" si="375"/>
        <v>360</v>
      </c>
      <c r="AB1708" s="111">
        <f t="shared" si="378"/>
        <v>8727.84</v>
      </c>
      <c r="AC1708" s="110"/>
      <c r="AD1708" s="110"/>
      <c r="AE1708" s="110">
        <f t="shared" si="375"/>
        <v>360</v>
      </c>
      <c r="AF1708" s="111">
        <f t="shared" si="379"/>
        <v>8727.84</v>
      </c>
      <c r="AG1708" s="110"/>
      <c r="AH1708" s="110"/>
      <c r="AI1708" s="110"/>
      <c r="AJ1708" s="110"/>
      <c r="AK1708" s="111">
        <f t="shared" si="367"/>
        <v>34911.360000000001</v>
      </c>
      <c r="AL1708" s="446">
        <f t="shared" si="368"/>
        <v>0</v>
      </c>
      <c r="AM1708" s="110">
        <f t="shared" si="369"/>
        <v>1440</v>
      </c>
      <c r="AN1708" s="447">
        <f t="shared" si="372"/>
        <v>0</v>
      </c>
      <c r="AO1708"/>
      <c r="AP1708"/>
    </row>
    <row r="1709" spans="1:42" ht="66" x14ac:dyDescent="0.25">
      <c r="A1709" s="1024"/>
      <c r="B1709" s="43" t="s">
        <v>379</v>
      </c>
      <c r="C1709" s="1024"/>
      <c r="D1709" s="869">
        <f>75</f>
        <v>75</v>
      </c>
      <c r="E1709" s="1027" t="s">
        <v>1834</v>
      </c>
      <c r="F1709" s="273" t="s">
        <v>3446</v>
      </c>
      <c r="G1709" s="1040" t="s">
        <v>3463</v>
      </c>
      <c r="H1709" s="273" t="s">
        <v>3462</v>
      </c>
      <c r="I1709" s="720">
        <f t="shared" si="370"/>
        <v>93.772800000000004</v>
      </c>
      <c r="J1709" s="758">
        <f>7032.96</f>
        <v>7032.96</v>
      </c>
      <c r="K1709" s="131">
        <f t="shared" si="371"/>
        <v>7032.96</v>
      </c>
      <c r="L1709" s="335">
        <f t="shared" si="366"/>
        <v>0</v>
      </c>
      <c r="M1709" s="446"/>
      <c r="N1709" s="446"/>
      <c r="O1709" s="446"/>
      <c r="P1709" s="446"/>
      <c r="Q1709" s="130">
        <v>19</v>
      </c>
      <c r="R1709" s="111">
        <f t="shared" si="376"/>
        <v>1758.24</v>
      </c>
      <c r="S1709" s="110"/>
      <c r="T1709" s="110"/>
      <c r="U1709" s="130">
        <v>19</v>
      </c>
      <c r="V1709" s="111">
        <f t="shared" si="377"/>
        <v>1758.24</v>
      </c>
      <c r="W1709" s="110"/>
      <c r="X1709" s="110"/>
      <c r="Y1709" s="110"/>
      <c r="Z1709" s="110"/>
      <c r="AA1709" s="130">
        <v>20</v>
      </c>
      <c r="AB1709" s="111">
        <f t="shared" si="378"/>
        <v>1758.24</v>
      </c>
      <c r="AC1709" s="110"/>
      <c r="AD1709" s="110"/>
      <c r="AE1709" s="130">
        <v>17</v>
      </c>
      <c r="AF1709" s="111">
        <f t="shared" si="379"/>
        <v>1758.24</v>
      </c>
      <c r="AG1709" s="110"/>
      <c r="AH1709" s="110"/>
      <c r="AI1709" s="110"/>
      <c r="AJ1709" s="110"/>
      <c r="AK1709" s="111">
        <f t="shared" si="367"/>
        <v>7032.96</v>
      </c>
      <c r="AL1709" s="446">
        <f t="shared" si="368"/>
        <v>0</v>
      </c>
      <c r="AM1709" s="110">
        <f t="shared" si="369"/>
        <v>75</v>
      </c>
      <c r="AN1709" s="447">
        <f t="shared" si="372"/>
        <v>0</v>
      </c>
      <c r="AO1709"/>
      <c r="AP1709"/>
    </row>
    <row r="1710" spans="1:42" ht="66" x14ac:dyDescent="0.25">
      <c r="A1710" s="1024"/>
      <c r="B1710" s="43" t="s">
        <v>380</v>
      </c>
      <c r="C1710" s="1024"/>
      <c r="D1710" s="869">
        <v>6</v>
      </c>
      <c r="E1710" s="1027" t="s">
        <v>1834</v>
      </c>
      <c r="F1710" s="273" t="s">
        <v>3446</v>
      </c>
      <c r="G1710" s="1040" t="s">
        <v>3463</v>
      </c>
      <c r="H1710" s="273" t="s">
        <v>3462</v>
      </c>
      <c r="I1710" s="720">
        <f t="shared" si="370"/>
        <v>121.87</v>
      </c>
      <c r="J1710" s="758">
        <f>731.22</f>
        <v>731.22</v>
      </c>
      <c r="K1710" s="131">
        <f t="shared" si="371"/>
        <v>731.22</v>
      </c>
      <c r="L1710" s="335">
        <f t="shared" si="366"/>
        <v>0</v>
      </c>
      <c r="M1710" s="446"/>
      <c r="N1710" s="446"/>
      <c r="O1710" s="446"/>
      <c r="P1710" s="446"/>
      <c r="Q1710" s="130">
        <v>2</v>
      </c>
      <c r="R1710" s="111">
        <f t="shared" si="376"/>
        <v>182.80500000000001</v>
      </c>
      <c r="S1710" s="110"/>
      <c r="T1710" s="110"/>
      <c r="U1710" s="130">
        <v>2</v>
      </c>
      <c r="V1710" s="111">
        <f t="shared" si="377"/>
        <v>182.80500000000001</v>
      </c>
      <c r="W1710" s="110"/>
      <c r="X1710" s="110"/>
      <c r="Y1710" s="110"/>
      <c r="Z1710" s="110"/>
      <c r="AA1710" s="130">
        <v>1</v>
      </c>
      <c r="AB1710" s="111">
        <f t="shared" si="378"/>
        <v>182.80500000000001</v>
      </c>
      <c r="AC1710" s="110"/>
      <c r="AD1710" s="110"/>
      <c r="AE1710" s="130">
        <v>1</v>
      </c>
      <c r="AF1710" s="111">
        <f t="shared" si="379"/>
        <v>182.80500000000001</v>
      </c>
      <c r="AG1710" s="110"/>
      <c r="AH1710" s="110"/>
      <c r="AI1710" s="110"/>
      <c r="AJ1710" s="110"/>
      <c r="AK1710" s="111">
        <f t="shared" si="367"/>
        <v>731.22</v>
      </c>
      <c r="AL1710" s="446">
        <f t="shared" si="368"/>
        <v>0</v>
      </c>
      <c r="AM1710" s="110">
        <f t="shared" si="369"/>
        <v>6</v>
      </c>
      <c r="AN1710" s="447">
        <f t="shared" si="372"/>
        <v>0</v>
      </c>
      <c r="AO1710"/>
      <c r="AP1710"/>
    </row>
    <row r="1711" spans="1:42" ht="66" x14ac:dyDescent="0.25">
      <c r="A1711" s="1024"/>
      <c r="B1711" s="41" t="s">
        <v>381</v>
      </c>
      <c r="C1711" s="1024"/>
      <c r="D1711" s="869">
        <f>44+164</f>
        <v>208</v>
      </c>
      <c r="E1711" s="1024" t="s">
        <v>1834</v>
      </c>
      <c r="F1711" s="273" t="s">
        <v>3446</v>
      </c>
      <c r="G1711" s="1040" t="s">
        <v>3463</v>
      </c>
      <c r="H1711" s="273" t="s">
        <v>3462</v>
      </c>
      <c r="I1711" s="720">
        <f t="shared" si="370"/>
        <v>49.547115384615381</v>
      </c>
      <c r="J1711" s="758">
        <f>2461.66+7844.14</f>
        <v>10305.799999999999</v>
      </c>
      <c r="K1711" s="131">
        <f t="shared" si="371"/>
        <v>10305.799999999999</v>
      </c>
      <c r="L1711" s="335">
        <f t="shared" si="366"/>
        <v>0</v>
      </c>
      <c r="M1711" s="446"/>
      <c r="N1711" s="446"/>
      <c r="O1711" s="446"/>
      <c r="P1711" s="446"/>
      <c r="Q1711" s="110">
        <f t="shared" si="373"/>
        <v>52</v>
      </c>
      <c r="R1711" s="111">
        <f t="shared" si="376"/>
        <v>2576.4499999999998</v>
      </c>
      <c r="S1711" s="110"/>
      <c r="T1711" s="110"/>
      <c r="U1711" s="110">
        <f t="shared" si="374"/>
        <v>52</v>
      </c>
      <c r="V1711" s="111">
        <f t="shared" si="377"/>
        <v>2576.4499999999998</v>
      </c>
      <c r="W1711" s="110"/>
      <c r="X1711" s="110"/>
      <c r="Y1711" s="110"/>
      <c r="Z1711" s="110"/>
      <c r="AA1711" s="110">
        <f t="shared" si="375"/>
        <v>52</v>
      </c>
      <c r="AB1711" s="111">
        <f t="shared" si="378"/>
        <v>2576.4499999999998</v>
      </c>
      <c r="AC1711" s="110"/>
      <c r="AD1711" s="110"/>
      <c r="AE1711" s="110">
        <f t="shared" si="375"/>
        <v>52</v>
      </c>
      <c r="AF1711" s="111">
        <f t="shared" si="379"/>
        <v>2576.4499999999998</v>
      </c>
      <c r="AG1711" s="110"/>
      <c r="AH1711" s="110"/>
      <c r="AI1711" s="110"/>
      <c r="AJ1711" s="110"/>
      <c r="AK1711" s="111">
        <f t="shared" si="367"/>
        <v>10305.799999999999</v>
      </c>
      <c r="AL1711" s="446">
        <f t="shared" si="368"/>
        <v>0</v>
      </c>
      <c r="AM1711" s="110">
        <f t="shared" si="369"/>
        <v>208</v>
      </c>
      <c r="AN1711" s="447">
        <f t="shared" si="372"/>
        <v>0</v>
      </c>
      <c r="AO1711"/>
      <c r="AP1711"/>
    </row>
    <row r="1712" spans="1:42" ht="66" x14ac:dyDescent="0.25">
      <c r="A1712" s="1024"/>
      <c r="B1712" s="43" t="s">
        <v>382</v>
      </c>
      <c r="C1712" s="1024"/>
      <c r="D1712" s="869">
        <f>96</f>
        <v>96</v>
      </c>
      <c r="E1712" s="1027" t="s">
        <v>1834</v>
      </c>
      <c r="F1712" s="273" t="s">
        <v>3446</v>
      </c>
      <c r="G1712" s="1040" t="s">
        <v>3463</v>
      </c>
      <c r="H1712" s="273" t="s">
        <v>3462</v>
      </c>
      <c r="I1712" s="720">
        <f t="shared" si="370"/>
        <v>140.35999999999999</v>
      </c>
      <c r="J1712" s="758">
        <f>13474.56</f>
        <v>13474.56</v>
      </c>
      <c r="K1712" s="131">
        <f t="shared" si="371"/>
        <v>13474.559999999998</v>
      </c>
      <c r="L1712" s="335">
        <f t="shared" si="366"/>
        <v>0</v>
      </c>
      <c r="M1712" s="446"/>
      <c r="N1712" s="446"/>
      <c r="O1712" s="446"/>
      <c r="P1712" s="446"/>
      <c r="Q1712" s="110">
        <f t="shared" si="373"/>
        <v>24</v>
      </c>
      <c r="R1712" s="111">
        <f t="shared" si="376"/>
        <v>3368.64</v>
      </c>
      <c r="S1712" s="110"/>
      <c r="T1712" s="110"/>
      <c r="U1712" s="110">
        <f t="shared" si="374"/>
        <v>24</v>
      </c>
      <c r="V1712" s="111">
        <f t="shared" si="377"/>
        <v>3368.64</v>
      </c>
      <c r="W1712" s="110"/>
      <c r="X1712" s="110"/>
      <c r="Y1712" s="110"/>
      <c r="Z1712" s="110"/>
      <c r="AA1712" s="110">
        <f t="shared" si="375"/>
        <v>24</v>
      </c>
      <c r="AB1712" s="111">
        <f t="shared" si="378"/>
        <v>3368.64</v>
      </c>
      <c r="AC1712" s="110"/>
      <c r="AD1712" s="110"/>
      <c r="AE1712" s="110">
        <f t="shared" si="375"/>
        <v>24</v>
      </c>
      <c r="AF1712" s="111">
        <f t="shared" si="379"/>
        <v>3368.64</v>
      </c>
      <c r="AG1712" s="110"/>
      <c r="AH1712" s="110"/>
      <c r="AI1712" s="110"/>
      <c r="AJ1712" s="110"/>
      <c r="AK1712" s="111">
        <f t="shared" si="367"/>
        <v>13474.56</v>
      </c>
      <c r="AL1712" s="446">
        <f t="shared" si="368"/>
        <v>0</v>
      </c>
      <c r="AM1712" s="110">
        <f t="shared" si="369"/>
        <v>96</v>
      </c>
      <c r="AN1712" s="447">
        <f t="shared" si="372"/>
        <v>0</v>
      </c>
      <c r="AO1712"/>
      <c r="AP1712"/>
    </row>
    <row r="1713" spans="1:42" ht="66" x14ac:dyDescent="0.25">
      <c r="A1713" s="1024"/>
      <c r="B1713" s="43" t="s">
        <v>383</v>
      </c>
      <c r="C1713" s="1024"/>
      <c r="D1713" s="869">
        <f>88+606</f>
        <v>694</v>
      </c>
      <c r="E1713" s="1027" t="s">
        <v>1834</v>
      </c>
      <c r="F1713" s="273" t="s">
        <v>3446</v>
      </c>
      <c r="G1713" s="1040" t="s">
        <v>3463</v>
      </c>
      <c r="H1713" s="273" t="s">
        <v>3462</v>
      </c>
      <c r="I1713" s="720">
        <f t="shared" si="370"/>
        <v>25.474236311239192</v>
      </c>
      <c r="J1713" s="758">
        <f>2532.6+15146.52</f>
        <v>17679.12</v>
      </c>
      <c r="K1713" s="131">
        <f t="shared" si="371"/>
        <v>17679.12</v>
      </c>
      <c r="L1713" s="335">
        <f t="shared" si="366"/>
        <v>0</v>
      </c>
      <c r="M1713" s="446"/>
      <c r="N1713" s="446"/>
      <c r="O1713" s="446"/>
      <c r="P1713" s="446"/>
      <c r="Q1713" s="110">
        <f t="shared" si="373"/>
        <v>173.5</v>
      </c>
      <c r="R1713" s="111">
        <f t="shared" si="376"/>
        <v>4419.78</v>
      </c>
      <c r="S1713" s="110"/>
      <c r="T1713" s="110"/>
      <c r="U1713" s="110">
        <f t="shared" si="374"/>
        <v>173.5</v>
      </c>
      <c r="V1713" s="111">
        <f t="shared" si="377"/>
        <v>4419.78</v>
      </c>
      <c r="W1713" s="110"/>
      <c r="X1713" s="110"/>
      <c r="Y1713" s="110"/>
      <c r="Z1713" s="110"/>
      <c r="AA1713" s="110">
        <f t="shared" si="375"/>
        <v>173.5</v>
      </c>
      <c r="AB1713" s="111">
        <f t="shared" si="378"/>
        <v>4419.78</v>
      </c>
      <c r="AC1713" s="110"/>
      <c r="AD1713" s="110"/>
      <c r="AE1713" s="110">
        <f t="shared" si="375"/>
        <v>173.5</v>
      </c>
      <c r="AF1713" s="111">
        <f t="shared" si="379"/>
        <v>4419.78</v>
      </c>
      <c r="AG1713" s="110"/>
      <c r="AH1713" s="110"/>
      <c r="AI1713" s="110"/>
      <c r="AJ1713" s="110"/>
      <c r="AK1713" s="111">
        <f t="shared" si="367"/>
        <v>17679.12</v>
      </c>
      <c r="AL1713" s="446">
        <f t="shared" si="368"/>
        <v>0</v>
      </c>
      <c r="AM1713" s="110">
        <f t="shared" si="369"/>
        <v>694</v>
      </c>
      <c r="AN1713" s="447">
        <f t="shared" si="372"/>
        <v>0</v>
      </c>
      <c r="AO1713"/>
      <c r="AP1713"/>
    </row>
    <row r="1714" spans="1:42" ht="66" x14ac:dyDescent="0.25">
      <c r="A1714" s="1024"/>
      <c r="B1714" s="43" t="s">
        <v>2079</v>
      </c>
      <c r="C1714" s="1024"/>
      <c r="D1714" s="869">
        <v>22</v>
      </c>
      <c r="E1714" s="1024" t="s">
        <v>1721</v>
      </c>
      <c r="F1714" s="273" t="s">
        <v>3446</v>
      </c>
      <c r="G1714" s="1040" t="s">
        <v>3463</v>
      </c>
      <c r="H1714" s="273" t="s">
        <v>3462</v>
      </c>
      <c r="I1714" s="720">
        <f t="shared" si="370"/>
        <v>100</v>
      </c>
      <c r="J1714" s="758">
        <v>2200</v>
      </c>
      <c r="K1714" s="131">
        <f t="shared" si="371"/>
        <v>2200</v>
      </c>
      <c r="L1714" s="335">
        <f t="shared" si="366"/>
        <v>0</v>
      </c>
      <c r="M1714" s="446"/>
      <c r="N1714" s="446"/>
      <c r="O1714" s="446"/>
      <c r="P1714" s="446"/>
      <c r="Q1714" s="110">
        <v>6</v>
      </c>
      <c r="R1714" s="111">
        <f t="shared" si="376"/>
        <v>550</v>
      </c>
      <c r="S1714" s="110"/>
      <c r="T1714" s="110"/>
      <c r="U1714" s="110">
        <v>6</v>
      </c>
      <c r="V1714" s="111">
        <f t="shared" si="377"/>
        <v>550</v>
      </c>
      <c r="W1714" s="110"/>
      <c r="X1714" s="110"/>
      <c r="Y1714" s="110"/>
      <c r="Z1714" s="110"/>
      <c r="AA1714" s="110">
        <v>5</v>
      </c>
      <c r="AB1714" s="111">
        <f t="shared" si="378"/>
        <v>550</v>
      </c>
      <c r="AC1714" s="110"/>
      <c r="AD1714" s="110"/>
      <c r="AE1714" s="110">
        <v>5</v>
      </c>
      <c r="AF1714" s="111">
        <f t="shared" si="379"/>
        <v>550</v>
      </c>
      <c r="AG1714" s="110"/>
      <c r="AH1714" s="110"/>
      <c r="AI1714" s="110"/>
      <c r="AJ1714" s="110"/>
      <c r="AK1714" s="111">
        <f t="shared" si="367"/>
        <v>2200</v>
      </c>
      <c r="AL1714" s="446">
        <f t="shared" si="368"/>
        <v>0</v>
      </c>
      <c r="AM1714" s="110">
        <f t="shared" si="369"/>
        <v>22</v>
      </c>
      <c r="AN1714" s="447">
        <f t="shared" si="372"/>
        <v>0</v>
      </c>
      <c r="AO1714"/>
      <c r="AP1714"/>
    </row>
    <row r="1715" spans="1:42" ht="66" x14ac:dyDescent="0.25">
      <c r="A1715" s="1024"/>
      <c r="B1715" s="43" t="s">
        <v>2080</v>
      </c>
      <c r="C1715" s="1024"/>
      <c r="D1715" s="869">
        <v>22</v>
      </c>
      <c r="E1715" s="1024" t="s">
        <v>1721</v>
      </c>
      <c r="F1715" s="273" t="s">
        <v>3446</v>
      </c>
      <c r="G1715" s="1040" t="s">
        <v>3463</v>
      </c>
      <c r="H1715" s="273" t="s">
        <v>3462</v>
      </c>
      <c r="I1715" s="720">
        <f t="shared" si="370"/>
        <v>70</v>
      </c>
      <c r="J1715" s="758">
        <v>1540</v>
      </c>
      <c r="K1715" s="131">
        <f t="shared" si="371"/>
        <v>1540</v>
      </c>
      <c r="L1715" s="335">
        <f t="shared" si="366"/>
        <v>0</v>
      </c>
      <c r="M1715" s="446"/>
      <c r="N1715" s="446"/>
      <c r="O1715" s="446"/>
      <c r="P1715" s="446"/>
      <c r="Q1715" s="110">
        <v>6</v>
      </c>
      <c r="R1715" s="111">
        <f t="shared" si="376"/>
        <v>385</v>
      </c>
      <c r="S1715" s="110"/>
      <c r="T1715" s="110"/>
      <c r="U1715" s="110">
        <v>6</v>
      </c>
      <c r="V1715" s="111">
        <f t="shared" si="377"/>
        <v>385</v>
      </c>
      <c r="W1715" s="110"/>
      <c r="X1715" s="110"/>
      <c r="Y1715" s="110"/>
      <c r="Z1715" s="110"/>
      <c r="AA1715" s="110">
        <v>5</v>
      </c>
      <c r="AB1715" s="111">
        <f t="shared" si="378"/>
        <v>385</v>
      </c>
      <c r="AC1715" s="110"/>
      <c r="AD1715" s="110"/>
      <c r="AE1715" s="110">
        <v>5</v>
      </c>
      <c r="AF1715" s="111">
        <f t="shared" si="379"/>
        <v>385</v>
      </c>
      <c r="AG1715" s="110"/>
      <c r="AH1715" s="110"/>
      <c r="AI1715" s="110"/>
      <c r="AJ1715" s="110"/>
      <c r="AK1715" s="111">
        <f t="shared" si="367"/>
        <v>1540</v>
      </c>
      <c r="AL1715" s="446">
        <f t="shared" si="368"/>
        <v>0</v>
      </c>
      <c r="AM1715" s="110">
        <f t="shared" si="369"/>
        <v>22</v>
      </c>
      <c r="AN1715" s="447">
        <f t="shared" si="372"/>
        <v>0</v>
      </c>
      <c r="AO1715"/>
      <c r="AP1715"/>
    </row>
    <row r="1716" spans="1:42" ht="66" x14ac:dyDescent="0.25">
      <c r="A1716" s="1024"/>
      <c r="B1716" s="43" t="s">
        <v>2081</v>
      </c>
      <c r="C1716" s="1024"/>
      <c r="D1716" s="869">
        <v>11</v>
      </c>
      <c r="E1716" s="1024" t="s">
        <v>1721</v>
      </c>
      <c r="F1716" s="273" t="s">
        <v>3446</v>
      </c>
      <c r="G1716" s="1040" t="s">
        <v>3463</v>
      </c>
      <c r="H1716" s="273" t="s">
        <v>3462</v>
      </c>
      <c r="I1716" s="720">
        <f t="shared" si="370"/>
        <v>60</v>
      </c>
      <c r="J1716" s="758">
        <v>660</v>
      </c>
      <c r="K1716" s="131">
        <f t="shared" si="371"/>
        <v>660</v>
      </c>
      <c r="L1716" s="335">
        <f t="shared" ref="L1716:L1779" si="380">+J1716-K1716</f>
        <v>0</v>
      </c>
      <c r="M1716" s="446"/>
      <c r="N1716" s="446"/>
      <c r="O1716" s="446"/>
      <c r="P1716" s="446"/>
      <c r="Q1716" s="110">
        <v>3</v>
      </c>
      <c r="R1716" s="111">
        <f t="shared" si="376"/>
        <v>165</v>
      </c>
      <c r="S1716" s="110"/>
      <c r="T1716" s="110"/>
      <c r="U1716" s="110">
        <v>3</v>
      </c>
      <c r="V1716" s="111">
        <f t="shared" si="377"/>
        <v>165</v>
      </c>
      <c r="W1716" s="110"/>
      <c r="X1716" s="110"/>
      <c r="Y1716" s="110"/>
      <c r="Z1716" s="110"/>
      <c r="AA1716" s="110">
        <v>3</v>
      </c>
      <c r="AB1716" s="111">
        <f t="shared" si="378"/>
        <v>165</v>
      </c>
      <c r="AC1716" s="110"/>
      <c r="AD1716" s="110"/>
      <c r="AE1716" s="110">
        <v>2</v>
      </c>
      <c r="AF1716" s="111">
        <f t="shared" si="379"/>
        <v>165</v>
      </c>
      <c r="AG1716" s="110"/>
      <c r="AH1716" s="110"/>
      <c r="AI1716" s="110"/>
      <c r="AJ1716" s="110"/>
      <c r="AK1716" s="111">
        <f t="shared" ref="AK1716:AK1779" si="381">+R1716+V1716+AB1716+AF1716</f>
        <v>660</v>
      </c>
      <c r="AL1716" s="446">
        <f t="shared" ref="AL1716:AL1779" si="382">+J1716-AK1716</f>
        <v>0</v>
      </c>
      <c r="AM1716" s="110">
        <f t="shared" ref="AM1716:AM1779" si="383">+Q1716+U1716+AA1716+AE1716</f>
        <v>11</v>
      </c>
      <c r="AN1716" s="447">
        <f t="shared" si="372"/>
        <v>0</v>
      </c>
      <c r="AO1716"/>
      <c r="AP1716"/>
    </row>
    <row r="1717" spans="1:42" ht="66" x14ac:dyDescent="0.25">
      <c r="A1717" s="1024"/>
      <c r="B1717" s="149" t="s">
        <v>2664</v>
      </c>
      <c r="C1717" s="1024"/>
      <c r="D1717" s="882">
        <v>453</v>
      </c>
      <c r="E1717" s="162" t="s">
        <v>2628</v>
      </c>
      <c r="F1717" s="273" t="s">
        <v>3446</v>
      </c>
      <c r="G1717" s="1040" t="s">
        <v>3463</v>
      </c>
      <c r="H1717" s="273" t="s">
        <v>3462</v>
      </c>
      <c r="I1717" s="720">
        <f t="shared" si="370"/>
        <v>48.232799999999997</v>
      </c>
      <c r="J1717" s="758">
        <v>21849.4584</v>
      </c>
      <c r="K1717" s="131">
        <f t="shared" si="371"/>
        <v>21849.4584</v>
      </c>
      <c r="L1717" s="335">
        <f t="shared" si="380"/>
        <v>0</v>
      </c>
      <c r="M1717" s="446"/>
      <c r="N1717" s="446"/>
      <c r="O1717" s="446"/>
      <c r="P1717" s="446"/>
      <c r="Q1717" s="110">
        <v>115</v>
      </c>
      <c r="R1717" s="111">
        <f t="shared" si="376"/>
        <v>5462.3645999999999</v>
      </c>
      <c r="S1717" s="110"/>
      <c r="T1717" s="110"/>
      <c r="U1717" s="110">
        <v>110</v>
      </c>
      <c r="V1717" s="111">
        <f t="shared" si="377"/>
        <v>5462.3645999999999</v>
      </c>
      <c r="W1717" s="110"/>
      <c r="X1717" s="110"/>
      <c r="Y1717" s="110"/>
      <c r="Z1717" s="110"/>
      <c r="AA1717" s="110">
        <v>130</v>
      </c>
      <c r="AB1717" s="111">
        <f t="shared" si="378"/>
        <v>5462.3645999999999</v>
      </c>
      <c r="AC1717" s="110"/>
      <c r="AD1717" s="110"/>
      <c r="AE1717" s="110">
        <v>98</v>
      </c>
      <c r="AF1717" s="111">
        <f t="shared" si="379"/>
        <v>5462.3645999999999</v>
      </c>
      <c r="AG1717" s="110"/>
      <c r="AH1717" s="110"/>
      <c r="AI1717" s="110"/>
      <c r="AJ1717" s="110"/>
      <c r="AK1717" s="111">
        <f t="shared" si="381"/>
        <v>21849.4584</v>
      </c>
      <c r="AL1717" s="446">
        <f t="shared" si="382"/>
        <v>0</v>
      </c>
      <c r="AM1717" s="110">
        <f t="shared" si="383"/>
        <v>453</v>
      </c>
      <c r="AN1717" s="447">
        <f t="shared" si="372"/>
        <v>0</v>
      </c>
      <c r="AO1717"/>
      <c r="AP1717"/>
    </row>
    <row r="1718" spans="1:42" ht="66" x14ac:dyDescent="0.25">
      <c r="A1718" s="1024"/>
      <c r="B1718" s="149" t="s">
        <v>2665</v>
      </c>
      <c r="C1718" s="1024"/>
      <c r="D1718" s="882">
        <v>256</v>
      </c>
      <c r="E1718" s="162" t="s">
        <v>2628</v>
      </c>
      <c r="F1718" s="273" t="s">
        <v>3446</v>
      </c>
      <c r="G1718" s="1040" t="s">
        <v>3463</v>
      </c>
      <c r="H1718" s="273" t="s">
        <v>3462</v>
      </c>
      <c r="I1718" s="720">
        <f t="shared" si="370"/>
        <v>45.472000000000001</v>
      </c>
      <c r="J1718" s="758">
        <v>11640.832</v>
      </c>
      <c r="K1718" s="131">
        <f t="shared" si="371"/>
        <v>11640.832</v>
      </c>
      <c r="L1718" s="335">
        <f t="shared" si="380"/>
        <v>0</v>
      </c>
      <c r="M1718" s="446"/>
      <c r="N1718" s="446"/>
      <c r="O1718" s="446"/>
      <c r="P1718" s="446"/>
      <c r="Q1718" s="110">
        <f t="shared" si="373"/>
        <v>64</v>
      </c>
      <c r="R1718" s="111">
        <f t="shared" si="376"/>
        <v>2910.2080000000001</v>
      </c>
      <c r="S1718" s="110"/>
      <c r="T1718" s="110"/>
      <c r="U1718" s="110">
        <f t="shared" si="374"/>
        <v>64</v>
      </c>
      <c r="V1718" s="111">
        <f t="shared" si="377"/>
        <v>2910.2080000000001</v>
      </c>
      <c r="W1718" s="110"/>
      <c r="X1718" s="110"/>
      <c r="Y1718" s="110"/>
      <c r="Z1718" s="110"/>
      <c r="AA1718" s="110">
        <f t="shared" si="375"/>
        <v>64</v>
      </c>
      <c r="AB1718" s="111">
        <f t="shared" si="378"/>
        <v>2910.2080000000001</v>
      </c>
      <c r="AC1718" s="110"/>
      <c r="AD1718" s="110"/>
      <c r="AE1718" s="110">
        <f t="shared" si="375"/>
        <v>64</v>
      </c>
      <c r="AF1718" s="111">
        <f t="shared" si="379"/>
        <v>2910.2080000000001</v>
      </c>
      <c r="AG1718" s="110"/>
      <c r="AH1718" s="110"/>
      <c r="AI1718" s="110"/>
      <c r="AJ1718" s="110"/>
      <c r="AK1718" s="111">
        <f t="shared" si="381"/>
        <v>11640.832</v>
      </c>
      <c r="AL1718" s="446">
        <f t="shared" si="382"/>
        <v>0</v>
      </c>
      <c r="AM1718" s="110">
        <f t="shared" si="383"/>
        <v>256</v>
      </c>
      <c r="AN1718" s="447">
        <f t="shared" si="372"/>
        <v>0</v>
      </c>
      <c r="AO1718"/>
      <c r="AP1718"/>
    </row>
    <row r="1719" spans="1:42" ht="66" x14ac:dyDescent="0.25">
      <c r="A1719" s="1024"/>
      <c r="B1719" s="149" t="s">
        <v>2666</v>
      </c>
      <c r="C1719" s="1024"/>
      <c r="D1719" s="882">
        <v>73</v>
      </c>
      <c r="E1719" s="162" t="s">
        <v>2628</v>
      </c>
      <c r="F1719" s="273" t="s">
        <v>3446</v>
      </c>
      <c r="G1719" s="1040" t="s">
        <v>3463</v>
      </c>
      <c r="H1719" s="273" t="s">
        <v>3462</v>
      </c>
      <c r="I1719" s="720">
        <f t="shared" si="370"/>
        <v>41.342399999999998</v>
      </c>
      <c r="J1719" s="758">
        <v>3017.9951999999998</v>
      </c>
      <c r="K1719" s="131">
        <f t="shared" si="371"/>
        <v>3017.9951999999998</v>
      </c>
      <c r="L1719" s="335">
        <f t="shared" si="380"/>
        <v>0</v>
      </c>
      <c r="M1719" s="446"/>
      <c r="N1719" s="446"/>
      <c r="O1719" s="446"/>
      <c r="P1719" s="446"/>
      <c r="Q1719" s="110">
        <v>18</v>
      </c>
      <c r="R1719" s="111">
        <f t="shared" si="376"/>
        <v>754.49879999999996</v>
      </c>
      <c r="S1719" s="110"/>
      <c r="T1719" s="110"/>
      <c r="U1719" s="110">
        <v>18</v>
      </c>
      <c r="V1719" s="111">
        <f t="shared" si="377"/>
        <v>754.49879999999996</v>
      </c>
      <c r="W1719" s="110"/>
      <c r="X1719" s="110"/>
      <c r="Y1719" s="110"/>
      <c r="Z1719" s="110"/>
      <c r="AA1719" s="110">
        <v>18</v>
      </c>
      <c r="AB1719" s="111">
        <f t="shared" si="378"/>
        <v>754.49879999999996</v>
      </c>
      <c r="AC1719" s="110"/>
      <c r="AD1719" s="110"/>
      <c r="AE1719" s="110">
        <v>19</v>
      </c>
      <c r="AF1719" s="111">
        <f t="shared" si="379"/>
        <v>754.49879999999996</v>
      </c>
      <c r="AG1719" s="110"/>
      <c r="AH1719" s="110"/>
      <c r="AI1719" s="110"/>
      <c r="AJ1719" s="110"/>
      <c r="AK1719" s="111">
        <f t="shared" si="381"/>
        <v>3017.9951999999998</v>
      </c>
      <c r="AL1719" s="446">
        <f t="shared" si="382"/>
        <v>0</v>
      </c>
      <c r="AM1719" s="110">
        <f t="shared" si="383"/>
        <v>73</v>
      </c>
      <c r="AN1719" s="447">
        <f t="shared" si="372"/>
        <v>0</v>
      </c>
      <c r="AO1719"/>
      <c r="AP1719"/>
    </row>
    <row r="1720" spans="1:42" ht="66" x14ac:dyDescent="0.25">
      <c r="A1720" s="1024"/>
      <c r="B1720" s="149" t="s">
        <v>2667</v>
      </c>
      <c r="C1720" s="1024"/>
      <c r="D1720" s="882">
        <v>320</v>
      </c>
      <c r="E1720" s="162" t="s">
        <v>2628</v>
      </c>
      <c r="F1720" s="273" t="s">
        <v>3446</v>
      </c>
      <c r="G1720" s="1040" t="s">
        <v>3463</v>
      </c>
      <c r="H1720" s="273" t="s">
        <v>3462</v>
      </c>
      <c r="I1720" s="720">
        <f t="shared" si="370"/>
        <v>48.232799999999997</v>
      </c>
      <c r="J1720" s="758">
        <v>15434.495999999999</v>
      </c>
      <c r="K1720" s="131">
        <f t="shared" si="371"/>
        <v>15434.495999999999</v>
      </c>
      <c r="L1720" s="335">
        <f t="shared" si="380"/>
        <v>0</v>
      </c>
      <c r="M1720" s="446"/>
      <c r="N1720" s="446"/>
      <c r="O1720" s="446"/>
      <c r="P1720" s="446"/>
      <c r="Q1720" s="110">
        <f t="shared" si="373"/>
        <v>80</v>
      </c>
      <c r="R1720" s="111">
        <f t="shared" si="376"/>
        <v>3858.6239999999998</v>
      </c>
      <c r="S1720" s="110"/>
      <c r="T1720" s="110"/>
      <c r="U1720" s="110">
        <f t="shared" si="374"/>
        <v>80</v>
      </c>
      <c r="V1720" s="111">
        <f t="shared" si="377"/>
        <v>3858.6239999999998</v>
      </c>
      <c r="W1720" s="110"/>
      <c r="X1720" s="110"/>
      <c r="Y1720" s="110"/>
      <c r="Z1720" s="110"/>
      <c r="AA1720" s="110">
        <f t="shared" si="375"/>
        <v>80</v>
      </c>
      <c r="AB1720" s="111">
        <f t="shared" si="378"/>
        <v>3858.6239999999998</v>
      </c>
      <c r="AC1720" s="110"/>
      <c r="AD1720" s="110"/>
      <c r="AE1720" s="110">
        <f t="shared" si="375"/>
        <v>80</v>
      </c>
      <c r="AF1720" s="111">
        <f t="shared" si="379"/>
        <v>3858.6239999999998</v>
      </c>
      <c r="AG1720" s="110"/>
      <c r="AH1720" s="110"/>
      <c r="AI1720" s="110"/>
      <c r="AJ1720" s="110"/>
      <c r="AK1720" s="111">
        <f t="shared" si="381"/>
        <v>15434.495999999999</v>
      </c>
      <c r="AL1720" s="446">
        <f t="shared" si="382"/>
        <v>0</v>
      </c>
      <c r="AM1720" s="110">
        <f t="shared" si="383"/>
        <v>320</v>
      </c>
      <c r="AN1720" s="447">
        <f t="shared" si="372"/>
        <v>0</v>
      </c>
      <c r="AO1720"/>
      <c r="AP1720"/>
    </row>
    <row r="1721" spans="1:42" ht="66" x14ac:dyDescent="0.25">
      <c r="A1721" s="1024"/>
      <c r="B1721" s="149" t="s">
        <v>2668</v>
      </c>
      <c r="C1721" s="1024"/>
      <c r="D1721" s="882">
        <v>104</v>
      </c>
      <c r="E1721" s="162" t="s">
        <v>2628</v>
      </c>
      <c r="F1721" s="273" t="s">
        <v>3446</v>
      </c>
      <c r="G1721" s="1040" t="s">
        <v>3463</v>
      </c>
      <c r="H1721" s="273" t="s">
        <v>3462</v>
      </c>
      <c r="I1721" s="720">
        <f t="shared" si="370"/>
        <v>55.123199999999997</v>
      </c>
      <c r="J1721" s="758">
        <v>5732.8127999999997</v>
      </c>
      <c r="K1721" s="131">
        <f t="shared" si="371"/>
        <v>5732.8127999999997</v>
      </c>
      <c r="L1721" s="335">
        <f t="shared" si="380"/>
        <v>0</v>
      </c>
      <c r="M1721" s="446"/>
      <c r="N1721" s="446"/>
      <c r="O1721" s="446"/>
      <c r="P1721" s="446"/>
      <c r="Q1721" s="110">
        <f t="shared" si="373"/>
        <v>26</v>
      </c>
      <c r="R1721" s="111">
        <f t="shared" si="376"/>
        <v>1433.2031999999999</v>
      </c>
      <c r="S1721" s="110"/>
      <c r="T1721" s="110"/>
      <c r="U1721" s="110">
        <f t="shared" si="374"/>
        <v>26</v>
      </c>
      <c r="V1721" s="111">
        <f t="shared" si="377"/>
        <v>1433.2031999999999</v>
      </c>
      <c r="W1721" s="110"/>
      <c r="X1721" s="110"/>
      <c r="Y1721" s="110"/>
      <c r="Z1721" s="110"/>
      <c r="AA1721" s="110">
        <f t="shared" si="375"/>
        <v>26</v>
      </c>
      <c r="AB1721" s="111">
        <f t="shared" si="378"/>
        <v>1433.2031999999999</v>
      </c>
      <c r="AC1721" s="110"/>
      <c r="AD1721" s="110"/>
      <c r="AE1721" s="110">
        <f t="shared" si="375"/>
        <v>26</v>
      </c>
      <c r="AF1721" s="111">
        <f t="shared" si="379"/>
        <v>1433.2031999999999</v>
      </c>
      <c r="AG1721" s="110"/>
      <c r="AH1721" s="110"/>
      <c r="AI1721" s="110"/>
      <c r="AJ1721" s="110"/>
      <c r="AK1721" s="111">
        <f t="shared" si="381"/>
        <v>5732.8127999999997</v>
      </c>
      <c r="AL1721" s="446">
        <f t="shared" si="382"/>
        <v>0</v>
      </c>
      <c r="AM1721" s="110">
        <f t="shared" si="383"/>
        <v>104</v>
      </c>
      <c r="AN1721" s="447">
        <f t="shared" si="372"/>
        <v>0</v>
      </c>
      <c r="AO1721"/>
      <c r="AP1721"/>
    </row>
    <row r="1722" spans="1:42" ht="66" x14ac:dyDescent="0.25">
      <c r="A1722" s="1024"/>
      <c r="B1722" s="149" t="s">
        <v>2669</v>
      </c>
      <c r="C1722" s="1024"/>
      <c r="D1722" s="882">
        <v>384</v>
      </c>
      <c r="E1722" s="162" t="s">
        <v>2628</v>
      </c>
      <c r="F1722" s="273" t="s">
        <v>3446</v>
      </c>
      <c r="G1722" s="1040" t="s">
        <v>3463</v>
      </c>
      <c r="H1722" s="273" t="s">
        <v>3462</v>
      </c>
      <c r="I1722" s="720">
        <f t="shared" ref="I1722:I1751" si="384">+J1722/D1722</f>
        <v>24.800799999999999</v>
      </c>
      <c r="J1722" s="758">
        <v>9523.5072</v>
      </c>
      <c r="K1722" s="131">
        <f t="shared" si="371"/>
        <v>9523.5072</v>
      </c>
      <c r="L1722" s="335">
        <f t="shared" si="380"/>
        <v>0</v>
      </c>
      <c r="M1722" s="446"/>
      <c r="N1722" s="446"/>
      <c r="O1722" s="446"/>
      <c r="P1722" s="446"/>
      <c r="Q1722" s="110">
        <f t="shared" si="373"/>
        <v>96</v>
      </c>
      <c r="R1722" s="111">
        <f t="shared" si="376"/>
        <v>2380.8768</v>
      </c>
      <c r="S1722" s="110"/>
      <c r="T1722" s="110"/>
      <c r="U1722" s="110">
        <f t="shared" si="374"/>
        <v>96</v>
      </c>
      <c r="V1722" s="111">
        <f t="shared" si="377"/>
        <v>2380.8768</v>
      </c>
      <c r="W1722" s="110"/>
      <c r="X1722" s="110"/>
      <c r="Y1722" s="110"/>
      <c r="Z1722" s="110"/>
      <c r="AA1722" s="110">
        <f t="shared" si="375"/>
        <v>96</v>
      </c>
      <c r="AB1722" s="111">
        <f t="shared" si="378"/>
        <v>2380.8768</v>
      </c>
      <c r="AC1722" s="110"/>
      <c r="AD1722" s="110"/>
      <c r="AE1722" s="110">
        <f t="shared" si="375"/>
        <v>96</v>
      </c>
      <c r="AF1722" s="111">
        <f t="shared" si="379"/>
        <v>2380.8768</v>
      </c>
      <c r="AG1722" s="110"/>
      <c r="AH1722" s="110"/>
      <c r="AI1722" s="110"/>
      <c r="AJ1722" s="110"/>
      <c r="AK1722" s="111">
        <f t="shared" si="381"/>
        <v>9523.5072</v>
      </c>
      <c r="AL1722" s="446">
        <f t="shared" si="382"/>
        <v>0</v>
      </c>
      <c r="AM1722" s="110">
        <f t="shared" si="383"/>
        <v>384</v>
      </c>
      <c r="AN1722" s="447">
        <f t="shared" si="372"/>
        <v>0</v>
      </c>
      <c r="AO1722"/>
      <c r="AP1722"/>
    </row>
    <row r="1723" spans="1:42" ht="66" x14ac:dyDescent="0.25">
      <c r="A1723" s="1024"/>
      <c r="B1723" s="149" t="s">
        <v>369</v>
      </c>
      <c r="C1723" s="1024"/>
      <c r="D1723" s="882">
        <v>160</v>
      </c>
      <c r="E1723" s="162" t="s">
        <v>2628</v>
      </c>
      <c r="F1723" s="273" t="s">
        <v>3446</v>
      </c>
      <c r="G1723" s="1040" t="s">
        <v>3463</v>
      </c>
      <c r="H1723" s="273" t="s">
        <v>3462</v>
      </c>
      <c r="I1723" s="720">
        <f t="shared" si="384"/>
        <v>40.832000000000001</v>
      </c>
      <c r="J1723" s="758">
        <v>6533.12</v>
      </c>
      <c r="K1723" s="131">
        <f t="shared" si="371"/>
        <v>6533.12</v>
      </c>
      <c r="L1723" s="335">
        <f t="shared" si="380"/>
        <v>0</v>
      </c>
      <c r="M1723" s="446"/>
      <c r="N1723" s="446"/>
      <c r="O1723" s="446"/>
      <c r="P1723" s="446"/>
      <c r="Q1723" s="110">
        <f t="shared" si="373"/>
        <v>40</v>
      </c>
      <c r="R1723" s="111">
        <f t="shared" si="376"/>
        <v>1633.28</v>
      </c>
      <c r="S1723" s="110"/>
      <c r="T1723" s="110"/>
      <c r="U1723" s="110">
        <f t="shared" si="374"/>
        <v>40</v>
      </c>
      <c r="V1723" s="111">
        <f t="shared" si="377"/>
        <v>1633.28</v>
      </c>
      <c r="W1723" s="110"/>
      <c r="X1723" s="110"/>
      <c r="Y1723" s="110"/>
      <c r="Z1723" s="110"/>
      <c r="AA1723" s="110">
        <f t="shared" si="375"/>
        <v>40</v>
      </c>
      <c r="AB1723" s="111">
        <f t="shared" si="378"/>
        <v>1633.28</v>
      </c>
      <c r="AC1723" s="110"/>
      <c r="AD1723" s="110"/>
      <c r="AE1723" s="110">
        <f t="shared" si="375"/>
        <v>40</v>
      </c>
      <c r="AF1723" s="111">
        <f t="shared" si="379"/>
        <v>1633.28</v>
      </c>
      <c r="AG1723" s="110"/>
      <c r="AH1723" s="110"/>
      <c r="AI1723" s="110"/>
      <c r="AJ1723" s="110"/>
      <c r="AK1723" s="111">
        <f t="shared" si="381"/>
        <v>6533.12</v>
      </c>
      <c r="AL1723" s="446">
        <f t="shared" si="382"/>
        <v>0</v>
      </c>
      <c r="AM1723" s="110">
        <f t="shared" si="383"/>
        <v>160</v>
      </c>
      <c r="AN1723" s="447">
        <f t="shared" si="372"/>
        <v>0</v>
      </c>
      <c r="AO1723"/>
      <c r="AP1723"/>
    </row>
    <row r="1724" spans="1:42" ht="66" x14ac:dyDescent="0.25">
      <c r="A1724" s="1024"/>
      <c r="B1724" s="149" t="s">
        <v>2670</v>
      </c>
      <c r="C1724" s="1024"/>
      <c r="D1724" s="882">
        <v>200</v>
      </c>
      <c r="E1724" s="162" t="s">
        <v>2628</v>
      </c>
      <c r="F1724" s="273" t="s">
        <v>3446</v>
      </c>
      <c r="G1724" s="1040" t="s">
        <v>3463</v>
      </c>
      <c r="H1724" s="273" t="s">
        <v>3462</v>
      </c>
      <c r="I1724" s="720">
        <f t="shared" si="384"/>
        <v>30.623999999999995</v>
      </c>
      <c r="J1724" s="758">
        <v>6124.7999999999993</v>
      </c>
      <c r="K1724" s="131">
        <f t="shared" si="371"/>
        <v>6124.7999999999993</v>
      </c>
      <c r="L1724" s="335">
        <f t="shared" si="380"/>
        <v>0</v>
      </c>
      <c r="M1724" s="446"/>
      <c r="N1724" s="446"/>
      <c r="O1724" s="446"/>
      <c r="P1724" s="446"/>
      <c r="Q1724" s="110">
        <f t="shared" si="373"/>
        <v>50</v>
      </c>
      <c r="R1724" s="111">
        <f t="shared" si="376"/>
        <v>1531.1999999999998</v>
      </c>
      <c r="S1724" s="110"/>
      <c r="T1724" s="110"/>
      <c r="U1724" s="110">
        <f t="shared" si="374"/>
        <v>50</v>
      </c>
      <c r="V1724" s="111">
        <f t="shared" si="377"/>
        <v>1531.1999999999998</v>
      </c>
      <c r="W1724" s="110"/>
      <c r="X1724" s="110"/>
      <c r="Y1724" s="110"/>
      <c r="Z1724" s="110"/>
      <c r="AA1724" s="110">
        <f t="shared" si="375"/>
        <v>50</v>
      </c>
      <c r="AB1724" s="111">
        <f t="shared" si="378"/>
        <v>1531.1999999999998</v>
      </c>
      <c r="AC1724" s="110"/>
      <c r="AD1724" s="110"/>
      <c r="AE1724" s="110">
        <f t="shared" si="375"/>
        <v>50</v>
      </c>
      <c r="AF1724" s="111">
        <f t="shared" si="379"/>
        <v>1531.1999999999998</v>
      </c>
      <c r="AG1724" s="110"/>
      <c r="AH1724" s="110"/>
      <c r="AI1724" s="110"/>
      <c r="AJ1724" s="110"/>
      <c r="AK1724" s="111">
        <f t="shared" si="381"/>
        <v>6124.7999999999993</v>
      </c>
      <c r="AL1724" s="446">
        <f t="shared" si="382"/>
        <v>0</v>
      </c>
      <c r="AM1724" s="110">
        <f t="shared" si="383"/>
        <v>200</v>
      </c>
      <c r="AN1724" s="447">
        <f t="shared" si="372"/>
        <v>0</v>
      </c>
      <c r="AO1724"/>
      <c r="AP1724"/>
    </row>
    <row r="1725" spans="1:42" ht="66" x14ac:dyDescent="0.25">
      <c r="A1725" s="1024"/>
      <c r="B1725" s="149" t="s">
        <v>2671</v>
      </c>
      <c r="C1725" s="1024"/>
      <c r="D1725" s="882">
        <v>320</v>
      </c>
      <c r="E1725" s="162" t="s">
        <v>2628</v>
      </c>
      <c r="F1725" s="273" t="s">
        <v>3446</v>
      </c>
      <c r="G1725" s="1040" t="s">
        <v>3463</v>
      </c>
      <c r="H1725" s="273" t="s">
        <v>3462</v>
      </c>
      <c r="I1725" s="720">
        <f t="shared" si="384"/>
        <v>68.903999999999996</v>
      </c>
      <c r="J1725" s="758">
        <v>22049.279999999999</v>
      </c>
      <c r="K1725" s="131">
        <f t="shared" si="371"/>
        <v>22049.279999999999</v>
      </c>
      <c r="L1725" s="335">
        <f t="shared" si="380"/>
        <v>0</v>
      </c>
      <c r="M1725" s="446"/>
      <c r="N1725" s="446"/>
      <c r="O1725" s="446"/>
      <c r="P1725" s="446"/>
      <c r="Q1725" s="110">
        <f t="shared" si="373"/>
        <v>80</v>
      </c>
      <c r="R1725" s="111">
        <f t="shared" si="376"/>
        <v>5512.32</v>
      </c>
      <c r="S1725" s="110"/>
      <c r="T1725" s="110"/>
      <c r="U1725" s="110">
        <f t="shared" si="374"/>
        <v>80</v>
      </c>
      <c r="V1725" s="111">
        <f t="shared" si="377"/>
        <v>5512.32</v>
      </c>
      <c r="W1725" s="110"/>
      <c r="X1725" s="110"/>
      <c r="Y1725" s="110"/>
      <c r="Z1725" s="110"/>
      <c r="AA1725" s="110">
        <f t="shared" si="375"/>
        <v>80</v>
      </c>
      <c r="AB1725" s="111">
        <f t="shared" si="378"/>
        <v>5512.32</v>
      </c>
      <c r="AC1725" s="110"/>
      <c r="AD1725" s="110"/>
      <c r="AE1725" s="110">
        <f t="shared" si="375"/>
        <v>80</v>
      </c>
      <c r="AF1725" s="111">
        <f t="shared" si="379"/>
        <v>5512.32</v>
      </c>
      <c r="AG1725" s="110"/>
      <c r="AH1725" s="110"/>
      <c r="AI1725" s="110"/>
      <c r="AJ1725" s="110"/>
      <c r="AK1725" s="111">
        <f t="shared" si="381"/>
        <v>22049.279999999999</v>
      </c>
      <c r="AL1725" s="446">
        <f t="shared" si="382"/>
        <v>0</v>
      </c>
      <c r="AM1725" s="110">
        <f t="shared" si="383"/>
        <v>320</v>
      </c>
      <c r="AN1725" s="447">
        <f t="shared" si="372"/>
        <v>0</v>
      </c>
      <c r="AO1725"/>
      <c r="AP1725"/>
    </row>
    <row r="1726" spans="1:42" ht="66" x14ac:dyDescent="0.25">
      <c r="A1726" s="1024"/>
      <c r="B1726" s="149" t="s">
        <v>2672</v>
      </c>
      <c r="C1726" s="1024"/>
      <c r="D1726" s="882">
        <v>80</v>
      </c>
      <c r="E1726" s="162" t="s">
        <v>2628</v>
      </c>
      <c r="F1726" s="273" t="s">
        <v>3446</v>
      </c>
      <c r="G1726" s="1040" t="s">
        <v>3463</v>
      </c>
      <c r="H1726" s="273" t="s">
        <v>3462</v>
      </c>
      <c r="I1726" s="720">
        <f t="shared" si="384"/>
        <v>48.232799999999997</v>
      </c>
      <c r="J1726" s="758">
        <v>3858.6239999999998</v>
      </c>
      <c r="K1726" s="131">
        <f t="shared" si="371"/>
        <v>3858.6239999999998</v>
      </c>
      <c r="L1726" s="335">
        <f t="shared" si="380"/>
        <v>0</v>
      </c>
      <c r="M1726" s="446"/>
      <c r="N1726" s="446"/>
      <c r="O1726" s="446"/>
      <c r="P1726" s="446"/>
      <c r="Q1726" s="110">
        <f t="shared" si="373"/>
        <v>20</v>
      </c>
      <c r="R1726" s="111">
        <f t="shared" si="376"/>
        <v>964.65599999999995</v>
      </c>
      <c r="S1726" s="110"/>
      <c r="T1726" s="110"/>
      <c r="U1726" s="110">
        <f t="shared" si="374"/>
        <v>20</v>
      </c>
      <c r="V1726" s="111">
        <f t="shared" si="377"/>
        <v>964.65599999999995</v>
      </c>
      <c r="W1726" s="110"/>
      <c r="X1726" s="110"/>
      <c r="Y1726" s="110"/>
      <c r="Z1726" s="110"/>
      <c r="AA1726" s="110">
        <f t="shared" si="375"/>
        <v>20</v>
      </c>
      <c r="AB1726" s="111">
        <f t="shared" si="378"/>
        <v>964.65599999999995</v>
      </c>
      <c r="AC1726" s="110"/>
      <c r="AD1726" s="110"/>
      <c r="AE1726" s="110">
        <f t="shared" si="375"/>
        <v>20</v>
      </c>
      <c r="AF1726" s="111">
        <f t="shared" si="379"/>
        <v>964.65599999999995</v>
      </c>
      <c r="AG1726" s="110"/>
      <c r="AH1726" s="110"/>
      <c r="AI1726" s="110"/>
      <c r="AJ1726" s="110"/>
      <c r="AK1726" s="111">
        <f t="shared" si="381"/>
        <v>3858.6239999999998</v>
      </c>
      <c r="AL1726" s="446">
        <f t="shared" si="382"/>
        <v>0</v>
      </c>
      <c r="AM1726" s="110">
        <f t="shared" si="383"/>
        <v>80</v>
      </c>
      <c r="AN1726" s="447">
        <f t="shared" si="372"/>
        <v>0</v>
      </c>
      <c r="AO1726"/>
      <c r="AP1726"/>
    </row>
    <row r="1727" spans="1:42" ht="66" x14ac:dyDescent="0.25">
      <c r="A1727" s="1024"/>
      <c r="B1727" s="149" t="s">
        <v>2673</v>
      </c>
      <c r="C1727" s="1024"/>
      <c r="D1727" s="882">
        <v>8</v>
      </c>
      <c r="E1727" s="162" t="s">
        <v>2684</v>
      </c>
      <c r="F1727" s="273" t="s">
        <v>3446</v>
      </c>
      <c r="G1727" s="1040" t="s">
        <v>3463</v>
      </c>
      <c r="H1727" s="273" t="s">
        <v>3462</v>
      </c>
      <c r="I1727" s="720">
        <f t="shared" si="384"/>
        <v>62.013599999999997</v>
      </c>
      <c r="J1727" s="758">
        <v>496.10879999999997</v>
      </c>
      <c r="K1727" s="131">
        <f t="shared" si="371"/>
        <v>496.10879999999997</v>
      </c>
      <c r="L1727" s="335">
        <f t="shared" si="380"/>
        <v>0</v>
      </c>
      <c r="M1727" s="446"/>
      <c r="N1727" s="446"/>
      <c r="O1727" s="446"/>
      <c r="P1727" s="446"/>
      <c r="Q1727" s="110">
        <f t="shared" si="373"/>
        <v>2</v>
      </c>
      <c r="R1727" s="111">
        <f t="shared" si="376"/>
        <v>124.02719999999999</v>
      </c>
      <c r="S1727" s="110"/>
      <c r="T1727" s="110"/>
      <c r="U1727" s="110">
        <f t="shared" si="374"/>
        <v>2</v>
      </c>
      <c r="V1727" s="111">
        <f t="shared" si="377"/>
        <v>124.02719999999999</v>
      </c>
      <c r="W1727" s="110"/>
      <c r="X1727" s="110"/>
      <c r="Y1727" s="110"/>
      <c r="Z1727" s="110"/>
      <c r="AA1727" s="110">
        <f t="shared" si="375"/>
        <v>2</v>
      </c>
      <c r="AB1727" s="111">
        <f t="shared" si="378"/>
        <v>124.02719999999999</v>
      </c>
      <c r="AC1727" s="110"/>
      <c r="AD1727" s="110"/>
      <c r="AE1727" s="110">
        <f t="shared" si="375"/>
        <v>2</v>
      </c>
      <c r="AF1727" s="111">
        <f t="shared" si="379"/>
        <v>124.02719999999999</v>
      </c>
      <c r="AG1727" s="110"/>
      <c r="AH1727" s="110"/>
      <c r="AI1727" s="110"/>
      <c r="AJ1727" s="110"/>
      <c r="AK1727" s="111">
        <f t="shared" si="381"/>
        <v>496.10879999999997</v>
      </c>
      <c r="AL1727" s="446">
        <f t="shared" si="382"/>
        <v>0</v>
      </c>
      <c r="AM1727" s="110">
        <f t="shared" si="383"/>
        <v>8</v>
      </c>
      <c r="AN1727" s="447">
        <f t="shared" si="372"/>
        <v>0</v>
      </c>
      <c r="AO1727"/>
      <c r="AP1727"/>
    </row>
    <row r="1728" spans="1:42" ht="66" x14ac:dyDescent="0.25">
      <c r="A1728" s="1024"/>
      <c r="B1728" s="149" t="s">
        <v>2674</v>
      </c>
      <c r="C1728" s="1024"/>
      <c r="D1728" s="882">
        <v>167</v>
      </c>
      <c r="E1728" s="162" t="s">
        <v>2628</v>
      </c>
      <c r="F1728" s="273" t="s">
        <v>3446</v>
      </c>
      <c r="G1728" s="1040" t="s">
        <v>3463</v>
      </c>
      <c r="H1728" s="273" t="s">
        <v>3462</v>
      </c>
      <c r="I1728" s="720">
        <f t="shared" si="384"/>
        <v>68.903999999999996</v>
      </c>
      <c r="J1728" s="758">
        <v>11506.967999999999</v>
      </c>
      <c r="K1728" s="131">
        <f t="shared" si="371"/>
        <v>11506.967999999999</v>
      </c>
      <c r="L1728" s="335">
        <f t="shared" si="380"/>
        <v>0</v>
      </c>
      <c r="M1728" s="446"/>
      <c r="N1728" s="446"/>
      <c r="O1728" s="446"/>
      <c r="P1728" s="446"/>
      <c r="Q1728" s="110">
        <v>42</v>
      </c>
      <c r="R1728" s="111">
        <f t="shared" si="376"/>
        <v>2876.7419999999997</v>
      </c>
      <c r="S1728" s="110"/>
      <c r="T1728" s="110"/>
      <c r="U1728" s="110">
        <v>42</v>
      </c>
      <c r="V1728" s="111">
        <f t="shared" si="377"/>
        <v>2876.7419999999997</v>
      </c>
      <c r="W1728" s="110"/>
      <c r="X1728" s="110"/>
      <c r="Y1728" s="110"/>
      <c r="Z1728" s="110"/>
      <c r="AA1728" s="110">
        <v>42</v>
      </c>
      <c r="AB1728" s="111">
        <f t="shared" si="378"/>
        <v>2876.7419999999997</v>
      </c>
      <c r="AC1728" s="110"/>
      <c r="AD1728" s="110"/>
      <c r="AE1728" s="110">
        <v>41</v>
      </c>
      <c r="AF1728" s="111">
        <f t="shared" si="379"/>
        <v>2876.7419999999997</v>
      </c>
      <c r="AG1728" s="110"/>
      <c r="AH1728" s="110"/>
      <c r="AI1728" s="110"/>
      <c r="AJ1728" s="110"/>
      <c r="AK1728" s="111">
        <f t="shared" si="381"/>
        <v>11506.967999999999</v>
      </c>
      <c r="AL1728" s="446">
        <f t="shared" si="382"/>
        <v>0</v>
      </c>
      <c r="AM1728" s="110">
        <f t="shared" si="383"/>
        <v>167</v>
      </c>
      <c r="AN1728" s="447">
        <f t="shared" si="372"/>
        <v>0</v>
      </c>
      <c r="AO1728"/>
      <c r="AP1728"/>
    </row>
    <row r="1729" spans="1:42" ht="66" x14ac:dyDescent="0.25">
      <c r="A1729" s="1024"/>
      <c r="B1729" s="149" t="s">
        <v>332</v>
      </c>
      <c r="C1729" s="1024"/>
      <c r="D1729" s="882">
        <v>131</v>
      </c>
      <c r="E1729" s="162" t="s">
        <v>2628</v>
      </c>
      <c r="F1729" s="273" t="s">
        <v>3446</v>
      </c>
      <c r="G1729" s="1040" t="s">
        <v>3463</v>
      </c>
      <c r="H1729" s="273" t="s">
        <v>3462</v>
      </c>
      <c r="I1729" s="720">
        <f t="shared" si="384"/>
        <v>44.404800000000002</v>
      </c>
      <c r="J1729" s="758">
        <v>5817.0288</v>
      </c>
      <c r="K1729" s="131">
        <f t="shared" si="371"/>
        <v>5817.0288</v>
      </c>
      <c r="L1729" s="335">
        <f t="shared" si="380"/>
        <v>0</v>
      </c>
      <c r="M1729" s="446"/>
      <c r="N1729" s="446"/>
      <c r="O1729" s="446"/>
      <c r="P1729" s="446"/>
      <c r="Q1729" s="110">
        <v>60</v>
      </c>
      <c r="R1729" s="111">
        <f t="shared" si="376"/>
        <v>1454.2572</v>
      </c>
      <c r="S1729" s="110"/>
      <c r="T1729" s="110"/>
      <c r="U1729" s="110">
        <v>60</v>
      </c>
      <c r="V1729" s="111">
        <f t="shared" si="377"/>
        <v>1454.2572</v>
      </c>
      <c r="W1729" s="110"/>
      <c r="X1729" s="110"/>
      <c r="Y1729" s="110"/>
      <c r="Z1729" s="110"/>
      <c r="AA1729" s="110">
        <v>11</v>
      </c>
      <c r="AB1729" s="111">
        <f t="shared" si="378"/>
        <v>1454.2572</v>
      </c>
      <c r="AC1729" s="110"/>
      <c r="AD1729" s="110"/>
      <c r="AE1729" s="110"/>
      <c r="AF1729" s="111">
        <f t="shared" si="379"/>
        <v>1454.2572</v>
      </c>
      <c r="AG1729" s="110"/>
      <c r="AH1729" s="110"/>
      <c r="AI1729" s="110"/>
      <c r="AJ1729" s="110"/>
      <c r="AK1729" s="111">
        <f t="shared" si="381"/>
        <v>5817.0288</v>
      </c>
      <c r="AL1729" s="446">
        <f t="shared" si="382"/>
        <v>0</v>
      </c>
      <c r="AM1729" s="110">
        <f t="shared" si="383"/>
        <v>131</v>
      </c>
      <c r="AN1729" s="447">
        <f t="shared" si="372"/>
        <v>0</v>
      </c>
      <c r="AO1729"/>
      <c r="AP1729"/>
    </row>
    <row r="1730" spans="1:42" ht="66" x14ac:dyDescent="0.25">
      <c r="A1730" s="1024"/>
      <c r="B1730" s="149" t="s">
        <v>344</v>
      </c>
      <c r="C1730" s="1024"/>
      <c r="D1730" s="882">
        <v>131</v>
      </c>
      <c r="E1730" s="162" t="s">
        <v>2628</v>
      </c>
      <c r="F1730" s="273" t="s">
        <v>3446</v>
      </c>
      <c r="G1730" s="1040" t="s">
        <v>3463</v>
      </c>
      <c r="H1730" s="273" t="s">
        <v>3462</v>
      </c>
      <c r="I1730" s="720">
        <f t="shared" si="384"/>
        <v>61.48</v>
      </c>
      <c r="J1730" s="758">
        <v>8053.8799999999992</v>
      </c>
      <c r="K1730" s="131">
        <f t="shared" si="371"/>
        <v>8053.8799999999992</v>
      </c>
      <c r="L1730" s="335">
        <f t="shared" si="380"/>
        <v>0</v>
      </c>
      <c r="M1730" s="446"/>
      <c r="N1730" s="446"/>
      <c r="O1730" s="446"/>
      <c r="P1730" s="446"/>
      <c r="Q1730" s="110">
        <v>60</v>
      </c>
      <c r="R1730" s="111">
        <f t="shared" si="376"/>
        <v>2013.4699999999998</v>
      </c>
      <c r="S1730" s="110"/>
      <c r="T1730" s="110"/>
      <c r="U1730" s="110">
        <v>60</v>
      </c>
      <c r="V1730" s="111">
        <f t="shared" si="377"/>
        <v>2013.4699999999998</v>
      </c>
      <c r="W1730" s="110"/>
      <c r="X1730" s="110"/>
      <c r="Y1730" s="110"/>
      <c r="Z1730" s="110"/>
      <c r="AA1730" s="110">
        <v>11</v>
      </c>
      <c r="AB1730" s="111">
        <f t="shared" si="378"/>
        <v>2013.4699999999998</v>
      </c>
      <c r="AC1730" s="110"/>
      <c r="AD1730" s="110"/>
      <c r="AE1730" s="110"/>
      <c r="AF1730" s="111">
        <f t="shared" si="379"/>
        <v>2013.4699999999998</v>
      </c>
      <c r="AG1730" s="110"/>
      <c r="AH1730" s="110"/>
      <c r="AI1730" s="110"/>
      <c r="AJ1730" s="110"/>
      <c r="AK1730" s="111">
        <f t="shared" si="381"/>
        <v>8053.8799999999992</v>
      </c>
      <c r="AL1730" s="446">
        <f t="shared" si="382"/>
        <v>0</v>
      </c>
      <c r="AM1730" s="110">
        <f t="shared" si="383"/>
        <v>131</v>
      </c>
      <c r="AN1730" s="447">
        <f t="shared" si="372"/>
        <v>0</v>
      </c>
      <c r="AO1730"/>
      <c r="AP1730"/>
    </row>
    <row r="1731" spans="1:42" ht="66" x14ac:dyDescent="0.25">
      <c r="A1731" s="1024"/>
      <c r="B1731" s="149" t="s">
        <v>373</v>
      </c>
      <c r="C1731" s="1024"/>
      <c r="D1731" s="882">
        <v>24</v>
      </c>
      <c r="E1731" s="162" t="s">
        <v>2628</v>
      </c>
      <c r="F1731" s="273" t="s">
        <v>3446</v>
      </c>
      <c r="G1731" s="1040" t="s">
        <v>3463</v>
      </c>
      <c r="H1731" s="273" t="s">
        <v>3462</v>
      </c>
      <c r="I1731" s="720">
        <f t="shared" si="384"/>
        <v>89.575199999999995</v>
      </c>
      <c r="J1731" s="758">
        <v>2149.8047999999999</v>
      </c>
      <c r="K1731" s="131">
        <f t="shared" si="371"/>
        <v>2149.8047999999999</v>
      </c>
      <c r="L1731" s="335">
        <f t="shared" si="380"/>
        <v>0</v>
      </c>
      <c r="M1731" s="446"/>
      <c r="N1731" s="446"/>
      <c r="O1731" s="446"/>
      <c r="P1731" s="446"/>
      <c r="Q1731" s="110">
        <f t="shared" si="373"/>
        <v>6</v>
      </c>
      <c r="R1731" s="111">
        <f t="shared" si="376"/>
        <v>537.45119999999997</v>
      </c>
      <c r="S1731" s="110"/>
      <c r="T1731" s="110"/>
      <c r="U1731" s="110">
        <f t="shared" si="374"/>
        <v>6</v>
      </c>
      <c r="V1731" s="111">
        <f t="shared" si="377"/>
        <v>537.45119999999997</v>
      </c>
      <c r="W1731" s="110"/>
      <c r="X1731" s="110"/>
      <c r="Y1731" s="110"/>
      <c r="Z1731" s="110"/>
      <c r="AA1731" s="110">
        <f t="shared" si="375"/>
        <v>6</v>
      </c>
      <c r="AB1731" s="111">
        <f t="shared" si="378"/>
        <v>537.45119999999997</v>
      </c>
      <c r="AC1731" s="110"/>
      <c r="AD1731" s="110"/>
      <c r="AE1731" s="110">
        <f t="shared" si="375"/>
        <v>6</v>
      </c>
      <c r="AF1731" s="111">
        <f t="shared" si="379"/>
        <v>537.45119999999997</v>
      </c>
      <c r="AG1731" s="110"/>
      <c r="AH1731" s="110"/>
      <c r="AI1731" s="110"/>
      <c r="AJ1731" s="110"/>
      <c r="AK1731" s="111">
        <f t="shared" si="381"/>
        <v>2149.8047999999999</v>
      </c>
      <c r="AL1731" s="446">
        <f t="shared" si="382"/>
        <v>0</v>
      </c>
      <c r="AM1731" s="110">
        <f t="shared" si="383"/>
        <v>24</v>
      </c>
      <c r="AN1731" s="447">
        <f t="shared" si="372"/>
        <v>0</v>
      </c>
      <c r="AO1731"/>
      <c r="AP1731"/>
    </row>
    <row r="1732" spans="1:42" ht="66" x14ac:dyDescent="0.25">
      <c r="A1732" s="1024"/>
      <c r="B1732" s="149" t="s">
        <v>2675</v>
      </c>
      <c r="C1732" s="1024"/>
      <c r="D1732" s="882">
        <v>120</v>
      </c>
      <c r="E1732" s="162" t="s">
        <v>2628</v>
      </c>
      <c r="F1732" s="273" t="s">
        <v>3446</v>
      </c>
      <c r="G1732" s="1040" t="s">
        <v>3463</v>
      </c>
      <c r="H1732" s="273" t="s">
        <v>3462</v>
      </c>
      <c r="I1732" s="720">
        <f t="shared" si="384"/>
        <v>41.342399999999998</v>
      </c>
      <c r="J1732" s="758">
        <v>4961.0879999999997</v>
      </c>
      <c r="K1732" s="131">
        <f t="shared" ref="K1732:K1795" si="385">+D1732*I1732</f>
        <v>4961.0879999999997</v>
      </c>
      <c r="L1732" s="335">
        <f t="shared" si="380"/>
        <v>0</v>
      </c>
      <c r="M1732" s="446"/>
      <c r="N1732" s="446"/>
      <c r="O1732" s="446"/>
      <c r="P1732" s="446"/>
      <c r="Q1732" s="110">
        <v>50</v>
      </c>
      <c r="R1732" s="111">
        <f t="shared" si="376"/>
        <v>1240.2719999999999</v>
      </c>
      <c r="S1732" s="110"/>
      <c r="T1732" s="110"/>
      <c r="U1732" s="110">
        <v>50</v>
      </c>
      <c r="V1732" s="111">
        <f t="shared" si="377"/>
        <v>1240.2719999999999</v>
      </c>
      <c r="W1732" s="110"/>
      <c r="X1732" s="110"/>
      <c r="Y1732" s="110"/>
      <c r="Z1732" s="110"/>
      <c r="AA1732" s="110">
        <v>10</v>
      </c>
      <c r="AB1732" s="111">
        <f t="shared" si="378"/>
        <v>1240.2719999999999</v>
      </c>
      <c r="AC1732" s="110"/>
      <c r="AD1732" s="110"/>
      <c r="AE1732" s="110">
        <v>10</v>
      </c>
      <c r="AF1732" s="111">
        <f t="shared" si="379"/>
        <v>1240.2719999999999</v>
      </c>
      <c r="AG1732" s="110"/>
      <c r="AH1732" s="110"/>
      <c r="AI1732" s="110"/>
      <c r="AJ1732" s="110"/>
      <c r="AK1732" s="111">
        <f t="shared" si="381"/>
        <v>4961.0879999999997</v>
      </c>
      <c r="AL1732" s="446">
        <f t="shared" si="382"/>
        <v>0</v>
      </c>
      <c r="AM1732" s="110">
        <f t="shared" si="383"/>
        <v>120</v>
      </c>
      <c r="AN1732" s="447">
        <f t="shared" ref="AN1732:AN1795" si="386">+D1732-AM1732</f>
        <v>0</v>
      </c>
      <c r="AO1732"/>
      <c r="AP1732"/>
    </row>
    <row r="1733" spans="1:42" ht="66" x14ac:dyDescent="0.25">
      <c r="A1733" s="1024"/>
      <c r="B1733" s="149" t="s">
        <v>2676</v>
      </c>
      <c r="C1733" s="1024"/>
      <c r="D1733" s="882">
        <v>20</v>
      </c>
      <c r="E1733" s="162" t="s">
        <v>2628</v>
      </c>
      <c r="F1733" s="273" t="s">
        <v>3446</v>
      </c>
      <c r="G1733" s="1040" t="s">
        <v>3463</v>
      </c>
      <c r="H1733" s="273" t="s">
        <v>3462</v>
      </c>
      <c r="I1733" s="720">
        <f t="shared" si="384"/>
        <v>52.362399999999994</v>
      </c>
      <c r="J1733" s="758">
        <v>1047.2479999999998</v>
      </c>
      <c r="K1733" s="131">
        <f t="shared" si="385"/>
        <v>1047.2479999999998</v>
      </c>
      <c r="L1733" s="335">
        <f t="shared" si="380"/>
        <v>0</v>
      </c>
      <c r="M1733" s="446"/>
      <c r="N1733" s="446"/>
      <c r="O1733" s="446"/>
      <c r="P1733" s="446"/>
      <c r="Q1733" s="110">
        <f t="shared" si="373"/>
        <v>5</v>
      </c>
      <c r="R1733" s="111">
        <f t="shared" si="376"/>
        <v>261.81199999999995</v>
      </c>
      <c r="S1733" s="110"/>
      <c r="T1733" s="110"/>
      <c r="U1733" s="110">
        <f t="shared" si="374"/>
        <v>5</v>
      </c>
      <c r="V1733" s="111">
        <f t="shared" si="377"/>
        <v>261.81199999999995</v>
      </c>
      <c r="W1733" s="110"/>
      <c r="X1733" s="110"/>
      <c r="Y1733" s="110"/>
      <c r="Z1733" s="110"/>
      <c r="AA1733" s="110">
        <f t="shared" si="375"/>
        <v>5</v>
      </c>
      <c r="AB1733" s="111">
        <f t="shared" si="378"/>
        <v>261.81199999999995</v>
      </c>
      <c r="AC1733" s="110"/>
      <c r="AD1733" s="110"/>
      <c r="AE1733" s="110">
        <f t="shared" si="375"/>
        <v>5</v>
      </c>
      <c r="AF1733" s="111">
        <f t="shared" si="379"/>
        <v>261.81199999999995</v>
      </c>
      <c r="AG1733" s="110"/>
      <c r="AH1733" s="110"/>
      <c r="AI1733" s="110"/>
      <c r="AJ1733" s="110"/>
      <c r="AK1733" s="111">
        <f t="shared" si="381"/>
        <v>1047.2479999999998</v>
      </c>
      <c r="AL1733" s="446">
        <f t="shared" si="382"/>
        <v>0</v>
      </c>
      <c r="AM1733" s="110">
        <f t="shared" si="383"/>
        <v>20</v>
      </c>
      <c r="AN1733" s="447">
        <f t="shared" si="386"/>
        <v>0</v>
      </c>
      <c r="AO1733"/>
      <c r="AP1733"/>
    </row>
    <row r="1734" spans="1:42" ht="66" x14ac:dyDescent="0.25">
      <c r="A1734" s="1024"/>
      <c r="B1734" s="227" t="s">
        <v>377</v>
      </c>
      <c r="C1734" s="1024"/>
      <c r="D1734" s="882">
        <v>64</v>
      </c>
      <c r="E1734" s="162" t="s">
        <v>2628</v>
      </c>
      <c r="F1734" s="273" t="s">
        <v>3446</v>
      </c>
      <c r="G1734" s="1040" t="s">
        <v>3463</v>
      </c>
      <c r="H1734" s="273" t="s">
        <v>3462</v>
      </c>
      <c r="I1734" s="720">
        <f t="shared" si="384"/>
        <v>27.561599999999999</v>
      </c>
      <c r="J1734" s="758">
        <v>1763.9423999999999</v>
      </c>
      <c r="K1734" s="131">
        <f t="shared" si="385"/>
        <v>1763.9423999999999</v>
      </c>
      <c r="L1734" s="335">
        <f t="shared" si="380"/>
        <v>0</v>
      </c>
      <c r="M1734" s="446"/>
      <c r="N1734" s="446"/>
      <c r="O1734" s="446"/>
      <c r="P1734" s="446"/>
      <c r="Q1734" s="110">
        <f t="shared" si="373"/>
        <v>16</v>
      </c>
      <c r="R1734" s="111">
        <f t="shared" si="376"/>
        <v>440.98559999999998</v>
      </c>
      <c r="S1734" s="110"/>
      <c r="T1734" s="110"/>
      <c r="U1734" s="110">
        <f t="shared" si="374"/>
        <v>16</v>
      </c>
      <c r="V1734" s="111">
        <f t="shared" si="377"/>
        <v>440.98559999999998</v>
      </c>
      <c r="W1734" s="110"/>
      <c r="X1734" s="110"/>
      <c r="Y1734" s="110"/>
      <c r="Z1734" s="110"/>
      <c r="AA1734" s="110">
        <f t="shared" si="375"/>
        <v>16</v>
      </c>
      <c r="AB1734" s="111">
        <f t="shared" si="378"/>
        <v>440.98559999999998</v>
      </c>
      <c r="AC1734" s="110"/>
      <c r="AD1734" s="110"/>
      <c r="AE1734" s="110">
        <f t="shared" si="375"/>
        <v>16</v>
      </c>
      <c r="AF1734" s="111">
        <f t="shared" si="379"/>
        <v>440.98559999999998</v>
      </c>
      <c r="AG1734" s="110"/>
      <c r="AH1734" s="110"/>
      <c r="AI1734" s="110"/>
      <c r="AJ1734" s="110"/>
      <c r="AK1734" s="111">
        <f t="shared" si="381"/>
        <v>1763.9423999999999</v>
      </c>
      <c r="AL1734" s="446">
        <f t="shared" si="382"/>
        <v>0</v>
      </c>
      <c r="AM1734" s="110">
        <f t="shared" si="383"/>
        <v>64</v>
      </c>
      <c r="AN1734" s="447">
        <f t="shared" si="386"/>
        <v>0</v>
      </c>
      <c r="AO1734"/>
      <c r="AP1734"/>
    </row>
    <row r="1735" spans="1:42" ht="66" x14ac:dyDescent="0.25">
      <c r="A1735" s="1024"/>
      <c r="B1735" s="227" t="s">
        <v>2677</v>
      </c>
      <c r="C1735" s="1024"/>
      <c r="D1735" s="882">
        <v>12</v>
      </c>
      <c r="E1735" s="162" t="s">
        <v>2628</v>
      </c>
      <c r="F1735" s="273" t="s">
        <v>3446</v>
      </c>
      <c r="G1735" s="1040" t="s">
        <v>3463</v>
      </c>
      <c r="H1735" s="273" t="s">
        <v>3462</v>
      </c>
      <c r="I1735" s="720">
        <f t="shared" si="384"/>
        <v>96.465599999999995</v>
      </c>
      <c r="J1735" s="758">
        <v>1157.5871999999999</v>
      </c>
      <c r="K1735" s="131">
        <f t="shared" si="385"/>
        <v>1157.5871999999999</v>
      </c>
      <c r="L1735" s="335">
        <f t="shared" si="380"/>
        <v>0</v>
      </c>
      <c r="M1735" s="446"/>
      <c r="N1735" s="446"/>
      <c r="O1735" s="446"/>
      <c r="P1735" s="446"/>
      <c r="Q1735" s="110">
        <f t="shared" si="373"/>
        <v>3</v>
      </c>
      <c r="R1735" s="111">
        <f t="shared" si="376"/>
        <v>289.39679999999998</v>
      </c>
      <c r="S1735" s="110"/>
      <c r="T1735" s="110"/>
      <c r="U1735" s="110">
        <f t="shared" si="374"/>
        <v>3</v>
      </c>
      <c r="V1735" s="111">
        <f t="shared" si="377"/>
        <v>289.39679999999998</v>
      </c>
      <c r="W1735" s="110"/>
      <c r="X1735" s="110"/>
      <c r="Y1735" s="110"/>
      <c r="Z1735" s="110"/>
      <c r="AA1735" s="110">
        <f t="shared" si="375"/>
        <v>3</v>
      </c>
      <c r="AB1735" s="111">
        <f t="shared" si="378"/>
        <v>289.39679999999998</v>
      </c>
      <c r="AC1735" s="110"/>
      <c r="AD1735" s="110"/>
      <c r="AE1735" s="110">
        <f t="shared" si="375"/>
        <v>3</v>
      </c>
      <c r="AF1735" s="111">
        <f t="shared" si="379"/>
        <v>289.39679999999998</v>
      </c>
      <c r="AG1735" s="110"/>
      <c r="AH1735" s="110"/>
      <c r="AI1735" s="110"/>
      <c r="AJ1735" s="110"/>
      <c r="AK1735" s="111">
        <f t="shared" si="381"/>
        <v>1157.5871999999999</v>
      </c>
      <c r="AL1735" s="446">
        <f t="shared" si="382"/>
        <v>0</v>
      </c>
      <c r="AM1735" s="110">
        <f t="shared" si="383"/>
        <v>12</v>
      </c>
      <c r="AN1735" s="447">
        <f t="shared" si="386"/>
        <v>0</v>
      </c>
      <c r="AO1735"/>
      <c r="AP1735"/>
    </row>
    <row r="1736" spans="1:42" ht="66" x14ac:dyDescent="0.25">
      <c r="A1736" s="1024"/>
      <c r="B1736" s="227" t="s">
        <v>333</v>
      </c>
      <c r="C1736" s="1024"/>
      <c r="D1736" s="882">
        <v>200</v>
      </c>
      <c r="E1736" s="162" t="s">
        <v>2628</v>
      </c>
      <c r="F1736" s="273" t="s">
        <v>3446</v>
      </c>
      <c r="G1736" s="1040" t="s">
        <v>3463</v>
      </c>
      <c r="H1736" s="273" t="s">
        <v>3462</v>
      </c>
      <c r="I1736" s="720">
        <f t="shared" si="384"/>
        <v>66.143199999999993</v>
      </c>
      <c r="J1736" s="758">
        <v>13228.64</v>
      </c>
      <c r="K1736" s="131">
        <f t="shared" si="385"/>
        <v>13228.64</v>
      </c>
      <c r="L1736" s="335">
        <f t="shared" si="380"/>
        <v>0</v>
      </c>
      <c r="M1736" s="446"/>
      <c r="N1736" s="446"/>
      <c r="O1736" s="446"/>
      <c r="P1736" s="446"/>
      <c r="Q1736" s="110">
        <f t="shared" si="373"/>
        <v>50</v>
      </c>
      <c r="R1736" s="111">
        <f t="shared" si="376"/>
        <v>3307.16</v>
      </c>
      <c r="S1736" s="110"/>
      <c r="T1736" s="110"/>
      <c r="U1736" s="110">
        <f t="shared" si="374"/>
        <v>50</v>
      </c>
      <c r="V1736" s="111">
        <f t="shared" si="377"/>
        <v>3307.16</v>
      </c>
      <c r="W1736" s="110"/>
      <c r="X1736" s="110"/>
      <c r="Y1736" s="110"/>
      <c r="Z1736" s="110"/>
      <c r="AA1736" s="110">
        <f t="shared" si="375"/>
        <v>50</v>
      </c>
      <c r="AB1736" s="111">
        <f t="shared" si="378"/>
        <v>3307.16</v>
      </c>
      <c r="AC1736" s="110"/>
      <c r="AD1736" s="110"/>
      <c r="AE1736" s="110">
        <f t="shared" si="375"/>
        <v>50</v>
      </c>
      <c r="AF1736" s="111">
        <f t="shared" si="379"/>
        <v>3307.16</v>
      </c>
      <c r="AG1736" s="110"/>
      <c r="AH1736" s="110"/>
      <c r="AI1736" s="110"/>
      <c r="AJ1736" s="110"/>
      <c r="AK1736" s="111">
        <f t="shared" si="381"/>
        <v>13228.64</v>
      </c>
      <c r="AL1736" s="446">
        <f t="shared" si="382"/>
        <v>0</v>
      </c>
      <c r="AM1736" s="110">
        <f t="shared" si="383"/>
        <v>200</v>
      </c>
      <c r="AN1736" s="447">
        <f t="shared" si="386"/>
        <v>0</v>
      </c>
      <c r="AO1736"/>
      <c r="AP1736"/>
    </row>
    <row r="1737" spans="1:42" ht="66" x14ac:dyDescent="0.25">
      <c r="A1737" s="1024"/>
      <c r="B1737" s="149" t="s">
        <v>349</v>
      </c>
      <c r="C1737" s="1024"/>
      <c r="D1737" s="882">
        <v>40</v>
      </c>
      <c r="E1737" s="162" t="s">
        <v>2628</v>
      </c>
      <c r="F1737" s="273" t="s">
        <v>3446</v>
      </c>
      <c r="G1737" s="1040" t="s">
        <v>3463</v>
      </c>
      <c r="H1737" s="273" t="s">
        <v>3462</v>
      </c>
      <c r="I1737" s="720">
        <f t="shared" si="384"/>
        <v>153.11999999999998</v>
      </c>
      <c r="J1737" s="758">
        <v>6124.7999999999993</v>
      </c>
      <c r="K1737" s="131">
        <f t="shared" si="385"/>
        <v>6124.7999999999993</v>
      </c>
      <c r="L1737" s="335">
        <f t="shared" si="380"/>
        <v>0</v>
      </c>
      <c r="M1737" s="446"/>
      <c r="N1737" s="446"/>
      <c r="O1737" s="446"/>
      <c r="P1737" s="446"/>
      <c r="Q1737" s="110">
        <f t="shared" si="373"/>
        <v>10</v>
      </c>
      <c r="R1737" s="111">
        <f t="shared" si="376"/>
        <v>1531.1999999999998</v>
      </c>
      <c r="S1737" s="110"/>
      <c r="T1737" s="110"/>
      <c r="U1737" s="110">
        <f t="shared" si="374"/>
        <v>10</v>
      </c>
      <c r="V1737" s="111">
        <f t="shared" si="377"/>
        <v>1531.1999999999998</v>
      </c>
      <c r="W1737" s="110"/>
      <c r="X1737" s="110"/>
      <c r="Y1737" s="110"/>
      <c r="Z1737" s="110"/>
      <c r="AA1737" s="110">
        <f t="shared" si="375"/>
        <v>10</v>
      </c>
      <c r="AB1737" s="111">
        <f t="shared" si="378"/>
        <v>1531.1999999999998</v>
      </c>
      <c r="AC1737" s="110"/>
      <c r="AD1737" s="110"/>
      <c r="AE1737" s="110">
        <f t="shared" si="375"/>
        <v>10</v>
      </c>
      <c r="AF1737" s="111">
        <f t="shared" si="379"/>
        <v>1531.1999999999998</v>
      </c>
      <c r="AG1737" s="110"/>
      <c r="AH1737" s="110"/>
      <c r="AI1737" s="110"/>
      <c r="AJ1737" s="110"/>
      <c r="AK1737" s="111">
        <f t="shared" si="381"/>
        <v>6124.7999999999993</v>
      </c>
      <c r="AL1737" s="446">
        <f t="shared" si="382"/>
        <v>0</v>
      </c>
      <c r="AM1737" s="110">
        <f t="shared" si="383"/>
        <v>40</v>
      </c>
      <c r="AN1737" s="447">
        <f t="shared" si="386"/>
        <v>0</v>
      </c>
      <c r="AO1737"/>
      <c r="AP1737"/>
    </row>
    <row r="1738" spans="1:42" ht="66" x14ac:dyDescent="0.25">
      <c r="A1738" s="1024"/>
      <c r="B1738" s="149" t="s">
        <v>365</v>
      </c>
      <c r="C1738" s="1024"/>
      <c r="D1738" s="882">
        <v>400</v>
      </c>
      <c r="E1738" s="162" t="s">
        <v>2628</v>
      </c>
      <c r="F1738" s="273" t="s">
        <v>3446</v>
      </c>
      <c r="G1738" s="1040" t="s">
        <v>3463</v>
      </c>
      <c r="H1738" s="273" t="s">
        <v>3462</v>
      </c>
      <c r="I1738" s="720">
        <f t="shared" si="384"/>
        <v>27.839999999999996</v>
      </c>
      <c r="J1738" s="758">
        <v>11135.999999999998</v>
      </c>
      <c r="K1738" s="131">
        <f t="shared" si="385"/>
        <v>11135.999999999998</v>
      </c>
      <c r="L1738" s="335">
        <f t="shared" si="380"/>
        <v>0</v>
      </c>
      <c r="M1738" s="446"/>
      <c r="N1738" s="446"/>
      <c r="O1738" s="446"/>
      <c r="P1738" s="446"/>
      <c r="Q1738" s="110">
        <f t="shared" si="373"/>
        <v>100</v>
      </c>
      <c r="R1738" s="111">
        <f t="shared" si="376"/>
        <v>2783.9999999999995</v>
      </c>
      <c r="S1738" s="110"/>
      <c r="T1738" s="110"/>
      <c r="U1738" s="110">
        <f t="shared" si="374"/>
        <v>100</v>
      </c>
      <c r="V1738" s="111">
        <f t="shared" si="377"/>
        <v>2783.9999999999995</v>
      </c>
      <c r="W1738" s="110"/>
      <c r="X1738" s="110"/>
      <c r="Y1738" s="110"/>
      <c r="Z1738" s="110"/>
      <c r="AA1738" s="110">
        <f t="shared" ref="AA1738:AE1799" si="387">+$D1738/4</f>
        <v>100</v>
      </c>
      <c r="AB1738" s="111">
        <f t="shared" si="378"/>
        <v>2783.9999999999995</v>
      </c>
      <c r="AC1738" s="110"/>
      <c r="AD1738" s="110"/>
      <c r="AE1738" s="110">
        <f t="shared" si="387"/>
        <v>100</v>
      </c>
      <c r="AF1738" s="111">
        <f t="shared" si="379"/>
        <v>2783.9999999999995</v>
      </c>
      <c r="AG1738" s="110"/>
      <c r="AH1738" s="110"/>
      <c r="AI1738" s="110"/>
      <c r="AJ1738" s="110"/>
      <c r="AK1738" s="111">
        <f t="shared" si="381"/>
        <v>11135.999999999998</v>
      </c>
      <c r="AL1738" s="446">
        <f t="shared" si="382"/>
        <v>0</v>
      </c>
      <c r="AM1738" s="110">
        <f t="shared" si="383"/>
        <v>400</v>
      </c>
      <c r="AN1738" s="447">
        <f t="shared" si="386"/>
        <v>0</v>
      </c>
      <c r="AO1738"/>
      <c r="AP1738"/>
    </row>
    <row r="1739" spans="1:42" ht="66" x14ac:dyDescent="0.25">
      <c r="A1739" s="1024"/>
      <c r="B1739" s="149" t="s">
        <v>2678</v>
      </c>
      <c r="C1739" s="1024"/>
      <c r="D1739" s="882">
        <v>304</v>
      </c>
      <c r="E1739" s="162" t="s">
        <v>2628</v>
      </c>
      <c r="F1739" s="273" t="s">
        <v>3446</v>
      </c>
      <c r="G1739" s="1040" t="s">
        <v>3463</v>
      </c>
      <c r="H1739" s="273" t="s">
        <v>3462</v>
      </c>
      <c r="I1739" s="720">
        <f t="shared" si="384"/>
        <v>28.999999999999993</v>
      </c>
      <c r="J1739" s="758">
        <v>8815.9999999999982</v>
      </c>
      <c r="K1739" s="131">
        <f t="shared" si="385"/>
        <v>8815.9999999999982</v>
      </c>
      <c r="L1739" s="335">
        <f t="shared" si="380"/>
        <v>0</v>
      </c>
      <c r="M1739" s="446"/>
      <c r="N1739" s="446"/>
      <c r="O1739" s="446"/>
      <c r="P1739" s="446"/>
      <c r="Q1739" s="110">
        <f t="shared" si="373"/>
        <v>76</v>
      </c>
      <c r="R1739" s="111">
        <f t="shared" si="376"/>
        <v>2203.9999999999995</v>
      </c>
      <c r="S1739" s="110"/>
      <c r="T1739" s="110"/>
      <c r="U1739" s="110">
        <f t="shared" si="374"/>
        <v>76</v>
      </c>
      <c r="V1739" s="111">
        <f t="shared" si="377"/>
        <v>2203.9999999999995</v>
      </c>
      <c r="W1739" s="110"/>
      <c r="X1739" s="110"/>
      <c r="Y1739" s="110"/>
      <c r="Z1739" s="110"/>
      <c r="AA1739" s="110">
        <f t="shared" si="387"/>
        <v>76</v>
      </c>
      <c r="AB1739" s="111">
        <f t="shared" si="378"/>
        <v>2203.9999999999995</v>
      </c>
      <c r="AC1739" s="110"/>
      <c r="AD1739" s="110"/>
      <c r="AE1739" s="110">
        <f t="shared" si="387"/>
        <v>76</v>
      </c>
      <c r="AF1739" s="111">
        <f t="shared" si="379"/>
        <v>2203.9999999999995</v>
      </c>
      <c r="AG1739" s="110"/>
      <c r="AH1739" s="110"/>
      <c r="AI1739" s="110"/>
      <c r="AJ1739" s="110"/>
      <c r="AK1739" s="111">
        <f t="shared" si="381"/>
        <v>8815.9999999999982</v>
      </c>
      <c r="AL1739" s="446">
        <f t="shared" si="382"/>
        <v>0</v>
      </c>
      <c r="AM1739" s="110">
        <f t="shared" si="383"/>
        <v>304</v>
      </c>
      <c r="AN1739" s="447">
        <f t="shared" si="386"/>
        <v>0</v>
      </c>
      <c r="AO1739"/>
      <c r="AP1739"/>
    </row>
    <row r="1740" spans="1:42" ht="66" x14ac:dyDescent="0.25">
      <c r="A1740" s="1024"/>
      <c r="B1740" s="149" t="s">
        <v>2679</v>
      </c>
      <c r="C1740" s="1024"/>
      <c r="D1740" s="882">
        <v>56</v>
      </c>
      <c r="E1740" s="162" t="s">
        <v>2628</v>
      </c>
      <c r="F1740" s="273" t="s">
        <v>3446</v>
      </c>
      <c r="G1740" s="1040" t="s">
        <v>3463</v>
      </c>
      <c r="H1740" s="273" t="s">
        <v>3462</v>
      </c>
      <c r="I1740" s="720">
        <f t="shared" si="384"/>
        <v>14.499999999999998</v>
      </c>
      <c r="J1740" s="758">
        <v>811.99999999999989</v>
      </c>
      <c r="K1740" s="131">
        <f t="shared" si="385"/>
        <v>811.99999999999989</v>
      </c>
      <c r="L1740" s="335">
        <f t="shared" si="380"/>
        <v>0</v>
      </c>
      <c r="M1740" s="446"/>
      <c r="N1740" s="446"/>
      <c r="O1740" s="446"/>
      <c r="P1740" s="446"/>
      <c r="Q1740" s="110">
        <f t="shared" ref="Q1740:Q1801" si="388">+$D1740/4</f>
        <v>14</v>
      </c>
      <c r="R1740" s="111">
        <f t="shared" si="376"/>
        <v>202.99999999999997</v>
      </c>
      <c r="S1740" s="110"/>
      <c r="T1740" s="110"/>
      <c r="U1740" s="110">
        <f t="shared" ref="U1740:U1801" si="389">+$D1740/4</f>
        <v>14</v>
      </c>
      <c r="V1740" s="111">
        <f t="shared" si="377"/>
        <v>202.99999999999997</v>
      </c>
      <c r="W1740" s="110"/>
      <c r="X1740" s="110"/>
      <c r="Y1740" s="110"/>
      <c r="Z1740" s="110"/>
      <c r="AA1740" s="110">
        <f t="shared" si="387"/>
        <v>14</v>
      </c>
      <c r="AB1740" s="111">
        <f t="shared" si="378"/>
        <v>202.99999999999997</v>
      </c>
      <c r="AC1740" s="110"/>
      <c r="AD1740" s="110"/>
      <c r="AE1740" s="110">
        <f t="shared" si="387"/>
        <v>14</v>
      </c>
      <c r="AF1740" s="111">
        <f t="shared" si="379"/>
        <v>202.99999999999997</v>
      </c>
      <c r="AG1740" s="110"/>
      <c r="AH1740" s="110"/>
      <c r="AI1740" s="110"/>
      <c r="AJ1740" s="110"/>
      <c r="AK1740" s="111">
        <f t="shared" si="381"/>
        <v>811.99999999999989</v>
      </c>
      <c r="AL1740" s="446">
        <f t="shared" si="382"/>
        <v>0</v>
      </c>
      <c r="AM1740" s="110">
        <f t="shared" si="383"/>
        <v>56</v>
      </c>
      <c r="AN1740" s="447">
        <f t="shared" si="386"/>
        <v>0</v>
      </c>
      <c r="AO1740"/>
      <c r="AP1740"/>
    </row>
    <row r="1741" spans="1:42" ht="66" x14ac:dyDescent="0.25">
      <c r="A1741" s="1024"/>
      <c r="B1741" s="149" t="s">
        <v>2680</v>
      </c>
      <c r="C1741" s="1024"/>
      <c r="D1741" s="882">
        <v>120</v>
      </c>
      <c r="E1741" s="162" t="s">
        <v>2628</v>
      </c>
      <c r="F1741" s="273" t="s">
        <v>3446</v>
      </c>
      <c r="G1741" s="1040" t="s">
        <v>3463</v>
      </c>
      <c r="H1741" s="273" t="s">
        <v>3462</v>
      </c>
      <c r="I1741" s="720">
        <f t="shared" si="384"/>
        <v>35.728000000000002</v>
      </c>
      <c r="J1741" s="758">
        <v>4287.3600000000006</v>
      </c>
      <c r="K1741" s="131">
        <f t="shared" si="385"/>
        <v>4287.3600000000006</v>
      </c>
      <c r="L1741" s="335">
        <f t="shared" si="380"/>
        <v>0</v>
      </c>
      <c r="M1741" s="446"/>
      <c r="N1741" s="446"/>
      <c r="O1741" s="446"/>
      <c r="P1741" s="446"/>
      <c r="Q1741" s="110">
        <v>50</v>
      </c>
      <c r="R1741" s="111">
        <f t="shared" si="376"/>
        <v>1071.8400000000001</v>
      </c>
      <c r="S1741" s="110"/>
      <c r="T1741" s="110"/>
      <c r="U1741" s="110">
        <v>50</v>
      </c>
      <c r="V1741" s="111">
        <f t="shared" si="377"/>
        <v>1071.8400000000001</v>
      </c>
      <c r="W1741" s="110"/>
      <c r="X1741" s="110"/>
      <c r="Y1741" s="110"/>
      <c r="Z1741" s="110"/>
      <c r="AA1741" s="110">
        <v>10</v>
      </c>
      <c r="AB1741" s="111">
        <f t="shared" si="378"/>
        <v>1071.8400000000001</v>
      </c>
      <c r="AC1741" s="110"/>
      <c r="AD1741" s="110"/>
      <c r="AE1741" s="110">
        <v>10</v>
      </c>
      <c r="AF1741" s="111">
        <f t="shared" si="379"/>
        <v>1071.8400000000001</v>
      </c>
      <c r="AG1741" s="110"/>
      <c r="AH1741" s="110"/>
      <c r="AI1741" s="110"/>
      <c r="AJ1741" s="110"/>
      <c r="AK1741" s="111">
        <f t="shared" si="381"/>
        <v>4287.3600000000006</v>
      </c>
      <c r="AL1741" s="446">
        <f t="shared" si="382"/>
        <v>0</v>
      </c>
      <c r="AM1741" s="110">
        <f t="shared" si="383"/>
        <v>120</v>
      </c>
      <c r="AN1741" s="447">
        <f t="shared" si="386"/>
        <v>0</v>
      </c>
      <c r="AO1741"/>
      <c r="AP1741"/>
    </row>
    <row r="1742" spans="1:42" ht="66" x14ac:dyDescent="0.25">
      <c r="A1742" s="1024"/>
      <c r="B1742" s="149" t="s">
        <v>352</v>
      </c>
      <c r="C1742" s="1024"/>
      <c r="D1742" s="882">
        <v>200</v>
      </c>
      <c r="E1742" s="162" t="s">
        <v>2628</v>
      </c>
      <c r="F1742" s="273" t="s">
        <v>3446</v>
      </c>
      <c r="G1742" s="1040" t="s">
        <v>3463</v>
      </c>
      <c r="H1742" s="273" t="s">
        <v>3462</v>
      </c>
      <c r="I1742" s="720">
        <f t="shared" si="384"/>
        <v>59.844399999999993</v>
      </c>
      <c r="J1742" s="758">
        <v>11968.88</v>
      </c>
      <c r="K1742" s="131">
        <f t="shared" si="385"/>
        <v>11968.88</v>
      </c>
      <c r="L1742" s="335">
        <f t="shared" si="380"/>
        <v>0</v>
      </c>
      <c r="M1742" s="446"/>
      <c r="N1742" s="446"/>
      <c r="O1742" s="446"/>
      <c r="P1742" s="446"/>
      <c r="Q1742" s="110">
        <f t="shared" si="388"/>
        <v>50</v>
      </c>
      <c r="R1742" s="111">
        <f t="shared" si="376"/>
        <v>2992.22</v>
      </c>
      <c r="S1742" s="110"/>
      <c r="T1742" s="110"/>
      <c r="U1742" s="110">
        <f t="shared" si="389"/>
        <v>50</v>
      </c>
      <c r="V1742" s="111">
        <f t="shared" si="377"/>
        <v>2992.22</v>
      </c>
      <c r="W1742" s="110"/>
      <c r="X1742" s="110"/>
      <c r="Y1742" s="110"/>
      <c r="Z1742" s="110"/>
      <c r="AA1742" s="110">
        <f t="shared" si="387"/>
        <v>50</v>
      </c>
      <c r="AB1742" s="111">
        <f t="shared" si="378"/>
        <v>2992.22</v>
      </c>
      <c r="AC1742" s="110"/>
      <c r="AD1742" s="110"/>
      <c r="AE1742" s="110">
        <f t="shared" si="387"/>
        <v>50</v>
      </c>
      <c r="AF1742" s="111">
        <f t="shared" si="379"/>
        <v>2992.22</v>
      </c>
      <c r="AG1742" s="110"/>
      <c r="AH1742" s="110"/>
      <c r="AI1742" s="110"/>
      <c r="AJ1742" s="110"/>
      <c r="AK1742" s="111">
        <f t="shared" si="381"/>
        <v>11968.88</v>
      </c>
      <c r="AL1742" s="446">
        <f t="shared" si="382"/>
        <v>0</v>
      </c>
      <c r="AM1742" s="110">
        <f t="shared" si="383"/>
        <v>200</v>
      </c>
      <c r="AN1742" s="447">
        <f t="shared" si="386"/>
        <v>0</v>
      </c>
      <c r="AO1742"/>
      <c r="AP1742"/>
    </row>
    <row r="1743" spans="1:42" ht="66" x14ac:dyDescent="0.25">
      <c r="A1743" s="1024"/>
      <c r="B1743" s="149" t="s">
        <v>374</v>
      </c>
      <c r="C1743" s="1024"/>
      <c r="D1743" s="882">
        <v>192</v>
      </c>
      <c r="E1743" s="162" t="s">
        <v>2628</v>
      </c>
      <c r="F1743" s="273" t="s">
        <v>3446</v>
      </c>
      <c r="G1743" s="1040" t="s">
        <v>3463</v>
      </c>
      <c r="H1743" s="273" t="s">
        <v>3462</v>
      </c>
      <c r="I1743" s="720">
        <f t="shared" si="384"/>
        <v>37.003999999999998</v>
      </c>
      <c r="J1743" s="758">
        <v>7104.768</v>
      </c>
      <c r="K1743" s="131">
        <f t="shared" si="385"/>
        <v>7104.768</v>
      </c>
      <c r="L1743" s="335">
        <f t="shared" si="380"/>
        <v>0</v>
      </c>
      <c r="M1743" s="446"/>
      <c r="N1743" s="446"/>
      <c r="O1743" s="446"/>
      <c r="P1743" s="446"/>
      <c r="Q1743" s="110">
        <f t="shared" si="388"/>
        <v>48</v>
      </c>
      <c r="R1743" s="111">
        <f t="shared" si="376"/>
        <v>1776.192</v>
      </c>
      <c r="S1743" s="110"/>
      <c r="T1743" s="110"/>
      <c r="U1743" s="110">
        <f t="shared" si="389"/>
        <v>48</v>
      </c>
      <c r="V1743" s="111">
        <f t="shared" si="377"/>
        <v>1776.192</v>
      </c>
      <c r="W1743" s="110"/>
      <c r="X1743" s="110"/>
      <c r="Y1743" s="110"/>
      <c r="Z1743" s="110"/>
      <c r="AA1743" s="110">
        <f t="shared" si="387"/>
        <v>48</v>
      </c>
      <c r="AB1743" s="111">
        <f t="shared" si="378"/>
        <v>1776.192</v>
      </c>
      <c r="AC1743" s="110"/>
      <c r="AD1743" s="110"/>
      <c r="AE1743" s="110">
        <f t="shared" si="387"/>
        <v>48</v>
      </c>
      <c r="AF1743" s="111">
        <f t="shared" si="379"/>
        <v>1776.192</v>
      </c>
      <c r="AG1743" s="110"/>
      <c r="AH1743" s="110"/>
      <c r="AI1743" s="110"/>
      <c r="AJ1743" s="110"/>
      <c r="AK1743" s="111">
        <f t="shared" si="381"/>
        <v>7104.768</v>
      </c>
      <c r="AL1743" s="446">
        <f t="shared" si="382"/>
        <v>0</v>
      </c>
      <c r="AM1743" s="110">
        <f t="shared" si="383"/>
        <v>192</v>
      </c>
      <c r="AN1743" s="447">
        <f t="shared" si="386"/>
        <v>0</v>
      </c>
      <c r="AO1743"/>
      <c r="AP1743"/>
    </row>
    <row r="1744" spans="1:42" ht="66" x14ac:dyDescent="0.25">
      <c r="A1744" s="1024"/>
      <c r="B1744" s="149" t="s">
        <v>366</v>
      </c>
      <c r="C1744" s="1024"/>
      <c r="D1744" s="882">
        <v>192</v>
      </c>
      <c r="E1744" s="162" t="s">
        <v>2628</v>
      </c>
      <c r="F1744" s="273" t="s">
        <v>3446</v>
      </c>
      <c r="G1744" s="1040" t="s">
        <v>3463</v>
      </c>
      <c r="H1744" s="273" t="s">
        <v>3462</v>
      </c>
      <c r="I1744" s="720">
        <f t="shared" si="384"/>
        <v>44.103199999999994</v>
      </c>
      <c r="J1744" s="758">
        <v>8467.8143999999993</v>
      </c>
      <c r="K1744" s="131">
        <f t="shared" si="385"/>
        <v>8467.8143999999993</v>
      </c>
      <c r="L1744" s="335">
        <f t="shared" si="380"/>
        <v>0</v>
      </c>
      <c r="M1744" s="446"/>
      <c r="N1744" s="446"/>
      <c r="O1744" s="446"/>
      <c r="P1744" s="446"/>
      <c r="Q1744" s="110">
        <f t="shared" si="388"/>
        <v>48</v>
      </c>
      <c r="R1744" s="111">
        <f t="shared" si="376"/>
        <v>2116.9535999999998</v>
      </c>
      <c r="S1744" s="110"/>
      <c r="T1744" s="110"/>
      <c r="U1744" s="110">
        <f t="shared" si="389"/>
        <v>48</v>
      </c>
      <c r="V1744" s="111">
        <f t="shared" si="377"/>
        <v>2116.9535999999998</v>
      </c>
      <c r="W1744" s="110"/>
      <c r="X1744" s="110"/>
      <c r="Y1744" s="110"/>
      <c r="Z1744" s="110"/>
      <c r="AA1744" s="110">
        <f t="shared" si="387"/>
        <v>48</v>
      </c>
      <c r="AB1744" s="111">
        <f t="shared" si="378"/>
        <v>2116.9535999999998</v>
      </c>
      <c r="AC1744" s="110"/>
      <c r="AD1744" s="110"/>
      <c r="AE1744" s="110">
        <f t="shared" si="387"/>
        <v>48</v>
      </c>
      <c r="AF1744" s="111">
        <f t="shared" si="379"/>
        <v>2116.9535999999998</v>
      </c>
      <c r="AG1744" s="110"/>
      <c r="AH1744" s="110"/>
      <c r="AI1744" s="110"/>
      <c r="AJ1744" s="110"/>
      <c r="AK1744" s="111">
        <f t="shared" si="381"/>
        <v>8467.8143999999993</v>
      </c>
      <c r="AL1744" s="446">
        <f t="shared" si="382"/>
        <v>0</v>
      </c>
      <c r="AM1744" s="110">
        <f t="shared" si="383"/>
        <v>192</v>
      </c>
      <c r="AN1744" s="447">
        <f t="shared" si="386"/>
        <v>0</v>
      </c>
      <c r="AO1744"/>
      <c r="AP1744"/>
    </row>
    <row r="1745" spans="1:42" ht="66" x14ac:dyDescent="0.25">
      <c r="A1745" s="1024"/>
      <c r="B1745" s="227" t="s">
        <v>350</v>
      </c>
      <c r="C1745" s="1024"/>
      <c r="D1745" s="882">
        <v>20</v>
      </c>
      <c r="E1745" s="162" t="s">
        <v>2685</v>
      </c>
      <c r="F1745" s="273" t="s">
        <v>3446</v>
      </c>
      <c r="G1745" s="1040" t="s">
        <v>3463</v>
      </c>
      <c r="H1745" s="273" t="s">
        <v>3462</v>
      </c>
      <c r="I1745" s="720">
        <f t="shared" si="384"/>
        <v>1102.4639999999999</v>
      </c>
      <c r="J1745" s="758">
        <v>22049.279999999999</v>
      </c>
      <c r="K1745" s="131">
        <f t="shared" si="385"/>
        <v>22049.279999999999</v>
      </c>
      <c r="L1745" s="335">
        <f t="shared" si="380"/>
        <v>0</v>
      </c>
      <c r="M1745" s="446"/>
      <c r="N1745" s="446"/>
      <c r="O1745" s="446"/>
      <c r="P1745" s="446"/>
      <c r="Q1745" s="110">
        <f t="shared" si="388"/>
        <v>5</v>
      </c>
      <c r="R1745" s="111">
        <f t="shared" si="376"/>
        <v>5512.32</v>
      </c>
      <c r="S1745" s="110"/>
      <c r="T1745" s="110"/>
      <c r="U1745" s="110">
        <f t="shared" si="389"/>
        <v>5</v>
      </c>
      <c r="V1745" s="111">
        <f t="shared" si="377"/>
        <v>5512.32</v>
      </c>
      <c r="W1745" s="110"/>
      <c r="X1745" s="110"/>
      <c r="Y1745" s="110"/>
      <c r="Z1745" s="110"/>
      <c r="AA1745" s="110">
        <f t="shared" si="387"/>
        <v>5</v>
      </c>
      <c r="AB1745" s="111">
        <f t="shared" si="378"/>
        <v>5512.32</v>
      </c>
      <c r="AC1745" s="110"/>
      <c r="AD1745" s="110"/>
      <c r="AE1745" s="110">
        <f t="shared" si="387"/>
        <v>5</v>
      </c>
      <c r="AF1745" s="111">
        <f t="shared" si="379"/>
        <v>5512.32</v>
      </c>
      <c r="AG1745" s="110"/>
      <c r="AH1745" s="110"/>
      <c r="AI1745" s="110"/>
      <c r="AJ1745" s="110"/>
      <c r="AK1745" s="111">
        <f t="shared" si="381"/>
        <v>22049.279999999999</v>
      </c>
      <c r="AL1745" s="446">
        <f t="shared" si="382"/>
        <v>0</v>
      </c>
      <c r="AM1745" s="110">
        <f t="shared" si="383"/>
        <v>20</v>
      </c>
      <c r="AN1745" s="447">
        <f t="shared" si="386"/>
        <v>0</v>
      </c>
      <c r="AO1745"/>
      <c r="AP1745"/>
    </row>
    <row r="1746" spans="1:42" ht="66" x14ac:dyDescent="0.25">
      <c r="A1746" s="1024"/>
      <c r="B1746" s="149" t="s">
        <v>2681</v>
      </c>
      <c r="C1746" s="1024"/>
      <c r="D1746" s="882">
        <v>192</v>
      </c>
      <c r="E1746" s="162" t="s">
        <v>2628</v>
      </c>
      <c r="F1746" s="273" t="s">
        <v>3446</v>
      </c>
      <c r="G1746" s="1040" t="s">
        <v>3463</v>
      </c>
      <c r="H1746" s="273" t="s">
        <v>3462</v>
      </c>
      <c r="I1746" s="720">
        <f t="shared" si="384"/>
        <v>55.123199999999997</v>
      </c>
      <c r="J1746" s="758">
        <v>10583.654399999999</v>
      </c>
      <c r="K1746" s="131">
        <f t="shared" si="385"/>
        <v>10583.654399999999</v>
      </c>
      <c r="L1746" s="335">
        <f t="shared" si="380"/>
        <v>0</v>
      </c>
      <c r="M1746" s="446"/>
      <c r="N1746" s="446"/>
      <c r="O1746" s="446"/>
      <c r="P1746" s="446"/>
      <c r="Q1746" s="110">
        <f t="shared" si="388"/>
        <v>48</v>
      </c>
      <c r="R1746" s="111">
        <f t="shared" si="376"/>
        <v>2645.9135999999999</v>
      </c>
      <c r="S1746" s="110"/>
      <c r="T1746" s="110"/>
      <c r="U1746" s="110">
        <f t="shared" si="389"/>
        <v>48</v>
      </c>
      <c r="V1746" s="111">
        <f t="shared" si="377"/>
        <v>2645.9135999999999</v>
      </c>
      <c r="W1746" s="110"/>
      <c r="X1746" s="110"/>
      <c r="Y1746" s="110"/>
      <c r="Z1746" s="110"/>
      <c r="AA1746" s="110">
        <f t="shared" si="387"/>
        <v>48</v>
      </c>
      <c r="AB1746" s="111">
        <f t="shared" si="378"/>
        <v>2645.9135999999999</v>
      </c>
      <c r="AC1746" s="110"/>
      <c r="AD1746" s="110"/>
      <c r="AE1746" s="110">
        <f t="shared" si="387"/>
        <v>48</v>
      </c>
      <c r="AF1746" s="111">
        <f t="shared" si="379"/>
        <v>2645.9135999999999</v>
      </c>
      <c r="AG1746" s="110"/>
      <c r="AH1746" s="110"/>
      <c r="AI1746" s="110"/>
      <c r="AJ1746" s="110"/>
      <c r="AK1746" s="111">
        <f t="shared" si="381"/>
        <v>10583.654399999999</v>
      </c>
      <c r="AL1746" s="446">
        <f t="shared" si="382"/>
        <v>0</v>
      </c>
      <c r="AM1746" s="110">
        <f t="shared" si="383"/>
        <v>192</v>
      </c>
      <c r="AN1746" s="447">
        <f t="shared" si="386"/>
        <v>0</v>
      </c>
      <c r="AO1746"/>
      <c r="AP1746"/>
    </row>
    <row r="1747" spans="1:42" ht="66" x14ac:dyDescent="0.25">
      <c r="A1747" s="1024"/>
      <c r="B1747" s="149" t="s">
        <v>2682</v>
      </c>
      <c r="C1747" s="1024"/>
      <c r="D1747" s="882">
        <v>72</v>
      </c>
      <c r="E1747" s="162" t="s">
        <v>2628</v>
      </c>
      <c r="F1747" s="273" t="s">
        <v>3446</v>
      </c>
      <c r="G1747" s="1040" t="s">
        <v>3463</v>
      </c>
      <c r="H1747" s="273" t="s">
        <v>3462</v>
      </c>
      <c r="I1747" s="720">
        <f t="shared" si="384"/>
        <v>75.794399999999996</v>
      </c>
      <c r="J1747" s="758">
        <v>5457.1967999999997</v>
      </c>
      <c r="K1747" s="131">
        <f t="shared" si="385"/>
        <v>5457.1967999999997</v>
      </c>
      <c r="L1747" s="335">
        <f t="shared" si="380"/>
        <v>0</v>
      </c>
      <c r="M1747" s="446"/>
      <c r="N1747" s="446"/>
      <c r="O1747" s="446"/>
      <c r="P1747" s="446"/>
      <c r="Q1747" s="110">
        <f t="shared" si="388"/>
        <v>18</v>
      </c>
      <c r="R1747" s="111">
        <f t="shared" si="376"/>
        <v>1364.2991999999999</v>
      </c>
      <c r="S1747" s="110"/>
      <c r="T1747" s="110"/>
      <c r="U1747" s="110">
        <f t="shared" si="389"/>
        <v>18</v>
      </c>
      <c r="V1747" s="111">
        <f t="shared" si="377"/>
        <v>1364.2991999999999</v>
      </c>
      <c r="W1747" s="110"/>
      <c r="X1747" s="110"/>
      <c r="Y1747" s="110"/>
      <c r="Z1747" s="110"/>
      <c r="AA1747" s="110">
        <f t="shared" si="387"/>
        <v>18</v>
      </c>
      <c r="AB1747" s="111">
        <f t="shared" si="378"/>
        <v>1364.2991999999999</v>
      </c>
      <c r="AC1747" s="110"/>
      <c r="AD1747" s="110"/>
      <c r="AE1747" s="110">
        <f t="shared" si="387"/>
        <v>18</v>
      </c>
      <c r="AF1747" s="111">
        <f t="shared" si="379"/>
        <v>1364.2991999999999</v>
      </c>
      <c r="AG1747" s="110"/>
      <c r="AH1747" s="110"/>
      <c r="AI1747" s="110"/>
      <c r="AJ1747" s="110"/>
      <c r="AK1747" s="111">
        <f t="shared" si="381"/>
        <v>5457.1967999999997</v>
      </c>
      <c r="AL1747" s="446">
        <f t="shared" si="382"/>
        <v>0</v>
      </c>
      <c r="AM1747" s="110">
        <f t="shared" si="383"/>
        <v>72</v>
      </c>
      <c r="AN1747" s="447">
        <f t="shared" si="386"/>
        <v>0</v>
      </c>
      <c r="AO1747"/>
      <c r="AP1747"/>
    </row>
    <row r="1748" spans="1:42" ht="66" x14ac:dyDescent="0.25">
      <c r="A1748" s="1024"/>
      <c r="B1748" s="149" t="s">
        <v>351</v>
      </c>
      <c r="C1748" s="1024"/>
      <c r="D1748" s="882">
        <v>17</v>
      </c>
      <c r="E1748" s="162" t="s">
        <v>2628</v>
      </c>
      <c r="F1748" s="273" t="s">
        <v>3446</v>
      </c>
      <c r="G1748" s="1040" t="s">
        <v>3463</v>
      </c>
      <c r="H1748" s="273" t="s">
        <v>3462</v>
      </c>
      <c r="I1748" s="720">
        <f t="shared" si="384"/>
        <v>54.519999999999996</v>
      </c>
      <c r="J1748" s="758">
        <v>926.83999999999992</v>
      </c>
      <c r="K1748" s="131">
        <f t="shared" si="385"/>
        <v>926.83999999999992</v>
      </c>
      <c r="L1748" s="335">
        <f t="shared" si="380"/>
        <v>0</v>
      </c>
      <c r="M1748" s="446"/>
      <c r="N1748" s="446"/>
      <c r="O1748" s="446"/>
      <c r="P1748" s="446"/>
      <c r="Q1748" s="110">
        <v>5</v>
      </c>
      <c r="R1748" s="111">
        <f t="shared" si="376"/>
        <v>231.70999999999998</v>
      </c>
      <c r="S1748" s="110"/>
      <c r="T1748" s="110"/>
      <c r="U1748" s="110">
        <v>4</v>
      </c>
      <c r="V1748" s="111">
        <f t="shared" si="377"/>
        <v>231.70999999999998</v>
      </c>
      <c r="W1748" s="110"/>
      <c r="X1748" s="110"/>
      <c r="Y1748" s="110"/>
      <c r="Z1748" s="110"/>
      <c r="AA1748" s="110">
        <v>4</v>
      </c>
      <c r="AB1748" s="111">
        <f t="shared" si="378"/>
        <v>231.70999999999998</v>
      </c>
      <c r="AC1748" s="110"/>
      <c r="AD1748" s="110"/>
      <c r="AE1748" s="110">
        <v>4</v>
      </c>
      <c r="AF1748" s="111">
        <f t="shared" si="379"/>
        <v>231.70999999999998</v>
      </c>
      <c r="AG1748" s="110"/>
      <c r="AH1748" s="110"/>
      <c r="AI1748" s="110"/>
      <c r="AJ1748" s="110"/>
      <c r="AK1748" s="111">
        <f t="shared" si="381"/>
        <v>926.83999999999992</v>
      </c>
      <c r="AL1748" s="446">
        <f t="shared" si="382"/>
        <v>0</v>
      </c>
      <c r="AM1748" s="110">
        <f t="shared" si="383"/>
        <v>17</v>
      </c>
      <c r="AN1748" s="447">
        <f t="shared" si="386"/>
        <v>0</v>
      </c>
      <c r="AO1748"/>
      <c r="AP1748"/>
    </row>
    <row r="1749" spans="1:42" ht="66" x14ac:dyDescent="0.25">
      <c r="A1749" s="1024"/>
      <c r="B1749" s="149" t="s">
        <v>380</v>
      </c>
      <c r="C1749" s="1024"/>
      <c r="D1749" s="882">
        <v>15</v>
      </c>
      <c r="E1749" s="162" t="s">
        <v>2628</v>
      </c>
      <c r="F1749" s="273" t="s">
        <v>3446</v>
      </c>
      <c r="G1749" s="1040" t="s">
        <v>3463</v>
      </c>
      <c r="H1749" s="273" t="s">
        <v>3462</v>
      </c>
      <c r="I1749" s="720">
        <f t="shared" si="384"/>
        <v>133.39999999999998</v>
      </c>
      <c r="J1749" s="758">
        <v>2000.9999999999995</v>
      </c>
      <c r="K1749" s="131">
        <f t="shared" si="385"/>
        <v>2000.9999999999995</v>
      </c>
      <c r="L1749" s="335">
        <f t="shared" si="380"/>
        <v>0</v>
      </c>
      <c r="M1749" s="446"/>
      <c r="N1749" s="446"/>
      <c r="O1749" s="446"/>
      <c r="P1749" s="446"/>
      <c r="Q1749" s="110">
        <v>4</v>
      </c>
      <c r="R1749" s="111">
        <f t="shared" si="376"/>
        <v>500.24999999999989</v>
      </c>
      <c r="S1749" s="110"/>
      <c r="T1749" s="110"/>
      <c r="U1749" s="110">
        <v>4</v>
      </c>
      <c r="V1749" s="111">
        <f t="shared" si="377"/>
        <v>500.24999999999989</v>
      </c>
      <c r="W1749" s="110"/>
      <c r="X1749" s="110"/>
      <c r="Y1749" s="110"/>
      <c r="Z1749" s="110"/>
      <c r="AA1749" s="110">
        <v>4</v>
      </c>
      <c r="AB1749" s="111">
        <f t="shared" si="378"/>
        <v>500.24999999999989</v>
      </c>
      <c r="AC1749" s="110"/>
      <c r="AD1749" s="110"/>
      <c r="AE1749" s="110">
        <v>3</v>
      </c>
      <c r="AF1749" s="111">
        <f t="shared" si="379"/>
        <v>500.24999999999989</v>
      </c>
      <c r="AG1749" s="110"/>
      <c r="AH1749" s="110"/>
      <c r="AI1749" s="110"/>
      <c r="AJ1749" s="110"/>
      <c r="AK1749" s="111">
        <f t="shared" si="381"/>
        <v>2000.9999999999995</v>
      </c>
      <c r="AL1749" s="446">
        <f t="shared" si="382"/>
        <v>0</v>
      </c>
      <c r="AM1749" s="110">
        <f t="shared" si="383"/>
        <v>15</v>
      </c>
      <c r="AN1749" s="447">
        <f t="shared" si="386"/>
        <v>0</v>
      </c>
      <c r="AO1749"/>
      <c r="AP1749"/>
    </row>
    <row r="1750" spans="1:42" ht="66" x14ac:dyDescent="0.25">
      <c r="A1750" s="1024"/>
      <c r="B1750" s="149" t="s">
        <v>353</v>
      </c>
      <c r="C1750" s="1024"/>
      <c r="D1750" s="882">
        <v>16</v>
      </c>
      <c r="E1750" s="162" t="s">
        <v>2628</v>
      </c>
      <c r="F1750" s="273" t="s">
        <v>3446</v>
      </c>
      <c r="G1750" s="1040" t="s">
        <v>3463</v>
      </c>
      <c r="H1750" s="273" t="s">
        <v>3462</v>
      </c>
      <c r="I1750" s="720">
        <f t="shared" si="384"/>
        <v>293.47999999999996</v>
      </c>
      <c r="J1750" s="758">
        <v>4695.6799999999994</v>
      </c>
      <c r="K1750" s="131">
        <f t="shared" si="385"/>
        <v>4695.6799999999994</v>
      </c>
      <c r="L1750" s="335">
        <f t="shared" si="380"/>
        <v>0</v>
      </c>
      <c r="M1750" s="446"/>
      <c r="N1750" s="446"/>
      <c r="O1750" s="446"/>
      <c r="P1750" s="446"/>
      <c r="Q1750" s="110">
        <f t="shared" si="388"/>
        <v>4</v>
      </c>
      <c r="R1750" s="111">
        <f t="shared" si="376"/>
        <v>1173.9199999999998</v>
      </c>
      <c r="S1750" s="110"/>
      <c r="T1750" s="110"/>
      <c r="U1750" s="110">
        <f t="shared" si="389"/>
        <v>4</v>
      </c>
      <c r="V1750" s="111">
        <f t="shared" si="377"/>
        <v>1173.9199999999998</v>
      </c>
      <c r="W1750" s="110"/>
      <c r="X1750" s="110"/>
      <c r="Y1750" s="110"/>
      <c r="Z1750" s="110"/>
      <c r="AA1750" s="110">
        <f t="shared" si="387"/>
        <v>4</v>
      </c>
      <c r="AB1750" s="111">
        <f t="shared" si="378"/>
        <v>1173.9199999999998</v>
      </c>
      <c r="AC1750" s="110"/>
      <c r="AD1750" s="110"/>
      <c r="AE1750" s="110">
        <f t="shared" si="387"/>
        <v>4</v>
      </c>
      <c r="AF1750" s="111">
        <f t="shared" si="379"/>
        <v>1173.9199999999998</v>
      </c>
      <c r="AG1750" s="110"/>
      <c r="AH1750" s="110"/>
      <c r="AI1750" s="110"/>
      <c r="AJ1750" s="110"/>
      <c r="AK1750" s="111">
        <f t="shared" si="381"/>
        <v>4695.6799999999994</v>
      </c>
      <c r="AL1750" s="446">
        <f t="shared" si="382"/>
        <v>0</v>
      </c>
      <c r="AM1750" s="110">
        <f t="shared" si="383"/>
        <v>16</v>
      </c>
      <c r="AN1750" s="447">
        <f t="shared" si="386"/>
        <v>0</v>
      </c>
      <c r="AO1750"/>
      <c r="AP1750"/>
    </row>
    <row r="1751" spans="1:42" ht="66" x14ac:dyDescent="0.25">
      <c r="A1751" s="31"/>
      <c r="B1751" s="543" t="s">
        <v>2683</v>
      </c>
      <c r="C1751" s="31"/>
      <c r="D1751" s="887">
        <v>27</v>
      </c>
      <c r="E1751" s="28" t="s">
        <v>2628</v>
      </c>
      <c r="F1751" s="273" t="s">
        <v>3446</v>
      </c>
      <c r="G1751" s="1040" t="s">
        <v>3463</v>
      </c>
      <c r="H1751" s="273" t="s">
        <v>3462</v>
      </c>
      <c r="I1751" s="731">
        <f t="shared" si="384"/>
        <v>187.91999999999996</v>
      </c>
      <c r="J1751" s="789">
        <v>5073.8399999999992</v>
      </c>
      <c r="K1751" s="131">
        <f t="shared" si="385"/>
        <v>5073.8399999999992</v>
      </c>
      <c r="L1751" s="335">
        <f t="shared" si="380"/>
        <v>0</v>
      </c>
      <c r="M1751" s="446"/>
      <c r="N1751" s="446"/>
      <c r="O1751" s="446"/>
      <c r="P1751" s="446"/>
      <c r="Q1751" s="110">
        <v>7</v>
      </c>
      <c r="R1751" s="111">
        <f t="shared" si="376"/>
        <v>1268.4599999999998</v>
      </c>
      <c r="S1751" s="110"/>
      <c r="T1751" s="110"/>
      <c r="U1751" s="110">
        <v>7</v>
      </c>
      <c r="V1751" s="111">
        <f t="shared" si="377"/>
        <v>1268.4599999999998</v>
      </c>
      <c r="W1751" s="110"/>
      <c r="X1751" s="110"/>
      <c r="Y1751" s="110"/>
      <c r="Z1751" s="110"/>
      <c r="AA1751" s="110">
        <v>7</v>
      </c>
      <c r="AB1751" s="111">
        <f t="shared" si="378"/>
        <v>1268.4599999999998</v>
      </c>
      <c r="AC1751" s="110"/>
      <c r="AD1751" s="110"/>
      <c r="AE1751" s="110">
        <v>6</v>
      </c>
      <c r="AF1751" s="111">
        <f t="shared" si="379"/>
        <v>1268.4599999999998</v>
      </c>
      <c r="AG1751" s="110"/>
      <c r="AH1751" s="110"/>
      <c r="AI1751" s="110"/>
      <c r="AJ1751" s="110"/>
      <c r="AK1751" s="111">
        <f t="shared" si="381"/>
        <v>5073.8399999999992</v>
      </c>
      <c r="AL1751" s="446">
        <f t="shared" si="382"/>
        <v>0</v>
      </c>
      <c r="AM1751" s="110">
        <f t="shared" si="383"/>
        <v>27</v>
      </c>
      <c r="AN1751" s="447">
        <f t="shared" si="386"/>
        <v>0</v>
      </c>
      <c r="AO1751"/>
      <c r="AP1751"/>
    </row>
    <row r="1752" spans="1:42" ht="21.75" customHeight="1" x14ac:dyDescent="0.25">
      <c r="A1752" s="310">
        <v>22105</v>
      </c>
      <c r="B1752" s="471" t="s">
        <v>384</v>
      </c>
      <c r="C1752" s="311"/>
      <c r="D1752" s="902"/>
      <c r="E1752" s="311"/>
      <c r="F1752" s="371"/>
      <c r="G1752" s="371"/>
      <c r="H1752" s="371"/>
      <c r="I1752" s="729"/>
      <c r="J1752" s="790"/>
      <c r="K1752" s="131">
        <f t="shared" si="385"/>
        <v>0</v>
      </c>
      <c r="L1752" s="335">
        <f t="shared" si="380"/>
        <v>0</v>
      </c>
      <c r="M1752" s="449"/>
      <c r="N1752" s="449"/>
      <c r="O1752" s="449"/>
      <c r="P1752" s="449"/>
      <c r="Q1752" s="448">
        <f t="shared" si="388"/>
        <v>0</v>
      </c>
      <c r="R1752" s="317">
        <f t="shared" si="376"/>
        <v>0</v>
      </c>
      <c r="S1752" s="448"/>
      <c r="T1752" s="448"/>
      <c r="U1752" s="448">
        <f t="shared" si="389"/>
        <v>0</v>
      </c>
      <c r="V1752" s="317">
        <f t="shared" si="377"/>
        <v>0</v>
      </c>
      <c r="W1752" s="448"/>
      <c r="X1752" s="448"/>
      <c r="Y1752" s="448"/>
      <c r="Z1752" s="448"/>
      <c r="AA1752" s="448">
        <f t="shared" si="387"/>
        <v>0</v>
      </c>
      <c r="AB1752" s="317">
        <f t="shared" si="378"/>
        <v>0</v>
      </c>
      <c r="AC1752" s="448"/>
      <c r="AD1752" s="448"/>
      <c r="AE1752" s="448">
        <f t="shared" si="387"/>
        <v>0</v>
      </c>
      <c r="AF1752" s="317">
        <f t="shared" si="379"/>
        <v>0</v>
      </c>
      <c r="AG1752" s="448"/>
      <c r="AH1752" s="448"/>
      <c r="AI1752" s="448"/>
      <c r="AJ1752" s="448"/>
      <c r="AK1752" s="317">
        <f t="shared" si="381"/>
        <v>0</v>
      </c>
      <c r="AL1752" s="449">
        <f t="shared" si="382"/>
        <v>0</v>
      </c>
      <c r="AM1752" s="448">
        <f t="shared" si="383"/>
        <v>0</v>
      </c>
      <c r="AN1752" s="450">
        <f t="shared" si="386"/>
        <v>0</v>
      </c>
      <c r="AO1752" s="436">
        <f>SUM(J1753:J1944)</f>
        <v>2932372.5591999982</v>
      </c>
      <c r="AP1752" s="111"/>
    </row>
    <row r="1753" spans="1:42" ht="66" x14ac:dyDescent="0.25">
      <c r="A1753" s="9"/>
      <c r="B1753" s="544" t="s">
        <v>2008</v>
      </c>
      <c r="C1753" s="1024"/>
      <c r="D1753" s="869">
        <f>42+108+51+140+2+7+36+90+20+300+10</f>
        <v>806</v>
      </c>
      <c r="E1753" s="1027" t="s">
        <v>1755</v>
      </c>
      <c r="F1753" s="273" t="s">
        <v>3446</v>
      </c>
      <c r="G1753" s="1040" t="s">
        <v>3463</v>
      </c>
      <c r="H1753" s="273" t="s">
        <v>3462</v>
      </c>
      <c r="I1753" s="720">
        <f t="shared" ref="I1753:I1816" si="390">+J1753/D1753</f>
        <v>317.31992555831266</v>
      </c>
      <c r="J1753" s="756">
        <f>36840+32480+14198.4+33056+4000+1651+7200+22500+4000+75000+2436+22398.46</f>
        <v>255759.86</v>
      </c>
      <c r="K1753" s="131">
        <f t="shared" si="385"/>
        <v>255759.86000000002</v>
      </c>
      <c r="L1753" s="335">
        <f t="shared" si="380"/>
        <v>0</v>
      </c>
      <c r="M1753" s="446"/>
      <c r="N1753" s="446"/>
      <c r="O1753" s="446"/>
      <c r="P1753" s="446"/>
      <c r="Q1753" s="110">
        <v>200</v>
      </c>
      <c r="R1753" s="111">
        <f>I1753*Q1753</f>
        <v>63463.985111662536</v>
      </c>
      <c r="S1753" s="110"/>
      <c r="T1753" s="110"/>
      <c r="U1753" s="110">
        <v>200</v>
      </c>
      <c r="V1753" s="111">
        <f>I1753*U1753</f>
        <v>63463.985111662536</v>
      </c>
      <c r="W1753" s="110"/>
      <c r="X1753" s="110"/>
      <c r="Y1753" s="110"/>
      <c r="Z1753" s="110"/>
      <c r="AA1753" s="110">
        <v>200</v>
      </c>
      <c r="AB1753" s="111">
        <f>I1753*AA1753</f>
        <v>63463.985111662536</v>
      </c>
      <c r="AC1753" s="110"/>
      <c r="AD1753" s="110"/>
      <c r="AE1753" s="110">
        <v>206</v>
      </c>
      <c r="AF1753" s="111">
        <f>I1753*AE1753</f>
        <v>65367.904665012407</v>
      </c>
      <c r="AG1753" s="110"/>
      <c r="AH1753" s="110"/>
      <c r="AI1753" s="110"/>
      <c r="AJ1753" s="110"/>
      <c r="AK1753" s="111">
        <f t="shared" si="381"/>
        <v>255759.86000000002</v>
      </c>
      <c r="AL1753" s="446">
        <f t="shared" si="382"/>
        <v>0</v>
      </c>
      <c r="AM1753" s="110">
        <f t="shared" si="383"/>
        <v>806</v>
      </c>
      <c r="AN1753" s="447">
        <f t="shared" si="386"/>
        <v>0</v>
      </c>
      <c r="AO1753"/>
      <c r="AP1753"/>
    </row>
    <row r="1754" spans="1:42" ht="66" x14ac:dyDescent="0.25">
      <c r="A1754" s="9"/>
      <c r="B1754" s="34" t="s">
        <v>385</v>
      </c>
      <c r="C1754" s="1024"/>
      <c r="D1754" s="869">
        <f>33+62</f>
        <v>95</v>
      </c>
      <c r="E1754" s="255" t="s">
        <v>1721</v>
      </c>
      <c r="F1754" s="273" t="s">
        <v>3446</v>
      </c>
      <c r="G1754" s="1040" t="s">
        <v>3463</v>
      </c>
      <c r="H1754" s="273" t="s">
        <v>3462</v>
      </c>
      <c r="I1754" s="720">
        <f t="shared" si="390"/>
        <v>477.90768421052627</v>
      </c>
      <c r="J1754" s="780">
        <f>17672.34+27728.89</f>
        <v>45401.229999999996</v>
      </c>
      <c r="K1754" s="131">
        <f t="shared" si="385"/>
        <v>45401.229999999996</v>
      </c>
      <c r="L1754" s="335">
        <f t="shared" si="380"/>
        <v>0</v>
      </c>
      <c r="M1754" s="446"/>
      <c r="N1754" s="446"/>
      <c r="O1754" s="446"/>
      <c r="P1754" s="446"/>
      <c r="Q1754" s="110">
        <v>24</v>
      </c>
      <c r="R1754" s="111">
        <f t="shared" ref="R1754:R1817" si="391">+J1754/4</f>
        <v>11350.307499999999</v>
      </c>
      <c r="S1754" s="110"/>
      <c r="T1754" s="110"/>
      <c r="U1754" s="110">
        <v>24</v>
      </c>
      <c r="V1754" s="111">
        <f t="shared" ref="V1754:V1817" si="392">+J1754/4</f>
        <v>11350.307499999999</v>
      </c>
      <c r="W1754" s="110"/>
      <c r="X1754" s="110"/>
      <c r="Y1754" s="110"/>
      <c r="Z1754" s="110"/>
      <c r="AA1754" s="110">
        <v>24</v>
      </c>
      <c r="AB1754" s="111">
        <f t="shared" si="378"/>
        <v>11350.307499999999</v>
      </c>
      <c r="AC1754" s="110"/>
      <c r="AD1754" s="110"/>
      <c r="AE1754" s="110">
        <v>23</v>
      </c>
      <c r="AF1754" s="111">
        <f t="shared" si="379"/>
        <v>11350.307499999999</v>
      </c>
      <c r="AG1754" s="110"/>
      <c r="AH1754" s="110"/>
      <c r="AI1754" s="110"/>
      <c r="AJ1754" s="110"/>
      <c r="AK1754" s="111">
        <f t="shared" si="381"/>
        <v>45401.229999999996</v>
      </c>
      <c r="AL1754" s="446">
        <f t="shared" si="382"/>
        <v>0</v>
      </c>
      <c r="AM1754" s="110">
        <f t="shared" si="383"/>
        <v>95</v>
      </c>
      <c r="AN1754" s="447">
        <f t="shared" si="386"/>
        <v>0</v>
      </c>
      <c r="AO1754"/>
      <c r="AP1754"/>
    </row>
    <row r="1755" spans="1:42" ht="66" x14ac:dyDescent="0.25">
      <c r="A1755" s="9"/>
      <c r="B1755" s="34" t="s">
        <v>386</v>
      </c>
      <c r="C1755" s="1024"/>
      <c r="D1755" s="869">
        <v>12</v>
      </c>
      <c r="E1755" s="1027" t="s">
        <v>1834</v>
      </c>
      <c r="F1755" s="273" t="s">
        <v>3446</v>
      </c>
      <c r="G1755" s="1040" t="s">
        <v>3463</v>
      </c>
      <c r="H1755" s="273" t="s">
        <v>3462</v>
      </c>
      <c r="I1755" s="720">
        <f t="shared" si="390"/>
        <v>18.501666666666669</v>
      </c>
      <c r="J1755" s="756">
        <f>222.02</f>
        <v>222.02</v>
      </c>
      <c r="K1755" s="131">
        <f t="shared" si="385"/>
        <v>222.02000000000004</v>
      </c>
      <c r="L1755" s="335">
        <f t="shared" si="380"/>
        <v>0</v>
      </c>
      <c r="M1755" s="446"/>
      <c r="N1755" s="446"/>
      <c r="O1755" s="446"/>
      <c r="P1755" s="446"/>
      <c r="Q1755" s="110">
        <f t="shared" si="388"/>
        <v>3</v>
      </c>
      <c r="R1755" s="111">
        <f t="shared" si="391"/>
        <v>55.505000000000003</v>
      </c>
      <c r="S1755" s="110"/>
      <c r="T1755" s="110"/>
      <c r="U1755" s="110">
        <f t="shared" si="389"/>
        <v>3</v>
      </c>
      <c r="V1755" s="111">
        <f t="shared" si="392"/>
        <v>55.505000000000003</v>
      </c>
      <c r="W1755" s="110"/>
      <c r="X1755" s="110"/>
      <c r="Y1755" s="110"/>
      <c r="Z1755" s="110"/>
      <c r="AA1755" s="110">
        <f t="shared" si="387"/>
        <v>3</v>
      </c>
      <c r="AB1755" s="111">
        <f t="shared" si="378"/>
        <v>55.505000000000003</v>
      </c>
      <c r="AC1755" s="110"/>
      <c r="AD1755" s="110"/>
      <c r="AE1755" s="110">
        <f t="shared" si="387"/>
        <v>3</v>
      </c>
      <c r="AF1755" s="111">
        <f t="shared" si="379"/>
        <v>55.505000000000003</v>
      </c>
      <c r="AG1755" s="110"/>
      <c r="AH1755" s="110"/>
      <c r="AI1755" s="110"/>
      <c r="AJ1755" s="110"/>
      <c r="AK1755" s="111">
        <f t="shared" si="381"/>
        <v>222.02</v>
      </c>
      <c r="AL1755" s="446">
        <f t="shared" si="382"/>
        <v>0</v>
      </c>
      <c r="AM1755" s="110">
        <f t="shared" si="383"/>
        <v>12</v>
      </c>
      <c r="AN1755" s="447">
        <f t="shared" si="386"/>
        <v>0</v>
      </c>
      <c r="AO1755"/>
      <c r="AP1755"/>
    </row>
    <row r="1756" spans="1:42" ht="66" x14ac:dyDescent="0.25">
      <c r="A1756" s="9"/>
      <c r="B1756" s="34" t="s">
        <v>1172</v>
      </c>
      <c r="C1756" s="1024"/>
      <c r="D1756" s="869">
        <f>480</f>
        <v>480</v>
      </c>
      <c r="E1756" s="1027" t="s">
        <v>1725</v>
      </c>
      <c r="F1756" s="273" t="s">
        <v>3446</v>
      </c>
      <c r="G1756" s="1040" t="s">
        <v>3463</v>
      </c>
      <c r="H1756" s="273" t="s">
        <v>3462</v>
      </c>
      <c r="I1756" s="720">
        <f t="shared" si="390"/>
        <v>6.5540000000000003</v>
      </c>
      <c r="J1756" s="756">
        <f>3145.92</f>
        <v>3145.92</v>
      </c>
      <c r="K1756" s="131">
        <f t="shared" si="385"/>
        <v>3145.92</v>
      </c>
      <c r="L1756" s="335">
        <f t="shared" si="380"/>
        <v>0</v>
      </c>
      <c r="M1756" s="446"/>
      <c r="N1756" s="446"/>
      <c r="O1756" s="446"/>
      <c r="P1756" s="446"/>
      <c r="Q1756" s="110">
        <f t="shared" si="388"/>
        <v>120</v>
      </c>
      <c r="R1756" s="111">
        <f t="shared" si="391"/>
        <v>786.48</v>
      </c>
      <c r="S1756" s="110"/>
      <c r="T1756" s="110"/>
      <c r="U1756" s="110">
        <f t="shared" si="389"/>
        <v>120</v>
      </c>
      <c r="V1756" s="111">
        <f t="shared" si="392"/>
        <v>786.48</v>
      </c>
      <c r="W1756" s="110"/>
      <c r="X1756" s="110"/>
      <c r="Y1756" s="110"/>
      <c r="Z1756" s="110"/>
      <c r="AA1756" s="110">
        <f t="shared" si="387"/>
        <v>120</v>
      </c>
      <c r="AB1756" s="111">
        <f t="shared" si="378"/>
        <v>786.48</v>
      </c>
      <c r="AC1756" s="110"/>
      <c r="AD1756" s="110"/>
      <c r="AE1756" s="110">
        <f t="shared" si="387"/>
        <v>120</v>
      </c>
      <c r="AF1756" s="111">
        <f t="shared" si="379"/>
        <v>786.48</v>
      </c>
      <c r="AG1756" s="110"/>
      <c r="AH1756" s="110"/>
      <c r="AI1756" s="110"/>
      <c r="AJ1756" s="110"/>
      <c r="AK1756" s="111">
        <f t="shared" si="381"/>
        <v>3145.92</v>
      </c>
      <c r="AL1756" s="446">
        <f t="shared" si="382"/>
        <v>0</v>
      </c>
      <c r="AM1756" s="110">
        <f t="shared" si="383"/>
        <v>480</v>
      </c>
      <c r="AN1756" s="447">
        <f t="shared" si="386"/>
        <v>0</v>
      </c>
      <c r="AO1756"/>
      <c r="AP1756"/>
    </row>
    <row r="1757" spans="1:42" ht="66" x14ac:dyDescent="0.25">
      <c r="A1757" s="9"/>
      <c r="B1757" s="499" t="s">
        <v>2569</v>
      </c>
      <c r="C1757" s="1024"/>
      <c r="D1757" s="869">
        <v>40</v>
      </c>
      <c r="E1757" s="1027" t="s">
        <v>1725</v>
      </c>
      <c r="F1757" s="273" t="s">
        <v>3446</v>
      </c>
      <c r="G1757" s="1040" t="s">
        <v>3463</v>
      </c>
      <c r="H1757" s="273" t="s">
        <v>3462</v>
      </c>
      <c r="I1757" s="720">
        <f t="shared" si="390"/>
        <v>220</v>
      </c>
      <c r="J1757" s="756">
        <v>8800</v>
      </c>
      <c r="K1757" s="131">
        <f t="shared" si="385"/>
        <v>8800</v>
      </c>
      <c r="L1757" s="335">
        <f t="shared" si="380"/>
        <v>0</v>
      </c>
      <c r="M1757" s="446"/>
      <c r="N1757" s="446"/>
      <c r="O1757" s="446"/>
      <c r="P1757" s="446"/>
      <c r="Q1757" s="110">
        <f t="shared" si="388"/>
        <v>10</v>
      </c>
      <c r="R1757" s="111">
        <f t="shared" si="391"/>
        <v>2200</v>
      </c>
      <c r="S1757" s="110"/>
      <c r="T1757" s="110"/>
      <c r="U1757" s="110">
        <f t="shared" si="389"/>
        <v>10</v>
      </c>
      <c r="V1757" s="111">
        <f t="shared" si="392"/>
        <v>2200</v>
      </c>
      <c r="W1757" s="110"/>
      <c r="X1757" s="110"/>
      <c r="Y1757" s="110"/>
      <c r="Z1757" s="110"/>
      <c r="AA1757" s="110">
        <f t="shared" si="387"/>
        <v>10</v>
      </c>
      <c r="AB1757" s="111">
        <f t="shared" si="378"/>
        <v>2200</v>
      </c>
      <c r="AC1757" s="110"/>
      <c r="AD1757" s="110"/>
      <c r="AE1757" s="110">
        <f t="shared" si="387"/>
        <v>10</v>
      </c>
      <c r="AF1757" s="111">
        <f t="shared" si="379"/>
        <v>2200</v>
      </c>
      <c r="AG1757" s="110"/>
      <c r="AH1757" s="110"/>
      <c r="AI1757" s="110"/>
      <c r="AJ1757" s="110"/>
      <c r="AK1757" s="111">
        <f t="shared" si="381"/>
        <v>8800</v>
      </c>
      <c r="AL1757" s="446">
        <f t="shared" si="382"/>
        <v>0</v>
      </c>
      <c r="AM1757" s="110">
        <f t="shared" si="383"/>
        <v>40</v>
      </c>
      <c r="AN1757" s="447">
        <f t="shared" si="386"/>
        <v>0</v>
      </c>
      <c r="AO1757"/>
      <c r="AP1757"/>
    </row>
    <row r="1758" spans="1:42" ht="66" x14ac:dyDescent="0.25">
      <c r="A1758" s="9"/>
      <c r="B1758" s="34" t="s">
        <v>387</v>
      </c>
      <c r="C1758" s="1024"/>
      <c r="D1758" s="869">
        <f>48</f>
        <v>48</v>
      </c>
      <c r="E1758" s="1027"/>
      <c r="F1758" s="273" t="s">
        <v>3446</v>
      </c>
      <c r="G1758" s="1040" t="s">
        <v>3463</v>
      </c>
      <c r="H1758" s="273" t="s">
        <v>3462</v>
      </c>
      <c r="I1758" s="720">
        <f t="shared" si="390"/>
        <v>390.20083333333332</v>
      </c>
      <c r="J1758" s="756">
        <f>18729.64</f>
        <v>18729.64</v>
      </c>
      <c r="K1758" s="131">
        <f t="shared" si="385"/>
        <v>18729.64</v>
      </c>
      <c r="L1758" s="335">
        <f t="shared" si="380"/>
        <v>0</v>
      </c>
      <c r="M1758" s="446"/>
      <c r="N1758" s="446"/>
      <c r="O1758" s="446"/>
      <c r="P1758" s="446"/>
      <c r="Q1758" s="110">
        <f t="shared" si="388"/>
        <v>12</v>
      </c>
      <c r="R1758" s="111">
        <f t="shared" si="391"/>
        <v>4682.41</v>
      </c>
      <c r="S1758" s="110"/>
      <c r="T1758" s="110"/>
      <c r="U1758" s="110">
        <f t="shared" si="389"/>
        <v>12</v>
      </c>
      <c r="V1758" s="111">
        <f t="shared" si="392"/>
        <v>4682.41</v>
      </c>
      <c r="W1758" s="110"/>
      <c r="X1758" s="110"/>
      <c r="Y1758" s="110"/>
      <c r="Z1758" s="110"/>
      <c r="AA1758" s="110">
        <f t="shared" si="387"/>
        <v>12</v>
      </c>
      <c r="AB1758" s="111">
        <f t="shared" si="378"/>
        <v>4682.41</v>
      </c>
      <c r="AC1758" s="110"/>
      <c r="AD1758" s="110"/>
      <c r="AE1758" s="110">
        <f t="shared" si="387"/>
        <v>12</v>
      </c>
      <c r="AF1758" s="111">
        <f t="shared" si="379"/>
        <v>4682.41</v>
      </c>
      <c r="AG1758" s="110"/>
      <c r="AH1758" s="110"/>
      <c r="AI1758" s="110"/>
      <c r="AJ1758" s="110"/>
      <c r="AK1758" s="111">
        <f t="shared" si="381"/>
        <v>18729.64</v>
      </c>
      <c r="AL1758" s="446">
        <f t="shared" si="382"/>
        <v>0</v>
      </c>
      <c r="AM1758" s="110">
        <f t="shared" si="383"/>
        <v>48</v>
      </c>
      <c r="AN1758" s="447">
        <f t="shared" si="386"/>
        <v>0</v>
      </c>
      <c r="AO1758"/>
      <c r="AP1758"/>
    </row>
    <row r="1759" spans="1:42" ht="66" x14ac:dyDescent="0.25">
      <c r="A1759" s="9"/>
      <c r="B1759" s="34" t="s">
        <v>388</v>
      </c>
      <c r="C1759" s="1024"/>
      <c r="D1759" s="869">
        <f>8+96</f>
        <v>104</v>
      </c>
      <c r="E1759" s="1027" t="s">
        <v>1725</v>
      </c>
      <c r="F1759" s="273" t="s">
        <v>3446</v>
      </c>
      <c r="G1759" s="1040" t="s">
        <v>3463</v>
      </c>
      <c r="H1759" s="273" t="s">
        <v>3462</v>
      </c>
      <c r="I1759" s="720">
        <f t="shared" si="390"/>
        <v>1482.4345192307692</v>
      </c>
      <c r="J1759" s="756">
        <f>13364.04+140809.15</f>
        <v>154173.19</v>
      </c>
      <c r="K1759" s="131">
        <f t="shared" si="385"/>
        <v>154173.19</v>
      </c>
      <c r="L1759" s="335">
        <f t="shared" si="380"/>
        <v>0</v>
      </c>
      <c r="M1759" s="446"/>
      <c r="N1759" s="446"/>
      <c r="O1759" s="446"/>
      <c r="P1759" s="446"/>
      <c r="Q1759" s="110">
        <f t="shared" si="388"/>
        <v>26</v>
      </c>
      <c r="R1759" s="111">
        <f t="shared" si="391"/>
        <v>38543.297500000001</v>
      </c>
      <c r="S1759" s="110"/>
      <c r="T1759" s="110"/>
      <c r="U1759" s="110">
        <f t="shared" si="389"/>
        <v>26</v>
      </c>
      <c r="V1759" s="111">
        <f t="shared" si="392"/>
        <v>38543.297500000001</v>
      </c>
      <c r="W1759" s="110"/>
      <c r="X1759" s="110"/>
      <c r="Y1759" s="110"/>
      <c r="Z1759" s="110"/>
      <c r="AA1759" s="110">
        <f t="shared" si="387"/>
        <v>26</v>
      </c>
      <c r="AB1759" s="111">
        <f t="shared" si="378"/>
        <v>38543.297500000001</v>
      </c>
      <c r="AC1759" s="110"/>
      <c r="AD1759" s="110"/>
      <c r="AE1759" s="110">
        <f t="shared" si="387"/>
        <v>26</v>
      </c>
      <c r="AF1759" s="111">
        <f t="shared" si="379"/>
        <v>38543.297500000001</v>
      </c>
      <c r="AG1759" s="110"/>
      <c r="AH1759" s="110"/>
      <c r="AI1759" s="110"/>
      <c r="AJ1759" s="110"/>
      <c r="AK1759" s="111">
        <f t="shared" si="381"/>
        <v>154173.19</v>
      </c>
      <c r="AL1759" s="446">
        <f t="shared" si="382"/>
        <v>0</v>
      </c>
      <c r="AM1759" s="110">
        <f t="shared" si="383"/>
        <v>104</v>
      </c>
      <c r="AN1759" s="447">
        <f t="shared" si="386"/>
        <v>0</v>
      </c>
      <c r="AO1759"/>
      <c r="AP1759"/>
    </row>
    <row r="1760" spans="1:42" ht="66" x14ac:dyDescent="0.25">
      <c r="A1760" s="9"/>
      <c r="B1760" s="34" t="s">
        <v>389</v>
      </c>
      <c r="C1760" s="1024"/>
      <c r="D1760" s="869">
        <f>22+480</f>
        <v>502</v>
      </c>
      <c r="E1760" s="1027" t="s">
        <v>1827</v>
      </c>
      <c r="F1760" s="273" t="s">
        <v>3446</v>
      </c>
      <c r="G1760" s="1040" t="s">
        <v>3463</v>
      </c>
      <c r="H1760" s="273" t="s">
        <v>3462</v>
      </c>
      <c r="I1760" s="720">
        <f t="shared" si="390"/>
        <v>42.362549800796813</v>
      </c>
      <c r="J1760" s="756">
        <f>1055+20211</f>
        <v>21266</v>
      </c>
      <c r="K1760" s="131">
        <f t="shared" si="385"/>
        <v>21266</v>
      </c>
      <c r="L1760" s="335">
        <f t="shared" si="380"/>
        <v>0</v>
      </c>
      <c r="M1760" s="446"/>
      <c r="N1760" s="446"/>
      <c r="O1760" s="446"/>
      <c r="P1760" s="446"/>
      <c r="Q1760" s="110">
        <v>126</v>
      </c>
      <c r="R1760" s="111">
        <v>5316</v>
      </c>
      <c r="S1760" s="110"/>
      <c r="T1760" s="110"/>
      <c r="U1760" s="110">
        <v>126</v>
      </c>
      <c r="V1760" s="111">
        <v>5316</v>
      </c>
      <c r="W1760" s="110"/>
      <c r="X1760" s="110"/>
      <c r="Y1760" s="110"/>
      <c r="Z1760" s="110"/>
      <c r="AA1760" s="110">
        <v>126</v>
      </c>
      <c r="AB1760" s="111">
        <v>5317</v>
      </c>
      <c r="AC1760" s="110"/>
      <c r="AD1760" s="110"/>
      <c r="AE1760" s="110">
        <v>124</v>
      </c>
      <c r="AF1760" s="111">
        <v>5317</v>
      </c>
      <c r="AG1760" s="110"/>
      <c r="AH1760" s="110"/>
      <c r="AI1760" s="110"/>
      <c r="AJ1760" s="110"/>
      <c r="AK1760" s="111">
        <f t="shared" si="381"/>
        <v>21266</v>
      </c>
      <c r="AL1760" s="446">
        <f t="shared" si="382"/>
        <v>0</v>
      </c>
      <c r="AM1760" s="110">
        <f t="shared" si="383"/>
        <v>502</v>
      </c>
      <c r="AN1760" s="447">
        <f t="shared" si="386"/>
        <v>0</v>
      </c>
      <c r="AO1760"/>
      <c r="AP1760"/>
    </row>
    <row r="1761" spans="1:42" ht="66" x14ac:dyDescent="0.25">
      <c r="A1761" s="9"/>
      <c r="B1761" s="34" t="s">
        <v>390</v>
      </c>
      <c r="C1761" s="1024"/>
      <c r="D1761" s="869">
        <f>6</f>
        <v>6</v>
      </c>
      <c r="E1761" s="1027" t="s">
        <v>1834</v>
      </c>
      <c r="F1761" s="273" t="s">
        <v>3446</v>
      </c>
      <c r="G1761" s="1040" t="s">
        <v>3463</v>
      </c>
      <c r="H1761" s="273" t="s">
        <v>3462</v>
      </c>
      <c r="I1761" s="720">
        <f t="shared" si="390"/>
        <v>127.60000000000001</v>
      </c>
      <c r="J1761" s="756">
        <f>765.6</f>
        <v>765.6</v>
      </c>
      <c r="K1761" s="131">
        <f t="shared" si="385"/>
        <v>765.6</v>
      </c>
      <c r="L1761" s="335">
        <f t="shared" si="380"/>
        <v>0</v>
      </c>
      <c r="M1761" s="446"/>
      <c r="N1761" s="446"/>
      <c r="O1761" s="446"/>
      <c r="P1761" s="446"/>
      <c r="Q1761" s="130">
        <v>2</v>
      </c>
      <c r="R1761" s="111">
        <f t="shared" si="391"/>
        <v>191.4</v>
      </c>
      <c r="S1761" s="110"/>
      <c r="T1761" s="110"/>
      <c r="U1761" s="130">
        <v>2</v>
      </c>
      <c r="V1761" s="111">
        <f t="shared" si="392"/>
        <v>191.4</v>
      </c>
      <c r="W1761" s="110"/>
      <c r="X1761" s="110"/>
      <c r="Y1761" s="110"/>
      <c r="Z1761" s="110"/>
      <c r="AA1761" s="130">
        <v>1</v>
      </c>
      <c r="AB1761" s="111">
        <f t="shared" si="378"/>
        <v>191.4</v>
      </c>
      <c r="AC1761" s="110"/>
      <c r="AD1761" s="110"/>
      <c r="AE1761" s="130">
        <v>1</v>
      </c>
      <c r="AF1761" s="111">
        <f t="shared" si="379"/>
        <v>191.4</v>
      </c>
      <c r="AG1761" s="110"/>
      <c r="AH1761" s="110"/>
      <c r="AI1761" s="110"/>
      <c r="AJ1761" s="110"/>
      <c r="AK1761" s="111">
        <f t="shared" si="381"/>
        <v>765.6</v>
      </c>
      <c r="AL1761" s="446">
        <f t="shared" si="382"/>
        <v>0</v>
      </c>
      <c r="AM1761" s="110">
        <f t="shared" si="383"/>
        <v>6</v>
      </c>
      <c r="AN1761" s="447">
        <f t="shared" si="386"/>
        <v>0</v>
      </c>
      <c r="AO1761"/>
      <c r="AP1761"/>
    </row>
    <row r="1762" spans="1:42" ht="66" x14ac:dyDescent="0.25">
      <c r="A1762" s="9"/>
      <c r="B1762" s="34" t="s">
        <v>1173</v>
      </c>
      <c r="C1762" s="1024"/>
      <c r="D1762" s="869">
        <f>7</f>
        <v>7</v>
      </c>
      <c r="E1762" s="1027" t="s">
        <v>1722</v>
      </c>
      <c r="F1762" s="273" t="s">
        <v>3446</v>
      </c>
      <c r="G1762" s="1040" t="s">
        <v>3463</v>
      </c>
      <c r="H1762" s="273" t="s">
        <v>3462</v>
      </c>
      <c r="I1762" s="720">
        <f t="shared" si="390"/>
        <v>250.34</v>
      </c>
      <c r="J1762" s="756">
        <f>1752.38</f>
        <v>1752.38</v>
      </c>
      <c r="K1762" s="131">
        <f t="shared" si="385"/>
        <v>1752.38</v>
      </c>
      <c r="L1762" s="335">
        <f t="shared" si="380"/>
        <v>0</v>
      </c>
      <c r="M1762" s="446"/>
      <c r="N1762" s="446"/>
      <c r="O1762" s="446"/>
      <c r="P1762" s="446"/>
      <c r="Q1762" s="130">
        <v>2</v>
      </c>
      <c r="R1762" s="111">
        <f t="shared" si="391"/>
        <v>438.09500000000003</v>
      </c>
      <c r="S1762" s="110"/>
      <c r="T1762" s="110"/>
      <c r="U1762" s="130">
        <v>2</v>
      </c>
      <c r="V1762" s="111">
        <f t="shared" si="392"/>
        <v>438.09500000000003</v>
      </c>
      <c r="W1762" s="110"/>
      <c r="X1762" s="110"/>
      <c r="Y1762" s="110"/>
      <c r="Z1762" s="110"/>
      <c r="AA1762" s="130">
        <v>2</v>
      </c>
      <c r="AB1762" s="111">
        <f t="shared" si="378"/>
        <v>438.09500000000003</v>
      </c>
      <c r="AC1762" s="110"/>
      <c r="AD1762" s="110"/>
      <c r="AE1762" s="130">
        <v>1</v>
      </c>
      <c r="AF1762" s="111">
        <f t="shared" si="379"/>
        <v>438.09500000000003</v>
      </c>
      <c r="AG1762" s="110"/>
      <c r="AH1762" s="110"/>
      <c r="AI1762" s="110"/>
      <c r="AJ1762" s="110"/>
      <c r="AK1762" s="111">
        <f t="shared" si="381"/>
        <v>1752.38</v>
      </c>
      <c r="AL1762" s="446">
        <f t="shared" si="382"/>
        <v>0</v>
      </c>
      <c r="AM1762" s="110">
        <f t="shared" si="383"/>
        <v>7</v>
      </c>
      <c r="AN1762" s="447">
        <f t="shared" si="386"/>
        <v>0</v>
      </c>
      <c r="AO1762"/>
      <c r="AP1762"/>
    </row>
    <row r="1763" spans="1:42" ht="66" x14ac:dyDescent="0.25">
      <c r="A1763" s="9"/>
      <c r="B1763" s="34" t="s">
        <v>391</v>
      </c>
      <c r="C1763" s="1024"/>
      <c r="D1763" s="869">
        <f>24</f>
        <v>24</v>
      </c>
      <c r="E1763" s="1027" t="s">
        <v>1834</v>
      </c>
      <c r="F1763" s="273" t="s">
        <v>3446</v>
      </c>
      <c r="G1763" s="1040" t="s">
        <v>3463</v>
      </c>
      <c r="H1763" s="273" t="s">
        <v>3462</v>
      </c>
      <c r="I1763" s="720">
        <f t="shared" si="390"/>
        <v>105.27</v>
      </c>
      <c r="J1763" s="756">
        <f>2526.48</f>
        <v>2526.48</v>
      </c>
      <c r="K1763" s="131">
        <f t="shared" si="385"/>
        <v>2526.48</v>
      </c>
      <c r="L1763" s="335">
        <f t="shared" si="380"/>
        <v>0</v>
      </c>
      <c r="M1763" s="446"/>
      <c r="N1763" s="446"/>
      <c r="O1763" s="446"/>
      <c r="P1763" s="446"/>
      <c r="Q1763" s="110">
        <f t="shared" si="388"/>
        <v>6</v>
      </c>
      <c r="R1763" s="111">
        <f t="shared" si="391"/>
        <v>631.62</v>
      </c>
      <c r="S1763" s="110"/>
      <c r="T1763" s="110"/>
      <c r="U1763" s="110">
        <f t="shared" si="389"/>
        <v>6</v>
      </c>
      <c r="V1763" s="111">
        <f t="shared" si="392"/>
        <v>631.62</v>
      </c>
      <c r="W1763" s="110"/>
      <c r="X1763" s="110"/>
      <c r="Y1763" s="110"/>
      <c r="Z1763" s="110"/>
      <c r="AA1763" s="110">
        <f t="shared" si="387"/>
        <v>6</v>
      </c>
      <c r="AB1763" s="111">
        <f t="shared" si="378"/>
        <v>631.62</v>
      </c>
      <c r="AC1763" s="110"/>
      <c r="AD1763" s="110"/>
      <c r="AE1763" s="110">
        <f t="shared" si="387"/>
        <v>6</v>
      </c>
      <c r="AF1763" s="111">
        <f t="shared" si="379"/>
        <v>631.62</v>
      </c>
      <c r="AG1763" s="110"/>
      <c r="AH1763" s="110"/>
      <c r="AI1763" s="110"/>
      <c r="AJ1763" s="110"/>
      <c r="AK1763" s="111">
        <f t="shared" si="381"/>
        <v>2526.48</v>
      </c>
      <c r="AL1763" s="446">
        <f t="shared" si="382"/>
        <v>0</v>
      </c>
      <c r="AM1763" s="110">
        <f t="shared" si="383"/>
        <v>24</v>
      </c>
      <c r="AN1763" s="447">
        <f t="shared" si="386"/>
        <v>0</v>
      </c>
      <c r="AO1763"/>
      <c r="AP1763"/>
    </row>
    <row r="1764" spans="1:42" ht="66" x14ac:dyDescent="0.25">
      <c r="A1764" s="9"/>
      <c r="B1764" s="34" t="s">
        <v>392</v>
      </c>
      <c r="C1764" s="1024"/>
      <c r="D1764" s="869">
        <f>550+1680</f>
        <v>2230</v>
      </c>
      <c r="E1764" s="1027" t="s">
        <v>1721</v>
      </c>
      <c r="F1764" s="273" t="s">
        <v>3446</v>
      </c>
      <c r="G1764" s="1040" t="s">
        <v>3463</v>
      </c>
      <c r="H1764" s="273" t="s">
        <v>3462</v>
      </c>
      <c r="I1764" s="720">
        <f t="shared" si="390"/>
        <v>10.162798206278028</v>
      </c>
      <c r="J1764" s="756">
        <f>6156.7+16506.34</f>
        <v>22663.040000000001</v>
      </c>
      <c r="K1764" s="131">
        <f t="shared" si="385"/>
        <v>22663.040000000001</v>
      </c>
      <c r="L1764" s="335">
        <f t="shared" si="380"/>
        <v>0</v>
      </c>
      <c r="M1764" s="446"/>
      <c r="N1764" s="446"/>
      <c r="O1764" s="446"/>
      <c r="P1764" s="446"/>
      <c r="Q1764" s="110">
        <v>550</v>
      </c>
      <c r="R1764" s="111">
        <f t="shared" si="391"/>
        <v>5665.76</v>
      </c>
      <c r="S1764" s="110"/>
      <c r="T1764" s="110"/>
      <c r="U1764" s="110">
        <v>500</v>
      </c>
      <c r="V1764" s="111">
        <f t="shared" si="392"/>
        <v>5665.76</v>
      </c>
      <c r="W1764" s="110"/>
      <c r="X1764" s="110"/>
      <c r="Y1764" s="110"/>
      <c r="Z1764" s="110"/>
      <c r="AA1764" s="110">
        <v>530</v>
      </c>
      <c r="AB1764" s="111">
        <f t="shared" si="378"/>
        <v>5665.76</v>
      </c>
      <c r="AC1764" s="110"/>
      <c r="AD1764" s="110"/>
      <c r="AE1764" s="110">
        <v>650</v>
      </c>
      <c r="AF1764" s="111">
        <f t="shared" si="379"/>
        <v>5665.76</v>
      </c>
      <c r="AG1764" s="110"/>
      <c r="AH1764" s="110"/>
      <c r="AI1764" s="110"/>
      <c r="AJ1764" s="110"/>
      <c r="AK1764" s="111">
        <f t="shared" si="381"/>
        <v>22663.040000000001</v>
      </c>
      <c r="AL1764" s="446">
        <f t="shared" si="382"/>
        <v>0</v>
      </c>
      <c r="AM1764" s="110">
        <f t="shared" si="383"/>
        <v>2230</v>
      </c>
      <c r="AN1764" s="447">
        <f t="shared" si="386"/>
        <v>0</v>
      </c>
      <c r="AO1764"/>
      <c r="AP1764"/>
    </row>
    <row r="1765" spans="1:42" ht="66" x14ac:dyDescent="0.25">
      <c r="A1765" s="9"/>
      <c r="B1765" s="34" t="s">
        <v>393</v>
      </c>
      <c r="C1765" s="1024"/>
      <c r="D1765" s="869">
        <f>48</f>
        <v>48</v>
      </c>
      <c r="E1765" s="1027" t="s">
        <v>1721</v>
      </c>
      <c r="F1765" s="273" t="s">
        <v>3446</v>
      </c>
      <c r="G1765" s="1040" t="s">
        <v>3463</v>
      </c>
      <c r="H1765" s="273" t="s">
        <v>3462</v>
      </c>
      <c r="I1765" s="720">
        <f t="shared" si="390"/>
        <v>56.14395833333333</v>
      </c>
      <c r="J1765" s="756">
        <f>2694.91</f>
        <v>2694.91</v>
      </c>
      <c r="K1765" s="131">
        <f t="shared" si="385"/>
        <v>2694.91</v>
      </c>
      <c r="L1765" s="335">
        <f t="shared" si="380"/>
        <v>0</v>
      </c>
      <c r="M1765" s="446"/>
      <c r="N1765" s="446"/>
      <c r="O1765" s="446"/>
      <c r="P1765" s="446"/>
      <c r="Q1765" s="110">
        <f t="shared" si="388"/>
        <v>12</v>
      </c>
      <c r="R1765" s="111">
        <f t="shared" si="391"/>
        <v>673.72749999999996</v>
      </c>
      <c r="S1765" s="110"/>
      <c r="T1765" s="110"/>
      <c r="U1765" s="110">
        <f t="shared" si="389"/>
        <v>12</v>
      </c>
      <c r="V1765" s="111">
        <f t="shared" si="392"/>
        <v>673.72749999999996</v>
      </c>
      <c r="W1765" s="110"/>
      <c r="X1765" s="110"/>
      <c r="Y1765" s="110"/>
      <c r="Z1765" s="110"/>
      <c r="AA1765" s="110">
        <f t="shared" si="387"/>
        <v>12</v>
      </c>
      <c r="AB1765" s="111">
        <f t="shared" ref="AB1765:AB1828" si="393">+J1765/4</f>
        <v>673.72749999999996</v>
      </c>
      <c r="AC1765" s="110"/>
      <c r="AD1765" s="110"/>
      <c r="AE1765" s="110">
        <f t="shared" si="387"/>
        <v>12</v>
      </c>
      <c r="AF1765" s="111">
        <f t="shared" ref="AF1765:AF1828" si="394">+J1765/4</f>
        <v>673.72749999999996</v>
      </c>
      <c r="AG1765" s="110"/>
      <c r="AH1765" s="110"/>
      <c r="AI1765" s="110"/>
      <c r="AJ1765" s="110"/>
      <c r="AK1765" s="111">
        <f t="shared" si="381"/>
        <v>2694.91</v>
      </c>
      <c r="AL1765" s="446">
        <f t="shared" si="382"/>
        <v>0</v>
      </c>
      <c r="AM1765" s="110">
        <f t="shared" si="383"/>
        <v>48</v>
      </c>
      <c r="AN1765" s="447">
        <f t="shared" si="386"/>
        <v>0</v>
      </c>
      <c r="AO1765"/>
      <c r="AP1765"/>
    </row>
    <row r="1766" spans="1:42" ht="66" x14ac:dyDescent="0.25">
      <c r="A1766" s="9"/>
      <c r="B1766" s="128" t="s">
        <v>1435</v>
      </c>
      <c r="C1766" s="1024"/>
      <c r="D1766" s="869">
        <v>22</v>
      </c>
      <c r="E1766" s="1027" t="s">
        <v>1721</v>
      </c>
      <c r="F1766" s="273" t="s">
        <v>3446</v>
      </c>
      <c r="G1766" s="1040" t="s">
        <v>3463</v>
      </c>
      <c r="H1766" s="273" t="s">
        <v>3462</v>
      </c>
      <c r="I1766" s="720">
        <f t="shared" si="390"/>
        <v>250.33954545454546</v>
      </c>
      <c r="J1766" s="756">
        <v>5507.47</v>
      </c>
      <c r="K1766" s="131">
        <f t="shared" si="385"/>
        <v>5507.47</v>
      </c>
      <c r="L1766" s="335">
        <f t="shared" si="380"/>
        <v>0</v>
      </c>
      <c r="M1766" s="446"/>
      <c r="N1766" s="446"/>
      <c r="O1766" s="446"/>
      <c r="P1766" s="446"/>
      <c r="Q1766" s="110">
        <v>6</v>
      </c>
      <c r="R1766" s="111">
        <f t="shared" si="391"/>
        <v>1376.8675000000001</v>
      </c>
      <c r="S1766" s="110"/>
      <c r="T1766" s="110"/>
      <c r="U1766" s="110">
        <v>6</v>
      </c>
      <c r="V1766" s="111">
        <f t="shared" si="392"/>
        <v>1376.8675000000001</v>
      </c>
      <c r="W1766" s="110"/>
      <c r="X1766" s="110"/>
      <c r="Y1766" s="110"/>
      <c r="Z1766" s="110"/>
      <c r="AA1766" s="110">
        <v>5</v>
      </c>
      <c r="AB1766" s="111">
        <f t="shared" si="393"/>
        <v>1376.8675000000001</v>
      </c>
      <c r="AC1766" s="110"/>
      <c r="AD1766" s="110"/>
      <c r="AE1766" s="110">
        <v>5</v>
      </c>
      <c r="AF1766" s="111">
        <f t="shared" si="394"/>
        <v>1376.8675000000001</v>
      </c>
      <c r="AG1766" s="110"/>
      <c r="AH1766" s="110"/>
      <c r="AI1766" s="110"/>
      <c r="AJ1766" s="110"/>
      <c r="AK1766" s="111">
        <f t="shared" si="381"/>
        <v>5507.47</v>
      </c>
      <c r="AL1766" s="446">
        <f t="shared" si="382"/>
        <v>0</v>
      </c>
      <c r="AM1766" s="110">
        <f t="shared" si="383"/>
        <v>22</v>
      </c>
      <c r="AN1766" s="447">
        <f t="shared" si="386"/>
        <v>0</v>
      </c>
      <c r="AO1766"/>
      <c r="AP1766"/>
    </row>
    <row r="1767" spans="1:42" ht="66" x14ac:dyDescent="0.25">
      <c r="A1767" s="9"/>
      <c r="B1767" s="34" t="s">
        <v>1082</v>
      </c>
      <c r="C1767" s="1024"/>
      <c r="D1767" s="869">
        <f>6+12</f>
        <v>18</v>
      </c>
      <c r="E1767" s="1027" t="s">
        <v>1721</v>
      </c>
      <c r="F1767" s="273" t="s">
        <v>3446</v>
      </c>
      <c r="G1767" s="1040" t="s">
        <v>3463</v>
      </c>
      <c r="H1767" s="273" t="s">
        <v>3462</v>
      </c>
      <c r="I1767" s="720">
        <f t="shared" si="390"/>
        <v>601.18499999999995</v>
      </c>
      <c r="J1767" s="756">
        <f>3259.43+7561.9</f>
        <v>10821.33</v>
      </c>
      <c r="K1767" s="131">
        <f t="shared" si="385"/>
        <v>10821.329999999998</v>
      </c>
      <c r="L1767" s="335">
        <f t="shared" si="380"/>
        <v>0</v>
      </c>
      <c r="M1767" s="446"/>
      <c r="N1767" s="446"/>
      <c r="O1767" s="446"/>
      <c r="P1767" s="446"/>
      <c r="Q1767" s="110">
        <v>5</v>
      </c>
      <c r="R1767" s="111">
        <f t="shared" si="391"/>
        <v>2705.3325</v>
      </c>
      <c r="S1767" s="110"/>
      <c r="T1767" s="110"/>
      <c r="U1767" s="110">
        <v>5</v>
      </c>
      <c r="V1767" s="111">
        <f t="shared" si="392"/>
        <v>2705.3325</v>
      </c>
      <c r="W1767" s="110"/>
      <c r="X1767" s="110"/>
      <c r="Y1767" s="110"/>
      <c r="Z1767" s="110"/>
      <c r="AA1767" s="110">
        <v>4</v>
      </c>
      <c r="AB1767" s="111">
        <f t="shared" si="393"/>
        <v>2705.3325</v>
      </c>
      <c r="AC1767" s="110"/>
      <c r="AD1767" s="110"/>
      <c r="AE1767" s="110">
        <v>4</v>
      </c>
      <c r="AF1767" s="111">
        <f t="shared" si="394"/>
        <v>2705.3325</v>
      </c>
      <c r="AG1767" s="110"/>
      <c r="AH1767" s="110"/>
      <c r="AI1767" s="110"/>
      <c r="AJ1767" s="110"/>
      <c r="AK1767" s="111">
        <f t="shared" si="381"/>
        <v>10821.33</v>
      </c>
      <c r="AL1767" s="446">
        <f t="shared" si="382"/>
        <v>0</v>
      </c>
      <c r="AM1767" s="110">
        <f t="shared" si="383"/>
        <v>18</v>
      </c>
      <c r="AN1767" s="447">
        <f t="shared" si="386"/>
        <v>0</v>
      </c>
      <c r="AO1767"/>
      <c r="AP1767"/>
    </row>
    <row r="1768" spans="1:42" ht="66" x14ac:dyDescent="0.25">
      <c r="A1768" s="9"/>
      <c r="B1768" s="37" t="s">
        <v>1174</v>
      </c>
      <c r="C1768" s="1024"/>
      <c r="D1768" s="869">
        <f>2</f>
        <v>2</v>
      </c>
      <c r="E1768" s="1027" t="s">
        <v>1722</v>
      </c>
      <c r="F1768" s="273" t="s">
        <v>3446</v>
      </c>
      <c r="G1768" s="1040" t="s">
        <v>3463</v>
      </c>
      <c r="H1768" s="273" t="s">
        <v>3462</v>
      </c>
      <c r="I1768" s="720">
        <f t="shared" si="390"/>
        <v>466.14499999999998</v>
      </c>
      <c r="J1768" s="756">
        <f>932.29</f>
        <v>932.29</v>
      </c>
      <c r="K1768" s="131">
        <f t="shared" si="385"/>
        <v>932.29</v>
      </c>
      <c r="L1768" s="335">
        <f t="shared" si="380"/>
        <v>0</v>
      </c>
      <c r="M1768" s="446"/>
      <c r="N1768" s="446"/>
      <c r="O1768" s="446"/>
      <c r="P1768" s="446"/>
      <c r="Q1768" s="130">
        <v>1</v>
      </c>
      <c r="R1768" s="111">
        <f t="shared" si="391"/>
        <v>233.07249999999999</v>
      </c>
      <c r="S1768" s="110"/>
      <c r="T1768" s="110"/>
      <c r="U1768" s="130">
        <v>1</v>
      </c>
      <c r="V1768" s="111">
        <f t="shared" si="392"/>
        <v>233.07249999999999</v>
      </c>
      <c r="W1768" s="110"/>
      <c r="X1768" s="110"/>
      <c r="Y1768" s="110"/>
      <c r="Z1768" s="110"/>
      <c r="AA1768" s="130">
        <v>0</v>
      </c>
      <c r="AB1768" s="111">
        <f t="shared" si="393"/>
        <v>233.07249999999999</v>
      </c>
      <c r="AC1768" s="110"/>
      <c r="AD1768" s="110"/>
      <c r="AE1768" s="130">
        <v>0</v>
      </c>
      <c r="AF1768" s="111">
        <f t="shared" si="394"/>
        <v>233.07249999999999</v>
      </c>
      <c r="AG1768" s="110"/>
      <c r="AH1768" s="110"/>
      <c r="AI1768" s="110"/>
      <c r="AJ1768" s="110"/>
      <c r="AK1768" s="111">
        <f t="shared" si="381"/>
        <v>932.29</v>
      </c>
      <c r="AL1768" s="446">
        <f t="shared" si="382"/>
        <v>0</v>
      </c>
      <c r="AM1768" s="110">
        <f t="shared" si="383"/>
        <v>2</v>
      </c>
      <c r="AN1768" s="447">
        <f t="shared" si="386"/>
        <v>0</v>
      </c>
      <c r="AO1768"/>
      <c r="AP1768"/>
    </row>
    <row r="1769" spans="1:42" ht="66" x14ac:dyDescent="0.25">
      <c r="A1769" s="9"/>
      <c r="B1769" s="46" t="s">
        <v>394</v>
      </c>
      <c r="C1769" s="1024"/>
      <c r="D1769" s="869">
        <f>96</f>
        <v>96</v>
      </c>
      <c r="E1769" s="1027" t="s">
        <v>1721</v>
      </c>
      <c r="F1769" s="273" t="s">
        <v>3446</v>
      </c>
      <c r="G1769" s="1040" t="s">
        <v>3463</v>
      </c>
      <c r="H1769" s="273" t="s">
        <v>3462</v>
      </c>
      <c r="I1769" s="720">
        <f t="shared" si="390"/>
        <v>49.126041666666673</v>
      </c>
      <c r="J1769" s="756">
        <f>4716.1</f>
        <v>4716.1000000000004</v>
      </c>
      <c r="K1769" s="131">
        <f t="shared" si="385"/>
        <v>4716.1000000000004</v>
      </c>
      <c r="L1769" s="335">
        <f t="shared" si="380"/>
        <v>0</v>
      </c>
      <c r="M1769" s="446"/>
      <c r="N1769" s="446"/>
      <c r="O1769" s="446"/>
      <c r="P1769" s="446"/>
      <c r="Q1769" s="110">
        <f t="shared" si="388"/>
        <v>24</v>
      </c>
      <c r="R1769" s="111">
        <f t="shared" si="391"/>
        <v>1179.0250000000001</v>
      </c>
      <c r="S1769" s="110"/>
      <c r="T1769" s="110"/>
      <c r="U1769" s="110">
        <f t="shared" si="389"/>
        <v>24</v>
      </c>
      <c r="V1769" s="111">
        <f t="shared" si="392"/>
        <v>1179.0250000000001</v>
      </c>
      <c r="W1769" s="110"/>
      <c r="X1769" s="110"/>
      <c r="Y1769" s="110"/>
      <c r="Z1769" s="110"/>
      <c r="AA1769" s="110">
        <f t="shared" si="387"/>
        <v>24</v>
      </c>
      <c r="AB1769" s="111">
        <f t="shared" si="393"/>
        <v>1179.0250000000001</v>
      </c>
      <c r="AC1769" s="110"/>
      <c r="AD1769" s="110"/>
      <c r="AE1769" s="110">
        <f t="shared" si="387"/>
        <v>24</v>
      </c>
      <c r="AF1769" s="111">
        <f t="shared" si="394"/>
        <v>1179.0250000000001</v>
      </c>
      <c r="AG1769" s="110"/>
      <c r="AH1769" s="110"/>
      <c r="AI1769" s="110"/>
      <c r="AJ1769" s="110"/>
      <c r="AK1769" s="111">
        <f t="shared" si="381"/>
        <v>4716.1000000000004</v>
      </c>
      <c r="AL1769" s="446">
        <f t="shared" si="382"/>
        <v>0</v>
      </c>
      <c r="AM1769" s="110">
        <f t="shared" si="383"/>
        <v>96</v>
      </c>
      <c r="AN1769" s="447">
        <f t="shared" si="386"/>
        <v>0</v>
      </c>
      <c r="AO1769"/>
      <c r="AP1769"/>
    </row>
    <row r="1770" spans="1:42" ht="66" x14ac:dyDescent="0.25">
      <c r="A1770" s="9"/>
      <c r="B1770" s="34" t="s">
        <v>395</v>
      </c>
      <c r="C1770" s="1024"/>
      <c r="D1770" s="869">
        <f>48</f>
        <v>48</v>
      </c>
      <c r="E1770" s="1027" t="s">
        <v>1721</v>
      </c>
      <c r="F1770" s="273" t="s">
        <v>3446</v>
      </c>
      <c r="G1770" s="1040" t="s">
        <v>3463</v>
      </c>
      <c r="H1770" s="273" t="s">
        <v>3462</v>
      </c>
      <c r="I1770" s="720">
        <f t="shared" si="390"/>
        <v>40.704374999999999</v>
      </c>
      <c r="J1770" s="756">
        <f>1953.81</f>
        <v>1953.81</v>
      </c>
      <c r="K1770" s="131">
        <f t="shared" si="385"/>
        <v>1953.81</v>
      </c>
      <c r="L1770" s="335">
        <f t="shared" si="380"/>
        <v>0</v>
      </c>
      <c r="M1770" s="446"/>
      <c r="N1770" s="446"/>
      <c r="O1770" s="446"/>
      <c r="P1770" s="446"/>
      <c r="Q1770" s="110">
        <f t="shared" si="388"/>
        <v>12</v>
      </c>
      <c r="R1770" s="111">
        <f t="shared" si="391"/>
        <v>488.45249999999999</v>
      </c>
      <c r="S1770" s="110"/>
      <c r="T1770" s="110"/>
      <c r="U1770" s="110">
        <f t="shared" si="389"/>
        <v>12</v>
      </c>
      <c r="V1770" s="111">
        <f t="shared" si="392"/>
        <v>488.45249999999999</v>
      </c>
      <c r="W1770" s="110"/>
      <c r="X1770" s="110"/>
      <c r="Y1770" s="110"/>
      <c r="Z1770" s="110"/>
      <c r="AA1770" s="110">
        <f t="shared" si="387"/>
        <v>12</v>
      </c>
      <c r="AB1770" s="111">
        <f t="shared" si="393"/>
        <v>488.45249999999999</v>
      </c>
      <c r="AC1770" s="110"/>
      <c r="AD1770" s="110"/>
      <c r="AE1770" s="110">
        <f t="shared" si="387"/>
        <v>12</v>
      </c>
      <c r="AF1770" s="111">
        <f t="shared" si="394"/>
        <v>488.45249999999999</v>
      </c>
      <c r="AG1770" s="110"/>
      <c r="AH1770" s="110"/>
      <c r="AI1770" s="110"/>
      <c r="AJ1770" s="110"/>
      <c r="AK1770" s="111">
        <f t="shared" si="381"/>
        <v>1953.81</v>
      </c>
      <c r="AL1770" s="446">
        <f t="shared" si="382"/>
        <v>0</v>
      </c>
      <c r="AM1770" s="110">
        <f t="shared" si="383"/>
        <v>48</v>
      </c>
      <c r="AN1770" s="447">
        <f t="shared" si="386"/>
        <v>0</v>
      </c>
      <c r="AO1770"/>
      <c r="AP1770"/>
    </row>
    <row r="1771" spans="1:42" ht="66" x14ac:dyDescent="0.25">
      <c r="A1771" s="9"/>
      <c r="B1771" s="34" t="s">
        <v>396</v>
      </c>
      <c r="C1771" s="1024"/>
      <c r="D1771" s="869">
        <f>60</f>
        <v>60</v>
      </c>
      <c r="E1771" s="1027" t="s">
        <v>1721</v>
      </c>
      <c r="F1771" s="273" t="s">
        <v>3446</v>
      </c>
      <c r="G1771" s="1040" t="s">
        <v>3463</v>
      </c>
      <c r="H1771" s="273" t="s">
        <v>3462</v>
      </c>
      <c r="I1771" s="720">
        <f t="shared" si="390"/>
        <v>201.94433333333333</v>
      </c>
      <c r="J1771" s="756">
        <f>12116.66</f>
        <v>12116.66</v>
      </c>
      <c r="K1771" s="131">
        <f t="shared" si="385"/>
        <v>12116.66</v>
      </c>
      <c r="L1771" s="335">
        <f t="shared" si="380"/>
        <v>0</v>
      </c>
      <c r="M1771" s="446"/>
      <c r="N1771" s="446"/>
      <c r="O1771" s="446"/>
      <c r="P1771" s="446"/>
      <c r="Q1771" s="110">
        <f t="shared" si="388"/>
        <v>15</v>
      </c>
      <c r="R1771" s="111">
        <f t="shared" si="391"/>
        <v>3029.165</v>
      </c>
      <c r="S1771" s="110"/>
      <c r="T1771" s="110"/>
      <c r="U1771" s="110">
        <f t="shared" si="389"/>
        <v>15</v>
      </c>
      <c r="V1771" s="111">
        <f t="shared" si="392"/>
        <v>3029.165</v>
      </c>
      <c r="W1771" s="110"/>
      <c r="X1771" s="110"/>
      <c r="Y1771" s="110"/>
      <c r="Z1771" s="110"/>
      <c r="AA1771" s="110">
        <f t="shared" si="387"/>
        <v>15</v>
      </c>
      <c r="AB1771" s="111">
        <f t="shared" si="393"/>
        <v>3029.165</v>
      </c>
      <c r="AC1771" s="110"/>
      <c r="AD1771" s="110"/>
      <c r="AE1771" s="110">
        <f t="shared" si="387"/>
        <v>15</v>
      </c>
      <c r="AF1771" s="111">
        <f t="shared" si="394"/>
        <v>3029.165</v>
      </c>
      <c r="AG1771" s="110"/>
      <c r="AH1771" s="110"/>
      <c r="AI1771" s="110"/>
      <c r="AJ1771" s="110"/>
      <c r="AK1771" s="111">
        <f t="shared" si="381"/>
        <v>12116.66</v>
      </c>
      <c r="AL1771" s="446">
        <f t="shared" si="382"/>
        <v>0</v>
      </c>
      <c r="AM1771" s="110">
        <f t="shared" si="383"/>
        <v>60</v>
      </c>
      <c r="AN1771" s="447">
        <f t="shared" si="386"/>
        <v>0</v>
      </c>
      <c r="AO1771"/>
      <c r="AP1771"/>
    </row>
    <row r="1772" spans="1:42" ht="66" x14ac:dyDescent="0.25">
      <c r="A1772" s="9"/>
      <c r="B1772" s="34" t="s">
        <v>397</v>
      </c>
      <c r="C1772" s="1024"/>
      <c r="D1772" s="869">
        <f>24</f>
        <v>24</v>
      </c>
      <c r="E1772" s="1027" t="s">
        <v>1721</v>
      </c>
      <c r="F1772" s="273" t="s">
        <v>3446</v>
      </c>
      <c r="G1772" s="1040" t="s">
        <v>3463</v>
      </c>
      <c r="H1772" s="273" t="s">
        <v>3462</v>
      </c>
      <c r="I1772" s="720">
        <f t="shared" si="390"/>
        <v>40.623333333333335</v>
      </c>
      <c r="J1772" s="756">
        <f>974.96</f>
        <v>974.96</v>
      </c>
      <c r="K1772" s="131">
        <f t="shared" si="385"/>
        <v>974.96</v>
      </c>
      <c r="L1772" s="335">
        <f t="shared" si="380"/>
        <v>0</v>
      </c>
      <c r="M1772" s="446"/>
      <c r="N1772" s="446"/>
      <c r="O1772" s="446"/>
      <c r="P1772" s="446"/>
      <c r="Q1772" s="110">
        <f t="shared" si="388"/>
        <v>6</v>
      </c>
      <c r="R1772" s="111">
        <f t="shared" si="391"/>
        <v>243.74</v>
      </c>
      <c r="S1772" s="110"/>
      <c r="T1772" s="110"/>
      <c r="U1772" s="110">
        <f t="shared" si="389"/>
        <v>6</v>
      </c>
      <c r="V1772" s="111">
        <f t="shared" si="392"/>
        <v>243.74</v>
      </c>
      <c r="W1772" s="110"/>
      <c r="X1772" s="110"/>
      <c r="Y1772" s="110"/>
      <c r="Z1772" s="110"/>
      <c r="AA1772" s="110">
        <f t="shared" si="387"/>
        <v>6</v>
      </c>
      <c r="AB1772" s="111">
        <f t="shared" si="393"/>
        <v>243.74</v>
      </c>
      <c r="AC1772" s="110"/>
      <c r="AD1772" s="110"/>
      <c r="AE1772" s="110">
        <f t="shared" si="387"/>
        <v>6</v>
      </c>
      <c r="AF1772" s="111">
        <f t="shared" si="394"/>
        <v>243.74</v>
      </c>
      <c r="AG1772" s="110"/>
      <c r="AH1772" s="110"/>
      <c r="AI1772" s="110"/>
      <c r="AJ1772" s="110"/>
      <c r="AK1772" s="111">
        <f t="shared" si="381"/>
        <v>974.96</v>
      </c>
      <c r="AL1772" s="446">
        <f t="shared" si="382"/>
        <v>0</v>
      </c>
      <c r="AM1772" s="110">
        <f t="shared" si="383"/>
        <v>24</v>
      </c>
      <c r="AN1772" s="447">
        <f t="shared" si="386"/>
        <v>0</v>
      </c>
      <c r="AO1772"/>
      <c r="AP1772"/>
    </row>
    <row r="1773" spans="1:42" ht="66" x14ac:dyDescent="0.25">
      <c r="A1773" s="9"/>
      <c r="B1773" s="46" t="s">
        <v>398</v>
      </c>
      <c r="C1773" s="1024"/>
      <c r="D1773" s="869">
        <f>22</f>
        <v>22</v>
      </c>
      <c r="E1773" s="1027" t="s">
        <v>1721</v>
      </c>
      <c r="F1773" s="273" t="s">
        <v>3446</v>
      </c>
      <c r="G1773" s="1040" t="s">
        <v>3463</v>
      </c>
      <c r="H1773" s="273" t="s">
        <v>3462</v>
      </c>
      <c r="I1773" s="720">
        <f t="shared" si="390"/>
        <v>50.62409090909091</v>
      </c>
      <c r="J1773" s="756">
        <f>1113.73</f>
        <v>1113.73</v>
      </c>
      <c r="K1773" s="131">
        <f t="shared" si="385"/>
        <v>1113.73</v>
      </c>
      <c r="L1773" s="335">
        <f t="shared" si="380"/>
        <v>0</v>
      </c>
      <c r="M1773" s="446"/>
      <c r="N1773" s="446"/>
      <c r="O1773" s="446"/>
      <c r="P1773" s="446"/>
      <c r="Q1773" s="110">
        <v>6</v>
      </c>
      <c r="R1773" s="111">
        <f t="shared" si="391"/>
        <v>278.4325</v>
      </c>
      <c r="S1773" s="110"/>
      <c r="T1773" s="110"/>
      <c r="U1773" s="110">
        <v>6</v>
      </c>
      <c r="V1773" s="111">
        <f t="shared" si="392"/>
        <v>278.4325</v>
      </c>
      <c r="W1773" s="110"/>
      <c r="X1773" s="110"/>
      <c r="Y1773" s="110"/>
      <c r="Z1773" s="110"/>
      <c r="AA1773" s="110">
        <v>5</v>
      </c>
      <c r="AB1773" s="111">
        <f t="shared" si="393"/>
        <v>278.4325</v>
      </c>
      <c r="AC1773" s="110"/>
      <c r="AD1773" s="110"/>
      <c r="AE1773" s="110">
        <v>5</v>
      </c>
      <c r="AF1773" s="111">
        <f t="shared" si="394"/>
        <v>278.4325</v>
      </c>
      <c r="AG1773" s="110"/>
      <c r="AH1773" s="110"/>
      <c r="AI1773" s="110"/>
      <c r="AJ1773" s="110"/>
      <c r="AK1773" s="111">
        <f t="shared" si="381"/>
        <v>1113.73</v>
      </c>
      <c r="AL1773" s="446">
        <f t="shared" si="382"/>
        <v>0</v>
      </c>
      <c r="AM1773" s="110">
        <f t="shared" si="383"/>
        <v>22</v>
      </c>
      <c r="AN1773" s="447">
        <f t="shared" si="386"/>
        <v>0</v>
      </c>
      <c r="AO1773"/>
      <c r="AP1773"/>
    </row>
    <row r="1774" spans="1:42" ht="66" x14ac:dyDescent="0.25">
      <c r="A1774" s="9"/>
      <c r="B1774" s="46" t="s">
        <v>399</v>
      </c>
      <c r="C1774" s="1024"/>
      <c r="D1774" s="869">
        <f>12</f>
        <v>12</v>
      </c>
      <c r="E1774" s="1027" t="s">
        <v>1721</v>
      </c>
      <c r="F1774" s="273" t="s">
        <v>3446</v>
      </c>
      <c r="G1774" s="1040" t="s">
        <v>3463</v>
      </c>
      <c r="H1774" s="273" t="s">
        <v>3462</v>
      </c>
      <c r="I1774" s="720">
        <f t="shared" si="390"/>
        <v>224.57583333333332</v>
      </c>
      <c r="J1774" s="756">
        <f>2694.91</f>
        <v>2694.91</v>
      </c>
      <c r="K1774" s="131">
        <f t="shared" si="385"/>
        <v>2694.91</v>
      </c>
      <c r="L1774" s="335">
        <f t="shared" si="380"/>
        <v>0</v>
      </c>
      <c r="M1774" s="446"/>
      <c r="N1774" s="446"/>
      <c r="O1774" s="446"/>
      <c r="P1774" s="446"/>
      <c r="Q1774" s="110">
        <f t="shared" si="388"/>
        <v>3</v>
      </c>
      <c r="R1774" s="111">
        <f t="shared" si="391"/>
        <v>673.72749999999996</v>
      </c>
      <c r="S1774" s="110"/>
      <c r="T1774" s="110"/>
      <c r="U1774" s="110">
        <f t="shared" si="389"/>
        <v>3</v>
      </c>
      <c r="V1774" s="111">
        <f t="shared" si="392"/>
        <v>673.72749999999996</v>
      </c>
      <c r="W1774" s="110"/>
      <c r="X1774" s="110"/>
      <c r="Y1774" s="110"/>
      <c r="Z1774" s="110"/>
      <c r="AA1774" s="110">
        <f t="shared" si="387"/>
        <v>3</v>
      </c>
      <c r="AB1774" s="111">
        <f t="shared" si="393"/>
        <v>673.72749999999996</v>
      </c>
      <c r="AC1774" s="110"/>
      <c r="AD1774" s="110"/>
      <c r="AE1774" s="110">
        <f t="shared" si="387"/>
        <v>3</v>
      </c>
      <c r="AF1774" s="111">
        <f t="shared" si="394"/>
        <v>673.72749999999996</v>
      </c>
      <c r="AG1774" s="110"/>
      <c r="AH1774" s="110"/>
      <c r="AI1774" s="110"/>
      <c r="AJ1774" s="110"/>
      <c r="AK1774" s="111">
        <f t="shared" si="381"/>
        <v>2694.91</v>
      </c>
      <c r="AL1774" s="446">
        <f t="shared" si="382"/>
        <v>0</v>
      </c>
      <c r="AM1774" s="110">
        <f t="shared" si="383"/>
        <v>12</v>
      </c>
      <c r="AN1774" s="447">
        <f t="shared" si="386"/>
        <v>0</v>
      </c>
      <c r="AO1774"/>
      <c r="AP1774"/>
    </row>
    <row r="1775" spans="1:42" ht="66" x14ac:dyDescent="0.25">
      <c r="A1775" s="9"/>
      <c r="B1775" s="34" t="s">
        <v>400</v>
      </c>
      <c r="C1775" s="1024"/>
      <c r="D1775" s="869">
        <f>22+96</f>
        <v>118</v>
      </c>
      <c r="E1775" s="1027" t="s">
        <v>1722</v>
      </c>
      <c r="F1775" s="273" t="s">
        <v>3446</v>
      </c>
      <c r="G1775" s="1040" t="s">
        <v>3463</v>
      </c>
      <c r="H1775" s="273" t="s">
        <v>3462</v>
      </c>
      <c r="I1775" s="720">
        <f t="shared" si="390"/>
        <v>141.11483050847457</v>
      </c>
      <c r="J1775" s="756">
        <f>3446.48+13205.07</f>
        <v>16651.55</v>
      </c>
      <c r="K1775" s="131">
        <f t="shared" si="385"/>
        <v>16651.55</v>
      </c>
      <c r="L1775" s="335">
        <f t="shared" si="380"/>
        <v>0</v>
      </c>
      <c r="M1775" s="446"/>
      <c r="N1775" s="446"/>
      <c r="O1775" s="446"/>
      <c r="P1775" s="446"/>
      <c r="Q1775" s="110">
        <v>30</v>
      </c>
      <c r="R1775" s="111">
        <f t="shared" si="391"/>
        <v>4162.8874999999998</v>
      </c>
      <c r="S1775" s="110"/>
      <c r="T1775" s="110"/>
      <c r="U1775" s="110">
        <v>30</v>
      </c>
      <c r="V1775" s="111">
        <f t="shared" si="392"/>
        <v>4162.8874999999998</v>
      </c>
      <c r="W1775" s="110"/>
      <c r="X1775" s="110"/>
      <c r="Y1775" s="110"/>
      <c r="Z1775" s="110"/>
      <c r="AA1775" s="110">
        <v>30</v>
      </c>
      <c r="AB1775" s="111">
        <f t="shared" si="393"/>
        <v>4162.8874999999998</v>
      </c>
      <c r="AC1775" s="110"/>
      <c r="AD1775" s="110"/>
      <c r="AE1775" s="110">
        <v>28</v>
      </c>
      <c r="AF1775" s="111">
        <f t="shared" si="394"/>
        <v>4162.8874999999998</v>
      </c>
      <c r="AG1775" s="110"/>
      <c r="AH1775" s="110"/>
      <c r="AI1775" s="110"/>
      <c r="AJ1775" s="110"/>
      <c r="AK1775" s="111">
        <f t="shared" si="381"/>
        <v>16651.55</v>
      </c>
      <c r="AL1775" s="446">
        <f t="shared" si="382"/>
        <v>0</v>
      </c>
      <c r="AM1775" s="110">
        <f t="shared" si="383"/>
        <v>118</v>
      </c>
      <c r="AN1775" s="447">
        <f t="shared" si="386"/>
        <v>0</v>
      </c>
      <c r="AO1775"/>
      <c r="AP1775"/>
    </row>
    <row r="1776" spans="1:42" ht="66" x14ac:dyDescent="0.25">
      <c r="A1776" s="9"/>
      <c r="B1776" s="34" t="s">
        <v>401</v>
      </c>
      <c r="C1776" s="1024"/>
      <c r="D1776" s="869">
        <f>6</f>
        <v>6</v>
      </c>
      <c r="E1776" s="1027" t="s">
        <v>1834</v>
      </c>
      <c r="F1776" s="273" t="s">
        <v>3446</v>
      </c>
      <c r="G1776" s="1040" t="s">
        <v>3463</v>
      </c>
      <c r="H1776" s="273" t="s">
        <v>3462</v>
      </c>
      <c r="I1776" s="720">
        <f t="shared" si="390"/>
        <v>131.42833333333334</v>
      </c>
      <c r="J1776" s="756">
        <f>788.57</f>
        <v>788.57</v>
      </c>
      <c r="K1776" s="131">
        <f t="shared" si="385"/>
        <v>788.57</v>
      </c>
      <c r="L1776" s="335">
        <f t="shared" si="380"/>
        <v>0</v>
      </c>
      <c r="M1776" s="446"/>
      <c r="N1776" s="446"/>
      <c r="O1776" s="446"/>
      <c r="P1776" s="446"/>
      <c r="Q1776" s="130">
        <v>2</v>
      </c>
      <c r="R1776" s="111">
        <f t="shared" si="391"/>
        <v>197.14250000000001</v>
      </c>
      <c r="S1776" s="110"/>
      <c r="T1776" s="110"/>
      <c r="U1776" s="130">
        <v>2</v>
      </c>
      <c r="V1776" s="111">
        <f t="shared" si="392"/>
        <v>197.14250000000001</v>
      </c>
      <c r="W1776" s="110"/>
      <c r="X1776" s="110"/>
      <c r="Y1776" s="110"/>
      <c r="Z1776" s="110"/>
      <c r="AA1776" s="130">
        <v>1</v>
      </c>
      <c r="AB1776" s="111">
        <f t="shared" si="393"/>
        <v>197.14250000000001</v>
      </c>
      <c r="AC1776" s="110"/>
      <c r="AD1776" s="110"/>
      <c r="AE1776" s="130">
        <v>1</v>
      </c>
      <c r="AF1776" s="111">
        <f t="shared" si="394"/>
        <v>197.14250000000001</v>
      </c>
      <c r="AG1776" s="110"/>
      <c r="AH1776" s="110"/>
      <c r="AI1776" s="110"/>
      <c r="AJ1776" s="110"/>
      <c r="AK1776" s="111">
        <f t="shared" si="381"/>
        <v>788.57</v>
      </c>
      <c r="AL1776" s="446">
        <f t="shared" si="382"/>
        <v>0</v>
      </c>
      <c r="AM1776" s="110">
        <f t="shared" si="383"/>
        <v>6</v>
      </c>
      <c r="AN1776" s="447">
        <f t="shared" si="386"/>
        <v>0</v>
      </c>
      <c r="AO1776"/>
      <c r="AP1776"/>
    </row>
    <row r="1777" spans="1:42" ht="66" x14ac:dyDescent="0.25">
      <c r="A1777" s="9"/>
      <c r="B1777" s="34" t="s">
        <v>402</v>
      </c>
      <c r="C1777" s="1024"/>
      <c r="D1777" s="869">
        <f>72</f>
        <v>72</v>
      </c>
      <c r="E1777" s="1027" t="s">
        <v>1721</v>
      </c>
      <c r="F1777" s="273" t="s">
        <v>3446</v>
      </c>
      <c r="G1777" s="1040" t="s">
        <v>3463</v>
      </c>
      <c r="H1777" s="273" t="s">
        <v>3462</v>
      </c>
      <c r="I1777" s="720">
        <f t="shared" si="390"/>
        <v>77.731666666666669</v>
      </c>
      <c r="J1777" s="756">
        <f>5596.68</f>
        <v>5596.68</v>
      </c>
      <c r="K1777" s="131">
        <f t="shared" si="385"/>
        <v>5596.68</v>
      </c>
      <c r="L1777" s="335">
        <f t="shared" si="380"/>
        <v>0</v>
      </c>
      <c r="M1777" s="446"/>
      <c r="N1777" s="446"/>
      <c r="O1777" s="446"/>
      <c r="P1777" s="446"/>
      <c r="Q1777" s="110">
        <f t="shared" si="388"/>
        <v>18</v>
      </c>
      <c r="R1777" s="111">
        <f t="shared" si="391"/>
        <v>1399.17</v>
      </c>
      <c r="S1777" s="110"/>
      <c r="T1777" s="110"/>
      <c r="U1777" s="110">
        <f t="shared" si="389"/>
        <v>18</v>
      </c>
      <c r="V1777" s="111">
        <f t="shared" si="392"/>
        <v>1399.17</v>
      </c>
      <c r="W1777" s="110"/>
      <c r="X1777" s="110"/>
      <c r="Y1777" s="110"/>
      <c r="Z1777" s="110"/>
      <c r="AA1777" s="110">
        <f t="shared" si="387"/>
        <v>18</v>
      </c>
      <c r="AB1777" s="111">
        <f t="shared" si="393"/>
        <v>1399.17</v>
      </c>
      <c r="AC1777" s="110"/>
      <c r="AD1777" s="110"/>
      <c r="AE1777" s="110">
        <f t="shared" si="387"/>
        <v>18</v>
      </c>
      <c r="AF1777" s="111">
        <f t="shared" si="394"/>
        <v>1399.17</v>
      </c>
      <c r="AG1777" s="110"/>
      <c r="AH1777" s="110"/>
      <c r="AI1777" s="110"/>
      <c r="AJ1777" s="110"/>
      <c r="AK1777" s="111">
        <f t="shared" si="381"/>
        <v>5596.68</v>
      </c>
      <c r="AL1777" s="446">
        <f t="shared" si="382"/>
        <v>0</v>
      </c>
      <c r="AM1777" s="110">
        <f t="shared" si="383"/>
        <v>72</v>
      </c>
      <c r="AN1777" s="447">
        <f t="shared" si="386"/>
        <v>0</v>
      </c>
      <c r="AO1777"/>
      <c r="AP1777"/>
    </row>
    <row r="1778" spans="1:42" ht="66" x14ac:dyDescent="0.25">
      <c r="A1778" s="9"/>
      <c r="B1778" s="34" t="s">
        <v>403</v>
      </c>
      <c r="C1778" s="1024"/>
      <c r="D1778" s="869">
        <f>24</f>
        <v>24</v>
      </c>
      <c r="E1778" s="1027" t="s">
        <v>1834</v>
      </c>
      <c r="F1778" s="273" t="s">
        <v>3446</v>
      </c>
      <c r="G1778" s="1040" t="s">
        <v>3463</v>
      </c>
      <c r="H1778" s="273" t="s">
        <v>3462</v>
      </c>
      <c r="I1778" s="720">
        <f t="shared" si="390"/>
        <v>16.587916666666668</v>
      </c>
      <c r="J1778" s="756">
        <f>398.11</f>
        <v>398.11</v>
      </c>
      <c r="K1778" s="131">
        <f t="shared" si="385"/>
        <v>398.11</v>
      </c>
      <c r="L1778" s="335">
        <f t="shared" si="380"/>
        <v>0</v>
      </c>
      <c r="M1778" s="446"/>
      <c r="N1778" s="446"/>
      <c r="O1778" s="446"/>
      <c r="P1778" s="446"/>
      <c r="Q1778" s="110">
        <f t="shared" si="388"/>
        <v>6</v>
      </c>
      <c r="R1778" s="111">
        <f t="shared" si="391"/>
        <v>99.527500000000003</v>
      </c>
      <c r="S1778" s="110"/>
      <c r="T1778" s="110"/>
      <c r="U1778" s="110">
        <f t="shared" si="389"/>
        <v>6</v>
      </c>
      <c r="V1778" s="111">
        <f t="shared" si="392"/>
        <v>99.527500000000003</v>
      </c>
      <c r="W1778" s="110"/>
      <c r="X1778" s="110"/>
      <c r="Y1778" s="110"/>
      <c r="Z1778" s="110"/>
      <c r="AA1778" s="110">
        <f t="shared" si="387"/>
        <v>6</v>
      </c>
      <c r="AB1778" s="111">
        <f t="shared" si="393"/>
        <v>99.527500000000003</v>
      </c>
      <c r="AC1778" s="110"/>
      <c r="AD1778" s="110"/>
      <c r="AE1778" s="110">
        <f t="shared" si="387"/>
        <v>6</v>
      </c>
      <c r="AF1778" s="111">
        <f t="shared" si="394"/>
        <v>99.527500000000003</v>
      </c>
      <c r="AG1778" s="110"/>
      <c r="AH1778" s="110"/>
      <c r="AI1778" s="110"/>
      <c r="AJ1778" s="110"/>
      <c r="AK1778" s="111">
        <f t="shared" si="381"/>
        <v>398.11</v>
      </c>
      <c r="AL1778" s="446">
        <f t="shared" si="382"/>
        <v>0</v>
      </c>
      <c r="AM1778" s="110">
        <f t="shared" si="383"/>
        <v>24</v>
      </c>
      <c r="AN1778" s="447">
        <f t="shared" si="386"/>
        <v>0</v>
      </c>
      <c r="AO1778"/>
      <c r="AP1778"/>
    </row>
    <row r="1779" spans="1:42" ht="66" x14ac:dyDescent="0.25">
      <c r="A1779" s="9"/>
      <c r="B1779" s="43" t="s">
        <v>404</v>
      </c>
      <c r="C1779" s="1024"/>
      <c r="D1779" s="869">
        <f>22+46</f>
        <v>68</v>
      </c>
      <c r="E1779" s="255" t="s">
        <v>1721</v>
      </c>
      <c r="F1779" s="273" t="s">
        <v>3446</v>
      </c>
      <c r="G1779" s="1040" t="s">
        <v>3463</v>
      </c>
      <c r="H1779" s="273" t="s">
        <v>3462</v>
      </c>
      <c r="I1779" s="720">
        <f t="shared" si="390"/>
        <v>224.6823529411765</v>
      </c>
      <c r="J1779" s="780">
        <f>5556.72+9721.68</f>
        <v>15278.400000000001</v>
      </c>
      <c r="K1779" s="131">
        <f t="shared" si="385"/>
        <v>15278.400000000001</v>
      </c>
      <c r="L1779" s="335">
        <f t="shared" si="380"/>
        <v>0</v>
      </c>
      <c r="M1779" s="446"/>
      <c r="N1779" s="446"/>
      <c r="O1779" s="446"/>
      <c r="P1779" s="446"/>
      <c r="Q1779" s="110">
        <f t="shared" si="388"/>
        <v>17</v>
      </c>
      <c r="R1779" s="111">
        <f t="shared" si="391"/>
        <v>3819.6000000000004</v>
      </c>
      <c r="S1779" s="110"/>
      <c r="T1779" s="110"/>
      <c r="U1779" s="110">
        <f t="shared" si="389"/>
        <v>17</v>
      </c>
      <c r="V1779" s="111">
        <f t="shared" si="392"/>
        <v>3819.6000000000004</v>
      </c>
      <c r="W1779" s="110"/>
      <c r="X1779" s="110"/>
      <c r="Y1779" s="110"/>
      <c r="Z1779" s="110"/>
      <c r="AA1779" s="110">
        <f t="shared" si="387"/>
        <v>17</v>
      </c>
      <c r="AB1779" s="111">
        <f t="shared" si="393"/>
        <v>3819.6000000000004</v>
      </c>
      <c r="AC1779" s="110"/>
      <c r="AD1779" s="110"/>
      <c r="AE1779" s="110">
        <f t="shared" si="387"/>
        <v>17</v>
      </c>
      <c r="AF1779" s="111">
        <f t="shared" si="394"/>
        <v>3819.6000000000004</v>
      </c>
      <c r="AG1779" s="110"/>
      <c r="AH1779" s="110"/>
      <c r="AI1779" s="110"/>
      <c r="AJ1779" s="110"/>
      <c r="AK1779" s="111">
        <f t="shared" si="381"/>
        <v>15278.400000000001</v>
      </c>
      <c r="AL1779" s="446">
        <f t="shared" si="382"/>
        <v>0</v>
      </c>
      <c r="AM1779" s="110">
        <f t="shared" si="383"/>
        <v>68</v>
      </c>
      <c r="AN1779" s="447">
        <f t="shared" si="386"/>
        <v>0</v>
      </c>
      <c r="AO1779"/>
      <c r="AP1779"/>
    </row>
    <row r="1780" spans="1:42" ht="66" x14ac:dyDescent="0.25">
      <c r="A1780" s="9"/>
      <c r="B1780" s="46" t="s">
        <v>405</v>
      </c>
      <c r="C1780" s="1024"/>
      <c r="D1780" s="869">
        <f>22+184</f>
        <v>206</v>
      </c>
      <c r="E1780" s="255" t="s">
        <v>1721</v>
      </c>
      <c r="F1780" s="273" t="s">
        <v>3446</v>
      </c>
      <c r="G1780" s="1040" t="s">
        <v>3463</v>
      </c>
      <c r="H1780" s="273" t="s">
        <v>3462</v>
      </c>
      <c r="I1780" s="720">
        <f t="shared" si="390"/>
        <v>361.84966019417476</v>
      </c>
      <c r="J1780" s="780">
        <f>9319.65+65221.38</f>
        <v>74541.03</v>
      </c>
      <c r="K1780" s="131">
        <f t="shared" si="385"/>
        <v>74541.03</v>
      </c>
      <c r="L1780" s="335">
        <f t="shared" ref="L1780:L1843" si="395">+J1780-K1780</f>
        <v>0</v>
      </c>
      <c r="M1780" s="446"/>
      <c r="N1780" s="446"/>
      <c r="O1780" s="446"/>
      <c r="P1780" s="446"/>
      <c r="Q1780" s="110">
        <v>52</v>
      </c>
      <c r="R1780" s="111">
        <f t="shared" si="391"/>
        <v>18635.2575</v>
      </c>
      <c r="S1780" s="110"/>
      <c r="T1780" s="110"/>
      <c r="U1780" s="110">
        <v>52</v>
      </c>
      <c r="V1780" s="111">
        <f t="shared" si="392"/>
        <v>18635.2575</v>
      </c>
      <c r="W1780" s="110"/>
      <c r="X1780" s="110"/>
      <c r="Y1780" s="110"/>
      <c r="Z1780" s="110"/>
      <c r="AA1780" s="110">
        <v>52</v>
      </c>
      <c r="AB1780" s="111">
        <f t="shared" si="393"/>
        <v>18635.2575</v>
      </c>
      <c r="AC1780" s="110"/>
      <c r="AD1780" s="110"/>
      <c r="AE1780" s="110">
        <v>50</v>
      </c>
      <c r="AF1780" s="111">
        <f t="shared" si="394"/>
        <v>18635.2575</v>
      </c>
      <c r="AG1780" s="110"/>
      <c r="AH1780" s="110"/>
      <c r="AI1780" s="110"/>
      <c r="AJ1780" s="110"/>
      <c r="AK1780" s="111">
        <f t="shared" ref="AK1780:AK1843" si="396">+R1780+V1780+AB1780+AF1780</f>
        <v>74541.03</v>
      </c>
      <c r="AL1780" s="446">
        <f t="shared" ref="AL1780:AL1843" si="397">+J1780-AK1780</f>
        <v>0</v>
      </c>
      <c r="AM1780" s="110">
        <f t="shared" ref="AM1780:AM1843" si="398">+Q1780+U1780+AA1780+AE1780</f>
        <v>206</v>
      </c>
      <c r="AN1780" s="447">
        <f t="shared" si="386"/>
        <v>0</v>
      </c>
      <c r="AO1780"/>
      <c r="AP1780"/>
    </row>
    <row r="1781" spans="1:42" ht="66" x14ac:dyDescent="0.25">
      <c r="A1781" s="40"/>
      <c r="B1781" s="499" t="s">
        <v>406</v>
      </c>
      <c r="C1781" s="1024"/>
      <c r="D1781" s="899">
        <v>48</v>
      </c>
      <c r="E1781" s="254" t="s">
        <v>1725</v>
      </c>
      <c r="F1781" s="273" t="s">
        <v>3446</v>
      </c>
      <c r="G1781" s="1040" t="s">
        <v>3463</v>
      </c>
      <c r="H1781" s="273" t="s">
        <v>3462</v>
      </c>
      <c r="I1781" s="720">
        <f t="shared" si="390"/>
        <v>87.023200000000017</v>
      </c>
      <c r="J1781" s="780">
        <v>4177.1136000000006</v>
      </c>
      <c r="K1781" s="131">
        <f t="shared" si="385"/>
        <v>4177.1136000000006</v>
      </c>
      <c r="L1781" s="335">
        <f t="shared" si="395"/>
        <v>0</v>
      </c>
      <c r="M1781" s="446"/>
      <c r="N1781" s="446"/>
      <c r="O1781" s="446"/>
      <c r="P1781" s="446"/>
      <c r="Q1781" s="110">
        <f t="shared" si="388"/>
        <v>12</v>
      </c>
      <c r="R1781" s="111">
        <f t="shared" si="391"/>
        <v>1044.2784000000001</v>
      </c>
      <c r="S1781" s="110"/>
      <c r="T1781" s="110"/>
      <c r="U1781" s="110">
        <f t="shared" si="389"/>
        <v>12</v>
      </c>
      <c r="V1781" s="111">
        <f t="shared" si="392"/>
        <v>1044.2784000000001</v>
      </c>
      <c r="W1781" s="110"/>
      <c r="X1781" s="110"/>
      <c r="Y1781" s="110"/>
      <c r="Z1781" s="110"/>
      <c r="AA1781" s="110">
        <f t="shared" si="387"/>
        <v>12</v>
      </c>
      <c r="AB1781" s="111">
        <f t="shared" si="393"/>
        <v>1044.2784000000001</v>
      </c>
      <c r="AC1781" s="110"/>
      <c r="AD1781" s="110"/>
      <c r="AE1781" s="110">
        <f t="shared" si="387"/>
        <v>12</v>
      </c>
      <c r="AF1781" s="111">
        <f t="shared" si="394"/>
        <v>1044.2784000000001</v>
      </c>
      <c r="AG1781" s="110"/>
      <c r="AH1781" s="110"/>
      <c r="AI1781" s="110"/>
      <c r="AJ1781" s="110"/>
      <c r="AK1781" s="111">
        <f t="shared" si="396"/>
        <v>4177.1136000000006</v>
      </c>
      <c r="AL1781" s="446">
        <f t="shared" si="397"/>
        <v>0</v>
      </c>
      <c r="AM1781" s="110">
        <f t="shared" si="398"/>
        <v>48</v>
      </c>
      <c r="AN1781" s="447">
        <f t="shared" si="386"/>
        <v>0</v>
      </c>
      <c r="AO1781"/>
      <c r="AP1781"/>
    </row>
    <row r="1782" spans="1:42" ht="66" x14ac:dyDescent="0.25">
      <c r="A1782" s="40"/>
      <c r="B1782" s="43" t="s">
        <v>407</v>
      </c>
      <c r="C1782" s="1024"/>
      <c r="D1782" s="869">
        <v>2</v>
      </c>
      <c r="E1782" s="255" t="s">
        <v>1721</v>
      </c>
      <c r="F1782" s="273" t="s">
        <v>3446</v>
      </c>
      <c r="G1782" s="1040" t="s">
        <v>3463</v>
      </c>
      <c r="H1782" s="273" t="s">
        <v>3462</v>
      </c>
      <c r="I1782" s="720">
        <f t="shared" si="390"/>
        <v>154</v>
      </c>
      <c r="J1782" s="780">
        <v>308</v>
      </c>
      <c r="K1782" s="131">
        <f t="shared" si="385"/>
        <v>308</v>
      </c>
      <c r="L1782" s="335">
        <f t="shared" si="395"/>
        <v>0</v>
      </c>
      <c r="M1782" s="446"/>
      <c r="N1782" s="446"/>
      <c r="O1782" s="446"/>
      <c r="P1782" s="446"/>
      <c r="Q1782" s="130">
        <v>1</v>
      </c>
      <c r="R1782" s="111">
        <f t="shared" si="391"/>
        <v>77</v>
      </c>
      <c r="S1782" s="110"/>
      <c r="T1782" s="110"/>
      <c r="U1782" s="130">
        <v>1</v>
      </c>
      <c r="V1782" s="111">
        <f t="shared" si="392"/>
        <v>77</v>
      </c>
      <c r="W1782" s="110"/>
      <c r="X1782" s="110"/>
      <c r="Y1782" s="110"/>
      <c r="Z1782" s="110"/>
      <c r="AA1782" s="130">
        <v>0</v>
      </c>
      <c r="AB1782" s="111">
        <f t="shared" si="393"/>
        <v>77</v>
      </c>
      <c r="AC1782" s="110"/>
      <c r="AD1782" s="110"/>
      <c r="AE1782" s="130">
        <v>0</v>
      </c>
      <c r="AF1782" s="111">
        <f t="shared" si="394"/>
        <v>77</v>
      </c>
      <c r="AG1782" s="110"/>
      <c r="AH1782" s="110"/>
      <c r="AI1782" s="110"/>
      <c r="AJ1782" s="110"/>
      <c r="AK1782" s="111">
        <f t="shared" si="396"/>
        <v>308</v>
      </c>
      <c r="AL1782" s="446">
        <f t="shared" si="397"/>
        <v>0</v>
      </c>
      <c r="AM1782" s="110">
        <f t="shared" si="398"/>
        <v>2</v>
      </c>
      <c r="AN1782" s="447">
        <f t="shared" si="386"/>
        <v>0</v>
      </c>
      <c r="AO1782"/>
      <c r="AP1782"/>
    </row>
    <row r="1783" spans="1:42" ht="66" x14ac:dyDescent="0.25">
      <c r="A1783" s="40"/>
      <c r="B1783" s="34" t="s">
        <v>408</v>
      </c>
      <c r="C1783" s="1024"/>
      <c r="D1783" s="899">
        <v>384</v>
      </c>
      <c r="E1783" s="254" t="s">
        <v>1721</v>
      </c>
      <c r="F1783" s="273" t="s">
        <v>3446</v>
      </c>
      <c r="G1783" s="1040" t="s">
        <v>3463</v>
      </c>
      <c r="H1783" s="273" t="s">
        <v>3462</v>
      </c>
      <c r="I1783" s="720">
        <f t="shared" si="390"/>
        <v>33.686399999999999</v>
      </c>
      <c r="J1783" s="780">
        <v>12935.577600000001</v>
      </c>
      <c r="K1783" s="131">
        <f t="shared" si="385"/>
        <v>12935.577600000001</v>
      </c>
      <c r="L1783" s="335">
        <f t="shared" si="395"/>
        <v>0</v>
      </c>
      <c r="M1783" s="446"/>
      <c r="N1783" s="446"/>
      <c r="O1783" s="446"/>
      <c r="P1783" s="446"/>
      <c r="Q1783" s="110">
        <f t="shared" si="388"/>
        <v>96</v>
      </c>
      <c r="R1783" s="111">
        <f t="shared" si="391"/>
        <v>3233.8944000000001</v>
      </c>
      <c r="S1783" s="110"/>
      <c r="T1783" s="110"/>
      <c r="U1783" s="110">
        <f t="shared" si="389"/>
        <v>96</v>
      </c>
      <c r="V1783" s="111">
        <f t="shared" si="392"/>
        <v>3233.8944000000001</v>
      </c>
      <c r="W1783" s="110"/>
      <c r="X1783" s="110"/>
      <c r="Y1783" s="110"/>
      <c r="Z1783" s="110"/>
      <c r="AA1783" s="110">
        <f t="shared" si="387"/>
        <v>96</v>
      </c>
      <c r="AB1783" s="111">
        <f t="shared" si="393"/>
        <v>3233.8944000000001</v>
      </c>
      <c r="AC1783" s="110"/>
      <c r="AD1783" s="110"/>
      <c r="AE1783" s="110">
        <f t="shared" si="387"/>
        <v>96</v>
      </c>
      <c r="AF1783" s="111">
        <f t="shared" si="394"/>
        <v>3233.8944000000001</v>
      </c>
      <c r="AG1783" s="110"/>
      <c r="AH1783" s="110"/>
      <c r="AI1783" s="110"/>
      <c r="AJ1783" s="110"/>
      <c r="AK1783" s="111">
        <f t="shared" si="396"/>
        <v>12935.577600000001</v>
      </c>
      <c r="AL1783" s="446">
        <f t="shared" si="397"/>
        <v>0</v>
      </c>
      <c r="AM1783" s="110">
        <f t="shared" si="398"/>
        <v>384</v>
      </c>
      <c r="AN1783" s="447">
        <f t="shared" si="386"/>
        <v>0</v>
      </c>
      <c r="AO1783"/>
      <c r="AP1783"/>
    </row>
    <row r="1784" spans="1:42" ht="66" x14ac:dyDescent="0.25">
      <c r="A1784" s="40"/>
      <c r="B1784" s="46" t="s">
        <v>409</v>
      </c>
      <c r="C1784" s="1024"/>
      <c r="D1784" s="899">
        <v>576</v>
      </c>
      <c r="E1784" s="254" t="s">
        <v>1721</v>
      </c>
      <c r="F1784" s="273" t="s">
        <v>3446</v>
      </c>
      <c r="G1784" s="1040" t="s">
        <v>3463</v>
      </c>
      <c r="H1784" s="273" t="s">
        <v>3462</v>
      </c>
      <c r="I1784" s="720">
        <f t="shared" si="390"/>
        <v>16.8432</v>
      </c>
      <c r="J1784" s="780">
        <v>9701.6831999999995</v>
      </c>
      <c r="K1784" s="131">
        <f t="shared" si="385"/>
        <v>9701.6831999999995</v>
      </c>
      <c r="L1784" s="335">
        <f t="shared" si="395"/>
        <v>0</v>
      </c>
      <c r="M1784" s="446"/>
      <c r="N1784" s="446"/>
      <c r="O1784" s="446"/>
      <c r="P1784" s="446"/>
      <c r="Q1784" s="110">
        <f t="shared" si="388"/>
        <v>144</v>
      </c>
      <c r="R1784" s="111">
        <f t="shared" si="391"/>
        <v>2425.4207999999999</v>
      </c>
      <c r="S1784" s="110"/>
      <c r="T1784" s="110"/>
      <c r="U1784" s="110">
        <f t="shared" si="389"/>
        <v>144</v>
      </c>
      <c r="V1784" s="111">
        <f t="shared" si="392"/>
        <v>2425.4207999999999</v>
      </c>
      <c r="W1784" s="110"/>
      <c r="X1784" s="110"/>
      <c r="Y1784" s="110"/>
      <c r="Z1784" s="110"/>
      <c r="AA1784" s="110">
        <f t="shared" si="387"/>
        <v>144</v>
      </c>
      <c r="AB1784" s="111">
        <f t="shared" si="393"/>
        <v>2425.4207999999999</v>
      </c>
      <c r="AC1784" s="110"/>
      <c r="AD1784" s="110"/>
      <c r="AE1784" s="110">
        <f t="shared" si="387"/>
        <v>144</v>
      </c>
      <c r="AF1784" s="111">
        <f t="shared" si="394"/>
        <v>2425.4207999999999</v>
      </c>
      <c r="AG1784" s="110"/>
      <c r="AH1784" s="110"/>
      <c r="AI1784" s="110"/>
      <c r="AJ1784" s="110"/>
      <c r="AK1784" s="111">
        <f t="shared" si="396"/>
        <v>9701.6831999999995</v>
      </c>
      <c r="AL1784" s="446">
        <f t="shared" si="397"/>
        <v>0</v>
      </c>
      <c r="AM1784" s="110">
        <f t="shared" si="398"/>
        <v>576</v>
      </c>
      <c r="AN1784" s="447">
        <f t="shared" si="386"/>
        <v>0</v>
      </c>
      <c r="AO1784"/>
      <c r="AP1784"/>
    </row>
    <row r="1785" spans="1:42" ht="66" x14ac:dyDescent="0.25">
      <c r="A1785" s="40"/>
      <c r="B1785" s="482" t="s">
        <v>410</v>
      </c>
      <c r="C1785" s="1024"/>
      <c r="D1785" s="899">
        <v>40</v>
      </c>
      <c r="E1785" s="1027" t="s">
        <v>1721</v>
      </c>
      <c r="F1785" s="273" t="s">
        <v>3446</v>
      </c>
      <c r="G1785" s="1040" t="s">
        <v>3463</v>
      </c>
      <c r="H1785" s="273" t="s">
        <v>3462</v>
      </c>
      <c r="I1785" s="720">
        <f t="shared" si="390"/>
        <v>409.596</v>
      </c>
      <c r="J1785" s="780">
        <v>16383.84</v>
      </c>
      <c r="K1785" s="131">
        <f t="shared" si="385"/>
        <v>16383.84</v>
      </c>
      <c r="L1785" s="335">
        <f t="shared" si="395"/>
        <v>0</v>
      </c>
      <c r="M1785" s="446"/>
      <c r="N1785" s="446"/>
      <c r="O1785" s="446"/>
      <c r="P1785" s="446"/>
      <c r="Q1785" s="110">
        <f t="shared" si="388"/>
        <v>10</v>
      </c>
      <c r="R1785" s="111">
        <f t="shared" si="391"/>
        <v>4095.96</v>
      </c>
      <c r="S1785" s="110"/>
      <c r="T1785" s="110"/>
      <c r="U1785" s="110">
        <f t="shared" si="389"/>
        <v>10</v>
      </c>
      <c r="V1785" s="111">
        <f t="shared" si="392"/>
        <v>4095.96</v>
      </c>
      <c r="W1785" s="110"/>
      <c r="X1785" s="110"/>
      <c r="Y1785" s="110"/>
      <c r="Z1785" s="110"/>
      <c r="AA1785" s="110">
        <f t="shared" si="387"/>
        <v>10</v>
      </c>
      <c r="AB1785" s="111">
        <f t="shared" si="393"/>
        <v>4095.96</v>
      </c>
      <c r="AC1785" s="110"/>
      <c r="AD1785" s="110"/>
      <c r="AE1785" s="110">
        <f t="shared" si="387"/>
        <v>10</v>
      </c>
      <c r="AF1785" s="111">
        <f t="shared" si="394"/>
        <v>4095.96</v>
      </c>
      <c r="AG1785" s="110"/>
      <c r="AH1785" s="110"/>
      <c r="AI1785" s="110"/>
      <c r="AJ1785" s="110"/>
      <c r="AK1785" s="111">
        <f t="shared" si="396"/>
        <v>16383.84</v>
      </c>
      <c r="AL1785" s="446">
        <f t="shared" si="397"/>
        <v>0</v>
      </c>
      <c r="AM1785" s="110">
        <f t="shared" si="398"/>
        <v>40</v>
      </c>
      <c r="AN1785" s="447">
        <f t="shared" si="386"/>
        <v>0</v>
      </c>
      <c r="AO1785"/>
      <c r="AP1785"/>
    </row>
    <row r="1786" spans="1:42" ht="66" x14ac:dyDescent="0.25">
      <c r="A1786" s="40"/>
      <c r="B1786" s="482" t="s">
        <v>411</v>
      </c>
      <c r="C1786" s="1024"/>
      <c r="D1786" s="899">
        <v>60</v>
      </c>
      <c r="E1786" s="254" t="s">
        <v>1721</v>
      </c>
      <c r="F1786" s="273" t="s">
        <v>3446</v>
      </c>
      <c r="G1786" s="1040" t="s">
        <v>3463</v>
      </c>
      <c r="H1786" s="273" t="s">
        <v>3462</v>
      </c>
      <c r="I1786" s="720">
        <f t="shared" si="390"/>
        <v>381.524</v>
      </c>
      <c r="J1786" s="780">
        <v>22891.439999999999</v>
      </c>
      <c r="K1786" s="131">
        <f t="shared" si="385"/>
        <v>22891.439999999999</v>
      </c>
      <c r="L1786" s="335">
        <f t="shared" si="395"/>
        <v>0</v>
      </c>
      <c r="M1786" s="446"/>
      <c r="N1786" s="446"/>
      <c r="O1786" s="446"/>
      <c r="P1786" s="446"/>
      <c r="Q1786" s="110">
        <f t="shared" si="388"/>
        <v>15</v>
      </c>
      <c r="R1786" s="111">
        <f t="shared" si="391"/>
        <v>5722.86</v>
      </c>
      <c r="S1786" s="110"/>
      <c r="T1786" s="110"/>
      <c r="U1786" s="110">
        <f t="shared" si="389"/>
        <v>15</v>
      </c>
      <c r="V1786" s="111">
        <f t="shared" si="392"/>
        <v>5722.86</v>
      </c>
      <c r="W1786" s="110"/>
      <c r="X1786" s="110"/>
      <c r="Y1786" s="110"/>
      <c r="Z1786" s="110"/>
      <c r="AA1786" s="110">
        <f t="shared" si="387"/>
        <v>15</v>
      </c>
      <c r="AB1786" s="111">
        <f t="shared" si="393"/>
        <v>5722.86</v>
      </c>
      <c r="AC1786" s="110"/>
      <c r="AD1786" s="110"/>
      <c r="AE1786" s="110">
        <f t="shared" si="387"/>
        <v>15</v>
      </c>
      <c r="AF1786" s="111">
        <f t="shared" si="394"/>
        <v>5722.86</v>
      </c>
      <c r="AG1786" s="110"/>
      <c r="AH1786" s="110"/>
      <c r="AI1786" s="110"/>
      <c r="AJ1786" s="110"/>
      <c r="AK1786" s="111">
        <f t="shared" si="396"/>
        <v>22891.439999999999</v>
      </c>
      <c r="AL1786" s="446">
        <f t="shared" si="397"/>
        <v>0</v>
      </c>
      <c r="AM1786" s="110">
        <f t="shared" si="398"/>
        <v>60</v>
      </c>
      <c r="AN1786" s="447">
        <f t="shared" si="386"/>
        <v>0</v>
      </c>
      <c r="AO1786"/>
      <c r="AP1786"/>
    </row>
    <row r="1787" spans="1:42" ht="66" x14ac:dyDescent="0.25">
      <c r="A1787" s="40"/>
      <c r="B1787" s="482" t="s">
        <v>412</v>
      </c>
      <c r="C1787" s="1024"/>
      <c r="D1787" s="899">
        <v>40</v>
      </c>
      <c r="E1787" s="1027" t="s">
        <v>1721</v>
      </c>
      <c r="F1787" s="273" t="s">
        <v>3446</v>
      </c>
      <c r="G1787" s="1040" t="s">
        <v>3463</v>
      </c>
      <c r="H1787" s="273" t="s">
        <v>3462</v>
      </c>
      <c r="I1787" s="720">
        <f t="shared" si="390"/>
        <v>386.62800000000004</v>
      </c>
      <c r="J1787" s="780">
        <v>15465.120000000003</v>
      </c>
      <c r="K1787" s="131">
        <f t="shared" si="385"/>
        <v>15465.120000000003</v>
      </c>
      <c r="L1787" s="335">
        <f t="shared" si="395"/>
        <v>0</v>
      </c>
      <c r="M1787" s="446"/>
      <c r="N1787" s="446"/>
      <c r="O1787" s="446"/>
      <c r="P1787" s="446"/>
      <c r="Q1787" s="110">
        <f t="shared" si="388"/>
        <v>10</v>
      </c>
      <c r="R1787" s="111">
        <f t="shared" si="391"/>
        <v>3866.2800000000007</v>
      </c>
      <c r="S1787" s="110"/>
      <c r="T1787" s="110"/>
      <c r="U1787" s="110">
        <f t="shared" si="389"/>
        <v>10</v>
      </c>
      <c r="V1787" s="111">
        <f t="shared" si="392"/>
        <v>3866.2800000000007</v>
      </c>
      <c r="W1787" s="110"/>
      <c r="X1787" s="110"/>
      <c r="Y1787" s="110"/>
      <c r="Z1787" s="110"/>
      <c r="AA1787" s="110">
        <f t="shared" si="387"/>
        <v>10</v>
      </c>
      <c r="AB1787" s="111">
        <f t="shared" si="393"/>
        <v>3866.2800000000007</v>
      </c>
      <c r="AC1787" s="110"/>
      <c r="AD1787" s="110"/>
      <c r="AE1787" s="110">
        <f t="shared" si="387"/>
        <v>10</v>
      </c>
      <c r="AF1787" s="111">
        <f t="shared" si="394"/>
        <v>3866.2800000000007</v>
      </c>
      <c r="AG1787" s="110"/>
      <c r="AH1787" s="110"/>
      <c r="AI1787" s="110"/>
      <c r="AJ1787" s="110"/>
      <c r="AK1787" s="111">
        <f t="shared" si="396"/>
        <v>15465.120000000003</v>
      </c>
      <c r="AL1787" s="446">
        <f t="shared" si="397"/>
        <v>0</v>
      </c>
      <c r="AM1787" s="110">
        <f t="shared" si="398"/>
        <v>40</v>
      </c>
      <c r="AN1787" s="447">
        <f t="shared" si="386"/>
        <v>0</v>
      </c>
      <c r="AO1787"/>
      <c r="AP1787"/>
    </row>
    <row r="1788" spans="1:42" ht="66" x14ac:dyDescent="0.25">
      <c r="A1788" s="40"/>
      <c r="B1788" s="34" t="s">
        <v>413</v>
      </c>
      <c r="C1788" s="1024"/>
      <c r="D1788" s="899">
        <v>48</v>
      </c>
      <c r="E1788" s="254" t="s">
        <v>1722</v>
      </c>
      <c r="F1788" s="273" t="s">
        <v>3446</v>
      </c>
      <c r="G1788" s="1040" t="s">
        <v>3463</v>
      </c>
      <c r="H1788" s="273" t="s">
        <v>3462</v>
      </c>
      <c r="I1788" s="720">
        <f t="shared" si="390"/>
        <v>363.5324</v>
      </c>
      <c r="J1788" s="780">
        <v>17449.555199999999</v>
      </c>
      <c r="K1788" s="131">
        <f t="shared" si="385"/>
        <v>17449.555199999999</v>
      </c>
      <c r="L1788" s="335">
        <f t="shared" si="395"/>
        <v>0</v>
      </c>
      <c r="M1788" s="446"/>
      <c r="N1788" s="446"/>
      <c r="O1788" s="446"/>
      <c r="P1788" s="446"/>
      <c r="Q1788" s="110">
        <f t="shared" si="388"/>
        <v>12</v>
      </c>
      <c r="R1788" s="111">
        <f t="shared" si="391"/>
        <v>4362.3887999999997</v>
      </c>
      <c r="S1788" s="110"/>
      <c r="T1788" s="110"/>
      <c r="U1788" s="110">
        <f t="shared" si="389"/>
        <v>12</v>
      </c>
      <c r="V1788" s="111">
        <f t="shared" si="392"/>
        <v>4362.3887999999997</v>
      </c>
      <c r="W1788" s="110"/>
      <c r="X1788" s="110"/>
      <c r="Y1788" s="110"/>
      <c r="Z1788" s="110"/>
      <c r="AA1788" s="110">
        <f t="shared" si="387"/>
        <v>12</v>
      </c>
      <c r="AB1788" s="111">
        <f t="shared" si="393"/>
        <v>4362.3887999999997</v>
      </c>
      <c r="AC1788" s="110"/>
      <c r="AD1788" s="110"/>
      <c r="AE1788" s="110">
        <f t="shared" si="387"/>
        <v>12</v>
      </c>
      <c r="AF1788" s="111">
        <f t="shared" si="394"/>
        <v>4362.3887999999997</v>
      </c>
      <c r="AG1788" s="110"/>
      <c r="AH1788" s="110"/>
      <c r="AI1788" s="110"/>
      <c r="AJ1788" s="110"/>
      <c r="AK1788" s="111">
        <f t="shared" si="396"/>
        <v>17449.555199999999</v>
      </c>
      <c r="AL1788" s="446">
        <f t="shared" si="397"/>
        <v>0</v>
      </c>
      <c r="AM1788" s="110">
        <f t="shared" si="398"/>
        <v>48</v>
      </c>
      <c r="AN1788" s="447">
        <f t="shared" si="386"/>
        <v>0</v>
      </c>
      <c r="AO1788"/>
      <c r="AP1788"/>
    </row>
    <row r="1789" spans="1:42" ht="66" x14ac:dyDescent="0.25">
      <c r="A1789" s="40"/>
      <c r="B1789" s="34" t="s">
        <v>414</v>
      </c>
      <c r="C1789" s="1024"/>
      <c r="D1789" s="899">
        <v>24</v>
      </c>
      <c r="E1789" s="254" t="s">
        <v>1725</v>
      </c>
      <c r="F1789" s="273" t="s">
        <v>3446</v>
      </c>
      <c r="G1789" s="1040" t="s">
        <v>3463</v>
      </c>
      <c r="H1789" s="273" t="s">
        <v>3462</v>
      </c>
      <c r="I1789" s="720">
        <f t="shared" si="390"/>
        <v>463.18799999999993</v>
      </c>
      <c r="J1789" s="780">
        <v>11116.511999999999</v>
      </c>
      <c r="K1789" s="131">
        <f t="shared" si="385"/>
        <v>11116.511999999999</v>
      </c>
      <c r="L1789" s="335">
        <f t="shared" si="395"/>
        <v>0</v>
      </c>
      <c r="M1789" s="446"/>
      <c r="N1789" s="446"/>
      <c r="O1789" s="446"/>
      <c r="P1789" s="446"/>
      <c r="Q1789" s="110">
        <f t="shared" si="388"/>
        <v>6</v>
      </c>
      <c r="R1789" s="111">
        <f t="shared" si="391"/>
        <v>2779.1279999999997</v>
      </c>
      <c r="S1789" s="110"/>
      <c r="T1789" s="110"/>
      <c r="U1789" s="110">
        <f t="shared" si="389"/>
        <v>6</v>
      </c>
      <c r="V1789" s="111">
        <f t="shared" si="392"/>
        <v>2779.1279999999997</v>
      </c>
      <c r="W1789" s="110"/>
      <c r="X1789" s="110"/>
      <c r="Y1789" s="110"/>
      <c r="Z1789" s="110"/>
      <c r="AA1789" s="110">
        <f t="shared" si="387"/>
        <v>6</v>
      </c>
      <c r="AB1789" s="111">
        <f t="shared" si="393"/>
        <v>2779.1279999999997</v>
      </c>
      <c r="AC1789" s="110"/>
      <c r="AD1789" s="110"/>
      <c r="AE1789" s="110">
        <f t="shared" si="387"/>
        <v>6</v>
      </c>
      <c r="AF1789" s="111">
        <f t="shared" si="394"/>
        <v>2779.1279999999997</v>
      </c>
      <c r="AG1789" s="110"/>
      <c r="AH1789" s="110"/>
      <c r="AI1789" s="110"/>
      <c r="AJ1789" s="110"/>
      <c r="AK1789" s="111">
        <f t="shared" si="396"/>
        <v>11116.511999999999</v>
      </c>
      <c r="AL1789" s="446">
        <f t="shared" si="397"/>
        <v>0</v>
      </c>
      <c r="AM1789" s="110">
        <f t="shared" si="398"/>
        <v>24</v>
      </c>
      <c r="AN1789" s="447">
        <f t="shared" si="386"/>
        <v>0</v>
      </c>
      <c r="AO1789"/>
      <c r="AP1789"/>
    </row>
    <row r="1790" spans="1:42" ht="66" x14ac:dyDescent="0.25">
      <c r="A1790" s="40"/>
      <c r="B1790" s="34" t="s">
        <v>415</v>
      </c>
      <c r="C1790" s="1024"/>
      <c r="D1790" s="899">
        <v>24</v>
      </c>
      <c r="E1790" s="254" t="s">
        <v>1725</v>
      </c>
      <c r="F1790" s="273" t="s">
        <v>3446</v>
      </c>
      <c r="G1790" s="1040" t="s">
        <v>3463</v>
      </c>
      <c r="H1790" s="273" t="s">
        <v>3462</v>
      </c>
      <c r="I1790" s="720">
        <f t="shared" si="390"/>
        <v>463.18799999999993</v>
      </c>
      <c r="J1790" s="780">
        <v>11116.511999999999</v>
      </c>
      <c r="K1790" s="131">
        <f t="shared" si="385"/>
        <v>11116.511999999999</v>
      </c>
      <c r="L1790" s="335">
        <f t="shared" si="395"/>
        <v>0</v>
      </c>
      <c r="M1790" s="446"/>
      <c r="N1790" s="446"/>
      <c r="O1790" s="446"/>
      <c r="P1790" s="446"/>
      <c r="Q1790" s="110">
        <f t="shared" si="388"/>
        <v>6</v>
      </c>
      <c r="R1790" s="111">
        <f t="shared" si="391"/>
        <v>2779.1279999999997</v>
      </c>
      <c r="S1790" s="110"/>
      <c r="T1790" s="110"/>
      <c r="U1790" s="110">
        <f t="shared" si="389"/>
        <v>6</v>
      </c>
      <c r="V1790" s="111">
        <f t="shared" si="392"/>
        <v>2779.1279999999997</v>
      </c>
      <c r="W1790" s="110"/>
      <c r="X1790" s="110"/>
      <c r="Y1790" s="110"/>
      <c r="Z1790" s="110"/>
      <c r="AA1790" s="110">
        <f t="shared" si="387"/>
        <v>6</v>
      </c>
      <c r="AB1790" s="111">
        <f t="shared" si="393"/>
        <v>2779.1279999999997</v>
      </c>
      <c r="AC1790" s="110"/>
      <c r="AD1790" s="110"/>
      <c r="AE1790" s="110">
        <f t="shared" si="387"/>
        <v>6</v>
      </c>
      <c r="AF1790" s="111">
        <f t="shared" si="394"/>
        <v>2779.1279999999997</v>
      </c>
      <c r="AG1790" s="110"/>
      <c r="AH1790" s="110"/>
      <c r="AI1790" s="110"/>
      <c r="AJ1790" s="110"/>
      <c r="AK1790" s="111">
        <f t="shared" si="396"/>
        <v>11116.511999999999</v>
      </c>
      <c r="AL1790" s="446">
        <f t="shared" si="397"/>
        <v>0</v>
      </c>
      <c r="AM1790" s="110">
        <f t="shared" si="398"/>
        <v>24</v>
      </c>
      <c r="AN1790" s="447">
        <f t="shared" si="386"/>
        <v>0</v>
      </c>
      <c r="AO1790"/>
      <c r="AP1790"/>
    </row>
    <row r="1791" spans="1:42" ht="66" x14ac:dyDescent="0.25">
      <c r="A1791" s="40"/>
      <c r="B1791" s="434" t="s">
        <v>1175</v>
      </c>
      <c r="C1791" s="1024"/>
      <c r="D1791" s="899">
        <f>11218+154</f>
        <v>11372</v>
      </c>
      <c r="E1791" s="254" t="s">
        <v>1721</v>
      </c>
      <c r="F1791" s="273" t="s">
        <v>3446</v>
      </c>
      <c r="G1791" s="1040" t="s">
        <v>3463</v>
      </c>
      <c r="H1791" s="273" t="s">
        <v>3462</v>
      </c>
      <c r="I1791" s="720">
        <f t="shared" si="390"/>
        <v>30.241435103763632</v>
      </c>
      <c r="J1791" s="780">
        <f>338546.4+5359.2</f>
        <v>343905.60000000003</v>
      </c>
      <c r="K1791" s="131">
        <f t="shared" si="385"/>
        <v>343905.60000000003</v>
      </c>
      <c r="L1791" s="335">
        <f t="shared" si="395"/>
        <v>0</v>
      </c>
      <c r="M1791" s="446"/>
      <c r="N1791" s="446"/>
      <c r="O1791" s="446"/>
      <c r="P1791" s="446"/>
      <c r="Q1791" s="110">
        <f t="shared" si="388"/>
        <v>2843</v>
      </c>
      <c r="R1791" s="111">
        <f t="shared" si="391"/>
        <v>85976.400000000009</v>
      </c>
      <c r="S1791" s="110"/>
      <c r="T1791" s="110"/>
      <c r="U1791" s="110">
        <f t="shared" si="389"/>
        <v>2843</v>
      </c>
      <c r="V1791" s="111">
        <f t="shared" si="392"/>
        <v>85976.400000000009</v>
      </c>
      <c r="W1791" s="110"/>
      <c r="X1791" s="110"/>
      <c r="Y1791" s="110"/>
      <c r="Z1791" s="110"/>
      <c r="AA1791" s="110">
        <f t="shared" si="387"/>
        <v>2843</v>
      </c>
      <c r="AB1791" s="111">
        <f t="shared" si="393"/>
        <v>85976.400000000009</v>
      </c>
      <c r="AC1791" s="110"/>
      <c r="AD1791" s="110"/>
      <c r="AE1791" s="110">
        <f t="shared" si="387"/>
        <v>2843</v>
      </c>
      <c r="AF1791" s="111">
        <f t="shared" si="394"/>
        <v>85976.400000000009</v>
      </c>
      <c r="AG1791" s="110"/>
      <c r="AH1791" s="110"/>
      <c r="AI1791" s="110"/>
      <c r="AJ1791" s="110"/>
      <c r="AK1791" s="111">
        <f t="shared" si="396"/>
        <v>343905.60000000003</v>
      </c>
      <c r="AL1791" s="446">
        <f t="shared" si="397"/>
        <v>0</v>
      </c>
      <c r="AM1791" s="110">
        <f t="shared" si="398"/>
        <v>11372</v>
      </c>
      <c r="AN1791" s="447">
        <f t="shared" si="386"/>
        <v>0</v>
      </c>
      <c r="AO1791"/>
      <c r="AP1791"/>
    </row>
    <row r="1792" spans="1:42" ht="66" x14ac:dyDescent="0.25">
      <c r="A1792" s="40"/>
      <c r="B1792" s="34" t="s">
        <v>416</v>
      </c>
      <c r="C1792" s="1024"/>
      <c r="D1792" s="899">
        <f>6</f>
        <v>6</v>
      </c>
      <c r="E1792" s="254" t="s">
        <v>1834</v>
      </c>
      <c r="F1792" s="273" t="s">
        <v>3446</v>
      </c>
      <c r="G1792" s="1040" t="s">
        <v>3463</v>
      </c>
      <c r="H1792" s="273" t="s">
        <v>3462</v>
      </c>
      <c r="I1792" s="720">
        <f t="shared" si="390"/>
        <v>255.23500000000001</v>
      </c>
      <c r="J1792" s="780">
        <f>1531.41</f>
        <v>1531.41</v>
      </c>
      <c r="K1792" s="131">
        <f t="shared" si="385"/>
        <v>1531.41</v>
      </c>
      <c r="L1792" s="335">
        <f t="shared" si="395"/>
        <v>0</v>
      </c>
      <c r="M1792" s="446"/>
      <c r="N1792" s="446"/>
      <c r="O1792" s="446"/>
      <c r="P1792" s="446"/>
      <c r="Q1792" s="130">
        <v>2</v>
      </c>
      <c r="R1792" s="111">
        <f t="shared" si="391"/>
        <v>382.85250000000002</v>
      </c>
      <c r="S1792" s="110"/>
      <c r="T1792" s="110"/>
      <c r="U1792" s="130">
        <v>2</v>
      </c>
      <c r="V1792" s="111">
        <f t="shared" si="392"/>
        <v>382.85250000000002</v>
      </c>
      <c r="W1792" s="110"/>
      <c r="X1792" s="110"/>
      <c r="Y1792" s="110"/>
      <c r="Z1792" s="110"/>
      <c r="AA1792" s="130">
        <v>1</v>
      </c>
      <c r="AB1792" s="111">
        <f t="shared" si="393"/>
        <v>382.85250000000002</v>
      </c>
      <c r="AC1792" s="110"/>
      <c r="AD1792" s="110"/>
      <c r="AE1792" s="130">
        <v>1</v>
      </c>
      <c r="AF1792" s="111">
        <f t="shared" si="394"/>
        <v>382.85250000000002</v>
      </c>
      <c r="AG1792" s="110"/>
      <c r="AH1792" s="110"/>
      <c r="AI1792" s="110"/>
      <c r="AJ1792" s="110"/>
      <c r="AK1792" s="111">
        <f t="shared" si="396"/>
        <v>1531.41</v>
      </c>
      <c r="AL1792" s="446">
        <f t="shared" si="397"/>
        <v>0</v>
      </c>
      <c r="AM1792" s="110">
        <f t="shared" si="398"/>
        <v>6</v>
      </c>
      <c r="AN1792" s="447">
        <f t="shared" si="386"/>
        <v>0</v>
      </c>
      <c r="AO1792"/>
      <c r="AP1792"/>
    </row>
    <row r="1793" spans="1:42" ht="66" x14ac:dyDescent="0.25">
      <c r="A1793" s="40"/>
      <c r="B1793" s="34" t="s">
        <v>1530</v>
      </c>
      <c r="C1793" s="1024"/>
      <c r="D1793" s="899">
        <f>336</f>
        <v>336</v>
      </c>
      <c r="E1793" s="254" t="s">
        <v>1721</v>
      </c>
      <c r="F1793" s="273" t="s">
        <v>3446</v>
      </c>
      <c r="G1793" s="1040" t="s">
        <v>3463</v>
      </c>
      <c r="H1793" s="273" t="s">
        <v>3462</v>
      </c>
      <c r="I1793" s="720">
        <f t="shared" si="390"/>
        <v>31.9</v>
      </c>
      <c r="J1793" s="780">
        <f>10718.4</f>
        <v>10718.4</v>
      </c>
      <c r="K1793" s="131">
        <f t="shared" si="385"/>
        <v>10718.4</v>
      </c>
      <c r="L1793" s="335">
        <f t="shared" si="395"/>
        <v>0</v>
      </c>
      <c r="M1793" s="446"/>
      <c r="N1793" s="446"/>
      <c r="O1793" s="446"/>
      <c r="P1793" s="446"/>
      <c r="Q1793" s="110">
        <f t="shared" si="388"/>
        <v>84</v>
      </c>
      <c r="R1793" s="111">
        <f t="shared" si="391"/>
        <v>2679.6</v>
      </c>
      <c r="S1793" s="110"/>
      <c r="T1793" s="110"/>
      <c r="U1793" s="110">
        <f t="shared" si="389"/>
        <v>84</v>
      </c>
      <c r="V1793" s="111">
        <f t="shared" si="392"/>
        <v>2679.6</v>
      </c>
      <c r="W1793" s="110"/>
      <c r="X1793" s="110"/>
      <c r="Y1793" s="110"/>
      <c r="Z1793" s="110"/>
      <c r="AA1793" s="110">
        <f t="shared" si="387"/>
        <v>84</v>
      </c>
      <c r="AB1793" s="111">
        <f t="shared" si="393"/>
        <v>2679.6</v>
      </c>
      <c r="AC1793" s="110"/>
      <c r="AD1793" s="110"/>
      <c r="AE1793" s="110">
        <f t="shared" si="387"/>
        <v>84</v>
      </c>
      <c r="AF1793" s="111">
        <f t="shared" si="394"/>
        <v>2679.6</v>
      </c>
      <c r="AG1793" s="110"/>
      <c r="AH1793" s="110"/>
      <c r="AI1793" s="110"/>
      <c r="AJ1793" s="110"/>
      <c r="AK1793" s="111">
        <f t="shared" si="396"/>
        <v>10718.4</v>
      </c>
      <c r="AL1793" s="446">
        <f t="shared" si="397"/>
        <v>0</v>
      </c>
      <c r="AM1793" s="110">
        <f t="shared" si="398"/>
        <v>336</v>
      </c>
      <c r="AN1793" s="447">
        <f t="shared" si="386"/>
        <v>0</v>
      </c>
      <c r="AO1793"/>
      <c r="AP1793"/>
    </row>
    <row r="1794" spans="1:42" ht="66" x14ac:dyDescent="0.25">
      <c r="A1794" s="40"/>
      <c r="B1794" s="34" t="s">
        <v>1437</v>
      </c>
      <c r="C1794" s="1024"/>
      <c r="D1794" s="899">
        <v>88</v>
      </c>
      <c r="E1794" s="254" t="s">
        <v>1721</v>
      </c>
      <c r="F1794" s="273" t="s">
        <v>3446</v>
      </c>
      <c r="G1794" s="1040" t="s">
        <v>3463</v>
      </c>
      <c r="H1794" s="273" t="s">
        <v>3462</v>
      </c>
      <c r="I1794" s="720">
        <f t="shared" si="390"/>
        <v>223.79875000000001</v>
      </c>
      <c r="J1794" s="780">
        <v>19694.29</v>
      </c>
      <c r="K1794" s="131">
        <f t="shared" si="385"/>
        <v>19694.29</v>
      </c>
      <c r="L1794" s="335">
        <f t="shared" si="395"/>
        <v>0</v>
      </c>
      <c r="M1794" s="446"/>
      <c r="N1794" s="446"/>
      <c r="O1794" s="446"/>
      <c r="P1794" s="446"/>
      <c r="Q1794" s="110">
        <f t="shared" si="388"/>
        <v>22</v>
      </c>
      <c r="R1794" s="111">
        <f t="shared" si="391"/>
        <v>4923.5725000000002</v>
      </c>
      <c r="S1794" s="110"/>
      <c r="T1794" s="110"/>
      <c r="U1794" s="110">
        <f t="shared" si="389"/>
        <v>22</v>
      </c>
      <c r="V1794" s="111">
        <f t="shared" si="392"/>
        <v>4923.5725000000002</v>
      </c>
      <c r="W1794" s="110"/>
      <c r="X1794" s="110"/>
      <c r="Y1794" s="110"/>
      <c r="Z1794" s="110"/>
      <c r="AA1794" s="110">
        <f t="shared" si="387"/>
        <v>22</v>
      </c>
      <c r="AB1794" s="111">
        <f t="shared" si="393"/>
        <v>4923.5725000000002</v>
      </c>
      <c r="AC1794" s="110"/>
      <c r="AD1794" s="110"/>
      <c r="AE1794" s="110">
        <f t="shared" si="387"/>
        <v>22</v>
      </c>
      <c r="AF1794" s="111">
        <f t="shared" si="394"/>
        <v>4923.5725000000002</v>
      </c>
      <c r="AG1794" s="110"/>
      <c r="AH1794" s="110"/>
      <c r="AI1794" s="110"/>
      <c r="AJ1794" s="110"/>
      <c r="AK1794" s="111">
        <f t="shared" si="396"/>
        <v>19694.29</v>
      </c>
      <c r="AL1794" s="446">
        <f t="shared" si="397"/>
        <v>0</v>
      </c>
      <c r="AM1794" s="110">
        <f t="shared" si="398"/>
        <v>88</v>
      </c>
      <c r="AN1794" s="447">
        <f t="shared" si="386"/>
        <v>0</v>
      </c>
      <c r="AO1794"/>
      <c r="AP1794"/>
    </row>
    <row r="1795" spans="1:42" ht="66" x14ac:dyDescent="0.25">
      <c r="A1795" s="40"/>
      <c r="B1795" s="34" t="s">
        <v>417</v>
      </c>
      <c r="C1795" s="1024"/>
      <c r="D1795" s="899">
        <f>3</f>
        <v>3</v>
      </c>
      <c r="E1795" s="254" t="s">
        <v>1834</v>
      </c>
      <c r="F1795" s="273" t="s">
        <v>3446</v>
      </c>
      <c r="G1795" s="1040" t="s">
        <v>3463</v>
      </c>
      <c r="H1795" s="273" t="s">
        <v>3462</v>
      </c>
      <c r="I1795" s="720">
        <f t="shared" si="390"/>
        <v>125.38333333333333</v>
      </c>
      <c r="J1795" s="780">
        <f>376.15</f>
        <v>376.15</v>
      </c>
      <c r="K1795" s="131">
        <f t="shared" si="385"/>
        <v>376.15</v>
      </c>
      <c r="L1795" s="335">
        <f t="shared" si="395"/>
        <v>0</v>
      </c>
      <c r="M1795" s="446"/>
      <c r="N1795" s="446"/>
      <c r="O1795" s="446"/>
      <c r="P1795" s="446"/>
      <c r="Q1795" s="130">
        <v>1</v>
      </c>
      <c r="R1795" s="111">
        <f t="shared" si="391"/>
        <v>94.037499999999994</v>
      </c>
      <c r="S1795" s="110"/>
      <c r="T1795" s="110"/>
      <c r="U1795" s="130">
        <v>1</v>
      </c>
      <c r="V1795" s="111">
        <f t="shared" si="392"/>
        <v>94.037499999999994</v>
      </c>
      <c r="W1795" s="110"/>
      <c r="X1795" s="110"/>
      <c r="Y1795" s="110"/>
      <c r="Z1795" s="110"/>
      <c r="AA1795" s="130">
        <v>1</v>
      </c>
      <c r="AB1795" s="111">
        <f t="shared" si="393"/>
        <v>94.037499999999994</v>
      </c>
      <c r="AC1795" s="110"/>
      <c r="AD1795" s="110"/>
      <c r="AE1795" s="130">
        <v>0</v>
      </c>
      <c r="AF1795" s="111">
        <f t="shared" si="394"/>
        <v>94.037499999999994</v>
      </c>
      <c r="AG1795" s="110"/>
      <c r="AH1795" s="110"/>
      <c r="AI1795" s="110"/>
      <c r="AJ1795" s="110"/>
      <c r="AK1795" s="111">
        <f t="shared" si="396"/>
        <v>376.15</v>
      </c>
      <c r="AL1795" s="446">
        <f t="shared" si="397"/>
        <v>0</v>
      </c>
      <c r="AM1795" s="110">
        <f t="shared" si="398"/>
        <v>3</v>
      </c>
      <c r="AN1795" s="447">
        <f t="shared" si="386"/>
        <v>0</v>
      </c>
      <c r="AO1795"/>
      <c r="AP1795"/>
    </row>
    <row r="1796" spans="1:42" ht="66" x14ac:dyDescent="0.25">
      <c r="A1796" s="40"/>
      <c r="B1796" s="34" t="s">
        <v>418</v>
      </c>
      <c r="C1796" s="1024"/>
      <c r="D1796" s="899">
        <f>48</f>
        <v>48</v>
      </c>
      <c r="E1796" s="254" t="s">
        <v>1721</v>
      </c>
      <c r="F1796" s="273" t="s">
        <v>3446</v>
      </c>
      <c r="G1796" s="1040" t="s">
        <v>3463</v>
      </c>
      <c r="H1796" s="273" t="s">
        <v>3462</v>
      </c>
      <c r="I1796" s="720">
        <f t="shared" si="390"/>
        <v>40.704374999999999</v>
      </c>
      <c r="J1796" s="780">
        <f>1953.81</f>
        <v>1953.81</v>
      </c>
      <c r="K1796" s="131">
        <f t="shared" ref="K1796:K1859" si="399">+D1796*I1796</f>
        <v>1953.81</v>
      </c>
      <c r="L1796" s="335">
        <f t="shared" si="395"/>
        <v>0</v>
      </c>
      <c r="M1796" s="446"/>
      <c r="N1796" s="446"/>
      <c r="O1796" s="446"/>
      <c r="P1796" s="446"/>
      <c r="Q1796" s="110">
        <f t="shared" si="388"/>
        <v>12</v>
      </c>
      <c r="R1796" s="111">
        <f t="shared" si="391"/>
        <v>488.45249999999999</v>
      </c>
      <c r="S1796" s="110"/>
      <c r="T1796" s="110"/>
      <c r="U1796" s="110">
        <f t="shared" si="389"/>
        <v>12</v>
      </c>
      <c r="V1796" s="111">
        <f t="shared" si="392"/>
        <v>488.45249999999999</v>
      </c>
      <c r="W1796" s="110"/>
      <c r="X1796" s="110"/>
      <c r="Y1796" s="110"/>
      <c r="Z1796" s="110"/>
      <c r="AA1796" s="110">
        <f t="shared" si="387"/>
        <v>12</v>
      </c>
      <c r="AB1796" s="111">
        <f t="shared" si="393"/>
        <v>488.45249999999999</v>
      </c>
      <c r="AC1796" s="110"/>
      <c r="AD1796" s="110"/>
      <c r="AE1796" s="110">
        <f t="shared" si="387"/>
        <v>12</v>
      </c>
      <c r="AF1796" s="111">
        <f t="shared" si="394"/>
        <v>488.45249999999999</v>
      </c>
      <c r="AG1796" s="110"/>
      <c r="AH1796" s="110"/>
      <c r="AI1796" s="110"/>
      <c r="AJ1796" s="110"/>
      <c r="AK1796" s="111">
        <f t="shared" si="396"/>
        <v>1953.81</v>
      </c>
      <c r="AL1796" s="446">
        <f t="shared" si="397"/>
        <v>0</v>
      </c>
      <c r="AM1796" s="110">
        <f t="shared" si="398"/>
        <v>48</v>
      </c>
      <c r="AN1796" s="447">
        <f t="shared" ref="AN1796:AN1859" si="400">+D1796-AM1796</f>
        <v>0</v>
      </c>
      <c r="AO1796"/>
      <c r="AP1796"/>
    </row>
    <row r="1797" spans="1:42" ht="66" x14ac:dyDescent="0.25">
      <c r="A1797" s="40"/>
      <c r="B1797" s="34" t="s">
        <v>419</v>
      </c>
      <c r="C1797" s="1024"/>
      <c r="D1797" s="899">
        <f>11+36</f>
        <v>47</v>
      </c>
      <c r="E1797" s="254" t="s">
        <v>1721</v>
      </c>
      <c r="F1797" s="273" t="s">
        <v>3446</v>
      </c>
      <c r="G1797" s="1040" t="s">
        <v>3463</v>
      </c>
      <c r="H1797" s="273" t="s">
        <v>3462</v>
      </c>
      <c r="I1797" s="720">
        <f t="shared" si="390"/>
        <v>49.272765957446801</v>
      </c>
      <c r="J1797" s="780">
        <f>597.81+1718.01</f>
        <v>2315.8199999999997</v>
      </c>
      <c r="K1797" s="131">
        <f t="shared" si="399"/>
        <v>2315.8199999999997</v>
      </c>
      <c r="L1797" s="335">
        <f t="shared" si="395"/>
        <v>0</v>
      </c>
      <c r="M1797" s="446"/>
      <c r="N1797" s="446"/>
      <c r="O1797" s="446"/>
      <c r="P1797" s="446"/>
      <c r="Q1797" s="110">
        <v>12</v>
      </c>
      <c r="R1797" s="111">
        <f t="shared" si="391"/>
        <v>578.95499999999993</v>
      </c>
      <c r="S1797" s="110"/>
      <c r="T1797" s="110"/>
      <c r="U1797" s="110">
        <v>12</v>
      </c>
      <c r="V1797" s="111">
        <f t="shared" si="392"/>
        <v>578.95499999999993</v>
      </c>
      <c r="W1797" s="110"/>
      <c r="X1797" s="110"/>
      <c r="Y1797" s="110"/>
      <c r="Z1797" s="110"/>
      <c r="AA1797" s="110">
        <v>12</v>
      </c>
      <c r="AB1797" s="111">
        <f t="shared" si="393"/>
        <v>578.95499999999993</v>
      </c>
      <c r="AC1797" s="110"/>
      <c r="AD1797" s="110"/>
      <c r="AE1797" s="110">
        <v>11</v>
      </c>
      <c r="AF1797" s="111">
        <f t="shared" si="394"/>
        <v>578.95499999999993</v>
      </c>
      <c r="AG1797" s="110"/>
      <c r="AH1797" s="110"/>
      <c r="AI1797" s="110"/>
      <c r="AJ1797" s="110"/>
      <c r="AK1797" s="111">
        <f t="shared" si="396"/>
        <v>2315.8199999999997</v>
      </c>
      <c r="AL1797" s="446">
        <f t="shared" si="397"/>
        <v>0</v>
      </c>
      <c r="AM1797" s="110">
        <f t="shared" si="398"/>
        <v>47</v>
      </c>
      <c r="AN1797" s="447">
        <f t="shared" si="400"/>
        <v>0</v>
      </c>
      <c r="AO1797"/>
      <c r="AP1797"/>
    </row>
    <row r="1798" spans="1:42" ht="66" x14ac:dyDescent="0.25">
      <c r="A1798" s="40"/>
      <c r="B1798" s="34" t="s">
        <v>420</v>
      </c>
      <c r="C1798" s="1024"/>
      <c r="D1798" s="899">
        <f>288</f>
        <v>288</v>
      </c>
      <c r="E1798" s="254" t="s">
        <v>1721</v>
      </c>
      <c r="F1798" s="273" t="s">
        <v>3446</v>
      </c>
      <c r="G1798" s="1040" t="s">
        <v>3463</v>
      </c>
      <c r="H1798" s="273" t="s">
        <v>3462</v>
      </c>
      <c r="I1798" s="720">
        <f t="shared" si="390"/>
        <v>78.60159722222221</v>
      </c>
      <c r="J1798" s="780">
        <f>22637.26</f>
        <v>22637.26</v>
      </c>
      <c r="K1798" s="131">
        <f t="shared" si="399"/>
        <v>22637.259999999995</v>
      </c>
      <c r="L1798" s="335">
        <f t="shared" si="395"/>
        <v>0</v>
      </c>
      <c r="M1798" s="446"/>
      <c r="N1798" s="446"/>
      <c r="O1798" s="446"/>
      <c r="P1798" s="446"/>
      <c r="Q1798" s="110">
        <f t="shared" si="388"/>
        <v>72</v>
      </c>
      <c r="R1798" s="111">
        <f t="shared" si="391"/>
        <v>5659.3149999999996</v>
      </c>
      <c r="S1798" s="110"/>
      <c r="T1798" s="110"/>
      <c r="U1798" s="110">
        <f t="shared" si="389"/>
        <v>72</v>
      </c>
      <c r="V1798" s="111">
        <f t="shared" si="392"/>
        <v>5659.3149999999996</v>
      </c>
      <c r="W1798" s="110"/>
      <c r="X1798" s="110"/>
      <c r="Y1798" s="110"/>
      <c r="Z1798" s="110"/>
      <c r="AA1798" s="110">
        <f t="shared" si="387"/>
        <v>72</v>
      </c>
      <c r="AB1798" s="111">
        <f t="shared" si="393"/>
        <v>5659.3149999999996</v>
      </c>
      <c r="AC1798" s="110"/>
      <c r="AD1798" s="110"/>
      <c r="AE1798" s="110">
        <f t="shared" si="387"/>
        <v>72</v>
      </c>
      <c r="AF1798" s="111">
        <f t="shared" si="394"/>
        <v>5659.3149999999996</v>
      </c>
      <c r="AG1798" s="110"/>
      <c r="AH1798" s="110"/>
      <c r="AI1798" s="110"/>
      <c r="AJ1798" s="110"/>
      <c r="AK1798" s="111">
        <f t="shared" si="396"/>
        <v>22637.26</v>
      </c>
      <c r="AL1798" s="446">
        <f t="shared" si="397"/>
        <v>0</v>
      </c>
      <c r="AM1798" s="110">
        <f t="shared" si="398"/>
        <v>288</v>
      </c>
      <c r="AN1798" s="447">
        <f t="shared" si="400"/>
        <v>0</v>
      </c>
      <c r="AO1798"/>
      <c r="AP1798"/>
    </row>
    <row r="1799" spans="1:42" ht="66" x14ac:dyDescent="0.25">
      <c r="A1799" s="40"/>
      <c r="B1799" s="34" t="s">
        <v>421</v>
      </c>
      <c r="C1799" s="1024"/>
      <c r="D1799" s="899">
        <f>48</f>
        <v>48</v>
      </c>
      <c r="E1799" s="254" t="s">
        <v>1834</v>
      </c>
      <c r="F1799" s="273" t="s">
        <v>3446</v>
      </c>
      <c r="G1799" s="1040" t="s">
        <v>3463</v>
      </c>
      <c r="H1799" s="273" t="s">
        <v>3462</v>
      </c>
      <c r="I1799" s="720">
        <f t="shared" si="390"/>
        <v>61.758333333333333</v>
      </c>
      <c r="J1799" s="780">
        <f>2964.4</f>
        <v>2964.4</v>
      </c>
      <c r="K1799" s="131">
        <f t="shared" si="399"/>
        <v>2964.4</v>
      </c>
      <c r="L1799" s="335">
        <f t="shared" si="395"/>
        <v>0</v>
      </c>
      <c r="M1799" s="446"/>
      <c r="N1799" s="446"/>
      <c r="O1799" s="446"/>
      <c r="P1799" s="446"/>
      <c r="Q1799" s="110">
        <f t="shared" si="388"/>
        <v>12</v>
      </c>
      <c r="R1799" s="111">
        <f t="shared" si="391"/>
        <v>741.1</v>
      </c>
      <c r="S1799" s="110"/>
      <c r="T1799" s="110"/>
      <c r="U1799" s="110">
        <f t="shared" si="389"/>
        <v>12</v>
      </c>
      <c r="V1799" s="111">
        <f t="shared" si="392"/>
        <v>741.1</v>
      </c>
      <c r="W1799" s="110"/>
      <c r="X1799" s="110"/>
      <c r="Y1799" s="110"/>
      <c r="Z1799" s="110"/>
      <c r="AA1799" s="110">
        <f t="shared" si="387"/>
        <v>12</v>
      </c>
      <c r="AB1799" s="111">
        <f t="shared" si="393"/>
        <v>741.1</v>
      </c>
      <c r="AC1799" s="110"/>
      <c r="AD1799" s="110"/>
      <c r="AE1799" s="110">
        <f t="shared" si="387"/>
        <v>12</v>
      </c>
      <c r="AF1799" s="111">
        <f t="shared" si="394"/>
        <v>741.1</v>
      </c>
      <c r="AG1799" s="110"/>
      <c r="AH1799" s="110"/>
      <c r="AI1799" s="110"/>
      <c r="AJ1799" s="110"/>
      <c r="AK1799" s="111">
        <f t="shared" si="396"/>
        <v>2964.4</v>
      </c>
      <c r="AL1799" s="446">
        <f t="shared" si="397"/>
        <v>0</v>
      </c>
      <c r="AM1799" s="110">
        <f t="shared" si="398"/>
        <v>48</v>
      </c>
      <c r="AN1799" s="447">
        <f t="shared" si="400"/>
        <v>0</v>
      </c>
      <c r="AO1799"/>
      <c r="AP1799"/>
    </row>
    <row r="1800" spans="1:42" ht="66" x14ac:dyDescent="0.25">
      <c r="A1800" s="40"/>
      <c r="B1800" s="34" t="s">
        <v>422</v>
      </c>
      <c r="C1800" s="1024"/>
      <c r="D1800" s="899">
        <f>96</f>
        <v>96</v>
      </c>
      <c r="E1800" s="254" t="s">
        <v>1725</v>
      </c>
      <c r="F1800" s="273" t="s">
        <v>3446</v>
      </c>
      <c r="G1800" s="1040" t="s">
        <v>3463</v>
      </c>
      <c r="H1800" s="273" t="s">
        <v>3462</v>
      </c>
      <c r="I1800" s="720">
        <f t="shared" si="390"/>
        <v>44.219166666666666</v>
      </c>
      <c r="J1800" s="780">
        <f>4245.04</f>
        <v>4245.04</v>
      </c>
      <c r="K1800" s="131">
        <f t="shared" si="399"/>
        <v>4245.04</v>
      </c>
      <c r="L1800" s="335">
        <f t="shared" si="395"/>
        <v>0</v>
      </c>
      <c r="M1800" s="446"/>
      <c r="N1800" s="446"/>
      <c r="O1800" s="446"/>
      <c r="P1800" s="446"/>
      <c r="Q1800" s="110">
        <f t="shared" si="388"/>
        <v>24</v>
      </c>
      <c r="R1800" s="111">
        <f t="shared" si="391"/>
        <v>1061.26</v>
      </c>
      <c r="S1800" s="110"/>
      <c r="T1800" s="110"/>
      <c r="U1800" s="110">
        <f t="shared" si="389"/>
        <v>24</v>
      </c>
      <c r="V1800" s="111">
        <f t="shared" si="392"/>
        <v>1061.26</v>
      </c>
      <c r="W1800" s="110"/>
      <c r="X1800" s="110"/>
      <c r="Y1800" s="110"/>
      <c r="Z1800" s="110"/>
      <c r="AA1800" s="110">
        <f t="shared" ref="AA1800:AE1862" si="401">+$D1800/4</f>
        <v>24</v>
      </c>
      <c r="AB1800" s="111">
        <f t="shared" si="393"/>
        <v>1061.26</v>
      </c>
      <c r="AC1800" s="110"/>
      <c r="AD1800" s="110"/>
      <c r="AE1800" s="110">
        <f t="shared" si="401"/>
        <v>24</v>
      </c>
      <c r="AF1800" s="111">
        <f t="shared" si="394"/>
        <v>1061.26</v>
      </c>
      <c r="AG1800" s="110"/>
      <c r="AH1800" s="110"/>
      <c r="AI1800" s="110"/>
      <c r="AJ1800" s="110"/>
      <c r="AK1800" s="111">
        <f t="shared" si="396"/>
        <v>4245.04</v>
      </c>
      <c r="AL1800" s="446">
        <f t="shared" si="397"/>
        <v>0</v>
      </c>
      <c r="AM1800" s="110">
        <f t="shared" si="398"/>
        <v>96</v>
      </c>
      <c r="AN1800" s="447">
        <f t="shared" si="400"/>
        <v>0</v>
      </c>
      <c r="AO1800"/>
      <c r="AP1800"/>
    </row>
    <row r="1801" spans="1:42" ht="66" x14ac:dyDescent="0.25">
      <c r="A1801" s="40"/>
      <c r="B1801" s="34" t="s">
        <v>423</v>
      </c>
      <c r="C1801" s="1024"/>
      <c r="D1801" s="899">
        <f>44+48</f>
        <v>92</v>
      </c>
      <c r="E1801" s="254" t="s">
        <v>1722</v>
      </c>
      <c r="F1801" s="273" t="s">
        <v>3446</v>
      </c>
      <c r="G1801" s="1040" t="s">
        <v>3463</v>
      </c>
      <c r="H1801" s="273" t="s">
        <v>3462</v>
      </c>
      <c r="I1801" s="720">
        <f t="shared" si="390"/>
        <v>426.60010869565218</v>
      </c>
      <c r="J1801" s="780">
        <f>20045.96+19201.25</f>
        <v>39247.21</v>
      </c>
      <c r="K1801" s="131">
        <f t="shared" si="399"/>
        <v>39247.21</v>
      </c>
      <c r="L1801" s="335">
        <f t="shared" si="395"/>
        <v>0</v>
      </c>
      <c r="M1801" s="446"/>
      <c r="N1801" s="446"/>
      <c r="O1801" s="446"/>
      <c r="P1801" s="446"/>
      <c r="Q1801" s="110">
        <f t="shared" si="388"/>
        <v>23</v>
      </c>
      <c r="R1801" s="111">
        <f t="shared" si="391"/>
        <v>9811.8024999999998</v>
      </c>
      <c r="S1801" s="110"/>
      <c r="T1801" s="110"/>
      <c r="U1801" s="110">
        <f t="shared" si="389"/>
        <v>23</v>
      </c>
      <c r="V1801" s="111">
        <f t="shared" si="392"/>
        <v>9811.8024999999998</v>
      </c>
      <c r="W1801" s="110"/>
      <c r="X1801" s="110"/>
      <c r="Y1801" s="110"/>
      <c r="Z1801" s="110"/>
      <c r="AA1801" s="110">
        <f t="shared" si="401"/>
        <v>23</v>
      </c>
      <c r="AB1801" s="111">
        <f t="shared" si="393"/>
        <v>9811.8024999999998</v>
      </c>
      <c r="AC1801" s="110"/>
      <c r="AD1801" s="110"/>
      <c r="AE1801" s="110">
        <f t="shared" si="401"/>
        <v>23</v>
      </c>
      <c r="AF1801" s="111">
        <f t="shared" si="394"/>
        <v>9811.8024999999998</v>
      </c>
      <c r="AG1801" s="110"/>
      <c r="AH1801" s="110"/>
      <c r="AI1801" s="110"/>
      <c r="AJ1801" s="110"/>
      <c r="AK1801" s="111">
        <f t="shared" si="396"/>
        <v>39247.21</v>
      </c>
      <c r="AL1801" s="446">
        <f t="shared" si="397"/>
        <v>0</v>
      </c>
      <c r="AM1801" s="110">
        <f t="shared" si="398"/>
        <v>92</v>
      </c>
      <c r="AN1801" s="447">
        <f t="shared" si="400"/>
        <v>0</v>
      </c>
      <c r="AO1801"/>
      <c r="AP1801"/>
    </row>
    <row r="1802" spans="1:42" ht="66" x14ac:dyDescent="0.25">
      <c r="A1802" s="40"/>
      <c r="B1802" s="46" t="s">
        <v>424</v>
      </c>
      <c r="C1802" s="1024"/>
      <c r="D1802" s="899">
        <f>3</f>
        <v>3</v>
      </c>
      <c r="E1802" s="254" t="s">
        <v>1721</v>
      </c>
      <c r="F1802" s="273" t="s">
        <v>3446</v>
      </c>
      <c r="G1802" s="1040" t="s">
        <v>3463</v>
      </c>
      <c r="H1802" s="273" t="s">
        <v>3462</v>
      </c>
      <c r="I1802" s="720">
        <f t="shared" si="390"/>
        <v>402.83333333333331</v>
      </c>
      <c r="J1802" s="780">
        <f>1208.5</f>
        <v>1208.5</v>
      </c>
      <c r="K1802" s="131">
        <f t="shared" si="399"/>
        <v>1208.5</v>
      </c>
      <c r="L1802" s="335">
        <f t="shared" si="395"/>
        <v>0</v>
      </c>
      <c r="M1802" s="446"/>
      <c r="N1802" s="446"/>
      <c r="O1802" s="446"/>
      <c r="P1802" s="446"/>
      <c r="Q1802" s="130">
        <v>1</v>
      </c>
      <c r="R1802" s="111">
        <f t="shared" si="391"/>
        <v>302.125</v>
      </c>
      <c r="S1802" s="110"/>
      <c r="T1802" s="110"/>
      <c r="U1802" s="130">
        <v>1</v>
      </c>
      <c r="V1802" s="111">
        <f t="shared" si="392"/>
        <v>302.125</v>
      </c>
      <c r="W1802" s="110"/>
      <c r="X1802" s="110"/>
      <c r="Y1802" s="110"/>
      <c r="Z1802" s="110"/>
      <c r="AA1802" s="130">
        <v>1</v>
      </c>
      <c r="AB1802" s="111">
        <f t="shared" si="393"/>
        <v>302.125</v>
      </c>
      <c r="AC1802" s="110"/>
      <c r="AD1802" s="110"/>
      <c r="AE1802" s="130">
        <v>0</v>
      </c>
      <c r="AF1802" s="111">
        <f t="shared" si="394"/>
        <v>302.125</v>
      </c>
      <c r="AG1802" s="110"/>
      <c r="AH1802" s="110"/>
      <c r="AI1802" s="110"/>
      <c r="AJ1802" s="110"/>
      <c r="AK1802" s="111">
        <f t="shared" si="396"/>
        <v>1208.5</v>
      </c>
      <c r="AL1802" s="446">
        <f t="shared" si="397"/>
        <v>0</v>
      </c>
      <c r="AM1802" s="110">
        <f t="shared" si="398"/>
        <v>3</v>
      </c>
      <c r="AN1802" s="447">
        <f t="shared" si="400"/>
        <v>0</v>
      </c>
      <c r="AO1802"/>
      <c r="AP1802"/>
    </row>
    <row r="1803" spans="1:42" ht="66" x14ac:dyDescent="0.25">
      <c r="A1803" s="40"/>
      <c r="B1803" s="150" t="s">
        <v>1438</v>
      </c>
      <c r="C1803" s="1024"/>
      <c r="D1803" s="899">
        <v>22</v>
      </c>
      <c r="E1803" s="254" t="s">
        <v>1721</v>
      </c>
      <c r="F1803" s="273" t="s">
        <v>3446</v>
      </c>
      <c r="G1803" s="1040" t="s">
        <v>3463</v>
      </c>
      <c r="H1803" s="273" t="s">
        <v>3462</v>
      </c>
      <c r="I1803" s="720">
        <f t="shared" si="390"/>
        <v>59.948636363636361</v>
      </c>
      <c r="J1803" s="780">
        <v>1318.87</v>
      </c>
      <c r="K1803" s="131">
        <f t="shared" si="399"/>
        <v>1318.87</v>
      </c>
      <c r="L1803" s="335">
        <f t="shared" si="395"/>
        <v>0</v>
      </c>
      <c r="M1803" s="446"/>
      <c r="N1803" s="446"/>
      <c r="O1803" s="446"/>
      <c r="P1803" s="446"/>
      <c r="Q1803" s="110">
        <v>6</v>
      </c>
      <c r="R1803" s="111">
        <f t="shared" si="391"/>
        <v>329.71749999999997</v>
      </c>
      <c r="S1803" s="110"/>
      <c r="T1803" s="110"/>
      <c r="U1803" s="110">
        <v>6</v>
      </c>
      <c r="V1803" s="111">
        <f t="shared" si="392"/>
        <v>329.71749999999997</v>
      </c>
      <c r="W1803" s="110"/>
      <c r="X1803" s="110"/>
      <c r="Y1803" s="110"/>
      <c r="Z1803" s="110"/>
      <c r="AA1803" s="110">
        <v>5</v>
      </c>
      <c r="AB1803" s="111">
        <f t="shared" si="393"/>
        <v>329.71749999999997</v>
      </c>
      <c r="AC1803" s="110"/>
      <c r="AD1803" s="110"/>
      <c r="AE1803" s="110">
        <v>5</v>
      </c>
      <c r="AF1803" s="111">
        <f t="shared" si="394"/>
        <v>329.71749999999997</v>
      </c>
      <c r="AG1803" s="110"/>
      <c r="AH1803" s="110"/>
      <c r="AI1803" s="110"/>
      <c r="AJ1803" s="110"/>
      <c r="AK1803" s="111">
        <f t="shared" si="396"/>
        <v>1318.87</v>
      </c>
      <c r="AL1803" s="446">
        <f t="shared" si="397"/>
        <v>0</v>
      </c>
      <c r="AM1803" s="110">
        <f t="shared" si="398"/>
        <v>22</v>
      </c>
      <c r="AN1803" s="447">
        <f t="shared" si="400"/>
        <v>0</v>
      </c>
      <c r="AO1803"/>
      <c r="AP1803"/>
    </row>
    <row r="1804" spans="1:42" ht="66" x14ac:dyDescent="0.25">
      <c r="A1804" s="40"/>
      <c r="B1804" s="34" t="s">
        <v>425</v>
      </c>
      <c r="C1804" s="1024"/>
      <c r="D1804" s="899">
        <f>11+432</f>
        <v>443</v>
      </c>
      <c r="E1804" s="254" t="s">
        <v>1721</v>
      </c>
      <c r="F1804" s="273" t="s">
        <v>3446</v>
      </c>
      <c r="G1804" s="1040" t="s">
        <v>3463</v>
      </c>
      <c r="H1804" s="273" t="s">
        <v>3462</v>
      </c>
      <c r="I1804" s="720">
        <f t="shared" si="390"/>
        <v>542.24988713318282</v>
      </c>
      <c r="J1804" s="780">
        <f>6769.95+233446.75</f>
        <v>240216.7</v>
      </c>
      <c r="K1804" s="131">
        <f t="shared" si="399"/>
        <v>240216.69999999998</v>
      </c>
      <c r="L1804" s="335">
        <f t="shared" si="395"/>
        <v>0</v>
      </c>
      <c r="M1804" s="446"/>
      <c r="N1804" s="446"/>
      <c r="O1804" s="446"/>
      <c r="P1804" s="446"/>
      <c r="Q1804" s="110">
        <v>111</v>
      </c>
      <c r="R1804" s="111">
        <f t="shared" si="391"/>
        <v>60054.175000000003</v>
      </c>
      <c r="S1804" s="110"/>
      <c r="T1804" s="110"/>
      <c r="U1804" s="110">
        <v>110</v>
      </c>
      <c r="V1804" s="111">
        <f t="shared" si="392"/>
        <v>60054.175000000003</v>
      </c>
      <c r="W1804" s="110"/>
      <c r="X1804" s="110"/>
      <c r="Y1804" s="110"/>
      <c r="Z1804" s="110"/>
      <c r="AA1804" s="110">
        <v>111</v>
      </c>
      <c r="AB1804" s="111">
        <f t="shared" si="393"/>
        <v>60054.175000000003</v>
      </c>
      <c r="AC1804" s="110"/>
      <c r="AD1804" s="110"/>
      <c r="AE1804" s="110">
        <v>111</v>
      </c>
      <c r="AF1804" s="111">
        <f t="shared" si="394"/>
        <v>60054.175000000003</v>
      </c>
      <c r="AG1804" s="110"/>
      <c r="AH1804" s="110"/>
      <c r="AI1804" s="110"/>
      <c r="AJ1804" s="110"/>
      <c r="AK1804" s="111">
        <f t="shared" si="396"/>
        <v>240216.7</v>
      </c>
      <c r="AL1804" s="446">
        <f t="shared" si="397"/>
        <v>0</v>
      </c>
      <c r="AM1804" s="110">
        <f t="shared" si="398"/>
        <v>443</v>
      </c>
      <c r="AN1804" s="447">
        <f t="shared" si="400"/>
        <v>0</v>
      </c>
      <c r="AO1804"/>
      <c r="AP1804"/>
    </row>
    <row r="1805" spans="1:42" ht="66" x14ac:dyDescent="0.25">
      <c r="A1805" s="40"/>
      <c r="B1805" s="43" t="s">
        <v>426</v>
      </c>
      <c r="C1805" s="1024"/>
      <c r="D1805" s="869">
        <f>10</f>
        <v>10</v>
      </c>
      <c r="E1805" s="255" t="s">
        <v>1721</v>
      </c>
      <c r="F1805" s="273" t="s">
        <v>3446</v>
      </c>
      <c r="G1805" s="1040" t="s">
        <v>3463</v>
      </c>
      <c r="H1805" s="273" t="s">
        <v>3462</v>
      </c>
      <c r="I1805" s="720">
        <f t="shared" si="390"/>
        <v>50</v>
      </c>
      <c r="J1805" s="780">
        <v>500</v>
      </c>
      <c r="K1805" s="131">
        <f t="shared" si="399"/>
        <v>500</v>
      </c>
      <c r="L1805" s="335">
        <f t="shared" si="395"/>
        <v>0</v>
      </c>
      <c r="M1805" s="446"/>
      <c r="N1805" s="446"/>
      <c r="O1805" s="446"/>
      <c r="P1805" s="446"/>
      <c r="Q1805" s="130">
        <v>3</v>
      </c>
      <c r="R1805" s="111">
        <f t="shared" si="391"/>
        <v>125</v>
      </c>
      <c r="S1805" s="110"/>
      <c r="T1805" s="110"/>
      <c r="U1805" s="130">
        <v>3</v>
      </c>
      <c r="V1805" s="111">
        <f t="shared" si="392"/>
        <v>125</v>
      </c>
      <c r="W1805" s="110"/>
      <c r="X1805" s="110"/>
      <c r="Y1805" s="110"/>
      <c r="Z1805" s="110"/>
      <c r="AA1805" s="130">
        <v>2</v>
      </c>
      <c r="AB1805" s="111">
        <f t="shared" si="393"/>
        <v>125</v>
      </c>
      <c r="AC1805" s="110"/>
      <c r="AD1805" s="110"/>
      <c r="AE1805" s="130">
        <v>2</v>
      </c>
      <c r="AF1805" s="111">
        <f t="shared" si="394"/>
        <v>125</v>
      </c>
      <c r="AG1805" s="110"/>
      <c r="AH1805" s="110"/>
      <c r="AI1805" s="110"/>
      <c r="AJ1805" s="110"/>
      <c r="AK1805" s="111">
        <f t="shared" si="396"/>
        <v>500</v>
      </c>
      <c r="AL1805" s="446">
        <f t="shared" si="397"/>
        <v>0</v>
      </c>
      <c r="AM1805" s="110">
        <f t="shared" si="398"/>
        <v>10</v>
      </c>
      <c r="AN1805" s="447">
        <f t="shared" si="400"/>
        <v>0</v>
      </c>
      <c r="AO1805"/>
      <c r="AP1805"/>
    </row>
    <row r="1806" spans="1:42" ht="66" x14ac:dyDescent="0.25">
      <c r="A1806" s="40"/>
      <c r="B1806" s="34" t="s">
        <v>427</v>
      </c>
      <c r="C1806" s="1024"/>
      <c r="D1806" s="899">
        <f>480</f>
        <v>480</v>
      </c>
      <c r="E1806" s="254" t="s">
        <v>1721</v>
      </c>
      <c r="F1806" s="273" t="s">
        <v>3446</v>
      </c>
      <c r="G1806" s="1040" t="s">
        <v>3463</v>
      </c>
      <c r="H1806" s="273" t="s">
        <v>3462</v>
      </c>
      <c r="I1806" s="720">
        <f t="shared" si="390"/>
        <v>52.640791666666672</v>
      </c>
      <c r="J1806" s="780">
        <f>25267.58</f>
        <v>25267.58</v>
      </c>
      <c r="K1806" s="131">
        <f t="shared" si="399"/>
        <v>25267.58</v>
      </c>
      <c r="L1806" s="335">
        <f t="shared" si="395"/>
        <v>0</v>
      </c>
      <c r="M1806" s="446"/>
      <c r="N1806" s="446"/>
      <c r="O1806" s="446"/>
      <c r="P1806" s="446"/>
      <c r="Q1806" s="110">
        <f t="shared" ref="Q1806:Q1869" si="402">+$D1806/4</f>
        <v>120</v>
      </c>
      <c r="R1806" s="111">
        <f t="shared" si="391"/>
        <v>6316.8950000000004</v>
      </c>
      <c r="S1806" s="110"/>
      <c r="T1806" s="110"/>
      <c r="U1806" s="110">
        <f t="shared" ref="U1806:U1869" si="403">+$D1806/4</f>
        <v>120</v>
      </c>
      <c r="V1806" s="111">
        <f t="shared" si="392"/>
        <v>6316.8950000000004</v>
      </c>
      <c r="W1806" s="110"/>
      <c r="X1806" s="110"/>
      <c r="Y1806" s="110"/>
      <c r="Z1806" s="110"/>
      <c r="AA1806" s="110">
        <f t="shared" si="401"/>
        <v>120</v>
      </c>
      <c r="AB1806" s="111">
        <f t="shared" si="393"/>
        <v>6316.8950000000004</v>
      </c>
      <c r="AC1806" s="110"/>
      <c r="AD1806" s="110"/>
      <c r="AE1806" s="110">
        <f t="shared" si="401"/>
        <v>120</v>
      </c>
      <c r="AF1806" s="111">
        <f t="shared" si="394"/>
        <v>6316.8950000000004</v>
      </c>
      <c r="AG1806" s="110"/>
      <c r="AH1806" s="110"/>
      <c r="AI1806" s="110"/>
      <c r="AJ1806" s="110"/>
      <c r="AK1806" s="111">
        <f t="shared" si="396"/>
        <v>25267.58</v>
      </c>
      <c r="AL1806" s="446">
        <f t="shared" si="397"/>
        <v>0</v>
      </c>
      <c r="AM1806" s="110">
        <f t="shared" si="398"/>
        <v>480</v>
      </c>
      <c r="AN1806" s="447">
        <f t="shared" si="400"/>
        <v>0</v>
      </c>
      <c r="AO1806"/>
      <c r="AP1806"/>
    </row>
    <row r="1807" spans="1:42" ht="66" x14ac:dyDescent="0.25">
      <c r="A1807" s="40"/>
      <c r="B1807" s="34" t="s">
        <v>428</v>
      </c>
      <c r="C1807" s="1024"/>
      <c r="D1807" s="899">
        <f>624</f>
        <v>624</v>
      </c>
      <c r="E1807" s="254" t="s">
        <v>1721</v>
      </c>
      <c r="F1807" s="273" t="s">
        <v>3446</v>
      </c>
      <c r="G1807" s="1040" t="s">
        <v>3463</v>
      </c>
      <c r="H1807" s="273" t="s">
        <v>3462</v>
      </c>
      <c r="I1807" s="720">
        <f t="shared" si="390"/>
        <v>47.026394230769235</v>
      </c>
      <c r="J1807" s="780">
        <f>29344.47</f>
        <v>29344.47</v>
      </c>
      <c r="K1807" s="131">
        <f t="shared" si="399"/>
        <v>29344.47</v>
      </c>
      <c r="L1807" s="335">
        <f t="shared" si="395"/>
        <v>0</v>
      </c>
      <c r="M1807" s="446"/>
      <c r="N1807" s="446"/>
      <c r="O1807" s="446"/>
      <c r="P1807" s="446"/>
      <c r="Q1807" s="110">
        <f t="shared" si="402"/>
        <v>156</v>
      </c>
      <c r="R1807" s="111">
        <f t="shared" si="391"/>
        <v>7336.1175000000003</v>
      </c>
      <c r="S1807" s="110"/>
      <c r="T1807" s="110"/>
      <c r="U1807" s="110">
        <f t="shared" si="403"/>
        <v>156</v>
      </c>
      <c r="V1807" s="111">
        <f t="shared" si="392"/>
        <v>7336.1175000000003</v>
      </c>
      <c r="W1807" s="110"/>
      <c r="X1807" s="110"/>
      <c r="Y1807" s="110"/>
      <c r="Z1807" s="110"/>
      <c r="AA1807" s="110">
        <f t="shared" si="401"/>
        <v>156</v>
      </c>
      <c r="AB1807" s="111">
        <f t="shared" si="393"/>
        <v>7336.1175000000003</v>
      </c>
      <c r="AC1807" s="110"/>
      <c r="AD1807" s="110"/>
      <c r="AE1807" s="110">
        <f t="shared" si="401"/>
        <v>156</v>
      </c>
      <c r="AF1807" s="111">
        <f t="shared" si="394"/>
        <v>7336.1175000000003</v>
      </c>
      <c r="AG1807" s="110"/>
      <c r="AH1807" s="110"/>
      <c r="AI1807" s="110"/>
      <c r="AJ1807" s="110"/>
      <c r="AK1807" s="111">
        <f t="shared" si="396"/>
        <v>29344.47</v>
      </c>
      <c r="AL1807" s="446">
        <f t="shared" si="397"/>
        <v>0</v>
      </c>
      <c r="AM1807" s="110">
        <f t="shared" si="398"/>
        <v>624</v>
      </c>
      <c r="AN1807" s="447">
        <f t="shared" si="400"/>
        <v>0</v>
      </c>
      <c r="AO1807"/>
      <c r="AP1807"/>
    </row>
    <row r="1808" spans="1:42" ht="66" x14ac:dyDescent="0.25">
      <c r="A1808" s="40"/>
      <c r="B1808" s="43" t="s">
        <v>429</v>
      </c>
      <c r="C1808" s="1024"/>
      <c r="D1808" s="869">
        <f>11+26</f>
        <v>37</v>
      </c>
      <c r="E1808" s="254" t="s">
        <v>1721</v>
      </c>
      <c r="F1808" s="273" t="s">
        <v>3446</v>
      </c>
      <c r="G1808" s="1040" t="s">
        <v>3463</v>
      </c>
      <c r="H1808" s="273" t="s">
        <v>3462</v>
      </c>
      <c r="I1808" s="720">
        <f t="shared" si="390"/>
        <v>488.46162162162165</v>
      </c>
      <c r="J1808" s="780">
        <f>5943.48+12129.6</f>
        <v>18073.080000000002</v>
      </c>
      <c r="K1808" s="131">
        <f t="shared" si="399"/>
        <v>18073.080000000002</v>
      </c>
      <c r="L1808" s="335">
        <f t="shared" si="395"/>
        <v>0</v>
      </c>
      <c r="M1808" s="446"/>
      <c r="N1808" s="446"/>
      <c r="O1808" s="446"/>
      <c r="P1808" s="446"/>
      <c r="Q1808" s="110">
        <v>10</v>
      </c>
      <c r="R1808" s="111">
        <f t="shared" si="391"/>
        <v>4518.2700000000004</v>
      </c>
      <c r="S1808" s="110"/>
      <c r="T1808" s="110"/>
      <c r="U1808" s="110">
        <v>9</v>
      </c>
      <c r="V1808" s="111">
        <f t="shared" si="392"/>
        <v>4518.2700000000004</v>
      </c>
      <c r="W1808" s="110"/>
      <c r="X1808" s="110"/>
      <c r="Y1808" s="110"/>
      <c r="Z1808" s="110"/>
      <c r="AA1808" s="110">
        <v>9</v>
      </c>
      <c r="AB1808" s="111">
        <f t="shared" si="393"/>
        <v>4518.2700000000004</v>
      </c>
      <c r="AC1808" s="110"/>
      <c r="AD1808" s="110"/>
      <c r="AE1808" s="110">
        <v>9</v>
      </c>
      <c r="AF1808" s="111">
        <f t="shared" si="394"/>
        <v>4518.2700000000004</v>
      </c>
      <c r="AG1808" s="110"/>
      <c r="AH1808" s="110"/>
      <c r="AI1808" s="110"/>
      <c r="AJ1808" s="110"/>
      <c r="AK1808" s="111">
        <f t="shared" si="396"/>
        <v>18073.080000000002</v>
      </c>
      <c r="AL1808" s="446">
        <f t="shared" si="397"/>
        <v>0</v>
      </c>
      <c r="AM1808" s="110">
        <f t="shared" si="398"/>
        <v>37</v>
      </c>
      <c r="AN1808" s="447">
        <f t="shared" si="400"/>
        <v>0</v>
      </c>
      <c r="AO1808"/>
      <c r="AP1808"/>
    </row>
    <row r="1809" spans="1:42" ht="66" x14ac:dyDescent="0.25">
      <c r="A1809" s="40"/>
      <c r="B1809" s="43" t="s">
        <v>430</v>
      </c>
      <c r="C1809" s="1024"/>
      <c r="D1809" s="869">
        <f>22+68</f>
        <v>90</v>
      </c>
      <c r="E1809" s="254" t="s">
        <v>1721</v>
      </c>
      <c r="F1809" s="273" t="s">
        <v>3446</v>
      </c>
      <c r="G1809" s="1040" t="s">
        <v>3463</v>
      </c>
      <c r="H1809" s="273" t="s">
        <v>3462</v>
      </c>
      <c r="I1809" s="720">
        <f t="shared" si="390"/>
        <v>167.43966666666665</v>
      </c>
      <c r="J1809" s="780">
        <f>4255.46+10814.11</f>
        <v>15069.57</v>
      </c>
      <c r="K1809" s="131">
        <f t="shared" si="399"/>
        <v>15069.57</v>
      </c>
      <c r="L1809" s="335">
        <f t="shared" si="395"/>
        <v>0</v>
      </c>
      <c r="M1809" s="446"/>
      <c r="N1809" s="446"/>
      <c r="O1809" s="446"/>
      <c r="P1809" s="446"/>
      <c r="Q1809" s="110">
        <v>23</v>
      </c>
      <c r="R1809" s="111">
        <f t="shared" si="391"/>
        <v>3767.3924999999999</v>
      </c>
      <c r="S1809" s="110"/>
      <c r="T1809" s="110"/>
      <c r="U1809" s="110">
        <v>23</v>
      </c>
      <c r="V1809" s="111">
        <f t="shared" si="392"/>
        <v>3767.3924999999999</v>
      </c>
      <c r="W1809" s="110"/>
      <c r="X1809" s="110"/>
      <c r="Y1809" s="110"/>
      <c r="Z1809" s="110"/>
      <c r="AA1809" s="110">
        <v>22</v>
      </c>
      <c r="AB1809" s="111">
        <f t="shared" si="393"/>
        <v>3767.3924999999999</v>
      </c>
      <c r="AC1809" s="110"/>
      <c r="AD1809" s="110"/>
      <c r="AE1809" s="110">
        <v>22</v>
      </c>
      <c r="AF1809" s="111">
        <f t="shared" si="394"/>
        <v>3767.3924999999999</v>
      </c>
      <c r="AG1809" s="110"/>
      <c r="AH1809" s="110"/>
      <c r="AI1809" s="110"/>
      <c r="AJ1809" s="110"/>
      <c r="AK1809" s="111">
        <f t="shared" si="396"/>
        <v>15069.57</v>
      </c>
      <c r="AL1809" s="446">
        <f t="shared" si="397"/>
        <v>0</v>
      </c>
      <c r="AM1809" s="110">
        <f t="shared" si="398"/>
        <v>90</v>
      </c>
      <c r="AN1809" s="447">
        <f t="shared" si="400"/>
        <v>0</v>
      </c>
      <c r="AO1809"/>
      <c r="AP1809"/>
    </row>
    <row r="1810" spans="1:42" ht="66" x14ac:dyDescent="0.25">
      <c r="A1810" s="40"/>
      <c r="B1810" s="34" t="s">
        <v>431</v>
      </c>
      <c r="C1810" s="1024"/>
      <c r="D1810" s="869">
        <f>96</f>
        <v>96</v>
      </c>
      <c r="E1810" s="254" t="s">
        <v>1721</v>
      </c>
      <c r="F1810" s="273" t="s">
        <v>3446</v>
      </c>
      <c r="G1810" s="1040" t="s">
        <v>3463</v>
      </c>
      <c r="H1810" s="273" t="s">
        <v>3462</v>
      </c>
      <c r="I1810" s="720">
        <f t="shared" si="390"/>
        <v>22.33</v>
      </c>
      <c r="J1810" s="780">
        <f>2143.68</f>
        <v>2143.6799999999998</v>
      </c>
      <c r="K1810" s="131">
        <f t="shared" si="399"/>
        <v>2143.6799999999998</v>
      </c>
      <c r="L1810" s="335">
        <f t="shared" si="395"/>
        <v>0</v>
      </c>
      <c r="M1810" s="446"/>
      <c r="N1810" s="446"/>
      <c r="O1810" s="446"/>
      <c r="P1810" s="446"/>
      <c r="Q1810" s="110">
        <f t="shared" si="402"/>
        <v>24</v>
      </c>
      <c r="R1810" s="111">
        <f t="shared" si="391"/>
        <v>535.91999999999996</v>
      </c>
      <c r="S1810" s="110"/>
      <c r="T1810" s="110"/>
      <c r="U1810" s="110">
        <f t="shared" si="403"/>
        <v>24</v>
      </c>
      <c r="V1810" s="111">
        <f t="shared" si="392"/>
        <v>535.91999999999996</v>
      </c>
      <c r="W1810" s="110"/>
      <c r="X1810" s="110"/>
      <c r="Y1810" s="110"/>
      <c r="Z1810" s="110"/>
      <c r="AA1810" s="110">
        <f t="shared" si="401"/>
        <v>24</v>
      </c>
      <c r="AB1810" s="111">
        <f t="shared" si="393"/>
        <v>535.91999999999996</v>
      </c>
      <c r="AC1810" s="110"/>
      <c r="AD1810" s="110"/>
      <c r="AE1810" s="110">
        <f t="shared" si="401"/>
        <v>24</v>
      </c>
      <c r="AF1810" s="111">
        <f t="shared" si="394"/>
        <v>535.91999999999996</v>
      </c>
      <c r="AG1810" s="110"/>
      <c r="AH1810" s="110"/>
      <c r="AI1810" s="110"/>
      <c r="AJ1810" s="110"/>
      <c r="AK1810" s="111">
        <f t="shared" si="396"/>
        <v>2143.6799999999998</v>
      </c>
      <c r="AL1810" s="446">
        <f t="shared" si="397"/>
        <v>0</v>
      </c>
      <c r="AM1810" s="110">
        <f t="shared" si="398"/>
        <v>96</v>
      </c>
      <c r="AN1810" s="447">
        <f t="shared" si="400"/>
        <v>0</v>
      </c>
      <c r="AO1810"/>
      <c r="AP1810"/>
    </row>
    <row r="1811" spans="1:42" ht="66" x14ac:dyDescent="0.25">
      <c r="A1811" s="40"/>
      <c r="B1811" s="34" t="s">
        <v>432</v>
      </c>
      <c r="C1811" s="1024"/>
      <c r="D1811" s="869">
        <f>180</f>
        <v>180</v>
      </c>
      <c r="E1811" s="254" t="s">
        <v>1721</v>
      </c>
      <c r="F1811" s="273" t="s">
        <v>3446</v>
      </c>
      <c r="G1811" s="1040" t="s">
        <v>3463</v>
      </c>
      <c r="H1811" s="273" t="s">
        <v>3462</v>
      </c>
      <c r="I1811" s="720">
        <f t="shared" si="390"/>
        <v>78.601611111111112</v>
      </c>
      <c r="J1811" s="780">
        <f>14148.29</f>
        <v>14148.29</v>
      </c>
      <c r="K1811" s="131">
        <f t="shared" si="399"/>
        <v>14148.29</v>
      </c>
      <c r="L1811" s="335">
        <f t="shared" si="395"/>
        <v>0</v>
      </c>
      <c r="M1811" s="446"/>
      <c r="N1811" s="446"/>
      <c r="O1811" s="446"/>
      <c r="P1811" s="446"/>
      <c r="Q1811" s="110">
        <f t="shared" si="402"/>
        <v>45</v>
      </c>
      <c r="R1811" s="111">
        <f t="shared" si="391"/>
        <v>3537.0725000000002</v>
      </c>
      <c r="S1811" s="110"/>
      <c r="T1811" s="110"/>
      <c r="U1811" s="110">
        <f t="shared" si="403"/>
        <v>45</v>
      </c>
      <c r="V1811" s="111">
        <f t="shared" si="392"/>
        <v>3537.0725000000002</v>
      </c>
      <c r="W1811" s="110"/>
      <c r="X1811" s="110"/>
      <c r="Y1811" s="110"/>
      <c r="Z1811" s="110"/>
      <c r="AA1811" s="110">
        <f t="shared" si="401"/>
        <v>45</v>
      </c>
      <c r="AB1811" s="111">
        <f t="shared" si="393"/>
        <v>3537.0725000000002</v>
      </c>
      <c r="AC1811" s="110"/>
      <c r="AD1811" s="110"/>
      <c r="AE1811" s="110">
        <f t="shared" si="401"/>
        <v>45</v>
      </c>
      <c r="AF1811" s="111">
        <f t="shared" si="394"/>
        <v>3537.0725000000002</v>
      </c>
      <c r="AG1811" s="110"/>
      <c r="AH1811" s="110"/>
      <c r="AI1811" s="110"/>
      <c r="AJ1811" s="110"/>
      <c r="AK1811" s="111">
        <f t="shared" si="396"/>
        <v>14148.29</v>
      </c>
      <c r="AL1811" s="446">
        <f t="shared" si="397"/>
        <v>0</v>
      </c>
      <c r="AM1811" s="110">
        <f t="shared" si="398"/>
        <v>180</v>
      </c>
      <c r="AN1811" s="447">
        <f t="shared" si="400"/>
        <v>0</v>
      </c>
      <c r="AO1811"/>
      <c r="AP1811"/>
    </row>
    <row r="1812" spans="1:42" ht="66" x14ac:dyDescent="0.25">
      <c r="A1812" s="40"/>
      <c r="B1812" s="34" t="s">
        <v>433</v>
      </c>
      <c r="C1812" s="1024"/>
      <c r="D1812" s="869">
        <f>72</f>
        <v>72</v>
      </c>
      <c r="E1812" s="254" t="s">
        <v>1721</v>
      </c>
      <c r="F1812" s="273" t="s">
        <v>3446</v>
      </c>
      <c r="G1812" s="1040" t="s">
        <v>3463</v>
      </c>
      <c r="H1812" s="273" t="s">
        <v>3462</v>
      </c>
      <c r="I1812" s="720">
        <f t="shared" si="390"/>
        <v>207.73277777777778</v>
      </c>
      <c r="J1812" s="780">
        <f>14956.76</f>
        <v>14956.76</v>
      </c>
      <c r="K1812" s="131">
        <f t="shared" si="399"/>
        <v>14956.76</v>
      </c>
      <c r="L1812" s="335">
        <f t="shared" si="395"/>
        <v>0</v>
      </c>
      <c r="M1812" s="446"/>
      <c r="N1812" s="446"/>
      <c r="O1812" s="446"/>
      <c r="P1812" s="446"/>
      <c r="Q1812" s="110">
        <f t="shared" si="402"/>
        <v>18</v>
      </c>
      <c r="R1812" s="111">
        <f t="shared" si="391"/>
        <v>3739.19</v>
      </c>
      <c r="S1812" s="110"/>
      <c r="T1812" s="110"/>
      <c r="U1812" s="110">
        <f t="shared" si="403"/>
        <v>18</v>
      </c>
      <c r="V1812" s="111">
        <f t="shared" si="392"/>
        <v>3739.19</v>
      </c>
      <c r="W1812" s="110"/>
      <c r="X1812" s="110"/>
      <c r="Y1812" s="110"/>
      <c r="Z1812" s="110"/>
      <c r="AA1812" s="110">
        <f t="shared" si="401"/>
        <v>18</v>
      </c>
      <c r="AB1812" s="111">
        <f t="shared" si="393"/>
        <v>3739.19</v>
      </c>
      <c r="AC1812" s="110"/>
      <c r="AD1812" s="110"/>
      <c r="AE1812" s="110">
        <f t="shared" si="401"/>
        <v>18</v>
      </c>
      <c r="AF1812" s="111">
        <f t="shared" si="394"/>
        <v>3739.19</v>
      </c>
      <c r="AG1812" s="110"/>
      <c r="AH1812" s="110"/>
      <c r="AI1812" s="110"/>
      <c r="AJ1812" s="110"/>
      <c r="AK1812" s="111">
        <f t="shared" si="396"/>
        <v>14956.76</v>
      </c>
      <c r="AL1812" s="446">
        <f t="shared" si="397"/>
        <v>0</v>
      </c>
      <c r="AM1812" s="110">
        <f t="shared" si="398"/>
        <v>72</v>
      </c>
      <c r="AN1812" s="447">
        <f t="shared" si="400"/>
        <v>0</v>
      </c>
      <c r="AO1812"/>
      <c r="AP1812"/>
    </row>
    <row r="1813" spans="1:42" ht="66" x14ac:dyDescent="0.25">
      <c r="A1813" s="40"/>
      <c r="B1813" s="34" t="s">
        <v>434</v>
      </c>
      <c r="C1813" s="1024"/>
      <c r="D1813" s="869">
        <f>6</f>
        <v>6</v>
      </c>
      <c r="E1813" s="254" t="s">
        <v>1721</v>
      </c>
      <c r="F1813" s="273" t="s">
        <v>3446</v>
      </c>
      <c r="G1813" s="1040" t="s">
        <v>3463</v>
      </c>
      <c r="H1813" s="273" t="s">
        <v>3462</v>
      </c>
      <c r="I1813" s="720">
        <f t="shared" si="390"/>
        <v>616.9466666666666</v>
      </c>
      <c r="J1813" s="780">
        <f>3701.68</f>
        <v>3701.68</v>
      </c>
      <c r="K1813" s="131">
        <f t="shared" si="399"/>
        <v>3701.6799999999994</v>
      </c>
      <c r="L1813" s="335">
        <f t="shared" si="395"/>
        <v>0</v>
      </c>
      <c r="M1813" s="446"/>
      <c r="N1813" s="446"/>
      <c r="O1813" s="446"/>
      <c r="P1813" s="446"/>
      <c r="Q1813" s="130">
        <v>2</v>
      </c>
      <c r="R1813" s="111">
        <f t="shared" si="391"/>
        <v>925.42</v>
      </c>
      <c r="S1813" s="110"/>
      <c r="T1813" s="110"/>
      <c r="U1813" s="130">
        <v>2</v>
      </c>
      <c r="V1813" s="111">
        <f t="shared" si="392"/>
        <v>925.42</v>
      </c>
      <c r="W1813" s="110"/>
      <c r="X1813" s="110"/>
      <c r="Y1813" s="110"/>
      <c r="Z1813" s="110"/>
      <c r="AA1813" s="130">
        <v>1</v>
      </c>
      <c r="AB1813" s="111">
        <f t="shared" si="393"/>
        <v>925.42</v>
      </c>
      <c r="AC1813" s="110"/>
      <c r="AD1813" s="110"/>
      <c r="AE1813" s="130">
        <v>1</v>
      </c>
      <c r="AF1813" s="111">
        <f t="shared" si="394"/>
        <v>925.42</v>
      </c>
      <c r="AG1813" s="110"/>
      <c r="AH1813" s="110"/>
      <c r="AI1813" s="110"/>
      <c r="AJ1813" s="110"/>
      <c r="AK1813" s="111">
        <f t="shared" si="396"/>
        <v>3701.68</v>
      </c>
      <c r="AL1813" s="446">
        <f t="shared" si="397"/>
        <v>0</v>
      </c>
      <c r="AM1813" s="110">
        <f t="shared" si="398"/>
        <v>6</v>
      </c>
      <c r="AN1813" s="447">
        <f t="shared" si="400"/>
        <v>0</v>
      </c>
      <c r="AO1813"/>
      <c r="AP1813"/>
    </row>
    <row r="1814" spans="1:42" ht="66" x14ac:dyDescent="0.25">
      <c r="A1814" s="40"/>
      <c r="B1814" s="34" t="s">
        <v>435</v>
      </c>
      <c r="C1814" s="1024"/>
      <c r="D1814" s="869">
        <f>48</f>
        <v>48</v>
      </c>
      <c r="E1814" s="254" t="s">
        <v>1721</v>
      </c>
      <c r="F1814" s="273" t="s">
        <v>3446</v>
      </c>
      <c r="G1814" s="1040" t="s">
        <v>3463</v>
      </c>
      <c r="H1814" s="273" t="s">
        <v>3462</v>
      </c>
      <c r="I1814" s="720">
        <f t="shared" si="390"/>
        <v>241.41916666666668</v>
      </c>
      <c r="J1814" s="780">
        <f>11588.12</f>
        <v>11588.12</v>
      </c>
      <c r="K1814" s="131">
        <f t="shared" si="399"/>
        <v>11588.12</v>
      </c>
      <c r="L1814" s="335">
        <f t="shared" si="395"/>
        <v>0</v>
      </c>
      <c r="M1814" s="446"/>
      <c r="N1814" s="446"/>
      <c r="O1814" s="446"/>
      <c r="P1814" s="446"/>
      <c r="Q1814" s="110">
        <f t="shared" si="402"/>
        <v>12</v>
      </c>
      <c r="R1814" s="111">
        <f t="shared" si="391"/>
        <v>2897.03</v>
      </c>
      <c r="S1814" s="110"/>
      <c r="T1814" s="110"/>
      <c r="U1814" s="110">
        <f t="shared" si="403"/>
        <v>12</v>
      </c>
      <c r="V1814" s="111">
        <f t="shared" si="392"/>
        <v>2897.03</v>
      </c>
      <c r="W1814" s="110"/>
      <c r="X1814" s="110"/>
      <c r="Y1814" s="110"/>
      <c r="Z1814" s="110"/>
      <c r="AA1814" s="110">
        <f t="shared" si="401"/>
        <v>12</v>
      </c>
      <c r="AB1814" s="111">
        <f t="shared" si="393"/>
        <v>2897.03</v>
      </c>
      <c r="AC1814" s="110"/>
      <c r="AD1814" s="110"/>
      <c r="AE1814" s="110">
        <f t="shared" si="401"/>
        <v>12</v>
      </c>
      <c r="AF1814" s="111">
        <f t="shared" si="394"/>
        <v>2897.03</v>
      </c>
      <c r="AG1814" s="110"/>
      <c r="AH1814" s="110"/>
      <c r="AI1814" s="110"/>
      <c r="AJ1814" s="110"/>
      <c r="AK1814" s="111">
        <f t="shared" si="396"/>
        <v>11588.12</v>
      </c>
      <c r="AL1814" s="446">
        <f t="shared" si="397"/>
        <v>0</v>
      </c>
      <c r="AM1814" s="110">
        <f t="shared" si="398"/>
        <v>48</v>
      </c>
      <c r="AN1814" s="447">
        <f t="shared" si="400"/>
        <v>0</v>
      </c>
      <c r="AO1814"/>
      <c r="AP1814"/>
    </row>
    <row r="1815" spans="1:42" ht="66" x14ac:dyDescent="0.25">
      <c r="A1815" s="40"/>
      <c r="B1815" s="34" t="s">
        <v>436</v>
      </c>
      <c r="C1815" s="1024"/>
      <c r="D1815" s="869">
        <f>132+720</f>
        <v>852</v>
      </c>
      <c r="E1815" s="254" t="s">
        <v>1721</v>
      </c>
      <c r="F1815" s="273" t="s">
        <v>3446</v>
      </c>
      <c r="G1815" s="1040" t="s">
        <v>3463</v>
      </c>
      <c r="H1815" s="273" t="s">
        <v>3462</v>
      </c>
      <c r="I1815" s="720">
        <f t="shared" si="390"/>
        <v>98.933133802816897</v>
      </c>
      <c r="J1815" s="791">
        <f>14560.18+69730.85</f>
        <v>84291.03</v>
      </c>
      <c r="K1815" s="131">
        <f t="shared" si="399"/>
        <v>84291.03</v>
      </c>
      <c r="L1815" s="335">
        <f t="shared" si="395"/>
        <v>0</v>
      </c>
      <c r="M1815" s="446"/>
      <c r="N1815" s="446"/>
      <c r="O1815" s="446"/>
      <c r="P1815" s="446"/>
      <c r="Q1815" s="110">
        <f t="shared" si="402"/>
        <v>213</v>
      </c>
      <c r="R1815" s="111">
        <f t="shared" si="391"/>
        <v>21072.7575</v>
      </c>
      <c r="S1815" s="110"/>
      <c r="T1815" s="110"/>
      <c r="U1815" s="110">
        <f t="shared" si="403"/>
        <v>213</v>
      </c>
      <c r="V1815" s="111">
        <f t="shared" si="392"/>
        <v>21072.7575</v>
      </c>
      <c r="W1815" s="110"/>
      <c r="X1815" s="110"/>
      <c r="Y1815" s="110"/>
      <c r="Z1815" s="110"/>
      <c r="AA1815" s="110">
        <f t="shared" si="401"/>
        <v>213</v>
      </c>
      <c r="AB1815" s="111">
        <f t="shared" si="393"/>
        <v>21072.7575</v>
      </c>
      <c r="AC1815" s="110"/>
      <c r="AD1815" s="110"/>
      <c r="AE1815" s="110">
        <f t="shared" si="401"/>
        <v>213</v>
      </c>
      <c r="AF1815" s="111">
        <f t="shared" si="394"/>
        <v>21072.7575</v>
      </c>
      <c r="AG1815" s="110"/>
      <c r="AH1815" s="110"/>
      <c r="AI1815" s="110"/>
      <c r="AJ1815" s="110"/>
      <c r="AK1815" s="111">
        <f t="shared" si="396"/>
        <v>84291.03</v>
      </c>
      <c r="AL1815" s="446">
        <f t="shared" si="397"/>
        <v>0</v>
      </c>
      <c r="AM1815" s="110">
        <f t="shared" si="398"/>
        <v>852</v>
      </c>
      <c r="AN1815" s="447">
        <f t="shared" si="400"/>
        <v>0</v>
      </c>
      <c r="AO1815"/>
      <c r="AP1815"/>
    </row>
    <row r="1816" spans="1:42" ht="66" x14ac:dyDescent="0.25">
      <c r="A1816" s="40"/>
      <c r="B1816" s="34" t="s">
        <v>437</v>
      </c>
      <c r="C1816" s="1024"/>
      <c r="D1816" s="869">
        <f>132+180</f>
        <v>312</v>
      </c>
      <c r="E1816" s="254" t="s">
        <v>1721</v>
      </c>
      <c r="F1816" s="273" t="s">
        <v>3446</v>
      </c>
      <c r="G1816" s="1040" t="s">
        <v>3463</v>
      </c>
      <c r="H1816" s="273" t="s">
        <v>3462</v>
      </c>
      <c r="I1816" s="720">
        <f t="shared" si="390"/>
        <v>43.841314102564105</v>
      </c>
      <c r="J1816" s="780">
        <f>6224.33+7454.16</f>
        <v>13678.49</v>
      </c>
      <c r="K1816" s="131">
        <f t="shared" si="399"/>
        <v>13678.490000000002</v>
      </c>
      <c r="L1816" s="335">
        <f t="shared" si="395"/>
        <v>0</v>
      </c>
      <c r="M1816" s="446"/>
      <c r="N1816" s="446"/>
      <c r="O1816" s="446"/>
      <c r="P1816" s="446"/>
      <c r="Q1816" s="110">
        <f t="shared" si="402"/>
        <v>78</v>
      </c>
      <c r="R1816" s="111">
        <f t="shared" si="391"/>
        <v>3419.6224999999999</v>
      </c>
      <c r="S1816" s="110"/>
      <c r="T1816" s="110"/>
      <c r="U1816" s="110">
        <f t="shared" si="403"/>
        <v>78</v>
      </c>
      <c r="V1816" s="111">
        <f t="shared" si="392"/>
        <v>3419.6224999999999</v>
      </c>
      <c r="W1816" s="110"/>
      <c r="X1816" s="110"/>
      <c r="Y1816" s="110"/>
      <c r="Z1816" s="110"/>
      <c r="AA1816" s="110">
        <f t="shared" si="401"/>
        <v>78</v>
      </c>
      <c r="AB1816" s="111">
        <f t="shared" si="393"/>
        <v>3419.6224999999999</v>
      </c>
      <c r="AC1816" s="110"/>
      <c r="AD1816" s="110"/>
      <c r="AE1816" s="110">
        <f t="shared" si="401"/>
        <v>78</v>
      </c>
      <c r="AF1816" s="111">
        <f t="shared" si="394"/>
        <v>3419.6224999999999</v>
      </c>
      <c r="AG1816" s="110"/>
      <c r="AH1816" s="110"/>
      <c r="AI1816" s="110"/>
      <c r="AJ1816" s="110"/>
      <c r="AK1816" s="111">
        <f t="shared" si="396"/>
        <v>13678.49</v>
      </c>
      <c r="AL1816" s="446">
        <f t="shared" si="397"/>
        <v>0</v>
      </c>
      <c r="AM1816" s="110">
        <f t="shared" si="398"/>
        <v>312</v>
      </c>
      <c r="AN1816" s="447">
        <f t="shared" si="400"/>
        <v>0</v>
      </c>
      <c r="AO1816"/>
      <c r="AP1816"/>
    </row>
    <row r="1817" spans="1:42" ht="66" x14ac:dyDescent="0.25">
      <c r="A1817" s="40"/>
      <c r="B1817" s="34" t="s">
        <v>438</v>
      </c>
      <c r="C1817" s="1024"/>
      <c r="D1817" s="869">
        <f>180</f>
        <v>180</v>
      </c>
      <c r="E1817" s="255" t="s">
        <v>1721</v>
      </c>
      <c r="F1817" s="273" t="s">
        <v>3446</v>
      </c>
      <c r="G1817" s="1040" t="s">
        <v>3463</v>
      </c>
      <c r="H1817" s="273" t="s">
        <v>3462</v>
      </c>
      <c r="I1817" s="720">
        <f t="shared" ref="I1817:I1880" si="404">+J1817/D1817</f>
        <v>91.233999999999995</v>
      </c>
      <c r="J1817" s="780">
        <f>16422.12</f>
        <v>16422.12</v>
      </c>
      <c r="K1817" s="131">
        <f t="shared" si="399"/>
        <v>16422.12</v>
      </c>
      <c r="L1817" s="335">
        <f t="shared" si="395"/>
        <v>0</v>
      </c>
      <c r="M1817" s="446"/>
      <c r="N1817" s="446"/>
      <c r="O1817" s="446"/>
      <c r="P1817" s="446"/>
      <c r="Q1817" s="110">
        <f t="shared" si="402"/>
        <v>45</v>
      </c>
      <c r="R1817" s="111">
        <f t="shared" si="391"/>
        <v>4105.53</v>
      </c>
      <c r="S1817" s="110"/>
      <c r="T1817" s="110"/>
      <c r="U1817" s="110">
        <f t="shared" si="403"/>
        <v>45</v>
      </c>
      <c r="V1817" s="111">
        <f t="shared" si="392"/>
        <v>4105.53</v>
      </c>
      <c r="W1817" s="110"/>
      <c r="X1817" s="110"/>
      <c r="Y1817" s="110"/>
      <c r="Z1817" s="110"/>
      <c r="AA1817" s="110">
        <f t="shared" si="401"/>
        <v>45</v>
      </c>
      <c r="AB1817" s="111">
        <f t="shared" si="393"/>
        <v>4105.53</v>
      </c>
      <c r="AC1817" s="110"/>
      <c r="AD1817" s="110"/>
      <c r="AE1817" s="110">
        <f t="shared" si="401"/>
        <v>45</v>
      </c>
      <c r="AF1817" s="111">
        <f t="shared" si="394"/>
        <v>4105.53</v>
      </c>
      <c r="AG1817" s="110"/>
      <c r="AH1817" s="110"/>
      <c r="AI1817" s="110"/>
      <c r="AJ1817" s="110"/>
      <c r="AK1817" s="111">
        <f t="shared" si="396"/>
        <v>16422.12</v>
      </c>
      <c r="AL1817" s="446">
        <f t="shared" si="397"/>
        <v>0</v>
      </c>
      <c r="AM1817" s="110">
        <f t="shared" si="398"/>
        <v>180</v>
      </c>
      <c r="AN1817" s="447">
        <f t="shared" si="400"/>
        <v>0</v>
      </c>
      <c r="AO1817"/>
      <c r="AP1817"/>
    </row>
    <row r="1818" spans="1:42" ht="66" x14ac:dyDescent="0.25">
      <c r="A1818" s="40"/>
      <c r="B1818" s="46" t="s">
        <v>439</v>
      </c>
      <c r="C1818" s="1024"/>
      <c r="D1818" s="869">
        <v>24</v>
      </c>
      <c r="E1818" s="254" t="s">
        <v>1721</v>
      </c>
      <c r="F1818" s="273" t="s">
        <v>3446</v>
      </c>
      <c r="G1818" s="1040" t="s">
        <v>3463</v>
      </c>
      <c r="H1818" s="273" t="s">
        <v>3462</v>
      </c>
      <c r="I1818" s="720">
        <f t="shared" si="404"/>
        <v>179.66083333333333</v>
      </c>
      <c r="J1818" s="780">
        <f>4311.86</f>
        <v>4311.8599999999997</v>
      </c>
      <c r="K1818" s="131">
        <f t="shared" si="399"/>
        <v>4311.8599999999997</v>
      </c>
      <c r="L1818" s="335">
        <f t="shared" si="395"/>
        <v>0</v>
      </c>
      <c r="M1818" s="446"/>
      <c r="N1818" s="446"/>
      <c r="O1818" s="446"/>
      <c r="P1818" s="446"/>
      <c r="Q1818" s="110">
        <f t="shared" si="402"/>
        <v>6</v>
      </c>
      <c r="R1818" s="111">
        <f t="shared" ref="R1818:R1879" si="405">+J1818/4</f>
        <v>1077.9649999999999</v>
      </c>
      <c r="S1818" s="110"/>
      <c r="T1818" s="110"/>
      <c r="U1818" s="110">
        <f t="shared" si="403"/>
        <v>6</v>
      </c>
      <c r="V1818" s="111">
        <f t="shared" ref="V1818:V1879" si="406">+J1818/4</f>
        <v>1077.9649999999999</v>
      </c>
      <c r="W1818" s="110"/>
      <c r="X1818" s="110"/>
      <c r="Y1818" s="110"/>
      <c r="Z1818" s="110"/>
      <c r="AA1818" s="110">
        <f t="shared" si="401"/>
        <v>6</v>
      </c>
      <c r="AB1818" s="111">
        <f t="shared" si="393"/>
        <v>1077.9649999999999</v>
      </c>
      <c r="AC1818" s="110"/>
      <c r="AD1818" s="110"/>
      <c r="AE1818" s="110">
        <f t="shared" si="401"/>
        <v>6</v>
      </c>
      <c r="AF1818" s="111">
        <f t="shared" si="394"/>
        <v>1077.9649999999999</v>
      </c>
      <c r="AG1818" s="110"/>
      <c r="AH1818" s="110"/>
      <c r="AI1818" s="110"/>
      <c r="AJ1818" s="110"/>
      <c r="AK1818" s="111">
        <f t="shared" si="396"/>
        <v>4311.8599999999997</v>
      </c>
      <c r="AL1818" s="446">
        <f t="shared" si="397"/>
        <v>0</v>
      </c>
      <c r="AM1818" s="110">
        <f t="shared" si="398"/>
        <v>24</v>
      </c>
      <c r="AN1818" s="447">
        <f t="shared" si="400"/>
        <v>0</v>
      </c>
      <c r="AO1818"/>
      <c r="AP1818"/>
    </row>
    <row r="1819" spans="1:42" ht="66" x14ac:dyDescent="0.25">
      <c r="A1819" s="40"/>
      <c r="B1819" s="34" t="s">
        <v>440</v>
      </c>
      <c r="C1819" s="1024"/>
      <c r="D1819" s="869">
        <f>6</f>
        <v>6</v>
      </c>
      <c r="E1819" s="255" t="s">
        <v>1834</v>
      </c>
      <c r="F1819" s="273" t="s">
        <v>3446</v>
      </c>
      <c r="G1819" s="1040" t="s">
        <v>3463</v>
      </c>
      <c r="H1819" s="273" t="s">
        <v>3462</v>
      </c>
      <c r="I1819" s="720">
        <f t="shared" si="404"/>
        <v>368.76333333333332</v>
      </c>
      <c r="J1819" s="780">
        <f>2212.58</f>
        <v>2212.58</v>
      </c>
      <c r="K1819" s="131">
        <f t="shared" si="399"/>
        <v>2212.58</v>
      </c>
      <c r="L1819" s="335">
        <f t="shared" si="395"/>
        <v>0</v>
      </c>
      <c r="M1819" s="446"/>
      <c r="N1819" s="446"/>
      <c r="O1819" s="446"/>
      <c r="P1819" s="446"/>
      <c r="Q1819" s="130">
        <v>2</v>
      </c>
      <c r="R1819" s="111">
        <f t="shared" si="405"/>
        <v>553.14499999999998</v>
      </c>
      <c r="S1819" s="110"/>
      <c r="T1819" s="110"/>
      <c r="U1819" s="130">
        <v>2</v>
      </c>
      <c r="V1819" s="111">
        <f t="shared" si="406"/>
        <v>553.14499999999998</v>
      </c>
      <c r="W1819" s="110"/>
      <c r="X1819" s="110"/>
      <c r="Y1819" s="110"/>
      <c r="Z1819" s="110"/>
      <c r="AA1819" s="130">
        <v>1</v>
      </c>
      <c r="AB1819" s="111">
        <f t="shared" si="393"/>
        <v>553.14499999999998</v>
      </c>
      <c r="AC1819" s="110"/>
      <c r="AD1819" s="110"/>
      <c r="AE1819" s="130">
        <v>1</v>
      </c>
      <c r="AF1819" s="111">
        <f t="shared" si="394"/>
        <v>553.14499999999998</v>
      </c>
      <c r="AG1819" s="110"/>
      <c r="AH1819" s="110"/>
      <c r="AI1819" s="110"/>
      <c r="AJ1819" s="110"/>
      <c r="AK1819" s="111">
        <f t="shared" si="396"/>
        <v>2212.58</v>
      </c>
      <c r="AL1819" s="446">
        <f t="shared" si="397"/>
        <v>0</v>
      </c>
      <c r="AM1819" s="110">
        <f t="shared" si="398"/>
        <v>6</v>
      </c>
      <c r="AN1819" s="447">
        <f t="shared" si="400"/>
        <v>0</v>
      </c>
      <c r="AO1819"/>
      <c r="AP1819"/>
    </row>
    <row r="1820" spans="1:42" ht="66" x14ac:dyDescent="0.25">
      <c r="A1820" s="40"/>
      <c r="B1820" s="34" t="s">
        <v>441</v>
      </c>
      <c r="C1820" s="1024"/>
      <c r="D1820" s="869">
        <f>100</f>
        <v>100</v>
      </c>
      <c r="E1820" s="254" t="s">
        <v>1721</v>
      </c>
      <c r="F1820" s="273" t="s">
        <v>3446</v>
      </c>
      <c r="G1820" s="1040" t="s">
        <v>3463</v>
      </c>
      <c r="H1820" s="273" t="s">
        <v>3462</v>
      </c>
      <c r="I1820" s="720">
        <f t="shared" si="404"/>
        <v>18.2468</v>
      </c>
      <c r="J1820" s="780">
        <f>1824.68</f>
        <v>1824.68</v>
      </c>
      <c r="K1820" s="131">
        <f t="shared" si="399"/>
        <v>1824.68</v>
      </c>
      <c r="L1820" s="335">
        <f t="shared" si="395"/>
        <v>0</v>
      </c>
      <c r="M1820" s="446"/>
      <c r="N1820" s="446"/>
      <c r="O1820" s="446"/>
      <c r="P1820" s="446"/>
      <c r="Q1820" s="110">
        <v>30</v>
      </c>
      <c r="R1820" s="111">
        <f t="shared" si="405"/>
        <v>456.17</v>
      </c>
      <c r="S1820" s="110"/>
      <c r="T1820" s="110"/>
      <c r="U1820" s="110">
        <v>30</v>
      </c>
      <c r="V1820" s="111">
        <f t="shared" si="406"/>
        <v>456.17</v>
      </c>
      <c r="W1820" s="110"/>
      <c r="X1820" s="110"/>
      <c r="Y1820" s="110"/>
      <c r="Z1820" s="110"/>
      <c r="AA1820" s="110">
        <v>30</v>
      </c>
      <c r="AB1820" s="111">
        <f t="shared" si="393"/>
        <v>456.17</v>
      </c>
      <c r="AC1820" s="110"/>
      <c r="AD1820" s="110"/>
      <c r="AE1820" s="110">
        <v>10</v>
      </c>
      <c r="AF1820" s="111">
        <f t="shared" si="394"/>
        <v>456.17</v>
      </c>
      <c r="AG1820" s="110"/>
      <c r="AH1820" s="110"/>
      <c r="AI1820" s="110"/>
      <c r="AJ1820" s="110"/>
      <c r="AK1820" s="111">
        <f t="shared" si="396"/>
        <v>1824.68</v>
      </c>
      <c r="AL1820" s="446">
        <f t="shared" si="397"/>
        <v>0</v>
      </c>
      <c r="AM1820" s="110">
        <f t="shared" si="398"/>
        <v>100</v>
      </c>
      <c r="AN1820" s="447">
        <f t="shared" si="400"/>
        <v>0</v>
      </c>
      <c r="AO1820"/>
      <c r="AP1820"/>
    </row>
    <row r="1821" spans="1:42" ht="66" x14ac:dyDescent="0.25">
      <c r="A1821" s="40"/>
      <c r="B1821" s="34" t="s">
        <v>442</v>
      </c>
      <c r="C1821" s="1024"/>
      <c r="D1821" s="869">
        <f>100</f>
        <v>100</v>
      </c>
      <c r="E1821" s="254" t="s">
        <v>1721</v>
      </c>
      <c r="F1821" s="273" t="s">
        <v>3446</v>
      </c>
      <c r="G1821" s="1040" t="s">
        <v>3463</v>
      </c>
      <c r="H1821" s="273" t="s">
        <v>3462</v>
      </c>
      <c r="I1821" s="720">
        <f t="shared" si="404"/>
        <v>18.2468</v>
      </c>
      <c r="J1821" s="780">
        <f>1824.68</f>
        <v>1824.68</v>
      </c>
      <c r="K1821" s="131">
        <f t="shared" si="399"/>
        <v>1824.68</v>
      </c>
      <c r="L1821" s="335">
        <f t="shared" si="395"/>
        <v>0</v>
      </c>
      <c r="M1821" s="446"/>
      <c r="N1821" s="446"/>
      <c r="O1821" s="446"/>
      <c r="P1821" s="446"/>
      <c r="Q1821" s="110">
        <v>30</v>
      </c>
      <c r="R1821" s="111">
        <f t="shared" si="405"/>
        <v>456.17</v>
      </c>
      <c r="S1821" s="110"/>
      <c r="T1821" s="110"/>
      <c r="U1821" s="110">
        <v>30</v>
      </c>
      <c r="V1821" s="111">
        <f t="shared" si="406"/>
        <v>456.17</v>
      </c>
      <c r="W1821" s="110"/>
      <c r="X1821" s="110"/>
      <c r="Y1821" s="110"/>
      <c r="Z1821" s="110"/>
      <c r="AA1821" s="110">
        <v>30</v>
      </c>
      <c r="AB1821" s="111">
        <f t="shared" si="393"/>
        <v>456.17</v>
      </c>
      <c r="AC1821" s="110"/>
      <c r="AD1821" s="110"/>
      <c r="AE1821" s="110">
        <v>10</v>
      </c>
      <c r="AF1821" s="111">
        <f t="shared" si="394"/>
        <v>456.17</v>
      </c>
      <c r="AG1821" s="110"/>
      <c r="AH1821" s="110"/>
      <c r="AI1821" s="110"/>
      <c r="AJ1821" s="110"/>
      <c r="AK1821" s="111">
        <f t="shared" si="396"/>
        <v>1824.68</v>
      </c>
      <c r="AL1821" s="446">
        <f t="shared" si="397"/>
        <v>0</v>
      </c>
      <c r="AM1821" s="110">
        <f t="shared" si="398"/>
        <v>100</v>
      </c>
      <c r="AN1821" s="447">
        <f t="shared" si="400"/>
        <v>0</v>
      </c>
      <c r="AO1821"/>
      <c r="AP1821"/>
    </row>
    <row r="1822" spans="1:42" ht="66" x14ac:dyDescent="0.25">
      <c r="A1822" s="40"/>
      <c r="B1822" s="34" t="s">
        <v>443</v>
      </c>
      <c r="C1822" s="1024"/>
      <c r="D1822" s="869">
        <f>100</f>
        <v>100</v>
      </c>
      <c r="E1822" s="254" t="s">
        <v>1721</v>
      </c>
      <c r="F1822" s="273" t="s">
        <v>3446</v>
      </c>
      <c r="G1822" s="1040" t="s">
        <v>3463</v>
      </c>
      <c r="H1822" s="273" t="s">
        <v>3462</v>
      </c>
      <c r="I1822" s="720">
        <f t="shared" si="404"/>
        <v>18.2468</v>
      </c>
      <c r="J1822" s="780">
        <f>1824.68</f>
        <v>1824.68</v>
      </c>
      <c r="K1822" s="131">
        <f t="shared" si="399"/>
        <v>1824.68</v>
      </c>
      <c r="L1822" s="335">
        <f t="shared" si="395"/>
        <v>0</v>
      </c>
      <c r="M1822" s="446"/>
      <c r="N1822" s="446"/>
      <c r="O1822" s="446"/>
      <c r="P1822" s="446"/>
      <c r="Q1822" s="110">
        <v>30</v>
      </c>
      <c r="R1822" s="111">
        <f t="shared" si="405"/>
        <v>456.17</v>
      </c>
      <c r="S1822" s="110"/>
      <c r="T1822" s="110"/>
      <c r="U1822" s="110">
        <v>30</v>
      </c>
      <c r="V1822" s="111">
        <f t="shared" si="406"/>
        <v>456.17</v>
      </c>
      <c r="W1822" s="110"/>
      <c r="X1822" s="110"/>
      <c r="Y1822" s="110"/>
      <c r="Z1822" s="110"/>
      <c r="AA1822" s="110">
        <v>30</v>
      </c>
      <c r="AB1822" s="111">
        <f t="shared" si="393"/>
        <v>456.17</v>
      </c>
      <c r="AC1822" s="110"/>
      <c r="AD1822" s="110"/>
      <c r="AE1822" s="110">
        <v>10</v>
      </c>
      <c r="AF1822" s="111">
        <f t="shared" si="394"/>
        <v>456.17</v>
      </c>
      <c r="AG1822" s="110"/>
      <c r="AH1822" s="110"/>
      <c r="AI1822" s="110"/>
      <c r="AJ1822" s="110"/>
      <c r="AK1822" s="111">
        <f t="shared" si="396"/>
        <v>1824.68</v>
      </c>
      <c r="AL1822" s="446">
        <f t="shared" si="397"/>
        <v>0</v>
      </c>
      <c r="AM1822" s="110">
        <f t="shared" si="398"/>
        <v>100</v>
      </c>
      <c r="AN1822" s="447">
        <f t="shared" si="400"/>
        <v>0</v>
      </c>
      <c r="AO1822"/>
      <c r="AP1822"/>
    </row>
    <row r="1823" spans="1:42" ht="66" x14ac:dyDescent="0.25">
      <c r="A1823" s="40"/>
      <c r="B1823" s="34" t="s">
        <v>444</v>
      </c>
      <c r="C1823" s="1024"/>
      <c r="D1823" s="869">
        <f>100</f>
        <v>100</v>
      </c>
      <c r="E1823" s="254" t="s">
        <v>1721</v>
      </c>
      <c r="F1823" s="273" t="s">
        <v>3446</v>
      </c>
      <c r="G1823" s="1040" t="s">
        <v>3463</v>
      </c>
      <c r="H1823" s="273" t="s">
        <v>3462</v>
      </c>
      <c r="I1823" s="720">
        <f t="shared" si="404"/>
        <v>18.2468</v>
      </c>
      <c r="J1823" s="780">
        <f>1824.68</f>
        <v>1824.68</v>
      </c>
      <c r="K1823" s="131">
        <f t="shared" si="399"/>
        <v>1824.68</v>
      </c>
      <c r="L1823" s="335">
        <f t="shared" si="395"/>
        <v>0</v>
      </c>
      <c r="M1823" s="446"/>
      <c r="N1823" s="446"/>
      <c r="O1823" s="446"/>
      <c r="P1823" s="446"/>
      <c r="Q1823" s="110">
        <v>30</v>
      </c>
      <c r="R1823" s="111">
        <f t="shared" si="405"/>
        <v>456.17</v>
      </c>
      <c r="S1823" s="110"/>
      <c r="T1823" s="110"/>
      <c r="U1823" s="110">
        <v>30</v>
      </c>
      <c r="V1823" s="111">
        <f t="shared" si="406"/>
        <v>456.17</v>
      </c>
      <c r="W1823" s="110"/>
      <c r="X1823" s="110"/>
      <c r="Y1823" s="110"/>
      <c r="Z1823" s="110"/>
      <c r="AA1823" s="110">
        <v>30</v>
      </c>
      <c r="AB1823" s="111">
        <f t="shared" si="393"/>
        <v>456.17</v>
      </c>
      <c r="AC1823" s="110"/>
      <c r="AD1823" s="110"/>
      <c r="AE1823" s="110">
        <v>10</v>
      </c>
      <c r="AF1823" s="111">
        <f t="shared" si="394"/>
        <v>456.17</v>
      </c>
      <c r="AG1823" s="110"/>
      <c r="AH1823" s="110"/>
      <c r="AI1823" s="110"/>
      <c r="AJ1823" s="110"/>
      <c r="AK1823" s="111">
        <f t="shared" si="396"/>
        <v>1824.68</v>
      </c>
      <c r="AL1823" s="446">
        <f t="shared" si="397"/>
        <v>0</v>
      </c>
      <c r="AM1823" s="110">
        <f t="shared" si="398"/>
        <v>100</v>
      </c>
      <c r="AN1823" s="447">
        <f t="shared" si="400"/>
        <v>0</v>
      </c>
      <c r="AO1823"/>
      <c r="AP1823"/>
    </row>
    <row r="1824" spans="1:42" ht="66" x14ac:dyDescent="0.25">
      <c r="A1824" s="40"/>
      <c r="B1824" s="34" t="s">
        <v>445</v>
      </c>
      <c r="C1824" s="1024"/>
      <c r="D1824" s="869">
        <f>120</f>
        <v>120</v>
      </c>
      <c r="E1824" s="254" t="s">
        <v>1721</v>
      </c>
      <c r="F1824" s="273" t="s">
        <v>3446</v>
      </c>
      <c r="G1824" s="1040" t="s">
        <v>3463</v>
      </c>
      <c r="H1824" s="273" t="s">
        <v>3462</v>
      </c>
      <c r="I1824" s="720">
        <f t="shared" si="404"/>
        <v>18.246833333333331</v>
      </c>
      <c r="J1824" s="780">
        <f>2189.62</f>
        <v>2189.62</v>
      </c>
      <c r="K1824" s="131">
        <f t="shared" si="399"/>
        <v>2189.62</v>
      </c>
      <c r="L1824" s="335">
        <f t="shared" si="395"/>
        <v>0</v>
      </c>
      <c r="M1824" s="446"/>
      <c r="N1824" s="446"/>
      <c r="O1824" s="446"/>
      <c r="P1824" s="446"/>
      <c r="Q1824" s="110">
        <v>50</v>
      </c>
      <c r="R1824" s="111">
        <f t="shared" si="405"/>
        <v>547.40499999999997</v>
      </c>
      <c r="S1824" s="110"/>
      <c r="T1824" s="110"/>
      <c r="U1824" s="110">
        <v>50</v>
      </c>
      <c r="V1824" s="111">
        <f t="shared" si="406"/>
        <v>547.40499999999997</v>
      </c>
      <c r="W1824" s="110"/>
      <c r="X1824" s="110"/>
      <c r="Y1824" s="110"/>
      <c r="Z1824" s="110"/>
      <c r="AA1824" s="110">
        <v>10</v>
      </c>
      <c r="AB1824" s="111">
        <f t="shared" si="393"/>
        <v>547.40499999999997</v>
      </c>
      <c r="AC1824" s="110"/>
      <c r="AD1824" s="110"/>
      <c r="AE1824" s="110">
        <v>10</v>
      </c>
      <c r="AF1824" s="111">
        <f t="shared" si="394"/>
        <v>547.40499999999997</v>
      </c>
      <c r="AG1824" s="110"/>
      <c r="AH1824" s="110"/>
      <c r="AI1824" s="110"/>
      <c r="AJ1824" s="110"/>
      <c r="AK1824" s="111">
        <f t="shared" si="396"/>
        <v>2189.62</v>
      </c>
      <c r="AL1824" s="446">
        <f t="shared" si="397"/>
        <v>0</v>
      </c>
      <c r="AM1824" s="110">
        <f t="shared" si="398"/>
        <v>120</v>
      </c>
      <c r="AN1824" s="447">
        <f t="shared" si="400"/>
        <v>0</v>
      </c>
      <c r="AO1824"/>
      <c r="AP1824"/>
    </row>
    <row r="1825" spans="1:42" ht="66" x14ac:dyDescent="0.25">
      <c r="A1825" s="40"/>
      <c r="B1825" s="34" t="s">
        <v>446</v>
      </c>
      <c r="C1825" s="1024"/>
      <c r="D1825" s="869">
        <f>240</f>
        <v>240</v>
      </c>
      <c r="E1825" s="255" t="s">
        <v>1721</v>
      </c>
      <c r="F1825" s="273" t="s">
        <v>3446</v>
      </c>
      <c r="G1825" s="1040" t="s">
        <v>3463</v>
      </c>
      <c r="H1825" s="273" t="s">
        <v>3462</v>
      </c>
      <c r="I1825" s="720">
        <f t="shared" si="404"/>
        <v>18.246791666666663</v>
      </c>
      <c r="J1825" s="780">
        <f>4379.23</f>
        <v>4379.2299999999996</v>
      </c>
      <c r="K1825" s="131">
        <f t="shared" si="399"/>
        <v>4379.2299999999996</v>
      </c>
      <c r="L1825" s="335">
        <f t="shared" si="395"/>
        <v>0</v>
      </c>
      <c r="M1825" s="446"/>
      <c r="N1825" s="446"/>
      <c r="O1825" s="446"/>
      <c r="P1825" s="446"/>
      <c r="Q1825" s="110">
        <f t="shared" si="402"/>
        <v>60</v>
      </c>
      <c r="R1825" s="111">
        <f t="shared" si="405"/>
        <v>1094.8074999999999</v>
      </c>
      <c r="S1825" s="110"/>
      <c r="T1825" s="110"/>
      <c r="U1825" s="110">
        <f t="shared" si="403"/>
        <v>60</v>
      </c>
      <c r="V1825" s="111">
        <f t="shared" si="406"/>
        <v>1094.8074999999999</v>
      </c>
      <c r="W1825" s="110"/>
      <c r="X1825" s="110"/>
      <c r="Y1825" s="110"/>
      <c r="Z1825" s="110"/>
      <c r="AA1825" s="110">
        <f t="shared" si="401"/>
        <v>60</v>
      </c>
      <c r="AB1825" s="111">
        <f t="shared" si="393"/>
        <v>1094.8074999999999</v>
      </c>
      <c r="AC1825" s="110"/>
      <c r="AD1825" s="110"/>
      <c r="AE1825" s="110">
        <f t="shared" si="401"/>
        <v>60</v>
      </c>
      <c r="AF1825" s="111">
        <f t="shared" si="394"/>
        <v>1094.8074999999999</v>
      </c>
      <c r="AG1825" s="110"/>
      <c r="AH1825" s="110"/>
      <c r="AI1825" s="110"/>
      <c r="AJ1825" s="110"/>
      <c r="AK1825" s="111">
        <f t="shared" si="396"/>
        <v>4379.2299999999996</v>
      </c>
      <c r="AL1825" s="446">
        <f t="shared" si="397"/>
        <v>0</v>
      </c>
      <c r="AM1825" s="110">
        <f t="shared" si="398"/>
        <v>240</v>
      </c>
      <c r="AN1825" s="447">
        <f t="shared" si="400"/>
        <v>0</v>
      </c>
      <c r="AO1825"/>
      <c r="AP1825"/>
    </row>
    <row r="1826" spans="1:42" ht="66" x14ac:dyDescent="0.25">
      <c r="A1826" s="40"/>
      <c r="B1826" s="34" t="s">
        <v>447</v>
      </c>
      <c r="C1826" s="1024"/>
      <c r="D1826" s="869">
        <f>120</f>
        <v>120</v>
      </c>
      <c r="E1826" s="255" t="s">
        <v>1721</v>
      </c>
      <c r="F1826" s="273" t="s">
        <v>3446</v>
      </c>
      <c r="G1826" s="1040" t="s">
        <v>3463</v>
      </c>
      <c r="H1826" s="273" t="s">
        <v>3462</v>
      </c>
      <c r="I1826" s="720">
        <f t="shared" si="404"/>
        <v>18.246833333333331</v>
      </c>
      <c r="J1826" s="780">
        <f>2189.62</f>
        <v>2189.62</v>
      </c>
      <c r="K1826" s="131">
        <f t="shared" si="399"/>
        <v>2189.62</v>
      </c>
      <c r="L1826" s="335">
        <f t="shared" si="395"/>
        <v>0</v>
      </c>
      <c r="M1826" s="446"/>
      <c r="N1826" s="446"/>
      <c r="O1826" s="446"/>
      <c r="P1826" s="446"/>
      <c r="Q1826" s="110">
        <v>50</v>
      </c>
      <c r="R1826" s="111">
        <f t="shared" si="405"/>
        <v>547.40499999999997</v>
      </c>
      <c r="S1826" s="110"/>
      <c r="T1826" s="110"/>
      <c r="U1826" s="110">
        <v>50</v>
      </c>
      <c r="V1826" s="111">
        <f t="shared" si="406"/>
        <v>547.40499999999997</v>
      </c>
      <c r="W1826" s="110"/>
      <c r="X1826" s="110"/>
      <c r="Y1826" s="110"/>
      <c r="Z1826" s="110"/>
      <c r="AA1826" s="110">
        <v>10</v>
      </c>
      <c r="AB1826" s="111">
        <f t="shared" si="393"/>
        <v>547.40499999999997</v>
      </c>
      <c r="AC1826" s="110"/>
      <c r="AD1826" s="110"/>
      <c r="AE1826" s="110">
        <v>10</v>
      </c>
      <c r="AF1826" s="111">
        <f t="shared" si="394"/>
        <v>547.40499999999997</v>
      </c>
      <c r="AG1826" s="110"/>
      <c r="AH1826" s="110"/>
      <c r="AI1826" s="110"/>
      <c r="AJ1826" s="110"/>
      <c r="AK1826" s="111">
        <f t="shared" si="396"/>
        <v>2189.62</v>
      </c>
      <c r="AL1826" s="446">
        <f t="shared" si="397"/>
        <v>0</v>
      </c>
      <c r="AM1826" s="110">
        <f t="shared" si="398"/>
        <v>120</v>
      </c>
      <c r="AN1826" s="447">
        <f t="shared" si="400"/>
        <v>0</v>
      </c>
      <c r="AO1826"/>
      <c r="AP1826"/>
    </row>
    <row r="1827" spans="1:42" ht="66" x14ac:dyDescent="0.25">
      <c r="A1827" s="40"/>
      <c r="B1827" s="43" t="s">
        <v>448</v>
      </c>
      <c r="C1827" s="1024"/>
      <c r="D1827" s="869">
        <f>3+5</f>
        <v>8</v>
      </c>
      <c r="E1827" s="255" t="s">
        <v>1721</v>
      </c>
      <c r="F1827" s="273" t="s">
        <v>3446</v>
      </c>
      <c r="G1827" s="1040" t="s">
        <v>3463</v>
      </c>
      <c r="H1827" s="273" t="s">
        <v>3462</v>
      </c>
      <c r="I1827" s="720">
        <f t="shared" si="404"/>
        <v>405.39625000000001</v>
      </c>
      <c r="J1827" s="780">
        <f>1510.67+1732.5</f>
        <v>3243.17</v>
      </c>
      <c r="K1827" s="131">
        <f t="shared" si="399"/>
        <v>3243.17</v>
      </c>
      <c r="L1827" s="335">
        <f t="shared" si="395"/>
        <v>0</v>
      </c>
      <c r="M1827" s="446"/>
      <c r="N1827" s="446"/>
      <c r="O1827" s="446"/>
      <c r="P1827" s="446"/>
      <c r="Q1827" s="110">
        <f t="shared" si="402"/>
        <v>2</v>
      </c>
      <c r="R1827" s="111">
        <f t="shared" si="405"/>
        <v>810.79250000000002</v>
      </c>
      <c r="S1827" s="110"/>
      <c r="T1827" s="110"/>
      <c r="U1827" s="110">
        <f t="shared" si="403"/>
        <v>2</v>
      </c>
      <c r="V1827" s="111">
        <f t="shared" si="406"/>
        <v>810.79250000000002</v>
      </c>
      <c r="W1827" s="110"/>
      <c r="X1827" s="110"/>
      <c r="Y1827" s="110"/>
      <c r="Z1827" s="110"/>
      <c r="AA1827" s="110">
        <f t="shared" si="401"/>
        <v>2</v>
      </c>
      <c r="AB1827" s="111">
        <f t="shared" si="393"/>
        <v>810.79250000000002</v>
      </c>
      <c r="AC1827" s="110"/>
      <c r="AD1827" s="110"/>
      <c r="AE1827" s="110">
        <f t="shared" si="401"/>
        <v>2</v>
      </c>
      <c r="AF1827" s="111">
        <f t="shared" si="394"/>
        <v>810.79250000000002</v>
      </c>
      <c r="AG1827" s="110"/>
      <c r="AH1827" s="110"/>
      <c r="AI1827" s="110"/>
      <c r="AJ1827" s="110"/>
      <c r="AK1827" s="111">
        <f t="shared" si="396"/>
        <v>3243.17</v>
      </c>
      <c r="AL1827" s="446">
        <f t="shared" si="397"/>
        <v>0</v>
      </c>
      <c r="AM1827" s="110">
        <f t="shared" si="398"/>
        <v>8</v>
      </c>
      <c r="AN1827" s="447">
        <f t="shared" si="400"/>
        <v>0</v>
      </c>
      <c r="AO1827"/>
      <c r="AP1827"/>
    </row>
    <row r="1828" spans="1:42" ht="66" x14ac:dyDescent="0.25">
      <c r="A1828" s="40"/>
      <c r="B1828" s="43" t="s">
        <v>449</v>
      </c>
      <c r="C1828" s="1024"/>
      <c r="D1828" s="869">
        <f>5</f>
        <v>5</v>
      </c>
      <c r="E1828" s="255" t="s">
        <v>1721</v>
      </c>
      <c r="F1828" s="273" t="s">
        <v>3446</v>
      </c>
      <c r="G1828" s="1040" t="s">
        <v>3463</v>
      </c>
      <c r="H1828" s="273" t="s">
        <v>3462</v>
      </c>
      <c r="I1828" s="720">
        <f t="shared" si="404"/>
        <v>346.5</v>
      </c>
      <c r="J1828" s="780">
        <f>1732.5</f>
        <v>1732.5</v>
      </c>
      <c r="K1828" s="131">
        <f t="shared" si="399"/>
        <v>1732.5</v>
      </c>
      <c r="L1828" s="335">
        <f t="shared" si="395"/>
        <v>0</v>
      </c>
      <c r="M1828" s="446"/>
      <c r="N1828" s="446"/>
      <c r="O1828" s="446"/>
      <c r="P1828" s="446"/>
      <c r="Q1828" s="110">
        <v>2</v>
      </c>
      <c r="R1828" s="111">
        <f t="shared" si="405"/>
        <v>433.125</v>
      </c>
      <c r="S1828" s="110"/>
      <c r="T1828" s="110"/>
      <c r="U1828" s="110">
        <v>1</v>
      </c>
      <c r="V1828" s="111">
        <f t="shared" si="406"/>
        <v>433.125</v>
      </c>
      <c r="W1828" s="110"/>
      <c r="X1828" s="110"/>
      <c r="Y1828" s="110"/>
      <c r="Z1828" s="110"/>
      <c r="AA1828" s="110">
        <v>1</v>
      </c>
      <c r="AB1828" s="111">
        <f t="shared" si="393"/>
        <v>433.125</v>
      </c>
      <c r="AC1828" s="110"/>
      <c r="AD1828" s="110"/>
      <c r="AE1828" s="110">
        <v>1</v>
      </c>
      <c r="AF1828" s="111">
        <f t="shared" si="394"/>
        <v>433.125</v>
      </c>
      <c r="AG1828" s="110"/>
      <c r="AH1828" s="110"/>
      <c r="AI1828" s="110"/>
      <c r="AJ1828" s="110"/>
      <c r="AK1828" s="111">
        <f t="shared" si="396"/>
        <v>1732.5</v>
      </c>
      <c r="AL1828" s="446">
        <f t="shared" si="397"/>
        <v>0</v>
      </c>
      <c r="AM1828" s="110">
        <f t="shared" si="398"/>
        <v>5</v>
      </c>
      <c r="AN1828" s="447">
        <f t="shared" si="400"/>
        <v>0</v>
      </c>
      <c r="AO1828"/>
      <c r="AP1828"/>
    </row>
    <row r="1829" spans="1:42" ht="66" x14ac:dyDescent="0.25">
      <c r="A1829" s="40"/>
      <c r="B1829" s="34" t="s">
        <v>450</v>
      </c>
      <c r="C1829" s="1024"/>
      <c r="D1829" s="869">
        <f>6</f>
        <v>6</v>
      </c>
      <c r="E1829" s="255" t="s">
        <v>1834</v>
      </c>
      <c r="F1829" s="273" t="s">
        <v>3446</v>
      </c>
      <c r="G1829" s="1040" t="s">
        <v>3463</v>
      </c>
      <c r="H1829" s="273" t="s">
        <v>3462</v>
      </c>
      <c r="I1829" s="720">
        <f t="shared" si="404"/>
        <v>77.198333333333338</v>
      </c>
      <c r="J1829" s="780">
        <f>463.19</f>
        <v>463.19</v>
      </c>
      <c r="K1829" s="131">
        <f t="shared" si="399"/>
        <v>463.19000000000005</v>
      </c>
      <c r="L1829" s="335">
        <f t="shared" si="395"/>
        <v>0</v>
      </c>
      <c r="M1829" s="446"/>
      <c r="N1829" s="446"/>
      <c r="O1829" s="446"/>
      <c r="P1829" s="446"/>
      <c r="Q1829" s="130">
        <v>2</v>
      </c>
      <c r="R1829" s="111">
        <f t="shared" si="405"/>
        <v>115.7975</v>
      </c>
      <c r="S1829" s="110"/>
      <c r="T1829" s="110"/>
      <c r="U1829" s="130">
        <v>2</v>
      </c>
      <c r="V1829" s="111">
        <f t="shared" si="406"/>
        <v>115.7975</v>
      </c>
      <c r="W1829" s="110"/>
      <c r="X1829" s="110"/>
      <c r="Y1829" s="110"/>
      <c r="Z1829" s="110"/>
      <c r="AA1829" s="130">
        <v>1</v>
      </c>
      <c r="AB1829" s="111">
        <f t="shared" ref="AB1829:AB1892" si="407">+J1829/4</f>
        <v>115.7975</v>
      </c>
      <c r="AC1829" s="110"/>
      <c r="AD1829" s="110"/>
      <c r="AE1829" s="130">
        <v>1</v>
      </c>
      <c r="AF1829" s="111">
        <f t="shared" ref="AF1829:AF1863" si="408">+J1829/4</f>
        <v>115.7975</v>
      </c>
      <c r="AG1829" s="110"/>
      <c r="AH1829" s="110"/>
      <c r="AI1829" s="110"/>
      <c r="AJ1829" s="110"/>
      <c r="AK1829" s="111">
        <f t="shared" si="396"/>
        <v>463.19</v>
      </c>
      <c r="AL1829" s="446">
        <f t="shared" si="397"/>
        <v>0</v>
      </c>
      <c r="AM1829" s="110">
        <f t="shared" si="398"/>
        <v>6</v>
      </c>
      <c r="AN1829" s="447">
        <f t="shared" si="400"/>
        <v>0</v>
      </c>
      <c r="AO1829"/>
      <c r="AP1829"/>
    </row>
    <row r="1830" spans="1:42" s="108" customFormat="1" ht="66" x14ac:dyDescent="0.25">
      <c r="A1830" s="1027"/>
      <c r="B1830" s="43" t="s">
        <v>451</v>
      </c>
      <c r="C1830" s="1024"/>
      <c r="D1830" s="869">
        <f>275+225</f>
        <v>500</v>
      </c>
      <c r="E1830" s="255" t="s">
        <v>1721</v>
      </c>
      <c r="F1830" s="273" t="s">
        <v>3446</v>
      </c>
      <c r="G1830" s="1040" t="s">
        <v>3463</v>
      </c>
      <c r="H1830" s="273" t="s">
        <v>3462</v>
      </c>
      <c r="I1830" s="722">
        <f t="shared" si="404"/>
        <v>113.4045</v>
      </c>
      <c r="J1830" s="780">
        <f>35169.75+21532.5</f>
        <v>56702.25</v>
      </c>
      <c r="K1830" s="131">
        <f t="shared" si="399"/>
        <v>56702.25</v>
      </c>
      <c r="L1830" s="335">
        <f t="shared" si="395"/>
        <v>0</v>
      </c>
      <c r="M1830" s="335"/>
      <c r="N1830" s="335"/>
      <c r="O1830" s="335"/>
      <c r="P1830" s="335"/>
      <c r="Q1830" s="130">
        <f t="shared" si="402"/>
        <v>125</v>
      </c>
      <c r="R1830" s="131">
        <f t="shared" si="405"/>
        <v>14175.5625</v>
      </c>
      <c r="S1830" s="130"/>
      <c r="T1830" s="130"/>
      <c r="U1830" s="130">
        <f t="shared" si="403"/>
        <v>125</v>
      </c>
      <c r="V1830" s="131">
        <f t="shared" si="406"/>
        <v>14175.5625</v>
      </c>
      <c r="W1830" s="130"/>
      <c r="X1830" s="130"/>
      <c r="Y1830" s="130"/>
      <c r="Z1830" s="130"/>
      <c r="AA1830" s="130">
        <f t="shared" si="401"/>
        <v>125</v>
      </c>
      <c r="AB1830" s="131">
        <f t="shared" si="407"/>
        <v>14175.5625</v>
      </c>
      <c r="AC1830" s="130"/>
      <c r="AD1830" s="130"/>
      <c r="AE1830" s="130">
        <f t="shared" si="401"/>
        <v>125</v>
      </c>
      <c r="AF1830" s="131">
        <f t="shared" si="408"/>
        <v>14175.5625</v>
      </c>
      <c r="AG1830" s="130"/>
      <c r="AH1830" s="130"/>
      <c r="AI1830" s="130"/>
      <c r="AJ1830" s="130"/>
      <c r="AK1830" s="131">
        <f t="shared" si="396"/>
        <v>56702.25</v>
      </c>
      <c r="AL1830" s="335">
        <f t="shared" si="397"/>
        <v>0</v>
      </c>
      <c r="AM1830" s="130">
        <f t="shared" si="398"/>
        <v>500</v>
      </c>
      <c r="AN1830" s="336">
        <f t="shared" si="400"/>
        <v>0</v>
      </c>
    </row>
    <row r="1831" spans="1:42" s="108" customFormat="1" ht="66" x14ac:dyDescent="0.25">
      <c r="A1831" s="1027"/>
      <c r="B1831" s="34" t="s">
        <v>452</v>
      </c>
      <c r="C1831" s="1024"/>
      <c r="D1831" s="869">
        <f>55+768</f>
        <v>823</v>
      </c>
      <c r="E1831" s="255" t="s">
        <v>1721</v>
      </c>
      <c r="F1831" s="273" t="s">
        <v>3446</v>
      </c>
      <c r="G1831" s="1040" t="s">
        <v>3463</v>
      </c>
      <c r="H1831" s="273" t="s">
        <v>3462</v>
      </c>
      <c r="I1831" s="722">
        <f t="shared" si="404"/>
        <v>22.666136087484812</v>
      </c>
      <c r="J1831" s="780">
        <f>1406.79+17247.44</f>
        <v>18654.23</v>
      </c>
      <c r="K1831" s="131">
        <f t="shared" si="399"/>
        <v>18654.23</v>
      </c>
      <c r="L1831" s="335">
        <f t="shared" si="395"/>
        <v>0</v>
      </c>
      <c r="M1831" s="335"/>
      <c r="N1831" s="335"/>
      <c r="O1831" s="335"/>
      <c r="P1831" s="335"/>
      <c r="Q1831" s="130">
        <f t="shared" si="402"/>
        <v>205.75</v>
      </c>
      <c r="R1831" s="131">
        <f t="shared" si="405"/>
        <v>4663.5574999999999</v>
      </c>
      <c r="S1831" s="130"/>
      <c r="T1831" s="130"/>
      <c r="U1831" s="130">
        <f t="shared" si="403"/>
        <v>205.75</v>
      </c>
      <c r="V1831" s="131">
        <f t="shared" si="406"/>
        <v>4663.5574999999999</v>
      </c>
      <c r="W1831" s="130"/>
      <c r="X1831" s="130"/>
      <c r="Y1831" s="130"/>
      <c r="Z1831" s="130"/>
      <c r="AA1831" s="130">
        <f t="shared" si="401"/>
        <v>205.75</v>
      </c>
      <c r="AB1831" s="131">
        <f t="shared" si="407"/>
        <v>4663.5574999999999</v>
      </c>
      <c r="AC1831" s="130"/>
      <c r="AD1831" s="130"/>
      <c r="AE1831" s="130">
        <f t="shared" si="401"/>
        <v>205.75</v>
      </c>
      <c r="AF1831" s="131">
        <f t="shared" si="408"/>
        <v>4663.5574999999999</v>
      </c>
      <c r="AG1831" s="130"/>
      <c r="AH1831" s="130"/>
      <c r="AI1831" s="130"/>
      <c r="AJ1831" s="130"/>
      <c r="AK1831" s="131">
        <f t="shared" si="396"/>
        <v>18654.23</v>
      </c>
      <c r="AL1831" s="335">
        <f t="shared" si="397"/>
        <v>0</v>
      </c>
      <c r="AM1831" s="130">
        <f t="shared" si="398"/>
        <v>823</v>
      </c>
      <c r="AN1831" s="336">
        <f t="shared" si="400"/>
        <v>0</v>
      </c>
    </row>
    <row r="1832" spans="1:42" s="108" customFormat="1" ht="66" x14ac:dyDescent="0.25">
      <c r="A1832" s="1027"/>
      <c r="B1832" s="34" t="s">
        <v>453</v>
      </c>
      <c r="C1832" s="1024"/>
      <c r="D1832" s="869">
        <f>360</f>
        <v>360</v>
      </c>
      <c r="E1832" s="255" t="s">
        <v>1721</v>
      </c>
      <c r="F1832" s="273" t="s">
        <v>3446</v>
      </c>
      <c r="G1832" s="1040" t="s">
        <v>3463</v>
      </c>
      <c r="H1832" s="273" t="s">
        <v>3462</v>
      </c>
      <c r="I1832" s="722">
        <f t="shared" si="404"/>
        <v>35.089999999999996</v>
      </c>
      <c r="J1832" s="780">
        <f>12632.4</f>
        <v>12632.4</v>
      </c>
      <c r="K1832" s="131">
        <f t="shared" si="399"/>
        <v>12632.399999999998</v>
      </c>
      <c r="L1832" s="335">
        <f t="shared" si="395"/>
        <v>0</v>
      </c>
      <c r="M1832" s="335"/>
      <c r="N1832" s="335"/>
      <c r="O1832" s="335"/>
      <c r="P1832" s="335"/>
      <c r="Q1832" s="130">
        <f t="shared" si="402"/>
        <v>90</v>
      </c>
      <c r="R1832" s="131">
        <f t="shared" si="405"/>
        <v>3158.1</v>
      </c>
      <c r="S1832" s="130"/>
      <c r="T1832" s="130"/>
      <c r="U1832" s="130">
        <f t="shared" si="403"/>
        <v>90</v>
      </c>
      <c r="V1832" s="131">
        <f t="shared" si="406"/>
        <v>3158.1</v>
      </c>
      <c r="W1832" s="130"/>
      <c r="X1832" s="130"/>
      <c r="Y1832" s="130"/>
      <c r="Z1832" s="130"/>
      <c r="AA1832" s="130">
        <f t="shared" si="401"/>
        <v>90</v>
      </c>
      <c r="AB1832" s="131">
        <f t="shared" si="407"/>
        <v>3158.1</v>
      </c>
      <c r="AC1832" s="130"/>
      <c r="AD1832" s="130"/>
      <c r="AE1832" s="130">
        <f t="shared" si="401"/>
        <v>90</v>
      </c>
      <c r="AF1832" s="131">
        <f t="shared" si="408"/>
        <v>3158.1</v>
      </c>
      <c r="AG1832" s="130"/>
      <c r="AH1832" s="130"/>
      <c r="AI1832" s="130"/>
      <c r="AJ1832" s="130"/>
      <c r="AK1832" s="131">
        <f t="shared" si="396"/>
        <v>12632.4</v>
      </c>
      <c r="AL1832" s="335">
        <f t="shared" si="397"/>
        <v>0</v>
      </c>
      <c r="AM1832" s="130">
        <f t="shared" si="398"/>
        <v>360</v>
      </c>
      <c r="AN1832" s="336">
        <f t="shared" si="400"/>
        <v>0</v>
      </c>
    </row>
    <row r="1833" spans="1:42" ht="66" x14ac:dyDescent="0.25">
      <c r="A1833" s="40"/>
      <c r="B1833" s="43" t="s">
        <v>454</v>
      </c>
      <c r="C1833" s="1024"/>
      <c r="D1833" s="869">
        <f>5</f>
        <v>5</v>
      </c>
      <c r="E1833" s="255" t="s">
        <v>2470</v>
      </c>
      <c r="F1833" s="273" t="s">
        <v>3446</v>
      </c>
      <c r="G1833" s="1040" t="s">
        <v>3463</v>
      </c>
      <c r="H1833" s="273" t="s">
        <v>3462</v>
      </c>
      <c r="I1833" s="720">
        <f t="shared" si="404"/>
        <v>60.5</v>
      </c>
      <c r="J1833" s="780">
        <f>302.5</f>
        <v>302.5</v>
      </c>
      <c r="K1833" s="131">
        <f t="shared" si="399"/>
        <v>302.5</v>
      </c>
      <c r="L1833" s="335">
        <f t="shared" si="395"/>
        <v>0</v>
      </c>
      <c r="M1833" s="446"/>
      <c r="N1833" s="446"/>
      <c r="O1833" s="446"/>
      <c r="P1833" s="446"/>
      <c r="Q1833" s="110">
        <v>2</v>
      </c>
      <c r="R1833" s="111">
        <f t="shared" si="405"/>
        <v>75.625</v>
      </c>
      <c r="S1833" s="110"/>
      <c r="T1833" s="110"/>
      <c r="U1833" s="110">
        <v>1</v>
      </c>
      <c r="V1833" s="111">
        <f t="shared" si="406"/>
        <v>75.625</v>
      </c>
      <c r="W1833" s="110"/>
      <c r="X1833" s="110"/>
      <c r="Y1833" s="110"/>
      <c r="Z1833" s="110"/>
      <c r="AA1833" s="110">
        <v>1</v>
      </c>
      <c r="AB1833" s="111">
        <f t="shared" si="407"/>
        <v>75.625</v>
      </c>
      <c r="AC1833" s="110"/>
      <c r="AD1833" s="110"/>
      <c r="AE1833" s="110">
        <v>1</v>
      </c>
      <c r="AF1833" s="111">
        <f t="shared" si="408"/>
        <v>75.625</v>
      </c>
      <c r="AG1833" s="110"/>
      <c r="AH1833" s="110"/>
      <c r="AI1833" s="110"/>
      <c r="AJ1833" s="110"/>
      <c r="AK1833" s="111">
        <f t="shared" si="396"/>
        <v>302.5</v>
      </c>
      <c r="AL1833" s="446">
        <f t="shared" si="397"/>
        <v>0</v>
      </c>
      <c r="AM1833" s="110">
        <f t="shared" si="398"/>
        <v>5</v>
      </c>
      <c r="AN1833" s="447">
        <f t="shared" si="400"/>
        <v>0</v>
      </c>
      <c r="AO1833"/>
      <c r="AP1833"/>
    </row>
    <row r="1834" spans="1:42" ht="66" x14ac:dyDescent="0.25">
      <c r="A1834" s="40"/>
      <c r="B1834" s="46" t="s">
        <v>455</v>
      </c>
      <c r="C1834" s="1024"/>
      <c r="D1834" s="869">
        <f>960</f>
        <v>960</v>
      </c>
      <c r="E1834" s="255" t="s">
        <v>1721</v>
      </c>
      <c r="F1834" s="273" t="s">
        <v>3446</v>
      </c>
      <c r="G1834" s="1040" t="s">
        <v>3463</v>
      </c>
      <c r="H1834" s="273" t="s">
        <v>3462</v>
      </c>
      <c r="I1834" s="720">
        <f t="shared" si="404"/>
        <v>10.544395833333335</v>
      </c>
      <c r="J1834" s="780">
        <f>10122.62</f>
        <v>10122.620000000001</v>
      </c>
      <c r="K1834" s="131">
        <f t="shared" si="399"/>
        <v>10122.620000000001</v>
      </c>
      <c r="L1834" s="335">
        <f t="shared" si="395"/>
        <v>0</v>
      </c>
      <c r="M1834" s="446"/>
      <c r="N1834" s="446"/>
      <c r="O1834" s="446"/>
      <c r="P1834" s="446"/>
      <c r="Q1834" s="110">
        <f t="shared" si="402"/>
        <v>240</v>
      </c>
      <c r="R1834" s="111">
        <f t="shared" si="405"/>
        <v>2530.6550000000002</v>
      </c>
      <c r="S1834" s="110"/>
      <c r="T1834" s="110"/>
      <c r="U1834" s="110">
        <f t="shared" si="403"/>
        <v>240</v>
      </c>
      <c r="V1834" s="111">
        <f t="shared" si="406"/>
        <v>2530.6550000000002</v>
      </c>
      <c r="W1834" s="110"/>
      <c r="X1834" s="110"/>
      <c r="Y1834" s="110"/>
      <c r="Z1834" s="110"/>
      <c r="AA1834" s="110">
        <f t="shared" si="401"/>
        <v>240</v>
      </c>
      <c r="AB1834" s="111">
        <f t="shared" si="407"/>
        <v>2530.6550000000002</v>
      </c>
      <c r="AC1834" s="110"/>
      <c r="AD1834" s="110"/>
      <c r="AE1834" s="110">
        <f t="shared" si="401"/>
        <v>240</v>
      </c>
      <c r="AF1834" s="111">
        <f t="shared" si="408"/>
        <v>2530.6550000000002</v>
      </c>
      <c r="AG1834" s="110"/>
      <c r="AH1834" s="110"/>
      <c r="AI1834" s="110"/>
      <c r="AJ1834" s="110"/>
      <c r="AK1834" s="111">
        <f t="shared" si="396"/>
        <v>10122.620000000001</v>
      </c>
      <c r="AL1834" s="446">
        <f t="shared" si="397"/>
        <v>0</v>
      </c>
      <c r="AM1834" s="110">
        <f t="shared" si="398"/>
        <v>960</v>
      </c>
      <c r="AN1834" s="447">
        <f t="shared" si="400"/>
        <v>0</v>
      </c>
      <c r="AO1834"/>
      <c r="AP1834"/>
    </row>
    <row r="1835" spans="1:42" ht="66" x14ac:dyDescent="0.25">
      <c r="A1835" s="40"/>
      <c r="B1835" s="46" t="s">
        <v>456</v>
      </c>
      <c r="C1835" s="1024"/>
      <c r="D1835" s="869">
        <f>336</f>
        <v>336</v>
      </c>
      <c r="E1835" s="255" t="s">
        <v>1827</v>
      </c>
      <c r="F1835" s="273" t="s">
        <v>3446</v>
      </c>
      <c r="G1835" s="1040" t="s">
        <v>3463</v>
      </c>
      <c r="H1835" s="273" t="s">
        <v>3462</v>
      </c>
      <c r="I1835" s="720">
        <f t="shared" si="404"/>
        <v>189.48601190476191</v>
      </c>
      <c r="J1835" s="780">
        <f>63667.3</f>
        <v>63667.3</v>
      </c>
      <c r="K1835" s="131">
        <f t="shared" si="399"/>
        <v>63667.3</v>
      </c>
      <c r="L1835" s="335">
        <f t="shared" si="395"/>
        <v>0</v>
      </c>
      <c r="M1835" s="446"/>
      <c r="N1835" s="446"/>
      <c r="O1835" s="446"/>
      <c r="P1835" s="446"/>
      <c r="Q1835" s="110">
        <f t="shared" si="402"/>
        <v>84</v>
      </c>
      <c r="R1835" s="111">
        <f t="shared" si="405"/>
        <v>15916.825000000001</v>
      </c>
      <c r="S1835" s="110"/>
      <c r="T1835" s="110"/>
      <c r="U1835" s="110">
        <f t="shared" si="403"/>
        <v>84</v>
      </c>
      <c r="V1835" s="111">
        <f t="shared" si="406"/>
        <v>15916.825000000001</v>
      </c>
      <c r="W1835" s="110"/>
      <c r="X1835" s="110"/>
      <c r="Y1835" s="110"/>
      <c r="Z1835" s="110"/>
      <c r="AA1835" s="110">
        <f t="shared" si="401"/>
        <v>84</v>
      </c>
      <c r="AB1835" s="111">
        <f t="shared" si="407"/>
        <v>15916.825000000001</v>
      </c>
      <c r="AC1835" s="110"/>
      <c r="AD1835" s="110"/>
      <c r="AE1835" s="110">
        <f t="shared" si="401"/>
        <v>84</v>
      </c>
      <c r="AF1835" s="111">
        <f t="shared" si="408"/>
        <v>15916.825000000001</v>
      </c>
      <c r="AG1835" s="110"/>
      <c r="AH1835" s="110"/>
      <c r="AI1835" s="110"/>
      <c r="AJ1835" s="110"/>
      <c r="AK1835" s="111">
        <f t="shared" si="396"/>
        <v>63667.3</v>
      </c>
      <c r="AL1835" s="446">
        <f t="shared" si="397"/>
        <v>0</v>
      </c>
      <c r="AM1835" s="110">
        <f t="shared" si="398"/>
        <v>336</v>
      </c>
      <c r="AN1835" s="447">
        <f t="shared" si="400"/>
        <v>0</v>
      </c>
      <c r="AO1835"/>
      <c r="AP1835"/>
    </row>
    <row r="1836" spans="1:42" ht="66" x14ac:dyDescent="0.25">
      <c r="A1836" s="40"/>
      <c r="B1836" s="46" t="s">
        <v>457</v>
      </c>
      <c r="C1836" s="1024"/>
      <c r="D1836" s="869">
        <f>24</f>
        <v>24</v>
      </c>
      <c r="E1836" s="255" t="s">
        <v>1721</v>
      </c>
      <c r="F1836" s="273" t="s">
        <v>3446</v>
      </c>
      <c r="G1836" s="1040" t="s">
        <v>3463</v>
      </c>
      <c r="H1836" s="273" t="s">
        <v>3462</v>
      </c>
      <c r="I1836" s="720">
        <f t="shared" si="404"/>
        <v>54.404166666666669</v>
      </c>
      <c r="J1836" s="780">
        <f>1305.7</f>
        <v>1305.7</v>
      </c>
      <c r="K1836" s="131">
        <f t="shared" si="399"/>
        <v>1305.7</v>
      </c>
      <c r="L1836" s="335">
        <f t="shared" si="395"/>
        <v>0</v>
      </c>
      <c r="M1836" s="446"/>
      <c r="N1836" s="446"/>
      <c r="O1836" s="446"/>
      <c r="P1836" s="446"/>
      <c r="Q1836" s="110">
        <f t="shared" si="402"/>
        <v>6</v>
      </c>
      <c r="R1836" s="111">
        <f t="shared" si="405"/>
        <v>326.42500000000001</v>
      </c>
      <c r="S1836" s="110"/>
      <c r="T1836" s="110"/>
      <c r="U1836" s="110">
        <f t="shared" si="403"/>
        <v>6</v>
      </c>
      <c r="V1836" s="111">
        <f t="shared" si="406"/>
        <v>326.42500000000001</v>
      </c>
      <c r="W1836" s="110"/>
      <c r="X1836" s="110"/>
      <c r="Y1836" s="110"/>
      <c r="Z1836" s="110"/>
      <c r="AA1836" s="110">
        <f t="shared" si="401"/>
        <v>6</v>
      </c>
      <c r="AB1836" s="111">
        <f t="shared" si="407"/>
        <v>326.42500000000001</v>
      </c>
      <c r="AC1836" s="110"/>
      <c r="AD1836" s="110"/>
      <c r="AE1836" s="110">
        <f t="shared" si="401"/>
        <v>6</v>
      </c>
      <c r="AF1836" s="111">
        <f t="shared" si="408"/>
        <v>326.42500000000001</v>
      </c>
      <c r="AG1836" s="110"/>
      <c r="AH1836" s="110"/>
      <c r="AI1836" s="110"/>
      <c r="AJ1836" s="110"/>
      <c r="AK1836" s="111">
        <f t="shared" si="396"/>
        <v>1305.7</v>
      </c>
      <c r="AL1836" s="446">
        <f t="shared" si="397"/>
        <v>0</v>
      </c>
      <c r="AM1836" s="110">
        <f t="shared" si="398"/>
        <v>24</v>
      </c>
      <c r="AN1836" s="447">
        <f t="shared" si="400"/>
        <v>0</v>
      </c>
      <c r="AO1836"/>
      <c r="AP1836"/>
    </row>
    <row r="1837" spans="1:42" ht="66" x14ac:dyDescent="0.25">
      <c r="A1837" s="40"/>
      <c r="B1837" s="46" t="s">
        <v>458</v>
      </c>
      <c r="C1837" s="1024"/>
      <c r="D1837" s="869">
        <f>288</f>
        <v>288</v>
      </c>
      <c r="E1837" s="255" t="s">
        <v>1721</v>
      </c>
      <c r="F1837" s="273" t="s">
        <v>3446</v>
      </c>
      <c r="G1837" s="1040" t="s">
        <v>3463</v>
      </c>
      <c r="H1837" s="273" t="s">
        <v>3462</v>
      </c>
      <c r="I1837" s="720">
        <f t="shared" si="404"/>
        <v>109.48079861111111</v>
      </c>
      <c r="J1837" s="780">
        <f>31530.47</f>
        <v>31530.47</v>
      </c>
      <c r="K1837" s="131">
        <f t="shared" si="399"/>
        <v>31530.47</v>
      </c>
      <c r="L1837" s="335">
        <f t="shared" si="395"/>
        <v>0</v>
      </c>
      <c r="M1837" s="446"/>
      <c r="N1837" s="446"/>
      <c r="O1837" s="446"/>
      <c r="P1837" s="446"/>
      <c r="Q1837" s="110">
        <f t="shared" si="402"/>
        <v>72</v>
      </c>
      <c r="R1837" s="111">
        <f t="shared" si="405"/>
        <v>7882.6175000000003</v>
      </c>
      <c r="S1837" s="110"/>
      <c r="T1837" s="110"/>
      <c r="U1837" s="110">
        <f t="shared" si="403"/>
        <v>72</v>
      </c>
      <c r="V1837" s="111">
        <f t="shared" si="406"/>
        <v>7882.6175000000003</v>
      </c>
      <c r="W1837" s="110"/>
      <c r="X1837" s="110"/>
      <c r="Y1837" s="110"/>
      <c r="Z1837" s="110"/>
      <c r="AA1837" s="110">
        <f t="shared" si="401"/>
        <v>72</v>
      </c>
      <c r="AB1837" s="111">
        <f t="shared" si="407"/>
        <v>7882.6175000000003</v>
      </c>
      <c r="AC1837" s="110"/>
      <c r="AD1837" s="110"/>
      <c r="AE1837" s="110">
        <f t="shared" si="401"/>
        <v>72</v>
      </c>
      <c r="AF1837" s="111">
        <f t="shared" si="408"/>
        <v>7882.6175000000003</v>
      </c>
      <c r="AG1837" s="110"/>
      <c r="AH1837" s="110"/>
      <c r="AI1837" s="110"/>
      <c r="AJ1837" s="110"/>
      <c r="AK1837" s="111">
        <f t="shared" si="396"/>
        <v>31530.47</v>
      </c>
      <c r="AL1837" s="446">
        <f t="shared" si="397"/>
        <v>0</v>
      </c>
      <c r="AM1837" s="110">
        <f t="shared" si="398"/>
        <v>288</v>
      </c>
      <c r="AN1837" s="447">
        <f t="shared" si="400"/>
        <v>0</v>
      </c>
      <c r="AO1837"/>
      <c r="AP1837"/>
    </row>
    <row r="1838" spans="1:42" ht="66" x14ac:dyDescent="0.25">
      <c r="A1838" s="40"/>
      <c r="B1838" s="43" t="s">
        <v>459</v>
      </c>
      <c r="C1838" s="1024"/>
      <c r="D1838" s="869">
        <f>22+36</f>
        <v>58</v>
      </c>
      <c r="E1838" s="255" t="s">
        <v>1834</v>
      </c>
      <c r="F1838" s="273" t="s">
        <v>3446</v>
      </c>
      <c r="G1838" s="1040" t="s">
        <v>3463</v>
      </c>
      <c r="H1838" s="273" t="s">
        <v>3462</v>
      </c>
      <c r="I1838" s="720">
        <f t="shared" si="404"/>
        <v>186.9208620689655</v>
      </c>
      <c r="J1838" s="780">
        <f>5099.41+5742</f>
        <v>10841.41</v>
      </c>
      <c r="K1838" s="131">
        <f t="shared" si="399"/>
        <v>10841.41</v>
      </c>
      <c r="L1838" s="335">
        <f t="shared" si="395"/>
        <v>0</v>
      </c>
      <c r="M1838" s="446"/>
      <c r="N1838" s="446"/>
      <c r="O1838" s="446"/>
      <c r="P1838" s="446"/>
      <c r="Q1838" s="110">
        <v>15</v>
      </c>
      <c r="R1838" s="111">
        <f t="shared" si="405"/>
        <v>2710.3525</v>
      </c>
      <c r="S1838" s="110"/>
      <c r="T1838" s="110"/>
      <c r="U1838" s="110">
        <v>13</v>
      </c>
      <c r="V1838" s="111">
        <f t="shared" si="406"/>
        <v>2710.3525</v>
      </c>
      <c r="W1838" s="110"/>
      <c r="X1838" s="110"/>
      <c r="Y1838" s="110"/>
      <c r="Z1838" s="110"/>
      <c r="AA1838" s="110">
        <v>16</v>
      </c>
      <c r="AB1838" s="111">
        <f t="shared" si="407"/>
        <v>2710.3525</v>
      </c>
      <c r="AC1838" s="110"/>
      <c r="AD1838" s="110"/>
      <c r="AE1838" s="110">
        <v>14</v>
      </c>
      <c r="AF1838" s="111">
        <f t="shared" si="408"/>
        <v>2710.3525</v>
      </c>
      <c r="AG1838" s="110"/>
      <c r="AH1838" s="110"/>
      <c r="AI1838" s="110"/>
      <c r="AJ1838" s="110"/>
      <c r="AK1838" s="111">
        <f t="shared" si="396"/>
        <v>10841.41</v>
      </c>
      <c r="AL1838" s="446">
        <f t="shared" si="397"/>
        <v>0</v>
      </c>
      <c r="AM1838" s="110">
        <f t="shared" si="398"/>
        <v>58</v>
      </c>
      <c r="AN1838" s="447">
        <f t="shared" si="400"/>
        <v>0</v>
      </c>
      <c r="AO1838"/>
      <c r="AP1838"/>
    </row>
    <row r="1839" spans="1:42" ht="66" x14ac:dyDescent="0.25">
      <c r="A1839" s="40"/>
      <c r="B1839" s="43" t="s">
        <v>460</v>
      </c>
      <c r="C1839" s="1024"/>
      <c r="D1839" s="869">
        <f>22+6</f>
        <v>28</v>
      </c>
      <c r="E1839" s="255" t="s">
        <v>1721</v>
      </c>
      <c r="F1839" s="273" t="s">
        <v>3446</v>
      </c>
      <c r="G1839" s="1040" t="s">
        <v>3463</v>
      </c>
      <c r="H1839" s="273" t="s">
        <v>3462</v>
      </c>
      <c r="I1839" s="720">
        <f t="shared" si="404"/>
        <v>208.84178571428569</v>
      </c>
      <c r="J1839" s="780">
        <f>4923.57+924</f>
        <v>5847.57</v>
      </c>
      <c r="K1839" s="131">
        <f t="shared" si="399"/>
        <v>5847.57</v>
      </c>
      <c r="L1839" s="335">
        <f t="shared" si="395"/>
        <v>0</v>
      </c>
      <c r="M1839" s="446"/>
      <c r="N1839" s="446"/>
      <c r="O1839" s="446"/>
      <c r="P1839" s="446"/>
      <c r="Q1839" s="110">
        <f t="shared" si="402"/>
        <v>7</v>
      </c>
      <c r="R1839" s="111">
        <f t="shared" si="405"/>
        <v>1461.8924999999999</v>
      </c>
      <c r="S1839" s="110"/>
      <c r="T1839" s="110"/>
      <c r="U1839" s="110">
        <f t="shared" si="403"/>
        <v>7</v>
      </c>
      <c r="V1839" s="111">
        <f t="shared" si="406"/>
        <v>1461.8924999999999</v>
      </c>
      <c r="W1839" s="110"/>
      <c r="X1839" s="110"/>
      <c r="Y1839" s="110"/>
      <c r="Z1839" s="110"/>
      <c r="AA1839" s="110">
        <f t="shared" si="401"/>
        <v>7</v>
      </c>
      <c r="AB1839" s="111">
        <f t="shared" si="407"/>
        <v>1461.8924999999999</v>
      </c>
      <c r="AC1839" s="110"/>
      <c r="AD1839" s="110"/>
      <c r="AE1839" s="110">
        <f t="shared" si="401"/>
        <v>7</v>
      </c>
      <c r="AF1839" s="111">
        <f t="shared" si="408"/>
        <v>1461.8924999999999</v>
      </c>
      <c r="AG1839" s="110"/>
      <c r="AH1839" s="110"/>
      <c r="AI1839" s="110"/>
      <c r="AJ1839" s="110"/>
      <c r="AK1839" s="111">
        <f t="shared" si="396"/>
        <v>5847.57</v>
      </c>
      <c r="AL1839" s="446">
        <f t="shared" si="397"/>
        <v>0</v>
      </c>
      <c r="AM1839" s="110">
        <f t="shared" si="398"/>
        <v>28</v>
      </c>
      <c r="AN1839" s="447">
        <f t="shared" si="400"/>
        <v>0</v>
      </c>
      <c r="AO1839"/>
      <c r="AP1839"/>
    </row>
    <row r="1840" spans="1:42" ht="66" x14ac:dyDescent="0.25">
      <c r="A1840" s="40"/>
      <c r="B1840" s="34" t="s">
        <v>461</v>
      </c>
      <c r="C1840" s="1024"/>
      <c r="D1840" s="869">
        <f>72</f>
        <v>72</v>
      </c>
      <c r="E1840" s="255" t="s">
        <v>1721</v>
      </c>
      <c r="F1840" s="273" t="s">
        <v>3446</v>
      </c>
      <c r="G1840" s="1040" t="s">
        <v>3463</v>
      </c>
      <c r="H1840" s="273" t="s">
        <v>3462</v>
      </c>
      <c r="I1840" s="720">
        <f t="shared" si="404"/>
        <v>112.28805555555556</v>
      </c>
      <c r="J1840" s="780">
        <f>8084.74</f>
        <v>8084.74</v>
      </c>
      <c r="K1840" s="131">
        <f t="shared" si="399"/>
        <v>8084.74</v>
      </c>
      <c r="L1840" s="335">
        <f t="shared" si="395"/>
        <v>0</v>
      </c>
      <c r="M1840" s="446"/>
      <c r="N1840" s="446"/>
      <c r="O1840" s="446"/>
      <c r="P1840" s="446"/>
      <c r="Q1840" s="110">
        <f t="shared" si="402"/>
        <v>18</v>
      </c>
      <c r="R1840" s="111">
        <f t="shared" si="405"/>
        <v>2021.1849999999999</v>
      </c>
      <c r="S1840" s="110"/>
      <c r="T1840" s="110"/>
      <c r="U1840" s="110">
        <f t="shared" si="403"/>
        <v>18</v>
      </c>
      <c r="V1840" s="111">
        <f t="shared" si="406"/>
        <v>2021.1849999999999</v>
      </c>
      <c r="W1840" s="110"/>
      <c r="X1840" s="110"/>
      <c r="Y1840" s="110"/>
      <c r="Z1840" s="110"/>
      <c r="AA1840" s="110">
        <f t="shared" si="401"/>
        <v>18</v>
      </c>
      <c r="AB1840" s="111">
        <f t="shared" si="407"/>
        <v>2021.1849999999999</v>
      </c>
      <c r="AC1840" s="110"/>
      <c r="AD1840" s="110"/>
      <c r="AE1840" s="110">
        <f t="shared" si="401"/>
        <v>18</v>
      </c>
      <c r="AF1840" s="111">
        <f t="shared" si="408"/>
        <v>2021.1849999999999</v>
      </c>
      <c r="AG1840" s="110"/>
      <c r="AH1840" s="110"/>
      <c r="AI1840" s="110"/>
      <c r="AJ1840" s="110"/>
      <c r="AK1840" s="111">
        <f t="shared" si="396"/>
        <v>8084.74</v>
      </c>
      <c r="AL1840" s="446">
        <f t="shared" si="397"/>
        <v>0</v>
      </c>
      <c r="AM1840" s="110">
        <f t="shared" si="398"/>
        <v>72</v>
      </c>
      <c r="AN1840" s="447">
        <f t="shared" si="400"/>
        <v>0</v>
      </c>
      <c r="AO1840"/>
      <c r="AP1840"/>
    </row>
    <row r="1841" spans="1:42" ht="66" x14ac:dyDescent="0.25">
      <c r="A1841" s="40"/>
      <c r="B1841" s="34" t="s">
        <v>462</v>
      </c>
      <c r="C1841" s="1024"/>
      <c r="D1841" s="869">
        <f>72</f>
        <v>72</v>
      </c>
      <c r="E1841" s="255" t="s">
        <v>1721</v>
      </c>
      <c r="F1841" s="273" t="s">
        <v>3446</v>
      </c>
      <c r="G1841" s="1040" t="s">
        <v>3463</v>
      </c>
      <c r="H1841" s="273" t="s">
        <v>3462</v>
      </c>
      <c r="I1841" s="720">
        <f t="shared" si="404"/>
        <v>105.27</v>
      </c>
      <c r="J1841" s="780">
        <f>7579.44</f>
        <v>7579.44</v>
      </c>
      <c r="K1841" s="131">
        <f t="shared" si="399"/>
        <v>7579.44</v>
      </c>
      <c r="L1841" s="335">
        <f t="shared" si="395"/>
        <v>0</v>
      </c>
      <c r="M1841" s="446"/>
      <c r="N1841" s="446"/>
      <c r="O1841" s="446"/>
      <c r="P1841" s="446"/>
      <c r="Q1841" s="110">
        <f t="shared" si="402"/>
        <v>18</v>
      </c>
      <c r="R1841" s="111">
        <f t="shared" si="405"/>
        <v>1894.86</v>
      </c>
      <c r="S1841" s="110"/>
      <c r="T1841" s="110"/>
      <c r="U1841" s="110">
        <f t="shared" si="403"/>
        <v>18</v>
      </c>
      <c r="V1841" s="111">
        <f t="shared" si="406"/>
        <v>1894.86</v>
      </c>
      <c r="W1841" s="110"/>
      <c r="X1841" s="110"/>
      <c r="Y1841" s="110"/>
      <c r="Z1841" s="110"/>
      <c r="AA1841" s="110">
        <f t="shared" si="401"/>
        <v>18</v>
      </c>
      <c r="AB1841" s="111">
        <f t="shared" si="407"/>
        <v>1894.86</v>
      </c>
      <c r="AC1841" s="110"/>
      <c r="AD1841" s="110"/>
      <c r="AE1841" s="110">
        <f t="shared" si="401"/>
        <v>18</v>
      </c>
      <c r="AF1841" s="111">
        <f t="shared" si="408"/>
        <v>1894.86</v>
      </c>
      <c r="AG1841" s="110"/>
      <c r="AH1841" s="110"/>
      <c r="AI1841" s="110"/>
      <c r="AJ1841" s="110"/>
      <c r="AK1841" s="111">
        <f t="shared" si="396"/>
        <v>7579.44</v>
      </c>
      <c r="AL1841" s="446">
        <f t="shared" si="397"/>
        <v>0</v>
      </c>
      <c r="AM1841" s="110">
        <f t="shared" si="398"/>
        <v>72</v>
      </c>
      <c r="AN1841" s="447">
        <f t="shared" si="400"/>
        <v>0</v>
      </c>
      <c r="AO1841"/>
      <c r="AP1841"/>
    </row>
    <row r="1842" spans="1:42" ht="66" x14ac:dyDescent="0.25">
      <c r="A1842" s="40"/>
      <c r="B1842" s="34" t="s">
        <v>1176</v>
      </c>
      <c r="C1842" s="1024"/>
      <c r="D1842" s="869">
        <f>72</f>
        <v>72</v>
      </c>
      <c r="E1842" s="255" t="s">
        <v>1721</v>
      </c>
      <c r="F1842" s="273" t="s">
        <v>3446</v>
      </c>
      <c r="G1842" s="1040" t="s">
        <v>3463</v>
      </c>
      <c r="H1842" s="273" t="s">
        <v>3462</v>
      </c>
      <c r="I1842" s="720">
        <f t="shared" si="404"/>
        <v>103.58805555555556</v>
      </c>
      <c r="J1842" s="780">
        <f>7458.34</f>
        <v>7458.34</v>
      </c>
      <c r="K1842" s="131">
        <f t="shared" si="399"/>
        <v>7458.34</v>
      </c>
      <c r="L1842" s="335">
        <f t="shared" si="395"/>
        <v>0</v>
      </c>
      <c r="M1842" s="446"/>
      <c r="N1842" s="446"/>
      <c r="O1842" s="446"/>
      <c r="P1842" s="446"/>
      <c r="Q1842" s="110">
        <f t="shared" si="402"/>
        <v>18</v>
      </c>
      <c r="R1842" s="111">
        <f t="shared" si="405"/>
        <v>1864.585</v>
      </c>
      <c r="S1842" s="110"/>
      <c r="T1842" s="110"/>
      <c r="U1842" s="110">
        <f t="shared" si="403"/>
        <v>18</v>
      </c>
      <c r="V1842" s="111">
        <f t="shared" si="406"/>
        <v>1864.585</v>
      </c>
      <c r="W1842" s="110"/>
      <c r="X1842" s="110"/>
      <c r="Y1842" s="110"/>
      <c r="Z1842" s="110"/>
      <c r="AA1842" s="110">
        <f t="shared" si="401"/>
        <v>18</v>
      </c>
      <c r="AB1842" s="111">
        <f t="shared" si="407"/>
        <v>1864.585</v>
      </c>
      <c r="AC1842" s="110"/>
      <c r="AD1842" s="110"/>
      <c r="AE1842" s="110">
        <f t="shared" si="401"/>
        <v>18</v>
      </c>
      <c r="AF1842" s="111">
        <f t="shared" si="408"/>
        <v>1864.585</v>
      </c>
      <c r="AG1842" s="110"/>
      <c r="AH1842" s="110"/>
      <c r="AI1842" s="110"/>
      <c r="AJ1842" s="110"/>
      <c r="AK1842" s="111">
        <f t="shared" si="396"/>
        <v>7458.34</v>
      </c>
      <c r="AL1842" s="446">
        <f t="shared" si="397"/>
        <v>0</v>
      </c>
      <c r="AM1842" s="110">
        <f t="shared" si="398"/>
        <v>72</v>
      </c>
      <c r="AN1842" s="447">
        <f t="shared" si="400"/>
        <v>0</v>
      </c>
      <c r="AO1842"/>
      <c r="AP1842"/>
    </row>
    <row r="1843" spans="1:42" ht="66" x14ac:dyDescent="0.25">
      <c r="A1843" s="40"/>
      <c r="B1843" s="46" t="s">
        <v>463</v>
      </c>
      <c r="C1843" s="1024"/>
      <c r="D1843" s="869">
        <f>2</f>
        <v>2</v>
      </c>
      <c r="E1843" s="255" t="s">
        <v>1834</v>
      </c>
      <c r="F1843" s="273" t="s">
        <v>3446</v>
      </c>
      <c r="G1843" s="1040" t="s">
        <v>3463</v>
      </c>
      <c r="H1843" s="273" t="s">
        <v>3462</v>
      </c>
      <c r="I1843" s="720">
        <f t="shared" si="404"/>
        <v>179.66</v>
      </c>
      <c r="J1843" s="780">
        <f>359.32</f>
        <v>359.32</v>
      </c>
      <c r="K1843" s="131">
        <f t="shared" si="399"/>
        <v>359.32</v>
      </c>
      <c r="L1843" s="335">
        <f t="shared" si="395"/>
        <v>0</v>
      </c>
      <c r="M1843" s="446"/>
      <c r="N1843" s="446"/>
      <c r="O1843" s="446"/>
      <c r="P1843" s="446"/>
      <c r="Q1843" s="130">
        <v>1</v>
      </c>
      <c r="R1843" s="111">
        <f t="shared" si="405"/>
        <v>89.83</v>
      </c>
      <c r="S1843" s="110"/>
      <c r="T1843" s="110"/>
      <c r="U1843" s="130">
        <v>1</v>
      </c>
      <c r="V1843" s="111">
        <f t="shared" si="406"/>
        <v>89.83</v>
      </c>
      <c r="W1843" s="110"/>
      <c r="X1843" s="110"/>
      <c r="Y1843" s="110"/>
      <c r="Z1843" s="110"/>
      <c r="AA1843" s="130">
        <v>0</v>
      </c>
      <c r="AB1843" s="111">
        <f t="shared" si="407"/>
        <v>89.83</v>
      </c>
      <c r="AC1843" s="110"/>
      <c r="AD1843" s="110"/>
      <c r="AE1843" s="130">
        <v>0</v>
      </c>
      <c r="AF1843" s="111">
        <f t="shared" si="408"/>
        <v>89.83</v>
      </c>
      <c r="AG1843" s="110"/>
      <c r="AH1843" s="110"/>
      <c r="AI1843" s="110"/>
      <c r="AJ1843" s="110"/>
      <c r="AK1843" s="111">
        <f t="shared" si="396"/>
        <v>359.32</v>
      </c>
      <c r="AL1843" s="446">
        <f t="shared" si="397"/>
        <v>0</v>
      </c>
      <c r="AM1843" s="110">
        <f t="shared" si="398"/>
        <v>2</v>
      </c>
      <c r="AN1843" s="447">
        <f t="shared" si="400"/>
        <v>0</v>
      </c>
      <c r="AO1843"/>
      <c r="AP1843"/>
    </row>
    <row r="1844" spans="1:42" ht="66" x14ac:dyDescent="0.25">
      <c r="A1844" s="40"/>
      <c r="B1844" s="43" t="s">
        <v>464</v>
      </c>
      <c r="C1844" s="1024"/>
      <c r="D1844" s="869">
        <f>44+87</f>
        <v>131</v>
      </c>
      <c r="E1844" s="255" t="s">
        <v>1721</v>
      </c>
      <c r="F1844" s="273" t="s">
        <v>3446</v>
      </c>
      <c r="G1844" s="1040" t="s">
        <v>3463</v>
      </c>
      <c r="H1844" s="273" t="s">
        <v>3462</v>
      </c>
      <c r="I1844" s="720">
        <f t="shared" si="404"/>
        <v>27.250763358778624</v>
      </c>
      <c r="J1844" s="780">
        <f>1336.23+2233.62</f>
        <v>3569.85</v>
      </c>
      <c r="K1844" s="131">
        <f t="shared" si="399"/>
        <v>3569.85</v>
      </c>
      <c r="L1844" s="335">
        <f t="shared" ref="L1844:L1907" si="409">+J1844-K1844</f>
        <v>0</v>
      </c>
      <c r="M1844" s="446"/>
      <c r="N1844" s="446"/>
      <c r="O1844" s="446"/>
      <c r="P1844" s="446"/>
      <c r="Q1844" s="110">
        <v>60</v>
      </c>
      <c r="R1844" s="111">
        <f t="shared" si="405"/>
        <v>892.46249999999998</v>
      </c>
      <c r="S1844" s="110"/>
      <c r="T1844" s="110"/>
      <c r="U1844" s="110">
        <v>60</v>
      </c>
      <c r="V1844" s="111">
        <f t="shared" si="406"/>
        <v>892.46249999999998</v>
      </c>
      <c r="W1844" s="110"/>
      <c r="X1844" s="110"/>
      <c r="Y1844" s="110"/>
      <c r="Z1844" s="110"/>
      <c r="AA1844" s="110">
        <v>11</v>
      </c>
      <c r="AB1844" s="111">
        <f t="shared" si="407"/>
        <v>892.46249999999998</v>
      </c>
      <c r="AC1844" s="110"/>
      <c r="AD1844" s="110"/>
      <c r="AE1844" s="110"/>
      <c r="AF1844" s="111">
        <f t="shared" si="408"/>
        <v>892.46249999999998</v>
      </c>
      <c r="AG1844" s="110"/>
      <c r="AH1844" s="110"/>
      <c r="AI1844" s="110"/>
      <c r="AJ1844" s="110"/>
      <c r="AK1844" s="111">
        <f t="shared" ref="AK1844:AK1907" si="410">+R1844+V1844+AB1844+AF1844</f>
        <v>3569.85</v>
      </c>
      <c r="AL1844" s="446">
        <f t="shared" ref="AL1844:AL1907" si="411">+J1844-AK1844</f>
        <v>0</v>
      </c>
      <c r="AM1844" s="110">
        <f t="shared" ref="AM1844:AM1907" si="412">+Q1844+U1844+AA1844+AE1844</f>
        <v>131</v>
      </c>
      <c r="AN1844" s="447">
        <f t="shared" si="400"/>
        <v>0</v>
      </c>
      <c r="AO1844"/>
      <c r="AP1844"/>
    </row>
    <row r="1845" spans="1:42" ht="66" x14ac:dyDescent="0.25">
      <c r="A1845" s="40"/>
      <c r="B1845" s="34" t="s">
        <v>465</v>
      </c>
      <c r="C1845" s="1024"/>
      <c r="D1845" s="869">
        <f>72</f>
        <v>72</v>
      </c>
      <c r="E1845" s="255" t="s">
        <v>1721</v>
      </c>
      <c r="F1845" s="273" t="s">
        <v>3446</v>
      </c>
      <c r="G1845" s="1040" t="s">
        <v>3463</v>
      </c>
      <c r="H1845" s="273" t="s">
        <v>3462</v>
      </c>
      <c r="I1845" s="720">
        <f t="shared" si="404"/>
        <v>91.234027777777783</v>
      </c>
      <c r="J1845" s="780">
        <f>6568.85</f>
        <v>6568.85</v>
      </c>
      <c r="K1845" s="131">
        <f t="shared" si="399"/>
        <v>6568.85</v>
      </c>
      <c r="L1845" s="335">
        <f t="shared" si="409"/>
        <v>0</v>
      </c>
      <c r="M1845" s="446"/>
      <c r="N1845" s="446"/>
      <c r="O1845" s="446"/>
      <c r="P1845" s="446"/>
      <c r="Q1845" s="110">
        <f t="shared" si="402"/>
        <v>18</v>
      </c>
      <c r="R1845" s="111">
        <f t="shared" si="405"/>
        <v>1642.2125000000001</v>
      </c>
      <c r="S1845" s="110"/>
      <c r="T1845" s="110"/>
      <c r="U1845" s="110">
        <f t="shared" si="403"/>
        <v>18</v>
      </c>
      <c r="V1845" s="111">
        <f t="shared" si="406"/>
        <v>1642.2125000000001</v>
      </c>
      <c r="W1845" s="110"/>
      <c r="X1845" s="110"/>
      <c r="Y1845" s="110"/>
      <c r="Z1845" s="110"/>
      <c r="AA1845" s="110">
        <f t="shared" si="401"/>
        <v>18</v>
      </c>
      <c r="AB1845" s="111">
        <f t="shared" si="407"/>
        <v>1642.2125000000001</v>
      </c>
      <c r="AC1845" s="110"/>
      <c r="AD1845" s="110"/>
      <c r="AE1845" s="110">
        <f t="shared" si="401"/>
        <v>18</v>
      </c>
      <c r="AF1845" s="111">
        <f t="shared" si="408"/>
        <v>1642.2125000000001</v>
      </c>
      <c r="AG1845" s="110"/>
      <c r="AH1845" s="110"/>
      <c r="AI1845" s="110"/>
      <c r="AJ1845" s="110"/>
      <c r="AK1845" s="111">
        <f t="shared" si="410"/>
        <v>6568.85</v>
      </c>
      <c r="AL1845" s="446">
        <f t="shared" si="411"/>
        <v>0</v>
      </c>
      <c r="AM1845" s="110">
        <f t="shared" si="412"/>
        <v>72</v>
      </c>
      <c r="AN1845" s="447">
        <f t="shared" si="400"/>
        <v>0</v>
      </c>
      <c r="AO1845"/>
      <c r="AP1845"/>
    </row>
    <row r="1846" spans="1:42" ht="66" x14ac:dyDescent="0.25">
      <c r="A1846" s="40"/>
      <c r="B1846" s="34" t="s">
        <v>466</v>
      </c>
      <c r="C1846" s="1024"/>
      <c r="D1846" s="869">
        <f>72</f>
        <v>72</v>
      </c>
      <c r="E1846" s="255" t="s">
        <v>1721</v>
      </c>
      <c r="F1846" s="273" t="s">
        <v>3446</v>
      </c>
      <c r="G1846" s="1040" t="s">
        <v>3463</v>
      </c>
      <c r="H1846" s="273" t="s">
        <v>3462</v>
      </c>
      <c r="I1846" s="720">
        <f t="shared" si="404"/>
        <v>68.776388888888889</v>
      </c>
      <c r="J1846" s="780">
        <f>4951.9</f>
        <v>4951.8999999999996</v>
      </c>
      <c r="K1846" s="131">
        <f t="shared" si="399"/>
        <v>4951.8999999999996</v>
      </c>
      <c r="L1846" s="335">
        <f t="shared" si="409"/>
        <v>0</v>
      </c>
      <c r="M1846" s="446"/>
      <c r="N1846" s="446"/>
      <c r="O1846" s="446"/>
      <c r="P1846" s="446"/>
      <c r="Q1846" s="110">
        <f t="shared" si="402"/>
        <v>18</v>
      </c>
      <c r="R1846" s="111">
        <f t="shared" si="405"/>
        <v>1237.9749999999999</v>
      </c>
      <c r="S1846" s="110"/>
      <c r="T1846" s="110"/>
      <c r="U1846" s="110">
        <f t="shared" si="403"/>
        <v>18</v>
      </c>
      <c r="V1846" s="111">
        <f t="shared" si="406"/>
        <v>1237.9749999999999</v>
      </c>
      <c r="W1846" s="110"/>
      <c r="X1846" s="110"/>
      <c r="Y1846" s="110"/>
      <c r="Z1846" s="110"/>
      <c r="AA1846" s="110">
        <f t="shared" si="401"/>
        <v>18</v>
      </c>
      <c r="AB1846" s="111">
        <f t="shared" si="407"/>
        <v>1237.9749999999999</v>
      </c>
      <c r="AC1846" s="110"/>
      <c r="AD1846" s="110"/>
      <c r="AE1846" s="110">
        <f t="shared" si="401"/>
        <v>18</v>
      </c>
      <c r="AF1846" s="111">
        <f t="shared" si="408"/>
        <v>1237.9749999999999</v>
      </c>
      <c r="AG1846" s="110"/>
      <c r="AH1846" s="110"/>
      <c r="AI1846" s="110"/>
      <c r="AJ1846" s="110"/>
      <c r="AK1846" s="111">
        <f t="shared" si="410"/>
        <v>4951.8999999999996</v>
      </c>
      <c r="AL1846" s="446">
        <f t="shared" si="411"/>
        <v>0</v>
      </c>
      <c r="AM1846" s="110">
        <f t="shared" si="412"/>
        <v>72</v>
      </c>
      <c r="AN1846" s="447">
        <f t="shared" si="400"/>
        <v>0</v>
      </c>
      <c r="AO1846"/>
      <c r="AP1846"/>
    </row>
    <row r="1847" spans="1:42" ht="66" x14ac:dyDescent="0.25">
      <c r="A1847" s="40"/>
      <c r="B1847" s="34" t="s">
        <v>467</v>
      </c>
      <c r="C1847" s="1024"/>
      <c r="D1847" s="869">
        <f>24</f>
        <v>24</v>
      </c>
      <c r="E1847" s="255" t="s">
        <v>1721</v>
      </c>
      <c r="F1847" s="273" t="s">
        <v>3446</v>
      </c>
      <c r="G1847" s="1040" t="s">
        <v>3463</v>
      </c>
      <c r="H1847" s="273" t="s">
        <v>3462</v>
      </c>
      <c r="I1847" s="720">
        <f t="shared" si="404"/>
        <v>24.568749999999998</v>
      </c>
      <c r="J1847" s="780">
        <f>589.65</f>
        <v>589.65</v>
      </c>
      <c r="K1847" s="131">
        <f t="shared" si="399"/>
        <v>589.65</v>
      </c>
      <c r="L1847" s="335">
        <f t="shared" si="409"/>
        <v>0</v>
      </c>
      <c r="M1847" s="446"/>
      <c r="N1847" s="446"/>
      <c r="O1847" s="446"/>
      <c r="P1847" s="446"/>
      <c r="Q1847" s="110">
        <f t="shared" si="402"/>
        <v>6</v>
      </c>
      <c r="R1847" s="111">
        <f t="shared" si="405"/>
        <v>147.41249999999999</v>
      </c>
      <c r="S1847" s="110"/>
      <c r="T1847" s="110"/>
      <c r="U1847" s="110">
        <f t="shared" si="403"/>
        <v>6</v>
      </c>
      <c r="V1847" s="111">
        <f t="shared" si="406"/>
        <v>147.41249999999999</v>
      </c>
      <c r="W1847" s="110"/>
      <c r="X1847" s="110"/>
      <c r="Y1847" s="110"/>
      <c r="Z1847" s="110"/>
      <c r="AA1847" s="110">
        <f t="shared" si="401"/>
        <v>6</v>
      </c>
      <c r="AB1847" s="111">
        <f t="shared" si="407"/>
        <v>147.41249999999999</v>
      </c>
      <c r="AC1847" s="110"/>
      <c r="AD1847" s="110"/>
      <c r="AE1847" s="110">
        <f t="shared" si="401"/>
        <v>6</v>
      </c>
      <c r="AF1847" s="111">
        <f t="shared" si="408"/>
        <v>147.41249999999999</v>
      </c>
      <c r="AG1847" s="110"/>
      <c r="AH1847" s="110"/>
      <c r="AI1847" s="110"/>
      <c r="AJ1847" s="110"/>
      <c r="AK1847" s="111">
        <f t="shared" si="410"/>
        <v>589.65</v>
      </c>
      <c r="AL1847" s="446">
        <f t="shared" si="411"/>
        <v>0</v>
      </c>
      <c r="AM1847" s="110">
        <f t="shared" si="412"/>
        <v>24</v>
      </c>
      <c r="AN1847" s="447">
        <f t="shared" si="400"/>
        <v>0</v>
      </c>
      <c r="AO1847"/>
      <c r="AP1847"/>
    </row>
    <row r="1848" spans="1:42" ht="66" x14ac:dyDescent="0.25">
      <c r="A1848" s="40"/>
      <c r="B1848" s="34" t="s">
        <v>1177</v>
      </c>
      <c r="C1848" s="1024"/>
      <c r="D1848" s="869">
        <f>48</f>
        <v>48</v>
      </c>
      <c r="E1848" s="255" t="s">
        <v>1725</v>
      </c>
      <c r="F1848" s="273" t="s">
        <v>3446</v>
      </c>
      <c r="G1848" s="1040" t="s">
        <v>3463</v>
      </c>
      <c r="H1848" s="273" t="s">
        <v>3462</v>
      </c>
      <c r="I1848" s="720">
        <f t="shared" si="404"/>
        <v>129.47916666666666</v>
      </c>
      <c r="J1848" s="780">
        <f>6215</f>
        <v>6215</v>
      </c>
      <c r="K1848" s="131">
        <f t="shared" si="399"/>
        <v>6215</v>
      </c>
      <c r="L1848" s="335">
        <f t="shared" si="409"/>
        <v>0</v>
      </c>
      <c r="M1848" s="446"/>
      <c r="N1848" s="446"/>
      <c r="O1848" s="446"/>
      <c r="P1848" s="446"/>
      <c r="Q1848" s="110">
        <f t="shared" si="402"/>
        <v>12</v>
      </c>
      <c r="R1848" s="111">
        <f t="shared" si="405"/>
        <v>1553.75</v>
      </c>
      <c r="S1848" s="110"/>
      <c r="T1848" s="110"/>
      <c r="U1848" s="110">
        <f t="shared" si="403"/>
        <v>12</v>
      </c>
      <c r="V1848" s="111">
        <f t="shared" si="406"/>
        <v>1553.75</v>
      </c>
      <c r="W1848" s="110"/>
      <c r="X1848" s="110"/>
      <c r="Y1848" s="110"/>
      <c r="Z1848" s="110"/>
      <c r="AA1848" s="110">
        <f t="shared" si="401"/>
        <v>12</v>
      </c>
      <c r="AB1848" s="111">
        <f t="shared" si="407"/>
        <v>1553.75</v>
      </c>
      <c r="AC1848" s="110"/>
      <c r="AD1848" s="110"/>
      <c r="AE1848" s="110">
        <f t="shared" si="401"/>
        <v>12</v>
      </c>
      <c r="AF1848" s="111">
        <f t="shared" si="408"/>
        <v>1553.75</v>
      </c>
      <c r="AG1848" s="110"/>
      <c r="AH1848" s="110"/>
      <c r="AI1848" s="110"/>
      <c r="AJ1848" s="110"/>
      <c r="AK1848" s="111">
        <f t="shared" si="410"/>
        <v>6215</v>
      </c>
      <c r="AL1848" s="446">
        <f t="shared" si="411"/>
        <v>0</v>
      </c>
      <c r="AM1848" s="110">
        <f t="shared" si="412"/>
        <v>48</v>
      </c>
      <c r="AN1848" s="447">
        <f t="shared" si="400"/>
        <v>0</v>
      </c>
      <c r="AO1848"/>
      <c r="AP1848"/>
    </row>
    <row r="1849" spans="1:42" ht="66" x14ac:dyDescent="0.25">
      <c r="A1849" s="40"/>
      <c r="B1849" s="37" t="s">
        <v>1436</v>
      </c>
      <c r="C1849" s="1024"/>
      <c r="D1849" s="869">
        <v>22</v>
      </c>
      <c r="E1849" s="255" t="s">
        <v>1725</v>
      </c>
      <c r="F1849" s="273" t="s">
        <v>3446</v>
      </c>
      <c r="G1849" s="1040" t="s">
        <v>3463</v>
      </c>
      <c r="H1849" s="273" t="s">
        <v>3462</v>
      </c>
      <c r="I1849" s="720">
        <f t="shared" si="404"/>
        <v>431.61272727272723</v>
      </c>
      <c r="J1849" s="780">
        <v>9495.48</v>
      </c>
      <c r="K1849" s="131">
        <f t="shared" si="399"/>
        <v>9495.48</v>
      </c>
      <c r="L1849" s="335">
        <f t="shared" si="409"/>
        <v>0</v>
      </c>
      <c r="M1849" s="446"/>
      <c r="N1849" s="446"/>
      <c r="O1849" s="446"/>
      <c r="P1849" s="446"/>
      <c r="Q1849" s="110">
        <v>6</v>
      </c>
      <c r="R1849" s="111">
        <f t="shared" si="405"/>
        <v>2373.87</v>
      </c>
      <c r="S1849" s="110"/>
      <c r="T1849" s="110"/>
      <c r="U1849" s="110">
        <v>6</v>
      </c>
      <c r="V1849" s="111">
        <f t="shared" si="406"/>
        <v>2373.87</v>
      </c>
      <c r="W1849" s="110"/>
      <c r="X1849" s="110"/>
      <c r="Y1849" s="110"/>
      <c r="Z1849" s="110"/>
      <c r="AA1849" s="110">
        <v>5</v>
      </c>
      <c r="AB1849" s="111">
        <f t="shared" si="407"/>
        <v>2373.87</v>
      </c>
      <c r="AC1849" s="110"/>
      <c r="AD1849" s="110"/>
      <c r="AE1849" s="110">
        <v>5</v>
      </c>
      <c r="AF1849" s="111">
        <f t="shared" si="408"/>
        <v>2373.87</v>
      </c>
      <c r="AG1849" s="110"/>
      <c r="AH1849" s="110"/>
      <c r="AI1849" s="110"/>
      <c r="AJ1849" s="110"/>
      <c r="AK1849" s="111">
        <f t="shared" si="410"/>
        <v>9495.48</v>
      </c>
      <c r="AL1849" s="446">
        <f t="shared" si="411"/>
        <v>0</v>
      </c>
      <c r="AM1849" s="110">
        <f t="shared" si="412"/>
        <v>22</v>
      </c>
      <c r="AN1849" s="447">
        <f t="shared" si="400"/>
        <v>0</v>
      </c>
      <c r="AO1849"/>
      <c r="AP1849"/>
    </row>
    <row r="1850" spans="1:42" ht="66" x14ac:dyDescent="0.25">
      <c r="A1850" s="40"/>
      <c r="B1850" s="46" t="s">
        <v>468</v>
      </c>
      <c r="C1850" s="1024"/>
      <c r="D1850" s="869">
        <f>99+960</f>
        <v>1059</v>
      </c>
      <c r="E1850" s="255" t="s">
        <v>1721</v>
      </c>
      <c r="F1850" s="273" t="s">
        <v>3446</v>
      </c>
      <c r="G1850" s="1040" t="s">
        <v>3463</v>
      </c>
      <c r="H1850" s="273" t="s">
        <v>3462</v>
      </c>
      <c r="I1850" s="720">
        <f t="shared" si="404"/>
        <v>27.014324834749761</v>
      </c>
      <c r="J1850" s="780">
        <f>3006.51+25601.66</f>
        <v>28608.17</v>
      </c>
      <c r="K1850" s="131">
        <f t="shared" si="399"/>
        <v>28608.17</v>
      </c>
      <c r="L1850" s="335">
        <f t="shared" si="409"/>
        <v>0</v>
      </c>
      <c r="M1850" s="446"/>
      <c r="N1850" s="446"/>
      <c r="O1850" s="446"/>
      <c r="P1850" s="446"/>
      <c r="Q1850" s="110">
        <f t="shared" si="402"/>
        <v>264.75</v>
      </c>
      <c r="R1850" s="111">
        <f t="shared" si="405"/>
        <v>7152.0424999999996</v>
      </c>
      <c r="S1850" s="110"/>
      <c r="T1850" s="110"/>
      <c r="U1850" s="110">
        <f t="shared" si="403"/>
        <v>264.75</v>
      </c>
      <c r="V1850" s="111">
        <f t="shared" si="406"/>
        <v>7152.0424999999996</v>
      </c>
      <c r="W1850" s="110"/>
      <c r="X1850" s="110"/>
      <c r="Y1850" s="110"/>
      <c r="Z1850" s="110"/>
      <c r="AA1850" s="110">
        <f t="shared" si="401"/>
        <v>264.75</v>
      </c>
      <c r="AB1850" s="111">
        <f t="shared" si="407"/>
        <v>7152.0424999999996</v>
      </c>
      <c r="AC1850" s="110"/>
      <c r="AD1850" s="110"/>
      <c r="AE1850" s="110">
        <f t="shared" si="401"/>
        <v>264.75</v>
      </c>
      <c r="AF1850" s="111">
        <f t="shared" si="408"/>
        <v>7152.0424999999996</v>
      </c>
      <c r="AG1850" s="110"/>
      <c r="AH1850" s="110"/>
      <c r="AI1850" s="110"/>
      <c r="AJ1850" s="110"/>
      <c r="AK1850" s="111">
        <f t="shared" si="410"/>
        <v>28608.17</v>
      </c>
      <c r="AL1850" s="446">
        <f t="shared" si="411"/>
        <v>0</v>
      </c>
      <c r="AM1850" s="110">
        <f t="shared" si="412"/>
        <v>1059</v>
      </c>
      <c r="AN1850" s="447">
        <f t="shared" si="400"/>
        <v>0</v>
      </c>
      <c r="AO1850"/>
      <c r="AP1850"/>
    </row>
    <row r="1851" spans="1:42" ht="66" x14ac:dyDescent="0.25">
      <c r="A1851" s="40"/>
      <c r="B1851" s="43" t="s">
        <v>469</v>
      </c>
      <c r="C1851" s="1024"/>
      <c r="D1851" s="869">
        <f>66+486</f>
        <v>552</v>
      </c>
      <c r="E1851" s="255" t="s">
        <v>1721</v>
      </c>
      <c r="F1851" s="273" t="s">
        <v>3446</v>
      </c>
      <c r="G1851" s="1040" t="s">
        <v>3463</v>
      </c>
      <c r="H1851" s="273" t="s">
        <v>3462</v>
      </c>
      <c r="I1851" s="720">
        <f t="shared" si="404"/>
        <v>97.543894927536243</v>
      </c>
      <c r="J1851" s="780">
        <f>7649.11+46195.12</f>
        <v>53844.23</v>
      </c>
      <c r="K1851" s="131">
        <f t="shared" si="399"/>
        <v>53844.23</v>
      </c>
      <c r="L1851" s="335">
        <f t="shared" si="409"/>
        <v>0</v>
      </c>
      <c r="M1851" s="446"/>
      <c r="N1851" s="446"/>
      <c r="O1851" s="446"/>
      <c r="P1851" s="446"/>
      <c r="Q1851" s="110">
        <f t="shared" si="402"/>
        <v>138</v>
      </c>
      <c r="R1851" s="111">
        <f t="shared" si="405"/>
        <v>13461.057500000001</v>
      </c>
      <c r="S1851" s="110"/>
      <c r="T1851" s="110"/>
      <c r="U1851" s="110">
        <f t="shared" si="403"/>
        <v>138</v>
      </c>
      <c r="V1851" s="111">
        <f t="shared" si="406"/>
        <v>13461.057500000001</v>
      </c>
      <c r="W1851" s="110"/>
      <c r="X1851" s="110"/>
      <c r="Y1851" s="110"/>
      <c r="Z1851" s="110"/>
      <c r="AA1851" s="110">
        <f t="shared" si="401"/>
        <v>138</v>
      </c>
      <c r="AB1851" s="111">
        <f t="shared" si="407"/>
        <v>13461.057500000001</v>
      </c>
      <c r="AC1851" s="110"/>
      <c r="AD1851" s="110"/>
      <c r="AE1851" s="110">
        <f t="shared" si="401"/>
        <v>138</v>
      </c>
      <c r="AF1851" s="111">
        <f t="shared" si="408"/>
        <v>13461.057500000001</v>
      </c>
      <c r="AG1851" s="110"/>
      <c r="AH1851" s="110"/>
      <c r="AI1851" s="110"/>
      <c r="AJ1851" s="110"/>
      <c r="AK1851" s="111">
        <f t="shared" si="410"/>
        <v>53844.23</v>
      </c>
      <c r="AL1851" s="446">
        <f t="shared" si="411"/>
        <v>0</v>
      </c>
      <c r="AM1851" s="110">
        <f t="shared" si="412"/>
        <v>552</v>
      </c>
      <c r="AN1851" s="447">
        <f t="shared" si="400"/>
        <v>0</v>
      </c>
      <c r="AO1851"/>
      <c r="AP1851"/>
    </row>
    <row r="1852" spans="1:42" ht="66" x14ac:dyDescent="0.25">
      <c r="A1852" s="40"/>
      <c r="B1852" s="43" t="s">
        <v>470</v>
      </c>
      <c r="C1852" s="1024"/>
      <c r="D1852" s="869">
        <f>407+3737</f>
        <v>4144</v>
      </c>
      <c r="E1852" s="1027" t="s">
        <v>1834</v>
      </c>
      <c r="F1852" s="273" t="s">
        <v>3446</v>
      </c>
      <c r="G1852" s="1040" t="s">
        <v>3463</v>
      </c>
      <c r="H1852" s="273" t="s">
        <v>3462</v>
      </c>
      <c r="I1852" s="720">
        <f t="shared" si="404"/>
        <v>37.016240347490353</v>
      </c>
      <c r="J1852" s="780">
        <f>17893.35+135501.95</f>
        <v>153395.30000000002</v>
      </c>
      <c r="K1852" s="131">
        <f t="shared" si="399"/>
        <v>153395.30000000002</v>
      </c>
      <c r="L1852" s="335">
        <f t="shared" si="409"/>
        <v>0</v>
      </c>
      <c r="M1852" s="446"/>
      <c r="N1852" s="446"/>
      <c r="O1852" s="446"/>
      <c r="P1852" s="446"/>
      <c r="Q1852" s="110">
        <f t="shared" si="402"/>
        <v>1036</v>
      </c>
      <c r="R1852" s="111">
        <f t="shared" si="405"/>
        <v>38348.825000000004</v>
      </c>
      <c r="S1852" s="110"/>
      <c r="T1852" s="110"/>
      <c r="U1852" s="110">
        <f t="shared" si="403"/>
        <v>1036</v>
      </c>
      <c r="V1852" s="111">
        <f t="shared" si="406"/>
        <v>38348.825000000004</v>
      </c>
      <c r="W1852" s="110"/>
      <c r="X1852" s="110"/>
      <c r="Y1852" s="110"/>
      <c r="Z1852" s="110"/>
      <c r="AA1852" s="110">
        <f t="shared" si="401"/>
        <v>1036</v>
      </c>
      <c r="AB1852" s="111">
        <f t="shared" si="407"/>
        <v>38348.825000000004</v>
      </c>
      <c r="AC1852" s="110"/>
      <c r="AD1852" s="110"/>
      <c r="AE1852" s="110">
        <f t="shared" si="401"/>
        <v>1036</v>
      </c>
      <c r="AF1852" s="111">
        <f t="shared" si="408"/>
        <v>38348.825000000004</v>
      </c>
      <c r="AG1852" s="110"/>
      <c r="AH1852" s="110"/>
      <c r="AI1852" s="110"/>
      <c r="AJ1852" s="110"/>
      <c r="AK1852" s="111">
        <f t="shared" si="410"/>
        <v>153395.30000000002</v>
      </c>
      <c r="AL1852" s="446">
        <f t="shared" si="411"/>
        <v>0</v>
      </c>
      <c r="AM1852" s="110">
        <f t="shared" si="412"/>
        <v>4144</v>
      </c>
      <c r="AN1852" s="447">
        <f t="shared" si="400"/>
        <v>0</v>
      </c>
      <c r="AO1852"/>
      <c r="AP1852"/>
    </row>
    <row r="1853" spans="1:42" ht="66" x14ac:dyDescent="0.25">
      <c r="A1853" s="40"/>
      <c r="B1853" s="43" t="s">
        <v>471</v>
      </c>
      <c r="C1853" s="1024"/>
      <c r="D1853" s="869">
        <f>822</f>
        <v>822</v>
      </c>
      <c r="E1853" s="255" t="s">
        <v>1721</v>
      </c>
      <c r="F1853" s="273" t="s">
        <v>3446</v>
      </c>
      <c r="G1853" s="1040" t="s">
        <v>3463</v>
      </c>
      <c r="H1853" s="273" t="s">
        <v>3462</v>
      </c>
      <c r="I1853" s="720">
        <f t="shared" si="404"/>
        <v>51.910389294403892</v>
      </c>
      <c r="J1853" s="780">
        <f>42670.34</f>
        <v>42670.34</v>
      </c>
      <c r="K1853" s="131">
        <f t="shared" si="399"/>
        <v>42670.34</v>
      </c>
      <c r="L1853" s="335">
        <f t="shared" si="409"/>
        <v>0</v>
      </c>
      <c r="M1853" s="446"/>
      <c r="N1853" s="446"/>
      <c r="O1853" s="446"/>
      <c r="P1853" s="446"/>
      <c r="Q1853" s="110">
        <v>200</v>
      </c>
      <c r="R1853" s="111">
        <f>I1853*Q1853</f>
        <v>10382.077858880779</v>
      </c>
      <c r="S1853" s="110"/>
      <c r="T1853" s="110"/>
      <c r="U1853" s="110">
        <v>200</v>
      </c>
      <c r="V1853" s="111">
        <f>I1853*U1853</f>
        <v>10382.077858880779</v>
      </c>
      <c r="W1853" s="110"/>
      <c r="X1853" s="110"/>
      <c r="Y1853" s="110"/>
      <c r="Z1853" s="110"/>
      <c r="AA1853" s="110">
        <v>200</v>
      </c>
      <c r="AB1853" s="111">
        <f>I1853*AA1853</f>
        <v>10382.077858880779</v>
      </c>
      <c r="AC1853" s="110"/>
      <c r="AD1853" s="110"/>
      <c r="AE1853" s="110">
        <v>222</v>
      </c>
      <c r="AF1853" s="111">
        <f>I1853*AE1853</f>
        <v>11524.106423357664</v>
      </c>
      <c r="AG1853" s="110"/>
      <c r="AH1853" s="110"/>
      <c r="AI1853" s="110"/>
      <c r="AJ1853" s="110"/>
      <c r="AK1853" s="111">
        <f t="shared" si="410"/>
        <v>42670.34</v>
      </c>
      <c r="AL1853" s="446">
        <f t="shared" si="411"/>
        <v>0</v>
      </c>
      <c r="AM1853" s="110">
        <f t="shared" si="412"/>
        <v>822</v>
      </c>
      <c r="AN1853" s="447">
        <f t="shared" si="400"/>
        <v>0</v>
      </c>
      <c r="AO1853"/>
      <c r="AP1853"/>
    </row>
    <row r="1854" spans="1:42" ht="66" x14ac:dyDescent="0.25">
      <c r="A1854" s="40"/>
      <c r="B1854" s="34" t="s">
        <v>472</v>
      </c>
      <c r="C1854" s="1028"/>
      <c r="D1854" s="899">
        <f>24</f>
        <v>24</v>
      </c>
      <c r="E1854" s="254" t="s">
        <v>1721</v>
      </c>
      <c r="F1854" s="273" t="s">
        <v>3446</v>
      </c>
      <c r="G1854" s="1040" t="s">
        <v>3463</v>
      </c>
      <c r="H1854" s="273" t="s">
        <v>3462</v>
      </c>
      <c r="I1854" s="720">
        <f t="shared" si="404"/>
        <v>19.14</v>
      </c>
      <c r="J1854" s="780">
        <f>459.36</f>
        <v>459.36</v>
      </c>
      <c r="K1854" s="131">
        <f t="shared" si="399"/>
        <v>459.36</v>
      </c>
      <c r="L1854" s="335">
        <f t="shared" si="409"/>
        <v>0</v>
      </c>
      <c r="M1854" s="446"/>
      <c r="N1854" s="446"/>
      <c r="O1854" s="446"/>
      <c r="P1854" s="446"/>
      <c r="Q1854" s="110">
        <f t="shared" si="402"/>
        <v>6</v>
      </c>
      <c r="R1854" s="111">
        <f t="shared" si="405"/>
        <v>114.84</v>
      </c>
      <c r="S1854" s="110"/>
      <c r="T1854" s="110"/>
      <c r="U1854" s="110">
        <f t="shared" si="403"/>
        <v>6</v>
      </c>
      <c r="V1854" s="111">
        <f t="shared" si="406"/>
        <v>114.84</v>
      </c>
      <c r="W1854" s="110"/>
      <c r="X1854" s="110"/>
      <c r="Y1854" s="110"/>
      <c r="Z1854" s="110"/>
      <c r="AA1854" s="110">
        <f t="shared" si="401"/>
        <v>6</v>
      </c>
      <c r="AB1854" s="111">
        <f t="shared" si="407"/>
        <v>114.84</v>
      </c>
      <c r="AC1854" s="110"/>
      <c r="AD1854" s="110"/>
      <c r="AE1854" s="110">
        <f t="shared" si="401"/>
        <v>6</v>
      </c>
      <c r="AF1854" s="111">
        <f t="shared" si="408"/>
        <v>114.84</v>
      </c>
      <c r="AG1854" s="110"/>
      <c r="AH1854" s="110"/>
      <c r="AI1854" s="110"/>
      <c r="AJ1854" s="110"/>
      <c r="AK1854" s="111">
        <f t="shared" si="410"/>
        <v>459.36</v>
      </c>
      <c r="AL1854" s="446">
        <f t="shared" si="411"/>
        <v>0</v>
      </c>
      <c r="AM1854" s="110">
        <f t="shared" si="412"/>
        <v>24</v>
      </c>
      <c r="AN1854" s="447">
        <f t="shared" si="400"/>
        <v>0</v>
      </c>
      <c r="AO1854"/>
      <c r="AP1854"/>
    </row>
    <row r="1855" spans="1:42" ht="66" x14ac:dyDescent="0.25">
      <c r="A1855" s="40"/>
      <c r="B1855" s="34" t="s">
        <v>473</v>
      </c>
      <c r="C1855" s="1028"/>
      <c r="D1855" s="869">
        <f>72</f>
        <v>72</v>
      </c>
      <c r="E1855" s="1027" t="s">
        <v>1721</v>
      </c>
      <c r="F1855" s="273" t="s">
        <v>3446</v>
      </c>
      <c r="G1855" s="1040" t="s">
        <v>3463</v>
      </c>
      <c r="H1855" s="273" t="s">
        <v>3462</v>
      </c>
      <c r="I1855" s="720">
        <f t="shared" si="404"/>
        <v>81.408749999999998</v>
      </c>
      <c r="J1855" s="756">
        <f>5861.43</f>
        <v>5861.43</v>
      </c>
      <c r="K1855" s="131">
        <f t="shared" si="399"/>
        <v>5861.43</v>
      </c>
      <c r="L1855" s="335">
        <f t="shared" si="409"/>
        <v>0</v>
      </c>
      <c r="M1855" s="446"/>
      <c r="N1855" s="446"/>
      <c r="O1855" s="446"/>
      <c r="P1855" s="446"/>
      <c r="Q1855" s="110">
        <f t="shared" si="402"/>
        <v>18</v>
      </c>
      <c r="R1855" s="111">
        <f t="shared" si="405"/>
        <v>1465.3575000000001</v>
      </c>
      <c r="S1855" s="110"/>
      <c r="T1855" s="110"/>
      <c r="U1855" s="110">
        <f t="shared" si="403"/>
        <v>18</v>
      </c>
      <c r="V1855" s="111">
        <f t="shared" si="406"/>
        <v>1465.3575000000001</v>
      </c>
      <c r="W1855" s="110"/>
      <c r="X1855" s="110"/>
      <c r="Y1855" s="110"/>
      <c r="Z1855" s="110"/>
      <c r="AA1855" s="110">
        <f t="shared" si="401"/>
        <v>18</v>
      </c>
      <c r="AB1855" s="111">
        <f t="shared" si="407"/>
        <v>1465.3575000000001</v>
      </c>
      <c r="AC1855" s="110"/>
      <c r="AD1855" s="110"/>
      <c r="AE1855" s="110">
        <f t="shared" si="401"/>
        <v>18</v>
      </c>
      <c r="AF1855" s="111">
        <f t="shared" si="408"/>
        <v>1465.3575000000001</v>
      </c>
      <c r="AG1855" s="110"/>
      <c r="AH1855" s="110"/>
      <c r="AI1855" s="110"/>
      <c r="AJ1855" s="110"/>
      <c r="AK1855" s="111">
        <f t="shared" si="410"/>
        <v>5861.43</v>
      </c>
      <c r="AL1855" s="446">
        <f t="shared" si="411"/>
        <v>0</v>
      </c>
      <c r="AM1855" s="110">
        <f t="shared" si="412"/>
        <v>72</v>
      </c>
      <c r="AN1855" s="447">
        <f t="shared" si="400"/>
        <v>0</v>
      </c>
      <c r="AO1855"/>
      <c r="AP1855"/>
    </row>
    <row r="1856" spans="1:42" ht="66" x14ac:dyDescent="0.25">
      <c r="A1856" s="40"/>
      <c r="B1856" s="46" t="s">
        <v>474</v>
      </c>
      <c r="C1856" s="1028"/>
      <c r="D1856" s="869">
        <f>624</f>
        <v>624</v>
      </c>
      <c r="E1856" s="1027" t="s">
        <v>1721</v>
      </c>
      <c r="F1856" s="273" t="s">
        <v>3446</v>
      </c>
      <c r="G1856" s="1040" t="s">
        <v>3463</v>
      </c>
      <c r="H1856" s="273" t="s">
        <v>3462</v>
      </c>
      <c r="I1856" s="720">
        <f t="shared" si="404"/>
        <v>110.88440705128204</v>
      </c>
      <c r="J1856" s="756">
        <f>69191.87</f>
        <v>69191.87</v>
      </c>
      <c r="K1856" s="131">
        <f t="shared" si="399"/>
        <v>69191.87</v>
      </c>
      <c r="L1856" s="335">
        <f t="shared" si="409"/>
        <v>0</v>
      </c>
      <c r="M1856" s="446"/>
      <c r="N1856" s="446"/>
      <c r="O1856" s="446"/>
      <c r="P1856" s="446"/>
      <c r="Q1856" s="110">
        <f t="shared" si="402"/>
        <v>156</v>
      </c>
      <c r="R1856" s="111">
        <f t="shared" si="405"/>
        <v>17297.967499999999</v>
      </c>
      <c r="S1856" s="110"/>
      <c r="T1856" s="110"/>
      <c r="U1856" s="110">
        <f t="shared" si="403"/>
        <v>156</v>
      </c>
      <c r="V1856" s="111">
        <f t="shared" si="406"/>
        <v>17297.967499999999</v>
      </c>
      <c r="W1856" s="110"/>
      <c r="X1856" s="110"/>
      <c r="Y1856" s="110"/>
      <c r="Z1856" s="110"/>
      <c r="AA1856" s="110">
        <f t="shared" si="401"/>
        <v>156</v>
      </c>
      <c r="AB1856" s="111">
        <f t="shared" si="407"/>
        <v>17297.967499999999</v>
      </c>
      <c r="AC1856" s="110"/>
      <c r="AD1856" s="110"/>
      <c r="AE1856" s="110">
        <f t="shared" si="401"/>
        <v>156</v>
      </c>
      <c r="AF1856" s="111">
        <f t="shared" si="408"/>
        <v>17297.967499999999</v>
      </c>
      <c r="AG1856" s="110"/>
      <c r="AH1856" s="110"/>
      <c r="AI1856" s="110"/>
      <c r="AJ1856" s="110"/>
      <c r="AK1856" s="111">
        <f t="shared" si="410"/>
        <v>69191.87</v>
      </c>
      <c r="AL1856" s="446">
        <f t="shared" si="411"/>
        <v>0</v>
      </c>
      <c r="AM1856" s="110">
        <f t="shared" si="412"/>
        <v>624</v>
      </c>
      <c r="AN1856" s="447">
        <f t="shared" si="400"/>
        <v>0</v>
      </c>
      <c r="AO1856"/>
      <c r="AP1856"/>
    </row>
    <row r="1857" spans="1:42" ht="66" x14ac:dyDescent="0.25">
      <c r="A1857" s="40"/>
      <c r="B1857" s="37" t="s">
        <v>1178</v>
      </c>
      <c r="C1857" s="1028"/>
      <c r="D1857" s="869">
        <f>3</f>
        <v>3</v>
      </c>
      <c r="E1857" s="1027" t="s">
        <v>1725</v>
      </c>
      <c r="F1857" s="273" t="s">
        <v>3446</v>
      </c>
      <c r="G1857" s="1040" t="s">
        <v>3463</v>
      </c>
      <c r="H1857" s="273" t="s">
        <v>3462</v>
      </c>
      <c r="I1857" s="720">
        <f t="shared" si="404"/>
        <v>164.01333333333335</v>
      </c>
      <c r="J1857" s="756">
        <f>492.04</f>
        <v>492.04</v>
      </c>
      <c r="K1857" s="131">
        <f t="shared" si="399"/>
        <v>492.04000000000008</v>
      </c>
      <c r="L1857" s="335">
        <f t="shared" si="409"/>
        <v>0</v>
      </c>
      <c r="M1857" s="446"/>
      <c r="N1857" s="446"/>
      <c r="O1857" s="446"/>
      <c r="P1857" s="446"/>
      <c r="Q1857" s="130">
        <v>1</v>
      </c>
      <c r="R1857" s="111">
        <f t="shared" si="405"/>
        <v>123.01</v>
      </c>
      <c r="S1857" s="110"/>
      <c r="T1857" s="110"/>
      <c r="U1857" s="130">
        <v>1</v>
      </c>
      <c r="V1857" s="111">
        <f t="shared" si="406"/>
        <v>123.01</v>
      </c>
      <c r="W1857" s="110"/>
      <c r="X1857" s="110"/>
      <c r="Y1857" s="110"/>
      <c r="Z1857" s="110"/>
      <c r="AA1857" s="130">
        <v>1</v>
      </c>
      <c r="AB1857" s="111">
        <f t="shared" si="407"/>
        <v>123.01</v>
      </c>
      <c r="AC1857" s="110"/>
      <c r="AD1857" s="110"/>
      <c r="AE1857" s="130">
        <v>0</v>
      </c>
      <c r="AF1857" s="111">
        <f t="shared" si="408"/>
        <v>123.01</v>
      </c>
      <c r="AG1857" s="110"/>
      <c r="AH1857" s="110"/>
      <c r="AI1857" s="110"/>
      <c r="AJ1857" s="110"/>
      <c r="AK1857" s="111">
        <f t="shared" si="410"/>
        <v>492.04</v>
      </c>
      <c r="AL1857" s="446">
        <f t="shared" si="411"/>
        <v>0</v>
      </c>
      <c r="AM1857" s="110">
        <f t="shared" si="412"/>
        <v>3</v>
      </c>
      <c r="AN1857" s="447">
        <f t="shared" si="400"/>
        <v>0</v>
      </c>
      <c r="AO1857"/>
      <c r="AP1857"/>
    </row>
    <row r="1858" spans="1:42" ht="66" x14ac:dyDescent="0.25">
      <c r="A1858" s="40"/>
      <c r="B1858" s="37" t="s">
        <v>1179</v>
      </c>
      <c r="C1858" s="1028"/>
      <c r="D1858" s="869">
        <f>2+3</f>
        <v>5</v>
      </c>
      <c r="E1858" s="1027" t="s">
        <v>1725</v>
      </c>
      <c r="F1858" s="273" t="s">
        <v>3446</v>
      </c>
      <c r="G1858" s="1040" t="s">
        <v>3463</v>
      </c>
      <c r="H1858" s="273" t="s">
        <v>3462</v>
      </c>
      <c r="I1858" s="720">
        <f t="shared" si="404"/>
        <v>362.55799999999999</v>
      </c>
      <c r="J1858" s="756">
        <f>725.12+1087.67</f>
        <v>1812.79</v>
      </c>
      <c r="K1858" s="131">
        <f t="shared" si="399"/>
        <v>1812.79</v>
      </c>
      <c r="L1858" s="335">
        <f t="shared" si="409"/>
        <v>0</v>
      </c>
      <c r="M1858" s="446"/>
      <c r="N1858" s="446"/>
      <c r="O1858" s="446"/>
      <c r="P1858" s="446"/>
      <c r="Q1858" s="110">
        <v>2</v>
      </c>
      <c r="R1858" s="111">
        <f t="shared" si="405"/>
        <v>453.19749999999999</v>
      </c>
      <c r="S1858" s="110"/>
      <c r="T1858" s="110"/>
      <c r="U1858" s="110">
        <v>1</v>
      </c>
      <c r="V1858" s="111">
        <f t="shared" si="406"/>
        <v>453.19749999999999</v>
      </c>
      <c r="W1858" s="110"/>
      <c r="X1858" s="110"/>
      <c r="Y1858" s="110"/>
      <c r="Z1858" s="110"/>
      <c r="AA1858" s="110">
        <v>1</v>
      </c>
      <c r="AB1858" s="111">
        <f t="shared" si="407"/>
        <v>453.19749999999999</v>
      </c>
      <c r="AC1858" s="110"/>
      <c r="AD1858" s="110"/>
      <c r="AE1858" s="110">
        <v>1</v>
      </c>
      <c r="AF1858" s="111">
        <f t="shared" si="408"/>
        <v>453.19749999999999</v>
      </c>
      <c r="AG1858" s="110"/>
      <c r="AH1858" s="110"/>
      <c r="AI1858" s="110"/>
      <c r="AJ1858" s="110"/>
      <c r="AK1858" s="111">
        <f t="shared" si="410"/>
        <v>1812.79</v>
      </c>
      <c r="AL1858" s="446">
        <f t="shared" si="411"/>
        <v>0</v>
      </c>
      <c r="AM1858" s="110">
        <f t="shared" si="412"/>
        <v>5</v>
      </c>
      <c r="AN1858" s="447">
        <f t="shared" si="400"/>
        <v>0</v>
      </c>
      <c r="AO1858"/>
      <c r="AP1858"/>
    </row>
    <row r="1859" spans="1:42" ht="66" x14ac:dyDescent="0.25">
      <c r="A1859" s="40"/>
      <c r="B1859" s="545" t="s">
        <v>1862</v>
      </c>
      <c r="C1859" s="1028"/>
      <c r="D1859" s="869">
        <v>100</v>
      </c>
      <c r="E1859" s="1027" t="s">
        <v>1721</v>
      </c>
      <c r="F1859" s="273" t="s">
        <v>3446</v>
      </c>
      <c r="G1859" s="1040" t="s">
        <v>3463</v>
      </c>
      <c r="H1859" s="273" t="s">
        <v>3462</v>
      </c>
      <c r="I1859" s="720">
        <f t="shared" si="404"/>
        <v>23.76</v>
      </c>
      <c r="J1859" s="756">
        <v>2376</v>
      </c>
      <c r="K1859" s="131">
        <f t="shared" si="399"/>
        <v>2376</v>
      </c>
      <c r="L1859" s="335">
        <f t="shared" si="409"/>
        <v>0</v>
      </c>
      <c r="M1859" s="446"/>
      <c r="N1859" s="446"/>
      <c r="O1859" s="446"/>
      <c r="P1859" s="446"/>
      <c r="Q1859" s="110">
        <v>30</v>
      </c>
      <c r="R1859" s="111">
        <f t="shared" si="405"/>
        <v>594</v>
      </c>
      <c r="S1859" s="110"/>
      <c r="T1859" s="110"/>
      <c r="U1859" s="110">
        <v>30</v>
      </c>
      <c r="V1859" s="111">
        <f t="shared" si="406"/>
        <v>594</v>
      </c>
      <c r="W1859" s="110"/>
      <c r="X1859" s="110"/>
      <c r="Y1859" s="110"/>
      <c r="Z1859" s="110"/>
      <c r="AA1859" s="110">
        <v>30</v>
      </c>
      <c r="AB1859" s="111">
        <f t="shared" si="407"/>
        <v>594</v>
      </c>
      <c r="AC1859" s="110"/>
      <c r="AD1859" s="110"/>
      <c r="AE1859" s="110">
        <v>10</v>
      </c>
      <c r="AF1859" s="111">
        <f t="shared" si="408"/>
        <v>594</v>
      </c>
      <c r="AG1859" s="110"/>
      <c r="AH1859" s="110"/>
      <c r="AI1859" s="110"/>
      <c r="AJ1859" s="110"/>
      <c r="AK1859" s="111">
        <f t="shared" si="410"/>
        <v>2376</v>
      </c>
      <c r="AL1859" s="446">
        <f t="shared" si="411"/>
        <v>0</v>
      </c>
      <c r="AM1859" s="110">
        <f t="shared" si="412"/>
        <v>100</v>
      </c>
      <c r="AN1859" s="447">
        <f t="shared" si="400"/>
        <v>0</v>
      </c>
      <c r="AO1859"/>
      <c r="AP1859"/>
    </row>
    <row r="1860" spans="1:42" ht="66" x14ac:dyDescent="0.25">
      <c r="A1860" s="40"/>
      <c r="B1860" s="545" t="s">
        <v>1863</v>
      </c>
      <c r="C1860" s="1028"/>
      <c r="D1860" s="869">
        <v>400</v>
      </c>
      <c r="E1860" s="1027" t="s">
        <v>1721</v>
      </c>
      <c r="F1860" s="273" t="s">
        <v>3446</v>
      </c>
      <c r="G1860" s="1040" t="s">
        <v>3463</v>
      </c>
      <c r="H1860" s="273" t="s">
        <v>3462</v>
      </c>
      <c r="I1860" s="720">
        <f t="shared" si="404"/>
        <v>20</v>
      </c>
      <c r="J1860" s="756">
        <v>8000</v>
      </c>
      <c r="K1860" s="131">
        <f t="shared" ref="K1860:K1923" si="413">+D1860*I1860</f>
        <v>8000</v>
      </c>
      <c r="L1860" s="335">
        <f t="shared" si="409"/>
        <v>0</v>
      </c>
      <c r="M1860" s="446"/>
      <c r="N1860" s="446"/>
      <c r="O1860" s="446"/>
      <c r="P1860" s="446"/>
      <c r="Q1860" s="110">
        <f t="shared" si="402"/>
        <v>100</v>
      </c>
      <c r="R1860" s="111">
        <f t="shared" si="405"/>
        <v>2000</v>
      </c>
      <c r="S1860" s="110"/>
      <c r="T1860" s="110"/>
      <c r="U1860" s="110">
        <f t="shared" si="403"/>
        <v>100</v>
      </c>
      <c r="V1860" s="111">
        <f t="shared" si="406"/>
        <v>2000</v>
      </c>
      <c r="W1860" s="110"/>
      <c r="X1860" s="110"/>
      <c r="Y1860" s="110"/>
      <c r="Z1860" s="110"/>
      <c r="AA1860" s="110">
        <f t="shared" si="401"/>
        <v>100</v>
      </c>
      <c r="AB1860" s="111">
        <f t="shared" si="407"/>
        <v>2000</v>
      </c>
      <c r="AC1860" s="110"/>
      <c r="AD1860" s="110"/>
      <c r="AE1860" s="110">
        <f t="shared" si="401"/>
        <v>100</v>
      </c>
      <c r="AF1860" s="111">
        <f t="shared" si="408"/>
        <v>2000</v>
      </c>
      <c r="AG1860" s="110"/>
      <c r="AH1860" s="110"/>
      <c r="AI1860" s="110"/>
      <c r="AJ1860" s="110"/>
      <c r="AK1860" s="111">
        <f t="shared" si="410"/>
        <v>8000</v>
      </c>
      <c r="AL1860" s="446">
        <f t="shared" si="411"/>
        <v>0</v>
      </c>
      <c r="AM1860" s="110">
        <f t="shared" si="412"/>
        <v>400</v>
      </c>
      <c r="AN1860" s="447">
        <f t="shared" ref="AN1860:AN1923" si="414">+D1860-AM1860</f>
        <v>0</v>
      </c>
      <c r="AO1860"/>
      <c r="AP1860"/>
    </row>
    <row r="1861" spans="1:42" ht="66" x14ac:dyDescent="0.25">
      <c r="A1861" s="40"/>
      <c r="B1861" s="545" t="s">
        <v>1864</v>
      </c>
      <c r="C1861" s="1028"/>
      <c r="D1861" s="869">
        <v>120</v>
      </c>
      <c r="E1861" s="1027" t="s">
        <v>1872</v>
      </c>
      <c r="F1861" s="273" t="s">
        <v>3446</v>
      </c>
      <c r="G1861" s="1040" t="s">
        <v>3463</v>
      </c>
      <c r="H1861" s="273" t="s">
        <v>3462</v>
      </c>
      <c r="I1861" s="720">
        <f t="shared" si="404"/>
        <v>89</v>
      </c>
      <c r="J1861" s="756">
        <v>10680</v>
      </c>
      <c r="K1861" s="131">
        <f t="shared" si="413"/>
        <v>10680</v>
      </c>
      <c r="L1861" s="335">
        <f t="shared" si="409"/>
        <v>0</v>
      </c>
      <c r="M1861" s="446"/>
      <c r="N1861" s="446"/>
      <c r="O1861" s="446"/>
      <c r="P1861" s="446"/>
      <c r="Q1861" s="110">
        <v>50</v>
      </c>
      <c r="R1861" s="111">
        <f t="shared" si="405"/>
        <v>2670</v>
      </c>
      <c r="S1861" s="110"/>
      <c r="T1861" s="110"/>
      <c r="U1861" s="110">
        <v>50</v>
      </c>
      <c r="V1861" s="111">
        <f t="shared" si="406"/>
        <v>2670</v>
      </c>
      <c r="W1861" s="110"/>
      <c r="X1861" s="110"/>
      <c r="Y1861" s="110"/>
      <c r="Z1861" s="110"/>
      <c r="AA1861" s="110">
        <v>10</v>
      </c>
      <c r="AB1861" s="111">
        <f t="shared" si="407"/>
        <v>2670</v>
      </c>
      <c r="AC1861" s="110"/>
      <c r="AD1861" s="110"/>
      <c r="AE1861" s="110">
        <v>10</v>
      </c>
      <c r="AF1861" s="111">
        <f t="shared" si="408"/>
        <v>2670</v>
      </c>
      <c r="AG1861" s="110"/>
      <c r="AH1861" s="110"/>
      <c r="AI1861" s="110"/>
      <c r="AJ1861" s="110"/>
      <c r="AK1861" s="111">
        <f t="shared" si="410"/>
        <v>10680</v>
      </c>
      <c r="AL1861" s="446">
        <f t="shared" si="411"/>
        <v>0</v>
      </c>
      <c r="AM1861" s="110">
        <f t="shared" si="412"/>
        <v>120</v>
      </c>
      <c r="AN1861" s="447">
        <f t="shared" si="414"/>
        <v>0</v>
      </c>
      <c r="AO1861"/>
      <c r="AP1861"/>
    </row>
    <row r="1862" spans="1:42" ht="66" x14ac:dyDescent="0.25">
      <c r="A1862" s="40"/>
      <c r="B1862" s="545" t="s">
        <v>1865</v>
      </c>
      <c r="C1862" s="1028"/>
      <c r="D1862" s="869">
        <v>12</v>
      </c>
      <c r="E1862" s="1027" t="s">
        <v>1721</v>
      </c>
      <c r="F1862" s="273" t="s">
        <v>3446</v>
      </c>
      <c r="G1862" s="1040" t="s">
        <v>3463</v>
      </c>
      <c r="H1862" s="273" t="s">
        <v>3462</v>
      </c>
      <c r="I1862" s="720">
        <f t="shared" si="404"/>
        <v>543.24</v>
      </c>
      <c r="J1862" s="756">
        <v>6518.88</v>
      </c>
      <c r="K1862" s="131">
        <f t="shared" si="413"/>
        <v>6518.88</v>
      </c>
      <c r="L1862" s="335">
        <f t="shared" si="409"/>
        <v>0</v>
      </c>
      <c r="M1862" s="446"/>
      <c r="N1862" s="446"/>
      <c r="O1862" s="446"/>
      <c r="P1862" s="446"/>
      <c r="Q1862" s="110">
        <f t="shared" si="402"/>
        <v>3</v>
      </c>
      <c r="R1862" s="111">
        <f t="shared" si="405"/>
        <v>1629.72</v>
      </c>
      <c r="S1862" s="110"/>
      <c r="T1862" s="110"/>
      <c r="U1862" s="110">
        <f t="shared" si="403"/>
        <v>3</v>
      </c>
      <c r="V1862" s="111">
        <f t="shared" si="406"/>
        <v>1629.72</v>
      </c>
      <c r="W1862" s="110"/>
      <c r="X1862" s="110"/>
      <c r="Y1862" s="110"/>
      <c r="Z1862" s="110"/>
      <c r="AA1862" s="110">
        <f t="shared" si="401"/>
        <v>3</v>
      </c>
      <c r="AB1862" s="111">
        <f t="shared" si="407"/>
        <v>1629.72</v>
      </c>
      <c r="AC1862" s="110"/>
      <c r="AD1862" s="110"/>
      <c r="AE1862" s="110">
        <f t="shared" si="401"/>
        <v>3</v>
      </c>
      <c r="AF1862" s="111">
        <f t="shared" si="408"/>
        <v>1629.72</v>
      </c>
      <c r="AG1862" s="110"/>
      <c r="AH1862" s="110"/>
      <c r="AI1862" s="110"/>
      <c r="AJ1862" s="110"/>
      <c r="AK1862" s="111">
        <f t="shared" si="410"/>
        <v>6518.88</v>
      </c>
      <c r="AL1862" s="446">
        <f t="shared" si="411"/>
        <v>0</v>
      </c>
      <c r="AM1862" s="110">
        <f t="shared" si="412"/>
        <v>12</v>
      </c>
      <c r="AN1862" s="447">
        <f t="shared" si="414"/>
        <v>0</v>
      </c>
      <c r="AO1862"/>
      <c r="AP1862"/>
    </row>
    <row r="1863" spans="1:42" ht="66" x14ac:dyDescent="0.25">
      <c r="A1863" s="40"/>
      <c r="B1863" s="545" t="s">
        <v>1866</v>
      </c>
      <c r="C1863" s="1028"/>
      <c r="D1863" s="869">
        <v>12</v>
      </c>
      <c r="E1863" s="1027" t="s">
        <v>1873</v>
      </c>
      <c r="F1863" s="273" t="s">
        <v>3446</v>
      </c>
      <c r="G1863" s="1040" t="s">
        <v>3463</v>
      </c>
      <c r="H1863" s="273" t="s">
        <v>3462</v>
      </c>
      <c r="I1863" s="720">
        <f t="shared" si="404"/>
        <v>205</v>
      </c>
      <c r="J1863" s="756">
        <v>2460</v>
      </c>
      <c r="K1863" s="131">
        <f t="shared" si="413"/>
        <v>2460</v>
      </c>
      <c r="L1863" s="335">
        <f t="shared" si="409"/>
        <v>0</v>
      </c>
      <c r="M1863" s="446"/>
      <c r="N1863" s="446"/>
      <c r="O1863" s="446"/>
      <c r="P1863" s="446"/>
      <c r="Q1863" s="110">
        <f t="shared" si="402"/>
        <v>3</v>
      </c>
      <c r="R1863" s="111">
        <f t="shared" si="405"/>
        <v>615</v>
      </c>
      <c r="S1863" s="110"/>
      <c r="T1863" s="110"/>
      <c r="U1863" s="110">
        <f t="shared" si="403"/>
        <v>3</v>
      </c>
      <c r="V1863" s="111">
        <f t="shared" si="406"/>
        <v>615</v>
      </c>
      <c r="W1863" s="110"/>
      <c r="X1863" s="110"/>
      <c r="Y1863" s="110"/>
      <c r="Z1863" s="110"/>
      <c r="AA1863" s="110">
        <f t="shared" ref="AA1863:AE1923" si="415">+$D1863/4</f>
        <v>3</v>
      </c>
      <c r="AB1863" s="111">
        <f t="shared" si="407"/>
        <v>615</v>
      </c>
      <c r="AC1863" s="110"/>
      <c r="AD1863" s="110"/>
      <c r="AE1863" s="110">
        <f t="shared" si="415"/>
        <v>3</v>
      </c>
      <c r="AF1863" s="111">
        <f t="shared" si="408"/>
        <v>615</v>
      </c>
      <c r="AG1863" s="110"/>
      <c r="AH1863" s="110"/>
      <c r="AI1863" s="110"/>
      <c r="AJ1863" s="110"/>
      <c r="AK1863" s="111">
        <f t="shared" si="410"/>
        <v>2460</v>
      </c>
      <c r="AL1863" s="446">
        <f t="shared" si="411"/>
        <v>0</v>
      </c>
      <c r="AM1863" s="110">
        <f t="shared" si="412"/>
        <v>12</v>
      </c>
      <c r="AN1863" s="447">
        <f t="shared" si="414"/>
        <v>0</v>
      </c>
      <c r="AO1863"/>
      <c r="AP1863"/>
    </row>
    <row r="1864" spans="1:42" ht="66" x14ac:dyDescent="0.25">
      <c r="A1864" s="40"/>
      <c r="B1864" s="545" t="s">
        <v>1867</v>
      </c>
      <c r="C1864" s="1028"/>
      <c r="D1864" s="869">
        <v>4</v>
      </c>
      <c r="E1864" s="1027" t="s">
        <v>1722</v>
      </c>
      <c r="F1864" s="273" t="s">
        <v>3446</v>
      </c>
      <c r="G1864" s="1040" t="s">
        <v>3463</v>
      </c>
      <c r="H1864" s="273" t="s">
        <v>3462</v>
      </c>
      <c r="I1864" s="720">
        <f t="shared" si="404"/>
        <v>401.85</v>
      </c>
      <c r="J1864" s="756">
        <v>1607.4</v>
      </c>
      <c r="K1864" s="131">
        <f t="shared" si="413"/>
        <v>1607.4</v>
      </c>
      <c r="L1864" s="335">
        <f t="shared" si="409"/>
        <v>0</v>
      </c>
      <c r="M1864" s="446"/>
      <c r="N1864" s="446"/>
      <c r="O1864" s="446"/>
      <c r="P1864" s="446"/>
      <c r="Q1864" s="110">
        <v>2</v>
      </c>
      <c r="R1864" s="111">
        <f>I1864*2</f>
        <v>803.7</v>
      </c>
      <c r="S1864" s="110"/>
      <c r="T1864" s="110"/>
      <c r="U1864" s="110">
        <v>2</v>
      </c>
      <c r="V1864" s="111">
        <v>803.7</v>
      </c>
      <c r="W1864" s="110"/>
      <c r="X1864" s="110"/>
      <c r="Y1864" s="110"/>
      <c r="Z1864" s="110"/>
      <c r="AA1864" s="110"/>
      <c r="AB1864" s="111"/>
      <c r="AC1864" s="110"/>
      <c r="AD1864" s="110"/>
      <c r="AE1864" s="110"/>
      <c r="AF1864" s="111"/>
      <c r="AG1864" s="110"/>
      <c r="AH1864" s="110"/>
      <c r="AI1864" s="110"/>
      <c r="AJ1864" s="110"/>
      <c r="AK1864" s="111">
        <f t="shared" si="410"/>
        <v>1607.4</v>
      </c>
      <c r="AL1864" s="446">
        <f t="shared" si="411"/>
        <v>0</v>
      </c>
      <c r="AM1864" s="110">
        <f t="shared" si="412"/>
        <v>4</v>
      </c>
      <c r="AN1864" s="447">
        <f t="shared" si="414"/>
        <v>0</v>
      </c>
      <c r="AO1864"/>
      <c r="AP1864"/>
    </row>
    <row r="1865" spans="1:42" ht="66" x14ac:dyDescent="0.25">
      <c r="A1865" s="40"/>
      <c r="B1865" s="546" t="s">
        <v>1179</v>
      </c>
      <c r="C1865" s="1028"/>
      <c r="D1865" s="869">
        <v>2</v>
      </c>
      <c r="E1865" s="1027" t="s">
        <v>1722</v>
      </c>
      <c r="F1865" s="273" t="s">
        <v>3446</v>
      </c>
      <c r="G1865" s="1040" t="s">
        <v>3463</v>
      </c>
      <c r="H1865" s="273" t="s">
        <v>3462</v>
      </c>
      <c r="I1865" s="720">
        <f t="shared" si="404"/>
        <v>312.5</v>
      </c>
      <c r="J1865" s="756">
        <v>625</v>
      </c>
      <c r="K1865" s="131">
        <f t="shared" si="413"/>
        <v>625</v>
      </c>
      <c r="L1865" s="335">
        <f t="shared" si="409"/>
        <v>0</v>
      </c>
      <c r="M1865" s="446"/>
      <c r="N1865" s="446"/>
      <c r="O1865" s="446"/>
      <c r="P1865" s="446"/>
      <c r="Q1865" s="130">
        <v>1</v>
      </c>
      <c r="R1865" s="111">
        <v>312.5</v>
      </c>
      <c r="S1865" s="110"/>
      <c r="T1865" s="110"/>
      <c r="U1865" s="130">
        <v>1</v>
      </c>
      <c r="V1865" s="111">
        <v>312.5</v>
      </c>
      <c r="W1865" s="110"/>
      <c r="X1865" s="110"/>
      <c r="Y1865" s="110"/>
      <c r="Z1865" s="110"/>
      <c r="AA1865" s="130">
        <v>0</v>
      </c>
      <c r="AB1865" s="111">
        <v>0</v>
      </c>
      <c r="AC1865" s="110"/>
      <c r="AD1865" s="110"/>
      <c r="AE1865" s="130">
        <v>0</v>
      </c>
      <c r="AF1865" s="111">
        <v>0</v>
      </c>
      <c r="AG1865" s="110"/>
      <c r="AH1865" s="110"/>
      <c r="AI1865" s="110"/>
      <c r="AJ1865" s="110"/>
      <c r="AK1865" s="111">
        <f t="shared" si="410"/>
        <v>625</v>
      </c>
      <c r="AL1865" s="446">
        <f t="shared" si="411"/>
        <v>0</v>
      </c>
      <c r="AM1865" s="110">
        <f t="shared" si="412"/>
        <v>2</v>
      </c>
      <c r="AN1865" s="447">
        <f t="shared" si="414"/>
        <v>0</v>
      </c>
      <c r="AO1865"/>
      <c r="AP1865"/>
    </row>
    <row r="1866" spans="1:42" ht="66" x14ac:dyDescent="0.25">
      <c r="A1866" s="40"/>
      <c r="B1866" s="547" t="s">
        <v>1868</v>
      </c>
      <c r="C1866" s="1028"/>
      <c r="D1866" s="869">
        <v>6</v>
      </c>
      <c r="E1866" s="1027" t="s">
        <v>1722</v>
      </c>
      <c r="F1866" s="273" t="s">
        <v>3446</v>
      </c>
      <c r="G1866" s="1040" t="s">
        <v>3463</v>
      </c>
      <c r="H1866" s="273" t="s">
        <v>3462</v>
      </c>
      <c r="I1866" s="720">
        <f t="shared" si="404"/>
        <v>195</v>
      </c>
      <c r="J1866" s="756">
        <v>1170</v>
      </c>
      <c r="K1866" s="131">
        <f t="shared" si="413"/>
        <v>1170</v>
      </c>
      <c r="L1866" s="335">
        <f t="shared" si="409"/>
        <v>0</v>
      </c>
      <c r="M1866" s="446"/>
      <c r="N1866" s="446"/>
      <c r="O1866" s="446"/>
      <c r="P1866" s="446"/>
      <c r="Q1866" s="130">
        <v>2</v>
      </c>
      <c r="R1866" s="111">
        <f t="shared" si="405"/>
        <v>292.5</v>
      </c>
      <c r="S1866" s="110"/>
      <c r="T1866" s="110"/>
      <c r="U1866" s="130">
        <v>2</v>
      </c>
      <c r="V1866" s="111">
        <f t="shared" si="406"/>
        <v>292.5</v>
      </c>
      <c r="W1866" s="110"/>
      <c r="X1866" s="110"/>
      <c r="Y1866" s="110"/>
      <c r="Z1866" s="110"/>
      <c r="AA1866" s="130">
        <v>1</v>
      </c>
      <c r="AB1866" s="111">
        <f t="shared" si="407"/>
        <v>292.5</v>
      </c>
      <c r="AC1866" s="110"/>
      <c r="AD1866" s="110"/>
      <c r="AE1866" s="130">
        <v>1</v>
      </c>
      <c r="AF1866" s="111">
        <f t="shared" ref="AF1866:AF1929" si="416">+J1866/4</f>
        <v>292.5</v>
      </c>
      <c r="AG1866" s="110"/>
      <c r="AH1866" s="110"/>
      <c r="AI1866" s="110"/>
      <c r="AJ1866" s="110"/>
      <c r="AK1866" s="111">
        <f t="shared" si="410"/>
        <v>1170</v>
      </c>
      <c r="AL1866" s="446">
        <f t="shared" si="411"/>
        <v>0</v>
      </c>
      <c r="AM1866" s="110">
        <f t="shared" si="412"/>
        <v>6</v>
      </c>
      <c r="AN1866" s="447">
        <f t="shared" si="414"/>
        <v>0</v>
      </c>
      <c r="AO1866"/>
      <c r="AP1866"/>
    </row>
    <row r="1867" spans="1:42" ht="66" x14ac:dyDescent="0.25">
      <c r="A1867" s="40"/>
      <c r="B1867" s="548" t="s">
        <v>1869</v>
      </c>
      <c r="C1867" s="1028"/>
      <c r="D1867" s="869">
        <v>6</v>
      </c>
      <c r="E1867" s="1027" t="s">
        <v>1722</v>
      </c>
      <c r="F1867" s="273" t="s">
        <v>3446</v>
      </c>
      <c r="G1867" s="1040" t="s">
        <v>3463</v>
      </c>
      <c r="H1867" s="273" t="s">
        <v>3462</v>
      </c>
      <c r="I1867" s="720">
        <f t="shared" si="404"/>
        <v>440.666</v>
      </c>
      <c r="J1867" s="756">
        <v>2643.9960000000001</v>
      </c>
      <c r="K1867" s="131">
        <f t="shared" si="413"/>
        <v>2643.9960000000001</v>
      </c>
      <c r="L1867" s="335">
        <f t="shared" si="409"/>
        <v>0</v>
      </c>
      <c r="M1867" s="446"/>
      <c r="N1867" s="446"/>
      <c r="O1867" s="446"/>
      <c r="P1867" s="446"/>
      <c r="Q1867" s="130">
        <v>2</v>
      </c>
      <c r="R1867" s="111">
        <f t="shared" si="405"/>
        <v>660.99900000000002</v>
      </c>
      <c r="S1867" s="110"/>
      <c r="T1867" s="110"/>
      <c r="U1867" s="130">
        <v>2</v>
      </c>
      <c r="V1867" s="111">
        <f t="shared" si="406"/>
        <v>660.99900000000002</v>
      </c>
      <c r="W1867" s="110"/>
      <c r="X1867" s="110"/>
      <c r="Y1867" s="110"/>
      <c r="Z1867" s="110"/>
      <c r="AA1867" s="130">
        <v>1</v>
      </c>
      <c r="AB1867" s="111">
        <f t="shared" si="407"/>
        <v>660.99900000000002</v>
      </c>
      <c r="AC1867" s="110"/>
      <c r="AD1867" s="110"/>
      <c r="AE1867" s="130">
        <v>1</v>
      </c>
      <c r="AF1867" s="111">
        <f t="shared" si="416"/>
        <v>660.99900000000002</v>
      </c>
      <c r="AG1867" s="110"/>
      <c r="AH1867" s="110"/>
      <c r="AI1867" s="110"/>
      <c r="AJ1867" s="110"/>
      <c r="AK1867" s="111">
        <f t="shared" si="410"/>
        <v>2643.9960000000001</v>
      </c>
      <c r="AL1867" s="446">
        <f t="shared" si="411"/>
        <v>0</v>
      </c>
      <c r="AM1867" s="110">
        <f t="shared" si="412"/>
        <v>6</v>
      </c>
      <c r="AN1867" s="447">
        <f t="shared" si="414"/>
        <v>0</v>
      </c>
      <c r="AO1867"/>
      <c r="AP1867"/>
    </row>
    <row r="1868" spans="1:42" ht="66" x14ac:dyDescent="0.25">
      <c r="A1868" s="40"/>
      <c r="B1868" s="548" t="s">
        <v>1870</v>
      </c>
      <c r="C1868" s="1028"/>
      <c r="D1868" s="869">
        <v>24</v>
      </c>
      <c r="E1868" s="1027" t="s">
        <v>1722</v>
      </c>
      <c r="F1868" s="273" t="s">
        <v>3446</v>
      </c>
      <c r="G1868" s="1040" t="s">
        <v>3463</v>
      </c>
      <c r="H1868" s="273" t="s">
        <v>3462</v>
      </c>
      <c r="I1868" s="720">
        <f t="shared" si="404"/>
        <v>296</v>
      </c>
      <c r="J1868" s="756">
        <v>7104</v>
      </c>
      <c r="K1868" s="131">
        <f t="shared" si="413"/>
        <v>7104</v>
      </c>
      <c r="L1868" s="335">
        <f t="shared" si="409"/>
        <v>0</v>
      </c>
      <c r="M1868" s="446"/>
      <c r="N1868" s="446"/>
      <c r="O1868" s="446"/>
      <c r="P1868" s="446"/>
      <c r="Q1868" s="110">
        <f t="shared" si="402"/>
        <v>6</v>
      </c>
      <c r="R1868" s="111">
        <f t="shared" si="405"/>
        <v>1776</v>
      </c>
      <c r="S1868" s="110"/>
      <c r="T1868" s="110"/>
      <c r="U1868" s="110">
        <f t="shared" si="403"/>
        <v>6</v>
      </c>
      <c r="V1868" s="111">
        <f t="shared" si="406"/>
        <v>1776</v>
      </c>
      <c r="W1868" s="110"/>
      <c r="X1868" s="110"/>
      <c r="Y1868" s="110"/>
      <c r="Z1868" s="110"/>
      <c r="AA1868" s="110">
        <f t="shared" si="415"/>
        <v>6</v>
      </c>
      <c r="AB1868" s="111">
        <f t="shared" si="407"/>
        <v>1776</v>
      </c>
      <c r="AC1868" s="110"/>
      <c r="AD1868" s="110"/>
      <c r="AE1868" s="110">
        <f t="shared" si="415"/>
        <v>6</v>
      </c>
      <c r="AF1868" s="111">
        <f t="shared" si="416"/>
        <v>1776</v>
      </c>
      <c r="AG1868" s="110"/>
      <c r="AH1868" s="110"/>
      <c r="AI1868" s="110"/>
      <c r="AJ1868" s="110"/>
      <c r="AK1868" s="111">
        <f t="shared" si="410"/>
        <v>7104</v>
      </c>
      <c r="AL1868" s="446">
        <f t="shared" si="411"/>
        <v>0</v>
      </c>
      <c r="AM1868" s="110">
        <f t="shared" si="412"/>
        <v>24</v>
      </c>
      <c r="AN1868" s="447">
        <f t="shared" si="414"/>
        <v>0</v>
      </c>
      <c r="AO1868"/>
      <c r="AP1868"/>
    </row>
    <row r="1869" spans="1:42" ht="66" x14ac:dyDescent="0.25">
      <c r="A1869" s="40"/>
      <c r="B1869" s="1009" t="s">
        <v>1871</v>
      </c>
      <c r="C1869" s="1024"/>
      <c r="D1869" s="869">
        <v>24</v>
      </c>
      <c r="E1869" s="1027" t="s">
        <v>1755</v>
      </c>
      <c r="F1869" s="273" t="s">
        <v>3446</v>
      </c>
      <c r="G1869" s="1040" t="s">
        <v>3463</v>
      </c>
      <c r="H1869" s="273" t="s">
        <v>3462</v>
      </c>
      <c r="I1869" s="720">
        <f t="shared" si="404"/>
        <v>2000</v>
      </c>
      <c r="J1869" s="756">
        <v>48000</v>
      </c>
      <c r="K1869" s="131">
        <f t="shared" si="413"/>
        <v>48000</v>
      </c>
      <c r="L1869" s="335">
        <f t="shared" si="409"/>
        <v>0</v>
      </c>
      <c r="M1869" s="446"/>
      <c r="N1869" s="446"/>
      <c r="O1869" s="446"/>
      <c r="P1869" s="446"/>
      <c r="Q1869" s="110">
        <f t="shared" si="402"/>
        <v>6</v>
      </c>
      <c r="R1869" s="111">
        <f t="shared" si="405"/>
        <v>12000</v>
      </c>
      <c r="S1869" s="110"/>
      <c r="T1869" s="110"/>
      <c r="U1869" s="110">
        <f t="shared" si="403"/>
        <v>6</v>
      </c>
      <c r="V1869" s="111">
        <f t="shared" si="406"/>
        <v>12000</v>
      </c>
      <c r="W1869" s="110"/>
      <c r="X1869" s="110"/>
      <c r="Y1869" s="110"/>
      <c r="Z1869" s="110"/>
      <c r="AA1869" s="110">
        <f t="shared" si="415"/>
        <v>6</v>
      </c>
      <c r="AB1869" s="111">
        <f t="shared" si="407"/>
        <v>12000</v>
      </c>
      <c r="AC1869" s="110"/>
      <c r="AD1869" s="110"/>
      <c r="AE1869" s="110">
        <f t="shared" si="415"/>
        <v>6</v>
      </c>
      <c r="AF1869" s="111">
        <f t="shared" si="416"/>
        <v>12000</v>
      </c>
      <c r="AG1869" s="110"/>
      <c r="AH1869" s="110"/>
      <c r="AI1869" s="110"/>
      <c r="AJ1869" s="110"/>
      <c r="AK1869" s="111">
        <f t="shared" si="410"/>
        <v>48000</v>
      </c>
      <c r="AL1869" s="446">
        <f t="shared" si="411"/>
        <v>0</v>
      </c>
      <c r="AM1869" s="110">
        <f t="shared" si="412"/>
        <v>24</v>
      </c>
      <c r="AN1869" s="447">
        <f t="shared" si="414"/>
        <v>0</v>
      </c>
      <c r="AO1869"/>
      <c r="AP1869"/>
    </row>
    <row r="1870" spans="1:42" ht="66" x14ac:dyDescent="0.25">
      <c r="A1870" s="9"/>
      <c r="B1870" s="49" t="s">
        <v>2009</v>
      </c>
      <c r="C1870" s="1024"/>
      <c r="D1870" s="869">
        <v>20</v>
      </c>
      <c r="E1870" s="1027" t="s">
        <v>1722</v>
      </c>
      <c r="F1870" s="273" t="s">
        <v>3446</v>
      </c>
      <c r="G1870" s="1040" t="s">
        <v>3463</v>
      </c>
      <c r="H1870" s="273" t="s">
        <v>3462</v>
      </c>
      <c r="I1870" s="720">
        <f t="shared" si="404"/>
        <v>96.23</v>
      </c>
      <c r="J1870" s="756">
        <v>1924.6000000000001</v>
      </c>
      <c r="K1870" s="131">
        <f t="shared" si="413"/>
        <v>1924.6000000000001</v>
      </c>
      <c r="L1870" s="335">
        <f t="shared" si="409"/>
        <v>0</v>
      </c>
      <c r="M1870" s="446"/>
      <c r="N1870" s="446"/>
      <c r="O1870" s="446"/>
      <c r="P1870" s="446"/>
      <c r="Q1870" s="110">
        <f t="shared" ref="Q1870:Q1923" si="417">+$D1870/4</f>
        <v>5</v>
      </c>
      <c r="R1870" s="111">
        <f t="shared" si="405"/>
        <v>481.15000000000003</v>
      </c>
      <c r="S1870" s="110"/>
      <c r="T1870" s="110"/>
      <c r="U1870" s="110">
        <f t="shared" ref="U1870:U1923" si="418">+$D1870/4</f>
        <v>5</v>
      </c>
      <c r="V1870" s="111">
        <f t="shared" si="406"/>
        <v>481.15000000000003</v>
      </c>
      <c r="W1870" s="110"/>
      <c r="X1870" s="110"/>
      <c r="Y1870" s="110"/>
      <c r="Z1870" s="110"/>
      <c r="AA1870" s="110">
        <f t="shared" si="415"/>
        <v>5</v>
      </c>
      <c r="AB1870" s="111">
        <f t="shared" si="407"/>
        <v>481.15000000000003</v>
      </c>
      <c r="AC1870" s="110"/>
      <c r="AD1870" s="110"/>
      <c r="AE1870" s="110">
        <f t="shared" si="415"/>
        <v>5</v>
      </c>
      <c r="AF1870" s="111">
        <f t="shared" si="416"/>
        <v>481.15000000000003</v>
      </c>
      <c r="AG1870" s="110"/>
      <c r="AH1870" s="110"/>
      <c r="AI1870" s="110"/>
      <c r="AJ1870" s="110"/>
      <c r="AK1870" s="111">
        <f t="shared" si="410"/>
        <v>1924.6000000000001</v>
      </c>
      <c r="AL1870" s="446">
        <f t="shared" si="411"/>
        <v>0</v>
      </c>
      <c r="AM1870" s="110">
        <f t="shared" si="412"/>
        <v>20</v>
      </c>
      <c r="AN1870" s="447">
        <f t="shared" si="414"/>
        <v>0</v>
      </c>
      <c r="AO1870"/>
      <c r="AP1870"/>
    </row>
    <row r="1871" spans="1:42" ht="66" x14ac:dyDescent="0.25">
      <c r="A1871" s="9"/>
      <c r="B1871" s="49" t="s">
        <v>1172</v>
      </c>
      <c r="C1871" s="1024"/>
      <c r="D1871" s="869">
        <v>500</v>
      </c>
      <c r="E1871" s="1027" t="s">
        <v>1721</v>
      </c>
      <c r="F1871" s="273" t="s">
        <v>3446</v>
      </c>
      <c r="G1871" s="1040" t="s">
        <v>3463</v>
      </c>
      <c r="H1871" s="273" t="s">
        <v>3462</v>
      </c>
      <c r="I1871" s="720">
        <f t="shared" si="404"/>
        <v>4.8708</v>
      </c>
      <c r="J1871" s="756">
        <v>2435.4</v>
      </c>
      <c r="K1871" s="131">
        <f t="shared" si="413"/>
        <v>2435.4</v>
      </c>
      <c r="L1871" s="335">
        <f t="shared" si="409"/>
        <v>0</v>
      </c>
      <c r="M1871" s="446"/>
      <c r="N1871" s="446"/>
      <c r="O1871" s="446"/>
      <c r="P1871" s="446"/>
      <c r="Q1871" s="110">
        <f t="shared" si="417"/>
        <v>125</v>
      </c>
      <c r="R1871" s="111">
        <f t="shared" si="405"/>
        <v>608.85</v>
      </c>
      <c r="S1871" s="110"/>
      <c r="T1871" s="110"/>
      <c r="U1871" s="110">
        <f t="shared" si="418"/>
        <v>125</v>
      </c>
      <c r="V1871" s="111">
        <f t="shared" si="406"/>
        <v>608.85</v>
      </c>
      <c r="W1871" s="110"/>
      <c r="X1871" s="110"/>
      <c r="Y1871" s="110"/>
      <c r="Z1871" s="110"/>
      <c r="AA1871" s="110">
        <f t="shared" si="415"/>
        <v>125</v>
      </c>
      <c r="AB1871" s="111">
        <f t="shared" si="407"/>
        <v>608.85</v>
      </c>
      <c r="AC1871" s="110"/>
      <c r="AD1871" s="110"/>
      <c r="AE1871" s="110">
        <f t="shared" si="415"/>
        <v>125</v>
      </c>
      <c r="AF1871" s="111">
        <f t="shared" si="416"/>
        <v>608.85</v>
      </c>
      <c r="AG1871" s="110"/>
      <c r="AH1871" s="110"/>
      <c r="AI1871" s="110"/>
      <c r="AJ1871" s="110"/>
      <c r="AK1871" s="111">
        <f t="shared" si="410"/>
        <v>2435.4</v>
      </c>
      <c r="AL1871" s="446">
        <f t="shared" si="411"/>
        <v>0</v>
      </c>
      <c r="AM1871" s="110">
        <f t="shared" si="412"/>
        <v>500</v>
      </c>
      <c r="AN1871" s="447">
        <f t="shared" si="414"/>
        <v>0</v>
      </c>
      <c r="AO1871"/>
      <c r="AP1871"/>
    </row>
    <row r="1872" spans="1:42" ht="66" x14ac:dyDescent="0.25">
      <c r="A1872" s="9"/>
      <c r="B1872" s="49" t="s">
        <v>1865</v>
      </c>
      <c r="C1872" s="1024"/>
      <c r="D1872" s="869">
        <v>10</v>
      </c>
      <c r="E1872" s="1027" t="s">
        <v>1721</v>
      </c>
      <c r="F1872" s="273" t="s">
        <v>3446</v>
      </c>
      <c r="G1872" s="1040" t="s">
        <v>3463</v>
      </c>
      <c r="H1872" s="273" t="s">
        <v>3462</v>
      </c>
      <c r="I1872" s="720">
        <f t="shared" si="404"/>
        <v>468.30959999999993</v>
      </c>
      <c r="J1872" s="756">
        <v>4683.0959999999995</v>
      </c>
      <c r="K1872" s="131">
        <f t="shared" si="413"/>
        <v>4683.0959999999995</v>
      </c>
      <c r="L1872" s="335">
        <f t="shared" si="409"/>
        <v>0</v>
      </c>
      <c r="M1872" s="446"/>
      <c r="N1872" s="446"/>
      <c r="O1872" s="446"/>
      <c r="P1872" s="446"/>
      <c r="Q1872" s="130">
        <v>3</v>
      </c>
      <c r="R1872" s="111">
        <f t="shared" si="405"/>
        <v>1170.7739999999999</v>
      </c>
      <c r="S1872" s="110"/>
      <c r="T1872" s="110"/>
      <c r="U1872" s="130">
        <v>3</v>
      </c>
      <c r="V1872" s="111">
        <f t="shared" si="406"/>
        <v>1170.7739999999999</v>
      </c>
      <c r="W1872" s="110"/>
      <c r="X1872" s="110"/>
      <c r="Y1872" s="110"/>
      <c r="Z1872" s="110"/>
      <c r="AA1872" s="130">
        <v>2</v>
      </c>
      <c r="AB1872" s="111">
        <f t="shared" si="407"/>
        <v>1170.7739999999999</v>
      </c>
      <c r="AC1872" s="110"/>
      <c r="AD1872" s="110"/>
      <c r="AE1872" s="130">
        <v>2</v>
      </c>
      <c r="AF1872" s="111">
        <f t="shared" si="416"/>
        <v>1170.7739999999999</v>
      </c>
      <c r="AG1872" s="110"/>
      <c r="AH1872" s="110"/>
      <c r="AI1872" s="110"/>
      <c r="AJ1872" s="110"/>
      <c r="AK1872" s="111">
        <f t="shared" si="410"/>
        <v>4683.0959999999995</v>
      </c>
      <c r="AL1872" s="446">
        <f t="shared" si="411"/>
        <v>0</v>
      </c>
      <c r="AM1872" s="110">
        <f t="shared" si="412"/>
        <v>10</v>
      </c>
      <c r="AN1872" s="447">
        <f t="shared" si="414"/>
        <v>0</v>
      </c>
      <c r="AO1872"/>
      <c r="AP1872"/>
    </row>
    <row r="1873" spans="1:42" ht="66" x14ac:dyDescent="0.25">
      <c r="A1873" s="9"/>
      <c r="B1873" s="49" t="s">
        <v>1178</v>
      </c>
      <c r="C1873" s="1024"/>
      <c r="D1873" s="869">
        <v>4</v>
      </c>
      <c r="E1873" s="1027" t="s">
        <v>1998</v>
      </c>
      <c r="F1873" s="273" t="s">
        <v>3446</v>
      </c>
      <c r="G1873" s="1040" t="s">
        <v>3463</v>
      </c>
      <c r="H1873" s="273" t="s">
        <v>3462</v>
      </c>
      <c r="I1873" s="720">
        <f t="shared" si="404"/>
        <v>121.8888</v>
      </c>
      <c r="J1873" s="756">
        <v>487.55520000000001</v>
      </c>
      <c r="K1873" s="131">
        <f t="shared" si="413"/>
        <v>487.55520000000001</v>
      </c>
      <c r="L1873" s="335">
        <f t="shared" si="409"/>
        <v>0</v>
      </c>
      <c r="M1873" s="446"/>
      <c r="N1873" s="446"/>
      <c r="O1873" s="446"/>
      <c r="P1873" s="446"/>
      <c r="Q1873" s="110">
        <f t="shared" si="417"/>
        <v>1</v>
      </c>
      <c r="R1873" s="111">
        <f t="shared" si="405"/>
        <v>121.8888</v>
      </c>
      <c r="S1873" s="110"/>
      <c r="T1873" s="110"/>
      <c r="U1873" s="110">
        <f t="shared" si="418"/>
        <v>1</v>
      </c>
      <c r="V1873" s="111">
        <f t="shared" si="406"/>
        <v>121.8888</v>
      </c>
      <c r="W1873" s="110"/>
      <c r="X1873" s="110"/>
      <c r="Y1873" s="110"/>
      <c r="Z1873" s="110"/>
      <c r="AA1873" s="110">
        <f t="shared" si="415"/>
        <v>1</v>
      </c>
      <c r="AB1873" s="111">
        <f t="shared" si="407"/>
        <v>121.8888</v>
      </c>
      <c r="AC1873" s="110"/>
      <c r="AD1873" s="110"/>
      <c r="AE1873" s="110">
        <f t="shared" si="415"/>
        <v>1</v>
      </c>
      <c r="AF1873" s="111">
        <f t="shared" si="416"/>
        <v>121.8888</v>
      </c>
      <c r="AG1873" s="110"/>
      <c r="AH1873" s="110"/>
      <c r="AI1873" s="110"/>
      <c r="AJ1873" s="110"/>
      <c r="AK1873" s="111">
        <f t="shared" si="410"/>
        <v>487.55520000000001</v>
      </c>
      <c r="AL1873" s="446">
        <f t="shared" si="411"/>
        <v>0</v>
      </c>
      <c r="AM1873" s="110">
        <f t="shared" si="412"/>
        <v>4</v>
      </c>
      <c r="AN1873" s="447">
        <f t="shared" si="414"/>
        <v>0</v>
      </c>
      <c r="AO1873"/>
      <c r="AP1873"/>
    </row>
    <row r="1874" spans="1:42" ht="66" x14ac:dyDescent="0.25">
      <c r="A1874" s="9"/>
      <c r="B1874" s="49" t="s">
        <v>1179</v>
      </c>
      <c r="C1874" s="1024"/>
      <c r="D1874" s="869">
        <v>6</v>
      </c>
      <c r="E1874" s="1027" t="s">
        <v>1722</v>
      </c>
      <c r="F1874" s="273" t="s">
        <v>3446</v>
      </c>
      <c r="G1874" s="1040" t="s">
        <v>3463</v>
      </c>
      <c r="H1874" s="273" t="s">
        <v>3462</v>
      </c>
      <c r="I1874" s="720">
        <f t="shared" si="404"/>
        <v>269.4384</v>
      </c>
      <c r="J1874" s="756">
        <v>1616.6304</v>
      </c>
      <c r="K1874" s="131">
        <f t="shared" si="413"/>
        <v>1616.6304</v>
      </c>
      <c r="L1874" s="335">
        <f t="shared" si="409"/>
        <v>0</v>
      </c>
      <c r="M1874" s="446"/>
      <c r="N1874" s="446"/>
      <c r="O1874" s="446"/>
      <c r="P1874" s="446"/>
      <c r="Q1874" s="130">
        <v>2</v>
      </c>
      <c r="R1874" s="111">
        <f t="shared" si="405"/>
        <v>404.1576</v>
      </c>
      <c r="S1874" s="110"/>
      <c r="T1874" s="110"/>
      <c r="U1874" s="130">
        <v>2</v>
      </c>
      <c r="V1874" s="111">
        <f t="shared" si="406"/>
        <v>404.1576</v>
      </c>
      <c r="W1874" s="110"/>
      <c r="X1874" s="110"/>
      <c r="Y1874" s="110"/>
      <c r="Z1874" s="110"/>
      <c r="AA1874" s="130">
        <v>1</v>
      </c>
      <c r="AB1874" s="111">
        <f t="shared" si="407"/>
        <v>404.1576</v>
      </c>
      <c r="AC1874" s="110"/>
      <c r="AD1874" s="110"/>
      <c r="AE1874" s="130">
        <v>1</v>
      </c>
      <c r="AF1874" s="111">
        <f t="shared" si="416"/>
        <v>404.1576</v>
      </c>
      <c r="AG1874" s="110"/>
      <c r="AH1874" s="110"/>
      <c r="AI1874" s="110"/>
      <c r="AJ1874" s="110"/>
      <c r="AK1874" s="111">
        <f t="shared" si="410"/>
        <v>1616.6304</v>
      </c>
      <c r="AL1874" s="446">
        <f t="shared" si="411"/>
        <v>0</v>
      </c>
      <c r="AM1874" s="110">
        <f t="shared" si="412"/>
        <v>6</v>
      </c>
      <c r="AN1874" s="447">
        <f t="shared" si="414"/>
        <v>0</v>
      </c>
      <c r="AO1874"/>
      <c r="AP1874"/>
    </row>
    <row r="1875" spans="1:42" ht="66" x14ac:dyDescent="0.25">
      <c r="A1875" s="9"/>
      <c r="B1875" s="49" t="s">
        <v>1863</v>
      </c>
      <c r="C1875" s="1024"/>
      <c r="D1875" s="869">
        <v>240</v>
      </c>
      <c r="E1875" s="1027" t="s">
        <v>1721</v>
      </c>
      <c r="F1875" s="273" t="s">
        <v>3446</v>
      </c>
      <c r="G1875" s="1040" t="s">
        <v>3463</v>
      </c>
      <c r="H1875" s="273" t="s">
        <v>3462</v>
      </c>
      <c r="I1875" s="720">
        <f t="shared" si="404"/>
        <v>21.815999999999999</v>
      </c>
      <c r="J1875" s="756">
        <v>5235.84</v>
      </c>
      <c r="K1875" s="131">
        <f t="shared" si="413"/>
        <v>5235.84</v>
      </c>
      <c r="L1875" s="335">
        <f t="shared" si="409"/>
        <v>0</v>
      </c>
      <c r="M1875" s="446"/>
      <c r="N1875" s="446"/>
      <c r="O1875" s="446"/>
      <c r="P1875" s="446"/>
      <c r="Q1875" s="110">
        <f t="shared" si="417"/>
        <v>60</v>
      </c>
      <c r="R1875" s="111">
        <f t="shared" si="405"/>
        <v>1308.96</v>
      </c>
      <c r="S1875" s="110"/>
      <c r="T1875" s="110"/>
      <c r="U1875" s="110">
        <f t="shared" si="418"/>
        <v>60</v>
      </c>
      <c r="V1875" s="111">
        <f t="shared" si="406"/>
        <v>1308.96</v>
      </c>
      <c r="W1875" s="110"/>
      <c r="X1875" s="110"/>
      <c r="Y1875" s="110"/>
      <c r="Z1875" s="110"/>
      <c r="AA1875" s="110">
        <f t="shared" si="415"/>
        <v>60</v>
      </c>
      <c r="AB1875" s="111">
        <f t="shared" si="407"/>
        <v>1308.96</v>
      </c>
      <c r="AC1875" s="110"/>
      <c r="AD1875" s="110"/>
      <c r="AE1875" s="110">
        <f t="shared" si="415"/>
        <v>60</v>
      </c>
      <c r="AF1875" s="111">
        <f t="shared" si="416"/>
        <v>1308.96</v>
      </c>
      <c r="AG1875" s="110"/>
      <c r="AH1875" s="110"/>
      <c r="AI1875" s="110"/>
      <c r="AJ1875" s="110"/>
      <c r="AK1875" s="111">
        <f t="shared" si="410"/>
        <v>5235.84</v>
      </c>
      <c r="AL1875" s="446">
        <f t="shared" si="411"/>
        <v>0</v>
      </c>
      <c r="AM1875" s="110">
        <f t="shared" si="412"/>
        <v>240</v>
      </c>
      <c r="AN1875" s="447">
        <f t="shared" si="414"/>
        <v>0</v>
      </c>
      <c r="AO1875"/>
      <c r="AP1875"/>
    </row>
    <row r="1876" spans="1:42" ht="66" x14ac:dyDescent="0.25">
      <c r="A1876" s="9"/>
      <c r="B1876" s="49" t="s">
        <v>1436</v>
      </c>
      <c r="C1876" s="1024"/>
      <c r="D1876" s="869">
        <v>1</v>
      </c>
      <c r="E1876" s="1027" t="s">
        <v>1722</v>
      </c>
      <c r="F1876" s="273" t="s">
        <v>3446</v>
      </c>
      <c r="G1876" s="1040" t="s">
        <v>3463</v>
      </c>
      <c r="H1876" s="273" t="s">
        <v>3462</v>
      </c>
      <c r="I1876" s="720">
        <f t="shared" si="404"/>
        <v>320.76</v>
      </c>
      <c r="J1876" s="756">
        <v>320.76</v>
      </c>
      <c r="K1876" s="131">
        <f t="shared" si="413"/>
        <v>320.76</v>
      </c>
      <c r="L1876" s="335">
        <f t="shared" si="409"/>
        <v>0</v>
      </c>
      <c r="M1876" s="446"/>
      <c r="N1876" s="446"/>
      <c r="O1876" s="446"/>
      <c r="P1876" s="446"/>
      <c r="Q1876" s="110">
        <v>1</v>
      </c>
      <c r="R1876" s="111">
        <v>320.76</v>
      </c>
      <c r="S1876" s="110"/>
      <c r="T1876" s="110"/>
      <c r="U1876" s="110">
        <v>0</v>
      </c>
      <c r="V1876" s="111">
        <v>0</v>
      </c>
      <c r="W1876" s="110"/>
      <c r="X1876" s="110"/>
      <c r="Y1876" s="110"/>
      <c r="Z1876" s="110"/>
      <c r="AA1876" s="110">
        <v>0</v>
      </c>
      <c r="AB1876" s="111">
        <v>0</v>
      </c>
      <c r="AC1876" s="110"/>
      <c r="AD1876" s="110"/>
      <c r="AE1876" s="110">
        <v>0</v>
      </c>
      <c r="AF1876" s="111">
        <v>0</v>
      </c>
      <c r="AG1876" s="110"/>
      <c r="AH1876" s="110"/>
      <c r="AI1876" s="110"/>
      <c r="AJ1876" s="110"/>
      <c r="AK1876" s="111">
        <f t="shared" si="410"/>
        <v>320.76</v>
      </c>
      <c r="AL1876" s="446">
        <f t="shared" si="411"/>
        <v>0</v>
      </c>
      <c r="AM1876" s="110">
        <f t="shared" si="412"/>
        <v>1</v>
      </c>
      <c r="AN1876" s="447">
        <f t="shared" si="414"/>
        <v>0</v>
      </c>
      <c r="AO1876"/>
      <c r="AP1876"/>
    </row>
    <row r="1877" spans="1:42" ht="66" x14ac:dyDescent="0.25">
      <c r="A1877" s="9"/>
      <c r="B1877" s="49" t="s">
        <v>2010</v>
      </c>
      <c r="C1877" s="1024"/>
      <c r="D1877" s="869">
        <v>1</v>
      </c>
      <c r="E1877" s="1027" t="s">
        <v>1722</v>
      </c>
      <c r="F1877" s="273" t="s">
        <v>3446</v>
      </c>
      <c r="G1877" s="1040" t="s">
        <v>3463</v>
      </c>
      <c r="H1877" s="273" t="s">
        <v>3462</v>
      </c>
      <c r="I1877" s="720">
        <f t="shared" si="404"/>
        <v>230.94720000000001</v>
      </c>
      <c r="J1877" s="756">
        <v>230.94720000000001</v>
      </c>
      <c r="K1877" s="131">
        <f t="shared" si="413"/>
        <v>230.94720000000001</v>
      </c>
      <c r="L1877" s="335">
        <f t="shared" si="409"/>
        <v>0</v>
      </c>
      <c r="M1877" s="446"/>
      <c r="N1877" s="446"/>
      <c r="O1877" s="446"/>
      <c r="P1877" s="446"/>
      <c r="Q1877" s="110">
        <v>1</v>
      </c>
      <c r="R1877" s="111">
        <v>230.95</v>
      </c>
      <c r="S1877" s="110"/>
      <c r="T1877" s="110"/>
      <c r="U1877" s="110">
        <v>0</v>
      </c>
      <c r="V1877" s="111">
        <v>0</v>
      </c>
      <c r="W1877" s="110"/>
      <c r="X1877" s="110"/>
      <c r="Y1877" s="110"/>
      <c r="Z1877" s="110"/>
      <c r="AA1877" s="110">
        <v>0</v>
      </c>
      <c r="AB1877" s="111">
        <v>0</v>
      </c>
      <c r="AC1877" s="110"/>
      <c r="AD1877" s="110"/>
      <c r="AE1877" s="110">
        <v>0</v>
      </c>
      <c r="AF1877" s="111">
        <v>0</v>
      </c>
      <c r="AG1877" s="110"/>
      <c r="AH1877" s="110"/>
      <c r="AI1877" s="110"/>
      <c r="AJ1877" s="110"/>
      <c r="AK1877" s="111">
        <f t="shared" si="410"/>
        <v>230.95</v>
      </c>
      <c r="AL1877" s="446">
        <f t="shared" si="411"/>
        <v>-2.7999999999792635E-3</v>
      </c>
      <c r="AM1877" s="110">
        <f t="shared" si="412"/>
        <v>1</v>
      </c>
      <c r="AN1877" s="447">
        <f t="shared" si="414"/>
        <v>0</v>
      </c>
      <c r="AO1877"/>
      <c r="AP1877"/>
    </row>
    <row r="1878" spans="1:42" ht="66" x14ac:dyDescent="0.25">
      <c r="A1878" s="9"/>
      <c r="B1878" s="49" t="s">
        <v>2011</v>
      </c>
      <c r="C1878" s="1024"/>
      <c r="D1878" s="869">
        <v>50</v>
      </c>
      <c r="E1878" s="1027" t="s">
        <v>1721</v>
      </c>
      <c r="F1878" s="273" t="s">
        <v>3446</v>
      </c>
      <c r="G1878" s="1040" t="s">
        <v>3463</v>
      </c>
      <c r="H1878" s="273" t="s">
        <v>3462</v>
      </c>
      <c r="I1878" s="720">
        <f t="shared" si="404"/>
        <v>17.3232</v>
      </c>
      <c r="J1878" s="756">
        <v>866.16</v>
      </c>
      <c r="K1878" s="131">
        <f t="shared" si="413"/>
        <v>866.16</v>
      </c>
      <c r="L1878" s="335">
        <f t="shared" si="409"/>
        <v>0</v>
      </c>
      <c r="M1878" s="446"/>
      <c r="N1878" s="446"/>
      <c r="O1878" s="446"/>
      <c r="P1878" s="446"/>
      <c r="Q1878" s="110">
        <v>13</v>
      </c>
      <c r="R1878" s="111">
        <f t="shared" si="405"/>
        <v>216.54</v>
      </c>
      <c r="S1878" s="110"/>
      <c r="T1878" s="110"/>
      <c r="U1878" s="110">
        <v>12</v>
      </c>
      <c r="V1878" s="111">
        <f t="shared" si="406"/>
        <v>216.54</v>
      </c>
      <c r="W1878" s="110"/>
      <c r="X1878" s="110"/>
      <c r="Y1878" s="110"/>
      <c r="Z1878" s="110"/>
      <c r="AA1878" s="110">
        <v>12</v>
      </c>
      <c r="AB1878" s="111">
        <f t="shared" si="407"/>
        <v>216.54</v>
      </c>
      <c r="AC1878" s="110"/>
      <c r="AD1878" s="110"/>
      <c r="AE1878" s="110">
        <v>13</v>
      </c>
      <c r="AF1878" s="111">
        <f t="shared" si="416"/>
        <v>216.54</v>
      </c>
      <c r="AG1878" s="110"/>
      <c r="AH1878" s="110"/>
      <c r="AI1878" s="110"/>
      <c r="AJ1878" s="110"/>
      <c r="AK1878" s="111">
        <f t="shared" si="410"/>
        <v>866.16</v>
      </c>
      <c r="AL1878" s="446">
        <f t="shared" si="411"/>
        <v>0</v>
      </c>
      <c r="AM1878" s="110">
        <f t="shared" si="412"/>
        <v>50</v>
      </c>
      <c r="AN1878" s="447">
        <f t="shared" si="414"/>
        <v>0</v>
      </c>
      <c r="AO1878"/>
      <c r="AP1878"/>
    </row>
    <row r="1879" spans="1:42" ht="66" x14ac:dyDescent="0.25">
      <c r="A1879" s="9"/>
      <c r="B1879" s="49" t="s">
        <v>1174</v>
      </c>
      <c r="C1879" s="1024"/>
      <c r="D1879" s="869">
        <v>6</v>
      </c>
      <c r="E1879" s="1027" t="s">
        <v>1722</v>
      </c>
      <c r="F1879" s="273" t="s">
        <v>3446</v>
      </c>
      <c r="G1879" s="1040" t="s">
        <v>3463</v>
      </c>
      <c r="H1879" s="273" t="s">
        <v>3462</v>
      </c>
      <c r="I1879" s="720">
        <f t="shared" si="404"/>
        <v>346.42080000000004</v>
      </c>
      <c r="J1879" s="756">
        <v>2078.5248000000001</v>
      </c>
      <c r="K1879" s="131">
        <f t="shared" si="413"/>
        <v>2078.5248000000001</v>
      </c>
      <c r="L1879" s="335">
        <f t="shared" si="409"/>
        <v>0</v>
      </c>
      <c r="M1879" s="446"/>
      <c r="N1879" s="446"/>
      <c r="O1879" s="446"/>
      <c r="P1879" s="446"/>
      <c r="Q1879" s="130">
        <v>2</v>
      </c>
      <c r="R1879" s="111">
        <f t="shared" si="405"/>
        <v>519.63120000000004</v>
      </c>
      <c r="S1879" s="110"/>
      <c r="T1879" s="110"/>
      <c r="U1879" s="130">
        <v>2</v>
      </c>
      <c r="V1879" s="111">
        <f t="shared" si="406"/>
        <v>519.63120000000004</v>
      </c>
      <c r="W1879" s="110"/>
      <c r="X1879" s="110"/>
      <c r="Y1879" s="110"/>
      <c r="Z1879" s="110"/>
      <c r="AA1879" s="130">
        <v>1</v>
      </c>
      <c r="AB1879" s="111">
        <f t="shared" si="407"/>
        <v>519.63120000000004</v>
      </c>
      <c r="AC1879" s="110"/>
      <c r="AD1879" s="110"/>
      <c r="AE1879" s="130">
        <v>1</v>
      </c>
      <c r="AF1879" s="111">
        <f t="shared" si="416"/>
        <v>519.63120000000004</v>
      </c>
      <c r="AG1879" s="110"/>
      <c r="AH1879" s="110"/>
      <c r="AI1879" s="110"/>
      <c r="AJ1879" s="110"/>
      <c r="AK1879" s="111">
        <f t="shared" si="410"/>
        <v>2078.5248000000001</v>
      </c>
      <c r="AL1879" s="446">
        <f t="shared" si="411"/>
        <v>0</v>
      </c>
      <c r="AM1879" s="110">
        <f t="shared" si="412"/>
        <v>6</v>
      </c>
      <c r="AN1879" s="447">
        <f t="shared" si="414"/>
        <v>0</v>
      </c>
      <c r="AO1879"/>
      <c r="AP1879"/>
    </row>
    <row r="1880" spans="1:42" ht="66" x14ac:dyDescent="0.25">
      <c r="A1880" s="9"/>
      <c r="B1880" s="49" t="s">
        <v>1173</v>
      </c>
      <c r="C1880" s="1024"/>
      <c r="D1880" s="869">
        <v>3</v>
      </c>
      <c r="E1880" s="1027" t="s">
        <v>1722</v>
      </c>
      <c r="F1880" s="273" t="s">
        <v>3446</v>
      </c>
      <c r="G1880" s="1040" t="s">
        <v>3463</v>
      </c>
      <c r="H1880" s="273" t="s">
        <v>3462</v>
      </c>
      <c r="I1880" s="720">
        <f t="shared" si="404"/>
        <v>64.152000000000001</v>
      </c>
      <c r="J1880" s="756">
        <v>192.45600000000002</v>
      </c>
      <c r="K1880" s="131">
        <f t="shared" si="413"/>
        <v>192.45600000000002</v>
      </c>
      <c r="L1880" s="335">
        <f t="shared" si="409"/>
        <v>0</v>
      </c>
      <c r="M1880" s="446"/>
      <c r="N1880" s="446"/>
      <c r="O1880" s="446"/>
      <c r="P1880" s="446"/>
      <c r="Q1880" s="130">
        <v>1</v>
      </c>
      <c r="R1880" s="111">
        <v>64.150000000000006</v>
      </c>
      <c r="S1880" s="110"/>
      <c r="T1880" s="110"/>
      <c r="U1880" s="130">
        <v>1</v>
      </c>
      <c r="V1880" s="111">
        <v>64.150000000000006</v>
      </c>
      <c r="W1880" s="110"/>
      <c r="X1880" s="110"/>
      <c r="Y1880" s="110"/>
      <c r="Z1880" s="110"/>
      <c r="AA1880" s="130">
        <v>1</v>
      </c>
      <c r="AB1880" s="111">
        <v>64.150000000000006</v>
      </c>
      <c r="AC1880" s="110"/>
      <c r="AD1880" s="110"/>
      <c r="AE1880" s="130">
        <v>0</v>
      </c>
      <c r="AF1880" s="111">
        <v>0</v>
      </c>
      <c r="AG1880" s="110"/>
      <c r="AH1880" s="110"/>
      <c r="AI1880" s="110"/>
      <c r="AJ1880" s="110"/>
      <c r="AK1880" s="111">
        <f t="shared" si="410"/>
        <v>192.45000000000002</v>
      </c>
      <c r="AL1880" s="446">
        <f t="shared" si="411"/>
        <v>6.0000000000002274E-3</v>
      </c>
      <c r="AM1880" s="110">
        <f t="shared" si="412"/>
        <v>3</v>
      </c>
      <c r="AN1880" s="447">
        <f t="shared" si="414"/>
        <v>0</v>
      </c>
      <c r="AO1880"/>
      <c r="AP1880"/>
    </row>
    <row r="1881" spans="1:42" ht="66" x14ac:dyDescent="0.25">
      <c r="A1881" s="9"/>
      <c r="B1881" s="49" t="s">
        <v>2012</v>
      </c>
      <c r="C1881" s="1024"/>
      <c r="D1881" s="869">
        <v>2</v>
      </c>
      <c r="E1881" s="1027" t="s">
        <v>1827</v>
      </c>
      <c r="F1881" s="273" t="s">
        <v>3446</v>
      </c>
      <c r="G1881" s="1040" t="s">
        <v>3463</v>
      </c>
      <c r="H1881" s="273" t="s">
        <v>3462</v>
      </c>
      <c r="I1881" s="720">
        <f t="shared" ref="I1881:I1943" si="419">+J1881/D1881</f>
        <v>327.17520000000002</v>
      </c>
      <c r="J1881" s="756">
        <v>654.35040000000004</v>
      </c>
      <c r="K1881" s="131">
        <f t="shared" si="413"/>
        <v>654.35040000000004</v>
      </c>
      <c r="L1881" s="335">
        <f t="shared" si="409"/>
        <v>0</v>
      </c>
      <c r="M1881" s="446"/>
      <c r="N1881" s="446"/>
      <c r="O1881" s="446"/>
      <c r="P1881" s="446"/>
      <c r="Q1881" s="130">
        <v>1</v>
      </c>
      <c r="R1881" s="111">
        <v>327.18</v>
      </c>
      <c r="S1881" s="110"/>
      <c r="T1881" s="110"/>
      <c r="U1881" s="130">
        <v>1</v>
      </c>
      <c r="V1881" s="111">
        <v>327.18</v>
      </c>
      <c r="W1881" s="110"/>
      <c r="X1881" s="110"/>
      <c r="Y1881" s="110"/>
      <c r="Z1881" s="110"/>
      <c r="AA1881" s="130">
        <v>0</v>
      </c>
      <c r="AB1881" s="111">
        <v>0</v>
      </c>
      <c r="AC1881" s="110"/>
      <c r="AD1881" s="110"/>
      <c r="AE1881" s="130">
        <v>0</v>
      </c>
      <c r="AF1881" s="111">
        <v>0</v>
      </c>
      <c r="AG1881" s="110"/>
      <c r="AH1881" s="110"/>
      <c r="AI1881" s="110"/>
      <c r="AJ1881" s="110"/>
      <c r="AK1881" s="111">
        <f t="shared" si="410"/>
        <v>654.36</v>
      </c>
      <c r="AL1881" s="446">
        <f t="shared" si="411"/>
        <v>-9.5999999999776264E-3</v>
      </c>
      <c r="AM1881" s="110">
        <f t="shared" si="412"/>
        <v>2</v>
      </c>
      <c r="AN1881" s="447">
        <f t="shared" si="414"/>
        <v>0</v>
      </c>
      <c r="AO1881"/>
      <c r="AP1881"/>
    </row>
    <row r="1882" spans="1:42" ht="66" x14ac:dyDescent="0.25">
      <c r="A1882" s="9"/>
      <c r="B1882" s="49" t="s">
        <v>2082</v>
      </c>
      <c r="C1882" s="1024"/>
      <c r="D1882" s="869">
        <v>22</v>
      </c>
      <c r="E1882" s="1027" t="s">
        <v>2100</v>
      </c>
      <c r="F1882" s="273" t="s">
        <v>3446</v>
      </c>
      <c r="G1882" s="1040" t="s">
        <v>3463</v>
      </c>
      <c r="H1882" s="273" t="s">
        <v>3462</v>
      </c>
      <c r="I1882" s="720">
        <f t="shared" si="419"/>
        <v>400</v>
      </c>
      <c r="J1882" s="756">
        <v>8800</v>
      </c>
      <c r="K1882" s="131">
        <f t="shared" si="413"/>
        <v>8800</v>
      </c>
      <c r="L1882" s="335">
        <f t="shared" si="409"/>
        <v>0</v>
      </c>
      <c r="M1882" s="446"/>
      <c r="N1882" s="446"/>
      <c r="O1882" s="446"/>
      <c r="P1882" s="446"/>
      <c r="Q1882" s="110">
        <v>6</v>
      </c>
      <c r="R1882" s="111">
        <f t="shared" ref="R1882:R1944" si="420">+J1882/4</f>
        <v>2200</v>
      </c>
      <c r="S1882" s="110"/>
      <c r="T1882" s="110"/>
      <c r="U1882" s="110">
        <v>6</v>
      </c>
      <c r="V1882" s="111">
        <f t="shared" ref="V1882:V1944" si="421">+J1882/4</f>
        <v>2200</v>
      </c>
      <c r="W1882" s="110"/>
      <c r="X1882" s="110"/>
      <c r="Y1882" s="110"/>
      <c r="Z1882" s="110"/>
      <c r="AA1882" s="110">
        <v>5</v>
      </c>
      <c r="AB1882" s="111">
        <f t="shared" si="407"/>
        <v>2200</v>
      </c>
      <c r="AC1882" s="110"/>
      <c r="AD1882" s="110"/>
      <c r="AE1882" s="110">
        <v>5</v>
      </c>
      <c r="AF1882" s="111">
        <f t="shared" si="416"/>
        <v>2200</v>
      </c>
      <c r="AG1882" s="110"/>
      <c r="AH1882" s="110"/>
      <c r="AI1882" s="110"/>
      <c r="AJ1882" s="110"/>
      <c r="AK1882" s="111">
        <f t="shared" si="410"/>
        <v>8800</v>
      </c>
      <c r="AL1882" s="446">
        <f t="shared" si="411"/>
        <v>0</v>
      </c>
      <c r="AM1882" s="110">
        <f t="shared" si="412"/>
        <v>22</v>
      </c>
      <c r="AN1882" s="447">
        <f t="shared" si="414"/>
        <v>0</v>
      </c>
      <c r="AO1882"/>
      <c r="AP1882"/>
    </row>
    <row r="1883" spans="1:42" ht="66" x14ac:dyDescent="0.25">
      <c r="A1883" s="9"/>
      <c r="B1883" s="49" t="s">
        <v>2083</v>
      </c>
      <c r="C1883" s="1024"/>
      <c r="D1883" s="869">
        <v>6</v>
      </c>
      <c r="E1883" s="1027" t="s">
        <v>1722</v>
      </c>
      <c r="F1883" s="273" t="s">
        <v>3446</v>
      </c>
      <c r="G1883" s="1040" t="s">
        <v>3463</v>
      </c>
      <c r="H1883" s="273" t="s">
        <v>3462</v>
      </c>
      <c r="I1883" s="720">
        <f t="shared" si="419"/>
        <v>77</v>
      </c>
      <c r="J1883" s="756">
        <v>462</v>
      </c>
      <c r="K1883" s="131">
        <f t="shared" si="413"/>
        <v>462</v>
      </c>
      <c r="L1883" s="335">
        <f t="shared" si="409"/>
        <v>0</v>
      </c>
      <c r="M1883" s="446"/>
      <c r="N1883" s="446"/>
      <c r="O1883" s="446"/>
      <c r="P1883" s="446"/>
      <c r="Q1883" s="130">
        <v>2</v>
      </c>
      <c r="R1883" s="111">
        <f t="shared" si="420"/>
        <v>115.5</v>
      </c>
      <c r="S1883" s="110"/>
      <c r="T1883" s="110"/>
      <c r="U1883" s="130">
        <v>2</v>
      </c>
      <c r="V1883" s="111">
        <f t="shared" si="421"/>
        <v>115.5</v>
      </c>
      <c r="W1883" s="110"/>
      <c r="X1883" s="110"/>
      <c r="Y1883" s="110"/>
      <c r="Z1883" s="110"/>
      <c r="AA1883" s="130">
        <v>1</v>
      </c>
      <c r="AB1883" s="111">
        <f t="shared" si="407"/>
        <v>115.5</v>
      </c>
      <c r="AC1883" s="110"/>
      <c r="AD1883" s="110"/>
      <c r="AE1883" s="130">
        <v>1</v>
      </c>
      <c r="AF1883" s="111">
        <f t="shared" si="416"/>
        <v>115.5</v>
      </c>
      <c r="AG1883" s="110"/>
      <c r="AH1883" s="110"/>
      <c r="AI1883" s="110"/>
      <c r="AJ1883" s="110"/>
      <c r="AK1883" s="111">
        <f t="shared" si="410"/>
        <v>462</v>
      </c>
      <c r="AL1883" s="446">
        <f t="shared" si="411"/>
        <v>0</v>
      </c>
      <c r="AM1883" s="110">
        <f t="shared" si="412"/>
        <v>6</v>
      </c>
      <c r="AN1883" s="447">
        <f t="shared" si="414"/>
        <v>0</v>
      </c>
      <c r="AO1883"/>
      <c r="AP1883"/>
    </row>
    <row r="1884" spans="1:42" ht="66" x14ac:dyDescent="0.25">
      <c r="A1884" s="9"/>
      <c r="B1884" s="49" t="s">
        <v>2084</v>
      </c>
      <c r="C1884" s="1024"/>
      <c r="D1884" s="869">
        <v>6</v>
      </c>
      <c r="E1884" s="1027" t="s">
        <v>1722</v>
      </c>
      <c r="F1884" s="273" t="s">
        <v>3446</v>
      </c>
      <c r="G1884" s="1040" t="s">
        <v>3463</v>
      </c>
      <c r="H1884" s="273" t="s">
        <v>3462</v>
      </c>
      <c r="I1884" s="720">
        <f t="shared" si="419"/>
        <v>56</v>
      </c>
      <c r="J1884" s="756">
        <v>336</v>
      </c>
      <c r="K1884" s="131">
        <f t="shared" si="413"/>
        <v>336</v>
      </c>
      <c r="L1884" s="335">
        <f t="shared" si="409"/>
        <v>0</v>
      </c>
      <c r="M1884" s="446"/>
      <c r="N1884" s="446"/>
      <c r="O1884" s="446"/>
      <c r="P1884" s="446"/>
      <c r="Q1884" s="130">
        <v>2</v>
      </c>
      <c r="R1884" s="111">
        <f t="shared" si="420"/>
        <v>84</v>
      </c>
      <c r="S1884" s="110"/>
      <c r="T1884" s="110"/>
      <c r="U1884" s="130">
        <v>2</v>
      </c>
      <c r="V1884" s="111">
        <f t="shared" si="421"/>
        <v>84</v>
      </c>
      <c r="W1884" s="110"/>
      <c r="X1884" s="110"/>
      <c r="Y1884" s="110"/>
      <c r="Z1884" s="110"/>
      <c r="AA1884" s="130">
        <v>1</v>
      </c>
      <c r="AB1884" s="111">
        <f t="shared" si="407"/>
        <v>84</v>
      </c>
      <c r="AC1884" s="110"/>
      <c r="AD1884" s="110"/>
      <c r="AE1884" s="130">
        <v>1</v>
      </c>
      <c r="AF1884" s="111">
        <f t="shared" si="416"/>
        <v>84</v>
      </c>
      <c r="AG1884" s="110"/>
      <c r="AH1884" s="110"/>
      <c r="AI1884" s="110"/>
      <c r="AJ1884" s="110"/>
      <c r="AK1884" s="111">
        <f t="shared" si="410"/>
        <v>336</v>
      </c>
      <c r="AL1884" s="446">
        <f t="shared" si="411"/>
        <v>0</v>
      </c>
      <c r="AM1884" s="110">
        <f t="shared" si="412"/>
        <v>6</v>
      </c>
      <c r="AN1884" s="447">
        <f t="shared" si="414"/>
        <v>0</v>
      </c>
      <c r="AO1884"/>
      <c r="AP1884"/>
    </row>
    <row r="1885" spans="1:42" ht="66" x14ac:dyDescent="0.25">
      <c r="A1885" s="9"/>
      <c r="B1885" s="49" t="s">
        <v>2085</v>
      </c>
      <c r="C1885" s="1024"/>
      <c r="D1885" s="869">
        <v>2</v>
      </c>
      <c r="E1885" s="1027" t="s">
        <v>1722</v>
      </c>
      <c r="F1885" s="273" t="s">
        <v>3446</v>
      </c>
      <c r="G1885" s="1040" t="s">
        <v>3463</v>
      </c>
      <c r="H1885" s="273" t="s">
        <v>3462</v>
      </c>
      <c r="I1885" s="720">
        <f t="shared" si="419"/>
        <v>230</v>
      </c>
      <c r="J1885" s="756">
        <v>460</v>
      </c>
      <c r="K1885" s="131">
        <f t="shared" si="413"/>
        <v>460</v>
      </c>
      <c r="L1885" s="335">
        <f t="shared" si="409"/>
        <v>0</v>
      </c>
      <c r="M1885" s="446"/>
      <c r="N1885" s="446"/>
      <c r="O1885" s="446"/>
      <c r="P1885" s="446"/>
      <c r="Q1885" s="130">
        <v>1</v>
      </c>
      <c r="R1885" s="111">
        <f t="shared" si="420"/>
        <v>115</v>
      </c>
      <c r="S1885" s="110"/>
      <c r="T1885" s="110"/>
      <c r="U1885" s="130">
        <v>1</v>
      </c>
      <c r="V1885" s="111">
        <f t="shared" si="421"/>
        <v>115</v>
      </c>
      <c r="W1885" s="110"/>
      <c r="X1885" s="110"/>
      <c r="Y1885" s="110"/>
      <c r="Z1885" s="110"/>
      <c r="AA1885" s="130">
        <v>0</v>
      </c>
      <c r="AB1885" s="111">
        <f t="shared" si="407"/>
        <v>115</v>
      </c>
      <c r="AC1885" s="110"/>
      <c r="AD1885" s="110"/>
      <c r="AE1885" s="130">
        <v>0</v>
      </c>
      <c r="AF1885" s="111">
        <f t="shared" si="416"/>
        <v>115</v>
      </c>
      <c r="AG1885" s="110"/>
      <c r="AH1885" s="110"/>
      <c r="AI1885" s="110"/>
      <c r="AJ1885" s="110"/>
      <c r="AK1885" s="111">
        <f t="shared" si="410"/>
        <v>460</v>
      </c>
      <c r="AL1885" s="446">
        <f t="shared" si="411"/>
        <v>0</v>
      </c>
      <c r="AM1885" s="110">
        <f t="shared" si="412"/>
        <v>2</v>
      </c>
      <c r="AN1885" s="447">
        <f t="shared" si="414"/>
        <v>0</v>
      </c>
      <c r="AO1885"/>
      <c r="AP1885"/>
    </row>
    <row r="1886" spans="1:42" ht="66" x14ac:dyDescent="0.25">
      <c r="A1886" s="9"/>
      <c r="B1886" s="49" t="s">
        <v>2086</v>
      </c>
      <c r="C1886" s="1024"/>
      <c r="D1886" s="869">
        <v>22</v>
      </c>
      <c r="E1886" s="1027" t="s">
        <v>1722</v>
      </c>
      <c r="F1886" s="273" t="s">
        <v>3446</v>
      </c>
      <c r="G1886" s="1040" t="s">
        <v>3463</v>
      </c>
      <c r="H1886" s="273" t="s">
        <v>3462</v>
      </c>
      <c r="I1886" s="720">
        <f t="shared" si="419"/>
        <v>49</v>
      </c>
      <c r="J1886" s="756">
        <v>1078</v>
      </c>
      <c r="K1886" s="131">
        <f t="shared" si="413"/>
        <v>1078</v>
      </c>
      <c r="L1886" s="335">
        <f t="shared" si="409"/>
        <v>0</v>
      </c>
      <c r="M1886" s="446"/>
      <c r="N1886" s="446"/>
      <c r="O1886" s="446"/>
      <c r="P1886" s="446"/>
      <c r="Q1886" s="110">
        <v>6</v>
      </c>
      <c r="R1886" s="111">
        <f t="shared" si="420"/>
        <v>269.5</v>
      </c>
      <c r="S1886" s="110"/>
      <c r="T1886" s="110"/>
      <c r="U1886" s="110">
        <v>6</v>
      </c>
      <c r="V1886" s="111">
        <f t="shared" si="421"/>
        <v>269.5</v>
      </c>
      <c r="W1886" s="110"/>
      <c r="X1886" s="110"/>
      <c r="Y1886" s="110"/>
      <c r="Z1886" s="110"/>
      <c r="AA1886" s="110">
        <v>5</v>
      </c>
      <c r="AB1886" s="111">
        <f t="shared" si="407"/>
        <v>269.5</v>
      </c>
      <c r="AC1886" s="110"/>
      <c r="AD1886" s="110"/>
      <c r="AE1886" s="110">
        <v>5</v>
      </c>
      <c r="AF1886" s="111">
        <f t="shared" si="416"/>
        <v>269.5</v>
      </c>
      <c r="AG1886" s="110"/>
      <c r="AH1886" s="110"/>
      <c r="AI1886" s="110"/>
      <c r="AJ1886" s="110"/>
      <c r="AK1886" s="111">
        <f t="shared" si="410"/>
        <v>1078</v>
      </c>
      <c r="AL1886" s="446">
        <f t="shared" si="411"/>
        <v>0</v>
      </c>
      <c r="AM1886" s="110">
        <f t="shared" si="412"/>
        <v>22</v>
      </c>
      <c r="AN1886" s="447">
        <f t="shared" si="414"/>
        <v>0</v>
      </c>
      <c r="AO1886"/>
      <c r="AP1886"/>
    </row>
    <row r="1887" spans="1:42" ht="66" x14ac:dyDescent="0.25">
      <c r="A1887" s="9"/>
      <c r="B1887" s="49" t="s">
        <v>2087</v>
      </c>
      <c r="C1887" s="1024"/>
      <c r="D1887" s="869">
        <v>6</v>
      </c>
      <c r="E1887" s="1027" t="s">
        <v>1872</v>
      </c>
      <c r="F1887" s="273" t="s">
        <v>3446</v>
      </c>
      <c r="G1887" s="1040" t="s">
        <v>3463</v>
      </c>
      <c r="H1887" s="273" t="s">
        <v>3462</v>
      </c>
      <c r="I1887" s="720">
        <f t="shared" si="419"/>
        <v>360</v>
      </c>
      <c r="J1887" s="756">
        <v>2160</v>
      </c>
      <c r="K1887" s="131">
        <f t="shared" si="413"/>
        <v>2160</v>
      </c>
      <c r="L1887" s="335">
        <f t="shared" si="409"/>
        <v>0</v>
      </c>
      <c r="M1887" s="446"/>
      <c r="N1887" s="446"/>
      <c r="O1887" s="446"/>
      <c r="P1887" s="446"/>
      <c r="Q1887" s="130">
        <v>2</v>
      </c>
      <c r="R1887" s="111">
        <f t="shared" si="420"/>
        <v>540</v>
      </c>
      <c r="S1887" s="110"/>
      <c r="T1887" s="110"/>
      <c r="U1887" s="130">
        <v>2</v>
      </c>
      <c r="V1887" s="111">
        <f t="shared" si="421"/>
        <v>540</v>
      </c>
      <c r="W1887" s="110"/>
      <c r="X1887" s="110"/>
      <c r="Y1887" s="110"/>
      <c r="Z1887" s="110"/>
      <c r="AA1887" s="130">
        <v>1</v>
      </c>
      <c r="AB1887" s="111">
        <f t="shared" si="407"/>
        <v>540</v>
      </c>
      <c r="AC1887" s="110"/>
      <c r="AD1887" s="110"/>
      <c r="AE1887" s="130">
        <v>1</v>
      </c>
      <c r="AF1887" s="111">
        <f t="shared" si="416"/>
        <v>540</v>
      </c>
      <c r="AG1887" s="110"/>
      <c r="AH1887" s="110"/>
      <c r="AI1887" s="110"/>
      <c r="AJ1887" s="110"/>
      <c r="AK1887" s="111">
        <f t="shared" si="410"/>
        <v>2160</v>
      </c>
      <c r="AL1887" s="446">
        <f t="shared" si="411"/>
        <v>0</v>
      </c>
      <c r="AM1887" s="110">
        <f t="shared" si="412"/>
        <v>6</v>
      </c>
      <c r="AN1887" s="447">
        <f t="shared" si="414"/>
        <v>0</v>
      </c>
      <c r="AO1887"/>
      <c r="AP1887"/>
    </row>
    <row r="1888" spans="1:42" ht="66" x14ac:dyDescent="0.25">
      <c r="A1888" s="9"/>
      <c r="B1888" s="49" t="s">
        <v>2088</v>
      </c>
      <c r="C1888" s="1024"/>
      <c r="D1888" s="869">
        <v>4</v>
      </c>
      <c r="E1888" s="1027" t="s">
        <v>1872</v>
      </c>
      <c r="F1888" s="273" t="s">
        <v>3446</v>
      </c>
      <c r="G1888" s="1040" t="s">
        <v>3463</v>
      </c>
      <c r="H1888" s="273" t="s">
        <v>3462</v>
      </c>
      <c r="I1888" s="720">
        <f t="shared" si="419"/>
        <v>228</v>
      </c>
      <c r="J1888" s="756">
        <v>912</v>
      </c>
      <c r="K1888" s="131">
        <f t="shared" si="413"/>
        <v>912</v>
      </c>
      <c r="L1888" s="335">
        <f t="shared" si="409"/>
        <v>0</v>
      </c>
      <c r="M1888" s="446"/>
      <c r="N1888" s="446"/>
      <c r="O1888" s="446"/>
      <c r="P1888" s="446"/>
      <c r="Q1888" s="110">
        <f t="shared" si="417"/>
        <v>1</v>
      </c>
      <c r="R1888" s="111">
        <f t="shared" si="420"/>
        <v>228</v>
      </c>
      <c r="S1888" s="110"/>
      <c r="T1888" s="110"/>
      <c r="U1888" s="110">
        <f t="shared" si="418"/>
        <v>1</v>
      </c>
      <c r="V1888" s="111">
        <f t="shared" si="421"/>
        <v>228</v>
      </c>
      <c r="W1888" s="110"/>
      <c r="X1888" s="110"/>
      <c r="Y1888" s="110"/>
      <c r="Z1888" s="110"/>
      <c r="AA1888" s="110">
        <f t="shared" si="415"/>
        <v>1</v>
      </c>
      <c r="AB1888" s="111">
        <f t="shared" si="407"/>
        <v>228</v>
      </c>
      <c r="AC1888" s="110"/>
      <c r="AD1888" s="110"/>
      <c r="AE1888" s="110">
        <f t="shared" si="415"/>
        <v>1</v>
      </c>
      <c r="AF1888" s="111">
        <f t="shared" si="416"/>
        <v>228</v>
      </c>
      <c r="AG1888" s="110"/>
      <c r="AH1888" s="110"/>
      <c r="AI1888" s="110"/>
      <c r="AJ1888" s="110"/>
      <c r="AK1888" s="111">
        <f t="shared" si="410"/>
        <v>912</v>
      </c>
      <c r="AL1888" s="446">
        <f t="shared" si="411"/>
        <v>0</v>
      </c>
      <c r="AM1888" s="110">
        <f t="shared" si="412"/>
        <v>4</v>
      </c>
      <c r="AN1888" s="447">
        <f t="shared" si="414"/>
        <v>0</v>
      </c>
      <c r="AO1888"/>
      <c r="AP1888"/>
    </row>
    <row r="1889" spans="1:42" ht="66" x14ac:dyDescent="0.25">
      <c r="A1889" s="9"/>
      <c r="B1889" s="49" t="s">
        <v>2089</v>
      </c>
      <c r="C1889" s="1024"/>
      <c r="D1889" s="869">
        <v>3</v>
      </c>
      <c r="E1889" s="1027" t="s">
        <v>1872</v>
      </c>
      <c r="F1889" s="273" t="s">
        <v>3446</v>
      </c>
      <c r="G1889" s="1040" t="s">
        <v>3463</v>
      </c>
      <c r="H1889" s="273" t="s">
        <v>3462</v>
      </c>
      <c r="I1889" s="720">
        <f t="shared" si="419"/>
        <v>166</v>
      </c>
      <c r="J1889" s="756">
        <v>498</v>
      </c>
      <c r="K1889" s="131">
        <f t="shared" si="413"/>
        <v>498</v>
      </c>
      <c r="L1889" s="335">
        <f t="shared" si="409"/>
        <v>0</v>
      </c>
      <c r="M1889" s="446"/>
      <c r="N1889" s="446"/>
      <c r="O1889" s="446"/>
      <c r="P1889" s="446"/>
      <c r="Q1889" s="130">
        <v>1</v>
      </c>
      <c r="R1889" s="111">
        <f t="shared" si="420"/>
        <v>124.5</v>
      </c>
      <c r="S1889" s="110"/>
      <c r="T1889" s="110"/>
      <c r="U1889" s="130">
        <v>1</v>
      </c>
      <c r="V1889" s="111">
        <f t="shared" si="421"/>
        <v>124.5</v>
      </c>
      <c r="W1889" s="110"/>
      <c r="X1889" s="110"/>
      <c r="Y1889" s="110"/>
      <c r="Z1889" s="110"/>
      <c r="AA1889" s="130">
        <v>1</v>
      </c>
      <c r="AB1889" s="111">
        <f t="shared" si="407"/>
        <v>124.5</v>
      </c>
      <c r="AC1889" s="110"/>
      <c r="AD1889" s="110"/>
      <c r="AE1889" s="130">
        <v>0</v>
      </c>
      <c r="AF1889" s="111">
        <f t="shared" si="416"/>
        <v>124.5</v>
      </c>
      <c r="AG1889" s="110"/>
      <c r="AH1889" s="110"/>
      <c r="AI1889" s="110"/>
      <c r="AJ1889" s="110"/>
      <c r="AK1889" s="111">
        <f t="shared" si="410"/>
        <v>498</v>
      </c>
      <c r="AL1889" s="446">
        <f t="shared" si="411"/>
        <v>0</v>
      </c>
      <c r="AM1889" s="110">
        <f t="shared" si="412"/>
        <v>3</v>
      </c>
      <c r="AN1889" s="447">
        <f t="shared" si="414"/>
        <v>0</v>
      </c>
      <c r="AO1889"/>
      <c r="AP1889"/>
    </row>
    <row r="1890" spans="1:42" ht="66" x14ac:dyDescent="0.25">
      <c r="A1890" s="9"/>
      <c r="B1890" s="49" t="s">
        <v>2090</v>
      </c>
      <c r="C1890" s="1024"/>
      <c r="D1890" s="869">
        <v>44</v>
      </c>
      <c r="E1890" s="1027" t="s">
        <v>1872</v>
      </c>
      <c r="F1890" s="273" t="s">
        <v>3446</v>
      </c>
      <c r="G1890" s="1040" t="s">
        <v>3463</v>
      </c>
      <c r="H1890" s="273" t="s">
        <v>3462</v>
      </c>
      <c r="I1890" s="720">
        <f t="shared" si="419"/>
        <v>240</v>
      </c>
      <c r="J1890" s="756">
        <v>10560</v>
      </c>
      <c r="K1890" s="131">
        <f t="shared" si="413"/>
        <v>10560</v>
      </c>
      <c r="L1890" s="335">
        <f t="shared" si="409"/>
        <v>0</v>
      </c>
      <c r="M1890" s="446"/>
      <c r="N1890" s="446"/>
      <c r="O1890" s="446"/>
      <c r="P1890" s="446"/>
      <c r="Q1890" s="110">
        <f t="shared" si="417"/>
        <v>11</v>
      </c>
      <c r="R1890" s="111">
        <f t="shared" si="420"/>
        <v>2640</v>
      </c>
      <c r="S1890" s="110"/>
      <c r="T1890" s="110"/>
      <c r="U1890" s="110">
        <f t="shared" si="418"/>
        <v>11</v>
      </c>
      <c r="V1890" s="111">
        <f t="shared" si="421"/>
        <v>2640</v>
      </c>
      <c r="W1890" s="110"/>
      <c r="X1890" s="110"/>
      <c r="Y1890" s="110"/>
      <c r="Z1890" s="110"/>
      <c r="AA1890" s="110">
        <f t="shared" si="415"/>
        <v>11</v>
      </c>
      <c r="AB1890" s="111">
        <f t="shared" si="407"/>
        <v>2640</v>
      </c>
      <c r="AC1890" s="110"/>
      <c r="AD1890" s="110"/>
      <c r="AE1890" s="110">
        <f t="shared" si="415"/>
        <v>11</v>
      </c>
      <c r="AF1890" s="111">
        <f t="shared" si="416"/>
        <v>2640</v>
      </c>
      <c r="AG1890" s="110"/>
      <c r="AH1890" s="110"/>
      <c r="AI1890" s="110"/>
      <c r="AJ1890" s="110"/>
      <c r="AK1890" s="111">
        <f t="shared" si="410"/>
        <v>10560</v>
      </c>
      <c r="AL1890" s="446">
        <f t="shared" si="411"/>
        <v>0</v>
      </c>
      <c r="AM1890" s="110">
        <f t="shared" si="412"/>
        <v>44</v>
      </c>
      <c r="AN1890" s="447">
        <f t="shared" si="414"/>
        <v>0</v>
      </c>
      <c r="AO1890"/>
      <c r="AP1890"/>
    </row>
    <row r="1891" spans="1:42" ht="66" x14ac:dyDescent="0.25">
      <c r="A1891" s="9"/>
      <c r="B1891" s="49" t="s">
        <v>2091</v>
      </c>
      <c r="C1891" s="1024"/>
      <c r="D1891" s="869">
        <v>8</v>
      </c>
      <c r="E1891" s="1027" t="s">
        <v>1872</v>
      </c>
      <c r="F1891" s="273" t="s">
        <v>3446</v>
      </c>
      <c r="G1891" s="1040" t="s">
        <v>3463</v>
      </c>
      <c r="H1891" s="273" t="s">
        <v>3462</v>
      </c>
      <c r="I1891" s="720">
        <f t="shared" si="419"/>
        <v>185</v>
      </c>
      <c r="J1891" s="756">
        <v>1480</v>
      </c>
      <c r="K1891" s="131">
        <f t="shared" si="413"/>
        <v>1480</v>
      </c>
      <c r="L1891" s="335">
        <f t="shared" si="409"/>
        <v>0</v>
      </c>
      <c r="M1891" s="446"/>
      <c r="N1891" s="446"/>
      <c r="O1891" s="446"/>
      <c r="P1891" s="446"/>
      <c r="Q1891" s="110">
        <f t="shared" si="417"/>
        <v>2</v>
      </c>
      <c r="R1891" s="111">
        <f t="shared" si="420"/>
        <v>370</v>
      </c>
      <c r="S1891" s="110"/>
      <c r="T1891" s="110"/>
      <c r="U1891" s="110">
        <f t="shared" si="418"/>
        <v>2</v>
      </c>
      <c r="V1891" s="111">
        <f t="shared" si="421"/>
        <v>370</v>
      </c>
      <c r="W1891" s="110"/>
      <c r="X1891" s="110"/>
      <c r="Y1891" s="110"/>
      <c r="Z1891" s="110"/>
      <c r="AA1891" s="110">
        <f t="shared" si="415"/>
        <v>2</v>
      </c>
      <c r="AB1891" s="111">
        <f t="shared" si="407"/>
        <v>370</v>
      </c>
      <c r="AC1891" s="110"/>
      <c r="AD1891" s="110"/>
      <c r="AE1891" s="110">
        <f t="shared" si="415"/>
        <v>2</v>
      </c>
      <c r="AF1891" s="111">
        <f t="shared" si="416"/>
        <v>370</v>
      </c>
      <c r="AG1891" s="110"/>
      <c r="AH1891" s="110"/>
      <c r="AI1891" s="110"/>
      <c r="AJ1891" s="110"/>
      <c r="AK1891" s="111">
        <f t="shared" si="410"/>
        <v>1480</v>
      </c>
      <c r="AL1891" s="446">
        <f t="shared" si="411"/>
        <v>0</v>
      </c>
      <c r="AM1891" s="110">
        <f t="shared" si="412"/>
        <v>8</v>
      </c>
      <c r="AN1891" s="447">
        <f t="shared" si="414"/>
        <v>0</v>
      </c>
      <c r="AO1891"/>
      <c r="AP1891"/>
    </row>
    <row r="1892" spans="1:42" ht="66" x14ac:dyDescent="0.25">
      <c r="A1892" s="9"/>
      <c r="B1892" s="49" t="s">
        <v>2092</v>
      </c>
      <c r="C1892" s="1024"/>
      <c r="D1892" s="869">
        <v>3</v>
      </c>
      <c r="E1892" s="1027" t="s">
        <v>1872</v>
      </c>
      <c r="F1892" s="273" t="s">
        <v>3446</v>
      </c>
      <c r="G1892" s="1040" t="s">
        <v>3463</v>
      </c>
      <c r="H1892" s="273" t="s">
        <v>3462</v>
      </c>
      <c r="I1892" s="720">
        <f t="shared" si="419"/>
        <v>335</v>
      </c>
      <c r="J1892" s="756">
        <v>1005</v>
      </c>
      <c r="K1892" s="131">
        <f t="shared" si="413"/>
        <v>1005</v>
      </c>
      <c r="L1892" s="335">
        <f t="shared" si="409"/>
        <v>0</v>
      </c>
      <c r="M1892" s="446"/>
      <c r="N1892" s="446"/>
      <c r="O1892" s="446"/>
      <c r="P1892" s="446"/>
      <c r="Q1892" s="130">
        <v>1</v>
      </c>
      <c r="R1892" s="111">
        <f t="shared" si="420"/>
        <v>251.25</v>
      </c>
      <c r="S1892" s="110"/>
      <c r="T1892" s="110"/>
      <c r="U1892" s="130">
        <v>1</v>
      </c>
      <c r="V1892" s="111">
        <f t="shared" si="421"/>
        <v>251.25</v>
      </c>
      <c r="W1892" s="110"/>
      <c r="X1892" s="110"/>
      <c r="Y1892" s="110"/>
      <c r="Z1892" s="110"/>
      <c r="AA1892" s="130">
        <v>1</v>
      </c>
      <c r="AB1892" s="111">
        <f t="shared" si="407"/>
        <v>251.25</v>
      </c>
      <c r="AC1892" s="110"/>
      <c r="AD1892" s="110"/>
      <c r="AE1892" s="130">
        <v>0</v>
      </c>
      <c r="AF1892" s="111">
        <f t="shared" si="416"/>
        <v>251.25</v>
      </c>
      <c r="AG1892" s="110"/>
      <c r="AH1892" s="110"/>
      <c r="AI1892" s="110"/>
      <c r="AJ1892" s="110"/>
      <c r="AK1892" s="111">
        <f t="shared" si="410"/>
        <v>1005</v>
      </c>
      <c r="AL1892" s="446">
        <f t="shared" si="411"/>
        <v>0</v>
      </c>
      <c r="AM1892" s="110">
        <f t="shared" si="412"/>
        <v>3</v>
      </c>
      <c r="AN1892" s="447">
        <f t="shared" si="414"/>
        <v>0</v>
      </c>
      <c r="AO1892"/>
      <c r="AP1892"/>
    </row>
    <row r="1893" spans="1:42" ht="66" x14ac:dyDescent="0.25">
      <c r="A1893" s="9"/>
      <c r="B1893" s="49" t="s">
        <v>2093</v>
      </c>
      <c r="C1893" s="1024"/>
      <c r="D1893" s="869">
        <v>6</v>
      </c>
      <c r="E1893" s="1027" t="s">
        <v>1722</v>
      </c>
      <c r="F1893" s="273" t="s">
        <v>3446</v>
      </c>
      <c r="G1893" s="1040" t="s">
        <v>3463</v>
      </c>
      <c r="H1893" s="273" t="s">
        <v>3462</v>
      </c>
      <c r="I1893" s="720">
        <f t="shared" si="419"/>
        <v>25</v>
      </c>
      <c r="J1893" s="756">
        <v>150</v>
      </c>
      <c r="K1893" s="131">
        <f t="shared" si="413"/>
        <v>150</v>
      </c>
      <c r="L1893" s="335">
        <f t="shared" si="409"/>
        <v>0</v>
      </c>
      <c r="M1893" s="446"/>
      <c r="N1893" s="446"/>
      <c r="O1893" s="446"/>
      <c r="P1893" s="446"/>
      <c r="Q1893" s="130">
        <v>2</v>
      </c>
      <c r="R1893" s="111">
        <f t="shared" si="420"/>
        <v>37.5</v>
      </c>
      <c r="S1893" s="110"/>
      <c r="T1893" s="110"/>
      <c r="U1893" s="130">
        <v>2</v>
      </c>
      <c r="V1893" s="111">
        <f t="shared" si="421"/>
        <v>37.5</v>
      </c>
      <c r="W1893" s="110"/>
      <c r="X1893" s="110"/>
      <c r="Y1893" s="110"/>
      <c r="Z1893" s="110"/>
      <c r="AA1893" s="130">
        <v>1</v>
      </c>
      <c r="AB1893" s="111">
        <f t="shared" ref="AB1893:AB1929" si="422">+J1893/4</f>
        <v>37.5</v>
      </c>
      <c r="AC1893" s="110"/>
      <c r="AD1893" s="110"/>
      <c r="AE1893" s="130">
        <v>1</v>
      </c>
      <c r="AF1893" s="111">
        <f t="shared" si="416"/>
        <v>37.5</v>
      </c>
      <c r="AG1893" s="110"/>
      <c r="AH1893" s="110"/>
      <c r="AI1893" s="110"/>
      <c r="AJ1893" s="110"/>
      <c r="AK1893" s="111">
        <f t="shared" si="410"/>
        <v>150</v>
      </c>
      <c r="AL1893" s="446">
        <f t="shared" si="411"/>
        <v>0</v>
      </c>
      <c r="AM1893" s="110">
        <f t="shared" si="412"/>
        <v>6</v>
      </c>
      <c r="AN1893" s="447">
        <f t="shared" si="414"/>
        <v>0</v>
      </c>
      <c r="AO1893"/>
      <c r="AP1893"/>
    </row>
    <row r="1894" spans="1:42" ht="66" x14ac:dyDescent="0.25">
      <c r="A1894" s="9"/>
      <c r="B1894" s="49" t="s">
        <v>2094</v>
      </c>
      <c r="C1894" s="1024"/>
      <c r="D1894" s="869">
        <v>6</v>
      </c>
      <c r="E1894" s="1027" t="s">
        <v>1722</v>
      </c>
      <c r="F1894" s="273" t="s">
        <v>3446</v>
      </c>
      <c r="G1894" s="1040" t="s">
        <v>3463</v>
      </c>
      <c r="H1894" s="273" t="s">
        <v>3462</v>
      </c>
      <c r="I1894" s="720">
        <f t="shared" si="419"/>
        <v>21</v>
      </c>
      <c r="J1894" s="756">
        <v>126</v>
      </c>
      <c r="K1894" s="131">
        <f t="shared" si="413"/>
        <v>126</v>
      </c>
      <c r="L1894" s="335">
        <f t="shared" si="409"/>
        <v>0</v>
      </c>
      <c r="M1894" s="446"/>
      <c r="N1894" s="446"/>
      <c r="O1894" s="446"/>
      <c r="P1894" s="446"/>
      <c r="Q1894" s="130">
        <v>2</v>
      </c>
      <c r="R1894" s="111">
        <f t="shared" si="420"/>
        <v>31.5</v>
      </c>
      <c r="S1894" s="110"/>
      <c r="T1894" s="110"/>
      <c r="U1894" s="130">
        <v>2</v>
      </c>
      <c r="V1894" s="111">
        <f t="shared" si="421"/>
        <v>31.5</v>
      </c>
      <c r="W1894" s="110"/>
      <c r="X1894" s="110"/>
      <c r="Y1894" s="110"/>
      <c r="Z1894" s="110"/>
      <c r="AA1894" s="130">
        <v>1</v>
      </c>
      <c r="AB1894" s="111">
        <f t="shared" si="422"/>
        <v>31.5</v>
      </c>
      <c r="AC1894" s="110"/>
      <c r="AD1894" s="110"/>
      <c r="AE1894" s="130">
        <v>1</v>
      </c>
      <c r="AF1894" s="111">
        <f t="shared" si="416"/>
        <v>31.5</v>
      </c>
      <c r="AG1894" s="110"/>
      <c r="AH1894" s="110"/>
      <c r="AI1894" s="110"/>
      <c r="AJ1894" s="110"/>
      <c r="AK1894" s="111">
        <f t="shared" si="410"/>
        <v>126</v>
      </c>
      <c r="AL1894" s="446">
        <f t="shared" si="411"/>
        <v>0</v>
      </c>
      <c r="AM1894" s="110">
        <f t="shared" si="412"/>
        <v>6</v>
      </c>
      <c r="AN1894" s="447">
        <f t="shared" si="414"/>
        <v>0</v>
      </c>
      <c r="AO1894"/>
      <c r="AP1894"/>
    </row>
    <row r="1895" spans="1:42" ht="66" x14ac:dyDescent="0.25">
      <c r="A1895" s="9"/>
      <c r="B1895" s="49" t="s">
        <v>2095</v>
      </c>
      <c r="C1895" s="1024"/>
      <c r="D1895" s="869">
        <v>6</v>
      </c>
      <c r="E1895" s="1027" t="s">
        <v>1722</v>
      </c>
      <c r="F1895" s="273" t="s">
        <v>3446</v>
      </c>
      <c r="G1895" s="1040" t="s">
        <v>3463</v>
      </c>
      <c r="H1895" s="273" t="s">
        <v>3462</v>
      </c>
      <c r="I1895" s="720">
        <f t="shared" si="419"/>
        <v>75</v>
      </c>
      <c r="J1895" s="756">
        <v>450</v>
      </c>
      <c r="K1895" s="131">
        <f t="shared" si="413"/>
        <v>450</v>
      </c>
      <c r="L1895" s="335">
        <f t="shared" si="409"/>
        <v>0</v>
      </c>
      <c r="M1895" s="446"/>
      <c r="N1895" s="446"/>
      <c r="O1895" s="446"/>
      <c r="P1895" s="446"/>
      <c r="Q1895" s="130">
        <v>2</v>
      </c>
      <c r="R1895" s="111">
        <f t="shared" si="420"/>
        <v>112.5</v>
      </c>
      <c r="S1895" s="110"/>
      <c r="T1895" s="110"/>
      <c r="U1895" s="130">
        <v>2</v>
      </c>
      <c r="V1895" s="111">
        <f t="shared" si="421"/>
        <v>112.5</v>
      </c>
      <c r="W1895" s="110"/>
      <c r="X1895" s="110"/>
      <c r="Y1895" s="110"/>
      <c r="Z1895" s="110"/>
      <c r="AA1895" s="130">
        <v>1</v>
      </c>
      <c r="AB1895" s="111">
        <f t="shared" si="422"/>
        <v>112.5</v>
      </c>
      <c r="AC1895" s="110"/>
      <c r="AD1895" s="110"/>
      <c r="AE1895" s="130">
        <v>1</v>
      </c>
      <c r="AF1895" s="111">
        <f t="shared" si="416"/>
        <v>112.5</v>
      </c>
      <c r="AG1895" s="110"/>
      <c r="AH1895" s="110"/>
      <c r="AI1895" s="110"/>
      <c r="AJ1895" s="110"/>
      <c r="AK1895" s="111">
        <f t="shared" si="410"/>
        <v>450</v>
      </c>
      <c r="AL1895" s="446">
        <f t="shared" si="411"/>
        <v>0</v>
      </c>
      <c r="AM1895" s="110">
        <f t="shared" si="412"/>
        <v>6</v>
      </c>
      <c r="AN1895" s="447">
        <f t="shared" si="414"/>
        <v>0</v>
      </c>
      <c r="AO1895"/>
      <c r="AP1895"/>
    </row>
    <row r="1896" spans="1:42" ht="66" x14ac:dyDescent="0.25">
      <c r="A1896" s="9"/>
      <c r="B1896" s="49" t="s">
        <v>2096</v>
      </c>
      <c r="C1896" s="1024"/>
      <c r="D1896" s="869">
        <v>6</v>
      </c>
      <c r="E1896" s="1027" t="s">
        <v>1722</v>
      </c>
      <c r="F1896" s="273" t="s">
        <v>3446</v>
      </c>
      <c r="G1896" s="1040" t="s">
        <v>3463</v>
      </c>
      <c r="H1896" s="273" t="s">
        <v>3462</v>
      </c>
      <c r="I1896" s="720">
        <f t="shared" si="419"/>
        <v>25</v>
      </c>
      <c r="J1896" s="756">
        <v>150</v>
      </c>
      <c r="K1896" s="131">
        <f t="shared" si="413"/>
        <v>150</v>
      </c>
      <c r="L1896" s="335">
        <f t="shared" si="409"/>
        <v>0</v>
      </c>
      <c r="M1896" s="446"/>
      <c r="N1896" s="446"/>
      <c r="O1896" s="446"/>
      <c r="P1896" s="446"/>
      <c r="Q1896" s="130">
        <v>2</v>
      </c>
      <c r="R1896" s="111">
        <f t="shared" si="420"/>
        <v>37.5</v>
      </c>
      <c r="S1896" s="110"/>
      <c r="T1896" s="110"/>
      <c r="U1896" s="130">
        <v>2</v>
      </c>
      <c r="V1896" s="111">
        <f t="shared" si="421"/>
        <v>37.5</v>
      </c>
      <c r="W1896" s="110"/>
      <c r="X1896" s="110"/>
      <c r="Y1896" s="110"/>
      <c r="Z1896" s="110"/>
      <c r="AA1896" s="130">
        <v>1</v>
      </c>
      <c r="AB1896" s="111">
        <f t="shared" si="422"/>
        <v>37.5</v>
      </c>
      <c r="AC1896" s="110"/>
      <c r="AD1896" s="110"/>
      <c r="AE1896" s="130">
        <v>1</v>
      </c>
      <c r="AF1896" s="111">
        <f t="shared" si="416"/>
        <v>37.5</v>
      </c>
      <c r="AG1896" s="110"/>
      <c r="AH1896" s="110"/>
      <c r="AI1896" s="110"/>
      <c r="AJ1896" s="110"/>
      <c r="AK1896" s="111">
        <f t="shared" si="410"/>
        <v>150</v>
      </c>
      <c r="AL1896" s="446">
        <f t="shared" si="411"/>
        <v>0</v>
      </c>
      <c r="AM1896" s="110">
        <f t="shared" si="412"/>
        <v>6</v>
      </c>
      <c r="AN1896" s="447">
        <f t="shared" si="414"/>
        <v>0</v>
      </c>
      <c r="AO1896"/>
      <c r="AP1896"/>
    </row>
    <row r="1897" spans="1:42" ht="66" x14ac:dyDescent="0.25">
      <c r="A1897" s="9"/>
      <c r="B1897" s="49" t="s">
        <v>2097</v>
      </c>
      <c r="C1897" s="1024"/>
      <c r="D1897" s="869">
        <v>11</v>
      </c>
      <c r="E1897" s="1027" t="s">
        <v>1873</v>
      </c>
      <c r="F1897" s="273" t="s">
        <v>3446</v>
      </c>
      <c r="G1897" s="1040" t="s">
        <v>3463</v>
      </c>
      <c r="H1897" s="273" t="s">
        <v>3462</v>
      </c>
      <c r="I1897" s="720">
        <f t="shared" si="419"/>
        <v>50</v>
      </c>
      <c r="J1897" s="756">
        <v>550</v>
      </c>
      <c r="K1897" s="131">
        <f t="shared" si="413"/>
        <v>550</v>
      </c>
      <c r="L1897" s="335">
        <f t="shared" si="409"/>
        <v>0</v>
      </c>
      <c r="M1897" s="446"/>
      <c r="N1897" s="446"/>
      <c r="O1897" s="446"/>
      <c r="P1897" s="446"/>
      <c r="Q1897" s="110">
        <v>3</v>
      </c>
      <c r="R1897" s="111">
        <f t="shared" si="420"/>
        <v>137.5</v>
      </c>
      <c r="S1897" s="110"/>
      <c r="T1897" s="110"/>
      <c r="U1897" s="110">
        <v>3</v>
      </c>
      <c r="V1897" s="111">
        <f t="shared" si="421"/>
        <v>137.5</v>
      </c>
      <c r="W1897" s="110"/>
      <c r="X1897" s="110"/>
      <c r="Y1897" s="110"/>
      <c r="Z1897" s="110"/>
      <c r="AA1897" s="110">
        <v>3</v>
      </c>
      <c r="AB1897" s="111">
        <f t="shared" si="422"/>
        <v>137.5</v>
      </c>
      <c r="AC1897" s="110"/>
      <c r="AD1897" s="110"/>
      <c r="AE1897" s="110">
        <v>2</v>
      </c>
      <c r="AF1897" s="111">
        <f t="shared" si="416"/>
        <v>137.5</v>
      </c>
      <c r="AG1897" s="110"/>
      <c r="AH1897" s="110"/>
      <c r="AI1897" s="110"/>
      <c r="AJ1897" s="110"/>
      <c r="AK1897" s="111">
        <f t="shared" si="410"/>
        <v>550</v>
      </c>
      <c r="AL1897" s="446">
        <f t="shared" si="411"/>
        <v>0</v>
      </c>
      <c r="AM1897" s="110">
        <f t="shared" si="412"/>
        <v>11</v>
      </c>
      <c r="AN1897" s="447">
        <f t="shared" si="414"/>
        <v>0</v>
      </c>
      <c r="AO1897"/>
      <c r="AP1897"/>
    </row>
    <row r="1898" spans="1:42" ht="66" x14ac:dyDescent="0.25">
      <c r="A1898" s="9"/>
      <c r="B1898" s="49" t="s">
        <v>2098</v>
      </c>
      <c r="C1898" s="1024"/>
      <c r="D1898" s="869">
        <v>22</v>
      </c>
      <c r="E1898" s="1027" t="s">
        <v>1872</v>
      </c>
      <c r="F1898" s="273" t="s">
        <v>3446</v>
      </c>
      <c r="G1898" s="1040" t="s">
        <v>3463</v>
      </c>
      <c r="H1898" s="273" t="s">
        <v>3462</v>
      </c>
      <c r="I1898" s="720">
        <f t="shared" si="419"/>
        <v>270</v>
      </c>
      <c r="J1898" s="756">
        <v>5940</v>
      </c>
      <c r="K1898" s="131">
        <f t="shared" si="413"/>
        <v>5940</v>
      </c>
      <c r="L1898" s="335">
        <f t="shared" si="409"/>
        <v>0</v>
      </c>
      <c r="M1898" s="446"/>
      <c r="N1898" s="446"/>
      <c r="O1898" s="446"/>
      <c r="P1898" s="446"/>
      <c r="Q1898" s="110">
        <v>6</v>
      </c>
      <c r="R1898" s="111">
        <f t="shared" si="420"/>
        <v>1485</v>
      </c>
      <c r="S1898" s="110"/>
      <c r="T1898" s="110"/>
      <c r="U1898" s="110">
        <v>6</v>
      </c>
      <c r="V1898" s="111">
        <f t="shared" si="421"/>
        <v>1485</v>
      </c>
      <c r="W1898" s="110"/>
      <c r="X1898" s="110"/>
      <c r="Y1898" s="110"/>
      <c r="Z1898" s="110"/>
      <c r="AA1898" s="110">
        <v>5</v>
      </c>
      <c r="AB1898" s="111">
        <f t="shared" si="422"/>
        <v>1485</v>
      </c>
      <c r="AC1898" s="110"/>
      <c r="AD1898" s="110"/>
      <c r="AE1898" s="110">
        <v>5</v>
      </c>
      <c r="AF1898" s="111">
        <f t="shared" si="416"/>
        <v>1485</v>
      </c>
      <c r="AG1898" s="110"/>
      <c r="AH1898" s="110"/>
      <c r="AI1898" s="110"/>
      <c r="AJ1898" s="110"/>
      <c r="AK1898" s="111">
        <f t="shared" si="410"/>
        <v>5940</v>
      </c>
      <c r="AL1898" s="446">
        <f t="shared" si="411"/>
        <v>0</v>
      </c>
      <c r="AM1898" s="110">
        <f t="shared" si="412"/>
        <v>22</v>
      </c>
      <c r="AN1898" s="447">
        <f t="shared" si="414"/>
        <v>0</v>
      </c>
      <c r="AO1898"/>
      <c r="AP1898"/>
    </row>
    <row r="1899" spans="1:42" ht="66" x14ac:dyDescent="0.25">
      <c r="A1899" s="9"/>
      <c r="B1899" s="49" t="s">
        <v>2099</v>
      </c>
      <c r="C1899" s="1024"/>
      <c r="D1899" s="869">
        <v>11</v>
      </c>
      <c r="E1899" s="1027" t="s">
        <v>1721</v>
      </c>
      <c r="F1899" s="273" t="s">
        <v>3446</v>
      </c>
      <c r="G1899" s="1040" t="s">
        <v>3463</v>
      </c>
      <c r="H1899" s="273" t="s">
        <v>3462</v>
      </c>
      <c r="I1899" s="720">
        <f t="shared" si="419"/>
        <v>1000</v>
      </c>
      <c r="J1899" s="756">
        <v>11000</v>
      </c>
      <c r="K1899" s="131">
        <f t="shared" si="413"/>
        <v>11000</v>
      </c>
      <c r="L1899" s="335">
        <f t="shared" si="409"/>
        <v>0</v>
      </c>
      <c r="M1899" s="446"/>
      <c r="N1899" s="446"/>
      <c r="O1899" s="446"/>
      <c r="P1899" s="446"/>
      <c r="Q1899" s="110">
        <v>3</v>
      </c>
      <c r="R1899" s="111">
        <f t="shared" si="420"/>
        <v>2750</v>
      </c>
      <c r="S1899" s="110"/>
      <c r="T1899" s="110"/>
      <c r="U1899" s="110">
        <v>3</v>
      </c>
      <c r="V1899" s="111">
        <f t="shared" si="421"/>
        <v>2750</v>
      </c>
      <c r="W1899" s="110"/>
      <c r="X1899" s="110"/>
      <c r="Y1899" s="110"/>
      <c r="Z1899" s="110"/>
      <c r="AA1899" s="110">
        <v>3</v>
      </c>
      <c r="AB1899" s="111">
        <f t="shared" si="422"/>
        <v>2750</v>
      </c>
      <c r="AC1899" s="110"/>
      <c r="AD1899" s="110"/>
      <c r="AE1899" s="110">
        <v>2</v>
      </c>
      <c r="AF1899" s="111">
        <f t="shared" si="416"/>
        <v>2750</v>
      </c>
      <c r="AG1899" s="110"/>
      <c r="AH1899" s="110"/>
      <c r="AI1899" s="110"/>
      <c r="AJ1899" s="110"/>
      <c r="AK1899" s="111">
        <f t="shared" si="410"/>
        <v>11000</v>
      </c>
      <c r="AL1899" s="446">
        <f t="shared" si="411"/>
        <v>0</v>
      </c>
      <c r="AM1899" s="110">
        <f t="shared" si="412"/>
        <v>11</v>
      </c>
      <c r="AN1899" s="447">
        <f t="shared" si="414"/>
        <v>0</v>
      </c>
      <c r="AO1899"/>
      <c r="AP1899"/>
    </row>
    <row r="1900" spans="1:42" ht="66" x14ac:dyDescent="0.25">
      <c r="A1900" s="9"/>
      <c r="B1900" s="219" t="s">
        <v>2686</v>
      </c>
      <c r="C1900" s="1024"/>
      <c r="D1900" s="880">
        <v>3</v>
      </c>
      <c r="E1900" s="1025" t="s">
        <v>2685</v>
      </c>
      <c r="F1900" s="273" t="s">
        <v>3446</v>
      </c>
      <c r="G1900" s="1040" t="s">
        <v>3463</v>
      </c>
      <c r="H1900" s="273" t="s">
        <v>3462</v>
      </c>
      <c r="I1900" s="720">
        <f t="shared" si="419"/>
        <v>826.84799999999984</v>
      </c>
      <c r="J1900" s="756">
        <v>2480.5439999999994</v>
      </c>
      <c r="K1900" s="131">
        <f t="shared" si="413"/>
        <v>2480.5439999999994</v>
      </c>
      <c r="L1900" s="335">
        <f t="shared" si="409"/>
        <v>0</v>
      </c>
      <c r="M1900" s="446"/>
      <c r="N1900" s="446"/>
      <c r="O1900" s="446"/>
      <c r="P1900" s="446"/>
      <c r="Q1900" s="130">
        <v>1</v>
      </c>
      <c r="R1900" s="111">
        <f t="shared" si="420"/>
        <v>620.13599999999985</v>
      </c>
      <c r="S1900" s="110"/>
      <c r="T1900" s="110"/>
      <c r="U1900" s="130">
        <v>1</v>
      </c>
      <c r="V1900" s="111">
        <f t="shared" si="421"/>
        <v>620.13599999999985</v>
      </c>
      <c r="W1900" s="110"/>
      <c r="X1900" s="110"/>
      <c r="Y1900" s="110"/>
      <c r="Z1900" s="110"/>
      <c r="AA1900" s="130">
        <v>1</v>
      </c>
      <c r="AB1900" s="111">
        <f t="shared" si="422"/>
        <v>620.13599999999985</v>
      </c>
      <c r="AC1900" s="110"/>
      <c r="AD1900" s="110"/>
      <c r="AE1900" s="130">
        <v>0</v>
      </c>
      <c r="AF1900" s="111">
        <f t="shared" si="416"/>
        <v>620.13599999999985</v>
      </c>
      <c r="AG1900" s="110"/>
      <c r="AH1900" s="110"/>
      <c r="AI1900" s="110"/>
      <c r="AJ1900" s="110"/>
      <c r="AK1900" s="111">
        <f t="shared" si="410"/>
        <v>2480.5439999999994</v>
      </c>
      <c r="AL1900" s="446">
        <f t="shared" si="411"/>
        <v>0</v>
      </c>
      <c r="AM1900" s="110">
        <f t="shared" si="412"/>
        <v>3</v>
      </c>
      <c r="AN1900" s="447">
        <f t="shared" si="414"/>
        <v>0</v>
      </c>
      <c r="AO1900"/>
      <c r="AP1900"/>
    </row>
    <row r="1901" spans="1:42" ht="66" x14ac:dyDescent="0.25">
      <c r="A1901" s="9"/>
      <c r="B1901" s="219" t="s">
        <v>2687</v>
      </c>
      <c r="C1901" s="1024"/>
      <c r="D1901" s="880">
        <v>53</v>
      </c>
      <c r="E1901" s="1025" t="s">
        <v>1748</v>
      </c>
      <c r="F1901" s="273" t="s">
        <v>3446</v>
      </c>
      <c r="G1901" s="1040" t="s">
        <v>3463</v>
      </c>
      <c r="H1901" s="273" t="s">
        <v>3462</v>
      </c>
      <c r="I1901" s="720">
        <f t="shared" si="419"/>
        <v>279.71509433962268</v>
      </c>
      <c r="J1901" s="756">
        <v>14824.900000000001</v>
      </c>
      <c r="K1901" s="131">
        <f t="shared" si="413"/>
        <v>14824.900000000001</v>
      </c>
      <c r="L1901" s="335">
        <f t="shared" si="409"/>
        <v>0</v>
      </c>
      <c r="M1901" s="446"/>
      <c r="N1901" s="446"/>
      <c r="O1901" s="446"/>
      <c r="P1901" s="446"/>
      <c r="Q1901" s="110">
        <v>14</v>
      </c>
      <c r="R1901" s="111">
        <f t="shared" si="420"/>
        <v>3706.2250000000004</v>
      </c>
      <c r="S1901" s="110"/>
      <c r="T1901" s="110"/>
      <c r="U1901" s="110">
        <v>13</v>
      </c>
      <c r="V1901" s="111">
        <f t="shared" si="421"/>
        <v>3706.2250000000004</v>
      </c>
      <c r="W1901" s="110"/>
      <c r="X1901" s="110"/>
      <c r="Y1901" s="110"/>
      <c r="Z1901" s="110"/>
      <c r="AA1901" s="110">
        <v>14</v>
      </c>
      <c r="AB1901" s="111">
        <f t="shared" si="422"/>
        <v>3706.2250000000004</v>
      </c>
      <c r="AC1901" s="110"/>
      <c r="AD1901" s="110"/>
      <c r="AE1901" s="110">
        <v>12</v>
      </c>
      <c r="AF1901" s="111">
        <f t="shared" si="416"/>
        <v>3706.2250000000004</v>
      </c>
      <c r="AG1901" s="110"/>
      <c r="AH1901" s="110"/>
      <c r="AI1901" s="110"/>
      <c r="AJ1901" s="110"/>
      <c r="AK1901" s="111">
        <f t="shared" si="410"/>
        <v>14824.900000000001</v>
      </c>
      <c r="AL1901" s="446">
        <f t="shared" si="411"/>
        <v>0</v>
      </c>
      <c r="AM1901" s="110">
        <f t="shared" si="412"/>
        <v>53</v>
      </c>
      <c r="AN1901" s="447">
        <f t="shared" si="414"/>
        <v>0</v>
      </c>
      <c r="AO1901"/>
      <c r="AP1901"/>
    </row>
    <row r="1902" spans="1:42" ht="66" x14ac:dyDescent="0.25">
      <c r="A1902" s="9"/>
      <c r="B1902" s="219" t="s">
        <v>2688</v>
      </c>
      <c r="C1902" s="1024"/>
      <c r="D1902" s="880">
        <v>2240</v>
      </c>
      <c r="E1902" s="1025" t="s">
        <v>2628</v>
      </c>
      <c r="F1902" s="273" t="s">
        <v>3446</v>
      </c>
      <c r="G1902" s="1040" t="s">
        <v>3463</v>
      </c>
      <c r="H1902" s="273" t="s">
        <v>3462</v>
      </c>
      <c r="I1902" s="720">
        <f t="shared" si="419"/>
        <v>37.119999999999997</v>
      </c>
      <c r="J1902" s="756">
        <v>83148.799999999988</v>
      </c>
      <c r="K1902" s="131">
        <f t="shared" si="413"/>
        <v>83148.799999999988</v>
      </c>
      <c r="L1902" s="335">
        <f t="shared" si="409"/>
        <v>0</v>
      </c>
      <c r="M1902" s="446"/>
      <c r="N1902" s="446"/>
      <c r="O1902" s="446"/>
      <c r="P1902" s="446"/>
      <c r="Q1902" s="110">
        <f t="shared" si="417"/>
        <v>560</v>
      </c>
      <c r="R1902" s="111">
        <f t="shared" si="420"/>
        <v>20787.199999999997</v>
      </c>
      <c r="S1902" s="110"/>
      <c r="T1902" s="110"/>
      <c r="U1902" s="110">
        <f t="shared" si="418"/>
        <v>560</v>
      </c>
      <c r="V1902" s="111">
        <f t="shared" si="421"/>
        <v>20787.199999999997</v>
      </c>
      <c r="W1902" s="110"/>
      <c r="X1902" s="110"/>
      <c r="Y1902" s="110"/>
      <c r="Z1902" s="110"/>
      <c r="AA1902" s="110">
        <f t="shared" si="415"/>
        <v>560</v>
      </c>
      <c r="AB1902" s="111">
        <f t="shared" si="422"/>
        <v>20787.199999999997</v>
      </c>
      <c r="AC1902" s="110"/>
      <c r="AD1902" s="110"/>
      <c r="AE1902" s="110">
        <f t="shared" si="415"/>
        <v>560</v>
      </c>
      <c r="AF1902" s="111">
        <f t="shared" si="416"/>
        <v>20787.199999999997</v>
      </c>
      <c r="AG1902" s="110"/>
      <c r="AH1902" s="110"/>
      <c r="AI1902" s="110"/>
      <c r="AJ1902" s="110"/>
      <c r="AK1902" s="111">
        <f t="shared" si="410"/>
        <v>83148.799999999988</v>
      </c>
      <c r="AL1902" s="446">
        <f t="shared" si="411"/>
        <v>0</v>
      </c>
      <c r="AM1902" s="110">
        <f t="shared" si="412"/>
        <v>2240</v>
      </c>
      <c r="AN1902" s="447">
        <f t="shared" si="414"/>
        <v>0</v>
      </c>
      <c r="AO1902"/>
      <c r="AP1902"/>
    </row>
    <row r="1903" spans="1:42" ht="66" x14ac:dyDescent="0.25">
      <c r="A1903" s="9"/>
      <c r="B1903" s="219" t="s">
        <v>2689</v>
      </c>
      <c r="C1903" s="1024"/>
      <c r="D1903" s="880">
        <v>576</v>
      </c>
      <c r="E1903" s="1025" t="s">
        <v>2599</v>
      </c>
      <c r="F1903" s="273" t="s">
        <v>3446</v>
      </c>
      <c r="G1903" s="1040" t="s">
        <v>3463</v>
      </c>
      <c r="H1903" s="273" t="s">
        <v>3462</v>
      </c>
      <c r="I1903" s="720">
        <f t="shared" si="419"/>
        <v>22.051600000000001</v>
      </c>
      <c r="J1903" s="756">
        <v>12701.721600000001</v>
      </c>
      <c r="K1903" s="131">
        <f t="shared" si="413"/>
        <v>12701.721600000001</v>
      </c>
      <c r="L1903" s="335">
        <f t="shared" si="409"/>
        <v>0</v>
      </c>
      <c r="M1903" s="446"/>
      <c r="N1903" s="446"/>
      <c r="O1903" s="446"/>
      <c r="P1903" s="446"/>
      <c r="Q1903" s="110">
        <f t="shared" si="417"/>
        <v>144</v>
      </c>
      <c r="R1903" s="111">
        <f t="shared" si="420"/>
        <v>3175.4304000000002</v>
      </c>
      <c r="S1903" s="110"/>
      <c r="T1903" s="110"/>
      <c r="U1903" s="110">
        <f t="shared" si="418"/>
        <v>144</v>
      </c>
      <c r="V1903" s="111">
        <f t="shared" si="421"/>
        <v>3175.4304000000002</v>
      </c>
      <c r="W1903" s="110"/>
      <c r="X1903" s="110"/>
      <c r="Y1903" s="110"/>
      <c r="Z1903" s="110"/>
      <c r="AA1903" s="110">
        <f t="shared" si="415"/>
        <v>144</v>
      </c>
      <c r="AB1903" s="111">
        <f t="shared" si="422"/>
        <v>3175.4304000000002</v>
      </c>
      <c r="AC1903" s="110"/>
      <c r="AD1903" s="110"/>
      <c r="AE1903" s="110">
        <f t="shared" si="415"/>
        <v>144</v>
      </c>
      <c r="AF1903" s="111">
        <f t="shared" si="416"/>
        <v>3175.4304000000002</v>
      </c>
      <c r="AG1903" s="110"/>
      <c r="AH1903" s="110"/>
      <c r="AI1903" s="110"/>
      <c r="AJ1903" s="110"/>
      <c r="AK1903" s="111">
        <f t="shared" si="410"/>
        <v>12701.721600000001</v>
      </c>
      <c r="AL1903" s="446">
        <f t="shared" si="411"/>
        <v>0</v>
      </c>
      <c r="AM1903" s="110">
        <f t="shared" si="412"/>
        <v>576</v>
      </c>
      <c r="AN1903" s="447">
        <f t="shared" si="414"/>
        <v>0</v>
      </c>
      <c r="AO1903"/>
      <c r="AP1903"/>
    </row>
    <row r="1904" spans="1:42" ht="66" x14ac:dyDescent="0.25">
      <c r="A1904" s="9"/>
      <c r="B1904" s="225" t="s">
        <v>2690</v>
      </c>
      <c r="C1904" s="1024"/>
      <c r="D1904" s="880">
        <v>85</v>
      </c>
      <c r="E1904" s="1025" t="s">
        <v>2470</v>
      </c>
      <c r="F1904" s="273" t="s">
        <v>3446</v>
      </c>
      <c r="G1904" s="1040" t="s">
        <v>3463</v>
      </c>
      <c r="H1904" s="273" t="s">
        <v>3462</v>
      </c>
      <c r="I1904" s="720">
        <f t="shared" si="419"/>
        <v>530.56079999999997</v>
      </c>
      <c r="J1904" s="756">
        <v>45097.667999999998</v>
      </c>
      <c r="K1904" s="131">
        <f t="shared" si="413"/>
        <v>45097.667999999998</v>
      </c>
      <c r="L1904" s="335">
        <f t="shared" si="409"/>
        <v>0</v>
      </c>
      <c r="M1904" s="446"/>
      <c r="N1904" s="446"/>
      <c r="O1904" s="446"/>
      <c r="P1904" s="446"/>
      <c r="Q1904" s="110">
        <v>22</v>
      </c>
      <c r="R1904" s="111">
        <f t="shared" si="420"/>
        <v>11274.416999999999</v>
      </c>
      <c r="S1904" s="110"/>
      <c r="T1904" s="110"/>
      <c r="U1904" s="110">
        <v>21</v>
      </c>
      <c r="V1904" s="111">
        <f t="shared" si="421"/>
        <v>11274.416999999999</v>
      </c>
      <c r="W1904" s="110"/>
      <c r="X1904" s="110"/>
      <c r="Y1904" s="110"/>
      <c r="Z1904" s="110"/>
      <c r="AA1904" s="110">
        <v>21</v>
      </c>
      <c r="AB1904" s="111">
        <f t="shared" si="422"/>
        <v>11274.416999999999</v>
      </c>
      <c r="AC1904" s="110"/>
      <c r="AD1904" s="110"/>
      <c r="AE1904" s="110">
        <v>21</v>
      </c>
      <c r="AF1904" s="111">
        <f t="shared" si="416"/>
        <v>11274.416999999999</v>
      </c>
      <c r="AG1904" s="110"/>
      <c r="AH1904" s="110"/>
      <c r="AI1904" s="110"/>
      <c r="AJ1904" s="110"/>
      <c r="AK1904" s="111">
        <f t="shared" si="410"/>
        <v>45097.667999999998</v>
      </c>
      <c r="AL1904" s="446">
        <f t="shared" si="411"/>
        <v>0</v>
      </c>
      <c r="AM1904" s="110">
        <f t="shared" si="412"/>
        <v>85</v>
      </c>
      <c r="AN1904" s="447">
        <f t="shared" si="414"/>
        <v>0</v>
      </c>
      <c r="AO1904"/>
      <c r="AP1904"/>
    </row>
    <row r="1905" spans="1:42" ht="66" x14ac:dyDescent="0.25">
      <c r="A1905" s="9"/>
      <c r="B1905" s="76" t="s">
        <v>1865</v>
      </c>
      <c r="C1905" s="1024"/>
      <c r="D1905" s="880">
        <v>3</v>
      </c>
      <c r="E1905" s="1025" t="s">
        <v>1827</v>
      </c>
      <c r="F1905" s="273" t="s">
        <v>3446</v>
      </c>
      <c r="G1905" s="1040" t="s">
        <v>3463</v>
      </c>
      <c r="H1905" s="273" t="s">
        <v>3462</v>
      </c>
      <c r="I1905" s="720">
        <f t="shared" si="419"/>
        <v>543.2396</v>
      </c>
      <c r="J1905" s="756">
        <v>1629.7188000000001</v>
      </c>
      <c r="K1905" s="131">
        <f t="shared" si="413"/>
        <v>1629.7188000000001</v>
      </c>
      <c r="L1905" s="335">
        <f t="shared" si="409"/>
        <v>0</v>
      </c>
      <c r="M1905" s="446"/>
      <c r="N1905" s="446"/>
      <c r="O1905" s="446"/>
      <c r="P1905" s="446"/>
      <c r="Q1905" s="130">
        <v>1</v>
      </c>
      <c r="R1905" s="111">
        <v>543.24</v>
      </c>
      <c r="S1905" s="110"/>
      <c r="T1905" s="110"/>
      <c r="U1905" s="130">
        <v>1</v>
      </c>
      <c r="V1905" s="111">
        <v>543.24</v>
      </c>
      <c r="W1905" s="110"/>
      <c r="X1905" s="110"/>
      <c r="Y1905" s="110"/>
      <c r="Z1905" s="110"/>
      <c r="AA1905" s="130">
        <v>1</v>
      </c>
      <c r="AB1905" s="111">
        <v>543.24</v>
      </c>
      <c r="AC1905" s="110"/>
      <c r="AD1905" s="110"/>
      <c r="AE1905" s="130">
        <v>0</v>
      </c>
      <c r="AF1905" s="111">
        <v>0</v>
      </c>
      <c r="AG1905" s="110"/>
      <c r="AH1905" s="110"/>
      <c r="AI1905" s="110"/>
      <c r="AJ1905" s="110"/>
      <c r="AK1905" s="111">
        <f t="shared" si="410"/>
        <v>1629.72</v>
      </c>
      <c r="AL1905" s="446">
        <f t="shared" si="411"/>
        <v>-1.199999999926149E-3</v>
      </c>
      <c r="AM1905" s="110">
        <f t="shared" si="412"/>
        <v>3</v>
      </c>
      <c r="AN1905" s="447">
        <f t="shared" si="414"/>
        <v>0</v>
      </c>
      <c r="AO1905"/>
      <c r="AP1905"/>
    </row>
    <row r="1906" spans="1:42" ht="66" x14ac:dyDescent="0.25">
      <c r="A1906" s="9"/>
      <c r="B1906" s="219" t="s">
        <v>2691</v>
      </c>
      <c r="C1906" s="1024"/>
      <c r="D1906" s="880">
        <v>37</v>
      </c>
      <c r="E1906" s="1025" t="s">
        <v>2599</v>
      </c>
      <c r="F1906" s="273" t="s">
        <v>3446</v>
      </c>
      <c r="G1906" s="1040" t="s">
        <v>3463</v>
      </c>
      <c r="H1906" s="273" t="s">
        <v>3462</v>
      </c>
      <c r="I1906" s="720">
        <f t="shared" si="419"/>
        <v>121.79999999999998</v>
      </c>
      <c r="J1906" s="756">
        <v>4506.5999999999995</v>
      </c>
      <c r="K1906" s="131">
        <f t="shared" si="413"/>
        <v>4506.5999999999995</v>
      </c>
      <c r="L1906" s="335">
        <f t="shared" si="409"/>
        <v>0</v>
      </c>
      <c r="M1906" s="446"/>
      <c r="N1906" s="446"/>
      <c r="O1906" s="446"/>
      <c r="P1906" s="446"/>
      <c r="Q1906" s="110">
        <v>10</v>
      </c>
      <c r="R1906" s="111">
        <f t="shared" si="420"/>
        <v>1126.6499999999999</v>
      </c>
      <c r="S1906" s="110"/>
      <c r="T1906" s="110"/>
      <c r="U1906" s="110">
        <v>9</v>
      </c>
      <c r="V1906" s="111">
        <f t="shared" si="421"/>
        <v>1126.6499999999999</v>
      </c>
      <c r="W1906" s="110"/>
      <c r="X1906" s="110"/>
      <c r="Y1906" s="110"/>
      <c r="Z1906" s="110"/>
      <c r="AA1906" s="110">
        <v>9</v>
      </c>
      <c r="AB1906" s="111">
        <f t="shared" si="422"/>
        <v>1126.6499999999999</v>
      </c>
      <c r="AC1906" s="110"/>
      <c r="AD1906" s="110"/>
      <c r="AE1906" s="110">
        <v>9</v>
      </c>
      <c r="AF1906" s="111">
        <f t="shared" si="416"/>
        <v>1126.6499999999999</v>
      </c>
      <c r="AG1906" s="110"/>
      <c r="AH1906" s="110"/>
      <c r="AI1906" s="110"/>
      <c r="AJ1906" s="110"/>
      <c r="AK1906" s="111">
        <f t="shared" si="410"/>
        <v>4506.5999999999995</v>
      </c>
      <c r="AL1906" s="446">
        <f t="shared" si="411"/>
        <v>0</v>
      </c>
      <c r="AM1906" s="110">
        <f t="shared" si="412"/>
        <v>37</v>
      </c>
      <c r="AN1906" s="447">
        <f t="shared" si="414"/>
        <v>0</v>
      </c>
      <c r="AO1906"/>
      <c r="AP1906"/>
    </row>
    <row r="1907" spans="1:42" ht="66" x14ac:dyDescent="0.25">
      <c r="A1907" s="9"/>
      <c r="B1907" s="219" t="s">
        <v>2692</v>
      </c>
      <c r="C1907" s="1024"/>
      <c r="D1907" s="880">
        <v>37</v>
      </c>
      <c r="E1907" s="1025" t="s">
        <v>2599</v>
      </c>
      <c r="F1907" s="273" t="s">
        <v>3446</v>
      </c>
      <c r="G1907" s="1040" t="s">
        <v>3463</v>
      </c>
      <c r="H1907" s="273" t="s">
        <v>3462</v>
      </c>
      <c r="I1907" s="720">
        <f t="shared" si="419"/>
        <v>140.35999999999999</v>
      </c>
      <c r="J1907" s="756">
        <v>5193.32</v>
      </c>
      <c r="K1907" s="131">
        <f t="shared" si="413"/>
        <v>5193.32</v>
      </c>
      <c r="L1907" s="335">
        <f t="shared" si="409"/>
        <v>0</v>
      </c>
      <c r="M1907" s="446"/>
      <c r="N1907" s="446"/>
      <c r="O1907" s="446"/>
      <c r="P1907" s="446"/>
      <c r="Q1907" s="110">
        <v>10</v>
      </c>
      <c r="R1907" s="111">
        <f t="shared" si="420"/>
        <v>1298.33</v>
      </c>
      <c r="S1907" s="110"/>
      <c r="T1907" s="110"/>
      <c r="U1907" s="110">
        <v>9</v>
      </c>
      <c r="V1907" s="111">
        <f t="shared" si="421"/>
        <v>1298.33</v>
      </c>
      <c r="W1907" s="110"/>
      <c r="X1907" s="110"/>
      <c r="Y1907" s="110"/>
      <c r="Z1907" s="110"/>
      <c r="AA1907" s="110">
        <v>9</v>
      </c>
      <c r="AB1907" s="111">
        <f t="shared" si="422"/>
        <v>1298.33</v>
      </c>
      <c r="AC1907" s="110"/>
      <c r="AD1907" s="110"/>
      <c r="AE1907" s="110">
        <v>9</v>
      </c>
      <c r="AF1907" s="111">
        <f t="shared" si="416"/>
        <v>1298.33</v>
      </c>
      <c r="AG1907" s="110"/>
      <c r="AH1907" s="110"/>
      <c r="AI1907" s="110"/>
      <c r="AJ1907" s="110"/>
      <c r="AK1907" s="111">
        <f t="shared" si="410"/>
        <v>5193.32</v>
      </c>
      <c r="AL1907" s="446">
        <f t="shared" si="411"/>
        <v>0</v>
      </c>
      <c r="AM1907" s="110">
        <f t="shared" si="412"/>
        <v>37</v>
      </c>
      <c r="AN1907" s="447">
        <f t="shared" si="414"/>
        <v>0</v>
      </c>
      <c r="AO1907"/>
      <c r="AP1907"/>
    </row>
    <row r="1908" spans="1:42" ht="66" x14ac:dyDescent="0.25">
      <c r="A1908" s="9"/>
      <c r="B1908" s="219" t="s">
        <v>2693</v>
      </c>
      <c r="C1908" s="1024"/>
      <c r="D1908" s="880">
        <v>162</v>
      </c>
      <c r="E1908" s="1025" t="s">
        <v>2628</v>
      </c>
      <c r="F1908" s="273" t="s">
        <v>3446</v>
      </c>
      <c r="G1908" s="1040" t="s">
        <v>3463</v>
      </c>
      <c r="H1908" s="273" t="s">
        <v>3462</v>
      </c>
      <c r="I1908" s="720">
        <f t="shared" si="419"/>
        <v>40.193999999999996</v>
      </c>
      <c r="J1908" s="756">
        <v>6511.427999999999</v>
      </c>
      <c r="K1908" s="131">
        <f t="shared" si="413"/>
        <v>6511.427999999999</v>
      </c>
      <c r="L1908" s="335">
        <f t="shared" ref="L1908:L1971" si="423">+J1908-K1908</f>
        <v>0</v>
      </c>
      <c r="M1908" s="446"/>
      <c r="N1908" s="446"/>
      <c r="O1908" s="446"/>
      <c r="P1908" s="446"/>
      <c r="Q1908" s="110">
        <v>42</v>
      </c>
      <c r="R1908" s="111">
        <f t="shared" si="420"/>
        <v>1627.8569999999997</v>
      </c>
      <c r="S1908" s="110"/>
      <c r="T1908" s="110"/>
      <c r="U1908" s="110">
        <v>40</v>
      </c>
      <c r="V1908" s="111">
        <f t="shared" si="421"/>
        <v>1627.8569999999997</v>
      </c>
      <c r="W1908" s="110"/>
      <c r="X1908" s="110"/>
      <c r="Y1908" s="110"/>
      <c r="Z1908" s="110"/>
      <c r="AA1908" s="110">
        <v>45</v>
      </c>
      <c r="AB1908" s="111">
        <f t="shared" si="422"/>
        <v>1627.8569999999997</v>
      </c>
      <c r="AC1908" s="110"/>
      <c r="AD1908" s="110"/>
      <c r="AE1908" s="110">
        <v>35</v>
      </c>
      <c r="AF1908" s="111">
        <f t="shared" si="416"/>
        <v>1627.8569999999997</v>
      </c>
      <c r="AG1908" s="110"/>
      <c r="AH1908" s="110"/>
      <c r="AI1908" s="110"/>
      <c r="AJ1908" s="110"/>
      <c r="AK1908" s="111">
        <f t="shared" ref="AK1908:AK1971" si="424">+R1908+V1908+AB1908+AF1908</f>
        <v>6511.427999999999</v>
      </c>
      <c r="AL1908" s="446">
        <f t="shared" ref="AL1908:AL1971" si="425">+J1908-AK1908</f>
        <v>0</v>
      </c>
      <c r="AM1908" s="110">
        <f t="shared" ref="AM1908:AM1971" si="426">+Q1908+U1908+AA1908+AE1908</f>
        <v>162</v>
      </c>
      <c r="AN1908" s="447">
        <f t="shared" si="414"/>
        <v>0</v>
      </c>
      <c r="AO1908"/>
      <c r="AP1908"/>
    </row>
    <row r="1909" spans="1:42" ht="66" x14ac:dyDescent="0.25">
      <c r="A1909" s="9"/>
      <c r="B1909" s="219" t="s">
        <v>2694</v>
      </c>
      <c r="C1909" s="1024"/>
      <c r="D1909" s="880">
        <v>48</v>
      </c>
      <c r="E1909" s="1025" t="s">
        <v>2628</v>
      </c>
      <c r="F1909" s="273" t="s">
        <v>3446</v>
      </c>
      <c r="G1909" s="1040" t="s">
        <v>3463</v>
      </c>
      <c r="H1909" s="273" t="s">
        <v>3462</v>
      </c>
      <c r="I1909" s="720">
        <f t="shared" si="419"/>
        <v>39.962000000000003</v>
      </c>
      <c r="J1909" s="756">
        <v>1918.1760000000002</v>
      </c>
      <c r="K1909" s="131">
        <f t="shared" si="413"/>
        <v>1918.1760000000002</v>
      </c>
      <c r="L1909" s="335">
        <f t="shared" si="423"/>
        <v>0</v>
      </c>
      <c r="M1909" s="446"/>
      <c r="N1909" s="446"/>
      <c r="O1909" s="446"/>
      <c r="P1909" s="446"/>
      <c r="Q1909" s="110">
        <f t="shared" si="417"/>
        <v>12</v>
      </c>
      <c r="R1909" s="111">
        <f t="shared" si="420"/>
        <v>479.54400000000004</v>
      </c>
      <c r="S1909" s="110"/>
      <c r="T1909" s="110"/>
      <c r="U1909" s="110">
        <f t="shared" si="418"/>
        <v>12</v>
      </c>
      <c r="V1909" s="111">
        <f t="shared" si="421"/>
        <v>479.54400000000004</v>
      </c>
      <c r="W1909" s="110"/>
      <c r="X1909" s="110"/>
      <c r="Y1909" s="110"/>
      <c r="Z1909" s="110"/>
      <c r="AA1909" s="110">
        <f t="shared" si="415"/>
        <v>12</v>
      </c>
      <c r="AB1909" s="111">
        <f t="shared" si="422"/>
        <v>479.54400000000004</v>
      </c>
      <c r="AC1909" s="110"/>
      <c r="AD1909" s="110"/>
      <c r="AE1909" s="110">
        <f t="shared" si="415"/>
        <v>12</v>
      </c>
      <c r="AF1909" s="111">
        <f t="shared" si="416"/>
        <v>479.54400000000004</v>
      </c>
      <c r="AG1909" s="110"/>
      <c r="AH1909" s="110"/>
      <c r="AI1909" s="110"/>
      <c r="AJ1909" s="110"/>
      <c r="AK1909" s="111">
        <f t="shared" si="424"/>
        <v>1918.1760000000002</v>
      </c>
      <c r="AL1909" s="446">
        <f t="shared" si="425"/>
        <v>0</v>
      </c>
      <c r="AM1909" s="110">
        <f t="shared" si="426"/>
        <v>48</v>
      </c>
      <c r="AN1909" s="447">
        <f t="shared" si="414"/>
        <v>0</v>
      </c>
      <c r="AO1909"/>
      <c r="AP1909"/>
    </row>
    <row r="1910" spans="1:42" ht="66" x14ac:dyDescent="0.25">
      <c r="A1910" s="9"/>
      <c r="B1910" s="225" t="s">
        <v>2695</v>
      </c>
      <c r="C1910" s="1024"/>
      <c r="D1910" s="880">
        <v>19</v>
      </c>
      <c r="E1910" s="1025" t="s">
        <v>2599</v>
      </c>
      <c r="F1910" s="273" t="s">
        <v>3446</v>
      </c>
      <c r="G1910" s="1040" t="s">
        <v>3463</v>
      </c>
      <c r="H1910" s="273" t="s">
        <v>3462</v>
      </c>
      <c r="I1910" s="720">
        <f t="shared" si="419"/>
        <v>74.53</v>
      </c>
      <c r="J1910" s="756">
        <v>1416.07</v>
      </c>
      <c r="K1910" s="131">
        <f t="shared" si="413"/>
        <v>1416.07</v>
      </c>
      <c r="L1910" s="335">
        <f t="shared" si="423"/>
        <v>0</v>
      </c>
      <c r="M1910" s="446"/>
      <c r="N1910" s="446"/>
      <c r="O1910" s="446"/>
      <c r="P1910" s="446"/>
      <c r="Q1910" s="110">
        <v>5</v>
      </c>
      <c r="R1910" s="111">
        <f t="shared" si="420"/>
        <v>354.01749999999998</v>
      </c>
      <c r="S1910" s="110"/>
      <c r="T1910" s="110"/>
      <c r="U1910" s="110">
        <v>5</v>
      </c>
      <c r="V1910" s="111">
        <f t="shared" si="421"/>
        <v>354.01749999999998</v>
      </c>
      <c r="W1910" s="110"/>
      <c r="X1910" s="110"/>
      <c r="Y1910" s="110"/>
      <c r="Z1910" s="110"/>
      <c r="AA1910" s="110">
        <v>5</v>
      </c>
      <c r="AB1910" s="111">
        <f t="shared" si="422"/>
        <v>354.01749999999998</v>
      </c>
      <c r="AC1910" s="110"/>
      <c r="AD1910" s="110"/>
      <c r="AE1910" s="110">
        <v>4</v>
      </c>
      <c r="AF1910" s="111">
        <f t="shared" si="416"/>
        <v>354.01749999999998</v>
      </c>
      <c r="AG1910" s="110"/>
      <c r="AH1910" s="110"/>
      <c r="AI1910" s="110"/>
      <c r="AJ1910" s="110"/>
      <c r="AK1910" s="111">
        <f t="shared" si="424"/>
        <v>1416.07</v>
      </c>
      <c r="AL1910" s="446">
        <f t="shared" si="425"/>
        <v>0</v>
      </c>
      <c r="AM1910" s="110">
        <f t="shared" si="426"/>
        <v>19</v>
      </c>
      <c r="AN1910" s="447">
        <f t="shared" si="414"/>
        <v>0</v>
      </c>
      <c r="AO1910"/>
      <c r="AP1910"/>
    </row>
    <row r="1911" spans="1:42" ht="66" x14ac:dyDescent="0.25">
      <c r="A1911" s="9"/>
      <c r="B1911" s="219" t="s">
        <v>2696</v>
      </c>
      <c r="C1911" s="1024"/>
      <c r="D1911" s="880">
        <v>57</v>
      </c>
      <c r="E1911" s="1025" t="s">
        <v>2628</v>
      </c>
      <c r="F1911" s="273" t="s">
        <v>3446</v>
      </c>
      <c r="G1911" s="1040" t="s">
        <v>3463</v>
      </c>
      <c r="H1911" s="273" t="s">
        <v>3462</v>
      </c>
      <c r="I1911" s="720">
        <f t="shared" si="419"/>
        <v>39.962000000000003</v>
      </c>
      <c r="J1911" s="756">
        <v>2277.8340000000003</v>
      </c>
      <c r="K1911" s="131">
        <f t="shared" si="413"/>
        <v>2277.8340000000003</v>
      </c>
      <c r="L1911" s="335">
        <f t="shared" si="423"/>
        <v>0</v>
      </c>
      <c r="M1911" s="446"/>
      <c r="N1911" s="446"/>
      <c r="O1911" s="446"/>
      <c r="P1911" s="446"/>
      <c r="Q1911" s="110">
        <f t="shared" si="417"/>
        <v>14.25</v>
      </c>
      <c r="R1911" s="111">
        <f t="shared" si="420"/>
        <v>569.45850000000007</v>
      </c>
      <c r="S1911" s="110"/>
      <c r="T1911" s="110"/>
      <c r="U1911" s="110">
        <f t="shared" si="418"/>
        <v>14.25</v>
      </c>
      <c r="V1911" s="111">
        <f t="shared" si="421"/>
        <v>569.45850000000007</v>
      </c>
      <c r="W1911" s="110"/>
      <c r="X1911" s="110"/>
      <c r="Y1911" s="110"/>
      <c r="Z1911" s="110"/>
      <c r="AA1911" s="110">
        <f t="shared" si="415"/>
        <v>14.25</v>
      </c>
      <c r="AB1911" s="111">
        <f t="shared" si="422"/>
        <v>569.45850000000007</v>
      </c>
      <c r="AC1911" s="110"/>
      <c r="AD1911" s="110"/>
      <c r="AE1911" s="110">
        <f t="shared" si="415"/>
        <v>14.25</v>
      </c>
      <c r="AF1911" s="111">
        <f t="shared" si="416"/>
        <v>569.45850000000007</v>
      </c>
      <c r="AG1911" s="110"/>
      <c r="AH1911" s="110"/>
      <c r="AI1911" s="110"/>
      <c r="AJ1911" s="110"/>
      <c r="AK1911" s="111">
        <f t="shared" si="424"/>
        <v>2277.8340000000003</v>
      </c>
      <c r="AL1911" s="446">
        <f t="shared" si="425"/>
        <v>0</v>
      </c>
      <c r="AM1911" s="110">
        <f t="shared" si="426"/>
        <v>57</v>
      </c>
      <c r="AN1911" s="447">
        <f t="shared" si="414"/>
        <v>0</v>
      </c>
      <c r="AO1911"/>
      <c r="AP1911"/>
    </row>
    <row r="1912" spans="1:42" ht="66" x14ac:dyDescent="0.25">
      <c r="A1912" s="9"/>
      <c r="B1912" s="225" t="s">
        <v>2697</v>
      </c>
      <c r="C1912" s="1024"/>
      <c r="D1912" s="880">
        <v>71</v>
      </c>
      <c r="E1912" s="1025" t="s">
        <v>2628</v>
      </c>
      <c r="F1912" s="273" t="s">
        <v>3446</v>
      </c>
      <c r="G1912" s="1040" t="s">
        <v>3463</v>
      </c>
      <c r="H1912" s="273" t="s">
        <v>3462</v>
      </c>
      <c r="I1912" s="720">
        <f t="shared" si="419"/>
        <v>60.633199999999995</v>
      </c>
      <c r="J1912" s="756">
        <v>4304.9571999999998</v>
      </c>
      <c r="K1912" s="131">
        <f t="shared" si="413"/>
        <v>4304.9571999999998</v>
      </c>
      <c r="L1912" s="335">
        <f t="shared" si="423"/>
        <v>0</v>
      </c>
      <c r="M1912" s="446"/>
      <c r="N1912" s="446"/>
      <c r="O1912" s="446"/>
      <c r="P1912" s="446"/>
      <c r="Q1912" s="110">
        <v>18</v>
      </c>
      <c r="R1912" s="111">
        <f t="shared" si="420"/>
        <v>1076.2393</v>
      </c>
      <c r="S1912" s="110"/>
      <c r="T1912" s="110"/>
      <c r="U1912" s="110">
        <v>17</v>
      </c>
      <c r="V1912" s="111">
        <f t="shared" si="421"/>
        <v>1076.2393</v>
      </c>
      <c r="W1912" s="110"/>
      <c r="X1912" s="110"/>
      <c r="Y1912" s="110"/>
      <c r="Z1912" s="110"/>
      <c r="AA1912" s="110">
        <v>17</v>
      </c>
      <c r="AB1912" s="111">
        <f t="shared" si="422"/>
        <v>1076.2393</v>
      </c>
      <c r="AC1912" s="110"/>
      <c r="AD1912" s="110"/>
      <c r="AE1912" s="110">
        <v>19</v>
      </c>
      <c r="AF1912" s="111">
        <f t="shared" si="416"/>
        <v>1076.2393</v>
      </c>
      <c r="AG1912" s="110"/>
      <c r="AH1912" s="110"/>
      <c r="AI1912" s="110"/>
      <c r="AJ1912" s="110"/>
      <c r="AK1912" s="111">
        <f t="shared" si="424"/>
        <v>4304.9571999999998</v>
      </c>
      <c r="AL1912" s="446">
        <f t="shared" si="425"/>
        <v>0</v>
      </c>
      <c r="AM1912" s="110">
        <f t="shared" si="426"/>
        <v>71</v>
      </c>
      <c r="AN1912" s="447">
        <f t="shared" si="414"/>
        <v>0</v>
      </c>
      <c r="AO1912"/>
      <c r="AP1912"/>
    </row>
    <row r="1913" spans="1:42" ht="66" x14ac:dyDescent="0.25">
      <c r="A1913" s="9"/>
      <c r="B1913" s="219" t="s">
        <v>2698</v>
      </c>
      <c r="C1913" s="1024"/>
      <c r="D1913" s="880">
        <v>320</v>
      </c>
      <c r="E1913" s="1025" t="s">
        <v>2599</v>
      </c>
      <c r="F1913" s="273" t="s">
        <v>3446</v>
      </c>
      <c r="G1913" s="1040" t="s">
        <v>3463</v>
      </c>
      <c r="H1913" s="273" t="s">
        <v>3462</v>
      </c>
      <c r="I1913" s="720">
        <f t="shared" si="419"/>
        <v>27.433999999999997</v>
      </c>
      <c r="J1913" s="756">
        <v>8778.8799999999992</v>
      </c>
      <c r="K1913" s="131">
        <f t="shared" si="413"/>
        <v>8778.8799999999992</v>
      </c>
      <c r="L1913" s="335">
        <f t="shared" si="423"/>
        <v>0</v>
      </c>
      <c r="M1913" s="446"/>
      <c r="N1913" s="446"/>
      <c r="O1913" s="446"/>
      <c r="P1913" s="446"/>
      <c r="Q1913" s="110">
        <f t="shared" si="417"/>
        <v>80</v>
      </c>
      <c r="R1913" s="111">
        <f t="shared" si="420"/>
        <v>2194.7199999999998</v>
      </c>
      <c r="S1913" s="110"/>
      <c r="T1913" s="110"/>
      <c r="U1913" s="110">
        <f t="shared" si="418"/>
        <v>80</v>
      </c>
      <c r="V1913" s="111">
        <f t="shared" si="421"/>
        <v>2194.7199999999998</v>
      </c>
      <c r="W1913" s="110"/>
      <c r="X1913" s="110"/>
      <c r="Y1913" s="110"/>
      <c r="Z1913" s="110"/>
      <c r="AA1913" s="110">
        <f t="shared" si="415"/>
        <v>80</v>
      </c>
      <c r="AB1913" s="111">
        <f t="shared" si="422"/>
        <v>2194.7199999999998</v>
      </c>
      <c r="AC1913" s="110"/>
      <c r="AD1913" s="110"/>
      <c r="AE1913" s="110">
        <f t="shared" si="415"/>
        <v>80</v>
      </c>
      <c r="AF1913" s="111">
        <f t="shared" si="416"/>
        <v>2194.7199999999998</v>
      </c>
      <c r="AG1913" s="110"/>
      <c r="AH1913" s="110"/>
      <c r="AI1913" s="110"/>
      <c r="AJ1913" s="110"/>
      <c r="AK1913" s="111">
        <f t="shared" si="424"/>
        <v>8778.8799999999992</v>
      </c>
      <c r="AL1913" s="446">
        <f t="shared" si="425"/>
        <v>0</v>
      </c>
      <c r="AM1913" s="110">
        <f t="shared" si="426"/>
        <v>320</v>
      </c>
      <c r="AN1913" s="447">
        <f t="shared" si="414"/>
        <v>0</v>
      </c>
      <c r="AO1913"/>
      <c r="AP1913"/>
    </row>
    <row r="1914" spans="1:42" ht="66" x14ac:dyDescent="0.25">
      <c r="A1914" s="9"/>
      <c r="B1914" s="219" t="s">
        <v>2699</v>
      </c>
      <c r="C1914" s="1024"/>
      <c r="D1914" s="880">
        <v>46</v>
      </c>
      <c r="E1914" s="1025" t="s">
        <v>1748</v>
      </c>
      <c r="F1914" s="273" t="s">
        <v>3446</v>
      </c>
      <c r="G1914" s="1040" t="s">
        <v>3463</v>
      </c>
      <c r="H1914" s="273" t="s">
        <v>3462</v>
      </c>
      <c r="I1914" s="720">
        <f t="shared" si="419"/>
        <v>141.33439999999999</v>
      </c>
      <c r="J1914" s="756">
        <v>6501.3823999999995</v>
      </c>
      <c r="K1914" s="131">
        <f t="shared" si="413"/>
        <v>6501.3823999999995</v>
      </c>
      <c r="L1914" s="335">
        <f t="shared" si="423"/>
        <v>0</v>
      </c>
      <c r="M1914" s="446"/>
      <c r="N1914" s="446"/>
      <c r="O1914" s="446"/>
      <c r="P1914" s="446"/>
      <c r="Q1914" s="110">
        <v>12</v>
      </c>
      <c r="R1914" s="111">
        <f t="shared" si="420"/>
        <v>1625.3455999999999</v>
      </c>
      <c r="S1914" s="110"/>
      <c r="T1914" s="110"/>
      <c r="U1914" s="110">
        <v>12</v>
      </c>
      <c r="V1914" s="111">
        <f t="shared" si="421"/>
        <v>1625.3455999999999</v>
      </c>
      <c r="W1914" s="110"/>
      <c r="X1914" s="110"/>
      <c r="Y1914" s="110"/>
      <c r="Z1914" s="110"/>
      <c r="AA1914" s="110">
        <v>11</v>
      </c>
      <c r="AB1914" s="111">
        <f t="shared" si="422"/>
        <v>1625.3455999999999</v>
      </c>
      <c r="AC1914" s="110"/>
      <c r="AD1914" s="110"/>
      <c r="AE1914" s="110">
        <v>11</v>
      </c>
      <c r="AF1914" s="111">
        <f t="shared" si="416"/>
        <v>1625.3455999999999</v>
      </c>
      <c r="AG1914" s="110"/>
      <c r="AH1914" s="110"/>
      <c r="AI1914" s="110"/>
      <c r="AJ1914" s="110"/>
      <c r="AK1914" s="111">
        <f t="shared" si="424"/>
        <v>6501.3823999999995</v>
      </c>
      <c r="AL1914" s="446">
        <f t="shared" si="425"/>
        <v>0</v>
      </c>
      <c r="AM1914" s="110">
        <f t="shared" si="426"/>
        <v>46</v>
      </c>
      <c r="AN1914" s="447">
        <f t="shared" si="414"/>
        <v>0</v>
      </c>
      <c r="AO1914"/>
      <c r="AP1914"/>
    </row>
    <row r="1915" spans="1:42" ht="66" x14ac:dyDescent="0.25">
      <c r="A1915" s="9"/>
      <c r="B1915" s="219" t="s">
        <v>2700</v>
      </c>
      <c r="C1915" s="1024"/>
      <c r="D1915" s="880">
        <v>40</v>
      </c>
      <c r="E1915" s="1025" t="s">
        <v>2599</v>
      </c>
      <c r="F1915" s="273" t="s">
        <v>3446</v>
      </c>
      <c r="G1915" s="1040" t="s">
        <v>3463</v>
      </c>
      <c r="H1915" s="273" t="s">
        <v>3462</v>
      </c>
      <c r="I1915" s="720">
        <f t="shared" si="419"/>
        <v>75.794399999999996</v>
      </c>
      <c r="J1915" s="756">
        <v>3031.7759999999998</v>
      </c>
      <c r="K1915" s="131">
        <f t="shared" si="413"/>
        <v>3031.7759999999998</v>
      </c>
      <c r="L1915" s="335">
        <f t="shared" si="423"/>
        <v>0</v>
      </c>
      <c r="M1915" s="446"/>
      <c r="N1915" s="446"/>
      <c r="O1915" s="446"/>
      <c r="P1915" s="446"/>
      <c r="Q1915" s="110">
        <f t="shared" si="417"/>
        <v>10</v>
      </c>
      <c r="R1915" s="111">
        <f t="shared" si="420"/>
        <v>757.94399999999996</v>
      </c>
      <c r="S1915" s="110"/>
      <c r="T1915" s="110"/>
      <c r="U1915" s="110">
        <f t="shared" si="418"/>
        <v>10</v>
      </c>
      <c r="V1915" s="111">
        <f t="shared" si="421"/>
        <v>757.94399999999996</v>
      </c>
      <c r="W1915" s="110"/>
      <c r="X1915" s="110"/>
      <c r="Y1915" s="110"/>
      <c r="Z1915" s="110"/>
      <c r="AA1915" s="110">
        <f t="shared" si="415"/>
        <v>10</v>
      </c>
      <c r="AB1915" s="111">
        <f t="shared" si="422"/>
        <v>757.94399999999996</v>
      </c>
      <c r="AC1915" s="110"/>
      <c r="AD1915" s="110"/>
      <c r="AE1915" s="110">
        <f t="shared" si="415"/>
        <v>10</v>
      </c>
      <c r="AF1915" s="111">
        <f t="shared" si="416"/>
        <v>757.94399999999996</v>
      </c>
      <c r="AG1915" s="110"/>
      <c r="AH1915" s="110"/>
      <c r="AI1915" s="110"/>
      <c r="AJ1915" s="110"/>
      <c r="AK1915" s="111">
        <f t="shared" si="424"/>
        <v>3031.7759999999998</v>
      </c>
      <c r="AL1915" s="446">
        <f t="shared" si="425"/>
        <v>0</v>
      </c>
      <c r="AM1915" s="110">
        <f t="shared" si="426"/>
        <v>40</v>
      </c>
      <c r="AN1915" s="447">
        <f t="shared" si="414"/>
        <v>0</v>
      </c>
      <c r="AO1915"/>
      <c r="AP1915"/>
    </row>
    <row r="1916" spans="1:42" ht="66" x14ac:dyDescent="0.25">
      <c r="A1916" s="9"/>
      <c r="B1916" s="219" t="s">
        <v>2701</v>
      </c>
      <c r="C1916" s="1024"/>
      <c r="D1916" s="880">
        <v>24</v>
      </c>
      <c r="E1916" s="1025" t="s">
        <v>2628</v>
      </c>
      <c r="F1916" s="273" t="s">
        <v>3446</v>
      </c>
      <c r="G1916" s="1040" t="s">
        <v>3463</v>
      </c>
      <c r="H1916" s="273" t="s">
        <v>3462</v>
      </c>
      <c r="I1916" s="720">
        <f t="shared" si="419"/>
        <v>26.1812</v>
      </c>
      <c r="J1916" s="756">
        <v>628.34879999999998</v>
      </c>
      <c r="K1916" s="131">
        <f t="shared" si="413"/>
        <v>628.34879999999998</v>
      </c>
      <c r="L1916" s="335">
        <f t="shared" si="423"/>
        <v>0</v>
      </c>
      <c r="M1916" s="446"/>
      <c r="N1916" s="446"/>
      <c r="O1916" s="446"/>
      <c r="P1916" s="446"/>
      <c r="Q1916" s="110">
        <f t="shared" si="417"/>
        <v>6</v>
      </c>
      <c r="R1916" s="111">
        <f t="shared" si="420"/>
        <v>157.0872</v>
      </c>
      <c r="S1916" s="110"/>
      <c r="T1916" s="110"/>
      <c r="U1916" s="110">
        <f t="shared" si="418"/>
        <v>6</v>
      </c>
      <c r="V1916" s="111">
        <f t="shared" si="421"/>
        <v>157.0872</v>
      </c>
      <c r="W1916" s="110"/>
      <c r="X1916" s="110"/>
      <c r="Y1916" s="110"/>
      <c r="Z1916" s="110"/>
      <c r="AA1916" s="110">
        <f t="shared" si="415"/>
        <v>6</v>
      </c>
      <c r="AB1916" s="111">
        <f t="shared" si="422"/>
        <v>157.0872</v>
      </c>
      <c r="AC1916" s="110"/>
      <c r="AD1916" s="110"/>
      <c r="AE1916" s="110">
        <f t="shared" si="415"/>
        <v>6</v>
      </c>
      <c r="AF1916" s="111">
        <f t="shared" si="416"/>
        <v>157.0872</v>
      </c>
      <c r="AG1916" s="110"/>
      <c r="AH1916" s="110"/>
      <c r="AI1916" s="110"/>
      <c r="AJ1916" s="110"/>
      <c r="AK1916" s="111">
        <f t="shared" si="424"/>
        <v>628.34879999999998</v>
      </c>
      <c r="AL1916" s="446">
        <f t="shared" si="425"/>
        <v>0</v>
      </c>
      <c r="AM1916" s="110">
        <f t="shared" si="426"/>
        <v>24</v>
      </c>
      <c r="AN1916" s="447">
        <f t="shared" si="414"/>
        <v>0</v>
      </c>
      <c r="AO1916"/>
      <c r="AP1916"/>
    </row>
    <row r="1917" spans="1:42" ht="66" x14ac:dyDescent="0.25">
      <c r="A1917" s="9"/>
      <c r="B1917" s="225" t="s">
        <v>424</v>
      </c>
      <c r="C1917" s="1024"/>
      <c r="D1917" s="880">
        <v>24</v>
      </c>
      <c r="E1917" s="1025" t="s">
        <v>2628</v>
      </c>
      <c r="F1917" s="273" t="s">
        <v>3446</v>
      </c>
      <c r="G1917" s="1040" t="s">
        <v>3463</v>
      </c>
      <c r="H1917" s="273" t="s">
        <v>3462</v>
      </c>
      <c r="I1917" s="720">
        <f t="shared" si="419"/>
        <v>395.51359999999994</v>
      </c>
      <c r="J1917" s="756">
        <v>9492.3263999999981</v>
      </c>
      <c r="K1917" s="131">
        <f t="shared" si="413"/>
        <v>9492.3263999999981</v>
      </c>
      <c r="L1917" s="335">
        <f t="shared" si="423"/>
        <v>0</v>
      </c>
      <c r="M1917" s="446"/>
      <c r="N1917" s="446"/>
      <c r="O1917" s="446"/>
      <c r="P1917" s="446"/>
      <c r="Q1917" s="110">
        <f t="shared" si="417"/>
        <v>6</v>
      </c>
      <c r="R1917" s="111">
        <f t="shared" si="420"/>
        <v>2373.0815999999995</v>
      </c>
      <c r="S1917" s="110"/>
      <c r="T1917" s="110"/>
      <c r="U1917" s="110">
        <f t="shared" si="418"/>
        <v>6</v>
      </c>
      <c r="V1917" s="111">
        <f t="shared" si="421"/>
        <v>2373.0815999999995</v>
      </c>
      <c r="W1917" s="110"/>
      <c r="X1917" s="110"/>
      <c r="Y1917" s="110"/>
      <c r="Z1917" s="110"/>
      <c r="AA1917" s="110">
        <f t="shared" si="415"/>
        <v>6</v>
      </c>
      <c r="AB1917" s="111">
        <f t="shared" si="422"/>
        <v>2373.0815999999995</v>
      </c>
      <c r="AC1917" s="110"/>
      <c r="AD1917" s="110"/>
      <c r="AE1917" s="110">
        <f t="shared" si="415"/>
        <v>6</v>
      </c>
      <c r="AF1917" s="111">
        <f t="shared" si="416"/>
        <v>2373.0815999999995</v>
      </c>
      <c r="AG1917" s="110"/>
      <c r="AH1917" s="110"/>
      <c r="AI1917" s="110"/>
      <c r="AJ1917" s="110"/>
      <c r="AK1917" s="111">
        <f t="shared" si="424"/>
        <v>9492.3263999999981</v>
      </c>
      <c r="AL1917" s="446">
        <f t="shared" si="425"/>
        <v>0</v>
      </c>
      <c r="AM1917" s="110">
        <f t="shared" si="426"/>
        <v>24</v>
      </c>
      <c r="AN1917" s="447">
        <f t="shared" si="414"/>
        <v>0</v>
      </c>
      <c r="AO1917"/>
      <c r="AP1917"/>
    </row>
    <row r="1918" spans="1:42" ht="66" x14ac:dyDescent="0.25">
      <c r="A1918" s="9"/>
      <c r="B1918" s="225" t="s">
        <v>2702</v>
      </c>
      <c r="C1918" s="1024"/>
      <c r="D1918" s="880">
        <v>351</v>
      </c>
      <c r="E1918" s="1025" t="s">
        <v>2599</v>
      </c>
      <c r="F1918" s="273" t="s">
        <v>3446</v>
      </c>
      <c r="G1918" s="1040" t="s">
        <v>3463</v>
      </c>
      <c r="H1918" s="273" t="s">
        <v>3462</v>
      </c>
      <c r="I1918" s="720">
        <f t="shared" si="419"/>
        <v>16.541599999999999</v>
      </c>
      <c r="J1918" s="756">
        <v>5806.1016</v>
      </c>
      <c r="K1918" s="131">
        <f t="shared" si="413"/>
        <v>5806.1016</v>
      </c>
      <c r="L1918" s="335">
        <f t="shared" si="423"/>
        <v>0</v>
      </c>
      <c r="M1918" s="446"/>
      <c r="N1918" s="446"/>
      <c r="O1918" s="446"/>
      <c r="P1918" s="446"/>
      <c r="Q1918" s="110">
        <v>88</v>
      </c>
      <c r="R1918" s="111">
        <f t="shared" si="420"/>
        <v>1451.5254</v>
      </c>
      <c r="S1918" s="110"/>
      <c r="T1918" s="110"/>
      <c r="U1918" s="110">
        <v>85</v>
      </c>
      <c r="V1918" s="111">
        <f t="shared" si="421"/>
        <v>1451.5254</v>
      </c>
      <c r="W1918" s="110"/>
      <c r="X1918" s="110"/>
      <c r="Y1918" s="110"/>
      <c r="Z1918" s="110"/>
      <c r="AA1918" s="110">
        <v>88</v>
      </c>
      <c r="AB1918" s="111">
        <f t="shared" si="422"/>
        <v>1451.5254</v>
      </c>
      <c r="AC1918" s="110"/>
      <c r="AD1918" s="110"/>
      <c r="AE1918" s="110">
        <v>90</v>
      </c>
      <c r="AF1918" s="111">
        <f t="shared" si="416"/>
        <v>1451.5254</v>
      </c>
      <c r="AG1918" s="110"/>
      <c r="AH1918" s="110"/>
      <c r="AI1918" s="110"/>
      <c r="AJ1918" s="110"/>
      <c r="AK1918" s="111">
        <f t="shared" si="424"/>
        <v>5806.1016</v>
      </c>
      <c r="AL1918" s="446">
        <f t="shared" si="425"/>
        <v>0</v>
      </c>
      <c r="AM1918" s="110">
        <f t="shared" si="426"/>
        <v>351</v>
      </c>
      <c r="AN1918" s="447">
        <f t="shared" si="414"/>
        <v>0</v>
      </c>
      <c r="AO1918"/>
      <c r="AP1918"/>
    </row>
    <row r="1919" spans="1:42" ht="66" x14ac:dyDescent="0.25">
      <c r="A1919" s="9"/>
      <c r="B1919" s="225" t="s">
        <v>2703</v>
      </c>
      <c r="C1919" s="1024"/>
      <c r="D1919" s="880">
        <v>17</v>
      </c>
      <c r="E1919" s="1025" t="s">
        <v>2628</v>
      </c>
      <c r="F1919" s="273" t="s">
        <v>3446</v>
      </c>
      <c r="G1919" s="1040" t="s">
        <v>3463</v>
      </c>
      <c r="H1919" s="273" t="s">
        <v>3462</v>
      </c>
      <c r="I1919" s="720">
        <f t="shared" si="419"/>
        <v>56.26</v>
      </c>
      <c r="J1919" s="756">
        <v>956.42</v>
      </c>
      <c r="K1919" s="131">
        <f t="shared" si="413"/>
        <v>956.42</v>
      </c>
      <c r="L1919" s="335">
        <f t="shared" si="423"/>
        <v>0</v>
      </c>
      <c r="M1919" s="446"/>
      <c r="N1919" s="446"/>
      <c r="O1919" s="446"/>
      <c r="P1919" s="446"/>
      <c r="Q1919" s="110">
        <v>5</v>
      </c>
      <c r="R1919" s="111">
        <f t="shared" si="420"/>
        <v>239.10499999999999</v>
      </c>
      <c r="S1919" s="110"/>
      <c r="T1919" s="110"/>
      <c r="U1919" s="110">
        <v>4</v>
      </c>
      <c r="V1919" s="111">
        <f t="shared" si="421"/>
        <v>239.10499999999999</v>
      </c>
      <c r="W1919" s="110"/>
      <c r="X1919" s="110"/>
      <c r="Y1919" s="110"/>
      <c r="Z1919" s="110"/>
      <c r="AA1919" s="110">
        <v>4</v>
      </c>
      <c r="AB1919" s="111">
        <f t="shared" si="422"/>
        <v>239.10499999999999</v>
      </c>
      <c r="AC1919" s="110"/>
      <c r="AD1919" s="110"/>
      <c r="AE1919" s="110">
        <v>4</v>
      </c>
      <c r="AF1919" s="111">
        <f t="shared" si="416"/>
        <v>239.10499999999999</v>
      </c>
      <c r="AG1919" s="110"/>
      <c r="AH1919" s="110"/>
      <c r="AI1919" s="110"/>
      <c r="AJ1919" s="110"/>
      <c r="AK1919" s="111">
        <f t="shared" si="424"/>
        <v>956.42</v>
      </c>
      <c r="AL1919" s="446">
        <f t="shared" si="425"/>
        <v>0</v>
      </c>
      <c r="AM1919" s="110">
        <f t="shared" si="426"/>
        <v>17</v>
      </c>
      <c r="AN1919" s="447">
        <f t="shared" si="414"/>
        <v>0</v>
      </c>
      <c r="AO1919"/>
      <c r="AP1919"/>
    </row>
    <row r="1920" spans="1:42" ht="66" x14ac:dyDescent="0.25">
      <c r="A1920" s="9"/>
      <c r="B1920" s="219" t="s">
        <v>2704</v>
      </c>
      <c r="C1920" s="1024"/>
      <c r="D1920" s="880">
        <v>350</v>
      </c>
      <c r="E1920" s="1025" t="s">
        <v>2599</v>
      </c>
      <c r="F1920" s="273" t="s">
        <v>3446</v>
      </c>
      <c r="G1920" s="1040" t="s">
        <v>3463</v>
      </c>
      <c r="H1920" s="273" t="s">
        <v>3462</v>
      </c>
      <c r="I1920" s="720">
        <f t="shared" si="419"/>
        <v>46.167999999999992</v>
      </c>
      <c r="J1920" s="756">
        <v>16158.799999999997</v>
      </c>
      <c r="K1920" s="131">
        <f t="shared" si="413"/>
        <v>16158.799999999997</v>
      </c>
      <c r="L1920" s="335">
        <f t="shared" si="423"/>
        <v>0</v>
      </c>
      <c r="M1920" s="446"/>
      <c r="N1920" s="446"/>
      <c r="O1920" s="446"/>
      <c r="P1920" s="446"/>
      <c r="Q1920" s="110">
        <v>88</v>
      </c>
      <c r="R1920" s="111">
        <f t="shared" si="420"/>
        <v>4039.6999999999994</v>
      </c>
      <c r="S1920" s="110"/>
      <c r="T1920" s="110"/>
      <c r="U1920" s="110">
        <v>88</v>
      </c>
      <c r="V1920" s="111">
        <f t="shared" si="421"/>
        <v>4039.6999999999994</v>
      </c>
      <c r="W1920" s="110"/>
      <c r="X1920" s="110"/>
      <c r="Y1920" s="110"/>
      <c r="Z1920" s="110"/>
      <c r="AA1920" s="110">
        <v>86</v>
      </c>
      <c r="AB1920" s="111">
        <f t="shared" si="422"/>
        <v>4039.6999999999994</v>
      </c>
      <c r="AC1920" s="110"/>
      <c r="AD1920" s="110"/>
      <c r="AE1920" s="110">
        <v>88</v>
      </c>
      <c r="AF1920" s="111">
        <f t="shared" si="416"/>
        <v>4039.6999999999994</v>
      </c>
      <c r="AG1920" s="110"/>
      <c r="AH1920" s="110"/>
      <c r="AI1920" s="110"/>
      <c r="AJ1920" s="110"/>
      <c r="AK1920" s="111">
        <f t="shared" si="424"/>
        <v>16158.799999999997</v>
      </c>
      <c r="AL1920" s="446">
        <f t="shared" si="425"/>
        <v>0</v>
      </c>
      <c r="AM1920" s="110">
        <f t="shared" si="426"/>
        <v>350</v>
      </c>
      <c r="AN1920" s="447">
        <f t="shared" si="414"/>
        <v>0</v>
      </c>
      <c r="AO1920"/>
      <c r="AP1920"/>
    </row>
    <row r="1921" spans="1:42" ht="66" x14ac:dyDescent="0.25">
      <c r="A1921" s="9"/>
      <c r="B1921" s="219" t="s">
        <v>2705</v>
      </c>
      <c r="C1921" s="1024"/>
      <c r="D1921" s="880">
        <v>16</v>
      </c>
      <c r="E1921" s="1025" t="s">
        <v>2628</v>
      </c>
      <c r="F1921" s="273" t="s">
        <v>3446</v>
      </c>
      <c r="G1921" s="1040" t="s">
        <v>3463</v>
      </c>
      <c r="H1921" s="273" t="s">
        <v>3462</v>
      </c>
      <c r="I1921" s="720">
        <f t="shared" si="419"/>
        <v>51.62</v>
      </c>
      <c r="J1921" s="756">
        <v>825.92</v>
      </c>
      <c r="K1921" s="131">
        <f t="shared" si="413"/>
        <v>825.92</v>
      </c>
      <c r="L1921" s="335">
        <f t="shared" si="423"/>
        <v>0</v>
      </c>
      <c r="M1921" s="446"/>
      <c r="N1921" s="446"/>
      <c r="O1921" s="446"/>
      <c r="P1921" s="446"/>
      <c r="Q1921" s="110">
        <f t="shared" si="417"/>
        <v>4</v>
      </c>
      <c r="R1921" s="111">
        <f t="shared" si="420"/>
        <v>206.48</v>
      </c>
      <c r="S1921" s="110"/>
      <c r="T1921" s="110"/>
      <c r="U1921" s="110">
        <f t="shared" si="418"/>
        <v>4</v>
      </c>
      <c r="V1921" s="111">
        <f t="shared" si="421"/>
        <v>206.48</v>
      </c>
      <c r="W1921" s="110"/>
      <c r="X1921" s="110"/>
      <c r="Y1921" s="110"/>
      <c r="Z1921" s="110"/>
      <c r="AA1921" s="110">
        <f t="shared" si="415"/>
        <v>4</v>
      </c>
      <c r="AB1921" s="111">
        <f t="shared" si="422"/>
        <v>206.48</v>
      </c>
      <c r="AC1921" s="110"/>
      <c r="AD1921" s="110"/>
      <c r="AE1921" s="110">
        <f t="shared" si="415"/>
        <v>4</v>
      </c>
      <c r="AF1921" s="111">
        <f t="shared" si="416"/>
        <v>206.48</v>
      </c>
      <c r="AG1921" s="110"/>
      <c r="AH1921" s="110"/>
      <c r="AI1921" s="110"/>
      <c r="AJ1921" s="110"/>
      <c r="AK1921" s="111">
        <f t="shared" si="424"/>
        <v>825.92</v>
      </c>
      <c r="AL1921" s="446">
        <f t="shared" si="425"/>
        <v>0</v>
      </c>
      <c r="AM1921" s="110">
        <f t="shared" si="426"/>
        <v>16</v>
      </c>
      <c r="AN1921" s="447">
        <f t="shared" si="414"/>
        <v>0</v>
      </c>
      <c r="AO1921"/>
      <c r="AP1921"/>
    </row>
    <row r="1922" spans="1:42" ht="66" x14ac:dyDescent="0.25">
      <c r="A1922" s="9"/>
      <c r="B1922" s="219" t="s">
        <v>2706</v>
      </c>
      <c r="C1922" s="1024"/>
      <c r="D1922" s="880">
        <v>9</v>
      </c>
      <c r="E1922" s="1025" t="s">
        <v>2628</v>
      </c>
      <c r="F1922" s="273" t="s">
        <v>3446</v>
      </c>
      <c r="G1922" s="1040" t="s">
        <v>3463</v>
      </c>
      <c r="H1922" s="273" t="s">
        <v>3462</v>
      </c>
      <c r="I1922" s="720">
        <f t="shared" si="419"/>
        <v>365.19119999999998</v>
      </c>
      <c r="J1922" s="756">
        <v>3286.7208000000001</v>
      </c>
      <c r="K1922" s="131">
        <f t="shared" si="413"/>
        <v>3286.7208000000001</v>
      </c>
      <c r="L1922" s="335">
        <f t="shared" si="423"/>
        <v>0</v>
      </c>
      <c r="M1922" s="446"/>
      <c r="N1922" s="446"/>
      <c r="O1922" s="446"/>
      <c r="P1922" s="446"/>
      <c r="Q1922" s="110">
        <v>3</v>
      </c>
      <c r="R1922" s="111">
        <f t="shared" si="420"/>
        <v>821.68020000000001</v>
      </c>
      <c r="S1922" s="110"/>
      <c r="T1922" s="110"/>
      <c r="U1922" s="110">
        <v>2</v>
      </c>
      <c r="V1922" s="111">
        <f t="shared" si="421"/>
        <v>821.68020000000001</v>
      </c>
      <c r="W1922" s="110"/>
      <c r="X1922" s="110"/>
      <c r="Y1922" s="110"/>
      <c r="Z1922" s="110"/>
      <c r="AA1922" s="110">
        <v>2</v>
      </c>
      <c r="AB1922" s="111">
        <f t="shared" si="422"/>
        <v>821.68020000000001</v>
      </c>
      <c r="AC1922" s="110"/>
      <c r="AD1922" s="110"/>
      <c r="AE1922" s="110">
        <v>2</v>
      </c>
      <c r="AF1922" s="111">
        <f t="shared" si="416"/>
        <v>821.68020000000001</v>
      </c>
      <c r="AG1922" s="110"/>
      <c r="AH1922" s="110"/>
      <c r="AI1922" s="110"/>
      <c r="AJ1922" s="110"/>
      <c r="AK1922" s="111">
        <f t="shared" si="424"/>
        <v>3286.7208000000001</v>
      </c>
      <c r="AL1922" s="446">
        <f t="shared" si="425"/>
        <v>0</v>
      </c>
      <c r="AM1922" s="110">
        <f t="shared" si="426"/>
        <v>9</v>
      </c>
      <c r="AN1922" s="447">
        <f t="shared" si="414"/>
        <v>0</v>
      </c>
      <c r="AO1922"/>
      <c r="AP1922"/>
    </row>
    <row r="1923" spans="1:42" ht="66" x14ac:dyDescent="0.25">
      <c r="A1923" s="9"/>
      <c r="B1923" s="219" t="s">
        <v>2707</v>
      </c>
      <c r="C1923" s="1024"/>
      <c r="D1923" s="880">
        <v>16</v>
      </c>
      <c r="E1923" s="1025" t="s">
        <v>2628</v>
      </c>
      <c r="F1923" s="273" t="s">
        <v>3446</v>
      </c>
      <c r="G1923" s="1040" t="s">
        <v>3463</v>
      </c>
      <c r="H1923" s="273" t="s">
        <v>3462</v>
      </c>
      <c r="I1923" s="720">
        <f t="shared" si="419"/>
        <v>51.62</v>
      </c>
      <c r="J1923" s="756">
        <v>825.92</v>
      </c>
      <c r="K1923" s="131">
        <f t="shared" si="413"/>
        <v>825.92</v>
      </c>
      <c r="L1923" s="335">
        <f t="shared" si="423"/>
        <v>0</v>
      </c>
      <c r="M1923" s="446"/>
      <c r="N1923" s="446"/>
      <c r="O1923" s="446"/>
      <c r="P1923" s="446"/>
      <c r="Q1923" s="110">
        <f t="shared" si="417"/>
        <v>4</v>
      </c>
      <c r="R1923" s="111">
        <f t="shared" si="420"/>
        <v>206.48</v>
      </c>
      <c r="S1923" s="110"/>
      <c r="T1923" s="110"/>
      <c r="U1923" s="110">
        <f t="shared" si="418"/>
        <v>4</v>
      </c>
      <c r="V1923" s="111">
        <f t="shared" si="421"/>
        <v>206.48</v>
      </c>
      <c r="W1923" s="110"/>
      <c r="X1923" s="110"/>
      <c r="Y1923" s="110"/>
      <c r="Z1923" s="110"/>
      <c r="AA1923" s="110">
        <f t="shared" si="415"/>
        <v>4</v>
      </c>
      <c r="AB1923" s="111">
        <f t="shared" si="422"/>
        <v>206.48</v>
      </c>
      <c r="AC1923" s="110"/>
      <c r="AD1923" s="110"/>
      <c r="AE1923" s="110">
        <f t="shared" si="415"/>
        <v>4</v>
      </c>
      <c r="AF1923" s="111">
        <f t="shared" si="416"/>
        <v>206.48</v>
      </c>
      <c r="AG1923" s="110"/>
      <c r="AH1923" s="110"/>
      <c r="AI1923" s="110"/>
      <c r="AJ1923" s="110"/>
      <c r="AK1923" s="111">
        <f t="shared" si="424"/>
        <v>825.92</v>
      </c>
      <c r="AL1923" s="446">
        <f t="shared" si="425"/>
        <v>0</v>
      </c>
      <c r="AM1923" s="110">
        <f t="shared" si="426"/>
        <v>16</v>
      </c>
      <c r="AN1923" s="447">
        <f t="shared" si="414"/>
        <v>0</v>
      </c>
      <c r="AO1923"/>
      <c r="AP1923"/>
    </row>
    <row r="1924" spans="1:42" ht="66" x14ac:dyDescent="0.25">
      <c r="A1924" s="9"/>
      <c r="B1924" s="219" t="s">
        <v>2708</v>
      </c>
      <c r="C1924" s="1024"/>
      <c r="D1924" s="880">
        <v>2</v>
      </c>
      <c r="E1924" s="1025" t="s">
        <v>2470</v>
      </c>
      <c r="F1924" s="273" t="s">
        <v>3446</v>
      </c>
      <c r="G1924" s="1040" t="s">
        <v>3463</v>
      </c>
      <c r="H1924" s="273" t="s">
        <v>3462</v>
      </c>
      <c r="I1924" s="720">
        <f t="shared" si="419"/>
        <v>79.924000000000007</v>
      </c>
      <c r="J1924" s="756">
        <v>159.84800000000001</v>
      </c>
      <c r="K1924" s="131">
        <f t="shared" ref="K1924:K1944" si="427">+D1924*I1924</f>
        <v>159.84800000000001</v>
      </c>
      <c r="L1924" s="335">
        <f t="shared" si="423"/>
        <v>0</v>
      </c>
      <c r="M1924" s="446"/>
      <c r="N1924" s="446"/>
      <c r="O1924" s="446"/>
      <c r="P1924" s="446"/>
      <c r="Q1924" s="130">
        <v>1</v>
      </c>
      <c r="R1924" s="111">
        <f t="shared" si="420"/>
        <v>39.962000000000003</v>
      </c>
      <c r="S1924" s="110"/>
      <c r="T1924" s="110"/>
      <c r="U1924" s="130">
        <v>1</v>
      </c>
      <c r="V1924" s="111">
        <f t="shared" si="421"/>
        <v>39.962000000000003</v>
      </c>
      <c r="W1924" s="110"/>
      <c r="X1924" s="110"/>
      <c r="Y1924" s="110"/>
      <c r="Z1924" s="110"/>
      <c r="AA1924" s="130">
        <v>0</v>
      </c>
      <c r="AB1924" s="111">
        <f t="shared" si="422"/>
        <v>39.962000000000003</v>
      </c>
      <c r="AC1924" s="110"/>
      <c r="AD1924" s="110"/>
      <c r="AE1924" s="130">
        <v>0</v>
      </c>
      <c r="AF1924" s="111">
        <f t="shared" si="416"/>
        <v>39.962000000000003</v>
      </c>
      <c r="AG1924" s="110"/>
      <c r="AH1924" s="110"/>
      <c r="AI1924" s="110"/>
      <c r="AJ1924" s="110"/>
      <c r="AK1924" s="111">
        <f t="shared" si="424"/>
        <v>159.84800000000001</v>
      </c>
      <c r="AL1924" s="446">
        <f t="shared" si="425"/>
        <v>0</v>
      </c>
      <c r="AM1924" s="110">
        <f t="shared" si="426"/>
        <v>2</v>
      </c>
      <c r="AN1924" s="447">
        <f t="shared" ref="AN1924:AN1944" si="428">+D1924-AM1924</f>
        <v>0</v>
      </c>
      <c r="AO1924"/>
      <c r="AP1924"/>
    </row>
    <row r="1925" spans="1:42" ht="66" x14ac:dyDescent="0.25">
      <c r="A1925" s="9"/>
      <c r="B1925" s="219" t="s">
        <v>1437</v>
      </c>
      <c r="C1925" s="1024"/>
      <c r="D1925" s="880">
        <v>9</v>
      </c>
      <c r="E1925" s="1025" t="s">
        <v>2599</v>
      </c>
      <c r="F1925" s="273" t="s">
        <v>3446</v>
      </c>
      <c r="G1925" s="1040" t="s">
        <v>3463</v>
      </c>
      <c r="H1925" s="273" t="s">
        <v>3462</v>
      </c>
      <c r="I1925" s="720">
        <f t="shared" si="419"/>
        <v>192.93119999999999</v>
      </c>
      <c r="J1925" s="756">
        <v>1736.3807999999999</v>
      </c>
      <c r="K1925" s="131">
        <f t="shared" si="427"/>
        <v>1736.3807999999999</v>
      </c>
      <c r="L1925" s="335">
        <f t="shared" si="423"/>
        <v>0</v>
      </c>
      <c r="M1925" s="446"/>
      <c r="N1925" s="446"/>
      <c r="O1925" s="446"/>
      <c r="P1925" s="446"/>
      <c r="Q1925" s="110">
        <v>3</v>
      </c>
      <c r="R1925" s="111">
        <f t="shared" si="420"/>
        <v>434.09519999999998</v>
      </c>
      <c r="S1925" s="110"/>
      <c r="T1925" s="110"/>
      <c r="U1925" s="110">
        <v>2</v>
      </c>
      <c r="V1925" s="111">
        <f t="shared" si="421"/>
        <v>434.09519999999998</v>
      </c>
      <c r="W1925" s="110"/>
      <c r="X1925" s="110"/>
      <c r="Y1925" s="110"/>
      <c r="Z1925" s="110"/>
      <c r="AA1925" s="110">
        <v>2</v>
      </c>
      <c r="AB1925" s="111">
        <f t="shared" si="422"/>
        <v>434.09519999999998</v>
      </c>
      <c r="AC1925" s="110"/>
      <c r="AD1925" s="110"/>
      <c r="AE1925" s="110">
        <v>2</v>
      </c>
      <c r="AF1925" s="111">
        <f t="shared" si="416"/>
        <v>434.09519999999998</v>
      </c>
      <c r="AG1925" s="110"/>
      <c r="AH1925" s="110"/>
      <c r="AI1925" s="110"/>
      <c r="AJ1925" s="110"/>
      <c r="AK1925" s="111">
        <f t="shared" si="424"/>
        <v>1736.3807999999999</v>
      </c>
      <c r="AL1925" s="446">
        <f t="shared" si="425"/>
        <v>0</v>
      </c>
      <c r="AM1925" s="110">
        <f t="shared" si="426"/>
        <v>9</v>
      </c>
      <c r="AN1925" s="447">
        <f t="shared" si="428"/>
        <v>0</v>
      </c>
      <c r="AO1925"/>
      <c r="AP1925"/>
    </row>
    <row r="1926" spans="1:42" ht="66" x14ac:dyDescent="0.25">
      <c r="A1926" s="9"/>
      <c r="B1926" s="219" t="s">
        <v>2709</v>
      </c>
      <c r="C1926" s="1024"/>
      <c r="D1926" s="880">
        <v>105</v>
      </c>
      <c r="E1926" s="1025" t="s">
        <v>2599</v>
      </c>
      <c r="F1926" s="273" t="s">
        <v>3446</v>
      </c>
      <c r="G1926" s="1040" t="s">
        <v>3463</v>
      </c>
      <c r="H1926" s="273" t="s">
        <v>3462</v>
      </c>
      <c r="I1926" s="720">
        <f t="shared" si="419"/>
        <v>13.908399999999999</v>
      </c>
      <c r="J1926" s="756">
        <v>1460.3819999999998</v>
      </c>
      <c r="K1926" s="131">
        <f t="shared" si="427"/>
        <v>1460.3819999999998</v>
      </c>
      <c r="L1926" s="335">
        <f t="shared" si="423"/>
        <v>0</v>
      </c>
      <c r="M1926" s="446"/>
      <c r="N1926" s="446"/>
      <c r="O1926" s="446"/>
      <c r="P1926" s="446"/>
      <c r="Q1926" s="110">
        <v>30</v>
      </c>
      <c r="R1926" s="111">
        <f t="shared" si="420"/>
        <v>365.09549999999996</v>
      </c>
      <c r="S1926" s="110"/>
      <c r="T1926" s="110"/>
      <c r="U1926" s="110">
        <v>30</v>
      </c>
      <c r="V1926" s="111">
        <f t="shared" si="421"/>
        <v>365.09549999999996</v>
      </c>
      <c r="W1926" s="110"/>
      <c r="X1926" s="110"/>
      <c r="Y1926" s="110"/>
      <c r="Z1926" s="110"/>
      <c r="AA1926" s="110">
        <v>30</v>
      </c>
      <c r="AB1926" s="111">
        <f t="shared" si="422"/>
        <v>365.09549999999996</v>
      </c>
      <c r="AC1926" s="110"/>
      <c r="AD1926" s="110"/>
      <c r="AE1926" s="110">
        <v>11</v>
      </c>
      <c r="AF1926" s="111">
        <f t="shared" si="416"/>
        <v>365.09549999999996</v>
      </c>
      <c r="AG1926" s="110"/>
      <c r="AH1926" s="110"/>
      <c r="AI1926" s="110"/>
      <c r="AJ1926" s="110"/>
      <c r="AK1926" s="111">
        <f t="shared" si="424"/>
        <v>1460.3819999999998</v>
      </c>
      <c r="AL1926" s="446">
        <f t="shared" si="425"/>
        <v>0</v>
      </c>
      <c r="AM1926" s="110">
        <f t="shared" si="426"/>
        <v>101</v>
      </c>
      <c r="AN1926" s="447">
        <f t="shared" si="428"/>
        <v>4</v>
      </c>
      <c r="AO1926"/>
      <c r="AP1926"/>
    </row>
    <row r="1927" spans="1:42" ht="66" x14ac:dyDescent="0.25">
      <c r="A1927" s="9"/>
      <c r="B1927" s="219" t="s">
        <v>2710</v>
      </c>
      <c r="C1927" s="1024"/>
      <c r="D1927" s="880">
        <v>51</v>
      </c>
      <c r="E1927" s="1025" t="s">
        <v>2628</v>
      </c>
      <c r="F1927" s="273" t="s">
        <v>3446</v>
      </c>
      <c r="G1927" s="1040" t="s">
        <v>3463</v>
      </c>
      <c r="H1927" s="273" t="s">
        <v>3462</v>
      </c>
      <c r="I1927" s="720">
        <f t="shared" si="419"/>
        <v>268.72559999999999</v>
      </c>
      <c r="J1927" s="756">
        <v>13705.005599999999</v>
      </c>
      <c r="K1927" s="131">
        <f t="shared" si="427"/>
        <v>13705.005599999999</v>
      </c>
      <c r="L1927" s="335">
        <f t="shared" si="423"/>
        <v>0</v>
      </c>
      <c r="M1927" s="446"/>
      <c r="N1927" s="446"/>
      <c r="O1927" s="446"/>
      <c r="P1927" s="446"/>
      <c r="Q1927" s="110">
        <v>14</v>
      </c>
      <c r="R1927" s="111">
        <f t="shared" si="420"/>
        <v>3426.2513999999996</v>
      </c>
      <c r="S1927" s="110"/>
      <c r="T1927" s="110"/>
      <c r="U1927" s="110">
        <v>13</v>
      </c>
      <c r="V1927" s="111">
        <f t="shared" si="421"/>
        <v>3426.2513999999996</v>
      </c>
      <c r="W1927" s="110"/>
      <c r="X1927" s="110"/>
      <c r="Y1927" s="110"/>
      <c r="Z1927" s="110"/>
      <c r="AA1927" s="110">
        <v>12</v>
      </c>
      <c r="AB1927" s="111">
        <f t="shared" si="422"/>
        <v>3426.2513999999996</v>
      </c>
      <c r="AC1927" s="110"/>
      <c r="AD1927" s="110"/>
      <c r="AE1927" s="110">
        <v>12</v>
      </c>
      <c r="AF1927" s="111">
        <f t="shared" si="416"/>
        <v>3426.2513999999996</v>
      </c>
      <c r="AG1927" s="110"/>
      <c r="AH1927" s="110"/>
      <c r="AI1927" s="110"/>
      <c r="AJ1927" s="110"/>
      <c r="AK1927" s="111">
        <f t="shared" si="424"/>
        <v>13705.005599999999</v>
      </c>
      <c r="AL1927" s="446">
        <f t="shared" si="425"/>
        <v>0</v>
      </c>
      <c r="AM1927" s="110">
        <f t="shared" si="426"/>
        <v>51</v>
      </c>
      <c r="AN1927" s="447">
        <f t="shared" si="428"/>
        <v>0</v>
      </c>
      <c r="AO1927"/>
      <c r="AP1927"/>
    </row>
    <row r="1928" spans="1:42" ht="66" x14ac:dyDescent="0.25">
      <c r="A1928" s="9"/>
      <c r="B1928" s="219" t="s">
        <v>2711</v>
      </c>
      <c r="C1928" s="1024"/>
      <c r="D1928" s="880">
        <v>15</v>
      </c>
      <c r="E1928" s="1025" t="s">
        <v>2628</v>
      </c>
      <c r="F1928" s="273" t="s">
        <v>3446</v>
      </c>
      <c r="G1928" s="1040" t="s">
        <v>3463</v>
      </c>
      <c r="H1928" s="273" t="s">
        <v>3462</v>
      </c>
      <c r="I1928" s="720">
        <f t="shared" si="419"/>
        <v>115.47799999999999</v>
      </c>
      <c r="J1928" s="756">
        <v>1732.1699999999998</v>
      </c>
      <c r="K1928" s="131">
        <f t="shared" si="427"/>
        <v>1732.1699999999998</v>
      </c>
      <c r="L1928" s="335">
        <f t="shared" si="423"/>
        <v>0</v>
      </c>
      <c r="M1928" s="446"/>
      <c r="N1928" s="446"/>
      <c r="O1928" s="446"/>
      <c r="P1928" s="446"/>
      <c r="Q1928" s="110">
        <v>4</v>
      </c>
      <c r="R1928" s="111">
        <f t="shared" si="420"/>
        <v>433.04249999999996</v>
      </c>
      <c r="S1928" s="110"/>
      <c r="T1928" s="110"/>
      <c r="U1928" s="110">
        <v>4</v>
      </c>
      <c r="V1928" s="111">
        <f t="shared" si="421"/>
        <v>433.04249999999996</v>
      </c>
      <c r="W1928" s="110"/>
      <c r="X1928" s="110"/>
      <c r="Y1928" s="110"/>
      <c r="Z1928" s="110"/>
      <c r="AA1928" s="110">
        <v>4</v>
      </c>
      <c r="AB1928" s="111">
        <f t="shared" si="422"/>
        <v>433.04249999999996</v>
      </c>
      <c r="AC1928" s="110"/>
      <c r="AD1928" s="110"/>
      <c r="AE1928" s="110">
        <v>3</v>
      </c>
      <c r="AF1928" s="111">
        <f t="shared" si="416"/>
        <v>433.04249999999996</v>
      </c>
      <c r="AG1928" s="110"/>
      <c r="AH1928" s="110"/>
      <c r="AI1928" s="110"/>
      <c r="AJ1928" s="110"/>
      <c r="AK1928" s="111">
        <f t="shared" si="424"/>
        <v>1732.1699999999998</v>
      </c>
      <c r="AL1928" s="446">
        <f t="shared" si="425"/>
        <v>0</v>
      </c>
      <c r="AM1928" s="110">
        <f t="shared" si="426"/>
        <v>15</v>
      </c>
      <c r="AN1928" s="447">
        <f t="shared" si="428"/>
        <v>0</v>
      </c>
      <c r="AO1928"/>
      <c r="AP1928"/>
    </row>
    <row r="1929" spans="1:42" ht="66" x14ac:dyDescent="0.25">
      <c r="A1929" s="9"/>
      <c r="B1929" s="219" t="s">
        <v>2712</v>
      </c>
      <c r="C1929" s="1024"/>
      <c r="D1929" s="880">
        <v>16</v>
      </c>
      <c r="E1929" s="1025" t="s">
        <v>2628</v>
      </c>
      <c r="F1929" s="273" t="s">
        <v>3446</v>
      </c>
      <c r="G1929" s="1040" t="s">
        <v>3463</v>
      </c>
      <c r="H1929" s="273" t="s">
        <v>3462</v>
      </c>
      <c r="I1929" s="720">
        <f t="shared" si="419"/>
        <v>158.47919999999999</v>
      </c>
      <c r="J1929" s="756">
        <v>2535.6671999999999</v>
      </c>
      <c r="K1929" s="131">
        <f t="shared" si="427"/>
        <v>2535.6671999999999</v>
      </c>
      <c r="L1929" s="335">
        <f t="shared" si="423"/>
        <v>0</v>
      </c>
      <c r="M1929" s="446"/>
      <c r="N1929" s="446"/>
      <c r="O1929" s="446"/>
      <c r="P1929" s="446"/>
      <c r="Q1929" s="110">
        <f t="shared" ref="Q1929:Q1974" si="429">+$D1929/4</f>
        <v>4</v>
      </c>
      <c r="R1929" s="111">
        <f t="shared" si="420"/>
        <v>633.91679999999997</v>
      </c>
      <c r="S1929" s="110"/>
      <c r="T1929" s="110"/>
      <c r="U1929" s="110">
        <f t="shared" ref="U1929:U1974" si="430">+$D1929/4</f>
        <v>4</v>
      </c>
      <c r="V1929" s="111">
        <f t="shared" si="421"/>
        <v>633.91679999999997</v>
      </c>
      <c r="W1929" s="110"/>
      <c r="X1929" s="110"/>
      <c r="Y1929" s="110"/>
      <c r="Z1929" s="110"/>
      <c r="AA1929" s="110">
        <f t="shared" ref="AA1929:AE1974" si="431">+$D1929/4</f>
        <v>4</v>
      </c>
      <c r="AB1929" s="111">
        <f t="shared" si="422"/>
        <v>633.91679999999997</v>
      </c>
      <c r="AC1929" s="110"/>
      <c r="AD1929" s="110"/>
      <c r="AE1929" s="110">
        <f t="shared" si="431"/>
        <v>4</v>
      </c>
      <c r="AF1929" s="111">
        <f t="shared" si="416"/>
        <v>633.91679999999997</v>
      </c>
      <c r="AG1929" s="110"/>
      <c r="AH1929" s="110"/>
      <c r="AI1929" s="110"/>
      <c r="AJ1929" s="110"/>
      <c r="AK1929" s="111">
        <f t="shared" si="424"/>
        <v>2535.6671999999999</v>
      </c>
      <c r="AL1929" s="446">
        <f t="shared" si="425"/>
        <v>0</v>
      </c>
      <c r="AM1929" s="110">
        <f t="shared" si="426"/>
        <v>16</v>
      </c>
      <c r="AN1929" s="447">
        <f t="shared" si="428"/>
        <v>0</v>
      </c>
      <c r="AO1929"/>
      <c r="AP1929"/>
    </row>
    <row r="1930" spans="1:42" ht="66" x14ac:dyDescent="0.25">
      <c r="A1930" s="9"/>
      <c r="B1930" s="219" t="s">
        <v>2713</v>
      </c>
      <c r="C1930" s="1024"/>
      <c r="D1930" s="880">
        <v>3</v>
      </c>
      <c r="E1930" s="1025" t="s">
        <v>2628</v>
      </c>
      <c r="F1930" s="273" t="s">
        <v>3446</v>
      </c>
      <c r="G1930" s="1040" t="s">
        <v>3463</v>
      </c>
      <c r="H1930" s="273" t="s">
        <v>3462</v>
      </c>
      <c r="I1930" s="720">
        <f t="shared" si="419"/>
        <v>234.27359999999999</v>
      </c>
      <c r="J1930" s="756">
        <v>702.82079999999996</v>
      </c>
      <c r="K1930" s="131">
        <f t="shared" si="427"/>
        <v>702.82079999999996</v>
      </c>
      <c r="L1930" s="335">
        <f t="shared" si="423"/>
        <v>0</v>
      </c>
      <c r="M1930" s="446"/>
      <c r="N1930" s="446"/>
      <c r="O1930" s="446"/>
      <c r="P1930" s="446"/>
      <c r="Q1930" s="130">
        <v>1</v>
      </c>
      <c r="R1930" s="111">
        <v>234.27</v>
      </c>
      <c r="S1930" s="110"/>
      <c r="T1930" s="110"/>
      <c r="U1930" s="130">
        <v>1</v>
      </c>
      <c r="V1930" s="111">
        <v>234.27</v>
      </c>
      <c r="W1930" s="110"/>
      <c r="X1930" s="110"/>
      <c r="Y1930" s="110"/>
      <c r="Z1930" s="110"/>
      <c r="AA1930" s="130">
        <v>1</v>
      </c>
      <c r="AB1930" s="111">
        <v>234.27</v>
      </c>
      <c r="AC1930" s="110"/>
      <c r="AD1930" s="110"/>
      <c r="AE1930" s="130">
        <v>0</v>
      </c>
      <c r="AF1930" s="111">
        <v>0</v>
      </c>
      <c r="AG1930" s="110"/>
      <c r="AH1930" s="110"/>
      <c r="AI1930" s="110"/>
      <c r="AJ1930" s="110"/>
      <c r="AK1930" s="111">
        <f t="shared" si="424"/>
        <v>702.81000000000006</v>
      </c>
      <c r="AL1930" s="446">
        <f t="shared" si="425"/>
        <v>1.0799999999903775E-2</v>
      </c>
      <c r="AM1930" s="110">
        <f t="shared" si="426"/>
        <v>3</v>
      </c>
      <c r="AN1930" s="447">
        <f t="shared" si="428"/>
        <v>0</v>
      </c>
      <c r="AO1930"/>
      <c r="AP1930"/>
    </row>
    <row r="1931" spans="1:42" ht="66" x14ac:dyDescent="0.25">
      <c r="A1931" s="9"/>
      <c r="B1931" s="219" t="s">
        <v>2714</v>
      </c>
      <c r="C1931" s="1024"/>
      <c r="D1931" s="880">
        <v>3</v>
      </c>
      <c r="E1931" s="1025" t="s">
        <v>2628</v>
      </c>
      <c r="F1931" s="273" t="s">
        <v>3446</v>
      </c>
      <c r="G1931" s="1040" t="s">
        <v>3463</v>
      </c>
      <c r="H1931" s="273" t="s">
        <v>3462</v>
      </c>
      <c r="I1931" s="720">
        <f t="shared" si="419"/>
        <v>213.60239999999996</v>
      </c>
      <c r="J1931" s="756">
        <v>640.80719999999985</v>
      </c>
      <c r="K1931" s="131">
        <f t="shared" si="427"/>
        <v>640.80719999999985</v>
      </c>
      <c r="L1931" s="335">
        <f t="shared" si="423"/>
        <v>0</v>
      </c>
      <c r="M1931" s="446"/>
      <c r="N1931" s="446"/>
      <c r="O1931" s="446"/>
      <c r="P1931" s="446"/>
      <c r="Q1931" s="130">
        <v>1</v>
      </c>
      <c r="R1931" s="111">
        <v>213.6</v>
      </c>
      <c r="S1931" s="110"/>
      <c r="T1931" s="110"/>
      <c r="U1931" s="130">
        <v>1</v>
      </c>
      <c r="V1931" s="111">
        <v>213.6</v>
      </c>
      <c r="W1931" s="110"/>
      <c r="X1931" s="110"/>
      <c r="Y1931" s="110"/>
      <c r="Z1931" s="110"/>
      <c r="AA1931" s="130">
        <v>1</v>
      </c>
      <c r="AB1931" s="111">
        <v>213.6</v>
      </c>
      <c r="AC1931" s="110"/>
      <c r="AD1931" s="110"/>
      <c r="AE1931" s="130">
        <v>0</v>
      </c>
      <c r="AF1931" s="111">
        <v>0</v>
      </c>
      <c r="AG1931" s="110"/>
      <c r="AH1931" s="110"/>
      <c r="AI1931" s="110"/>
      <c r="AJ1931" s="110"/>
      <c r="AK1931" s="111">
        <f t="shared" si="424"/>
        <v>640.79999999999995</v>
      </c>
      <c r="AL1931" s="446">
        <f t="shared" si="425"/>
        <v>7.1999999998979547E-3</v>
      </c>
      <c r="AM1931" s="110">
        <f t="shared" si="426"/>
        <v>3</v>
      </c>
      <c r="AN1931" s="447">
        <f t="shared" si="428"/>
        <v>0</v>
      </c>
      <c r="AO1931"/>
      <c r="AP1931"/>
    </row>
    <row r="1932" spans="1:42" ht="66" x14ac:dyDescent="0.25">
      <c r="A1932" s="9"/>
      <c r="B1932" s="219" t="s">
        <v>2715</v>
      </c>
      <c r="C1932" s="1024"/>
      <c r="D1932" s="880">
        <v>3</v>
      </c>
      <c r="E1932" s="1025" t="s">
        <v>2628</v>
      </c>
      <c r="F1932" s="273" t="s">
        <v>3446</v>
      </c>
      <c r="G1932" s="1040" t="s">
        <v>3463</v>
      </c>
      <c r="H1932" s="273" t="s">
        <v>3462</v>
      </c>
      <c r="I1932" s="720">
        <f t="shared" si="419"/>
        <v>484.87999999999994</v>
      </c>
      <c r="J1932" s="756">
        <v>1454.6399999999999</v>
      </c>
      <c r="K1932" s="131">
        <f t="shared" si="427"/>
        <v>1454.6399999999999</v>
      </c>
      <c r="L1932" s="335">
        <f t="shared" si="423"/>
        <v>0</v>
      </c>
      <c r="M1932" s="446"/>
      <c r="N1932" s="446"/>
      <c r="O1932" s="446"/>
      <c r="P1932" s="446"/>
      <c r="Q1932" s="130">
        <v>1</v>
      </c>
      <c r="R1932" s="111">
        <v>484.88</v>
      </c>
      <c r="S1932" s="110"/>
      <c r="T1932" s="110"/>
      <c r="U1932" s="130">
        <v>1</v>
      </c>
      <c r="V1932" s="111">
        <v>484.88</v>
      </c>
      <c r="W1932" s="110"/>
      <c r="X1932" s="110"/>
      <c r="Y1932" s="110"/>
      <c r="Z1932" s="110"/>
      <c r="AA1932" s="130">
        <v>1</v>
      </c>
      <c r="AB1932" s="111">
        <v>484.88</v>
      </c>
      <c r="AC1932" s="110"/>
      <c r="AD1932" s="110"/>
      <c r="AE1932" s="130">
        <v>0</v>
      </c>
      <c r="AF1932" s="111">
        <v>0</v>
      </c>
      <c r="AG1932" s="110"/>
      <c r="AH1932" s="110"/>
      <c r="AI1932" s="110"/>
      <c r="AJ1932" s="110"/>
      <c r="AK1932" s="111">
        <f t="shared" si="424"/>
        <v>1454.6399999999999</v>
      </c>
      <c r="AL1932" s="446">
        <f t="shared" si="425"/>
        <v>0</v>
      </c>
      <c r="AM1932" s="110">
        <f t="shared" si="426"/>
        <v>3</v>
      </c>
      <c r="AN1932" s="447">
        <f t="shared" si="428"/>
        <v>0</v>
      </c>
      <c r="AO1932"/>
      <c r="AP1932"/>
    </row>
    <row r="1933" spans="1:42" ht="66" x14ac:dyDescent="0.25">
      <c r="A1933" s="9"/>
      <c r="B1933" s="219" t="s">
        <v>2716</v>
      </c>
      <c r="C1933" s="1024"/>
      <c r="D1933" s="880">
        <v>3</v>
      </c>
      <c r="E1933" s="1025" t="s">
        <v>2628</v>
      </c>
      <c r="F1933" s="273" t="s">
        <v>3446</v>
      </c>
      <c r="G1933" s="1040" t="s">
        <v>3463</v>
      </c>
      <c r="H1933" s="273" t="s">
        <v>3462</v>
      </c>
      <c r="I1933" s="720">
        <f t="shared" si="419"/>
        <v>206.71199999999996</v>
      </c>
      <c r="J1933" s="756">
        <v>620.13599999999985</v>
      </c>
      <c r="K1933" s="131">
        <f t="shared" si="427"/>
        <v>620.13599999999985</v>
      </c>
      <c r="L1933" s="335">
        <f t="shared" si="423"/>
        <v>0</v>
      </c>
      <c r="M1933" s="446"/>
      <c r="N1933" s="446"/>
      <c r="O1933" s="446"/>
      <c r="P1933" s="446"/>
      <c r="Q1933" s="130">
        <v>1</v>
      </c>
      <c r="R1933" s="111">
        <v>206.71</v>
      </c>
      <c r="S1933" s="110"/>
      <c r="T1933" s="110"/>
      <c r="U1933" s="130">
        <v>1</v>
      </c>
      <c r="V1933" s="111">
        <v>206.71</v>
      </c>
      <c r="W1933" s="110"/>
      <c r="X1933" s="110"/>
      <c r="Y1933" s="110"/>
      <c r="Z1933" s="110"/>
      <c r="AA1933" s="130">
        <v>1</v>
      </c>
      <c r="AB1933" s="111">
        <v>206.71</v>
      </c>
      <c r="AC1933" s="110"/>
      <c r="AD1933" s="110"/>
      <c r="AE1933" s="130">
        <v>0</v>
      </c>
      <c r="AF1933" s="111">
        <v>0</v>
      </c>
      <c r="AG1933" s="110"/>
      <c r="AH1933" s="110"/>
      <c r="AI1933" s="110"/>
      <c r="AJ1933" s="110"/>
      <c r="AK1933" s="111">
        <f t="shared" si="424"/>
        <v>620.13</v>
      </c>
      <c r="AL1933" s="446">
        <f t="shared" si="425"/>
        <v>5.9999999998581188E-3</v>
      </c>
      <c r="AM1933" s="110">
        <f t="shared" si="426"/>
        <v>3</v>
      </c>
      <c r="AN1933" s="447">
        <f t="shared" si="428"/>
        <v>0</v>
      </c>
      <c r="AO1933"/>
      <c r="AP1933"/>
    </row>
    <row r="1934" spans="1:42" ht="66" x14ac:dyDescent="0.25">
      <c r="A1934" s="9"/>
      <c r="B1934" s="219" t="s">
        <v>2717</v>
      </c>
      <c r="C1934" s="1024"/>
      <c r="D1934" s="880">
        <v>3</v>
      </c>
      <c r="E1934" s="1025" t="s">
        <v>2628</v>
      </c>
      <c r="F1934" s="273" t="s">
        <v>3446</v>
      </c>
      <c r="G1934" s="1040" t="s">
        <v>3463</v>
      </c>
      <c r="H1934" s="273" t="s">
        <v>3462</v>
      </c>
      <c r="I1934" s="720">
        <f t="shared" si="419"/>
        <v>199.82159999999999</v>
      </c>
      <c r="J1934" s="756">
        <v>599.46479999999997</v>
      </c>
      <c r="K1934" s="131">
        <f t="shared" si="427"/>
        <v>599.46479999999997</v>
      </c>
      <c r="L1934" s="335">
        <f t="shared" si="423"/>
        <v>0</v>
      </c>
      <c r="M1934" s="446"/>
      <c r="N1934" s="446"/>
      <c r="O1934" s="446"/>
      <c r="P1934" s="446"/>
      <c r="Q1934" s="130">
        <v>1</v>
      </c>
      <c r="R1934" s="111">
        <v>199.82</v>
      </c>
      <c r="S1934" s="110"/>
      <c r="T1934" s="110"/>
      <c r="U1934" s="130">
        <v>1</v>
      </c>
      <c r="V1934" s="111">
        <v>199.82</v>
      </c>
      <c r="W1934" s="110"/>
      <c r="X1934" s="110"/>
      <c r="Y1934" s="110"/>
      <c r="Z1934" s="110"/>
      <c r="AA1934" s="130">
        <v>1</v>
      </c>
      <c r="AB1934" s="111">
        <v>199.82</v>
      </c>
      <c r="AC1934" s="110"/>
      <c r="AD1934" s="110"/>
      <c r="AE1934" s="130">
        <v>0</v>
      </c>
      <c r="AF1934" s="111">
        <v>0</v>
      </c>
      <c r="AG1934" s="110"/>
      <c r="AH1934" s="110"/>
      <c r="AI1934" s="110"/>
      <c r="AJ1934" s="110"/>
      <c r="AK1934" s="111">
        <f t="shared" si="424"/>
        <v>599.46</v>
      </c>
      <c r="AL1934" s="446">
        <f t="shared" si="425"/>
        <v>4.7999999999319698E-3</v>
      </c>
      <c r="AM1934" s="110">
        <f t="shared" si="426"/>
        <v>3</v>
      </c>
      <c r="AN1934" s="447">
        <f t="shared" si="428"/>
        <v>0</v>
      </c>
      <c r="AO1934"/>
      <c r="AP1934"/>
    </row>
    <row r="1935" spans="1:42" ht="66" x14ac:dyDescent="0.25">
      <c r="A1935" s="9"/>
      <c r="B1935" s="219" t="s">
        <v>2718</v>
      </c>
      <c r="C1935" s="1024"/>
      <c r="D1935" s="880">
        <v>73</v>
      </c>
      <c r="E1935" s="1025" t="s">
        <v>2599</v>
      </c>
      <c r="F1935" s="273" t="s">
        <v>3446</v>
      </c>
      <c r="G1935" s="1040" t="s">
        <v>3463</v>
      </c>
      <c r="H1935" s="273" t="s">
        <v>3462</v>
      </c>
      <c r="I1935" s="720">
        <f t="shared" si="419"/>
        <v>100.91999999999999</v>
      </c>
      <c r="J1935" s="756">
        <v>7367.1599999999989</v>
      </c>
      <c r="K1935" s="131">
        <f t="shared" si="427"/>
        <v>7367.1599999999989</v>
      </c>
      <c r="L1935" s="335">
        <f t="shared" si="423"/>
        <v>0</v>
      </c>
      <c r="M1935" s="446"/>
      <c r="N1935" s="446"/>
      <c r="O1935" s="446"/>
      <c r="P1935" s="446"/>
      <c r="Q1935" s="110">
        <f t="shared" si="429"/>
        <v>18.25</v>
      </c>
      <c r="R1935" s="111">
        <f t="shared" si="420"/>
        <v>1841.7899999999997</v>
      </c>
      <c r="S1935" s="110"/>
      <c r="T1935" s="110"/>
      <c r="U1935" s="110">
        <f t="shared" si="430"/>
        <v>18.25</v>
      </c>
      <c r="V1935" s="111">
        <f t="shared" si="421"/>
        <v>1841.7899999999997</v>
      </c>
      <c r="W1935" s="110"/>
      <c r="X1935" s="110"/>
      <c r="Y1935" s="110"/>
      <c r="Z1935" s="110"/>
      <c r="AA1935" s="110">
        <f t="shared" si="431"/>
        <v>18.25</v>
      </c>
      <c r="AB1935" s="111">
        <f t="shared" ref="AB1935:AB1998" si="432">+J1935/4</f>
        <v>1841.7899999999997</v>
      </c>
      <c r="AC1935" s="110"/>
      <c r="AD1935" s="110"/>
      <c r="AE1935" s="110">
        <f t="shared" si="431"/>
        <v>18.25</v>
      </c>
      <c r="AF1935" s="111">
        <f t="shared" ref="AF1935:AF1998" si="433">+J1935/4</f>
        <v>1841.7899999999997</v>
      </c>
      <c r="AG1935" s="110"/>
      <c r="AH1935" s="110"/>
      <c r="AI1935" s="110"/>
      <c r="AJ1935" s="110"/>
      <c r="AK1935" s="111">
        <f t="shared" si="424"/>
        <v>7367.1599999999989</v>
      </c>
      <c r="AL1935" s="446">
        <f t="shared" si="425"/>
        <v>0</v>
      </c>
      <c r="AM1935" s="110">
        <f t="shared" si="426"/>
        <v>73</v>
      </c>
      <c r="AN1935" s="447">
        <f t="shared" si="428"/>
        <v>0</v>
      </c>
      <c r="AO1935"/>
      <c r="AP1935"/>
    </row>
    <row r="1936" spans="1:42" ht="66" x14ac:dyDescent="0.25">
      <c r="A1936" s="9"/>
      <c r="B1936" s="219" t="s">
        <v>2719</v>
      </c>
      <c r="C1936" s="1024"/>
      <c r="D1936" s="880">
        <v>12</v>
      </c>
      <c r="E1936" s="1025" t="s">
        <v>2628</v>
      </c>
      <c r="F1936" s="273" t="s">
        <v>3446</v>
      </c>
      <c r="G1936" s="1040" t="s">
        <v>3463</v>
      </c>
      <c r="H1936" s="273" t="s">
        <v>3462</v>
      </c>
      <c r="I1936" s="720">
        <f t="shared" si="419"/>
        <v>134.56</v>
      </c>
      <c r="J1936" s="756">
        <v>1614.72</v>
      </c>
      <c r="K1936" s="131">
        <f t="shared" si="427"/>
        <v>1614.72</v>
      </c>
      <c r="L1936" s="335">
        <f t="shared" si="423"/>
        <v>0</v>
      </c>
      <c r="M1936" s="446"/>
      <c r="N1936" s="446"/>
      <c r="O1936" s="446"/>
      <c r="P1936" s="446"/>
      <c r="Q1936" s="110">
        <f t="shared" si="429"/>
        <v>3</v>
      </c>
      <c r="R1936" s="111">
        <f t="shared" si="420"/>
        <v>403.68</v>
      </c>
      <c r="S1936" s="110"/>
      <c r="T1936" s="110"/>
      <c r="U1936" s="110">
        <f t="shared" si="430"/>
        <v>3</v>
      </c>
      <c r="V1936" s="111">
        <f t="shared" si="421"/>
        <v>403.68</v>
      </c>
      <c r="W1936" s="110"/>
      <c r="X1936" s="110"/>
      <c r="Y1936" s="110"/>
      <c r="Z1936" s="110"/>
      <c r="AA1936" s="110">
        <f t="shared" si="431"/>
        <v>3</v>
      </c>
      <c r="AB1936" s="111">
        <f t="shared" si="432"/>
        <v>403.68</v>
      </c>
      <c r="AC1936" s="110"/>
      <c r="AD1936" s="110"/>
      <c r="AE1936" s="110">
        <f t="shared" si="431"/>
        <v>3</v>
      </c>
      <c r="AF1936" s="111">
        <f t="shared" si="433"/>
        <v>403.68</v>
      </c>
      <c r="AG1936" s="110"/>
      <c r="AH1936" s="110"/>
      <c r="AI1936" s="110"/>
      <c r="AJ1936" s="110"/>
      <c r="AK1936" s="111">
        <f t="shared" si="424"/>
        <v>1614.72</v>
      </c>
      <c r="AL1936" s="446">
        <f t="shared" si="425"/>
        <v>0</v>
      </c>
      <c r="AM1936" s="110">
        <f t="shared" si="426"/>
        <v>12</v>
      </c>
      <c r="AN1936" s="447">
        <f t="shared" si="428"/>
        <v>0</v>
      </c>
      <c r="AO1936"/>
      <c r="AP1936"/>
    </row>
    <row r="1937" spans="1:42" ht="66" x14ac:dyDescent="0.25">
      <c r="A1937" s="9"/>
      <c r="B1937" s="219" t="s">
        <v>2720</v>
      </c>
      <c r="C1937" s="1024"/>
      <c r="D1937" s="880">
        <v>26</v>
      </c>
      <c r="E1937" s="1025" t="s">
        <v>2628</v>
      </c>
      <c r="F1937" s="273" t="s">
        <v>3446</v>
      </c>
      <c r="G1937" s="1040" t="s">
        <v>3463</v>
      </c>
      <c r="H1937" s="273" t="s">
        <v>3462</v>
      </c>
      <c r="I1937" s="720">
        <f t="shared" si="419"/>
        <v>75.794399999999996</v>
      </c>
      <c r="J1937" s="756">
        <v>1970.6543999999999</v>
      </c>
      <c r="K1937" s="131">
        <f t="shared" si="427"/>
        <v>1970.6543999999999</v>
      </c>
      <c r="L1937" s="335">
        <f t="shared" si="423"/>
        <v>0</v>
      </c>
      <c r="M1937" s="446"/>
      <c r="N1937" s="446"/>
      <c r="O1937" s="446"/>
      <c r="P1937" s="446"/>
      <c r="Q1937" s="110">
        <v>7</v>
      </c>
      <c r="R1937" s="111">
        <f t="shared" si="420"/>
        <v>492.66359999999997</v>
      </c>
      <c r="S1937" s="110"/>
      <c r="T1937" s="110"/>
      <c r="U1937" s="110">
        <v>7</v>
      </c>
      <c r="V1937" s="111">
        <f t="shared" si="421"/>
        <v>492.66359999999997</v>
      </c>
      <c r="W1937" s="110"/>
      <c r="X1937" s="110"/>
      <c r="Y1937" s="110"/>
      <c r="Z1937" s="110"/>
      <c r="AA1937" s="110">
        <v>6</v>
      </c>
      <c r="AB1937" s="111">
        <f t="shared" si="432"/>
        <v>492.66359999999997</v>
      </c>
      <c r="AC1937" s="110"/>
      <c r="AD1937" s="110"/>
      <c r="AE1937" s="110">
        <v>6</v>
      </c>
      <c r="AF1937" s="111">
        <f t="shared" si="433"/>
        <v>492.66359999999997</v>
      </c>
      <c r="AG1937" s="110"/>
      <c r="AH1937" s="110"/>
      <c r="AI1937" s="110"/>
      <c r="AJ1937" s="110"/>
      <c r="AK1937" s="111">
        <f t="shared" si="424"/>
        <v>1970.6543999999999</v>
      </c>
      <c r="AL1937" s="446">
        <f t="shared" si="425"/>
        <v>0</v>
      </c>
      <c r="AM1937" s="110">
        <f t="shared" si="426"/>
        <v>26</v>
      </c>
      <c r="AN1937" s="447">
        <f t="shared" si="428"/>
        <v>0</v>
      </c>
      <c r="AO1937"/>
      <c r="AP1937"/>
    </row>
    <row r="1938" spans="1:42" ht="66" x14ac:dyDescent="0.25">
      <c r="A1938" s="9"/>
      <c r="B1938" s="219" t="s">
        <v>2721</v>
      </c>
      <c r="C1938" s="1024"/>
      <c r="D1938" s="880">
        <v>12</v>
      </c>
      <c r="E1938" s="1025" t="s">
        <v>2628</v>
      </c>
      <c r="F1938" s="273" t="s">
        <v>3446</v>
      </c>
      <c r="G1938" s="1040" t="s">
        <v>3463</v>
      </c>
      <c r="H1938" s="273" t="s">
        <v>3462</v>
      </c>
      <c r="I1938" s="720">
        <f t="shared" si="419"/>
        <v>220.49279999999999</v>
      </c>
      <c r="J1938" s="756">
        <v>2645.9135999999999</v>
      </c>
      <c r="K1938" s="131">
        <f t="shared" si="427"/>
        <v>2645.9135999999999</v>
      </c>
      <c r="L1938" s="335">
        <f t="shared" si="423"/>
        <v>0</v>
      </c>
      <c r="M1938" s="446"/>
      <c r="N1938" s="446"/>
      <c r="O1938" s="446"/>
      <c r="P1938" s="446"/>
      <c r="Q1938" s="110">
        <f t="shared" si="429"/>
        <v>3</v>
      </c>
      <c r="R1938" s="111">
        <f t="shared" si="420"/>
        <v>661.47839999999997</v>
      </c>
      <c r="S1938" s="110"/>
      <c r="T1938" s="110"/>
      <c r="U1938" s="110">
        <f t="shared" si="430"/>
        <v>3</v>
      </c>
      <c r="V1938" s="111">
        <f t="shared" si="421"/>
        <v>661.47839999999997</v>
      </c>
      <c r="W1938" s="110"/>
      <c r="X1938" s="110"/>
      <c r="Y1938" s="110"/>
      <c r="Z1938" s="110"/>
      <c r="AA1938" s="110">
        <f t="shared" si="431"/>
        <v>3</v>
      </c>
      <c r="AB1938" s="111">
        <f t="shared" si="432"/>
        <v>661.47839999999997</v>
      </c>
      <c r="AC1938" s="110"/>
      <c r="AD1938" s="110"/>
      <c r="AE1938" s="110">
        <f t="shared" si="431"/>
        <v>3</v>
      </c>
      <c r="AF1938" s="111">
        <f t="shared" si="433"/>
        <v>661.47839999999997</v>
      </c>
      <c r="AG1938" s="110"/>
      <c r="AH1938" s="110"/>
      <c r="AI1938" s="110"/>
      <c r="AJ1938" s="110"/>
      <c r="AK1938" s="111">
        <f t="shared" si="424"/>
        <v>2645.9135999999999</v>
      </c>
      <c r="AL1938" s="446">
        <f t="shared" si="425"/>
        <v>0</v>
      </c>
      <c r="AM1938" s="110">
        <f t="shared" si="426"/>
        <v>12</v>
      </c>
      <c r="AN1938" s="447">
        <f t="shared" si="428"/>
        <v>0</v>
      </c>
      <c r="AO1938"/>
      <c r="AP1938"/>
    </row>
    <row r="1939" spans="1:42" ht="66" x14ac:dyDescent="0.25">
      <c r="A1939" s="9"/>
      <c r="B1939" s="219" t="s">
        <v>2722</v>
      </c>
      <c r="C1939" s="1024"/>
      <c r="D1939" s="880">
        <v>30</v>
      </c>
      <c r="E1939" s="1025" t="s">
        <v>1748</v>
      </c>
      <c r="F1939" s="273" t="s">
        <v>3446</v>
      </c>
      <c r="G1939" s="1040" t="s">
        <v>3463</v>
      </c>
      <c r="H1939" s="273" t="s">
        <v>3462</v>
      </c>
      <c r="I1939" s="720">
        <f t="shared" si="419"/>
        <v>177.48</v>
      </c>
      <c r="J1939" s="756">
        <v>5324.4</v>
      </c>
      <c r="K1939" s="131">
        <f t="shared" si="427"/>
        <v>5324.4</v>
      </c>
      <c r="L1939" s="335">
        <f t="shared" si="423"/>
        <v>0</v>
      </c>
      <c r="M1939" s="446"/>
      <c r="N1939" s="446"/>
      <c r="O1939" s="446"/>
      <c r="P1939" s="446"/>
      <c r="Q1939" s="110">
        <v>8</v>
      </c>
      <c r="R1939" s="111">
        <f t="shared" si="420"/>
        <v>1331.1</v>
      </c>
      <c r="S1939" s="110"/>
      <c r="T1939" s="110"/>
      <c r="U1939" s="110">
        <v>8</v>
      </c>
      <c r="V1939" s="111">
        <f t="shared" si="421"/>
        <v>1331.1</v>
      </c>
      <c r="W1939" s="110"/>
      <c r="X1939" s="110"/>
      <c r="Y1939" s="110"/>
      <c r="Z1939" s="110"/>
      <c r="AA1939" s="110">
        <v>7</v>
      </c>
      <c r="AB1939" s="111">
        <f t="shared" si="432"/>
        <v>1331.1</v>
      </c>
      <c r="AC1939" s="110"/>
      <c r="AD1939" s="110"/>
      <c r="AE1939" s="110">
        <v>7</v>
      </c>
      <c r="AF1939" s="111">
        <f t="shared" si="433"/>
        <v>1331.1</v>
      </c>
      <c r="AG1939" s="110"/>
      <c r="AH1939" s="110"/>
      <c r="AI1939" s="110"/>
      <c r="AJ1939" s="110"/>
      <c r="AK1939" s="111">
        <f t="shared" si="424"/>
        <v>5324.4</v>
      </c>
      <c r="AL1939" s="446">
        <f t="shared" si="425"/>
        <v>0</v>
      </c>
      <c r="AM1939" s="110">
        <f t="shared" si="426"/>
        <v>30</v>
      </c>
      <c r="AN1939" s="447">
        <f t="shared" si="428"/>
        <v>0</v>
      </c>
      <c r="AO1939"/>
      <c r="AP1939"/>
    </row>
    <row r="1940" spans="1:42" ht="66" x14ac:dyDescent="0.25">
      <c r="A1940" s="9"/>
      <c r="B1940" s="219" t="s">
        <v>2723</v>
      </c>
      <c r="C1940" s="1024"/>
      <c r="D1940" s="880">
        <v>288</v>
      </c>
      <c r="E1940" s="1025" t="s">
        <v>2628</v>
      </c>
      <c r="F1940" s="273" t="s">
        <v>3446</v>
      </c>
      <c r="G1940" s="1040" t="s">
        <v>3463</v>
      </c>
      <c r="H1940" s="273" t="s">
        <v>3462</v>
      </c>
      <c r="I1940" s="720">
        <f t="shared" si="419"/>
        <v>46.852399999999996</v>
      </c>
      <c r="J1940" s="756">
        <v>13493.491199999999</v>
      </c>
      <c r="K1940" s="131">
        <f t="shared" si="427"/>
        <v>13493.491199999999</v>
      </c>
      <c r="L1940" s="335">
        <f t="shared" si="423"/>
        <v>0</v>
      </c>
      <c r="M1940" s="446"/>
      <c r="N1940" s="446"/>
      <c r="O1940" s="446"/>
      <c r="P1940" s="446"/>
      <c r="Q1940" s="110">
        <f t="shared" si="429"/>
        <v>72</v>
      </c>
      <c r="R1940" s="111">
        <f t="shared" si="420"/>
        <v>3373.3727999999996</v>
      </c>
      <c r="S1940" s="110"/>
      <c r="T1940" s="110"/>
      <c r="U1940" s="110">
        <f t="shared" si="430"/>
        <v>72</v>
      </c>
      <c r="V1940" s="111">
        <f t="shared" si="421"/>
        <v>3373.3727999999996</v>
      </c>
      <c r="W1940" s="110"/>
      <c r="X1940" s="110"/>
      <c r="Y1940" s="110"/>
      <c r="Z1940" s="110"/>
      <c r="AA1940" s="110">
        <f t="shared" si="431"/>
        <v>72</v>
      </c>
      <c r="AB1940" s="111">
        <f t="shared" si="432"/>
        <v>3373.3727999999996</v>
      </c>
      <c r="AC1940" s="110"/>
      <c r="AD1940" s="110"/>
      <c r="AE1940" s="110">
        <f t="shared" si="431"/>
        <v>72</v>
      </c>
      <c r="AF1940" s="111">
        <f t="shared" si="433"/>
        <v>3373.3727999999996</v>
      </c>
      <c r="AG1940" s="110"/>
      <c r="AH1940" s="110"/>
      <c r="AI1940" s="110"/>
      <c r="AJ1940" s="110"/>
      <c r="AK1940" s="111">
        <f t="shared" si="424"/>
        <v>13493.491199999999</v>
      </c>
      <c r="AL1940" s="446">
        <f t="shared" si="425"/>
        <v>0</v>
      </c>
      <c r="AM1940" s="110">
        <f t="shared" si="426"/>
        <v>288</v>
      </c>
      <c r="AN1940" s="447">
        <f t="shared" si="428"/>
        <v>0</v>
      </c>
      <c r="AO1940"/>
      <c r="AP1940"/>
    </row>
    <row r="1941" spans="1:42" ht="66" x14ac:dyDescent="0.25">
      <c r="A1941" s="9"/>
      <c r="B1941" s="149" t="s">
        <v>2724</v>
      </c>
      <c r="C1941" s="1024"/>
      <c r="D1941" s="880">
        <v>8</v>
      </c>
      <c r="E1941" s="1025" t="s">
        <v>1749</v>
      </c>
      <c r="F1941" s="273" t="s">
        <v>3446</v>
      </c>
      <c r="G1941" s="1040" t="s">
        <v>3463</v>
      </c>
      <c r="H1941" s="273" t="s">
        <v>3462</v>
      </c>
      <c r="I1941" s="720">
        <f t="shared" si="419"/>
        <v>191.39999999999998</v>
      </c>
      <c r="J1941" s="756">
        <v>1531.1999999999998</v>
      </c>
      <c r="K1941" s="131">
        <f t="shared" si="427"/>
        <v>1531.1999999999998</v>
      </c>
      <c r="L1941" s="335">
        <f t="shared" si="423"/>
        <v>0</v>
      </c>
      <c r="M1941" s="446"/>
      <c r="N1941" s="446"/>
      <c r="O1941" s="446"/>
      <c r="P1941" s="446"/>
      <c r="Q1941" s="110">
        <f t="shared" si="429"/>
        <v>2</v>
      </c>
      <c r="R1941" s="111">
        <f t="shared" si="420"/>
        <v>382.79999999999995</v>
      </c>
      <c r="S1941" s="110"/>
      <c r="T1941" s="110"/>
      <c r="U1941" s="110">
        <f t="shared" si="430"/>
        <v>2</v>
      </c>
      <c r="V1941" s="111">
        <f t="shared" si="421"/>
        <v>382.79999999999995</v>
      </c>
      <c r="W1941" s="110"/>
      <c r="X1941" s="110"/>
      <c r="Y1941" s="110"/>
      <c r="Z1941" s="110"/>
      <c r="AA1941" s="110">
        <f t="shared" si="431"/>
        <v>2</v>
      </c>
      <c r="AB1941" s="111">
        <f t="shared" si="432"/>
        <v>382.79999999999995</v>
      </c>
      <c r="AC1941" s="110"/>
      <c r="AD1941" s="110"/>
      <c r="AE1941" s="110">
        <f t="shared" si="431"/>
        <v>2</v>
      </c>
      <c r="AF1941" s="111">
        <f t="shared" si="433"/>
        <v>382.79999999999995</v>
      </c>
      <c r="AG1941" s="110"/>
      <c r="AH1941" s="110"/>
      <c r="AI1941" s="110"/>
      <c r="AJ1941" s="110"/>
      <c r="AK1941" s="111">
        <f t="shared" si="424"/>
        <v>1531.1999999999998</v>
      </c>
      <c r="AL1941" s="446">
        <f t="shared" si="425"/>
        <v>0</v>
      </c>
      <c r="AM1941" s="110">
        <f t="shared" si="426"/>
        <v>8</v>
      </c>
      <c r="AN1941" s="447">
        <f t="shared" si="428"/>
        <v>0</v>
      </c>
      <c r="AO1941"/>
      <c r="AP1941"/>
    </row>
    <row r="1942" spans="1:42" ht="66" x14ac:dyDescent="0.25">
      <c r="A1942" s="9"/>
      <c r="B1942" s="227" t="s">
        <v>2725</v>
      </c>
      <c r="C1942" s="1024"/>
      <c r="D1942" s="880">
        <v>240</v>
      </c>
      <c r="E1942" s="1025" t="s">
        <v>2600</v>
      </c>
      <c r="F1942" s="273" t="s">
        <v>3446</v>
      </c>
      <c r="G1942" s="1040" t="s">
        <v>3463</v>
      </c>
      <c r="H1942" s="273" t="s">
        <v>3462</v>
      </c>
      <c r="I1942" s="720">
        <f t="shared" si="419"/>
        <v>95.085199999999986</v>
      </c>
      <c r="J1942" s="756">
        <v>22820.447999999997</v>
      </c>
      <c r="K1942" s="131">
        <f t="shared" si="427"/>
        <v>22820.447999999997</v>
      </c>
      <c r="L1942" s="335">
        <f t="shared" si="423"/>
        <v>0</v>
      </c>
      <c r="M1942" s="446"/>
      <c r="N1942" s="446"/>
      <c r="O1942" s="446"/>
      <c r="P1942" s="446"/>
      <c r="Q1942" s="110">
        <f t="shared" si="429"/>
        <v>60</v>
      </c>
      <c r="R1942" s="111">
        <f t="shared" si="420"/>
        <v>5705.1119999999992</v>
      </c>
      <c r="S1942" s="110"/>
      <c r="T1942" s="110"/>
      <c r="U1942" s="110">
        <f t="shared" si="430"/>
        <v>60</v>
      </c>
      <c r="V1942" s="111">
        <f t="shared" si="421"/>
        <v>5705.1119999999992</v>
      </c>
      <c r="W1942" s="110"/>
      <c r="X1942" s="110"/>
      <c r="Y1942" s="110"/>
      <c r="Z1942" s="110"/>
      <c r="AA1942" s="110">
        <f t="shared" si="431"/>
        <v>60</v>
      </c>
      <c r="AB1942" s="111">
        <f t="shared" si="432"/>
        <v>5705.1119999999992</v>
      </c>
      <c r="AC1942" s="110"/>
      <c r="AD1942" s="110"/>
      <c r="AE1942" s="110">
        <f t="shared" si="431"/>
        <v>60</v>
      </c>
      <c r="AF1942" s="111">
        <f t="shared" si="433"/>
        <v>5705.1119999999992</v>
      </c>
      <c r="AG1942" s="110"/>
      <c r="AH1942" s="110"/>
      <c r="AI1942" s="110"/>
      <c r="AJ1942" s="110"/>
      <c r="AK1942" s="111">
        <f t="shared" si="424"/>
        <v>22820.447999999997</v>
      </c>
      <c r="AL1942" s="446">
        <f t="shared" si="425"/>
        <v>0</v>
      </c>
      <c r="AM1942" s="110">
        <f t="shared" si="426"/>
        <v>240</v>
      </c>
      <c r="AN1942" s="447">
        <f t="shared" si="428"/>
        <v>0</v>
      </c>
      <c r="AO1942"/>
      <c r="AP1942"/>
    </row>
    <row r="1943" spans="1:42" ht="66" x14ac:dyDescent="0.25">
      <c r="A1943" s="9"/>
      <c r="B1943" s="149" t="s">
        <v>385</v>
      </c>
      <c r="C1943" s="1024"/>
      <c r="D1943" s="880">
        <v>53</v>
      </c>
      <c r="E1943" s="1025" t="s">
        <v>1749</v>
      </c>
      <c r="F1943" s="273" t="s">
        <v>3446</v>
      </c>
      <c r="G1943" s="1040" t="s">
        <v>3463</v>
      </c>
      <c r="H1943" s="273" t="s">
        <v>3462</v>
      </c>
      <c r="I1943" s="720">
        <f t="shared" si="419"/>
        <v>461.65679999999998</v>
      </c>
      <c r="J1943" s="756">
        <v>24467.810399999998</v>
      </c>
      <c r="K1943" s="131">
        <f t="shared" si="427"/>
        <v>24467.810399999998</v>
      </c>
      <c r="L1943" s="335">
        <f t="shared" si="423"/>
        <v>0</v>
      </c>
      <c r="M1943" s="446"/>
      <c r="N1943" s="446"/>
      <c r="O1943" s="446"/>
      <c r="P1943" s="446"/>
      <c r="Q1943" s="110">
        <v>14</v>
      </c>
      <c r="R1943" s="111">
        <f t="shared" si="420"/>
        <v>6116.9525999999996</v>
      </c>
      <c r="S1943" s="110"/>
      <c r="T1943" s="110"/>
      <c r="U1943" s="110">
        <v>13</v>
      </c>
      <c r="V1943" s="111">
        <f t="shared" si="421"/>
        <v>6116.9525999999996</v>
      </c>
      <c r="W1943" s="110"/>
      <c r="X1943" s="110"/>
      <c r="Y1943" s="110"/>
      <c r="Z1943" s="110"/>
      <c r="AA1943" s="110">
        <v>14</v>
      </c>
      <c r="AB1943" s="111">
        <f t="shared" si="432"/>
        <v>6116.9525999999996</v>
      </c>
      <c r="AC1943" s="110"/>
      <c r="AD1943" s="110"/>
      <c r="AE1943" s="110">
        <v>12</v>
      </c>
      <c r="AF1943" s="111">
        <f t="shared" si="433"/>
        <v>6116.9525999999996</v>
      </c>
      <c r="AG1943" s="110"/>
      <c r="AH1943" s="110"/>
      <c r="AI1943" s="110"/>
      <c r="AJ1943" s="110"/>
      <c r="AK1943" s="111">
        <f t="shared" si="424"/>
        <v>24467.810399999998</v>
      </c>
      <c r="AL1943" s="446">
        <f t="shared" si="425"/>
        <v>0</v>
      </c>
      <c r="AM1943" s="110">
        <f t="shared" si="426"/>
        <v>53</v>
      </c>
      <c r="AN1943" s="447">
        <f t="shared" si="428"/>
        <v>0</v>
      </c>
      <c r="AO1943"/>
      <c r="AP1943"/>
    </row>
    <row r="1944" spans="1:42" ht="66" x14ac:dyDescent="0.25">
      <c r="A1944" s="9"/>
      <c r="B1944" s="549" t="s">
        <v>2099</v>
      </c>
      <c r="C1944" s="1024"/>
      <c r="D1944" s="907">
        <v>78</v>
      </c>
      <c r="E1944" s="87" t="s">
        <v>3433</v>
      </c>
      <c r="F1944" s="273" t="s">
        <v>3446</v>
      </c>
      <c r="G1944" s="1040" t="s">
        <v>3463</v>
      </c>
      <c r="H1944" s="273" t="s">
        <v>3462</v>
      </c>
      <c r="I1944" s="733">
        <v>250.922</v>
      </c>
      <c r="J1944" s="757">
        <v>19571.916000000001</v>
      </c>
      <c r="K1944" s="131">
        <f t="shared" si="427"/>
        <v>19571.916000000001</v>
      </c>
      <c r="L1944" s="335"/>
      <c r="M1944" s="446"/>
      <c r="N1944" s="446"/>
      <c r="O1944" s="446"/>
      <c r="P1944" s="446"/>
      <c r="Q1944" s="110">
        <v>19</v>
      </c>
      <c r="R1944" s="111">
        <f t="shared" si="420"/>
        <v>4892.9790000000003</v>
      </c>
      <c r="S1944" s="110"/>
      <c r="T1944" s="110"/>
      <c r="U1944" s="110">
        <v>19</v>
      </c>
      <c r="V1944" s="111">
        <f t="shared" si="421"/>
        <v>4892.9790000000003</v>
      </c>
      <c r="W1944" s="110"/>
      <c r="X1944" s="110"/>
      <c r="Y1944" s="110"/>
      <c r="Z1944" s="110"/>
      <c r="AA1944" s="110">
        <v>20</v>
      </c>
      <c r="AB1944" s="111">
        <f t="shared" si="432"/>
        <v>4892.9790000000003</v>
      </c>
      <c r="AC1944" s="110"/>
      <c r="AD1944" s="110"/>
      <c r="AE1944" s="110">
        <v>20</v>
      </c>
      <c r="AF1944" s="111">
        <f t="shared" si="433"/>
        <v>4892.9790000000003</v>
      </c>
      <c r="AG1944" s="110"/>
      <c r="AH1944" s="110"/>
      <c r="AI1944" s="110"/>
      <c r="AJ1944" s="110"/>
      <c r="AK1944" s="111">
        <f t="shared" si="424"/>
        <v>19571.916000000001</v>
      </c>
      <c r="AL1944" s="446">
        <f t="shared" si="425"/>
        <v>0</v>
      </c>
      <c r="AM1944" s="110">
        <f t="shared" si="426"/>
        <v>78</v>
      </c>
      <c r="AN1944" s="447">
        <f t="shared" si="428"/>
        <v>0</v>
      </c>
      <c r="AO1944"/>
      <c r="AP1944"/>
    </row>
    <row r="1945" spans="1:42" x14ac:dyDescent="0.25">
      <c r="A1945" s="9"/>
      <c r="B1945" s="219"/>
      <c r="C1945" s="1024"/>
      <c r="D1945" s="880"/>
      <c r="E1945" s="1025"/>
      <c r="F1945" s="271"/>
      <c r="G1945" s="271"/>
      <c r="H1945" s="271"/>
      <c r="I1945" s="720"/>
      <c r="J1945" s="757"/>
      <c r="K1945" s="131"/>
      <c r="L1945" s="335"/>
      <c r="M1945" s="446"/>
      <c r="N1945" s="446"/>
      <c r="O1945" s="446"/>
      <c r="P1945" s="446"/>
      <c r="Q1945" s="110"/>
      <c r="R1945" s="111"/>
      <c r="S1945" s="110"/>
      <c r="T1945" s="110"/>
      <c r="U1945" s="110"/>
      <c r="V1945" s="111"/>
      <c r="W1945" s="110"/>
      <c r="X1945" s="110"/>
      <c r="Y1945" s="110"/>
      <c r="Z1945" s="110"/>
      <c r="AA1945" s="110"/>
      <c r="AB1945" s="111"/>
      <c r="AC1945" s="110"/>
      <c r="AD1945" s="110"/>
      <c r="AE1945" s="110"/>
      <c r="AF1945" s="111"/>
      <c r="AG1945" s="110"/>
      <c r="AH1945" s="110"/>
      <c r="AI1945" s="110"/>
      <c r="AJ1945" s="110"/>
      <c r="AK1945" s="111"/>
      <c r="AL1945" s="446"/>
      <c r="AM1945" s="110"/>
      <c r="AN1945" s="447"/>
      <c r="AO1945"/>
      <c r="AP1945"/>
    </row>
    <row r="1946" spans="1:42" x14ac:dyDescent="0.25">
      <c r="A1946" s="310">
        <v>22106</v>
      </c>
      <c r="B1946" s="471" t="s">
        <v>475</v>
      </c>
      <c r="C1946" s="311"/>
      <c r="D1946" s="902"/>
      <c r="E1946" s="311"/>
      <c r="F1946" s="371"/>
      <c r="G1946" s="371"/>
      <c r="H1946" s="371"/>
      <c r="I1946" s="729"/>
      <c r="J1946" s="790"/>
      <c r="K1946" s="131">
        <f t="shared" ref="K1946:K2009" si="434">+D1946*I1946</f>
        <v>0</v>
      </c>
      <c r="L1946" s="335">
        <f t="shared" si="423"/>
        <v>0</v>
      </c>
      <c r="M1946" s="421"/>
      <c r="N1946" s="421"/>
      <c r="O1946" s="421"/>
      <c r="P1946" s="421"/>
      <c r="Q1946" s="387">
        <f t="shared" si="429"/>
        <v>0</v>
      </c>
      <c r="R1946" s="314">
        <f t="shared" ref="R1946:R1988" si="435">+J1946/4</f>
        <v>0</v>
      </c>
      <c r="S1946" s="387"/>
      <c r="T1946" s="387"/>
      <c r="U1946" s="387">
        <f t="shared" si="430"/>
        <v>0</v>
      </c>
      <c r="V1946" s="314">
        <f t="shared" ref="V1946:V1988" si="436">+J1946/4</f>
        <v>0</v>
      </c>
      <c r="W1946" s="387"/>
      <c r="X1946" s="387"/>
      <c r="Y1946" s="387"/>
      <c r="Z1946" s="387"/>
      <c r="AA1946" s="387">
        <f t="shared" si="431"/>
        <v>0</v>
      </c>
      <c r="AB1946" s="314">
        <f t="shared" si="432"/>
        <v>0</v>
      </c>
      <c r="AC1946" s="387"/>
      <c r="AD1946" s="387"/>
      <c r="AE1946" s="387">
        <f t="shared" si="431"/>
        <v>0</v>
      </c>
      <c r="AF1946" s="314">
        <f t="shared" si="433"/>
        <v>0</v>
      </c>
      <c r="AG1946" s="387"/>
      <c r="AH1946" s="387"/>
      <c r="AI1946" s="387"/>
      <c r="AJ1946" s="387"/>
      <c r="AK1946" s="314">
        <f t="shared" si="424"/>
        <v>0</v>
      </c>
      <c r="AL1946" s="446">
        <f t="shared" si="425"/>
        <v>0</v>
      </c>
      <c r="AM1946" s="110">
        <f t="shared" si="426"/>
        <v>0</v>
      </c>
      <c r="AN1946" s="447">
        <f t="shared" ref="AN1946:AN2009" si="437">+D1946-AM1946</f>
        <v>0</v>
      </c>
      <c r="AO1946" s="436">
        <f>SUM(J1947:J1954)</f>
        <v>214316.23080000002</v>
      </c>
      <c r="AP1946" s="111"/>
    </row>
    <row r="1947" spans="1:42" ht="66" x14ac:dyDescent="0.25">
      <c r="A1947" s="9"/>
      <c r="B1947" s="1022" t="s">
        <v>476</v>
      </c>
      <c r="C1947" s="390"/>
      <c r="D1947" s="869">
        <f>88+100</f>
        <v>188</v>
      </c>
      <c r="E1947" s="1027" t="s">
        <v>1834</v>
      </c>
      <c r="F1947" s="273" t="s">
        <v>3446</v>
      </c>
      <c r="G1947" s="1040" t="s">
        <v>3463</v>
      </c>
      <c r="H1947" s="273" t="s">
        <v>3462</v>
      </c>
      <c r="I1947" s="720">
        <f t="shared" ref="I1947:I1954" si="438">+J1947/D1947</f>
        <v>30.66989361702128</v>
      </c>
      <c r="J1947" s="780">
        <f>3235.94+2530</f>
        <v>5765.9400000000005</v>
      </c>
      <c r="K1947" s="131">
        <f t="shared" si="434"/>
        <v>5765.9400000000005</v>
      </c>
      <c r="L1947" s="335">
        <f t="shared" si="423"/>
        <v>0</v>
      </c>
      <c r="M1947" s="446"/>
      <c r="N1947" s="446"/>
      <c r="O1947" s="446"/>
      <c r="P1947" s="446"/>
      <c r="Q1947" s="110">
        <f t="shared" si="429"/>
        <v>47</v>
      </c>
      <c r="R1947" s="111">
        <f t="shared" si="435"/>
        <v>1441.4850000000001</v>
      </c>
      <c r="S1947" s="110"/>
      <c r="T1947" s="110"/>
      <c r="U1947" s="110">
        <f t="shared" si="430"/>
        <v>47</v>
      </c>
      <c r="V1947" s="111">
        <f t="shared" si="436"/>
        <v>1441.4850000000001</v>
      </c>
      <c r="W1947" s="110"/>
      <c r="X1947" s="110"/>
      <c r="Y1947" s="110"/>
      <c r="Z1947" s="110"/>
      <c r="AA1947" s="110">
        <f t="shared" si="431"/>
        <v>47</v>
      </c>
      <c r="AB1947" s="111">
        <f t="shared" si="432"/>
        <v>1441.4850000000001</v>
      </c>
      <c r="AC1947" s="110"/>
      <c r="AD1947" s="110"/>
      <c r="AE1947" s="110">
        <f t="shared" si="431"/>
        <v>47</v>
      </c>
      <c r="AF1947" s="111">
        <f t="shared" si="433"/>
        <v>1441.4850000000001</v>
      </c>
      <c r="AG1947" s="110"/>
      <c r="AH1947" s="110"/>
      <c r="AI1947" s="110"/>
      <c r="AJ1947" s="110"/>
      <c r="AK1947" s="111">
        <f t="shared" si="424"/>
        <v>5765.9400000000005</v>
      </c>
      <c r="AL1947" s="446">
        <f t="shared" si="425"/>
        <v>0</v>
      </c>
      <c r="AM1947" s="110">
        <f t="shared" si="426"/>
        <v>188</v>
      </c>
      <c r="AN1947" s="447">
        <f t="shared" si="437"/>
        <v>0</v>
      </c>
      <c r="AO1947"/>
      <c r="AP1947"/>
    </row>
    <row r="1948" spans="1:42" ht="66" x14ac:dyDescent="0.25">
      <c r="A1948" s="9"/>
      <c r="B1948" s="391" t="s">
        <v>477</v>
      </c>
      <c r="C1948" s="1022"/>
      <c r="D1948" s="869">
        <f>264+600+320</f>
        <v>1184</v>
      </c>
      <c r="E1948" s="1027" t="s">
        <v>1834</v>
      </c>
      <c r="F1948" s="273" t="s">
        <v>3446</v>
      </c>
      <c r="G1948" s="1040" t="s">
        <v>3463</v>
      </c>
      <c r="H1948" s="273" t="s">
        <v>3462</v>
      </c>
      <c r="I1948" s="720">
        <f t="shared" si="438"/>
        <v>57.883690878378388</v>
      </c>
      <c r="J1948" s="780">
        <f>18989.94+29700+19844.35</f>
        <v>68534.290000000008</v>
      </c>
      <c r="K1948" s="131">
        <f t="shared" si="434"/>
        <v>68534.290000000008</v>
      </c>
      <c r="L1948" s="335">
        <f t="shared" si="423"/>
        <v>0</v>
      </c>
      <c r="M1948" s="446"/>
      <c r="N1948" s="446"/>
      <c r="O1948" s="446"/>
      <c r="P1948" s="446"/>
      <c r="Q1948" s="110">
        <f t="shared" si="429"/>
        <v>296</v>
      </c>
      <c r="R1948" s="111">
        <f t="shared" si="435"/>
        <v>17133.572500000002</v>
      </c>
      <c r="S1948" s="110"/>
      <c r="T1948" s="110"/>
      <c r="U1948" s="110">
        <f t="shared" si="430"/>
        <v>296</v>
      </c>
      <c r="V1948" s="111">
        <f t="shared" si="436"/>
        <v>17133.572500000002</v>
      </c>
      <c r="W1948" s="110"/>
      <c r="X1948" s="110"/>
      <c r="Y1948" s="110"/>
      <c r="Z1948" s="110"/>
      <c r="AA1948" s="110">
        <f t="shared" si="431"/>
        <v>296</v>
      </c>
      <c r="AB1948" s="111">
        <f t="shared" si="432"/>
        <v>17133.572500000002</v>
      </c>
      <c r="AC1948" s="110"/>
      <c r="AD1948" s="110"/>
      <c r="AE1948" s="110">
        <f t="shared" si="431"/>
        <v>296</v>
      </c>
      <c r="AF1948" s="111">
        <f t="shared" si="433"/>
        <v>17133.572500000002</v>
      </c>
      <c r="AG1948" s="110"/>
      <c r="AH1948" s="110"/>
      <c r="AI1948" s="110"/>
      <c r="AJ1948" s="110"/>
      <c r="AK1948" s="111">
        <f t="shared" si="424"/>
        <v>68534.290000000008</v>
      </c>
      <c r="AL1948" s="446">
        <f t="shared" si="425"/>
        <v>0</v>
      </c>
      <c r="AM1948" s="110">
        <f t="shared" si="426"/>
        <v>1184</v>
      </c>
      <c r="AN1948" s="447">
        <f t="shared" si="437"/>
        <v>0</v>
      </c>
      <c r="AO1948"/>
      <c r="AP1948"/>
    </row>
    <row r="1949" spans="1:42" ht="66" x14ac:dyDescent="0.25">
      <c r="A1949" s="9"/>
      <c r="B1949" s="1022" t="s">
        <v>478</v>
      </c>
      <c r="C1949" s="390"/>
      <c r="D1949" s="869">
        <f>66+80</f>
        <v>146</v>
      </c>
      <c r="E1949" s="1027" t="s">
        <v>1834</v>
      </c>
      <c r="F1949" s="273" t="s">
        <v>3446</v>
      </c>
      <c r="G1949" s="1040" t="s">
        <v>3463</v>
      </c>
      <c r="H1949" s="273" t="s">
        <v>3462</v>
      </c>
      <c r="I1949" s="720">
        <f t="shared" si="438"/>
        <v>156.39328767123286</v>
      </c>
      <c r="J1949" s="780">
        <f>12449.42+10384</f>
        <v>22833.42</v>
      </c>
      <c r="K1949" s="131">
        <f t="shared" si="434"/>
        <v>22833.42</v>
      </c>
      <c r="L1949" s="335">
        <f t="shared" si="423"/>
        <v>0</v>
      </c>
      <c r="M1949" s="446"/>
      <c r="N1949" s="446"/>
      <c r="O1949" s="446"/>
      <c r="P1949" s="446"/>
      <c r="Q1949" s="110">
        <v>50</v>
      </c>
      <c r="R1949" s="111">
        <f t="shared" si="435"/>
        <v>5708.3549999999996</v>
      </c>
      <c r="S1949" s="110"/>
      <c r="T1949" s="110"/>
      <c r="U1949" s="110">
        <v>50</v>
      </c>
      <c r="V1949" s="111">
        <f t="shared" si="436"/>
        <v>5708.3549999999996</v>
      </c>
      <c r="W1949" s="110"/>
      <c r="X1949" s="110"/>
      <c r="Y1949" s="110"/>
      <c r="Z1949" s="110"/>
      <c r="AA1949" s="110">
        <v>20</v>
      </c>
      <c r="AB1949" s="111">
        <f t="shared" si="432"/>
        <v>5708.3549999999996</v>
      </c>
      <c r="AC1949" s="110"/>
      <c r="AD1949" s="110"/>
      <c r="AE1949" s="110">
        <v>26</v>
      </c>
      <c r="AF1949" s="111">
        <f t="shared" si="433"/>
        <v>5708.3549999999996</v>
      </c>
      <c r="AG1949" s="110"/>
      <c r="AH1949" s="110"/>
      <c r="AI1949" s="110"/>
      <c r="AJ1949" s="110"/>
      <c r="AK1949" s="111">
        <f t="shared" si="424"/>
        <v>22833.42</v>
      </c>
      <c r="AL1949" s="446">
        <f t="shared" si="425"/>
        <v>0</v>
      </c>
      <c r="AM1949" s="110">
        <f t="shared" si="426"/>
        <v>146</v>
      </c>
      <c r="AN1949" s="447">
        <f t="shared" si="437"/>
        <v>0</v>
      </c>
      <c r="AO1949"/>
      <c r="AP1949"/>
    </row>
    <row r="1950" spans="1:42" ht="66" x14ac:dyDescent="0.25">
      <c r="A1950" s="9"/>
      <c r="B1950" s="1022" t="s">
        <v>479</v>
      </c>
      <c r="C1950" s="1022"/>
      <c r="D1950" s="869">
        <f>288+151</f>
        <v>439</v>
      </c>
      <c r="E1950" s="1027" t="s">
        <v>1725</v>
      </c>
      <c r="F1950" s="273" t="s">
        <v>3446</v>
      </c>
      <c r="G1950" s="1040" t="s">
        <v>3463</v>
      </c>
      <c r="H1950" s="273" t="s">
        <v>3462</v>
      </c>
      <c r="I1950" s="720">
        <f t="shared" si="438"/>
        <v>138.08658314350797</v>
      </c>
      <c r="J1950" s="780">
        <f>40019.44+20600.57</f>
        <v>60620.01</v>
      </c>
      <c r="K1950" s="131">
        <f t="shared" si="434"/>
        <v>60620.009999999995</v>
      </c>
      <c r="L1950" s="335">
        <f t="shared" si="423"/>
        <v>0</v>
      </c>
      <c r="M1950" s="446"/>
      <c r="N1950" s="446"/>
      <c r="O1950" s="446"/>
      <c r="P1950" s="446"/>
      <c r="Q1950" s="110">
        <v>110</v>
      </c>
      <c r="R1950" s="111">
        <f t="shared" si="435"/>
        <v>15155.002500000001</v>
      </c>
      <c r="S1950" s="110"/>
      <c r="T1950" s="110"/>
      <c r="U1950" s="110">
        <v>109</v>
      </c>
      <c r="V1950" s="111">
        <f t="shared" si="436"/>
        <v>15155.002500000001</v>
      </c>
      <c r="W1950" s="110"/>
      <c r="X1950" s="110"/>
      <c r="Y1950" s="110"/>
      <c r="Z1950" s="110"/>
      <c r="AA1950" s="110">
        <v>100</v>
      </c>
      <c r="AB1950" s="111">
        <f t="shared" si="432"/>
        <v>15155.002500000001</v>
      </c>
      <c r="AC1950" s="110"/>
      <c r="AD1950" s="110"/>
      <c r="AE1950" s="110">
        <v>120</v>
      </c>
      <c r="AF1950" s="111">
        <f t="shared" si="433"/>
        <v>15155.002500000001</v>
      </c>
      <c r="AG1950" s="110"/>
      <c r="AH1950" s="110"/>
      <c r="AI1950" s="110"/>
      <c r="AJ1950" s="110"/>
      <c r="AK1950" s="111">
        <f t="shared" si="424"/>
        <v>60620.01</v>
      </c>
      <c r="AL1950" s="446">
        <f t="shared" si="425"/>
        <v>0</v>
      </c>
      <c r="AM1950" s="110">
        <f t="shared" si="426"/>
        <v>439</v>
      </c>
      <c r="AN1950" s="447">
        <f t="shared" si="437"/>
        <v>0</v>
      </c>
      <c r="AO1950"/>
      <c r="AP1950"/>
    </row>
    <row r="1951" spans="1:42" ht="66" x14ac:dyDescent="0.25">
      <c r="A1951" s="9"/>
      <c r="B1951" s="1022" t="s">
        <v>1439</v>
      </c>
      <c r="C1951" s="390"/>
      <c r="D1951" s="869">
        <f>22+78</f>
        <v>100</v>
      </c>
      <c r="E1951" s="1027" t="s">
        <v>1834</v>
      </c>
      <c r="F1951" s="273" t="s">
        <v>3446</v>
      </c>
      <c r="G1951" s="1040" t="s">
        <v>3463</v>
      </c>
      <c r="H1951" s="273" t="s">
        <v>3462</v>
      </c>
      <c r="I1951" s="720">
        <f t="shared" si="438"/>
        <v>229.06610000000001</v>
      </c>
      <c r="J1951" s="780">
        <f>5943.61+16963</f>
        <v>22906.61</v>
      </c>
      <c r="K1951" s="131">
        <f t="shared" si="434"/>
        <v>22906.61</v>
      </c>
      <c r="L1951" s="335">
        <f t="shared" si="423"/>
        <v>0</v>
      </c>
      <c r="M1951" s="446"/>
      <c r="N1951" s="446"/>
      <c r="O1951" s="446"/>
      <c r="P1951" s="446"/>
      <c r="Q1951" s="110">
        <v>30</v>
      </c>
      <c r="R1951" s="111">
        <f t="shared" si="435"/>
        <v>5726.6525000000001</v>
      </c>
      <c r="S1951" s="110"/>
      <c r="T1951" s="110"/>
      <c r="U1951" s="110">
        <v>30</v>
      </c>
      <c r="V1951" s="111">
        <f t="shared" si="436"/>
        <v>5726.6525000000001</v>
      </c>
      <c r="W1951" s="110"/>
      <c r="X1951" s="110"/>
      <c r="Y1951" s="110"/>
      <c r="Z1951" s="110"/>
      <c r="AA1951" s="110">
        <v>30</v>
      </c>
      <c r="AB1951" s="111">
        <f t="shared" si="432"/>
        <v>5726.6525000000001</v>
      </c>
      <c r="AC1951" s="110"/>
      <c r="AD1951" s="110"/>
      <c r="AE1951" s="110">
        <v>10</v>
      </c>
      <c r="AF1951" s="111">
        <f t="shared" si="433"/>
        <v>5726.6525000000001</v>
      </c>
      <c r="AG1951" s="110"/>
      <c r="AH1951" s="110"/>
      <c r="AI1951" s="110"/>
      <c r="AJ1951" s="110"/>
      <c r="AK1951" s="111">
        <f t="shared" si="424"/>
        <v>22906.61</v>
      </c>
      <c r="AL1951" s="446">
        <f t="shared" si="425"/>
        <v>0</v>
      </c>
      <c r="AM1951" s="110">
        <f t="shared" si="426"/>
        <v>100</v>
      </c>
      <c r="AN1951" s="447">
        <f t="shared" si="437"/>
        <v>0</v>
      </c>
      <c r="AO1951"/>
      <c r="AP1951"/>
    </row>
    <row r="1952" spans="1:42" ht="66" x14ac:dyDescent="0.25">
      <c r="A1952" s="9"/>
      <c r="B1952" s="1022" t="s">
        <v>480</v>
      </c>
      <c r="C1952" s="390"/>
      <c r="D1952" s="869">
        <f>44</f>
        <v>44</v>
      </c>
      <c r="E1952" s="1027" t="s">
        <v>1834</v>
      </c>
      <c r="F1952" s="273" t="s">
        <v>3446</v>
      </c>
      <c r="G1952" s="1040" t="s">
        <v>3463</v>
      </c>
      <c r="H1952" s="273" t="s">
        <v>3462</v>
      </c>
      <c r="I1952" s="720">
        <f t="shared" si="438"/>
        <v>202.49590909090909</v>
      </c>
      <c r="J1952" s="780">
        <f>8909.82</f>
        <v>8909.82</v>
      </c>
      <c r="K1952" s="131">
        <f t="shared" si="434"/>
        <v>8909.82</v>
      </c>
      <c r="L1952" s="335">
        <f t="shared" si="423"/>
        <v>0</v>
      </c>
      <c r="M1952" s="446"/>
      <c r="N1952" s="446"/>
      <c r="O1952" s="446"/>
      <c r="P1952" s="446"/>
      <c r="Q1952" s="110">
        <f t="shared" si="429"/>
        <v>11</v>
      </c>
      <c r="R1952" s="111">
        <f t="shared" si="435"/>
        <v>2227.4549999999999</v>
      </c>
      <c r="S1952" s="110"/>
      <c r="T1952" s="110"/>
      <c r="U1952" s="110">
        <f t="shared" si="430"/>
        <v>11</v>
      </c>
      <c r="V1952" s="111">
        <f t="shared" si="436"/>
        <v>2227.4549999999999</v>
      </c>
      <c r="W1952" s="110"/>
      <c r="X1952" s="110"/>
      <c r="Y1952" s="110"/>
      <c r="Z1952" s="110"/>
      <c r="AA1952" s="110">
        <f t="shared" si="431"/>
        <v>11</v>
      </c>
      <c r="AB1952" s="111">
        <f t="shared" si="432"/>
        <v>2227.4549999999999</v>
      </c>
      <c r="AC1952" s="110"/>
      <c r="AD1952" s="110"/>
      <c r="AE1952" s="110">
        <f t="shared" si="431"/>
        <v>11</v>
      </c>
      <c r="AF1952" s="111">
        <f t="shared" si="433"/>
        <v>2227.4549999999999</v>
      </c>
      <c r="AG1952" s="110"/>
      <c r="AH1952" s="110"/>
      <c r="AI1952" s="110"/>
      <c r="AJ1952" s="110"/>
      <c r="AK1952" s="111">
        <f t="shared" si="424"/>
        <v>8909.82</v>
      </c>
      <c r="AL1952" s="446">
        <f t="shared" si="425"/>
        <v>0</v>
      </c>
      <c r="AM1952" s="110">
        <f t="shared" si="426"/>
        <v>44</v>
      </c>
      <c r="AN1952" s="447">
        <f t="shared" si="437"/>
        <v>0</v>
      </c>
      <c r="AO1952"/>
      <c r="AP1952"/>
    </row>
    <row r="1953" spans="1:42" ht="66" x14ac:dyDescent="0.25">
      <c r="A1953" s="9"/>
      <c r="B1953" s="219" t="s">
        <v>2726</v>
      </c>
      <c r="C1953" s="50"/>
      <c r="D1953" s="908">
        <v>60</v>
      </c>
      <c r="E1953" s="1027" t="s">
        <v>1834</v>
      </c>
      <c r="F1953" s="273" t="s">
        <v>3446</v>
      </c>
      <c r="G1953" s="1040" t="s">
        <v>3463</v>
      </c>
      <c r="H1953" s="273" t="s">
        <v>3462</v>
      </c>
      <c r="I1953" s="720">
        <f t="shared" si="438"/>
        <v>185.97119999999998</v>
      </c>
      <c r="J1953" s="773">
        <v>11158.271999999999</v>
      </c>
      <c r="K1953" s="131">
        <f t="shared" si="434"/>
        <v>11158.271999999999</v>
      </c>
      <c r="L1953" s="335">
        <f t="shared" si="423"/>
        <v>0</v>
      </c>
      <c r="M1953" s="446"/>
      <c r="N1953" s="446"/>
      <c r="O1953" s="446"/>
      <c r="P1953" s="446"/>
      <c r="Q1953" s="110">
        <f t="shared" si="429"/>
        <v>15</v>
      </c>
      <c r="R1953" s="111">
        <f t="shared" si="435"/>
        <v>2789.5679999999998</v>
      </c>
      <c r="S1953" s="110"/>
      <c r="T1953" s="110"/>
      <c r="U1953" s="110">
        <f t="shared" si="430"/>
        <v>15</v>
      </c>
      <c r="V1953" s="111">
        <f t="shared" si="436"/>
        <v>2789.5679999999998</v>
      </c>
      <c r="W1953" s="110"/>
      <c r="X1953" s="110"/>
      <c r="Y1953" s="110"/>
      <c r="Z1953" s="110"/>
      <c r="AA1953" s="110">
        <f t="shared" si="431"/>
        <v>15</v>
      </c>
      <c r="AB1953" s="111">
        <f t="shared" si="432"/>
        <v>2789.5679999999998</v>
      </c>
      <c r="AC1953" s="110"/>
      <c r="AD1953" s="110"/>
      <c r="AE1953" s="110">
        <f t="shared" si="431"/>
        <v>15</v>
      </c>
      <c r="AF1953" s="111">
        <f t="shared" si="433"/>
        <v>2789.5679999999998</v>
      </c>
      <c r="AG1953" s="110"/>
      <c r="AH1953" s="110"/>
      <c r="AI1953" s="110"/>
      <c r="AJ1953" s="110"/>
      <c r="AK1953" s="111">
        <f t="shared" si="424"/>
        <v>11158.271999999999</v>
      </c>
      <c r="AL1953" s="446">
        <f t="shared" si="425"/>
        <v>0</v>
      </c>
      <c r="AM1953" s="110">
        <f t="shared" si="426"/>
        <v>60</v>
      </c>
      <c r="AN1953" s="447">
        <f t="shared" si="437"/>
        <v>0</v>
      </c>
      <c r="AO1953"/>
      <c r="AP1953"/>
    </row>
    <row r="1954" spans="1:42" ht="66" x14ac:dyDescent="0.25">
      <c r="A1954" s="9"/>
      <c r="B1954" s="219" t="s">
        <v>2727</v>
      </c>
      <c r="C1954" s="1024"/>
      <c r="D1954" s="869">
        <v>60</v>
      </c>
      <c r="E1954" s="1027" t="s">
        <v>1834</v>
      </c>
      <c r="F1954" s="273" t="s">
        <v>3446</v>
      </c>
      <c r="G1954" s="1040" t="s">
        <v>3463</v>
      </c>
      <c r="H1954" s="273" t="s">
        <v>3462</v>
      </c>
      <c r="I1954" s="720">
        <f t="shared" si="438"/>
        <v>226.46448000000001</v>
      </c>
      <c r="J1954" s="756">
        <v>13587.8688</v>
      </c>
      <c r="K1954" s="131">
        <f t="shared" si="434"/>
        <v>13587.8688</v>
      </c>
      <c r="L1954" s="335">
        <f t="shared" si="423"/>
        <v>0</v>
      </c>
      <c r="M1954" s="446"/>
      <c r="N1954" s="446"/>
      <c r="O1954" s="446"/>
      <c r="P1954" s="446"/>
      <c r="Q1954" s="110">
        <f t="shared" si="429"/>
        <v>15</v>
      </c>
      <c r="R1954" s="111">
        <f t="shared" si="435"/>
        <v>3396.9672</v>
      </c>
      <c r="S1954" s="110"/>
      <c r="T1954" s="110"/>
      <c r="U1954" s="110">
        <f t="shared" si="430"/>
        <v>15</v>
      </c>
      <c r="V1954" s="111">
        <f t="shared" si="436"/>
        <v>3396.9672</v>
      </c>
      <c r="W1954" s="110"/>
      <c r="X1954" s="110"/>
      <c r="Y1954" s="110"/>
      <c r="Z1954" s="110"/>
      <c r="AA1954" s="110">
        <f t="shared" si="431"/>
        <v>15</v>
      </c>
      <c r="AB1954" s="111">
        <f t="shared" si="432"/>
        <v>3396.9672</v>
      </c>
      <c r="AC1954" s="110"/>
      <c r="AD1954" s="110"/>
      <c r="AE1954" s="110">
        <f t="shared" si="431"/>
        <v>15</v>
      </c>
      <c r="AF1954" s="111">
        <f t="shared" si="433"/>
        <v>3396.9672</v>
      </c>
      <c r="AG1954" s="110"/>
      <c r="AH1954" s="110"/>
      <c r="AI1954" s="110"/>
      <c r="AJ1954" s="110"/>
      <c r="AK1954" s="111">
        <f t="shared" si="424"/>
        <v>13587.8688</v>
      </c>
      <c r="AL1954" s="446">
        <f t="shared" si="425"/>
        <v>0</v>
      </c>
      <c r="AM1954" s="110">
        <f t="shared" si="426"/>
        <v>60</v>
      </c>
      <c r="AN1954" s="447">
        <f t="shared" si="437"/>
        <v>0</v>
      </c>
      <c r="AO1954"/>
      <c r="AP1954"/>
    </row>
    <row r="1955" spans="1:42" x14ac:dyDescent="0.25">
      <c r="A1955" s="376">
        <v>222</v>
      </c>
      <c r="B1955" s="565" t="s">
        <v>481</v>
      </c>
      <c r="C1955" s="416"/>
      <c r="D1955" s="1006"/>
      <c r="E1955" s="1007"/>
      <c r="F1955" s="1008"/>
      <c r="G1955" s="1008"/>
      <c r="H1955" s="1008"/>
      <c r="I1955" s="734"/>
      <c r="J1955" s="804"/>
      <c r="K1955" s="131">
        <f t="shared" si="434"/>
        <v>0</v>
      </c>
      <c r="L1955" s="335">
        <f t="shared" si="423"/>
        <v>0</v>
      </c>
      <c r="M1955" s="419"/>
      <c r="N1955" s="419"/>
      <c r="O1955" s="419"/>
      <c r="P1955" s="419"/>
      <c r="Q1955" s="418">
        <f t="shared" si="429"/>
        <v>0</v>
      </c>
      <c r="R1955" s="379">
        <f t="shared" si="435"/>
        <v>0</v>
      </c>
      <c r="S1955" s="418"/>
      <c r="T1955" s="418"/>
      <c r="U1955" s="418">
        <f t="shared" si="430"/>
        <v>0</v>
      </c>
      <c r="V1955" s="379">
        <f t="shared" si="436"/>
        <v>0</v>
      </c>
      <c r="W1955" s="418"/>
      <c r="X1955" s="418"/>
      <c r="Y1955" s="418"/>
      <c r="Z1955" s="418"/>
      <c r="AA1955" s="418">
        <f t="shared" si="431"/>
        <v>0</v>
      </c>
      <c r="AB1955" s="379">
        <f t="shared" si="432"/>
        <v>0</v>
      </c>
      <c r="AC1955" s="418"/>
      <c r="AD1955" s="418"/>
      <c r="AE1955" s="418">
        <f t="shared" si="431"/>
        <v>0</v>
      </c>
      <c r="AF1955" s="379">
        <f t="shared" si="433"/>
        <v>0</v>
      </c>
      <c r="AG1955" s="418"/>
      <c r="AH1955" s="418"/>
      <c r="AI1955" s="418"/>
      <c r="AJ1955" s="418"/>
      <c r="AK1955" s="379">
        <f t="shared" si="424"/>
        <v>0</v>
      </c>
      <c r="AL1955" s="446">
        <f t="shared" si="425"/>
        <v>0</v>
      </c>
      <c r="AM1955" s="110">
        <f t="shared" si="426"/>
        <v>0</v>
      </c>
      <c r="AN1955" s="447">
        <f t="shared" si="437"/>
        <v>0</v>
      </c>
      <c r="AO1955" s="108"/>
      <c r="AP1955"/>
    </row>
    <row r="1956" spans="1:42" x14ac:dyDescent="0.25">
      <c r="A1956" s="310">
        <v>22201</v>
      </c>
      <c r="B1956" s="471" t="s">
        <v>482</v>
      </c>
      <c r="C1956" s="311"/>
      <c r="D1956" s="902"/>
      <c r="E1956" s="311"/>
      <c r="F1956" s="371"/>
      <c r="G1956" s="371"/>
      <c r="H1956" s="371"/>
      <c r="I1956" s="729"/>
      <c r="J1956" s="783"/>
      <c r="K1956" s="131">
        <f t="shared" si="434"/>
        <v>0</v>
      </c>
      <c r="L1956" s="335">
        <f t="shared" si="423"/>
        <v>0</v>
      </c>
      <c r="M1956" s="421"/>
      <c r="N1956" s="421"/>
      <c r="O1956" s="421"/>
      <c r="P1956" s="421"/>
      <c r="Q1956" s="387">
        <f t="shared" si="429"/>
        <v>0</v>
      </c>
      <c r="R1956" s="314">
        <f t="shared" si="435"/>
        <v>0</v>
      </c>
      <c r="S1956" s="387"/>
      <c r="T1956" s="387"/>
      <c r="U1956" s="387">
        <f t="shared" si="430"/>
        <v>0</v>
      </c>
      <c r="V1956" s="314">
        <f t="shared" si="436"/>
        <v>0</v>
      </c>
      <c r="W1956" s="387"/>
      <c r="X1956" s="387"/>
      <c r="Y1956" s="387"/>
      <c r="Z1956" s="387"/>
      <c r="AA1956" s="387">
        <f t="shared" si="431"/>
        <v>0</v>
      </c>
      <c r="AB1956" s="314">
        <f t="shared" si="432"/>
        <v>0</v>
      </c>
      <c r="AC1956" s="387"/>
      <c r="AD1956" s="387"/>
      <c r="AE1956" s="387">
        <f t="shared" si="431"/>
        <v>0</v>
      </c>
      <c r="AF1956" s="314">
        <f t="shared" si="433"/>
        <v>0</v>
      </c>
      <c r="AG1956" s="387"/>
      <c r="AH1956" s="387"/>
      <c r="AI1956" s="387"/>
      <c r="AJ1956" s="387"/>
      <c r="AK1956" s="314">
        <f t="shared" si="424"/>
        <v>0</v>
      </c>
      <c r="AL1956" s="421">
        <f t="shared" si="425"/>
        <v>0</v>
      </c>
      <c r="AM1956" s="387">
        <f t="shared" si="426"/>
        <v>0</v>
      </c>
      <c r="AN1956" s="422">
        <f t="shared" si="437"/>
        <v>0</v>
      </c>
      <c r="AO1956" s="108"/>
      <c r="AP1956"/>
    </row>
    <row r="1957" spans="1:42" s="108" customFormat="1" x14ac:dyDescent="0.25">
      <c r="A1957" s="9"/>
      <c r="B1957" s="518"/>
      <c r="C1957" s="1024"/>
      <c r="D1957" s="869"/>
      <c r="E1957" s="1027"/>
      <c r="F1957" s="272"/>
      <c r="G1957" s="272"/>
      <c r="H1957" s="272"/>
      <c r="I1957" s="722"/>
      <c r="J1957" s="756"/>
      <c r="K1957" s="131">
        <f t="shared" si="434"/>
        <v>0</v>
      </c>
      <c r="L1957" s="335">
        <f t="shared" si="423"/>
        <v>0</v>
      </c>
      <c r="M1957" s="335"/>
      <c r="N1957" s="335"/>
      <c r="O1957" s="335"/>
      <c r="P1957" s="335"/>
      <c r="Q1957" s="130">
        <f t="shared" si="429"/>
        <v>0</v>
      </c>
      <c r="R1957" s="131">
        <f t="shared" si="435"/>
        <v>0</v>
      </c>
      <c r="S1957" s="130"/>
      <c r="T1957" s="130"/>
      <c r="U1957" s="130">
        <f t="shared" si="430"/>
        <v>0</v>
      </c>
      <c r="V1957" s="131">
        <f t="shared" si="436"/>
        <v>0</v>
      </c>
      <c r="W1957" s="130"/>
      <c r="X1957" s="130"/>
      <c r="Y1957" s="130"/>
      <c r="Z1957" s="130"/>
      <c r="AA1957" s="130">
        <f t="shared" si="431"/>
        <v>0</v>
      </c>
      <c r="AB1957" s="131">
        <f t="shared" si="432"/>
        <v>0</v>
      </c>
      <c r="AC1957" s="130"/>
      <c r="AD1957" s="130"/>
      <c r="AE1957" s="130">
        <f t="shared" si="431"/>
        <v>0</v>
      </c>
      <c r="AF1957" s="131">
        <f t="shared" si="433"/>
        <v>0</v>
      </c>
      <c r="AG1957" s="130"/>
      <c r="AH1957" s="130"/>
      <c r="AI1957" s="130"/>
      <c r="AJ1957" s="130"/>
      <c r="AK1957" s="131">
        <f t="shared" si="424"/>
        <v>0</v>
      </c>
      <c r="AL1957" s="335">
        <f t="shared" si="425"/>
        <v>0</v>
      </c>
      <c r="AM1957" s="130">
        <f t="shared" si="426"/>
        <v>0</v>
      </c>
      <c r="AN1957" s="336">
        <f t="shared" si="437"/>
        <v>0</v>
      </c>
    </row>
    <row r="1958" spans="1:42" x14ac:dyDescent="0.25">
      <c r="A1958" s="310">
        <v>22202</v>
      </c>
      <c r="B1958" s="471" t="s">
        <v>483</v>
      </c>
      <c r="C1958" s="311"/>
      <c r="D1958" s="902"/>
      <c r="E1958" s="311"/>
      <c r="F1958" s="371"/>
      <c r="G1958" s="371"/>
      <c r="H1958" s="371"/>
      <c r="I1958" s="729"/>
      <c r="J1958" s="783"/>
      <c r="K1958" s="131">
        <f t="shared" si="434"/>
        <v>0</v>
      </c>
      <c r="L1958" s="335">
        <f t="shared" si="423"/>
        <v>0</v>
      </c>
      <c r="M1958" s="421"/>
      <c r="N1958" s="421"/>
      <c r="O1958" s="421"/>
      <c r="P1958" s="421"/>
      <c r="Q1958" s="387">
        <f t="shared" si="429"/>
        <v>0</v>
      </c>
      <c r="R1958" s="314">
        <f t="shared" si="435"/>
        <v>0</v>
      </c>
      <c r="S1958" s="387"/>
      <c r="T1958" s="387"/>
      <c r="U1958" s="387">
        <f t="shared" si="430"/>
        <v>0</v>
      </c>
      <c r="V1958" s="314">
        <f t="shared" si="436"/>
        <v>0</v>
      </c>
      <c r="W1958" s="387"/>
      <c r="X1958" s="387"/>
      <c r="Y1958" s="387"/>
      <c r="Z1958" s="387"/>
      <c r="AA1958" s="387">
        <f t="shared" si="431"/>
        <v>0</v>
      </c>
      <c r="AB1958" s="314">
        <f t="shared" si="432"/>
        <v>0</v>
      </c>
      <c r="AC1958" s="387"/>
      <c r="AD1958" s="387"/>
      <c r="AE1958" s="387">
        <f t="shared" si="431"/>
        <v>0</v>
      </c>
      <c r="AF1958" s="314">
        <f t="shared" si="433"/>
        <v>0</v>
      </c>
      <c r="AG1958" s="387"/>
      <c r="AH1958" s="387"/>
      <c r="AI1958" s="387"/>
      <c r="AJ1958" s="387"/>
      <c r="AK1958" s="314">
        <f t="shared" si="424"/>
        <v>0</v>
      </c>
      <c r="AL1958" s="421">
        <f t="shared" si="425"/>
        <v>0</v>
      </c>
      <c r="AM1958" s="387">
        <f t="shared" si="426"/>
        <v>0</v>
      </c>
      <c r="AN1958" s="422">
        <f t="shared" si="437"/>
        <v>0</v>
      </c>
      <c r="AO1958" s="108"/>
      <c r="AP1958"/>
    </row>
    <row r="1959" spans="1:42" s="108" customFormat="1" x14ac:dyDescent="0.25">
      <c r="A1959" s="9"/>
      <c r="B1959" s="518"/>
      <c r="C1959" s="1024"/>
      <c r="D1959" s="869"/>
      <c r="E1959" s="1027"/>
      <c r="F1959" s="272"/>
      <c r="G1959" s="272"/>
      <c r="H1959" s="272"/>
      <c r="I1959" s="722"/>
      <c r="J1959" s="756"/>
      <c r="K1959" s="131">
        <f t="shared" si="434"/>
        <v>0</v>
      </c>
      <c r="L1959" s="335">
        <f t="shared" si="423"/>
        <v>0</v>
      </c>
      <c r="M1959" s="335"/>
      <c r="N1959" s="335"/>
      <c r="O1959" s="335"/>
      <c r="P1959" s="335"/>
      <c r="Q1959" s="130">
        <f t="shared" si="429"/>
        <v>0</v>
      </c>
      <c r="R1959" s="131">
        <f t="shared" si="435"/>
        <v>0</v>
      </c>
      <c r="S1959" s="130"/>
      <c r="T1959" s="130"/>
      <c r="U1959" s="130">
        <f t="shared" si="430"/>
        <v>0</v>
      </c>
      <c r="V1959" s="131">
        <f t="shared" si="436"/>
        <v>0</v>
      </c>
      <c r="W1959" s="130"/>
      <c r="X1959" s="130"/>
      <c r="Y1959" s="130"/>
      <c r="Z1959" s="130"/>
      <c r="AA1959" s="130">
        <f t="shared" si="431"/>
        <v>0</v>
      </c>
      <c r="AB1959" s="131">
        <f t="shared" si="432"/>
        <v>0</v>
      </c>
      <c r="AC1959" s="130"/>
      <c r="AD1959" s="130"/>
      <c r="AE1959" s="130">
        <f t="shared" si="431"/>
        <v>0</v>
      </c>
      <c r="AF1959" s="131">
        <f t="shared" si="433"/>
        <v>0</v>
      </c>
      <c r="AG1959" s="130"/>
      <c r="AH1959" s="130"/>
      <c r="AI1959" s="130"/>
      <c r="AJ1959" s="130"/>
      <c r="AK1959" s="131">
        <f t="shared" si="424"/>
        <v>0</v>
      </c>
      <c r="AL1959" s="335">
        <f t="shared" si="425"/>
        <v>0</v>
      </c>
      <c r="AM1959" s="130">
        <f t="shared" si="426"/>
        <v>0</v>
      </c>
      <c r="AN1959" s="336">
        <f t="shared" si="437"/>
        <v>0</v>
      </c>
    </row>
    <row r="1960" spans="1:42" x14ac:dyDescent="0.25">
      <c r="A1960" s="310">
        <v>22203</v>
      </c>
      <c r="B1960" s="471" t="s">
        <v>484</v>
      </c>
      <c r="C1960" s="311"/>
      <c r="D1960" s="902"/>
      <c r="E1960" s="311"/>
      <c r="F1960" s="371"/>
      <c r="G1960" s="371"/>
      <c r="H1960" s="371"/>
      <c r="I1960" s="729"/>
      <c r="J1960" s="783"/>
      <c r="K1960" s="131">
        <f t="shared" si="434"/>
        <v>0</v>
      </c>
      <c r="L1960" s="335">
        <f t="shared" si="423"/>
        <v>0</v>
      </c>
      <c r="M1960" s="421"/>
      <c r="N1960" s="421"/>
      <c r="O1960" s="421"/>
      <c r="P1960" s="421"/>
      <c r="Q1960" s="387">
        <f t="shared" si="429"/>
        <v>0</v>
      </c>
      <c r="R1960" s="314">
        <f t="shared" si="435"/>
        <v>0</v>
      </c>
      <c r="S1960" s="387"/>
      <c r="T1960" s="387"/>
      <c r="U1960" s="387">
        <f t="shared" si="430"/>
        <v>0</v>
      </c>
      <c r="V1960" s="314">
        <f t="shared" si="436"/>
        <v>0</v>
      </c>
      <c r="W1960" s="387"/>
      <c r="X1960" s="387"/>
      <c r="Y1960" s="387"/>
      <c r="Z1960" s="387"/>
      <c r="AA1960" s="387">
        <f t="shared" si="431"/>
        <v>0</v>
      </c>
      <c r="AB1960" s="314">
        <f t="shared" si="432"/>
        <v>0</v>
      </c>
      <c r="AC1960" s="387"/>
      <c r="AD1960" s="387"/>
      <c r="AE1960" s="387">
        <f t="shared" si="431"/>
        <v>0</v>
      </c>
      <c r="AF1960" s="314">
        <f t="shared" si="433"/>
        <v>0</v>
      </c>
      <c r="AG1960" s="387"/>
      <c r="AH1960" s="387"/>
      <c r="AI1960" s="387"/>
      <c r="AJ1960" s="387"/>
      <c r="AK1960" s="314">
        <f t="shared" si="424"/>
        <v>0</v>
      </c>
      <c r="AL1960" s="421">
        <f t="shared" si="425"/>
        <v>0</v>
      </c>
      <c r="AM1960" s="387">
        <f t="shared" si="426"/>
        <v>0</v>
      </c>
      <c r="AN1960" s="422">
        <f t="shared" si="437"/>
        <v>0</v>
      </c>
      <c r="AO1960" s="108"/>
      <c r="AP1960"/>
    </row>
    <row r="1961" spans="1:42" s="108" customFormat="1" x14ac:dyDescent="0.25">
      <c r="A1961" s="9"/>
      <c r="B1961" s="518"/>
      <c r="C1961" s="1024"/>
      <c r="D1961" s="869"/>
      <c r="E1961" s="1027"/>
      <c r="F1961" s="272"/>
      <c r="G1961" s="272"/>
      <c r="H1961" s="272"/>
      <c r="I1961" s="722"/>
      <c r="J1961" s="756"/>
      <c r="K1961" s="131">
        <f t="shared" si="434"/>
        <v>0</v>
      </c>
      <c r="L1961" s="335">
        <f t="shared" si="423"/>
        <v>0</v>
      </c>
      <c r="M1961" s="335"/>
      <c r="N1961" s="335"/>
      <c r="O1961" s="335"/>
      <c r="P1961" s="335"/>
      <c r="Q1961" s="130">
        <f t="shared" si="429"/>
        <v>0</v>
      </c>
      <c r="R1961" s="131">
        <f t="shared" si="435"/>
        <v>0</v>
      </c>
      <c r="S1961" s="130"/>
      <c r="T1961" s="130"/>
      <c r="U1961" s="130">
        <f t="shared" si="430"/>
        <v>0</v>
      </c>
      <c r="V1961" s="131">
        <f t="shared" si="436"/>
        <v>0</v>
      </c>
      <c r="W1961" s="130"/>
      <c r="X1961" s="130"/>
      <c r="Y1961" s="130"/>
      <c r="Z1961" s="130"/>
      <c r="AA1961" s="130">
        <f t="shared" si="431"/>
        <v>0</v>
      </c>
      <c r="AB1961" s="131">
        <f t="shared" si="432"/>
        <v>0</v>
      </c>
      <c r="AC1961" s="130"/>
      <c r="AD1961" s="130"/>
      <c r="AE1961" s="130">
        <f t="shared" si="431"/>
        <v>0</v>
      </c>
      <c r="AF1961" s="131">
        <f t="shared" si="433"/>
        <v>0</v>
      </c>
      <c r="AG1961" s="130"/>
      <c r="AH1961" s="130"/>
      <c r="AI1961" s="130"/>
      <c r="AJ1961" s="130"/>
      <c r="AK1961" s="131">
        <f t="shared" si="424"/>
        <v>0</v>
      </c>
      <c r="AL1961" s="335">
        <f t="shared" si="425"/>
        <v>0</v>
      </c>
      <c r="AM1961" s="130">
        <f t="shared" si="426"/>
        <v>0</v>
      </c>
      <c r="AN1961" s="336">
        <f t="shared" si="437"/>
        <v>0</v>
      </c>
    </row>
    <row r="1962" spans="1:42" x14ac:dyDescent="0.25">
      <c r="A1962" s="310">
        <v>22204</v>
      </c>
      <c r="B1962" s="471" t="s">
        <v>485</v>
      </c>
      <c r="C1962" s="311"/>
      <c r="D1962" s="902"/>
      <c r="E1962" s="311"/>
      <c r="F1962" s="371"/>
      <c r="G1962" s="371"/>
      <c r="H1962" s="371"/>
      <c r="I1962" s="729"/>
      <c r="J1962" s="783"/>
      <c r="K1962" s="131">
        <f t="shared" si="434"/>
        <v>0</v>
      </c>
      <c r="L1962" s="335">
        <f t="shared" si="423"/>
        <v>0</v>
      </c>
      <c r="M1962" s="421"/>
      <c r="N1962" s="421"/>
      <c r="O1962" s="421"/>
      <c r="P1962" s="421"/>
      <c r="Q1962" s="387">
        <f t="shared" si="429"/>
        <v>0</v>
      </c>
      <c r="R1962" s="314">
        <f t="shared" si="435"/>
        <v>0</v>
      </c>
      <c r="S1962" s="387"/>
      <c r="T1962" s="387"/>
      <c r="U1962" s="387">
        <f t="shared" si="430"/>
        <v>0</v>
      </c>
      <c r="V1962" s="314">
        <f t="shared" si="436"/>
        <v>0</v>
      </c>
      <c r="W1962" s="387"/>
      <c r="X1962" s="387"/>
      <c r="Y1962" s="387"/>
      <c r="Z1962" s="387"/>
      <c r="AA1962" s="387">
        <f t="shared" si="431"/>
        <v>0</v>
      </c>
      <c r="AB1962" s="314">
        <f t="shared" si="432"/>
        <v>0</v>
      </c>
      <c r="AC1962" s="387"/>
      <c r="AD1962" s="387"/>
      <c r="AE1962" s="387">
        <f t="shared" si="431"/>
        <v>0</v>
      </c>
      <c r="AF1962" s="314">
        <f t="shared" si="433"/>
        <v>0</v>
      </c>
      <c r="AG1962" s="387"/>
      <c r="AH1962" s="387"/>
      <c r="AI1962" s="387"/>
      <c r="AJ1962" s="387"/>
      <c r="AK1962" s="314">
        <f t="shared" si="424"/>
        <v>0</v>
      </c>
      <c r="AL1962" s="421">
        <f t="shared" si="425"/>
        <v>0</v>
      </c>
      <c r="AM1962" s="387">
        <f t="shared" si="426"/>
        <v>0</v>
      </c>
      <c r="AN1962" s="422">
        <f t="shared" si="437"/>
        <v>0</v>
      </c>
      <c r="AO1962" s="108"/>
      <c r="AP1962"/>
    </row>
    <row r="1963" spans="1:42" s="108" customFormat="1" x14ac:dyDescent="0.25">
      <c r="A1963" s="9"/>
      <c r="B1963" s="518"/>
      <c r="C1963" s="1024"/>
      <c r="D1963" s="869"/>
      <c r="E1963" s="1027"/>
      <c r="F1963" s="272"/>
      <c r="G1963" s="272"/>
      <c r="H1963" s="272"/>
      <c r="I1963" s="722"/>
      <c r="J1963" s="756"/>
      <c r="K1963" s="131">
        <f t="shared" si="434"/>
        <v>0</v>
      </c>
      <c r="L1963" s="335">
        <f t="shared" si="423"/>
        <v>0</v>
      </c>
      <c r="M1963" s="335"/>
      <c r="N1963" s="335"/>
      <c r="O1963" s="335"/>
      <c r="P1963" s="335"/>
      <c r="Q1963" s="130">
        <f t="shared" si="429"/>
        <v>0</v>
      </c>
      <c r="R1963" s="131">
        <f t="shared" si="435"/>
        <v>0</v>
      </c>
      <c r="S1963" s="130"/>
      <c r="T1963" s="130"/>
      <c r="U1963" s="130">
        <f t="shared" si="430"/>
        <v>0</v>
      </c>
      <c r="V1963" s="131">
        <f t="shared" si="436"/>
        <v>0</v>
      </c>
      <c r="W1963" s="130"/>
      <c r="X1963" s="130"/>
      <c r="Y1963" s="130"/>
      <c r="Z1963" s="130"/>
      <c r="AA1963" s="130">
        <f t="shared" si="431"/>
        <v>0</v>
      </c>
      <c r="AB1963" s="131">
        <f t="shared" si="432"/>
        <v>0</v>
      </c>
      <c r="AC1963" s="130"/>
      <c r="AD1963" s="130"/>
      <c r="AE1963" s="130">
        <f t="shared" si="431"/>
        <v>0</v>
      </c>
      <c r="AF1963" s="131">
        <f t="shared" si="433"/>
        <v>0</v>
      </c>
      <c r="AG1963" s="130"/>
      <c r="AH1963" s="130"/>
      <c r="AI1963" s="130"/>
      <c r="AJ1963" s="130"/>
      <c r="AK1963" s="131">
        <f t="shared" si="424"/>
        <v>0</v>
      </c>
      <c r="AL1963" s="335">
        <f t="shared" si="425"/>
        <v>0</v>
      </c>
      <c r="AM1963" s="130">
        <f t="shared" si="426"/>
        <v>0</v>
      </c>
      <c r="AN1963" s="336">
        <f t="shared" si="437"/>
        <v>0</v>
      </c>
    </row>
    <row r="1964" spans="1:42" x14ac:dyDescent="0.25">
      <c r="A1964" s="376">
        <v>223</v>
      </c>
      <c r="B1964" s="565" t="s">
        <v>486</v>
      </c>
      <c r="C1964" s="416"/>
      <c r="D1964" s="921"/>
      <c r="E1964" s="377"/>
      <c r="F1964" s="378"/>
      <c r="G1964" s="378"/>
      <c r="H1964" s="378"/>
      <c r="I1964" s="734"/>
      <c r="J1964" s="840"/>
      <c r="K1964" s="131">
        <f t="shared" si="434"/>
        <v>0</v>
      </c>
      <c r="L1964" s="335">
        <f t="shared" si="423"/>
        <v>0</v>
      </c>
      <c r="M1964" s="419"/>
      <c r="N1964" s="419"/>
      <c r="O1964" s="419"/>
      <c r="P1964" s="419"/>
      <c r="Q1964" s="418">
        <f t="shared" si="429"/>
        <v>0</v>
      </c>
      <c r="R1964" s="379">
        <f t="shared" si="435"/>
        <v>0</v>
      </c>
      <c r="S1964" s="418"/>
      <c r="T1964" s="418"/>
      <c r="U1964" s="418">
        <f t="shared" si="430"/>
        <v>0</v>
      </c>
      <c r="V1964" s="379">
        <f t="shared" si="436"/>
        <v>0</v>
      </c>
      <c r="W1964" s="418"/>
      <c r="X1964" s="418"/>
      <c r="Y1964" s="418"/>
      <c r="Z1964" s="418"/>
      <c r="AA1964" s="418">
        <f t="shared" si="431"/>
        <v>0</v>
      </c>
      <c r="AB1964" s="379">
        <f t="shared" si="432"/>
        <v>0</v>
      </c>
      <c r="AC1964" s="418"/>
      <c r="AD1964" s="418"/>
      <c r="AE1964" s="418">
        <f t="shared" si="431"/>
        <v>0</v>
      </c>
      <c r="AF1964" s="379">
        <f t="shared" si="433"/>
        <v>0</v>
      </c>
      <c r="AG1964" s="418"/>
      <c r="AH1964" s="418"/>
      <c r="AI1964" s="418"/>
      <c r="AJ1964" s="418"/>
      <c r="AK1964" s="379">
        <f t="shared" si="424"/>
        <v>0</v>
      </c>
      <c r="AL1964" s="446">
        <f t="shared" si="425"/>
        <v>0</v>
      </c>
      <c r="AM1964" s="110">
        <f t="shared" si="426"/>
        <v>0</v>
      </c>
      <c r="AN1964" s="447">
        <f t="shared" si="437"/>
        <v>0</v>
      </c>
      <c r="AO1964" s="108"/>
      <c r="AP1964"/>
    </row>
    <row r="1965" spans="1:42" x14ac:dyDescent="0.25">
      <c r="A1965" s="310">
        <v>22301</v>
      </c>
      <c r="B1965" s="551" t="s">
        <v>487</v>
      </c>
      <c r="C1965" s="311"/>
      <c r="D1965" s="902"/>
      <c r="E1965" s="312"/>
      <c r="F1965" s="313"/>
      <c r="G1965" s="313"/>
      <c r="H1965" s="313"/>
      <c r="I1965" s="729"/>
      <c r="J1965" s="795"/>
      <c r="K1965" s="131">
        <f t="shared" si="434"/>
        <v>0</v>
      </c>
      <c r="L1965" s="335">
        <f t="shared" si="423"/>
        <v>0</v>
      </c>
      <c r="M1965" s="421"/>
      <c r="N1965" s="421"/>
      <c r="O1965" s="421"/>
      <c r="P1965" s="421"/>
      <c r="Q1965" s="387">
        <f t="shared" si="429"/>
        <v>0</v>
      </c>
      <c r="R1965" s="314">
        <f t="shared" si="435"/>
        <v>0</v>
      </c>
      <c r="S1965" s="387"/>
      <c r="T1965" s="387"/>
      <c r="U1965" s="387">
        <f t="shared" si="430"/>
        <v>0</v>
      </c>
      <c r="V1965" s="314">
        <f t="shared" si="436"/>
        <v>0</v>
      </c>
      <c r="W1965" s="387"/>
      <c r="X1965" s="387"/>
      <c r="Y1965" s="387"/>
      <c r="Z1965" s="387"/>
      <c r="AA1965" s="387">
        <f t="shared" si="431"/>
        <v>0</v>
      </c>
      <c r="AB1965" s="314">
        <f t="shared" si="432"/>
        <v>0</v>
      </c>
      <c r="AC1965" s="387"/>
      <c r="AD1965" s="387"/>
      <c r="AE1965" s="387">
        <f t="shared" si="431"/>
        <v>0</v>
      </c>
      <c r="AF1965" s="314">
        <f t="shared" si="433"/>
        <v>0</v>
      </c>
      <c r="AG1965" s="387"/>
      <c r="AH1965" s="387"/>
      <c r="AI1965" s="387"/>
      <c r="AJ1965" s="387"/>
      <c r="AK1965" s="314">
        <f t="shared" si="424"/>
        <v>0</v>
      </c>
      <c r="AL1965" s="446">
        <f t="shared" si="425"/>
        <v>0</v>
      </c>
      <c r="AM1965" s="110">
        <f t="shared" si="426"/>
        <v>0</v>
      </c>
      <c r="AN1965" s="447">
        <f t="shared" si="437"/>
        <v>0</v>
      </c>
      <c r="AO1965" s="108"/>
      <c r="AP1965"/>
    </row>
    <row r="1966" spans="1:42" s="108" customFormat="1" x14ac:dyDescent="0.25">
      <c r="A1966" s="9"/>
      <c r="B1966" s="518"/>
      <c r="C1966" s="1024"/>
      <c r="D1966" s="894"/>
      <c r="E1966" s="138"/>
      <c r="F1966" s="279"/>
      <c r="G1966" s="279"/>
      <c r="H1966" s="279"/>
      <c r="I1966" s="722"/>
      <c r="J1966" s="797"/>
      <c r="K1966" s="131">
        <f t="shared" si="434"/>
        <v>0</v>
      </c>
      <c r="L1966" s="335">
        <f t="shared" si="423"/>
        <v>0</v>
      </c>
      <c r="M1966" s="335"/>
      <c r="N1966" s="335"/>
      <c r="O1966" s="335"/>
      <c r="P1966" s="335"/>
      <c r="Q1966" s="130">
        <f t="shared" si="429"/>
        <v>0</v>
      </c>
      <c r="R1966" s="131">
        <f t="shared" si="435"/>
        <v>0</v>
      </c>
      <c r="S1966" s="130"/>
      <c r="T1966" s="130"/>
      <c r="U1966" s="130">
        <f t="shared" si="430"/>
        <v>0</v>
      </c>
      <c r="V1966" s="131">
        <f t="shared" si="436"/>
        <v>0</v>
      </c>
      <c r="W1966" s="130"/>
      <c r="X1966" s="130"/>
      <c r="Y1966" s="130"/>
      <c r="Z1966" s="130"/>
      <c r="AA1966" s="130">
        <f t="shared" si="431"/>
        <v>0</v>
      </c>
      <c r="AB1966" s="131">
        <f t="shared" si="432"/>
        <v>0</v>
      </c>
      <c r="AC1966" s="130"/>
      <c r="AD1966" s="130"/>
      <c r="AE1966" s="130">
        <f t="shared" si="431"/>
        <v>0</v>
      </c>
      <c r="AF1966" s="131">
        <f t="shared" si="433"/>
        <v>0</v>
      </c>
      <c r="AG1966" s="130"/>
      <c r="AH1966" s="130"/>
      <c r="AI1966" s="130"/>
      <c r="AJ1966" s="130"/>
      <c r="AK1966" s="131">
        <f t="shared" si="424"/>
        <v>0</v>
      </c>
      <c r="AL1966" s="335">
        <f t="shared" si="425"/>
        <v>0</v>
      </c>
      <c r="AM1966" s="130">
        <f t="shared" si="426"/>
        <v>0</v>
      </c>
      <c r="AN1966" s="336">
        <f t="shared" si="437"/>
        <v>0</v>
      </c>
    </row>
    <row r="1967" spans="1:42" x14ac:dyDescent="0.25">
      <c r="A1967" s="310">
        <v>22302</v>
      </c>
      <c r="B1967" s="551" t="s">
        <v>488</v>
      </c>
      <c r="C1967" s="311"/>
      <c r="D1967" s="902"/>
      <c r="E1967" s="312"/>
      <c r="F1967" s="313"/>
      <c r="G1967" s="313"/>
      <c r="H1967" s="313"/>
      <c r="I1967" s="729"/>
      <c r="J1967" s="796"/>
      <c r="K1967" s="131">
        <f t="shared" si="434"/>
        <v>0</v>
      </c>
      <c r="L1967" s="335">
        <f t="shared" si="423"/>
        <v>0</v>
      </c>
      <c r="M1967" s="421"/>
      <c r="N1967" s="421"/>
      <c r="O1967" s="421"/>
      <c r="P1967" s="421"/>
      <c r="Q1967" s="387">
        <f t="shared" si="429"/>
        <v>0</v>
      </c>
      <c r="R1967" s="314">
        <f t="shared" si="435"/>
        <v>0</v>
      </c>
      <c r="S1967" s="387"/>
      <c r="T1967" s="387"/>
      <c r="U1967" s="387">
        <f t="shared" si="430"/>
        <v>0</v>
      </c>
      <c r="V1967" s="314">
        <f t="shared" si="436"/>
        <v>0</v>
      </c>
      <c r="W1967" s="387"/>
      <c r="X1967" s="387"/>
      <c r="Y1967" s="387"/>
      <c r="Z1967" s="387"/>
      <c r="AA1967" s="387">
        <f t="shared" si="431"/>
        <v>0</v>
      </c>
      <c r="AB1967" s="314">
        <f t="shared" si="432"/>
        <v>0</v>
      </c>
      <c r="AC1967" s="387"/>
      <c r="AD1967" s="387"/>
      <c r="AE1967" s="387">
        <f t="shared" si="431"/>
        <v>0</v>
      </c>
      <c r="AF1967" s="314">
        <f t="shared" si="433"/>
        <v>0</v>
      </c>
      <c r="AG1967" s="387"/>
      <c r="AH1967" s="387"/>
      <c r="AI1967" s="387"/>
      <c r="AJ1967" s="387"/>
      <c r="AK1967" s="314">
        <f t="shared" si="424"/>
        <v>0</v>
      </c>
      <c r="AL1967" s="446">
        <f t="shared" si="425"/>
        <v>0</v>
      </c>
      <c r="AM1967" s="110">
        <f t="shared" si="426"/>
        <v>0</v>
      </c>
      <c r="AN1967" s="447">
        <f t="shared" si="437"/>
        <v>0</v>
      </c>
      <c r="AO1967" s="436">
        <f>SUM(J1968:J2033)</f>
        <v>130947.6015</v>
      </c>
      <c r="AP1967" s="111"/>
    </row>
    <row r="1968" spans="1:42" ht="66" x14ac:dyDescent="0.25">
      <c r="A1968" s="40"/>
      <c r="B1968" s="34" t="s">
        <v>1083</v>
      </c>
      <c r="C1968" s="1028"/>
      <c r="D1968" s="869">
        <f>12</f>
        <v>12</v>
      </c>
      <c r="E1968" s="1027" t="s">
        <v>1725</v>
      </c>
      <c r="F1968" s="273" t="s">
        <v>3446</v>
      </c>
      <c r="G1968" s="1040" t="s">
        <v>3463</v>
      </c>
      <c r="H1968" s="273" t="s">
        <v>3462</v>
      </c>
      <c r="I1968" s="720">
        <f t="shared" ref="I1968:I2031" si="439">+J1968/D1968</f>
        <v>11.901666666666666</v>
      </c>
      <c r="J1968" s="756">
        <f>142.82</f>
        <v>142.82</v>
      </c>
      <c r="K1968" s="131">
        <f t="shared" si="434"/>
        <v>142.82</v>
      </c>
      <c r="L1968" s="335">
        <f t="shared" si="423"/>
        <v>0</v>
      </c>
      <c r="M1968" s="446"/>
      <c r="N1968" s="446"/>
      <c r="O1968" s="446"/>
      <c r="P1968" s="446"/>
      <c r="Q1968" s="110">
        <v>4</v>
      </c>
      <c r="R1968" s="111">
        <f>I1968*Q1968</f>
        <v>47.606666666666662</v>
      </c>
      <c r="S1968" s="110"/>
      <c r="T1968" s="110"/>
      <c r="U1968" s="110">
        <v>4</v>
      </c>
      <c r="V1968" s="111">
        <v>47.61</v>
      </c>
      <c r="W1968" s="110"/>
      <c r="X1968" s="110"/>
      <c r="Y1968" s="110"/>
      <c r="Z1968" s="110"/>
      <c r="AA1968" s="110">
        <v>4</v>
      </c>
      <c r="AB1968" s="111">
        <v>47.61</v>
      </c>
      <c r="AC1968" s="110"/>
      <c r="AD1968" s="110"/>
      <c r="AE1968" s="110">
        <v>0</v>
      </c>
      <c r="AF1968" s="111">
        <v>0</v>
      </c>
      <c r="AG1968" s="110"/>
      <c r="AH1968" s="110"/>
      <c r="AI1968" s="110"/>
      <c r="AJ1968" s="110"/>
      <c r="AK1968" s="111">
        <f t="shared" si="424"/>
        <v>142.82666666666665</v>
      </c>
      <c r="AL1968" s="446">
        <f t="shared" si="425"/>
        <v>-6.6666666666606034E-3</v>
      </c>
      <c r="AM1968" s="110">
        <f t="shared" si="426"/>
        <v>12</v>
      </c>
      <c r="AN1968" s="447">
        <f t="shared" si="437"/>
        <v>0</v>
      </c>
      <c r="AO1968"/>
      <c r="AP1968"/>
    </row>
    <row r="1969" spans="1:42" ht="66" x14ac:dyDescent="0.25">
      <c r="A1969" s="40"/>
      <c r="B1969" s="34" t="s">
        <v>513</v>
      </c>
      <c r="C1969" s="1028"/>
      <c r="D1969" s="869">
        <f>44+66</f>
        <v>110</v>
      </c>
      <c r="E1969" s="1027" t="s">
        <v>1721</v>
      </c>
      <c r="F1969" s="273" t="s">
        <v>3446</v>
      </c>
      <c r="G1969" s="1040" t="s">
        <v>3463</v>
      </c>
      <c r="H1969" s="273" t="s">
        <v>3462</v>
      </c>
      <c r="I1969" s="720">
        <f t="shared" si="439"/>
        <v>57.884</v>
      </c>
      <c r="J1969" s="756">
        <f>2546.9+3820.34</f>
        <v>6367.24</v>
      </c>
      <c r="K1969" s="131">
        <f t="shared" si="434"/>
        <v>6367.24</v>
      </c>
      <c r="L1969" s="335">
        <f t="shared" si="423"/>
        <v>0</v>
      </c>
      <c r="M1969" s="446"/>
      <c r="N1969" s="446"/>
      <c r="O1969" s="446"/>
      <c r="P1969" s="446"/>
      <c r="Q1969" s="110">
        <v>30</v>
      </c>
      <c r="R1969" s="111">
        <f t="shared" si="435"/>
        <v>1591.81</v>
      </c>
      <c r="S1969" s="110"/>
      <c r="T1969" s="110"/>
      <c r="U1969" s="110">
        <v>30</v>
      </c>
      <c r="V1969" s="111">
        <f t="shared" si="436"/>
        <v>1591.81</v>
      </c>
      <c r="W1969" s="110"/>
      <c r="X1969" s="110"/>
      <c r="Y1969" s="110"/>
      <c r="Z1969" s="110"/>
      <c r="AA1969" s="110">
        <v>30</v>
      </c>
      <c r="AB1969" s="111">
        <f t="shared" si="432"/>
        <v>1591.81</v>
      </c>
      <c r="AC1969" s="110"/>
      <c r="AD1969" s="110"/>
      <c r="AE1969" s="110">
        <v>11</v>
      </c>
      <c r="AF1969" s="111">
        <f t="shared" si="433"/>
        <v>1591.81</v>
      </c>
      <c r="AG1969" s="110"/>
      <c r="AH1969" s="110"/>
      <c r="AI1969" s="110"/>
      <c r="AJ1969" s="110"/>
      <c r="AK1969" s="111">
        <f t="shared" si="424"/>
        <v>6367.24</v>
      </c>
      <c r="AL1969" s="446">
        <f t="shared" si="425"/>
        <v>0</v>
      </c>
      <c r="AM1969" s="110">
        <f t="shared" si="426"/>
        <v>101</v>
      </c>
      <c r="AN1969" s="447">
        <f t="shared" si="437"/>
        <v>9</v>
      </c>
      <c r="AO1969"/>
      <c r="AP1969"/>
    </row>
    <row r="1970" spans="1:42" ht="66" x14ac:dyDescent="0.25">
      <c r="A1970" s="40"/>
      <c r="B1970" s="41" t="s">
        <v>521</v>
      </c>
      <c r="C1970" s="1028"/>
      <c r="D1970" s="869">
        <f>1+1</f>
        <v>2</v>
      </c>
      <c r="E1970" s="255" t="s">
        <v>1722</v>
      </c>
      <c r="F1970" s="273" t="s">
        <v>3446</v>
      </c>
      <c r="G1970" s="1040" t="s">
        <v>3463</v>
      </c>
      <c r="H1970" s="273" t="s">
        <v>3462</v>
      </c>
      <c r="I1970" s="720">
        <f t="shared" si="439"/>
        <v>1340.4450000000002</v>
      </c>
      <c r="J1970" s="780">
        <f>1026.95+1653.94</f>
        <v>2680.8900000000003</v>
      </c>
      <c r="K1970" s="131">
        <f t="shared" si="434"/>
        <v>2680.8900000000003</v>
      </c>
      <c r="L1970" s="335">
        <f t="shared" si="423"/>
        <v>0</v>
      </c>
      <c r="M1970" s="446"/>
      <c r="N1970" s="446"/>
      <c r="O1970" s="446"/>
      <c r="P1970" s="446"/>
      <c r="Q1970" s="130">
        <v>1</v>
      </c>
      <c r="R1970" s="111">
        <v>1340.45</v>
      </c>
      <c r="S1970" s="110"/>
      <c r="T1970" s="110"/>
      <c r="U1970" s="130">
        <v>1</v>
      </c>
      <c r="V1970" s="111">
        <v>1340.45</v>
      </c>
      <c r="W1970" s="110"/>
      <c r="X1970" s="110"/>
      <c r="Y1970" s="110"/>
      <c r="Z1970" s="110"/>
      <c r="AA1970" s="130">
        <v>0</v>
      </c>
      <c r="AB1970" s="111">
        <v>0</v>
      </c>
      <c r="AC1970" s="110"/>
      <c r="AD1970" s="110"/>
      <c r="AE1970" s="130">
        <v>0</v>
      </c>
      <c r="AF1970" s="111">
        <v>0</v>
      </c>
      <c r="AG1970" s="110"/>
      <c r="AH1970" s="110"/>
      <c r="AI1970" s="110"/>
      <c r="AJ1970" s="110"/>
      <c r="AK1970" s="111">
        <f t="shared" si="424"/>
        <v>2680.9</v>
      </c>
      <c r="AL1970" s="446">
        <f t="shared" si="425"/>
        <v>-9.9999999997635314E-3</v>
      </c>
      <c r="AM1970" s="110">
        <f t="shared" si="426"/>
        <v>2</v>
      </c>
      <c r="AN1970" s="447">
        <f t="shared" si="437"/>
        <v>0</v>
      </c>
      <c r="AO1970"/>
      <c r="AP1970"/>
    </row>
    <row r="1971" spans="1:42" ht="66" x14ac:dyDescent="0.25">
      <c r="A1971" s="1024"/>
      <c r="B1971" s="37" t="s">
        <v>1180</v>
      </c>
      <c r="C1971" s="1024"/>
      <c r="D1971" s="869">
        <f>6</f>
        <v>6</v>
      </c>
      <c r="E1971" s="1027" t="s">
        <v>1725</v>
      </c>
      <c r="F1971" s="273" t="s">
        <v>3446</v>
      </c>
      <c r="G1971" s="1040" t="s">
        <v>3463</v>
      </c>
      <c r="H1971" s="273" t="s">
        <v>3462</v>
      </c>
      <c r="I1971" s="720">
        <f t="shared" si="439"/>
        <v>445.41666666666669</v>
      </c>
      <c r="J1971" s="756">
        <f>2672.5</f>
        <v>2672.5</v>
      </c>
      <c r="K1971" s="131">
        <f t="shared" si="434"/>
        <v>2672.5</v>
      </c>
      <c r="L1971" s="335">
        <f t="shared" si="423"/>
        <v>0</v>
      </c>
      <c r="M1971" s="446"/>
      <c r="N1971" s="446"/>
      <c r="O1971" s="446"/>
      <c r="P1971" s="446"/>
      <c r="Q1971" s="130">
        <v>2</v>
      </c>
      <c r="R1971" s="111">
        <f t="shared" si="435"/>
        <v>668.125</v>
      </c>
      <c r="S1971" s="110"/>
      <c r="T1971" s="110"/>
      <c r="U1971" s="130">
        <v>2</v>
      </c>
      <c r="V1971" s="111">
        <f t="shared" si="436"/>
        <v>668.125</v>
      </c>
      <c r="W1971" s="110"/>
      <c r="X1971" s="110"/>
      <c r="Y1971" s="110"/>
      <c r="Z1971" s="110"/>
      <c r="AA1971" s="130">
        <v>1</v>
      </c>
      <c r="AB1971" s="111">
        <f t="shared" si="432"/>
        <v>668.125</v>
      </c>
      <c r="AC1971" s="110"/>
      <c r="AD1971" s="110"/>
      <c r="AE1971" s="130">
        <v>1</v>
      </c>
      <c r="AF1971" s="111">
        <f t="shared" si="433"/>
        <v>668.125</v>
      </c>
      <c r="AG1971" s="110"/>
      <c r="AH1971" s="110"/>
      <c r="AI1971" s="110"/>
      <c r="AJ1971" s="110"/>
      <c r="AK1971" s="111">
        <f t="shared" si="424"/>
        <v>2672.5</v>
      </c>
      <c r="AL1971" s="446">
        <f t="shared" si="425"/>
        <v>0</v>
      </c>
      <c r="AM1971" s="110">
        <f t="shared" si="426"/>
        <v>6</v>
      </c>
      <c r="AN1971" s="447">
        <f t="shared" si="437"/>
        <v>0</v>
      </c>
      <c r="AO1971"/>
      <c r="AP1971"/>
    </row>
    <row r="1972" spans="1:42" ht="66" x14ac:dyDescent="0.25">
      <c r="A1972" s="1024"/>
      <c r="B1972" s="37" t="s">
        <v>1181</v>
      </c>
      <c r="C1972" s="1024"/>
      <c r="D1972" s="869">
        <f>20</f>
        <v>20</v>
      </c>
      <c r="E1972" s="1027" t="s">
        <v>1721</v>
      </c>
      <c r="F1972" s="273" t="s">
        <v>3446</v>
      </c>
      <c r="G1972" s="1040" t="s">
        <v>3463</v>
      </c>
      <c r="H1972" s="273" t="s">
        <v>3462</v>
      </c>
      <c r="I1972" s="720">
        <f t="shared" si="439"/>
        <v>23.222999999999999</v>
      </c>
      <c r="J1972" s="756">
        <f>464.46</f>
        <v>464.46</v>
      </c>
      <c r="K1972" s="131">
        <f t="shared" si="434"/>
        <v>464.46</v>
      </c>
      <c r="L1972" s="335">
        <f t="shared" ref="L1972:L2035" si="440">+J1972-K1972</f>
        <v>0</v>
      </c>
      <c r="M1972" s="446"/>
      <c r="N1972" s="446"/>
      <c r="O1972" s="446"/>
      <c r="P1972" s="446"/>
      <c r="Q1972" s="110">
        <f t="shared" si="429"/>
        <v>5</v>
      </c>
      <c r="R1972" s="111">
        <f t="shared" si="435"/>
        <v>116.11499999999999</v>
      </c>
      <c r="S1972" s="110"/>
      <c r="T1972" s="110"/>
      <c r="U1972" s="110">
        <f t="shared" si="430"/>
        <v>5</v>
      </c>
      <c r="V1972" s="111">
        <f t="shared" si="436"/>
        <v>116.11499999999999</v>
      </c>
      <c r="W1972" s="110"/>
      <c r="X1972" s="110"/>
      <c r="Y1972" s="110"/>
      <c r="Z1972" s="110"/>
      <c r="AA1972" s="110">
        <f t="shared" si="431"/>
        <v>5</v>
      </c>
      <c r="AB1972" s="111">
        <f t="shared" si="432"/>
        <v>116.11499999999999</v>
      </c>
      <c r="AC1972" s="110"/>
      <c r="AD1972" s="110"/>
      <c r="AE1972" s="110">
        <f t="shared" si="431"/>
        <v>5</v>
      </c>
      <c r="AF1972" s="111">
        <f t="shared" si="433"/>
        <v>116.11499999999999</v>
      </c>
      <c r="AG1972" s="110"/>
      <c r="AH1972" s="110"/>
      <c r="AI1972" s="110"/>
      <c r="AJ1972" s="110"/>
      <c r="AK1972" s="111">
        <f t="shared" ref="AK1972:AK2035" si="441">+R1972+V1972+AB1972+AF1972</f>
        <v>464.46</v>
      </c>
      <c r="AL1972" s="446">
        <f t="shared" ref="AL1972:AL2035" si="442">+J1972-AK1972</f>
        <v>0</v>
      </c>
      <c r="AM1972" s="110">
        <f t="shared" ref="AM1972:AM2035" si="443">+Q1972+U1972+AA1972+AE1972</f>
        <v>20</v>
      </c>
      <c r="AN1972" s="447">
        <f t="shared" si="437"/>
        <v>0</v>
      </c>
      <c r="AO1972"/>
      <c r="AP1972"/>
    </row>
    <row r="1973" spans="1:42" ht="66" x14ac:dyDescent="0.25">
      <c r="A1973" s="1024"/>
      <c r="B1973" s="135" t="s">
        <v>1440</v>
      </c>
      <c r="C1973" s="1024"/>
      <c r="D1973" s="869">
        <v>33</v>
      </c>
      <c r="E1973" s="1027" t="s">
        <v>1721</v>
      </c>
      <c r="F1973" s="273" t="s">
        <v>3446</v>
      </c>
      <c r="G1973" s="1040" t="s">
        <v>3463</v>
      </c>
      <c r="H1973" s="273" t="s">
        <v>3462</v>
      </c>
      <c r="I1973" s="720">
        <f t="shared" si="439"/>
        <v>42.34</v>
      </c>
      <c r="J1973" s="756">
        <v>1397.22</v>
      </c>
      <c r="K1973" s="131">
        <f t="shared" si="434"/>
        <v>1397.22</v>
      </c>
      <c r="L1973" s="335">
        <f t="shared" si="440"/>
        <v>0</v>
      </c>
      <c r="M1973" s="446"/>
      <c r="N1973" s="446"/>
      <c r="O1973" s="446"/>
      <c r="P1973" s="446"/>
      <c r="Q1973" s="110">
        <v>9</v>
      </c>
      <c r="R1973" s="111">
        <f t="shared" si="435"/>
        <v>349.30500000000001</v>
      </c>
      <c r="S1973" s="110"/>
      <c r="T1973" s="110"/>
      <c r="U1973" s="110">
        <v>8</v>
      </c>
      <c r="V1973" s="111">
        <f t="shared" si="436"/>
        <v>349.30500000000001</v>
      </c>
      <c r="W1973" s="110"/>
      <c r="X1973" s="110"/>
      <c r="Y1973" s="110"/>
      <c r="Z1973" s="110"/>
      <c r="AA1973" s="110">
        <v>8</v>
      </c>
      <c r="AB1973" s="111">
        <f t="shared" si="432"/>
        <v>349.30500000000001</v>
      </c>
      <c r="AC1973" s="110"/>
      <c r="AD1973" s="110"/>
      <c r="AE1973" s="110">
        <v>8</v>
      </c>
      <c r="AF1973" s="111">
        <f t="shared" si="433"/>
        <v>349.30500000000001</v>
      </c>
      <c r="AG1973" s="110"/>
      <c r="AH1973" s="110"/>
      <c r="AI1973" s="110"/>
      <c r="AJ1973" s="110"/>
      <c r="AK1973" s="111">
        <f t="shared" si="441"/>
        <v>1397.22</v>
      </c>
      <c r="AL1973" s="446">
        <f t="shared" si="442"/>
        <v>0</v>
      </c>
      <c r="AM1973" s="110">
        <f t="shared" si="443"/>
        <v>33</v>
      </c>
      <c r="AN1973" s="447">
        <f t="shared" si="437"/>
        <v>0</v>
      </c>
      <c r="AO1973"/>
      <c r="AP1973"/>
    </row>
    <row r="1974" spans="1:42" ht="66" x14ac:dyDescent="0.25">
      <c r="A1974" s="1024"/>
      <c r="B1974" s="34" t="s">
        <v>489</v>
      </c>
      <c r="C1974" s="1024"/>
      <c r="D1974" s="869">
        <v>4</v>
      </c>
      <c r="E1974" s="1027" t="s">
        <v>1721</v>
      </c>
      <c r="F1974" s="273" t="s">
        <v>3446</v>
      </c>
      <c r="G1974" s="1040" t="s">
        <v>3463</v>
      </c>
      <c r="H1974" s="273" t="s">
        <v>3462</v>
      </c>
      <c r="I1974" s="720">
        <f t="shared" si="439"/>
        <v>29.696000000000002</v>
      </c>
      <c r="J1974" s="756">
        <v>118.78400000000001</v>
      </c>
      <c r="K1974" s="131">
        <f t="shared" si="434"/>
        <v>118.78400000000001</v>
      </c>
      <c r="L1974" s="335">
        <f t="shared" si="440"/>
        <v>0</v>
      </c>
      <c r="M1974" s="446"/>
      <c r="N1974" s="446"/>
      <c r="O1974" s="446"/>
      <c r="P1974" s="446"/>
      <c r="Q1974" s="110">
        <f t="shared" si="429"/>
        <v>1</v>
      </c>
      <c r="R1974" s="111">
        <f t="shared" si="435"/>
        <v>29.696000000000002</v>
      </c>
      <c r="S1974" s="110"/>
      <c r="T1974" s="110"/>
      <c r="U1974" s="110">
        <f t="shared" si="430"/>
        <v>1</v>
      </c>
      <c r="V1974" s="111">
        <f t="shared" si="436"/>
        <v>29.696000000000002</v>
      </c>
      <c r="W1974" s="110"/>
      <c r="X1974" s="110"/>
      <c r="Y1974" s="110"/>
      <c r="Z1974" s="110"/>
      <c r="AA1974" s="110">
        <f t="shared" si="431"/>
        <v>1</v>
      </c>
      <c r="AB1974" s="111">
        <f t="shared" si="432"/>
        <v>29.696000000000002</v>
      </c>
      <c r="AC1974" s="110"/>
      <c r="AD1974" s="110"/>
      <c r="AE1974" s="110">
        <f t="shared" si="431"/>
        <v>1</v>
      </c>
      <c r="AF1974" s="111">
        <f t="shared" si="433"/>
        <v>29.696000000000002</v>
      </c>
      <c r="AG1974" s="110"/>
      <c r="AH1974" s="110"/>
      <c r="AI1974" s="110"/>
      <c r="AJ1974" s="110"/>
      <c r="AK1974" s="111">
        <f t="shared" si="441"/>
        <v>118.78400000000001</v>
      </c>
      <c r="AL1974" s="446">
        <f t="shared" si="442"/>
        <v>0</v>
      </c>
      <c r="AM1974" s="110">
        <f t="shared" si="443"/>
        <v>4</v>
      </c>
      <c r="AN1974" s="447">
        <f t="shared" si="437"/>
        <v>0</v>
      </c>
      <c r="AO1974"/>
      <c r="AP1974"/>
    </row>
    <row r="1975" spans="1:42" ht="66" x14ac:dyDescent="0.25">
      <c r="A1975" s="1024"/>
      <c r="B1975" s="34" t="s">
        <v>490</v>
      </c>
      <c r="C1975" s="1024"/>
      <c r="D1975" s="869">
        <v>2</v>
      </c>
      <c r="E1975" s="1027" t="s">
        <v>1721</v>
      </c>
      <c r="F1975" s="273" t="s">
        <v>3446</v>
      </c>
      <c r="G1975" s="1040" t="s">
        <v>3463</v>
      </c>
      <c r="H1975" s="273" t="s">
        <v>3462</v>
      </c>
      <c r="I1975" s="720">
        <f t="shared" si="439"/>
        <v>105.72239999999999</v>
      </c>
      <c r="J1975" s="756">
        <v>211.44479999999999</v>
      </c>
      <c r="K1975" s="131">
        <f t="shared" si="434"/>
        <v>211.44479999999999</v>
      </c>
      <c r="L1975" s="335">
        <f t="shared" si="440"/>
        <v>0</v>
      </c>
      <c r="M1975" s="446"/>
      <c r="N1975" s="446"/>
      <c r="O1975" s="446"/>
      <c r="P1975" s="446"/>
      <c r="Q1975" s="130">
        <v>2</v>
      </c>
      <c r="R1975" s="111">
        <v>211.44</v>
      </c>
      <c r="S1975" s="110"/>
      <c r="T1975" s="110"/>
      <c r="U1975" s="130">
        <v>0</v>
      </c>
      <c r="V1975" s="111">
        <v>0</v>
      </c>
      <c r="W1975" s="110"/>
      <c r="X1975" s="110"/>
      <c r="Y1975" s="110"/>
      <c r="Z1975" s="110"/>
      <c r="AA1975" s="130">
        <v>0</v>
      </c>
      <c r="AB1975" s="111">
        <v>0</v>
      </c>
      <c r="AC1975" s="110"/>
      <c r="AD1975" s="110"/>
      <c r="AE1975" s="130">
        <v>0</v>
      </c>
      <c r="AF1975" s="111">
        <v>0</v>
      </c>
      <c r="AG1975" s="110"/>
      <c r="AH1975" s="110"/>
      <c r="AI1975" s="110"/>
      <c r="AJ1975" s="110"/>
      <c r="AK1975" s="111">
        <f t="shared" si="441"/>
        <v>211.44</v>
      </c>
      <c r="AL1975" s="446">
        <f t="shared" si="442"/>
        <v>4.7999999999888132E-3</v>
      </c>
      <c r="AM1975" s="110">
        <f t="shared" si="443"/>
        <v>2</v>
      </c>
      <c r="AN1975" s="447">
        <f t="shared" si="437"/>
        <v>0</v>
      </c>
      <c r="AO1975"/>
      <c r="AP1975"/>
    </row>
    <row r="1976" spans="1:42" ht="66" x14ac:dyDescent="0.25">
      <c r="A1976" s="1024"/>
      <c r="B1976" s="34" t="s">
        <v>491</v>
      </c>
      <c r="C1976" s="1024"/>
      <c r="D1976" s="869">
        <v>2</v>
      </c>
      <c r="E1976" s="1027" t="s">
        <v>1721</v>
      </c>
      <c r="F1976" s="273" t="s">
        <v>3446</v>
      </c>
      <c r="G1976" s="1040" t="s">
        <v>3463</v>
      </c>
      <c r="H1976" s="273" t="s">
        <v>3462</v>
      </c>
      <c r="I1976" s="720">
        <f t="shared" si="439"/>
        <v>130.68559999999999</v>
      </c>
      <c r="J1976" s="756">
        <v>261.37119999999999</v>
      </c>
      <c r="K1976" s="131">
        <f t="shared" si="434"/>
        <v>261.37119999999999</v>
      </c>
      <c r="L1976" s="335">
        <f t="shared" si="440"/>
        <v>0</v>
      </c>
      <c r="M1976" s="446"/>
      <c r="N1976" s="446"/>
      <c r="O1976" s="446"/>
      <c r="P1976" s="446"/>
      <c r="Q1976" s="130">
        <v>2</v>
      </c>
      <c r="R1976" s="111">
        <v>261.37</v>
      </c>
      <c r="S1976" s="110"/>
      <c r="T1976" s="110"/>
      <c r="U1976" s="130">
        <v>0</v>
      </c>
      <c r="V1976" s="111">
        <v>0</v>
      </c>
      <c r="W1976" s="110"/>
      <c r="X1976" s="110"/>
      <c r="Y1976" s="110"/>
      <c r="Z1976" s="110"/>
      <c r="AA1976" s="130">
        <v>0</v>
      </c>
      <c r="AB1976" s="111">
        <v>0</v>
      </c>
      <c r="AC1976" s="110"/>
      <c r="AD1976" s="110"/>
      <c r="AE1976" s="130">
        <v>0</v>
      </c>
      <c r="AF1976" s="111">
        <v>0</v>
      </c>
      <c r="AG1976" s="110"/>
      <c r="AH1976" s="110"/>
      <c r="AI1976" s="110"/>
      <c r="AJ1976" s="110"/>
      <c r="AK1976" s="111">
        <f t="shared" si="441"/>
        <v>261.37</v>
      </c>
      <c r="AL1976" s="446">
        <f t="shared" si="442"/>
        <v>1.1999999999829924E-3</v>
      </c>
      <c r="AM1976" s="110">
        <f t="shared" si="443"/>
        <v>2</v>
      </c>
      <c r="AN1976" s="447">
        <f t="shared" si="437"/>
        <v>0</v>
      </c>
      <c r="AO1976"/>
      <c r="AP1976"/>
    </row>
    <row r="1977" spans="1:42" ht="66" x14ac:dyDescent="0.25">
      <c r="A1977" s="1024"/>
      <c r="B1977" s="34" t="s">
        <v>492</v>
      </c>
      <c r="C1977" s="1024"/>
      <c r="D1977" s="869">
        <v>1</v>
      </c>
      <c r="E1977" s="1027" t="s">
        <v>1721</v>
      </c>
      <c r="F1977" s="273" t="s">
        <v>3446</v>
      </c>
      <c r="G1977" s="1040" t="s">
        <v>3463</v>
      </c>
      <c r="H1977" s="273" t="s">
        <v>3462</v>
      </c>
      <c r="I1977" s="720">
        <f t="shared" si="439"/>
        <v>106.92880000000001</v>
      </c>
      <c r="J1977" s="756">
        <v>106.92880000000001</v>
      </c>
      <c r="K1977" s="131">
        <f t="shared" si="434"/>
        <v>106.92880000000001</v>
      </c>
      <c r="L1977" s="335">
        <f t="shared" si="440"/>
        <v>0</v>
      </c>
      <c r="M1977" s="446"/>
      <c r="N1977" s="446"/>
      <c r="O1977" s="446"/>
      <c r="P1977" s="446"/>
      <c r="Q1977" s="110">
        <v>1</v>
      </c>
      <c r="R1977" s="111">
        <v>106.93</v>
      </c>
      <c r="S1977" s="110"/>
      <c r="T1977" s="110"/>
      <c r="U1977" s="110">
        <v>0</v>
      </c>
      <c r="V1977" s="111">
        <v>0</v>
      </c>
      <c r="W1977" s="110"/>
      <c r="X1977" s="110"/>
      <c r="Y1977" s="110"/>
      <c r="Z1977" s="110"/>
      <c r="AA1977" s="110">
        <v>0</v>
      </c>
      <c r="AB1977" s="111">
        <v>0</v>
      </c>
      <c r="AC1977" s="110"/>
      <c r="AD1977" s="110"/>
      <c r="AE1977" s="110">
        <v>0</v>
      </c>
      <c r="AF1977" s="111">
        <v>0</v>
      </c>
      <c r="AG1977" s="110"/>
      <c r="AH1977" s="110"/>
      <c r="AI1977" s="110"/>
      <c r="AJ1977" s="110"/>
      <c r="AK1977" s="111">
        <f t="shared" si="441"/>
        <v>106.93</v>
      </c>
      <c r="AL1977" s="446">
        <f t="shared" si="442"/>
        <v>-1.1999999999972033E-3</v>
      </c>
      <c r="AM1977" s="110">
        <f t="shared" si="443"/>
        <v>1</v>
      </c>
      <c r="AN1977" s="447">
        <f t="shared" si="437"/>
        <v>0</v>
      </c>
      <c r="AO1977"/>
      <c r="AP1977"/>
    </row>
    <row r="1978" spans="1:42" ht="66" x14ac:dyDescent="0.25">
      <c r="A1978" s="1024"/>
      <c r="B1978" s="46" t="s">
        <v>493</v>
      </c>
      <c r="C1978" s="1024"/>
      <c r="D1978" s="869">
        <v>3</v>
      </c>
      <c r="E1978" s="1027" t="s">
        <v>1721</v>
      </c>
      <c r="F1978" s="273" t="s">
        <v>3446</v>
      </c>
      <c r="G1978" s="1040" t="s">
        <v>3463</v>
      </c>
      <c r="H1978" s="273" t="s">
        <v>3462</v>
      </c>
      <c r="I1978" s="720">
        <f t="shared" si="439"/>
        <v>83.171999999999997</v>
      </c>
      <c r="J1978" s="756">
        <v>249.51599999999999</v>
      </c>
      <c r="K1978" s="131">
        <f t="shared" si="434"/>
        <v>249.51599999999999</v>
      </c>
      <c r="L1978" s="335">
        <f t="shared" si="440"/>
        <v>0</v>
      </c>
      <c r="M1978" s="446"/>
      <c r="N1978" s="446"/>
      <c r="O1978" s="446"/>
      <c r="P1978" s="446"/>
      <c r="Q1978" s="130">
        <v>2</v>
      </c>
      <c r="R1978" s="111">
        <f>83.17*2</f>
        <v>166.34</v>
      </c>
      <c r="S1978" s="110"/>
      <c r="T1978" s="110"/>
      <c r="U1978" s="130">
        <v>1</v>
      </c>
      <c r="V1978" s="111">
        <v>83.17</v>
      </c>
      <c r="W1978" s="110"/>
      <c r="X1978" s="110"/>
      <c r="Y1978" s="110"/>
      <c r="Z1978" s="110"/>
      <c r="AA1978" s="130">
        <v>0</v>
      </c>
      <c r="AB1978" s="111">
        <v>0</v>
      </c>
      <c r="AC1978" s="110"/>
      <c r="AD1978" s="110"/>
      <c r="AE1978" s="130">
        <v>0</v>
      </c>
      <c r="AF1978" s="111">
        <v>0</v>
      </c>
      <c r="AG1978" s="110"/>
      <c r="AH1978" s="110"/>
      <c r="AI1978" s="110"/>
      <c r="AJ1978" s="110"/>
      <c r="AK1978" s="111">
        <f t="shared" si="441"/>
        <v>249.51</v>
      </c>
      <c r="AL1978" s="446">
        <f t="shared" si="442"/>
        <v>6.0000000000002274E-3</v>
      </c>
      <c r="AM1978" s="110">
        <f t="shared" si="443"/>
        <v>3</v>
      </c>
      <c r="AN1978" s="447">
        <f t="shared" si="437"/>
        <v>0</v>
      </c>
      <c r="AO1978"/>
      <c r="AP1978"/>
    </row>
    <row r="1979" spans="1:42" ht="66" x14ac:dyDescent="0.25">
      <c r="A1979" s="1024"/>
      <c r="B1979" s="34" t="s">
        <v>494</v>
      </c>
      <c r="C1979" s="1024"/>
      <c r="D1979" s="869">
        <v>50</v>
      </c>
      <c r="E1979" s="1027" t="s">
        <v>1725</v>
      </c>
      <c r="F1979" s="273" t="s">
        <v>3446</v>
      </c>
      <c r="G1979" s="1040" t="s">
        <v>3463</v>
      </c>
      <c r="H1979" s="273" t="s">
        <v>3462</v>
      </c>
      <c r="I1979" s="720">
        <f t="shared" si="439"/>
        <v>4.7559999999999993</v>
      </c>
      <c r="J1979" s="756">
        <v>237.79999999999995</v>
      </c>
      <c r="K1979" s="131">
        <f t="shared" si="434"/>
        <v>237.79999999999995</v>
      </c>
      <c r="L1979" s="335">
        <f t="shared" si="440"/>
        <v>0</v>
      </c>
      <c r="M1979" s="446"/>
      <c r="N1979" s="446"/>
      <c r="O1979" s="446"/>
      <c r="P1979" s="446"/>
      <c r="Q1979" s="110">
        <v>13</v>
      </c>
      <c r="R1979" s="111">
        <f t="shared" si="435"/>
        <v>59.449999999999989</v>
      </c>
      <c r="S1979" s="110"/>
      <c r="T1979" s="110"/>
      <c r="U1979" s="110">
        <v>12</v>
      </c>
      <c r="V1979" s="111">
        <f t="shared" si="436"/>
        <v>59.449999999999989</v>
      </c>
      <c r="W1979" s="110"/>
      <c r="X1979" s="110"/>
      <c r="Y1979" s="110"/>
      <c r="Z1979" s="110"/>
      <c r="AA1979" s="110">
        <v>12</v>
      </c>
      <c r="AB1979" s="111">
        <f t="shared" si="432"/>
        <v>59.449999999999989</v>
      </c>
      <c r="AC1979" s="110"/>
      <c r="AD1979" s="110"/>
      <c r="AE1979" s="110">
        <v>13</v>
      </c>
      <c r="AF1979" s="111">
        <f t="shared" si="433"/>
        <v>59.449999999999989</v>
      </c>
      <c r="AG1979" s="110"/>
      <c r="AH1979" s="110"/>
      <c r="AI1979" s="110"/>
      <c r="AJ1979" s="110"/>
      <c r="AK1979" s="111">
        <f t="shared" si="441"/>
        <v>237.79999999999995</v>
      </c>
      <c r="AL1979" s="446">
        <f t="shared" si="442"/>
        <v>0</v>
      </c>
      <c r="AM1979" s="110">
        <f t="shared" si="443"/>
        <v>50</v>
      </c>
      <c r="AN1979" s="447">
        <f t="shared" si="437"/>
        <v>0</v>
      </c>
      <c r="AO1979"/>
      <c r="AP1979"/>
    </row>
    <row r="1980" spans="1:42" ht="66" x14ac:dyDescent="0.25">
      <c r="A1980" s="1024"/>
      <c r="B1980" s="41" t="s">
        <v>495</v>
      </c>
      <c r="C1980" s="1024"/>
      <c r="D1980" s="869">
        <v>10</v>
      </c>
      <c r="E1980" s="1027" t="s">
        <v>1725</v>
      </c>
      <c r="F1980" s="278" t="s">
        <v>3446</v>
      </c>
      <c r="G1980" s="1040" t="s">
        <v>3463</v>
      </c>
      <c r="H1980" s="273" t="s">
        <v>3462</v>
      </c>
      <c r="I1980" s="720">
        <f t="shared" si="439"/>
        <v>355.54</v>
      </c>
      <c r="J1980" s="756">
        <v>3555.4</v>
      </c>
      <c r="K1980" s="131">
        <f t="shared" si="434"/>
        <v>3555.4</v>
      </c>
      <c r="L1980" s="335">
        <f t="shared" si="440"/>
        <v>0</v>
      </c>
      <c r="M1980" s="446"/>
      <c r="N1980" s="446"/>
      <c r="O1980" s="446"/>
      <c r="P1980" s="446"/>
      <c r="Q1980" s="130">
        <v>3</v>
      </c>
      <c r="R1980" s="111">
        <f t="shared" si="435"/>
        <v>888.85</v>
      </c>
      <c r="S1980" s="110"/>
      <c r="T1980" s="110"/>
      <c r="U1980" s="130">
        <v>3</v>
      </c>
      <c r="V1980" s="111">
        <f t="shared" si="436"/>
        <v>888.85</v>
      </c>
      <c r="W1980" s="110"/>
      <c r="X1980" s="110"/>
      <c r="Y1980" s="110"/>
      <c r="Z1980" s="110"/>
      <c r="AA1980" s="130">
        <v>2</v>
      </c>
      <c r="AB1980" s="111">
        <f t="shared" si="432"/>
        <v>888.85</v>
      </c>
      <c r="AC1980" s="110"/>
      <c r="AD1980" s="110"/>
      <c r="AE1980" s="130">
        <v>2</v>
      </c>
      <c r="AF1980" s="111">
        <f t="shared" si="433"/>
        <v>888.85</v>
      </c>
      <c r="AG1980" s="110"/>
      <c r="AH1980" s="110"/>
      <c r="AI1980" s="110"/>
      <c r="AJ1980" s="110"/>
      <c r="AK1980" s="111">
        <f t="shared" si="441"/>
        <v>3555.4</v>
      </c>
      <c r="AL1980" s="446">
        <f t="shared" si="442"/>
        <v>0</v>
      </c>
      <c r="AM1980" s="110">
        <f t="shared" si="443"/>
        <v>10</v>
      </c>
      <c r="AN1980" s="447">
        <f t="shared" si="437"/>
        <v>0</v>
      </c>
      <c r="AO1980"/>
      <c r="AP1980"/>
    </row>
    <row r="1981" spans="1:42" ht="66" x14ac:dyDescent="0.25">
      <c r="A1981" s="1024"/>
      <c r="B1981" s="46" t="s">
        <v>496</v>
      </c>
      <c r="C1981" s="1024"/>
      <c r="D1981" s="869">
        <v>3</v>
      </c>
      <c r="E1981" s="1027" t="s">
        <v>1721</v>
      </c>
      <c r="F1981" s="273" t="s">
        <v>3446</v>
      </c>
      <c r="G1981" s="1040" t="s">
        <v>3463</v>
      </c>
      <c r="H1981" s="273" t="s">
        <v>3462</v>
      </c>
      <c r="I1981" s="720">
        <f t="shared" si="439"/>
        <v>65.331199999999995</v>
      </c>
      <c r="J1981" s="756">
        <v>195.99359999999999</v>
      </c>
      <c r="K1981" s="131">
        <f t="shared" si="434"/>
        <v>195.99359999999999</v>
      </c>
      <c r="L1981" s="335">
        <f t="shared" si="440"/>
        <v>0</v>
      </c>
      <c r="M1981" s="446"/>
      <c r="N1981" s="446"/>
      <c r="O1981" s="446"/>
      <c r="P1981" s="446"/>
      <c r="Q1981" s="130">
        <v>1</v>
      </c>
      <c r="R1981" s="111">
        <f t="shared" si="435"/>
        <v>48.998399999999997</v>
      </c>
      <c r="S1981" s="110"/>
      <c r="T1981" s="110"/>
      <c r="U1981" s="130">
        <v>1</v>
      </c>
      <c r="V1981" s="111">
        <f t="shared" si="436"/>
        <v>48.998399999999997</v>
      </c>
      <c r="W1981" s="110"/>
      <c r="X1981" s="110"/>
      <c r="Y1981" s="110"/>
      <c r="Z1981" s="110"/>
      <c r="AA1981" s="130">
        <v>1</v>
      </c>
      <c r="AB1981" s="111">
        <f t="shared" si="432"/>
        <v>48.998399999999997</v>
      </c>
      <c r="AC1981" s="110"/>
      <c r="AD1981" s="110"/>
      <c r="AE1981" s="130">
        <v>0</v>
      </c>
      <c r="AF1981" s="111">
        <f t="shared" si="433"/>
        <v>48.998399999999997</v>
      </c>
      <c r="AG1981" s="110"/>
      <c r="AH1981" s="110"/>
      <c r="AI1981" s="110"/>
      <c r="AJ1981" s="110"/>
      <c r="AK1981" s="111">
        <f t="shared" si="441"/>
        <v>195.99359999999999</v>
      </c>
      <c r="AL1981" s="446">
        <f t="shared" si="442"/>
        <v>0</v>
      </c>
      <c r="AM1981" s="110">
        <f t="shared" si="443"/>
        <v>3</v>
      </c>
      <c r="AN1981" s="447">
        <f t="shared" si="437"/>
        <v>0</v>
      </c>
      <c r="AO1981"/>
      <c r="AP1981"/>
    </row>
    <row r="1982" spans="1:42" ht="66" x14ac:dyDescent="0.25">
      <c r="A1982" s="1024"/>
      <c r="B1982" s="34" t="s">
        <v>497</v>
      </c>
      <c r="C1982" s="1024"/>
      <c r="D1982" s="869">
        <v>50</v>
      </c>
      <c r="E1982" s="1027" t="s">
        <v>1721</v>
      </c>
      <c r="F1982" s="273" t="s">
        <v>3446</v>
      </c>
      <c r="G1982" s="1040" t="s">
        <v>3463</v>
      </c>
      <c r="H1982" s="273" t="s">
        <v>3462</v>
      </c>
      <c r="I1982" s="720">
        <f t="shared" si="439"/>
        <v>5.9392000000000005</v>
      </c>
      <c r="J1982" s="756">
        <v>296.96000000000004</v>
      </c>
      <c r="K1982" s="131">
        <f t="shared" si="434"/>
        <v>296.96000000000004</v>
      </c>
      <c r="L1982" s="335">
        <f t="shared" si="440"/>
        <v>0</v>
      </c>
      <c r="M1982" s="446"/>
      <c r="N1982" s="446"/>
      <c r="O1982" s="446"/>
      <c r="P1982" s="446"/>
      <c r="Q1982" s="110">
        <v>13</v>
      </c>
      <c r="R1982" s="111">
        <f t="shared" si="435"/>
        <v>74.240000000000009</v>
      </c>
      <c r="S1982" s="110"/>
      <c r="T1982" s="110"/>
      <c r="U1982" s="110">
        <v>12</v>
      </c>
      <c r="V1982" s="111">
        <f t="shared" si="436"/>
        <v>74.240000000000009</v>
      </c>
      <c r="W1982" s="110"/>
      <c r="X1982" s="110"/>
      <c r="Y1982" s="110"/>
      <c r="Z1982" s="110"/>
      <c r="AA1982" s="110">
        <v>12</v>
      </c>
      <c r="AB1982" s="111">
        <f t="shared" si="432"/>
        <v>74.240000000000009</v>
      </c>
      <c r="AC1982" s="110"/>
      <c r="AD1982" s="110"/>
      <c r="AE1982" s="110">
        <v>13</v>
      </c>
      <c r="AF1982" s="111">
        <f t="shared" si="433"/>
        <v>74.240000000000009</v>
      </c>
      <c r="AG1982" s="110"/>
      <c r="AH1982" s="110"/>
      <c r="AI1982" s="110"/>
      <c r="AJ1982" s="110"/>
      <c r="AK1982" s="111">
        <f t="shared" si="441"/>
        <v>296.96000000000004</v>
      </c>
      <c r="AL1982" s="446">
        <f t="shared" si="442"/>
        <v>0</v>
      </c>
      <c r="AM1982" s="110">
        <f t="shared" si="443"/>
        <v>50</v>
      </c>
      <c r="AN1982" s="447">
        <f t="shared" si="437"/>
        <v>0</v>
      </c>
      <c r="AO1982"/>
      <c r="AP1982"/>
    </row>
    <row r="1983" spans="1:42" ht="66" x14ac:dyDescent="0.25">
      <c r="A1983" s="1024"/>
      <c r="B1983" s="46" t="s">
        <v>498</v>
      </c>
      <c r="C1983" s="1024"/>
      <c r="D1983" s="869">
        <v>3</v>
      </c>
      <c r="E1983" s="1027" t="s">
        <v>1721</v>
      </c>
      <c r="F1983" s="273" t="s">
        <v>3446</v>
      </c>
      <c r="G1983" s="1040" t="s">
        <v>3463</v>
      </c>
      <c r="H1983" s="273" t="s">
        <v>3462</v>
      </c>
      <c r="I1983" s="720">
        <f t="shared" si="439"/>
        <v>106.92880000000001</v>
      </c>
      <c r="J1983" s="756">
        <v>320.78640000000001</v>
      </c>
      <c r="K1983" s="131">
        <f t="shared" si="434"/>
        <v>320.78640000000001</v>
      </c>
      <c r="L1983" s="335">
        <f t="shared" si="440"/>
        <v>0</v>
      </c>
      <c r="M1983" s="446"/>
      <c r="N1983" s="446"/>
      <c r="O1983" s="446"/>
      <c r="P1983" s="446"/>
      <c r="Q1983" s="130">
        <v>2</v>
      </c>
      <c r="R1983" s="111">
        <f>106.93*2</f>
        <v>213.86</v>
      </c>
      <c r="S1983" s="110"/>
      <c r="T1983" s="110"/>
      <c r="U1983" s="130">
        <v>1</v>
      </c>
      <c r="V1983" s="111">
        <v>106.93</v>
      </c>
      <c r="W1983" s="110"/>
      <c r="X1983" s="110"/>
      <c r="Y1983" s="110"/>
      <c r="Z1983" s="110"/>
      <c r="AA1983" s="130">
        <v>0</v>
      </c>
      <c r="AB1983" s="111">
        <v>0</v>
      </c>
      <c r="AC1983" s="110"/>
      <c r="AD1983" s="110"/>
      <c r="AE1983" s="130">
        <v>0</v>
      </c>
      <c r="AF1983" s="111">
        <v>0</v>
      </c>
      <c r="AG1983" s="110"/>
      <c r="AH1983" s="110"/>
      <c r="AI1983" s="110"/>
      <c r="AJ1983" s="110"/>
      <c r="AK1983" s="111">
        <f t="shared" si="441"/>
        <v>320.79000000000002</v>
      </c>
      <c r="AL1983" s="446">
        <f t="shared" si="442"/>
        <v>-3.6000000000058208E-3</v>
      </c>
      <c r="AM1983" s="110">
        <f t="shared" si="443"/>
        <v>3</v>
      </c>
      <c r="AN1983" s="447">
        <f t="shared" si="437"/>
        <v>0</v>
      </c>
      <c r="AO1983"/>
      <c r="AP1983"/>
    </row>
    <row r="1984" spans="1:42" ht="66" x14ac:dyDescent="0.25">
      <c r="A1984" s="1024"/>
      <c r="B1984" s="34" t="s">
        <v>499</v>
      </c>
      <c r="C1984" s="1024"/>
      <c r="D1984" s="869">
        <v>3</v>
      </c>
      <c r="E1984" s="1027" t="s">
        <v>1721</v>
      </c>
      <c r="F1984" s="273" t="s">
        <v>3446</v>
      </c>
      <c r="G1984" s="1040" t="s">
        <v>3463</v>
      </c>
      <c r="H1984" s="273" t="s">
        <v>3462</v>
      </c>
      <c r="I1984" s="720">
        <f t="shared" si="439"/>
        <v>297.00640000000004</v>
      </c>
      <c r="J1984" s="756">
        <v>891.01920000000018</v>
      </c>
      <c r="K1984" s="131">
        <f t="shared" si="434"/>
        <v>891.01920000000018</v>
      </c>
      <c r="L1984" s="335">
        <f t="shared" si="440"/>
        <v>0</v>
      </c>
      <c r="M1984" s="446"/>
      <c r="N1984" s="446"/>
      <c r="O1984" s="446"/>
      <c r="P1984" s="446"/>
      <c r="Q1984" s="130">
        <v>2</v>
      </c>
      <c r="R1984" s="111">
        <f>297.01*2</f>
        <v>594.02</v>
      </c>
      <c r="S1984" s="110"/>
      <c r="T1984" s="110"/>
      <c r="U1984" s="130">
        <v>1</v>
      </c>
      <c r="V1984" s="111">
        <v>297.01</v>
      </c>
      <c r="W1984" s="110"/>
      <c r="X1984" s="110"/>
      <c r="Y1984" s="110"/>
      <c r="Z1984" s="110"/>
      <c r="AA1984" s="130">
        <v>1</v>
      </c>
      <c r="AB1984" s="111">
        <v>0</v>
      </c>
      <c r="AC1984" s="110"/>
      <c r="AD1984" s="110"/>
      <c r="AE1984" s="130">
        <v>0</v>
      </c>
      <c r="AF1984" s="111">
        <v>0</v>
      </c>
      <c r="AG1984" s="110"/>
      <c r="AH1984" s="110"/>
      <c r="AI1984" s="110"/>
      <c r="AJ1984" s="110"/>
      <c r="AK1984" s="111">
        <f t="shared" si="441"/>
        <v>891.03</v>
      </c>
      <c r="AL1984" s="446">
        <f t="shared" si="442"/>
        <v>-1.0799999999790089E-2</v>
      </c>
      <c r="AM1984" s="110">
        <f t="shared" si="443"/>
        <v>4</v>
      </c>
      <c r="AN1984" s="447">
        <f t="shared" si="437"/>
        <v>-1</v>
      </c>
      <c r="AO1984"/>
      <c r="AP1984"/>
    </row>
    <row r="1985" spans="1:42" ht="66" x14ac:dyDescent="0.25">
      <c r="A1985" s="1024"/>
      <c r="B1985" s="46" t="s">
        <v>500</v>
      </c>
      <c r="C1985" s="1024"/>
      <c r="D1985" s="869">
        <v>3</v>
      </c>
      <c r="E1985" s="1027" t="s">
        <v>1721</v>
      </c>
      <c r="F1985" s="273" t="s">
        <v>3446</v>
      </c>
      <c r="G1985" s="1040" t="s">
        <v>3463</v>
      </c>
      <c r="H1985" s="273" t="s">
        <v>3462</v>
      </c>
      <c r="I1985" s="720">
        <f t="shared" si="439"/>
        <v>106.92880000000001</v>
      </c>
      <c r="J1985" s="756">
        <v>320.78640000000001</v>
      </c>
      <c r="K1985" s="131">
        <f t="shared" si="434"/>
        <v>320.78640000000001</v>
      </c>
      <c r="L1985" s="335">
        <f t="shared" si="440"/>
        <v>0</v>
      </c>
      <c r="M1985" s="446"/>
      <c r="N1985" s="446"/>
      <c r="O1985" s="446"/>
      <c r="P1985" s="446"/>
      <c r="Q1985" s="130">
        <v>2</v>
      </c>
      <c r="R1985" s="111">
        <f>106.93*2</f>
        <v>213.86</v>
      </c>
      <c r="S1985" s="110"/>
      <c r="T1985" s="110"/>
      <c r="U1985" s="130">
        <v>1</v>
      </c>
      <c r="V1985" s="111">
        <v>106.93</v>
      </c>
      <c r="W1985" s="110"/>
      <c r="X1985" s="110"/>
      <c r="Y1985" s="110"/>
      <c r="Z1985" s="110"/>
      <c r="AA1985" s="130">
        <v>0</v>
      </c>
      <c r="AB1985" s="111">
        <v>0</v>
      </c>
      <c r="AC1985" s="110"/>
      <c r="AD1985" s="110"/>
      <c r="AE1985" s="130">
        <v>0</v>
      </c>
      <c r="AF1985" s="111">
        <v>0</v>
      </c>
      <c r="AG1985" s="110"/>
      <c r="AH1985" s="110"/>
      <c r="AI1985" s="110"/>
      <c r="AJ1985" s="110"/>
      <c r="AK1985" s="111">
        <f t="shared" si="441"/>
        <v>320.79000000000002</v>
      </c>
      <c r="AL1985" s="446">
        <f t="shared" si="442"/>
        <v>-3.6000000000058208E-3</v>
      </c>
      <c r="AM1985" s="110">
        <f t="shared" si="443"/>
        <v>3</v>
      </c>
      <c r="AN1985" s="447">
        <f t="shared" si="437"/>
        <v>0</v>
      </c>
      <c r="AO1985"/>
      <c r="AP1985"/>
    </row>
    <row r="1986" spans="1:42" ht="66" x14ac:dyDescent="0.25">
      <c r="A1986" s="1024"/>
      <c r="B1986" s="41" t="s">
        <v>501</v>
      </c>
      <c r="C1986" s="1024"/>
      <c r="D1986" s="869">
        <v>10</v>
      </c>
      <c r="E1986" s="1027" t="s">
        <v>1722</v>
      </c>
      <c r="F1986" s="273" t="s">
        <v>3446</v>
      </c>
      <c r="G1986" s="1040" t="s">
        <v>3463</v>
      </c>
      <c r="H1986" s="273" t="s">
        <v>3462</v>
      </c>
      <c r="I1986" s="720">
        <f t="shared" si="439"/>
        <v>672.49840000000006</v>
      </c>
      <c r="J1986" s="756">
        <v>6724.9840000000004</v>
      </c>
      <c r="K1986" s="131">
        <f t="shared" si="434"/>
        <v>6724.9840000000004</v>
      </c>
      <c r="L1986" s="335">
        <f t="shared" si="440"/>
        <v>0</v>
      </c>
      <c r="M1986" s="446"/>
      <c r="N1986" s="446"/>
      <c r="O1986" s="446"/>
      <c r="P1986" s="446"/>
      <c r="Q1986" s="130">
        <v>3</v>
      </c>
      <c r="R1986" s="111">
        <f t="shared" si="435"/>
        <v>1681.2460000000001</v>
      </c>
      <c r="S1986" s="110"/>
      <c r="T1986" s="110"/>
      <c r="U1986" s="130">
        <v>3</v>
      </c>
      <c r="V1986" s="111">
        <f t="shared" si="436"/>
        <v>1681.2460000000001</v>
      </c>
      <c r="W1986" s="110"/>
      <c r="X1986" s="110"/>
      <c r="Y1986" s="110"/>
      <c r="Z1986" s="110"/>
      <c r="AA1986" s="130">
        <v>2</v>
      </c>
      <c r="AB1986" s="111">
        <f t="shared" si="432"/>
        <v>1681.2460000000001</v>
      </c>
      <c r="AC1986" s="110"/>
      <c r="AD1986" s="110"/>
      <c r="AE1986" s="130">
        <v>2</v>
      </c>
      <c r="AF1986" s="111">
        <f t="shared" si="433"/>
        <v>1681.2460000000001</v>
      </c>
      <c r="AG1986" s="110"/>
      <c r="AH1986" s="110"/>
      <c r="AI1986" s="110"/>
      <c r="AJ1986" s="110"/>
      <c r="AK1986" s="111">
        <f t="shared" si="441"/>
        <v>6724.9840000000004</v>
      </c>
      <c r="AL1986" s="446">
        <f t="shared" si="442"/>
        <v>0</v>
      </c>
      <c r="AM1986" s="110">
        <f t="shared" si="443"/>
        <v>10</v>
      </c>
      <c r="AN1986" s="447">
        <f t="shared" si="437"/>
        <v>0</v>
      </c>
      <c r="AO1986"/>
      <c r="AP1986"/>
    </row>
    <row r="1987" spans="1:42" ht="66" x14ac:dyDescent="0.25">
      <c r="A1987" s="1024"/>
      <c r="B1987" s="46" t="s">
        <v>502</v>
      </c>
      <c r="C1987" s="1024"/>
      <c r="D1987" s="869">
        <v>2</v>
      </c>
      <c r="E1987" s="1027" t="s">
        <v>1721</v>
      </c>
      <c r="F1987" s="273" t="s">
        <v>3446</v>
      </c>
      <c r="G1987" s="1040" t="s">
        <v>3463</v>
      </c>
      <c r="H1987" s="273" t="s">
        <v>3462</v>
      </c>
      <c r="I1987" s="720">
        <f t="shared" si="439"/>
        <v>142.56400000000002</v>
      </c>
      <c r="J1987" s="756">
        <v>285.12800000000004</v>
      </c>
      <c r="K1987" s="131">
        <f t="shared" si="434"/>
        <v>285.12800000000004</v>
      </c>
      <c r="L1987" s="335">
        <f t="shared" si="440"/>
        <v>0</v>
      </c>
      <c r="M1987" s="446"/>
      <c r="N1987" s="446"/>
      <c r="O1987" s="446"/>
      <c r="P1987" s="446"/>
      <c r="Q1987" s="130">
        <v>1</v>
      </c>
      <c r="R1987" s="111">
        <v>142.56</v>
      </c>
      <c r="S1987" s="110"/>
      <c r="T1987" s="110"/>
      <c r="U1987" s="130">
        <v>1</v>
      </c>
      <c r="V1987" s="111">
        <v>142.56</v>
      </c>
      <c r="W1987" s="110"/>
      <c r="X1987" s="110"/>
      <c r="Y1987" s="110"/>
      <c r="Z1987" s="110"/>
      <c r="AA1987" s="130">
        <v>0</v>
      </c>
      <c r="AB1987" s="111">
        <v>0</v>
      </c>
      <c r="AC1987" s="110"/>
      <c r="AD1987" s="110"/>
      <c r="AE1987" s="130">
        <v>0</v>
      </c>
      <c r="AF1987" s="111">
        <v>0</v>
      </c>
      <c r="AG1987" s="110"/>
      <c r="AH1987" s="110"/>
      <c r="AI1987" s="110"/>
      <c r="AJ1987" s="110"/>
      <c r="AK1987" s="111">
        <f t="shared" si="441"/>
        <v>285.12</v>
      </c>
      <c r="AL1987" s="446">
        <f t="shared" si="442"/>
        <v>8.0000000000381988E-3</v>
      </c>
      <c r="AM1987" s="110">
        <f t="shared" si="443"/>
        <v>2</v>
      </c>
      <c r="AN1987" s="447">
        <f t="shared" si="437"/>
        <v>0</v>
      </c>
      <c r="AO1987"/>
      <c r="AP1987"/>
    </row>
    <row r="1988" spans="1:42" ht="66" x14ac:dyDescent="0.25">
      <c r="A1988" s="1024"/>
      <c r="B1988" s="34" t="s">
        <v>503</v>
      </c>
      <c r="C1988" s="1024"/>
      <c r="D1988" s="869">
        <v>10</v>
      </c>
      <c r="E1988" s="1027" t="s">
        <v>1721</v>
      </c>
      <c r="F1988" s="273" t="s">
        <v>3446</v>
      </c>
      <c r="G1988" s="1040" t="s">
        <v>3463</v>
      </c>
      <c r="H1988" s="273" t="s">
        <v>3462</v>
      </c>
      <c r="I1988" s="720">
        <f t="shared" si="439"/>
        <v>142.56400000000002</v>
      </c>
      <c r="J1988" s="756">
        <v>1425.6400000000003</v>
      </c>
      <c r="K1988" s="131">
        <f t="shared" si="434"/>
        <v>1425.6400000000003</v>
      </c>
      <c r="L1988" s="335">
        <f t="shared" si="440"/>
        <v>0</v>
      </c>
      <c r="M1988" s="446"/>
      <c r="N1988" s="446"/>
      <c r="O1988" s="446"/>
      <c r="P1988" s="446"/>
      <c r="Q1988" s="130">
        <v>3</v>
      </c>
      <c r="R1988" s="111">
        <f t="shared" si="435"/>
        <v>356.41000000000008</v>
      </c>
      <c r="S1988" s="110"/>
      <c r="T1988" s="110"/>
      <c r="U1988" s="130">
        <v>3</v>
      </c>
      <c r="V1988" s="111">
        <f t="shared" si="436"/>
        <v>356.41000000000008</v>
      </c>
      <c r="W1988" s="110"/>
      <c r="X1988" s="110"/>
      <c r="Y1988" s="110"/>
      <c r="Z1988" s="110"/>
      <c r="AA1988" s="130">
        <v>2</v>
      </c>
      <c r="AB1988" s="111">
        <f t="shared" si="432"/>
        <v>356.41000000000008</v>
      </c>
      <c r="AC1988" s="110"/>
      <c r="AD1988" s="110"/>
      <c r="AE1988" s="130">
        <v>2</v>
      </c>
      <c r="AF1988" s="111">
        <f t="shared" si="433"/>
        <v>356.41000000000008</v>
      </c>
      <c r="AG1988" s="110"/>
      <c r="AH1988" s="110"/>
      <c r="AI1988" s="110"/>
      <c r="AJ1988" s="110"/>
      <c r="AK1988" s="111">
        <f t="shared" si="441"/>
        <v>1425.6400000000003</v>
      </c>
      <c r="AL1988" s="446">
        <f t="shared" si="442"/>
        <v>0</v>
      </c>
      <c r="AM1988" s="110">
        <f t="shared" si="443"/>
        <v>10</v>
      </c>
      <c r="AN1988" s="447">
        <f t="shared" si="437"/>
        <v>0</v>
      </c>
      <c r="AO1988"/>
      <c r="AP1988"/>
    </row>
    <row r="1989" spans="1:42" ht="66" x14ac:dyDescent="0.25">
      <c r="A1989" s="1024"/>
      <c r="B1989" s="46" t="s">
        <v>504</v>
      </c>
      <c r="C1989" s="1024"/>
      <c r="D1989" s="869">
        <v>1</v>
      </c>
      <c r="E1989" s="1027" t="s">
        <v>1721</v>
      </c>
      <c r="F1989" s="273" t="s">
        <v>3446</v>
      </c>
      <c r="G1989" s="1040" t="s">
        <v>3463</v>
      </c>
      <c r="H1989" s="273" t="s">
        <v>3462</v>
      </c>
      <c r="I1989" s="720">
        <f t="shared" si="439"/>
        <v>2969.9944</v>
      </c>
      <c r="J1989" s="756">
        <v>2969.9944</v>
      </c>
      <c r="K1989" s="131">
        <f t="shared" si="434"/>
        <v>2969.9944</v>
      </c>
      <c r="L1989" s="335">
        <f t="shared" si="440"/>
        <v>0</v>
      </c>
      <c r="M1989" s="446"/>
      <c r="N1989" s="446"/>
      <c r="O1989" s="446"/>
      <c r="P1989" s="446"/>
      <c r="Q1989" s="110">
        <v>1</v>
      </c>
      <c r="R1989" s="111">
        <v>2969.99</v>
      </c>
      <c r="S1989" s="110"/>
      <c r="T1989" s="110"/>
      <c r="U1989" s="110">
        <v>0</v>
      </c>
      <c r="V1989" s="111">
        <v>0</v>
      </c>
      <c r="W1989" s="110"/>
      <c r="X1989" s="110"/>
      <c r="Y1989" s="110"/>
      <c r="Z1989" s="110"/>
      <c r="AA1989" s="110">
        <v>0</v>
      </c>
      <c r="AB1989" s="111">
        <v>0</v>
      </c>
      <c r="AC1989" s="110"/>
      <c r="AD1989" s="110"/>
      <c r="AE1989" s="110">
        <v>0</v>
      </c>
      <c r="AF1989" s="111">
        <v>0</v>
      </c>
      <c r="AG1989" s="110"/>
      <c r="AH1989" s="110"/>
      <c r="AI1989" s="110"/>
      <c r="AJ1989" s="110"/>
      <c r="AK1989" s="111">
        <f t="shared" si="441"/>
        <v>2969.99</v>
      </c>
      <c r="AL1989" s="446">
        <f t="shared" si="442"/>
        <v>4.4000000002597517E-3</v>
      </c>
      <c r="AM1989" s="110">
        <f t="shared" si="443"/>
        <v>1</v>
      </c>
      <c r="AN1989" s="447">
        <f t="shared" si="437"/>
        <v>0</v>
      </c>
      <c r="AO1989"/>
      <c r="AP1989"/>
    </row>
    <row r="1990" spans="1:42" ht="66" x14ac:dyDescent="0.25">
      <c r="A1990" s="1024"/>
      <c r="B1990" s="34" t="s">
        <v>505</v>
      </c>
      <c r="C1990" s="1024"/>
      <c r="D1990" s="869">
        <v>4</v>
      </c>
      <c r="E1990" s="1027" t="s">
        <v>1721</v>
      </c>
      <c r="F1990" s="273" t="s">
        <v>3446</v>
      </c>
      <c r="G1990" s="1040" t="s">
        <v>3463</v>
      </c>
      <c r="H1990" s="273" t="s">
        <v>3462</v>
      </c>
      <c r="I1990" s="720">
        <f t="shared" si="439"/>
        <v>612.48</v>
      </c>
      <c r="J1990" s="756">
        <v>2449.92</v>
      </c>
      <c r="K1990" s="131">
        <f t="shared" si="434"/>
        <v>2449.92</v>
      </c>
      <c r="L1990" s="335">
        <f t="shared" si="440"/>
        <v>0</v>
      </c>
      <c r="M1990" s="446"/>
      <c r="N1990" s="446"/>
      <c r="O1990" s="446"/>
      <c r="P1990" s="446"/>
      <c r="Q1990" s="110">
        <f t="shared" ref="Q1990:Q2053" si="444">+$D1990/4</f>
        <v>1</v>
      </c>
      <c r="R1990" s="111">
        <f t="shared" ref="R1990:R2053" si="445">+J1990/4</f>
        <v>612.48</v>
      </c>
      <c r="S1990" s="110"/>
      <c r="T1990" s="110"/>
      <c r="U1990" s="110">
        <f t="shared" ref="U1990:U2053" si="446">+$D1990/4</f>
        <v>1</v>
      </c>
      <c r="V1990" s="111">
        <f t="shared" ref="V1990:V2053" si="447">+J1990/4</f>
        <v>612.48</v>
      </c>
      <c r="W1990" s="110"/>
      <c r="X1990" s="110"/>
      <c r="Y1990" s="110"/>
      <c r="Z1990" s="110"/>
      <c r="AA1990" s="110">
        <f t="shared" ref="AA1990:AE2052" si="448">+$D1990/4</f>
        <v>1</v>
      </c>
      <c r="AB1990" s="111">
        <f t="shared" si="432"/>
        <v>612.48</v>
      </c>
      <c r="AC1990" s="110"/>
      <c r="AD1990" s="110"/>
      <c r="AE1990" s="110">
        <f t="shared" si="448"/>
        <v>1</v>
      </c>
      <c r="AF1990" s="111">
        <f t="shared" si="433"/>
        <v>612.48</v>
      </c>
      <c r="AG1990" s="110"/>
      <c r="AH1990" s="110"/>
      <c r="AI1990" s="110"/>
      <c r="AJ1990" s="110"/>
      <c r="AK1990" s="111">
        <f t="shared" si="441"/>
        <v>2449.92</v>
      </c>
      <c r="AL1990" s="446">
        <f t="shared" si="442"/>
        <v>0</v>
      </c>
      <c r="AM1990" s="110">
        <f t="shared" si="443"/>
        <v>4</v>
      </c>
      <c r="AN1990" s="447">
        <f t="shared" si="437"/>
        <v>0</v>
      </c>
      <c r="AO1990"/>
      <c r="AP1990"/>
    </row>
    <row r="1991" spans="1:42" ht="66" x14ac:dyDescent="0.25">
      <c r="A1991" s="1024"/>
      <c r="B1991" s="34" t="s">
        <v>506</v>
      </c>
      <c r="C1991" s="1024"/>
      <c r="D1991" s="869">
        <v>3</v>
      </c>
      <c r="E1991" s="1027" t="s">
        <v>1721</v>
      </c>
      <c r="F1991" s="273" t="s">
        <v>3446</v>
      </c>
      <c r="G1991" s="1040" t="s">
        <v>3463</v>
      </c>
      <c r="H1991" s="273" t="s">
        <v>3462</v>
      </c>
      <c r="I1991" s="720">
        <f t="shared" si="439"/>
        <v>95.04516666666666</v>
      </c>
      <c r="J1991" s="756">
        <v>285.13549999999998</v>
      </c>
      <c r="K1991" s="131">
        <f t="shared" si="434"/>
        <v>285.13549999999998</v>
      </c>
      <c r="L1991" s="335">
        <f t="shared" si="440"/>
        <v>0</v>
      </c>
      <c r="M1991" s="446"/>
      <c r="N1991" s="446"/>
      <c r="O1991" s="446"/>
      <c r="P1991" s="446"/>
      <c r="Q1991" s="130">
        <v>2</v>
      </c>
      <c r="R1991" s="111">
        <f>95.05*2</f>
        <v>190.1</v>
      </c>
      <c r="S1991" s="110"/>
      <c r="T1991" s="110"/>
      <c r="U1991" s="130">
        <v>1</v>
      </c>
      <c r="V1991" s="111">
        <v>95.05</v>
      </c>
      <c r="W1991" s="110"/>
      <c r="X1991" s="110"/>
      <c r="Y1991" s="110"/>
      <c r="Z1991" s="110"/>
      <c r="AA1991" s="130">
        <v>0</v>
      </c>
      <c r="AB1991" s="111">
        <v>0</v>
      </c>
      <c r="AC1991" s="110"/>
      <c r="AD1991" s="110"/>
      <c r="AE1991" s="130">
        <v>0</v>
      </c>
      <c r="AF1991" s="111">
        <v>0</v>
      </c>
      <c r="AG1991" s="110"/>
      <c r="AH1991" s="110"/>
      <c r="AI1991" s="110"/>
      <c r="AJ1991" s="110"/>
      <c r="AK1991" s="111">
        <f t="shared" si="441"/>
        <v>285.14999999999998</v>
      </c>
      <c r="AL1991" s="446">
        <f t="shared" si="442"/>
        <v>-1.4499999999998181E-2</v>
      </c>
      <c r="AM1991" s="110">
        <f t="shared" si="443"/>
        <v>3</v>
      </c>
      <c r="AN1991" s="447">
        <f t="shared" si="437"/>
        <v>0</v>
      </c>
      <c r="AO1991"/>
      <c r="AP1991"/>
    </row>
    <row r="1992" spans="1:42" ht="66" x14ac:dyDescent="0.25">
      <c r="A1992" s="1024"/>
      <c r="B1992" s="34" t="s">
        <v>507</v>
      </c>
      <c r="C1992" s="1024"/>
      <c r="D1992" s="869">
        <v>50</v>
      </c>
      <c r="E1992" s="1027" t="s">
        <v>1721</v>
      </c>
      <c r="F1992" s="273" t="s">
        <v>3446</v>
      </c>
      <c r="G1992" s="1040" t="s">
        <v>3463</v>
      </c>
      <c r="H1992" s="273" t="s">
        <v>3462</v>
      </c>
      <c r="I1992" s="720">
        <f t="shared" si="439"/>
        <v>38.024799999999999</v>
      </c>
      <c r="J1992" s="756">
        <v>1901.24</v>
      </c>
      <c r="K1992" s="131">
        <f t="shared" si="434"/>
        <v>1901.24</v>
      </c>
      <c r="L1992" s="335">
        <f t="shared" si="440"/>
        <v>0</v>
      </c>
      <c r="M1992" s="446"/>
      <c r="N1992" s="446"/>
      <c r="O1992" s="446"/>
      <c r="P1992" s="446"/>
      <c r="Q1992" s="110">
        <v>13</v>
      </c>
      <c r="R1992" s="111">
        <f t="shared" si="445"/>
        <v>475.31</v>
      </c>
      <c r="S1992" s="110"/>
      <c r="T1992" s="110"/>
      <c r="U1992" s="110">
        <v>12</v>
      </c>
      <c r="V1992" s="111">
        <f t="shared" si="447"/>
        <v>475.31</v>
      </c>
      <c r="W1992" s="110"/>
      <c r="X1992" s="110"/>
      <c r="Y1992" s="110"/>
      <c r="Z1992" s="110"/>
      <c r="AA1992" s="110">
        <v>12</v>
      </c>
      <c r="AB1992" s="111">
        <f t="shared" si="432"/>
        <v>475.31</v>
      </c>
      <c r="AC1992" s="110"/>
      <c r="AD1992" s="110"/>
      <c r="AE1992" s="110">
        <v>13</v>
      </c>
      <c r="AF1992" s="111">
        <f t="shared" si="433"/>
        <v>475.31</v>
      </c>
      <c r="AG1992" s="110"/>
      <c r="AH1992" s="110"/>
      <c r="AI1992" s="110"/>
      <c r="AJ1992" s="110"/>
      <c r="AK1992" s="111">
        <f t="shared" si="441"/>
        <v>1901.24</v>
      </c>
      <c r="AL1992" s="446">
        <f t="shared" si="442"/>
        <v>0</v>
      </c>
      <c r="AM1992" s="110">
        <f t="shared" si="443"/>
        <v>50</v>
      </c>
      <c r="AN1992" s="447">
        <f t="shared" si="437"/>
        <v>0</v>
      </c>
      <c r="AO1992"/>
      <c r="AP1992"/>
    </row>
    <row r="1993" spans="1:42" ht="66" x14ac:dyDescent="0.25">
      <c r="A1993" s="1024"/>
      <c r="B1993" s="34" t="s">
        <v>508</v>
      </c>
      <c r="C1993" s="1024"/>
      <c r="D1993" s="869">
        <v>50</v>
      </c>
      <c r="E1993" s="1027" t="s">
        <v>1721</v>
      </c>
      <c r="F1993" s="273" t="s">
        <v>3446</v>
      </c>
      <c r="G1993" s="1040" t="s">
        <v>3463</v>
      </c>
      <c r="H1993" s="273" t="s">
        <v>3462</v>
      </c>
      <c r="I1993" s="720">
        <f t="shared" si="439"/>
        <v>36.818399999999997</v>
      </c>
      <c r="J1993" s="756">
        <v>1840.9199999999998</v>
      </c>
      <c r="K1993" s="131">
        <f t="shared" si="434"/>
        <v>1840.9199999999998</v>
      </c>
      <c r="L1993" s="335">
        <f t="shared" si="440"/>
        <v>0</v>
      </c>
      <c r="M1993" s="446"/>
      <c r="N1993" s="446"/>
      <c r="O1993" s="446"/>
      <c r="P1993" s="446"/>
      <c r="Q1993" s="110">
        <v>13</v>
      </c>
      <c r="R1993" s="111">
        <f t="shared" si="445"/>
        <v>460.22999999999996</v>
      </c>
      <c r="S1993" s="110"/>
      <c r="T1993" s="110"/>
      <c r="U1993" s="110">
        <v>12</v>
      </c>
      <c r="V1993" s="111">
        <f t="shared" si="447"/>
        <v>460.22999999999996</v>
      </c>
      <c r="W1993" s="110"/>
      <c r="X1993" s="110"/>
      <c r="Y1993" s="110"/>
      <c r="Z1993" s="110"/>
      <c r="AA1993" s="110">
        <v>12</v>
      </c>
      <c r="AB1993" s="111">
        <f t="shared" si="432"/>
        <v>460.22999999999996</v>
      </c>
      <c r="AC1993" s="110"/>
      <c r="AD1993" s="110"/>
      <c r="AE1993" s="110">
        <v>13</v>
      </c>
      <c r="AF1993" s="111">
        <f t="shared" si="433"/>
        <v>460.22999999999996</v>
      </c>
      <c r="AG1993" s="110"/>
      <c r="AH1993" s="110"/>
      <c r="AI1993" s="110"/>
      <c r="AJ1993" s="110"/>
      <c r="AK1993" s="111">
        <f t="shared" si="441"/>
        <v>1840.9199999999998</v>
      </c>
      <c r="AL1993" s="446">
        <f t="shared" si="442"/>
        <v>0</v>
      </c>
      <c r="AM1993" s="110">
        <f t="shared" si="443"/>
        <v>50</v>
      </c>
      <c r="AN1993" s="447">
        <f t="shared" si="437"/>
        <v>0</v>
      </c>
      <c r="AO1993"/>
      <c r="AP1993"/>
    </row>
    <row r="1994" spans="1:42" ht="66" x14ac:dyDescent="0.25">
      <c r="A1994" s="1024"/>
      <c r="B1994" s="41" t="s">
        <v>509</v>
      </c>
      <c r="C1994" s="1024"/>
      <c r="D1994" s="869">
        <v>10</v>
      </c>
      <c r="E1994" s="1027" t="s">
        <v>1721</v>
      </c>
      <c r="F1994" s="273" t="s">
        <v>3446</v>
      </c>
      <c r="G1994" s="1040" t="s">
        <v>3463</v>
      </c>
      <c r="H1994" s="273" t="s">
        <v>3462</v>
      </c>
      <c r="I1994" s="720">
        <f t="shared" si="439"/>
        <v>357.28</v>
      </c>
      <c r="J1994" s="756">
        <v>3572.7999999999997</v>
      </c>
      <c r="K1994" s="131">
        <f t="shared" si="434"/>
        <v>3572.7999999999997</v>
      </c>
      <c r="L1994" s="335">
        <f t="shared" si="440"/>
        <v>0</v>
      </c>
      <c r="M1994" s="446"/>
      <c r="N1994" s="446"/>
      <c r="O1994" s="446"/>
      <c r="P1994" s="446"/>
      <c r="Q1994" s="130">
        <v>3</v>
      </c>
      <c r="R1994" s="111">
        <f t="shared" si="445"/>
        <v>893.19999999999993</v>
      </c>
      <c r="S1994" s="110"/>
      <c r="T1994" s="110"/>
      <c r="U1994" s="130">
        <v>3</v>
      </c>
      <c r="V1994" s="111">
        <f t="shared" si="447"/>
        <v>893.19999999999993</v>
      </c>
      <c r="W1994" s="110"/>
      <c r="X1994" s="110"/>
      <c r="Y1994" s="110"/>
      <c r="Z1994" s="110"/>
      <c r="AA1994" s="130">
        <v>2</v>
      </c>
      <c r="AB1994" s="111">
        <f t="shared" si="432"/>
        <v>893.19999999999993</v>
      </c>
      <c r="AC1994" s="110"/>
      <c r="AD1994" s="110"/>
      <c r="AE1994" s="130">
        <v>2</v>
      </c>
      <c r="AF1994" s="111">
        <f t="shared" si="433"/>
        <v>893.19999999999993</v>
      </c>
      <c r="AG1994" s="110"/>
      <c r="AH1994" s="110"/>
      <c r="AI1994" s="110"/>
      <c r="AJ1994" s="110"/>
      <c r="AK1994" s="111">
        <f t="shared" si="441"/>
        <v>3572.7999999999997</v>
      </c>
      <c r="AL1994" s="446">
        <f t="shared" si="442"/>
        <v>0</v>
      </c>
      <c r="AM1994" s="110">
        <f t="shared" si="443"/>
        <v>10</v>
      </c>
      <c r="AN1994" s="447">
        <f t="shared" si="437"/>
        <v>0</v>
      </c>
      <c r="AO1994"/>
      <c r="AP1994"/>
    </row>
    <row r="1995" spans="1:42" ht="66" x14ac:dyDescent="0.25">
      <c r="A1995" s="1024"/>
      <c r="B1995" s="46" t="s">
        <v>510</v>
      </c>
      <c r="C1995" s="1024"/>
      <c r="D1995" s="869">
        <v>40</v>
      </c>
      <c r="E1995" s="1027" t="s">
        <v>1721</v>
      </c>
      <c r="F1995" s="273" t="s">
        <v>3446</v>
      </c>
      <c r="G1995" s="1040" t="s">
        <v>3463</v>
      </c>
      <c r="H1995" s="273" t="s">
        <v>3462</v>
      </c>
      <c r="I1995" s="720">
        <f t="shared" si="439"/>
        <v>38.024799999999999</v>
      </c>
      <c r="J1995" s="756">
        <v>1520.992</v>
      </c>
      <c r="K1995" s="131">
        <f t="shared" si="434"/>
        <v>1520.992</v>
      </c>
      <c r="L1995" s="335">
        <f t="shared" si="440"/>
        <v>0</v>
      </c>
      <c r="M1995" s="446"/>
      <c r="N1995" s="446"/>
      <c r="O1995" s="446"/>
      <c r="P1995" s="446"/>
      <c r="Q1995" s="110">
        <f t="shared" si="444"/>
        <v>10</v>
      </c>
      <c r="R1995" s="111">
        <f t="shared" si="445"/>
        <v>380.24799999999999</v>
      </c>
      <c r="S1995" s="110"/>
      <c r="T1995" s="110"/>
      <c r="U1995" s="110">
        <f t="shared" si="446"/>
        <v>10</v>
      </c>
      <c r="V1995" s="111">
        <f t="shared" si="447"/>
        <v>380.24799999999999</v>
      </c>
      <c r="W1995" s="110"/>
      <c r="X1995" s="110"/>
      <c r="Y1995" s="110"/>
      <c r="Z1995" s="110"/>
      <c r="AA1995" s="110">
        <f t="shared" si="448"/>
        <v>10</v>
      </c>
      <c r="AB1995" s="111">
        <f t="shared" si="432"/>
        <v>380.24799999999999</v>
      </c>
      <c r="AC1995" s="110"/>
      <c r="AD1995" s="110"/>
      <c r="AE1995" s="110">
        <f t="shared" si="448"/>
        <v>10</v>
      </c>
      <c r="AF1995" s="111">
        <f t="shared" si="433"/>
        <v>380.24799999999999</v>
      </c>
      <c r="AG1995" s="110"/>
      <c r="AH1995" s="110"/>
      <c r="AI1995" s="110"/>
      <c r="AJ1995" s="110"/>
      <c r="AK1995" s="111">
        <f t="shared" si="441"/>
        <v>1520.992</v>
      </c>
      <c r="AL1995" s="446">
        <f t="shared" si="442"/>
        <v>0</v>
      </c>
      <c r="AM1995" s="110">
        <f t="shared" si="443"/>
        <v>40</v>
      </c>
      <c r="AN1995" s="447">
        <f t="shared" si="437"/>
        <v>0</v>
      </c>
      <c r="AO1995"/>
      <c r="AP1995"/>
    </row>
    <row r="1996" spans="1:42" ht="66" x14ac:dyDescent="0.25">
      <c r="A1996" s="1024"/>
      <c r="B1996" s="34" t="s">
        <v>511</v>
      </c>
      <c r="C1996" s="1024"/>
      <c r="D1996" s="869">
        <v>2</v>
      </c>
      <c r="E1996" s="1027" t="s">
        <v>1721</v>
      </c>
      <c r="F1996" s="273" t="s">
        <v>3446</v>
      </c>
      <c r="G1996" s="1040" t="s">
        <v>3463</v>
      </c>
      <c r="H1996" s="273" t="s">
        <v>3462</v>
      </c>
      <c r="I1996" s="720">
        <f t="shared" si="439"/>
        <v>112.595</v>
      </c>
      <c r="J1996" s="756">
        <v>225.19</v>
      </c>
      <c r="K1996" s="131">
        <f t="shared" si="434"/>
        <v>225.19</v>
      </c>
      <c r="L1996" s="335">
        <f t="shared" si="440"/>
        <v>0</v>
      </c>
      <c r="M1996" s="446"/>
      <c r="N1996" s="446"/>
      <c r="O1996" s="446"/>
      <c r="P1996" s="446"/>
      <c r="Q1996" s="130">
        <v>1</v>
      </c>
      <c r="R1996" s="111">
        <v>112.6</v>
      </c>
      <c r="S1996" s="110"/>
      <c r="T1996" s="110"/>
      <c r="U1996" s="130">
        <v>1</v>
      </c>
      <c r="V1996" s="111">
        <v>112.6</v>
      </c>
      <c r="W1996" s="110"/>
      <c r="X1996" s="110"/>
      <c r="Y1996" s="110"/>
      <c r="Z1996" s="110"/>
      <c r="AA1996" s="130">
        <v>0</v>
      </c>
      <c r="AB1996" s="111">
        <v>0</v>
      </c>
      <c r="AC1996" s="110"/>
      <c r="AD1996" s="110"/>
      <c r="AE1996" s="130">
        <v>0</v>
      </c>
      <c r="AF1996" s="111">
        <v>0</v>
      </c>
      <c r="AG1996" s="110"/>
      <c r="AH1996" s="110"/>
      <c r="AI1996" s="110"/>
      <c r="AJ1996" s="110"/>
      <c r="AK1996" s="111">
        <f t="shared" si="441"/>
        <v>225.2</v>
      </c>
      <c r="AL1996" s="446">
        <f t="shared" si="442"/>
        <v>-9.9999999999909051E-3</v>
      </c>
      <c r="AM1996" s="110">
        <f t="shared" si="443"/>
        <v>2</v>
      </c>
      <c r="AN1996" s="447">
        <f t="shared" si="437"/>
        <v>0</v>
      </c>
      <c r="AO1996"/>
      <c r="AP1996"/>
    </row>
    <row r="1997" spans="1:42" ht="66" x14ac:dyDescent="0.25">
      <c r="A1997" s="1024"/>
      <c r="B1997" s="34" t="s">
        <v>512</v>
      </c>
      <c r="C1997" s="1024"/>
      <c r="D1997" s="869">
        <v>6</v>
      </c>
      <c r="E1997" s="1027" t="s">
        <v>1721</v>
      </c>
      <c r="F1997" s="273" t="s">
        <v>3446</v>
      </c>
      <c r="G1997" s="1040" t="s">
        <v>3463</v>
      </c>
      <c r="H1997" s="273" t="s">
        <v>3462</v>
      </c>
      <c r="I1997" s="720">
        <f t="shared" si="439"/>
        <v>112.86799999999999</v>
      </c>
      <c r="J1997" s="756">
        <v>677.20799999999997</v>
      </c>
      <c r="K1997" s="131">
        <f t="shared" si="434"/>
        <v>677.20799999999997</v>
      </c>
      <c r="L1997" s="335">
        <f t="shared" si="440"/>
        <v>0</v>
      </c>
      <c r="M1997" s="446"/>
      <c r="N1997" s="446"/>
      <c r="O1997" s="446"/>
      <c r="P1997" s="446"/>
      <c r="Q1997" s="130">
        <v>2</v>
      </c>
      <c r="R1997" s="111">
        <f t="shared" si="445"/>
        <v>169.30199999999999</v>
      </c>
      <c r="S1997" s="110"/>
      <c r="T1997" s="110"/>
      <c r="U1997" s="130">
        <v>2</v>
      </c>
      <c r="V1997" s="111">
        <f t="shared" si="447"/>
        <v>169.30199999999999</v>
      </c>
      <c r="W1997" s="110"/>
      <c r="X1997" s="110"/>
      <c r="Y1997" s="110"/>
      <c r="Z1997" s="110"/>
      <c r="AA1997" s="130">
        <v>1</v>
      </c>
      <c r="AB1997" s="111">
        <f t="shared" si="432"/>
        <v>169.30199999999999</v>
      </c>
      <c r="AC1997" s="110"/>
      <c r="AD1997" s="110"/>
      <c r="AE1997" s="130">
        <v>1</v>
      </c>
      <c r="AF1997" s="111">
        <f t="shared" si="433"/>
        <v>169.30199999999999</v>
      </c>
      <c r="AG1997" s="110"/>
      <c r="AH1997" s="110"/>
      <c r="AI1997" s="110"/>
      <c r="AJ1997" s="110"/>
      <c r="AK1997" s="111">
        <f t="shared" si="441"/>
        <v>677.20799999999997</v>
      </c>
      <c r="AL1997" s="446">
        <f t="shared" si="442"/>
        <v>0</v>
      </c>
      <c r="AM1997" s="110">
        <f t="shared" si="443"/>
        <v>6</v>
      </c>
      <c r="AN1997" s="447">
        <f t="shared" si="437"/>
        <v>0</v>
      </c>
      <c r="AO1997"/>
      <c r="AP1997"/>
    </row>
    <row r="1998" spans="1:42" ht="66" x14ac:dyDescent="0.25">
      <c r="A1998" s="1024"/>
      <c r="B1998" s="34" t="s">
        <v>513</v>
      </c>
      <c r="C1998" s="1024"/>
      <c r="D1998" s="869">
        <v>96</v>
      </c>
      <c r="E1998" s="1027" t="s">
        <v>1721</v>
      </c>
      <c r="F1998" s="273" t="s">
        <v>3446</v>
      </c>
      <c r="G1998" s="1040" t="s">
        <v>3463</v>
      </c>
      <c r="H1998" s="273" t="s">
        <v>3462</v>
      </c>
      <c r="I1998" s="720">
        <f t="shared" si="439"/>
        <v>102.07687499999999</v>
      </c>
      <c r="J1998" s="756">
        <v>9799.3799999999992</v>
      </c>
      <c r="K1998" s="131">
        <f t="shared" si="434"/>
        <v>9799.3799999999992</v>
      </c>
      <c r="L1998" s="335">
        <f t="shared" si="440"/>
        <v>0</v>
      </c>
      <c r="M1998" s="446"/>
      <c r="N1998" s="446"/>
      <c r="O1998" s="446"/>
      <c r="P1998" s="446"/>
      <c r="Q1998" s="110">
        <f t="shared" si="444"/>
        <v>24</v>
      </c>
      <c r="R1998" s="111">
        <f t="shared" si="445"/>
        <v>2449.8449999999998</v>
      </c>
      <c r="S1998" s="110"/>
      <c r="T1998" s="110"/>
      <c r="U1998" s="110">
        <f t="shared" si="446"/>
        <v>24</v>
      </c>
      <c r="V1998" s="111">
        <f t="shared" si="447"/>
        <v>2449.8449999999998</v>
      </c>
      <c r="W1998" s="110"/>
      <c r="X1998" s="110"/>
      <c r="Y1998" s="110"/>
      <c r="Z1998" s="110"/>
      <c r="AA1998" s="110">
        <f t="shared" si="448"/>
        <v>24</v>
      </c>
      <c r="AB1998" s="111">
        <f t="shared" si="432"/>
        <v>2449.8449999999998</v>
      </c>
      <c r="AC1998" s="110"/>
      <c r="AD1998" s="110"/>
      <c r="AE1998" s="110">
        <f t="shared" si="448"/>
        <v>24</v>
      </c>
      <c r="AF1998" s="111">
        <f t="shared" si="433"/>
        <v>2449.8449999999998</v>
      </c>
      <c r="AG1998" s="110"/>
      <c r="AH1998" s="110"/>
      <c r="AI1998" s="110"/>
      <c r="AJ1998" s="110"/>
      <c r="AK1998" s="111">
        <f t="shared" si="441"/>
        <v>9799.3799999999992</v>
      </c>
      <c r="AL1998" s="446">
        <f t="shared" si="442"/>
        <v>0</v>
      </c>
      <c r="AM1998" s="110">
        <f t="shared" si="443"/>
        <v>96</v>
      </c>
      <c r="AN1998" s="447">
        <f t="shared" si="437"/>
        <v>0</v>
      </c>
      <c r="AO1998"/>
      <c r="AP1998"/>
    </row>
    <row r="1999" spans="1:42" ht="66" x14ac:dyDescent="0.25">
      <c r="A1999" s="1024"/>
      <c r="B1999" s="34" t="s">
        <v>514</v>
      </c>
      <c r="C1999" s="1024"/>
      <c r="D1999" s="869">
        <v>4</v>
      </c>
      <c r="E1999" s="1027" t="s">
        <v>1721</v>
      </c>
      <c r="F1999" s="273" t="s">
        <v>3446</v>
      </c>
      <c r="G1999" s="1040" t="s">
        <v>3463</v>
      </c>
      <c r="H1999" s="273" t="s">
        <v>3462</v>
      </c>
      <c r="I1999" s="720">
        <f t="shared" si="439"/>
        <v>403.91199999999998</v>
      </c>
      <c r="J1999" s="756">
        <v>1615.6479999999999</v>
      </c>
      <c r="K1999" s="131">
        <f t="shared" si="434"/>
        <v>1615.6479999999999</v>
      </c>
      <c r="L1999" s="335">
        <f t="shared" si="440"/>
        <v>0</v>
      </c>
      <c r="M1999" s="446"/>
      <c r="N1999" s="446"/>
      <c r="O1999" s="446"/>
      <c r="P1999" s="446"/>
      <c r="Q1999" s="110">
        <f t="shared" si="444"/>
        <v>1</v>
      </c>
      <c r="R1999" s="111">
        <f t="shared" si="445"/>
        <v>403.91199999999998</v>
      </c>
      <c r="S1999" s="110"/>
      <c r="T1999" s="110"/>
      <c r="U1999" s="110">
        <f t="shared" si="446"/>
        <v>1</v>
      </c>
      <c r="V1999" s="111">
        <f t="shared" si="447"/>
        <v>403.91199999999998</v>
      </c>
      <c r="W1999" s="110"/>
      <c r="X1999" s="110"/>
      <c r="Y1999" s="110"/>
      <c r="Z1999" s="110"/>
      <c r="AA1999" s="110">
        <f t="shared" si="448"/>
        <v>1</v>
      </c>
      <c r="AB1999" s="111">
        <f t="shared" ref="AB1999:AB2062" si="449">+J1999/4</f>
        <v>403.91199999999998</v>
      </c>
      <c r="AC1999" s="110"/>
      <c r="AD1999" s="110"/>
      <c r="AE1999" s="110">
        <f t="shared" si="448"/>
        <v>1</v>
      </c>
      <c r="AF1999" s="111">
        <f t="shared" ref="AF1999:AF2062" si="450">+J1999/4</f>
        <v>403.91199999999998</v>
      </c>
      <c r="AG1999" s="110"/>
      <c r="AH1999" s="110"/>
      <c r="AI1999" s="110"/>
      <c r="AJ1999" s="110"/>
      <c r="AK1999" s="111">
        <f t="shared" si="441"/>
        <v>1615.6479999999999</v>
      </c>
      <c r="AL1999" s="446">
        <f t="shared" si="442"/>
        <v>0</v>
      </c>
      <c r="AM1999" s="110">
        <f t="shared" si="443"/>
        <v>4</v>
      </c>
      <c r="AN1999" s="447">
        <f t="shared" si="437"/>
        <v>0</v>
      </c>
      <c r="AO1999"/>
      <c r="AP1999"/>
    </row>
    <row r="2000" spans="1:42" ht="66" x14ac:dyDescent="0.25">
      <c r="A2000" s="1024"/>
      <c r="B2000" s="46" t="s">
        <v>515</v>
      </c>
      <c r="C2000" s="1024"/>
      <c r="D2000" s="869">
        <v>50</v>
      </c>
      <c r="E2000" s="1027" t="s">
        <v>1721</v>
      </c>
      <c r="F2000" s="273" t="s">
        <v>3446</v>
      </c>
      <c r="G2000" s="1040" t="s">
        <v>3463</v>
      </c>
      <c r="H2000" s="273" t="s">
        <v>3462</v>
      </c>
      <c r="I2000" s="720">
        <f t="shared" si="439"/>
        <v>29.696000000000005</v>
      </c>
      <c r="J2000" s="756">
        <v>1484.8000000000002</v>
      </c>
      <c r="K2000" s="131">
        <f t="shared" si="434"/>
        <v>1484.8000000000002</v>
      </c>
      <c r="L2000" s="335">
        <f t="shared" si="440"/>
        <v>0</v>
      </c>
      <c r="M2000" s="446"/>
      <c r="N2000" s="446"/>
      <c r="O2000" s="446"/>
      <c r="P2000" s="446"/>
      <c r="Q2000" s="110">
        <v>13</v>
      </c>
      <c r="R2000" s="111">
        <f t="shared" si="445"/>
        <v>371.20000000000005</v>
      </c>
      <c r="S2000" s="110"/>
      <c r="T2000" s="110"/>
      <c r="U2000" s="110">
        <v>12</v>
      </c>
      <c r="V2000" s="111">
        <f t="shared" si="447"/>
        <v>371.20000000000005</v>
      </c>
      <c r="W2000" s="110"/>
      <c r="X2000" s="110"/>
      <c r="Y2000" s="110"/>
      <c r="Z2000" s="110"/>
      <c r="AA2000" s="110">
        <v>12</v>
      </c>
      <c r="AB2000" s="111">
        <f t="shared" si="449"/>
        <v>371.20000000000005</v>
      </c>
      <c r="AC2000" s="110"/>
      <c r="AD2000" s="110"/>
      <c r="AE2000" s="110">
        <v>13</v>
      </c>
      <c r="AF2000" s="111">
        <f t="shared" si="450"/>
        <v>371.20000000000005</v>
      </c>
      <c r="AG2000" s="110"/>
      <c r="AH2000" s="110"/>
      <c r="AI2000" s="110"/>
      <c r="AJ2000" s="110"/>
      <c r="AK2000" s="111">
        <f t="shared" si="441"/>
        <v>1484.8000000000002</v>
      </c>
      <c r="AL2000" s="446">
        <f t="shared" si="442"/>
        <v>0</v>
      </c>
      <c r="AM2000" s="110">
        <f t="shared" si="443"/>
        <v>50</v>
      </c>
      <c r="AN2000" s="447">
        <f t="shared" si="437"/>
        <v>0</v>
      </c>
      <c r="AO2000"/>
      <c r="AP2000"/>
    </row>
    <row r="2001" spans="1:42" ht="66" x14ac:dyDescent="0.25">
      <c r="A2001" s="1024"/>
      <c r="B2001" s="46" t="s">
        <v>516</v>
      </c>
      <c r="C2001" s="1024"/>
      <c r="D2001" s="869">
        <v>50</v>
      </c>
      <c r="E2001" s="1027" t="s">
        <v>1721</v>
      </c>
      <c r="F2001" s="273" t="s">
        <v>3446</v>
      </c>
      <c r="G2001" s="1040" t="s">
        <v>3463</v>
      </c>
      <c r="H2001" s="273" t="s">
        <v>3462</v>
      </c>
      <c r="I2001" s="720">
        <f t="shared" si="439"/>
        <v>5.9392000000000005</v>
      </c>
      <c r="J2001" s="756">
        <v>296.96000000000004</v>
      </c>
      <c r="K2001" s="131">
        <f t="shared" si="434"/>
        <v>296.96000000000004</v>
      </c>
      <c r="L2001" s="335">
        <f t="shared" si="440"/>
        <v>0</v>
      </c>
      <c r="M2001" s="446"/>
      <c r="N2001" s="446"/>
      <c r="O2001" s="446"/>
      <c r="P2001" s="446"/>
      <c r="Q2001" s="110">
        <v>13</v>
      </c>
      <c r="R2001" s="111">
        <f t="shared" si="445"/>
        <v>74.240000000000009</v>
      </c>
      <c r="S2001" s="110"/>
      <c r="T2001" s="110"/>
      <c r="U2001" s="110">
        <v>12</v>
      </c>
      <c r="V2001" s="111">
        <f t="shared" si="447"/>
        <v>74.240000000000009</v>
      </c>
      <c r="W2001" s="110"/>
      <c r="X2001" s="110"/>
      <c r="Y2001" s="110"/>
      <c r="Z2001" s="110"/>
      <c r="AA2001" s="110">
        <v>12</v>
      </c>
      <c r="AB2001" s="111">
        <f t="shared" si="449"/>
        <v>74.240000000000009</v>
      </c>
      <c r="AC2001" s="110"/>
      <c r="AD2001" s="110"/>
      <c r="AE2001" s="110">
        <v>13</v>
      </c>
      <c r="AF2001" s="111">
        <f t="shared" si="450"/>
        <v>74.240000000000009</v>
      </c>
      <c r="AG2001" s="110"/>
      <c r="AH2001" s="110"/>
      <c r="AI2001" s="110"/>
      <c r="AJ2001" s="110"/>
      <c r="AK2001" s="111">
        <f t="shared" si="441"/>
        <v>296.96000000000004</v>
      </c>
      <c r="AL2001" s="446">
        <f t="shared" si="442"/>
        <v>0</v>
      </c>
      <c r="AM2001" s="110">
        <f t="shared" si="443"/>
        <v>50</v>
      </c>
      <c r="AN2001" s="447">
        <f t="shared" si="437"/>
        <v>0</v>
      </c>
      <c r="AO2001"/>
      <c r="AP2001"/>
    </row>
    <row r="2002" spans="1:42" ht="66" x14ac:dyDescent="0.25">
      <c r="A2002" s="1024"/>
      <c r="B2002" s="41" t="s">
        <v>517</v>
      </c>
      <c r="C2002" s="1024"/>
      <c r="D2002" s="869">
        <v>10</v>
      </c>
      <c r="E2002" s="1027" t="s">
        <v>1725</v>
      </c>
      <c r="F2002" s="278" t="s">
        <v>3446</v>
      </c>
      <c r="G2002" s="1040" t="s">
        <v>3463</v>
      </c>
      <c r="H2002" s="273" t="s">
        <v>3462</v>
      </c>
      <c r="I2002" s="720">
        <f t="shared" si="439"/>
        <v>355.54</v>
      </c>
      <c r="J2002" s="756">
        <v>3555.4</v>
      </c>
      <c r="K2002" s="131">
        <f t="shared" si="434"/>
        <v>3555.4</v>
      </c>
      <c r="L2002" s="335">
        <f t="shared" si="440"/>
        <v>0</v>
      </c>
      <c r="M2002" s="446"/>
      <c r="N2002" s="446"/>
      <c r="O2002" s="446"/>
      <c r="P2002" s="446"/>
      <c r="Q2002" s="130">
        <v>3</v>
      </c>
      <c r="R2002" s="111">
        <f t="shared" si="445"/>
        <v>888.85</v>
      </c>
      <c r="S2002" s="110"/>
      <c r="T2002" s="110"/>
      <c r="U2002" s="130">
        <v>3</v>
      </c>
      <c r="V2002" s="111">
        <f t="shared" si="447"/>
        <v>888.85</v>
      </c>
      <c r="W2002" s="110"/>
      <c r="X2002" s="110"/>
      <c r="Y2002" s="110"/>
      <c r="Z2002" s="110"/>
      <c r="AA2002" s="130">
        <v>2</v>
      </c>
      <c r="AB2002" s="111">
        <f t="shared" si="449"/>
        <v>888.85</v>
      </c>
      <c r="AC2002" s="110"/>
      <c r="AD2002" s="110"/>
      <c r="AE2002" s="130">
        <v>2</v>
      </c>
      <c r="AF2002" s="111">
        <f t="shared" si="450"/>
        <v>888.85</v>
      </c>
      <c r="AG2002" s="110"/>
      <c r="AH2002" s="110"/>
      <c r="AI2002" s="110"/>
      <c r="AJ2002" s="110"/>
      <c r="AK2002" s="111">
        <f t="shared" si="441"/>
        <v>3555.4</v>
      </c>
      <c r="AL2002" s="446">
        <f t="shared" si="442"/>
        <v>0</v>
      </c>
      <c r="AM2002" s="110">
        <f t="shared" si="443"/>
        <v>10</v>
      </c>
      <c r="AN2002" s="447">
        <f t="shared" si="437"/>
        <v>0</v>
      </c>
      <c r="AO2002"/>
      <c r="AP2002"/>
    </row>
    <row r="2003" spans="1:42" ht="66" x14ac:dyDescent="0.25">
      <c r="A2003" s="1024"/>
      <c r="B2003" s="41" t="s">
        <v>518</v>
      </c>
      <c r="C2003" s="1024"/>
      <c r="D2003" s="869">
        <v>10</v>
      </c>
      <c r="E2003" s="1027" t="s">
        <v>1722</v>
      </c>
      <c r="F2003" s="273" t="s">
        <v>3446</v>
      </c>
      <c r="G2003" s="1040" t="s">
        <v>3463</v>
      </c>
      <c r="H2003" s="273" t="s">
        <v>3462</v>
      </c>
      <c r="I2003" s="720">
        <f t="shared" si="439"/>
        <v>1320.1959999999999</v>
      </c>
      <c r="J2003" s="756">
        <v>13201.96</v>
      </c>
      <c r="K2003" s="131">
        <f t="shared" si="434"/>
        <v>13201.96</v>
      </c>
      <c r="L2003" s="335">
        <f t="shared" si="440"/>
        <v>0</v>
      </c>
      <c r="M2003" s="446"/>
      <c r="N2003" s="446"/>
      <c r="O2003" s="446"/>
      <c r="P2003" s="446"/>
      <c r="Q2003" s="130">
        <v>3</v>
      </c>
      <c r="R2003" s="111">
        <f t="shared" si="445"/>
        <v>3300.49</v>
      </c>
      <c r="S2003" s="110"/>
      <c r="T2003" s="110"/>
      <c r="U2003" s="130">
        <v>3</v>
      </c>
      <c r="V2003" s="111">
        <f t="shared" si="447"/>
        <v>3300.49</v>
      </c>
      <c r="W2003" s="110"/>
      <c r="X2003" s="110"/>
      <c r="Y2003" s="110"/>
      <c r="Z2003" s="110"/>
      <c r="AA2003" s="130">
        <v>2</v>
      </c>
      <c r="AB2003" s="111">
        <f t="shared" si="449"/>
        <v>3300.49</v>
      </c>
      <c r="AC2003" s="110"/>
      <c r="AD2003" s="110"/>
      <c r="AE2003" s="130">
        <v>2</v>
      </c>
      <c r="AF2003" s="111">
        <f t="shared" si="450"/>
        <v>3300.49</v>
      </c>
      <c r="AG2003" s="110"/>
      <c r="AH2003" s="110"/>
      <c r="AI2003" s="110"/>
      <c r="AJ2003" s="110"/>
      <c r="AK2003" s="111">
        <f t="shared" si="441"/>
        <v>13201.96</v>
      </c>
      <c r="AL2003" s="446">
        <f t="shared" si="442"/>
        <v>0</v>
      </c>
      <c r="AM2003" s="110">
        <f t="shared" si="443"/>
        <v>10</v>
      </c>
      <c r="AN2003" s="447">
        <f t="shared" si="437"/>
        <v>0</v>
      </c>
      <c r="AO2003"/>
      <c r="AP2003"/>
    </row>
    <row r="2004" spans="1:42" ht="66" x14ac:dyDescent="0.25">
      <c r="A2004" s="1024"/>
      <c r="B2004" s="34" t="s">
        <v>519</v>
      </c>
      <c r="C2004" s="1024"/>
      <c r="D2004" s="869">
        <v>50</v>
      </c>
      <c r="E2004" s="1027" t="s">
        <v>1721</v>
      </c>
      <c r="F2004" s="273" t="s">
        <v>3446</v>
      </c>
      <c r="G2004" s="1040" t="s">
        <v>3463</v>
      </c>
      <c r="H2004" s="273" t="s">
        <v>3462</v>
      </c>
      <c r="I2004" s="720">
        <f t="shared" si="439"/>
        <v>23.756800000000002</v>
      </c>
      <c r="J2004" s="756">
        <v>1187.8400000000001</v>
      </c>
      <c r="K2004" s="131">
        <f t="shared" si="434"/>
        <v>1187.8400000000001</v>
      </c>
      <c r="L2004" s="335">
        <f t="shared" si="440"/>
        <v>0</v>
      </c>
      <c r="M2004" s="446"/>
      <c r="N2004" s="446"/>
      <c r="O2004" s="446"/>
      <c r="P2004" s="446"/>
      <c r="Q2004" s="110">
        <v>13</v>
      </c>
      <c r="R2004" s="111">
        <f t="shared" si="445"/>
        <v>296.96000000000004</v>
      </c>
      <c r="S2004" s="110"/>
      <c r="T2004" s="110"/>
      <c r="U2004" s="110">
        <v>12</v>
      </c>
      <c r="V2004" s="111">
        <f t="shared" si="447"/>
        <v>296.96000000000004</v>
      </c>
      <c r="W2004" s="110"/>
      <c r="X2004" s="110"/>
      <c r="Y2004" s="110"/>
      <c r="Z2004" s="110"/>
      <c r="AA2004" s="110">
        <v>12</v>
      </c>
      <c r="AB2004" s="111">
        <f t="shared" si="449"/>
        <v>296.96000000000004</v>
      </c>
      <c r="AC2004" s="110"/>
      <c r="AD2004" s="110"/>
      <c r="AE2004" s="110">
        <v>13</v>
      </c>
      <c r="AF2004" s="111">
        <f t="shared" si="450"/>
        <v>296.96000000000004</v>
      </c>
      <c r="AG2004" s="110"/>
      <c r="AH2004" s="110"/>
      <c r="AI2004" s="110"/>
      <c r="AJ2004" s="110"/>
      <c r="AK2004" s="111">
        <f t="shared" si="441"/>
        <v>1187.8400000000001</v>
      </c>
      <c r="AL2004" s="446">
        <f t="shared" si="442"/>
        <v>0</v>
      </c>
      <c r="AM2004" s="110">
        <f t="shared" si="443"/>
        <v>50</v>
      </c>
      <c r="AN2004" s="447">
        <f t="shared" si="437"/>
        <v>0</v>
      </c>
      <c r="AO2004"/>
      <c r="AP2004"/>
    </row>
    <row r="2005" spans="1:42" ht="66" x14ac:dyDescent="0.25">
      <c r="A2005" s="1024"/>
      <c r="B2005" s="34" t="s">
        <v>520</v>
      </c>
      <c r="C2005" s="1024"/>
      <c r="D2005" s="869">
        <v>20</v>
      </c>
      <c r="E2005" s="1027" t="s">
        <v>1721</v>
      </c>
      <c r="F2005" s="273" t="s">
        <v>3446</v>
      </c>
      <c r="G2005" s="1040" t="s">
        <v>3463</v>
      </c>
      <c r="H2005" s="273" t="s">
        <v>3462</v>
      </c>
      <c r="I2005" s="720">
        <f t="shared" si="439"/>
        <v>17.817599999999999</v>
      </c>
      <c r="J2005" s="756">
        <v>356.35199999999998</v>
      </c>
      <c r="K2005" s="131">
        <f t="shared" si="434"/>
        <v>356.35199999999998</v>
      </c>
      <c r="L2005" s="335">
        <f t="shared" si="440"/>
        <v>0</v>
      </c>
      <c r="M2005" s="446"/>
      <c r="N2005" s="446"/>
      <c r="O2005" s="446"/>
      <c r="P2005" s="446"/>
      <c r="Q2005" s="110">
        <f t="shared" si="444"/>
        <v>5</v>
      </c>
      <c r="R2005" s="111">
        <f t="shared" si="445"/>
        <v>89.087999999999994</v>
      </c>
      <c r="S2005" s="110"/>
      <c r="T2005" s="110"/>
      <c r="U2005" s="110">
        <f t="shared" si="446"/>
        <v>5</v>
      </c>
      <c r="V2005" s="111">
        <f t="shared" si="447"/>
        <v>89.087999999999994</v>
      </c>
      <c r="W2005" s="110"/>
      <c r="X2005" s="110"/>
      <c r="Y2005" s="110"/>
      <c r="Z2005" s="110"/>
      <c r="AA2005" s="110">
        <f t="shared" si="448"/>
        <v>5</v>
      </c>
      <c r="AB2005" s="111">
        <f t="shared" si="449"/>
        <v>89.087999999999994</v>
      </c>
      <c r="AC2005" s="110"/>
      <c r="AD2005" s="110"/>
      <c r="AE2005" s="110">
        <f t="shared" si="448"/>
        <v>5</v>
      </c>
      <c r="AF2005" s="111">
        <f t="shared" si="450"/>
        <v>89.087999999999994</v>
      </c>
      <c r="AG2005" s="110"/>
      <c r="AH2005" s="110"/>
      <c r="AI2005" s="110"/>
      <c r="AJ2005" s="110"/>
      <c r="AK2005" s="111">
        <f t="shared" si="441"/>
        <v>356.35199999999998</v>
      </c>
      <c r="AL2005" s="446">
        <f t="shared" si="442"/>
        <v>0</v>
      </c>
      <c r="AM2005" s="110">
        <f t="shared" si="443"/>
        <v>20</v>
      </c>
      <c r="AN2005" s="447">
        <f t="shared" si="437"/>
        <v>0</v>
      </c>
      <c r="AO2005"/>
      <c r="AP2005"/>
    </row>
    <row r="2006" spans="1:42" ht="66" x14ac:dyDescent="0.25">
      <c r="A2006" s="1024"/>
      <c r="B2006" s="41" t="s">
        <v>521</v>
      </c>
      <c r="C2006" s="1024"/>
      <c r="D2006" s="869">
        <v>10</v>
      </c>
      <c r="E2006" s="1027" t="s">
        <v>1722</v>
      </c>
      <c r="F2006" s="273" t="s">
        <v>3446</v>
      </c>
      <c r="G2006" s="1040" t="s">
        <v>3463</v>
      </c>
      <c r="H2006" s="273" t="s">
        <v>3462</v>
      </c>
      <c r="I2006" s="720">
        <f t="shared" si="439"/>
        <v>950.87620000000004</v>
      </c>
      <c r="J2006" s="756">
        <v>9508.7620000000006</v>
      </c>
      <c r="K2006" s="131">
        <f t="shared" si="434"/>
        <v>9508.7620000000006</v>
      </c>
      <c r="L2006" s="335">
        <f t="shared" si="440"/>
        <v>0</v>
      </c>
      <c r="M2006" s="446"/>
      <c r="N2006" s="446"/>
      <c r="O2006" s="446"/>
      <c r="P2006" s="446"/>
      <c r="Q2006" s="130">
        <v>3</v>
      </c>
      <c r="R2006" s="111">
        <f t="shared" si="445"/>
        <v>2377.1905000000002</v>
      </c>
      <c r="S2006" s="110"/>
      <c r="T2006" s="110"/>
      <c r="U2006" s="130">
        <v>3</v>
      </c>
      <c r="V2006" s="111">
        <f t="shared" si="447"/>
        <v>2377.1905000000002</v>
      </c>
      <c r="W2006" s="110"/>
      <c r="X2006" s="110"/>
      <c r="Y2006" s="110"/>
      <c r="Z2006" s="110"/>
      <c r="AA2006" s="130">
        <v>2</v>
      </c>
      <c r="AB2006" s="111">
        <f t="shared" si="449"/>
        <v>2377.1905000000002</v>
      </c>
      <c r="AC2006" s="110"/>
      <c r="AD2006" s="110"/>
      <c r="AE2006" s="130">
        <v>2</v>
      </c>
      <c r="AF2006" s="111">
        <f t="shared" si="450"/>
        <v>2377.1905000000002</v>
      </c>
      <c r="AG2006" s="110"/>
      <c r="AH2006" s="110"/>
      <c r="AI2006" s="110"/>
      <c r="AJ2006" s="110"/>
      <c r="AK2006" s="111">
        <f t="shared" si="441"/>
        <v>9508.7620000000006</v>
      </c>
      <c r="AL2006" s="446">
        <f t="shared" si="442"/>
        <v>0</v>
      </c>
      <c r="AM2006" s="110">
        <f t="shared" si="443"/>
        <v>10</v>
      </c>
      <c r="AN2006" s="447">
        <f t="shared" si="437"/>
        <v>0</v>
      </c>
      <c r="AO2006"/>
      <c r="AP2006"/>
    </row>
    <row r="2007" spans="1:42" ht="66" x14ac:dyDescent="0.25">
      <c r="A2007" s="1024"/>
      <c r="B2007" s="34" t="s">
        <v>522</v>
      </c>
      <c r="C2007" s="1024"/>
      <c r="D2007" s="869">
        <v>3</v>
      </c>
      <c r="E2007" s="1027" t="s">
        <v>1721</v>
      </c>
      <c r="F2007" s="273" t="s">
        <v>3446</v>
      </c>
      <c r="G2007" s="1040" t="s">
        <v>3463</v>
      </c>
      <c r="H2007" s="273" t="s">
        <v>3462</v>
      </c>
      <c r="I2007" s="720">
        <f t="shared" si="439"/>
        <v>309.00080000000003</v>
      </c>
      <c r="J2007" s="756">
        <v>927.00240000000008</v>
      </c>
      <c r="K2007" s="131">
        <f t="shared" si="434"/>
        <v>927.00240000000008</v>
      </c>
      <c r="L2007" s="335">
        <f t="shared" si="440"/>
        <v>0</v>
      </c>
      <c r="M2007" s="446"/>
      <c r="N2007" s="446"/>
      <c r="O2007" s="446"/>
      <c r="P2007" s="446"/>
      <c r="Q2007" s="130">
        <v>1</v>
      </c>
      <c r="R2007" s="111">
        <v>309</v>
      </c>
      <c r="S2007" s="110"/>
      <c r="T2007" s="110"/>
      <c r="U2007" s="130">
        <v>1</v>
      </c>
      <c r="V2007" s="111">
        <v>309</v>
      </c>
      <c r="W2007" s="110"/>
      <c r="X2007" s="110"/>
      <c r="Y2007" s="110"/>
      <c r="Z2007" s="110"/>
      <c r="AA2007" s="130">
        <v>1</v>
      </c>
      <c r="AB2007" s="111">
        <v>309</v>
      </c>
      <c r="AC2007" s="110"/>
      <c r="AD2007" s="110"/>
      <c r="AE2007" s="130">
        <v>0</v>
      </c>
      <c r="AF2007" s="111">
        <v>0</v>
      </c>
      <c r="AG2007" s="110"/>
      <c r="AH2007" s="110"/>
      <c r="AI2007" s="110"/>
      <c r="AJ2007" s="110"/>
      <c r="AK2007" s="111">
        <f t="shared" si="441"/>
        <v>927</v>
      </c>
      <c r="AL2007" s="446">
        <f t="shared" si="442"/>
        <v>2.4000000000796717E-3</v>
      </c>
      <c r="AM2007" s="110">
        <f t="shared" si="443"/>
        <v>3</v>
      </c>
      <c r="AN2007" s="447">
        <f t="shared" si="437"/>
        <v>0</v>
      </c>
      <c r="AO2007"/>
      <c r="AP2007"/>
    </row>
    <row r="2008" spans="1:42" ht="66" x14ac:dyDescent="0.25">
      <c r="A2008" s="1024"/>
      <c r="B2008" s="171" t="s">
        <v>503</v>
      </c>
      <c r="C2008" s="1024"/>
      <c r="D2008" s="869">
        <v>125</v>
      </c>
      <c r="E2008" s="1027" t="s">
        <v>1721</v>
      </c>
      <c r="F2008" s="273" t="s">
        <v>3446</v>
      </c>
      <c r="G2008" s="1040" t="s">
        <v>3463</v>
      </c>
      <c r="H2008" s="273" t="s">
        <v>3462</v>
      </c>
      <c r="I2008" s="720">
        <f t="shared" si="439"/>
        <v>142.56</v>
      </c>
      <c r="J2008" s="756">
        <v>17820</v>
      </c>
      <c r="K2008" s="131">
        <f t="shared" si="434"/>
        <v>17820</v>
      </c>
      <c r="L2008" s="335">
        <f t="shared" si="440"/>
        <v>0</v>
      </c>
      <c r="M2008" s="446"/>
      <c r="N2008" s="446"/>
      <c r="O2008" s="446"/>
      <c r="P2008" s="446"/>
      <c r="Q2008" s="110">
        <v>60</v>
      </c>
      <c r="R2008" s="111">
        <f t="shared" si="445"/>
        <v>4455</v>
      </c>
      <c r="S2008" s="110"/>
      <c r="T2008" s="110"/>
      <c r="U2008" s="110">
        <v>60</v>
      </c>
      <c r="V2008" s="111">
        <f t="shared" si="447"/>
        <v>4455</v>
      </c>
      <c r="W2008" s="110"/>
      <c r="X2008" s="110"/>
      <c r="Y2008" s="110"/>
      <c r="Z2008" s="110"/>
      <c r="AA2008" s="110">
        <v>5</v>
      </c>
      <c r="AB2008" s="111">
        <f t="shared" si="449"/>
        <v>4455</v>
      </c>
      <c r="AC2008" s="110"/>
      <c r="AD2008" s="110"/>
      <c r="AE2008" s="110">
        <v>0</v>
      </c>
      <c r="AF2008" s="111">
        <f t="shared" si="450"/>
        <v>4455</v>
      </c>
      <c r="AG2008" s="110"/>
      <c r="AH2008" s="110"/>
      <c r="AI2008" s="110"/>
      <c r="AJ2008" s="110"/>
      <c r="AK2008" s="111">
        <f t="shared" si="441"/>
        <v>17820</v>
      </c>
      <c r="AL2008" s="446">
        <f t="shared" si="442"/>
        <v>0</v>
      </c>
      <c r="AM2008" s="110">
        <f t="shared" si="443"/>
        <v>125</v>
      </c>
      <c r="AN2008" s="447">
        <f t="shared" si="437"/>
        <v>0</v>
      </c>
      <c r="AO2008"/>
      <c r="AP2008"/>
    </row>
    <row r="2009" spans="1:42" ht="66" x14ac:dyDescent="0.25">
      <c r="A2009" s="1024"/>
      <c r="B2009" s="171" t="s">
        <v>512</v>
      </c>
      <c r="C2009" s="1024"/>
      <c r="D2009" s="869">
        <v>125</v>
      </c>
      <c r="E2009" s="1027" t="s">
        <v>1721</v>
      </c>
      <c r="F2009" s="273" t="s">
        <v>3446</v>
      </c>
      <c r="G2009" s="1040" t="s">
        <v>3463</v>
      </c>
      <c r="H2009" s="273" t="s">
        <v>3462</v>
      </c>
      <c r="I2009" s="720">
        <f t="shared" si="439"/>
        <v>112.86799999999999</v>
      </c>
      <c r="J2009" s="756">
        <v>14108.5</v>
      </c>
      <c r="K2009" s="131">
        <f t="shared" si="434"/>
        <v>14108.5</v>
      </c>
      <c r="L2009" s="335">
        <f t="shared" si="440"/>
        <v>0</v>
      </c>
      <c r="M2009" s="446"/>
      <c r="N2009" s="446"/>
      <c r="O2009" s="446"/>
      <c r="P2009" s="446"/>
      <c r="Q2009" s="110">
        <v>60</v>
      </c>
      <c r="R2009" s="111">
        <f t="shared" si="445"/>
        <v>3527.125</v>
      </c>
      <c r="S2009" s="110"/>
      <c r="T2009" s="110"/>
      <c r="U2009" s="110">
        <v>60</v>
      </c>
      <c r="V2009" s="111">
        <f t="shared" si="447"/>
        <v>3527.125</v>
      </c>
      <c r="W2009" s="110"/>
      <c r="X2009" s="110"/>
      <c r="Y2009" s="110"/>
      <c r="Z2009" s="110"/>
      <c r="AA2009" s="110">
        <v>5</v>
      </c>
      <c r="AB2009" s="111">
        <f t="shared" si="449"/>
        <v>3527.125</v>
      </c>
      <c r="AC2009" s="110"/>
      <c r="AD2009" s="110"/>
      <c r="AE2009" s="110">
        <v>0</v>
      </c>
      <c r="AF2009" s="111">
        <f t="shared" si="450"/>
        <v>3527.125</v>
      </c>
      <c r="AG2009" s="110"/>
      <c r="AH2009" s="110"/>
      <c r="AI2009" s="110"/>
      <c r="AJ2009" s="110"/>
      <c r="AK2009" s="111">
        <f t="shared" si="441"/>
        <v>14108.5</v>
      </c>
      <c r="AL2009" s="446">
        <f t="shared" si="442"/>
        <v>0</v>
      </c>
      <c r="AM2009" s="110">
        <f t="shared" si="443"/>
        <v>125</v>
      </c>
      <c r="AN2009" s="447">
        <f t="shared" si="437"/>
        <v>0</v>
      </c>
      <c r="AO2009"/>
      <c r="AP2009"/>
    </row>
    <row r="2010" spans="1:42" ht="66" x14ac:dyDescent="0.25">
      <c r="A2010" s="1024"/>
      <c r="B2010" s="171" t="s">
        <v>2013</v>
      </c>
      <c r="C2010" s="1024"/>
      <c r="D2010" s="869">
        <v>10</v>
      </c>
      <c r="E2010" s="1027" t="s">
        <v>1725</v>
      </c>
      <c r="F2010" s="273" t="s">
        <v>3446</v>
      </c>
      <c r="G2010" s="1040" t="s">
        <v>3463</v>
      </c>
      <c r="H2010" s="273" t="s">
        <v>3462</v>
      </c>
      <c r="I2010" s="720">
        <f t="shared" si="439"/>
        <v>35.672400000000003</v>
      </c>
      <c r="J2010" s="756">
        <v>356.72400000000005</v>
      </c>
      <c r="K2010" s="131">
        <f t="shared" ref="K2010:K2073" si="451">+D2010*I2010</f>
        <v>356.72400000000005</v>
      </c>
      <c r="L2010" s="335">
        <f t="shared" si="440"/>
        <v>0</v>
      </c>
      <c r="M2010" s="446"/>
      <c r="N2010" s="446"/>
      <c r="O2010" s="446"/>
      <c r="P2010" s="446"/>
      <c r="Q2010" s="130">
        <v>3</v>
      </c>
      <c r="R2010" s="111">
        <f t="shared" si="445"/>
        <v>89.181000000000012</v>
      </c>
      <c r="S2010" s="110"/>
      <c r="T2010" s="110"/>
      <c r="U2010" s="130">
        <v>3</v>
      </c>
      <c r="V2010" s="111">
        <f t="shared" si="447"/>
        <v>89.181000000000012</v>
      </c>
      <c r="W2010" s="110"/>
      <c r="X2010" s="110"/>
      <c r="Y2010" s="110"/>
      <c r="Z2010" s="110"/>
      <c r="AA2010" s="130">
        <v>2</v>
      </c>
      <c r="AB2010" s="111">
        <f t="shared" si="449"/>
        <v>89.181000000000012</v>
      </c>
      <c r="AC2010" s="110"/>
      <c r="AD2010" s="110"/>
      <c r="AE2010" s="130">
        <v>2</v>
      </c>
      <c r="AF2010" s="111">
        <f t="shared" si="450"/>
        <v>89.181000000000012</v>
      </c>
      <c r="AG2010" s="110"/>
      <c r="AH2010" s="110"/>
      <c r="AI2010" s="110"/>
      <c r="AJ2010" s="110"/>
      <c r="AK2010" s="111">
        <f t="shared" si="441"/>
        <v>356.72400000000005</v>
      </c>
      <c r="AL2010" s="446">
        <f t="shared" si="442"/>
        <v>0</v>
      </c>
      <c r="AM2010" s="110">
        <f t="shared" si="443"/>
        <v>10</v>
      </c>
      <c r="AN2010" s="447">
        <f t="shared" ref="AN2010:AN2073" si="452">+D2010-AM2010</f>
        <v>0</v>
      </c>
      <c r="AO2010"/>
      <c r="AP2010"/>
    </row>
    <row r="2011" spans="1:42" ht="66" x14ac:dyDescent="0.25">
      <c r="A2011" s="1024"/>
      <c r="B2011" s="171" t="s">
        <v>1851</v>
      </c>
      <c r="C2011" s="1024"/>
      <c r="D2011" s="869">
        <v>10</v>
      </c>
      <c r="E2011" s="1027" t="s">
        <v>1725</v>
      </c>
      <c r="F2011" s="273" t="s">
        <v>3446</v>
      </c>
      <c r="G2011" s="1040" t="s">
        <v>3463</v>
      </c>
      <c r="H2011" s="273" t="s">
        <v>3462</v>
      </c>
      <c r="I2011" s="720">
        <f t="shared" si="439"/>
        <v>26.945999999999998</v>
      </c>
      <c r="J2011" s="756">
        <v>269.45999999999998</v>
      </c>
      <c r="K2011" s="131">
        <f t="shared" si="451"/>
        <v>269.45999999999998</v>
      </c>
      <c r="L2011" s="335">
        <f t="shared" si="440"/>
        <v>0</v>
      </c>
      <c r="M2011" s="446"/>
      <c r="N2011" s="446"/>
      <c r="O2011" s="446"/>
      <c r="P2011" s="446"/>
      <c r="Q2011" s="130">
        <v>3</v>
      </c>
      <c r="R2011" s="111">
        <f t="shared" si="445"/>
        <v>67.364999999999995</v>
      </c>
      <c r="S2011" s="110"/>
      <c r="T2011" s="110"/>
      <c r="U2011" s="130">
        <v>3</v>
      </c>
      <c r="V2011" s="111">
        <f t="shared" si="447"/>
        <v>67.364999999999995</v>
      </c>
      <c r="W2011" s="110"/>
      <c r="X2011" s="110"/>
      <c r="Y2011" s="110"/>
      <c r="Z2011" s="110"/>
      <c r="AA2011" s="130">
        <v>2</v>
      </c>
      <c r="AB2011" s="111">
        <f t="shared" si="449"/>
        <v>67.364999999999995</v>
      </c>
      <c r="AC2011" s="110"/>
      <c r="AD2011" s="110"/>
      <c r="AE2011" s="130">
        <v>2</v>
      </c>
      <c r="AF2011" s="111">
        <f t="shared" si="450"/>
        <v>67.364999999999995</v>
      </c>
      <c r="AG2011" s="110"/>
      <c r="AH2011" s="110"/>
      <c r="AI2011" s="110"/>
      <c r="AJ2011" s="110"/>
      <c r="AK2011" s="111">
        <f t="shared" si="441"/>
        <v>269.45999999999998</v>
      </c>
      <c r="AL2011" s="446">
        <f t="shared" si="442"/>
        <v>0</v>
      </c>
      <c r="AM2011" s="110">
        <f t="shared" si="443"/>
        <v>10</v>
      </c>
      <c r="AN2011" s="447">
        <f t="shared" si="452"/>
        <v>0</v>
      </c>
      <c r="AO2011"/>
      <c r="AP2011"/>
    </row>
    <row r="2012" spans="1:42" ht="66" x14ac:dyDescent="0.25">
      <c r="A2012" s="1024"/>
      <c r="B2012" s="171" t="s">
        <v>1852</v>
      </c>
      <c r="C2012" s="1024"/>
      <c r="D2012" s="869">
        <v>10</v>
      </c>
      <c r="E2012" s="1027" t="s">
        <v>1725</v>
      </c>
      <c r="F2012" s="273" t="s">
        <v>3446</v>
      </c>
      <c r="G2012" s="1040" t="s">
        <v>3463</v>
      </c>
      <c r="H2012" s="273" t="s">
        <v>3462</v>
      </c>
      <c r="I2012" s="720">
        <f t="shared" si="439"/>
        <v>10.26</v>
      </c>
      <c r="J2012" s="756">
        <v>102.6</v>
      </c>
      <c r="K2012" s="131">
        <f t="shared" si="451"/>
        <v>102.6</v>
      </c>
      <c r="L2012" s="335">
        <f t="shared" si="440"/>
        <v>0</v>
      </c>
      <c r="M2012" s="446"/>
      <c r="N2012" s="446"/>
      <c r="O2012" s="446"/>
      <c r="P2012" s="446"/>
      <c r="Q2012" s="130">
        <v>3</v>
      </c>
      <c r="R2012" s="111">
        <f t="shared" si="445"/>
        <v>25.65</v>
      </c>
      <c r="S2012" s="110"/>
      <c r="T2012" s="110"/>
      <c r="U2012" s="130">
        <v>3</v>
      </c>
      <c r="V2012" s="111">
        <f t="shared" si="447"/>
        <v>25.65</v>
      </c>
      <c r="W2012" s="110"/>
      <c r="X2012" s="110"/>
      <c r="Y2012" s="110"/>
      <c r="Z2012" s="110"/>
      <c r="AA2012" s="130">
        <v>2</v>
      </c>
      <c r="AB2012" s="111">
        <f t="shared" si="449"/>
        <v>25.65</v>
      </c>
      <c r="AC2012" s="110"/>
      <c r="AD2012" s="110"/>
      <c r="AE2012" s="130">
        <v>2</v>
      </c>
      <c r="AF2012" s="111">
        <f t="shared" si="450"/>
        <v>25.65</v>
      </c>
      <c r="AG2012" s="110"/>
      <c r="AH2012" s="110"/>
      <c r="AI2012" s="110"/>
      <c r="AJ2012" s="110"/>
      <c r="AK2012" s="111">
        <f t="shared" si="441"/>
        <v>102.6</v>
      </c>
      <c r="AL2012" s="446">
        <f t="shared" si="442"/>
        <v>0</v>
      </c>
      <c r="AM2012" s="110">
        <f t="shared" si="443"/>
        <v>10</v>
      </c>
      <c r="AN2012" s="447">
        <f t="shared" si="452"/>
        <v>0</v>
      </c>
      <c r="AO2012"/>
      <c r="AP2012"/>
    </row>
    <row r="2013" spans="1:42" ht="66" x14ac:dyDescent="0.25">
      <c r="A2013" s="1024"/>
      <c r="B2013" s="171" t="s">
        <v>2014</v>
      </c>
      <c r="C2013" s="1024"/>
      <c r="D2013" s="869">
        <v>10</v>
      </c>
      <c r="E2013" s="1027" t="s">
        <v>1725</v>
      </c>
      <c r="F2013" s="273" t="s">
        <v>3446</v>
      </c>
      <c r="G2013" s="1040" t="s">
        <v>3463</v>
      </c>
      <c r="H2013" s="273" t="s">
        <v>3462</v>
      </c>
      <c r="I2013" s="720">
        <f t="shared" si="439"/>
        <v>32.076000000000001</v>
      </c>
      <c r="J2013" s="756">
        <v>320.76</v>
      </c>
      <c r="K2013" s="131">
        <f t="shared" si="451"/>
        <v>320.76</v>
      </c>
      <c r="L2013" s="335">
        <f t="shared" si="440"/>
        <v>0</v>
      </c>
      <c r="M2013" s="446"/>
      <c r="N2013" s="446"/>
      <c r="O2013" s="446"/>
      <c r="P2013" s="446"/>
      <c r="Q2013" s="130">
        <v>3</v>
      </c>
      <c r="R2013" s="111">
        <f t="shared" si="445"/>
        <v>80.19</v>
      </c>
      <c r="S2013" s="110"/>
      <c r="T2013" s="110"/>
      <c r="U2013" s="130">
        <v>3</v>
      </c>
      <c r="V2013" s="111">
        <f t="shared" si="447"/>
        <v>80.19</v>
      </c>
      <c r="W2013" s="110"/>
      <c r="X2013" s="110"/>
      <c r="Y2013" s="110"/>
      <c r="Z2013" s="110"/>
      <c r="AA2013" s="130">
        <v>2</v>
      </c>
      <c r="AB2013" s="111">
        <f t="shared" si="449"/>
        <v>80.19</v>
      </c>
      <c r="AC2013" s="110"/>
      <c r="AD2013" s="110"/>
      <c r="AE2013" s="130">
        <v>2</v>
      </c>
      <c r="AF2013" s="111">
        <f t="shared" si="450"/>
        <v>80.19</v>
      </c>
      <c r="AG2013" s="110"/>
      <c r="AH2013" s="110"/>
      <c r="AI2013" s="110"/>
      <c r="AJ2013" s="110"/>
      <c r="AK2013" s="111">
        <f t="shared" si="441"/>
        <v>320.76</v>
      </c>
      <c r="AL2013" s="446">
        <f t="shared" si="442"/>
        <v>0</v>
      </c>
      <c r="AM2013" s="110">
        <f t="shared" si="443"/>
        <v>10</v>
      </c>
      <c r="AN2013" s="447">
        <f t="shared" si="452"/>
        <v>0</v>
      </c>
      <c r="AO2013"/>
      <c r="AP2013"/>
    </row>
    <row r="2014" spans="1:42" ht="66" x14ac:dyDescent="0.25">
      <c r="A2014" s="1024"/>
      <c r="B2014" s="171" t="s">
        <v>2015</v>
      </c>
      <c r="C2014" s="1024"/>
      <c r="D2014" s="869">
        <v>1</v>
      </c>
      <c r="E2014" s="1027" t="s">
        <v>1725</v>
      </c>
      <c r="F2014" s="273" t="s">
        <v>3446</v>
      </c>
      <c r="G2014" s="1040" t="s">
        <v>3463</v>
      </c>
      <c r="H2014" s="273" t="s">
        <v>3462</v>
      </c>
      <c r="I2014" s="720">
        <f t="shared" si="439"/>
        <v>15.4008</v>
      </c>
      <c r="J2014" s="756">
        <v>15.4008</v>
      </c>
      <c r="K2014" s="131">
        <f t="shared" si="451"/>
        <v>15.4008</v>
      </c>
      <c r="L2014" s="335">
        <f t="shared" si="440"/>
        <v>0</v>
      </c>
      <c r="M2014" s="446"/>
      <c r="N2014" s="446"/>
      <c r="O2014" s="446"/>
      <c r="P2014" s="446"/>
      <c r="Q2014" s="110">
        <v>1</v>
      </c>
      <c r="R2014" s="111">
        <v>15.4</v>
      </c>
      <c r="S2014" s="110"/>
      <c r="T2014" s="110"/>
      <c r="U2014" s="110">
        <v>0</v>
      </c>
      <c r="V2014" s="111">
        <v>0</v>
      </c>
      <c r="W2014" s="110"/>
      <c r="X2014" s="110"/>
      <c r="Y2014" s="110"/>
      <c r="Z2014" s="110"/>
      <c r="AA2014" s="110">
        <v>0</v>
      </c>
      <c r="AB2014" s="111">
        <v>0</v>
      </c>
      <c r="AC2014" s="110"/>
      <c r="AD2014" s="110"/>
      <c r="AE2014" s="110">
        <v>0</v>
      </c>
      <c r="AF2014" s="111">
        <v>0</v>
      </c>
      <c r="AG2014" s="110"/>
      <c r="AH2014" s="110"/>
      <c r="AI2014" s="110"/>
      <c r="AJ2014" s="110"/>
      <c r="AK2014" s="111">
        <f t="shared" si="441"/>
        <v>15.4</v>
      </c>
      <c r="AL2014" s="446">
        <f t="shared" si="442"/>
        <v>7.9999999999991189E-4</v>
      </c>
      <c r="AM2014" s="110">
        <f t="shared" si="443"/>
        <v>1</v>
      </c>
      <c r="AN2014" s="447">
        <f t="shared" si="452"/>
        <v>0</v>
      </c>
      <c r="AO2014"/>
      <c r="AP2014"/>
    </row>
    <row r="2015" spans="1:42" ht="66" x14ac:dyDescent="0.25">
      <c r="A2015" s="1024"/>
      <c r="B2015" s="171" t="s">
        <v>1853</v>
      </c>
      <c r="C2015" s="1024"/>
      <c r="D2015" s="869">
        <v>10</v>
      </c>
      <c r="E2015" s="1027" t="s">
        <v>1725</v>
      </c>
      <c r="F2015" s="273" t="s">
        <v>3446</v>
      </c>
      <c r="G2015" s="1040" t="s">
        <v>3463</v>
      </c>
      <c r="H2015" s="273" t="s">
        <v>3462</v>
      </c>
      <c r="I2015" s="720">
        <f t="shared" si="439"/>
        <v>53.891999999999996</v>
      </c>
      <c r="J2015" s="756">
        <v>538.91999999999996</v>
      </c>
      <c r="K2015" s="131">
        <f t="shared" si="451"/>
        <v>538.91999999999996</v>
      </c>
      <c r="L2015" s="335">
        <f t="shared" si="440"/>
        <v>0</v>
      </c>
      <c r="M2015" s="446"/>
      <c r="N2015" s="446"/>
      <c r="O2015" s="446"/>
      <c r="P2015" s="446"/>
      <c r="Q2015" s="130">
        <v>3</v>
      </c>
      <c r="R2015" s="111">
        <f t="shared" si="445"/>
        <v>134.72999999999999</v>
      </c>
      <c r="S2015" s="110"/>
      <c r="T2015" s="110"/>
      <c r="U2015" s="130">
        <v>3</v>
      </c>
      <c r="V2015" s="111">
        <f t="shared" si="447"/>
        <v>134.72999999999999</v>
      </c>
      <c r="W2015" s="110"/>
      <c r="X2015" s="110"/>
      <c r="Y2015" s="110"/>
      <c r="Z2015" s="110"/>
      <c r="AA2015" s="130">
        <v>2</v>
      </c>
      <c r="AB2015" s="111">
        <f t="shared" si="449"/>
        <v>134.72999999999999</v>
      </c>
      <c r="AC2015" s="110"/>
      <c r="AD2015" s="110"/>
      <c r="AE2015" s="130">
        <v>2</v>
      </c>
      <c r="AF2015" s="111">
        <f t="shared" si="450"/>
        <v>134.72999999999999</v>
      </c>
      <c r="AG2015" s="110"/>
      <c r="AH2015" s="110"/>
      <c r="AI2015" s="110"/>
      <c r="AJ2015" s="110"/>
      <c r="AK2015" s="111">
        <f t="shared" si="441"/>
        <v>538.91999999999996</v>
      </c>
      <c r="AL2015" s="446">
        <f t="shared" si="442"/>
        <v>0</v>
      </c>
      <c r="AM2015" s="110">
        <f t="shared" si="443"/>
        <v>10</v>
      </c>
      <c r="AN2015" s="447">
        <f t="shared" si="452"/>
        <v>0</v>
      </c>
      <c r="AO2015"/>
      <c r="AP2015"/>
    </row>
    <row r="2016" spans="1:42" ht="66" x14ac:dyDescent="0.25">
      <c r="A2016" s="1024"/>
      <c r="B2016" s="171" t="s">
        <v>2016</v>
      </c>
      <c r="C2016" s="1024"/>
      <c r="D2016" s="869">
        <v>10</v>
      </c>
      <c r="E2016" s="1027" t="s">
        <v>1725</v>
      </c>
      <c r="F2016" s="273" t="s">
        <v>3446</v>
      </c>
      <c r="G2016" s="1040" t="s">
        <v>3463</v>
      </c>
      <c r="H2016" s="273" t="s">
        <v>3462</v>
      </c>
      <c r="I2016" s="720">
        <f t="shared" si="439"/>
        <v>10.26</v>
      </c>
      <c r="J2016" s="756">
        <v>102.6</v>
      </c>
      <c r="K2016" s="131">
        <f t="shared" si="451"/>
        <v>102.6</v>
      </c>
      <c r="L2016" s="335">
        <f t="shared" si="440"/>
        <v>0</v>
      </c>
      <c r="M2016" s="446"/>
      <c r="N2016" s="446"/>
      <c r="O2016" s="446"/>
      <c r="P2016" s="446"/>
      <c r="Q2016" s="130">
        <v>3</v>
      </c>
      <c r="R2016" s="111">
        <f t="shared" si="445"/>
        <v>25.65</v>
      </c>
      <c r="S2016" s="110"/>
      <c r="T2016" s="110"/>
      <c r="U2016" s="130">
        <v>3</v>
      </c>
      <c r="V2016" s="111">
        <f t="shared" si="447"/>
        <v>25.65</v>
      </c>
      <c r="W2016" s="110"/>
      <c r="X2016" s="110"/>
      <c r="Y2016" s="110"/>
      <c r="Z2016" s="110"/>
      <c r="AA2016" s="130">
        <v>2</v>
      </c>
      <c r="AB2016" s="111">
        <f t="shared" si="449"/>
        <v>25.65</v>
      </c>
      <c r="AC2016" s="110"/>
      <c r="AD2016" s="110"/>
      <c r="AE2016" s="130">
        <v>2</v>
      </c>
      <c r="AF2016" s="111">
        <f t="shared" si="450"/>
        <v>25.65</v>
      </c>
      <c r="AG2016" s="110"/>
      <c r="AH2016" s="110"/>
      <c r="AI2016" s="110"/>
      <c r="AJ2016" s="110"/>
      <c r="AK2016" s="111">
        <f t="shared" si="441"/>
        <v>102.6</v>
      </c>
      <c r="AL2016" s="446">
        <f t="shared" si="442"/>
        <v>0</v>
      </c>
      <c r="AM2016" s="110">
        <f t="shared" si="443"/>
        <v>10</v>
      </c>
      <c r="AN2016" s="447">
        <f t="shared" si="452"/>
        <v>0</v>
      </c>
      <c r="AO2016"/>
      <c r="AP2016"/>
    </row>
    <row r="2017" spans="1:42" ht="66" x14ac:dyDescent="0.25">
      <c r="A2017" s="1024"/>
      <c r="B2017" s="171" t="s">
        <v>1181</v>
      </c>
      <c r="C2017" s="1024"/>
      <c r="D2017" s="869">
        <v>10</v>
      </c>
      <c r="E2017" s="1027" t="s">
        <v>1725</v>
      </c>
      <c r="F2017" s="273" t="s">
        <v>3446</v>
      </c>
      <c r="G2017" s="1040" t="s">
        <v>3463</v>
      </c>
      <c r="H2017" s="273" t="s">
        <v>3462</v>
      </c>
      <c r="I2017" s="720">
        <f t="shared" si="439"/>
        <v>17.258400000000002</v>
      </c>
      <c r="J2017" s="756">
        <v>172.584</v>
      </c>
      <c r="K2017" s="131">
        <f t="shared" si="451"/>
        <v>172.584</v>
      </c>
      <c r="L2017" s="335">
        <f t="shared" si="440"/>
        <v>0</v>
      </c>
      <c r="M2017" s="446"/>
      <c r="N2017" s="446"/>
      <c r="O2017" s="446"/>
      <c r="P2017" s="446"/>
      <c r="Q2017" s="130">
        <v>3</v>
      </c>
      <c r="R2017" s="111">
        <f t="shared" si="445"/>
        <v>43.146000000000001</v>
      </c>
      <c r="S2017" s="110"/>
      <c r="T2017" s="110"/>
      <c r="U2017" s="130">
        <v>3</v>
      </c>
      <c r="V2017" s="111">
        <f t="shared" si="447"/>
        <v>43.146000000000001</v>
      </c>
      <c r="W2017" s="110"/>
      <c r="X2017" s="110"/>
      <c r="Y2017" s="110"/>
      <c r="Z2017" s="110"/>
      <c r="AA2017" s="130">
        <v>2</v>
      </c>
      <c r="AB2017" s="111">
        <f t="shared" si="449"/>
        <v>43.146000000000001</v>
      </c>
      <c r="AC2017" s="110"/>
      <c r="AD2017" s="110"/>
      <c r="AE2017" s="130">
        <v>2</v>
      </c>
      <c r="AF2017" s="111">
        <f t="shared" si="450"/>
        <v>43.146000000000001</v>
      </c>
      <c r="AG2017" s="110"/>
      <c r="AH2017" s="110"/>
      <c r="AI2017" s="110"/>
      <c r="AJ2017" s="110"/>
      <c r="AK2017" s="111">
        <f t="shared" si="441"/>
        <v>172.584</v>
      </c>
      <c r="AL2017" s="446">
        <f t="shared" si="442"/>
        <v>0</v>
      </c>
      <c r="AM2017" s="110">
        <f t="shared" si="443"/>
        <v>10</v>
      </c>
      <c r="AN2017" s="447">
        <f t="shared" si="452"/>
        <v>0</v>
      </c>
      <c r="AO2017"/>
      <c r="AP2017"/>
    </row>
    <row r="2018" spans="1:42" ht="66" x14ac:dyDescent="0.25">
      <c r="A2018" s="1024"/>
      <c r="B2018" s="171" t="s">
        <v>1854</v>
      </c>
      <c r="C2018" s="1024"/>
      <c r="D2018" s="869">
        <v>10</v>
      </c>
      <c r="E2018" s="1027" t="s">
        <v>1725</v>
      </c>
      <c r="F2018" s="273" t="s">
        <v>3446</v>
      </c>
      <c r="G2018" s="1040" t="s">
        <v>3463</v>
      </c>
      <c r="H2018" s="273" t="s">
        <v>3462</v>
      </c>
      <c r="I2018" s="720">
        <f t="shared" si="439"/>
        <v>20.530800000000003</v>
      </c>
      <c r="J2018" s="756">
        <v>205.30800000000002</v>
      </c>
      <c r="K2018" s="131">
        <f t="shared" si="451"/>
        <v>205.30800000000002</v>
      </c>
      <c r="L2018" s="335">
        <f t="shared" si="440"/>
        <v>0</v>
      </c>
      <c r="M2018" s="446"/>
      <c r="N2018" s="446"/>
      <c r="O2018" s="446"/>
      <c r="P2018" s="446"/>
      <c r="Q2018" s="130">
        <v>3</v>
      </c>
      <c r="R2018" s="111">
        <f t="shared" si="445"/>
        <v>51.327000000000005</v>
      </c>
      <c r="S2018" s="110"/>
      <c r="T2018" s="110"/>
      <c r="U2018" s="130">
        <v>3</v>
      </c>
      <c r="V2018" s="111">
        <f t="shared" si="447"/>
        <v>51.327000000000005</v>
      </c>
      <c r="W2018" s="110"/>
      <c r="X2018" s="110"/>
      <c r="Y2018" s="110"/>
      <c r="Z2018" s="110"/>
      <c r="AA2018" s="130">
        <v>2</v>
      </c>
      <c r="AB2018" s="111">
        <f t="shared" si="449"/>
        <v>51.327000000000005</v>
      </c>
      <c r="AC2018" s="110"/>
      <c r="AD2018" s="110"/>
      <c r="AE2018" s="130">
        <v>2</v>
      </c>
      <c r="AF2018" s="111">
        <f t="shared" si="450"/>
        <v>51.327000000000005</v>
      </c>
      <c r="AG2018" s="110"/>
      <c r="AH2018" s="110"/>
      <c r="AI2018" s="110"/>
      <c r="AJ2018" s="110"/>
      <c r="AK2018" s="111">
        <f t="shared" si="441"/>
        <v>205.30800000000002</v>
      </c>
      <c r="AL2018" s="446">
        <f t="shared" si="442"/>
        <v>0</v>
      </c>
      <c r="AM2018" s="110">
        <f t="shared" si="443"/>
        <v>10</v>
      </c>
      <c r="AN2018" s="447">
        <f t="shared" si="452"/>
        <v>0</v>
      </c>
      <c r="AO2018"/>
      <c r="AP2018"/>
    </row>
    <row r="2019" spans="1:42" ht="66" x14ac:dyDescent="0.25">
      <c r="A2019" s="1024"/>
      <c r="B2019" s="171" t="s">
        <v>1180</v>
      </c>
      <c r="C2019" s="1024"/>
      <c r="D2019" s="869">
        <v>10</v>
      </c>
      <c r="E2019" s="1027" t="s">
        <v>1725</v>
      </c>
      <c r="F2019" s="273" t="s">
        <v>3446</v>
      </c>
      <c r="G2019" s="1040" t="s">
        <v>3463</v>
      </c>
      <c r="H2019" s="273" t="s">
        <v>3462</v>
      </c>
      <c r="I2019" s="720">
        <f t="shared" si="439"/>
        <v>8.99</v>
      </c>
      <c r="J2019" s="756">
        <v>89.9</v>
      </c>
      <c r="K2019" s="131">
        <f t="shared" si="451"/>
        <v>89.9</v>
      </c>
      <c r="L2019" s="335">
        <f t="shared" si="440"/>
        <v>0</v>
      </c>
      <c r="M2019" s="446"/>
      <c r="N2019" s="446"/>
      <c r="O2019" s="446"/>
      <c r="P2019" s="446"/>
      <c r="Q2019" s="130">
        <v>3</v>
      </c>
      <c r="R2019" s="111">
        <f t="shared" si="445"/>
        <v>22.475000000000001</v>
      </c>
      <c r="S2019" s="110"/>
      <c r="T2019" s="110"/>
      <c r="U2019" s="130">
        <v>3</v>
      </c>
      <c r="V2019" s="111">
        <f t="shared" si="447"/>
        <v>22.475000000000001</v>
      </c>
      <c r="W2019" s="110"/>
      <c r="X2019" s="110"/>
      <c r="Y2019" s="110"/>
      <c r="Z2019" s="110"/>
      <c r="AA2019" s="130">
        <v>2</v>
      </c>
      <c r="AB2019" s="111">
        <f t="shared" si="449"/>
        <v>22.475000000000001</v>
      </c>
      <c r="AC2019" s="110"/>
      <c r="AD2019" s="110"/>
      <c r="AE2019" s="130">
        <v>2</v>
      </c>
      <c r="AF2019" s="111">
        <f t="shared" si="450"/>
        <v>22.475000000000001</v>
      </c>
      <c r="AG2019" s="110"/>
      <c r="AH2019" s="110"/>
      <c r="AI2019" s="110"/>
      <c r="AJ2019" s="110"/>
      <c r="AK2019" s="111">
        <f t="shared" si="441"/>
        <v>89.9</v>
      </c>
      <c r="AL2019" s="446">
        <f t="shared" si="442"/>
        <v>0</v>
      </c>
      <c r="AM2019" s="110">
        <f t="shared" si="443"/>
        <v>10</v>
      </c>
      <c r="AN2019" s="447">
        <f t="shared" si="452"/>
        <v>0</v>
      </c>
      <c r="AO2019"/>
      <c r="AP2019"/>
    </row>
    <row r="2020" spans="1:42" ht="66" x14ac:dyDescent="0.25">
      <c r="A2020" s="1024"/>
      <c r="B2020" s="171" t="s">
        <v>2017</v>
      </c>
      <c r="C2020" s="1024"/>
      <c r="D2020" s="869">
        <v>10</v>
      </c>
      <c r="E2020" s="1027" t="s">
        <v>1725</v>
      </c>
      <c r="F2020" s="273" t="s">
        <v>3446</v>
      </c>
      <c r="G2020" s="1040" t="s">
        <v>3463</v>
      </c>
      <c r="H2020" s="273" t="s">
        <v>3462</v>
      </c>
      <c r="I2020" s="720">
        <f t="shared" si="439"/>
        <v>35.9208</v>
      </c>
      <c r="J2020" s="756">
        <v>359.20799999999997</v>
      </c>
      <c r="K2020" s="131">
        <f t="shared" si="451"/>
        <v>359.20799999999997</v>
      </c>
      <c r="L2020" s="335">
        <f t="shared" si="440"/>
        <v>0</v>
      </c>
      <c r="M2020" s="446"/>
      <c r="N2020" s="446"/>
      <c r="O2020" s="446"/>
      <c r="P2020" s="446"/>
      <c r="Q2020" s="130">
        <v>3</v>
      </c>
      <c r="R2020" s="111">
        <f t="shared" si="445"/>
        <v>89.801999999999992</v>
      </c>
      <c r="S2020" s="110"/>
      <c r="T2020" s="110"/>
      <c r="U2020" s="130">
        <v>3</v>
      </c>
      <c r="V2020" s="111">
        <f t="shared" si="447"/>
        <v>89.801999999999992</v>
      </c>
      <c r="W2020" s="110"/>
      <c r="X2020" s="110"/>
      <c r="Y2020" s="110"/>
      <c r="Z2020" s="110"/>
      <c r="AA2020" s="130">
        <v>2</v>
      </c>
      <c r="AB2020" s="111">
        <f t="shared" si="449"/>
        <v>89.801999999999992</v>
      </c>
      <c r="AC2020" s="110"/>
      <c r="AD2020" s="110"/>
      <c r="AE2020" s="130">
        <v>2</v>
      </c>
      <c r="AF2020" s="111">
        <f t="shared" si="450"/>
        <v>89.801999999999992</v>
      </c>
      <c r="AG2020" s="110"/>
      <c r="AH2020" s="110"/>
      <c r="AI2020" s="110"/>
      <c r="AJ2020" s="110"/>
      <c r="AK2020" s="111">
        <f t="shared" si="441"/>
        <v>359.20799999999997</v>
      </c>
      <c r="AL2020" s="446">
        <f t="shared" si="442"/>
        <v>0</v>
      </c>
      <c r="AM2020" s="110">
        <f t="shared" si="443"/>
        <v>10</v>
      </c>
      <c r="AN2020" s="447">
        <f t="shared" si="452"/>
        <v>0</v>
      </c>
      <c r="AO2020"/>
      <c r="AP2020"/>
    </row>
    <row r="2021" spans="1:42" ht="66" x14ac:dyDescent="0.25">
      <c r="A2021" s="1024"/>
      <c r="B2021" s="171" t="s">
        <v>2018</v>
      </c>
      <c r="C2021" s="1024"/>
      <c r="D2021" s="869">
        <v>1</v>
      </c>
      <c r="E2021" s="1027" t="s">
        <v>1722</v>
      </c>
      <c r="F2021" s="273" t="s">
        <v>3446</v>
      </c>
      <c r="G2021" s="1040" t="s">
        <v>3463</v>
      </c>
      <c r="H2021" s="273" t="s">
        <v>3462</v>
      </c>
      <c r="I2021" s="720">
        <f t="shared" si="439"/>
        <v>2744.78</v>
      </c>
      <c r="J2021" s="756">
        <v>2744.78</v>
      </c>
      <c r="K2021" s="131">
        <f t="shared" si="451"/>
        <v>2744.78</v>
      </c>
      <c r="L2021" s="335">
        <f t="shared" si="440"/>
        <v>0</v>
      </c>
      <c r="M2021" s="446"/>
      <c r="N2021" s="446"/>
      <c r="O2021" s="446"/>
      <c r="P2021" s="446"/>
      <c r="Q2021" s="110">
        <v>1</v>
      </c>
      <c r="R2021" s="111">
        <v>2744.78</v>
      </c>
      <c r="S2021" s="110"/>
      <c r="T2021" s="110"/>
      <c r="U2021" s="110">
        <v>0</v>
      </c>
      <c r="V2021" s="111">
        <v>0</v>
      </c>
      <c r="W2021" s="110"/>
      <c r="X2021" s="110"/>
      <c r="Y2021" s="110"/>
      <c r="Z2021" s="110"/>
      <c r="AA2021" s="110">
        <v>0</v>
      </c>
      <c r="AB2021" s="111">
        <v>0</v>
      </c>
      <c r="AC2021" s="110"/>
      <c r="AD2021" s="110"/>
      <c r="AE2021" s="110">
        <v>0</v>
      </c>
      <c r="AF2021" s="111">
        <v>0</v>
      </c>
      <c r="AG2021" s="110"/>
      <c r="AH2021" s="110"/>
      <c r="AI2021" s="110"/>
      <c r="AJ2021" s="110"/>
      <c r="AK2021" s="111">
        <f t="shared" si="441"/>
        <v>2744.78</v>
      </c>
      <c r="AL2021" s="446">
        <f t="shared" si="442"/>
        <v>0</v>
      </c>
      <c r="AM2021" s="110">
        <f t="shared" si="443"/>
        <v>1</v>
      </c>
      <c r="AN2021" s="447">
        <f t="shared" si="452"/>
        <v>0</v>
      </c>
      <c r="AO2021"/>
      <c r="AP2021"/>
    </row>
    <row r="2022" spans="1:42" ht="66" x14ac:dyDescent="0.25">
      <c r="A2022" s="1024"/>
      <c r="B2022" s="214" t="s">
        <v>2101</v>
      </c>
      <c r="C2022" s="1024"/>
      <c r="D2022" s="869">
        <v>1</v>
      </c>
      <c r="E2022" s="1027" t="s">
        <v>1722</v>
      </c>
      <c r="F2022" s="273" t="s">
        <v>3446</v>
      </c>
      <c r="G2022" s="1040" t="s">
        <v>3463</v>
      </c>
      <c r="H2022" s="273" t="s">
        <v>3462</v>
      </c>
      <c r="I2022" s="720">
        <f t="shared" si="439"/>
        <v>339</v>
      </c>
      <c r="J2022" s="756">
        <v>339</v>
      </c>
      <c r="K2022" s="131">
        <f t="shared" si="451"/>
        <v>339</v>
      </c>
      <c r="L2022" s="335">
        <f t="shared" si="440"/>
        <v>0</v>
      </c>
      <c r="M2022" s="446"/>
      <c r="N2022" s="446"/>
      <c r="O2022" s="446"/>
      <c r="P2022" s="446"/>
      <c r="Q2022" s="110">
        <v>1</v>
      </c>
      <c r="R2022" s="111">
        <v>339</v>
      </c>
      <c r="S2022" s="110"/>
      <c r="T2022" s="110"/>
      <c r="U2022" s="110">
        <v>0</v>
      </c>
      <c r="V2022" s="111">
        <v>0</v>
      </c>
      <c r="W2022" s="110"/>
      <c r="X2022" s="110"/>
      <c r="Y2022" s="110"/>
      <c r="Z2022" s="110"/>
      <c r="AA2022" s="110">
        <v>0</v>
      </c>
      <c r="AB2022" s="111">
        <v>0</v>
      </c>
      <c r="AC2022" s="110"/>
      <c r="AD2022" s="110"/>
      <c r="AE2022" s="110">
        <v>0</v>
      </c>
      <c r="AF2022" s="111">
        <v>0</v>
      </c>
      <c r="AG2022" s="110"/>
      <c r="AH2022" s="110"/>
      <c r="AI2022" s="110"/>
      <c r="AJ2022" s="110"/>
      <c r="AK2022" s="111">
        <f t="shared" si="441"/>
        <v>339</v>
      </c>
      <c r="AL2022" s="446">
        <f t="shared" si="442"/>
        <v>0</v>
      </c>
      <c r="AM2022" s="110">
        <f t="shared" si="443"/>
        <v>1</v>
      </c>
      <c r="AN2022" s="447">
        <f t="shared" si="452"/>
        <v>0</v>
      </c>
      <c r="AO2022"/>
      <c r="AP2022"/>
    </row>
    <row r="2023" spans="1:42" ht="66" x14ac:dyDescent="0.25">
      <c r="A2023" s="1024"/>
      <c r="B2023" s="215" t="s">
        <v>2102</v>
      </c>
      <c r="C2023" s="1024"/>
      <c r="D2023" s="869">
        <v>1</v>
      </c>
      <c r="E2023" s="1027" t="s">
        <v>1722</v>
      </c>
      <c r="F2023" s="273" t="s">
        <v>3446</v>
      </c>
      <c r="G2023" s="1040" t="s">
        <v>3463</v>
      </c>
      <c r="H2023" s="273" t="s">
        <v>3462</v>
      </c>
      <c r="I2023" s="720">
        <f t="shared" si="439"/>
        <v>240</v>
      </c>
      <c r="J2023" s="756">
        <v>240</v>
      </c>
      <c r="K2023" s="131">
        <f t="shared" si="451"/>
        <v>240</v>
      </c>
      <c r="L2023" s="335">
        <f t="shared" si="440"/>
        <v>0</v>
      </c>
      <c r="M2023" s="446"/>
      <c r="N2023" s="446"/>
      <c r="O2023" s="446"/>
      <c r="P2023" s="446"/>
      <c r="Q2023" s="110">
        <v>1</v>
      </c>
      <c r="R2023" s="111">
        <v>240</v>
      </c>
      <c r="S2023" s="110"/>
      <c r="T2023" s="110"/>
      <c r="U2023" s="110">
        <v>0</v>
      </c>
      <c r="V2023" s="111">
        <v>0</v>
      </c>
      <c r="W2023" s="110"/>
      <c r="X2023" s="110"/>
      <c r="Y2023" s="110"/>
      <c r="Z2023" s="110"/>
      <c r="AA2023" s="110">
        <v>0</v>
      </c>
      <c r="AB2023" s="111">
        <v>0</v>
      </c>
      <c r="AC2023" s="110"/>
      <c r="AD2023" s="110"/>
      <c r="AE2023" s="110">
        <v>0</v>
      </c>
      <c r="AF2023" s="111">
        <v>0</v>
      </c>
      <c r="AG2023" s="110"/>
      <c r="AH2023" s="110"/>
      <c r="AI2023" s="110"/>
      <c r="AJ2023" s="110"/>
      <c r="AK2023" s="111">
        <f t="shared" si="441"/>
        <v>240</v>
      </c>
      <c r="AL2023" s="446">
        <f t="shared" si="442"/>
        <v>0</v>
      </c>
      <c r="AM2023" s="110">
        <f t="shared" si="443"/>
        <v>1</v>
      </c>
      <c r="AN2023" s="447">
        <f t="shared" si="452"/>
        <v>0</v>
      </c>
      <c r="AO2023"/>
      <c r="AP2023"/>
    </row>
    <row r="2024" spans="1:42" ht="66" x14ac:dyDescent="0.25">
      <c r="A2024" s="1024"/>
      <c r="B2024" s="214" t="s">
        <v>2103</v>
      </c>
      <c r="C2024" s="1024"/>
      <c r="D2024" s="869">
        <v>1</v>
      </c>
      <c r="E2024" s="1027" t="s">
        <v>1721</v>
      </c>
      <c r="F2024" s="273" t="s">
        <v>3446</v>
      </c>
      <c r="G2024" s="1040" t="s">
        <v>3463</v>
      </c>
      <c r="H2024" s="273" t="s">
        <v>3462</v>
      </c>
      <c r="I2024" s="720">
        <f t="shared" si="439"/>
        <v>215</v>
      </c>
      <c r="J2024" s="756">
        <v>215</v>
      </c>
      <c r="K2024" s="131">
        <f t="shared" si="451"/>
        <v>215</v>
      </c>
      <c r="L2024" s="335">
        <f t="shared" si="440"/>
        <v>0</v>
      </c>
      <c r="M2024" s="446"/>
      <c r="N2024" s="446"/>
      <c r="O2024" s="446"/>
      <c r="P2024" s="446"/>
      <c r="Q2024" s="110">
        <v>1</v>
      </c>
      <c r="R2024" s="111">
        <v>215</v>
      </c>
      <c r="S2024" s="110"/>
      <c r="T2024" s="110"/>
      <c r="U2024" s="110">
        <v>0</v>
      </c>
      <c r="V2024" s="111">
        <v>0</v>
      </c>
      <c r="W2024" s="110"/>
      <c r="X2024" s="110"/>
      <c r="Y2024" s="110"/>
      <c r="Z2024" s="110"/>
      <c r="AA2024" s="110">
        <v>0</v>
      </c>
      <c r="AB2024" s="111">
        <v>0</v>
      </c>
      <c r="AC2024" s="110"/>
      <c r="AD2024" s="110"/>
      <c r="AE2024" s="110">
        <v>0</v>
      </c>
      <c r="AF2024" s="111">
        <v>0</v>
      </c>
      <c r="AG2024" s="110"/>
      <c r="AH2024" s="110"/>
      <c r="AI2024" s="110"/>
      <c r="AJ2024" s="110"/>
      <c r="AK2024" s="111">
        <f t="shared" si="441"/>
        <v>215</v>
      </c>
      <c r="AL2024" s="446">
        <f t="shared" si="442"/>
        <v>0</v>
      </c>
      <c r="AM2024" s="110">
        <f t="shared" si="443"/>
        <v>1</v>
      </c>
      <c r="AN2024" s="447">
        <f t="shared" si="452"/>
        <v>0</v>
      </c>
      <c r="AO2024"/>
      <c r="AP2024"/>
    </row>
    <row r="2025" spans="1:42" ht="66" x14ac:dyDescent="0.25">
      <c r="A2025" s="1024"/>
      <c r="B2025" s="214" t="s">
        <v>2104</v>
      </c>
      <c r="C2025" s="1024"/>
      <c r="D2025" s="869">
        <v>1</v>
      </c>
      <c r="E2025" s="1027" t="s">
        <v>1722</v>
      </c>
      <c r="F2025" s="273" t="s">
        <v>3446</v>
      </c>
      <c r="G2025" s="1040" t="s">
        <v>3463</v>
      </c>
      <c r="H2025" s="273" t="s">
        <v>3462</v>
      </c>
      <c r="I2025" s="720">
        <f t="shared" si="439"/>
        <v>580</v>
      </c>
      <c r="J2025" s="756">
        <v>580</v>
      </c>
      <c r="K2025" s="131">
        <f t="shared" si="451"/>
        <v>580</v>
      </c>
      <c r="L2025" s="335">
        <f t="shared" si="440"/>
        <v>0</v>
      </c>
      <c r="M2025" s="446"/>
      <c r="N2025" s="446"/>
      <c r="O2025" s="446"/>
      <c r="P2025" s="446"/>
      <c r="Q2025" s="110">
        <v>1</v>
      </c>
      <c r="R2025" s="111">
        <v>580</v>
      </c>
      <c r="S2025" s="110"/>
      <c r="T2025" s="110"/>
      <c r="U2025" s="110">
        <v>0</v>
      </c>
      <c r="V2025" s="111">
        <v>0</v>
      </c>
      <c r="W2025" s="110"/>
      <c r="X2025" s="110"/>
      <c r="Y2025" s="110"/>
      <c r="Z2025" s="110"/>
      <c r="AA2025" s="110">
        <v>0</v>
      </c>
      <c r="AB2025" s="111">
        <v>0</v>
      </c>
      <c r="AC2025" s="110"/>
      <c r="AD2025" s="110"/>
      <c r="AE2025" s="110">
        <v>0</v>
      </c>
      <c r="AF2025" s="111">
        <v>0</v>
      </c>
      <c r="AG2025" s="110"/>
      <c r="AH2025" s="110"/>
      <c r="AI2025" s="110"/>
      <c r="AJ2025" s="110"/>
      <c r="AK2025" s="111">
        <f t="shared" si="441"/>
        <v>580</v>
      </c>
      <c r="AL2025" s="446">
        <f t="shared" si="442"/>
        <v>0</v>
      </c>
      <c r="AM2025" s="110">
        <f t="shared" si="443"/>
        <v>1</v>
      </c>
      <c r="AN2025" s="447">
        <f t="shared" si="452"/>
        <v>0</v>
      </c>
      <c r="AO2025"/>
      <c r="AP2025"/>
    </row>
    <row r="2026" spans="1:42" ht="66" x14ac:dyDescent="0.25">
      <c r="A2026" s="1024"/>
      <c r="B2026" s="552" t="s">
        <v>2105</v>
      </c>
      <c r="C2026" s="1024"/>
      <c r="D2026" s="869">
        <v>2</v>
      </c>
      <c r="E2026" s="1027" t="s">
        <v>1722</v>
      </c>
      <c r="F2026" s="273" t="s">
        <v>3446</v>
      </c>
      <c r="G2026" s="1040" t="s">
        <v>3463</v>
      </c>
      <c r="H2026" s="273" t="s">
        <v>3462</v>
      </c>
      <c r="I2026" s="720">
        <f t="shared" si="439"/>
        <v>300</v>
      </c>
      <c r="J2026" s="756">
        <v>600</v>
      </c>
      <c r="K2026" s="131">
        <f t="shared" si="451"/>
        <v>600</v>
      </c>
      <c r="L2026" s="335">
        <f t="shared" si="440"/>
        <v>0</v>
      </c>
      <c r="M2026" s="446"/>
      <c r="N2026" s="446"/>
      <c r="O2026" s="446"/>
      <c r="P2026" s="446"/>
      <c r="Q2026" s="130">
        <v>1</v>
      </c>
      <c r="R2026" s="111">
        <v>300</v>
      </c>
      <c r="S2026" s="110"/>
      <c r="T2026" s="110"/>
      <c r="U2026" s="130">
        <v>1</v>
      </c>
      <c r="V2026" s="111">
        <v>300</v>
      </c>
      <c r="W2026" s="110"/>
      <c r="X2026" s="110"/>
      <c r="Y2026" s="110"/>
      <c r="Z2026" s="110"/>
      <c r="AA2026" s="130">
        <v>0</v>
      </c>
      <c r="AB2026" s="111">
        <v>0</v>
      </c>
      <c r="AC2026" s="110"/>
      <c r="AD2026" s="110"/>
      <c r="AE2026" s="130">
        <v>0</v>
      </c>
      <c r="AF2026" s="111">
        <v>0</v>
      </c>
      <c r="AG2026" s="110"/>
      <c r="AH2026" s="110"/>
      <c r="AI2026" s="110"/>
      <c r="AJ2026" s="110"/>
      <c r="AK2026" s="111">
        <f t="shared" si="441"/>
        <v>600</v>
      </c>
      <c r="AL2026" s="446">
        <f t="shared" si="442"/>
        <v>0</v>
      </c>
      <c r="AM2026" s="110">
        <f t="shared" si="443"/>
        <v>2</v>
      </c>
      <c r="AN2026" s="447">
        <f t="shared" si="452"/>
        <v>0</v>
      </c>
      <c r="AO2026"/>
      <c r="AP2026"/>
    </row>
    <row r="2027" spans="1:42" ht="66" x14ac:dyDescent="0.25">
      <c r="A2027" s="1024"/>
      <c r="B2027" s="216" t="s">
        <v>2106</v>
      </c>
      <c r="C2027" s="1024"/>
      <c r="D2027" s="869">
        <v>1</v>
      </c>
      <c r="E2027" s="1027" t="s">
        <v>1721</v>
      </c>
      <c r="F2027" s="273" t="s">
        <v>3446</v>
      </c>
      <c r="G2027" s="1040" t="s">
        <v>3463</v>
      </c>
      <c r="H2027" s="273" t="s">
        <v>3462</v>
      </c>
      <c r="I2027" s="720">
        <f t="shared" si="439"/>
        <v>1000</v>
      </c>
      <c r="J2027" s="756">
        <v>1000</v>
      </c>
      <c r="K2027" s="131">
        <f t="shared" si="451"/>
        <v>1000</v>
      </c>
      <c r="L2027" s="335">
        <f t="shared" si="440"/>
        <v>0</v>
      </c>
      <c r="M2027" s="446"/>
      <c r="N2027" s="446"/>
      <c r="O2027" s="446"/>
      <c r="P2027" s="446"/>
      <c r="Q2027" s="110">
        <v>1</v>
      </c>
      <c r="R2027" s="111">
        <v>1000</v>
      </c>
      <c r="S2027" s="110"/>
      <c r="T2027" s="110"/>
      <c r="U2027" s="110">
        <v>0</v>
      </c>
      <c r="V2027" s="111">
        <v>0</v>
      </c>
      <c r="W2027" s="110"/>
      <c r="X2027" s="110"/>
      <c r="Y2027" s="110"/>
      <c r="Z2027" s="110"/>
      <c r="AA2027" s="110">
        <v>0</v>
      </c>
      <c r="AB2027" s="111">
        <v>0</v>
      </c>
      <c r="AC2027" s="110"/>
      <c r="AD2027" s="110"/>
      <c r="AE2027" s="110">
        <v>0</v>
      </c>
      <c r="AF2027" s="111">
        <v>0</v>
      </c>
      <c r="AG2027" s="110"/>
      <c r="AH2027" s="110"/>
      <c r="AI2027" s="110"/>
      <c r="AJ2027" s="110"/>
      <c r="AK2027" s="111">
        <f t="shared" si="441"/>
        <v>1000</v>
      </c>
      <c r="AL2027" s="446">
        <f t="shared" si="442"/>
        <v>0</v>
      </c>
      <c r="AM2027" s="110">
        <f t="shared" si="443"/>
        <v>1</v>
      </c>
      <c r="AN2027" s="447">
        <f t="shared" si="452"/>
        <v>0</v>
      </c>
      <c r="AO2027"/>
      <c r="AP2027"/>
    </row>
    <row r="2028" spans="1:42" ht="66" x14ac:dyDescent="0.25">
      <c r="A2028" s="1024"/>
      <c r="B2028" s="219" t="s">
        <v>2728</v>
      </c>
      <c r="C2028" s="1024"/>
      <c r="D2028" s="880">
        <v>10</v>
      </c>
      <c r="E2028" s="1025" t="s">
        <v>2732</v>
      </c>
      <c r="F2028" s="273" t="s">
        <v>3446</v>
      </c>
      <c r="G2028" s="1040" t="s">
        <v>3463</v>
      </c>
      <c r="H2028" s="273" t="s">
        <v>3462</v>
      </c>
      <c r="I2028" s="720">
        <f t="shared" si="439"/>
        <v>40.043999999999997</v>
      </c>
      <c r="J2028" s="756">
        <v>400.44</v>
      </c>
      <c r="K2028" s="131">
        <f t="shared" si="451"/>
        <v>400.43999999999994</v>
      </c>
      <c r="L2028" s="335">
        <f t="shared" si="440"/>
        <v>0</v>
      </c>
      <c r="M2028" s="446"/>
      <c r="N2028" s="446"/>
      <c r="O2028" s="446"/>
      <c r="P2028" s="446"/>
      <c r="Q2028" s="130">
        <v>3</v>
      </c>
      <c r="R2028" s="111">
        <f t="shared" si="445"/>
        <v>100.11</v>
      </c>
      <c r="S2028" s="110"/>
      <c r="T2028" s="110"/>
      <c r="U2028" s="130">
        <v>3</v>
      </c>
      <c r="V2028" s="111">
        <f t="shared" si="447"/>
        <v>100.11</v>
      </c>
      <c r="W2028" s="110"/>
      <c r="X2028" s="110"/>
      <c r="Y2028" s="110"/>
      <c r="Z2028" s="110"/>
      <c r="AA2028" s="130">
        <v>2</v>
      </c>
      <c r="AB2028" s="111">
        <f t="shared" si="449"/>
        <v>100.11</v>
      </c>
      <c r="AC2028" s="110"/>
      <c r="AD2028" s="110"/>
      <c r="AE2028" s="130">
        <v>2</v>
      </c>
      <c r="AF2028" s="111">
        <f t="shared" si="450"/>
        <v>100.11</v>
      </c>
      <c r="AG2028" s="110"/>
      <c r="AH2028" s="110"/>
      <c r="AI2028" s="110"/>
      <c r="AJ2028" s="110"/>
      <c r="AK2028" s="111">
        <f t="shared" si="441"/>
        <v>400.44</v>
      </c>
      <c r="AL2028" s="446">
        <f t="shared" si="442"/>
        <v>0</v>
      </c>
      <c r="AM2028" s="110">
        <f t="shared" si="443"/>
        <v>10</v>
      </c>
      <c r="AN2028" s="447">
        <f t="shared" si="452"/>
        <v>0</v>
      </c>
      <c r="AO2028"/>
      <c r="AP2028"/>
    </row>
    <row r="2029" spans="1:42" ht="66" x14ac:dyDescent="0.25">
      <c r="A2029" s="1024"/>
      <c r="B2029" s="219" t="s">
        <v>2729</v>
      </c>
      <c r="C2029" s="1024"/>
      <c r="D2029" s="880">
        <v>10</v>
      </c>
      <c r="E2029" s="1025" t="s">
        <v>2600</v>
      </c>
      <c r="F2029" s="273" t="s">
        <v>3446</v>
      </c>
      <c r="G2029" s="1040" t="s">
        <v>3463</v>
      </c>
      <c r="H2029" s="273" t="s">
        <v>3462</v>
      </c>
      <c r="I2029" s="720">
        <f t="shared" si="439"/>
        <v>82.753999999999991</v>
      </c>
      <c r="J2029" s="756">
        <v>827.54</v>
      </c>
      <c r="K2029" s="131">
        <f t="shared" si="451"/>
        <v>827.54</v>
      </c>
      <c r="L2029" s="335">
        <f t="shared" si="440"/>
        <v>0</v>
      </c>
      <c r="M2029" s="446"/>
      <c r="N2029" s="446"/>
      <c r="O2029" s="446"/>
      <c r="P2029" s="446"/>
      <c r="Q2029" s="130">
        <v>3</v>
      </c>
      <c r="R2029" s="111">
        <f t="shared" si="445"/>
        <v>206.88499999999999</v>
      </c>
      <c r="S2029" s="110"/>
      <c r="T2029" s="110"/>
      <c r="U2029" s="130">
        <v>3</v>
      </c>
      <c r="V2029" s="111">
        <f t="shared" si="447"/>
        <v>206.88499999999999</v>
      </c>
      <c r="W2029" s="110"/>
      <c r="X2029" s="110"/>
      <c r="Y2029" s="110"/>
      <c r="Z2029" s="110"/>
      <c r="AA2029" s="130">
        <v>2</v>
      </c>
      <c r="AB2029" s="111">
        <f t="shared" si="449"/>
        <v>206.88499999999999</v>
      </c>
      <c r="AC2029" s="110"/>
      <c r="AD2029" s="110"/>
      <c r="AE2029" s="130">
        <v>2</v>
      </c>
      <c r="AF2029" s="111">
        <f t="shared" si="450"/>
        <v>206.88499999999999</v>
      </c>
      <c r="AG2029" s="110"/>
      <c r="AH2029" s="110"/>
      <c r="AI2029" s="110"/>
      <c r="AJ2029" s="110"/>
      <c r="AK2029" s="111">
        <f t="shared" si="441"/>
        <v>827.54</v>
      </c>
      <c r="AL2029" s="446">
        <f t="shared" si="442"/>
        <v>0</v>
      </c>
      <c r="AM2029" s="110">
        <f t="shared" si="443"/>
        <v>10</v>
      </c>
      <c r="AN2029" s="447">
        <f t="shared" si="452"/>
        <v>0</v>
      </c>
      <c r="AO2029"/>
      <c r="AP2029"/>
    </row>
    <row r="2030" spans="1:42" ht="66" x14ac:dyDescent="0.25">
      <c r="A2030" s="1024"/>
      <c r="B2030" s="219" t="s">
        <v>2730</v>
      </c>
      <c r="C2030" s="1024"/>
      <c r="D2030" s="880">
        <v>2</v>
      </c>
      <c r="E2030" s="1025" t="s">
        <v>1748</v>
      </c>
      <c r="F2030" s="273" t="s">
        <v>3446</v>
      </c>
      <c r="G2030" s="1040" t="s">
        <v>3463</v>
      </c>
      <c r="H2030" s="273" t="s">
        <v>3462</v>
      </c>
      <c r="I2030" s="720">
        <f t="shared" si="439"/>
        <v>568.4</v>
      </c>
      <c r="J2030" s="756">
        <v>1136.8</v>
      </c>
      <c r="K2030" s="131">
        <f t="shared" si="451"/>
        <v>1136.8</v>
      </c>
      <c r="L2030" s="335">
        <f t="shared" si="440"/>
        <v>0</v>
      </c>
      <c r="M2030" s="446"/>
      <c r="N2030" s="446"/>
      <c r="O2030" s="446"/>
      <c r="P2030" s="446"/>
      <c r="Q2030" s="130">
        <v>1</v>
      </c>
      <c r="R2030" s="111">
        <v>568.4</v>
      </c>
      <c r="S2030" s="110"/>
      <c r="T2030" s="110"/>
      <c r="U2030" s="130">
        <v>1</v>
      </c>
      <c r="V2030" s="111">
        <v>568.4</v>
      </c>
      <c r="W2030" s="110"/>
      <c r="X2030" s="110"/>
      <c r="Y2030" s="110"/>
      <c r="Z2030" s="110"/>
      <c r="AA2030" s="130">
        <v>0</v>
      </c>
      <c r="AB2030" s="111">
        <v>0</v>
      </c>
      <c r="AC2030" s="110"/>
      <c r="AD2030" s="110"/>
      <c r="AE2030" s="130">
        <v>0</v>
      </c>
      <c r="AF2030" s="111">
        <v>0</v>
      </c>
      <c r="AG2030" s="110"/>
      <c r="AH2030" s="110"/>
      <c r="AI2030" s="110"/>
      <c r="AJ2030" s="110"/>
      <c r="AK2030" s="111">
        <f t="shared" si="441"/>
        <v>1136.8</v>
      </c>
      <c r="AL2030" s="446">
        <f t="shared" si="442"/>
        <v>0</v>
      </c>
      <c r="AM2030" s="110">
        <f t="shared" si="443"/>
        <v>2</v>
      </c>
      <c r="AN2030" s="447">
        <f t="shared" si="452"/>
        <v>0</v>
      </c>
      <c r="AO2030"/>
      <c r="AP2030"/>
    </row>
    <row r="2031" spans="1:42" ht="66" x14ac:dyDescent="0.25">
      <c r="A2031" s="1024"/>
      <c r="B2031" s="219" t="s">
        <v>2731</v>
      </c>
      <c r="C2031" s="1024"/>
      <c r="D2031" s="880">
        <v>2</v>
      </c>
      <c r="E2031" s="1025" t="s">
        <v>1748</v>
      </c>
      <c r="F2031" s="273" t="s">
        <v>3446</v>
      </c>
      <c r="G2031" s="1040" t="s">
        <v>3463</v>
      </c>
      <c r="H2031" s="273" t="s">
        <v>3462</v>
      </c>
      <c r="I2031" s="720">
        <f t="shared" si="439"/>
        <v>638</v>
      </c>
      <c r="J2031" s="756">
        <v>1276</v>
      </c>
      <c r="K2031" s="131">
        <f t="shared" si="451"/>
        <v>1276</v>
      </c>
      <c r="L2031" s="335">
        <f t="shared" si="440"/>
        <v>0</v>
      </c>
      <c r="M2031" s="446"/>
      <c r="N2031" s="446"/>
      <c r="O2031" s="446"/>
      <c r="P2031" s="446"/>
      <c r="Q2031" s="130">
        <v>1</v>
      </c>
      <c r="R2031" s="111">
        <v>638</v>
      </c>
      <c r="S2031" s="110"/>
      <c r="T2031" s="110"/>
      <c r="U2031" s="130">
        <v>1</v>
      </c>
      <c r="V2031" s="111">
        <v>638</v>
      </c>
      <c r="W2031" s="110"/>
      <c r="X2031" s="110"/>
      <c r="Y2031" s="110"/>
      <c r="Z2031" s="110"/>
      <c r="AA2031" s="130">
        <v>0</v>
      </c>
      <c r="AB2031" s="111">
        <v>0</v>
      </c>
      <c r="AC2031" s="110"/>
      <c r="AD2031" s="110"/>
      <c r="AE2031" s="130">
        <v>0</v>
      </c>
      <c r="AF2031" s="111">
        <v>0</v>
      </c>
      <c r="AG2031" s="110"/>
      <c r="AH2031" s="110"/>
      <c r="AI2031" s="110"/>
      <c r="AJ2031" s="110"/>
      <c r="AK2031" s="111">
        <f t="shared" si="441"/>
        <v>1276</v>
      </c>
      <c r="AL2031" s="446">
        <f t="shared" si="442"/>
        <v>0</v>
      </c>
      <c r="AM2031" s="110">
        <f t="shared" si="443"/>
        <v>2</v>
      </c>
      <c r="AN2031" s="447">
        <f t="shared" si="452"/>
        <v>0</v>
      </c>
      <c r="AO2031"/>
      <c r="AP2031"/>
    </row>
    <row r="2032" spans="1:42" ht="66" x14ac:dyDescent="0.25">
      <c r="A2032" s="1024"/>
      <c r="B2032" s="528" t="s">
        <v>2950</v>
      </c>
      <c r="C2032" s="1024"/>
      <c r="D2032" s="869">
        <v>60</v>
      </c>
      <c r="E2032" s="1027" t="s">
        <v>1725</v>
      </c>
      <c r="F2032" s="273" t="s">
        <v>3446</v>
      </c>
      <c r="G2032" s="1040" t="s">
        <v>3463</v>
      </c>
      <c r="H2032" s="273" t="s">
        <v>3462</v>
      </c>
      <c r="I2032" s="720">
        <f t="shared" ref="I2032:I2033" si="453">+J2032/D2032</f>
        <v>10.26</v>
      </c>
      <c r="J2032" s="756">
        <v>615.6</v>
      </c>
      <c r="K2032" s="131">
        <f t="shared" si="451"/>
        <v>615.6</v>
      </c>
      <c r="L2032" s="335">
        <f t="shared" si="440"/>
        <v>0</v>
      </c>
      <c r="M2032" s="446"/>
      <c r="N2032" s="446"/>
      <c r="O2032" s="446"/>
      <c r="P2032" s="446"/>
      <c r="Q2032" s="110">
        <f t="shared" si="444"/>
        <v>15</v>
      </c>
      <c r="R2032" s="111">
        <f t="shared" si="445"/>
        <v>153.9</v>
      </c>
      <c r="S2032" s="110"/>
      <c r="T2032" s="110"/>
      <c r="U2032" s="110">
        <f t="shared" si="446"/>
        <v>15</v>
      </c>
      <c r="V2032" s="111">
        <f t="shared" si="447"/>
        <v>153.9</v>
      </c>
      <c r="W2032" s="110"/>
      <c r="X2032" s="110"/>
      <c r="Y2032" s="110"/>
      <c r="Z2032" s="110"/>
      <c r="AA2032" s="110">
        <f t="shared" si="448"/>
        <v>15</v>
      </c>
      <c r="AB2032" s="111">
        <f t="shared" si="449"/>
        <v>153.9</v>
      </c>
      <c r="AC2032" s="110"/>
      <c r="AD2032" s="110"/>
      <c r="AE2032" s="110">
        <f t="shared" si="448"/>
        <v>15</v>
      </c>
      <c r="AF2032" s="111">
        <f t="shared" si="450"/>
        <v>153.9</v>
      </c>
      <c r="AG2032" s="110"/>
      <c r="AH2032" s="110"/>
      <c r="AI2032" s="110"/>
      <c r="AJ2032" s="110"/>
      <c r="AK2032" s="111">
        <f t="shared" si="441"/>
        <v>615.6</v>
      </c>
      <c r="AL2032" s="446">
        <f t="shared" si="442"/>
        <v>0</v>
      </c>
      <c r="AM2032" s="110">
        <f t="shared" si="443"/>
        <v>60</v>
      </c>
      <c r="AN2032" s="447">
        <f t="shared" si="452"/>
        <v>0</v>
      </c>
      <c r="AO2032"/>
      <c r="AP2032"/>
    </row>
    <row r="2033" spans="1:42" ht="66" x14ac:dyDescent="0.25">
      <c r="A2033" s="1024"/>
      <c r="B2033" s="528" t="s">
        <v>2951</v>
      </c>
      <c r="C2033" s="1024"/>
      <c r="D2033" s="869">
        <v>10</v>
      </c>
      <c r="E2033" s="1027" t="s">
        <v>1725</v>
      </c>
      <c r="F2033" s="273" t="s">
        <v>3446</v>
      </c>
      <c r="G2033" s="1040" t="s">
        <v>3463</v>
      </c>
      <c r="H2033" s="273" t="s">
        <v>3462</v>
      </c>
      <c r="I2033" s="720">
        <f t="shared" si="453"/>
        <v>20.53</v>
      </c>
      <c r="J2033" s="756">
        <v>205.3</v>
      </c>
      <c r="K2033" s="131">
        <f t="shared" si="451"/>
        <v>205.3</v>
      </c>
      <c r="L2033" s="335">
        <f t="shared" si="440"/>
        <v>0</v>
      </c>
      <c r="M2033" s="446"/>
      <c r="N2033" s="446"/>
      <c r="O2033" s="446"/>
      <c r="P2033" s="446"/>
      <c r="Q2033" s="130">
        <v>3</v>
      </c>
      <c r="R2033" s="111">
        <f t="shared" si="445"/>
        <v>51.325000000000003</v>
      </c>
      <c r="S2033" s="110"/>
      <c r="T2033" s="110"/>
      <c r="U2033" s="130">
        <v>3</v>
      </c>
      <c r="V2033" s="111">
        <f t="shared" si="447"/>
        <v>51.325000000000003</v>
      </c>
      <c r="W2033" s="110"/>
      <c r="X2033" s="110"/>
      <c r="Y2033" s="110"/>
      <c r="Z2033" s="110"/>
      <c r="AA2033" s="130">
        <v>2</v>
      </c>
      <c r="AB2033" s="111">
        <f t="shared" si="449"/>
        <v>51.325000000000003</v>
      </c>
      <c r="AC2033" s="110"/>
      <c r="AD2033" s="110"/>
      <c r="AE2033" s="130">
        <v>2</v>
      </c>
      <c r="AF2033" s="111">
        <f t="shared" si="450"/>
        <v>51.325000000000003</v>
      </c>
      <c r="AG2033" s="110"/>
      <c r="AH2033" s="110"/>
      <c r="AI2033" s="110"/>
      <c r="AJ2033" s="110"/>
      <c r="AK2033" s="111">
        <f t="shared" si="441"/>
        <v>205.3</v>
      </c>
      <c r="AL2033" s="446">
        <f t="shared" si="442"/>
        <v>0</v>
      </c>
      <c r="AM2033" s="110">
        <f t="shared" si="443"/>
        <v>10</v>
      </c>
      <c r="AN2033" s="447">
        <f t="shared" si="452"/>
        <v>0</v>
      </c>
      <c r="AO2033"/>
      <c r="AP2033"/>
    </row>
    <row r="2034" spans="1:42" x14ac:dyDescent="0.25">
      <c r="A2034" s="310">
        <v>22303</v>
      </c>
      <c r="B2034" s="551" t="s">
        <v>523</v>
      </c>
      <c r="C2034" s="311"/>
      <c r="D2034" s="902"/>
      <c r="E2034" s="312"/>
      <c r="F2034" s="313"/>
      <c r="G2034" s="313"/>
      <c r="H2034" s="313"/>
      <c r="I2034" s="729"/>
      <c r="J2034" s="792"/>
      <c r="K2034" s="131">
        <f t="shared" si="451"/>
        <v>0</v>
      </c>
      <c r="L2034" s="335">
        <f t="shared" si="440"/>
        <v>0</v>
      </c>
      <c r="M2034" s="421"/>
      <c r="N2034" s="421"/>
      <c r="O2034" s="421"/>
      <c r="P2034" s="421"/>
      <c r="Q2034" s="387">
        <f t="shared" si="444"/>
        <v>0</v>
      </c>
      <c r="R2034" s="314">
        <f t="shared" si="445"/>
        <v>0</v>
      </c>
      <c r="S2034" s="387"/>
      <c r="T2034" s="387"/>
      <c r="U2034" s="387">
        <f t="shared" si="446"/>
        <v>0</v>
      </c>
      <c r="V2034" s="314">
        <f t="shared" si="447"/>
        <v>0</v>
      </c>
      <c r="W2034" s="387"/>
      <c r="X2034" s="387"/>
      <c r="Y2034" s="387"/>
      <c r="Z2034" s="387"/>
      <c r="AA2034" s="387">
        <f t="shared" si="448"/>
        <v>0</v>
      </c>
      <c r="AB2034" s="314">
        <f t="shared" si="449"/>
        <v>0</v>
      </c>
      <c r="AC2034" s="387"/>
      <c r="AD2034" s="387"/>
      <c r="AE2034" s="387">
        <f t="shared" si="448"/>
        <v>0</v>
      </c>
      <c r="AF2034" s="314">
        <f t="shared" si="450"/>
        <v>0</v>
      </c>
      <c r="AG2034" s="387"/>
      <c r="AH2034" s="387"/>
      <c r="AI2034" s="387"/>
      <c r="AJ2034" s="387"/>
      <c r="AK2034" s="314">
        <f t="shared" si="441"/>
        <v>0</v>
      </c>
      <c r="AL2034" s="446">
        <f t="shared" si="442"/>
        <v>0</v>
      </c>
      <c r="AM2034" s="110">
        <f t="shared" si="443"/>
        <v>0</v>
      </c>
      <c r="AN2034" s="447">
        <f t="shared" si="452"/>
        <v>0</v>
      </c>
      <c r="AO2034" s="108"/>
      <c r="AP2034"/>
    </row>
    <row r="2035" spans="1:42" s="108" customFormat="1" x14ac:dyDescent="0.25">
      <c r="A2035" s="9"/>
      <c r="B2035" s="518"/>
      <c r="C2035" s="1024"/>
      <c r="D2035" s="869"/>
      <c r="E2035" s="1027"/>
      <c r="F2035" s="272"/>
      <c r="G2035" s="272"/>
      <c r="H2035" s="272"/>
      <c r="I2035" s="722"/>
      <c r="J2035" s="756"/>
      <c r="K2035" s="131">
        <f t="shared" si="451"/>
        <v>0</v>
      </c>
      <c r="L2035" s="335">
        <f t="shared" si="440"/>
        <v>0</v>
      </c>
      <c r="M2035" s="335"/>
      <c r="N2035" s="335"/>
      <c r="O2035" s="335"/>
      <c r="P2035" s="335"/>
      <c r="Q2035" s="130">
        <f t="shared" si="444"/>
        <v>0</v>
      </c>
      <c r="R2035" s="131">
        <f t="shared" si="445"/>
        <v>0</v>
      </c>
      <c r="S2035" s="130"/>
      <c r="T2035" s="130"/>
      <c r="U2035" s="130">
        <f t="shared" si="446"/>
        <v>0</v>
      </c>
      <c r="V2035" s="131">
        <f t="shared" si="447"/>
        <v>0</v>
      </c>
      <c r="W2035" s="130"/>
      <c r="X2035" s="130"/>
      <c r="Y2035" s="130"/>
      <c r="Z2035" s="130"/>
      <c r="AA2035" s="130">
        <f t="shared" si="448"/>
        <v>0</v>
      </c>
      <c r="AB2035" s="131">
        <f t="shared" si="449"/>
        <v>0</v>
      </c>
      <c r="AC2035" s="130"/>
      <c r="AD2035" s="130"/>
      <c r="AE2035" s="130">
        <f t="shared" si="448"/>
        <v>0</v>
      </c>
      <c r="AF2035" s="131">
        <f t="shared" si="450"/>
        <v>0</v>
      </c>
      <c r="AG2035" s="130"/>
      <c r="AH2035" s="130"/>
      <c r="AI2035" s="130"/>
      <c r="AJ2035" s="130"/>
      <c r="AK2035" s="131">
        <f t="shared" si="441"/>
        <v>0</v>
      </c>
      <c r="AL2035" s="335">
        <f t="shared" si="442"/>
        <v>0</v>
      </c>
      <c r="AM2035" s="130">
        <f t="shared" si="443"/>
        <v>0</v>
      </c>
      <c r="AN2035" s="336">
        <f t="shared" si="452"/>
        <v>0</v>
      </c>
    </row>
    <row r="2036" spans="1:42" ht="22.5" x14ac:dyDescent="0.25">
      <c r="A2036" s="299">
        <v>2300</v>
      </c>
      <c r="B2036" s="539" t="s">
        <v>524</v>
      </c>
      <c r="C2036" s="300"/>
      <c r="D2036" s="909"/>
      <c r="E2036" s="301"/>
      <c r="F2036" s="302"/>
      <c r="G2036" s="302"/>
      <c r="H2036" s="302"/>
      <c r="I2036" s="715"/>
      <c r="J2036" s="794"/>
      <c r="K2036" s="131">
        <f t="shared" si="451"/>
        <v>0</v>
      </c>
      <c r="L2036" s="335">
        <f t="shared" ref="L2036:L2099" si="454">+J2036-K2036</f>
        <v>0</v>
      </c>
      <c r="M2036" s="453"/>
      <c r="N2036" s="453"/>
      <c r="O2036" s="453"/>
      <c r="P2036" s="453"/>
      <c r="Q2036" s="385">
        <f t="shared" si="444"/>
        <v>0</v>
      </c>
      <c r="R2036" s="303">
        <f t="shared" si="445"/>
        <v>0</v>
      </c>
      <c r="S2036" s="385"/>
      <c r="T2036" s="385"/>
      <c r="U2036" s="385">
        <f t="shared" si="446"/>
        <v>0</v>
      </c>
      <c r="V2036" s="303">
        <f t="shared" si="447"/>
        <v>0</v>
      </c>
      <c r="W2036" s="385"/>
      <c r="X2036" s="385"/>
      <c r="Y2036" s="385"/>
      <c r="Z2036" s="385"/>
      <c r="AA2036" s="385">
        <f t="shared" si="448"/>
        <v>0</v>
      </c>
      <c r="AB2036" s="303">
        <f t="shared" si="449"/>
        <v>0</v>
      </c>
      <c r="AC2036" s="385"/>
      <c r="AD2036" s="385"/>
      <c r="AE2036" s="385">
        <f t="shared" si="448"/>
        <v>0</v>
      </c>
      <c r="AF2036" s="303">
        <f t="shared" si="450"/>
        <v>0</v>
      </c>
      <c r="AG2036" s="385"/>
      <c r="AH2036" s="385"/>
      <c r="AI2036" s="385"/>
      <c r="AJ2036" s="385"/>
      <c r="AK2036" s="303">
        <f t="shared" ref="AK2036:AK2099" si="455">+R2036+V2036+AB2036+AF2036</f>
        <v>0</v>
      </c>
      <c r="AL2036" s="453">
        <f t="shared" ref="AL2036:AL2099" si="456">+J2036-AK2036</f>
        <v>0</v>
      </c>
      <c r="AM2036" s="385">
        <f t="shared" ref="AM2036:AM2099" si="457">+Q2036+U2036+AA2036+AE2036</f>
        <v>0</v>
      </c>
      <c r="AN2036" s="454">
        <f t="shared" si="452"/>
        <v>0</v>
      </c>
      <c r="AO2036" s="304"/>
      <c r="AP2036"/>
    </row>
    <row r="2037" spans="1:42" ht="22.5" x14ac:dyDescent="0.25">
      <c r="A2037" s="1021">
        <v>231</v>
      </c>
      <c r="B2037" s="582" t="s">
        <v>525</v>
      </c>
      <c r="C2037" s="342"/>
      <c r="D2037" s="958"/>
      <c r="E2037" s="343"/>
      <c r="F2037" s="344"/>
      <c r="G2037" s="344"/>
      <c r="H2037" s="344"/>
      <c r="I2037" s="737"/>
      <c r="J2037" s="994"/>
      <c r="K2037" s="131">
        <f t="shared" si="451"/>
        <v>0</v>
      </c>
      <c r="L2037" s="335">
        <f t="shared" si="454"/>
        <v>0</v>
      </c>
      <c r="M2037" s="414"/>
      <c r="N2037" s="414"/>
      <c r="O2037" s="414"/>
      <c r="P2037" s="414"/>
      <c r="Q2037" s="413">
        <f t="shared" si="444"/>
        <v>0</v>
      </c>
      <c r="R2037" s="345">
        <f t="shared" si="445"/>
        <v>0</v>
      </c>
      <c r="S2037" s="413"/>
      <c r="T2037" s="413"/>
      <c r="U2037" s="413">
        <f t="shared" si="446"/>
        <v>0</v>
      </c>
      <c r="V2037" s="345">
        <f t="shared" si="447"/>
        <v>0</v>
      </c>
      <c r="W2037" s="413"/>
      <c r="X2037" s="413"/>
      <c r="Y2037" s="413"/>
      <c r="Z2037" s="413"/>
      <c r="AA2037" s="413">
        <f t="shared" si="448"/>
        <v>0</v>
      </c>
      <c r="AB2037" s="345">
        <f t="shared" si="449"/>
        <v>0</v>
      </c>
      <c r="AC2037" s="413"/>
      <c r="AD2037" s="413"/>
      <c r="AE2037" s="413">
        <f t="shared" si="448"/>
        <v>0</v>
      </c>
      <c r="AF2037" s="345">
        <f t="shared" si="450"/>
        <v>0</v>
      </c>
      <c r="AG2037" s="413"/>
      <c r="AH2037" s="413"/>
      <c r="AI2037" s="413"/>
      <c r="AJ2037" s="413"/>
      <c r="AK2037" s="345">
        <f t="shared" si="455"/>
        <v>0</v>
      </c>
      <c r="AL2037" s="446">
        <f t="shared" si="456"/>
        <v>0</v>
      </c>
      <c r="AM2037" s="110">
        <f t="shared" si="457"/>
        <v>0</v>
      </c>
      <c r="AN2037" s="447">
        <f t="shared" si="452"/>
        <v>0</v>
      </c>
      <c r="AO2037" s="108"/>
      <c r="AP2037"/>
    </row>
    <row r="2038" spans="1:42" x14ac:dyDescent="0.25">
      <c r="A2038" s="310">
        <v>23101</v>
      </c>
      <c r="B2038" s="551" t="s">
        <v>526</v>
      </c>
      <c r="C2038" s="311"/>
      <c r="D2038" s="902"/>
      <c r="E2038" s="312"/>
      <c r="F2038" s="313"/>
      <c r="G2038" s="313"/>
      <c r="H2038" s="313"/>
      <c r="I2038" s="729"/>
      <c r="J2038" s="792"/>
      <c r="K2038" s="131">
        <f t="shared" si="451"/>
        <v>0</v>
      </c>
      <c r="L2038" s="335">
        <f t="shared" si="454"/>
        <v>0</v>
      </c>
      <c r="M2038" s="421"/>
      <c r="N2038" s="421"/>
      <c r="O2038" s="421"/>
      <c r="P2038" s="421"/>
      <c r="Q2038" s="387">
        <f t="shared" si="444"/>
        <v>0</v>
      </c>
      <c r="R2038" s="314">
        <f t="shared" si="445"/>
        <v>0</v>
      </c>
      <c r="S2038" s="387"/>
      <c r="T2038" s="387"/>
      <c r="U2038" s="387">
        <f t="shared" si="446"/>
        <v>0</v>
      </c>
      <c r="V2038" s="314">
        <f t="shared" si="447"/>
        <v>0</v>
      </c>
      <c r="W2038" s="387"/>
      <c r="X2038" s="387"/>
      <c r="Y2038" s="387"/>
      <c r="Z2038" s="387"/>
      <c r="AA2038" s="387">
        <f t="shared" si="448"/>
        <v>0</v>
      </c>
      <c r="AB2038" s="314">
        <f t="shared" si="449"/>
        <v>0</v>
      </c>
      <c r="AC2038" s="387"/>
      <c r="AD2038" s="387"/>
      <c r="AE2038" s="387">
        <f t="shared" si="448"/>
        <v>0</v>
      </c>
      <c r="AF2038" s="314">
        <f t="shared" si="450"/>
        <v>0</v>
      </c>
      <c r="AG2038" s="387"/>
      <c r="AH2038" s="387"/>
      <c r="AI2038" s="387"/>
      <c r="AJ2038" s="387"/>
      <c r="AK2038" s="314">
        <f t="shared" si="455"/>
        <v>0</v>
      </c>
      <c r="AL2038" s="421">
        <f t="shared" si="456"/>
        <v>0</v>
      </c>
      <c r="AM2038" s="387">
        <f t="shared" si="457"/>
        <v>0</v>
      </c>
      <c r="AN2038" s="422">
        <f t="shared" si="452"/>
        <v>0</v>
      </c>
      <c r="AO2038" s="108"/>
      <c r="AP2038"/>
    </row>
    <row r="2039" spans="1:42" s="108" customFormat="1" x14ac:dyDescent="0.25">
      <c r="A2039" s="9"/>
      <c r="B2039" s="518"/>
      <c r="C2039" s="1024"/>
      <c r="D2039" s="869"/>
      <c r="E2039" s="1027"/>
      <c r="F2039" s="272"/>
      <c r="G2039" s="272"/>
      <c r="H2039" s="272"/>
      <c r="I2039" s="722"/>
      <c r="J2039" s="756"/>
      <c r="K2039" s="131">
        <f t="shared" si="451"/>
        <v>0</v>
      </c>
      <c r="L2039" s="335">
        <f t="shared" si="454"/>
        <v>0</v>
      </c>
      <c r="M2039" s="335"/>
      <c r="N2039" s="335"/>
      <c r="O2039" s="335"/>
      <c r="P2039" s="335"/>
      <c r="Q2039" s="130">
        <f t="shared" si="444"/>
        <v>0</v>
      </c>
      <c r="R2039" s="131">
        <f t="shared" si="445"/>
        <v>0</v>
      </c>
      <c r="S2039" s="130"/>
      <c r="T2039" s="130"/>
      <c r="U2039" s="130">
        <f t="shared" si="446"/>
        <v>0</v>
      </c>
      <c r="V2039" s="131">
        <f t="shared" si="447"/>
        <v>0</v>
      </c>
      <c r="W2039" s="130"/>
      <c r="X2039" s="130"/>
      <c r="Y2039" s="130"/>
      <c r="Z2039" s="130"/>
      <c r="AA2039" s="130">
        <f t="shared" si="448"/>
        <v>0</v>
      </c>
      <c r="AB2039" s="131">
        <f t="shared" si="449"/>
        <v>0</v>
      </c>
      <c r="AC2039" s="130"/>
      <c r="AD2039" s="130"/>
      <c r="AE2039" s="130">
        <f t="shared" si="448"/>
        <v>0</v>
      </c>
      <c r="AF2039" s="131">
        <f t="shared" si="450"/>
        <v>0</v>
      </c>
      <c r="AG2039" s="130"/>
      <c r="AH2039" s="130"/>
      <c r="AI2039" s="130"/>
      <c r="AJ2039" s="130"/>
      <c r="AK2039" s="131">
        <f t="shared" si="455"/>
        <v>0</v>
      </c>
      <c r="AL2039" s="335">
        <f t="shared" si="456"/>
        <v>0</v>
      </c>
      <c r="AM2039" s="130">
        <f t="shared" si="457"/>
        <v>0</v>
      </c>
      <c r="AN2039" s="336">
        <f t="shared" si="452"/>
        <v>0</v>
      </c>
    </row>
    <row r="2040" spans="1:42" x14ac:dyDescent="0.25">
      <c r="A2040" s="310">
        <v>23102</v>
      </c>
      <c r="B2040" s="551" t="s">
        <v>527</v>
      </c>
      <c r="C2040" s="311"/>
      <c r="D2040" s="902"/>
      <c r="E2040" s="312"/>
      <c r="F2040" s="313"/>
      <c r="G2040" s="313"/>
      <c r="H2040" s="313"/>
      <c r="I2040" s="729"/>
      <c r="J2040" s="792"/>
      <c r="K2040" s="131">
        <f t="shared" si="451"/>
        <v>0</v>
      </c>
      <c r="L2040" s="335">
        <f t="shared" si="454"/>
        <v>0</v>
      </c>
      <c r="M2040" s="421"/>
      <c r="N2040" s="421"/>
      <c r="O2040" s="421"/>
      <c r="P2040" s="421"/>
      <c r="Q2040" s="387">
        <f t="shared" si="444"/>
        <v>0</v>
      </c>
      <c r="R2040" s="314">
        <f t="shared" si="445"/>
        <v>0</v>
      </c>
      <c r="S2040" s="387"/>
      <c r="T2040" s="387"/>
      <c r="U2040" s="387">
        <f t="shared" si="446"/>
        <v>0</v>
      </c>
      <c r="V2040" s="314">
        <f t="shared" si="447"/>
        <v>0</v>
      </c>
      <c r="W2040" s="387"/>
      <c r="X2040" s="387"/>
      <c r="Y2040" s="387"/>
      <c r="Z2040" s="387"/>
      <c r="AA2040" s="387">
        <f t="shared" si="448"/>
        <v>0</v>
      </c>
      <c r="AB2040" s="314">
        <f t="shared" si="449"/>
        <v>0</v>
      </c>
      <c r="AC2040" s="387"/>
      <c r="AD2040" s="387"/>
      <c r="AE2040" s="387">
        <f t="shared" si="448"/>
        <v>0</v>
      </c>
      <c r="AF2040" s="314">
        <f t="shared" si="450"/>
        <v>0</v>
      </c>
      <c r="AG2040" s="387"/>
      <c r="AH2040" s="387"/>
      <c r="AI2040" s="387"/>
      <c r="AJ2040" s="387"/>
      <c r="AK2040" s="314">
        <f t="shared" si="455"/>
        <v>0</v>
      </c>
      <c r="AL2040" s="421">
        <f t="shared" si="456"/>
        <v>0</v>
      </c>
      <c r="AM2040" s="387">
        <f t="shared" si="457"/>
        <v>0</v>
      </c>
      <c r="AN2040" s="422">
        <f t="shared" si="452"/>
        <v>0</v>
      </c>
      <c r="AO2040" s="108"/>
      <c r="AP2040"/>
    </row>
    <row r="2041" spans="1:42" s="108" customFormat="1" x14ac:dyDescent="0.25">
      <c r="A2041" s="9"/>
      <c r="B2041" s="518"/>
      <c r="C2041" s="1024"/>
      <c r="D2041" s="869"/>
      <c r="E2041" s="1027"/>
      <c r="F2041" s="272"/>
      <c r="G2041" s="272"/>
      <c r="H2041" s="272"/>
      <c r="I2041" s="722"/>
      <c r="J2041" s="756"/>
      <c r="K2041" s="131">
        <f t="shared" si="451"/>
        <v>0</v>
      </c>
      <c r="L2041" s="335">
        <f t="shared" si="454"/>
        <v>0</v>
      </c>
      <c r="M2041" s="335"/>
      <c r="N2041" s="335"/>
      <c r="O2041" s="335"/>
      <c r="P2041" s="335"/>
      <c r="Q2041" s="130">
        <f t="shared" si="444"/>
        <v>0</v>
      </c>
      <c r="R2041" s="131">
        <f t="shared" si="445"/>
        <v>0</v>
      </c>
      <c r="S2041" s="130"/>
      <c r="T2041" s="130"/>
      <c r="U2041" s="130">
        <f t="shared" si="446"/>
        <v>0</v>
      </c>
      <c r="V2041" s="131">
        <f t="shared" si="447"/>
        <v>0</v>
      </c>
      <c r="W2041" s="130"/>
      <c r="X2041" s="130"/>
      <c r="Y2041" s="130"/>
      <c r="Z2041" s="130"/>
      <c r="AA2041" s="130">
        <f t="shared" si="448"/>
        <v>0</v>
      </c>
      <c r="AB2041" s="131">
        <f t="shared" si="449"/>
        <v>0</v>
      </c>
      <c r="AC2041" s="130"/>
      <c r="AD2041" s="130"/>
      <c r="AE2041" s="130">
        <f t="shared" si="448"/>
        <v>0</v>
      </c>
      <c r="AF2041" s="131">
        <f t="shared" si="450"/>
        <v>0</v>
      </c>
      <c r="AG2041" s="130"/>
      <c r="AH2041" s="130"/>
      <c r="AI2041" s="130"/>
      <c r="AJ2041" s="130"/>
      <c r="AK2041" s="131">
        <f t="shared" si="455"/>
        <v>0</v>
      </c>
      <c r="AL2041" s="335">
        <f t="shared" si="456"/>
        <v>0</v>
      </c>
      <c r="AM2041" s="130">
        <f t="shared" si="457"/>
        <v>0</v>
      </c>
      <c r="AN2041" s="336">
        <f t="shared" si="452"/>
        <v>0</v>
      </c>
    </row>
    <row r="2042" spans="1:42" x14ac:dyDescent="0.25">
      <c r="A2042" s="1021">
        <v>232</v>
      </c>
      <c r="B2042" s="582" t="s">
        <v>528</v>
      </c>
      <c r="C2042" s="342"/>
      <c r="D2042" s="958"/>
      <c r="E2042" s="343"/>
      <c r="F2042" s="344"/>
      <c r="G2042" s="344"/>
      <c r="H2042" s="344"/>
      <c r="I2042" s="737"/>
      <c r="J2042" s="994"/>
      <c r="K2042" s="131">
        <f t="shared" si="451"/>
        <v>0</v>
      </c>
      <c r="L2042" s="335">
        <f t="shared" si="454"/>
        <v>0</v>
      </c>
      <c r="M2042" s="414"/>
      <c r="N2042" s="414"/>
      <c r="O2042" s="414"/>
      <c r="P2042" s="414"/>
      <c r="Q2042" s="413">
        <f t="shared" si="444"/>
        <v>0</v>
      </c>
      <c r="R2042" s="345">
        <f t="shared" si="445"/>
        <v>0</v>
      </c>
      <c r="S2042" s="413"/>
      <c r="T2042" s="413"/>
      <c r="U2042" s="413">
        <f t="shared" si="446"/>
        <v>0</v>
      </c>
      <c r="V2042" s="345">
        <f t="shared" si="447"/>
        <v>0</v>
      </c>
      <c r="W2042" s="413"/>
      <c r="X2042" s="413"/>
      <c r="Y2042" s="413"/>
      <c r="Z2042" s="413"/>
      <c r="AA2042" s="413">
        <f t="shared" si="448"/>
        <v>0</v>
      </c>
      <c r="AB2042" s="345">
        <f t="shared" si="449"/>
        <v>0</v>
      </c>
      <c r="AC2042" s="413"/>
      <c r="AD2042" s="413"/>
      <c r="AE2042" s="413">
        <f t="shared" si="448"/>
        <v>0</v>
      </c>
      <c r="AF2042" s="345">
        <f t="shared" si="450"/>
        <v>0</v>
      </c>
      <c r="AG2042" s="413"/>
      <c r="AH2042" s="413"/>
      <c r="AI2042" s="413"/>
      <c r="AJ2042" s="413"/>
      <c r="AK2042" s="345">
        <f t="shared" si="455"/>
        <v>0</v>
      </c>
      <c r="AL2042" s="446">
        <f t="shared" si="456"/>
        <v>0</v>
      </c>
      <c r="AM2042" s="110">
        <f t="shared" si="457"/>
        <v>0</v>
      </c>
      <c r="AN2042" s="447">
        <f t="shared" si="452"/>
        <v>0</v>
      </c>
      <c r="AO2042" s="108"/>
      <c r="AP2042"/>
    </row>
    <row r="2043" spans="1:42" ht="22.5" x14ac:dyDescent="0.25">
      <c r="A2043" s="310">
        <v>23201</v>
      </c>
      <c r="B2043" s="551" t="s">
        <v>529</v>
      </c>
      <c r="C2043" s="311"/>
      <c r="D2043" s="902"/>
      <c r="E2043" s="312"/>
      <c r="F2043" s="313"/>
      <c r="G2043" s="313"/>
      <c r="H2043" s="313"/>
      <c r="I2043" s="729"/>
      <c r="J2043" s="792"/>
      <c r="K2043" s="131">
        <f t="shared" si="451"/>
        <v>0</v>
      </c>
      <c r="L2043" s="335">
        <f t="shared" si="454"/>
        <v>0</v>
      </c>
      <c r="M2043" s="421"/>
      <c r="N2043" s="421"/>
      <c r="O2043" s="421"/>
      <c r="P2043" s="421"/>
      <c r="Q2043" s="387">
        <f t="shared" si="444"/>
        <v>0</v>
      </c>
      <c r="R2043" s="314">
        <f t="shared" si="445"/>
        <v>0</v>
      </c>
      <c r="S2043" s="387"/>
      <c r="T2043" s="387"/>
      <c r="U2043" s="387">
        <f t="shared" si="446"/>
        <v>0</v>
      </c>
      <c r="V2043" s="314">
        <f t="shared" si="447"/>
        <v>0</v>
      </c>
      <c r="W2043" s="387"/>
      <c r="X2043" s="387"/>
      <c r="Y2043" s="387"/>
      <c r="Z2043" s="387"/>
      <c r="AA2043" s="387">
        <f t="shared" si="448"/>
        <v>0</v>
      </c>
      <c r="AB2043" s="314">
        <f t="shared" si="449"/>
        <v>0</v>
      </c>
      <c r="AC2043" s="387"/>
      <c r="AD2043" s="387"/>
      <c r="AE2043" s="387">
        <f t="shared" si="448"/>
        <v>0</v>
      </c>
      <c r="AF2043" s="314">
        <f t="shared" si="450"/>
        <v>0</v>
      </c>
      <c r="AG2043" s="387"/>
      <c r="AH2043" s="387"/>
      <c r="AI2043" s="387"/>
      <c r="AJ2043" s="387"/>
      <c r="AK2043" s="314">
        <f t="shared" si="455"/>
        <v>0</v>
      </c>
      <c r="AL2043" s="421">
        <f t="shared" si="456"/>
        <v>0</v>
      </c>
      <c r="AM2043" s="387">
        <f t="shared" si="457"/>
        <v>0</v>
      </c>
      <c r="AN2043" s="422">
        <f t="shared" si="452"/>
        <v>0</v>
      </c>
      <c r="AO2043" s="188"/>
      <c r="AP2043"/>
    </row>
    <row r="2044" spans="1:42" x14ac:dyDescent="0.25">
      <c r="A2044" s="9"/>
      <c r="B2044" s="518"/>
      <c r="C2044" s="163"/>
      <c r="D2044" s="869"/>
      <c r="E2044" s="1027"/>
      <c r="F2044" s="272"/>
      <c r="G2044" s="272"/>
      <c r="H2044" s="272"/>
      <c r="I2044" s="720"/>
      <c r="J2044" s="756"/>
      <c r="K2044" s="131">
        <f t="shared" si="451"/>
        <v>0</v>
      </c>
      <c r="L2044" s="335">
        <f t="shared" si="454"/>
        <v>0</v>
      </c>
      <c r="M2044" s="446"/>
      <c r="N2044" s="446"/>
      <c r="O2044" s="446"/>
      <c r="P2044" s="446"/>
      <c r="Q2044" s="110">
        <f t="shared" si="444"/>
        <v>0</v>
      </c>
      <c r="R2044" s="111">
        <f t="shared" si="445"/>
        <v>0</v>
      </c>
      <c r="S2044" s="110"/>
      <c r="T2044" s="110"/>
      <c r="U2044" s="110">
        <f t="shared" si="446"/>
        <v>0</v>
      </c>
      <c r="V2044" s="111">
        <f t="shared" si="447"/>
        <v>0</v>
      </c>
      <c r="W2044" s="110"/>
      <c r="X2044" s="110"/>
      <c r="Y2044" s="110"/>
      <c r="Z2044" s="110"/>
      <c r="AA2044" s="110">
        <f t="shared" si="448"/>
        <v>0</v>
      </c>
      <c r="AB2044" s="111">
        <f t="shared" si="449"/>
        <v>0</v>
      </c>
      <c r="AC2044" s="110"/>
      <c r="AD2044" s="110"/>
      <c r="AE2044" s="110">
        <f t="shared" si="448"/>
        <v>0</v>
      </c>
      <c r="AF2044" s="111">
        <f t="shared" si="450"/>
        <v>0</v>
      </c>
      <c r="AG2044" s="110"/>
      <c r="AH2044" s="110"/>
      <c r="AI2044" s="110"/>
      <c r="AJ2044" s="110"/>
      <c r="AK2044" s="111">
        <f t="shared" si="455"/>
        <v>0</v>
      </c>
      <c r="AL2044" s="446">
        <f t="shared" si="456"/>
        <v>0</v>
      </c>
      <c r="AM2044" s="110">
        <f t="shared" si="457"/>
        <v>0</v>
      </c>
      <c r="AN2044" s="447">
        <f t="shared" si="452"/>
        <v>0</v>
      </c>
      <c r="AO2044"/>
      <c r="AP2044"/>
    </row>
    <row r="2045" spans="1:42" ht="22.5" x14ac:dyDescent="0.25">
      <c r="A2045" s="310">
        <v>23202</v>
      </c>
      <c r="B2045" s="551" t="s">
        <v>530</v>
      </c>
      <c r="C2045" s="311"/>
      <c r="D2045" s="902"/>
      <c r="E2045" s="312"/>
      <c r="F2045" s="313"/>
      <c r="G2045" s="313"/>
      <c r="H2045" s="313"/>
      <c r="I2045" s="729"/>
      <c r="J2045" s="792"/>
      <c r="K2045" s="131">
        <f t="shared" si="451"/>
        <v>0</v>
      </c>
      <c r="L2045" s="335">
        <f t="shared" si="454"/>
        <v>0</v>
      </c>
      <c r="M2045" s="421"/>
      <c r="N2045" s="421"/>
      <c r="O2045" s="421"/>
      <c r="P2045" s="421"/>
      <c r="Q2045" s="387">
        <f t="shared" si="444"/>
        <v>0</v>
      </c>
      <c r="R2045" s="314">
        <f t="shared" si="445"/>
        <v>0</v>
      </c>
      <c r="S2045" s="387"/>
      <c r="T2045" s="387"/>
      <c r="U2045" s="387">
        <f t="shared" si="446"/>
        <v>0</v>
      </c>
      <c r="V2045" s="314">
        <f t="shared" si="447"/>
        <v>0</v>
      </c>
      <c r="W2045" s="387"/>
      <c r="X2045" s="387"/>
      <c r="Y2045" s="387"/>
      <c r="Z2045" s="387"/>
      <c r="AA2045" s="387">
        <f t="shared" si="448"/>
        <v>0</v>
      </c>
      <c r="AB2045" s="314">
        <f t="shared" si="449"/>
        <v>0</v>
      </c>
      <c r="AC2045" s="387"/>
      <c r="AD2045" s="387"/>
      <c r="AE2045" s="387">
        <f t="shared" si="448"/>
        <v>0</v>
      </c>
      <c r="AF2045" s="314">
        <f t="shared" si="450"/>
        <v>0</v>
      </c>
      <c r="AG2045" s="387"/>
      <c r="AH2045" s="387"/>
      <c r="AI2045" s="387"/>
      <c r="AJ2045" s="387"/>
      <c r="AK2045" s="314">
        <f t="shared" si="455"/>
        <v>0</v>
      </c>
      <c r="AL2045" s="421">
        <f t="shared" si="456"/>
        <v>0</v>
      </c>
      <c r="AM2045" s="387">
        <f t="shared" si="457"/>
        <v>0</v>
      </c>
      <c r="AN2045" s="422">
        <f t="shared" si="452"/>
        <v>0</v>
      </c>
      <c r="AO2045" s="188"/>
      <c r="AP2045"/>
    </row>
    <row r="2046" spans="1:42" x14ac:dyDescent="0.25">
      <c r="A2046" s="9"/>
      <c r="B2046" s="518"/>
      <c r="C2046" s="1024"/>
      <c r="D2046" s="869"/>
      <c r="E2046" s="1027"/>
      <c r="F2046" s="272"/>
      <c r="G2046" s="272"/>
      <c r="H2046" s="272"/>
      <c r="I2046" s="720"/>
      <c r="J2046" s="756"/>
      <c r="K2046" s="131">
        <f t="shared" si="451"/>
        <v>0</v>
      </c>
      <c r="L2046" s="335">
        <f t="shared" si="454"/>
        <v>0</v>
      </c>
      <c r="M2046" s="446"/>
      <c r="N2046" s="446"/>
      <c r="O2046" s="446"/>
      <c r="P2046" s="446"/>
      <c r="Q2046" s="110">
        <f t="shared" si="444"/>
        <v>0</v>
      </c>
      <c r="R2046" s="111">
        <f t="shared" si="445"/>
        <v>0</v>
      </c>
      <c r="S2046" s="110"/>
      <c r="T2046" s="110"/>
      <c r="U2046" s="110">
        <f t="shared" si="446"/>
        <v>0</v>
      </c>
      <c r="V2046" s="111">
        <f t="shared" si="447"/>
        <v>0</v>
      </c>
      <c r="W2046" s="110"/>
      <c r="X2046" s="110"/>
      <c r="Y2046" s="110"/>
      <c r="Z2046" s="110"/>
      <c r="AA2046" s="110">
        <f t="shared" si="448"/>
        <v>0</v>
      </c>
      <c r="AB2046" s="111">
        <f t="shared" si="449"/>
        <v>0</v>
      </c>
      <c r="AC2046" s="110"/>
      <c r="AD2046" s="110"/>
      <c r="AE2046" s="110">
        <f t="shared" si="448"/>
        <v>0</v>
      </c>
      <c r="AF2046" s="111">
        <f t="shared" si="450"/>
        <v>0</v>
      </c>
      <c r="AG2046" s="110"/>
      <c r="AH2046" s="110"/>
      <c r="AI2046" s="110"/>
      <c r="AJ2046" s="110"/>
      <c r="AK2046" s="111">
        <f t="shared" si="455"/>
        <v>0</v>
      </c>
      <c r="AL2046" s="446">
        <f t="shared" si="456"/>
        <v>0</v>
      </c>
      <c r="AM2046" s="110">
        <f t="shared" si="457"/>
        <v>0</v>
      </c>
      <c r="AN2046" s="447">
        <f t="shared" si="452"/>
        <v>0</v>
      </c>
      <c r="AO2046"/>
      <c r="AP2046"/>
    </row>
    <row r="2047" spans="1:42" x14ac:dyDescent="0.25">
      <c r="A2047" s="310">
        <v>23203</v>
      </c>
      <c r="B2047" s="551" t="s">
        <v>531</v>
      </c>
      <c r="C2047" s="311"/>
      <c r="D2047" s="902"/>
      <c r="E2047" s="312"/>
      <c r="F2047" s="313"/>
      <c r="G2047" s="313"/>
      <c r="H2047" s="313"/>
      <c r="I2047" s="729"/>
      <c r="J2047" s="792"/>
      <c r="K2047" s="131">
        <f t="shared" si="451"/>
        <v>0</v>
      </c>
      <c r="L2047" s="335">
        <f t="shared" si="454"/>
        <v>0</v>
      </c>
      <c r="M2047" s="421"/>
      <c r="N2047" s="421"/>
      <c r="O2047" s="421"/>
      <c r="P2047" s="421"/>
      <c r="Q2047" s="387">
        <f t="shared" si="444"/>
        <v>0</v>
      </c>
      <c r="R2047" s="314">
        <f t="shared" si="445"/>
        <v>0</v>
      </c>
      <c r="S2047" s="387"/>
      <c r="T2047" s="387"/>
      <c r="U2047" s="387">
        <f t="shared" si="446"/>
        <v>0</v>
      </c>
      <c r="V2047" s="314">
        <f t="shared" si="447"/>
        <v>0</v>
      </c>
      <c r="W2047" s="387"/>
      <c r="X2047" s="387"/>
      <c r="Y2047" s="387"/>
      <c r="Z2047" s="387"/>
      <c r="AA2047" s="387">
        <f t="shared" si="448"/>
        <v>0</v>
      </c>
      <c r="AB2047" s="314">
        <f t="shared" si="449"/>
        <v>0</v>
      </c>
      <c r="AC2047" s="387"/>
      <c r="AD2047" s="387"/>
      <c r="AE2047" s="387">
        <f t="shared" si="448"/>
        <v>0</v>
      </c>
      <c r="AF2047" s="314">
        <f t="shared" si="450"/>
        <v>0</v>
      </c>
      <c r="AG2047" s="387"/>
      <c r="AH2047" s="387"/>
      <c r="AI2047" s="387"/>
      <c r="AJ2047" s="387"/>
      <c r="AK2047" s="314">
        <f t="shared" si="455"/>
        <v>0</v>
      </c>
      <c r="AL2047" s="421">
        <f t="shared" si="456"/>
        <v>0</v>
      </c>
      <c r="AM2047" s="387">
        <f t="shared" si="457"/>
        <v>0</v>
      </c>
      <c r="AN2047" s="422">
        <f t="shared" si="452"/>
        <v>0</v>
      </c>
      <c r="AO2047" s="188"/>
      <c r="AP2047"/>
    </row>
    <row r="2048" spans="1:42" x14ac:dyDescent="0.25">
      <c r="A2048" s="9"/>
      <c r="B2048" s="518"/>
      <c r="C2048" s="162"/>
      <c r="D2048" s="882"/>
      <c r="E2048" s="1025"/>
      <c r="F2048" s="271"/>
      <c r="G2048" s="271"/>
      <c r="H2048" s="271"/>
      <c r="I2048" s="720"/>
      <c r="J2048" s="756"/>
      <c r="K2048" s="131">
        <f t="shared" si="451"/>
        <v>0</v>
      </c>
      <c r="L2048" s="335">
        <f t="shared" si="454"/>
        <v>0</v>
      </c>
      <c r="M2048" s="446"/>
      <c r="N2048" s="446"/>
      <c r="O2048" s="446"/>
      <c r="P2048" s="446"/>
      <c r="Q2048" s="110">
        <f t="shared" si="444"/>
        <v>0</v>
      </c>
      <c r="R2048" s="111">
        <f t="shared" si="445"/>
        <v>0</v>
      </c>
      <c r="S2048" s="110"/>
      <c r="T2048" s="110"/>
      <c r="U2048" s="110">
        <f t="shared" si="446"/>
        <v>0</v>
      </c>
      <c r="V2048" s="111">
        <f t="shared" si="447"/>
        <v>0</v>
      </c>
      <c r="W2048" s="110"/>
      <c r="X2048" s="110"/>
      <c r="Y2048" s="110"/>
      <c r="Z2048" s="110"/>
      <c r="AA2048" s="110">
        <f t="shared" si="448"/>
        <v>0</v>
      </c>
      <c r="AB2048" s="111">
        <f t="shared" si="449"/>
        <v>0</v>
      </c>
      <c r="AC2048" s="110"/>
      <c r="AD2048" s="110"/>
      <c r="AE2048" s="110">
        <f t="shared" si="448"/>
        <v>0</v>
      </c>
      <c r="AF2048" s="111">
        <f t="shared" si="450"/>
        <v>0</v>
      </c>
      <c r="AG2048" s="110"/>
      <c r="AH2048" s="110"/>
      <c r="AI2048" s="110"/>
      <c r="AJ2048" s="110"/>
      <c r="AK2048" s="111">
        <f t="shared" si="455"/>
        <v>0</v>
      </c>
      <c r="AL2048" s="446">
        <f t="shared" si="456"/>
        <v>0</v>
      </c>
      <c r="AM2048" s="110">
        <f t="shared" si="457"/>
        <v>0</v>
      </c>
      <c r="AN2048" s="447">
        <f t="shared" si="452"/>
        <v>0</v>
      </c>
      <c r="AO2048"/>
      <c r="AP2048"/>
    </row>
    <row r="2049" spans="1:42" ht="22.5" x14ac:dyDescent="0.25">
      <c r="A2049" s="310">
        <v>23204</v>
      </c>
      <c r="B2049" s="551" t="s">
        <v>532</v>
      </c>
      <c r="C2049" s="311"/>
      <c r="D2049" s="902"/>
      <c r="E2049" s="312"/>
      <c r="F2049" s="313"/>
      <c r="G2049" s="313"/>
      <c r="H2049" s="313"/>
      <c r="I2049" s="729"/>
      <c r="J2049" s="792"/>
      <c r="K2049" s="131">
        <f t="shared" si="451"/>
        <v>0</v>
      </c>
      <c r="L2049" s="335">
        <f t="shared" si="454"/>
        <v>0</v>
      </c>
      <c r="M2049" s="421"/>
      <c r="N2049" s="421"/>
      <c r="O2049" s="421"/>
      <c r="P2049" s="421"/>
      <c r="Q2049" s="387">
        <f t="shared" si="444"/>
        <v>0</v>
      </c>
      <c r="R2049" s="314">
        <f t="shared" si="445"/>
        <v>0</v>
      </c>
      <c r="S2049" s="387"/>
      <c r="T2049" s="387"/>
      <c r="U2049" s="387">
        <f t="shared" si="446"/>
        <v>0</v>
      </c>
      <c r="V2049" s="314">
        <f t="shared" si="447"/>
        <v>0</v>
      </c>
      <c r="W2049" s="387"/>
      <c r="X2049" s="387"/>
      <c r="Y2049" s="387"/>
      <c r="Z2049" s="387"/>
      <c r="AA2049" s="387">
        <f t="shared" si="448"/>
        <v>0</v>
      </c>
      <c r="AB2049" s="314">
        <f t="shared" si="449"/>
        <v>0</v>
      </c>
      <c r="AC2049" s="387"/>
      <c r="AD2049" s="387"/>
      <c r="AE2049" s="387">
        <f t="shared" si="448"/>
        <v>0</v>
      </c>
      <c r="AF2049" s="314">
        <f t="shared" si="450"/>
        <v>0</v>
      </c>
      <c r="AG2049" s="387"/>
      <c r="AH2049" s="387"/>
      <c r="AI2049" s="387"/>
      <c r="AJ2049" s="387"/>
      <c r="AK2049" s="314">
        <f t="shared" si="455"/>
        <v>0</v>
      </c>
      <c r="AL2049" s="421">
        <f t="shared" si="456"/>
        <v>0</v>
      </c>
      <c r="AM2049" s="387">
        <f t="shared" si="457"/>
        <v>0</v>
      </c>
      <c r="AN2049" s="422">
        <f t="shared" si="452"/>
        <v>0</v>
      </c>
      <c r="AO2049" s="188"/>
      <c r="AP2049"/>
    </row>
    <row r="2050" spans="1:42" s="108" customFormat="1" x14ac:dyDescent="0.25">
      <c r="A2050" s="9"/>
      <c r="B2050" s="518"/>
      <c r="C2050" s="1024"/>
      <c r="D2050" s="869"/>
      <c r="E2050" s="1027"/>
      <c r="F2050" s="272"/>
      <c r="G2050" s="272"/>
      <c r="H2050" s="272"/>
      <c r="I2050" s="722"/>
      <c r="J2050" s="756"/>
      <c r="K2050" s="131">
        <f t="shared" si="451"/>
        <v>0</v>
      </c>
      <c r="L2050" s="335">
        <f t="shared" si="454"/>
        <v>0</v>
      </c>
      <c r="M2050" s="335"/>
      <c r="N2050" s="335"/>
      <c r="O2050" s="335"/>
      <c r="P2050" s="335"/>
      <c r="Q2050" s="130">
        <f t="shared" si="444"/>
        <v>0</v>
      </c>
      <c r="R2050" s="131">
        <f t="shared" si="445"/>
        <v>0</v>
      </c>
      <c r="S2050" s="130"/>
      <c r="T2050" s="130"/>
      <c r="U2050" s="130">
        <f t="shared" si="446"/>
        <v>0</v>
      </c>
      <c r="V2050" s="131">
        <f t="shared" si="447"/>
        <v>0</v>
      </c>
      <c r="W2050" s="130"/>
      <c r="X2050" s="130"/>
      <c r="Y2050" s="130"/>
      <c r="Z2050" s="130"/>
      <c r="AA2050" s="130">
        <f t="shared" si="448"/>
        <v>0</v>
      </c>
      <c r="AB2050" s="131">
        <f t="shared" si="449"/>
        <v>0</v>
      </c>
      <c r="AC2050" s="130"/>
      <c r="AD2050" s="130"/>
      <c r="AE2050" s="130">
        <f t="shared" si="448"/>
        <v>0</v>
      </c>
      <c r="AF2050" s="131">
        <f t="shared" si="450"/>
        <v>0</v>
      </c>
      <c r="AG2050" s="130"/>
      <c r="AH2050" s="130"/>
      <c r="AI2050" s="130"/>
      <c r="AJ2050" s="130"/>
      <c r="AK2050" s="131">
        <f t="shared" si="455"/>
        <v>0</v>
      </c>
      <c r="AL2050" s="335">
        <f t="shared" si="456"/>
        <v>0</v>
      </c>
      <c r="AM2050" s="130">
        <f t="shared" si="457"/>
        <v>0</v>
      </c>
      <c r="AN2050" s="336">
        <f t="shared" si="452"/>
        <v>0</v>
      </c>
    </row>
    <row r="2051" spans="1:42" ht="22.5" x14ac:dyDescent="0.25">
      <c r="A2051" s="1021">
        <v>233</v>
      </c>
      <c r="B2051" s="582" t="s">
        <v>533</v>
      </c>
      <c r="C2051" s="342"/>
      <c r="D2051" s="958"/>
      <c r="E2051" s="343"/>
      <c r="F2051" s="344"/>
      <c r="G2051" s="344"/>
      <c r="H2051" s="344"/>
      <c r="I2051" s="737"/>
      <c r="J2051" s="994"/>
      <c r="K2051" s="131">
        <f t="shared" si="451"/>
        <v>0</v>
      </c>
      <c r="L2051" s="335">
        <f t="shared" si="454"/>
        <v>0</v>
      </c>
      <c r="M2051" s="414"/>
      <c r="N2051" s="414"/>
      <c r="O2051" s="414"/>
      <c r="P2051" s="414"/>
      <c r="Q2051" s="413">
        <f t="shared" si="444"/>
        <v>0</v>
      </c>
      <c r="R2051" s="345">
        <f t="shared" si="445"/>
        <v>0</v>
      </c>
      <c r="S2051" s="413"/>
      <c r="T2051" s="413"/>
      <c r="U2051" s="413">
        <f t="shared" si="446"/>
        <v>0</v>
      </c>
      <c r="V2051" s="345">
        <f t="shared" si="447"/>
        <v>0</v>
      </c>
      <c r="W2051" s="413"/>
      <c r="X2051" s="413"/>
      <c r="Y2051" s="413"/>
      <c r="Z2051" s="413"/>
      <c r="AA2051" s="413">
        <f t="shared" si="448"/>
        <v>0</v>
      </c>
      <c r="AB2051" s="345">
        <f t="shared" si="449"/>
        <v>0</v>
      </c>
      <c r="AC2051" s="413"/>
      <c r="AD2051" s="413"/>
      <c r="AE2051" s="413">
        <f t="shared" si="448"/>
        <v>0</v>
      </c>
      <c r="AF2051" s="345">
        <f t="shared" si="450"/>
        <v>0</v>
      </c>
      <c r="AG2051" s="413"/>
      <c r="AH2051" s="413"/>
      <c r="AI2051" s="413"/>
      <c r="AJ2051" s="413"/>
      <c r="AK2051" s="345">
        <f t="shared" si="455"/>
        <v>0</v>
      </c>
      <c r="AL2051" s="446">
        <f t="shared" si="456"/>
        <v>0</v>
      </c>
      <c r="AM2051" s="110">
        <f t="shared" si="457"/>
        <v>0</v>
      </c>
      <c r="AN2051" s="447">
        <f t="shared" si="452"/>
        <v>0</v>
      </c>
      <c r="AO2051" s="108"/>
      <c r="AP2051"/>
    </row>
    <row r="2052" spans="1:42" ht="22.5" x14ac:dyDescent="0.25">
      <c r="A2052" s="310">
        <v>23301</v>
      </c>
      <c r="B2052" s="551" t="s">
        <v>534</v>
      </c>
      <c r="C2052" s="311"/>
      <c r="D2052" s="902"/>
      <c r="E2052" s="312"/>
      <c r="F2052" s="313"/>
      <c r="G2052" s="313"/>
      <c r="H2052" s="313"/>
      <c r="I2052" s="729"/>
      <c r="J2052" s="792"/>
      <c r="K2052" s="131">
        <f t="shared" si="451"/>
        <v>0</v>
      </c>
      <c r="L2052" s="335">
        <f t="shared" si="454"/>
        <v>0</v>
      </c>
      <c r="M2052" s="421"/>
      <c r="N2052" s="421"/>
      <c r="O2052" s="421"/>
      <c r="P2052" s="421"/>
      <c r="Q2052" s="387">
        <f t="shared" si="444"/>
        <v>0</v>
      </c>
      <c r="R2052" s="314">
        <f t="shared" si="445"/>
        <v>0</v>
      </c>
      <c r="S2052" s="387"/>
      <c r="T2052" s="387"/>
      <c r="U2052" s="387">
        <f t="shared" si="446"/>
        <v>0</v>
      </c>
      <c r="V2052" s="314">
        <f t="shared" si="447"/>
        <v>0</v>
      </c>
      <c r="W2052" s="387"/>
      <c r="X2052" s="387"/>
      <c r="Y2052" s="387"/>
      <c r="Z2052" s="387"/>
      <c r="AA2052" s="387">
        <f t="shared" si="448"/>
        <v>0</v>
      </c>
      <c r="AB2052" s="314">
        <f t="shared" si="449"/>
        <v>0</v>
      </c>
      <c r="AC2052" s="387"/>
      <c r="AD2052" s="387"/>
      <c r="AE2052" s="387">
        <f t="shared" si="448"/>
        <v>0</v>
      </c>
      <c r="AF2052" s="314">
        <f t="shared" si="450"/>
        <v>0</v>
      </c>
      <c r="AG2052" s="387"/>
      <c r="AH2052" s="387"/>
      <c r="AI2052" s="387"/>
      <c r="AJ2052" s="387"/>
      <c r="AK2052" s="314">
        <f t="shared" si="455"/>
        <v>0</v>
      </c>
      <c r="AL2052" s="446">
        <f t="shared" si="456"/>
        <v>0</v>
      </c>
      <c r="AM2052" s="110">
        <f t="shared" si="457"/>
        <v>0</v>
      </c>
      <c r="AN2052" s="447">
        <f t="shared" si="452"/>
        <v>0</v>
      </c>
      <c r="AO2052" s="108"/>
      <c r="AP2052"/>
    </row>
    <row r="2053" spans="1:42" s="108" customFormat="1" x14ac:dyDescent="0.25">
      <c r="A2053" s="9"/>
      <c r="B2053" s="518"/>
      <c r="C2053" s="1024"/>
      <c r="D2053" s="869"/>
      <c r="E2053" s="1027"/>
      <c r="F2053" s="272"/>
      <c r="G2053" s="272"/>
      <c r="H2053" s="272"/>
      <c r="I2053" s="722"/>
      <c r="J2053" s="756"/>
      <c r="K2053" s="131">
        <f t="shared" si="451"/>
        <v>0</v>
      </c>
      <c r="L2053" s="335">
        <f t="shared" si="454"/>
        <v>0</v>
      </c>
      <c r="M2053" s="335"/>
      <c r="N2053" s="335"/>
      <c r="O2053" s="335"/>
      <c r="P2053" s="335"/>
      <c r="Q2053" s="130">
        <f t="shared" si="444"/>
        <v>0</v>
      </c>
      <c r="R2053" s="131">
        <f t="shared" si="445"/>
        <v>0</v>
      </c>
      <c r="S2053" s="130"/>
      <c r="T2053" s="130"/>
      <c r="U2053" s="130">
        <f t="shared" si="446"/>
        <v>0</v>
      </c>
      <c r="V2053" s="131">
        <f t="shared" si="447"/>
        <v>0</v>
      </c>
      <c r="W2053" s="130"/>
      <c r="X2053" s="130"/>
      <c r="Y2053" s="130"/>
      <c r="Z2053" s="130"/>
      <c r="AA2053" s="130">
        <f t="shared" ref="AA2053:AE2114" si="458">+$D2053/4</f>
        <v>0</v>
      </c>
      <c r="AB2053" s="131">
        <f t="shared" si="449"/>
        <v>0</v>
      </c>
      <c r="AC2053" s="130"/>
      <c r="AD2053" s="130"/>
      <c r="AE2053" s="130">
        <f t="shared" si="458"/>
        <v>0</v>
      </c>
      <c r="AF2053" s="131">
        <f t="shared" si="450"/>
        <v>0</v>
      </c>
      <c r="AG2053" s="130"/>
      <c r="AH2053" s="130"/>
      <c r="AI2053" s="130"/>
      <c r="AJ2053" s="130"/>
      <c r="AK2053" s="131">
        <f t="shared" si="455"/>
        <v>0</v>
      </c>
      <c r="AL2053" s="335">
        <f t="shared" si="456"/>
        <v>0</v>
      </c>
      <c r="AM2053" s="130">
        <f t="shared" si="457"/>
        <v>0</v>
      </c>
      <c r="AN2053" s="336">
        <f t="shared" si="452"/>
        <v>0</v>
      </c>
    </row>
    <row r="2054" spans="1:42" x14ac:dyDescent="0.25">
      <c r="A2054" s="310">
        <v>23302</v>
      </c>
      <c r="B2054" s="551" t="s">
        <v>527</v>
      </c>
      <c r="C2054" s="311"/>
      <c r="D2054" s="902"/>
      <c r="E2054" s="312"/>
      <c r="F2054" s="313"/>
      <c r="G2054" s="313"/>
      <c r="H2054" s="313"/>
      <c r="I2054" s="729"/>
      <c r="J2054" s="792"/>
      <c r="K2054" s="131">
        <f t="shared" si="451"/>
        <v>0</v>
      </c>
      <c r="L2054" s="335">
        <f t="shared" si="454"/>
        <v>0</v>
      </c>
      <c r="M2054" s="421"/>
      <c r="N2054" s="421"/>
      <c r="O2054" s="421"/>
      <c r="P2054" s="421"/>
      <c r="Q2054" s="387">
        <f t="shared" ref="Q2054:Q2116" si="459">+$D2054/4</f>
        <v>0</v>
      </c>
      <c r="R2054" s="314">
        <f t="shared" ref="R2054:R2117" si="460">+J2054/4</f>
        <v>0</v>
      </c>
      <c r="S2054" s="387"/>
      <c r="T2054" s="387"/>
      <c r="U2054" s="387">
        <f t="shared" ref="U2054:U2116" si="461">+$D2054/4</f>
        <v>0</v>
      </c>
      <c r="V2054" s="314">
        <f t="shared" ref="V2054:V2117" si="462">+J2054/4</f>
        <v>0</v>
      </c>
      <c r="W2054" s="387"/>
      <c r="X2054" s="387"/>
      <c r="Y2054" s="387"/>
      <c r="Z2054" s="387"/>
      <c r="AA2054" s="387">
        <f t="shared" si="458"/>
        <v>0</v>
      </c>
      <c r="AB2054" s="314">
        <f t="shared" si="449"/>
        <v>0</v>
      </c>
      <c r="AC2054" s="387"/>
      <c r="AD2054" s="387"/>
      <c r="AE2054" s="387">
        <f t="shared" si="458"/>
        <v>0</v>
      </c>
      <c r="AF2054" s="314">
        <f t="shared" si="450"/>
        <v>0</v>
      </c>
      <c r="AG2054" s="387"/>
      <c r="AH2054" s="387"/>
      <c r="AI2054" s="387"/>
      <c r="AJ2054" s="387"/>
      <c r="AK2054" s="314">
        <f t="shared" si="455"/>
        <v>0</v>
      </c>
      <c r="AL2054" s="446">
        <f t="shared" si="456"/>
        <v>0</v>
      </c>
      <c r="AM2054" s="110">
        <f t="shared" si="457"/>
        <v>0</v>
      </c>
      <c r="AN2054" s="447">
        <f t="shared" si="452"/>
        <v>0</v>
      </c>
      <c r="AO2054" s="108"/>
      <c r="AP2054"/>
    </row>
    <row r="2055" spans="1:42" x14ac:dyDescent="0.25">
      <c r="A2055" s="9"/>
      <c r="B2055" s="518"/>
      <c r="D2055" s="869"/>
      <c r="E2055" s="1027"/>
      <c r="F2055" s="272"/>
      <c r="G2055" s="272"/>
      <c r="H2055" s="272"/>
      <c r="I2055" s="720"/>
      <c r="J2055" s="756"/>
      <c r="K2055" s="131">
        <f t="shared" si="451"/>
        <v>0</v>
      </c>
      <c r="L2055" s="335">
        <f t="shared" si="454"/>
        <v>0</v>
      </c>
      <c r="M2055" s="446"/>
      <c r="N2055" s="446"/>
      <c r="O2055" s="446"/>
      <c r="P2055" s="446"/>
      <c r="Q2055" s="110">
        <f t="shared" si="459"/>
        <v>0</v>
      </c>
      <c r="R2055" s="111">
        <f t="shared" si="460"/>
        <v>0</v>
      </c>
      <c r="S2055" s="110"/>
      <c r="T2055" s="110"/>
      <c r="U2055" s="110">
        <f t="shared" si="461"/>
        <v>0</v>
      </c>
      <c r="V2055" s="111">
        <f t="shared" si="462"/>
        <v>0</v>
      </c>
      <c r="W2055" s="110"/>
      <c r="X2055" s="110"/>
      <c r="Y2055" s="110"/>
      <c r="Z2055" s="110"/>
      <c r="AA2055" s="110">
        <f t="shared" si="458"/>
        <v>0</v>
      </c>
      <c r="AB2055" s="111">
        <f t="shared" si="449"/>
        <v>0</v>
      </c>
      <c r="AC2055" s="110"/>
      <c r="AD2055" s="110"/>
      <c r="AE2055" s="110">
        <f t="shared" si="458"/>
        <v>0</v>
      </c>
      <c r="AF2055" s="111">
        <f t="shared" si="450"/>
        <v>0</v>
      </c>
      <c r="AG2055" s="110"/>
      <c r="AH2055" s="110"/>
      <c r="AI2055" s="110"/>
      <c r="AJ2055" s="110"/>
      <c r="AK2055" s="111">
        <f t="shared" si="455"/>
        <v>0</v>
      </c>
      <c r="AL2055" s="446">
        <f t="shared" si="456"/>
        <v>0</v>
      </c>
      <c r="AM2055" s="110">
        <f t="shared" si="457"/>
        <v>0</v>
      </c>
      <c r="AN2055" s="447">
        <f t="shared" si="452"/>
        <v>0</v>
      </c>
      <c r="AO2055"/>
      <c r="AP2055"/>
    </row>
    <row r="2056" spans="1:42" ht="33.75" x14ac:dyDescent="0.25">
      <c r="A2056" s="1021">
        <v>234</v>
      </c>
      <c r="B2056" s="582" t="s">
        <v>535</v>
      </c>
      <c r="C2056" s="342"/>
      <c r="D2056" s="958"/>
      <c r="E2056" s="343"/>
      <c r="F2056" s="344"/>
      <c r="G2056" s="344"/>
      <c r="H2056" s="344"/>
      <c r="I2056" s="737"/>
      <c r="J2056" s="994"/>
      <c r="K2056" s="131">
        <f t="shared" si="451"/>
        <v>0</v>
      </c>
      <c r="L2056" s="335">
        <f t="shared" si="454"/>
        <v>0</v>
      </c>
      <c r="M2056" s="414"/>
      <c r="N2056" s="414"/>
      <c r="O2056" s="414"/>
      <c r="P2056" s="414"/>
      <c r="Q2056" s="413">
        <f t="shared" si="459"/>
        <v>0</v>
      </c>
      <c r="R2056" s="345">
        <f t="shared" si="460"/>
        <v>0</v>
      </c>
      <c r="S2056" s="413"/>
      <c r="T2056" s="413"/>
      <c r="U2056" s="413">
        <f t="shared" si="461"/>
        <v>0</v>
      </c>
      <c r="V2056" s="345">
        <f t="shared" si="462"/>
        <v>0</v>
      </c>
      <c r="W2056" s="413"/>
      <c r="X2056" s="413"/>
      <c r="Y2056" s="413"/>
      <c r="Z2056" s="413"/>
      <c r="AA2056" s="413">
        <f t="shared" si="458"/>
        <v>0</v>
      </c>
      <c r="AB2056" s="345">
        <f t="shared" si="449"/>
        <v>0</v>
      </c>
      <c r="AC2056" s="413"/>
      <c r="AD2056" s="413"/>
      <c r="AE2056" s="413">
        <f t="shared" si="458"/>
        <v>0</v>
      </c>
      <c r="AF2056" s="345">
        <f t="shared" si="450"/>
        <v>0</v>
      </c>
      <c r="AG2056" s="413"/>
      <c r="AH2056" s="413"/>
      <c r="AI2056" s="413"/>
      <c r="AJ2056" s="413"/>
      <c r="AK2056" s="345">
        <f t="shared" si="455"/>
        <v>0</v>
      </c>
      <c r="AL2056" s="446">
        <f t="shared" si="456"/>
        <v>0</v>
      </c>
      <c r="AM2056" s="110">
        <f t="shared" si="457"/>
        <v>0</v>
      </c>
      <c r="AN2056" s="447">
        <f t="shared" si="452"/>
        <v>0</v>
      </c>
      <c r="AO2056" s="108"/>
      <c r="AP2056"/>
    </row>
    <row r="2057" spans="1:42" s="108" customFormat="1" x14ac:dyDescent="0.25">
      <c r="A2057" s="1029"/>
      <c r="B2057" s="518"/>
      <c r="C2057" s="1024"/>
      <c r="D2057" s="869"/>
      <c r="E2057" s="1027"/>
      <c r="F2057" s="272"/>
      <c r="G2057" s="272"/>
      <c r="H2057" s="272"/>
      <c r="I2057" s="722"/>
      <c r="J2057" s="756"/>
      <c r="K2057" s="131">
        <f t="shared" si="451"/>
        <v>0</v>
      </c>
      <c r="L2057" s="335">
        <f t="shared" si="454"/>
        <v>0</v>
      </c>
      <c r="M2057" s="335"/>
      <c r="N2057" s="335"/>
      <c r="O2057" s="335"/>
      <c r="P2057" s="335"/>
      <c r="Q2057" s="130">
        <f t="shared" si="459"/>
        <v>0</v>
      </c>
      <c r="R2057" s="131">
        <f t="shared" si="460"/>
        <v>0</v>
      </c>
      <c r="S2057" s="130"/>
      <c r="T2057" s="130"/>
      <c r="U2057" s="130">
        <f t="shared" si="461"/>
        <v>0</v>
      </c>
      <c r="V2057" s="131">
        <f t="shared" si="462"/>
        <v>0</v>
      </c>
      <c r="W2057" s="130"/>
      <c r="X2057" s="130"/>
      <c r="Y2057" s="130"/>
      <c r="Z2057" s="130"/>
      <c r="AA2057" s="130">
        <f t="shared" si="458"/>
        <v>0</v>
      </c>
      <c r="AB2057" s="131">
        <f t="shared" si="449"/>
        <v>0</v>
      </c>
      <c r="AC2057" s="130"/>
      <c r="AD2057" s="130"/>
      <c r="AE2057" s="130">
        <f t="shared" si="458"/>
        <v>0</v>
      </c>
      <c r="AF2057" s="131">
        <f t="shared" si="450"/>
        <v>0</v>
      </c>
      <c r="AG2057" s="130"/>
      <c r="AH2057" s="130"/>
      <c r="AI2057" s="130"/>
      <c r="AJ2057" s="130"/>
      <c r="AK2057" s="131">
        <f t="shared" si="455"/>
        <v>0</v>
      </c>
      <c r="AL2057" s="335">
        <f t="shared" si="456"/>
        <v>0</v>
      </c>
      <c r="AM2057" s="130">
        <f t="shared" si="457"/>
        <v>0</v>
      </c>
      <c r="AN2057" s="336">
        <f t="shared" si="452"/>
        <v>0</v>
      </c>
    </row>
    <row r="2058" spans="1:42" ht="22.5" x14ac:dyDescent="0.25">
      <c r="A2058" s="310">
        <v>23401</v>
      </c>
      <c r="B2058" s="551" t="s">
        <v>536</v>
      </c>
      <c r="C2058" s="311"/>
      <c r="D2058" s="902"/>
      <c r="E2058" s="312"/>
      <c r="F2058" s="313"/>
      <c r="G2058" s="313"/>
      <c r="H2058" s="313"/>
      <c r="I2058" s="729"/>
      <c r="J2058" s="792"/>
      <c r="K2058" s="131">
        <f t="shared" si="451"/>
        <v>0</v>
      </c>
      <c r="L2058" s="335">
        <f t="shared" si="454"/>
        <v>0</v>
      </c>
      <c r="M2058" s="421"/>
      <c r="N2058" s="421"/>
      <c r="O2058" s="421"/>
      <c r="P2058" s="421"/>
      <c r="Q2058" s="387">
        <f t="shared" si="459"/>
        <v>0</v>
      </c>
      <c r="R2058" s="314">
        <f t="shared" si="460"/>
        <v>0</v>
      </c>
      <c r="S2058" s="387"/>
      <c r="T2058" s="387"/>
      <c r="U2058" s="387">
        <f t="shared" si="461"/>
        <v>0</v>
      </c>
      <c r="V2058" s="314">
        <f t="shared" si="462"/>
        <v>0</v>
      </c>
      <c r="W2058" s="387"/>
      <c r="X2058" s="387"/>
      <c r="Y2058" s="387"/>
      <c r="Z2058" s="387"/>
      <c r="AA2058" s="387">
        <f t="shared" si="458"/>
        <v>0</v>
      </c>
      <c r="AB2058" s="314">
        <f t="shared" si="449"/>
        <v>0</v>
      </c>
      <c r="AC2058" s="387"/>
      <c r="AD2058" s="387"/>
      <c r="AE2058" s="387">
        <f t="shared" si="458"/>
        <v>0</v>
      </c>
      <c r="AF2058" s="314">
        <f t="shared" si="450"/>
        <v>0</v>
      </c>
      <c r="AG2058" s="387"/>
      <c r="AH2058" s="387"/>
      <c r="AI2058" s="387"/>
      <c r="AJ2058" s="387"/>
      <c r="AK2058" s="314">
        <f t="shared" si="455"/>
        <v>0</v>
      </c>
      <c r="AL2058" s="446">
        <f t="shared" si="456"/>
        <v>0</v>
      </c>
      <c r="AM2058" s="110">
        <f t="shared" si="457"/>
        <v>0</v>
      </c>
      <c r="AN2058" s="447">
        <f t="shared" si="452"/>
        <v>0</v>
      </c>
      <c r="AO2058" s="108"/>
      <c r="AP2058"/>
    </row>
    <row r="2059" spans="1:42" s="108" customFormat="1" x14ac:dyDescent="0.25">
      <c r="A2059" s="1029"/>
      <c r="B2059" s="518"/>
      <c r="C2059" s="1024"/>
      <c r="D2059" s="869"/>
      <c r="E2059" s="1027"/>
      <c r="F2059" s="272"/>
      <c r="G2059" s="272"/>
      <c r="H2059" s="272"/>
      <c r="I2059" s="722"/>
      <c r="J2059" s="756"/>
      <c r="K2059" s="131">
        <f t="shared" si="451"/>
        <v>0</v>
      </c>
      <c r="L2059" s="335">
        <f t="shared" si="454"/>
        <v>0</v>
      </c>
      <c r="M2059" s="335"/>
      <c r="N2059" s="335"/>
      <c r="O2059" s="335"/>
      <c r="P2059" s="335"/>
      <c r="Q2059" s="130">
        <f t="shared" si="459"/>
        <v>0</v>
      </c>
      <c r="R2059" s="131">
        <f t="shared" si="460"/>
        <v>0</v>
      </c>
      <c r="S2059" s="130"/>
      <c r="T2059" s="130"/>
      <c r="U2059" s="130">
        <f t="shared" si="461"/>
        <v>0</v>
      </c>
      <c r="V2059" s="131">
        <f t="shared" si="462"/>
        <v>0</v>
      </c>
      <c r="W2059" s="130"/>
      <c r="X2059" s="130"/>
      <c r="Y2059" s="130"/>
      <c r="Z2059" s="130"/>
      <c r="AA2059" s="130">
        <f t="shared" si="458"/>
        <v>0</v>
      </c>
      <c r="AB2059" s="131">
        <f t="shared" si="449"/>
        <v>0</v>
      </c>
      <c r="AC2059" s="130"/>
      <c r="AD2059" s="130"/>
      <c r="AE2059" s="130">
        <f t="shared" si="458"/>
        <v>0</v>
      </c>
      <c r="AF2059" s="131">
        <f t="shared" si="450"/>
        <v>0</v>
      </c>
      <c r="AG2059" s="130"/>
      <c r="AH2059" s="130"/>
      <c r="AI2059" s="130"/>
      <c r="AJ2059" s="130"/>
      <c r="AK2059" s="131">
        <f t="shared" si="455"/>
        <v>0</v>
      </c>
      <c r="AL2059" s="335">
        <f t="shared" si="456"/>
        <v>0</v>
      </c>
      <c r="AM2059" s="130">
        <f t="shared" si="457"/>
        <v>0</v>
      </c>
      <c r="AN2059" s="336">
        <f t="shared" si="452"/>
        <v>0</v>
      </c>
    </row>
    <row r="2060" spans="1:42" ht="22.5" x14ac:dyDescent="0.25">
      <c r="A2060" s="1021">
        <v>235</v>
      </c>
      <c r="B2060" s="582" t="s">
        <v>537</v>
      </c>
      <c r="C2060" s="342"/>
      <c r="D2060" s="958"/>
      <c r="E2060" s="343"/>
      <c r="F2060" s="344"/>
      <c r="G2060" s="344"/>
      <c r="H2060" s="344"/>
      <c r="I2060" s="737"/>
      <c r="J2060" s="994"/>
      <c r="K2060" s="131">
        <f t="shared" si="451"/>
        <v>0</v>
      </c>
      <c r="L2060" s="335">
        <f t="shared" si="454"/>
        <v>0</v>
      </c>
      <c r="M2060" s="414"/>
      <c r="N2060" s="414"/>
      <c r="O2060" s="414"/>
      <c r="P2060" s="414"/>
      <c r="Q2060" s="413">
        <f t="shared" si="459"/>
        <v>0</v>
      </c>
      <c r="R2060" s="345">
        <f t="shared" si="460"/>
        <v>0</v>
      </c>
      <c r="S2060" s="413"/>
      <c r="T2060" s="413"/>
      <c r="U2060" s="413">
        <f t="shared" si="461"/>
        <v>0</v>
      </c>
      <c r="V2060" s="345">
        <f t="shared" si="462"/>
        <v>0</v>
      </c>
      <c r="W2060" s="413"/>
      <c r="X2060" s="413"/>
      <c r="Y2060" s="413"/>
      <c r="Z2060" s="413"/>
      <c r="AA2060" s="413">
        <f t="shared" si="458"/>
        <v>0</v>
      </c>
      <c r="AB2060" s="345">
        <f t="shared" si="449"/>
        <v>0</v>
      </c>
      <c r="AC2060" s="413"/>
      <c r="AD2060" s="413"/>
      <c r="AE2060" s="413">
        <f t="shared" si="458"/>
        <v>0</v>
      </c>
      <c r="AF2060" s="345">
        <f t="shared" si="450"/>
        <v>0</v>
      </c>
      <c r="AG2060" s="413"/>
      <c r="AH2060" s="413"/>
      <c r="AI2060" s="413"/>
      <c r="AJ2060" s="413"/>
      <c r="AK2060" s="345">
        <f t="shared" si="455"/>
        <v>0</v>
      </c>
      <c r="AL2060" s="446">
        <f t="shared" si="456"/>
        <v>0</v>
      </c>
      <c r="AM2060" s="110">
        <f t="shared" si="457"/>
        <v>0</v>
      </c>
      <c r="AN2060" s="447">
        <f t="shared" si="452"/>
        <v>0</v>
      </c>
      <c r="AO2060" s="108"/>
      <c r="AP2060"/>
    </row>
    <row r="2061" spans="1:42" ht="22.5" x14ac:dyDescent="0.25">
      <c r="A2061" s="310">
        <v>23501</v>
      </c>
      <c r="B2061" s="551" t="s">
        <v>538</v>
      </c>
      <c r="C2061" s="311"/>
      <c r="D2061" s="902"/>
      <c r="E2061" s="312"/>
      <c r="F2061" s="313"/>
      <c r="G2061" s="313"/>
      <c r="H2061" s="313"/>
      <c r="I2061" s="729"/>
      <c r="J2061" s="792"/>
      <c r="K2061" s="131">
        <f t="shared" si="451"/>
        <v>0</v>
      </c>
      <c r="L2061" s="335">
        <f t="shared" si="454"/>
        <v>0</v>
      </c>
      <c r="M2061" s="421"/>
      <c r="N2061" s="421"/>
      <c r="O2061" s="421"/>
      <c r="P2061" s="421"/>
      <c r="Q2061" s="387">
        <f t="shared" si="459"/>
        <v>0</v>
      </c>
      <c r="R2061" s="314">
        <f t="shared" si="460"/>
        <v>0</v>
      </c>
      <c r="S2061" s="387"/>
      <c r="T2061" s="387"/>
      <c r="U2061" s="387">
        <f t="shared" si="461"/>
        <v>0</v>
      </c>
      <c r="V2061" s="314">
        <f t="shared" si="462"/>
        <v>0</v>
      </c>
      <c r="W2061" s="387"/>
      <c r="X2061" s="387"/>
      <c r="Y2061" s="387"/>
      <c r="Z2061" s="387"/>
      <c r="AA2061" s="387">
        <f t="shared" si="458"/>
        <v>0</v>
      </c>
      <c r="AB2061" s="314">
        <f t="shared" si="449"/>
        <v>0</v>
      </c>
      <c r="AC2061" s="387"/>
      <c r="AD2061" s="387"/>
      <c r="AE2061" s="387">
        <f t="shared" si="458"/>
        <v>0</v>
      </c>
      <c r="AF2061" s="314">
        <f t="shared" si="450"/>
        <v>0</v>
      </c>
      <c r="AG2061" s="387"/>
      <c r="AH2061" s="387"/>
      <c r="AI2061" s="387"/>
      <c r="AJ2061" s="387"/>
      <c r="AK2061" s="314">
        <f t="shared" si="455"/>
        <v>0</v>
      </c>
      <c r="AL2061" s="446">
        <f t="shared" si="456"/>
        <v>0</v>
      </c>
      <c r="AM2061" s="110">
        <f t="shared" si="457"/>
        <v>0</v>
      </c>
      <c r="AN2061" s="447">
        <f t="shared" si="452"/>
        <v>0</v>
      </c>
      <c r="AO2061" s="108"/>
      <c r="AP2061"/>
    </row>
    <row r="2062" spans="1:42" s="108" customFormat="1" x14ac:dyDescent="0.25">
      <c r="A2062" s="1029"/>
      <c r="B2062" s="518"/>
      <c r="C2062" s="1024"/>
      <c r="D2062" s="869"/>
      <c r="E2062" s="1027"/>
      <c r="F2062" s="272"/>
      <c r="G2062" s="272"/>
      <c r="H2062" s="272"/>
      <c r="I2062" s="722"/>
      <c r="J2062" s="756"/>
      <c r="K2062" s="131">
        <f t="shared" si="451"/>
        <v>0</v>
      </c>
      <c r="L2062" s="335">
        <f t="shared" si="454"/>
        <v>0</v>
      </c>
      <c r="M2062" s="335"/>
      <c r="N2062" s="335"/>
      <c r="O2062" s="335"/>
      <c r="P2062" s="335"/>
      <c r="Q2062" s="130">
        <f t="shared" si="459"/>
        <v>0</v>
      </c>
      <c r="R2062" s="131">
        <f t="shared" si="460"/>
        <v>0</v>
      </c>
      <c r="S2062" s="130"/>
      <c r="T2062" s="130"/>
      <c r="U2062" s="130">
        <f t="shared" si="461"/>
        <v>0</v>
      </c>
      <c r="V2062" s="131">
        <f t="shared" si="462"/>
        <v>0</v>
      </c>
      <c r="W2062" s="130"/>
      <c r="X2062" s="130"/>
      <c r="Y2062" s="130"/>
      <c r="Z2062" s="130"/>
      <c r="AA2062" s="130">
        <f t="shared" si="458"/>
        <v>0</v>
      </c>
      <c r="AB2062" s="131">
        <f t="shared" si="449"/>
        <v>0</v>
      </c>
      <c r="AC2062" s="130"/>
      <c r="AD2062" s="130"/>
      <c r="AE2062" s="130">
        <f t="shared" si="458"/>
        <v>0</v>
      </c>
      <c r="AF2062" s="131">
        <f t="shared" si="450"/>
        <v>0</v>
      </c>
      <c r="AG2062" s="130"/>
      <c r="AH2062" s="130"/>
      <c r="AI2062" s="130"/>
      <c r="AJ2062" s="130"/>
      <c r="AK2062" s="131">
        <f t="shared" si="455"/>
        <v>0</v>
      </c>
      <c r="AL2062" s="335">
        <f t="shared" si="456"/>
        <v>0</v>
      </c>
      <c r="AM2062" s="130">
        <f t="shared" si="457"/>
        <v>0</v>
      </c>
      <c r="AN2062" s="336">
        <f t="shared" si="452"/>
        <v>0</v>
      </c>
    </row>
    <row r="2063" spans="1:42" ht="22.5" x14ac:dyDescent="0.25">
      <c r="A2063" s="1021">
        <v>236</v>
      </c>
      <c r="B2063" s="582" t="s">
        <v>539</v>
      </c>
      <c r="C2063" s="342"/>
      <c r="D2063" s="958"/>
      <c r="E2063" s="343"/>
      <c r="F2063" s="344"/>
      <c r="G2063" s="344"/>
      <c r="H2063" s="344"/>
      <c r="I2063" s="737"/>
      <c r="J2063" s="994"/>
      <c r="K2063" s="131">
        <f t="shared" si="451"/>
        <v>0</v>
      </c>
      <c r="L2063" s="335">
        <f t="shared" si="454"/>
        <v>0</v>
      </c>
      <c r="M2063" s="414"/>
      <c r="N2063" s="414"/>
      <c r="O2063" s="414"/>
      <c r="P2063" s="414"/>
      <c r="Q2063" s="413">
        <f t="shared" si="459"/>
        <v>0</v>
      </c>
      <c r="R2063" s="345">
        <f t="shared" si="460"/>
        <v>0</v>
      </c>
      <c r="S2063" s="413"/>
      <c r="T2063" s="413"/>
      <c r="U2063" s="413">
        <f t="shared" si="461"/>
        <v>0</v>
      </c>
      <c r="V2063" s="345">
        <f t="shared" si="462"/>
        <v>0</v>
      </c>
      <c r="W2063" s="413"/>
      <c r="X2063" s="413"/>
      <c r="Y2063" s="413"/>
      <c r="Z2063" s="413"/>
      <c r="AA2063" s="413">
        <f t="shared" si="458"/>
        <v>0</v>
      </c>
      <c r="AB2063" s="345">
        <f t="shared" ref="AB2063:AB2117" si="463">+J2063/4</f>
        <v>0</v>
      </c>
      <c r="AC2063" s="413"/>
      <c r="AD2063" s="413"/>
      <c r="AE2063" s="413">
        <f t="shared" si="458"/>
        <v>0</v>
      </c>
      <c r="AF2063" s="345">
        <f t="shared" ref="AF2063:AF2117" si="464">+J2063/4</f>
        <v>0</v>
      </c>
      <c r="AG2063" s="413"/>
      <c r="AH2063" s="413"/>
      <c r="AI2063" s="413"/>
      <c r="AJ2063" s="413"/>
      <c r="AK2063" s="345">
        <f t="shared" si="455"/>
        <v>0</v>
      </c>
      <c r="AL2063" s="446">
        <f t="shared" si="456"/>
        <v>0</v>
      </c>
      <c r="AM2063" s="110">
        <f t="shared" si="457"/>
        <v>0</v>
      </c>
      <c r="AN2063" s="447">
        <f t="shared" si="452"/>
        <v>0</v>
      </c>
      <c r="AO2063" s="108"/>
      <c r="AP2063"/>
    </row>
    <row r="2064" spans="1:42" ht="22.5" x14ac:dyDescent="0.25">
      <c r="A2064" s="310">
        <v>23601</v>
      </c>
      <c r="B2064" s="551" t="s">
        <v>540</v>
      </c>
      <c r="C2064" s="311"/>
      <c r="D2064" s="902"/>
      <c r="E2064" s="312"/>
      <c r="F2064" s="313"/>
      <c r="G2064" s="313"/>
      <c r="H2064" s="313"/>
      <c r="I2064" s="729"/>
      <c r="J2064" s="792"/>
      <c r="K2064" s="131">
        <f t="shared" si="451"/>
        <v>0</v>
      </c>
      <c r="L2064" s="335">
        <f t="shared" si="454"/>
        <v>0</v>
      </c>
      <c r="M2064" s="421"/>
      <c r="N2064" s="421"/>
      <c r="O2064" s="421"/>
      <c r="P2064" s="421"/>
      <c r="Q2064" s="387">
        <f t="shared" si="459"/>
        <v>0</v>
      </c>
      <c r="R2064" s="314">
        <f t="shared" si="460"/>
        <v>0</v>
      </c>
      <c r="S2064" s="387"/>
      <c r="T2064" s="387"/>
      <c r="U2064" s="387">
        <f t="shared" si="461"/>
        <v>0</v>
      </c>
      <c r="V2064" s="314">
        <f t="shared" si="462"/>
        <v>0</v>
      </c>
      <c r="W2064" s="387"/>
      <c r="X2064" s="387"/>
      <c r="Y2064" s="387"/>
      <c r="Z2064" s="387"/>
      <c r="AA2064" s="387">
        <f t="shared" si="458"/>
        <v>0</v>
      </c>
      <c r="AB2064" s="314">
        <f t="shared" si="463"/>
        <v>0</v>
      </c>
      <c r="AC2064" s="387"/>
      <c r="AD2064" s="387"/>
      <c r="AE2064" s="387">
        <f t="shared" si="458"/>
        <v>0</v>
      </c>
      <c r="AF2064" s="314">
        <f t="shared" si="464"/>
        <v>0</v>
      </c>
      <c r="AG2064" s="387"/>
      <c r="AH2064" s="387"/>
      <c r="AI2064" s="387"/>
      <c r="AJ2064" s="387"/>
      <c r="AK2064" s="314">
        <f t="shared" si="455"/>
        <v>0</v>
      </c>
      <c r="AL2064" s="446">
        <f t="shared" si="456"/>
        <v>0</v>
      </c>
      <c r="AM2064" s="110">
        <f t="shared" si="457"/>
        <v>0</v>
      </c>
      <c r="AN2064" s="447">
        <f t="shared" si="452"/>
        <v>0</v>
      </c>
      <c r="AO2064" s="108"/>
      <c r="AP2064"/>
    </row>
    <row r="2065" spans="1:42" s="108" customFormat="1" x14ac:dyDescent="0.25">
      <c r="A2065" s="9"/>
      <c r="B2065" s="518"/>
      <c r="C2065" s="1024"/>
      <c r="D2065" s="869"/>
      <c r="E2065" s="1027"/>
      <c r="F2065" s="272"/>
      <c r="G2065" s="272"/>
      <c r="H2065" s="272"/>
      <c r="I2065" s="722"/>
      <c r="J2065" s="756"/>
      <c r="K2065" s="131">
        <f t="shared" si="451"/>
        <v>0</v>
      </c>
      <c r="L2065" s="335">
        <f t="shared" si="454"/>
        <v>0</v>
      </c>
      <c r="M2065" s="335"/>
      <c r="N2065" s="335"/>
      <c r="O2065" s="335"/>
      <c r="P2065" s="335"/>
      <c r="Q2065" s="130">
        <f t="shared" si="459"/>
        <v>0</v>
      </c>
      <c r="R2065" s="131">
        <f t="shared" si="460"/>
        <v>0</v>
      </c>
      <c r="S2065" s="130"/>
      <c r="T2065" s="130"/>
      <c r="U2065" s="130">
        <f t="shared" si="461"/>
        <v>0</v>
      </c>
      <c r="V2065" s="131">
        <f t="shared" si="462"/>
        <v>0</v>
      </c>
      <c r="W2065" s="130"/>
      <c r="X2065" s="130"/>
      <c r="Y2065" s="130"/>
      <c r="Z2065" s="130"/>
      <c r="AA2065" s="130">
        <f t="shared" si="458"/>
        <v>0</v>
      </c>
      <c r="AB2065" s="131">
        <f t="shared" si="463"/>
        <v>0</v>
      </c>
      <c r="AC2065" s="130"/>
      <c r="AD2065" s="130"/>
      <c r="AE2065" s="130">
        <f t="shared" si="458"/>
        <v>0</v>
      </c>
      <c r="AF2065" s="131">
        <f t="shared" si="464"/>
        <v>0</v>
      </c>
      <c r="AG2065" s="130"/>
      <c r="AH2065" s="130"/>
      <c r="AI2065" s="130"/>
      <c r="AJ2065" s="130"/>
      <c r="AK2065" s="131">
        <f t="shared" si="455"/>
        <v>0</v>
      </c>
      <c r="AL2065" s="335">
        <f t="shared" si="456"/>
        <v>0</v>
      </c>
      <c r="AM2065" s="130">
        <f t="shared" si="457"/>
        <v>0</v>
      </c>
      <c r="AN2065" s="336">
        <f t="shared" si="452"/>
        <v>0</v>
      </c>
    </row>
    <row r="2066" spans="1:42" ht="22.5" x14ac:dyDescent="0.25">
      <c r="A2066" s="1021">
        <v>237</v>
      </c>
      <c r="B2066" s="582" t="s">
        <v>541</v>
      </c>
      <c r="C2066" s="342"/>
      <c r="D2066" s="958"/>
      <c r="E2066" s="343"/>
      <c r="F2066" s="344"/>
      <c r="G2066" s="344"/>
      <c r="H2066" s="344"/>
      <c r="I2066" s="737"/>
      <c r="J2066" s="994"/>
      <c r="K2066" s="131">
        <f t="shared" si="451"/>
        <v>0</v>
      </c>
      <c r="L2066" s="335">
        <f t="shared" si="454"/>
        <v>0</v>
      </c>
      <c r="M2066" s="414"/>
      <c r="N2066" s="414"/>
      <c r="O2066" s="414"/>
      <c r="P2066" s="414"/>
      <c r="Q2066" s="413">
        <f t="shared" si="459"/>
        <v>0</v>
      </c>
      <c r="R2066" s="345">
        <f t="shared" si="460"/>
        <v>0</v>
      </c>
      <c r="S2066" s="413"/>
      <c r="T2066" s="413"/>
      <c r="U2066" s="413">
        <f t="shared" si="461"/>
        <v>0</v>
      </c>
      <c r="V2066" s="345">
        <f t="shared" si="462"/>
        <v>0</v>
      </c>
      <c r="W2066" s="413"/>
      <c r="X2066" s="413"/>
      <c r="Y2066" s="413"/>
      <c r="Z2066" s="413"/>
      <c r="AA2066" s="413">
        <f t="shared" si="458"/>
        <v>0</v>
      </c>
      <c r="AB2066" s="345">
        <f t="shared" si="463"/>
        <v>0</v>
      </c>
      <c r="AC2066" s="413"/>
      <c r="AD2066" s="413"/>
      <c r="AE2066" s="413">
        <f t="shared" si="458"/>
        <v>0</v>
      </c>
      <c r="AF2066" s="345">
        <f t="shared" si="464"/>
        <v>0</v>
      </c>
      <c r="AG2066" s="413"/>
      <c r="AH2066" s="413"/>
      <c r="AI2066" s="413"/>
      <c r="AJ2066" s="413"/>
      <c r="AK2066" s="345">
        <f t="shared" si="455"/>
        <v>0</v>
      </c>
      <c r="AL2066" s="446">
        <f t="shared" si="456"/>
        <v>0</v>
      </c>
      <c r="AM2066" s="110">
        <f t="shared" si="457"/>
        <v>0</v>
      </c>
      <c r="AN2066" s="447">
        <f t="shared" si="452"/>
        <v>0</v>
      </c>
      <c r="AO2066" s="108"/>
      <c r="AP2066"/>
    </row>
    <row r="2067" spans="1:42" ht="22.5" x14ac:dyDescent="0.25">
      <c r="A2067" s="310">
        <v>23701</v>
      </c>
      <c r="B2067" s="551" t="s">
        <v>542</v>
      </c>
      <c r="C2067" s="311"/>
      <c r="D2067" s="902"/>
      <c r="E2067" s="312"/>
      <c r="F2067" s="313"/>
      <c r="G2067" s="313"/>
      <c r="H2067" s="313"/>
      <c r="I2067" s="729"/>
      <c r="J2067" s="792"/>
      <c r="K2067" s="131">
        <f t="shared" si="451"/>
        <v>0</v>
      </c>
      <c r="L2067" s="335">
        <f t="shared" si="454"/>
        <v>0</v>
      </c>
      <c r="M2067" s="421"/>
      <c r="N2067" s="421"/>
      <c r="O2067" s="421"/>
      <c r="P2067" s="421"/>
      <c r="Q2067" s="387">
        <f t="shared" si="459"/>
        <v>0</v>
      </c>
      <c r="R2067" s="314">
        <f t="shared" si="460"/>
        <v>0</v>
      </c>
      <c r="S2067" s="387"/>
      <c r="T2067" s="387"/>
      <c r="U2067" s="387">
        <f t="shared" si="461"/>
        <v>0</v>
      </c>
      <c r="V2067" s="314">
        <f t="shared" si="462"/>
        <v>0</v>
      </c>
      <c r="W2067" s="387"/>
      <c r="X2067" s="387"/>
      <c r="Y2067" s="387"/>
      <c r="Z2067" s="387"/>
      <c r="AA2067" s="387">
        <f t="shared" si="458"/>
        <v>0</v>
      </c>
      <c r="AB2067" s="314">
        <f t="shared" si="463"/>
        <v>0</v>
      </c>
      <c r="AC2067" s="387"/>
      <c r="AD2067" s="387"/>
      <c r="AE2067" s="387">
        <f t="shared" si="458"/>
        <v>0</v>
      </c>
      <c r="AF2067" s="314">
        <f t="shared" si="464"/>
        <v>0</v>
      </c>
      <c r="AG2067" s="387"/>
      <c r="AH2067" s="387"/>
      <c r="AI2067" s="387"/>
      <c r="AJ2067" s="387"/>
      <c r="AK2067" s="314">
        <f t="shared" si="455"/>
        <v>0</v>
      </c>
      <c r="AL2067" s="446">
        <f t="shared" si="456"/>
        <v>0</v>
      </c>
      <c r="AM2067" s="110">
        <f t="shared" si="457"/>
        <v>0</v>
      </c>
      <c r="AN2067" s="447">
        <f t="shared" si="452"/>
        <v>0</v>
      </c>
      <c r="AO2067" s="108"/>
      <c r="AP2067"/>
    </row>
    <row r="2068" spans="1:42" s="108" customFormat="1" x14ac:dyDescent="0.25">
      <c r="A2068" s="1029"/>
      <c r="B2068" s="518"/>
      <c r="C2068" s="1024"/>
      <c r="D2068" s="869"/>
      <c r="E2068" s="1027"/>
      <c r="F2068" s="272"/>
      <c r="G2068" s="272"/>
      <c r="H2068" s="272"/>
      <c r="I2068" s="722"/>
      <c r="J2068" s="756"/>
      <c r="K2068" s="131">
        <f t="shared" si="451"/>
        <v>0</v>
      </c>
      <c r="L2068" s="335">
        <f t="shared" si="454"/>
        <v>0</v>
      </c>
      <c r="M2068" s="335"/>
      <c r="N2068" s="335"/>
      <c r="O2068" s="335"/>
      <c r="P2068" s="335"/>
      <c r="Q2068" s="130">
        <f t="shared" si="459"/>
        <v>0</v>
      </c>
      <c r="R2068" s="131">
        <f t="shared" si="460"/>
        <v>0</v>
      </c>
      <c r="S2068" s="130"/>
      <c r="T2068" s="130"/>
      <c r="U2068" s="130">
        <f t="shared" si="461"/>
        <v>0</v>
      </c>
      <c r="V2068" s="131">
        <f t="shared" si="462"/>
        <v>0</v>
      </c>
      <c r="W2068" s="130"/>
      <c r="X2068" s="130"/>
      <c r="Y2068" s="130"/>
      <c r="Z2068" s="130"/>
      <c r="AA2068" s="130">
        <f t="shared" si="458"/>
        <v>0</v>
      </c>
      <c r="AB2068" s="131">
        <f t="shared" si="463"/>
        <v>0</v>
      </c>
      <c r="AC2068" s="130"/>
      <c r="AD2068" s="130"/>
      <c r="AE2068" s="130">
        <f t="shared" si="458"/>
        <v>0</v>
      </c>
      <c r="AF2068" s="131">
        <f t="shared" si="464"/>
        <v>0</v>
      </c>
      <c r="AG2068" s="130"/>
      <c r="AH2068" s="130"/>
      <c r="AI2068" s="130"/>
      <c r="AJ2068" s="130"/>
      <c r="AK2068" s="131">
        <f t="shared" si="455"/>
        <v>0</v>
      </c>
      <c r="AL2068" s="335">
        <f t="shared" si="456"/>
        <v>0</v>
      </c>
      <c r="AM2068" s="130">
        <f t="shared" si="457"/>
        <v>0</v>
      </c>
      <c r="AN2068" s="336">
        <f t="shared" si="452"/>
        <v>0</v>
      </c>
    </row>
    <row r="2069" spans="1:42" ht="22.5" x14ac:dyDescent="0.25">
      <c r="A2069" s="310">
        <v>23702</v>
      </c>
      <c r="B2069" s="551" t="s">
        <v>543</v>
      </c>
      <c r="C2069" s="311"/>
      <c r="D2069" s="902"/>
      <c r="E2069" s="312"/>
      <c r="F2069" s="313"/>
      <c r="G2069" s="313"/>
      <c r="H2069" s="313"/>
      <c r="I2069" s="729"/>
      <c r="J2069" s="792"/>
      <c r="K2069" s="131">
        <f t="shared" si="451"/>
        <v>0</v>
      </c>
      <c r="L2069" s="335">
        <f t="shared" si="454"/>
        <v>0</v>
      </c>
      <c r="M2069" s="421"/>
      <c r="N2069" s="421"/>
      <c r="O2069" s="421"/>
      <c r="P2069" s="421"/>
      <c r="Q2069" s="387">
        <f t="shared" si="459"/>
        <v>0</v>
      </c>
      <c r="R2069" s="314">
        <f t="shared" si="460"/>
        <v>0</v>
      </c>
      <c r="S2069" s="387"/>
      <c r="T2069" s="387"/>
      <c r="U2069" s="387">
        <f t="shared" si="461"/>
        <v>0</v>
      </c>
      <c r="V2069" s="314">
        <f t="shared" si="462"/>
        <v>0</v>
      </c>
      <c r="W2069" s="387"/>
      <c r="X2069" s="387"/>
      <c r="Y2069" s="387"/>
      <c r="Z2069" s="387"/>
      <c r="AA2069" s="387">
        <f t="shared" si="458"/>
        <v>0</v>
      </c>
      <c r="AB2069" s="314">
        <f t="shared" si="463"/>
        <v>0</v>
      </c>
      <c r="AC2069" s="387"/>
      <c r="AD2069" s="387"/>
      <c r="AE2069" s="387">
        <f t="shared" si="458"/>
        <v>0</v>
      </c>
      <c r="AF2069" s="314">
        <f t="shared" si="464"/>
        <v>0</v>
      </c>
      <c r="AG2069" s="387"/>
      <c r="AH2069" s="387"/>
      <c r="AI2069" s="387"/>
      <c r="AJ2069" s="387"/>
      <c r="AK2069" s="314">
        <f t="shared" si="455"/>
        <v>0</v>
      </c>
      <c r="AL2069" s="446">
        <f t="shared" si="456"/>
        <v>0</v>
      </c>
      <c r="AM2069" s="110">
        <f t="shared" si="457"/>
        <v>0</v>
      </c>
      <c r="AN2069" s="447">
        <f t="shared" si="452"/>
        <v>0</v>
      </c>
      <c r="AO2069" s="108"/>
      <c r="AP2069"/>
    </row>
    <row r="2070" spans="1:42" s="108" customFormat="1" x14ac:dyDescent="0.25">
      <c r="A2070" s="9"/>
      <c r="B2070" s="518"/>
      <c r="C2070" s="1024"/>
      <c r="D2070" s="869"/>
      <c r="E2070" s="1027"/>
      <c r="F2070" s="272"/>
      <c r="G2070" s="272"/>
      <c r="H2070" s="272"/>
      <c r="I2070" s="722"/>
      <c r="J2070" s="756"/>
      <c r="K2070" s="131">
        <f t="shared" si="451"/>
        <v>0</v>
      </c>
      <c r="L2070" s="335">
        <f t="shared" si="454"/>
        <v>0</v>
      </c>
      <c r="M2070" s="335"/>
      <c r="N2070" s="335"/>
      <c r="O2070" s="335"/>
      <c r="P2070" s="335"/>
      <c r="Q2070" s="130">
        <f t="shared" si="459"/>
        <v>0</v>
      </c>
      <c r="R2070" s="131">
        <f t="shared" si="460"/>
        <v>0</v>
      </c>
      <c r="S2070" s="130"/>
      <c r="T2070" s="130"/>
      <c r="U2070" s="130">
        <f t="shared" si="461"/>
        <v>0</v>
      </c>
      <c r="V2070" s="131">
        <f t="shared" si="462"/>
        <v>0</v>
      </c>
      <c r="W2070" s="130"/>
      <c r="X2070" s="130"/>
      <c r="Y2070" s="130"/>
      <c r="Z2070" s="130"/>
      <c r="AA2070" s="130">
        <f t="shared" si="458"/>
        <v>0</v>
      </c>
      <c r="AB2070" s="131">
        <f t="shared" si="463"/>
        <v>0</v>
      </c>
      <c r="AC2070" s="130"/>
      <c r="AD2070" s="130"/>
      <c r="AE2070" s="130">
        <f t="shared" si="458"/>
        <v>0</v>
      </c>
      <c r="AF2070" s="131">
        <f t="shared" si="464"/>
        <v>0</v>
      </c>
      <c r="AG2070" s="130"/>
      <c r="AH2070" s="130"/>
      <c r="AI2070" s="130"/>
      <c r="AJ2070" s="130"/>
      <c r="AK2070" s="131">
        <f t="shared" si="455"/>
        <v>0</v>
      </c>
      <c r="AL2070" s="335">
        <f t="shared" si="456"/>
        <v>0</v>
      </c>
      <c r="AM2070" s="130">
        <f t="shared" si="457"/>
        <v>0</v>
      </c>
      <c r="AN2070" s="336">
        <f t="shared" si="452"/>
        <v>0</v>
      </c>
    </row>
    <row r="2071" spans="1:42" ht="33.75" x14ac:dyDescent="0.25">
      <c r="A2071" s="310">
        <v>23703</v>
      </c>
      <c r="B2071" s="551" t="s">
        <v>544</v>
      </c>
      <c r="C2071" s="311"/>
      <c r="D2071" s="902"/>
      <c r="E2071" s="312"/>
      <c r="F2071" s="313"/>
      <c r="G2071" s="313"/>
      <c r="H2071" s="313"/>
      <c r="I2071" s="729"/>
      <c r="J2071" s="792"/>
      <c r="K2071" s="131">
        <f t="shared" si="451"/>
        <v>0</v>
      </c>
      <c r="L2071" s="335">
        <f t="shared" si="454"/>
        <v>0</v>
      </c>
      <c r="M2071" s="421"/>
      <c r="N2071" s="421"/>
      <c r="O2071" s="421"/>
      <c r="P2071" s="421"/>
      <c r="Q2071" s="387">
        <f t="shared" si="459"/>
        <v>0</v>
      </c>
      <c r="R2071" s="314">
        <f t="shared" si="460"/>
        <v>0</v>
      </c>
      <c r="S2071" s="387"/>
      <c r="T2071" s="387"/>
      <c r="U2071" s="387">
        <f t="shared" si="461"/>
        <v>0</v>
      </c>
      <c r="V2071" s="314">
        <f t="shared" si="462"/>
        <v>0</v>
      </c>
      <c r="W2071" s="387"/>
      <c r="X2071" s="387"/>
      <c r="Y2071" s="387"/>
      <c r="Z2071" s="387"/>
      <c r="AA2071" s="387">
        <f t="shared" si="458"/>
        <v>0</v>
      </c>
      <c r="AB2071" s="314">
        <f t="shared" si="463"/>
        <v>0</v>
      </c>
      <c r="AC2071" s="387"/>
      <c r="AD2071" s="387"/>
      <c r="AE2071" s="387">
        <f t="shared" si="458"/>
        <v>0</v>
      </c>
      <c r="AF2071" s="314">
        <f t="shared" si="464"/>
        <v>0</v>
      </c>
      <c r="AG2071" s="387"/>
      <c r="AH2071" s="387"/>
      <c r="AI2071" s="387"/>
      <c r="AJ2071" s="387"/>
      <c r="AK2071" s="314">
        <f t="shared" si="455"/>
        <v>0</v>
      </c>
      <c r="AL2071" s="446">
        <f t="shared" si="456"/>
        <v>0</v>
      </c>
      <c r="AM2071" s="110">
        <f t="shared" si="457"/>
        <v>0</v>
      </c>
      <c r="AN2071" s="447">
        <f t="shared" si="452"/>
        <v>0</v>
      </c>
      <c r="AO2071" s="108"/>
      <c r="AP2071"/>
    </row>
    <row r="2072" spans="1:42" s="108" customFormat="1" x14ac:dyDescent="0.25">
      <c r="A2072" s="58"/>
      <c r="B2072" s="518"/>
      <c r="C2072" s="1024"/>
      <c r="D2072" s="869"/>
      <c r="E2072" s="1027"/>
      <c r="F2072" s="272"/>
      <c r="G2072" s="272"/>
      <c r="H2072" s="272"/>
      <c r="I2072" s="722"/>
      <c r="J2072" s="756"/>
      <c r="K2072" s="131">
        <f t="shared" si="451"/>
        <v>0</v>
      </c>
      <c r="L2072" s="335">
        <f t="shared" si="454"/>
        <v>0</v>
      </c>
      <c r="M2072" s="335"/>
      <c r="N2072" s="335"/>
      <c r="O2072" s="335"/>
      <c r="P2072" s="335"/>
      <c r="Q2072" s="130">
        <f t="shared" si="459"/>
        <v>0</v>
      </c>
      <c r="R2072" s="131">
        <f t="shared" si="460"/>
        <v>0</v>
      </c>
      <c r="S2072" s="130"/>
      <c r="T2072" s="130"/>
      <c r="U2072" s="130">
        <f t="shared" si="461"/>
        <v>0</v>
      </c>
      <c r="V2072" s="131">
        <f t="shared" si="462"/>
        <v>0</v>
      </c>
      <c r="W2072" s="130"/>
      <c r="X2072" s="130"/>
      <c r="Y2072" s="130"/>
      <c r="Z2072" s="130"/>
      <c r="AA2072" s="130">
        <f t="shared" si="458"/>
        <v>0</v>
      </c>
      <c r="AB2072" s="131">
        <f t="shared" si="463"/>
        <v>0</v>
      </c>
      <c r="AC2072" s="130"/>
      <c r="AD2072" s="130"/>
      <c r="AE2072" s="130">
        <f t="shared" si="458"/>
        <v>0</v>
      </c>
      <c r="AF2072" s="131">
        <f t="shared" si="464"/>
        <v>0</v>
      </c>
      <c r="AG2072" s="130"/>
      <c r="AH2072" s="130"/>
      <c r="AI2072" s="130"/>
      <c r="AJ2072" s="130"/>
      <c r="AK2072" s="131">
        <f t="shared" si="455"/>
        <v>0</v>
      </c>
      <c r="AL2072" s="335">
        <f t="shared" si="456"/>
        <v>0</v>
      </c>
      <c r="AM2072" s="130">
        <f t="shared" si="457"/>
        <v>0</v>
      </c>
      <c r="AN2072" s="336">
        <f t="shared" si="452"/>
        <v>0</v>
      </c>
    </row>
    <row r="2073" spans="1:42" x14ac:dyDescent="0.25">
      <c r="A2073" s="310">
        <v>23704</v>
      </c>
      <c r="B2073" s="551" t="s">
        <v>545</v>
      </c>
      <c r="C2073" s="311"/>
      <c r="D2073" s="902"/>
      <c r="E2073" s="312"/>
      <c r="F2073" s="313"/>
      <c r="G2073" s="313"/>
      <c r="H2073" s="313"/>
      <c r="I2073" s="729"/>
      <c r="J2073" s="792"/>
      <c r="K2073" s="131">
        <f t="shared" si="451"/>
        <v>0</v>
      </c>
      <c r="L2073" s="335">
        <f t="shared" si="454"/>
        <v>0</v>
      </c>
      <c r="M2073" s="421"/>
      <c r="N2073" s="421"/>
      <c r="O2073" s="421"/>
      <c r="P2073" s="421"/>
      <c r="Q2073" s="387">
        <f t="shared" si="459"/>
        <v>0</v>
      </c>
      <c r="R2073" s="314">
        <f t="shared" si="460"/>
        <v>0</v>
      </c>
      <c r="S2073" s="387"/>
      <c r="T2073" s="387"/>
      <c r="U2073" s="387">
        <f t="shared" si="461"/>
        <v>0</v>
      </c>
      <c r="V2073" s="314">
        <f t="shared" si="462"/>
        <v>0</v>
      </c>
      <c r="W2073" s="387"/>
      <c r="X2073" s="387"/>
      <c r="Y2073" s="387"/>
      <c r="Z2073" s="387"/>
      <c r="AA2073" s="387">
        <f t="shared" si="458"/>
        <v>0</v>
      </c>
      <c r="AB2073" s="314">
        <f t="shared" si="463"/>
        <v>0</v>
      </c>
      <c r="AC2073" s="387"/>
      <c r="AD2073" s="387"/>
      <c r="AE2073" s="387">
        <f t="shared" si="458"/>
        <v>0</v>
      </c>
      <c r="AF2073" s="314">
        <f t="shared" si="464"/>
        <v>0</v>
      </c>
      <c r="AG2073" s="387"/>
      <c r="AH2073" s="387"/>
      <c r="AI2073" s="387"/>
      <c r="AJ2073" s="387"/>
      <c r="AK2073" s="314">
        <f t="shared" si="455"/>
        <v>0</v>
      </c>
      <c r="AL2073" s="446">
        <f t="shared" si="456"/>
        <v>0</v>
      </c>
      <c r="AM2073" s="110">
        <f t="shared" si="457"/>
        <v>0</v>
      </c>
      <c r="AN2073" s="447">
        <f t="shared" si="452"/>
        <v>0</v>
      </c>
      <c r="AO2073" s="108"/>
      <c r="AP2073"/>
    </row>
    <row r="2074" spans="1:42" s="108" customFormat="1" x14ac:dyDescent="0.25">
      <c r="A2074" s="58"/>
      <c r="B2074" s="518"/>
      <c r="C2074" s="1024"/>
      <c r="D2074" s="869"/>
      <c r="E2074" s="1027"/>
      <c r="F2074" s="272"/>
      <c r="G2074" s="272"/>
      <c r="H2074" s="272"/>
      <c r="I2074" s="722"/>
      <c r="J2074" s="756"/>
      <c r="K2074" s="131">
        <f t="shared" ref="K2074:K2137" si="465">+D2074*I2074</f>
        <v>0</v>
      </c>
      <c r="L2074" s="335">
        <f t="shared" si="454"/>
        <v>0</v>
      </c>
      <c r="M2074" s="335"/>
      <c r="N2074" s="335"/>
      <c r="O2074" s="335"/>
      <c r="P2074" s="335"/>
      <c r="Q2074" s="130">
        <f t="shared" si="459"/>
        <v>0</v>
      </c>
      <c r="R2074" s="131">
        <f t="shared" si="460"/>
        <v>0</v>
      </c>
      <c r="S2074" s="130"/>
      <c r="T2074" s="130"/>
      <c r="U2074" s="130">
        <f t="shared" si="461"/>
        <v>0</v>
      </c>
      <c r="V2074" s="131">
        <f t="shared" si="462"/>
        <v>0</v>
      </c>
      <c r="W2074" s="130"/>
      <c r="X2074" s="130"/>
      <c r="Y2074" s="130"/>
      <c r="Z2074" s="130"/>
      <c r="AA2074" s="130">
        <f t="shared" si="458"/>
        <v>0</v>
      </c>
      <c r="AB2074" s="131">
        <f t="shared" si="463"/>
        <v>0</v>
      </c>
      <c r="AC2074" s="130"/>
      <c r="AD2074" s="130"/>
      <c r="AE2074" s="130">
        <f t="shared" si="458"/>
        <v>0</v>
      </c>
      <c r="AF2074" s="131">
        <f t="shared" si="464"/>
        <v>0</v>
      </c>
      <c r="AG2074" s="130"/>
      <c r="AH2074" s="130"/>
      <c r="AI2074" s="130"/>
      <c r="AJ2074" s="130"/>
      <c r="AK2074" s="131">
        <f t="shared" si="455"/>
        <v>0</v>
      </c>
      <c r="AL2074" s="335">
        <f t="shared" si="456"/>
        <v>0</v>
      </c>
      <c r="AM2074" s="130">
        <f t="shared" si="457"/>
        <v>0</v>
      </c>
      <c r="AN2074" s="336">
        <f t="shared" ref="AN2074:AN2137" si="466">+D2074-AM2074</f>
        <v>0</v>
      </c>
    </row>
    <row r="2075" spans="1:42" ht="22.5" x14ac:dyDescent="0.25">
      <c r="A2075" s="310">
        <v>23705</v>
      </c>
      <c r="B2075" s="551" t="s">
        <v>546</v>
      </c>
      <c r="C2075" s="311"/>
      <c r="D2075" s="902"/>
      <c r="E2075" s="312"/>
      <c r="F2075" s="313"/>
      <c r="G2075" s="313"/>
      <c r="H2075" s="313"/>
      <c r="I2075" s="729"/>
      <c r="J2075" s="792"/>
      <c r="K2075" s="131">
        <f t="shared" si="465"/>
        <v>0</v>
      </c>
      <c r="L2075" s="335">
        <f t="shared" si="454"/>
        <v>0</v>
      </c>
      <c r="M2075" s="421"/>
      <c r="N2075" s="421"/>
      <c r="O2075" s="421"/>
      <c r="P2075" s="421"/>
      <c r="Q2075" s="387">
        <f t="shared" si="459"/>
        <v>0</v>
      </c>
      <c r="R2075" s="314">
        <f t="shared" si="460"/>
        <v>0</v>
      </c>
      <c r="S2075" s="387"/>
      <c r="T2075" s="387"/>
      <c r="U2075" s="387">
        <f t="shared" si="461"/>
        <v>0</v>
      </c>
      <c r="V2075" s="314">
        <f t="shared" si="462"/>
        <v>0</v>
      </c>
      <c r="W2075" s="387"/>
      <c r="X2075" s="387"/>
      <c r="Y2075" s="387"/>
      <c r="Z2075" s="387"/>
      <c r="AA2075" s="387">
        <f t="shared" si="458"/>
        <v>0</v>
      </c>
      <c r="AB2075" s="314">
        <f t="shared" si="463"/>
        <v>0</v>
      </c>
      <c r="AC2075" s="387"/>
      <c r="AD2075" s="387"/>
      <c r="AE2075" s="387">
        <f t="shared" si="458"/>
        <v>0</v>
      </c>
      <c r="AF2075" s="314">
        <f t="shared" si="464"/>
        <v>0</v>
      </c>
      <c r="AG2075" s="387"/>
      <c r="AH2075" s="387"/>
      <c r="AI2075" s="387"/>
      <c r="AJ2075" s="387"/>
      <c r="AK2075" s="314">
        <f t="shared" si="455"/>
        <v>0</v>
      </c>
      <c r="AL2075" s="446">
        <f t="shared" si="456"/>
        <v>0</v>
      </c>
      <c r="AM2075" s="110">
        <f t="shared" si="457"/>
        <v>0</v>
      </c>
      <c r="AN2075" s="447">
        <f t="shared" si="466"/>
        <v>0</v>
      </c>
      <c r="AO2075" s="108"/>
      <c r="AP2075"/>
    </row>
    <row r="2076" spans="1:42" s="108" customFormat="1" x14ac:dyDescent="0.25">
      <c r="A2076" s="58"/>
      <c r="B2076" s="482"/>
      <c r="C2076" s="1024"/>
      <c r="D2076" s="869"/>
      <c r="E2076" s="1027"/>
      <c r="F2076" s="272"/>
      <c r="G2076" s="272"/>
      <c r="H2076" s="272"/>
      <c r="I2076" s="722"/>
      <c r="J2076" s="756"/>
      <c r="K2076" s="131">
        <f t="shared" si="465"/>
        <v>0</v>
      </c>
      <c r="L2076" s="335">
        <f t="shared" si="454"/>
        <v>0</v>
      </c>
      <c r="M2076" s="335"/>
      <c r="N2076" s="335"/>
      <c r="O2076" s="335"/>
      <c r="P2076" s="335"/>
      <c r="Q2076" s="130">
        <f t="shared" si="459"/>
        <v>0</v>
      </c>
      <c r="R2076" s="131">
        <f t="shared" si="460"/>
        <v>0</v>
      </c>
      <c r="S2076" s="130"/>
      <c r="T2076" s="130"/>
      <c r="U2076" s="130">
        <f t="shared" si="461"/>
        <v>0</v>
      </c>
      <c r="V2076" s="131">
        <f t="shared" si="462"/>
        <v>0</v>
      </c>
      <c r="W2076" s="130"/>
      <c r="X2076" s="130"/>
      <c r="Y2076" s="130"/>
      <c r="Z2076" s="130"/>
      <c r="AA2076" s="130">
        <f t="shared" si="458"/>
        <v>0</v>
      </c>
      <c r="AB2076" s="131">
        <f t="shared" si="463"/>
        <v>0</v>
      </c>
      <c r="AC2076" s="130"/>
      <c r="AD2076" s="130"/>
      <c r="AE2076" s="130">
        <f t="shared" si="458"/>
        <v>0</v>
      </c>
      <c r="AF2076" s="131">
        <f t="shared" si="464"/>
        <v>0</v>
      </c>
      <c r="AG2076" s="130"/>
      <c r="AH2076" s="130"/>
      <c r="AI2076" s="130"/>
      <c r="AJ2076" s="130"/>
      <c r="AK2076" s="131">
        <f t="shared" si="455"/>
        <v>0</v>
      </c>
      <c r="AL2076" s="335">
        <f t="shared" si="456"/>
        <v>0</v>
      </c>
      <c r="AM2076" s="130">
        <f t="shared" si="457"/>
        <v>0</v>
      </c>
      <c r="AN2076" s="336">
        <f t="shared" si="466"/>
        <v>0</v>
      </c>
    </row>
    <row r="2077" spans="1:42" x14ac:dyDescent="0.25">
      <c r="A2077" s="1021">
        <v>238</v>
      </c>
      <c r="B2077" s="582" t="s">
        <v>547</v>
      </c>
      <c r="C2077" s="342"/>
      <c r="D2077" s="958"/>
      <c r="E2077" s="343"/>
      <c r="F2077" s="344"/>
      <c r="G2077" s="344"/>
      <c r="H2077" s="344"/>
      <c r="I2077" s="737"/>
      <c r="J2077" s="994"/>
      <c r="K2077" s="131">
        <f t="shared" si="465"/>
        <v>0</v>
      </c>
      <c r="L2077" s="335">
        <f t="shared" si="454"/>
        <v>0</v>
      </c>
      <c r="M2077" s="414"/>
      <c r="N2077" s="414"/>
      <c r="O2077" s="414"/>
      <c r="P2077" s="414"/>
      <c r="Q2077" s="413">
        <f t="shared" si="459"/>
        <v>0</v>
      </c>
      <c r="R2077" s="345">
        <f t="shared" si="460"/>
        <v>0</v>
      </c>
      <c r="S2077" s="413"/>
      <c r="T2077" s="413"/>
      <c r="U2077" s="413">
        <f t="shared" si="461"/>
        <v>0</v>
      </c>
      <c r="V2077" s="345">
        <f t="shared" si="462"/>
        <v>0</v>
      </c>
      <c r="W2077" s="413"/>
      <c r="X2077" s="413"/>
      <c r="Y2077" s="413"/>
      <c r="Z2077" s="413"/>
      <c r="AA2077" s="413">
        <f t="shared" si="458"/>
        <v>0</v>
      </c>
      <c r="AB2077" s="345">
        <f t="shared" si="463"/>
        <v>0</v>
      </c>
      <c r="AC2077" s="413"/>
      <c r="AD2077" s="413"/>
      <c r="AE2077" s="413">
        <f t="shared" si="458"/>
        <v>0</v>
      </c>
      <c r="AF2077" s="345">
        <f t="shared" si="464"/>
        <v>0</v>
      </c>
      <c r="AG2077" s="413"/>
      <c r="AH2077" s="413"/>
      <c r="AI2077" s="413"/>
      <c r="AJ2077" s="413"/>
      <c r="AK2077" s="345">
        <f t="shared" si="455"/>
        <v>0</v>
      </c>
      <c r="AL2077" s="446">
        <f t="shared" si="456"/>
        <v>0</v>
      </c>
      <c r="AM2077" s="110">
        <f t="shared" si="457"/>
        <v>0</v>
      </c>
      <c r="AN2077" s="447">
        <f t="shared" si="466"/>
        <v>0</v>
      </c>
      <c r="AO2077" s="108"/>
      <c r="AP2077"/>
    </row>
    <row r="2078" spans="1:42" ht="22.5" x14ac:dyDescent="0.25">
      <c r="A2078" s="310">
        <v>23801</v>
      </c>
      <c r="B2078" s="551" t="s">
        <v>548</v>
      </c>
      <c r="C2078" s="311"/>
      <c r="D2078" s="902"/>
      <c r="E2078" s="312"/>
      <c r="F2078" s="313"/>
      <c r="G2078" s="313"/>
      <c r="H2078" s="313"/>
      <c r="I2078" s="729"/>
      <c r="J2078" s="792"/>
      <c r="K2078" s="131">
        <f t="shared" si="465"/>
        <v>0</v>
      </c>
      <c r="L2078" s="335">
        <f t="shared" si="454"/>
        <v>0</v>
      </c>
      <c r="M2078" s="421"/>
      <c r="N2078" s="421"/>
      <c r="O2078" s="421"/>
      <c r="P2078" s="421"/>
      <c r="Q2078" s="387">
        <f t="shared" si="459"/>
        <v>0</v>
      </c>
      <c r="R2078" s="314">
        <f t="shared" si="460"/>
        <v>0</v>
      </c>
      <c r="S2078" s="387"/>
      <c r="T2078" s="387"/>
      <c r="U2078" s="387">
        <f t="shared" si="461"/>
        <v>0</v>
      </c>
      <c r="V2078" s="314">
        <f t="shared" si="462"/>
        <v>0</v>
      </c>
      <c r="W2078" s="387"/>
      <c r="X2078" s="387"/>
      <c r="Y2078" s="387"/>
      <c r="Z2078" s="387"/>
      <c r="AA2078" s="387">
        <f t="shared" si="458"/>
        <v>0</v>
      </c>
      <c r="AB2078" s="314">
        <f t="shared" si="463"/>
        <v>0</v>
      </c>
      <c r="AC2078" s="387"/>
      <c r="AD2078" s="387"/>
      <c r="AE2078" s="387">
        <f t="shared" si="458"/>
        <v>0</v>
      </c>
      <c r="AF2078" s="314">
        <f t="shared" si="464"/>
        <v>0</v>
      </c>
      <c r="AG2078" s="387"/>
      <c r="AH2078" s="387"/>
      <c r="AI2078" s="387"/>
      <c r="AJ2078" s="387"/>
      <c r="AK2078" s="314">
        <f t="shared" si="455"/>
        <v>0</v>
      </c>
      <c r="AL2078" s="446">
        <f t="shared" si="456"/>
        <v>0</v>
      </c>
      <c r="AM2078" s="110">
        <f t="shared" si="457"/>
        <v>0</v>
      </c>
      <c r="AN2078" s="447">
        <f t="shared" si="466"/>
        <v>0</v>
      </c>
      <c r="AO2078" s="108"/>
      <c r="AP2078"/>
    </row>
    <row r="2079" spans="1:42" s="108" customFormat="1" x14ac:dyDescent="0.25">
      <c r="A2079" s="58"/>
      <c r="B2079" s="482"/>
      <c r="C2079" s="1024"/>
      <c r="D2079" s="869"/>
      <c r="E2079" s="1027"/>
      <c r="F2079" s="272"/>
      <c r="G2079" s="272"/>
      <c r="H2079" s="272"/>
      <c r="I2079" s="722"/>
      <c r="J2079" s="756"/>
      <c r="K2079" s="131">
        <f t="shared" si="465"/>
        <v>0</v>
      </c>
      <c r="L2079" s="335">
        <f t="shared" si="454"/>
        <v>0</v>
      </c>
      <c r="M2079" s="335"/>
      <c r="N2079" s="335"/>
      <c r="O2079" s="335"/>
      <c r="P2079" s="335"/>
      <c r="Q2079" s="130">
        <f t="shared" si="459"/>
        <v>0</v>
      </c>
      <c r="R2079" s="131">
        <f t="shared" si="460"/>
        <v>0</v>
      </c>
      <c r="S2079" s="130"/>
      <c r="T2079" s="130"/>
      <c r="U2079" s="130">
        <f t="shared" si="461"/>
        <v>0</v>
      </c>
      <c r="V2079" s="131">
        <f t="shared" si="462"/>
        <v>0</v>
      </c>
      <c r="W2079" s="130"/>
      <c r="X2079" s="130"/>
      <c r="Y2079" s="130"/>
      <c r="Z2079" s="130"/>
      <c r="AA2079" s="130">
        <f t="shared" si="458"/>
        <v>0</v>
      </c>
      <c r="AB2079" s="131">
        <f t="shared" si="463"/>
        <v>0</v>
      </c>
      <c r="AC2079" s="130"/>
      <c r="AD2079" s="130"/>
      <c r="AE2079" s="130">
        <f t="shared" si="458"/>
        <v>0</v>
      </c>
      <c r="AF2079" s="131">
        <f t="shared" si="464"/>
        <v>0</v>
      </c>
      <c r="AG2079" s="130"/>
      <c r="AH2079" s="130"/>
      <c r="AI2079" s="130"/>
      <c r="AJ2079" s="130"/>
      <c r="AK2079" s="131">
        <f t="shared" si="455"/>
        <v>0</v>
      </c>
      <c r="AL2079" s="335">
        <f t="shared" si="456"/>
        <v>0</v>
      </c>
      <c r="AM2079" s="130">
        <f t="shared" si="457"/>
        <v>0</v>
      </c>
      <c r="AN2079" s="336">
        <f t="shared" si="466"/>
        <v>0</v>
      </c>
    </row>
    <row r="2080" spans="1:42" ht="22.5" x14ac:dyDescent="0.25">
      <c r="A2080" s="310">
        <v>23802</v>
      </c>
      <c r="B2080" s="551" t="s">
        <v>549</v>
      </c>
      <c r="C2080" s="311"/>
      <c r="D2080" s="902"/>
      <c r="E2080" s="311"/>
      <c r="F2080" s="371"/>
      <c r="G2080" s="371"/>
      <c r="H2080" s="371"/>
      <c r="I2080" s="729"/>
      <c r="J2080" s="795"/>
      <c r="K2080" s="131">
        <f t="shared" si="465"/>
        <v>0</v>
      </c>
      <c r="L2080" s="335">
        <f t="shared" si="454"/>
        <v>0</v>
      </c>
      <c r="M2080" s="421"/>
      <c r="N2080" s="421"/>
      <c r="O2080" s="421"/>
      <c r="P2080" s="421"/>
      <c r="Q2080" s="387">
        <f t="shared" si="459"/>
        <v>0</v>
      </c>
      <c r="R2080" s="314">
        <f t="shared" si="460"/>
        <v>0</v>
      </c>
      <c r="S2080" s="387"/>
      <c r="T2080" s="387"/>
      <c r="U2080" s="387">
        <f t="shared" si="461"/>
        <v>0</v>
      </c>
      <c r="V2080" s="314">
        <f t="shared" si="462"/>
        <v>0</v>
      </c>
      <c r="W2080" s="387"/>
      <c r="X2080" s="387"/>
      <c r="Y2080" s="387"/>
      <c r="Z2080" s="387"/>
      <c r="AA2080" s="387">
        <f t="shared" si="458"/>
        <v>0</v>
      </c>
      <c r="AB2080" s="314">
        <f t="shared" si="463"/>
        <v>0</v>
      </c>
      <c r="AC2080" s="387"/>
      <c r="AD2080" s="387"/>
      <c r="AE2080" s="387">
        <f t="shared" si="458"/>
        <v>0</v>
      </c>
      <c r="AF2080" s="314">
        <f t="shared" si="464"/>
        <v>0</v>
      </c>
      <c r="AG2080" s="387"/>
      <c r="AH2080" s="387"/>
      <c r="AI2080" s="387"/>
      <c r="AJ2080" s="387"/>
      <c r="AK2080" s="314">
        <f t="shared" si="455"/>
        <v>0</v>
      </c>
      <c r="AL2080" s="446">
        <f t="shared" si="456"/>
        <v>0</v>
      </c>
      <c r="AM2080" s="110">
        <f t="shared" si="457"/>
        <v>0</v>
      </c>
      <c r="AN2080" s="447">
        <f t="shared" si="466"/>
        <v>0</v>
      </c>
      <c r="AO2080" s="108"/>
      <c r="AP2080"/>
    </row>
    <row r="2081" spans="1:42" s="108" customFormat="1" x14ac:dyDescent="0.25">
      <c r="A2081" s="58"/>
      <c r="B2081" s="482"/>
      <c r="C2081" s="1024"/>
      <c r="D2081" s="869"/>
      <c r="E2081" s="1024"/>
      <c r="F2081" s="278"/>
      <c r="G2081" s="278"/>
      <c r="H2081" s="278"/>
      <c r="I2081" s="722"/>
      <c r="J2081" s="757"/>
      <c r="K2081" s="131">
        <f t="shared" si="465"/>
        <v>0</v>
      </c>
      <c r="L2081" s="335">
        <f t="shared" si="454"/>
        <v>0</v>
      </c>
      <c r="M2081" s="335"/>
      <c r="N2081" s="335"/>
      <c r="O2081" s="335"/>
      <c r="P2081" s="335"/>
      <c r="Q2081" s="130">
        <f t="shared" si="459"/>
        <v>0</v>
      </c>
      <c r="R2081" s="131">
        <f t="shared" si="460"/>
        <v>0</v>
      </c>
      <c r="S2081" s="130"/>
      <c r="T2081" s="130"/>
      <c r="U2081" s="130">
        <f t="shared" si="461"/>
        <v>0</v>
      </c>
      <c r="V2081" s="131">
        <f t="shared" si="462"/>
        <v>0</v>
      </c>
      <c r="W2081" s="130"/>
      <c r="X2081" s="130"/>
      <c r="Y2081" s="130"/>
      <c r="Z2081" s="130"/>
      <c r="AA2081" s="130">
        <f t="shared" si="458"/>
        <v>0</v>
      </c>
      <c r="AB2081" s="131">
        <f t="shared" si="463"/>
        <v>0</v>
      </c>
      <c r="AC2081" s="130"/>
      <c r="AD2081" s="130"/>
      <c r="AE2081" s="130">
        <f t="shared" si="458"/>
        <v>0</v>
      </c>
      <c r="AF2081" s="131">
        <f t="shared" si="464"/>
        <v>0</v>
      </c>
      <c r="AG2081" s="130"/>
      <c r="AH2081" s="130"/>
      <c r="AI2081" s="130"/>
      <c r="AJ2081" s="130"/>
      <c r="AK2081" s="131">
        <f t="shared" si="455"/>
        <v>0</v>
      </c>
      <c r="AL2081" s="335">
        <f t="shared" si="456"/>
        <v>0</v>
      </c>
      <c r="AM2081" s="130">
        <f t="shared" si="457"/>
        <v>0</v>
      </c>
      <c r="AN2081" s="336">
        <f t="shared" si="466"/>
        <v>0</v>
      </c>
    </row>
    <row r="2082" spans="1:42" x14ac:dyDescent="0.25">
      <c r="A2082" s="310">
        <v>23803</v>
      </c>
      <c r="B2082" s="551" t="s">
        <v>550</v>
      </c>
      <c r="C2082" s="311"/>
      <c r="D2082" s="902"/>
      <c r="E2082" s="311"/>
      <c r="F2082" s="371"/>
      <c r="G2082" s="371"/>
      <c r="H2082" s="371"/>
      <c r="I2082" s="729"/>
      <c r="J2082" s="795"/>
      <c r="K2082" s="131">
        <f t="shared" si="465"/>
        <v>0</v>
      </c>
      <c r="L2082" s="335">
        <f t="shared" si="454"/>
        <v>0</v>
      </c>
      <c r="M2082" s="421"/>
      <c r="N2082" s="421"/>
      <c r="O2082" s="421"/>
      <c r="P2082" s="421"/>
      <c r="Q2082" s="387">
        <f t="shared" si="459"/>
        <v>0</v>
      </c>
      <c r="R2082" s="314">
        <f t="shared" si="460"/>
        <v>0</v>
      </c>
      <c r="S2082" s="387"/>
      <c r="T2082" s="387"/>
      <c r="U2082" s="387">
        <f t="shared" si="461"/>
        <v>0</v>
      </c>
      <c r="V2082" s="314">
        <f t="shared" si="462"/>
        <v>0</v>
      </c>
      <c r="W2082" s="387"/>
      <c r="X2082" s="387"/>
      <c r="Y2082" s="387"/>
      <c r="Z2082" s="387"/>
      <c r="AA2082" s="387">
        <f t="shared" si="458"/>
        <v>0</v>
      </c>
      <c r="AB2082" s="314">
        <f t="shared" si="463"/>
        <v>0</v>
      </c>
      <c r="AC2082" s="387"/>
      <c r="AD2082" s="387"/>
      <c r="AE2082" s="387">
        <f t="shared" si="458"/>
        <v>0</v>
      </c>
      <c r="AF2082" s="314">
        <f t="shared" si="464"/>
        <v>0</v>
      </c>
      <c r="AG2082" s="387"/>
      <c r="AH2082" s="387"/>
      <c r="AI2082" s="387"/>
      <c r="AJ2082" s="387"/>
      <c r="AK2082" s="314">
        <f t="shared" si="455"/>
        <v>0</v>
      </c>
      <c r="AL2082" s="446">
        <f t="shared" si="456"/>
        <v>0</v>
      </c>
      <c r="AM2082" s="110">
        <f t="shared" si="457"/>
        <v>0</v>
      </c>
      <c r="AN2082" s="447">
        <f t="shared" si="466"/>
        <v>0</v>
      </c>
      <c r="AO2082" s="108"/>
      <c r="AP2082"/>
    </row>
    <row r="2083" spans="1:42" s="108" customFormat="1" x14ac:dyDescent="0.25">
      <c r="A2083" s="58"/>
      <c r="B2083" s="482"/>
      <c r="C2083" s="1024"/>
      <c r="D2083" s="869"/>
      <c r="E2083" s="1024"/>
      <c r="F2083" s="278"/>
      <c r="G2083" s="278"/>
      <c r="H2083" s="278"/>
      <c r="I2083" s="722"/>
      <c r="J2083" s="757"/>
      <c r="K2083" s="131">
        <f t="shared" si="465"/>
        <v>0</v>
      </c>
      <c r="L2083" s="335">
        <f t="shared" si="454"/>
        <v>0</v>
      </c>
      <c r="M2083" s="335"/>
      <c r="N2083" s="335"/>
      <c r="O2083" s="335"/>
      <c r="P2083" s="335"/>
      <c r="Q2083" s="130">
        <f t="shared" si="459"/>
        <v>0</v>
      </c>
      <c r="R2083" s="131">
        <f t="shared" si="460"/>
        <v>0</v>
      </c>
      <c r="S2083" s="130"/>
      <c r="T2083" s="130"/>
      <c r="U2083" s="130">
        <f t="shared" si="461"/>
        <v>0</v>
      </c>
      <c r="V2083" s="131">
        <f t="shared" si="462"/>
        <v>0</v>
      </c>
      <c r="W2083" s="130"/>
      <c r="X2083" s="130"/>
      <c r="Y2083" s="130"/>
      <c r="Z2083" s="130"/>
      <c r="AA2083" s="130">
        <f t="shared" si="458"/>
        <v>0</v>
      </c>
      <c r="AB2083" s="131">
        <f t="shared" si="463"/>
        <v>0</v>
      </c>
      <c r="AC2083" s="130"/>
      <c r="AD2083" s="130"/>
      <c r="AE2083" s="130">
        <f t="shared" si="458"/>
        <v>0</v>
      </c>
      <c r="AF2083" s="131">
        <f t="shared" si="464"/>
        <v>0</v>
      </c>
      <c r="AG2083" s="130"/>
      <c r="AH2083" s="130"/>
      <c r="AI2083" s="130"/>
      <c r="AJ2083" s="130"/>
      <c r="AK2083" s="131">
        <f t="shared" si="455"/>
        <v>0</v>
      </c>
      <c r="AL2083" s="335">
        <f t="shared" si="456"/>
        <v>0</v>
      </c>
      <c r="AM2083" s="130">
        <f t="shared" si="457"/>
        <v>0</v>
      </c>
      <c r="AN2083" s="336">
        <f t="shared" si="466"/>
        <v>0</v>
      </c>
    </row>
    <row r="2084" spans="1:42" x14ac:dyDescent="0.25">
      <c r="A2084" s="1021">
        <v>239</v>
      </c>
      <c r="B2084" s="582" t="s">
        <v>551</v>
      </c>
      <c r="C2084" s="342"/>
      <c r="D2084" s="958"/>
      <c r="E2084" s="342"/>
      <c r="F2084" s="362"/>
      <c r="G2084" s="362"/>
      <c r="H2084" s="362"/>
      <c r="I2084" s="737"/>
      <c r="J2084" s="1005"/>
      <c r="K2084" s="131">
        <f t="shared" si="465"/>
        <v>0</v>
      </c>
      <c r="L2084" s="335">
        <f t="shared" si="454"/>
        <v>0</v>
      </c>
      <c r="M2084" s="414"/>
      <c r="N2084" s="414"/>
      <c r="O2084" s="414"/>
      <c r="P2084" s="414"/>
      <c r="Q2084" s="413">
        <f t="shared" si="459"/>
        <v>0</v>
      </c>
      <c r="R2084" s="345">
        <f t="shared" si="460"/>
        <v>0</v>
      </c>
      <c r="S2084" s="413"/>
      <c r="T2084" s="413"/>
      <c r="U2084" s="413">
        <f t="shared" si="461"/>
        <v>0</v>
      </c>
      <c r="V2084" s="345">
        <f t="shared" si="462"/>
        <v>0</v>
      </c>
      <c r="W2084" s="413"/>
      <c r="X2084" s="413"/>
      <c r="Y2084" s="413"/>
      <c r="Z2084" s="413"/>
      <c r="AA2084" s="413">
        <f t="shared" si="458"/>
        <v>0</v>
      </c>
      <c r="AB2084" s="345">
        <f t="shared" si="463"/>
        <v>0</v>
      </c>
      <c r="AC2084" s="413"/>
      <c r="AD2084" s="413"/>
      <c r="AE2084" s="413">
        <f t="shared" si="458"/>
        <v>0</v>
      </c>
      <c r="AF2084" s="345">
        <f t="shared" si="464"/>
        <v>0</v>
      </c>
      <c r="AG2084" s="413"/>
      <c r="AH2084" s="413"/>
      <c r="AI2084" s="413"/>
      <c r="AJ2084" s="413"/>
      <c r="AK2084" s="345">
        <f t="shared" si="455"/>
        <v>0</v>
      </c>
      <c r="AL2084" s="446">
        <f t="shared" si="456"/>
        <v>0</v>
      </c>
      <c r="AM2084" s="110">
        <f t="shared" si="457"/>
        <v>0</v>
      </c>
      <c r="AN2084" s="447">
        <f t="shared" si="466"/>
        <v>0</v>
      </c>
      <c r="AO2084" s="108"/>
      <c r="AP2084"/>
    </row>
    <row r="2085" spans="1:42" ht="22.5" x14ac:dyDescent="0.25">
      <c r="A2085" s="310">
        <v>23901</v>
      </c>
      <c r="B2085" s="551" t="s">
        <v>552</v>
      </c>
      <c r="C2085" s="311"/>
      <c r="D2085" s="906"/>
      <c r="E2085" s="708"/>
      <c r="F2085" s="709"/>
      <c r="G2085" s="709"/>
      <c r="H2085" s="709"/>
      <c r="I2085" s="729"/>
      <c r="J2085" s="796"/>
      <c r="K2085" s="131">
        <f t="shared" si="465"/>
        <v>0</v>
      </c>
      <c r="L2085" s="335">
        <f t="shared" si="454"/>
        <v>0</v>
      </c>
      <c r="M2085" s="421"/>
      <c r="N2085" s="421"/>
      <c r="O2085" s="421"/>
      <c r="P2085" s="421"/>
      <c r="Q2085" s="387">
        <f t="shared" si="459"/>
        <v>0</v>
      </c>
      <c r="R2085" s="314">
        <f t="shared" si="460"/>
        <v>0</v>
      </c>
      <c r="S2085" s="387"/>
      <c r="T2085" s="387"/>
      <c r="U2085" s="387">
        <f t="shared" si="461"/>
        <v>0</v>
      </c>
      <c r="V2085" s="314">
        <f t="shared" si="462"/>
        <v>0</v>
      </c>
      <c r="W2085" s="387"/>
      <c r="X2085" s="387"/>
      <c r="Y2085" s="387"/>
      <c r="Z2085" s="387"/>
      <c r="AA2085" s="387">
        <f t="shared" si="458"/>
        <v>0</v>
      </c>
      <c r="AB2085" s="314">
        <f t="shared" si="463"/>
        <v>0</v>
      </c>
      <c r="AC2085" s="387"/>
      <c r="AD2085" s="387"/>
      <c r="AE2085" s="387">
        <f t="shared" si="458"/>
        <v>0</v>
      </c>
      <c r="AF2085" s="314">
        <f t="shared" si="464"/>
        <v>0</v>
      </c>
      <c r="AG2085" s="387"/>
      <c r="AH2085" s="387"/>
      <c r="AI2085" s="387"/>
      <c r="AJ2085" s="387"/>
      <c r="AK2085" s="314">
        <f t="shared" si="455"/>
        <v>0</v>
      </c>
      <c r="AL2085" s="446">
        <f t="shared" si="456"/>
        <v>0</v>
      </c>
      <c r="AM2085" s="110">
        <f t="shared" si="457"/>
        <v>0</v>
      </c>
      <c r="AN2085" s="447">
        <f t="shared" si="466"/>
        <v>0</v>
      </c>
      <c r="AO2085" s="108"/>
      <c r="AP2085"/>
    </row>
    <row r="2086" spans="1:42" s="108" customFormat="1" x14ac:dyDescent="0.25">
      <c r="A2086" s="58"/>
      <c r="B2086" s="482"/>
      <c r="C2086" s="1024"/>
      <c r="D2086" s="911"/>
      <c r="E2086" s="42"/>
      <c r="F2086" s="710"/>
      <c r="G2086" s="710"/>
      <c r="H2086" s="710"/>
      <c r="I2086" s="722"/>
      <c r="J2086" s="797"/>
      <c r="K2086" s="131">
        <f t="shared" si="465"/>
        <v>0</v>
      </c>
      <c r="L2086" s="335">
        <f t="shared" si="454"/>
        <v>0</v>
      </c>
      <c r="M2086" s="335"/>
      <c r="N2086" s="335"/>
      <c r="O2086" s="335"/>
      <c r="P2086" s="335"/>
      <c r="Q2086" s="130">
        <f t="shared" si="459"/>
        <v>0</v>
      </c>
      <c r="R2086" s="131">
        <f t="shared" si="460"/>
        <v>0</v>
      </c>
      <c r="S2086" s="130"/>
      <c r="T2086" s="130"/>
      <c r="U2086" s="130">
        <f t="shared" si="461"/>
        <v>0</v>
      </c>
      <c r="V2086" s="131">
        <f t="shared" si="462"/>
        <v>0</v>
      </c>
      <c r="W2086" s="130"/>
      <c r="X2086" s="130"/>
      <c r="Y2086" s="130"/>
      <c r="Z2086" s="130"/>
      <c r="AA2086" s="130">
        <f t="shared" si="458"/>
        <v>0</v>
      </c>
      <c r="AB2086" s="131">
        <f t="shared" si="463"/>
        <v>0</v>
      </c>
      <c r="AC2086" s="130"/>
      <c r="AD2086" s="130"/>
      <c r="AE2086" s="130">
        <f t="shared" si="458"/>
        <v>0</v>
      </c>
      <c r="AF2086" s="131">
        <f t="shared" si="464"/>
        <v>0</v>
      </c>
      <c r="AG2086" s="130"/>
      <c r="AH2086" s="130"/>
      <c r="AI2086" s="130"/>
      <c r="AJ2086" s="130"/>
      <c r="AK2086" s="131">
        <f t="shared" si="455"/>
        <v>0</v>
      </c>
      <c r="AL2086" s="335">
        <f t="shared" si="456"/>
        <v>0</v>
      </c>
      <c r="AM2086" s="130">
        <f t="shared" si="457"/>
        <v>0</v>
      </c>
      <c r="AN2086" s="336">
        <f t="shared" si="466"/>
        <v>0</v>
      </c>
    </row>
    <row r="2087" spans="1:42" ht="22.5" x14ac:dyDescent="0.25">
      <c r="A2087" s="310">
        <v>23902</v>
      </c>
      <c r="B2087" s="551" t="s">
        <v>553</v>
      </c>
      <c r="C2087" s="311"/>
      <c r="D2087" s="902"/>
      <c r="E2087" s="311"/>
      <c r="F2087" s="371"/>
      <c r="G2087" s="371"/>
      <c r="H2087" s="371"/>
      <c r="I2087" s="729"/>
      <c r="J2087" s="795"/>
      <c r="K2087" s="131">
        <f t="shared" si="465"/>
        <v>0</v>
      </c>
      <c r="L2087" s="335">
        <f t="shared" si="454"/>
        <v>0</v>
      </c>
      <c r="M2087" s="421"/>
      <c r="N2087" s="421"/>
      <c r="O2087" s="421"/>
      <c r="P2087" s="421"/>
      <c r="Q2087" s="387">
        <f t="shared" si="459"/>
        <v>0</v>
      </c>
      <c r="R2087" s="314">
        <f t="shared" si="460"/>
        <v>0</v>
      </c>
      <c r="S2087" s="387"/>
      <c r="T2087" s="387"/>
      <c r="U2087" s="387">
        <f t="shared" si="461"/>
        <v>0</v>
      </c>
      <c r="V2087" s="314">
        <f t="shared" si="462"/>
        <v>0</v>
      </c>
      <c r="W2087" s="387"/>
      <c r="X2087" s="387"/>
      <c r="Y2087" s="387"/>
      <c r="Z2087" s="387"/>
      <c r="AA2087" s="387">
        <f t="shared" si="458"/>
        <v>0</v>
      </c>
      <c r="AB2087" s="314">
        <f t="shared" si="463"/>
        <v>0</v>
      </c>
      <c r="AC2087" s="387"/>
      <c r="AD2087" s="387"/>
      <c r="AE2087" s="387">
        <f t="shared" si="458"/>
        <v>0</v>
      </c>
      <c r="AF2087" s="314">
        <f t="shared" si="464"/>
        <v>0</v>
      </c>
      <c r="AG2087" s="387"/>
      <c r="AH2087" s="387"/>
      <c r="AI2087" s="387"/>
      <c r="AJ2087" s="387"/>
      <c r="AK2087" s="314">
        <f t="shared" si="455"/>
        <v>0</v>
      </c>
      <c r="AL2087" s="446">
        <f t="shared" si="456"/>
        <v>0</v>
      </c>
      <c r="AM2087" s="110">
        <f t="shared" si="457"/>
        <v>0</v>
      </c>
      <c r="AN2087" s="447">
        <f t="shared" si="466"/>
        <v>0</v>
      </c>
      <c r="AO2087" s="108"/>
      <c r="AP2087"/>
    </row>
    <row r="2088" spans="1:42" s="108" customFormat="1" x14ac:dyDescent="0.25">
      <c r="A2088" s="58"/>
      <c r="B2088" s="707"/>
      <c r="C2088" s="1024"/>
      <c r="D2088" s="869"/>
      <c r="E2088" s="1024"/>
      <c r="F2088" s="278"/>
      <c r="G2088" s="278"/>
      <c r="H2088" s="278"/>
      <c r="I2088" s="722"/>
      <c r="J2088" s="757"/>
      <c r="K2088" s="131">
        <f t="shared" si="465"/>
        <v>0</v>
      </c>
      <c r="L2088" s="335">
        <f t="shared" si="454"/>
        <v>0</v>
      </c>
      <c r="M2088" s="335"/>
      <c r="N2088" s="335"/>
      <c r="O2088" s="335"/>
      <c r="P2088" s="335"/>
      <c r="Q2088" s="130">
        <f t="shared" si="459"/>
        <v>0</v>
      </c>
      <c r="R2088" s="131">
        <f t="shared" si="460"/>
        <v>0</v>
      </c>
      <c r="S2088" s="130"/>
      <c r="T2088" s="130"/>
      <c r="U2088" s="130">
        <f t="shared" si="461"/>
        <v>0</v>
      </c>
      <c r="V2088" s="131">
        <f t="shared" si="462"/>
        <v>0</v>
      </c>
      <c r="W2088" s="130"/>
      <c r="X2088" s="130"/>
      <c r="Y2088" s="130"/>
      <c r="Z2088" s="130"/>
      <c r="AA2088" s="130">
        <f t="shared" si="458"/>
        <v>0</v>
      </c>
      <c r="AB2088" s="131">
        <f t="shared" si="463"/>
        <v>0</v>
      </c>
      <c r="AC2088" s="130"/>
      <c r="AD2088" s="130"/>
      <c r="AE2088" s="130">
        <f t="shared" si="458"/>
        <v>0</v>
      </c>
      <c r="AF2088" s="131">
        <f t="shared" si="464"/>
        <v>0</v>
      </c>
      <c r="AG2088" s="130"/>
      <c r="AH2088" s="130"/>
      <c r="AI2088" s="130"/>
      <c r="AJ2088" s="130"/>
      <c r="AK2088" s="131">
        <f t="shared" si="455"/>
        <v>0</v>
      </c>
      <c r="AL2088" s="335">
        <f t="shared" si="456"/>
        <v>0</v>
      </c>
      <c r="AM2088" s="130">
        <f t="shared" si="457"/>
        <v>0</v>
      </c>
      <c r="AN2088" s="336">
        <f t="shared" si="466"/>
        <v>0</v>
      </c>
    </row>
    <row r="2089" spans="1:42" x14ac:dyDescent="0.25">
      <c r="A2089" s="310">
        <v>23903</v>
      </c>
      <c r="B2089" s="551" t="s">
        <v>554</v>
      </c>
      <c r="C2089" s="311"/>
      <c r="D2089" s="902"/>
      <c r="E2089" s="311"/>
      <c r="F2089" s="371"/>
      <c r="G2089" s="371"/>
      <c r="H2089" s="371"/>
      <c r="I2089" s="729"/>
      <c r="J2089" s="795"/>
      <c r="K2089" s="131">
        <f t="shared" si="465"/>
        <v>0</v>
      </c>
      <c r="L2089" s="335">
        <f t="shared" si="454"/>
        <v>0</v>
      </c>
      <c r="M2089" s="421"/>
      <c r="N2089" s="421"/>
      <c r="O2089" s="421"/>
      <c r="P2089" s="421"/>
      <c r="Q2089" s="387">
        <f t="shared" si="459"/>
        <v>0</v>
      </c>
      <c r="R2089" s="314">
        <f t="shared" si="460"/>
        <v>0</v>
      </c>
      <c r="S2089" s="387"/>
      <c r="T2089" s="387"/>
      <c r="U2089" s="387">
        <f t="shared" si="461"/>
        <v>0</v>
      </c>
      <c r="V2089" s="314">
        <f t="shared" si="462"/>
        <v>0</v>
      </c>
      <c r="W2089" s="387"/>
      <c r="X2089" s="387"/>
      <c r="Y2089" s="387"/>
      <c r="Z2089" s="387"/>
      <c r="AA2089" s="387">
        <f t="shared" si="458"/>
        <v>0</v>
      </c>
      <c r="AB2089" s="314">
        <f t="shared" si="463"/>
        <v>0</v>
      </c>
      <c r="AC2089" s="387"/>
      <c r="AD2089" s="387"/>
      <c r="AE2089" s="387">
        <f t="shared" si="458"/>
        <v>0</v>
      </c>
      <c r="AF2089" s="314">
        <f t="shared" si="464"/>
        <v>0</v>
      </c>
      <c r="AG2089" s="387"/>
      <c r="AH2089" s="387"/>
      <c r="AI2089" s="387"/>
      <c r="AJ2089" s="387"/>
      <c r="AK2089" s="314">
        <f t="shared" si="455"/>
        <v>0</v>
      </c>
      <c r="AL2089" s="446">
        <f t="shared" si="456"/>
        <v>0</v>
      </c>
      <c r="AM2089" s="110">
        <f t="shared" si="457"/>
        <v>0</v>
      </c>
      <c r="AN2089" s="447">
        <f t="shared" si="466"/>
        <v>0</v>
      </c>
      <c r="AO2089" s="108"/>
      <c r="AP2089"/>
    </row>
    <row r="2090" spans="1:42" s="108" customFormat="1" x14ac:dyDescent="0.25">
      <c r="A2090" s="58"/>
      <c r="B2090" s="482"/>
      <c r="C2090" s="1024"/>
      <c r="D2090" s="869"/>
      <c r="E2090" s="1024"/>
      <c r="F2090" s="278"/>
      <c r="G2090" s="278"/>
      <c r="H2090" s="278"/>
      <c r="I2090" s="722"/>
      <c r="J2090" s="757"/>
      <c r="K2090" s="131">
        <f t="shared" si="465"/>
        <v>0</v>
      </c>
      <c r="L2090" s="335">
        <f t="shared" si="454"/>
        <v>0</v>
      </c>
      <c r="M2090" s="335"/>
      <c r="N2090" s="335"/>
      <c r="O2090" s="335"/>
      <c r="P2090" s="335"/>
      <c r="Q2090" s="130">
        <f t="shared" si="459"/>
        <v>0</v>
      </c>
      <c r="R2090" s="131">
        <f t="shared" si="460"/>
        <v>0</v>
      </c>
      <c r="S2090" s="130"/>
      <c r="T2090" s="130"/>
      <c r="U2090" s="130">
        <f t="shared" si="461"/>
        <v>0</v>
      </c>
      <c r="V2090" s="131">
        <f t="shared" si="462"/>
        <v>0</v>
      </c>
      <c r="W2090" s="130"/>
      <c r="X2090" s="130"/>
      <c r="Y2090" s="130"/>
      <c r="Z2090" s="130"/>
      <c r="AA2090" s="130">
        <f t="shared" si="458"/>
        <v>0</v>
      </c>
      <c r="AB2090" s="131">
        <f t="shared" si="463"/>
        <v>0</v>
      </c>
      <c r="AC2090" s="130"/>
      <c r="AD2090" s="130"/>
      <c r="AE2090" s="130">
        <f t="shared" si="458"/>
        <v>0</v>
      </c>
      <c r="AF2090" s="131">
        <f t="shared" si="464"/>
        <v>0</v>
      </c>
      <c r="AG2090" s="130"/>
      <c r="AH2090" s="130"/>
      <c r="AI2090" s="130"/>
      <c r="AJ2090" s="130"/>
      <c r="AK2090" s="131">
        <f t="shared" si="455"/>
        <v>0</v>
      </c>
      <c r="AL2090" s="335">
        <f t="shared" si="456"/>
        <v>0</v>
      </c>
      <c r="AM2090" s="130">
        <f t="shared" si="457"/>
        <v>0</v>
      </c>
      <c r="AN2090" s="336">
        <f t="shared" si="466"/>
        <v>0</v>
      </c>
    </row>
    <row r="2091" spans="1:42" ht="22.5" x14ac:dyDescent="0.25">
      <c r="A2091" s="310">
        <v>23904</v>
      </c>
      <c r="B2091" s="551" t="s">
        <v>555</v>
      </c>
      <c r="C2091" s="311"/>
      <c r="D2091" s="902"/>
      <c r="E2091" s="311"/>
      <c r="F2091" s="371"/>
      <c r="G2091" s="371"/>
      <c r="H2091" s="371"/>
      <c r="I2091" s="729"/>
      <c r="J2091" s="795"/>
      <c r="K2091" s="131">
        <f t="shared" si="465"/>
        <v>0</v>
      </c>
      <c r="L2091" s="335">
        <f t="shared" si="454"/>
        <v>0</v>
      </c>
      <c r="M2091" s="421"/>
      <c r="N2091" s="421"/>
      <c r="O2091" s="421"/>
      <c r="P2091" s="421"/>
      <c r="Q2091" s="387">
        <f t="shared" si="459"/>
        <v>0</v>
      </c>
      <c r="R2091" s="314">
        <f t="shared" si="460"/>
        <v>0</v>
      </c>
      <c r="S2091" s="387"/>
      <c r="T2091" s="387"/>
      <c r="U2091" s="387">
        <f t="shared" si="461"/>
        <v>0</v>
      </c>
      <c r="V2091" s="314">
        <f t="shared" si="462"/>
        <v>0</v>
      </c>
      <c r="W2091" s="387"/>
      <c r="X2091" s="387"/>
      <c r="Y2091" s="387"/>
      <c r="Z2091" s="387"/>
      <c r="AA2091" s="387">
        <f t="shared" si="458"/>
        <v>0</v>
      </c>
      <c r="AB2091" s="314">
        <f t="shared" si="463"/>
        <v>0</v>
      </c>
      <c r="AC2091" s="387"/>
      <c r="AD2091" s="387"/>
      <c r="AE2091" s="387">
        <f t="shared" si="458"/>
        <v>0</v>
      </c>
      <c r="AF2091" s="314">
        <f t="shared" si="464"/>
        <v>0</v>
      </c>
      <c r="AG2091" s="387"/>
      <c r="AH2091" s="387"/>
      <c r="AI2091" s="387"/>
      <c r="AJ2091" s="387"/>
      <c r="AK2091" s="314">
        <f t="shared" si="455"/>
        <v>0</v>
      </c>
      <c r="AL2091" s="446">
        <f t="shared" si="456"/>
        <v>0</v>
      </c>
      <c r="AM2091" s="110">
        <f t="shared" si="457"/>
        <v>0</v>
      </c>
      <c r="AN2091" s="447">
        <f t="shared" si="466"/>
        <v>0</v>
      </c>
      <c r="AO2091" s="108"/>
      <c r="AP2091"/>
    </row>
    <row r="2092" spans="1:42" s="108" customFormat="1" x14ac:dyDescent="0.25">
      <c r="A2092" s="58"/>
      <c r="B2092" s="482"/>
      <c r="C2092" s="1024"/>
      <c r="D2092" s="869"/>
      <c r="E2092" s="1024"/>
      <c r="F2092" s="278"/>
      <c r="G2092" s="278"/>
      <c r="H2092" s="278"/>
      <c r="I2092" s="722"/>
      <c r="J2092" s="757"/>
      <c r="K2092" s="131">
        <f t="shared" si="465"/>
        <v>0</v>
      </c>
      <c r="L2092" s="335">
        <f t="shared" si="454"/>
        <v>0</v>
      </c>
      <c r="M2092" s="335"/>
      <c r="N2092" s="335"/>
      <c r="O2092" s="335"/>
      <c r="P2092" s="335"/>
      <c r="Q2092" s="130">
        <f t="shared" si="459"/>
        <v>0</v>
      </c>
      <c r="R2092" s="131">
        <f t="shared" si="460"/>
        <v>0</v>
      </c>
      <c r="S2092" s="130"/>
      <c r="T2092" s="130"/>
      <c r="U2092" s="130">
        <f t="shared" si="461"/>
        <v>0</v>
      </c>
      <c r="V2092" s="131">
        <f t="shared" si="462"/>
        <v>0</v>
      </c>
      <c r="W2092" s="130"/>
      <c r="X2092" s="130"/>
      <c r="Y2092" s="130"/>
      <c r="Z2092" s="130"/>
      <c r="AA2092" s="130">
        <f t="shared" si="458"/>
        <v>0</v>
      </c>
      <c r="AB2092" s="131">
        <f t="shared" si="463"/>
        <v>0</v>
      </c>
      <c r="AC2092" s="130"/>
      <c r="AD2092" s="130"/>
      <c r="AE2092" s="130">
        <f t="shared" si="458"/>
        <v>0</v>
      </c>
      <c r="AF2092" s="131">
        <f t="shared" si="464"/>
        <v>0</v>
      </c>
      <c r="AG2092" s="130"/>
      <c r="AH2092" s="130"/>
      <c r="AI2092" s="130"/>
      <c r="AJ2092" s="130"/>
      <c r="AK2092" s="131">
        <f t="shared" si="455"/>
        <v>0</v>
      </c>
      <c r="AL2092" s="335">
        <f t="shared" si="456"/>
        <v>0</v>
      </c>
      <c r="AM2092" s="130">
        <f t="shared" si="457"/>
        <v>0</v>
      </c>
      <c r="AN2092" s="336">
        <f t="shared" si="466"/>
        <v>0</v>
      </c>
    </row>
    <row r="2093" spans="1:42" ht="22.5" x14ac:dyDescent="0.25">
      <c r="A2093" s="310">
        <v>23905</v>
      </c>
      <c r="B2093" s="551" t="s">
        <v>556</v>
      </c>
      <c r="C2093" s="311"/>
      <c r="D2093" s="902"/>
      <c r="E2093" s="311"/>
      <c r="F2093" s="371"/>
      <c r="G2093" s="371"/>
      <c r="H2093" s="371"/>
      <c r="I2093" s="729"/>
      <c r="J2093" s="795"/>
      <c r="K2093" s="131">
        <f t="shared" si="465"/>
        <v>0</v>
      </c>
      <c r="L2093" s="335">
        <f t="shared" si="454"/>
        <v>0</v>
      </c>
      <c r="M2093" s="421"/>
      <c r="N2093" s="421"/>
      <c r="O2093" s="421"/>
      <c r="P2093" s="421"/>
      <c r="Q2093" s="387">
        <f t="shared" si="459"/>
        <v>0</v>
      </c>
      <c r="R2093" s="314">
        <f t="shared" si="460"/>
        <v>0</v>
      </c>
      <c r="S2093" s="387"/>
      <c r="T2093" s="387"/>
      <c r="U2093" s="387">
        <f t="shared" si="461"/>
        <v>0</v>
      </c>
      <c r="V2093" s="314">
        <f t="shared" si="462"/>
        <v>0</v>
      </c>
      <c r="W2093" s="387"/>
      <c r="X2093" s="387"/>
      <c r="Y2093" s="387"/>
      <c r="Z2093" s="387"/>
      <c r="AA2093" s="387">
        <f t="shared" si="458"/>
        <v>0</v>
      </c>
      <c r="AB2093" s="314">
        <f t="shared" si="463"/>
        <v>0</v>
      </c>
      <c r="AC2093" s="387"/>
      <c r="AD2093" s="387"/>
      <c r="AE2093" s="387">
        <f t="shared" si="458"/>
        <v>0</v>
      </c>
      <c r="AF2093" s="314">
        <f t="shared" si="464"/>
        <v>0</v>
      </c>
      <c r="AG2093" s="387"/>
      <c r="AH2093" s="387"/>
      <c r="AI2093" s="387"/>
      <c r="AJ2093" s="387"/>
      <c r="AK2093" s="314">
        <f t="shared" si="455"/>
        <v>0</v>
      </c>
      <c r="AL2093" s="446">
        <f t="shared" si="456"/>
        <v>0</v>
      </c>
      <c r="AM2093" s="110">
        <f t="shared" si="457"/>
        <v>0</v>
      </c>
      <c r="AN2093" s="447">
        <f t="shared" si="466"/>
        <v>0</v>
      </c>
      <c r="AO2093" s="108"/>
      <c r="AP2093"/>
    </row>
    <row r="2094" spans="1:42" x14ac:dyDescent="0.25">
      <c r="A2094" s="9"/>
      <c r="B2094" s="518"/>
      <c r="C2094" s="1024"/>
      <c r="D2094" s="894"/>
      <c r="E2094" s="138"/>
      <c r="F2094" s="279"/>
      <c r="G2094" s="279"/>
      <c r="H2094" s="279"/>
      <c r="I2094" s="720"/>
      <c r="J2094" s="773"/>
      <c r="K2094" s="131">
        <f t="shared" si="465"/>
        <v>0</v>
      </c>
      <c r="L2094" s="335">
        <f t="shared" si="454"/>
        <v>0</v>
      </c>
      <c r="M2094" s="446"/>
      <c r="N2094" s="446"/>
      <c r="O2094" s="446"/>
      <c r="P2094" s="446"/>
      <c r="Q2094" s="110">
        <f t="shared" si="459"/>
        <v>0</v>
      </c>
      <c r="R2094" s="111">
        <f t="shared" si="460"/>
        <v>0</v>
      </c>
      <c r="S2094" s="110"/>
      <c r="T2094" s="110"/>
      <c r="U2094" s="110">
        <f t="shared" si="461"/>
        <v>0</v>
      </c>
      <c r="V2094" s="111">
        <f t="shared" si="462"/>
        <v>0</v>
      </c>
      <c r="W2094" s="110"/>
      <c r="X2094" s="110"/>
      <c r="Y2094" s="110"/>
      <c r="Z2094" s="110"/>
      <c r="AA2094" s="110">
        <f t="shared" si="458"/>
        <v>0</v>
      </c>
      <c r="AB2094" s="111">
        <f t="shared" si="463"/>
        <v>0</v>
      </c>
      <c r="AC2094" s="110"/>
      <c r="AD2094" s="110"/>
      <c r="AE2094" s="110">
        <f t="shared" si="458"/>
        <v>0</v>
      </c>
      <c r="AF2094" s="111">
        <f t="shared" si="464"/>
        <v>0</v>
      </c>
      <c r="AG2094" s="110"/>
      <c r="AH2094" s="110"/>
      <c r="AI2094" s="110"/>
      <c r="AJ2094" s="110"/>
      <c r="AK2094" s="111">
        <f t="shared" si="455"/>
        <v>0</v>
      </c>
      <c r="AL2094" s="446">
        <f t="shared" si="456"/>
        <v>0</v>
      </c>
      <c r="AM2094" s="110">
        <f t="shared" si="457"/>
        <v>0</v>
      </c>
      <c r="AN2094" s="447">
        <f t="shared" si="466"/>
        <v>0</v>
      </c>
      <c r="AO2094"/>
      <c r="AP2094"/>
    </row>
    <row r="2095" spans="1:42" x14ac:dyDescent="0.25">
      <c r="A2095" s="299">
        <v>2400</v>
      </c>
      <c r="B2095" s="539" t="s">
        <v>557</v>
      </c>
      <c r="C2095" s="300"/>
      <c r="D2095" s="909"/>
      <c r="E2095" s="301"/>
      <c r="F2095" s="302"/>
      <c r="G2095" s="302"/>
      <c r="H2095" s="302"/>
      <c r="I2095" s="715"/>
      <c r="J2095" s="794"/>
      <c r="K2095" s="131">
        <f t="shared" si="465"/>
        <v>0</v>
      </c>
      <c r="L2095" s="335">
        <f t="shared" si="454"/>
        <v>0</v>
      </c>
      <c r="M2095" s="453"/>
      <c r="N2095" s="453"/>
      <c r="O2095" s="453"/>
      <c r="P2095" s="453"/>
      <c r="Q2095" s="385">
        <f t="shared" si="459"/>
        <v>0</v>
      </c>
      <c r="R2095" s="303">
        <f t="shared" si="460"/>
        <v>0</v>
      </c>
      <c r="S2095" s="385"/>
      <c r="T2095" s="385"/>
      <c r="U2095" s="385">
        <f t="shared" si="461"/>
        <v>0</v>
      </c>
      <c r="V2095" s="303">
        <f t="shared" si="462"/>
        <v>0</v>
      </c>
      <c r="W2095" s="385"/>
      <c r="X2095" s="385"/>
      <c r="Y2095" s="385"/>
      <c r="Z2095" s="385"/>
      <c r="AA2095" s="385">
        <f t="shared" si="458"/>
        <v>0</v>
      </c>
      <c r="AB2095" s="303">
        <f t="shared" si="463"/>
        <v>0</v>
      </c>
      <c r="AC2095" s="385"/>
      <c r="AD2095" s="385"/>
      <c r="AE2095" s="385">
        <f t="shared" si="458"/>
        <v>0</v>
      </c>
      <c r="AF2095" s="303">
        <f t="shared" si="464"/>
        <v>0</v>
      </c>
      <c r="AG2095" s="385"/>
      <c r="AH2095" s="385"/>
      <c r="AI2095" s="385"/>
      <c r="AJ2095" s="385"/>
      <c r="AK2095" s="303">
        <f t="shared" si="455"/>
        <v>0</v>
      </c>
      <c r="AL2095" s="453">
        <f t="shared" si="456"/>
        <v>0</v>
      </c>
      <c r="AM2095" s="385">
        <f t="shared" si="457"/>
        <v>0</v>
      </c>
      <c r="AN2095" s="454">
        <f t="shared" si="466"/>
        <v>0</v>
      </c>
      <c r="AO2095" s="304"/>
      <c r="AP2095"/>
    </row>
    <row r="2096" spans="1:42" x14ac:dyDescent="0.25">
      <c r="A2096" s="1021">
        <v>241</v>
      </c>
      <c r="B2096" s="582" t="s">
        <v>558</v>
      </c>
      <c r="C2096" s="342"/>
      <c r="D2096" s="958"/>
      <c r="E2096" s="343"/>
      <c r="F2096" s="344"/>
      <c r="G2096" s="344"/>
      <c r="H2096" s="344"/>
      <c r="I2096" s="737"/>
      <c r="J2096" s="994"/>
      <c r="K2096" s="131">
        <f t="shared" si="465"/>
        <v>0</v>
      </c>
      <c r="L2096" s="335">
        <f t="shared" si="454"/>
        <v>0</v>
      </c>
      <c r="M2096" s="414"/>
      <c r="N2096" s="414"/>
      <c r="O2096" s="414"/>
      <c r="P2096" s="414"/>
      <c r="Q2096" s="413">
        <f t="shared" si="459"/>
        <v>0</v>
      </c>
      <c r="R2096" s="345">
        <f t="shared" si="460"/>
        <v>0</v>
      </c>
      <c r="S2096" s="413"/>
      <c r="T2096" s="413"/>
      <c r="U2096" s="413">
        <f t="shared" si="461"/>
        <v>0</v>
      </c>
      <c r="V2096" s="345">
        <f t="shared" si="462"/>
        <v>0</v>
      </c>
      <c r="W2096" s="413"/>
      <c r="X2096" s="413"/>
      <c r="Y2096" s="413"/>
      <c r="Z2096" s="413"/>
      <c r="AA2096" s="413">
        <f t="shared" si="458"/>
        <v>0</v>
      </c>
      <c r="AB2096" s="345">
        <f t="shared" si="463"/>
        <v>0</v>
      </c>
      <c r="AC2096" s="413"/>
      <c r="AD2096" s="413"/>
      <c r="AE2096" s="413">
        <f t="shared" si="458"/>
        <v>0</v>
      </c>
      <c r="AF2096" s="345">
        <f t="shared" si="464"/>
        <v>0</v>
      </c>
      <c r="AG2096" s="413"/>
      <c r="AH2096" s="413"/>
      <c r="AI2096" s="413"/>
      <c r="AJ2096" s="413"/>
      <c r="AK2096" s="345">
        <f t="shared" si="455"/>
        <v>0</v>
      </c>
      <c r="AL2096" s="446">
        <f t="shared" si="456"/>
        <v>0</v>
      </c>
      <c r="AM2096" s="110">
        <f t="shared" si="457"/>
        <v>0</v>
      </c>
      <c r="AN2096" s="447">
        <f t="shared" si="466"/>
        <v>0</v>
      </c>
      <c r="AO2096" s="108"/>
      <c r="AP2096"/>
    </row>
    <row r="2097" spans="1:42" x14ac:dyDescent="0.25">
      <c r="A2097" s="310">
        <v>24101</v>
      </c>
      <c r="B2097" s="551" t="s">
        <v>559</v>
      </c>
      <c r="C2097" s="311"/>
      <c r="D2097" s="902"/>
      <c r="E2097" s="312"/>
      <c r="F2097" s="313"/>
      <c r="G2097" s="313"/>
      <c r="H2097" s="313"/>
      <c r="I2097" s="729"/>
      <c r="J2097" s="792"/>
      <c r="K2097" s="131">
        <f t="shared" si="465"/>
        <v>0</v>
      </c>
      <c r="L2097" s="335">
        <f t="shared" si="454"/>
        <v>0</v>
      </c>
      <c r="M2097" s="421"/>
      <c r="N2097" s="421"/>
      <c r="O2097" s="421"/>
      <c r="P2097" s="421"/>
      <c r="Q2097" s="387">
        <f t="shared" si="459"/>
        <v>0</v>
      </c>
      <c r="R2097" s="314">
        <f t="shared" si="460"/>
        <v>0</v>
      </c>
      <c r="S2097" s="387"/>
      <c r="T2097" s="387"/>
      <c r="U2097" s="387">
        <f t="shared" si="461"/>
        <v>0</v>
      </c>
      <c r="V2097" s="314">
        <f t="shared" si="462"/>
        <v>0</v>
      </c>
      <c r="W2097" s="387"/>
      <c r="X2097" s="387"/>
      <c r="Y2097" s="387"/>
      <c r="Z2097" s="387"/>
      <c r="AA2097" s="387">
        <f t="shared" si="458"/>
        <v>0</v>
      </c>
      <c r="AB2097" s="314">
        <f t="shared" si="463"/>
        <v>0</v>
      </c>
      <c r="AC2097" s="387"/>
      <c r="AD2097" s="387"/>
      <c r="AE2097" s="387">
        <f t="shared" si="458"/>
        <v>0</v>
      </c>
      <c r="AF2097" s="314">
        <f t="shared" si="464"/>
        <v>0</v>
      </c>
      <c r="AG2097" s="387"/>
      <c r="AH2097" s="387"/>
      <c r="AI2097" s="387"/>
      <c r="AJ2097" s="387"/>
      <c r="AK2097" s="314">
        <f t="shared" si="455"/>
        <v>0</v>
      </c>
      <c r="AL2097" s="446">
        <f t="shared" si="456"/>
        <v>0</v>
      </c>
      <c r="AM2097" s="110">
        <f t="shared" si="457"/>
        <v>0</v>
      </c>
      <c r="AN2097" s="447">
        <f t="shared" si="466"/>
        <v>0</v>
      </c>
      <c r="AO2097" s="436">
        <f>SUM(J2098)</f>
        <v>24805.45</v>
      </c>
      <c r="AP2097" s="111"/>
    </row>
    <row r="2098" spans="1:42" ht="66" x14ac:dyDescent="0.25">
      <c r="A2098" s="9"/>
      <c r="B2098" s="125" t="s">
        <v>1183</v>
      </c>
      <c r="C2098" s="1024"/>
      <c r="D2098" s="869">
        <f>5</f>
        <v>5</v>
      </c>
      <c r="E2098" s="1027" t="s">
        <v>1721</v>
      </c>
      <c r="F2098" s="273" t="s">
        <v>3446</v>
      </c>
      <c r="G2098" s="1040" t="s">
        <v>3463</v>
      </c>
      <c r="H2098" s="273" t="s">
        <v>3462</v>
      </c>
      <c r="I2098" s="720">
        <f>+J2098/D2098</f>
        <v>4961.09</v>
      </c>
      <c r="J2098" s="756">
        <f>24805.45</f>
        <v>24805.45</v>
      </c>
      <c r="K2098" s="131">
        <f t="shared" si="465"/>
        <v>24805.45</v>
      </c>
      <c r="L2098" s="335">
        <f t="shared" si="454"/>
        <v>0</v>
      </c>
      <c r="M2098" s="446"/>
      <c r="N2098" s="446"/>
      <c r="O2098" s="446"/>
      <c r="P2098" s="446"/>
      <c r="Q2098" s="110">
        <v>2</v>
      </c>
      <c r="R2098" s="111">
        <f t="shared" si="460"/>
        <v>6201.3625000000002</v>
      </c>
      <c r="S2098" s="110"/>
      <c r="T2098" s="110"/>
      <c r="U2098" s="110">
        <v>1</v>
      </c>
      <c r="V2098" s="111">
        <f t="shared" si="462"/>
        <v>6201.3625000000002</v>
      </c>
      <c r="W2098" s="110"/>
      <c r="X2098" s="110"/>
      <c r="Y2098" s="110"/>
      <c r="Z2098" s="110"/>
      <c r="AA2098" s="110">
        <v>1</v>
      </c>
      <c r="AB2098" s="111">
        <f t="shared" si="463"/>
        <v>6201.3625000000002</v>
      </c>
      <c r="AC2098" s="110"/>
      <c r="AD2098" s="110"/>
      <c r="AE2098" s="110">
        <v>1</v>
      </c>
      <c r="AF2098" s="111">
        <f t="shared" si="464"/>
        <v>6201.3625000000002</v>
      </c>
      <c r="AG2098" s="110"/>
      <c r="AH2098" s="110"/>
      <c r="AI2098" s="110"/>
      <c r="AJ2098" s="110"/>
      <c r="AK2098" s="111">
        <f t="shared" si="455"/>
        <v>24805.45</v>
      </c>
      <c r="AL2098" s="446">
        <f t="shared" si="456"/>
        <v>0</v>
      </c>
      <c r="AM2098" s="110">
        <f t="shared" si="457"/>
        <v>5</v>
      </c>
      <c r="AN2098" s="447">
        <f t="shared" si="466"/>
        <v>0</v>
      </c>
      <c r="AO2098"/>
      <c r="AP2098"/>
    </row>
    <row r="2099" spans="1:42" x14ac:dyDescent="0.25">
      <c r="A2099" s="9"/>
      <c r="B2099" s="518"/>
      <c r="C2099" s="1024"/>
      <c r="D2099" s="869"/>
      <c r="E2099" s="1027"/>
      <c r="F2099" s="272"/>
      <c r="G2099" s="272"/>
      <c r="H2099" s="272"/>
      <c r="I2099" s="720"/>
      <c r="J2099" s="756"/>
      <c r="K2099" s="131">
        <f t="shared" si="465"/>
        <v>0</v>
      </c>
      <c r="L2099" s="335">
        <f t="shared" si="454"/>
        <v>0</v>
      </c>
      <c r="M2099" s="446"/>
      <c r="N2099" s="446"/>
      <c r="O2099" s="446"/>
      <c r="P2099" s="446"/>
      <c r="Q2099" s="110">
        <f t="shared" si="459"/>
        <v>0</v>
      </c>
      <c r="R2099" s="111">
        <f t="shared" si="460"/>
        <v>0</v>
      </c>
      <c r="S2099" s="110"/>
      <c r="T2099" s="110"/>
      <c r="U2099" s="110">
        <f t="shared" si="461"/>
        <v>0</v>
      </c>
      <c r="V2099" s="111">
        <f t="shared" si="462"/>
        <v>0</v>
      </c>
      <c r="W2099" s="110"/>
      <c r="X2099" s="110"/>
      <c r="Y2099" s="110"/>
      <c r="Z2099" s="110"/>
      <c r="AA2099" s="110">
        <f t="shared" si="458"/>
        <v>0</v>
      </c>
      <c r="AB2099" s="111">
        <f t="shared" si="463"/>
        <v>0</v>
      </c>
      <c r="AC2099" s="110"/>
      <c r="AD2099" s="110"/>
      <c r="AE2099" s="110">
        <f t="shared" si="458"/>
        <v>0</v>
      </c>
      <c r="AF2099" s="111">
        <f t="shared" si="464"/>
        <v>0</v>
      </c>
      <c r="AG2099" s="110"/>
      <c r="AH2099" s="110"/>
      <c r="AI2099" s="110"/>
      <c r="AJ2099" s="110"/>
      <c r="AK2099" s="111">
        <f t="shared" si="455"/>
        <v>0</v>
      </c>
      <c r="AL2099" s="446">
        <f t="shared" si="456"/>
        <v>0</v>
      </c>
      <c r="AM2099" s="110">
        <f t="shared" si="457"/>
        <v>0</v>
      </c>
      <c r="AN2099" s="447">
        <f t="shared" si="466"/>
        <v>0</v>
      </c>
      <c r="AO2099"/>
      <c r="AP2099"/>
    </row>
    <row r="2100" spans="1:42" x14ac:dyDescent="0.25">
      <c r="A2100" s="310">
        <v>24102</v>
      </c>
      <c r="B2100" s="551" t="s">
        <v>560</v>
      </c>
      <c r="C2100" s="311"/>
      <c r="D2100" s="902"/>
      <c r="E2100" s="312"/>
      <c r="F2100" s="313"/>
      <c r="G2100" s="313"/>
      <c r="H2100" s="313"/>
      <c r="I2100" s="729"/>
      <c r="J2100" s="792"/>
      <c r="K2100" s="131">
        <f t="shared" si="465"/>
        <v>0</v>
      </c>
      <c r="L2100" s="335">
        <f t="shared" ref="L2100:L2163" si="467">+J2100-K2100</f>
        <v>0</v>
      </c>
      <c r="M2100" s="421"/>
      <c r="N2100" s="421"/>
      <c r="O2100" s="421"/>
      <c r="P2100" s="421"/>
      <c r="Q2100" s="387">
        <f t="shared" si="459"/>
        <v>0</v>
      </c>
      <c r="R2100" s="314">
        <f t="shared" si="460"/>
        <v>0</v>
      </c>
      <c r="S2100" s="387"/>
      <c r="T2100" s="387"/>
      <c r="U2100" s="387">
        <f t="shared" si="461"/>
        <v>0</v>
      </c>
      <c r="V2100" s="314">
        <f t="shared" si="462"/>
        <v>0</v>
      </c>
      <c r="W2100" s="387"/>
      <c r="X2100" s="387"/>
      <c r="Y2100" s="387"/>
      <c r="Z2100" s="387"/>
      <c r="AA2100" s="387">
        <f t="shared" si="458"/>
        <v>0</v>
      </c>
      <c r="AB2100" s="314">
        <f t="shared" si="463"/>
        <v>0</v>
      </c>
      <c r="AC2100" s="387"/>
      <c r="AD2100" s="387"/>
      <c r="AE2100" s="387">
        <f t="shared" si="458"/>
        <v>0</v>
      </c>
      <c r="AF2100" s="314">
        <f t="shared" si="464"/>
        <v>0</v>
      </c>
      <c r="AG2100" s="387"/>
      <c r="AH2100" s="387"/>
      <c r="AI2100" s="387"/>
      <c r="AJ2100" s="387"/>
      <c r="AK2100" s="314">
        <f t="shared" ref="AK2100:AK2163" si="468">+R2100+V2100+AB2100+AF2100</f>
        <v>0</v>
      </c>
      <c r="AL2100" s="446">
        <f t="shared" ref="AL2100:AL2163" si="469">+J2100-AK2100</f>
        <v>0</v>
      </c>
      <c r="AM2100" s="110">
        <f t="shared" ref="AM2100:AM2163" si="470">+Q2100+U2100+AA2100+AE2100</f>
        <v>0</v>
      </c>
      <c r="AN2100" s="447">
        <f t="shared" si="466"/>
        <v>0</v>
      </c>
      <c r="AO2100" s="436">
        <f>SUM(J2101:J2105)</f>
        <v>1999.99856</v>
      </c>
      <c r="AP2100" s="111"/>
    </row>
    <row r="2101" spans="1:42" ht="66" x14ac:dyDescent="0.25">
      <c r="A2101" s="9"/>
      <c r="B2101" s="528" t="s">
        <v>2953</v>
      </c>
      <c r="C2101" s="1024"/>
      <c r="D2101" s="882">
        <v>1</v>
      </c>
      <c r="E2101" s="251" t="s">
        <v>2940</v>
      </c>
      <c r="F2101" s="273" t="s">
        <v>3446</v>
      </c>
      <c r="G2101" s="1040" t="s">
        <v>3463</v>
      </c>
      <c r="H2101" s="273" t="s">
        <v>3462</v>
      </c>
      <c r="I2101" s="720">
        <f>+J2101/D2101</f>
        <v>21.6</v>
      </c>
      <c r="J2101" s="756">
        <v>21.6</v>
      </c>
      <c r="K2101" s="131">
        <f t="shared" si="465"/>
        <v>21.6</v>
      </c>
      <c r="L2101" s="335">
        <f t="shared" si="467"/>
        <v>0</v>
      </c>
      <c r="M2101" s="446"/>
      <c r="N2101" s="446"/>
      <c r="O2101" s="446"/>
      <c r="P2101" s="446"/>
      <c r="Q2101" s="110">
        <v>1</v>
      </c>
      <c r="R2101" s="111">
        <v>21.6</v>
      </c>
      <c r="S2101" s="110"/>
      <c r="T2101" s="110"/>
      <c r="U2101" s="110">
        <v>0</v>
      </c>
      <c r="V2101" s="111">
        <v>0</v>
      </c>
      <c r="W2101" s="110"/>
      <c r="X2101" s="110"/>
      <c r="Y2101" s="110"/>
      <c r="Z2101" s="110"/>
      <c r="AA2101" s="110">
        <v>0</v>
      </c>
      <c r="AB2101" s="111">
        <v>0</v>
      </c>
      <c r="AC2101" s="110"/>
      <c r="AD2101" s="110"/>
      <c r="AE2101" s="110">
        <v>0</v>
      </c>
      <c r="AF2101" s="111">
        <v>0</v>
      </c>
      <c r="AG2101" s="110"/>
      <c r="AH2101" s="110"/>
      <c r="AI2101" s="110"/>
      <c r="AJ2101" s="110"/>
      <c r="AK2101" s="111">
        <f t="shared" si="468"/>
        <v>21.6</v>
      </c>
      <c r="AL2101" s="446">
        <f t="shared" si="469"/>
        <v>0</v>
      </c>
      <c r="AM2101" s="110">
        <f t="shared" si="470"/>
        <v>1</v>
      </c>
      <c r="AN2101" s="447">
        <f t="shared" si="466"/>
        <v>0</v>
      </c>
      <c r="AO2101"/>
      <c r="AP2101"/>
    </row>
    <row r="2102" spans="1:42" ht="66" x14ac:dyDescent="0.25">
      <c r="A2102" s="9"/>
      <c r="B2102" s="528" t="s">
        <v>2954</v>
      </c>
      <c r="C2102" s="1024"/>
      <c r="D2102" s="882">
        <v>4</v>
      </c>
      <c r="E2102" s="251" t="s">
        <v>1767</v>
      </c>
      <c r="F2102" s="273" t="s">
        <v>3446</v>
      </c>
      <c r="G2102" s="1040" t="s">
        <v>3463</v>
      </c>
      <c r="H2102" s="273" t="s">
        <v>3462</v>
      </c>
      <c r="I2102" s="720">
        <f>+J2102/D2102</f>
        <v>197.81963999999999</v>
      </c>
      <c r="J2102" s="756">
        <v>791.27855999999997</v>
      </c>
      <c r="K2102" s="131">
        <f t="shared" si="465"/>
        <v>791.27855999999997</v>
      </c>
      <c r="L2102" s="335">
        <f t="shared" si="467"/>
        <v>0</v>
      </c>
      <c r="M2102" s="446"/>
      <c r="N2102" s="446"/>
      <c r="O2102" s="446"/>
      <c r="P2102" s="446"/>
      <c r="Q2102" s="110">
        <f t="shared" si="459"/>
        <v>1</v>
      </c>
      <c r="R2102" s="111">
        <f t="shared" si="460"/>
        <v>197.81963999999999</v>
      </c>
      <c r="S2102" s="110"/>
      <c r="T2102" s="110"/>
      <c r="U2102" s="110">
        <f t="shared" si="461"/>
        <v>1</v>
      </c>
      <c r="V2102" s="111">
        <f t="shared" si="462"/>
        <v>197.81963999999999</v>
      </c>
      <c r="W2102" s="110"/>
      <c r="X2102" s="110"/>
      <c r="Y2102" s="110"/>
      <c r="Z2102" s="110"/>
      <c r="AA2102" s="110">
        <f t="shared" si="458"/>
        <v>1</v>
      </c>
      <c r="AB2102" s="111">
        <f t="shared" si="463"/>
        <v>197.81963999999999</v>
      </c>
      <c r="AC2102" s="110"/>
      <c r="AD2102" s="110"/>
      <c r="AE2102" s="110">
        <f t="shared" si="458"/>
        <v>1</v>
      </c>
      <c r="AF2102" s="111">
        <f t="shared" si="464"/>
        <v>197.81963999999999</v>
      </c>
      <c r="AG2102" s="110"/>
      <c r="AH2102" s="110"/>
      <c r="AI2102" s="110"/>
      <c r="AJ2102" s="110"/>
      <c r="AK2102" s="111">
        <f t="shared" si="468"/>
        <v>791.27855999999997</v>
      </c>
      <c r="AL2102" s="446">
        <f t="shared" si="469"/>
        <v>0</v>
      </c>
      <c r="AM2102" s="110">
        <f t="shared" si="470"/>
        <v>4</v>
      </c>
      <c r="AN2102" s="447">
        <f t="shared" si="466"/>
        <v>0</v>
      </c>
      <c r="AO2102"/>
      <c r="AP2102"/>
    </row>
    <row r="2103" spans="1:42" ht="66" x14ac:dyDescent="0.25">
      <c r="A2103" s="9"/>
      <c r="B2103" s="528" t="s">
        <v>2955</v>
      </c>
      <c r="C2103" s="1024"/>
      <c r="D2103" s="882">
        <v>1</v>
      </c>
      <c r="E2103" s="251" t="s">
        <v>2958</v>
      </c>
      <c r="F2103" s="273" t="s">
        <v>3446</v>
      </c>
      <c r="G2103" s="1040" t="s">
        <v>3463</v>
      </c>
      <c r="H2103" s="273" t="s">
        <v>3462</v>
      </c>
      <c r="I2103" s="720">
        <f>+J2103/D2103</f>
        <v>540</v>
      </c>
      <c r="J2103" s="756">
        <v>540</v>
      </c>
      <c r="K2103" s="131">
        <f t="shared" si="465"/>
        <v>540</v>
      </c>
      <c r="L2103" s="335">
        <f t="shared" si="467"/>
        <v>0</v>
      </c>
      <c r="M2103" s="446"/>
      <c r="N2103" s="446"/>
      <c r="O2103" s="446"/>
      <c r="P2103" s="446"/>
      <c r="Q2103" s="110">
        <v>1</v>
      </c>
      <c r="R2103" s="111">
        <v>540</v>
      </c>
      <c r="S2103" s="110"/>
      <c r="T2103" s="110"/>
      <c r="U2103" s="110">
        <v>0</v>
      </c>
      <c r="V2103" s="111">
        <v>0</v>
      </c>
      <c r="W2103" s="110"/>
      <c r="X2103" s="110"/>
      <c r="Y2103" s="110"/>
      <c r="Z2103" s="110"/>
      <c r="AA2103" s="110">
        <v>0</v>
      </c>
      <c r="AB2103" s="111">
        <v>0</v>
      </c>
      <c r="AC2103" s="110"/>
      <c r="AD2103" s="110"/>
      <c r="AE2103" s="110">
        <v>0</v>
      </c>
      <c r="AF2103" s="111">
        <v>0</v>
      </c>
      <c r="AG2103" s="110"/>
      <c r="AH2103" s="110"/>
      <c r="AI2103" s="110"/>
      <c r="AJ2103" s="110"/>
      <c r="AK2103" s="111">
        <f t="shared" si="468"/>
        <v>540</v>
      </c>
      <c r="AL2103" s="446">
        <f t="shared" si="469"/>
        <v>0</v>
      </c>
      <c r="AM2103" s="110">
        <f t="shared" si="470"/>
        <v>1</v>
      </c>
      <c r="AN2103" s="447">
        <f t="shared" si="466"/>
        <v>0</v>
      </c>
      <c r="AO2103"/>
      <c r="AP2103"/>
    </row>
    <row r="2104" spans="1:42" ht="66" x14ac:dyDescent="0.25">
      <c r="A2104" s="9"/>
      <c r="B2104" s="528" t="s">
        <v>2956</v>
      </c>
      <c r="C2104" s="1024"/>
      <c r="D2104" s="882">
        <v>1</v>
      </c>
      <c r="E2104" s="251" t="s">
        <v>2959</v>
      </c>
      <c r="F2104" s="273" t="s">
        <v>3446</v>
      </c>
      <c r="G2104" s="1040" t="s">
        <v>3463</v>
      </c>
      <c r="H2104" s="273" t="s">
        <v>3462</v>
      </c>
      <c r="I2104" s="720">
        <f>+J2104/D2104</f>
        <v>107.12</v>
      </c>
      <c r="J2104" s="756">
        <v>107.12</v>
      </c>
      <c r="K2104" s="131">
        <f t="shared" si="465"/>
        <v>107.12</v>
      </c>
      <c r="L2104" s="335">
        <f t="shared" si="467"/>
        <v>0</v>
      </c>
      <c r="M2104" s="446"/>
      <c r="N2104" s="446"/>
      <c r="O2104" s="446"/>
      <c r="P2104" s="446"/>
      <c r="Q2104" s="110">
        <v>1</v>
      </c>
      <c r="R2104" s="111">
        <v>107.12</v>
      </c>
      <c r="S2104" s="110"/>
      <c r="T2104" s="110"/>
      <c r="U2104" s="110">
        <v>0</v>
      </c>
      <c r="V2104" s="111">
        <v>0</v>
      </c>
      <c r="W2104" s="110"/>
      <c r="X2104" s="110"/>
      <c r="Y2104" s="110"/>
      <c r="Z2104" s="110"/>
      <c r="AA2104" s="110">
        <v>0</v>
      </c>
      <c r="AB2104" s="111">
        <v>0</v>
      </c>
      <c r="AC2104" s="110"/>
      <c r="AD2104" s="110"/>
      <c r="AE2104" s="110">
        <v>0</v>
      </c>
      <c r="AF2104" s="111">
        <v>0</v>
      </c>
      <c r="AG2104" s="110"/>
      <c r="AH2104" s="110"/>
      <c r="AI2104" s="110"/>
      <c r="AJ2104" s="110"/>
      <c r="AK2104" s="111">
        <f t="shared" si="468"/>
        <v>107.12</v>
      </c>
      <c r="AL2104" s="446">
        <f t="shared" si="469"/>
        <v>0</v>
      </c>
      <c r="AM2104" s="110">
        <f t="shared" si="470"/>
        <v>1</v>
      </c>
      <c r="AN2104" s="447">
        <f t="shared" si="466"/>
        <v>0</v>
      </c>
      <c r="AO2104"/>
      <c r="AP2104"/>
    </row>
    <row r="2105" spans="1:42" ht="66" x14ac:dyDescent="0.25">
      <c r="A2105" s="9"/>
      <c r="B2105" s="528" t="s">
        <v>2957</v>
      </c>
      <c r="C2105" s="1024"/>
      <c r="D2105" s="882">
        <v>1</v>
      </c>
      <c r="E2105" s="251" t="s">
        <v>2958</v>
      </c>
      <c r="F2105" s="273" t="s">
        <v>3446</v>
      </c>
      <c r="G2105" s="1040" t="s">
        <v>3463</v>
      </c>
      <c r="H2105" s="273" t="s">
        <v>3462</v>
      </c>
      <c r="I2105" s="720">
        <f>+J2105/D2105</f>
        <v>540</v>
      </c>
      <c r="J2105" s="756">
        <v>540</v>
      </c>
      <c r="K2105" s="131">
        <f t="shared" si="465"/>
        <v>540</v>
      </c>
      <c r="L2105" s="335">
        <f t="shared" si="467"/>
        <v>0</v>
      </c>
      <c r="M2105" s="446"/>
      <c r="N2105" s="446"/>
      <c r="O2105" s="446"/>
      <c r="P2105" s="446"/>
      <c r="Q2105" s="110">
        <v>1</v>
      </c>
      <c r="R2105" s="111">
        <v>540</v>
      </c>
      <c r="S2105" s="110"/>
      <c r="T2105" s="110"/>
      <c r="U2105" s="110">
        <v>0</v>
      </c>
      <c r="V2105" s="111">
        <v>0</v>
      </c>
      <c r="W2105" s="110"/>
      <c r="X2105" s="110"/>
      <c r="Y2105" s="110"/>
      <c r="Z2105" s="110"/>
      <c r="AA2105" s="110">
        <v>0</v>
      </c>
      <c r="AB2105" s="111">
        <v>0</v>
      </c>
      <c r="AC2105" s="110"/>
      <c r="AD2105" s="110"/>
      <c r="AE2105" s="110">
        <v>0</v>
      </c>
      <c r="AF2105" s="111">
        <v>0</v>
      </c>
      <c r="AG2105" s="110"/>
      <c r="AH2105" s="110"/>
      <c r="AI2105" s="110"/>
      <c r="AJ2105" s="110"/>
      <c r="AK2105" s="111">
        <f t="shared" si="468"/>
        <v>540</v>
      </c>
      <c r="AL2105" s="446">
        <f t="shared" si="469"/>
        <v>0</v>
      </c>
      <c r="AM2105" s="110">
        <f t="shared" si="470"/>
        <v>1</v>
      </c>
      <c r="AN2105" s="447">
        <f t="shared" si="466"/>
        <v>0</v>
      </c>
      <c r="AO2105"/>
      <c r="AP2105"/>
    </row>
    <row r="2106" spans="1:42" x14ac:dyDescent="0.25">
      <c r="A2106" s="9"/>
      <c r="B2106" s="518"/>
      <c r="C2106" s="1024"/>
      <c r="D2106" s="869"/>
      <c r="E2106" s="1027"/>
      <c r="F2106" s="272"/>
      <c r="G2106" s="272"/>
      <c r="H2106" s="272"/>
      <c r="I2106" s="720"/>
      <c r="J2106" s="756"/>
      <c r="K2106" s="131">
        <f t="shared" si="465"/>
        <v>0</v>
      </c>
      <c r="L2106" s="335">
        <f t="shared" si="467"/>
        <v>0</v>
      </c>
      <c r="M2106" s="446"/>
      <c r="N2106" s="446"/>
      <c r="O2106" s="446"/>
      <c r="P2106" s="446"/>
      <c r="Q2106" s="110">
        <f t="shared" si="459"/>
        <v>0</v>
      </c>
      <c r="R2106" s="111">
        <f t="shared" si="460"/>
        <v>0</v>
      </c>
      <c r="S2106" s="110"/>
      <c r="T2106" s="110"/>
      <c r="U2106" s="110">
        <f t="shared" si="461"/>
        <v>0</v>
      </c>
      <c r="V2106" s="111">
        <f t="shared" si="462"/>
        <v>0</v>
      </c>
      <c r="W2106" s="110"/>
      <c r="X2106" s="110"/>
      <c r="Y2106" s="110"/>
      <c r="Z2106" s="110"/>
      <c r="AA2106" s="110">
        <f t="shared" si="458"/>
        <v>0</v>
      </c>
      <c r="AB2106" s="111">
        <f t="shared" si="463"/>
        <v>0</v>
      </c>
      <c r="AC2106" s="110"/>
      <c r="AD2106" s="110"/>
      <c r="AE2106" s="110">
        <f t="shared" si="458"/>
        <v>0</v>
      </c>
      <c r="AF2106" s="111">
        <f t="shared" si="464"/>
        <v>0</v>
      </c>
      <c r="AG2106" s="110"/>
      <c r="AH2106" s="110"/>
      <c r="AI2106" s="110"/>
      <c r="AJ2106" s="110"/>
      <c r="AK2106" s="111">
        <f t="shared" si="468"/>
        <v>0</v>
      </c>
      <c r="AL2106" s="446">
        <f t="shared" si="469"/>
        <v>0</v>
      </c>
      <c r="AM2106" s="110">
        <f t="shared" si="470"/>
        <v>0</v>
      </c>
      <c r="AN2106" s="447">
        <f t="shared" si="466"/>
        <v>0</v>
      </c>
      <c r="AO2106"/>
      <c r="AP2106"/>
    </row>
    <row r="2107" spans="1:42" x14ac:dyDescent="0.25">
      <c r="A2107" s="310">
        <v>24103</v>
      </c>
      <c r="B2107" s="551" t="s">
        <v>561</v>
      </c>
      <c r="C2107" s="311"/>
      <c r="D2107" s="902"/>
      <c r="E2107" s="312"/>
      <c r="F2107" s="313"/>
      <c r="G2107" s="313"/>
      <c r="H2107" s="313"/>
      <c r="I2107" s="729"/>
      <c r="J2107" s="792"/>
      <c r="K2107" s="131">
        <f t="shared" si="465"/>
        <v>0</v>
      </c>
      <c r="L2107" s="335">
        <f t="shared" si="467"/>
        <v>0</v>
      </c>
      <c r="M2107" s="421"/>
      <c r="N2107" s="421"/>
      <c r="O2107" s="421"/>
      <c r="P2107" s="421"/>
      <c r="Q2107" s="387">
        <f t="shared" si="459"/>
        <v>0</v>
      </c>
      <c r="R2107" s="314">
        <f t="shared" si="460"/>
        <v>0</v>
      </c>
      <c r="S2107" s="387"/>
      <c r="T2107" s="387"/>
      <c r="U2107" s="387">
        <f t="shared" si="461"/>
        <v>0</v>
      </c>
      <c r="V2107" s="314">
        <f t="shared" si="462"/>
        <v>0</v>
      </c>
      <c r="W2107" s="387"/>
      <c r="X2107" s="387"/>
      <c r="Y2107" s="387"/>
      <c r="Z2107" s="387"/>
      <c r="AA2107" s="387">
        <f t="shared" si="458"/>
        <v>0</v>
      </c>
      <c r="AB2107" s="314">
        <f t="shared" si="463"/>
        <v>0</v>
      </c>
      <c r="AC2107" s="387"/>
      <c r="AD2107" s="387"/>
      <c r="AE2107" s="387">
        <f t="shared" si="458"/>
        <v>0</v>
      </c>
      <c r="AF2107" s="314">
        <f t="shared" si="464"/>
        <v>0</v>
      </c>
      <c r="AG2107" s="387"/>
      <c r="AH2107" s="387"/>
      <c r="AI2107" s="387"/>
      <c r="AJ2107" s="387"/>
      <c r="AK2107" s="314">
        <f t="shared" si="468"/>
        <v>0</v>
      </c>
      <c r="AL2107" s="446">
        <f t="shared" si="469"/>
        <v>0</v>
      </c>
      <c r="AM2107" s="110">
        <f t="shared" si="470"/>
        <v>0</v>
      </c>
      <c r="AN2107" s="447">
        <f t="shared" si="466"/>
        <v>0</v>
      </c>
      <c r="AO2107" s="108"/>
      <c r="AP2107"/>
    </row>
    <row r="2108" spans="1:42" x14ac:dyDescent="0.25">
      <c r="A2108" s="9"/>
      <c r="B2108" s="518"/>
      <c r="D2108" s="894"/>
      <c r="E2108" s="138"/>
      <c r="F2108" s="279"/>
      <c r="G2108" s="279"/>
      <c r="H2108" s="279"/>
      <c r="I2108" s="720"/>
      <c r="J2108" s="773"/>
      <c r="K2108" s="131">
        <f t="shared" si="465"/>
        <v>0</v>
      </c>
      <c r="L2108" s="335">
        <f t="shared" si="467"/>
        <v>0</v>
      </c>
      <c r="M2108" s="446"/>
      <c r="N2108" s="446"/>
      <c r="O2108" s="446"/>
      <c r="P2108" s="446"/>
      <c r="Q2108" s="110">
        <f t="shared" si="459"/>
        <v>0</v>
      </c>
      <c r="R2108" s="111">
        <f t="shared" si="460"/>
        <v>0</v>
      </c>
      <c r="S2108" s="110"/>
      <c r="T2108" s="110"/>
      <c r="U2108" s="110">
        <f t="shared" si="461"/>
        <v>0</v>
      </c>
      <c r="V2108" s="111">
        <f t="shared" si="462"/>
        <v>0</v>
      </c>
      <c r="W2108" s="110"/>
      <c r="X2108" s="110"/>
      <c r="Y2108" s="110"/>
      <c r="Z2108" s="110"/>
      <c r="AA2108" s="110">
        <f t="shared" si="458"/>
        <v>0</v>
      </c>
      <c r="AB2108" s="111">
        <f t="shared" si="463"/>
        <v>0</v>
      </c>
      <c r="AC2108" s="110"/>
      <c r="AD2108" s="110"/>
      <c r="AE2108" s="110">
        <f t="shared" si="458"/>
        <v>0</v>
      </c>
      <c r="AF2108" s="111">
        <f t="shared" si="464"/>
        <v>0</v>
      </c>
      <c r="AG2108" s="110"/>
      <c r="AH2108" s="110"/>
      <c r="AI2108" s="110"/>
      <c r="AJ2108" s="110"/>
      <c r="AK2108" s="111">
        <f t="shared" si="468"/>
        <v>0</v>
      </c>
      <c r="AL2108" s="446">
        <f t="shared" si="469"/>
        <v>0</v>
      </c>
      <c r="AM2108" s="110">
        <f t="shared" si="470"/>
        <v>0</v>
      </c>
      <c r="AN2108" s="447">
        <f t="shared" si="466"/>
        <v>0</v>
      </c>
      <c r="AO2108"/>
      <c r="AP2108"/>
    </row>
    <row r="2109" spans="1:42" x14ac:dyDescent="0.25">
      <c r="A2109" s="376">
        <v>242</v>
      </c>
      <c r="B2109" s="565" t="s">
        <v>562</v>
      </c>
      <c r="C2109" s="416"/>
      <c r="D2109" s="921"/>
      <c r="E2109" s="377"/>
      <c r="F2109" s="378"/>
      <c r="G2109" s="378"/>
      <c r="H2109" s="378"/>
      <c r="I2109" s="734"/>
      <c r="J2109" s="840"/>
      <c r="K2109" s="131">
        <f t="shared" si="465"/>
        <v>0</v>
      </c>
      <c r="L2109" s="335">
        <f t="shared" si="467"/>
        <v>0</v>
      </c>
      <c r="M2109" s="419"/>
      <c r="N2109" s="419"/>
      <c r="O2109" s="419"/>
      <c r="P2109" s="419"/>
      <c r="Q2109" s="418">
        <f t="shared" si="459"/>
        <v>0</v>
      </c>
      <c r="R2109" s="379">
        <f t="shared" si="460"/>
        <v>0</v>
      </c>
      <c r="S2109" s="418"/>
      <c r="T2109" s="418"/>
      <c r="U2109" s="418">
        <f t="shared" si="461"/>
        <v>0</v>
      </c>
      <c r="V2109" s="379">
        <f t="shared" si="462"/>
        <v>0</v>
      </c>
      <c r="W2109" s="418"/>
      <c r="X2109" s="418"/>
      <c r="Y2109" s="418"/>
      <c r="Z2109" s="418"/>
      <c r="AA2109" s="418">
        <f t="shared" si="458"/>
        <v>0</v>
      </c>
      <c r="AB2109" s="379">
        <f t="shared" si="463"/>
        <v>0</v>
      </c>
      <c r="AC2109" s="418"/>
      <c r="AD2109" s="418"/>
      <c r="AE2109" s="418">
        <f t="shared" si="458"/>
        <v>0</v>
      </c>
      <c r="AF2109" s="379">
        <f t="shared" si="464"/>
        <v>0</v>
      </c>
      <c r="AG2109" s="418"/>
      <c r="AH2109" s="418"/>
      <c r="AI2109" s="418"/>
      <c r="AJ2109" s="418"/>
      <c r="AK2109" s="379">
        <f t="shared" si="468"/>
        <v>0</v>
      </c>
      <c r="AL2109" s="446">
        <f t="shared" si="469"/>
        <v>0</v>
      </c>
      <c r="AM2109" s="110">
        <f t="shared" si="470"/>
        <v>0</v>
      </c>
      <c r="AN2109" s="447">
        <f t="shared" si="466"/>
        <v>0</v>
      </c>
      <c r="AO2109" s="108"/>
      <c r="AP2109"/>
    </row>
    <row r="2110" spans="1:42" x14ac:dyDescent="0.25">
      <c r="A2110" s="310">
        <v>24201</v>
      </c>
      <c r="B2110" s="551" t="s">
        <v>562</v>
      </c>
      <c r="C2110" s="311"/>
      <c r="D2110" s="902"/>
      <c r="E2110" s="312"/>
      <c r="F2110" s="313"/>
      <c r="G2110" s="313"/>
      <c r="H2110" s="313"/>
      <c r="I2110" s="729"/>
      <c r="J2110" s="792"/>
      <c r="K2110" s="131">
        <f t="shared" si="465"/>
        <v>0</v>
      </c>
      <c r="L2110" s="335">
        <f t="shared" si="467"/>
        <v>0</v>
      </c>
      <c r="M2110" s="421"/>
      <c r="N2110" s="421"/>
      <c r="O2110" s="421"/>
      <c r="P2110" s="421"/>
      <c r="Q2110" s="387">
        <f t="shared" si="459"/>
        <v>0</v>
      </c>
      <c r="R2110" s="314">
        <f t="shared" si="460"/>
        <v>0</v>
      </c>
      <c r="S2110" s="387"/>
      <c r="T2110" s="387"/>
      <c r="U2110" s="387">
        <f t="shared" si="461"/>
        <v>0</v>
      </c>
      <c r="V2110" s="314">
        <f t="shared" si="462"/>
        <v>0</v>
      </c>
      <c r="W2110" s="387"/>
      <c r="X2110" s="387"/>
      <c r="Y2110" s="387"/>
      <c r="Z2110" s="387"/>
      <c r="AA2110" s="387">
        <f t="shared" si="458"/>
        <v>0</v>
      </c>
      <c r="AB2110" s="314">
        <f t="shared" si="463"/>
        <v>0</v>
      </c>
      <c r="AC2110" s="387"/>
      <c r="AD2110" s="387"/>
      <c r="AE2110" s="387">
        <f t="shared" si="458"/>
        <v>0</v>
      </c>
      <c r="AF2110" s="314">
        <f t="shared" si="464"/>
        <v>0</v>
      </c>
      <c r="AG2110" s="387"/>
      <c r="AH2110" s="387"/>
      <c r="AI2110" s="387"/>
      <c r="AJ2110" s="387"/>
      <c r="AK2110" s="314">
        <f t="shared" si="468"/>
        <v>0</v>
      </c>
      <c r="AL2110" s="446">
        <f t="shared" si="469"/>
        <v>0</v>
      </c>
      <c r="AM2110" s="110">
        <f t="shared" si="470"/>
        <v>0</v>
      </c>
      <c r="AN2110" s="447">
        <f t="shared" si="466"/>
        <v>0</v>
      </c>
      <c r="AO2110" s="436">
        <f>SUM(J2111:J2113)</f>
        <v>10888.550000000001</v>
      </c>
      <c r="AP2110" s="111"/>
    </row>
    <row r="2111" spans="1:42" ht="66" x14ac:dyDescent="0.25">
      <c r="A2111" s="9"/>
      <c r="B2111" s="125" t="s">
        <v>1185</v>
      </c>
      <c r="C2111" s="1024"/>
      <c r="D2111" s="869">
        <f>10+6</f>
        <v>16</v>
      </c>
      <c r="E2111" s="1027" t="s">
        <v>1721</v>
      </c>
      <c r="F2111" s="273" t="s">
        <v>3446</v>
      </c>
      <c r="G2111" s="1040" t="s">
        <v>3463</v>
      </c>
      <c r="H2111" s="273" t="s">
        <v>3462</v>
      </c>
      <c r="I2111" s="720">
        <f>+J2111/D2111</f>
        <v>366.16250000000002</v>
      </c>
      <c r="J2111" s="756">
        <f>3858.6+2000</f>
        <v>5858.6</v>
      </c>
      <c r="K2111" s="131">
        <f t="shared" si="465"/>
        <v>5858.6</v>
      </c>
      <c r="L2111" s="335">
        <f t="shared" si="467"/>
        <v>0</v>
      </c>
      <c r="M2111" s="446"/>
      <c r="N2111" s="446"/>
      <c r="O2111" s="446"/>
      <c r="P2111" s="446"/>
      <c r="Q2111" s="110">
        <f t="shared" si="459"/>
        <v>4</v>
      </c>
      <c r="R2111" s="111">
        <f t="shared" si="460"/>
        <v>1464.65</v>
      </c>
      <c r="S2111" s="110"/>
      <c r="T2111" s="110"/>
      <c r="U2111" s="110">
        <f t="shared" si="461"/>
        <v>4</v>
      </c>
      <c r="V2111" s="111">
        <f t="shared" si="462"/>
        <v>1464.65</v>
      </c>
      <c r="W2111" s="110"/>
      <c r="X2111" s="110"/>
      <c r="Y2111" s="110"/>
      <c r="Z2111" s="110"/>
      <c r="AA2111" s="110">
        <f t="shared" si="458"/>
        <v>4</v>
      </c>
      <c r="AB2111" s="111">
        <f t="shared" si="463"/>
        <v>1464.65</v>
      </c>
      <c r="AC2111" s="110"/>
      <c r="AD2111" s="110"/>
      <c r="AE2111" s="110">
        <f t="shared" si="458"/>
        <v>4</v>
      </c>
      <c r="AF2111" s="111">
        <f t="shared" si="464"/>
        <v>1464.65</v>
      </c>
      <c r="AG2111" s="110"/>
      <c r="AH2111" s="110"/>
      <c r="AI2111" s="110"/>
      <c r="AJ2111" s="110"/>
      <c r="AK2111" s="111">
        <f t="shared" si="468"/>
        <v>5858.6</v>
      </c>
      <c r="AL2111" s="446">
        <f t="shared" si="469"/>
        <v>0</v>
      </c>
      <c r="AM2111" s="110">
        <f t="shared" si="470"/>
        <v>16</v>
      </c>
      <c r="AN2111" s="447">
        <f t="shared" si="466"/>
        <v>0</v>
      </c>
      <c r="AO2111"/>
      <c r="AP2111"/>
    </row>
    <row r="2112" spans="1:42" ht="66" x14ac:dyDescent="0.25">
      <c r="A2112" s="9"/>
      <c r="B2112" s="125" t="s">
        <v>1186</v>
      </c>
      <c r="C2112" s="1024"/>
      <c r="D2112" s="869">
        <f>10</f>
        <v>10</v>
      </c>
      <c r="E2112" s="1027" t="s">
        <v>1721</v>
      </c>
      <c r="F2112" s="273" t="s">
        <v>3446</v>
      </c>
      <c r="G2112" s="1040" t="s">
        <v>3463</v>
      </c>
      <c r="H2112" s="273" t="s">
        <v>3462</v>
      </c>
      <c r="I2112" s="720">
        <f>+J2112/D2112</f>
        <v>406.53000000000003</v>
      </c>
      <c r="J2112" s="756">
        <f>4065.3</f>
        <v>4065.3</v>
      </c>
      <c r="K2112" s="131">
        <f t="shared" si="465"/>
        <v>4065.3</v>
      </c>
      <c r="L2112" s="335">
        <f t="shared" si="467"/>
        <v>0</v>
      </c>
      <c r="M2112" s="446"/>
      <c r="N2112" s="446"/>
      <c r="O2112" s="446"/>
      <c r="P2112" s="446"/>
      <c r="Q2112" s="130">
        <v>3</v>
      </c>
      <c r="R2112" s="111">
        <f t="shared" si="460"/>
        <v>1016.325</v>
      </c>
      <c r="S2112" s="110"/>
      <c r="T2112" s="110"/>
      <c r="U2112" s="130">
        <v>3</v>
      </c>
      <c r="V2112" s="111">
        <f t="shared" si="462"/>
        <v>1016.325</v>
      </c>
      <c r="W2112" s="110"/>
      <c r="X2112" s="110"/>
      <c r="Y2112" s="110"/>
      <c r="Z2112" s="110"/>
      <c r="AA2112" s="130">
        <v>2</v>
      </c>
      <c r="AB2112" s="111">
        <f t="shared" si="463"/>
        <v>1016.325</v>
      </c>
      <c r="AC2112" s="110"/>
      <c r="AD2112" s="110"/>
      <c r="AE2112" s="130">
        <v>2</v>
      </c>
      <c r="AF2112" s="111">
        <f t="shared" si="464"/>
        <v>1016.325</v>
      </c>
      <c r="AG2112" s="110"/>
      <c r="AH2112" s="110"/>
      <c r="AI2112" s="110"/>
      <c r="AJ2112" s="110"/>
      <c r="AK2112" s="111">
        <f t="shared" si="468"/>
        <v>4065.3</v>
      </c>
      <c r="AL2112" s="446">
        <f t="shared" si="469"/>
        <v>0</v>
      </c>
      <c r="AM2112" s="110">
        <f t="shared" si="470"/>
        <v>10</v>
      </c>
      <c r="AN2112" s="447">
        <f t="shared" si="466"/>
        <v>0</v>
      </c>
      <c r="AO2112"/>
      <c r="AP2112"/>
    </row>
    <row r="2113" spans="1:42" ht="66" x14ac:dyDescent="0.25">
      <c r="A2113" s="9"/>
      <c r="B2113" s="125" t="s">
        <v>1187</v>
      </c>
      <c r="C2113" s="1024"/>
      <c r="D2113" s="869">
        <f>5</f>
        <v>5</v>
      </c>
      <c r="E2113" s="1027" t="s">
        <v>1721</v>
      </c>
      <c r="F2113" s="273" t="s">
        <v>3446</v>
      </c>
      <c r="G2113" s="1040" t="s">
        <v>3463</v>
      </c>
      <c r="H2113" s="273" t="s">
        <v>3462</v>
      </c>
      <c r="I2113" s="720">
        <f>+J2113/D2113</f>
        <v>192.93</v>
      </c>
      <c r="J2113" s="756">
        <f>964.65</f>
        <v>964.65</v>
      </c>
      <c r="K2113" s="131">
        <f t="shared" si="465"/>
        <v>964.65000000000009</v>
      </c>
      <c r="L2113" s="335">
        <f t="shared" si="467"/>
        <v>0</v>
      </c>
      <c r="M2113" s="446"/>
      <c r="N2113" s="446"/>
      <c r="O2113" s="446"/>
      <c r="P2113" s="446"/>
      <c r="Q2113" s="110">
        <v>2</v>
      </c>
      <c r="R2113" s="111">
        <f t="shared" si="460"/>
        <v>241.16249999999999</v>
      </c>
      <c r="S2113" s="110"/>
      <c r="T2113" s="110"/>
      <c r="U2113" s="110">
        <v>1</v>
      </c>
      <c r="V2113" s="111">
        <f t="shared" si="462"/>
        <v>241.16249999999999</v>
      </c>
      <c r="W2113" s="110"/>
      <c r="X2113" s="110"/>
      <c r="Y2113" s="110"/>
      <c r="Z2113" s="110"/>
      <c r="AA2113" s="110">
        <v>1</v>
      </c>
      <c r="AB2113" s="111">
        <f t="shared" si="463"/>
        <v>241.16249999999999</v>
      </c>
      <c r="AC2113" s="110"/>
      <c r="AD2113" s="110"/>
      <c r="AE2113" s="110">
        <v>1</v>
      </c>
      <c r="AF2113" s="111">
        <f t="shared" si="464"/>
        <v>241.16249999999999</v>
      </c>
      <c r="AG2113" s="110"/>
      <c r="AH2113" s="110"/>
      <c r="AI2113" s="110"/>
      <c r="AJ2113" s="110"/>
      <c r="AK2113" s="111">
        <f t="shared" si="468"/>
        <v>964.65</v>
      </c>
      <c r="AL2113" s="446">
        <f t="shared" si="469"/>
        <v>0</v>
      </c>
      <c r="AM2113" s="110">
        <f t="shared" si="470"/>
        <v>5</v>
      </c>
      <c r="AN2113" s="447">
        <f t="shared" si="466"/>
        <v>0</v>
      </c>
      <c r="AO2113"/>
      <c r="AP2113"/>
    </row>
    <row r="2114" spans="1:42" s="108" customFormat="1" x14ac:dyDescent="0.25">
      <c r="A2114" s="9"/>
      <c r="B2114" s="518"/>
      <c r="C2114" s="1024"/>
      <c r="D2114" s="894"/>
      <c r="E2114" s="138"/>
      <c r="F2114" s="279"/>
      <c r="G2114" s="279"/>
      <c r="H2114" s="279"/>
      <c r="I2114" s="722"/>
      <c r="J2114" s="773"/>
      <c r="K2114" s="131">
        <f t="shared" si="465"/>
        <v>0</v>
      </c>
      <c r="L2114" s="335">
        <f t="shared" si="467"/>
        <v>0</v>
      </c>
      <c r="M2114" s="335"/>
      <c r="N2114" s="335"/>
      <c r="O2114" s="335"/>
      <c r="P2114" s="335"/>
      <c r="Q2114" s="130">
        <f t="shared" si="459"/>
        <v>0</v>
      </c>
      <c r="R2114" s="131">
        <f t="shared" si="460"/>
        <v>0</v>
      </c>
      <c r="S2114" s="130"/>
      <c r="T2114" s="130"/>
      <c r="U2114" s="130">
        <f t="shared" si="461"/>
        <v>0</v>
      </c>
      <c r="V2114" s="131">
        <f t="shared" si="462"/>
        <v>0</v>
      </c>
      <c r="W2114" s="130"/>
      <c r="X2114" s="130"/>
      <c r="Y2114" s="130"/>
      <c r="Z2114" s="130"/>
      <c r="AA2114" s="130">
        <f t="shared" si="458"/>
        <v>0</v>
      </c>
      <c r="AB2114" s="131">
        <f t="shared" si="463"/>
        <v>0</v>
      </c>
      <c r="AC2114" s="130"/>
      <c r="AD2114" s="130"/>
      <c r="AE2114" s="130">
        <f t="shared" si="458"/>
        <v>0</v>
      </c>
      <c r="AF2114" s="131">
        <f t="shared" si="464"/>
        <v>0</v>
      </c>
      <c r="AG2114" s="130"/>
      <c r="AH2114" s="130"/>
      <c r="AI2114" s="130"/>
      <c r="AJ2114" s="130"/>
      <c r="AK2114" s="131">
        <f t="shared" si="468"/>
        <v>0</v>
      </c>
      <c r="AL2114" s="335">
        <f t="shared" si="469"/>
        <v>0</v>
      </c>
      <c r="AM2114" s="130">
        <f t="shared" si="470"/>
        <v>0</v>
      </c>
      <c r="AN2114" s="336">
        <f t="shared" si="466"/>
        <v>0</v>
      </c>
    </row>
    <row r="2115" spans="1:42" x14ac:dyDescent="0.25">
      <c r="A2115" s="376">
        <v>243</v>
      </c>
      <c r="B2115" s="565" t="s">
        <v>563</v>
      </c>
      <c r="C2115" s="416"/>
      <c r="D2115" s="921"/>
      <c r="E2115" s="377"/>
      <c r="F2115" s="378"/>
      <c r="G2115" s="378"/>
      <c r="H2115" s="378"/>
      <c r="I2115" s="734"/>
      <c r="J2115" s="840"/>
      <c r="K2115" s="131">
        <f t="shared" si="465"/>
        <v>0</v>
      </c>
      <c r="L2115" s="335">
        <f t="shared" si="467"/>
        <v>0</v>
      </c>
      <c r="M2115" s="419"/>
      <c r="N2115" s="419"/>
      <c r="O2115" s="419"/>
      <c r="P2115" s="419"/>
      <c r="Q2115" s="418">
        <f t="shared" si="459"/>
        <v>0</v>
      </c>
      <c r="R2115" s="379">
        <f t="shared" si="460"/>
        <v>0</v>
      </c>
      <c r="S2115" s="418"/>
      <c r="T2115" s="418"/>
      <c r="U2115" s="418">
        <f t="shared" si="461"/>
        <v>0</v>
      </c>
      <c r="V2115" s="379">
        <f t="shared" si="462"/>
        <v>0</v>
      </c>
      <c r="W2115" s="418"/>
      <c r="X2115" s="418"/>
      <c r="Y2115" s="418"/>
      <c r="Z2115" s="418"/>
      <c r="AA2115" s="418">
        <f t="shared" ref="AA2115:AE2163" si="471">+$D2115/4</f>
        <v>0</v>
      </c>
      <c r="AB2115" s="379">
        <f t="shared" si="463"/>
        <v>0</v>
      </c>
      <c r="AC2115" s="418"/>
      <c r="AD2115" s="418"/>
      <c r="AE2115" s="418">
        <f t="shared" si="471"/>
        <v>0</v>
      </c>
      <c r="AF2115" s="379">
        <f t="shared" si="464"/>
        <v>0</v>
      </c>
      <c r="AG2115" s="418"/>
      <c r="AH2115" s="418"/>
      <c r="AI2115" s="418"/>
      <c r="AJ2115" s="418"/>
      <c r="AK2115" s="379">
        <f t="shared" si="468"/>
        <v>0</v>
      </c>
      <c r="AL2115" s="446">
        <f t="shared" si="469"/>
        <v>0</v>
      </c>
      <c r="AM2115" s="110">
        <f t="shared" si="470"/>
        <v>0</v>
      </c>
      <c r="AN2115" s="447">
        <f t="shared" si="466"/>
        <v>0</v>
      </c>
      <c r="AO2115" s="108"/>
      <c r="AP2115"/>
    </row>
    <row r="2116" spans="1:42" x14ac:dyDescent="0.25">
      <c r="A2116" s="310">
        <v>24301</v>
      </c>
      <c r="B2116" s="551" t="s">
        <v>563</v>
      </c>
      <c r="C2116" s="311"/>
      <c r="D2116" s="902"/>
      <c r="E2116" s="312"/>
      <c r="F2116" s="313"/>
      <c r="G2116" s="313"/>
      <c r="H2116" s="313"/>
      <c r="I2116" s="729"/>
      <c r="J2116" s="792"/>
      <c r="K2116" s="131">
        <f t="shared" si="465"/>
        <v>0</v>
      </c>
      <c r="L2116" s="335">
        <f t="shared" si="467"/>
        <v>0</v>
      </c>
      <c r="M2116" s="421"/>
      <c r="N2116" s="421"/>
      <c r="O2116" s="421"/>
      <c r="P2116" s="421"/>
      <c r="Q2116" s="387">
        <f t="shared" si="459"/>
        <v>0</v>
      </c>
      <c r="R2116" s="314">
        <f t="shared" si="460"/>
        <v>0</v>
      </c>
      <c r="S2116" s="387"/>
      <c r="T2116" s="387"/>
      <c r="U2116" s="387">
        <f t="shared" si="461"/>
        <v>0</v>
      </c>
      <c r="V2116" s="314">
        <f t="shared" si="462"/>
        <v>0</v>
      </c>
      <c r="W2116" s="387"/>
      <c r="X2116" s="387"/>
      <c r="Y2116" s="387"/>
      <c r="Z2116" s="387"/>
      <c r="AA2116" s="387">
        <f t="shared" si="471"/>
        <v>0</v>
      </c>
      <c r="AB2116" s="314">
        <f t="shared" si="463"/>
        <v>0</v>
      </c>
      <c r="AC2116" s="387"/>
      <c r="AD2116" s="387"/>
      <c r="AE2116" s="387">
        <f t="shared" si="471"/>
        <v>0</v>
      </c>
      <c r="AF2116" s="314">
        <f t="shared" si="464"/>
        <v>0</v>
      </c>
      <c r="AG2116" s="387"/>
      <c r="AH2116" s="387"/>
      <c r="AI2116" s="387"/>
      <c r="AJ2116" s="387"/>
      <c r="AK2116" s="314">
        <f t="shared" si="468"/>
        <v>0</v>
      </c>
      <c r="AL2116" s="446">
        <f t="shared" si="469"/>
        <v>0</v>
      </c>
      <c r="AM2116" s="110">
        <f t="shared" si="470"/>
        <v>0</v>
      </c>
      <c r="AN2116" s="447">
        <f t="shared" si="466"/>
        <v>0</v>
      </c>
      <c r="AO2116" s="436">
        <f>SUM(J2117:J2119)</f>
        <v>30602.07</v>
      </c>
      <c r="AP2116" s="111"/>
    </row>
    <row r="2117" spans="1:42" ht="66" x14ac:dyDescent="0.25">
      <c r="A2117" s="9"/>
      <c r="B2117" s="125" t="s">
        <v>1188</v>
      </c>
      <c r="C2117" s="1024"/>
      <c r="D2117" s="869">
        <f>7</f>
        <v>7</v>
      </c>
      <c r="E2117" s="1027" t="s">
        <v>1722</v>
      </c>
      <c r="F2117" s="278" t="s">
        <v>3446</v>
      </c>
      <c r="G2117" s="1040" t="s">
        <v>3463</v>
      </c>
      <c r="H2117" s="273" t="s">
        <v>3462</v>
      </c>
      <c r="I2117" s="720">
        <f>+J2117/D2117</f>
        <v>4086.0099999999998</v>
      </c>
      <c r="J2117" s="756">
        <f>28602.07</f>
        <v>28602.07</v>
      </c>
      <c r="K2117" s="131">
        <f t="shared" si="465"/>
        <v>28602.07</v>
      </c>
      <c r="L2117" s="335">
        <f t="shared" si="467"/>
        <v>0</v>
      </c>
      <c r="M2117" s="446"/>
      <c r="N2117" s="446"/>
      <c r="O2117" s="446"/>
      <c r="P2117" s="446"/>
      <c r="Q2117" s="130">
        <v>2</v>
      </c>
      <c r="R2117" s="111">
        <f t="shared" si="460"/>
        <v>7150.5174999999999</v>
      </c>
      <c r="S2117" s="110"/>
      <c r="T2117" s="110"/>
      <c r="U2117" s="130">
        <v>2</v>
      </c>
      <c r="V2117" s="111">
        <f t="shared" si="462"/>
        <v>7150.5174999999999</v>
      </c>
      <c r="W2117" s="110"/>
      <c r="X2117" s="110"/>
      <c r="Y2117" s="110"/>
      <c r="Z2117" s="110"/>
      <c r="AA2117" s="130">
        <v>2</v>
      </c>
      <c r="AB2117" s="111">
        <f t="shared" si="463"/>
        <v>7150.5174999999999</v>
      </c>
      <c r="AC2117" s="110"/>
      <c r="AD2117" s="110"/>
      <c r="AE2117" s="130">
        <v>1</v>
      </c>
      <c r="AF2117" s="111">
        <f t="shared" si="464"/>
        <v>7150.5174999999999</v>
      </c>
      <c r="AG2117" s="110"/>
      <c r="AH2117" s="110"/>
      <c r="AI2117" s="110"/>
      <c r="AJ2117" s="110"/>
      <c r="AK2117" s="111">
        <f t="shared" si="468"/>
        <v>28602.07</v>
      </c>
      <c r="AL2117" s="446">
        <f t="shared" si="469"/>
        <v>0</v>
      </c>
      <c r="AM2117" s="110">
        <f t="shared" si="470"/>
        <v>7</v>
      </c>
      <c r="AN2117" s="447">
        <f t="shared" si="466"/>
        <v>0</v>
      </c>
      <c r="AO2117"/>
      <c r="AP2117"/>
    </row>
    <row r="2118" spans="1:42" ht="66" x14ac:dyDescent="0.25">
      <c r="A2118" s="9"/>
      <c r="B2118" s="528" t="s">
        <v>2960</v>
      </c>
      <c r="C2118" s="1024"/>
      <c r="D2118" s="882">
        <v>1</v>
      </c>
      <c r="E2118" s="1027" t="s">
        <v>1834</v>
      </c>
      <c r="F2118" s="278" t="s">
        <v>3446</v>
      </c>
      <c r="G2118" s="1040" t="s">
        <v>3463</v>
      </c>
      <c r="H2118" s="273" t="s">
        <v>3462</v>
      </c>
      <c r="I2118" s="720">
        <f>+J2118/D2118</f>
        <v>75.600000000000009</v>
      </c>
      <c r="J2118" s="756">
        <v>75.600000000000009</v>
      </c>
      <c r="K2118" s="131">
        <f t="shared" si="465"/>
        <v>75.600000000000009</v>
      </c>
      <c r="L2118" s="335">
        <f t="shared" si="467"/>
        <v>0</v>
      </c>
      <c r="M2118" s="446"/>
      <c r="N2118" s="446"/>
      <c r="O2118" s="446"/>
      <c r="P2118" s="446"/>
      <c r="Q2118" s="110">
        <v>1</v>
      </c>
      <c r="R2118" s="111">
        <v>75.599999999999994</v>
      </c>
      <c r="S2118" s="110"/>
      <c r="T2118" s="110"/>
      <c r="U2118" s="110">
        <v>0</v>
      </c>
      <c r="V2118" s="111">
        <v>0</v>
      </c>
      <c r="W2118" s="110"/>
      <c r="X2118" s="110"/>
      <c r="Y2118" s="110"/>
      <c r="Z2118" s="110"/>
      <c r="AA2118" s="110">
        <v>0</v>
      </c>
      <c r="AB2118" s="111">
        <v>0</v>
      </c>
      <c r="AC2118" s="110"/>
      <c r="AD2118" s="110"/>
      <c r="AE2118" s="110">
        <v>0</v>
      </c>
      <c r="AF2118" s="111">
        <v>0</v>
      </c>
      <c r="AG2118" s="110"/>
      <c r="AH2118" s="110"/>
      <c r="AI2118" s="110"/>
      <c r="AJ2118" s="110"/>
      <c r="AK2118" s="111">
        <f t="shared" si="468"/>
        <v>75.599999999999994</v>
      </c>
      <c r="AL2118" s="446">
        <f t="shared" si="469"/>
        <v>0</v>
      </c>
      <c r="AM2118" s="110">
        <f t="shared" si="470"/>
        <v>1</v>
      </c>
      <c r="AN2118" s="447">
        <f t="shared" si="466"/>
        <v>0</v>
      </c>
      <c r="AO2118"/>
      <c r="AP2118"/>
    </row>
    <row r="2119" spans="1:42" ht="66" x14ac:dyDescent="0.25">
      <c r="A2119" s="9"/>
      <c r="B2119" s="528" t="s">
        <v>2961</v>
      </c>
      <c r="C2119" s="1024"/>
      <c r="D2119" s="882">
        <v>10</v>
      </c>
      <c r="E2119" s="1027" t="s">
        <v>1834</v>
      </c>
      <c r="F2119" s="278" t="s">
        <v>3446</v>
      </c>
      <c r="G2119" s="1040" t="s">
        <v>3463</v>
      </c>
      <c r="H2119" s="273" t="s">
        <v>3462</v>
      </c>
      <c r="I2119" s="720">
        <f>+J2119/D2119</f>
        <v>192.44</v>
      </c>
      <c r="J2119" s="756">
        <v>1924.4</v>
      </c>
      <c r="K2119" s="131">
        <f t="shared" si="465"/>
        <v>1924.4</v>
      </c>
      <c r="L2119" s="335">
        <f t="shared" si="467"/>
        <v>0</v>
      </c>
      <c r="M2119" s="446"/>
      <c r="N2119" s="446"/>
      <c r="O2119" s="446"/>
      <c r="P2119" s="446"/>
      <c r="Q2119" s="130">
        <v>3</v>
      </c>
      <c r="R2119" s="111">
        <f t="shared" ref="R2119:R2171" si="472">+J2119/4</f>
        <v>481.1</v>
      </c>
      <c r="S2119" s="110"/>
      <c r="T2119" s="110"/>
      <c r="U2119" s="130">
        <v>3</v>
      </c>
      <c r="V2119" s="111">
        <f t="shared" ref="V2119:V2171" si="473">+J2119/4</f>
        <v>481.1</v>
      </c>
      <c r="W2119" s="110"/>
      <c r="X2119" s="110"/>
      <c r="Y2119" s="110"/>
      <c r="Z2119" s="110"/>
      <c r="AA2119" s="130">
        <v>2</v>
      </c>
      <c r="AB2119" s="111">
        <f t="shared" ref="AB2119:AB2176" si="474">+J2119/4</f>
        <v>481.1</v>
      </c>
      <c r="AC2119" s="110"/>
      <c r="AD2119" s="110"/>
      <c r="AE2119" s="130">
        <v>2</v>
      </c>
      <c r="AF2119" s="111">
        <f t="shared" ref="AF2119:AF2176" si="475">+J2119/4</f>
        <v>481.1</v>
      </c>
      <c r="AG2119" s="110"/>
      <c r="AH2119" s="110"/>
      <c r="AI2119" s="110"/>
      <c r="AJ2119" s="110"/>
      <c r="AK2119" s="111">
        <f t="shared" si="468"/>
        <v>1924.4</v>
      </c>
      <c r="AL2119" s="446">
        <f t="shared" si="469"/>
        <v>0</v>
      </c>
      <c r="AM2119" s="110">
        <f t="shared" si="470"/>
        <v>10</v>
      </c>
      <c r="AN2119" s="447">
        <f t="shared" si="466"/>
        <v>0</v>
      </c>
      <c r="AO2119"/>
      <c r="AP2119"/>
    </row>
    <row r="2120" spans="1:42" s="108" customFormat="1" x14ac:dyDescent="0.25">
      <c r="A2120" s="9"/>
      <c r="B2120" s="518"/>
      <c r="C2120" s="1024"/>
      <c r="D2120" s="869"/>
      <c r="E2120" s="1027"/>
      <c r="F2120" s="272"/>
      <c r="G2120" s="272"/>
      <c r="H2120" s="272"/>
      <c r="I2120" s="722"/>
      <c r="J2120" s="756"/>
      <c r="K2120" s="131"/>
      <c r="L2120" s="335"/>
      <c r="M2120" s="335"/>
      <c r="N2120" s="335"/>
      <c r="O2120" s="335"/>
      <c r="P2120" s="335"/>
      <c r="Q2120" s="130"/>
      <c r="R2120" s="131"/>
      <c r="S2120" s="130"/>
      <c r="T2120" s="130"/>
      <c r="U2120" s="130"/>
      <c r="V2120" s="131"/>
      <c r="W2120" s="130"/>
      <c r="X2120" s="130"/>
      <c r="Y2120" s="130"/>
      <c r="Z2120" s="130"/>
      <c r="AA2120" s="130"/>
      <c r="AB2120" s="131"/>
      <c r="AC2120" s="130"/>
      <c r="AD2120" s="130"/>
      <c r="AE2120" s="130"/>
      <c r="AF2120" s="131"/>
      <c r="AG2120" s="130"/>
      <c r="AH2120" s="130"/>
      <c r="AI2120" s="130"/>
      <c r="AJ2120" s="130"/>
      <c r="AK2120" s="131"/>
      <c r="AL2120" s="335"/>
      <c r="AM2120" s="130"/>
      <c r="AN2120" s="336"/>
    </row>
    <row r="2121" spans="1:42" x14ac:dyDescent="0.25">
      <c r="A2121" s="376">
        <v>244</v>
      </c>
      <c r="B2121" s="565" t="s">
        <v>564</v>
      </c>
      <c r="C2121" s="416"/>
      <c r="D2121" s="921"/>
      <c r="E2121" s="377"/>
      <c r="F2121" s="378"/>
      <c r="G2121" s="378"/>
      <c r="H2121" s="378"/>
      <c r="I2121" s="734"/>
      <c r="J2121" s="840"/>
      <c r="K2121" s="131">
        <f t="shared" si="465"/>
        <v>0</v>
      </c>
      <c r="L2121" s="335">
        <f t="shared" si="467"/>
        <v>0</v>
      </c>
      <c r="M2121" s="419"/>
      <c r="N2121" s="419"/>
      <c r="O2121" s="419"/>
      <c r="P2121" s="419"/>
      <c r="Q2121" s="418">
        <f t="shared" ref="Q2121:Q2163" si="476">+$D2121/4</f>
        <v>0</v>
      </c>
      <c r="R2121" s="379">
        <f t="shared" si="472"/>
        <v>0</v>
      </c>
      <c r="S2121" s="418"/>
      <c r="T2121" s="418"/>
      <c r="U2121" s="418">
        <f t="shared" ref="U2121:U2163" si="477">+$D2121/4</f>
        <v>0</v>
      </c>
      <c r="V2121" s="379">
        <f t="shared" si="473"/>
        <v>0</v>
      </c>
      <c r="W2121" s="418"/>
      <c r="X2121" s="418"/>
      <c r="Y2121" s="418"/>
      <c r="Z2121" s="418"/>
      <c r="AA2121" s="418">
        <f t="shared" si="471"/>
        <v>0</v>
      </c>
      <c r="AB2121" s="379">
        <f t="shared" si="474"/>
        <v>0</v>
      </c>
      <c r="AC2121" s="418"/>
      <c r="AD2121" s="418"/>
      <c r="AE2121" s="418">
        <f t="shared" si="471"/>
        <v>0</v>
      </c>
      <c r="AF2121" s="379">
        <f t="shared" si="475"/>
        <v>0</v>
      </c>
      <c r="AG2121" s="418"/>
      <c r="AH2121" s="418"/>
      <c r="AI2121" s="418"/>
      <c r="AJ2121" s="418"/>
      <c r="AK2121" s="379">
        <f t="shared" si="468"/>
        <v>0</v>
      </c>
      <c r="AL2121" s="446">
        <f t="shared" si="469"/>
        <v>0</v>
      </c>
      <c r="AM2121" s="110">
        <f t="shared" si="470"/>
        <v>0</v>
      </c>
      <c r="AN2121" s="447">
        <f t="shared" si="466"/>
        <v>0</v>
      </c>
      <c r="AO2121" s="108"/>
      <c r="AP2121"/>
    </row>
    <row r="2122" spans="1:42" x14ac:dyDescent="0.25">
      <c r="A2122" s="310">
        <v>24401</v>
      </c>
      <c r="B2122" s="551" t="s">
        <v>564</v>
      </c>
      <c r="C2122" s="311"/>
      <c r="D2122" s="902"/>
      <c r="E2122" s="312"/>
      <c r="F2122" s="313"/>
      <c r="G2122" s="313"/>
      <c r="H2122" s="313"/>
      <c r="I2122" s="729"/>
      <c r="J2122" s="792"/>
      <c r="K2122" s="131">
        <f t="shared" si="465"/>
        <v>0</v>
      </c>
      <c r="L2122" s="335">
        <f t="shared" si="467"/>
        <v>0</v>
      </c>
      <c r="M2122" s="421"/>
      <c r="N2122" s="421"/>
      <c r="O2122" s="421"/>
      <c r="P2122" s="421"/>
      <c r="Q2122" s="387">
        <f t="shared" si="476"/>
        <v>0</v>
      </c>
      <c r="R2122" s="314">
        <f t="shared" si="472"/>
        <v>0</v>
      </c>
      <c r="S2122" s="387"/>
      <c r="T2122" s="387"/>
      <c r="U2122" s="387">
        <f t="shared" si="477"/>
        <v>0</v>
      </c>
      <c r="V2122" s="314">
        <f t="shared" si="473"/>
        <v>0</v>
      </c>
      <c r="W2122" s="387"/>
      <c r="X2122" s="387"/>
      <c r="Y2122" s="387"/>
      <c r="Z2122" s="387"/>
      <c r="AA2122" s="387">
        <f t="shared" si="471"/>
        <v>0</v>
      </c>
      <c r="AB2122" s="314">
        <f t="shared" si="474"/>
        <v>0</v>
      </c>
      <c r="AC2122" s="387"/>
      <c r="AD2122" s="387"/>
      <c r="AE2122" s="387">
        <f t="shared" si="471"/>
        <v>0</v>
      </c>
      <c r="AF2122" s="314">
        <f t="shared" si="475"/>
        <v>0</v>
      </c>
      <c r="AG2122" s="387"/>
      <c r="AH2122" s="387"/>
      <c r="AI2122" s="387"/>
      <c r="AJ2122" s="387"/>
      <c r="AK2122" s="314">
        <f t="shared" si="468"/>
        <v>0</v>
      </c>
      <c r="AL2122" s="446">
        <f t="shared" si="469"/>
        <v>0</v>
      </c>
      <c r="AM2122" s="110">
        <f t="shared" si="470"/>
        <v>0</v>
      </c>
      <c r="AN2122" s="447">
        <f t="shared" si="466"/>
        <v>0</v>
      </c>
      <c r="AO2122" s="436">
        <f>SUM(J2123:J2127)</f>
        <v>90483.51999999999</v>
      </c>
      <c r="AP2122" s="111"/>
    </row>
    <row r="2123" spans="1:42" ht="66" x14ac:dyDescent="0.25">
      <c r="A2123" s="9"/>
      <c r="B2123" s="125" t="s">
        <v>1191</v>
      </c>
      <c r="C2123" s="1024"/>
      <c r="D2123" s="869">
        <f>1000</f>
        <v>1000</v>
      </c>
      <c r="E2123" s="1027" t="s">
        <v>1721</v>
      </c>
      <c r="F2123" s="273" t="s">
        <v>3446</v>
      </c>
      <c r="G2123" s="1040" t="s">
        <v>3463</v>
      </c>
      <c r="H2123" s="273" t="s">
        <v>3462</v>
      </c>
      <c r="I2123" s="720">
        <f>+J2123/D2123</f>
        <v>75.790000000000006</v>
      </c>
      <c r="J2123" s="756">
        <f>75790</f>
        <v>75790</v>
      </c>
      <c r="K2123" s="131">
        <f t="shared" si="465"/>
        <v>75790</v>
      </c>
      <c r="L2123" s="335">
        <f t="shared" si="467"/>
        <v>0</v>
      </c>
      <c r="M2123" s="446"/>
      <c r="N2123" s="446"/>
      <c r="O2123" s="446"/>
      <c r="P2123" s="446"/>
      <c r="Q2123" s="110">
        <f t="shared" si="476"/>
        <v>250</v>
      </c>
      <c r="R2123" s="111">
        <f t="shared" si="472"/>
        <v>18947.5</v>
      </c>
      <c r="S2123" s="110"/>
      <c r="T2123" s="110"/>
      <c r="U2123" s="110">
        <f t="shared" si="477"/>
        <v>250</v>
      </c>
      <c r="V2123" s="111">
        <f t="shared" si="473"/>
        <v>18947.5</v>
      </c>
      <c r="W2123" s="110"/>
      <c r="X2123" s="110"/>
      <c r="Y2123" s="110"/>
      <c r="Z2123" s="110"/>
      <c r="AA2123" s="110">
        <f t="shared" si="471"/>
        <v>250</v>
      </c>
      <c r="AB2123" s="111">
        <f t="shared" si="474"/>
        <v>18947.5</v>
      </c>
      <c r="AC2123" s="110"/>
      <c r="AD2123" s="110"/>
      <c r="AE2123" s="110">
        <f t="shared" si="471"/>
        <v>250</v>
      </c>
      <c r="AF2123" s="111">
        <f t="shared" si="475"/>
        <v>18947.5</v>
      </c>
      <c r="AG2123" s="110"/>
      <c r="AH2123" s="110"/>
      <c r="AI2123" s="110"/>
      <c r="AJ2123" s="110"/>
      <c r="AK2123" s="111">
        <f t="shared" si="468"/>
        <v>75790</v>
      </c>
      <c r="AL2123" s="446">
        <f t="shared" si="469"/>
        <v>0</v>
      </c>
      <c r="AM2123" s="110">
        <f t="shared" si="470"/>
        <v>1000</v>
      </c>
      <c r="AN2123" s="447">
        <f t="shared" si="466"/>
        <v>0</v>
      </c>
      <c r="AO2123"/>
      <c r="AP2123"/>
    </row>
    <row r="2124" spans="1:42" ht="66" x14ac:dyDescent="0.25">
      <c r="A2124" s="9"/>
      <c r="B2124" s="125" t="s">
        <v>1192</v>
      </c>
      <c r="C2124" s="1024"/>
      <c r="D2124" s="869">
        <f>10</f>
        <v>10</v>
      </c>
      <c r="E2124" s="1027" t="s">
        <v>1721</v>
      </c>
      <c r="F2124" s="273" t="s">
        <v>3446</v>
      </c>
      <c r="G2124" s="1040" t="s">
        <v>3463</v>
      </c>
      <c r="H2124" s="273" t="s">
        <v>3462</v>
      </c>
      <c r="I2124" s="720">
        <f>+J2124/D2124</f>
        <v>1102.46</v>
      </c>
      <c r="J2124" s="756">
        <f>11024.6</f>
        <v>11024.6</v>
      </c>
      <c r="K2124" s="131">
        <f t="shared" si="465"/>
        <v>11024.6</v>
      </c>
      <c r="L2124" s="335">
        <f t="shared" si="467"/>
        <v>0</v>
      </c>
      <c r="M2124" s="446"/>
      <c r="N2124" s="446"/>
      <c r="O2124" s="446"/>
      <c r="P2124" s="446"/>
      <c r="Q2124" s="130">
        <v>3</v>
      </c>
      <c r="R2124" s="111">
        <f t="shared" si="472"/>
        <v>2756.15</v>
      </c>
      <c r="S2124" s="110"/>
      <c r="T2124" s="110"/>
      <c r="U2124" s="130">
        <v>3</v>
      </c>
      <c r="V2124" s="111">
        <f t="shared" si="473"/>
        <v>2756.15</v>
      </c>
      <c r="W2124" s="110"/>
      <c r="X2124" s="110"/>
      <c r="Y2124" s="110"/>
      <c r="Z2124" s="110"/>
      <c r="AA2124" s="130">
        <v>2</v>
      </c>
      <c r="AB2124" s="111">
        <f t="shared" si="474"/>
        <v>2756.15</v>
      </c>
      <c r="AC2124" s="110"/>
      <c r="AD2124" s="110"/>
      <c r="AE2124" s="130">
        <v>2</v>
      </c>
      <c r="AF2124" s="111">
        <f t="shared" si="475"/>
        <v>2756.15</v>
      </c>
      <c r="AG2124" s="110"/>
      <c r="AH2124" s="110"/>
      <c r="AI2124" s="110"/>
      <c r="AJ2124" s="110"/>
      <c r="AK2124" s="111">
        <f t="shared" si="468"/>
        <v>11024.6</v>
      </c>
      <c r="AL2124" s="446">
        <f t="shared" si="469"/>
        <v>0</v>
      </c>
      <c r="AM2124" s="110">
        <f t="shared" si="470"/>
        <v>10</v>
      </c>
      <c r="AN2124" s="447">
        <f t="shared" si="466"/>
        <v>0</v>
      </c>
      <c r="AO2124"/>
      <c r="AP2124"/>
    </row>
    <row r="2125" spans="1:42" ht="66" x14ac:dyDescent="0.25">
      <c r="A2125" s="9"/>
      <c r="B2125" s="554" t="s">
        <v>2962</v>
      </c>
      <c r="C2125" s="1024"/>
      <c r="D2125" s="882">
        <v>1</v>
      </c>
      <c r="E2125" s="251" t="s">
        <v>1767</v>
      </c>
      <c r="F2125" s="273" t="s">
        <v>3446</v>
      </c>
      <c r="G2125" s="1040" t="s">
        <v>3463</v>
      </c>
      <c r="H2125" s="273" t="s">
        <v>3462</v>
      </c>
      <c r="I2125" s="720">
        <f>+J2125/D2125</f>
        <v>1247.4000000000001</v>
      </c>
      <c r="J2125" s="756">
        <v>1247.4000000000001</v>
      </c>
      <c r="K2125" s="131">
        <f t="shared" si="465"/>
        <v>1247.4000000000001</v>
      </c>
      <c r="L2125" s="335">
        <f t="shared" si="467"/>
        <v>0</v>
      </c>
      <c r="M2125" s="446"/>
      <c r="N2125" s="446"/>
      <c r="O2125" s="446"/>
      <c r="P2125" s="446"/>
      <c r="Q2125" s="110">
        <v>1</v>
      </c>
      <c r="R2125" s="111">
        <v>1247.4000000000001</v>
      </c>
      <c r="S2125" s="110"/>
      <c r="T2125" s="110"/>
      <c r="U2125" s="110">
        <v>0</v>
      </c>
      <c r="V2125" s="111">
        <v>0</v>
      </c>
      <c r="W2125" s="110"/>
      <c r="X2125" s="110"/>
      <c r="Y2125" s="110"/>
      <c r="Z2125" s="110"/>
      <c r="AA2125" s="110">
        <v>0</v>
      </c>
      <c r="AB2125" s="111">
        <v>0</v>
      </c>
      <c r="AC2125" s="110"/>
      <c r="AD2125" s="110"/>
      <c r="AE2125" s="110">
        <v>0</v>
      </c>
      <c r="AF2125" s="111">
        <v>0</v>
      </c>
      <c r="AG2125" s="110"/>
      <c r="AH2125" s="110"/>
      <c r="AI2125" s="110"/>
      <c r="AJ2125" s="110"/>
      <c r="AK2125" s="111">
        <f t="shared" si="468"/>
        <v>1247.4000000000001</v>
      </c>
      <c r="AL2125" s="446">
        <f t="shared" si="469"/>
        <v>0</v>
      </c>
      <c r="AM2125" s="110">
        <f t="shared" si="470"/>
        <v>1</v>
      </c>
      <c r="AN2125" s="447">
        <f t="shared" si="466"/>
        <v>0</v>
      </c>
      <c r="AO2125"/>
      <c r="AP2125"/>
    </row>
    <row r="2126" spans="1:42" ht="66" x14ac:dyDescent="0.25">
      <c r="A2126" s="9"/>
      <c r="B2126" s="554" t="s">
        <v>2963</v>
      </c>
      <c r="C2126" s="1024"/>
      <c r="D2126" s="882">
        <v>1</v>
      </c>
      <c r="E2126" s="251" t="s">
        <v>1767</v>
      </c>
      <c r="F2126" s="273" t="s">
        <v>3446</v>
      </c>
      <c r="G2126" s="1040" t="s">
        <v>3463</v>
      </c>
      <c r="H2126" s="273" t="s">
        <v>3462</v>
      </c>
      <c r="I2126" s="720">
        <f>+J2126/D2126</f>
        <v>1174.1199999999999</v>
      </c>
      <c r="J2126" s="756">
        <v>1174.1199999999999</v>
      </c>
      <c r="K2126" s="131">
        <f t="shared" si="465"/>
        <v>1174.1199999999999</v>
      </c>
      <c r="L2126" s="335">
        <f t="shared" si="467"/>
        <v>0</v>
      </c>
      <c r="M2126" s="446"/>
      <c r="N2126" s="446"/>
      <c r="O2126" s="446"/>
      <c r="P2126" s="446"/>
      <c r="Q2126" s="110">
        <v>1</v>
      </c>
      <c r="R2126" s="111">
        <v>1174.1199999999999</v>
      </c>
      <c r="S2126" s="110"/>
      <c r="T2126" s="110"/>
      <c r="U2126" s="110">
        <v>0</v>
      </c>
      <c r="V2126" s="111">
        <v>0</v>
      </c>
      <c r="W2126" s="110"/>
      <c r="X2126" s="110"/>
      <c r="Y2126" s="110"/>
      <c r="Z2126" s="110"/>
      <c r="AA2126" s="110">
        <v>0</v>
      </c>
      <c r="AB2126" s="111">
        <v>0</v>
      </c>
      <c r="AC2126" s="110"/>
      <c r="AD2126" s="110"/>
      <c r="AE2126" s="110">
        <v>0</v>
      </c>
      <c r="AF2126" s="111">
        <v>0</v>
      </c>
      <c r="AG2126" s="110"/>
      <c r="AH2126" s="110"/>
      <c r="AI2126" s="110"/>
      <c r="AJ2126" s="110"/>
      <c r="AK2126" s="111">
        <f t="shared" si="468"/>
        <v>1174.1199999999999</v>
      </c>
      <c r="AL2126" s="446">
        <f t="shared" si="469"/>
        <v>0</v>
      </c>
      <c r="AM2126" s="110">
        <f t="shared" si="470"/>
        <v>1</v>
      </c>
      <c r="AN2126" s="447">
        <f t="shared" si="466"/>
        <v>0</v>
      </c>
      <c r="AO2126"/>
      <c r="AP2126"/>
    </row>
    <row r="2127" spans="1:42" ht="66" x14ac:dyDescent="0.25">
      <c r="A2127" s="9"/>
      <c r="B2127" s="554" t="s">
        <v>2964</v>
      </c>
      <c r="C2127" s="1024"/>
      <c r="D2127" s="882">
        <v>1</v>
      </c>
      <c r="E2127" s="251" t="s">
        <v>1767</v>
      </c>
      <c r="F2127" s="273" t="s">
        <v>3446</v>
      </c>
      <c r="G2127" s="1040" t="s">
        <v>3463</v>
      </c>
      <c r="H2127" s="273" t="s">
        <v>3462</v>
      </c>
      <c r="I2127" s="720">
        <f>+J2127/D2127</f>
        <v>1247.4000000000001</v>
      </c>
      <c r="J2127" s="756">
        <v>1247.4000000000001</v>
      </c>
      <c r="K2127" s="131">
        <f t="shared" si="465"/>
        <v>1247.4000000000001</v>
      </c>
      <c r="L2127" s="335">
        <f t="shared" si="467"/>
        <v>0</v>
      </c>
      <c r="M2127" s="446"/>
      <c r="N2127" s="446"/>
      <c r="O2127" s="446"/>
      <c r="P2127" s="446"/>
      <c r="Q2127" s="110">
        <v>1</v>
      </c>
      <c r="R2127" s="111">
        <v>1247.4000000000001</v>
      </c>
      <c r="S2127" s="110"/>
      <c r="T2127" s="110"/>
      <c r="U2127" s="110">
        <v>0</v>
      </c>
      <c r="V2127" s="111">
        <v>0</v>
      </c>
      <c r="W2127" s="110"/>
      <c r="X2127" s="110"/>
      <c r="Y2127" s="110"/>
      <c r="Z2127" s="110"/>
      <c r="AA2127" s="110">
        <v>0</v>
      </c>
      <c r="AB2127" s="111">
        <v>0</v>
      </c>
      <c r="AC2127" s="110"/>
      <c r="AD2127" s="110"/>
      <c r="AE2127" s="110">
        <v>0</v>
      </c>
      <c r="AF2127" s="111">
        <v>0</v>
      </c>
      <c r="AG2127" s="110"/>
      <c r="AH2127" s="110"/>
      <c r="AI2127" s="110"/>
      <c r="AJ2127" s="110"/>
      <c r="AK2127" s="111">
        <f t="shared" si="468"/>
        <v>1247.4000000000001</v>
      </c>
      <c r="AL2127" s="446">
        <f t="shared" si="469"/>
        <v>0</v>
      </c>
      <c r="AM2127" s="110">
        <f t="shared" si="470"/>
        <v>1</v>
      </c>
      <c r="AN2127" s="447">
        <f t="shared" si="466"/>
        <v>0</v>
      </c>
      <c r="AO2127"/>
      <c r="AP2127"/>
    </row>
    <row r="2128" spans="1:42" x14ac:dyDescent="0.25">
      <c r="A2128" s="9"/>
      <c r="B2128" s="518"/>
      <c r="C2128" s="1024"/>
      <c r="D2128" s="869"/>
      <c r="E2128" s="1027"/>
      <c r="F2128" s="272"/>
      <c r="G2128" s="272"/>
      <c r="H2128" s="272"/>
      <c r="I2128" s="720"/>
      <c r="J2128" s="756"/>
      <c r="K2128" s="131"/>
      <c r="L2128" s="335"/>
      <c r="M2128" s="446"/>
      <c r="N2128" s="446"/>
      <c r="O2128" s="446"/>
      <c r="P2128" s="446"/>
      <c r="Q2128" s="110"/>
      <c r="R2128" s="111"/>
      <c r="S2128" s="110"/>
      <c r="T2128" s="110"/>
      <c r="U2128" s="110"/>
      <c r="V2128" s="111"/>
      <c r="W2128" s="110"/>
      <c r="X2128" s="110"/>
      <c r="Y2128" s="110"/>
      <c r="Z2128" s="110"/>
      <c r="AA2128" s="110"/>
      <c r="AB2128" s="111"/>
      <c r="AC2128" s="110"/>
      <c r="AD2128" s="110"/>
      <c r="AE2128" s="110"/>
      <c r="AF2128" s="111"/>
      <c r="AG2128" s="110"/>
      <c r="AH2128" s="110"/>
      <c r="AI2128" s="110"/>
      <c r="AJ2128" s="110"/>
      <c r="AK2128" s="111"/>
      <c r="AL2128" s="446"/>
      <c r="AM2128" s="110"/>
      <c r="AN2128" s="447"/>
      <c r="AO2128"/>
      <c r="AP2128"/>
    </row>
    <row r="2129" spans="1:42" x14ac:dyDescent="0.25">
      <c r="A2129" s="310">
        <v>24402</v>
      </c>
      <c r="B2129" s="551" t="s">
        <v>565</v>
      </c>
      <c r="C2129" s="311"/>
      <c r="D2129" s="902"/>
      <c r="E2129" s="312"/>
      <c r="F2129" s="313"/>
      <c r="G2129" s="313"/>
      <c r="H2129" s="313"/>
      <c r="I2129" s="729"/>
      <c r="J2129" s="792"/>
      <c r="K2129" s="131">
        <f t="shared" si="465"/>
        <v>0</v>
      </c>
      <c r="L2129" s="335">
        <f t="shared" si="467"/>
        <v>0</v>
      </c>
      <c r="M2129" s="421"/>
      <c r="N2129" s="421"/>
      <c r="O2129" s="421"/>
      <c r="P2129" s="421"/>
      <c r="Q2129" s="387">
        <f t="shared" si="476"/>
        <v>0</v>
      </c>
      <c r="R2129" s="314">
        <f t="shared" si="472"/>
        <v>0</v>
      </c>
      <c r="S2129" s="387"/>
      <c r="T2129" s="387"/>
      <c r="U2129" s="387">
        <f t="shared" si="477"/>
        <v>0</v>
      </c>
      <c r="V2129" s="314">
        <f t="shared" si="473"/>
        <v>0</v>
      </c>
      <c r="W2129" s="387"/>
      <c r="X2129" s="387"/>
      <c r="Y2129" s="387"/>
      <c r="Z2129" s="387"/>
      <c r="AA2129" s="387">
        <f t="shared" si="471"/>
        <v>0</v>
      </c>
      <c r="AB2129" s="314">
        <f t="shared" si="474"/>
        <v>0</v>
      </c>
      <c r="AC2129" s="387"/>
      <c r="AD2129" s="387"/>
      <c r="AE2129" s="387">
        <f t="shared" si="471"/>
        <v>0</v>
      </c>
      <c r="AF2129" s="314">
        <f t="shared" si="475"/>
        <v>0</v>
      </c>
      <c r="AG2129" s="387"/>
      <c r="AH2129" s="387"/>
      <c r="AI2129" s="387"/>
      <c r="AJ2129" s="387"/>
      <c r="AK2129" s="314">
        <f t="shared" si="468"/>
        <v>0</v>
      </c>
      <c r="AL2129" s="446">
        <f t="shared" si="469"/>
        <v>0</v>
      </c>
      <c r="AM2129" s="110">
        <f t="shared" si="470"/>
        <v>0</v>
      </c>
      <c r="AN2129" s="447">
        <f t="shared" si="466"/>
        <v>0</v>
      </c>
      <c r="AO2129" s="436">
        <f>SUM(J2130)</f>
        <v>17400</v>
      </c>
      <c r="AP2129" s="111"/>
    </row>
    <row r="2130" spans="1:42" ht="66" x14ac:dyDescent="0.25">
      <c r="A2130" s="9"/>
      <c r="B2130" s="125" t="s">
        <v>1194</v>
      </c>
      <c r="C2130" s="1024"/>
      <c r="D2130" s="869">
        <f>5</f>
        <v>5</v>
      </c>
      <c r="E2130" s="1027" t="s">
        <v>1721</v>
      </c>
      <c r="F2130" s="273" t="s">
        <v>3446</v>
      </c>
      <c r="G2130" s="1040" t="s">
        <v>3463</v>
      </c>
      <c r="H2130" s="273" t="s">
        <v>3462</v>
      </c>
      <c r="I2130" s="720">
        <f>+J2130/D2130</f>
        <v>3480</v>
      </c>
      <c r="J2130" s="756">
        <f>17400</f>
        <v>17400</v>
      </c>
      <c r="K2130" s="131">
        <f t="shared" si="465"/>
        <v>17400</v>
      </c>
      <c r="L2130" s="335">
        <f t="shared" si="467"/>
        <v>0</v>
      </c>
      <c r="M2130" s="446"/>
      <c r="N2130" s="446"/>
      <c r="O2130" s="446"/>
      <c r="P2130" s="446"/>
      <c r="Q2130" s="110">
        <v>2</v>
      </c>
      <c r="R2130" s="111">
        <f t="shared" si="472"/>
        <v>4350</v>
      </c>
      <c r="S2130" s="110"/>
      <c r="T2130" s="110"/>
      <c r="U2130" s="110">
        <v>1</v>
      </c>
      <c r="V2130" s="111">
        <f t="shared" si="473"/>
        <v>4350</v>
      </c>
      <c r="W2130" s="110"/>
      <c r="X2130" s="110"/>
      <c r="Y2130" s="110"/>
      <c r="Z2130" s="110"/>
      <c r="AA2130" s="110">
        <v>1</v>
      </c>
      <c r="AB2130" s="111">
        <f t="shared" si="474"/>
        <v>4350</v>
      </c>
      <c r="AC2130" s="110"/>
      <c r="AD2130" s="110"/>
      <c r="AE2130" s="110">
        <v>1</v>
      </c>
      <c r="AF2130" s="111">
        <f t="shared" si="475"/>
        <v>4350</v>
      </c>
      <c r="AG2130" s="110"/>
      <c r="AH2130" s="110"/>
      <c r="AI2130" s="110"/>
      <c r="AJ2130" s="110"/>
      <c r="AK2130" s="111">
        <f t="shared" si="468"/>
        <v>17400</v>
      </c>
      <c r="AL2130" s="446">
        <f t="shared" si="469"/>
        <v>0</v>
      </c>
      <c r="AM2130" s="110">
        <f t="shared" si="470"/>
        <v>5</v>
      </c>
      <c r="AN2130" s="447">
        <f t="shared" si="466"/>
        <v>0</v>
      </c>
      <c r="AO2130"/>
      <c r="AP2130"/>
    </row>
    <row r="2131" spans="1:42" x14ac:dyDescent="0.25">
      <c r="A2131" s="9"/>
      <c r="B2131" s="518"/>
      <c r="C2131" s="1024"/>
      <c r="D2131" s="869"/>
      <c r="E2131" s="1027"/>
      <c r="F2131" s="272"/>
      <c r="G2131" s="272"/>
      <c r="H2131" s="272"/>
      <c r="I2131" s="720"/>
      <c r="J2131" s="756"/>
      <c r="K2131" s="131">
        <f t="shared" si="465"/>
        <v>0</v>
      </c>
      <c r="L2131" s="335">
        <f t="shared" si="467"/>
        <v>0</v>
      </c>
      <c r="M2131" s="446"/>
      <c r="N2131" s="446"/>
      <c r="O2131" s="446"/>
      <c r="P2131" s="446"/>
      <c r="Q2131" s="110">
        <f t="shared" si="476"/>
        <v>0</v>
      </c>
      <c r="R2131" s="111">
        <f t="shared" si="472"/>
        <v>0</v>
      </c>
      <c r="S2131" s="110"/>
      <c r="T2131" s="110"/>
      <c r="U2131" s="110">
        <f t="shared" si="477"/>
        <v>0</v>
      </c>
      <c r="V2131" s="111">
        <f t="shared" si="473"/>
        <v>0</v>
      </c>
      <c r="W2131" s="110"/>
      <c r="X2131" s="110"/>
      <c r="Y2131" s="110"/>
      <c r="Z2131" s="110"/>
      <c r="AA2131" s="110">
        <f t="shared" si="471"/>
        <v>0</v>
      </c>
      <c r="AB2131" s="111">
        <f t="shared" si="474"/>
        <v>0</v>
      </c>
      <c r="AC2131" s="110"/>
      <c r="AD2131" s="110"/>
      <c r="AE2131" s="110">
        <f t="shared" si="471"/>
        <v>0</v>
      </c>
      <c r="AF2131" s="111">
        <f t="shared" si="475"/>
        <v>0</v>
      </c>
      <c r="AG2131" s="110"/>
      <c r="AH2131" s="110"/>
      <c r="AI2131" s="110"/>
      <c r="AJ2131" s="110"/>
      <c r="AK2131" s="111">
        <f t="shared" si="468"/>
        <v>0</v>
      </c>
      <c r="AL2131" s="446">
        <f t="shared" si="469"/>
        <v>0</v>
      </c>
      <c r="AM2131" s="110">
        <f t="shared" si="470"/>
        <v>0</v>
      </c>
      <c r="AN2131" s="447">
        <f t="shared" si="466"/>
        <v>0</v>
      </c>
      <c r="AO2131"/>
      <c r="AP2131"/>
    </row>
    <row r="2132" spans="1:42" x14ac:dyDescent="0.25">
      <c r="A2132" s="376">
        <v>245</v>
      </c>
      <c r="B2132" s="565" t="s">
        <v>566</v>
      </c>
      <c r="C2132" s="416"/>
      <c r="D2132" s="921"/>
      <c r="E2132" s="377"/>
      <c r="F2132" s="378"/>
      <c r="G2132" s="378"/>
      <c r="H2132" s="378"/>
      <c r="I2132" s="734"/>
      <c r="J2132" s="840"/>
      <c r="K2132" s="131">
        <f t="shared" si="465"/>
        <v>0</v>
      </c>
      <c r="L2132" s="335">
        <f t="shared" si="467"/>
        <v>0</v>
      </c>
      <c r="M2132" s="419"/>
      <c r="N2132" s="419"/>
      <c r="O2132" s="419"/>
      <c r="P2132" s="419"/>
      <c r="Q2132" s="418">
        <f t="shared" si="476"/>
        <v>0</v>
      </c>
      <c r="R2132" s="379">
        <f t="shared" si="472"/>
        <v>0</v>
      </c>
      <c r="S2132" s="418"/>
      <c r="T2132" s="418"/>
      <c r="U2132" s="418">
        <f t="shared" si="477"/>
        <v>0</v>
      </c>
      <c r="V2132" s="379">
        <f t="shared" si="473"/>
        <v>0</v>
      </c>
      <c r="W2132" s="418"/>
      <c r="X2132" s="418"/>
      <c r="Y2132" s="418"/>
      <c r="Z2132" s="418"/>
      <c r="AA2132" s="418">
        <f t="shared" si="471"/>
        <v>0</v>
      </c>
      <c r="AB2132" s="379">
        <f t="shared" si="474"/>
        <v>0</v>
      </c>
      <c r="AC2132" s="418"/>
      <c r="AD2132" s="418"/>
      <c r="AE2132" s="418">
        <f t="shared" si="471"/>
        <v>0</v>
      </c>
      <c r="AF2132" s="379">
        <f t="shared" si="475"/>
        <v>0</v>
      </c>
      <c r="AG2132" s="418"/>
      <c r="AH2132" s="418"/>
      <c r="AI2132" s="418"/>
      <c r="AJ2132" s="418"/>
      <c r="AK2132" s="379">
        <f t="shared" si="468"/>
        <v>0</v>
      </c>
      <c r="AL2132" s="446">
        <f t="shared" si="469"/>
        <v>0</v>
      </c>
      <c r="AM2132" s="110">
        <f t="shared" si="470"/>
        <v>0</v>
      </c>
      <c r="AN2132" s="447">
        <f t="shared" si="466"/>
        <v>0</v>
      </c>
      <c r="AO2132" s="108"/>
      <c r="AP2132"/>
    </row>
    <row r="2133" spans="1:42" x14ac:dyDescent="0.25">
      <c r="A2133" s="310">
        <v>24501</v>
      </c>
      <c r="B2133" s="551" t="s">
        <v>567</v>
      </c>
      <c r="C2133" s="311"/>
      <c r="D2133" s="902"/>
      <c r="E2133" s="312"/>
      <c r="F2133" s="313"/>
      <c r="G2133" s="313"/>
      <c r="H2133" s="313"/>
      <c r="I2133" s="729"/>
      <c r="J2133" s="792"/>
      <c r="K2133" s="131">
        <f t="shared" si="465"/>
        <v>0</v>
      </c>
      <c r="L2133" s="335">
        <f t="shared" si="467"/>
        <v>0</v>
      </c>
      <c r="M2133" s="421"/>
      <c r="N2133" s="421"/>
      <c r="O2133" s="421"/>
      <c r="P2133" s="421"/>
      <c r="Q2133" s="387">
        <f t="shared" si="476"/>
        <v>0</v>
      </c>
      <c r="R2133" s="314">
        <f t="shared" si="472"/>
        <v>0</v>
      </c>
      <c r="S2133" s="387"/>
      <c r="T2133" s="387"/>
      <c r="U2133" s="387">
        <f t="shared" si="477"/>
        <v>0</v>
      </c>
      <c r="V2133" s="314">
        <f t="shared" si="473"/>
        <v>0</v>
      </c>
      <c r="W2133" s="387"/>
      <c r="X2133" s="387"/>
      <c r="Y2133" s="387"/>
      <c r="Z2133" s="387"/>
      <c r="AA2133" s="387">
        <f t="shared" si="471"/>
        <v>0</v>
      </c>
      <c r="AB2133" s="314">
        <f t="shared" si="474"/>
        <v>0</v>
      </c>
      <c r="AC2133" s="387"/>
      <c r="AD2133" s="387"/>
      <c r="AE2133" s="387">
        <f t="shared" si="471"/>
        <v>0</v>
      </c>
      <c r="AF2133" s="314">
        <f t="shared" si="475"/>
        <v>0</v>
      </c>
      <c r="AG2133" s="387"/>
      <c r="AH2133" s="387"/>
      <c r="AI2133" s="387"/>
      <c r="AJ2133" s="387"/>
      <c r="AK2133" s="314">
        <f t="shared" si="468"/>
        <v>0</v>
      </c>
      <c r="AL2133" s="446">
        <f t="shared" si="469"/>
        <v>0</v>
      </c>
      <c r="AM2133" s="110">
        <f t="shared" si="470"/>
        <v>0</v>
      </c>
      <c r="AN2133" s="447">
        <f t="shared" si="466"/>
        <v>0</v>
      </c>
      <c r="AO2133" s="108"/>
      <c r="AP2133"/>
    </row>
    <row r="2134" spans="1:42" s="108" customFormat="1" x14ac:dyDescent="0.25">
      <c r="A2134" s="9"/>
      <c r="B2134" s="518"/>
      <c r="C2134" s="1024"/>
      <c r="D2134" s="869"/>
      <c r="E2134" s="1027"/>
      <c r="F2134" s="272"/>
      <c r="G2134" s="272"/>
      <c r="H2134" s="272"/>
      <c r="I2134" s="722"/>
      <c r="J2134" s="756"/>
      <c r="K2134" s="131">
        <f t="shared" si="465"/>
        <v>0</v>
      </c>
      <c r="L2134" s="335">
        <f t="shared" si="467"/>
        <v>0</v>
      </c>
      <c r="M2134" s="335"/>
      <c r="N2134" s="335"/>
      <c r="O2134" s="335"/>
      <c r="P2134" s="335"/>
      <c r="Q2134" s="130">
        <f t="shared" si="476"/>
        <v>0</v>
      </c>
      <c r="R2134" s="131">
        <f t="shared" si="472"/>
        <v>0</v>
      </c>
      <c r="S2134" s="130"/>
      <c r="T2134" s="130"/>
      <c r="U2134" s="130">
        <f t="shared" si="477"/>
        <v>0</v>
      </c>
      <c r="V2134" s="131">
        <f t="shared" si="473"/>
        <v>0</v>
      </c>
      <c r="W2134" s="130"/>
      <c r="X2134" s="130"/>
      <c r="Y2134" s="130"/>
      <c r="Z2134" s="130"/>
      <c r="AA2134" s="130">
        <f t="shared" si="471"/>
        <v>0</v>
      </c>
      <c r="AB2134" s="131">
        <f t="shared" si="474"/>
        <v>0</v>
      </c>
      <c r="AC2134" s="130"/>
      <c r="AD2134" s="130"/>
      <c r="AE2134" s="130">
        <f t="shared" si="471"/>
        <v>0</v>
      </c>
      <c r="AF2134" s="131">
        <f t="shared" si="475"/>
        <v>0</v>
      </c>
      <c r="AG2134" s="130"/>
      <c r="AH2134" s="130"/>
      <c r="AI2134" s="130"/>
      <c r="AJ2134" s="130"/>
      <c r="AK2134" s="131">
        <f t="shared" si="468"/>
        <v>0</v>
      </c>
      <c r="AL2134" s="335">
        <f t="shared" si="469"/>
        <v>0</v>
      </c>
      <c r="AM2134" s="130">
        <f t="shared" si="470"/>
        <v>0</v>
      </c>
      <c r="AN2134" s="336">
        <f t="shared" si="466"/>
        <v>0</v>
      </c>
    </row>
    <row r="2135" spans="1:42" x14ac:dyDescent="0.25">
      <c r="A2135" s="310">
        <v>24502</v>
      </c>
      <c r="B2135" s="551" t="s">
        <v>568</v>
      </c>
      <c r="C2135" s="311"/>
      <c r="D2135" s="902"/>
      <c r="E2135" s="312"/>
      <c r="F2135" s="313"/>
      <c r="G2135" s="313"/>
      <c r="H2135" s="313"/>
      <c r="I2135" s="729"/>
      <c r="J2135" s="792"/>
      <c r="K2135" s="131">
        <f t="shared" si="465"/>
        <v>0</v>
      </c>
      <c r="L2135" s="335">
        <f t="shared" si="467"/>
        <v>0</v>
      </c>
      <c r="M2135" s="421"/>
      <c r="N2135" s="421"/>
      <c r="O2135" s="421"/>
      <c r="P2135" s="421"/>
      <c r="Q2135" s="387">
        <f t="shared" si="476"/>
        <v>0</v>
      </c>
      <c r="R2135" s="314">
        <f t="shared" si="472"/>
        <v>0</v>
      </c>
      <c r="S2135" s="387"/>
      <c r="T2135" s="387"/>
      <c r="U2135" s="387">
        <f t="shared" si="477"/>
        <v>0</v>
      </c>
      <c r="V2135" s="314">
        <f t="shared" si="473"/>
        <v>0</v>
      </c>
      <c r="W2135" s="387"/>
      <c r="X2135" s="387"/>
      <c r="Y2135" s="387"/>
      <c r="Z2135" s="387"/>
      <c r="AA2135" s="387">
        <f t="shared" si="471"/>
        <v>0</v>
      </c>
      <c r="AB2135" s="314">
        <f t="shared" si="474"/>
        <v>0</v>
      </c>
      <c r="AC2135" s="387"/>
      <c r="AD2135" s="387"/>
      <c r="AE2135" s="387">
        <f t="shared" si="471"/>
        <v>0</v>
      </c>
      <c r="AF2135" s="314">
        <f t="shared" si="475"/>
        <v>0</v>
      </c>
      <c r="AG2135" s="387"/>
      <c r="AH2135" s="387"/>
      <c r="AI2135" s="387"/>
      <c r="AJ2135" s="387"/>
      <c r="AK2135" s="314">
        <f t="shared" si="468"/>
        <v>0</v>
      </c>
      <c r="AL2135" s="446">
        <f t="shared" si="469"/>
        <v>0</v>
      </c>
      <c r="AM2135" s="110">
        <f t="shared" si="470"/>
        <v>0</v>
      </c>
      <c r="AN2135" s="447">
        <f t="shared" si="466"/>
        <v>0</v>
      </c>
      <c r="AO2135" s="108"/>
      <c r="AP2135"/>
    </row>
    <row r="2136" spans="1:42" s="108" customFormat="1" x14ac:dyDescent="0.25">
      <c r="A2136" s="9"/>
      <c r="B2136" s="518"/>
      <c r="C2136" s="1024"/>
      <c r="D2136" s="869"/>
      <c r="E2136" s="1027"/>
      <c r="F2136" s="272"/>
      <c r="G2136" s="272"/>
      <c r="H2136" s="272"/>
      <c r="I2136" s="722"/>
      <c r="J2136" s="756"/>
      <c r="K2136" s="131">
        <f t="shared" si="465"/>
        <v>0</v>
      </c>
      <c r="L2136" s="335">
        <f t="shared" si="467"/>
        <v>0</v>
      </c>
      <c r="M2136" s="335"/>
      <c r="N2136" s="335"/>
      <c r="O2136" s="335"/>
      <c r="P2136" s="335"/>
      <c r="Q2136" s="130">
        <f t="shared" si="476"/>
        <v>0</v>
      </c>
      <c r="R2136" s="131">
        <f t="shared" si="472"/>
        <v>0</v>
      </c>
      <c r="S2136" s="130"/>
      <c r="T2136" s="130"/>
      <c r="U2136" s="130">
        <f t="shared" si="477"/>
        <v>0</v>
      </c>
      <c r="V2136" s="131">
        <f t="shared" si="473"/>
        <v>0</v>
      </c>
      <c r="W2136" s="130"/>
      <c r="X2136" s="130"/>
      <c r="Y2136" s="130"/>
      <c r="Z2136" s="130"/>
      <c r="AA2136" s="130">
        <f t="shared" si="471"/>
        <v>0</v>
      </c>
      <c r="AB2136" s="131">
        <f t="shared" si="474"/>
        <v>0</v>
      </c>
      <c r="AC2136" s="130"/>
      <c r="AD2136" s="130"/>
      <c r="AE2136" s="130">
        <f t="shared" si="471"/>
        <v>0</v>
      </c>
      <c r="AF2136" s="131">
        <f t="shared" si="475"/>
        <v>0</v>
      </c>
      <c r="AG2136" s="130"/>
      <c r="AH2136" s="130"/>
      <c r="AI2136" s="130"/>
      <c r="AJ2136" s="130"/>
      <c r="AK2136" s="131">
        <f t="shared" si="468"/>
        <v>0</v>
      </c>
      <c r="AL2136" s="335">
        <f t="shared" si="469"/>
        <v>0</v>
      </c>
      <c r="AM2136" s="130">
        <f t="shared" si="470"/>
        <v>0</v>
      </c>
      <c r="AN2136" s="336">
        <f t="shared" si="466"/>
        <v>0</v>
      </c>
    </row>
    <row r="2137" spans="1:42" x14ac:dyDescent="0.25">
      <c r="A2137" s="310">
        <v>24503</v>
      </c>
      <c r="B2137" s="551" t="s">
        <v>569</v>
      </c>
      <c r="C2137" s="311"/>
      <c r="D2137" s="902"/>
      <c r="E2137" s="312"/>
      <c r="F2137" s="313"/>
      <c r="G2137" s="313"/>
      <c r="H2137" s="313"/>
      <c r="I2137" s="729"/>
      <c r="J2137" s="792"/>
      <c r="K2137" s="131">
        <f t="shared" si="465"/>
        <v>0</v>
      </c>
      <c r="L2137" s="335">
        <f t="shared" si="467"/>
        <v>0</v>
      </c>
      <c r="M2137" s="421"/>
      <c r="N2137" s="421"/>
      <c r="O2137" s="421"/>
      <c r="P2137" s="421"/>
      <c r="Q2137" s="387">
        <f t="shared" si="476"/>
        <v>0</v>
      </c>
      <c r="R2137" s="314">
        <f t="shared" si="472"/>
        <v>0</v>
      </c>
      <c r="S2137" s="387"/>
      <c r="T2137" s="387"/>
      <c r="U2137" s="387">
        <f t="shared" si="477"/>
        <v>0</v>
      </c>
      <c r="V2137" s="314">
        <f t="shared" si="473"/>
        <v>0</v>
      </c>
      <c r="W2137" s="387"/>
      <c r="X2137" s="387"/>
      <c r="Y2137" s="387"/>
      <c r="Z2137" s="387"/>
      <c r="AA2137" s="387">
        <f t="shared" si="471"/>
        <v>0</v>
      </c>
      <c r="AB2137" s="314">
        <f t="shared" si="474"/>
        <v>0</v>
      </c>
      <c r="AC2137" s="387"/>
      <c r="AD2137" s="387"/>
      <c r="AE2137" s="387">
        <f t="shared" si="471"/>
        <v>0</v>
      </c>
      <c r="AF2137" s="314">
        <f t="shared" si="475"/>
        <v>0</v>
      </c>
      <c r="AG2137" s="387"/>
      <c r="AH2137" s="387"/>
      <c r="AI2137" s="387"/>
      <c r="AJ2137" s="387"/>
      <c r="AK2137" s="314">
        <f t="shared" si="468"/>
        <v>0</v>
      </c>
      <c r="AL2137" s="446">
        <f t="shared" si="469"/>
        <v>0</v>
      </c>
      <c r="AM2137" s="110">
        <f t="shared" si="470"/>
        <v>0</v>
      </c>
      <c r="AN2137" s="447">
        <f t="shared" si="466"/>
        <v>0</v>
      </c>
      <c r="AO2137" s="108"/>
      <c r="AP2137"/>
    </row>
    <row r="2138" spans="1:42" x14ac:dyDescent="0.25">
      <c r="A2138" s="9"/>
      <c r="B2138" s="518"/>
      <c r="C2138" s="1024"/>
      <c r="D2138" s="894"/>
      <c r="E2138" s="138"/>
      <c r="F2138" s="279"/>
      <c r="G2138" s="279"/>
      <c r="H2138" s="279"/>
      <c r="I2138" s="720"/>
      <c r="J2138" s="773"/>
      <c r="K2138" s="131">
        <f t="shared" ref="K2138:K2201" si="478">+D2138*I2138</f>
        <v>0</v>
      </c>
      <c r="L2138" s="335">
        <f t="shared" si="467"/>
        <v>0</v>
      </c>
      <c r="M2138" s="446"/>
      <c r="N2138" s="446"/>
      <c r="O2138" s="446"/>
      <c r="P2138" s="446"/>
      <c r="Q2138" s="110">
        <f t="shared" si="476"/>
        <v>0</v>
      </c>
      <c r="R2138" s="111">
        <f t="shared" si="472"/>
        <v>0</v>
      </c>
      <c r="S2138" s="110"/>
      <c r="T2138" s="110"/>
      <c r="U2138" s="110">
        <f t="shared" si="477"/>
        <v>0</v>
      </c>
      <c r="V2138" s="111">
        <f t="shared" si="473"/>
        <v>0</v>
      </c>
      <c r="W2138" s="110"/>
      <c r="X2138" s="110"/>
      <c r="Y2138" s="110"/>
      <c r="Z2138" s="110"/>
      <c r="AA2138" s="110">
        <f t="shared" si="471"/>
        <v>0</v>
      </c>
      <c r="AB2138" s="111">
        <f t="shared" si="474"/>
        <v>0</v>
      </c>
      <c r="AC2138" s="110"/>
      <c r="AD2138" s="110"/>
      <c r="AE2138" s="110">
        <f t="shared" si="471"/>
        <v>0</v>
      </c>
      <c r="AF2138" s="111">
        <f t="shared" si="475"/>
        <v>0</v>
      </c>
      <c r="AG2138" s="110"/>
      <c r="AH2138" s="110"/>
      <c r="AI2138" s="110"/>
      <c r="AJ2138" s="110"/>
      <c r="AK2138" s="111">
        <f t="shared" si="468"/>
        <v>0</v>
      </c>
      <c r="AL2138" s="446">
        <f t="shared" si="469"/>
        <v>0</v>
      </c>
      <c r="AM2138" s="110">
        <f t="shared" si="470"/>
        <v>0</v>
      </c>
      <c r="AN2138" s="447">
        <f t="shared" ref="AN2138:AN2201" si="479">+D2138-AM2138</f>
        <v>0</v>
      </c>
      <c r="AO2138"/>
      <c r="AP2138"/>
    </row>
    <row r="2139" spans="1:42" x14ac:dyDescent="0.25">
      <c r="A2139" s="376">
        <v>246</v>
      </c>
      <c r="B2139" s="565" t="s">
        <v>570</v>
      </c>
      <c r="C2139" s="416"/>
      <c r="D2139" s="921"/>
      <c r="E2139" s="377"/>
      <c r="F2139" s="378"/>
      <c r="G2139" s="378"/>
      <c r="H2139" s="378"/>
      <c r="I2139" s="734"/>
      <c r="J2139" s="840"/>
      <c r="K2139" s="131">
        <f t="shared" si="478"/>
        <v>0</v>
      </c>
      <c r="L2139" s="335">
        <f t="shared" si="467"/>
        <v>0</v>
      </c>
      <c r="M2139" s="419"/>
      <c r="N2139" s="419"/>
      <c r="O2139" s="419"/>
      <c r="P2139" s="419"/>
      <c r="Q2139" s="418">
        <f t="shared" si="476"/>
        <v>0</v>
      </c>
      <c r="R2139" s="379">
        <f t="shared" si="472"/>
        <v>0</v>
      </c>
      <c r="S2139" s="418"/>
      <c r="T2139" s="418"/>
      <c r="U2139" s="418">
        <f t="shared" si="477"/>
        <v>0</v>
      </c>
      <c r="V2139" s="379">
        <f t="shared" si="473"/>
        <v>0</v>
      </c>
      <c r="W2139" s="418"/>
      <c r="X2139" s="418"/>
      <c r="Y2139" s="418"/>
      <c r="Z2139" s="418"/>
      <c r="AA2139" s="418">
        <f t="shared" si="471"/>
        <v>0</v>
      </c>
      <c r="AB2139" s="379">
        <f t="shared" si="474"/>
        <v>0</v>
      </c>
      <c r="AC2139" s="418"/>
      <c r="AD2139" s="418"/>
      <c r="AE2139" s="418">
        <f t="shared" si="471"/>
        <v>0</v>
      </c>
      <c r="AF2139" s="379">
        <f t="shared" si="475"/>
        <v>0</v>
      </c>
      <c r="AG2139" s="418"/>
      <c r="AH2139" s="418"/>
      <c r="AI2139" s="418"/>
      <c r="AJ2139" s="418"/>
      <c r="AK2139" s="379">
        <f t="shared" si="468"/>
        <v>0</v>
      </c>
      <c r="AL2139" s="446">
        <f t="shared" si="469"/>
        <v>0</v>
      </c>
      <c r="AM2139" s="110">
        <f t="shared" si="470"/>
        <v>0</v>
      </c>
      <c r="AN2139" s="447">
        <f t="shared" si="479"/>
        <v>0</v>
      </c>
      <c r="AO2139" s="108"/>
      <c r="AP2139"/>
    </row>
    <row r="2140" spans="1:42" x14ac:dyDescent="0.25">
      <c r="A2140" s="310">
        <v>24601</v>
      </c>
      <c r="B2140" s="551" t="s">
        <v>571</v>
      </c>
      <c r="C2140" s="311"/>
      <c r="D2140" s="902"/>
      <c r="E2140" s="312"/>
      <c r="F2140" s="313"/>
      <c r="G2140" s="313"/>
      <c r="H2140" s="313"/>
      <c r="I2140" s="729"/>
      <c r="J2140" s="793"/>
      <c r="K2140" s="131">
        <f t="shared" si="478"/>
        <v>0</v>
      </c>
      <c r="L2140" s="335">
        <f t="shared" si="467"/>
        <v>0</v>
      </c>
      <c r="M2140" s="421"/>
      <c r="N2140" s="421"/>
      <c r="O2140" s="421"/>
      <c r="P2140" s="421"/>
      <c r="Q2140" s="387">
        <f t="shared" si="476"/>
        <v>0</v>
      </c>
      <c r="R2140" s="314">
        <f t="shared" si="472"/>
        <v>0</v>
      </c>
      <c r="S2140" s="387"/>
      <c r="T2140" s="387"/>
      <c r="U2140" s="387">
        <f t="shared" si="477"/>
        <v>0</v>
      </c>
      <c r="V2140" s="314">
        <f t="shared" si="473"/>
        <v>0</v>
      </c>
      <c r="W2140" s="387"/>
      <c r="X2140" s="387"/>
      <c r="Y2140" s="387"/>
      <c r="Z2140" s="387"/>
      <c r="AA2140" s="387">
        <f t="shared" si="471"/>
        <v>0</v>
      </c>
      <c r="AB2140" s="314">
        <f t="shared" si="474"/>
        <v>0</v>
      </c>
      <c r="AC2140" s="387"/>
      <c r="AD2140" s="387"/>
      <c r="AE2140" s="387">
        <f t="shared" si="471"/>
        <v>0</v>
      </c>
      <c r="AF2140" s="314">
        <f t="shared" si="475"/>
        <v>0</v>
      </c>
      <c r="AG2140" s="387"/>
      <c r="AH2140" s="387"/>
      <c r="AI2140" s="387"/>
      <c r="AJ2140" s="387"/>
      <c r="AK2140" s="314">
        <f t="shared" si="468"/>
        <v>0</v>
      </c>
      <c r="AL2140" s="446">
        <f t="shared" si="469"/>
        <v>0</v>
      </c>
      <c r="AM2140" s="110">
        <f t="shared" si="470"/>
        <v>0</v>
      </c>
      <c r="AN2140" s="447">
        <f t="shared" si="479"/>
        <v>0</v>
      </c>
      <c r="AO2140" s="436">
        <f>SUM(J2141:J2214)</f>
        <v>152553.71199599994</v>
      </c>
      <c r="AP2140" s="111"/>
    </row>
    <row r="2141" spans="1:42" ht="66" x14ac:dyDescent="0.25">
      <c r="A2141" s="162"/>
      <c r="B2141" s="1031" t="s">
        <v>572</v>
      </c>
      <c r="C2141" s="392"/>
      <c r="D2141" s="912">
        <v>25</v>
      </c>
      <c r="E2141" s="255" t="s">
        <v>1721</v>
      </c>
      <c r="F2141" s="273" t="s">
        <v>3446</v>
      </c>
      <c r="G2141" s="1040" t="s">
        <v>3463</v>
      </c>
      <c r="H2141" s="273" t="s">
        <v>3462</v>
      </c>
      <c r="I2141" s="720">
        <f t="shared" ref="I2141:I2204" si="480">+J2141/D2141</f>
        <v>60.192399999999999</v>
      </c>
      <c r="J2141" s="780">
        <v>1504.81</v>
      </c>
      <c r="K2141" s="131">
        <f t="shared" si="478"/>
        <v>1504.81</v>
      </c>
      <c r="L2141" s="335">
        <f t="shared" si="467"/>
        <v>0</v>
      </c>
      <c r="M2141" s="446"/>
      <c r="N2141" s="446"/>
      <c r="O2141" s="446"/>
      <c r="P2141" s="446"/>
      <c r="Q2141" s="110">
        <v>7</v>
      </c>
      <c r="R2141" s="111">
        <f t="shared" si="472"/>
        <v>376.20249999999999</v>
      </c>
      <c r="S2141" s="110"/>
      <c r="T2141" s="110"/>
      <c r="U2141" s="110">
        <v>6</v>
      </c>
      <c r="V2141" s="111">
        <f t="shared" si="473"/>
        <v>376.20249999999999</v>
      </c>
      <c r="W2141" s="110"/>
      <c r="X2141" s="110"/>
      <c r="Y2141" s="110"/>
      <c r="Z2141" s="110"/>
      <c r="AA2141" s="110">
        <v>6</v>
      </c>
      <c r="AB2141" s="111">
        <f t="shared" si="474"/>
        <v>376.20249999999999</v>
      </c>
      <c r="AC2141" s="110"/>
      <c r="AD2141" s="110"/>
      <c r="AE2141" s="110">
        <v>6</v>
      </c>
      <c r="AF2141" s="111">
        <f t="shared" si="475"/>
        <v>376.20249999999999</v>
      </c>
      <c r="AG2141" s="110"/>
      <c r="AH2141" s="110"/>
      <c r="AI2141" s="110"/>
      <c r="AJ2141" s="110"/>
      <c r="AK2141" s="111">
        <f t="shared" si="468"/>
        <v>1504.81</v>
      </c>
      <c r="AL2141" s="446">
        <f t="shared" si="469"/>
        <v>0</v>
      </c>
      <c r="AM2141" s="110">
        <f t="shared" si="470"/>
        <v>25</v>
      </c>
      <c r="AN2141" s="447">
        <f t="shared" si="479"/>
        <v>0</v>
      </c>
      <c r="AO2141"/>
      <c r="AP2141"/>
    </row>
    <row r="2142" spans="1:42" ht="66" x14ac:dyDescent="0.25">
      <c r="A2142" s="162"/>
      <c r="B2142" s="1031" t="s">
        <v>573</v>
      </c>
      <c r="C2142" s="392"/>
      <c r="D2142" s="912">
        <v>12</v>
      </c>
      <c r="E2142" s="255" t="s">
        <v>1721</v>
      </c>
      <c r="F2142" s="273" t="s">
        <v>3446</v>
      </c>
      <c r="G2142" s="1040" t="s">
        <v>3463</v>
      </c>
      <c r="H2142" s="273" t="s">
        <v>3462</v>
      </c>
      <c r="I2142" s="720">
        <f t="shared" si="480"/>
        <v>241.9992</v>
      </c>
      <c r="J2142" s="780">
        <v>2903.9904000000001</v>
      </c>
      <c r="K2142" s="131">
        <f t="shared" si="478"/>
        <v>2903.9904000000001</v>
      </c>
      <c r="L2142" s="335">
        <f t="shared" si="467"/>
        <v>0</v>
      </c>
      <c r="M2142" s="446"/>
      <c r="N2142" s="446"/>
      <c r="O2142" s="446"/>
      <c r="P2142" s="446"/>
      <c r="Q2142" s="110">
        <f t="shared" si="476"/>
        <v>3</v>
      </c>
      <c r="R2142" s="111">
        <f t="shared" si="472"/>
        <v>725.99760000000003</v>
      </c>
      <c r="S2142" s="110"/>
      <c r="T2142" s="110"/>
      <c r="U2142" s="110">
        <f t="shared" si="477"/>
        <v>3</v>
      </c>
      <c r="V2142" s="111">
        <f t="shared" si="473"/>
        <v>725.99760000000003</v>
      </c>
      <c r="W2142" s="110"/>
      <c r="X2142" s="110"/>
      <c r="Y2142" s="110"/>
      <c r="Z2142" s="110"/>
      <c r="AA2142" s="110">
        <f t="shared" si="471"/>
        <v>3</v>
      </c>
      <c r="AB2142" s="111">
        <f t="shared" si="474"/>
        <v>725.99760000000003</v>
      </c>
      <c r="AC2142" s="110"/>
      <c r="AD2142" s="110"/>
      <c r="AE2142" s="110">
        <f t="shared" si="471"/>
        <v>3</v>
      </c>
      <c r="AF2142" s="111">
        <f t="shared" si="475"/>
        <v>725.99760000000003</v>
      </c>
      <c r="AG2142" s="110"/>
      <c r="AH2142" s="110"/>
      <c r="AI2142" s="110"/>
      <c r="AJ2142" s="110"/>
      <c r="AK2142" s="111">
        <f t="shared" si="468"/>
        <v>2903.9904000000001</v>
      </c>
      <c r="AL2142" s="446">
        <f t="shared" si="469"/>
        <v>0</v>
      </c>
      <c r="AM2142" s="110">
        <f t="shared" si="470"/>
        <v>12</v>
      </c>
      <c r="AN2142" s="447">
        <f t="shared" si="479"/>
        <v>0</v>
      </c>
      <c r="AO2142"/>
      <c r="AP2142"/>
    </row>
    <row r="2143" spans="1:42" ht="66" x14ac:dyDescent="0.25">
      <c r="A2143" s="162"/>
      <c r="B2143" s="1031" t="s">
        <v>574</v>
      </c>
      <c r="C2143" s="392"/>
      <c r="D2143" s="912">
        <v>2</v>
      </c>
      <c r="E2143" s="255" t="s">
        <v>1721</v>
      </c>
      <c r="F2143" s="273" t="s">
        <v>3446</v>
      </c>
      <c r="G2143" s="1040" t="s">
        <v>3463</v>
      </c>
      <c r="H2143" s="273" t="s">
        <v>3462</v>
      </c>
      <c r="I2143" s="720">
        <f t="shared" si="480"/>
        <v>470.08</v>
      </c>
      <c r="J2143" s="780">
        <v>940.16</v>
      </c>
      <c r="K2143" s="131">
        <f t="shared" si="478"/>
        <v>940.16</v>
      </c>
      <c r="L2143" s="335">
        <f t="shared" si="467"/>
        <v>0</v>
      </c>
      <c r="M2143" s="446"/>
      <c r="N2143" s="446"/>
      <c r="O2143" s="446"/>
      <c r="P2143" s="446"/>
      <c r="Q2143" s="130">
        <v>1</v>
      </c>
      <c r="R2143" s="111">
        <v>470.08</v>
      </c>
      <c r="S2143" s="110"/>
      <c r="T2143" s="110"/>
      <c r="U2143" s="130">
        <v>1</v>
      </c>
      <c r="V2143" s="111">
        <v>470.08</v>
      </c>
      <c r="W2143" s="110"/>
      <c r="X2143" s="110"/>
      <c r="Y2143" s="110"/>
      <c r="Z2143" s="110"/>
      <c r="AA2143" s="130">
        <v>0</v>
      </c>
      <c r="AB2143" s="111">
        <v>0</v>
      </c>
      <c r="AC2143" s="110"/>
      <c r="AD2143" s="110"/>
      <c r="AE2143" s="130">
        <v>0</v>
      </c>
      <c r="AF2143" s="111">
        <v>0</v>
      </c>
      <c r="AG2143" s="110"/>
      <c r="AH2143" s="110"/>
      <c r="AI2143" s="110"/>
      <c r="AJ2143" s="110"/>
      <c r="AK2143" s="111">
        <f t="shared" si="468"/>
        <v>940.16</v>
      </c>
      <c r="AL2143" s="446">
        <f t="shared" si="469"/>
        <v>0</v>
      </c>
      <c r="AM2143" s="110">
        <f t="shared" si="470"/>
        <v>2</v>
      </c>
      <c r="AN2143" s="447">
        <f t="shared" si="479"/>
        <v>0</v>
      </c>
      <c r="AO2143"/>
      <c r="AP2143"/>
    </row>
    <row r="2144" spans="1:42" ht="66" x14ac:dyDescent="0.25">
      <c r="A2144" s="162"/>
      <c r="B2144" s="1031" t="s">
        <v>575</v>
      </c>
      <c r="C2144" s="392"/>
      <c r="D2144" s="912">
        <v>60</v>
      </c>
      <c r="E2144" s="255" t="s">
        <v>1826</v>
      </c>
      <c r="F2144" s="273" t="s">
        <v>3446</v>
      </c>
      <c r="G2144" s="1040" t="s">
        <v>3463</v>
      </c>
      <c r="H2144" s="273" t="s">
        <v>3462</v>
      </c>
      <c r="I2144" s="720">
        <f t="shared" si="480"/>
        <v>73.195999999999998</v>
      </c>
      <c r="J2144" s="780">
        <v>4391.76</v>
      </c>
      <c r="K2144" s="131">
        <f t="shared" si="478"/>
        <v>4391.76</v>
      </c>
      <c r="L2144" s="335">
        <f t="shared" si="467"/>
        <v>0</v>
      </c>
      <c r="M2144" s="446"/>
      <c r="N2144" s="446"/>
      <c r="O2144" s="446"/>
      <c r="P2144" s="446"/>
      <c r="Q2144" s="110">
        <f t="shared" si="476"/>
        <v>15</v>
      </c>
      <c r="R2144" s="111">
        <f t="shared" si="472"/>
        <v>1097.94</v>
      </c>
      <c r="S2144" s="110"/>
      <c r="T2144" s="110"/>
      <c r="U2144" s="110">
        <f t="shared" si="477"/>
        <v>15</v>
      </c>
      <c r="V2144" s="111">
        <f t="shared" si="473"/>
        <v>1097.94</v>
      </c>
      <c r="W2144" s="110"/>
      <c r="X2144" s="110"/>
      <c r="Y2144" s="110"/>
      <c r="Z2144" s="110"/>
      <c r="AA2144" s="110">
        <f t="shared" si="471"/>
        <v>15</v>
      </c>
      <c r="AB2144" s="111">
        <f t="shared" si="474"/>
        <v>1097.94</v>
      </c>
      <c r="AC2144" s="110"/>
      <c r="AD2144" s="110"/>
      <c r="AE2144" s="110">
        <f t="shared" si="471"/>
        <v>15</v>
      </c>
      <c r="AF2144" s="111">
        <f t="shared" si="475"/>
        <v>1097.94</v>
      </c>
      <c r="AG2144" s="110"/>
      <c r="AH2144" s="110"/>
      <c r="AI2144" s="110"/>
      <c r="AJ2144" s="110"/>
      <c r="AK2144" s="111">
        <f t="shared" si="468"/>
        <v>4391.76</v>
      </c>
      <c r="AL2144" s="446">
        <f t="shared" si="469"/>
        <v>0</v>
      </c>
      <c r="AM2144" s="110">
        <f t="shared" si="470"/>
        <v>60</v>
      </c>
      <c r="AN2144" s="447">
        <f t="shared" si="479"/>
        <v>0</v>
      </c>
      <c r="AO2144"/>
      <c r="AP2144"/>
    </row>
    <row r="2145" spans="1:42" ht="66" x14ac:dyDescent="0.25">
      <c r="A2145" s="162"/>
      <c r="B2145" s="34" t="s">
        <v>576</v>
      </c>
      <c r="C2145" s="52"/>
      <c r="D2145" s="913">
        <v>5</v>
      </c>
      <c r="E2145" s="1027" t="s">
        <v>3449</v>
      </c>
      <c r="F2145" s="273" t="s">
        <v>3446</v>
      </c>
      <c r="G2145" s="1040" t="s">
        <v>3463</v>
      </c>
      <c r="H2145" s="273" t="s">
        <v>3462</v>
      </c>
      <c r="I2145" s="720">
        <f t="shared" si="480"/>
        <v>268.72559999999999</v>
      </c>
      <c r="J2145" s="756">
        <v>1343.6279999999999</v>
      </c>
      <c r="K2145" s="131">
        <f t="shared" si="478"/>
        <v>1343.6279999999999</v>
      </c>
      <c r="L2145" s="335">
        <f t="shared" si="467"/>
        <v>0</v>
      </c>
      <c r="M2145" s="446"/>
      <c r="N2145" s="446"/>
      <c r="O2145" s="446"/>
      <c r="P2145" s="446"/>
      <c r="Q2145" s="110">
        <v>2</v>
      </c>
      <c r="R2145" s="111">
        <f t="shared" si="472"/>
        <v>335.90699999999998</v>
      </c>
      <c r="S2145" s="110"/>
      <c r="T2145" s="110"/>
      <c r="U2145" s="110">
        <v>1</v>
      </c>
      <c r="V2145" s="111">
        <f t="shared" si="473"/>
        <v>335.90699999999998</v>
      </c>
      <c r="W2145" s="110"/>
      <c r="X2145" s="110"/>
      <c r="Y2145" s="110"/>
      <c r="Z2145" s="110"/>
      <c r="AA2145" s="110">
        <v>1</v>
      </c>
      <c r="AB2145" s="111">
        <f t="shared" si="474"/>
        <v>335.90699999999998</v>
      </c>
      <c r="AC2145" s="110"/>
      <c r="AD2145" s="110"/>
      <c r="AE2145" s="110">
        <v>1</v>
      </c>
      <c r="AF2145" s="111">
        <f t="shared" si="475"/>
        <v>335.90699999999998</v>
      </c>
      <c r="AG2145" s="110"/>
      <c r="AH2145" s="110"/>
      <c r="AI2145" s="110"/>
      <c r="AJ2145" s="110"/>
      <c r="AK2145" s="111">
        <f t="shared" si="468"/>
        <v>1343.6279999999999</v>
      </c>
      <c r="AL2145" s="446">
        <f t="shared" si="469"/>
        <v>0</v>
      </c>
      <c r="AM2145" s="110">
        <f t="shared" si="470"/>
        <v>5</v>
      </c>
      <c r="AN2145" s="447">
        <f t="shared" si="479"/>
        <v>0</v>
      </c>
      <c r="AO2145"/>
      <c r="AP2145"/>
    </row>
    <row r="2146" spans="1:42" ht="66" x14ac:dyDescent="0.25">
      <c r="A2146" s="162"/>
      <c r="B2146" s="34" t="s">
        <v>577</v>
      </c>
      <c r="C2146" s="52"/>
      <c r="D2146" s="913">
        <v>3</v>
      </c>
      <c r="E2146" s="1027" t="s">
        <v>1721</v>
      </c>
      <c r="F2146" s="273" t="s">
        <v>3446</v>
      </c>
      <c r="G2146" s="1040" t="s">
        <v>3463</v>
      </c>
      <c r="H2146" s="273" t="s">
        <v>3462</v>
      </c>
      <c r="I2146" s="720">
        <f t="shared" si="480"/>
        <v>316.95839999999998</v>
      </c>
      <c r="J2146" s="756">
        <v>950.87519999999995</v>
      </c>
      <c r="K2146" s="131">
        <f t="shared" si="478"/>
        <v>950.87519999999995</v>
      </c>
      <c r="L2146" s="335">
        <f t="shared" si="467"/>
        <v>0</v>
      </c>
      <c r="M2146" s="446"/>
      <c r="N2146" s="446"/>
      <c r="O2146" s="446"/>
      <c r="P2146" s="446"/>
      <c r="Q2146" s="130">
        <v>2</v>
      </c>
      <c r="R2146" s="111">
        <v>633.84</v>
      </c>
      <c r="S2146" s="110"/>
      <c r="T2146" s="110"/>
      <c r="U2146" s="130">
        <v>1</v>
      </c>
      <c r="V2146" s="111">
        <v>316.95999999999998</v>
      </c>
      <c r="W2146" s="110"/>
      <c r="X2146" s="110"/>
      <c r="Y2146" s="110"/>
      <c r="Z2146" s="110"/>
      <c r="AA2146" s="130">
        <v>0</v>
      </c>
      <c r="AB2146" s="111">
        <v>0</v>
      </c>
      <c r="AC2146" s="110"/>
      <c r="AD2146" s="110"/>
      <c r="AE2146" s="130">
        <v>0</v>
      </c>
      <c r="AF2146" s="111">
        <v>0</v>
      </c>
      <c r="AG2146" s="110"/>
      <c r="AH2146" s="110"/>
      <c r="AI2146" s="110"/>
      <c r="AJ2146" s="110"/>
      <c r="AK2146" s="111">
        <f t="shared" si="468"/>
        <v>950.8</v>
      </c>
      <c r="AL2146" s="446">
        <f t="shared" si="469"/>
        <v>7.5199999999995271E-2</v>
      </c>
      <c r="AM2146" s="110">
        <f t="shared" si="470"/>
        <v>3</v>
      </c>
      <c r="AN2146" s="447">
        <f t="shared" si="479"/>
        <v>0</v>
      </c>
      <c r="AO2146"/>
      <c r="AP2146"/>
    </row>
    <row r="2147" spans="1:42" ht="66" x14ac:dyDescent="0.25">
      <c r="A2147" s="162"/>
      <c r="B2147" s="34" t="s">
        <v>578</v>
      </c>
      <c r="C2147" s="52"/>
      <c r="D2147" s="913">
        <v>6</v>
      </c>
      <c r="E2147" s="1027" t="s">
        <v>3450</v>
      </c>
      <c r="F2147" s="273" t="s">
        <v>3446</v>
      </c>
      <c r="G2147" s="1040" t="s">
        <v>3463</v>
      </c>
      <c r="H2147" s="273" t="s">
        <v>3462</v>
      </c>
      <c r="I2147" s="720">
        <f t="shared" si="480"/>
        <v>130.91759999999999</v>
      </c>
      <c r="J2147" s="756">
        <v>785.50559999999996</v>
      </c>
      <c r="K2147" s="131">
        <f t="shared" si="478"/>
        <v>785.50559999999996</v>
      </c>
      <c r="L2147" s="335">
        <f t="shared" si="467"/>
        <v>0</v>
      </c>
      <c r="M2147" s="446"/>
      <c r="N2147" s="446"/>
      <c r="O2147" s="446"/>
      <c r="P2147" s="446"/>
      <c r="Q2147" s="130">
        <v>2</v>
      </c>
      <c r="R2147" s="111">
        <f t="shared" si="472"/>
        <v>196.37639999999999</v>
      </c>
      <c r="S2147" s="110"/>
      <c r="T2147" s="110"/>
      <c r="U2147" s="130">
        <v>2</v>
      </c>
      <c r="V2147" s="111">
        <f t="shared" si="473"/>
        <v>196.37639999999999</v>
      </c>
      <c r="W2147" s="110"/>
      <c r="X2147" s="110"/>
      <c r="Y2147" s="110"/>
      <c r="Z2147" s="110"/>
      <c r="AA2147" s="130">
        <v>1</v>
      </c>
      <c r="AB2147" s="111">
        <f t="shared" si="474"/>
        <v>196.37639999999999</v>
      </c>
      <c r="AC2147" s="110"/>
      <c r="AD2147" s="110"/>
      <c r="AE2147" s="130">
        <v>1</v>
      </c>
      <c r="AF2147" s="111">
        <f t="shared" si="475"/>
        <v>196.37639999999999</v>
      </c>
      <c r="AG2147" s="110"/>
      <c r="AH2147" s="110"/>
      <c r="AI2147" s="110"/>
      <c r="AJ2147" s="110"/>
      <c r="AK2147" s="111">
        <f t="shared" si="468"/>
        <v>785.50559999999996</v>
      </c>
      <c r="AL2147" s="446">
        <f t="shared" si="469"/>
        <v>0</v>
      </c>
      <c r="AM2147" s="110">
        <f t="shared" si="470"/>
        <v>6</v>
      </c>
      <c r="AN2147" s="447">
        <f t="shared" si="479"/>
        <v>0</v>
      </c>
      <c r="AO2147"/>
      <c r="AP2147"/>
    </row>
    <row r="2148" spans="1:42" ht="66" x14ac:dyDescent="0.25">
      <c r="A2148" s="162"/>
      <c r="B2148" s="34" t="s">
        <v>579</v>
      </c>
      <c r="C2148" s="52"/>
      <c r="D2148" s="913">
        <v>5</v>
      </c>
      <c r="E2148" s="1027" t="s">
        <v>1721</v>
      </c>
      <c r="F2148" s="273" t="s">
        <v>3446</v>
      </c>
      <c r="G2148" s="1040" t="s">
        <v>3463</v>
      </c>
      <c r="H2148" s="273" t="s">
        <v>3462</v>
      </c>
      <c r="I2148" s="720">
        <f t="shared" si="480"/>
        <v>330.73919999999998</v>
      </c>
      <c r="J2148" s="756">
        <v>1653.6959999999999</v>
      </c>
      <c r="K2148" s="131">
        <f t="shared" si="478"/>
        <v>1653.6959999999999</v>
      </c>
      <c r="L2148" s="335">
        <f t="shared" si="467"/>
        <v>0</v>
      </c>
      <c r="M2148" s="446"/>
      <c r="N2148" s="446"/>
      <c r="O2148" s="446"/>
      <c r="P2148" s="446"/>
      <c r="Q2148" s="110">
        <v>2</v>
      </c>
      <c r="R2148" s="111">
        <f t="shared" si="472"/>
        <v>413.42399999999998</v>
      </c>
      <c r="S2148" s="110"/>
      <c r="T2148" s="110"/>
      <c r="U2148" s="110">
        <v>1</v>
      </c>
      <c r="V2148" s="111">
        <f t="shared" si="473"/>
        <v>413.42399999999998</v>
      </c>
      <c r="W2148" s="110"/>
      <c r="X2148" s="110"/>
      <c r="Y2148" s="110"/>
      <c r="Z2148" s="110"/>
      <c r="AA2148" s="110">
        <v>1</v>
      </c>
      <c r="AB2148" s="111">
        <f t="shared" si="474"/>
        <v>413.42399999999998</v>
      </c>
      <c r="AC2148" s="110"/>
      <c r="AD2148" s="110"/>
      <c r="AE2148" s="110">
        <v>1</v>
      </c>
      <c r="AF2148" s="111">
        <f t="shared" si="475"/>
        <v>413.42399999999998</v>
      </c>
      <c r="AG2148" s="110"/>
      <c r="AH2148" s="110"/>
      <c r="AI2148" s="110"/>
      <c r="AJ2148" s="110"/>
      <c r="AK2148" s="111">
        <f t="shared" si="468"/>
        <v>1653.6959999999999</v>
      </c>
      <c r="AL2148" s="446">
        <f t="shared" si="469"/>
        <v>0</v>
      </c>
      <c r="AM2148" s="110">
        <f t="shared" si="470"/>
        <v>5</v>
      </c>
      <c r="AN2148" s="447">
        <f t="shared" si="479"/>
        <v>0</v>
      </c>
      <c r="AO2148"/>
      <c r="AP2148"/>
    </row>
    <row r="2149" spans="1:42" ht="66" x14ac:dyDescent="0.25">
      <c r="A2149" s="162"/>
      <c r="B2149" s="34" t="s">
        <v>580</v>
      </c>
      <c r="C2149" s="52"/>
      <c r="D2149" s="913">
        <v>10</v>
      </c>
      <c r="E2149" s="1027" t="s">
        <v>1721</v>
      </c>
      <c r="F2149" s="273" t="s">
        <v>3446</v>
      </c>
      <c r="G2149" s="1040" t="s">
        <v>3463</v>
      </c>
      <c r="H2149" s="273" t="s">
        <v>3462</v>
      </c>
      <c r="I2149" s="720">
        <f t="shared" si="480"/>
        <v>241.16400000000004</v>
      </c>
      <c r="J2149" s="756">
        <v>2411.6400000000003</v>
      </c>
      <c r="K2149" s="131">
        <f t="shared" si="478"/>
        <v>2411.6400000000003</v>
      </c>
      <c r="L2149" s="335">
        <f t="shared" si="467"/>
        <v>0</v>
      </c>
      <c r="M2149" s="446"/>
      <c r="N2149" s="446"/>
      <c r="O2149" s="446"/>
      <c r="P2149" s="446"/>
      <c r="Q2149" s="130">
        <v>3</v>
      </c>
      <c r="R2149" s="111">
        <f t="shared" si="472"/>
        <v>602.91000000000008</v>
      </c>
      <c r="S2149" s="110"/>
      <c r="T2149" s="110"/>
      <c r="U2149" s="130">
        <v>3</v>
      </c>
      <c r="V2149" s="111">
        <f t="shared" si="473"/>
        <v>602.91000000000008</v>
      </c>
      <c r="W2149" s="110"/>
      <c r="X2149" s="110"/>
      <c r="Y2149" s="110"/>
      <c r="Z2149" s="110"/>
      <c r="AA2149" s="130">
        <v>2</v>
      </c>
      <c r="AB2149" s="111">
        <f t="shared" si="474"/>
        <v>602.91000000000008</v>
      </c>
      <c r="AC2149" s="110"/>
      <c r="AD2149" s="110"/>
      <c r="AE2149" s="130">
        <v>2</v>
      </c>
      <c r="AF2149" s="111">
        <f t="shared" si="475"/>
        <v>602.91000000000008</v>
      </c>
      <c r="AG2149" s="110"/>
      <c r="AH2149" s="110"/>
      <c r="AI2149" s="110"/>
      <c r="AJ2149" s="110"/>
      <c r="AK2149" s="111">
        <f t="shared" si="468"/>
        <v>2411.6400000000003</v>
      </c>
      <c r="AL2149" s="446">
        <f t="shared" si="469"/>
        <v>0</v>
      </c>
      <c r="AM2149" s="110">
        <f t="shared" si="470"/>
        <v>10</v>
      </c>
      <c r="AN2149" s="447">
        <f t="shared" si="479"/>
        <v>0</v>
      </c>
      <c r="AO2149"/>
      <c r="AP2149"/>
    </row>
    <row r="2150" spans="1:42" ht="66" x14ac:dyDescent="0.25">
      <c r="A2150" s="162"/>
      <c r="B2150" s="34" t="s">
        <v>581</v>
      </c>
      <c r="C2150" s="52"/>
      <c r="D2150" s="913">
        <v>6</v>
      </c>
      <c r="E2150" s="1027" t="s">
        <v>1721</v>
      </c>
      <c r="F2150" s="273" t="s">
        <v>3446</v>
      </c>
      <c r="G2150" s="1040" t="s">
        <v>3463</v>
      </c>
      <c r="H2150" s="273" t="s">
        <v>3462</v>
      </c>
      <c r="I2150" s="720">
        <f t="shared" si="480"/>
        <v>41.342399999999998</v>
      </c>
      <c r="J2150" s="756">
        <v>248.05439999999999</v>
      </c>
      <c r="K2150" s="131">
        <f t="shared" si="478"/>
        <v>248.05439999999999</v>
      </c>
      <c r="L2150" s="335">
        <f t="shared" si="467"/>
        <v>0</v>
      </c>
      <c r="M2150" s="446"/>
      <c r="N2150" s="446"/>
      <c r="O2150" s="446"/>
      <c r="P2150" s="446"/>
      <c r="Q2150" s="130">
        <v>2</v>
      </c>
      <c r="R2150" s="111">
        <f t="shared" si="472"/>
        <v>62.013599999999997</v>
      </c>
      <c r="S2150" s="110"/>
      <c r="T2150" s="110"/>
      <c r="U2150" s="130">
        <v>2</v>
      </c>
      <c r="V2150" s="111">
        <f t="shared" si="473"/>
        <v>62.013599999999997</v>
      </c>
      <c r="W2150" s="110"/>
      <c r="X2150" s="110"/>
      <c r="Y2150" s="110"/>
      <c r="Z2150" s="110"/>
      <c r="AA2150" s="130">
        <v>1</v>
      </c>
      <c r="AB2150" s="111">
        <f t="shared" si="474"/>
        <v>62.013599999999997</v>
      </c>
      <c r="AC2150" s="110"/>
      <c r="AD2150" s="110"/>
      <c r="AE2150" s="130">
        <v>1</v>
      </c>
      <c r="AF2150" s="111">
        <f t="shared" si="475"/>
        <v>62.013599999999997</v>
      </c>
      <c r="AG2150" s="110"/>
      <c r="AH2150" s="110"/>
      <c r="AI2150" s="110"/>
      <c r="AJ2150" s="110"/>
      <c r="AK2150" s="111">
        <f t="shared" si="468"/>
        <v>248.05439999999999</v>
      </c>
      <c r="AL2150" s="446">
        <f t="shared" si="469"/>
        <v>0</v>
      </c>
      <c r="AM2150" s="110">
        <f t="shared" si="470"/>
        <v>6</v>
      </c>
      <c r="AN2150" s="447">
        <f t="shared" si="479"/>
        <v>0</v>
      </c>
      <c r="AO2150"/>
      <c r="AP2150"/>
    </row>
    <row r="2151" spans="1:42" ht="66" x14ac:dyDescent="0.25">
      <c r="A2151" s="162"/>
      <c r="B2151" s="219" t="s">
        <v>1084</v>
      </c>
      <c r="C2151" s="52"/>
      <c r="D2151" s="913">
        <f>1</f>
        <v>1</v>
      </c>
      <c r="E2151" s="1027" t="s">
        <v>1725</v>
      </c>
      <c r="F2151" s="273" t="s">
        <v>3446</v>
      </c>
      <c r="G2151" s="1040" t="s">
        <v>3463</v>
      </c>
      <c r="H2151" s="273" t="s">
        <v>3462</v>
      </c>
      <c r="I2151" s="720">
        <f t="shared" si="480"/>
        <v>500</v>
      </c>
      <c r="J2151" s="756">
        <f>500</f>
        <v>500</v>
      </c>
      <c r="K2151" s="131">
        <f t="shared" si="478"/>
        <v>500</v>
      </c>
      <c r="L2151" s="335">
        <f t="shared" si="467"/>
        <v>0</v>
      </c>
      <c r="M2151" s="446"/>
      <c r="N2151" s="446"/>
      <c r="O2151" s="446"/>
      <c r="P2151" s="446"/>
      <c r="Q2151" s="110">
        <v>1</v>
      </c>
      <c r="R2151" s="111">
        <v>500</v>
      </c>
      <c r="S2151" s="110"/>
      <c r="T2151" s="110"/>
      <c r="U2151" s="110">
        <v>0</v>
      </c>
      <c r="V2151" s="111">
        <v>0</v>
      </c>
      <c r="W2151" s="110"/>
      <c r="X2151" s="110"/>
      <c r="Y2151" s="110"/>
      <c r="Z2151" s="110"/>
      <c r="AA2151" s="110">
        <v>0</v>
      </c>
      <c r="AB2151" s="111">
        <v>0</v>
      </c>
      <c r="AC2151" s="110"/>
      <c r="AD2151" s="110"/>
      <c r="AE2151" s="110">
        <v>0</v>
      </c>
      <c r="AF2151" s="111">
        <v>0</v>
      </c>
      <c r="AG2151" s="110"/>
      <c r="AH2151" s="110"/>
      <c r="AI2151" s="110"/>
      <c r="AJ2151" s="110"/>
      <c r="AK2151" s="111">
        <f t="shared" si="468"/>
        <v>500</v>
      </c>
      <c r="AL2151" s="446">
        <f t="shared" si="469"/>
        <v>0</v>
      </c>
      <c r="AM2151" s="110">
        <f t="shared" si="470"/>
        <v>1</v>
      </c>
      <c r="AN2151" s="447">
        <f t="shared" si="479"/>
        <v>0</v>
      </c>
      <c r="AO2151"/>
      <c r="AP2151"/>
    </row>
    <row r="2152" spans="1:42" ht="66" x14ac:dyDescent="0.25">
      <c r="A2152" s="162"/>
      <c r="B2152" s="501" t="s">
        <v>1195</v>
      </c>
      <c r="C2152" s="52"/>
      <c r="D2152" s="913">
        <v>100</v>
      </c>
      <c r="E2152" s="1027" t="s">
        <v>1721</v>
      </c>
      <c r="F2152" s="273" t="s">
        <v>3446</v>
      </c>
      <c r="G2152" s="1040" t="s">
        <v>3463</v>
      </c>
      <c r="H2152" s="273" t="s">
        <v>3462</v>
      </c>
      <c r="I2152" s="720">
        <f t="shared" si="480"/>
        <v>15</v>
      </c>
      <c r="J2152" s="756">
        <f>1500</f>
        <v>1500</v>
      </c>
      <c r="K2152" s="131">
        <f t="shared" si="478"/>
        <v>1500</v>
      </c>
      <c r="L2152" s="335">
        <f t="shared" si="467"/>
        <v>0</v>
      </c>
      <c r="M2152" s="446"/>
      <c r="N2152" s="446"/>
      <c r="O2152" s="446"/>
      <c r="P2152" s="446"/>
      <c r="Q2152" s="110">
        <v>30</v>
      </c>
      <c r="R2152" s="111">
        <f t="shared" si="472"/>
        <v>375</v>
      </c>
      <c r="S2152" s="110"/>
      <c r="T2152" s="110"/>
      <c r="U2152" s="110">
        <v>30</v>
      </c>
      <c r="V2152" s="111">
        <f t="shared" si="473"/>
        <v>375</v>
      </c>
      <c r="W2152" s="110"/>
      <c r="X2152" s="110"/>
      <c r="Y2152" s="110"/>
      <c r="Z2152" s="110"/>
      <c r="AA2152" s="110">
        <v>30</v>
      </c>
      <c r="AB2152" s="111">
        <f t="shared" si="474"/>
        <v>375</v>
      </c>
      <c r="AC2152" s="110"/>
      <c r="AD2152" s="110"/>
      <c r="AE2152" s="110">
        <v>10</v>
      </c>
      <c r="AF2152" s="111">
        <f t="shared" si="475"/>
        <v>375</v>
      </c>
      <c r="AG2152" s="110"/>
      <c r="AH2152" s="110"/>
      <c r="AI2152" s="110"/>
      <c r="AJ2152" s="110"/>
      <c r="AK2152" s="111">
        <f t="shared" si="468"/>
        <v>1500</v>
      </c>
      <c r="AL2152" s="446">
        <f t="shared" si="469"/>
        <v>0</v>
      </c>
      <c r="AM2152" s="110">
        <f t="shared" si="470"/>
        <v>100</v>
      </c>
      <c r="AN2152" s="447">
        <f t="shared" si="479"/>
        <v>0</v>
      </c>
      <c r="AO2152"/>
      <c r="AP2152"/>
    </row>
    <row r="2153" spans="1:42" ht="66" x14ac:dyDescent="0.25">
      <c r="A2153" s="162"/>
      <c r="B2153" s="501" t="s">
        <v>1196</v>
      </c>
      <c r="C2153" s="52"/>
      <c r="D2153" s="913">
        <v>100</v>
      </c>
      <c r="E2153" s="1027" t="s">
        <v>1721</v>
      </c>
      <c r="F2153" s="273" t="s">
        <v>3446</v>
      </c>
      <c r="G2153" s="1040" t="s">
        <v>3463</v>
      </c>
      <c r="H2153" s="273" t="s">
        <v>3462</v>
      </c>
      <c r="I2153" s="720">
        <f t="shared" si="480"/>
        <v>15</v>
      </c>
      <c r="J2153" s="756">
        <f>1500</f>
        <v>1500</v>
      </c>
      <c r="K2153" s="131">
        <f t="shared" si="478"/>
        <v>1500</v>
      </c>
      <c r="L2153" s="335">
        <f t="shared" si="467"/>
        <v>0</v>
      </c>
      <c r="M2153" s="446"/>
      <c r="N2153" s="446"/>
      <c r="O2153" s="446"/>
      <c r="P2153" s="446"/>
      <c r="Q2153" s="110">
        <v>30</v>
      </c>
      <c r="R2153" s="111">
        <f t="shared" si="472"/>
        <v>375</v>
      </c>
      <c r="S2153" s="110"/>
      <c r="T2153" s="110"/>
      <c r="U2153" s="110">
        <v>30</v>
      </c>
      <c r="V2153" s="111">
        <f t="shared" si="473"/>
        <v>375</v>
      </c>
      <c r="W2153" s="110"/>
      <c r="X2153" s="110"/>
      <c r="Y2153" s="110"/>
      <c r="Z2153" s="110"/>
      <c r="AA2153" s="110">
        <v>30</v>
      </c>
      <c r="AB2153" s="111">
        <f t="shared" si="474"/>
        <v>375</v>
      </c>
      <c r="AC2153" s="110"/>
      <c r="AD2153" s="110"/>
      <c r="AE2153" s="110">
        <v>10</v>
      </c>
      <c r="AF2153" s="111">
        <f t="shared" si="475"/>
        <v>375</v>
      </c>
      <c r="AG2153" s="110"/>
      <c r="AH2153" s="110"/>
      <c r="AI2153" s="110"/>
      <c r="AJ2153" s="110"/>
      <c r="AK2153" s="111">
        <f t="shared" si="468"/>
        <v>1500</v>
      </c>
      <c r="AL2153" s="446">
        <f t="shared" si="469"/>
        <v>0</v>
      </c>
      <c r="AM2153" s="110">
        <f t="shared" si="470"/>
        <v>100</v>
      </c>
      <c r="AN2153" s="447">
        <f t="shared" si="479"/>
        <v>0</v>
      </c>
      <c r="AO2153"/>
      <c r="AP2153"/>
    </row>
    <row r="2154" spans="1:42" ht="66" x14ac:dyDescent="0.25">
      <c r="A2154" s="162"/>
      <c r="B2154" s="152" t="s">
        <v>1197</v>
      </c>
      <c r="C2154" s="52"/>
      <c r="D2154" s="913">
        <f>1+0.3</f>
        <v>1.3</v>
      </c>
      <c r="E2154" s="1027" t="s">
        <v>1826</v>
      </c>
      <c r="F2154" s="273" t="s">
        <v>3446</v>
      </c>
      <c r="G2154" s="1040" t="s">
        <v>3463</v>
      </c>
      <c r="H2154" s="273" t="s">
        <v>3462</v>
      </c>
      <c r="I2154" s="720">
        <f t="shared" si="480"/>
        <v>5374.5092307692303</v>
      </c>
      <c r="J2154" s="756">
        <f>5374.512+1612.35</f>
        <v>6986.8619999999992</v>
      </c>
      <c r="K2154" s="131">
        <f t="shared" si="478"/>
        <v>6986.8619999999992</v>
      </c>
      <c r="L2154" s="335">
        <f t="shared" si="467"/>
        <v>0</v>
      </c>
      <c r="M2154" s="446"/>
      <c r="N2154" s="446"/>
      <c r="O2154" s="446"/>
      <c r="P2154" s="446"/>
      <c r="Q2154" s="110">
        <v>1</v>
      </c>
      <c r="R2154" s="111">
        <v>6986.86</v>
      </c>
      <c r="S2154" s="110"/>
      <c r="T2154" s="110"/>
      <c r="U2154" s="110">
        <v>0</v>
      </c>
      <c r="V2154" s="111">
        <v>0</v>
      </c>
      <c r="W2154" s="110"/>
      <c r="X2154" s="110"/>
      <c r="Y2154" s="110"/>
      <c r="Z2154" s="110"/>
      <c r="AA2154" s="110">
        <v>0</v>
      </c>
      <c r="AB2154" s="111">
        <v>0</v>
      </c>
      <c r="AC2154" s="110"/>
      <c r="AD2154" s="110"/>
      <c r="AE2154" s="110">
        <v>0</v>
      </c>
      <c r="AF2154" s="111">
        <v>0</v>
      </c>
      <c r="AG2154" s="110"/>
      <c r="AH2154" s="110"/>
      <c r="AI2154" s="110"/>
      <c r="AJ2154" s="110"/>
      <c r="AK2154" s="111">
        <f t="shared" si="468"/>
        <v>6986.86</v>
      </c>
      <c r="AL2154" s="446">
        <f t="shared" si="469"/>
        <v>1.9999999994979589E-3</v>
      </c>
      <c r="AM2154" s="110">
        <f t="shared" si="470"/>
        <v>1</v>
      </c>
      <c r="AN2154" s="447">
        <f t="shared" si="479"/>
        <v>0.30000000000000004</v>
      </c>
      <c r="AO2154"/>
      <c r="AP2154"/>
    </row>
    <row r="2155" spans="1:42" ht="66" x14ac:dyDescent="0.25">
      <c r="A2155" s="162"/>
      <c r="B2155" s="501" t="s">
        <v>1198</v>
      </c>
      <c r="C2155" s="52"/>
      <c r="D2155" s="913">
        <v>1</v>
      </c>
      <c r="E2155" s="1027" t="s">
        <v>1826</v>
      </c>
      <c r="F2155" s="273" t="s">
        <v>3446</v>
      </c>
      <c r="G2155" s="1040" t="s">
        <v>3463</v>
      </c>
      <c r="H2155" s="273" t="s">
        <v>3462</v>
      </c>
      <c r="I2155" s="720">
        <f t="shared" si="480"/>
        <v>3996.4320000000007</v>
      </c>
      <c r="J2155" s="756">
        <v>3996.4320000000007</v>
      </c>
      <c r="K2155" s="131">
        <f t="shared" si="478"/>
        <v>3996.4320000000007</v>
      </c>
      <c r="L2155" s="335">
        <f t="shared" si="467"/>
        <v>0</v>
      </c>
      <c r="M2155" s="446"/>
      <c r="N2155" s="446"/>
      <c r="O2155" s="446"/>
      <c r="P2155" s="446"/>
      <c r="Q2155" s="110">
        <v>1</v>
      </c>
      <c r="R2155" s="111">
        <v>3996.4</v>
      </c>
      <c r="S2155" s="110"/>
      <c r="T2155" s="110"/>
      <c r="U2155" s="110">
        <v>0</v>
      </c>
      <c r="V2155" s="111">
        <v>0</v>
      </c>
      <c r="W2155" s="110"/>
      <c r="X2155" s="110"/>
      <c r="Y2155" s="110"/>
      <c r="Z2155" s="110"/>
      <c r="AA2155" s="110">
        <v>0</v>
      </c>
      <c r="AB2155" s="111">
        <v>0</v>
      </c>
      <c r="AC2155" s="110"/>
      <c r="AD2155" s="110"/>
      <c r="AE2155" s="110">
        <v>0</v>
      </c>
      <c r="AF2155" s="111">
        <v>0</v>
      </c>
      <c r="AG2155" s="110"/>
      <c r="AH2155" s="110"/>
      <c r="AI2155" s="110"/>
      <c r="AJ2155" s="110"/>
      <c r="AK2155" s="111">
        <f t="shared" si="468"/>
        <v>3996.4</v>
      </c>
      <c r="AL2155" s="446">
        <f t="shared" si="469"/>
        <v>3.2000000000607542E-2</v>
      </c>
      <c r="AM2155" s="110">
        <f t="shared" si="470"/>
        <v>1</v>
      </c>
      <c r="AN2155" s="447">
        <f t="shared" si="479"/>
        <v>0</v>
      </c>
      <c r="AO2155"/>
      <c r="AP2155"/>
    </row>
    <row r="2156" spans="1:42" ht="66" x14ac:dyDescent="0.25">
      <c r="A2156" s="162"/>
      <c r="B2156" s="501" t="s">
        <v>1199</v>
      </c>
      <c r="C2156" s="52"/>
      <c r="D2156" s="913">
        <f>1+1</f>
        <v>2</v>
      </c>
      <c r="E2156" s="1027" t="s">
        <v>1826</v>
      </c>
      <c r="F2156" s="273" t="s">
        <v>3446</v>
      </c>
      <c r="G2156" s="1040" t="s">
        <v>3463</v>
      </c>
      <c r="H2156" s="273" t="s">
        <v>3462</v>
      </c>
      <c r="I2156" s="720">
        <f t="shared" si="480"/>
        <v>2976.6549999999997</v>
      </c>
      <c r="J2156" s="756">
        <f>2756.16+3197.15</f>
        <v>5953.3099999999995</v>
      </c>
      <c r="K2156" s="131">
        <f t="shared" si="478"/>
        <v>5953.3099999999995</v>
      </c>
      <c r="L2156" s="335">
        <f t="shared" si="467"/>
        <v>0</v>
      </c>
      <c r="M2156" s="446"/>
      <c r="N2156" s="446"/>
      <c r="O2156" s="446"/>
      <c r="P2156" s="446"/>
      <c r="Q2156" s="130">
        <v>1</v>
      </c>
      <c r="R2156" s="111">
        <v>2976.66</v>
      </c>
      <c r="S2156" s="110"/>
      <c r="T2156" s="110"/>
      <c r="U2156" s="130">
        <v>1</v>
      </c>
      <c r="V2156" s="111">
        <v>2976.66</v>
      </c>
      <c r="W2156" s="110"/>
      <c r="X2156" s="110"/>
      <c r="Y2156" s="110"/>
      <c r="Z2156" s="110"/>
      <c r="AA2156" s="130">
        <v>0</v>
      </c>
      <c r="AB2156" s="111">
        <v>0</v>
      </c>
      <c r="AC2156" s="110"/>
      <c r="AD2156" s="110"/>
      <c r="AE2156" s="130">
        <v>0</v>
      </c>
      <c r="AF2156" s="111">
        <v>0</v>
      </c>
      <c r="AG2156" s="110"/>
      <c r="AH2156" s="110"/>
      <c r="AI2156" s="110"/>
      <c r="AJ2156" s="110"/>
      <c r="AK2156" s="111">
        <f t="shared" si="468"/>
        <v>5953.32</v>
      </c>
      <c r="AL2156" s="446">
        <f t="shared" si="469"/>
        <v>-1.0000000000218279E-2</v>
      </c>
      <c r="AM2156" s="110">
        <f t="shared" si="470"/>
        <v>2</v>
      </c>
      <c r="AN2156" s="447">
        <f t="shared" si="479"/>
        <v>0</v>
      </c>
      <c r="AO2156"/>
      <c r="AP2156"/>
    </row>
    <row r="2157" spans="1:42" ht="66" x14ac:dyDescent="0.25">
      <c r="A2157" s="162"/>
      <c r="B2157" s="501" t="s">
        <v>1200</v>
      </c>
      <c r="C2157" s="52"/>
      <c r="D2157" s="913">
        <v>1</v>
      </c>
      <c r="E2157" s="1027" t="s">
        <v>1826</v>
      </c>
      <c r="F2157" s="273" t="s">
        <v>3446</v>
      </c>
      <c r="G2157" s="1040" t="s">
        <v>3463</v>
      </c>
      <c r="H2157" s="273" t="s">
        <v>3462</v>
      </c>
      <c r="I2157" s="720">
        <f t="shared" si="480"/>
        <v>3100.68</v>
      </c>
      <c r="J2157" s="756">
        <v>3100.68</v>
      </c>
      <c r="K2157" s="131">
        <f t="shared" si="478"/>
        <v>3100.68</v>
      </c>
      <c r="L2157" s="335">
        <f t="shared" si="467"/>
        <v>0</v>
      </c>
      <c r="M2157" s="446"/>
      <c r="N2157" s="446"/>
      <c r="O2157" s="446"/>
      <c r="P2157" s="446"/>
      <c r="Q2157" s="110">
        <v>1</v>
      </c>
      <c r="R2157" s="111">
        <v>3100.68</v>
      </c>
      <c r="S2157" s="110"/>
      <c r="T2157" s="110"/>
      <c r="U2157" s="110">
        <v>0</v>
      </c>
      <c r="V2157" s="111">
        <v>0</v>
      </c>
      <c r="W2157" s="110"/>
      <c r="X2157" s="110"/>
      <c r="Y2157" s="110"/>
      <c r="Z2157" s="110"/>
      <c r="AA2157" s="110">
        <v>0</v>
      </c>
      <c r="AB2157" s="111">
        <v>0</v>
      </c>
      <c r="AC2157" s="110"/>
      <c r="AD2157" s="110"/>
      <c r="AE2157" s="110">
        <v>0</v>
      </c>
      <c r="AF2157" s="111">
        <v>0</v>
      </c>
      <c r="AG2157" s="110"/>
      <c r="AH2157" s="110"/>
      <c r="AI2157" s="110"/>
      <c r="AJ2157" s="110"/>
      <c r="AK2157" s="111">
        <f t="shared" si="468"/>
        <v>3100.68</v>
      </c>
      <c r="AL2157" s="446">
        <f t="shared" si="469"/>
        <v>0</v>
      </c>
      <c r="AM2157" s="110">
        <f t="shared" si="470"/>
        <v>1</v>
      </c>
      <c r="AN2157" s="447">
        <f t="shared" si="479"/>
        <v>0</v>
      </c>
      <c r="AO2157"/>
      <c r="AP2157"/>
    </row>
    <row r="2158" spans="1:42" ht="66" x14ac:dyDescent="0.25">
      <c r="A2158" s="162"/>
      <c r="B2158" s="501" t="s">
        <v>1201</v>
      </c>
      <c r="C2158" s="52"/>
      <c r="D2158" s="913">
        <f>1+1</f>
        <v>2</v>
      </c>
      <c r="E2158" s="1027" t="s">
        <v>1826</v>
      </c>
      <c r="F2158" s="273" t="s">
        <v>3446</v>
      </c>
      <c r="G2158" s="1040" t="s">
        <v>3463</v>
      </c>
      <c r="H2158" s="273" t="s">
        <v>3462</v>
      </c>
      <c r="I2158" s="720">
        <f t="shared" si="480"/>
        <v>2009.2439999999999</v>
      </c>
      <c r="J2158" s="756">
        <f>1860.408+2158.08</f>
        <v>4018.4879999999998</v>
      </c>
      <c r="K2158" s="131">
        <f t="shared" si="478"/>
        <v>4018.4879999999998</v>
      </c>
      <c r="L2158" s="335">
        <f t="shared" si="467"/>
        <v>0</v>
      </c>
      <c r="M2158" s="446"/>
      <c r="N2158" s="446"/>
      <c r="O2158" s="446"/>
      <c r="P2158" s="446"/>
      <c r="Q2158" s="130">
        <v>1</v>
      </c>
      <c r="R2158" s="111">
        <v>2009.24</v>
      </c>
      <c r="S2158" s="110"/>
      <c r="T2158" s="110"/>
      <c r="U2158" s="130">
        <v>1</v>
      </c>
      <c r="V2158" s="111">
        <v>2009.24</v>
      </c>
      <c r="W2158" s="110"/>
      <c r="X2158" s="110"/>
      <c r="Y2158" s="110"/>
      <c r="Z2158" s="110"/>
      <c r="AA2158" s="130">
        <v>0</v>
      </c>
      <c r="AB2158" s="111">
        <v>0</v>
      </c>
      <c r="AC2158" s="110"/>
      <c r="AD2158" s="110"/>
      <c r="AE2158" s="130">
        <v>0</v>
      </c>
      <c r="AF2158" s="111">
        <v>0</v>
      </c>
      <c r="AG2158" s="110"/>
      <c r="AH2158" s="110"/>
      <c r="AI2158" s="110"/>
      <c r="AJ2158" s="110"/>
      <c r="AK2158" s="111">
        <f t="shared" si="468"/>
        <v>4018.48</v>
      </c>
      <c r="AL2158" s="446">
        <f t="shared" si="469"/>
        <v>7.9999999998108251E-3</v>
      </c>
      <c r="AM2158" s="110">
        <f t="shared" si="470"/>
        <v>2</v>
      </c>
      <c r="AN2158" s="447">
        <f t="shared" si="479"/>
        <v>0</v>
      </c>
      <c r="AO2158"/>
      <c r="AP2158"/>
    </row>
    <row r="2159" spans="1:42" ht="66" x14ac:dyDescent="0.25">
      <c r="A2159" s="162"/>
      <c r="B2159" s="501" t="s">
        <v>577</v>
      </c>
      <c r="C2159" s="52"/>
      <c r="D2159" s="913">
        <v>5</v>
      </c>
      <c r="E2159" s="1027" t="s">
        <v>1826</v>
      </c>
      <c r="F2159" s="273" t="s">
        <v>3446</v>
      </c>
      <c r="G2159" s="1040" t="s">
        <v>3463</v>
      </c>
      <c r="H2159" s="273" t="s">
        <v>3462</v>
      </c>
      <c r="I2159" s="720">
        <f t="shared" si="480"/>
        <v>316.95839999999998</v>
      </c>
      <c r="J2159" s="756">
        <v>1584.7919999999999</v>
      </c>
      <c r="K2159" s="131">
        <f t="shared" si="478"/>
        <v>1584.7919999999999</v>
      </c>
      <c r="L2159" s="335">
        <f t="shared" si="467"/>
        <v>0</v>
      </c>
      <c r="M2159" s="446"/>
      <c r="N2159" s="446"/>
      <c r="O2159" s="446"/>
      <c r="P2159" s="446"/>
      <c r="Q2159" s="110">
        <v>5</v>
      </c>
      <c r="R2159" s="111">
        <v>1584.79</v>
      </c>
      <c r="S2159" s="110"/>
      <c r="T2159" s="110"/>
      <c r="U2159" s="110">
        <v>0</v>
      </c>
      <c r="V2159" s="111">
        <v>0</v>
      </c>
      <c r="W2159" s="110"/>
      <c r="X2159" s="110"/>
      <c r="Y2159" s="110"/>
      <c r="Z2159" s="110"/>
      <c r="AA2159" s="110">
        <v>0</v>
      </c>
      <c r="AB2159" s="111">
        <v>0</v>
      </c>
      <c r="AC2159" s="110"/>
      <c r="AD2159" s="110"/>
      <c r="AE2159" s="110">
        <v>0</v>
      </c>
      <c r="AF2159" s="111">
        <v>0</v>
      </c>
      <c r="AG2159" s="110"/>
      <c r="AH2159" s="110"/>
      <c r="AI2159" s="110"/>
      <c r="AJ2159" s="110"/>
      <c r="AK2159" s="111">
        <f t="shared" si="468"/>
        <v>1584.79</v>
      </c>
      <c r="AL2159" s="446">
        <f t="shared" si="469"/>
        <v>1.9999999999527063E-3</v>
      </c>
      <c r="AM2159" s="110">
        <f t="shared" si="470"/>
        <v>5</v>
      </c>
      <c r="AN2159" s="447">
        <f t="shared" si="479"/>
        <v>0</v>
      </c>
      <c r="AO2159"/>
      <c r="AP2159"/>
    </row>
    <row r="2160" spans="1:42" ht="66" x14ac:dyDescent="0.25">
      <c r="A2160" s="162"/>
      <c r="B2160" s="501" t="s">
        <v>1202</v>
      </c>
      <c r="C2160" s="52"/>
      <c r="D2160" s="913">
        <f>20+10</f>
        <v>30</v>
      </c>
      <c r="E2160" s="1027" t="s">
        <v>1721</v>
      </c>
      <c r="F2160" s="273" t="s">
        <v>3446</v>
      </c>
      <c r="G2160" s="1040" t="s">
        <v>3463</v>
      </c>
      <c r="H2160" s="273" t="s">
        <v>3462</v>
      </c>
      <c r="I2160" s="720">
        <f t="shared" si="480"/>
        <v>55.123133333333335</v>
      </c>
      <c r="J2160" s="756">
        <f>1102.464+551.23</f>
        <v>1653.694</v>
      </c>
      <c r="K2160" s="131">
        <f t="shared" si="478"/>
        <v>1653.694</v>
      </c>
      <c r="L2160" s="335">
        <f t="shared" si="467"/>
        <v>0</v>
      </c>
      <c r="M2160" s="446"/>
      <c r="N2160" s="446"/>
      <c r="O2160" s="446"/>
      <c r="P2160" s="446"/>
      <c r="Q2160" s="110">
        <v>8</v>
      </c>
      <c r="R2160" s="111">
        <f t="shared" si="472"/>
        <v>413.42349999999999</v>
      </c>
      <c r="S2160" s="110"/>
      <c r="T2160" s="110"/>
      <c r="U2160" s="110">
        <v>8</v>
      </c>
      <c r="V2160" s="111">
        <f t="shared" si="473"/>
        <v>413.42349999999999</v>
      </c>
      <c r="W2160" s="110"/>
      <c r="X2160" s="110"/>
      <c r="Y2160" s="110"/>
      <c r="Z2160" s="110"/>
      <c r="AA2160" s="110">
        <v>7</v>
      </c>
      <c r="AB2160" s="111">
        <f t="shared" si="474"/>
        <v>413.42349999999999</v>
      </c>
      <c r="AC2160" s="110"/>
      <c r="AD2160" s="110"/>
      <c r="AE2160" s="110">
        <v>7</v>
      </c>
      <c r="AF2160" s="111">
        <f t="shared" si="475"/>
        <v>413.42349999999999</v>
      </c>
      <c r="AG2160" s="110"/>
      <c r="AH2160" s="110"/>
      <c r="AI2160" s="110"/>
      <c r="AJ2160" s="110"/>
      <c r="AK2160" s="111">
        <f t="shared" si="468"/>
        <v>1653.694</v>
      </c>
      <c r="AL2160" s="446">
        <f t="shared" si="469"/>
        <v>0</v>
      </c>
      <c r="AM2160" s="110">
        <f t="shared" si="470"/>
        <v>30</v>
      </c>
      <c r="AN2160" s="447">
        <f t="shared" si="479"/>
        <v>0</v>
      </c>
      <c r="AO2160"/>
      <c r="AP2160"/>
    </row>
    <row r="2161" spans="1:42" ht="66" x14ac:dyDescent="0.25">
      <c r="A2161" s="162"/>
      <c r="B2161" s="501" t="s">
        <v>1203</v>
      </c>
      <c r="C2161" s="52"/>
      <c r="D2161" s="913">
        <v>5</v>
      </c>
      <c r="E2161" s="1027" t="s">
        <v>1721</v>
      </c>
      <c r="F2161" s="273" t="s">
        <v>3446</v>
      </c>
      <c r="G2161" s="1040" t="s">
        <v>3463</v>
      </c>
      <c r="H2161" s="273" t="s">
        <v>3462</v>
      </c>
      <c r="I2161" s="720">
        <f t="shared" si="480"/>
        <v>661.47839999999997</v>
      </c>
      <c r="J2161" s="756">
        <v>3307.3919999999998</v>
      </c>
      <c r="K2161" s="131">
        <f t="shared" si="478"/>
        <v>3307.3919999999998</v>
      </c>
      <c r="L2161" s="335">
        <f t="shared" si="467"/>
        <v>0</v>
      </c>
      <c r="M2161" s="446"/>
      <c r="N2161" s="446"/>
      <c r="O2161" s="446"/>
      <c r="P2161" s="446"/>
      <c r="Q2161" s="110">
        <v>2</v>
      </c>
      <c r="R2161" s="111">
        <f t="shared" si="472"/>
        <v>826.84799999999996</v>
      </c>
      <c r="S2161" s="110"/>
      <c r="T2161" s="110"/>
      <c r="U2161" s="110">
        <v>1</v>
      </c>
      <c r="V2161" s="111">
        <f t="shared" si="473"/>
        <v>826.84799999999996</v>
      </c>
      <c r="W2161" s="110"/>
      <c r="X2161" s="110"/>
      <c r="Y2161" s="110"/>
      <c r="Z2161" s="110"/>
      <c r="AA2161" s="110">
        <v>1</v>
      </c>
      <c r="AB2161" s="111">
        <f t="shared" si="474"/>
        <v>826.84799999999996</v>
      </c>
      <c r="AC2161" s="110"/>
      <c r="AD2161" s="110"/>
      <c r="AE2161" s="110">
        <v>1</v>
      </c>
      <c r="AF2161" s="111">
        <f t="shared" si="475"/>
        <v>826.84799999999996</v>
      </c>
      <c r="AG2161" s="110"/>
      <c r="AH2161" s="110"/>
      <c r="AI2161" s="110"/>
      <c r="AJ2161" s="110"/>
      <c r="AK2161" s="111">
        <f t="shared" si="468"/>
        <v>3307.3919999999998</v>
      </c>
      <c r="AL2161" s="446">
        <f t="shared" si="469"/>
        <v>0</v>
      </c>
      <c r="AM2161" s="110">
        <f t="shared" si="470"/>
        <v>5</v>
      </c>
      <c r="AN2161" s="447">
        <f t="shared" si="479"/>
        <v>0</v>
      </c>
      <c r="AO2161"/>
      <c r="AP2161"/>
    </row>
    <row r="2162" spans="1:42" ht="66" x14ac:dyDescent="0.25">
      <c r="A2162" s="162"/>
      <c r="B2162" s="501" t="s">
        <v>1204</v>
      </c>
      <c r="C2162" s="52"/>
      <c r="D2162" s="913">
        <v>5</v>
      </c>
      <c r="E2162" s="1027" t="s">
        <v>1721</v>
      </c>
      <c r="F2162" s="273" t="s">
        <v>3446</v>
      </c>
      <c r="G2162" s="1040" t="s">
        <v>3463</v>
      </c>
      <c r="H2162" s="273" t="s">
        <v>3462</v>
      </c>
      <c r="I2162" s="720">
        <f t="shared" si="480"/>
        <v>248.05440000000004</v>
      </c>
      <c r="J2162" s="756">
        <v>1240.2720000000002</v>
      </c>
      <c r="K2162" s="131">
        <f t="shared" si="478"/>
        <v>1240.2720000000002</v>
      </c>
      <c r="L2162" s="335">
        <f t="shared" si="467"/>
        <v>0</v>
      </c>
      <c r="M2162" s="446"/>
      <c r="N2162" s="446"/>
      <c r="O2162" s="446"/>
      <c r="P2162" s="446"/>
      <c r="Q2162" s="110">
        <v>2</v>
      </c>
      <c r="R2162" s="111">
        <f t="shared" si="472"/>
        <v>310.06800000000004</v>
      </c>
      <c r="S2162" s="110"/>
      <c r="T2162" s="110"/>
      <c r="U2162" s="110">
        <v>1</v>
      </c>
      <c r="V2162" s="111">
        <f t="shared" si="473"/>
        <v>310.06800000000004</v>
      </c>
      <c r="W2162" s="110"/>
      <c r="X2162" s="110"/>
      <c r="Y2162" s="110"/>
      <c r="Z2162" s="110"/>
      <c r="AA2162" s="110">
        <v>1</v>
      </c>
      <c r="AB2162" s="111">
        <f t="shared" si="474"/>
        <v>310.06800000000004</v>
      </c>
      <c r="AC2162" s="110"/>
      <c r="AD2162" s="110"/>
      <c r="AE2162" s="110">
        <v>1</v>
      </c>
      <c r="AF2162" s="111">
        <f t="shared" si="475"/>
        <v>310.06800000000004</v>
      </c>
      <c r="AG2162" s="110"/>
      <c r="AH2162" s="110"/>
      <c r="AI2162" s="110"/>
      <c r="AJ2162" s="110"/>
      <c r="AK2162" s="111">
        <f t="shared" si="468"/>
        <v>1240.2720000000002</v>
      </c>
      <c r="AL2162" s="446">
        <f t="shared" si="469"/>
        <v>0</v>
      </c>
      <c r="AM2162" s="110">
        <f t="shared" si="470"/>
        <v>5</v>
      </c>
      <c r="AN2162" s="447">
        <f t="shared" si="479"/>
        <v>0</v>
      </c>
      <c r="AO2162"/>
      <c r="AP2162"/>
    </row>
    <row r="2163" spans="1:42" ht="66" x14ac:dyDescent="0.25">
      <c r="A2163" s="162"/>
      <c r="B2163" s="501" t="s">
        <v>1205</v>
      </c>
      <c r="C2163" s="52"/>
      <c r="D2163" s="913">
        <f>10+2</f>
        <v>12</v>
      </c>
      <c r="E2163" s="1027" t="s">
        <v>1721</v>
      </c>
      <c r="F2163" s="278" t="s">
        <v>3446</v>
      </c>
      <c r="G2163" s="1040" t="s">
        <v>3463</v>
      </c>
      <c r="H2163" s="273" t="s">
        <v>3462</v>
      </c>
      <c r="I2163" s="720">
        <f t="shared" si="480"/>
        <v>55.1235</v>
      </c>
      <c r="J2163" s="756">
        <f>551.232+110.25</f>
        <v>661.48199999999997</v>
      </c>
      <c r="K2163" s="131">
        <f t="shared" si="478"/>
        <v>661.48199999999997</v>
      </c>
      <c r="L2163" s="335">
        <f t="shared" si="467"/>
        <v>0</v>
      </c>
      <c r="M2163" s="446"/>
      <c r="N2163" s="446"/>
      <c r="O2163" s="446"/>
      <c r="P2163" s="446"/>
      <c r="Q2163" s="110">
        <f t="shared" si="476"/>
        <v>3</v>
      </c>
      <c r="R2163" s="111">
        <f t="shared" si="472"/>
        <v>165.37049999999999</v>
      </c>
      <c r="S2163" s="110"/>
      <c r="T2163" s="110"/>
      <c r="U2163" s="110">
        <f t="shared" si="477"/>
        <v>3</v>
      </c>
      <c r="V2163" s="111">
        <f t="shared" si="473"/>
        <v>165.37049999999999</v>
      </c>
      <c r="W2163" s="110"/>
      <c r="X2163" s="110"/>
      <c r="Y2163" s="110"/>
      <c r="Z2163" s="110"/>
      <c r="AA2163" s="110">
        <f t="shared" si="471"/>
        <v>3</v>
      </c>
      <c r="AB2163" s="111">
        <f t="shared" si="474"/>
        <v>165.37049999999999</v>
      </c>
      <c r="AC2163" s="110"/>
      <c r="AD2163" s="110"/>
      <c r="AE2163" s="110">
        <f t="shared" si="471"/>
        <v>3</v>
      </c>
      <c r="AF2163" s="111">
        <f t="shared" si="475"/>
        <v>165.37049999999999</v>
      </c>
      <c r="AG2163" s="110"/>
      <c r="AH2163" s="110"/>
      <c r="AI2163" s="110"/>
      <c r="AJ2163" s="110"/>
      <c r="AK2163" s="111">
        <f t="shared" si="468"/>
        <v>661.48199999999997</v>
      </c>
      <c r="AL2163" s="446">
        <f t="shared" si="469"/>
        <v>0</v>
      </c>
      <c r="AM2163" s="110">
        <f t="shared" si="470"/>
        <v>12</v>
      </c>
      <c r="AN2163" s="447">
        <f t="shared" si="479"/>
        <v>0</v>
      </c>
      <c r="AO2163"/>
      <c r="AP2163"/>
    </row>
    <row r="2164" spans="1:42" ht="66" x14ac:dyDescent="0.25">
      <c r="A2164" s="162"/>
      <c r="B2164" s="501" t="s">
        <v>1206</v>
      </c>
      <c r="C2164" s="52"/>
      <c r="D2164" s="913">
        <v>10</v>
      </c>
      <c r="E2164" s="1027" t="s">
        <v>1721</v>
      </c>
      <c r="F2164" s="278" t="s">
        <v>3446</v>
      </c>
      <c r="G2164" s="1040" t="s">
        <v>3463</v>
      </c>
      <c r="H2164" s="273" t="s">
        <v>3462</v>
      </c>
      <c r="I2164" s="720">
        <f t="shared" si="480"/>
        <v>55.123199999999997</v>
      </c>
      <c r="J2164" s="756">
        <v>551.23199999999997</v>
      </c>
      <c r="K2164" s="131">
        <f t="shared" si="478"/>
        <v>551.23199999999997</v>
      </c>
      <c r="L2164" s="335">
        <f t="shared" ref="L2164:L2227" si="481">+J2164-K2164</f>
        <v>0</v>
      </c>
      <c r="M2164" s="446"/>
      <c r="N2164" s="446"/>
      <c r="O2164" s="446"/>
      <c r="P2164" s="446"/>
      <c r="Q2164" s="130">
        <v>3</v>
      </c>
      <c r="R2164" s="111">
        <f t="shared" si="472"/>
        <v>137.80799999999999</v>
      </c>
      <c r="S2164" s="110"/>
      <c r="T2164" s="110"/>
      <c r="U2164" s="130">
        <v>3</v>
      </c>
      <c r="V2164" s="111">
        <f t="shared" si="473"/>
        <v>137.80799999999999</v>
      </c>
      <c r="W2164" s="110"/>
      <c r="X2164" s="110"/>
      <c r="Y2164" s="110"/>
      <c r="Z2164" s="110"/>
      <c r="AA2164" s="130">
        <v>2</v>
      </c>
      <c r="AB2164" s="111">
        <f t="shared" si="474"/>
        <v>137.80799999999999</v>
      </c>
      <c r="AC2164" s="110"/>
      <c r="AD2164" s="110"/>
      <c r="AE2164" s="130">
        <v>2</v>
      </c>
      <c r="AF2164" s="111">
        <f t="shared" si="475"/>
        <v>137.80799999999999</v>
      </c>
      <c r="AG2164" s="110"/>
      <c r="AH2164" s="110"/>
      <c r="AI2164" s="110"/>
      <c r="AJ2164" s="110"/>
      <c r="AK2164" s="111">
        <f t="shared" ref="AK2164:AK2227" si="482">+R2164+V2164+AB2164+AF2164</f>
        <v>551.23199999999997</v>
      </c>
      <c r="AL2164" s="446">
        <f t="shared" ref="AL2164:AL2227" si="483">+J2164-AK2164</f>
        <v>0</v>
      </c>
      <c r="AM2164" s="110">
        <f t="shared" ref="AM2164:AM2227" si="484">+Q2164+U2164+AA2164+AE2164</f>
        <v>10</v>
      </c>
      <c r="AN2164" s="447">
        <f t="shared" si="479"/>
        <v>0</v>
      </c>
      <c r="AO2164"/>
      <c r="AP2164"/>
    </row>
    <row r="2165" spans="1:42" ht="66" x14ac:dyDescent="0.25">
      <c r="A2165" s="162"/>
      <c r="B2165" s="501" t="s">
        <v>578</v>
      </c>
      <c r="C2165" s="52"/>
      <c r="D2165" s="913">
        <v>10</v>
      </c>
      <c r="E2165" s="1027" t="s">
        <v>1721</v>
      </c>
      <c r="F2165" s="273" t="s">
        <v>3446</v>
      </c>
      <c r="G2165" s="1040" t="s">
        <v>3463</v>
      </c>
      <c r="H2165" s="273" t="s">
        <v>3462</v>
      </c>
      <c r="I2165" s="720">
        <f t="shared" si="480"/>
        <v>130.91759999999999</v>
      </c>
      <c r="J2165" s="756">
        <v>1309.1759999999999</v>
      </c>
      <c r="K2165" s="131">
        <f t="shared" si="478"/>
        <v>1309.1759999999999</v>
      </c>
      <c r="L2165" s="335">
        <f t="shared" si="481"/>
        <v>0</v>
      </c>
      <c r="M2165" s="446"/>
      <c r="N2165" s="446"/>
      <c r="O2165" s="446"/>
      <c r="P2165" s="446"/>
      <c r="Q2165" s="130">
        <v>3</v>
      </c>
      <c r="R2165" s="111">
        <f t="shared" si="472"/>
        <v>327.29399999999998</v>
      </c>
      <c r="S2165" s="110"/>
      <c r="T2165" s="110"/>
      <c r="U2165" s="130">
        <v>3</v>
      </c>
      <c r="V2165" s="111">
        <f t="shared" si="473"/>
        <v>327.29399999999998</v>
      </c>
      <c r="W2165" s="110"/>
      <c r="X2165" s="110"/>
      <c r="Y2165" s="110"/>
      <c r="Z2165" s="110"/>
      <c r="AA2165" s="130">
        <v>2</v>
      </c>
      <c r="AB2165" s="111">
        <f t="shared" si="474"/>
        <v>327.29399999999998</v>
      </c>
      <c r="AC2165" s="110"/>
      <c r="AD2165" s="110"/>
      <c r="AE2165" s="130">
        <v>2</v>
      </c>
      <c r="AF2165" s="111">
        <f t="shared" si="475"/>
        <v>327.29399999999998</v>
      </c>
      <c r="AG2165" s="110"/>
      <c r="AH2165" s="110"/>
      <c r="AI2165" s="110"/>
      <c r="AJ2165" s="110"/>
      <c r="AK2165" s="111">
        <f t="shared" si="482"/>
        <v>1309.1759999999999</v>
      </c>
      <c r="AL2165" s="446">
        <f t="shared" si="483"/>
        <v>0</v>
      </c>
      <c r="AM2165" s="110">
        <f t="shared" si="484"/>
        <v>10</v>
      </c>
      <c r="AN2165" s="447">
        <f t="shared" si="479"/>
        <v>0</v>
      </c>
      <c r="AO2165"/>
      <c r="AP2165"/>
    </row>
    <row r="2166" spans="1:42" ht="66" x14ac:dyDescent="0.25">
      <c r="A2166" s="162"/>
      <c r="B2166" s="501" t="s">
        <v>1207</v>
      </c>
      <c r="C2166" s="52"/>
      <c r="D2166" s="913">
        <v>10</v>
      </c>
      <c r="E2166" s="1027" t="s">
        <v>1721</v>
      </c>
      <c r="F2166" s="273" t="s">
        <v>3446</v>
      </c>
      <c r="G2166" s="1040" t="s">
        <v>3463</v>
      </c>
      <c r="H2166" s="273" t="s">
        <v>3462</v>
      </c>
      <c r="I2166" s="720">
        <f t="shared" si="480"/>
        <v>220.49279999999999</v>
      </c>
      <c r="J2166" s="756">
        <v>2204.9279999999999</v>
      </c>
      <c r="K2166" s="131">
        <f t="shared" si="478"/>
        <v>2204.9279999999999</v>
      </c>
      <c r="L2166" s="335">
        <f t="shared" si="481"/>
        <v>0</v>
      </c>
      <c r="M2166" s="446"/>
      <c r="N2166" s="446"/>
      <c r="O2166" s="446"/>
      <c r="P2166" s="446"/>
      <c r="Q2166" s="130">
        <v>3</v>
      </c>
      <c r="R2166" s="111">
        <f t="shared" si="472"/>
        <v>551.23199999999997</v>
      </c>
      <c r="S2166" s="110"/>
      <c r="T2166" s="110"/>
      <c r="U2166" s="130">
        <v>3</v>
      </c>
      <c r="V2166" s="111">
        <f t="shared" si="473"/>
        <v>551.23199999999997</v>
      </c>
      <c r="W2166" s="110"/>
      <c r="X2166" s="110"/>
      <c r="Y2166" s="110"/>
      <c r="Z2166" s="110"/>
      <c r="AA2166" s="130">
        <v>2</v>
      </c>
      <c r="AB2166" s="111">
        <f t="shared" si="474"/>
        <v>551.23199999999997</v>
      </c>
      <c r="AC2166" s="110"/>
      <c r="AD2166" s="110"/>
      <c r="AE2166" s="130">
        <v>2</v>
      </c>
      <c r="AF2166" s="111">
        <f t="shared" si="475"/>
        <v>551.23199999999997</v>
      </c>
      <c r="AG2166" s="110"/>
      <c r="AH2166" s="110"/>
      <c r="AI2166" s="110"/>
      <c r="AJ2166" s="110"/>
      <c r="AK2166" s="111">
        <f t="shared" si="482"/>
        <v>2204.9279999999999</v>
      </c>
      <c r="AL2166" s="446">
        <f t="shared" si="483"/>
        <v>0</v>
      </c>
      <c r="AM2166" s="110">
        <f t="shared" si="484"/>
        <v>10</v>
      </c>
      <c r="AN2166" s="447">
        <f t="shared" si="479"/>
        <v>0</v>
      </c>
      <c r="AO2166"/>
      <c r="AP2166"/>
    </row>
    <row r="2167" spans="1:42" ht="66" x14ac:dyDescent="0.25">
      <c r="A2167" s="162"/>
      <c r="B2167" s="501" t="s">
        <v>1208</v>
      </c>
      <c r="C2167" s="52"/>
      <c r="D2167" s="913">
        <v>10</v>
      </c>
      <c r="E2167" s="1027" t="s">
        <v>1721</v>
      </c>
      <c r="F2167" s="273" t="s">
        <v>3446</v>
      </c>
      <c r="G2167" s="1040" t="s">
        <v>3463</v>
      </c>
      <c r="H2167" s="273" t="s">
        <v>3462</v>
      </c>
      <c r="I2167" s="720">
        <f t="shared" si="480"/>
        <v>110.24639999999999</v>
      </c>
      <c r="J2167" s="756">
        <v>1102.4639999999999</v>
      </c>
      <c r="K2167" s="131">
        <f t="shared" si="478"/>
        <v>1102.4639999999999</v>
      </c>
      <c r="L2167" s="335">
        <f t="shared" si="481"/>
        <v>0</v>
      </c>
      <c r="M2167" s="446"/>
      <c r="N2167" s="446"/>
      <c r="O2167" s="446"/>
      <c r="P2167" s="446"/>
      <c r="Q2167" s="130">
        <v>3</v>
      </c>
      <c r="R2167" s="111">
        <f t="shared" si="472"/>
        <v>275.61599999999999</v>
      </c>
      <c r="S2167" s="110"/>
      <c r="T2167" s="110"/>
      <c r="U2167" s="130">
        <v>3</v>
      </c>
      <c r="V2167" s="111">
        <f t="shared" si="473"/>
        <v>275.61599999999999</v>
      </c>
      <c r="W2167" s="110"/>
      <c r="X2167" s="110"/>
      <c r="Y2167" s="110"/>
      <c r="Z2167" s="110"/>
      <c r="AA2167" s="130">
        <v>2</v>
      </c>
      <c r="AB2167" s="111">
        <f t="shared" si="474"/>
        <v>275.61599999999999</v>
      </c>
      <c r="AC2167" s="110"/>
      <c r="AD2167" s="110"/>
      <c r="AE2167" s="130">
        <v>2</v>
      </c>
      <c r="AF2167" s="111">
        <f t="shared" si="475"/>
        <v>275.61599999999999</v>
      </c>
      <c r="AG2167" s="110"/>
      <c r="AH2167" s="110"/>
      <c r="AI2167" s="110"/>
      <c r="AJ2167" s="110"/>
      <c r="AK2167" s="111">
        <f t="shared" si="482"/>
        <v>1102.4639999999999</v>
      </c>
      <c r="AL2167" s="446">
        <f t="shared" si="483"/>
        <v>0</v>
      </c>
      <c r="AM2167" s="110">
        <f t="shared" si="484"/>
        <v>10</v>
      </c>
      <c r="AN2167" s="447">
        <f t="shared" si="479"/>
        <v>0</v>
      </c>
      <c r="AO2167"/>
      <c r="AP2167"/>
    </row>
    <row r="2168" spans="1:42" ht="66" x14ac:dyDescent="0.25">
      <c r="A2168" s="162"/>
      <c r="B2168" s="501" t="s">
        <v>1209</v>
      </c>
      <c r="C2168" s="52"/>
      <c r="D2168" s="913">
        <v>2</v>
      </c>
      <c r="E2168" s="1027" t="s">
        <v>1721</v>
      </c>
      <c r="F2168" s="273" t="s">
        <v>3446</v>
      </c>
      <c r="G2168" s="1040" t="s">
        <v>3463</v>
      </c>
      <c r="H2168" s="273" t="s">
        <v>3462</v>
      </c>
      <c r="I2168" s="720">
        <f t="shared" si="480"/>
        <v>992.21760000000006</v>
      </c>
      <c r="J2168" s="756">
        <v>1984.4352000000001</v>
      </c>
      <c r="K2168" s="131">
        <f t="shared" si="478"/>
        <v>1984.4352000000001</v>
      </c>
      <c r="L2168" s="335">
        <f t="shared" si="481"/>
        <v>0</v>
      </c>
      <c r="M2168" s="446"/>
      <c r="N2168" s="446"/>
      <c r="O2168" s="446"/>
      <c r="P2168" s="446"/>
      <c r="Q2168" s="130">
        <v>1</v>
      </c>
      <c r="R2168" s="111">
        <v>992.22</v>
      </c>
      <c r="S2168" s="110"/>
      <c r="T2168" s="110"/>
      <c r="U2168" s="130">
        <v>1</v>
      </c>
      <c r="V2168" s="111">
        <v>992.22</v>
      </c>
      <c r="W2168" s="110"/>
      <c r="X2168" s="110"/>
      <c r="Y2168" s="110"/>
      <c r="Z2168" s="110"/>
      <c r="AA2168" s="130">
        <v>0</v>
      </c>
      <c r="AB2168" s="111">
        <v>0</v>
      </c>
      <c r="AC2168" s="110"/>
      <c r="AD2168" s="110"/>
      <c r="AE2168" s="130">
        <v>0</v>
      </c>
      <c r="AF2168" s="111">
        <v>0</v>
      </c>
      <c r="AG2168" s="110"/>
      <c r="AH2168" s="110"/>
      <c r="AI2168" s="110"/>
      <c r="AJ2168" s="110"/>
      <c r="AK2168" s="111">
        <f t="shared" si="482"/>
        <v>1984.44</v>
      </c>
      <c r="AL2168" s="446">
        <f t="shared" si="483"/>
        <v>-4.7999999999319698E-3</v>
      </c>
      <c r="AM2168" s="110">
        <f t="shared" si="484"/>
        <v>2</v>
      </c>
      <c r="AN2168" s="447">
        <f t="shared" si="479"/>
        <v>0</v>
      </c>
      <c r="AO2168"/>
      <c r="AP2168"/>
    </row>
    <row r="2169" spans="1:42" ht="66" x14ac:dyDescent="0.25">
      <c r="A2169" s="162"/>
      <c r="B2169" s="501" t="s">
        <v>1210</v>
      </c>
      <c r="C2169" s="53"/>
      <c r="D2169" s="913">
        <v>10</v>
      </c>
      <c r="E2169" s="1027" t="s">
        <v>1721</v>
      </c>
      <c r="F2169" s="278" t="s">
        <v>3446</v>
      </c>
      <c r="G2169" s="1040" t="s">
        <v>3463</v>
      </c>
      <c r="H2169" s="273" t="s">
        <v>3462</v>
      </c>
      <c r="I2169" s="720">
        <f t="shared" si="480"/>
        <v>20.671199999999999</v>
      </c>
      <c r="J2169" s="756">
        <v>206.71199999999999</v>
      </c>
      <c r="K2169" s="131">
        <f t="shared" si="478"/>
        <v>206.71199999999999</v>
      </c>
      <c r="L2169" s="335">
        <f t="shared" si="481"/>
        <v>0</v>
      </c>
      <c r="M2169" s="446"/>
      <c r="N2169" s="446"/>
      <c r="O2169" s="446"/>
      <c r="P2169" s="446"/>
      <c r="Q2169" s="130">
        <v>3</v>
      </c>
      <c r="R2169" s="111">
        <f t="shared" si="472"/>
        <v>51.677999999999997</v>
      </c>
      <c r="S2169" s="110"/>
      <c r="T2169" s="110"/>
      <c r="U2169" s="130">
        <v>3</v>
      </c>
      <c r="V2169" s="111">
        <f t="shared" si="473"/>
        <v>51.677999999999997</v>
      </c>
      <c r="W2169" s="110"/>
      <c r="X2169" s="110"/>
      <c r="Y2169" s="110"/>
      <c r="Z2169" s="110"/>
      <c r="AA2169" s="130">
        <v>2</v>
      </c>
      <c r="AB2169" s="111">
        <f t="shared" si="474"/>
        <v>51.677999999999997</v>
      </c>
      <c r="AC2169" s="110"/>
      <c r="AD2169" s="110"/>
      <c r="AE2169" s="130">
        <v>2</v>
      </c>
      <c r="AF2169" s="111">
        <f t="shared" si="475"/>
        <v>51.677999999999997</v>
      </c>
      <c r="AG2169" s="110"/>
      <c r="AH2169" s="110"/>
      <c r="AI2169" s="110"/>
      <c r="AJ2169" s="110"/>
      <c r="AK2169" s="111">
        <f t="shared" si="482"/>
        <v>206.71199999999999</v>
      </c>
      <c r="AL2169" s="446">
        <f t="shared" si="483"/>
        <v>0</v>
      </c>
      <c r="AM2169" s="110">
        <f t="shared" si="484"/>
        <v>10</v>
      </c>
      <c r="AN2169" s="447">
        <f t="shared" si="479"/>
        <v>0</v>
      </c>
      <c r="AO2169"/>
      <c r="AP2169"/>
    </row>
    <row r="2170" spans="1:42" ht="66" x14ac:dyDescent="0.25">
      <c r="A2170" s="162"/>
      <c r="B2170" s="501" t="s">
        <v>1211</v>
      </c>
      <c r="C2170" s="52"/>
      <c r="D2170" s="913">
        <v>10</v>
      </c>
      <c r="E2170" s="1027" t="s">
        <v>1721</v>
      </c>
      <c r="F2170" s="278" t="s">
        <v>3446</v>
      </c>
      <c r="G2170" s="1040" t="s">
        <v>3463</v>
      </c>
      <c r="H2170" s="273" t="s">
        <v>3462</v>
      </c>
      <c r="I2170" s="720">
        <f t="shared" si="480"/>
        <v>41.342399999999998</v>
      </c>
      <c r="J2170" s="756">
        <v>413.42399999999998</v>
      </c>
      <c r="K2170" s="131">
        <f t="shared" si="478"/>
        <v>413.42399999999998</v>
      </c>
      <c r="L2170" s="335">
        <f t="shared" si="481"/>
        <v>0</v>
      </c>
      <c r="M2170" s="446"/>
      <c r="N2170" s="446"/>
      <c r="O2170" s="446"/>
      <c r="P2170" s="446"/>
      <c r="Q2170" s="130">
        <v>3</v>
      </c>
      <c r="R2170" s="111">
        <f t="shared" si="472"/>
        <v>103.35599999999999</v>
      </c>
      <c r="S2170" s="110"/>
      <c r="T2170" s="110"/>
      <c r="U2170" s="130">
        <v>3</v>
      </c>
      <c r="V2170" s="111">
        <f t="shared" si="473"/>
        <v>103.35599999999999</v>
      </c>
      <c r="W2170" s="110"/>
      <c r="X2170" s="110"/>
      <c r="Y2170" s="110"/>
      <c r="Z2170" s="110"/>
      <c r="AA2170" s="130">
        <v>2</v>
      </c>
      <c r="AB2170" s="111">
        <f t="shared" si="474"/>
        <v>103.35599999999999</v>
      </c>
      <c r="AC2170" s="110"/>
      <c r="AD2170" s="110"/>
      <c r="AE2170" s="130">
        <v>2</v>
      </c>
      <c r="AF2170" s="111">
        <f t="shared" si="475"/>
        <v>103.35599999999999</v>
      </c>
      <c r="AG2170" s="110"/>
      <c r="AH2170" s="110"/>
      <c r="AI2170" s="110"/>
      <c r="AJ2170" s="110"/>
      <c r="AK2170" s="111">
        <f t="shared" si="482"/>
        <v>413.42399999999998</v>
      </c>
      <c r="AL2170" s="446">
        <f t="shared" si="483"/>
        <v>0</v>
      </c>
      <c r="AM2170" s="110">
        <f t="shared" si="484"/>
        <v>10</v>
      </c>
      <c r="AN2170" s="447">
        <f t="shared" si="479"/>
        <v>0</v>
      </c>
      <c r="AO2170"/>
      <c r="AP2170"/>
    </row>
    <row r="2171" spans="1:42" ht="66" x14ac:dyDescent="0.25">
      <c r="A2171" s="162"/>
      <c r="B2171" s="501" t="s">
        <v>1212</v>
      </c>
      <c r="C2171" s="52"/>
      <c r="D2171" s="913">
        <v>10</v>
      </c>
      <c r="E2171" s="1027" t="s">
        <v>1721</v>
      </c>
      <c r="F2171" s="278" t="s">
        <v>3446</v>
      </c>
      <c r="G2171" s="1040" t="s">
        <v>3463</v>
      </c>
      <c r="H2171" s="273" t="s">
        <v>3462</v>
      </c>
      <c r="I2171" s="720">
        <f t="shared" si="480"/>
        <v>24.805439999999997</v>
      </c>
      <c r="J2171" s="756">
        <v>248.05439999999999</v>
      </c>
      <c r="K2171" s="131">
        <f t="shared" si="478"/>
        <v>248.05439999999999</v>
      </c>
      <c r="L2171" s="335">
        <f t="shared" si="481"/>
        <v>0</v>
      </c>
      <c r="M2171" s="446"/>
      <c r="N2171" s="446"/>
      <c r="O2171" s="446"/>
      <c r="P2171" s="446"/>
      <c r="Q2171" s="130">
        <v>3</v>
      </c>
      <c r="R2171" s="111">
        <f t="shared" si="472"/>
        <v>62.013599999999997</v>
      </c>
      <c r="S2171" s="110"/>
      <c r="T2171" s="110"/>
      <c r="U2171" s="130">
        <v>3</v>
      </c>
      <c r="V2171" s="111">
        <f t="shared" si="473"/>
        <v>62.013599999999997</v>
      </c>
      <c r="W2171" s="110"/>
      <c r="X2171" s="110"/>
      <c r="Y2171" s="110"/>
      <c r="Z2171" s="110"/>
      <c r="AA2171" s="130">
        <v>2</v>
      </c>
      <c r="AB2171" s="111">
        <f t="shared" si="474"/>
        <v>62.013599999999997</v>
      </c>
      <c r="AC2171" s="110"/>
      <c r="AD2171" s="110"/>
      <c r="AE2171" s="130">
        <v>2</v>
      </c>
      <c r="AF2171" s="111">
        <f t="shared" si="475"/>
        <v>62.013599999999997</v>
      </c>
      <c r="AG2171" s="110"/>
      <c r="AH2171" s="110"/>
      <c r="AI2171" s="110"/>
      <c r="AJ2171" s="110"/>
      <c r="AK2171" s="111">
        <f t="shared" si="482"/>
        <v>248.05439999999999</v>
      </c>
      <c r="AL2171" s="446">
        <f t="shared" si="483"/>
        <v>0</v>
      </c>
      <c r="AM2171" s="110">
        <f t="shared" si="484"/>
        <v>10</v>
      </c>
      <c r="AN2171" s="447">
        <f t="shared" si="479"/>
        <v>0</v>
      </c>
      <c r="AO2171"/>
      <c r="AP2171"/>
    </row>
    <row r="2172" spans="1:42" ht="66" x14ac:dyDescent="0.25">
      <c r="A2172" s="162"/>
      <c r="B2172" s="501" t="s">
        <v>1213</v>
      </c>
      <c r="C2172" s="52"/>
      <c r="D2172" s="913">
        <v>2</v>
      </c>
      <c r="E2172" s="1027" t="s">
        <v>1721</v>
      </c>
      <c r="F2172" s="278" t="s">
        <v>3446</v>
      </c>
      <c r="G2172" s="1040" t="s">
        <v>3463</v>
      </c>
      <c r="H2172" s="273" t="s">
        <v>3462</v>
      </c>
      <c r="I2172" s="720">
        <f t="shared" si="480"/>
        <v>902.64240000000007</v>
      </c>
      <c r="J2172" s="756">
        <v>1805.2848000000001</v>
      </c>
      <c r="K2172" s="131">
        <f t="shared" si="478"/>
        <v>1805.2848000000001</v>
      </c>
      <c r="L2172" s="335">
        <f t="shared" si="481"/>
        <v>0</v>
      </c>
      <c r="M2172" s="446"/>
      <c r="N2172" s="446"/>
      <c r="O2172" s="446"/>
      <c r="P2172" s="446"/>
      <c r="Q2172" s="130">
        <v>1</v>
      </c>
      <c r="R2172" s="111">
        <v>902.64</v>
      </c>
      <c r="S2172" s="110"/>
      <c r="T2172" s="110"/>
      <c r="U2172" s="130">
        <v>1</v>
      </c>
      <c r="V2172" s="111">
        <v>902.64</v>
      </c>
      <c r="W2172" s="110"/>
      <c r="X2172" s="110"/>
      <c r="Y2172" s="110"/>
      <c r="Z2172" s="110"/>
      <c r="AA2172" s="130">
        <v>0</v>
      </c>
      <c r="AB2172" s="111">
        <v>0</v>
      </c>
      <c r="AC2172" s="110"/>
      <c r="AD2172" s="110"/>
      <c r="AE2172" s="130">
        <v>0</v>
      </c>
      <c r="AF2172" s="111">
        <v>0</v>
      </c>
      <c r="AG2172" s="110"/>
      <c r="AH2172" s="110"/>
      <c r="AI2172" s="110"/>
      <c r="AJ2172" s="110"/>
      <c r="AK2172" s="111">
        <f t="shared" si="482"/>
        <v>1805.28</v>
      </c>
      <c r="AL2172" s="446">
        <f t="shared" si="483"/>
        <v>4.8000000001593435E-3</v>
      </c>
      <c r="AM2172" s="110">
        <f t="shared" si="484"/>
        <v>2</v>
      </c>
      <c r="AN2172" s="447">
        <f t="shared" si="479"/>
        <v>0</v>
      </c>
      <c r="AO2172"/>
      <c r="AP2172"/>
    </row>
    <row r="2173" spans="1:42" ht="66" x14ac:dyDescent="0.25">
      <c r="A2173" s="162"/>
      <c r="B2173" s="501" t="s">
        <v>579</v>
      </c>
      <c r="C2173" s="52"/>
      <c r="D2173" s="913">
        <v>2</v>
      </c>
      <c r="E2173" s="1027" t="s">
        <v>1721</v>
      </c>
      <c r="F2173" s="278" t="s">
        <v>3446</v>
      </c>
      <c r="G2173" s="1040" t="s">
        <v>3463</v>
      </c>
      <c r="H2173" s="273" t="s">
        <v>3462</v>
      </c>
      <c r="I2173" s="720">
        <f t="shared" si="480"/>
        <v>330.73919999999998</v>
      </c>
      <c r="J2173" s="756">
        <v>661.47839999999997</v>
      </c>
      <c r="K2173" s="131">
        <f t="shared" si="478"/>
        <v>661.47839999999997</v>
      </c>
      <c r="L2173" s="335">
        <f t="shared" si="481"/>
        <v>0</v>
      </c>
      <c r="M2173" s="446"/>
      <c r="N2173" s="446"/>
      <c r="O2173" s="446"/>
      <c r="P2173" s="446"/>
      <c r="Q2173" s="130">
        <v>1</v>
      </c>
      <c r="R2173" s="111">
        <v>330.74</v>
      </c>
      <c r="S2173" s="110"/>
      <c r="T2173" s="110"/>
      <c r="U2173" s="130">
        <v>1</v>
      </c>
      <c r="V2173" s="111">
        <v>330.74</v>
      </c>
      <c r="W2173" s="110"/>
      <c r="X2173" s="110"/>
      <c r="Y2173" s="110"/>
      <c r="Z2173" s="110"/>
      <c r="AA2173" s="130">
        <v>0</v>
      </c>
      <c r="AB2173" s="111">
        <v>0</v>
      </c>
      <c r="AC2173" s="110"/>
      <c r="AD2173" s="110"/>
      <c r="AE2173" s="130">
        <v>0</v>
      </c>
      <c r="AF2173" s="111">
        <v>0</v>
      </c>
      <c r="AG2173" s="110"/>
      <c r="AH2173" s="110"/>
      <c r="AI2173" s="110"/>
      <c r="AJ2173" s="110"/>
      <c r="AK2173" s="111">
        <f t="shared" si="482"/>
        <v>661.48</v>
      </c>
      <c r="AL2173" s="446">
        <f t="shared" si="483"/>
        <v>-1.6000000000531145E-3</v>
      </c>
      <c r="AM2173" s="110">
        <f t="shared" si="484"/>
        <v>2</v>
      </c>
      <c r="AN2173" s="447">
        <f t="shared" si="479"/>
        <v>0</v>
      </c>
      <c r="AO2173"/>
      <c r="AP2173"/>
    </row>
    <row r="2174" spans="1:42" ht="66" x14ac:dyDescent="0.25">
      <c r="A2174" s="162"/>
      <c r="B2174" s="501" t="s">
        <v>580</v>
      </c>
      <c r="C2174" s="52"/>
      <c r="D2174" s="913">
        <f>50+10</f>
        <v>60</v>
      </c>
      <c r="E2174" s="1027" t="s">
        <v>1721</v>
      </c>
      <c r="F2174" s="278" t="s">
        <v>3446</v>
      </c>
      <c r="G2174" s="1040" t="s">
        <v>3463</v>
      </c>
      <c r="H2174" s="273" t="s">
        <v>3462</v>
      </c>
      <c r="I2174" s="720">
        <f t="shared" si="480"/>
        <v>232.94150000000002</v>
      </c>
      <c r="J2174" s="756">
        <f>12058.2+1918.29</f>
        <v>13976.490000000002</v>
      </c>
      <c r="K2174" s="131">
        <f t="shared" si="478"/>
        <v>13976.490000000002</v>
      </c>
      <c r="L2174" s="335">
        <f t="shared" si="481"/>
        <v>0</v>
      </c>
      <c r="M2174" s="446"/>
      <c r="N2174" s="446"/>
      <c r="O2174" s="446"/>
      <c r="P2174" s="446"/>
      <c r="Q2174" s="110">
        <f t="shared" ref="Q2174:Q2226" si="485">+$D2174/4</f>
        <v>15</v>
      </c>
      <c r="R2174" s="111">
        <f t="shared" ref="R2174:R2234" si="486">+J2174/4</f>
        <v>3494.1225000000004</v>
      </c>
      <c r="S2174" s="110"/>
      <c r="T2174" s="110"/>
      <c r="U2174" s="110">
        <f t="shared" ref="U2174:U2226" si="487">+$D2174/4</f>
        <v>15</v>
      </c>
      <c r="V2174" s="111">
        <f t="shared" ref="V2174:V2234" si="488">+J2174/4</f>
        <v>3494.1225000000004</v>
      </c>
      <c r="W2174" s="110"/>
      <c r="X2174" s="110"/>
      <c r="Y2174" s="110"/>
      <c r="Z2174" s="110"/>
      <c r="AA2174" s="110">
        <f t="shared" ref="AA2174:AE2226" si="489">+$D2174/4</f>
        <v>15</v>
      </c>
      <c r="AB2174" s="111">
        <f t="shared" si="474"/>
        <v>3494.1225000000004</v>
      </c>
      <c r="AC2174" s="110"/>
      <c r="AD2174" s="110"/>
      <c r="AE2174" s="110">
        <f t="shared" si="489"/>
        <v>15</v>
      </c>
      <c r="AF2174" s="111">
        <f t="shared" si="475"/>
        <v>3494.1225000000004</v>
      </c>
      <c r="AG2174" s="110"/>
      <c r="AH2174" s="110"/>
      <c r="AI2174" s="110"/>
      <c r="AJ2174" s="110"/>
      <c r="AK2174" s="111">
        <f t="shared" si="482"/>
        <v>13976.490000000002</v>
      </c>
      <c r="AL2174" s="446">
        <f t="shared" si="483"/>
        <v>0</v>
      </c>
      <c r="AM2174" s="110">
        <f t="shared" si="484"/>
        <v>60</v>
      </c>
      <c r="AN2174" s="447">
        <f t="shared" si="479"/>
        <v>0</v>
      </c>
      <c r="AO2174"/>
      <c r="AP2174"/>
    </row>
    <row r="2175" spans="1:42" ht="66" x14ac:dyDescent="0.25">
      <c r="A2175" s="162"/>
      <c r="B2175" s="501" t="s">
        <v>1214</v>
      </c>
      <c r="C2175" s="52"/>
      <c r="D2175" s="913">
        <v>50</v>
      </c>
      <c r="E2175" s="1027" t="s">
        <v>1721</v>
      </c>
      <c r="F2175" s="278" t="s">
        <v>3446</v>
      </c>
      <c r="G2175" s="1040" t="s">
        <v>3463</v>
      </c>
      <c r="H2175" s="273" t="s">
        <v>3462</v>
      </c>
      <c r="I2175" s="720">
        <f t="shared" si="480"/>
        <v>165.36959999999999</v>
      </c>
      <c r="J2175" s="756">
        <v>8268.48</v>
      </c>
      <c r="K2175" s="131">
        <f t="shared" si="478"/>
        <v>8268.48</v>
      </c>
      <c r="L2175" s="335">
        <f t="shared" si="481"/>
        <v>0</v>
      </c>
      <c r="M2175" s="446"/>
      <c r="N2175" s="446"/>
      <c r="O2175" s="446"/>
      <c r="P2175" s="446"/>
      <c r="Q2175" s="110">
        <v>13</v>
      </c>
      <c r="R2175" s="111">
        <f t="shared" si="486"/>
        <v>2067.12</v>
      </c>
      <c r="S2175" s="110"/>
      <c r="T2175" s="110"/>
      <c r="U2175" s="110">
        <v>12</v>
      </c>
      <c r="V2175" s="111">
        <f t="shared" si="488"/>
        <v>2067.12</v>
      </c>
      <c r="W2175" s="110"/>
      <c r="X2175" s="110"/>
      <c r="Y2175" s="110"/>
      <c r="Z2175" s="110"/>
      <c r="AA2175" s="110">
        <v>12</v>
      </c>
      <c r="AB2175" s="111">
        <f t="shared" si="474"/>
        <v>2067.12</v>
      </c>
      <c r="AC2175" s="110"/>
      <c r="AD2175" s="110"/>
      <c r="AE2175" s="110">
        <v>13</v>
      </c>
      <c r="AF2175" s="111">
        <f t="shared" si="475"/>
        <v>2067.12</v>
      </c>
      <c r="AG2175" s="110"/>
      <c r="AH2175" s="110"/>
      <c r="AI2175" s="110"/>
      <c r="AJ2175" s="110"/>
      <c r="AK2175" s="111">
        <f t="shared" si="482"/>
        <v>8268.48</v>
      </c>
      <c r="AL2175" s="446">
        <f t="shared" si="483"/>
        <v>0</v>
      </c>
      <c r="AM2175" s="110">
        <f t="shared" si="484"/>
        <v>50</v>
      </c>
      <c r="AN2175" s="447">
        <f t="shared" si="479"/>
        <v>0</v>
      </c>
      <c r="AO2175"/>
      <c r="AP2175"/>
    </row>
    <row r="2176" spans="1:42" ht="66" x14ac:dyDescent="0.25">
      <c r="A2176" s="162"/>
      <c r="B2176" s="501" t="s">
        <v>1215</v>
      </c>
      <c r="C2176" s="52"/>
      <c r="D2176" s="913">
        <f>50+15</f>
        <v>65</v>
      </c>
      <c r="E2176" s="1027" t="s">
        <v>1721</v>
      </c>
      <c r="F2176" s="278" t="s">
        <v>3446</v>
      </c>
      <c r="G2176" s="1040" t="s">
        <v>3463</v>
      </c>
      <c r="H2176" s="273" t="s">
        <v>3462</v>
      </c>
      <c r="I2176" s="720">
        <f t="shared" si="480"/>
        <v>241.16399999999999</v>
      </c>
      <c r="J2176" s="756">
        <f>12058.2+3617.46</f>
        <v>15675.66</v>
      </c>
      <c r="K2176" s="131">
        <f t="shared" si="478"/>
        <v>15675.66</v>
      </c>
      <c r="L2176" s="335">
        <f t="shared" si="481"/>
        <v>0</v>
      </c>
      <c r="M2176" s="446"/>
      <c r="N2176" s="446"/>
      <c r="O2176" s="446"/>
      <c r="P2176" s="446"/>
      <c r="Q2176" s="110">
        <v>17</v>
      </c>
      <c r="R2176" s="111">
        <f t="shared" si="486"/>
        <v>3918.915</v>
      </c>
      <c r="S2176" s="110"/>
      <c r="T2176" s="110"/>
      <c r="U2176" s="110">
        <v>17</v>
      </c>
      <c r="V2176" s="111">
        <f t="shared" si="488"/>
        <v>3918.915</v>
      </c>
      <c r="W2176" s="110"/>
      <c r="X2176" s="110"/>
      <c r="Y2176" s="110"/>
      <c r="Z2176" s="110"/>
      <c r="AA2176" s="110">
        <v>18</v>
      </c>
      <c r="AB2176" s="111">
        <f t="shared" si="474"/>
        <v>3918.915</v>
      </c>
      <c r="AC2176" s="110"/>
      <c r="AD2176" s="110"/>
      <c r="AE2176" s="110">
        <v>13</v>
      </c>
      <c r="AF2176" s="111">
        <f t="shared" si="475"/>
        <v>3918.915</v>
      </c>
      <c r="AG2176" s="110"/>
      <c r="AH2176" s="110"/>
      <c r="AI2176" s="110"/>
      <c r="AJ2176" s="110"/>
      <c r="AK2176" s="111">
        <f t="shared" si="482"/>
        <v>15675.66</v>
      </c>
      <c r="AL2176" s="446">
        <f t="shared" si="483"/>
        <v>0</v>
      </c>
      <c r="AM2176" s="110">
        <f t="shared" si="484"/>
        <v>65</v>
      </c>
      <c r="AN2176" s="447">
        <f t="shared" si="479"/>
        <v>0</v>
      </c>
      <c r="AO2176"/>
      <c r="AP2176"/>
    </row>
    <row r="2177" spans="1:42" ht="66" x14ac:dyDescent="0.25">
      <c r="A2177" s="162"/>
      <c r="B2177" s="501" t="s">
        <v>1216</v>
      </c>
      <c r="C2177" s="52"/>
      <c r="D2177" s="913">
        <v>2</v>
      </c>
      <c r="E2177" s="1027" t="s">
        <v>1725</v>
      </c>
      <c r="F2177" s="278" t="s">
        <v>3446</v>
      </c>
      <c r="G2177" s="1040" t="s">
        <v>3463</v>
      </c>
      <c r="H2177" s="273" t="s">
        <v>3462</v>
      </c>
      <c r="I2177" s="720">
        <f t="shared" si="480"/>
        <v>206.71199999999996</v>
      </c>
      <c r="J2177" s="756">
        <v>413.42399999999992</v>
      </c>
      <c r="K2177" s="131">
        <f t="shared" si="478"/>
        <v>413.42399999999992</v>
      </c>
      <c r="L2177" s="335">
        <f t="shared" si="481"/>
        <v>0</v>
      </c>
      <c r="M2177" s="446"/>
      <c r="N2177" s="446"/>
      <c r="O2177" s="446"/>
      <c r="P2177" s="446"/>
      <c r="Q2177" s="130">
        <v>1</v>
      </c>
      <c r="R2177" s="111">
        <v>206.71</v>
      </c>
      <c r="S2177" s="110"/>
      <c r="T2177" s="110"/>
      <c r="U2177" s="130">
        <v>1</v>
      </c>
      <c r="V2177" s="111">
        <v>206.71</v>
      </c>
      <c r="W2177" s="110"/>
      <c r="X2177" s="110"/>
      <c r="Y2177" s="110"/>
      <c r="Z2177" s="110"/>
      <c r="AA2177" s="130">
        <v>0</v>
      </c>
      <c r="AB2177" s="111">
        <v>0</v>
      </c>
      <c r="AC2177" s="110"/>
      <c r="AD2177" s="110"/>
      <c r="AE2177" s="130">
        <v>0</v>
      </c>
      <c r="AF2177" s="111">
        <v>0</v>
      </c>
      <c r="AG2177" s="110"/>
      <c r="AH2177" s="110"/>
      <c r="AI2177" s="110"/>
      <c r="AJ2177" s="110"/>
      <c r="AK2177" s="111">
        <f t="shared" si="482"/>
        <v>413.42</v>
      </c>
      <c r="AL2177" s="446">
        <f t="shared" si="483"/>
        <v>3.9999999999054126E-3</v>
      </c>
      <c r="AM2177" s="110">
        <f t="shared" si="484"/>
        <v>2</v>
      </c>
      <c r="AN2177" s="447">
        <f t="shared" si="479"/>
        <v>0</v>
      </c>
      <c r="AO2177"/>
      <c r="AP2177"/>
    </row>
    <row r="2178" spans="1:42" ht="66" x14ac:dyDescent="0.25">
      <c r="A2178" s="162"/>
      <c r="B2178" s="501" t="s">
        <v>1087</v>
      </c>
      <c r="C2178" s="52"/>
      <c r="D2178" s="913">
        <v>2</v>
      </c>
      <c r="E2178" s="1027" t="s">
        <v>1725</v>
      </c>
      <c r="F2178" s="278" t="s">
        <v>3446</v>
      </c>
      <c r="G2178" s="1040" t="s">
        <v>3463</v>
      </c>
      <c r="H2178" s="273" t="s">
        <v>3462</v>
      </c>
      <c r="I2178" s="720">
        <f t="shared" si="480"/>
        <v>110.24639999999999</v>
      </c>
      <c r="J2178" s="756">
        <v>220.49279999999999</v>
      </c>
      <c r="K2178" s="131">
        <f t="shared" si="478"/>
        <v>220.49279999999999</v>
      </c>
      <c r="L2178" s="335">
        <f t="shared" si="481"/>
        <v>0</v>
      </c>
      <c r="M2178" s="446"/>
      <c r="N2178" s="446"/>
      <c r="O2178" s="446"/>
      <c r="P2178" s="446"/>
      <c r="Q2178" s="130">
        <v>2</v>
      </c>
      <c r="R2178" s="111">
        <v>220.49</v>
      </c>
      <c r="S2178" s="110"/>
      <c r="T2178" s="110"/>
      <c r="U2178" s="130">
        <v>0</v>
      </c>
      <c r="V2178" s="111">
        <v>0</v>
      </c>
      <c r="W2178" s="110"/>
      <c r="X2178" s="110"/>
      <c r="Y2178" s="110"/>
      <c r="Z2178" s="110"/>
      <c r="AA2178" s="130">
        <v>0</v>
      </c>
      <c r="AB2178" s="111">
        <v>0</v>
      </c>
      <c r="AC2178" s="110"/>
      <c r="AD2178" s="110"/>
      <c r="AE2178" s="130">
        <v>0</v>
      </c>
      <c r="AF2178" s="111">
        <v>0</v>
      </c>
      <c r="AG2178" s="110"/>
      <c r="AH2178" s="110"/>
      <c r="AI2178" s="110"/>
      <c r="AJ2178" s="110"/>
      <c r="AK2178" s="111">
        <f t="shared" si="482"/>
        <v>220.49</v>
      </c>
      <c r="AL2178" s="446">
        <f t="shared" si="483"/>
        <v>2.7999999999792635E-3</v>
      </c>
      <c r="AM2178" s="110">
        <f t="shared" si="484"/>
        <v>2</v>
      </c>
      <c r="AN2178" s="447">
        <f t="shared" si="479"/>
        <v>0</v>
      </c>
      <c r="AO2178"/>
      <c r="AP2178"/>
    </row>
    <row r="2179" spans="1:42" ht="66" x14ac:dyDescent="0.25">
      <c r="A2179" s="162"/>
      <c r="B2179" s="501" t="s">
        <v>1088</v>
      </c>
      <c r="C2179" s="52"/>
      <c r="D2179" s="913">
        <v>2</v>
      </c>
      <c r="E2179" s="1027" t="s">
        <v>1725</v>
      </c>
      <c r="F2179" s="278" t="s">
        <v>3446</v>
      </c>
      <c r="G2179" s="1040" t="s">
        <v>3463</v>
      </c>
      <c r="H2179" s="273" t="s">
        <v>3462</v>
      </c>
      <c r="I2179" s="720">
        <f t="shared" si="480"/>
        <v>206.71199999999996</v>
      </c>
      <c r="J2179" s="756">
        <v>413.42399999999992</v>
      </c>
      <c r="K2179" s="131">
        <f t="shared" si="478"/>
        <v>413.42399999999992</v>
      </c>
      <c r="L2179" s="335">
        <f t="shared" si="481"/>
        <v>0</v>
      </c>
      <c r="M2179" s="446"/>
      <c r="N2179" s="446"/>
      <c r="O2179" s="446"/>
      <c r="P2179" s="446"/>
      <c r="Q2179" s="130">
        <v>2</v>
      </c>
      <c r="R2179" s="111">
        <v>413.42</v>
      </c>
      <c r="S2179" s="110"/>
      <c r="T2179" s="110"/>
      <c r="U2179" s="130">
        <v>0</v>
      </c>
      <c r="V2179" s="111">
        <v>0</v>
      </c>
      <c r="W2179" s="110"/>
      <c r="X2179" s="110"/>
      <c r="Y2179" s="110"/>
      <c r="Z2179" s="110"/>
      <c r="AA2179" s="130">
        <v>0</v>
      </c>
      <c r="AB2179" s="111">
        <v>0</v>
      </c>
      <c r="AC2179" s="110"/>
      <c r="AD2179" s="110"/>
      <c r="AE2179" s="130">
        <v>0</v>
      </c>
      <c r="AF2179" s="111">
        <v>0</v>
      </c>
      <c r="AG2179" s="110"/>
      <c r="AH2179" s="110"/>
      <c r="AI2179" s="110"/>
      <c r="AJ2179" s="110"/>
      <c r="AK2179" s="111">
        <f t="shared" si="482"/>
        <v>413.42</v>
      </c>
      <c r="AL2179" s="446">
        <f t="shared" si="483"/>
        <v>3.9999999999054126E-3</v>
      </c>
      <c r="AM2179" s="110">
        <f t="shared" si="484"/>
        <v>2</v>
      </c>
      <c r="AN2179" s="447">
        <f t="shared" si="479"/>
        <v>0</v>
      </c>
      <c r="AO2179"/>
      <c r="AP2179"/>
    </row>
    <row r="2180" spans="1:42" ht="66" x14ac:dyDescent="0.25">
      <c r="A2180" s="162"/>
      <c r="B2180" s="501" t="s">
        <v>1217</v>
      </c>
      <c r="C2180" s="52"/>
      <c r="D2180" s="913">
        <f>20+10</f>
        <v>30</v>
      </c>
      <c r="E2180" s="1027" t="s">
        <v>1721</v>
      </c>
      <c r="F2180" s="278" t="s">
        <v>3446</v>
      </c>
      <c r="G2180" s="1040" t="s">
        <v>3463</v>
      </c>
      <c r="H2180" s="273" t="s">
        <v>3462</v>
      </c>
      <c r="I2180" s="720">
        <f t="shared" si="480"/>
        <v>41.342266666666667</v>
      </c>
      <c r="J2180" s="756">
        <f>826.848+413.42</f>
        <v>1240.268</v>
      </c>
      <c r="K2180" s="131">
        <f t="shared" si="478"/>
        <v>1240.268</v>
      </c>
      <c r="L2180" s="335">
        <f t="shared" si="481"/>
        <v>0</v>
      </c>
      <c r="M2180" s="446"/>
      <c r="N2180" s="446"/>
      <c r="O2180" s="446"/>
      <c r="P2180" s="446"/>
      <c r="Q2180" s="110">
        <v>8</v>
      </c>
      <c r="R2180" s="111">
        <f t="shared" si="486"/>
        <v>310.06700000000001</v>
      </c>
      <c r="S2180" s="110"/>
      <c r="T2180" s="110"/>
      <c r="U2180" s="110">
        <v>8</v>
      </c>
      <c r="V2180" s="111">
        <f t="shared" si="488"/>
        <v>310.06700000000001</v>
      </c>
      <c r="W2180" s="110"/>
      <c r="X2180" s="110"/>
      <c r="Y2180" s="110"/>
      <c r="Z2180" s="110"/>
      <c r="AA2180" s="110">
        <v>7</v>
      </c>
      <c r="AB2180" s="111">
        <f t="shared" ref="AB2180:AB2236" si="490">+J2180/4</f>
        <v>310.06700000000001</v>
      </c>
      <c r="AC2180" s="110"/>
      <c r="AD2180" s="110"/>
      <c r="AE2180" s="110">
        <v>7</v>
      </c>
      <c r="AF2180" s="111">
        <f t="shared" ref="AF2180:AF2236" si="491">+J2180/4</f>
        <v>310.06700000000001</v>
      </c>
      <c r="AG2180" s="110"/>
      <c r="AH2180" s="110"/>
      <c r="AI2180" s="110"/>
      <c r="AJ2180" s="110"/>
      <c r="AK2180" s="111">
        <f t="shared" si="482"/>
        <v>1240.268</v>
      </c>
      <c r="AL2180" s="446">
        <f t="shared" si="483"/>
        <v>0</v>
      </c>
      <c r="AM2180" s="110">
        <f t="shared" si="484"/>
        <v>30</v>
      </c>
      <c r="AN2180" s="447">
        <f t="shared" si="479"/>
        <v>0</v>
      </c>
      <c r="AO2180"/>
      <c r="AP2180"/>
    </row>
    <row r="2181" spans="1:42" ht="66" x14ac:dyDescent="0.25">
      <c r="A2181" s="162"/>
      <c r="B2181" s="501" t="s">
        <v>1226</v>
      </c>
      <c r="C2181" s="52"/>
      <c r="D2181" s="913">
        <v>1</v>
      </c>
      <c r="E2181" s="1027" t="s">
        <v>1721</v>
      </c>
      <c r="F2181" s="278" t="s">
        <v>3446</v>
      </c>
      <c r="G2181" s="1040" t="s">
        <v>3463</v>
      </c>
      <c r="H2181" s="273" t="s">
        <v>3462</v>
      </c>
      <c r="I2181" s="720">
        <f t="shared" si="480"/>
        <v>62.013600000000004</v>
      </c>
      <c r="J2181" s="756">
        <v>62.013600000000004</v>
      </c>
      <c r="K2181" s="131">
        <f t="shared" si="478"/>
        <v>62.013600000000004</v>
      </c>
      <c r="L2181" s="335">
        <f t="shared" si="481"/>
        <v>0</v>
      </c>
      <c r="M2181" s="446"/>
      <c r="N2181" s="446"/>
      <c r="O2181" s="446"/>
      <c r="P2181" s="446"/>
      <c r="Q2181" s="110">
        <v>1</v>
      </c>
      <c r="R2181" s="111">
        <v>62.01</v>
      </c>
      <c r="S2181" s="110"/>
      <c r="T2181" s="110"/>
      <c r="U2181" s="110">
        <v>0</v>
      </c>
      <c r="V2181" s="111">
        <v>0</v>
      </c>
      <c r="W2181" s="110"/>
      <c r="X2181" s="110"/>
      <c r="Y2181" s="110"/>
      <c r="Z2181" s="110"/>
      <c r="AA2181" s="110">
        <v>0</v>
      </c>
      <c r="AB2181" s="111">
        <v>0</v>
      </c>
      <c r="AC2181" s="110"/>
      <c r="AD2181" s="110"/>
      <c r="AE2181" s="110">
        <v>0</v>
      </c>
      <c r="AF2181" s="111">
        <v>0</v>
      </c>
      <c r="AG2181" s="110"/>
      <c r="AH2181" s="110"/>
      <c r="AI2181" s="110"/>
      <c r="AJ2181" s="110"/>
      <c r="AK2181" s="111">
        <f t="shared" si="482"/>
        <v>62.01</v>
      </c>
      <c r="AL2181" s="446">
        <f t="shared" si="483"/>
        <v>3.6000000000058208E-3</v>
      </c>
      <c r="AM2181" s="110">
        <f t="shared" si="484"/>
        <v>1</v>
      </c>
      <c r="AN2181" s="447">
        <f t="shared" si="479"/>
        <v>0</v>
      </c>
      <c r="AO2181"/>
      <c r="AP2181"/>
    </row>
    <row r="2182" spans="1:42" ht="66" x14ac:dyDescent="0.25">
      <c r="A2182" s="162"/>
      <c r="B2182" s="147" t="s">
        <v>1441</v>
      </c>
      <c r="C2182" s="52"/>
      <c r="D2182" s="913">
        <v>10</v>
      </c>
      <c r="E2182" s="1027" t="s">
        <v>1721</v>
      </c>
      <c r="F2182" s="278" t="s">
        <v>3446</v>
      </c>
      <c r="G2182" s="1040" t="s">
        <v>3463</v>
      </c>
      <c r="H2182" s="273" t="s">
        <v>3462</v>
      </c>
      <c r="I2182" s="720">
        <f t="shared" si="480"/>
        <v>12.145</v>
      </c>
      <c r="J2182" s="756">
        <v>121.45</v>
      </c>
      <c r="K2182" s="131">
        <f t="shared" si="478"/>
        <v>121.44999999999999</v>
      </c>
      <c r="L2182" s="335">
        <f t="shared" si="481"/>
        <v>0</v>
      </c>
      <c r="M2182" s="446"/>
      <c r="N2182" s="446"/>
      <c r="O2182" s="446"/>
      <c r="P2182" s="446"/>
      <c r="Q2182" s="130">
        <v>3</v>
      </c>
      <c r="R2182" s="111">
        <f t="shared" si="486"/>
        <v>30.362500000000001</v>
      </c>
      <c r="S2182" s="110"/>
      <c r="T2182" s="110"/>
      <c r="U2182" s="130">
        <v>3</v>
      </c>
      <c r="V2182" s="111">
        <f t="shared" si="488"/>
        <v>30.362500000000001</v>
      </c>
      <c r="W2182" s="110"/>
      <c r="X2182" s="110"/>
      <c r="Y2182" s="110"/>
      <c r="Z2182" s="110"/>
      <c r="AA2182" s="130">
        <v>2</v>
      </c>
      <c r="AB2182" s="111">
        <f t="shared" si="490"/>
        <v>30.362500000000001</v>
      </c>
      <c r="AC2182" s="110"/>
      <c r="AD2182" s="110"/>
      <c r="AE2182" s="130">
        <v>2</v>
      </c>
      <c r="AF2182" s="111">
        <f t="shared" si="491"/>
        <v>30.362500000000001</v>
      </c>
      <c r="AG2182" s="110"/>
      <c r="AH2182" s="110"/>
      <c r="AI2182" s="110"/>
      <c r="AJ2182" s="110"/>
      <c r="AK2182" s="111">
        <f t="shared" si="482"/>
        <v>121.45</v>
      </c>
      <c r="AL2182" s="446">
        <f t="shared" si="483"/>
        <v>0</v>
      </c>
      <c r="AM2182" s="110">
        <f t="shared" si="484"/>
        <v>10</v>
      </c>
      <c r="AN2182" s="447">
        <f t="shared" si="479"/>
        <v>0</v>
      </c>
      <c r="AO2182"/>
      <c r="AP2182"/>
    </row>
    <row r="2183" spans="1:42" ht="66" x14ac:dyDescent="0.25">
      <c r="A2183" s="162"/>
      <c r="B2183" s="146" t="s">
        <v>1442</v>
      </c>
      <c r="C2183" s="52"/>
      <c r="D2183" s="913">
        <v>9</v>
      </c>
      <c r="E2183" s="1027" t="s">
        <v>1721</v>
      </c>
      <c r="F2183" s="278" t="s">
        <v>3446</v>
      </c>
      <c r="G2183" s="1040" t="s">
        <v>3463</v>
      </c>
      <c r="H2183" s="273" t="s">
        <v>3462</v>
      </c>
      <c r="I2183" s="720">
        <f t="shared" si="480"/>
        <v>47.9544</v>
      </c>
      <c r="J2183" s="756">
        <v>431.58960000000002</v>
      </c>
      <c r="K2183" s="131">
        <f t="shared" si="478"/>
        <v>431.58960000000002</v>
      </c>
      <c r="L2183" s="335">
        <f t="shared" si="481"/>
        <v>0</v>
      </c>
      <c r="M2183" s="446"/>
      <c r="N2183" s="446"/>
      <c r="O2183" s="446"/>
      <c r="P2183" s="446"/>
      <c r="Q2183" s="110">
        <v>3</v>
      </c>
      <c r="R2183" s="111">
        <f t="shared" si="486"/>
        <v>107.8974</v>
      </c>
      <c r="S2183" s="110"/>
      <c r="T2183" s="110"/>
      <c r="U2183" s="110">
        <v>2</v>
      </c>
      <c r="V2183" s="111">
        <f t="shared" si="488"/>
        <v>107.8974</v>
      </c>
      <c r="W2183" s="110"/>
      <c r="X2183" s="110"/>
      <c r="Y2183" s="110"/>
      <c r="Z2183" s="110"/>
      <c r="AA2183" s="110">
        <v>2</v>
      </c>
      <c r="AB2183" s="111">
        <f t="shared" si="490"/>
        <v>107.8974</v>
      </c>
      <c r="AC2183" s="110"/>
      <c r="AD2183" s="110"/>
      <c r="AE2183" s="110">
        <v>2</v>
      </c>
      <c r="AF2183" s="111">
        <f t="shared" si="491"/>
        <v>107.8974</v>
      </c>
      <c r="AG2183" s="110"/>
      <c r="AH2183" s="110"/>
      <c r="AI2183" s="110"/>
      <c r="AJ2183" s="110"/>
      <c r="AK2183" s="111">
        <f t="shared" si="482"/>
        <v>431.58960000000002</v>
      </c>
      <c r="AL2183" s="446">
        <f t="shared" si="483"/>
        <v>0</v>
      </c>
      <c r="AM2183" s="110">
        <f t="shared" si="484"/>
        <v>9</v>
      </c>
      <c r="AN2183" s="447">
        <f t="shared" si="479"/>
        <v>0</v>
      </c>
      <c r="AO2183"/>
      <c r="AP2183"/>
    </row>
    <row r="2184" spans="1:42" ht="66" x14ac:dyDescent="0.25">
      <c r="A2184" s="162"/>
      <c r="B2184" s="147" t="s">
        <v>1443</v>
      </c>
      <c r="C2184" s="52"/>
      <c r="D2184" s="913">
        <v>10</v>
      </c>
      <c r="E2184" s="1027" t="s">
        <v>1721</v>
      </c>
      <c r="F2184" s="278" t="s">
        <v>3446</v>
      </c>
      <c r="G2184" s="1040" t="s">
        <v>3463</v>
      </c>
      <c r="H2184" s="273" t="s">
        <v>3462</v>
      </c>
      <c r="I2184" s="720">
        <f t="shared" si="480"/>
        <v>151.86719999999997</v>
      </c>
      <c r="J2184" s="756">
        <v>1518.6719999999996</v>
      </c>
      <c r="K2184" s="131">
        <f t="shared" si="478"/>
        <v>1518.6719999999996</v>
      </c>
      <c r="L2184" s="335">
        <f t="shared" si="481"/>
        <v>0</v>
      </c>
      <c r="M2184" s="446"/>
      <c r="N2184" s="446"/>
      <c r="O2184" s="446"/>
      <c r="P2184" s="446"/>
      <c r="Q2184" s="130">
        <v>3</v>
      </c>
      <c r="R2184" s="111">
        <f t="shared" si="486"/>
        <v>379.66799999999989</v>
      </c>
      <c r="S2184" s="110"/>
      <c r="T2184" s="110"/>
      <c r="U2184" s="130">
        <v>3</v>
      </c>
      <c r="V2184" s="111">
        <f t="shared" si="488"/>
        <v>379.66799999999989</v>
      </c>
      <c r="W2184" s="110"/>
      <c r="X2184" s="110"/>
      <c r="Y2184" s="110"/>
      <c r="Z2184" s="110"/>
      <c r="AA2184" s="130">
        <v>2</v>
      </c>
      <c r="AB2184" s="111">
        <f t="shared" si="490"/>
        <v>379.66799999999989</v>
      </c>
      <c r="AC2184" s="110"/>
      <c r="AD2184" s="110"/>
      <c r="AE2184" s="130">
        <v>2</v>
      </c>
      <c r="AF2184" s="111">
        <f t="shared" si="491"/>
        <v>379.66799999999989</v>
      </c>
      <c r="AG2184" s="110"/>
      <c r="AH2184" s="110"/>
      <c r="AI2184" s="110"/>
      <c r="AJ2184" s="110"/>
      <c r="AK2184" s="111">
        <f t="shared" si="482"/>
        <v>1518.6719999999996</v>
      </c>
      <c r="AL2184" s="446">
        <f t="shared" si="483"/>
        <v>0</v>
      </c>
      <c r="AM2184" s="110">
        <f t="shared" si="484"/>
        <v>10</v>
      </c>
      <c r="AN2184" s="447">
        <f t="shared" si="479"/>
        <v>0</v>
      </c>
      <c r="AO2184"/>
      <c r="AP2184"/>
    </row>
    <row r="2185" spans="1:42" ht="66" x14ac:dyDescent="0.25">
      <c r="A2185" s="162"/>
      <c r="B2185" s="147" t="s">
        <v>1444</v>
      </c>
      <c r="C2185" s="52"/>
      <c r="D2185" s="913">
        <v>3</v>
      </c>
      <c r="E2185" s="1027" t="s">
        <v>1721</v>
      </c>
      <c r="F2185" s="278" t="s">
        <v>3446</v>
      </c>
      <c r="G2185" s="1040" t="s">
        <v>3463</v>
      </c>
      <c r="H2185" s="273" t="s">
        <v>3462</v>
      </c>
      <c r="I2185" s="720">
        <f t="shared" si="480"/>
        <v>47.9544</v>
      </c>
      <c r="J2185" s="756">
        <v>143.86320000000001</v>
      </c>
      <c r="K2185" s="131">
        <f t="shared" si="478"/>
        <v>143.86320000000001</v>
      </c>
      <c r="L2185" s="335">
        <f t="shared" si="481"/>
        <v>0</v>
      </c>
      <c r="M2185" s="446"/>
      <c r="N2185" s="446"/>
      <c r="O2185" s="446"/>
      <c r="P2185" s="446"/>
      <c r="Q2185" s="130">
        <v>1</v>
      </c>
      <c r="R2185" s="111">
        <v>47.95</v>
      </c>
      <c r="S2185" s="110"/>
      <c r="T2185" s="110"/>
      <c r="U2185" s="130">
        <v>1</v>
      </c>
      <c r="V2185" s="111">
        <v>47.95</v>
      </c>
      <c r="W2185" s="110"/>
      <c r="X2185" s="110"/>
      <c r="Y2185" s="110"/>
      <c r="Z2185" s="110"/>
      <c r="AA2185" s="130">
        <v>1</v>
      </c>
      <c r="AB2185" s="111">
        <v>47.95</v>
      </c>
      <c r="AC2185" s="110"/>
      <c r="AD2185" s="110"/>
      <c r="AE2185" s="130">
        <v>0</v>
      </c>
      <c r="AF2185" s="111">
        <v>0</v>
      </c>
      <c r="AG2185" s="110"/>
      <c r="AH2185" s="110"/>
      <c r="AI2185" s="110"/>
      <c r="AJ2185" s="110"/>
      <c r="AK2185" s="111">
        <f t="shared" si="482"/>
        <v>143.85000000000002</v>
      </c>
      <c r="AL2185" s="446">
        <f t="shared" si="483"/>
        <v>1.3199999999983447E-2</v>
      </c>
      <c r="AM2185" s="110">
        <f t="shared" si="484"/>
        <v>3</v>
      </c>
      <c r="AN2185" s="447">
        <f t="shared" si="479"/>
        <v>0</v>
      </c>
      <c r="AO2185"/>
      <c r="AP2185"/>
    </row>
    <row r="2186" spans="1:42" ht="66" x14ac:dyDescent="0.25">
      <c r="A2186" s="162"/>
      <c r="B2186" s="147" t="s">
        <v>1445</v>
      </c>
      <c r="C2186" s="52"/>
      <c r="D2186" s="913">
        <v>5</v>
      </c>
      <c r="E2186" s="1027" t="s">
        <v>1721</v>
      </c>
      <c r="F2186" s="278" t="s">
        <v>3446</v>
      </c>
      <c r="G2186" s="1040" t="s">
        <v>3463</v>
      </c>
      <c r="H2186" s="273" t="s">
        <v>3462</v>
      </c>
      <c r="I2186" s="720">
        <f t="shared" si="480"/>
        <v>195.45999999999998</v>
      </c>
      <c r="J2186" s="756">
        <v>977.3</v>
      </c>
      <c r="K2186" s="131">
        <f t="shared" si="478"/>
        <v>977.3</v>
      </c>
      <c r="L2186" s="335">
        <f t="shared" si="481"/>
        <v>0</v>
      </c>
      <c r="M2186" s="446"/>
      <c r="N2186" s="446"/>
      <c r="O2186" s="446"/>
      <c r="P2186" s="446"/>
      <c r="Q2186" s="110">
        <v>2</v>
      </c>
      <c r="R2186" s="111">
        <f t="shared" si="486"/>
        <v>244.32499999999999</v>
      </c>
      <c r="S2186" s="110"/>
      <c r="T2186" s="110"/>
      <c r="U2186" s="110">
        <v>1</v>
      </c>
      <c r="V2186" s="111">
        <f t="shared" si="488"/>
        <v>244.32499999999999</v>
      </c>
      <c r="W2186" s="110"/>
      <c r="X2186" s="110"/>
      <c r="Y2186" s="110"/>
      <c r="Z2186" s="110"/>
      <c r="AA2186" s="110">
        <v>1</v>
      </c>
      <c r="AB2186" s="111">
        <f t="shared" si="490"/>
        <v>244.32499999999999</v>
      </c>
      <c r="AC2186" s="110"/>
      <c r="AD2186" s="110"/>
      <c r="AE2186" s="110">
        <v>1</v>
      </c>
      <c r="AF2186" s="111">
        <f t="shared" si="491"/>
        <v>244.32499999999999</v>
      </c>
      <c r="AG2186" s="110"/>
      <c r="AH2186" s="110"/>
      <c r="AI2186" s="110"/>
      <c r="AJ2186" s="110"/>
      <c r="AK2186" s="111">
        <f t="shared" si="482"/>
        <v>977.3</v>
      </c>
      <c r="AL2186" s="446">
        <f t="shared" si="483"/>
        <v>0</v>
      </c>
      <c r="AM2186" s="110">
        <f t="shared" si="484"/>
        <v>5</v>
      </c>
      <c r="AN2186" s="447">
        <f t="shared" si="479"/>
        <v>0</v>
      </c>
      <c r="AO2186"/>
      <c r="AP2186"/>
    </row>
    <row r="2187" spans="1:42" ht="66" x14ac:dyDescent="0.25">
      <c r="A2187" s="162"/>
      <c r="B2187" s="128" t="s">
        <v>1446</v>
      </c>
      <c r="C2187" s="53"/>
      <c r="D2187" s="913">
        <v>5</v>
      </c>
      <c r="E2187" s="1027" t="s">
        <v>1721</v>
      </c>
      <c r="F2187" s="278" t="s">
        <v>3446</v>
      </c>
      <c r="G2187" s="1040" t="s">
        <v>3463</v>
      </c>
      <c r="H2187" s="273" t="s">
        <v>3462</v>
      </c>
      <c r="I2187" s="720">
        <f t="shared" si="480"/>
        <v>23.9772</v>
      </c>
      <c r="J2187" s="756">
        <v>119.886</v>
      </c>
      <c r="K2187" s="131">
        <f t="shared" si="478"/>
        <v>119.886</v>
      </c>
      <c r="L2187" s="335">
        <f t="shared" si="481"/>
        <v>0</v>
      </c>
      <c r="M2187" s="446"/>
      <c r="N2187" s="446"/>
      <c r="O2187" s="446"/>
      <c r="P2187" s="446"/>
      <c r="Q2187" s="110">
        <v>2</v>
      </c>
      <c r="R2187" s="111">
        <f t="shared" si="486"/>
        <v>29.971499999999999</v>
      </c>
      <c r="S2187" s="110"/>
      <c r="T2187" s="110"/>
      <c r="U2187" s="110">
        <v>1</v>
      </c>
      <c r="V2187" s="111">
        <f t="shared" si="488"/>
        <v>29.971499999999999</v>
      </c>
      <c r="W2187" s="110"/>
      <c r="X2187" s="110"/>
      <c r="Y2187" s="110"/>
      <c r="Z2187" s="110"/>
      <c r="AA2187" s="110">
        <v>1</v>
      </c>
      <c r="AB2187" s="111">
        <f t="shared" si="490"/>
        <v>29.971499999999999</v>
      </c>
      <c r="AC2187" s="110"/>
      <c r="AD2187" s="110"/>
      <c r="AE2187" s="110">
        <v>1</v>
      </c>
      <c r="AF2187" s="111">
        <f t="shared" si="491"/>
        <v>29.971499999999999</v>
      </c>
      <c r="AG2187" s="110"/>
      <c r="AH2187" s="110"/>
      <c r="AI2187" s="110"/>
      <c r="AJ2187" s="110"/>
      <c r="AK2187" s="111">
        <f t="shared" si="482"/>
        <v>119.886</v>
      </c>
      <c r="AL2187" s="446">
        <f t="shared" si="483"/>
        <v>0</v>
      </c>
      <c r="AM2187" s="110">
        <f t="shared" si="484"/>
        <v>5</v>
      </c>
      <c r="AN2187" s="447">
        <f t="shared" si="479"/>
        <v>0</v>
      </c>
      <c r="AO2187"/>
      <c r="AP2187"/>
    </row>
    <row r="2188" spans="1:42" ht="66" x14ac:dyDescent="0.25">
      <c r="A2188" s="162"/>
      <c r="B2188" s="37" t="s">
        <v>1735</v>
      </c>
      <c r="C2188" s="52"/>
      <c r="D2188" s="913">
        <v>4</v>
      </c>
      <c r="E2188" s="1027" t="s">
        <v>1721</v>
      </c>
      <c r="F2188" s="278" t="s">
        <v>3446</v>
      </c>
      <c r="G2188" s="1040" t="s">
        <v>3463</v>
      </c>
      <c r="H2188" s="273" t="s">
        <v>3462</v>
      </c>
      <c r="I2188" s="720">
        <v>572.28</v>
      </c>
      <c r="J2188" s="756">
        <v>2289.12</v>
      </c>
      <c r="K2188" s="131">
        <f t="shared" si="478"/>
        <v>2289.12</v>
      </c>
      <c r="L2188" s="335">
        <f t="shared" si="481"/>
        <v>0</v>
      </c>
      <c r="M2188" s="446"/>
      <c r="N2188" s="446"/>
      <c r="O2188" s="446"/>
      <c r="P2188" s="446"/>
      <c r="Q2188" s="110">
        <f t="shared" si="485"/>
        <v>1</v>
      </c>
      <c r="R2188" s="111">
        <f t="shared" si="486"/>
        <v>572.28</v>
      </c>
      <c r="S2188" s="110"/>
      <c r="T2188" s="110"/>
      <c r="U2188" s="110">
        <f t="shared" si="487"/>
        <v>1</v>
      </c>
      <c r="V2188" s="111">
        <f t="shared" si="488"/>
        <v>572.28</v>
      </c>
      <c r="W2188" s="110"/>
      <c r="X2188" s="110"/>
      <c r="Y2188" s="110"/>
      <c r="Z2188" s="110"/>
      <c r="AA2188" s="110">
        <f t="shared" si="489"/>
        <v>1</v>
      </c>
      <c r="AB2188" s="111">
        <f t="shared" si="490"/>
        <v>572.28</v>
      </c>
      <c r="AC2188" s="110"/>
      <c r="AD2188" s="110"/>
      <c r="AE2188" s="110">
        <f t="shared" si="489"/>
        <v>1</v>
      </c>
      <c r="AF2188" s="111">
        <f t="shared" si="491"/>
        <v>572.28</v>
      </c>
      <c r="AG2188" s="110"/>
      <c r="AH2188" s="110"/>
      <c r="AI2188" s="110"/>
      <c r="AJ2188" s="110"/>
      <c r="AK2188" s="111">
        <f t="shared" si="482"/>
        <v>2289.12</v>
      </c>
      <c r="AL2188" s="446">
        <f t="shared" si="483"/>
        <v>0</v>
      </c>
      <c r="AM2188" s="110">
        <f t="shared" si="484"/>
        <v>4</v>
      </c>
      <c r="AN2188" s="447">
        <f t="shared" si="479"/>
        <v>0</v>
      </c>
      <c r="AO2188"/>
      <c r="AP2188"/>
    </row>
    <row r="2189" spans="1:42" ht="66" x14ac:dyDescent="0.25">
      <c r="A2189" s="162"/>
      <c r="B2189" s="219" t="s">
        <v>1750</v>
      </c>
      <c r="C2189" s="52"/>
      <c r="D2189" s="913">
        <v>1</v>
      </c>
      <c r="E2189" s="1027" t="s">
        <v>1725</v>
      </c>
      <c r="F2189" s="278" t="s">
        <v>3446</v>
      </c>
      <c r="G2189" s="1040" t="s">
        <v>3463</v>
      </c>
      <c r="H2189" s="273" t="s">
        <v>3462</v>
      </c>
      <c r="I2189" s="720">
        <f t="shared" si="480"/>
        <v>1300</v>
      </c>
      <c r="J2189" s="756">
        <v>1300</v>
      </c>
      <c r="K2189" s="131">
        <f t="shared" si="478"/>
        <v>1300</v>
      </c>
      <c r="L2189" s="335">
        <f t="shared" si="481"/>
        <v>0</v>
      </c>
      <c r="M2189" s="446"/>
      <c r="N2189" s="446"/>
      <c r="O2189" s="446"/>
      <c r="P2189" s="446"/>
      <c r="Q2189" s="110">
        <v>1</v>
      </c>
      <c r="R2189" s="111">
        <v>1300</v>
      </c>
      <c r="S2189" s="110"/>
      <c r="T2189" s="110"/>
      <c r="U2189" s="110">
        <v>0</v>
      </c>
      <c r="V2189" s="111">
        <v>0</v>
      </c>
      <c r="W2189" s="110"/>
      <c r="X2189" s="110"/>
      <c r="Y2189" s="110"/>
      <c r="Z2189" s="110"/>
      <c r="AA2189" s="110">
        <v>0</v>
      </c>
      <c r="AB2189" s="111">
        <v>0</v>
      </c>
      <c r="AC2189" s="110"/>
      <c r="AD2189" s="110"/>
      <c r="AE2189" s="110">
        <v>0</v>
      </c>
      <c r="AF2189" s="111">
        <v>0</v>
      </c>
      <c r="AG2189" s="110"/>
      <c r="AH2189" s="110"/>
      <c r="AI2189" s="110"/>
      <c r="AJ2189" s="110"/>
      <c r="AK2189" s="111">
        <f t="shared" si="482"/>
        <v>1300</v>
      </c>
      <c r="AL2189" s="446">
        <f t="shared" si="483"/>
        <v>0</v>
      </c>
      <c r="AM2189" s="110">
        <f t="shared" si="484"/>
        <v>1</v>
      </c>
      <c r="AN2189" s="447">
        <f t="shared" si="479"/>
        <v>0</v>
      </c>
      <c r="AO2189"/>
      <c r="AP2189"/>
    </row>
    <row r="2190" spans="1:42" ht="66" x14ac:dyDescent="0.25">
      <c r="A2190" s="162"/>
      <c r="B2190" s="370" t="s">
        <v>1751</v>
      </c>
      <c r="C2190" s="52"/>
      <c r="D2190" s="913">
        <v>2</v>
      </c>
      <c r="E2190" s="1027" t="s">
        <v>1721</v>
      </c>
      <c r="F2190" s="278" t="s">
        <v>3446</v>
      </c>
      <c r="G2190" s="1040" t="s">
        <v>3463</v>
      </c>
      <c r="H2190" s="273" t="s">
        <v>3462</v>
      </c>
      <c r="I2190" s="720">
        <f t="shared" si="480"/>
        <v>500</v>
      </c>
      <c r="J2190" s="756">
        <v>1000</v>
      </c>
      <c r="K2190" s="131">
        <f t="shared" si="478"/>
        <v>1000</v>
      </c>
      <c r="L2190" s="335">
        <f t="shared" si="481"/>
        <v>0</v>
      </c>
      <c r="M2190" s="446"/>
      <c r="N2190" s="446"/>
      <c r="O2190" s="446"/>
      <c r="P2190" s="446"/>
      <c r="Q2190" s="130">
        <v>2</v>
      </c>
      <c r="R2190" s="111">
        <v>1000</v>
      </c>
      <c r="S2190" s="110"/>
      <c r="T2190" s="110"/>
      <c r="U2190" s="130">
        <v>0</v>
      </c>
      <c r="V2190" s="111">
        <v>0</v>
      </c>
      <c r="W2190" s="110"/>
      <c r="X2190" s="110"/>
      <c r="Y2190" s="110"/>
      <c r="Z2190" s="110"/>
      <c r="AA2190" s="130">
        <v>0</v>
      </c>
      <c r="AB2190" s="111">
        <v>0</v>
      </c>
      <c r="AC2190" s="110"/>
      <c r="AD2190" s="110"/>
      <c r="AE2190" s="130">
        <v>0</v>
      </c>
      <c r="AF2190" s="111">
        <v>0</v>
      </c>
      <c r="AG2190" s="110"/>
      <c r="AH2190" s="110"/>
      <c r="AI2190" s="110"/>
      <c r="AJ2190" s="110"/>
      <c r="AK2190" s="111">
        <f t="shared" si="482"/>
        <v>1000</v>
      </c>
      <c r="AL2190" s="446">
        <f t="shared" si="483"/>
        <v>0</v>
      </c>
      <c r="AM2190" s="110">
        <f t="shared" si="484"/>
        <v>2</v>
      </c>
      <c r="AN2190" s="447">
        <f t="shared" si="479"/>
        <v>0</v>
      </c>
      <c r="AO2190"/>
      <c r="AP2190"/>
    </row>
    <row r="2191" spans="1:42" ht="66" x14ac:dyDescent="0.25">
      <c r="A2191" s="1025"/>
      <c r="B2191" s="149" t="s">
        <v>1815</v>
      </c>
      <c r="C2191" s="52"/>
      <c r="D2191" s="869">
        <v>6</v>
      </c>
      <c r="E2191" s="1027" t="s">
        <v>1725</v>
      </c>
      <c r="F2191" s="278" t="s">
        <v>3446</v>
      </c>
      <c r="G2191" s="1040" t="s">
        <v>3463</v>
      </c>
      <c r="H2191" s="273" t="s">
        <v>3462</v>
      </c>
      <c r="I2191" s="720">
        <f t="shared" si="480"/>
        <v>939.6</v>
      </c>
      <c r="J2191" s="756">
        <v>5637.6</v>
      </c>
      <c r="K2191" s="131">
        <f t="shared" si="478"/>
        <v>5637.6</v>
      </c>
      <c r="L2191" s="335">
        <f t="shared" si="481"/>
        <v>0</v>
      </c>
      <c r="M2191" s="446"/>
      <c r="N2191" s="446"/>
      <c r="O2191" s="446"/>
      <c r="P2191" s="446"/>
      <c r="Q2191" s="130">
        <v>2</v>
      </c>
      <c r="R2191" s="111">
        <f t="shared" si="486"/>
        <v>1409.4</v>
      </c>
      <c r="S2191" s="110"/>
      <c r="T2191" s="110"/>
      <c r="U2191" s="130">
        <v>2</v>
      </c>
      <c r="V2191" s="111">
        <f t="shared" si="488"/>
        <v>1409.4</v>
      </c>
      <c r="W2191" s="110"/>
      <c r="X2191" s="110"/>
      <c r="Y2191" s="110"/>
      <c r="Z2191" s="110"/>
      <c r="AA2191" s="130">
        <v>1</v>
      </c>
      <c r="AB2191" s="111">
        <f t="shared" si="490"/>
        <v>1409.4</v>
      </c>
      <c r="AC2191" s="110"/>
      <c r="AD2191" s="110"/>
      <c r="AE2191" s="130">
        <v>1</v>
      </c>
      <c r="AF2191" s="111">
        <f t="shared" si="491"/>
        <v>1409.4</v>
      </c>
      <c r="AG2191" s="110"/>
      <c r="AH2191" s="110"/>
      <c r="AI2191" s="110"/>
      <c r="AJ2191" s="110"/>
      <c r="AK2191" s="111">
        <f t="shared" si="482"/>
        <v>5637.6</v>
      </c>
      <c r="AL2191" s="446">
        <f t="shared" si="483"/>
        <v>0</v>
      </c>
      <c r="AM2191" s="110">
        <f t="shared" si="484"/>
        <v>6</v>
      </c>
      <c r="AN2191" s="447">
        <f t="shared" si="479"/>
        <v>0</v>
      </c>
      <c r="AO2191"/>
      <c r="AP2191"/>
    </row>
    <row r="2192" spans="1:42" ht="66" x14ac:dyDescent="0.25">
      <c r="A2192" s="1025"/>
      <c r="B2192" s="149" t="s">
        <v>1816</v>
      </c>
      <c r="C2192" s="52"/>
      <c r="D2192" s="869">
        <v>1</v>
      </c>
      <c r="E2192" s="1027" t="s">
        <v>1725</v>
      </c>
      <c r="F2192" s="278" t="s">
        <v>3446</v>
      </c>
      <c r="G2192" s="1040" t="s">
        <v>3463</v>
      </c>
      <c r="H2192" s="273" t="s">
        <v>3462</v>
      </c>
      <c r="I2192" s="720">
        <f t="shared" si="480"/>
        <v>939.6</v>
      </c>
      <c r="J2192" s="756">
        <v>939.6</v>
      </c>
      <c r="K2192" s="131">
        <f t="shared" si="478"/>
        <v>939.6</v>
      </c>
      <c r="L2192" s="335">
        <f t="shared" si="481"/>
        <v>0</v>
      </c>
      <c r="M2192" s="446"/>
      <c r="N2192" s="446"/>
      <c r="O2192" s="446"/>
      <c r="P2192" s="446"/>
      <c r="Q2192" s="110">
        <v>1</v>
      </c>
      <c r="R2192" s="111">
        <v>939.6</v>
      </c>
      <c r="S2192" s="110"/>
      <c r="T2192" s="110"/>
      <c r="U2192" s="110">
        <v>0</v>
      </c>
      <c r="V2192" s="111">
        <v>0</v>
      </c>
      <c r="W2192" s="110"/>
      <c r="X2192" s="110"/>
      <c r="Y2192" s="110"/>
      <c r="Z2192" s="110"/>
      <c r="AA2192" s="110">
        <v>0</v>
      </c>
      <c r="AB2192" s="111">
        <v>0</v>
      </c>
      <c r="AC2192" s="110"/>
      <c r="AD2192" s="110"/>
      <c r="AE2192" s="110">
        <v>0</v>
      </c>
      <c r="AF2192" s="111">
        <v>0</v>
      </c>
      <c r="AG2192" s="110"/>
      <c r="AH2192" s="110"/>
      <c r="AI2192" s="110"/>
      <c r="AJ2192" s="110"/>
      <c r="AK2192" s="111">
        <f t="shared" si="482"/>
        <v>939.6</v>
      </c>
      <c r="AL2192" s="446">
        <f t="shared" si="483"/>
        <v>0</v>
      </c>
      <c r="AM2192" s="110">
        <f t="shared" si="484"/>
        <v>1</v>
      </c>
      <c r="AN2192" s="447">
        <f t="shared" si="479"/>
        <v>0</v>
      </c>
      <c r="AO2192"/>
      <c r="AP2192"/>
    </row>
    <row r="2193" spans="1:42" ht="66" x14ac:dyDescent="0.25">
      <c r="A2193" s="1025"/>
      <c r="B2193" s="149" t="s">
        <v>1817</v>
      </c>
      <c r="C2193" s="52"/>
      <c r="D2193" s="869">
        <v>4</v>
      </c>
      <c r="E2193" s="1027" t="s">
        <v>1725</v>
      </c>
      <c r="F2193" s="278" t="s">
        <v>3446</v>
      </c>
      <c r="G2193" s="1040" t="s">
        <v>3463</v>
      </c>
      <c r="H2193" s="273" t="s">
        <v>3462</v>
      </c>
      <c r="I2193" s="720">
        <f t="shared" si="480"/>
        <v>206.71</v>
      </c>
      <c r="J2193" s="756">
        <v>826.84</v>
      </c>
      <c r="K2193" s="131">
        <f t="shared" si="478"/>
        <v>826.84</v>
      </c>
      <c r="L2193" s="335">
        <f t="shared" si="481"/>
        <v>0</v>
      </c>
      <c r="M2193" s="446"/>
      <c r="N2193" s="446"/>
      <c r="O2193" s="446"/>
      <c r="P2193" s="446"/>
      <c r="Q2193" s="110">
        <f t="shared" si="485"/>
        <v>1</v>
      </c>
      <c r="R2193" s="111">
        <f t="shared" si="486"/>
        <v>206.71</v>
      </c>
      <c r="S2193" s="110"/>
      <c r="T2193" s="110"/>
      <c r="U2193" s="110">
        <f t="shared" si="487"/>
        <v>1</v>
      </c>
      <c r="V2193" s="111">
        <f t="shared" si="488"/>
        <v>206.71</v>
      </c>
      <c r="W2193" s="110"/>
      <c r="X2193" s="110"/>
      <c r="Y2193" s="110"/>
      <c r="Z2193" s="110"/>
      <c r="AA2193" s="110">
        <f t="shared" si="489"/>
        <v>1</v>
      </c>
      <c r="AB2193" s="111">
        <f t="shared" si="490"/>
        <v>206.71</v>
      </c>
      <c r="AC2193" s="110"/>
      <c r="AD2193" s="110"/>
      <c r="AE2193" s="110">
        <f t="shared" si="489"/>
        <v>1</v>
      </c>
      <c r="AF2193" s="111">
        <f t="shared" si="491"/>
        <v>206.71</v>
      </c>
      <c r="AG2193" s="110"/>
      <c r="AH2193" s="110"/>
      <c r="AI2193" s="110"/>
      <c r="AJ2193" s="110"/>
      <c r="AK2193" s="111">
        <f t="shared" si="482"/>
        <v>826.84</v>
      </c>
      <c r="AL2193" s="446">
        <f t="shared" si="483"/>
        <v>0</v>
      </c>
      <c r="AM2193" s="110">
        <f t="shared" si="484"/>
        <v>4</v>
      </c>
      <c r="AN2193" s="447">
        <f t="shared" si="479"/>
        <v>0</v>
      </c>
      <c r="AO2193"/>
      <c r="AP2193"/>
    </row>
    <row r="2194" spans="1:42" ht="66" x14ac:dyDescent="0.25">
      <c r="A2194" s="1025"/>
      <c r="B2194" s="555" t="s">
        <v>2107</v>
      </c>
      <c r="C2194" s="52"/>
      <c r="D2194" s="913">
        <v>2</v>
      </c>
      <c r="E2194" s="1027" t="s">
        <v>1725</v>
      </c>
      <c r="F2194" s="278" t="s">
        <v>3446</v>
      </c>
      <c r="G2194" s="1040" t="s">
        <v>3463</v>
      </c>
      <c r="H2194" s="273" t="s">
        <v>3462</v>
      </c>
      <c r="I2194" s="720">
        <f t="shared" si="480"/>
        <v>750</v>
      </c>
      <c r="J2194" s="756">
        <v>1500</v>
      </c>
      <c r="K2194" s="131">
        <f t="shared" si="478"/>
        <v>1500</v>
      </c>
      <c r="L2194" s="335">
        <f t="shared" si="481"/>
        <v>0</v>
      </c>
      <c r="M2194" s="446"/>
      <c r="N2194" s="446"/>
      <c r="O2194" s="446"/>
      <c r="P2194" s="446"/>
      <c r="Q2194" s="130">
        <v>2</v>
      </c>
      <c r="R2194" s="111">
        <v>1500</v>
      </c>
      <c r="S2194" s="110"/>
      <c r="T2194" s="110"/>
      <c r="U2194" s="130">
        <v>0</v>
      </c>
      <c r="V2194" s="111">
        <v>0</v>
      </c>
      <c r="W2194" s="110"/>
      <c r="X2194" s="110"/>
      <c r="Y2194" s="110"/>
      <c r="Z2194" s="110"/>
      <c r="AA2194" s="130">
        <v>0</v>
      </c>
      <c r="AB2194" s="111">
        <v>0</v>
      </c>
      <c r="AC2194" s="110"/>
      <c r="AD2194" s="110"/>
      <c r="AE2194" s="130">
        <v>0</v>
      </c>
      <c r="AF2194" s="111">
        <v>0</v>
      </c>
      <c r="AG2194" s="110"/>
      <c r="AH2194" s="110"/>
      <c r="AI2194" s="110"/>
      <c r="AJ2194" s="110"/>
      <c r="AK2194" s="111">
        <f t="shared" si="482"/>
        <v>1500</v>
      </c>
      <c r="AL2194" s="446">
        <f t="shared" si="483"/>
        <v>0</v>
      </c>
      <c r="AM2194" s="110">
        <f t="shared" si="484"/>
        <v>2</v>
      </c>
      <c r="AN2194" s="447">
        <f t="shared" si="479"/>
        <v>0</v>
      </c>
      <c r="AO2194"/>
      <c r="AP2194"/>
    </row>
    <row r="2195" spans="1:42" ht="66" x14ac:dyDescent="0.25">
      <c r="A2195" s="162"/>
      <c r="B2195" s="76" t="s">
        <v>1217</v>
      </c>
      <c r="C2195" s="52"/>
      <c r="D2195" s="880">
        <v>40</v>
      </c>
      <c r="E2195" s="1025" t="s">
        <v>1723</v>
      </c>
      <c r="F2195" s="278" t="s">
        <v>3446</v>
      </c>
      <c r="G2195" s="1040" t="s">
        <v>3463</v>
      </c>
      <c r="H2195" s="273" t="s">
        <v>3462</v>
      </c>
      <c r="I2195" s="720">
        <f t="shared" si="480"/>
        <v>41.342399999999998</v>
      </c>
      <c r="J2195" s="760">
        <v>1653.6959999999999</v>
      </c>
      <c r="K2195" s="131">
        <f t="shared" si="478"/>
        <v>1653.6959999999999</v>
      </c>
      <c r="L2195" s="335">
        <f t="shared" si="481"/>
        <v>0</v>
      </c>
      <c r="M2195" s="446"/>
      <c r="N2195" s="446"/>
      <c r="O2195" s="446"/>
      <c r="P2195" s="446"/>
      <c r="Q2195" s="110">
        <f t="shared" si="485"/>
        <v>10</v>
      </c>
      <c r="R2195" s="111">
        <f t="shared" si="486"/>
        <v>413.42399999999998</v>
      </c>
      <c r="S2195" s="110"/>
      <c r="T2195" s="110"/>
      <c r="U2195" s="110">
        <f t="shared" si="487"/>
        <v>10</v>
      </c>
      <c r="V2195" s="111">
        <f t="shared" si="488"/>
        <v>413.42399999999998</v>
      </c>
      <c r="W2195" s="110"/>
      <c r="X2195" s="110"/>
      <c r="Y2195" s="110"/>
      <c r="Z2195" s="110"/>
      <c r="AA2195" s="110">
        <f t="shared" si="489"/>
        <v>10</v>
      </c>
      <c r="AB2195" s="111">
        <f t="shared" si="490"/>
        <v>413.42399999999998</v>
      </c>
      <c r="AC2195" s="110"/>
      <c r="AD2195" s="110"/>
      <c r="AE2195" s="110">
        <f t="shared" si="489"/>
        <v>10</v>
      </c>
      <c r="AF2195" s="111">
        <f t="shared" si="491"/>
        <v>413.42399999999998</v>
      </c>
      <c r="AG2195" s="110"/>
      <c r="AH2195" s="110"/>
      <c r="AI2195" s="110"/>
      <c r="AJ2195" s="110"/>
      <c r="AK2195" s="111">
        <f t="shared" si="482"/>
        <v>1653.6959999999999</v>
      </c>
      <c r="AL2195" s="446">
        <f t="shared" si="483"/>
        <v>0</v>
      </c>
      <c r="AM2195" s="110">
        <f t="shared" si="484"/>
        <v>40</v>
      </c>
      <c r="AN2195" s="447">
        <f t="shared" si="479"/>
        <v>0</v>
      </c>
      <c r="AO2195"/>
      <c r="AP2195"/>
    </row>
    <row r="2196" spans="1:42" ht="66" x14ac:dyDescent="0.25">
      <c r="A2196" s="162"/>
      <c r="B2196" s="76" t="s">
        <v>580</v>
      </c>
      <c r="C2196" s="52"/>
      <c r="D2196" s="880">
        <v>10</v>
      </c>
      <c r="E2196" s="1025" t="s">
        <v>1723</v>
      </c>
      <c r="F2196" s="278" t="s">
        <v>3446</v>
      </c>
      <c r="G2196" s="1040" t="s">
        <v>3463</v>
      </c>
      <c r="H2196" s="273" t="s">
        <v>3462</v>
      </c>
      <c r="I2196" s="720">
        <f t="shared" si="480"/>
        <v>241.16399999999999</v>
      </c>
      <c r="J2196" s="760">
        <v>2411.64</v>
      </c>
      <c r="K2196" s="131">
        <f t="shared" si="478"/>
        <v>2411.64</v>
      </c>
      <c r="L2196" s="335">
        <f t="shared" si="481"/>
        <v>0</v>
      </c>
      <c r="M2196" s="446"/>
      <c r="N2196" s="446"/>
      <c r="O2196" s="446"/>
      <c r="P2196" s="446"/>
      <c r="Q2196" s="130">
        <v>3</v>
      </c>
      <c r="R2196" s="111">
        <f t="shared" si="486"/>
        <v>602.91</v>
      </c>
      <c r="S2196" s="110"/>
      <c r="T2196" s="110"/>
      <c r="U2196" s="130">
        <v>3</v>
      </c>
      <c r="V2196" s="111">
        <f t="shared" si="488"/>
        <v>602.91</v>
      </c>
      <c r="W2196" s="110"/>
      <c r="X2196" s="110"/>
      <c r="Y2196" s="110"/>
      <c r="Z2196" s="110"/>
      <c r="AA2196" s="130">
        <v>2</v>
      </c>
      <c r="AB2196" s="111">
        <f t="shared" si="490"/>
        <v>602.91</v>
      </c>
      <c r="AC2196" s="110"/>
      <c r="AD2196" s="110"/>
      <c r="AE2196" s="130">
        <v>2</v>
      </c>
      <c r="AF2196" s="111">
        <f t="shared" si="491"/>
        <v>602.91</v>
      </c>
      <c r="AG2196" s="110"/>
      <c r="AH2196" s="110"/>
      <c r="AI2196" s="110"/>
      <c r="AJ2196" s="110"/>
      <c r="AK2196" s="111">
        <f t="shared" si="482"/>
        <v>2411.64</v>
      </c>
      <c r="AL2196" s="446">
        <f t="shared" si="483"/>
        <v>0</v>
      </c>
      <c r="AM2196" s="110">
        <f t="shared" si="484"/>
        <v>10</v>
      </c>
      <c r="AN2196" s="447">
        <f t="shared" si="479"/>
        <v>0</v>
      </c>
      <c r="AO2196"/>
      <c r="AP2196"/>
    </row>
    <row r="2197" spans="1:42" ht="66" x14ac:dyDescent="0.25">
      <c r="A2197" s="162"/>
      <c r="B2197" s="76" t="s">
        <v>1214</v>
      </c>
      <c r="C2197" s="52"/>
      <c r="D2197" s="880">
        <v>10</v>
      </c>
      <c r="E2197" s="1025" t="s">
        <v>1723</v>
      </c>
      <c r="F2197" s="278" t="s">
        <v>3446</v>
      </c>
      <c r="G2197" s="1040" t="s">
        <v>3463</v>
      </c>
      <c r="H2197" s="273" t="s">
        <v>3462</v>
      </c>
      <c r="I2197" s="720">
        <f t="shared" si="480"/>
        <v>165.36959999999999</v>
      </c>
      <c r="J2197" s="760">
        <v>1653.6959999999999</v>
      </c>
      <c r="K2197" s="131">
        <f t="shared" si="478"/>
        <v>1653.6959999999999</v>
      </c>
      <c r="L2197" s="335">
        <f t="shared" si="481"/>
        <v>0</v>
      </c>
      <c r="M2197" s="446"/>
      <c r="N2197" s="446"/>
      <c r="O2197" s="446"/>
      <c r="P2197" s="446"/>
      <c r="Q2197" s="130">
        <v>3</v>
      </c>
      <c r="R2197" s="111">
        <f t="shared" si="486"/>
        <v>413.42399999999998</v>
      </c>
      <c r="S2197" s="110"/>
      <c r="T2197" s="110"/>
      <c r="U2197" s="130">
        <v>3</v>
      </c>
      <c r="V2197" s="111">
        <f t="shared" si="488"/>
        <v>413.42399999999998</v>
      </c>
      <c r="W2197" s="110"/>
      <c r="X2197" s="110"/>
      <c r="Y2197" s="110"/>
      <c r="Z2197" s="110"/>
      <c r="AA2197" s="130">
        <v>2</v>
      </c>
      <c r="AB2197" s="111">
        <f t="shared" si="490"/>
        <v>413.42399999999998</v>
      </c>
      <c r="AC2197" s="110"/>
      <c r="AD2197" s="110"/>
      <c r="AE2197" s="130">
        <v>2</v>
      </c>
      <c r="AF2197" s="111">
        <f t="shared" si="491"/>
        <v>413.42399999999998</v>
      </c>
      <c r="AG2197" s="110"/>
      <c r="AH2197" s="110"/>
      <c r="AI2197" s="110"/>
      <c r="AJ2197" s="110"/>
      <c r="AK2197" s="111">
        <f t="shared" si="482"/>
        <v>1653.6959999999999</v>
      </c>
      <c r="AL2197" s="446">
        <f t="shared" si="483"/>
        <v>0</v>
      </c>
      <c r="AM2197" s="110">
        <f t="shared" si="484"/>
        <v>10</v>
      </c>
      <c r="AN2197" s="447">
        <f t="shared" si="479"/>
        <v>0</v>
      </c>
      <c r="AO2197"/>
      <c r="AP2197"/>
    </row>
    <row r="2198" spans="1:42" ht="66" x14ac:dyDescent="0.25">
      <c r="A2198" s="162"/>
      <c r="B2198" s="76" t="s">
        <v>2733</v>
      </c>
      <c r="C2198" s="52"/>
      <c r="D2198" s="880">
        <v>10</v>
      </c>
      <c r="E2198" s="1025" t="s">
        <v>1723</v>
      </c>
      <c r="F2198" s="278" t="s">
        <v>3446</v>
      </c>
      <c r="G2198" s="1040" t="s">
        <v>3463</v>
      </c>
      <c r="H2198" s="273" t="s">
        <v>3462</v>
      </c>
      <c r="I2198" s="720">
        <f t="shared" si="480"/>
        <v>264.47999999999996</v>
      </c>
      <c r="J2198" s="760">
        <v>2644.7999999999997</v>
      </c>
      <c r="K2198" s="131">
        <f t="shared" si="478"/>
        <v>2644.7999999999997</v>
      </c>
      <c r="L2198" s="335">
        <f t="shared" si="481"/>
        <v>0</v>
      </c>
      <c r="M2198" s="446"/>
      <c r="N2198" s="446"/>
      <c r="O2198" s="446"/>
      <c r="P2198" s="446"/>
      <c r="Q2198" s="130">
        <v>3</v>
      </c>
      <c r="R2198" s="111">
        <f t="shared" si="486"/>
        <v>661.19999999999993</v>
      </c>
      <c r="S2198" s="110"/>
      <c r="T2198" s="110"/>
      <c r="U2198" s="130">
        <v>3</v>
      </c>
      <c r="V2198" s="111">
        <f t="shared" si="488"/>
        <v>661.19999999999993</v>
      </c>
      <c r="W2198" s="110"/>
      <c r="X2198" s="110"/>
      <c r="Y2198" s="110"/>
      <c r="Z2198" s="110"/>
      <c r="AA2198" s="130">
        <v>2</v>
      </c>
      <c r="AB2198" s="111">
        <f t="shared" si="490"/>
        <v>661.19999999999993</v>
      </c>
      <c r="AC2198" s="110"/>
      <c r="AD2198" s="110"/>
      <c r="AE2198" s="130">
        <v>2</v>
      </c>
      <c r="AF2198" s="111">
        <f t="shared" si="491"/>
        <v>661.19999999999993</v>
      </c>
      <c r="AG2198" s="110"/>
      <c r="AH2198" s="110"/>
      <c r="AI2198" s="110"/>
      <c r="AJ2198" s="110"/>
      <c r="AK2198" s="111">
        <f t="shared" si="482"/>
        <v>2644.7999999999997</v>
      </c>
      <c r="AL2198" s="446">
        <f t="shared" si="483"/>
        <v>0</v>
      </c>
      <c r="AM2198" s="110">
        <f t="shared" si="484"/>
        <v>10</v>
      </c>
      <c r="AN2198" s="447">
        <f t="shared" si="479"/>
        <v>0</v>
      </c>
      <c r="AO2198"/>
      <c r="AP2198"/>
    </row>
    <row r="2199" spans="1:42" ht="66" x14ac:dyDescent="0.25">
      <c r="A2199" s="162"/>
      <c r="B2199" s="528" t="s">
        <v>2965</v>
      </c>
      <c r="C2199" s="52"/>
      <c r="D2199" s="882">
        <v>1</v>
      </c>
      <c r="E2199" s="251" t="s">
        <v>1767</v>
      </c>
      <c r="F2199" s="278" t="s">
        <v>3446</v>
      </c>
      <c r="G2199" s="1040" t="s">
        <v>3463</v>
      </c>
      <c r="H2199" s="273" t="s">
        <v>3462</v>
      </c>
      <c r="I2199" s="720">
        <f t="shared" si="480"/>
        <v>972.00000000000011</v>
      </c>
      <c r="J2199" s="760">
        <v>972.00000000000011</v>
      </c>
      <c r="K2199" s="131">
        <f t="shared" si="478"/>
        <v>972.00000000000011</v>
      </c>
      <c r="L2199" s="335">
        <f t="shared" si="481"/>
        <v>0</v>
      </c>
      <c r="M2199" s="446"/>
      <c r="N2199" s="446"/>
      <c r="O2199" s="446"/>
      <c r="P2199" s="446"/>
      <c r="Q2199" s="110">
        <v>1</v>
      </c>
      <c r="R2199" s="111">
        <v>972</v>
      </c>
      <c r="S2199" s="110"/>
      <c r="T2199" s="110"/>
      <c r="U2199" s="110">
        <v>0</v>
      </c>
      <c r="V2199" s="111">
        <v>0</v>
      </c>
      <c r="W2199" s="110"/>
      <c r="X2199" s="110"/>
      <c r="Y2199" s="110"/>
      <c r="Z2199" s="110"/>
      <c r="AA2199" s="110">
        <v>0</v>
      </c>
      <c r="AB2199" s="111">
        <v>0</v>
      </c>
      <c r="AC2199" s="110"/>
      <c r="AD2199" s="110"/>
      <c r="AE2199" s="110">
        <v>0</v>
      </c>
      <c r="AF2199" s="111">
        <v>0</v>
      </c>
      <c r="AG2199" s="110"/>
      <c r="AH2199" s="110"/>
      <c r="AI2199" s="110"/>
      <c r="AJ2199" s="110"/>
      <c r="AK2199" s="111">
        <f t="shared" si="482"/>
        <v>972</v>
      </c>
      <c r="AL2199" s="446">
        <f t="shared" si="483"/>
        <v>0</v>
      </c>
      <c r="AM2199" s="110">
        <f t="shared" si="484"/>
        <v>1</v>
      </c>
      <c r="AN2199" s="447">
        <f t="shared" si="479"/>
        <v>0</v>
      </c>
      <c r="AO2199"/>
      <c r="AP2199"/>
    </row>
    <row r="2200" spans="1:42" ht="66" x14ac:dyDescent="0.25">
      <c r="A2200" s="162"/>
      <c r="B2200" s="554" t="s">
        <v>2966</v>
      </c>
      <c r="C2200" s="52"/>
      <c r="D2200" s="882">
        <v>12</v>
      </c>
      <c r="E2200" s="251" t="s">
        <v>1767</v>
      </c>
      <c r="F2200" s="278" t="s">
        <v>3446</v>
      </c>
      <c r="G2200" s="1040" t="s">
        <v>3463</v>
      </c>
      <c r="H2200" s="273" t="s">
        <v>3462</v>
      </c>
      <c r="I2200" s="720">
        <f t="shared" si="480"/>
        <v>751.68</v>
      </c>
      <c r="J2200" s="760">
        <v>9020.16</v>
      </c>
      <c r="K2200" s="131">
        <f t="shared" si="478"/>
        <v>9020.16</v>
      </c>
      <c r="L2200" s="335">
        <f t="shared" si="481"/>
        <v>0</v>
      </c>
      <c r="M2200" s="446"/>
      <c r="N2200" s="446"/>
      <c r="O2200" s="446"/>
      <c r="P2200" s="446"/>
      <c r="Q2200" s="110">
        <f t="shared" si="485"/>
        <v>3</v>
      </c>
      <c r="R2200" s="111">
        <f t="shared" si="486"/>
        <v>2255.04</v>
      </c>
      <c r="S2200" s="110"/>
      <c r="T2200" s="110"/>
      <c r="U2200" s="110">
        <f t="shared" si="487"/>
        <v>3</v>
      </c>
      <c r="V2200" s="111">
        <f t="shared" si="488"/>
        <v>2255.04</v>
      </c>
      <c r="W2200" s="110"/>
      <c r="X2200" s="110"/>
      <c r="Y2200" s="110"/>
      <c r="Z2200" s="110"/>
      <c r="AA2200" s="110">
        <f t="shared" si="489"/>
        <v>3</v>
      </c>
      <c r="AB2200" s="111">
        <f t="shared" si="490"/>
        <v>2255.04</v>
      </c>
      <c r="AC2200" s="110"/>
      <c r="AD2200" s="110"/>
      <c r="AE2200" s="110">
        <f t="shared" si="489"/>
        <v>3</v>
      </c>
      <c r="AF2200" s="111">
        <f t="shared" si="491"/>
        <v>2255.04</v>
      </c>
      <c r="AG2200" s="110"/>
      <c r="AH2200" s="110"/>
      <c r="AI2200" s="110"/>
      <c r="AJ2200" s="110"/>
      <c r="AK2200" s="111">
        <f t="shared" si="482"/>
        <v>9020.16</v>
      </c>
      <c r="AL2200" s="446">
        <f t="shared" si="483"/>
        <v>0</v>
      </c>
      <c r="AM2200" s="110">
        <f t="shared" si="484"/>
        <v>12</v>
      </c>
      <c r="AN2200" s="447">
        <f t="shared" si="479"/>
        <v>0</v>
      </c>
      <c r="AO2200"/>
      <c r="AP2200"/>
    </row>
    <row r="2201" spans="1:42" ht="66" x14ac:dyDescent="0.25">
      <c r="A2201" s="162"/>
      <c r="B2201" s="554" t="s">
        <v>2967</v>
      </c>
      <c r="C2201" s="52"/>
      <c r="D2201" s="882">
        <v>1</v>
      </c>
      <c r="E2201" s="251" t="s">
        <v>1767</v>
      </c>
      <c r="F2201" s="278" t="s">
        <v>3446</v>
      </c>
      <c r="G2201" s="1040" t="s">
        <v>3463</v>
      </c>
      <c r="H2201" s="273" t="s">
        <v>3462</v>
      </c>
      <c r="I2201" s="720">
        <f t="shared" si="480"/>
        <v>205.19611199999997</v>
      </c>
      <c r="J2201" s="760">
        <v>205.19611199999997</v>
      </c>
      <c r="K2201" s="131">
        <f t="shared" si="478"/>
        <v>205.19611199999997</v>
      </c>
      <c r="L2201" s="335">
        <f t="shared" si="481"/>
        <v>0</v>
      </c>
      <c r="M2201" s="446"/>
      <c r="N2201" s="446"/>
      <c r="O2201" s="446"/>
      <c r="P2201" s="446"/>
      <c r="Q2201" s="110">
        <v>1</v>
      </c>
      <c r="R2201" s="111">
        <v>205.2</v>
      </c>
      <c r="S2201" s="110"/>
      <c r="T2201" s="110"/>
      <c r="U2201" s="110">
        <v>0</v>
      </c>
      <c r="V2201" s="111">
        <v>0</v>
      </c>
      <c r="W2201" s="110"/>
      <c r="X2201" s="110"/>
      <c r="Y2201" s="110"/>
      <c r="Z2201" s="110"/>
      <c r="AA2201" s="110">
        <v>0</v>
      </c>
      <c r="AB2201" s="111">
        <v>0</v>
      </c>
      <c r="AC2201" s="110"/>
      <c r="AD2201" s="110"/>
      <c r="AE2201" s="110">
        <v>0</v>
      </c>
      <c r="AF2201" s="111">
        <v>0</v>
      </c>
      <c r="AG2201" s="110"/>
      <c r="AH2201" s="110"/>
      <c r="AI2201" s="110"/>
      <c r="AJ2201" s="110"/>
      <c r="AK2201" s="111">
        <f t="shared" si="482"/>
        <v>205.2</v>
      </c>
      <c r="AL2201" s="446">
        <f t="shared" si="483"/>
        <v>-3.8880000000176551E-3</v>
      </c>
      <c r="AM2201" s="110">
        <f t="shared" si="484"/>
        <v>1</v>
      </c>
      <c r="AN2201" s="447">
        <f t="shared" si="479"/>
        <v>0</v>
      </c>
      <c r="AO2201"/>
      <c r="AP2201"/>
    </row>
    <row r="2202" spans="1:42" ht="66" x14ac:dyDescent="0.25">
      <c r="A2202" s="162"/>
      <c r="B2202" s="554" t="s">
        <v>2968</v>
      </c>
      <c r="C2202" s="52"/>
      <c r="D2202" s="882">
        <v>1</v>
      </c>
      <c r="E2202" s="251" t="s">
        <v>1767</v>
      </c>
      <c r="F2202" s="278" t="s">
        <v>3446</v>
      </c>
      <c r="G2202" s="1040" t="s">
        <v>3463</v>
      </c>
      <c r="H2202" s="273" t="s">
        <v>3462</v>
      </c>
      <c r="I2202" s="720">
        <f t="shared" si="480"/>
        <v>112.86</v>
      </c>
      <c r="J2202" s="760">
        <v>112.86</v>
      </c>
      <c r="K2202" s="131">
        <f t="shared" ref="K2202:K2265" si="492">+D2202*I2202</f>
        <v>112.86</v>
      </c>
      <c r="L2202" s="335">
        <f t="shared" si="481"/>
        <v>0</v>
      </c>
      <c r="M2202" s="446"/>
      <c r="N2202" s="446"/>
      <c r="O2202" s="446"/>
      <c r="P2202" s="446"/>
      <c r="Q2202" s="110">
        <v>1</v>
      </c>
      <c r="R2202" s="111">
        <v>112.86</v>
      </c>
      <c r="S2202" s="110"/>
      <c r="T2202" s="110"/>
      <c r="U2202" s="110">
        <v>0</v>
      </c>
      <c r="V2202" s="111">
        <v>0</v>
      </c>
      <c r="W2202" s="110"/>
      <c r="X2202" s="110"/>
      <c r="Y2202" s="110"/>
      <c r="Z2202" s="110"/>
      <c r="AA2202" s="110">
        <v>0</v>
      </c>
      <c r="AB2202" s="111">
        <v>0</v>
      </c>
      <c r="AC2202" s="110"/>
      <c r="AD2202" s="110"/>
      <c r="AE2202" s="110">
        <v>0</v>
      </c>
      <c r="AF2202" s="111">
        <v>0</v>
      </c>
      <c r="AG2202" s="110"/>
      <c r="AH2202" s="110"/>
      <c r="AI2202" s="110"/>
      <c r="AJ2202" s="110"/>
      <c r="AK2202" s="111">
        <f t="shared" si="482"/>
        <v>112.86</v>
      </c>
      <c r="AL2202" s="446">
        <f t="shared" si="483"/>
        <v>0</v>
      </c>
      <c r="AM2202" s="110">
        <f t="shared" si="484"/>
        <v>1</v>
      </c>
      <c r="AN2202" s="447">
        <f t="shared" ref="AN2202:AN2265" si="493">+D2202-AM2202</f>
        <v>0</v>
      </c>
      <c r="AO2202"/>
      <c r="AP2202"/>
    </row>
    <row r="2203" spans="1:42" ht="66" x14ac:dyDescent="0.25">
      <c r="A2203" s="162"/>
      <c r="B2203" s="554" t="s">
        <v>2969</v>
      </c>
      <c r="C2203" s="52"/>
      <c r="D2203" s="882">
        <v>1</v>
      </c>
      <c r="E2203" s="251" t="s">
        <v>1767</v>
      </c>
      <c r="F2203" s="278" t="s">
        <v>3446</v>
      </c>
      <c r="G2203" s="1040" t="s">
        <v>3463</v>
      </c>
      <c r="H2203" s="273" t="s">
        <v>3462</v>
      </c>
      <c r="I2203" s="720">
        <f t="shared" si="480"/>
        <v>17.82</v>
      </c>
      <c r="J2203" s="760">
        <v>17.82</v>
      </c>
      <c r="K2203" s="131">
        <f t="shared" si="492"/>
        <v>17.82</v>
      </c>
      <c r="L2203" s="335">
        <f t="shared" si="481"/>
        <v>0</v>
      </c>
      <c r="M2203" s="446"/>
      <c r="N2203" s="446"/>
      <c r="O2203" s="446"/>
      <c r="P2203" s="446"/>
      <c r="Q2203" s="110">
        <v>1</v>
      </c>
      <c r="R2203" s="111">
        <v>17.82</v>
      </c>
      <c r="S2203" s="110"/>
      <c r="T2203" s="110"/>
      <c r="U2203" s="110">
        <v>0</v>
      </c>
      <c r="V2203" s="111">
        <v>0</v>
      </c>
      <c r="W2203" s="110"/>
      <c r="X2203" s="110"/>
      <c r="Y2203" s="110"/>
      <c r="Z2203" s="110"/>
      <c r="AA2203" s="110">
        <v>0</v>
      </c>
      <c r="AB2203" s="111">
        <v>0</v>
      </c>
      <c r="AC2203" s="110"/>
      <c r="AD2203" s="110"/>
      <c r="AE2203" s="110">
        <v>0</v>
      </c>
      <c r="AF2203" s="111">
        <v>0</v>
      </c>
      <c r="AG2203" s="110"/>
      <c r="AH2203" s="110"/>
      <c r="AI2203" s="110"/>
      <c r="AJ2203" s="110"/>
      <c r="AK2203" s="111">
        <f t="shared" si="482"/>
        <v>17.82</v>
      </c>
      <c r="AL2203" s="446">
        <f t="shared" si="483"/>
        <v>0</v>
      </c>
      <c r="AM2203" s="110">
        <f t="shared" si="484"/>
        <v>1</v>
      </c>
      <c r="AN2203" s="447">
        <f t="shared" si="493"/>
        <v>0</v>
      </c>
      <c r="AO2203"/>
      <c r="AP2203"/>
    </row>
    <row r="2204" spans="1:42" ht="66" x14ac:dyDescent="0.25">
      <c r="A2204" s="162"/>
      <c r="B2204" s="554" t="s">
        <v>2970</v>
      </c>
      <c r="C2204" s="52"/>
      <c r="D2204" s="882">
        <v>1</v>
      </c>
      <c r="E2204" s="251" t="s">
        <v>1767</v>
      </c>
      <c r="F2204" s="278" t="s">
        <v>3446</v>
      </c>
      <c r="G2204" s="1040" t="s">
        <v>3463</v>
      </c>
      <c r="H2204" s="273" t="s">
        <v>3462</v>
      </c>
      <c r="I2204" s="720">
        <f t="shared" si="480"/>
        <v>35.65</v>
      </c>
      <c r="J2204" s="760">
        <v>35.65</v>
      </c>
      <c r="K2204" s="131">
        <f t="shared" si="492"/>
        <v>35.65</v>
      </c>
      <c r="L2204" s="335">
        <f t="shared" si="481"/>
        <v>0</v>
      </c>
      <c r="M2204" s="446"/>
      <c r="N2204" s="446"/>
      <c r="O2204" s="446"/>
      <c r="P2204" s="446"/>
      <c r="Q2204" s="110">
        <v>1</v>
      </c>
      <c r="R2204" s="111">
        <v>35.65</v>
      </c>
      <c r="S2204" s="110"/>
      <c r="T2204" s="110"/>
      <c r="U2204" s="110">
        <v>0</v>
      </c>
      <c r="V2204" s="111">
        <v>0</v>
      </c>
      <c r="W2204" s="110"/>
      <c r="X2204" s="110"/>
      <c r="Y2204" s="110"/>
      <c r="Z2204" s="110"/>
      <c r="AA2204" s="110">
        <v>0</v>
      </c>
      <c r="AB2204" s="111">
        <v>0</v>
      </c>
      <c r="AC2204" s="110"/>
      <c r="AD2204" s="110"/>
      <c r="AE2204" s="110">
        <v>0</v>
      </c>
      <c r="AF2204" s="111">
        <v>0</v>
      </c>
      <c r="AG2204" s="110"/>
      <c r="AH2204" s="110"/>
      <c r="AI2204" s="110"/>
      <c r="AJ2204" s="110"/>
      <c r="AK2204" s="111">
        <f t="shared" si="482"/>
        <v>35.65</v>
      </c>
      <c r="AL2204" s="446">
        <f t="shared" si="483"/>
        <v>0</v>
      </c>
      <c r="AM2204" s="110">
        <f t="shared" si="484"/>
        <v>1</v>
      </c>
      <c r="AN2204" s="447">
        <f t="shared" si="493"/>
        <v>0</v>
      </c>
      <c r="AO2204"/>
      <c r="AP2204"/>
    </row>
    <row r="2205" spans="1:42" ht="66" x14ac:dyDescent="0.25">
      <c r="A2205" s="162"/>
      <c r="B2205" s="554" t="s">
        <v>2971</v>
      </c>
      <c r="C2205" s="52"/>
      <c r="D2205" s="882">
        <v>1</v>
      </c>
      <c r="E2205" s="251" t="s">
        <v>1767</v>
      </c>
      <c r="F2205" s="278" t="s">
        <v>3446</v>
      </c>
      <c r="G2205" s="1040" t="s">
        <v>3463</v>
      </c>
      <c r="H2205" s="273" t="s">
        <v>3462</v>
      </c>
      <c r="I2205" s="720">
        <f t="shared" ref="I2205:I2214" si="494">+J2205/D2205</f>
        <v>85.315679999999986</v>
      </c>
      <c r="J2205" s="760">
        <v>85.315679999999986</v>
      </c>
      <c r="K2205" s="131">
        <f t="shared" si="492"/>
        <v>85.315679999999986</v>
      </c>
      <c r="L2205" s="335">
        <f t="shared" si="481"/>
        <v>0</v>
      </c>
      <c r="M2205" s="446"/>
      <c r="N2205" s="446"/>
      <c r="O2205" s="446"/>
      <c r="P2205" s="446"/>
      <c r="Q2205" s="110">
        <v>1</v>
      </c>
      <c r="R2205" s="111">
        <v>85.32</v>
      </c>
      <c r="S2205" s="110"/>
      <c r="T2205" s="110"/>
      <c r="U2205" s="110">
        <v>0</v>
      </c>
      <c r="V2205" s="111">
        <v>0</v>
      </c>
      <c r="W2205" s="110"/>
      <c r="X2205" s="110"/>
      <c r="Y2205" s="110"/>
      <c r="Z2205" s="110"/>
      <c r="AA2205" s="110">
        <v>0</v>
      </c>
      <c r="AB2205" s="111">
        <v>0</v>
      </c>
      <c r="AC2205" s="110"/>
      <c r="AD2205" s="110"/>
      <c r="AE2205" s="110">
        <v>0</v>
      </c>
      <c r="AF2205" s="111">
        <v>0</v>
      </c>
      <c r="AG2205" s="110"/>
      <c r="AH2205" s="110"/>
      <c r="AI2205" s="110"/>
      <c r="AJ2205" s="110"/>
      <c r="AK2205" s="111">
        <f t="shared" si="482"/>
        <v>85.32</v>
      </c>
      <c r="AL2205" s="446">
        <f t="shared" si="483"/>
        <v>-4.3200000000069849E-3</v>
      </c>
      <c r="AM2205" s="110">
        <f t="shared" si="484"/>
        <v>1</v>
      </c>
      <c r="AN2205" s="447">
        <f t="shared" si="493"/>
        <v>0</v>
      </c>
      <c r="AO2205"/>
      <c r="AP2205"/>
    </row>
    <row r="2206" spans="1:42" ht="66" x14ac:dyDescent="0.25">
      <c r="A2206" s="162"/>
      <c r="B2206" s="554" t="s">
        <v>2972</v>
      </c>
      <c r="C2206" s="52"/>
      <c r="D2206" s="882">
        <v>1</v>
      </c>
      <c r="E2206" s="251" t="s">
        <v>1767</v>
      </c>
      <c r="F2206" s="278" t="s">
        <v>3446</v>
      </c>
      <c r="G2206" s="1040" t="s">
        <v>3463</v>
      </c>
      <c r="H2206" s="273" t="s">
        <v>3462</v>
      </c>
      <c r="I2206" s="720">
        <f t="shared" si="494"/>
        <v>1511.991792</v>
      </c>
      <c r="J2206" s="760">
        <v>1511.991792</v>
      </c>
      <c r="K2206" s="131">
        <f t="shared" si="492"/>
        <v>1511.991792</v>
      </c>
      <c r="L2206" s="335">
        <f t="shared" si="481"/>
        <v>0</v>
      </c>
      <c r="M2206" s="446"/>
      <c r="N2206" s="446"/>
      <c r="O2206" s="446"/>
      <c r="P2206" s="446"/>
      <c r="Q2206" s="110">
        <v>1</v>
      </c>
      <c r="R2206" s="111">
        <v>1511.99</v>
      </c>
      <c r="S2206" s="110"/>
      <c r="T2206" s="110"/>
      <c r="U2206" s="110">
        <v>0</v>
      </c>
      <c r="V2206" s="111">
        <v>0</v>
      </c>
      <c r="W2206" s="110"/>
      <c r="X2206" s="110"/>
      <c r="Y2206" s="110"/>
      <c r="Z2206" s="110"/>
      <c r="AA2206" s="110">
        <v>0</v>
      </c>
      <c r="AB2206" s="111">
        <v>0</v>
      </c>
      <c r="AC2206" s="110"/>
      <c r="AD2206" s="110"/>
      <c r="AE2206" s="110">
        <v>0</v>
      </c>
      <c r="AF2206" s="111">
        <v>0</v>
      </c>
      <c r="AG2206" s="110"/>
      <c r="AH2206" s="110"/>
      <c r="AI2206" s="110"/>
      <c r="AJ2206" s="110"/>
      <c r="AK2206" s="111">
        <f t="shared" si="482"/>
        <v>1511.99</v>
      </c>
      <c r="AL2206" s="446">
        <f t="shared" si="483"/>
        <v>1.7920000000231084E-3</v>
      </c>
      <c r="AM2206" s="110">
        <f t="shared" si="484"/>
        <v>1</v>
      </c>
      <c r="AN2206" s="447">
        <f t="shared" si="493"/>
        <v>0</v>
      </c>
      <c r="AO2206"/>
      <c r="AP2206"/>
    </row>
    <row r="2207" spans="1:42" ht="66" x14ac:dyDescent="0.25">
      <c r="A2207" s="162"/>
      <c r="B2207" s="554" t="s">
        <v>2973</v>
      </c>
      <c r="C2207" s="52"/>
      <c r="D2207" s="882">
        <v>10</v>
      </c>
      <c r="E2207" s="251" t="s">
        <v>1723</v>
      </c>
      <c r="F2207" s="278" t="s">
        <v>3446</v>
      </c>
      <c r="G2207" s="1040" t="s">
        <v>3463</v>
      </c>
      <c r="H2207" s="273" t="s">
        <v>3462</v>
      </c>
      <c r="I2207" s="720">
        <f t="shared" si="494"/>
        <v>1050</v>
      </c>
      <c r="J2207" s="760">
        <v>10500</v>
      </c>
      <c r="K2207" s="131">
        <f t="shared" si="492"/>
        <v>10500</v>
      </c>
      <c r="L2207" s="335">
        <f t="shared" si="481"/>
        <v>0</v>
      </c>
      <c r="M2207" s="446"/>
      <c r="N2207" s="446"/>
      <c r="O2207" s="446"/>
      <c r="P2207" s="446"/>
      <c r="Q2207" s="130">
        <v>3</v>
      </c>
      <c r="R2207" s="111">
        <f t="shared" si="486"/>
        <v>2625</v>
      </c>
      <c r="S2207" s="110"/>
      <c r="T2207" s="110"/>
      <c r="U2207" s="130">
        <v>3</v>
      </c>
      <c r="V2207" s="111">
        <f t="shared" si="488"/>
        <v>2625</v>
      </c>
      <c r="W2207" s="110"/>
      <c r="X2207" s="110"/>
      <c r="Y2207" s="110"/>
      <c r="Z2207" s="110"/>
      <c r="AA2207" s="130">
        <v>2</v>
      </c>
      <c r="AB2207" s="111">
        <f t="shared" si="490"/>
        <v>2625</v>
      </c>
      <c r="AC2207" s="110"/>
      <c r="AD2207" s="110"/>
      <c r="AE2207" s="130">
        <v>2</v>
      </c>
      <c r="AF2207" s="111">
        <f t="shared" si="491"/>
        <v>2625</v>
      </c>
      <c r="AG2207" s="110"/>
      <c r="AH2207" s="110"/>
      <c r="AI2207" s="110"/>
      <c r="AJ2207" s="110"/>
      <c r="AK2207" s="111">
        <f t="shared" si="482"/>
        <v>10500</v>
      </c>
      <c r="AL2207" s="446">
        <f t="shared" si="483"/>
        <v>0</v>
      </c>
      <c r="AM2207" s="110">
        <f t="shared" si="484"/>
        <v>10</v>
      </c>
      <c r="AN2207" s="447">
        <f t="shared" si="493"/>
        <v>0</v>
      </c>
      <c r="AO2207"/>
      <c r="AP2207"/>
    </row>
    <row r="2208" spans="1:42" ht="66" x14ac:dyDescent="0.25">
      <c r="A2208" s="162"/>
      <c r="B2208" s="528" t="s">
        <v>2974</v>
      </c>
      <c r="C2208" s="52"/>
      <c r="D2208" s="882">
        <v>1</v>
      </c>
      <c r="E2208" s="251" t="s">
        <v>1767</v>
      </c>
      <c r="F2208" s="278" t="s">
        <v>3446</v>
      </c>
      <c r="G2208" s="1040" t="s">
        <v>3463</v>
      </c>
      <c r="H2208" s="273" t="s">
        <v>3462</v>
      </c>
      <c r="I2208" s="720">
        <f t="shared" si="494"/>
        <v>212.976</v>
      </c>
      <c r="J2208" s="760">
        <v>212.976</v>
      </c>
      <c r="K2208" s="131">
        <f t="shared" si="492"/>
        <v>212.976</v>
      </c>
      <c r="L2208" s="335">
        <f t="shared" si="481"/>
        <v>0</v>
      </c>
      <c r="M2208" s="446"/>
      <c r="N2208" s="446"/>
      <c r="O2208" s="446"/>
      <c r="P2208" s="446"/>
      <c r="Q2208" s="110">
        <v>1</v>
      </c>
      <c r="R2208" s="111">
        <v>212.98</v>
      </c>
      <c r="S2208" s="110"/>
      <c r="T2208" s="110"/>
      <c r="U2208" s="110">
        <v>0</v>
      </c>
      <c r="V2208" s="111">
        <v>0</v>
      </c>
      <c r="W2208" s="110"/>
      <c r="X2208" s="110"/>
      <c r="Y2208" s="110"/>
      <c r="Z2208" s="110"/>
      <c r="AA2208" s="110">
        <v>0</v>
      </c>
      <c r="AB2208" s="111">
        <v>0</v>
      </c>
      <c r="AC2208" s="110"/>
      <c r="AD2208" s="110"/>
      <c r="AE2208" s="110">
        <v>0</v>
      </c>
      <c r="AF2208" s="111">
        <v>0</v>
      </c>
      <c r="AG2208" s="110"/>
      <c r="AH2208" s="110"/>
      <c r="AI2208" s="110"/>
      <c r="AJ2208" s="110"/>
      <c r="AK2208" s="111">
        <f t="shared" si="482"/>
        <v>212.98</v>
      </c>
      <c r="AL2208" s="446">
        <f t="shared" si="483"/>
        <v>-3.9999999999906777E-3</v>
      </c>
      <c r="AM2208" s="110">
        <f t="shared" si="484"/>
        <v>1</v>
      </c>
      <c r="AN2208" s="447">
        <f t="shared" si="493"/>
        <v>0</v>
      </c>
      <c r="AO2208"/>
      <c r="AP2208"/>
    </row>
    <row r="2209" spans="1:42" ht="66" x14ac:dyDescent="0.25">
      <c r="A2209" s="162"/>
      <c r="B2209" s="528" t="s">
        <v>2975</v>
      </c>
      <c r="C2209" s="52"/>
      <c r="D2209" s="882">
        <v>1</v>
      </c>
      <c r="E2209" s="251" t="s">
        <v>1767</v>
      </c>
      <c r="F2209" s="278" t="s">
        <v>3446</v>
      </c>
      <c r="G2209" s="1040" t="s">
        <v>3463</v>
      </c>
      <c r="H2209" s="273" t="s">
        <v>3462</v>
      </c>
      <c r="I2209" s="720">
        <f t="shared" si="494"/>
        <v>213</v>
      </c>
      <c r="J2209" s="760">
        <v>213</v>
      </c>
      <c r="K2209" s="131">
        <f t="shared" si="492"/>
        <v>213</v>
      </c>
      <c r="L2209" s="335">
        <f t="shared" si="481"/>
        <v>0</v>
      </c>
      <c r="M2209" s="446"/>
      <c r="N2209" s="446"/>
      <c r="O2209" s="446"/>
      <c r="P2209" s="446"/>
      <c r="Q2209" s="110">
        <v>1</v>
      </c>
      <c r="R2209" s="111">
        <v>213</v>
      </c>
      <c r="S2209" s="110"/>
      <c r="T2209" s="110"/>
      <c r="U2209" s="110">
        <v>0</v>
      </c>
      <c r="V2209" s="111">
        <v>0</v>
      </c>
      <c r="W2209" s="110"/>
      <c r="X2209" s="110"/>
      <c r="Y2209" s="110"/>
      <c r="Z2209" s="110"/>
      <c r="AA2209" s="110">
        <v>0</v>
      </c>
      <c r="AB2209" s="111">
        <v>0</v>
      </c>
      <c r="AC2209" s="110"/>
      <c r="AD2209" s="110"/>
      <c r="AE2209" s="110">
        <v>0</v>
      </c>
      <c r="AF2209" s="111">
        <v>0</v>
      </c>
      <c r="AG2209" s="110"/>
      <c r="AH2209" s="110"/>
      <c r="AI2209" s="110"/>
      <c r="AJ2209" s="110"/>
      <c r="AK2209" s="111">
        <f t="shared" si="482"/>
        <v>213</v>
      </c>
      <c r="AL2209" s="446">
        <f t="shared" si="483"/>
        <v>0</v>
      </c>
      <c r="AM2209" s="110">
        <f t="shared" si="484"/>
        <v>1</v>
      </c>
      <c r="AN2209" s="447">
        <f t="shared" si="493"/>
        <v>0</v>
      </c>
      <c r="AO2209"/>
      <c r="AP2209"/>
    </row>
    <row r="2210" spans="1:42" ht="66" x14ac:dyDescent="0.25">
      <c r="A2210" s="162"/>
      <c r="B2210" s="528" t="s">
        <v>2976</v>
      </c>
      <c r="C2210" s="52"/>
      <c r="D2210" s="882">
        <v>1</v>
      </c>
      <c r="E2210" s="251" t="s">
        <v>1767</v>
      </c>
      <c r="F2210" s="278" t="s">
        <v>3446</v>
      </c>
      <c r="G2210" s="1040" t="s">
        <v>3463</v>
      </c>
      <c r="H2210" s="273" t="s">
        <v>3462</v>
      </c>
      <c r="I2210" s="720">
        <f t="shared" si="494"/>
        <v>22.678812000000001</v>
      </c>
      <c r="J2210" s="760">
        <v>22.678812000000001</v>
      </c>
      <c r="K2210" s="131">
        <f t="shared" si="492"/>
        <v>22.678812000000001</v>
      </c>
      <c r="L2210" s="335">
        <f t="shared" si="481"/>
        <v>0</v>
      </c>
      <c r="M2210" s="446"/>
      <c r="N2210" s="446"/>
      <c r="O2210" s="446"/>
      <c r="P2210" s="446"/>
      <c r="Q2210" s="110">
        <v>1</v>
      </c>
      <c r="R2210" s="111">
        <v>22.68</v>
      </c>
      <c r="S2210" s="110"/>
      <c r="T2210" s="110"/>
      <c r="U2210" s="110">
        <v>0</v>
      </c>
      <c r="V2210" s="111">
        <v>0</v>
      </c>
      <c r="W2210" s="110"/>
      <c r="X2210" s="110"/>
      <c r="Y2210" s="110"/>
      <c r="Z2210" s="110"/>
      <c r="AA2210" s="110">
        <v>0</v>
      </c>
      <c r="AB2210" s="111">
        <v>0</v>
      </c>
      <c r="AC2210" s="110"/>
      <c r="AD2210" s="110"/>
      <c r="AE2210" s="110">
        <v>0</v>
      </c>
      <c r="AF2210" s="111">
        <v>0</v>
      </c>
      <c r="AG2210" s="110"/>
      <c r="AH2210" s="110"/>
      <c r="AI2210" s="110"/>
      <c r="AJ2210" s="110"/>
      <c r="AK2210" s="111">
        <f t="shared" si="482"/>
        <v>22.68</v>
      </c>
      <c r="AL2210" s="446">
        <f t="shared" si="483"/>
        <v>-1.1879999999990787E-3</v>
      </c>
      <c r="AM2210" s="110">
        <f t="shared" si="484"/>
        <v>1</v>
      </c>
      <c r="AN2210" s="447">
        <f t="shared" si="493"/>
        <v>0</v>
      </c>
      <c r="AO2210"/>
      <c r="AP2210"/>
    </row>
    <row r="2211" spans="1:42" ht="66" x14ac:dyDescent="0.25">
      <c r="A2211" s="162"/>
      <c r="B2211" s="528" t="s">
        <v>2977</v>
      </c>
      <c r="C2211" s="52"/>
      <c r="D2211" s="882">
        <v>1</v>
      </c>
      <c r="E2211" s="251" t="s">
        <v>1772</v>
      </c>
      <c r="F2211" s="278" t="s">
        <v>3446</v>
      </c>
      <c r="G2211" s="1040" t="s">
        <v>3463</v>
      </c>
      <c r="H2211" s="273" t="s">
        <v>3462</v>
      </c>
      <c r="I2211" s="720">
        <f t="shared" si="494"/>
        <v>133.36000000000001</v>
      </c>
      <c r="J2211" s="760">
        <v>133.36000000000001</v>
      </c>
      <c r="K2211" s="131">
        <f t="shared" si="492"/>
        <v>133.36000000000001</v>
      </c>
      <c r="L2211" s="335">
        <f t="shared" si="481"/>
        <v>0</v>
      </c>
      <c r="M2211" s="446"/>
      <c r="N2211" s="446"/>
      <c r="O2211" s="446"/>
      <c r="P2211" s="446"/>
      <c r="Q2211" s="110">
        <v>1</v>
      </c>
      <c r="R2211" s="111">
        <v>133.36000000000001</v>
      </c>
      <c r="S2211" s="110"/>
      <c r="T2211" s="110"/>
      <c r="U2211" s="110">
        <v>0</v>
      </c>
      <c r="V2211" s="111">
        <v>0</v>
      </c>
      <c r="W2211" s="110"/>
      <c r="X2211" s="110"/>
      <c r="Y2211" s="110"/>
      <c r="Z2211" s="110"/>
      <c r="AA2211" s="110">
        <v>0</v>
      </c>
      <c r="AB2211" s="111">
        <v>0</v>
      </c>
      <c r="AC2211" s="110"/>
      <c r="AD2211" s="110"/>
      <c r="AE2211" s="110">
        <v>0</v>
      </c>
      <c r="AF2211" s="111">
        <v>0</v>
      </c>
      <c r="AG2211" s="110"/>
      <c r="AH2211" s="110"/>
      <c r="AI2211" s="110"/>
      <c r="AJ2211" s="110"/>
      <c r="AK2211" s="111">
        <f t="shared" si="482"/>
        <v>133.36000000000001</v>
      </c>
      <c r="AL2211" s="446">
        <f t="shared" si="483"/>
        <v>0</v>
      </c>
      <c r="AM2211" s="110">
        <f t="shared" si="484"/>
        <v>1</v>
      </c>
      <c r="AN2211" s="447">
        <f t="shared" si="493"/>
        <v>0</v>
      </c>
      <c r="AO2211"/>
      <c r="AP2211"/>
    </row>
    <row r="2212" spans="1:42" ht="66" x14ac:dyDescent="0.25">
      <c r="A2212" s="162"/>
      <c r="B2212" s="528" t="s">
        <v>2978</v>
      </c>
      <c r="C2212" s="52"/>
      <c r="D2212" s="882">
        <v>1</v>
      </c>
      <c r="E2212" s="251" t="s">
        <v>1772</v>
      </c>
      <c r="F2212" s="278" t="s">
        <v>3446</v>
      </c>
      <c r="G2212" s="1040" t="s">
        <v>3463</v>
      </c>
      <c r="H2212" s="273" t="s">
        <v>3462</v>
      </c>
      <c r="I2212" s="720">
        <f t="shared" si="494"/>
        <v>192.976</v>
      </c>
      <c r="J2212" s="760">
        <v>192.976</v>
      </c>
      <c r="K2212" s="131">
        <f t="shared" si="492"/>
        <v>192.976</v>
      </c>
      <c r="L2212" s="335">
        <f t="shared" si="481"/>
        <v>0</v>
      </c>
      <c r="M2212" s="446"/>
      <c r="N2212" s="446"/>
      <c r="O2212" s="446"/>
      <c r="P2212" s="446"/>
      <c r="Q2212" s="110">
        <v>1</v>
      </c>
      <c r="R2212" s="111">
        <v>192.98</v>
      </c>
      <c r="S2212" s="110"/>
      <c r="T2212" s="110"/>
      <c r="U2212" s="110">
        <v>0</v>
      </c>
      <c r="V2212" s="111">
        <v>0</v>
      </c>
      <c r="W2212" s="110"/>
      <c r="X2212" s="110"/>
      <c r="Y2212" s="110"/>
      <c r="Z2212" s="110"/>
      <c r="AA2212" s="110">
        <v>0</v>
      </c>
      <c r="AB2212" s="111">
        <v>0</v>
      </c>
      <c r="AC2212" s="110"/>
      <c r="AD2212" s="110"/>
      <c r="AE2212" s="110">
        <v>0</v>
      </c>
      <c r="AF2212" s="111">
        <v>0</v>
      </c>
      <c r="AG2212" s="110"/>
      <c r="AH2212" s="110"/>
      <c r="AI2212" s="110"/>
      <c r="AJ2212" s="110"/>
      <c r="AK2212" s="111">
        <f t="shared" si="482"/>
        <v>192.98</v>
      </c>
      <c r="AL2212" s="446">
        <f t="shared" si="483"/>
        <v>-3.9999999999906777E-3</v>
      </c>
      <c r="AM2212" s="110">
        <f t="shared" si="484"/>
        <v>1</v>
      </c>
      <c r="AN2212" s="447">
        <f t="shared" si="493"/>
        <v>0</v>
      </c>
      <c r="AO2212"/>
      <c r="AP2212"/>
    </row>
    <row r="2213" spans="1:42" ht="66" x14ac:dyDescent="0.25">
      <c r="A2213" s="162"/>
      <c r="B2213" s="528" t="s">
        <v>2979</v>
      </c>
      <c r="C2213" s="52"/>
      <c r="D2213" s="882">
        <v>1</v>
      </c>
      <c r="E2213" s="251" t="s">
        <v>1772</v>
      </c>
      <c r="F2213" s="278" t="s">
        <v>3446</v>
      </c>
      <c r="G2213" s="1040" t="s">
        <v>3463</v>
      </c>
      <c r="H2213" s="273" t="s">
        <v>3462</v>
      </c>
      <c r="I2213" s="720">
        <f t="shared" si="494"/>
        <v>157.43</v>
      </c>
      <c r="J2213" s="760">
        <v>157.43</v>
      </c>
      <c r="K2213" s="131">
        <f t="shared" si="492"/>
        <v>157.43</v>
      </c>
      <c r="L2213" s="335">
        <f t="shared" si="481"/>
        <v>0</v>
      </c>
      <c r="M2213" s="446"/>
      <c r="N2213" s="446"/>
      <c r="O2213" s="446"/>
      <c r="P2213" s="446"/>
      <c r="Q2213" s="110">
        <v>1</v>
      </c>
      <c r="R2213" s="111">
        <v>157.43</v>
      </c>
      <c r="S2213" s="110"/>
      <c r="T2213" s="110"/>
      <c r="U2213" s="110">
        <v>0</v>
      </c>
      <c r="V2213" s="111">
        <v>0</v>
      </c>
      <c r="W2213" s="110"/>
      <c r="X2213" s="110"/>
      <c r="Y2213" s="110"/>
      <c r="Z2213" s="110"/>
      <c r="AA2213" s="110">
        <v>0</v>
      </c>
      <c r="AB2213" s="111">
        <v>0</v>
      </c>
      <c r="AC2213" s="110"/>
      <c r="AD2213" s="110"/>
      <c r="AE2213" s="110">
        <v>0</v>
      </c>
      <c r="AF2213" s="111">
        <v>0</v>
      </c>
      <c r="AG2213" s="110"/>
      <c r="AH2213" s="110"/>
      <c r="AI2213" s="110"/>
      <c r="AJ2213" s="110"/>
      <c r="AK2213" s="111">
        <f t="shared" si="482"/>
        <v>157.43</v>
      </c>
      <c r="AL2213" s="446">
        <f t="shared" si="483"/>
        <v>0</v>
      </c>
      <c r="AM2213" s="110">
        <f t="shared" si="484"/>
        <v>1</v>
      </c>
      <c r="AN2213" s="447">
        <f t="shared" si="493"/>
        <v>0</v>
      </c>
      <c r="AO2213"/>
      <c r="AP2213"/>
    </row>
    <row r="2214" spans="1:42" ht="66" x14ac:dyDescent="0.25">
      <c r="A2214" s="162"/>
      <c r="B2214" s="528" t="s">
        <v>2980</v>
      </c>
      <c r="C2214" s="52"/>
      <c r="D2214" s="882">
        <v>1</v>
      </c>
      <c r="E2214" s="251" t="s">
        <v>1767</v>
      </c>
      <c r="F2214" s="278" t="s">
        <v>3446</v>
      </c>
      <c r="G2214" s="1040" t="s">
        <v>3463</v>
      </c>
      <c r="H2214" s="273" t="s">
        <v>3462</v>
      </c>
      <c r="I2214" s="720">
        <f t="shared" si="494"/>
        <v>95.580000000000013</v>
      </c>
      <c r="J2214" s="760">
        <v>95.580000000000013</v>
      </c>
      <c r="K2214" s="131">
        <f t="shared" si="492"/>
        <v>95.580000000000013</v>
      </c>
      <c r="L2214" s="335">
        <f t="shared" si="481"/>
        <v>0</v>
      </c>
      <c r="M2214" s="446"/>
      <c r="N2214" s="446"/>
      <c r="O2214" s="446"/>
      <c r="P2214" s="446"/>
      <c r="Q2214" s="110">
        <v>1</v>
      </c>
      <c r="R2214" s="111">
        <v>95.58</v>
      </c>
      <c r="S2214" s="110"/>
      <c r="T2214" s="110"/>
      <c r="U2214" s="110">
        <v>0</v>
      </c>
      <c r="V2214" s="111">
        <v>0</v>
      </c>
      <c r="W2214" s="110"/>
      <c r="X2214" s="110"/>
      <c r="Y2214" s="110"/>
      <c r="Z2214" s="110"/>
      <c r="AA2214" s="110">
        <v>0</v>
      </c>
      <c r="AB2214" s="111">
        <v>0</v>
      </c>
      <c r="AC2214" s="110"/>
      <c r="AD2214" s="110"/>
      <c r="AE2214" s="110">
        <v>0</v>
      </c>
      <c r="AF2214" s="111">
        <v>0</v>
      </c>
      <c r="AG2214" s="110"/>
      <c r="AH2214" s="110"/>
      <c r="AI2214" s="110"/>
      <c r="AJ2214" s="110"/>
      <c r="AK2214" s="111">
        <f t="shared" si="482"/>
        <v>95.58</v>
      </c>
      <c r="AL2214" s="446">
        <f t="shared" si="483"/>
        <v>0</v>
      </c>
      <c r="AM2214" s="110">
        <f t="shared" si="484"/>
        <v>1</v>
      </c>
      <c r="AN2214" s="447">
        <f t="shared" si="493"/>
        <v>0</v>
      </c>
      <c r="AO2214"/>
      <c r="AP2214"/>
    </row>
    <row r="2215" spans="1:42" x14ac:dyDescent="0.25">
      <c r="A2215" s="310">
        <v>24602</v>
      </c>
      <c r="B2215" s="551" t="s">
        <v>582</v>
      </c>
      <c r="C2215" s="310"/>
      <c r="D2215" s="915"/>
      <c r="E2215" s="312"/>
      <c r="F2215" s="313"/>
      <c r="G2215" s="313"/>
      <c r="H2215" s="313"/>
      <c r="I2215" s="729"/>
      <c r="J2215" s="800"/>
      <c r="K2215" s="131">
        <f t="shared" si="492"/>
        <v>0</v>
      </c>
      <c r="L2215" s="335">
        <f t="shared" si="481"/>
        <v>0</v>
      </c>
      <c r="M2215" s="421"/>
      <c r="N2215" s="421"/>
      <c r="O2215" s="421"/>
      <c r="P2215" s="421"/>
      <c r="Q2215" s="387">
        <f t="shared" si="485"/>
        <v>0</v>
      </c>
      <c r="R2215" s="314">
        <f t="shared" si="486"/>
        <v>0</v>
      </c>
      <c r="S2215" s="387"/>
      <c r="T2215" s="387"/>
      <c r="U2215" s="387">
        <f t="shared" si="487"/>
        <v>0</v>
      </c>
      <c r="V2215" s="314">
        <f t="shared" si="488"/>
        <v>0</v>
      </c>
      <c r="W2215" s="387"/>
      <c r="X2215" s="387"/>
      <c r="Y2215" s="387"/>
      <c r="Z2215" s="387"/>
      <c r="AA2215" s="387">
        <f t="shared" si="489"/>
        <v>0</v>
      </c>
      <c r="AB2215" s="314">
        <f t="shared" si="490"/>
        <v>0</v>
      </c>
      <c r="AC2215" s="387"/>
      <c r="AD2215" s="387"/>
      <c r="AE2215" s="387">
        <f t="shared" si="489"/>
        <v>0</v>
      </c>
      <c r="AF2215" s="314">
        <f t="shared" si="491"/>
        <v>0</v>
      </c>
      <c r="AG2215" s="387"/>
      <c r="AH2215" s="387"/>
      <c r="AI2215" s="387"/>
      <c r="AJ2215" s="387"/>
      <c r="AK2215" s="314">
        <f t="shared" si="482"/>
        <v>0</v>
      </c>
      <c r="AL2215" s="446">
        <f t="shared" si="483"/>
        <v>0</v>
      </c>
      <c r="AM2215" s="110">
        <f t="shared" si="484"/>
        <v>0</v>
      </c>
      <c r="AN2215" s="447">
        <f t="shared" si="493"/>
        <v>0</v>
      </c>
      <c r="AO2215" s="108"/>
      <c r="AP2215"/>
    </row>
    <row r="2216" spans="1:42" x14ac:dyDescent="0.25">
      <c r="A2216" s="162"/>
      <c r="B2216" s="219"/>
      <c r="D2216" s="914"/>
      <c r="E2216" s="209"/>
      <c r="F2216" s="276"/>
      <c r="G2216" s="276"/>
      <c r="H2216" s="276"/>
      <c r="I2216" s="720"/>
      <c r="J2216" s="799"/>
      <c r="K2216" s="131">
        <f t="shared" si="492"/>
        <v>0</v>
      </c>
      <c r="L2216" s="335">
        <f t="shared" si="481"/>
        <v>0</v>
      </c>
      <c r="M2216" s="446"/>
      <c r="N2216" s="446"/>
      <c r="O2216" s="446"/>
      <c r="P2216" s="446"/>
      <c r="Q2216" s="110">
        <f t="shared" si="485"/>
        <v>0</v>
      </c>
      <c r="R2216" s="111">
        <f t="shared" si="486"/>
        <v>0</v>
      </c>
      <c r="S2216" s="110"/>
      <c r="T2216" s="110"/>
      <c r="U2216" s="110">
        <f t="shared" si="487"/>
        <v>0</v>
      </c>
      <c r="V2216" s="111">
        <f t="shared" si="488"/>
        <v>0</v>
      </c>
      <c r="W2216" s="110"/>
      <c r="X2216" s="110"/>
      <c r="Y2216" s="110"/>
      <c r="Z2216" s="110"/>
      <c r="AA2216" s="110">
        <f t="shared" si="489"/>
        <v>0</v>
      </c>
      <c r="AB2216" s="111">
        <f t="shared" si="490"/>
        <v>0</v>
      </c>
      <c r="AC2216" s="110"/>
      <c r="AD2216" s="110"/>
      <c r="AE2216" s="110">
        <f t="shared" si="489"/>
        <v>0</v>
      </c>
      <c r="AF2216" s="111">
        <f t="shared" si="491"/>
        <v>0</v>
      </c>
      <c r="AG2216" s="110"/>
      <c r="AH2216" s="110"/>
      <c r="AI2216" s="110"/>
      <c r="AJ2216" s="110"/>
      <c r="AK2216" s="111">
        <f t="shared" si="482"/>
        <v>0</v>
      </c>
      <c r="AL2216" s="446">
        <f t="shared" si="483"/>
        <v>0</v>
      </c>
      <c r="AM2216" s="110">
        <f t="shared" si="484"/>
        <v>0</v>
      </c>
      <c r="AN2216" s="447">
        <f t="shared" si="493"/>
        <v>0</v>
      </c>
      <c r="AO2216"/>
      <c r="AP2216"/>
    </row>
    <row r="2217" spans="1:42" x14ac:dyDescent="0.25">
      <c r="A2217" s="310">
        <v>24603</v>
      </c>
      <c r="B2217" s="551" t="s">
        <v>583</v>
      </c>
      <c r="C2217" s="311"/>
      <c r="D2217" s="915"/>
      <c r="E2217" s="312"/>
      <c r="F2217" s="313"/>
      <c r="G2217" s="313"/>
      <c r="H2217" s="313"/>
      <c r="I2217" s="729"/>
      <c r="J2217" s="800"/>
      <c r="K2217" s="131">
        <f t="shared" si="492"/>
        <v>0</v>
      </c>
      <c r="L2217" s="335">
        <f t="shared" si="481"/>
        <v>0</v>
      </c>
      <c r="M2217" s="421"/>
      <c r="N2217" s="421"/>
      <c r="O2217" s="421"/>
      <c r="P2217" s="421"/>
      <c r="Q2217" s="387">
        <f t="shared" si="485"/>
        <v>0</v>
      </c>
      <c r="R2217" s="314">
        <f t="shared" si="486"/>
        <v>0</v>
      </c>
      <c r="S2217" s="387"/>
      <c r="T2217" s="387"/>
      <c r="U2217" s="387">
        <f t="shared" si="487"/>
        <v>0</v>
      </c>
      <c r="V2217" s="314">
        <f t="shared" si="488"/>
        <v>0</v>
      </c>
      <c r="W2217" s="387"/>
      <c r="X2217" s="387"/>
      <c r="Y2217" s="387"/>
      <c r="Z2217" s="387"/>
      <c r="AA2217" s="387">
        <f t="shared" si="489"/>
        <v>0</v>
      </c>
      <c r="AB2217" s="314">
        <f t="shared" si="490"/>
        <v>0</v>
      </c>
      <c r="AC2217" s="387"/>
      <c r="AD2217" s="387"/>
      <c r="AE2217" s="387">
        <f t="shared" si="489"/>
        <v>0</v>
      </c>
      <c r="AF2217" s="314">
        <f t="shared" si="491"/>
        <v>0</v>
      </c>
      <c r="AG2217" s="387"/>
      <c r="AH2217" s="387"/>
      <c r="AI2217" s="387"/>
      <c r="AJ2217" s="387"/>
      <c r="AK2217" s="314">
        <f t="shared" si="482"/>
        <v>0</v>
      </c>
      <c r="AL2217" s="446">
        <f t="shared" si="483"/>
        <v>0</v>
      </c>
      <c r="AM2217" s="110">
        <f t="shared" si="484"/>
        <v>0</v>
      </c>
      <c r="AN2217" s="447">
        <f t="shared" si="493"/>
        <v>0</v>
      </c>
      <c r="AO2217" s="436">
        <f>SUM(J2218:J2220)</f>
        <v>344.52</v>
      </c>
      <c r="AP2217" s="111"/>
    </row>
    <row r="2218" spans="1:42" ht="66" x14ac:dyDescent="0.25">
      <c r="A2218" s="9"/>
      <c r="B2218" s="45" t="s">
        <v>581</v>
      </c>
      <c r="C2218" s="1024"/>
      <c r="D2218" s="916">
        <f>2</f>
        <v>2</v>
      </c>
      <c r="E2218" s="1027" t="s">
        <v>1721</v>
      </c>
      <c r="F2218" s="278" t="s">
        <v>3446</v>
      </c>
      <c r="G2218" s="1040" t="s">
        <v>3463</v>
      </c>
      <c r="H2218" s="273" t="s">
        <v>3462</v>
      </c>
      <c r="I2218" s="720">
        <f>+J2218/D2218</f>
        <v>35.64</v>
      </c>
      <c r="J2218" s="756">
        <f>71.28</f>
        <v>71.28</v>
      </c>
      <c r="K2218" s="131">
        <f t="shared" si="492"/>
        <v>71.28</v>
      </c>
      <c r="L2218" s="335">
        <f t="shared" si="481"/>
        <v>0</v>
      </c>
      <c r="M2218" s="446"/>
      <c r="N2218" s="446"/>
      <c r="O2218" s="446"/>
      <c r="P2218" s="446"/>
      <c r="Q2218" s="130">
        <v>2</v>
      </c>
      <c r="R2218" s="111">
        <v>71.28</v>
      </c>
      <c r="S2218" s="110"/>
      <c r="T2218" s="110"/>
      <c r="U2218" s="130">
        <v>0</v>
      </c>
      <c r="V2218" s="111">
        <v>0</v>
      </c>
      <c r="W2218" s="110"/>
      <c r="X2218" s="110"/>
      <c r="Y2218" s="110"/>
      <c r="Z2218" s="110"/>
      <c r="AA2218" s="130">
        <v>0</v>
      </c>
      <c r="AB2218" s="111">
        <v>0</v>
      </c>
      <c r="AC2218" s="110"/>
      <c r="AD2218" s="110"/>
      <c r="AE2218" s="130">
        <v>0</v>
      </c>
      <c r="AF2218" s="111">
        <v>0</v>
      </c>
      <c r="AG2218" s="110"/>
      <c r="AH2218" s="110"/>
      <c r="AI2218" s="110"/>
      <c r="AJ2218" s="110"/>
      <c r="AK2218" s="111">
        <f t="shared" si="482"/>
        <v>71.28</v>
      </c>
      <c r="AL2218" s="446">
        <f t="shared" si="483"/>
        <v>0</v>
      </c>
      <c r="AM2218" s="110">
        <f t="shared" si="484"/>
        <v>2</v>
      </c>
      <c r="AN2218" s="447">
        <f t="shared" si="493"/>
        <v>0</v>
      </c>
      <c r="AO2218"/>
      <c r="AP2218"/>
    </row>
    <row r="2219" spans="1:42" ht="66" x14ac:dyDescent="0.25">
      <c r="A2219" s="9"/>
      <c r="B2219" s="45" t="s">
        <v>1087</v>
      </c>
      <c r="C2219" s="1024"/>
      <c r="D2219" s="916">
        <f>1</f>
        <v>1</v>
      </c>
      <c r="E2219" s="1027" t="s">
        <v>1725</v>
      </c>
      <c r="F2219" s="278" t="s">
        <v>3446</v>
      </c>
      <c r="G2219" s="1040" t="s">
        <v>3463</v>
      </c>
      <c r="H2219" s="273" t="s">
        <v>3462</v>
      </c>
      <c r="I2219" s="720">
        <f>+J2219/D2219</f>
        <v>95.04</v>
      </c>
      <c r="J2219" s="756">
        <f>95.04</f>
        <v>95.04</v>
      </c>
      <c r="K2219" s="131">
        <f t="shared" si="492"/>
        <v>95.04</v>
      </c>
      <c r="L2219" s="335">
        <f t="shared" si="481"/>
        <v>0</v>
      </c>
      <c r="M2219" s="446"/>
      <c r="N2219" s="446"/>
      <c r="O2219" s="446"/>
      <c r="P2219" s="446"/>
      <c r="Q2219" s="110">
        <v>1</v>
      </c>
      <c r="R2219" s="111">
        <v>95.04</v>
      </c>
      <c r="S2219" s="110"/>
      <c r="T2219" s="110"/>
      <c r="U2219" s="110">
        <v>0</v>
      </c>
      <c r="V2219" s="111">
        <v>0</v>
      </c>
      <c r="W2219" s="110"/>
      <c r="X2219" s="110"/>
      <c r="Y2219" s="110"/>
      <c r="Z2219" s="110"/>
      <c r="AA2219" s="110">
        <v>0</v>
      </c>
      <c r="AB2219" s="111">
        <v>0</v>
      </c>
      <c r="AC2219" s="110"/>
      <c r="AD2219" s="110"/>
      <c r="AE2219" s="110">
        <v>0</v>
      </c>
      <c r="AF2219" s="111">
        <v>0</v>
      </c>
      <c r="AG2219" s="110"/>
      <c r="AH2219" s="110"/>
      <c r="AI2219" s="110"/>
      <c r="AJ2219" s="110"/>
      <c r="AK2219" s="111">
        <f t="shared" si="482"/>
        <v>95.04</v>
      </c>
      <c r="AL2219" s="446">
        <f t="shared" si="483"/>
        <v>0</v>
      </c>
      <c r="AM2219" s="110">
        <f t="shared" si="484"/>
        <v>1</v>
      </c>
      <c r="AN2219" s="447">
        <f t="shared" si="493"/>
        <v>0</v>
      </c>
      <c r="AO2219"/>
      <c r="AP2219"/>
    </row>
    <row r="2220" spans="1:42" ht="66" x14ac:dyDescent="0.25">
      <c r="A2220" s="9"/>
      <c r="B2220" s="45" t="s">
        <v>1088</v>
      </c>
      <c r="C2220" s="1024"/>
      <c r="D2220" s="916">
        <f>1</f>
        <v>1</v>
      </c>
      <c r="E2220" s="1027" t="s">
        <v>1725</v>
      </c>
      <c r="F2220" s="278" t="s">
        <v>3446</v>
      </c>
      <c r="G2220" s="1040" t="s">
        <v>3463</v>
      </c>
      <c r="H2220" s="273" t="s">
        <v>3462</v>
      </c>
      <c r="I2220" s="720">
        <f>+J2220/D2220</f>
        <v>178.2</v>
      </c>
      <c r="J2220" s="756">
        <f>178.2</f>
        <v>178.2</v>
      </c>
      <c r="K2220" s="131">
        <f t="shared" si="492"/>
        <v>178.2</v>
      </c>
      <c r="L2220" s="335">
        <f t="shared" si="481"/>
        <v>0</v>
      </c>
      <c r="M2220" s="446"/>
      <c r="N2220" s="446"/>
      <c r="O2220" s="446"/>
      <c r="P2220" s="446"/>
      <c r="Q2220" s="110">
        <v>1</v>
      </c>
      <c r="R2220" s="111">
        <v>178.2</v>
      </c>
      <c r="S2220" s="110"/>
      <c r="T2220" s="110"/>
      <c r="U2220" s="110">
        <v>0</v>
      </c>
      <c r="V2220" s="111">
        <v>0</v>
      </c>
      <c r="W2220" s="110"/>
      <c r="X2220" s="110"/>
      <c r="Y2220" s="110"/>
      <c r="Z2220" s="110"/>
      <c r="AA2220" s="110">
        <v>0</v>
      </c>
      <c r="AB2220" s="111">
        <v>0</v>
      </c>
      <c r="AC2220" s="110"/>
      <c r="AD2220" s="110"/>
      <c r="AE2220" s="110">
        <v>0</v>
      </c>
      <c r="AF2220" s="111">
        <v>0</v>
      </c>
      <c r="AG2220" s="110"/>
      <c r="AH2220" s="110"/>
      <c r="AI2220" s="110"/>
      <c r="AJ2220" s="110"/>
      <c r="AK2220" s="111">
        <f t="shared" si="482"/>
        <v>178.2</v>
      </c>
      <c r="AL2220" s="446">
        <f t="shared" si="483"/>
        <v>0</v>
      </c>
      <c r="AM2220" s="110">
        <f t="shared" si="484"/>
        <v>1</v>
      </c>
      <c r="AN2220" s="447">
        <f t="shared" si="493"/>
        <v>0</v>
      </c>
      <c r="AO2220"/>
      <c r="AP2220"/>
    </row>
    <row r="2221" spans="1:42" x14ac:dyDescent="0.25">
      <c r="A2221" s="9"/>
      <c r="B2221" s="518"/>
      <c r="C2221" s="1024"/>
      <c r="D2221" s="916"/>
      <c r="E2221" s="1027"/>
      <c r="F2221" s="272"/>
      <c r="G2221" s="272"/>
      <c r="H2221" s="272"/>
      <c r="I2221" s="720"/>
      <c r="J2221" s="763"/>
      <c r="K2221" s="131">
        <f t="shared" si="492"/>
        <v>0</v>
      </c>
      <c r="L2221" s="335">
        <f t="shared" si="481"/>
        <v>0</v>
      </c>
      <c r="M2221" s="446"/>
      <c r="N2221" s="446"/>
      <c r="O2221" s="446"/>
      <c r="P2221" s="446"/>
      <c r="Q2221" s="110">
        <f t="shared" si="485"/>
        <v>0</v>
      </c>
      <c r="R2221" s="111">
        <f t="shared" si="486"/>
        <v>0</v>
      </c>
      <c r="S2221" s="110"/>
      <c r="T2221" s="110"/>
      <c r="U2221" s="110">
        <f t="shared" si="487"/>
        <v>0</v>
      </c>
      <c r="V2221" s="111">
        <f t="shared" si="488"/>
        <v>0</v>
      </c>
      <c r="W2221" s="110"/>
      <c r="X2221" s="110"/>
      <c r="Y2221" s="110"/>
      <c r="Z2221" s="110"/>
      <c r="AA2221" s="110">
        <f t="shared" si="489"/>
        <v>0</v>
      </c>
      <c r="AB2221" s="111">
        <f t="shared" si="490"/>
        <v>0</v>
      </c>
      <c r="AC2221" s="110"/>
      <c r="AD2221" s="110"/>
      <c r="AE2221" s="110">
        <f t="shared" si="489"/>
        <v>0</v>
      </c>
      <c r="AF2221" s="111">
        <f t="shared" si="491"/>
        <v>0</v>
      </c>
      <c r="AG2221" s="110"/>
      <c r="AH2221" s="110"/>
      <c r="AI2221" s="110"/>
      <c r="AJ2221" s="110"/>
      <c r="AK2221" s="111">
        <f t="shared" si="482"/>
        <v>0</v>
      </c>
      <c r="AL2221" s="446">
        <f t="shared" si="483"/>
        <v>0</v>
      </c>
      <c r="AM2221" s="110">
        <f t="shared" si="484"/>
        <v>0</v>
      </c>
      <c r="AN2221" s="447">
        <f t="shared" si="493"/>
        <v>0</v>
      </c>
      <c r="AO2221"/>
      <c r="AP2221"/>
    </row>
    <row r="2222" spans="1:42" x14ac:dyDescent="0.25">
      <c r="A2222" s="1021">
        <v>247</v>
      </c>
      <c r="B2222" s="582" t="s">
        <v>584</v>
      </c>
      <c r="C2222" s="1021"/>
      <c r="D2222" s="932"/>
      <c r="E2222" s="343"/>
      <c r="F2222" s="344"/>
      <c r="G2222" s="344"/>
      <c r="H2222" s="344"/>
      <c r="I2222" s="737"/>
      <c r="J2222" s="811"/>
      <c r="K2222" s="131">
        <f t="shared" si="492"/>
        <v>0</v>
      </c>
      <c r="L2222" s="335">
        <f t="shared" si="481"/>
        <v>0</v>
      </c>
      <c r="M2222" s="414"/>
      <c r="N2222" s="414"/>
      <c r="O2222" s="414"/>
      <c r="P2222" s="414"/>
      <c r="Q2222" s="413">
        <f t="shared" si="485"/>
        <v>0</v>
      </c>
      <c r="R2222" s="345">
        <f t="shared" si="486"/>
        <v>0</v>
      </c>
      <c r="S2222" s="413"/>
      <c r="T2222" s="413"/>
      <c r="U2222" s="413">
        <f t="shared" si="487"/>
        <v>0</v>
      </c>
      <c r="V2222" s="345">
        <f t="shared" si="488"/>
        <v>0</v>
      </c>
      <c r="W2222" s="413"/>
      <c r="X2222" s="413"/>
      <c r="Y2222" s="413"/>
      <c r="Z2222" s="413"/>
      <c r="AA2222" s="413">
        <f t="shared" si="489"/>
        <v>0</v>
      </c>
      <c r="AB2222" s="345">
        <f t="shared" si="490"/>
        <v>0</v>
      </c>
      <c r="AC2222" s="413"/>
      <c r="AD2222" s="413"/>
      <c r="AE2222" s="413">
        <f t="shared" si="489"/>
        <v>0</v>
      </c>
      <c r="AF2222" s="345">
        <f t="shared" si="491"/>
        <v>0</v>
      </c>
      <c r="AG2222" s="413"/>
      <c r="AH2222" s="413"/>
      <c r="AI2222" s="413"/>
      <c r="AJ2222" s="413"/>
      <c r="AK2222" s="345">
        <f t="shared" si="482"/>
        <v>0</v>
      </c>
      <c r="AL2222" s="446">
        <f t="shared" si="483"/>
        <v>0</v>
      </c>
      <c r="AM2222" s="110">
        <f t="shared" si="484"/>
        <v>0</v>
      </c>
      <c r="AN2222" s="447">
        <f t="shared" si="493"/>
        <v>0</v>
      </c>
      <c r="AO2222" s="108"/>
      <c r="AP2222"/>
    </row>
    <row r="2223" spans="1:42" x14ac:dyDescent="0.25">
      <c r="A2223" s="310">
        <v>24701</v>
      </c>
      <c r="B2223" s="551" t="s">
        <v>585</v>
      </c>
      <c r="C2223" s="310"/>
      <c r="D2223" s="915"/>
      <c r="E2223" s="312"/>
      <c r="F2223" s="313"/>
      <c r="G2223" s="313"/>
      <c r="H2223" s="313"/>
      <c r="I2223" s="729"/>
      <c r="J2223" s="800"/>
      <c r="K2223" s="131">
        <f t="shared" si="492"/>
        <v>0</v>
      </c>
      <c r="L2223" s="335">
        <f t="shared" si="481"/>
        <v>0</v>
      </c>
      <c r="M2223" s="421"/>
      <c r="N2223" s="421"/>
      <c r="O2223" s="421"/>
      <c r="P2223" s="421"/>
      <c r="Q2223" s="387">
        <f t="shared" si="485"/>
        <v>0</v>
      </c>
      <c r="R2223" s="314">
        <f t="shared" si="486"/>
        <v>0</v>
      </c>
      <c r="S2223" s="387"/>
      <c r="T2223" s="387"/>
      <c r="U2223" s="387">
        <f t="shared" si="487"/>
        <v>0</v>
      </c>
      <c r="V2223" s="314">
        <f t="shared" si="488"/>
        <v>0</v>
      </c>
      <c r="W2223" s="387"/>
      <c r="X2223" s="387"/>
      <c r="Y2223" s="387"/>
      <c r="Z2223" s="387"/>
      <c r="AA2223" s="387">
        <f t="shared" si="489"/>
        <v>0</v>
      </c>
      <c r="AB2223" s="314">
        <f t="shared" si="490"/>
        <v>0</v>
      </c>
      <c r="AC2223" s="387"/>
      <c r="AD2223" s="387"/>
      <c r="AE2223" s="387">
        <f t="shared" si="489"/>
        <v>0</v>
      </c>
      <c r="AF2223" s="314">
        <f t="shared" si="491"/>
        <v>0</v>
      </c>
      <c r="AG2223" s="387"/>
      <c r="AH2223" s="387"/>
      <c r="AI2223" s="387"/>
      <c r="AJ2223" s="387"/>
      <c r="AK2223" s="314">
        <f t="shared" si="482"/>
        <v>0</v>
      </c>
      <c r="AL2223" s="446">
        <f t="shared" si="483"/>
        <v>0</v>
      </c>
      <c r="AM2223" s="110">
        <f t="shared" si="484"/>
        <v>0</v>
      </c>
      <c r="AN2223" s="447">
        <f t="shared" si="493"/>
        <v>0</v>
      </c>
      <c r="AO2223" s="108"/>
      <c r="AP2223"/>
    </row>
    <row r="2224" spans="1:42" x14ac:dyDescent="0.25">
      <c r="A2224" s="9"/>
      <c r="B2224" s="556"/>
      <c r="D2224" s="869"/>
      <c r="E2224" s="1027"/>
      <c r="F2224" s="272"/>
      <c r="G2224" s="272"/>
      <c r="H2224" s="272"/>
      <c r="I2224" s="720"/>
      <c r="J2224" s="763"/>
      <c r="K2224" s="131"/>
      <c r="L2224" s="335"/>
      <c r="M2224" s="446"/>
      <c r="N2224" s="446"/>
      <c r="O2224" s="446"/>
      <c r="P2224" s="446"/>
      <c r="Q2224" s="110"/>
      <c r="R2224" s="111"/>
      <c r="S2224" s="110"/>
      <c r="T2224" s="110"/>
      <c r="U2224" s="110"/>
      <c r="V2224" s="111"/>
      <c r="W2224" s="110"/>
      <c r="X2224" s="110"/>
      <c r="Y2224" s="110"/>
      <c r="Z2224" s="110"/>
      <c r="AA2224" s="110"/>
      <c r="AB2224" s="111"/>
      <c r="AC2224" s="110"/>
      <c r="AD2224" s="110"/>
      <c r="AE2224" s="110"/>
      <c r="AF2224" s="111"/>
      <c r="AG2224" s="110"/>
      <c r="AH2224" s="110"/>
      <c r="AI2224" s="110"/>
      <c r="AJ2224" s="110"/>
      <c r="AK2224" s="111"/>
      <c r="AL2224" s="446"/>
      <c r="AM2224" s="110"/>
      <c r="AN2224" s="447"/>
      <c r="AO2224"/>
      <c r="AP2224"/>
    </row>
    <row r="2225" spans="1:42" x14ac:dyDescent="0.25">
      <c r="A2225" s="310">
        <v>24702</v>
      </c>
      <c r="B2225" s="551" t="s">
        <v>586</v>
      </c>
      <c r="C2225" s="311"/>
      <c r="D2225" s="915"/>
      <c r="E2225" s="312"/>
      <c r="F2225" s="313"/>
      <c r="G2225" s="313"/>
      <c r="H2225" s="313"/>
      <c r="I2225" s="729"/>
      <c r="J2225" s="800"/>
      <c r="K2225" s="131">
        <f t="shared" si="492"/>
        <v>0</v>
      </c>
      <c r="L2225" s="335">
        <f t="shared" si="481"/>
        <v>0</v>
      </c>
      <c r="M2225" s="421"/>
      <c r="N2225" s="421"/>
      <c r="O2225" s="421"/>
      <c r="P2225" s="421"/>
      <c r="Q2225" s="387">
        <f t="shared" si="485"/>
        <v>0</v>
      </c>
      <c r="R2225" s="314">
        <f t="shared" si="486"/>
        <v>0</v>
      </c>
      <c r="S2225" s="387"/>
      <c r="T2225" s="387"/>
      <c r="U2225" s="387">
        <f t="shared" si="487"/>
        <v>0</v>
      </c>
      <c r="V2225" s="314">
        <f t="shared" si="488"/>
        <v>0</v>
      </c>
      <c r="W2225" s="387"/>
      <c r="X2225" s="387"/>
      <c r="Y2225" s="387"/>
      <c r="Z2225" s="387"/>
      <c r="AA2225" s="387">
        <f t="shared" si="489"/>
        <v>0</v>
      </c>
      <c r="AB2225" s="314">
        <f t="shared" si="490"/>
        <v>0</v>
      </c>
      <c r="AC2225" s="387"/>
      <c r="AD2225" s="387"/>
      <c r="AE2225" s="387">
        <f t="shared" si="489"/>
        <v>0</v>
      </c>
      <c r="AF2225" s="314">
        <f t="shared" si="491"/>
        <v>0</v>
      </c>
      <c r="AG2225" s="387"/>
      <c r="AH2225" s="387"/>
      <c r="AI2225" s="387"/>
      <c r="AJ2225" s="387"/>
      <c r="AK2225" s="314">
        <f t="shared" si="482"/>
        <v>0</v>
      </c>
      <c r="AL2225" s="446">
        <f t="shared" si="483"/>
        <v>0</v>
      </c>
      <c r="AM2225" s="110">
        <f t="shared" si="484"/>
        <v>0</v>
      </c>
      <c r="AN2225" s="447">
        <f t="shared" si="493"/>
        <v>0</v>
      </c>
      <c r="AO2225" s="436">
        <f>SUM(J2226:J2245)</f>
        <v>11056.531647999998</v>
      </c>
      <c r="AP2225" s="111"/>
    </row>
    <row r="2226" spans="1:42" ht="66" x14ac:dyDescent="0.25">
      <c r="A2226" s="9"/>
      <c r="B2226" s="501" t="s">
        <v>1218</v>
      </c>
      <c r="C2226" s="1024"/>
      <c r="D2226" s="913">
        <v>200</v>
      </c>
      <c r="E2226" s="1027" t="s">
        <v>3451</v>
      </c>
      <c r="F2226" s="278" t="s">
        <v>3446</v>
      </c>
      <c r="G2226" s="1040" t="s">
        <v>3463</v>
      </c>
      <c r="H2226" s="273" t="s">
        <v>3462</v>
      </c>
      <c r="I2226" s="720">
        <f t="shared" ref="I2226:I2245" si="495">+J2226/D2226</f>
        <v>3.4799999999999995</v>
      </c>
      <c r="J2226" s="756">
        <v>695.99999999999989</v>
      </c>
      <c r="K2226" s="131">
        <f t="shared" si="492"/>
        <v>695.99999999999989</v>
      </c>
      <c r="L2226" s="335">
        <f t="shared" si="481"/>
        <v>0</v>
      </c>
      <c r="M2226" s="446"/>
      <c r="N2226" s="446"/>
      <c r="O2226" s="446"/>
      <c r="P2226" s="446"/>
      <c r="Q2226" s="110">
        <f t="shared" si="485"/>
        <v>50</v>
      </c>
      <c r="R2226" s="111">
        <f t="shared" si="486"/>
        <v>173.99999999999997</v>
      </c>
      <c r="S2226" s="110"/>
      <c r="T2226" s="110"/>
      <c r="U2226" s="110">
        <f t="shared" si="487"/>
        <v>50</v>
      </c>
      <c r="V2226" s="111">
        <f t="shared" si="488"/>
        <v>173.99999999999997</v>
      </c>
      <c r="W2226" s="110"/>
      <c r="X2226" s="110"/>
      <c r="Y2226" s="110"/>
      <c r="Z2226" s="110"/>
      <c r="AA2226" s="110">
        <f t="shared" si="489"/>
        <v>50</v>
      </c>
      <c r="AB2226" s="111">
        <f t="shared" si="490"/>
        <v>173.99999999999997</v>
      </c>
      <c r="AC2226" s="110"/>
      <c r="AD2226" s="110"/>
      <c r="AE2226" s="110">
        <f t="shared" si="489"/>
        <v>50</v>
      </c>
      <c r="AF2226" s="111">
        <f t="shared" si="491"/>
        <v>173.99999999999997</v>
      </c>
      <c r="AG2226" s="110"/>
      <c r="AH2226" s="110"/>
      <c r="AI2226" s="110"/>
      <c r="AJ2226" s="110"/>
      <c r="AK2226" s="111">
        <f t="shared" si="482"/>
        <v>695.99999999999989</v>
      </c>
      <c r="AL2226" s="446">
        <f t="shared" si="483"/>
        <v>0</v>
      </c>
      <c r="AM2226" s="110">
        <f t="shared" si="484"/>
        <v>200</v>
      </c>
      <c r="AN2226" s="447">
        <f t="shared" si="493"/>
        <v>0</v>
      </c>
      <c r="AO2226"/>
      <c r="AP2226"/>
    </row>
    <row r="2227" spans="1:42" ht="66" x14ac:dyDescent="0.25">
      <c r="A2227" s="9"/>
      <c r="B2227" s="501" t="s">
        <v>1219</v>
      </c>
      <c r="C2227" s="1024"/>
      <c r="D2227" s="913">
        <v>5</v>
      </c>
      <c r="E2227" s="1027" t="s">
        <v>1721</v>
      </c>
      <c r="F2227" s="278" t="s">
        <v>3446</v>
      </c>
      <c r="G2227" s="1040" t="s">
        <v>3463</v>
      </c>
      <c r="H2227" s="273" t="s">
        <v>3462</v>
      </c>
      <c r="I2227" s="720">
        <f t="shared" si="495"/>
        <v>127.6</v>
      </c>
      <c r="J2227" s="756">
        <v>638</v>
      </c>
      <c r="K2227" s="131">
        <f t="shared" si="492"/>
        <v>638</v>
      </c>
      <c r="L2227" s="335">
        <f t="shared" si="481"/>
        <v>0</v>
      </c>
      <c r="M2227" s="446"/>
      <c r="N2227" s="446"/>
      <c r="O2227" s="446"/>
      <c r="P2227" s="446"/>
      <c r="Q2227" s="110">
        <v>2</v>
      </c>
      <c r="R2227" s="111">
        <f t="shared" si="486"/>
        <v>159.5</v>
      </c>
      <c r="S2227" s="110"/>
      <c r="T2227" s="110"/>
      <c r="U2227" s="110">
        <v>1</v>
      </c>
      <c r="V2227" s="111">
        <f t="shared" si="488"/>
        <v>159.5</v>
      </c>
      <c r="W2227" s="110"/>
      <c r="X2227" s="110"/>
      <c r="Y2227" s="110"/>
      <c r="Z2227" s="110"/>
      <c r="AA2227" s="110">
        <v>1</v>
      </c>
      <c r="AB2227" s="111">
        <f t="shared" si="490"/>
        <v>159.5</v>
      </c>
      <c r="AC2227" s="110"/>
      <c r="AD2227" s="110"/>
      <c r="AE2227" s="110">
        <v>1</v>
      </c>
      <c r="AF2227" s="111">
        <f t="shared" si="491"/>
        <v>159.5</v>
      </c>
      <c r="AG2227" s="110"/>
      <c r="AH2227" s="110"/>
      <c r="AI2227" s="110"/>
      <c r="AJ2227" s="110"/>
      <c r="AK2227" s="111">
        <f t="shared" si="482"/>
        <v>638</v>
      </c>
      <c r="AL2227" s="446">
        <f t="shared" si="483"/>
        <v>0</v>
      </c>
      <c r="AM2227" s="110">
        <f t="shared" si="484"/>
        <v>5</v>
      </c>
      <c r="AN2227" s="447">
        <f t="shared" si="493"/>
        <v>0</v>
      </c>
      <c r="AO2227"/>
      <c r="AP2227"/>
    </row>
    <row r="2228" spans="1:42" ht="66" x14ac:dyDescent="0.25">
      <c r="A2228" s="9"/>
      <c r="B2228" s="501" t="s">
        <v>1220</v>
      </c>
      <c r="C2228" s="1024"/>
      <c r="D2228" s="913">
        <v>5</v>
      </c>
      <c r="E2228" s="1027" t="s">
        <v>1721</v>
      </c>
      <c r="F2228" s="278" t="s">
        <v>3446</v>
      </c>
      <c r="G2228" s="1040" t="s">
        <v>3463</v>
      </c>
      <c r="H2228" s="273" t="s">
        <v>3462</v>
      </c>
      <c r="I2228" s="720">
        <f t="shared" si="495"/>
        <v>3.4799999999999995</v>
      </c>
      <c r="J2228" s="756">
        <v>17.399999999999999</v>
      </c>
      <c r="K2228" s="131">
        <f t="shared" si="492"/>
        <v>17.399999999999999</v>
      </c>
      <c r="L2228" s="335">
        <f t="shared" ref="L2228:L2291" si="496">+J2228-K2228</f>
        <v>0</v>
      </c>
      <c r="M2228" s="446"/>
      <c r="N2228" s="446"/>
      <c r="O2228" s="446"/>
      <c r="P2228" s="446"/>
      <c r="Q2228" s="110">
        <v>2</v>
      </c>
      <c r="R2228" s="111">
        <f t="shared" si="486"/>
        <v>4.3499999999999996</v>
      </c>
      <c r="S2228" s="110"/>
      <c r="T2228" s="110"/>
      <c r="U2228" s="110">
        <v>1</v>
      </c>
      <c r="V2228" s="111">
        <f t="shared" si="488"/>
        <v>4.3499999999999996</v>
      </c>
      <c r="W2228" s="110"/>
      <c r="X2228" s="110"/>
      <c r="Y2228" s="110"/>
      <c r="Z2228" s="110"/>
      <c r="AA2228" s="110">
        <v>1</v>
      </c>
      <c r="AB2228" s="111">
        <f t="shared" si="490"/>
        <v>4.3499999999999996</v>
      </c>
      <c r="AC2228" s="110"/>
      <c r="AD2228" s="110"/>
      <c r="AE2228" s="110">
        <v>1</v>
      </c>
      <c r="AF2228" s="111">
        <f t="shared" si="491"/>
        <v>4.3499999999999996</v>
      </c>
      <c r="AG2228" s="110"/>
      <c r="AH2228" s="110"/>
      <c r="AI2228" s="110"/>
      <c r="AJ2228" s="110"/>
      <c r="AK2228" s="111">
        <f t="shared" ref="AK2228:AK2291" si="497">+R2228+V2228+AB2228+AF2228</f>
        <v>17.399999999999999</v>
      </c>
      <c r="AL2228" s="446">
        <f t="shared" ref="AL2228:AL2291" si="498">+J2228-AK2228</f>
        <v>0</v>
      </c>
      <c r="AM2228" s="110">
        <f t="shared" ref="AM2228:AM2291" si="499">+Q2228+U2228+AA2228+AE2228</f>
        <v>5</v>
      </c>
      <c r="AN2228" s="447">
        <f t="shared" si="493"/>
        <v>0</v>
      </c>
      <c r="AO2228"/>
      <c r="AP2228"/>
    </row>
    <row r="2229" spans="1:42" ht="66" x14ac:dyDescent="0.25">
      <c r="A2229" s="9"/>
      <c r="B2229" s="501" t="s">
        <v>1221</v>
      </c>
      <c r="C2229" s="1024"/>
      <c r="D2229" s="913">
        <v>50</v>
      </c>
      <c r="E2229" s="1027" t="s">
        <v>1721</v>
      </c>
      <c r="F2229" s="278" t="s">
        <v>3446</v>
      </c>
      <c r="G2229" s="1040" t="s">
        <v>3463</v>
      </c>
      <c r="H2229" s="273" t="s">
        <v>3462</v>
      </c>
      <c r="I2229" s="720">
        <f t="shared" si="495"/>
        <v>34.799999999999997</v>
      </c>
      <c r="J2229" s="756">
        <v>1739.9999999999998</v>
      </c>
      <c r="K2229" s="131">
        <f t="shared" si="492"/>
        <v>1739.9999999999998</v>
      </c>
      <c r="L2229" s="335">
        <f t="shared" si="496"/>
        <v>0</v>
      </c>
      <c r="M2229" s="446"/>
      <c r="N2229" s="446"/>
      <c r="O2229" s="446"/>
      <c r="P2229" s="446"/>
      <c r="Q2229" s="110">
        <v>13</v>
      </c>
      <c r="R2229" s="111">
        <f t="shared" si="486"/>
        <v>434.99999999999994</v>
      </c>
      <c r="S2229" s="110"/>
      <c r="T2229" s="110"/>
      <c r="U2229" s="110">
        <v>12</v>
      </c>
      <c r="V2229" s="111">
        <f t="shared" si="488"/>
        <v>434.99999999999994</v>
      </c>
      <c r="W2229" s="110"/>
      <c r="X2229" s="110"/>
      <c r="Y2229" s="110"/>
      <c r="Z2229" s="110"/>
      <c r="AA2229" s="110">
        <v>12</v>
      </c>
      <c r="AB2229" s="111">
        <f t="shared" si="490"/>
        <v>434.99999999999994</v>
      </c>
      <c r="AC2229" s="110"/>
      <c r="AD2229" s="110"/>
      <c r="AE2229" s="110">
        <v>13</v>
      </c>
      <c r="AF2229" s="111">
        <f t="shared" si="491"/>
        <v>434.99999999999994</v>
      </c>
      <c r="AG2229" s="110"/>
      <c r="AH2229" s="110"/>
      <c r="AI2229" s="110"/>
      <c r="AJ2229" s="110"/>
      <c r="AK2229" s="111">
        <f t="shared" si="497"/>
        <v>1739.9999999999998</v>
      </c>
      <c r="AL2229" s="446">
        <f t="shared" si="498"/>
        <v>0</v>
      </c>
      <c r="AM2229" s="110">
        <f t="shared" si="499"/>
        <v>50</v>
      </c>
      <c r="AN2229" s="447">
        <f t="shared" si="493"/>
        <v>0</v>
      </c>
      <c r="AO2229"/>
      <c r="AP2229"/>
    </row>
    <row r="2230" spans="1:42" ht="66" x14ac:dyDescent="0.25">
      <c r="A2230" s="9"/>
      <c r="B2230" s="501" t="s">
        <v>1222</v>
      </c>
      <c r="C2230" s="1024"/>
      <c r="D2230" s="913">
        <v>2</v>
      </c>
      <c r="E2230" s="1027" t="s">
        <v>3451</v>
      </c>
      <c r="F2230" s="278" t="s">
        <v>3446</v>
      </c>
      <c r="G2230" s="1040" t="s">
        <v>3463</v>
      </c>
      <c r="H2230" s="273" t="s">
        <v>3462</v>
      </c>
      <c r="I2230" s="720">
        <f t="shared" si="495"/>
        <v>34.799999999999997</v>
      </c>
      <c r="J2230" s="756">
        <v>69.599999999999994</v>
      </c>
      <c r="K2230" s="131">
        <f t="shared" si="492"/>
        <v>69.599999999999994</v>
      </c>
      <c r="L2230" s="335">
        <f t="shared" si="496"/>
        <v>0</v>
      </c>
      <c r="M2230" s="446"/>
      <c r="N2230" s="446"/>
      <c r="O2230" s="446"/>
      <c r="P2230" s="446"/>
      <c r="Q2230" s="130">
        <v>1</v>
      </c>
      <c r="R2230" s="111">
        <v>34.799999999999997</v>
      </c>
      <c r="S2230" s="110"/>
      <c r="T2230" s="110"/>
      <c r="U2230" s="130">
        <v>1</v>
      </c>
      <c r="V2230" s="111">
        <v>34.799999999999997</v>
      </c>
      <c r="W2230" s="110"/>
      <c r="X2230" s="110"/>
      <c r="Y2230" s="110"/>
      <c r="Z2230" s="110"/>
      <c r="AA2230" s="130">
        <v>0</v>
      </c>
      <c r="AB2230" s="111">
        <v>0</v>
      </c>
      <c r="AC2230" s="110"/>
      <c r="AD2230" s="110"/>
      <c r="AE2230" s="130">
        <v>0</v>
      </c>
      <c r="AF2230" s="111">
        <v>0</v>
      </c>
      <c r="AG2230" s="110"/>
      <c r="AH2230" s="110"/>
      <c r="AI2230" s="110"/>
      <c r="AJ2230" s="110"/>
      <c r="AK2230" s="111">
        <f t="shared" si="497"/>
        <v>69.599999999999994</v>
      </c>
      <c r="AL2230" s="446">
        <f t="shared" si="498"/>
        <v>0</v>
      </c>
      <c r="AM2230" s="110">
        <f t="shared" si="499"/>
        <v>2</v>
      </c>
      <c r="AN2230" s="447">
        <f t="shared" si="493"/>
        <v>0</v>
      </c>
      <c r="AO2230"/>
      <c r="AP2230"/>
    </row>
    <row r="2231" spans="1:42" ht="66" x14ac:dyDescent="0.25">
      <c r="A2231" s="9"/>
      <c r="B2231" s="501" t="s">
        <v>1223</v>
      </c>
      <c r="C2231" s="1024"/>
      <c r="D2231" s="913">
        <v>2</v>
      </c>
      <c r="E2231" s="1027" t="s">
        <v>1827</v>
      </c>
      <c r="F2231" s="278" t="s">
        <v>3446</v>
      </c>
      <c r="G2231" s="1040" t="s">
        <v>3463</v>
      </c>
      <c r="H2231" s="273" t="s">
        <v>3462</v>
      </c>
      <c r="I2231" s="720">
        <f t="shared" si="495"/>
        <v>3.4799999999999995</v>
      </c>
      <c r="J2231" s="756">
        <v>6.9599999999999991</v>
      </c>
      <c r="K2231" s="131">
        <f t="shared" si="492"/>
        <v>6.9599999999999991</v>
      </c>
      <c r="L2231" s="335">
        <f t="shared" si="496"/>
        <v>0</v>
      </c>
      <c r="M2231" s="446"/>
      <c r="N2231" s="446"/>
      <c r="O2231" s="446"/>
      <c r="P2231" s="446"/>
      <c r="Q2231" s="130">
        <v>2</v>
      </c>
      <c r="R2231" s="111">
        <v>6.96</v>
      </c>
      <c r="S2231" s="110"/>
      <c r="T2231" s="110"/>
      <c r="U2231" s="130">
        <v>0</v>
      </c>
      <c r="V2231" s="111">
        <v>0</v>
      </c>
      <c r="W2231" s="110"/>
      <c r="X2231" s="110"/>
      <c r="Y2231" s="110"/>
      <c r="Z2231" s="110"/>
      <c r="AA2231" s="130">
        <v>0</v>
      </c>
      <c r="AB2231" s="111">
        <v>0</v>
      </c>
      <c r="AC2231" s="110"/>
      <c r="AD2231" s="110"/>
      <c r="AE2231" s="130">
        <v>0</v>
      </c>
      <c r="AF2231" s="111">
        <v>0</v>
      </c>
      <c r="AG2231" s="110"/>
      <c r="AH2231" s="110"/>
      <c r="AI2231" s="110"/>
      <c r="AJ2231" s="110"/>
      <c r="AK2231" s="111">
        <f t="shared" si="497"/>
        <v>6.96</v>
      </c>
      <c r="AL2231" s="446">
        <f t="shared" si="498"/>
        <v>0</v>
      </c>
      <c r="AM2231" s="110">
        <f t="shared" si="499"/>
        <v>2</v>
      </c>
      <c r="AN2231" s="447">
        <f t="shared" si="493"/>
        <v>0</v>
      </c>
      <c r="AO2231"/>
      <c r="AP2231"/>
    </row>
    <row r="2232" spans="1:42" ht="66" x14ac:dyDescent="0.25">
      <c r="A2232" s="9"/>
      <c r="B2232" s="501" t="s">
        <v>1224</v>
      </c>
      <c r="C2232" s="1024"/>
      <c r="D2232" s="913">
        <v>1</v>
      </c>
      <c r="E2232" s="1027" t="s">
        <v>1721</v>
      </c>
      <c r="F2232" s="278" t="s">
        <v>3446</v>
      </c>
      <c r="G2232" s="1040" t="s">
        <v>3463</v>
      </c>
      <c r="H2232" s="273" t="s">
        <v>3462</v>
      </c>
      <c r="I2232" s="720">
        <f t="shared" si="495"/>
        <v>4.6399999999999997</v>
      </c>
      <c r="J2232" s="756">
        <v>4.6399999999999997</v>
      </c>
      <c r="K2232" s="131">
        <f t="shared" si="492"/>
        <v>4.6399999999999997</v>
      </c>
      <c r="L2232" s="335">
        <f t="shared" si="496"/>
        <v>0</v>
      </c>
      <c r="M2232" s="446"/>
      <c r="N2232" s="446"/>
      <c r="O2232" s="446"/>
      <c r="P2232" s="446"/>
      <c r="Q2232" s="110">
        <v>1</v>
      </c>
      <c r="R2232" s="111">
        <v>4.6399999999999997</v>
      </c>
      <c r="S2232" s="110"/>
      <c r="T2232" s="110"/>
      <c r="U2232" s="110">
        <v>0</v>
      </c>
      <c r="V2232" s="111">
        <v>0</v>
      </c>
      <c r="W2232" s="110"/>
      <c r="X2232" s="110"/>
      <c r="Y2232" s="110"/>
      <c r="Z2232" s="110"/>
      <c r="AA2232" s="110">
        <v>0</v>
      </c>
      <c r="AB2232" s="111">
        <v>0</v>
      </c>
      <c r="AC2232" s="110"/>
      <c r="AD2232" s="110"/>
      <c r="AE2232" s="110">
        <v>0</v>
      </c>
      <c r="AF2232" s="111">
        <v>0</v>
      </c>
      <c r="AG2232" s="110"/>
      <c r="AH2232" s="110"/>
      <c r="AI2232" s="110"/>
      <c r="AJ2232" s="110"/>
      <c r="AK2232" s="111">
        <f t="shared" si="497"/>
        <v>4.6399999999999997</v>
      </c>
      <c r="AL2232" s="446">
        <f t="shared" si="498"/>
        <v>0</v>
      </c>
      <c r="AM2232" s="110">
        <f t="shared" si="499"/>
        <v>1</v>
      </c>
      <c r="AN2232" s="447">
        <f t="shared" si="493"/>
        <v>0</v>
      </c>
      <c r="AO2232"/>
      <c r="AP2232"/>
    </row>
    <row r="2233" spans="1:42" ht="66" x14ac:dyDescent="0.25">
      <c r="A2233" s="9"/>
      <c r="B2233" s="501" t="s">
        <v>576</v>
      </c>
      <c r="C2233" s="1024"/>
      <c r="D2233" s="913">
        <v>10</v>
      </c>
      <c r="E2233" s="1027"/>
      <c r="F2233" s="278" t="s">
        <v>3446</v>
      </c>
      <c r="G2233" s="1040" t="s">
        <v>3463</v>
      </c>
      <c r="H2233" s="273" t="s">
        <v>3462</v>
      </c>
      <c r="I2233" s="720">
        <f t="shared" si="495"/>
        <v>268.73</v>
      </c>
      <c r="J2233" s="756">
        <v>2687.3</v>
      </c>
      <c r="K2233" s="131">
        <f t="shared" si="492"/>
        <v>2687.3</v>
      </c>
      <c r="L2233" s="335">
        <f t="shared" si="496"/>
        <v>0</v>
      </c>
      <c r="M2233" s="446"/>
      <c r="N2233" s="446"/>
      <c r="O2233" s="446"/>
      <c r="P2233" s="446"/>
      <c r="Q2233" s="130">
        <v>3</v>
      </c>
      <c r="R2233" s="111">
        <f t="shared" si="486"/>
        <v>671.82500000000005</v>
      </c>
      <c r="S2233" s="110"/>
      <c r="T2233" s="110"/>
      <c r="U2233" s="130">
        <v>3</v>
      </c>
      <c r="V2233" s="111">
        <f t="shared" si="488"/>
        <v>671.82500000000005</v>
      </c>
      <c r="W2233" s="110"/>
      <c r="X2233" s="110"/>
      <c r="Y2233" s="110"/>
      <c r="Z2233" s="110"/>
      <c r="AA2233" s="130">
        <v>2</v>
      </c>
      <c r="AB2233" s="111">
        <f t="shared" si="490"/>
        <v>671.82500000000005</v>
      </c>
      <c r="AC2233" s="110"/>
      <c r="AD2233" s="110"/>
      <c r="AE2233" s="130">
        <v>2</v>
      </c>
      <c r="AF2233" s="111">
        <f t="shared" si="491"/>
        <v>671.82500000000005</v>
      </c>
      <c r="AG2233" s="110"/>
      <c r="AH2233" s="110"/>
      <c r="AI2233" s="110"/>
      <c r="AJ2233" s="110"/>
      <c r="AK2233" s="111">
        <f t="shared" si="497"/>
        <v>2687.3</v>
      </c>
      <c r="AL2233" s="446">
        <f t="shared" si="498"/>
        <v>0</v>
      </c>
      <c r="AM2233" s="110">
        <f t="shared" si="499"/>
        <v>10</v>
      </c>
      <c r="AN2233" s="447">
        <f t="shared" si="493"/>
        <v>0</v>
      </c>
      <c r="AO2233"/>
      <c r="AP2233"/>
    </row>
    <row r="2234" spans="1:42" ht="66" x14ac:dyDescent="0.25">
      <c r="A2234" s="9"/>
      <c r="B2234" s="501" t="s">
        <v>1225</v>
      </c>
      <c r="C2234" s="1024"/>
      <c r="D2234" s="913">
        <v>10</v>
      </c>
      <c r="E2234" s="1027"/>
      <c r="F2234" s="278" t="s">
        <v>3446</v>
      </c>
      <c r="G2234" s="1040" t="s">
        <v>3463</v>
      </c>
      <c r="H2234" s="273" t="s">
        <v>3462</v>
      </c>
      <c r="I2234" s="720">
        <f t="shared" si="495"/>
        <v>69.599999999999994</v>
      </c>
      <c r="J2234" s="756">
        <v>696</v>
      </c>
      <c r="K2234" s="131">
        <f t="shared" si="492"/>
        <v>696</v>
      </c>
      <c r="L2234" s="335">
        <f t="shared" si="496"/>
        <v>0</v>
      </c>
      <c r="M2234" s="446"/>
      <c r="N2234" s="446"/>
      <c r="O2234" s="446"/>
      <c r="P2234" s="446"/>
      <c r="Q2234" s="130">
        <v>3</v>
      </c>
      <c r="R2234" s="111">
        <f t="shared" si="486"/>
        <v>174</v>
      </c>
      <c r="S2234" s="110"/>
      <c r="T2234" s="110"/>
      <c r="U2234" s="130">
        <v>3</v>
      </c>
      <c r="V2234" s="111">
        <f t="shared" si="488"/>
        <v>174</v>
      </c>
      <c r="W2234" s="110"/>
      <c r="X2234" s="110"/>
      <c r="Y2234" s="110"/>
      <c r="Z2234" s="110"/>
      <c r="AA2234" s="130">
        <v>2</v>
      </c>
      <c r="AB2234" s="111">
        <f t="shared" si="490"/>
        <v>174</v>
      </c>
      <c r="AC2234" s="110"/>
      <c r="AD2234" s="110"/>
      <c r="AE2234" s="130">
        <v>2</v>
      </c>
      <c r="AF2234" s="111">
        <f t="shared" si="491"/>
        <v>174</v>
      </c>
      <c r="AG2234" s="110"/>
      <c r="AH2234" s="110"/>
      <c r="AI2234" s="110"/>
      <c r="AJ2234" s="110"/>
      <c r="AK2234" s="111">
        <f t="shared" si="497"/>
        <v>696</v>
      </c>
      <c r="AL2234" s="446">
        <f t="shared" si="498"/>
        <v>0</v>
      </c>
      <c r="AM2234" s="110">
        <f t="shared" si="499"/>
        <v>10</v>
      </c>
      <c r="AN2234" s="447">
        <f t="shared" si="493"/>
        <v>0</v>
      </c>
      <c r="AO2234"/>
      <c r="AP2234"/>
    </row>
    <row r="2235" spans="1:42" ht="66" x14ac:dyDescent="0.25">
      <c r="A2235" s="9"/>
      <c r="B2235" s="528" t="s">
        <v>2981</v>
      </c>
      <c r="C2235" s="1024"/>
      <c r="D2235" s="882">
        <v>1</v>
      </c>
      <c r="E2235" s="251" t="s">
        <v>1767</v>
      </c>
      <c r="F2235" s="278" t="s">
        <v>3446</v>
      </c>
      <c r="G2235" s="1040" t="s">
        <v>3463</v>
      </c>
      <c r="H2235" s="273" t="s">
        <v>3462</v>
      </c>
      <c r="I2235" s="720">
        <f t="shared" si="495"/>
        <v>21.38</v>
      </c>
      <c r="J2235" s="756">
        <v>21.38</v>
      </c>
      <c r="K2235" s="131">
        <f t="shared" si="492"/>
        <v>21.38</v>
      </c>
      <c r="L2235" s="335">
        <f t="shared" si="496"/>
        <v>0</v>
      </c>
      <c r="M2235" s="446"/>
      <c r="N2235" s="446"/>
      <c r="O2235" s="446"/>
      <c r="P2235" s="446"/>
      <c r="Q2235" s="110">
        <v>1</v>
      </c>
      <c r="R2235" s="111">
        <v>21.38</v>
      </c>
      <c r="S2235" s="110"/>
      <c r="T2235" s="110"/>
      <c r="U2235" s="110">
        <v>0</v>
      </c>
      <c r="V2235" s="111">
        <v>0</v>
      </c>
      <c r="W2235" s="110"/>
      <c r="X2235" s="110"/>
      <c r="Y2235" s="110"/>
      <c r="Z2235" s="110"/>
      <c r="AA2235" s="110">
        <v>0</v>
      </c>
      <c r="AB2235" s="111">
        <v>0</v>
      </c>
      <c r="AC2235" s="110"/>
      <c r="AD2235" s="110"/>
      <c r="AE2235" s="110">
        <v>0</v>
      </c>
      <c r="AF2235" s="111">
        <v>0</v>
      </c>
      <c r="AG2235" s="110"/>
      <c r="AH2235" s="110"/>
      <c r="AI2235" s="110"/>
      <c r="AJ2235" s="110"/>
      <c r="AK2235" s="111">
        <f t="shared" si="497"/>
        <v>21.38</v>
      </c>
      <c r="AL2235" s="446">
        <f t="shared" si="498"/>
        <v>0</v>
      </c>
      <c r="AM2235" s="110">
        <f t="shared" si="499"/>
        <v>1</v>
      </c>
      <c r="AN2235" s="447">
        <f t="shared" si="493"/>
        <v>0</v>
      </c>
      <c r="AO2235"/>
      <c r="AP2235"/>
    </row>
    <row r="2236" spans="1:42" ht="66" x14ac:dyDescent="0.25">
      <c r="A2236" s="9"/>
      <c r="B2236" s="554" t="s">
        <v>2982</v>
      </c>
      <c r="C2236" s="1024"/>
      <c r="D2236" s="882">
        <v>50</v>
      </c>
      <c r="E2236" s="1025" t="s">
        <v>1767</v>
      </c>
      <c r="F2236" s="278" t="s">
        <v>3446</v>
      </c>
      <c r="G2236" s="1040" t="s">
        <v>3463</v>
      </c>
      <c r="H2236" s="273" t="s">
        <v>3462</v>
      </c>
      <c r="I2236" s="720">
        <f t="shared" si="495"/>
        <v>41.91</v>
      </c>
      <c r="J2236" s="756">
        <v>2095.5</v>
      </c>
      <c r="K2236" s="131">
        <f t="shared" si="492"/>
        <v>2095.5</v>
      </c>
      <c r="L2236" s="335">
        <f t="shared" si="496"/>
        <v>0</v>
      </c>
      <c r="M2236" s="446"/>
      <c r="N2236" s="446"/>
      <c r="O2236" s="446"/>
      <c r="P2236" s="446"/>
      <c r="Q2236" s="110">
        <v>13</v>
      </c>
      <c r="R2236" s="111">
        <f t="shared" ref="R2236:R2299" si="500">+J2236/4</f>
        <v>523.875</v>
      </c>
      <c r="S2236" s="110"/>
      <c r="T2236" s="110"/>
      <c r="U2236" s="110">
        <v>12</v>
      </c>
      <c r="V2236" s="111">
        <f t="shared" ref="V2236:V2299" si="501">+J2236/4</f>
        <v>523.875</v>
      </c>
      <c r="W2236" s="110"/>
      <c r="X2236" s="110"/>
      <c r="Y2236" s="110"/>
      <c r="Z2236" s="110"/>
      <c r="AA2236" s="110">
        <v>12</v>
      </c>
      <c r="AB2236" s="111">
        <f t="shared" si="490"/>
        <v>523.875</v>
      </c>
      <c r="AC2236" s="110"/>
      <c r="AD2236" s="110"/>
      <c r="AE2236" s="110">
        <v>13</v>
      </c>
      <c r="AF2236" s="111">
        <f t="shared" si="491"/>
        <v>523.875</v>
      </c>
      <c r="AG2236" s="110"/>
      <c r="AH2236" s="110"/>
      <c r="AI2236" s="110"/>
      <c r="AJ2236" s="110"/>
      <c r="AK2236" s="111">
        <f t="shared" si="497"/>
        <v>2095.5</v>
      </c>
      <c r="AL2236" s="446">
        <f t="shared" si="498"/>
        <v>0</v>
      </c>
      <c r="AM2236" s="110">
        <f t="shared" si="499"/>
        <v>50</v>
      </c>
      <c r="AN2236" s="447">
        <f t="shared" si="493"/>
        <v>0</v>
      </c>
      <c r="AO2236"/>
      <c r="AP2236"/>
    </row>
    <row r="2237" spans="1:42" ht="66" x14ac:dyDescent="0.25">
      <c r="A2237" s="9"/>
      <c r="B2237" s="554" t="s">
        <v>2983</v>
      </c>
      <c r="C2237" s="1024"/>
      <c r="D2237" s="882">
        <v>1</v>
      </c>
      <c r="E2237" s="251" t="s">
        <v>1767</v>
      </c>
      <c r="F2237" s="278" t="s">
        <v>3446</v>
      </c>
      <c r="G2237" s="1040" t="s">
        <v>3463</v>
      </c>
      <c r="H2237" s="273" t="s">
        <v>3462</v>
      </c>
      <c r="I2237" s="720">
        <f t="shared" si="495"/>
        <v>302.21640000000002</v>
      </c>
      <c r="J2237" s="756">
        <v>302.21640000000002</v>
      </c>
      <c r="K2237" s="131">
        <f t="shared" si="492"/>
        <v>302.21640000000002</v>
      </c>
      <c r="L2237" s="335">
        <f t="shared" si="496"/>
        <v>0</v>
      </c>
      <c r="M2237" s="446"/>
      <c r="N2237" s="446"/>
      <c r="O2237" s="446"/>
      <c r="P2237" s="446"/>
      <c r="Q2237" s="110">
        <v>1</v>
      </c>
      <c r="R2237" s="111">
        <v>302.22000000000003</v>
      </c>
      <c r="S2237" s="110"/>
      <c r="T2237" s="110"/>
      <c r="U2237" s="110">
        <v>0</v>
      </c>
      <c r="V2237" s="111">
        <v>0</v>
      </c>
      <c r="W2237" s="110"/>
      <c r="X2237" s="110"/>
      <c r="Y2237" s="110"/>
      <c r="Z2237" s="110"/>
      <c r="AA2237" s="110">
        <v>0</v>
      </c>
      <c r="AB2237" s="111">
        <v>0</v>
      </c>
      <c r="AC2237" s="110"/>
      <c r="AD2237" s="110"/>
      <c r="AE2237" s="110">
        <v>0</v>
      </c>
      <c r="AF2237" s="111">
        <v>0</v>
      </c>
      <c r="AG2237" s="110"/>
      <c r="AH2237" s="110"/>
      <c r="AI2237" s="110"/>
      <c r="AJ2237" s="110"/>
      <c r="AK2237" s="111">
        <f t="shared" si="497"/>
        <v>302.22000000000003</v>
      </c>
      <c r="AL2237" s="446">
        <f t="shared" si="498"/>
        <v>-3.6000000000058208E-3</v>
      </c>
      <c r="AM2237" s="110">
        <f t="shared" si="499"/>
        <v>1</v>
      </c>
      <c r="AN2237" s="447">
        <f t="shared" si="493"/>
        <v>0</v>
      </c>
      <c r="AO2237"/>
      <c r="AP2237"/>
    </row>
    <row r="2238" spans="1:42" ht="66" x14ac:dyDescent="0.25">
      <c r="A2238" s="9"/>
      <c r="B2238" s="554" t="s">
        <v>2984</v>
      </c>
      <c r="C2238" s="1024"/>
      <c r="D2238" s="882">
        <v>1</v>
      </c>
      <c r="E2238" s="251" t="s">
        <v>1767</v>
      </c>
      <c r="F2238" s="278" t="s">
        <v>3446</v>
      </c>
      <c r="G2238" s="1040" t="s">
        <v>3463</v>
      </c>
      <c r="H2238" s="273" t="s">
        <v>3462</v>
      </c>
      <c r="I2238" s="720">
        <f t="shared" si="495"/>
        <v>81.540000000000006</v>
      </c>
      <c r="J2238" s="756">
        <v>81.540000000000006</v>
      </c>
      <c r="K2238" s="131">
        <f t="shared" si="492"/>
        <v>81.540000000000006</v>
      </c>
      <c r="L2238" s="335">
        <f t="shared" si="496"/>
        <v>0</v>
      </c>
      <c r="M2238" s="446"/>
      <c r="N2238" s="446"/>
      <c r="O2238" s="446"/>
      <c r="P2238" s="446"/>
      <c r="Q2238" s="110">
        <v>1</v>
      </c>
      <c r="R2238" s="111">
        <v>81.540000000000006</v>
      </c>
      <c r="S2238" s="110"/>
      <c r="T2238" s="110"/>
      <c r="U2238" s="110">
        <v>0</v>
      </c>
      <c r="V2238" s="111">
        <v>0</v>
      </c>
      <c r="W2238" s="110"/>
      <c r="X2238" s="110"/>
      <c r="Y2238" s="110"/>
      <c r="Z2238" s="110"/>
      <c r="AA2238" s="110">
        <v>0</v>
      </c>
      <c r="AB2238" s="111">
        <v>0</v>
      </c>
      <c r="AC2238" s="110"/>
      <c r="AD2238" s="110"/>
      <c r="AE2238" s="110">
        <v>0</v>
      </c>
      <c r="AF2238" s="111">
        <v>0</v>
      </c>
      <c r="AG2238" s="110"/>
      <c r="AH2238" s="110"/>
      <c r="AI2238" s="110"/>
      <c r="AJ2238" s="110"/>
      <c r="AK2238" s="111">
        <f t="shared" si="497"/>
        <v>81.540000000000006</v>
      </c>
      <c r="AL2238" s="446">
        <f t="shared" si="498"/>
        <v>0</v>
      </c>
      <c r="AM2238" s="110">
        <f t="shared" si="499"/>
        <v>1</v>
      </c>
      <c r="AN2238" s="447">
        <f t="shared" si="493"/>
        <v>0</v>
      </c>
      <c r="AO2238"/>
      <c r="AP2238"/>
    </row>
    <row r="2239" spans="1:42" ht="66" x14ac:dyDescent="0.25">
      <c r="A2239" s="9"/>
      <c r="B2239" s="554" t="s">
        <v>2985</v>
      </c>
      <c r="C2239" s="1024"/>
      <c r="D2239" s="882">
        <v>1</v>
      </c>
      <c r="E2239" s="251" t="s">
        <v>1721</v>
      </c>
      <c r="F2239" s="278" t="s">
        <v>3446</v>
      </c>
      <c r="G2239" s="1040" t="s">
        <v>3463</v>
      </c>
      <c r="H2239" s="273" t="s">
        <v>3462</v>
      </c>
      <c r="I2239" s="720">
        <f t="shared" si="495"/>
        <v>21.38</v>
      </c>
      <c r="J2239" s="756">
        <v>21.38</v>
      </c>
      <c r="K2239" s="131">
        <f t="shared" si="492"/>
        <v>21.38</v>
      </c>
      <c r="L2239" s="335">
        <f t="shared" si="496"/>
        <v>0</v>
      </c>
      <c r="M2239" s="446"/>
      <c r="N2239" s="446"/>
      <c r="O2239" s="446"/>
      <c r="P2239" s="446"/>
      <c r="Q2239" s="110">
        <v>1</v>
      </c>
      <c r="R2239" s="111">
        <v>21.38</v>
      </c>
      <c r="S2239" s="110"/>
      <c r="T2239" s="110"/>
      <c r="U2239" s="110">
        <v>0</v>
      </c>
      <c r="V2239" s="111">
        <v>0</v>
      </c>
      <c r="W2239" s="110"/>
      <c r="X2239" s="110"/>
      <c r="Y2239" s="110"/>
      <c r="Z2239" s="110"/>
      <c r="AA2239" s="110">
        <v>0</v>
      </c>
      <c r="AB2239" s="111">
        <v>0</v>
      </c>
      <c r="AC2239" s="110"/>
      <c r="AD2239" s="110"/>
      <c r="AE2239" s="110">
        <v>0</v>
      </c>
      <c r="AF2239" s="111">
        <v>0</v>
      </c>
      <c r="AG2239" s="110"/>
      <c r="AH2239" s="110"/>
      <c r="AI2239" s="110"/>
      <c r="AJ2239" s="110"/>
      <c r="AK2239" s="111">
        <f t="shared" si="497"/>
        <v>21.38</v>
      </c>
      <c r="AL2239" s="446">
        <f t="shared" si="498"/>
        <v>0</v>
      </c>
      <c r="AM2239" s="110">
        <f t="shared" si="499"/>
        <v>1</v>
      </c>
      <c r="AN2239" s="447">
        <f t="shared" si="493"/>
        <v>0</v>
      </c>
      <c r="AO2239"/>
      <c r="AP2239"/>
    </row>
    <row r="2240" spans="1:42" ht="66" x14ac:dyDescent="0.25">
      <c r="A2240" s="9"/>
      <c r="B2240" s="528" t="s">
        <v>2986</v>
      </c>
      <c r="C2240" s="1024"/>
      <c r="D2240" s="882">
        <v>1</v>
      </c>
      <c r="E2240" s="251" t="s">
        <v>1767</v>
      </c>
      <c r="F2240" s="278" t="s">
        <v>3446</v>
      </c>
      <c r="G2240" s="1040" t="s">
        <v>3463</v>
      </c>
      <c r="H2240" s="273" t="s">
        <v>3462</v>
      </c>
      <c r="I2240" s="720">
        <f t="shared" si="495"/>
        <v>59.395248000000002</v>
      </c>
      <c r="J2240" s="756">
        <v>59.395248000000002</v>
      </c>
      <c r="K2240" s="131">
        <f t="shared" si="492"/>
        <v>59.395248000000002</v>
      </c>
      <c r="L2240" s="335">
        <f t="shared" si="496"/>
        <v>0</v>
      </c>
      <c r="M2240" s="446"/>
      <c r="N2240" s="446"/>
      <c r="O2240" s="446"/>
      <c r="P2240" s="446"/>
      <c r="Q2240" s="110">
        <v>1</v>
      </c>
      <c r="R2240" s="111">
        <v>59.4</v>
      </c>
      <c r="S2240" s="110"/>
      <c r="T2240" s="110"/>
      <c r="U2240" s="110">
        <v>0</v>
      </c>
      <c r="V2240" s="111">
        <v>0</v>
      </c>
      <c r="W2240" s="110"/>
      <c r="X2240" s="110"/>
      <c r="Y2240" s="110"/>
      <c r="Z2240" s="110"/>
      <c r="AA2240" s="110">
        <v>0</v>
      </c>
      <c r="AB2240" s="111">
        <v>0</v>
      </c>
      <c r="AC2240" s="110"/>
      <c r="AD2240" s="110"/>
      <c r="AE2240" s="110">
        <v>0</v>
      </c>
      <c r="AF2240" s="111">
        <v>0</v>
      </c>
      <c r="AG2240" s="110"/>
      <c r="AH2240" s="110"/>
      <c r="AI2240" s="110"/>
      <c r="AJ2240" s="110"/>
      <c r="AK2240" s="111">
        <f t="shared" si="497"/>
        <v>59.4</v>
      </c>
      <c r="AL2240" s="446">
        <f t="shared" si="498"/>
        <v>-4.7519999999963147E-3</v>
      </c>
      <c r="AM2240" s="110">
        <f t="shared" si="499"/>
        <v>1</v>
      </c>
      <c r="AN2240" s="447">
        <f t="shared" si="493"/>
        <v>0</v>
      </c>
      <c r="AO2240"/>
      <c r="AP2240"/>
    </row>
    <row r="2241" spans="1:42" ht="66" x14ac:dyDescent="0.25">
      <c r="A2241" s="9"/>
      <c r="B2241" s="528" t="s">
        <v>2987</v>
      </c>
      <c r="C2241" s="1024"/>
      <c r="D2241" s="882">
        <v>1</v>
      </c>
      <c r="E2241" s="251" t="s">
        <v>2992</v>
      </c>
      <c r="F2241" s="278" t="s">
        <v>3446</v>
      </c>
      <c r="G2241" s="1040" t="s">
        <v>3463</v>
      </c>
      <c r="H2241" s="273" t="s">
        <v>3462</v>
      </c>
      <c r="I2241" s="720">
        <f t="shared" si="495"/>
        <v>196.02</v>
      </c>
      <c r="J2241" s="756">
        <v>196.02</v>
      </c>
      <c r="K2241" s="131">
        <f t="shared" si="492"/>
        <v>196.02</v>
      </c>
      <c r="L2241" s="335">
        <f t="shared" si="496"/>
        <v>0</v>
      </c>
      <c r="M2241" s="446"/>
      <c r="N2241" s="446"/>
      <c r="O2241" s="446"/>
      <c r="P2241" s="446"/>
      <c r="Q2241" s="110">
        <v>1</v>
      </c>
      <c r="R2241" s="111">
        <v>196.02</v>
      </c>
      <c r="S2241" s="110"/>
      <c r="T2241" s="110"/>
      <c r="U2241" s="110">
        <v>0</v>
      </c>
      <c r="V2241" s="111">
        <v>0</v>
      </c>
      <c r="W2241" s="110"/>
      <c r="X2241" s="110"/>
      <c r="Y2241" s="110"/>
      <c r="Z2241" s="110"/>
      <c r="AA2241" s="110">
        <v>0</v>
      </c>
      <c r="AB2241" s="111">
        <v>0</v>
      </c>
      <c r="AC2241" s="110"/>
      <c r="AD2241" s="110"/>
      <c r="AE2241" s="110">
        <v>0</v>
      </c>
      <c r="AF2241" s="111">
        <v>0</v>
      </c>
      <c r="AG2241" s="110"/>
      <c r="AH2241" s="110"/>
      <c r="AI2241" s="110"/>
      <c r="AJ2241" s="110"/>
      <c r="AK2241" s="111">
        <f t="shared" si="497"/>
        <v>196.02</v>
      </c>
      <c r="AL2241" s="446">
        <f t="shared" si="498"/>
        <v>0</v>
      </c>
      <c r="AM2241" s="110">
        <f t="shared" si="499"/>
        <v>1</v>
      </c>
      <c r="AN2241" s="447">
        <f t="shared" si="493"/>
        <v>0</v>
      </c>
      <c r="AO2241"/>
      <c r="AP2241"/>
    </row>
    <row r="2242" spans="1:42" ht="66" x14ac:dyDescent="0.25">
      <c r="A2242" s="9"/>
      <c r="B2242" s="528" t="s">
        <v>2988</v>
      </c>
      <c r="C2242" s="1024"/>
      <c r="D2242" s="882">
        <v>1</v>
      </c>
      <c r="E2242" s="251" t="s">
        <v>1767</v>
      </c>
      <c r="F2242" s="278" t="s">
        <v>3446</v>
      </c>
      <c r="G2242" s="1040" t="s">
        <v>3463</v>
      </c>
      <c r="H2242" s="273" t="s">
        <v>3462</v>
      </c>
      <c r="I2242" s="720">
        <f t="shared" si="495"/>
        <v>53.46</v>
      </c>
      <c r="J2242" s="756">
        <v>53.46</v>
      </c>
      <c r="K2242" s="131">
        <f t="shared" si="492"/>
        <v>53.46</v>
      </c>
      <c r="L2242" s="335">
        <f t="shared" si="496"/>
        <v>0</v>
      </c>
      <c r="M2242" s="446"/>
      <c r="N2242" s="446"/>
      <c r="O2242" s="446"/>
      <c r="P2242" s="446"/>
      <c r="Q2242" s="110">
        <v>1</v>
      </c>
      <c r="R2242" s="111">
        <v>53.46</v>
      </c>
      <c r="S2242" s="110"/>
      <c r="T2242" s="110"/>
      <c r="U2242" s="110">
        <v>0</v>
      </c>
      <c r="V2242" s="111">
        <v>0</v>
      </c>
      <c r="W2242" s="110"/>
      <c r="X2242" s="110"/>
      <c r="Y2242" s="110"/>
      <c r="Z2242" s="110"/>
      <c r="AA2242" s="110">
        <v>0</v>
      </c>
      <c r="AB2242" s="111">
        <v>0</v>
      </c>
      <c r="AC2242" s="110"/>
      <c r="AD2242" s="110"/>
      <c r="AE2242" s="110">
        <v>0</v>
      </c>
      <c r="AF2242" s="111">
        <v>0</v>
      </c>
      <c r="AG2242" s="110"/>
      <c r="AH2242" s="110"/>
      <c r="AI2242" s="110"/>
      <c r="AJ2242" s="110"/>
      <c r="AK2242" s="111">
        <f t="shared" si="497"/>
        <v>53.46</v>
      </c>
      <c r="AL2242" s="446">
        <f t="shared" si="498"/>
        <v>0</v>
      </c>
      <c r="AM2242" s="110">
        <f t="shared" si="499"/>
        <v>1</v>
      </c>
      <c r="AN2242" s="447">
        <f t="shared" si="493"/>
        <v>0</v>
      </c>
      <c r="AO2242"/>
      <c r="AP2242"/>
    </row>
    <row r="2243" spans="1:42" ht="66" x14ac:dyDescent="0.25">
      <c r="A2243" s="9"/>
      <c r="B2243" s="528" t="s">
        <v>2989</v>
      </c>
      <c r="C2243" s="1024"/>
      <c r="D2243" s="882">
        <v>1</v>
      </c>
      <c r="E2243" s="251" t="s">
        <v>1767</v>
      </c>
      <c r="F2243" s="278" t="s">
        <v>3446</v>
      </c>
      <c r="G2243" s="1040" t="s">
        <v>3463</v>
      </c>
      <c r="H2243" s="273" t="s">
        <v>3462</v>
      </c>
      <c r="I2243" s="720">
        <f t="shared" si="495"/>
        <v>514.1400000000001</v>
      </c>
      <c r="J2243" s="756">
        <v>514.1400000000001</v>
      </c>
      <c r="K2243" s="131">
        <f t="shared" si="492"/>
        <v>514.1400000000001</v>
      </c>
      <c r="L2243" s="335">
        <f t="shared" si="496"/>
        <v>0</v>
      </c>
      <c r="M2243" s="446"/>
      <c r="N2243" s="446"/>
      <c r="O2243" s="446"/>
      <c r="P2243" s="446"/>
      <c r="Q2243" s="110">
        <v>1</v>
      </c>
      <c r="R2243" s="111">
        <v>514.14</v>
      </c>
      <c r="S2243" s="110"/>
      <c r="T2243" s="110"/>
      <c r="U2243" s="110">
        <v>0</v>
      </c>
      <c r="V2243" s="111">
        <v>0</v>
      </c>
      <c r="W2243" s="110"/>
      <c r="X2243" s="110"/>
      <c r="Y2243" s="110"/>
      <c r="Z2243" s="110"/>
      <c r="AA2243" s="110">
        <v>0</v>
      </c>
      <c r="AB2243" s="111">
        <v>0</v>
      </c>
      <c r="AC2243" s="110"/>
      <c r="AD2243" s="110"/>
      <c r="AE2243" s="110">
        <v>0</v>
      </c>
      <c r="AF2243" s="111">
        <v>0</v>
      </c>
      <c r="AG2243" s="110"/>
      <c r="AH2243" s="110"/>
      <c r="AI2243" s="110"/>
      <c r="AJ2243" s="110"/>
      <c r="AK2243" s="111">
        <f t="shared" si="497"/>
        <v>514.14</v>
      </c>
      <c r="AL2243" s="446">
        <f t="shared" si="498"/>
        <v>0</v>
      </c>
      <c r="AM2243" s="110">
        <f t="shared" si="499"/>
        <v>1</v>
      </c>
      <c r="AN2243" s="447">
        <f t="shared" si="493"/>
        <v>0</v>
      </c>
      <c r="AO2243"/>
      <c r="AP2243"/>
    </row>
    <row r="2244" spans="1:42" ht="66" x14ac:dyDescent="0.25">
      <c r="A2244" s="9"/>
      <c r="B2244" s="528" t="s">
        <v>2990</v>
      </c>
      <c r="C2244" s="1024"/>
      <c r="D2244" s="882">
        <v>1</v>
      </c>
      <c r="E2244" s="251" t="s">
        <v>1767</v>
      </c>
      <c r="F2244" s="278" t="s">
        <v>3446</v>
      </c>
      <c r="G2244" s="1040" t="s">
        <v>3463</v>
      </c>
      <c r="H2244" s="273" t="s">
        <v>3462</v>
      </c>
      <c r="I2244" s="720">
        <f t="shared" si="495"/>
        <v>723.6</v>
      </c>
      <c r="J2244" s="756">
        <v>723.6</v>
      </c>
      <c r="K2244" s="131">
        <f t="shared" si="492"/>
        <v>723.6</v>
      </c>
      <c r="L2244" s="335">
        <f t="shared" si="496"/>
        <v>0</v>
      </c>
      <c r="M2244" s="446"/>
      <c r="N2244" s="446"/>
      <c r="O2244" s="446"/>
      <c r="P2244" s="446"/>
      <c r="Q2244" s="110">
        <v>1</v>
      </c>
      <c r="R2244" s="111">
        <v>723.6</v>
      </c>
      <c r="S2244" s="110"/>
      <c r="T2244" s="110"/>
      <c r="U2244" s="110">
        <v>0</v>
      </c>
      <c r="V2244" s="111">
        <v>0</v>
      </c>
      <c r="W2244" s="110"/>
      <c r="X2244" s="110"/>
      <c r="Y2244" s="110"/>
      <c r="Z2244" s="110"/>
      <c r="AA2244" s="110">
        <v>0</v>
      </c>
      <c r="AB2244" s="111">
        <v>0</v>
      </c>
      <c r="AC2244" s="110"/>
      <c r="AD2244" s="110"/>
      <c r="AE2244" s="110">
        <v>0</v>
      </c>
      <c r="AF2244" s="111">
        <v>0</v>
      </c>
      <c r="AG2244" s="110"/>
      <c r="AH2244" s="110"/>
      <c r="AI2244" s="110"/>
      <c r="AJ2244" s="110"/>
      <c r="AK2244" s="111">
        <f t="shared" si="497"/>
        <v>723.6</v>
      </c>
      <c r="AL2244" s="446">
        <f t="shared" si="498"/>
        <v>0</v>
      </c>
      <c r="AM2244" s="110">
        <f t="shared" si="499"/>
        <v>1</v>
      </c>
      <c r="AN2244" s="447">
        <f t="shared" si="493"/>
        <v>0</v>
      </c>
      <c r="AO2244"/>
      <c r="AP2244"/>
    </row>
    <row r="2245" spans="1:42" ht="66" x14ac:dyDescent="0.25">
      <c r="A2245" s="9"/>
      <c r="B2245" s="528" t="s">
        <v>2991</v>
      </c>
      <c r="C2245" s="1024"/>
      <c r="D2245" s="882">
        <v>1</v>
      </c>
      <c r="E2245" s="251" t="s">
        <v>1767</v>
      </c>
      <c r="F2245" s="278" t="s">
        <v>3446</v>
      </c>
      <c r="G2245" s="1040" t="s">
        <v>3463</v>
      </c>
      <c r="H2245" s="273" t="s">
        <v>3462</v>
      </c>
      <c r="I2245" s="720">
        <f t="shared" si="495"/>
        <v>432</v>
      </c>
      <c r="J2245" s="756">
        <v>432</v>
      </c>
      <c r="K2245" s="131">
        <f t="shared" si="492"/>
        <v>432</v>
      </c>
      <c r="L2245" s="335">
        <f t="shared" si="496"/>
        <v>0</v>
      </c>
      <c r="M2245" s="446"/>
      <c r="N2245" s="446"/>
      <c r="O2245" s="446"/>
      <c r="P2245" s="446"/>
      <c r="Q2245" s="110">
        <v>1</v>
      </c>
      <c r="R2245" s="111">
        <v>432</v>
      </c>
      <c r="S2245" s="110"/>
      <c r="T2245" s="110"/>
      <c r="U2245" s="110">
        <v>0</v>
      </c>
      <c r="V2245" s="111">
        <v>0</v>
      </c>
      <c r="W2245" s="110"/>
      <c r="X2245" s="110"/>
      <c r="Y2245" s="110"/>
      <c r="Z2245" s="110"/>
      <c r="AA2245" s="110">
        <v>0</v>
      </c>
      <c r="AB2245" s="111">
        <v>0</v>
      </c>
      <c r="AC2245" s="110"/>
      <c r="AD2245" s="110"/>
      <c r="AE2245" s="110">
        <v>0</v>
      </c>
      <c r="AF2245" s="111">
        <v>0</v>
      </c>
      <c r="AG2245" s="110"/>
      <c r="AH2245" s="110"/>
      <c r="AI2245" s="110"/>
      <c r="AJ2245" s="110"/>
      <c r="AK2245" s="111">
        <f t="shared" si="497"/>
        <v>432</v>
      </c>
      <c r="AL2245" s="446">
        <f t="shared" si="498"/>
        <v>0</v>
      </c>
      <c r="AM2245" s="110">
        <f t="shared" si="499"/>
        <v>1</v>
      </c>
      <c r="AN2245" s="447">
        <f t="shared" si="493"/>
        <v>0</v>
      </c>
      <c r="AO2245"/>
      <c r="AP2245"/>
    </row>
    <row r="2246" spans="1:42" x14ac:dyDescent="0.25">
      <c r="A2246" s="433"/>
      <c r="B2246" s="478"/>
      <c r="C2246" s="7"/>
      <c r="D2246" s="869"/>
      <c r="E2246" s="1027"/>
      <c r="F2246" s="272"/>
      <c r="G2246" s="272"/>
      <c r="H2246" s="272"/>
      <c r="I2246" s="720"/>
      <c r="J2246" s="763"/>
      <c r="K2246" s="131"/>
      <c r="L2246" s="335"/>
      <c r="M2246" s="446"/>
      <c r="N2246" s="446"/>
      <c r="O2246" s="446"/>
      <c r="P2246" s="446"/>
      <c r="Q2246" s="110"/>
      <c r="R2246" s="111"/>
      <c r="S2246" s="110"/>
      <c r="T2246" s="110"/>
      <c r="U2246" s="110"/>
      <c r="V2246" s="111"/>
      <c r="W2246" s="110"/>
      <c r="X2246" s="110"/>
      <c r="Y2246" s="110"/>
      <c r="Z2246" s="110"/>
      <c r="AA2246" s="110"/>
      <c r="AB2246" s="111"/>
      <c r="AC2246" s="110"/>
      <c r="AD2246" s="110"/>
      <c r="AE2246" s="110"/>
      <c r="AF2246" s="111"/>
      <c r="AG2246" s="110"/>
      <c r="AH2246" s="110"/>
      <c r="AI2246" s="110"/>
      <c r="AJ2246" s="110"/>
      <c r="AK2246" s="111"/>
      <c r="AL2246" s="446"/>
      <c r="AM2246" s="110"/>
      <c r="AN2246" s="447"/>
      <c r="AO2246"/>
      <c r="AP2246"/>
    </row>
    <row r="2247" spans="1:42" x14ac:dyDescent="0.25">
      <c r="A2247" s="310">
        <v>24703</v>
      </c>
      <c r="B2247" s="551" t="s">
        <v>587</v>
      </c>
      <c r="C2247" s="311"/>
      <c r="D2247" s="915"/>
      <c r="E2247" s="312"/>
      <c r="F2247" s="313"/>
      <c r="G2247" s="313"/>
      <c r="H2247" s="313"/>
      <c r="I2247" s="729"/>
      <c r="J2247" s="800"/>
      <c r="K2247" s="131">
        <f t="shared" si="492"/>
        <v>0</v>
      </c>
      <c r="L2247" s="335">
        <f t="shared" si="496"/>
        <v>0</v>
      </c>
      <c r="M2247" s="421"/>
      <c r="N2247" s="421"/>
      <c r="O2247" s="421"/>
      <c r="P2247" s="421"/>
      <c r="Q2247" s="387">
        <f t="shared" ref="Q2247:Q2291" si="502">+$D2247/4</f>
        <v>0</v>
      </c>
      <c r="R2247" s="314">
        <f t="shared" si="500"/>
        <v>0</v>
      </c>
      <c r="S2247" s="387"/>
      <c r="T2247" s="387"/>
      <c r="U2247" s="387">
        <f t="shared" ref="U2247:U2291" si="503">+$D2247/4</f>
        <v>0</v>
      </c>
      <c r="V2247" s="314">
        <f t="shared" si="501"/>
        <v>0</v>
      </c>
      <c r="W2247" s="387"/>
      <c r="X2247" s="387"/>
      <c r="Y2247" s="387"/>
      <c r="Z2247" s="387"/>
      <c r="AA2247" s="387">
        <f t="shared" ref="AA2247:AE2288" si="504">+$D2247/4</f>
        <v>0</v>
      </c>
      <c r="AB2247" s="314">
        <f t="shared" ref="AB2247:AB2310" si="505">+J2247/4</f>
        <v>0</v>
      </c>
      <c r="AC2247" s="387"/>
      <c r="AD2247" s="387"/>
      <c r="AE2247" s="387">
        <f t="shared" si="504"/>
        <v>0</v>
      </c>
      <c r="AF2247" s="314">
        <f t="shared" ref="AF2247:AF2310" si="506">+J2247/4</f>
        <v>0</v>
      </c>
      <c r="AG2247" s="387"/>
      <c r="AH2247" s="387"/>
      <c r="AI2247" s="387"/>
      <c r="AJ2247" s="387"/>
      <c r="AK2247" s="314">
        <f t="shared" si="497"/>
        <v>0</v>
      </c>
      <c r="AL2247" s="446">
        <f t="shared" si="498"/>
        <v>0</v>
      </c>
      <c r="AM2247" s="110">
        <f t="shared" si="499"/>
        <v>0</v>
      </c>
      <c r="AN2247" s="447">
        <f t="shared" si="493"/>
        <v>0</v>
      </c>
      <c r="AO2247" s="436">
        <f>SUM(J2248:J2259)</f>
        <v>4828.2723680000008</v>
      </c>
      <c r="AP2247" s="111"/>
    </row>
    <row r="2248" spans="1:42" ht="66" x14ac:dyDescent="0.25">
      <c r="A2248" s="433"/>
      <c r="B2248" s="501" t="s">
        <v>1229</v>
      </c>
      <c r="C2248" s="7"/>
      <c r="D2248" s="869">
        <v>5</v>
      </c>
      <c r="E2248" s="1027" t="s">
        <v>1827</v>
      </c>
      <c r="F2248" s="273" t="s">
        <v>3446</v>
      </c>
      <c r="G2248" s="1040" t="s">
        <v>3463</v>
      </c>
      <c r="H2248" s="273" t="s">
        <v>3462</v>
      </c>
      <c r="I2248" s="720">
        <f t="shared" ref="I2248:I2259" si="507">+J2248/D2248</f>
        <v>151.58879999999999</v>
      </c>
      <c r="J2248" s="756">
        <v>757.94399999999996</v>
      </c>
      <c r="K2248" s="131">
        <f t="shared" si="492"/>
        <v>757.94399999999996</v>
      </c>
      <c r="L2248" s="335">
        <f t="shared" si="496"/>
        <v>0</v>
      </c>
      <c r="M2248" s="446"/>
      <c r="N2248" s="446"/>
      <c r="O2248" s="446"/>
      <c r="P2248" s="446"/>
      <c r="Q2248" s="110">
        <v>2</v>
      </c>
      <c r="R2248" s="111">
        <f t="shared" si="500"/>
        <v>189.48599999999999</v>
      </c>
      <c r="S2248" s="110"/>
      <c r="T2248" s="110"/>
      <c r="U2248" s="110">
        <v>1</v>
      </c>
      <c r="V2248" s="111">
        <f t="shared" si="501"/>
        <v>189.48599999999999</v>
      </c>
      <c r="W2248" s="110"/>
      <c r="X2248" s="110"/>
      <c r="Y2248" s="110"/>
      <c r="Z2248" s="110"/>
      <c r="AA2248" s="110">
        <v>1</v>
      </c>
      <c r="AB2248" s="111">
        <f t="shared" si="505"/>
        <v>189.48599999999999</v>
      </c>
      <c r="AC2248" s="110"/>
      <c r="AD2248" s="110"/>
      <c r="AE2248" s="110">
        <v>1</v>
      </c>
      <c r="AF2248" s="111">
        <f t="shared" si="506"/>
        <v>189.48599999999999</v>
      </c>
      <c r="AG2248" s="110"/>
      <c r="AH2248" s="110"/>
      <c r="AI2248" s="110"/>
      <c r="AJ2248" s="110"/>
      <c r="AK2248" s="111">
        <f t="shared" si="497"/>
        <v>757.94399999999996</v>
      </c>
      <c r="AL2248" s="446">
        <f t="shared" si="498"/>
        <v>0</v>
      </c>
      <c r="AM2248" s="110">
        <f t="shared" si="499"/>
        <v>5</v>
      </c>
      <c r="AN2248" s="447">
        <f t="shared" si="493"/>
        <v>0</v>
      </c>
      <c r="AO2248"/>
      <c r="AP2248"/>
    </row>
    <row r="2249" spans="1:42" ht="66" x14ac:dyDescent="0.25">
      <c r="A2249" s="433"/>
      <c r="B2249" s="501" t="s">
        <v>1230</v>
      </c>
      <c r="C2249" s="7"/>
      <c r="D2249" s="916">
        <v>20</v>
      </c>
      <c r="E2249" s="1027"/>
      <c r="F2249" s="278" t="s">
        <v>3446</v>
      </c>
      <c r="G2249" s="1040" t="s">
        <v>3463</v>
      </c>
      <c r="H2249" s="273" t="s">
        <v>3462</v>
      </c>
      <c r="I2249" s="720">
        <f t="shared" si="507"/>
        <v>13.780799999999999</v>
      </c>
      <c r="J2249" s="756">
        <v>275.61599999999999</v>
      </c>
      <c r="K2249" s="131">
        <f t="shared" si="492"/>
        <v>275.61599999999999</v>
      </c>
      <c r="L2249" s="335">
        <f t="shared" si="496"/>
        <v>0</v>
      </c>
      <c r="M2249" s="446"/>
      <c r="N2249" s="446"/>
      <c r="O2249" s="446"/>
      <c r="P2249" s="446"/>
      <c r="Q2249" s="110">
        <f t="shared" si="502"/>
        <v>5</v>
      </c>
      <c r="R2249" s="111">
        <f t="shared" si="500"/>
        <v>68.903999999999996</v>
      </c>
      <c r="S2249" s="110"/>
      <c r="T2249" s="110"/>
      <c r="U2249" s="110">
        <f t="shared" si="503"/>
        <v>5</v>
      </c>
      <c r="V2249" s="111">
        <f t="shared" si="501"/>
        <v>68.903999999999996</v>
      </c>
      <c r="W2249" s="110"/>
      <c r="X2249" s="110"/>
      <c r="Y2249" s="110"/>
      <c r="Z2249" s="110"/>
      <c r="AA2249" s="110">
        <f t="shared" si="504"/>
        <v>5</v>
      </c>
      <c r="AB2249" s="111">
        <f t="shared" si="505"/>
        <v>68.903999999999996</v>
      </c>
      <c r="AC2249" s="110"/>
      <c r="AD2249" s="110"/>
      <c r="AE2249" s="110">
        <f t="shared" si="504"/>
        <v>5</v>
      </c>
      <c r="AF2249" s="111">
        <f t="shared" si="506"/>
        <v>68.903999999999996</v>
      </c>
      <c r="AG2249" s="110"/>
      <c r="AH2249" s="110"/>
      <c r="AI2249" s="110"/>
      <c r="AJ2249" s="110"/>
      <c r="AK2249" s="111">
        <f t="shared" si="497"/>
        <v>275.61599999999999</v>
      </c>
      <c r="AL2249" s="446">
        <f t="shared" si="498"/>
        <v>0</v>
      </c>
      <c r="AM2249" s="110">
        <f t="shared" si="499"/>
        <v>20</v>
      </c>
      <c r="AN2249" s="447">
        <f t="shared" si="493"/>
        <v>0</v>
      </c>
      <c r="AO2249"/>
      <c r="AP2249"/>
    </row>
    <row r="2250" spans="1:42" ht="66" x14ac:dyDescent="0.25">
      <c r="A2250" s="433"/>
      <c r="B2250" s="501" t="s">
        <v>1231</v>
      </c>
      <c r="C2250" s="7"/>
      <c r="D2250" s="916">
        <v>20</v>
      </c>
      <c r="E2250" s="1027"/>
      <c r="F2250" s="278" t="s">
        <v>3446</v>
      </c>
      <c r="G2250" s="1040" t="s">
        <v>3463</v>
      </c>
      <c r="H2250" s="273" t="s">
        <v>3462</v>
      </c>
      <c r="I2250" s="720">
        <f t="shared" si="507"/>
        <v>6.8903999999999996</v>
      </c>
      <c r="J2250" s="756">
        <v>137.80799999999999</v>
      </c>
      <c r="K2250" s="131">
        <f t="shared" si="492"/>
        <v>137.80799999999999</v>
      </c>
      <c r="L2250" s="335">
        <f t="shared" si="496"/>
        <v>0</v>
      </c>
      <c r="M2250" s="446"/>
      <c r="N2250" s="446"/>
      <c r="O2250" s="446"/>
      <c r="P2250" s="446"/>
      <c r="Q2250" s="110">
        <f t="shared" si="502"/>
        <v>5</v>
      </c>
      <c r="R2250" s="111">
        <f t="shared" si="500"/>
        <v>34.451999999999998</v>
      </c>
      <c r="S2250" s="110"/>
      <c r="T2250" s="110"/>
      <c r="U2250" s="110">
        <f t="shared" si="503"/>
        <v>5</v>
      </c>
      <c r="V2250" s="111">
        <f t="shared" si="501"/>
        <v>34.451999999999998</v>
      </c>
      <c r="W2250" s="110"/>
      <c r="X2250" s="110"/>
      <c r="Y2250" s="110"/>
      <c r="Z2250" s="110"/>
      <c r="AA2250" s="110">
        <f t="shared" si="504"/>
        <v>5</v>
      </c>
      <c r="AB2250" s="111">
        <f t="shared" si="505"/>
        <v>34.451999999999998</v>
      </c>
      <c r="AC2250" s="110"/>
      <c r="AD2250" s="110"/>
      <c r="AE2250" s="110">
        <f t="shared" si="504"/>
        <v>5</v>
      </c>
      <c r="AF2250" s="111">
        <f t="shared" si="506"/>
        <v>34.451999999999998</v>
      </c>
      <c r="AG2250" s="110"/>
      <c r="AH2250" s="110"/>
      <c r="AI2250" s="110"/>
      <c r="AJ2250" s="110"/>
      <c r="AK2250" s="111">
        <f t="shared" si="497"/>
        <v>137.80799999999999</v>
      </c>
      <c r="AL2250" s="446">
        <f t="shared" si="498"/>
        <v>0</v>
      </c>
      <c r="AM2250" s="110">
        <f t="shared" si="499"/>
        <v>20</v>
      </c>
      <c r="AN2250" s="447">
        <f t="shared" si="493"/>
        <v>0</v>
      </c>
      <c r="AO2250"/>
      <c r="AP2250"/>
    </row>
    <row r="2251" spans="1:42" ht="66" x14ac:dyDescent="0.25">
      <c r="A2251" s="433"/>
      <c r="B2251" s="527" t="s">
        <v>1232</v>
      </c>
      <c r="C2251" s="7"/>
      <c r="D2251" s="916">
        <v>1</v>
      </c>
      <c r="E2251" s="1027" t="s">
        <v>1721</v>
      </c>
      <c r="F2251" s="278" t="s">
        <v>3446</v>
      </c>
      <c r="G2251" s="1040" t="s">
        <v>3463</v>
      </c>
      <c r="H2251" s="273" t="s">
        <v>3462</v>
      </c>
      <c r="I2251" s="720">
        <f t="shared" si="507"/>
        <v>32.4</v>
      </c>
      <c r="J2251" s="756">
        <v>32.4</v>
      </c>
      <c r="K2251" s="131">
        <f t="shared" si="492"/>
        <v>32.4</v>
      </c>
      <c r="L2251" s="335">
        <f t="shared" si="496"/>
        <v>0</v>
      </c>
      <c r="M2251" s="446"/>
      <c r="N2251" s="446"/>
      <c r="O2251" s="446"/>
      <c r="P2251" s="446"/>
      <c r="Q2251" s="110">
        <v>1</v>
      </c>
      <c r="R2251" s="111">
        <v>32.4</v>
      </c>
      <c r="S2251" s="110"/>
      <c r="T2251" s="110"/>
      <c r="U2251" s="110">
        <v>0</v>
      </c>
      <c r="V2251" s="111">
        <v>0</v>
      </c>
      <c r="W2251" s="110"/>
      <c r="X2251" s="110"/>
      <c r="Y2251" s="110"/>
      <c r="Z2251" s="110"/>
      <c r="AA2251" s="110">
        <v>0</v>
      </c>
      <c r="AB2251" s="111">
        <v>0</v>
      </c>
      <c r="AC2251" s="110"/>
      <c r="AD2251" s="110"/>
      <c r="AE2251" s="110">
        <v>0</v>
      </c>
      <c r="AF2251" s="111">
        <v>0</v>
      </c>
      <c r="AG2251" s="110"/>
      <c r="AH2251" s="110"/>
      <c r="AI2251" s="110"/>
      <c r="AJ2251" s="110"/>
      <c r="AK2251" s="111">
        <f t="shared" si="497"/>
        <v>32.4</v>
      </c>
      <c r="AL2251" s="446">
        <f t="shared" si="498"/>
        <v>0</v>
      </c>
      <c r="AM2251" s="110">
        <f t="shared" si="499"/>
        <v>1</v>
      </c>
      <c r="AN2251" s="447">
        <f t="shared" si="493"/>
        <v>0</v>
      </c>
      <c r="AO2251"/>
      <c r="AP2251"/>
    </row>
    <row r="2252" spans="1:42" ht="66" x14ac:dyDescent="0.25">
      <c r="A2252" s="433"/>
      <c r="B2252" s="527" t="s">
        <v>1233</v>
      </c>
      <c r="C2252" s="7"/>
      <c r="D2252" s="916">
        <v>3</v>
      </c>
      <c r="E2252" s="1027"/>
      <c r="F2252" s="278" t="s">
        <v>3446</v>
      </c>
      <c r="G2252" s="1040" t="s">
        <v>3463</v>
      </c>
      <c r="H2252" s="273" t="s">
        <v>3462</v>
      </c>
      <c r="I2252" s="720">
        <f t="shared" si="507"/>
        <v>957.76560000000006</v>
      </c>
      <c r="J2252" s="756">
        <v>2873.2968000000001</v>
      </c>
      <c r="K2252" s="131">
        <f t="shared" si="492"/>
        <v>2873.2968000000001</v>
      </c>
      <c r="L2252" s="335">
        <f t="shared" si="496"/>
        <v>0</v>
      </c>
      <c r="M2252" s="446"/>
      <c r="N2252" s="446"/>
      <c r="O2252" s="446"/>
      <c r="P2252" s="446"/>
      <c r="Q2252" s="130">
        <v>1</v>
      </c>
      <c r="R2252" s="111">
        <v>957.77</v>
      </c>
      <c r="S2252" s="110"/>
      <c r="T2252" s="110"/>
      <c r="U2252" s="130">
        <v>1</v>
      </c>
      <c r="V2252" s="111">
        <v>957.77</v>
      </c>
      <c r="W2252" s="110"/>
      <c r="X2252" s="110"/>
      <c r="Y2252" s="110"/>
      <c r="Z2252" s="110"/>
      <c r="AA2252" s="130">
        <v>1</v>
      </c>
      <c r="AB2252" s="111">
        <v>957.77</v>
      </c>
      <c r="AC2252" s="110"/>
      <c r="AD2252" s="110"/>
      <c r="AE2252" s="130">
        <v>0</v>
      </c>
      <c r="AF2252" s="111">
        <v>0</v>
      </c>
      <c r="AG2252" s="110"/>
      <c r="AH2252" s="110"/>
      <c r="AI2252" s="110"/>
      <c r="AJ2252" s="110"/>
      <c r="AK2252" s="111">
        <f t="shared" si="497"/>
        <v>2873.31</v>
      </c>
      <c r="AL2252" s="446">
        <f t="shared" si="498"/>
        <v>-1.319999999986976E-2</v>
      </c>
      <c r="AM2252" s="110">
        <f t="shared" si="499"/>
        <v>3</v>
      </c>
      <c r="AN2252" s="447">
        <f t="shared" si="493"/>
        <v>0</v>
      </c>
      <c r="AO2252"/>
      <c r="AP2252"/>
    </row>
    <row r="2253" spans="1:42" ht="66" x14ac:dyDescent="0.25">
      <c r="A2253" s="433"/>
      <c r="B2253" s="147" t="s">
        <v>1447</v>
      </c>
      <c r="C2253" s="7"/>
      <c r="D2253" s="916">
        <v>3</v>
      </c>
      <c r="E2253" s="1027"/>
      <c r="F2253" s="278" t="s">
        <v>3446</v>
      </c>
      <c r="G2253" s="1040" t="s">
        <v>3463</v>
      </c>
      <c r="H2253" s="273" t="s">
        <v>3462</v>
      </c>
      <c r="I2253" s="720">
        <f t="shared" si="507"/>
        <v>8.7347999999999999</v>
      </c>
      <c r="J2253" s="756">
        <v>26.2044</v>
      </c>
      <c r="K2253" s="131">
        <f t="shared" si="492"/>
        <v>26.2044</v>
      </c>
      <c r="L2253" s="335">
        <f t="shared" si="496"/>
        <v>0</v>
      </c>
      <c r="M2253" s="446"/>
      <c r="N2253" s="446"/>
      <c r="O2253" s="446"/>
      <c r="P2253" s="446"/>
      <c r="Q2253" s="130">
        <v>3</v>
      </c>
      <c r="R2253" s="111">
        <v>26.2</v>
      </c>
      <c r="S2253" s="110"/>
      <c r="T2253" s="110"/>
      <c r="U2253" s="130">
        <v>0</v>
      </c>
      <c r="V2253" s="111">
        <v>0</v>
      </c>
      <c r="W2253" s="110"/>
      <c r="X2253" s="110"/>
      <c r="Y2253" s="110"/>
      <c r="Z2253" s="110"/>
      <c r="AA2253" s="130">
        <v>0</v>
      </c>
      <c r="AB2253" s="111">
        <v>0</v>
      </c>
      <c r="AC2253" s="110"/>
      <c r="AD2253" s="110"/>
      <c r="AE2253" s="130">
        <v>0</v>
      </c>
      <c r="AF2253" s="111">
        <v>0</v>
      </c>
      <c r="AG2253" s="110"/>
      <c r="AH2253" s="110"/>
      <c r="AI2253" s="110"/>
      <c r="AJ2253" s="110"/>
      <c r="AK2253" s="111">
        <f t="shared" si="497"/>
        <v>26.2</v>
      </c>
      <c r="AL2253" s="446">
        <f t="shared" si="498"/>
        <v>4.4000000000004036E-3</v>
      </c>
      <c r="AM2253" s="110">
        <f t="shared" si="499"/>
        <v>3</v>
      </c>
      <c r="AN2253" s="447">
        <f t="shared" si="493"/>
        <v>0</v>
      </c>
      <c r="AO2253"/>
      <c r="AP2253"/>
    </row>
    <row r="2254" spans="1:42" ht="66" x14ac:dyDescent="0.25">
      <c r="A2254" s="433"/>
      <c r="B2254" s="147" t="s">
        <v>1448</v>
      </c>
      <c r="C2254" s="7"/>
      <c r="D2254" s="916">
        <v>6</v>
      </c>
      <c r="E2254" s="1027"/>
      <c r="F2254" s="278" t="s">
        <v>3446</v>
      </c>
      <c r="G2254" s="1040" t="s">
        <v>3463</v>
      </c>
      <c r="H2254" s="273" t="s">
        <v>3462</v>
      </c>
      <c r="I2254" s="720">
        <f t="shared" si="507"/>
        <v>47.014800000000001</v>
      </c>
      <c r="J2254" s="756">
        <v>282.08879999999999</v>
      </c>
      <c r="K2254" s="131">
        <f t="shared" si="492"/>
        <v>282.08879999999999</v>
      </c>
      <c r="L2254" s="335">
        <f t="shared" si="496"/>
        <v>0</v>
      </c>
      <c r="M2254" s="446"/>
      <c r="N2254" s="446"/>
      <c r="O2254" s="446"/>
      <c r="P2254" s="446"/>
      <c r="Q2254" s="130">
        <v>2</v>
      </c>
      <c r="R2254" s="111">
        <f t="shared" si="500"/>
        <v>70.522199999999998</v>
      </c>
      <c r="S2254" s="110"/>
      <c r="T2254" s="110"/>
      <c r="U2254" s="130">
        <v>2</v>
      </c>
      <c r="V2254" s="111">
        <f t="shared" si="501"/>
        <v>70.522199999999998</v>
      </c>
      <c r="W2254" s="110"/>
      <c r="X2254" s="110"/>
      <c r="Y2254" s="110"/>
      <c r="Z2254" s="110"/>
      <c r="AA2254" s="130">
        <v>1</v>
      </c>
      <c r="AB2254" s="111">
        <f t="shared" si="505"/>
        <v>70.522199999999998</v>
      </c>
      <c r="AC2254" s="110"/>
      <c r="AD2254" s="110"/>
      <c r="AE2254" s="130">
        <v>1</v>
      </c>
      <c r="AF2254" s="111">
        <f t="shared" si="506"/>
        <v>70.522199999999998</v>
      </c>
      <c r="AG2254" s="110"/>
      <c r="AH2254" s="110"/>
      <c r="AI2254" s="110"/>
      <c r="AJ2254" s="110"/>
      <c r="AK2254" s="111">
        <f t="shared" si="497"/>
        <v>282.08879999999999</v>
      </c>
      <c r="AL2254" s="446">
        <f t="shared" si="498"/>
        <v>0</v>
      </c>
      <c r="AM2254" s="110">
        <f t="shared" si="499"/>
        <v>6</v>
      </c>
      <c r="AN2254" s="447">
        <f t="shared" si="493"/>
        <v>0</v>
      </c>
      <c r="AO2254"/>
      <c r="AP2254"/>
    </row>
    <row r="2255" spans="1:42" ht="66" x14ac:dyDescent="0.25">
      <c r="A2255" s="433"/>
      <c r="B2255" s="147" t="s">
        <v>1449</v>
      </c>
      <c r="C2255" s="7"/>
      <c r="D2255" s="916">
        <v>3</v>
      </c>
      <c r="E2255" s="1027"/>
      <c r="F2255" s="278" t="s">
        <v>3446</v>
      </c>
      <c r="G2255" s="1040" t="s">
        <v>3463</v>
      </c>
      <c r="H2255" s="273" t="s">
        <v>3462</v>
      </c>
      <c r="I2255" s="720">
        <f t="shared" si="507"/>
        <v>42.305199999999999</v>
      </c>
      <c r="J2255" s="756">
        <v>126.9156</v>
      </c>
      <c r="K2255" s="131">
        <f t="shared" si="492"/>
        <v>126.9156</v>
      </c>
      <c r="L2255" s="335">
        <f t="shared" si="496"/>
        <v>0</v>
      </c>
      <c r="M2255" s="446"/>
      <c r="N2255" s="446"/>
      <c r="O2255" s="446"/>
      <c r="P2255" s="446"/>
      <c r="Q2255" s="130">
        <v>1</v>
      </c>
      <c r="R2255" s="111">
        <v>42.31</v>
      </c>
      <c r="S2255" s="110"/>
      <c r="T2255" s="110"/>
      <c r="U2255" s="130">
        <v>1</v>
      </c>
      <c r="V2255" s="111">
        <v>42.31</v>
      </c>
      <c r="W2255" s="110"/>
      <c r="X2255" s="110"/>
      <c r="Y2255" s="110"/>
      <c r="Z2255" s="110"/>
      <c r="AA2255" s="130">
        <v>1</v>
      </c>
      <c r="AB2255" s="111">
        <v>42.31</v>
      </c>
      <c r="AC2255" s="110"/>
      <c r="AD2255" s="110"/>
      <c r="AE2255" s="130">
        <v>0</v>
      </c>
      <c r="AF2255" s="111">
        <v>0</v>
      </c>
      <c r="AG2255" s="110"/>
      <c r="AH2255" s="110"/>
      <c r="AI2255" s="110"/>
      <c r="AJ2255" s="110"/>
      <c r="AK2255" s="111">
        <f t="shared" si="497"/>
        <v>126.93</v>
      </c>
      <c r="AL2255" s="446">
        <f t="shared" si="498"/>
        <v>-1.4400000000009072E-2</v>
      </c>
      <c r="AM2255" s="110">
        <f t="shared" si="499"/>
        <v>3</v>
      </c>
      <c r="AN2255" s="447">
        <f t="shared" si="493"/>
        <v>0</v>
      </c>
      <c r="AO2255"/>
      <c r="AP2255"/>
    </row>
    <row r="2256" spans="1:42" ht="66" x14ac:dyDescent="0.25">
      <c r="A2256" s="433"/>
      <c r="B2256" s="554" t="s">
        <v>2993</v>
      </c>
      <c r="C2256" s="7"/>
      <c r="D2256" s="882">
        <v>1</v>
      </c>
      <c r="E2256" s="251" t="s">
        <v>1767</v>
      </c>
      <c r="F2256" s="278" t="s">
        <v>3446</v>
      </c>
      <c r="G2256" s="1040" t="s">
        <v>3463</v>
      </c>
      <c r="H2256" s="273" t="s">
        <v>3462</v>
      </c>
      <c r="I2256" s="720">
        <f t="shared" si="507"/>
        <v>26.997840000000004</v>
      </c>
      <c r="J2256" s="756">
        <v>26.997840000000004</v>
      </c>
      <c r="K2256" s="131">
        <f t="shared" si="492"/>
        <v>26.997840000000004</v>
      </c>
      <c r="L2256" s="335">
        <f t="shared" si="496"/>
        <v>0</v>
      </c>
      <c r="M2256" s="446"/>
      <c r="N2256" s="446"/>
      <c r="O2256" s="446"/>
      <c r="P2256" s="446"/>
      <c r="Q2256" s="110">
        <v>1</v>
      </c>
      <c r="R2256" s="111">
        <v>27</v>
      </c>
      <c r="S2256" s="110"/>
      <c r="T2256" s="110"/>
      <c r="U2256" s="110">
        <v>0</v>
      </c>
      <c r="V2256" s="111">
        <v>0</v>
      </c>
      <c r="W2256" s="110"/>
      <c r="X2256" s="110"/>
      <c r="Y2256" s="110"/>
      <c r="Z2256" s="110"/>
      <c r="AA2256" s="110">
        <v>0</v>
      </c>
      <c r="AB2256" s="111">
        <v>0</v>
      </c>
      <c r="AC2256" s="110"/>
      <c r="AD2256" s="110"/>
      <c r="AE2256" s="110">
        <v>0</v>
      </c>
      <c r="AF2256" s="111">
        <v>0</v>
      </c>
      <c r="AG2256" s="110"/>
      <c r="AH2256" s="110"/>
      <c r="AI2256" s="110"/>
      <c r="AJ2256" s="110"/>
      <c r="AK2256" s="111">
        <f t="shared" si="497"/>
        <v>27</v>
      </c>
      <c r="AL2256" s="446">
        <f t="shared" si="498"/>
        <v>-2.159999999996387E-3</v>
      </c>
      <c r="AM2256" s="110">
        <f t="shared" si="499"/>
        <v>1</v>
      </c>
      <c r="AN2256" s="447">
        <f t="shared" si="493"/>
        <v>0</v>
      </c>
      <c r="AO2256"/>
      <c r="AP2256"/>
    </row>
    <row r="2257" spans="1:42" ht="66" x14ac:dyDescent="0.25">
      <c r="A2257" s="433"/>
      <c r="B2257" s="554" t="s">
        <v>2994</v>
      </c>
      <c r="C2257" s="7"/>
      <c r="D2257" s="882">
        <v>1</v>
      </c>
      <c r="E2257" s="251" t="s">
        <v>1767</v>
      </c>
      <c r="F2257" s="278" t="s">
        <v>3446</v>
      </c>
      <c r="G2257" s="1040" t="s">
        <v>3463</v>
      </c>
      <c r="H2257" s="273" t="s">
        <v>3462</v>
      </c>
      <c r="I2257" s="720">
        <f t="shared" si="507"/>
        <v>11.88</v>
      </c>
      <c r="J2257" s="756">
        <v>11.88</v>
      </c>
      <c r="K2257" s="131">
        <f t="shared" si="492"/>
        <v>11.88</v>
      </c>
      <c r="L2257" s="335">
        <f t="shared" si="496"/>
        <v>0</v>
      </c>
      <c r="M2257" s="446"/>
      <c r="N2257" s="446"/>
      <c r="O2257" s="446"/>
      <c r="P2257" s="446"/>
      <c r="Q2257" s="110">
        <v>1</v>
      </c>
      <c r="R2257" s="111">
        <v>11.88</v>
      </c>
      <c r="S2257" s="110"/>
      <c r="T2257" s="110"/>
      <c r="U2257" s="110">
        <v>0</v>
      </c>
      <c r="V2257" s="111">
        <v>0</v>
      </c>
      <c r="W2257" s="110"/>
      <c r="X2257" s="110"/>
      <c r="Y2257" s="110"/>
      <c r="Z2257" s="110"/>
      <c r="AA2257" s="110">
        <v>0</v>
      </c>
      <c r="AB2257" s="111">
        <v>0</v>
      </c>
      <c r="AC2257" s="110"/>
      <c r="AD2257" s="110"/>
      <c r="AE2257" s="110">
        <v>0</v>
      </c>
      <c r="AF2257" s="111">
        <v>0</v>
      </c>
      <c r="AG2257" s="110"/>
      <c r="AH2257" s="110"/>
      <c r="AI2257" s="110"/>
      <c r="AJ2257" s="110"/>
      <c r="AK2257" s="111">
        <f t="shared" si="497"/>
        <v>11.88</v>
      </c>
      <c r="AL2257" s="446">
        <f t="shared" si="498"/>
        <v>0</v>
      </c>
      <c r="AM2257" s="110">
        <f t="shared" si="499"/>
        <v>1</v>
      </c>
      <c r="AN2257" s="447">
        <f t="shared" si="493"/>
        <v>0</v>
      </c>
      <c r="AO2257"/>
      <c r="AP2257"/>
    </row>
    <row r="2258" spans="1:42" ht="66" x14ac:dyDescent="0.25">
      <c r="A2258" s="433"/>
      <c r="B2258" s="554" t="s">
        <v>2995</v>
      </c>
      <c r="C2258" s="7"/>
      <c r="D2258" s="882">
        <v>1</v>
      </c>
      <c r="E2258" s="251" t="s">
        <v>1767</v>
      </c>
      <c r="F2258" s="278" t="s">
        <v>3446</v>
      </c>
      <c r="G2258" s="1040" t="s">
        <v>3463</v>
      </c>
      <c r="H2258" s="273" t="s">
        <v>3462</v>
      </c>
      <c r="I2258" s="720">
        <f t="shared" si="507"/>
        <v>7.13</v>
      </c>
      <c r="J2258" s="756">
        <v>7.13</v>
      </c>
      <c r="K2258" s="131">
        <f t="shared" si="492"/>
        <v>7.13</v>
      </c>
      <c r="L2258" s="335">
        <f t="shared" si="496"/>
        <v>0</v>
      </c>
      <c r="M2258" s="446"/>
      <c r="N2258" s="446"/>
      <c r="O2258" s="446"/>
      <c r="P2258" s="446"/>
      <c r="Q2258" s="110">
        <v>1</v>
      </c>
      <c r="R2258" s="111">
        <v>7.13</v>
      </c>
      <c r="S2258" s="110"/>
      <c r="T2258" s="110"/>
      <c r="U2258" s="110">
        <v>0</v>
      </c>
      <c r="V2258" s="111">
        <v>0</v>
      </c>
      <c r="W2258" s="110"/>
      <c r="X2258" s="110"/>
      <c r="Y2258" s="110"/>
      <c r="Z2258" s="110"/>
      <c r="AA2258" s="110">
        <v>0</v>
      </c>
      <c r="AB2258" s="111">
        <v>0</v>
      </c>
      <c r="AC2258" s="110"/>
      <c r="AD2258" s="110"/>
      <c r="AE2258" s="110">
        <v>0</v>
      </c>
      <c r="AF2258" s="111">
        <v>0</v>
      </c>
      <c r="AG2258" s="110"/>
      <c r="AH2258" s="110"/>
      <c r="AI2258" s="110"/>
      <c r="AJ2258" s="110"/>
      <c r="AK2258" s="111">
        <f t="shared" si="497"/>
        <v>7.13</v>
      </c>
      <c r="AL2258" s="446">
        <f t="shared" si="498"/>
        <v>0</v>
      </c>
      <c r="AM2258" s="110">
        <f t="shared" si="499"/>
        <v>1</v>
      </c>
      <c r="AN2258" s="447">
        <f t="shared" si="493"/>
        <v>0</v>
      </c>
      <c r="AO2258"/>
      <c r="AP2258"/>
    </row>
    <row r="2259" spans="1:42" ht="66" x14ac:dyDescent="0.25">
      <c r="A2259" s="433"/>
      <c r="B2259" s="554" t="s">
        <v>2996</v>
      </c>
      <c r="C2259" s="7"/>
      <c r="D2259" s="882">
        <v>1</v>
      </c>
      <c r="E2259" s="251" t="s">
        <v>1767</v>
      </c>
      <c r="F2259" s="278" t="s">
        <v>3446</v>
      </c>
      <c r="G2259" s="1040" t="s">
        <v>3463</v>
      </c>
      <c r="H2259" s="273" t="s">
        <v>3462</v>
      </c>
      <c r="I2259" s="720">
        <f t="shared" si="507"/>
        <v>269.990928</v>
      </c>
      <c r="J2259" s="756">
        <v>269.990928</v>
      </c>
      <c r="K2259" s="131">
        <f t="shared" si="492"/>
        <v>269.990928</v>
      </c>
      <c r="L2259" s="335">
        <f t="shared" si="496"/>
        <v>0</v>
      </c>
      <c r="M2259" s="446"/>
      <c r="N2259" s="446"/>
      <c r="O2259" s="446"/>
      <c r="P2259" s="446"/>
      <c r="Q2259" s="110">
        <v>1</v>
      </c>
      <c r="R2259" s="111">
        <v>269.99</v>
      </c>
      <c r="S2259" s="110"/>
      <c r="T2259" s="110"/>
      <c r="U2259" s="110">
        <v>0</v>
      </c>
      <c r="V2259" s="111">
        <v>0</v>
      </c>
      <c r="W2259" s="110"/>
      <c r="X2259" s="110"/>
      <c r="Y2259" s="110"/>
      <c r="Z2259" s="110"/>
      <c r="AA2259" s="110">
        <v>0</v>
      </c>
      <c r="AB2259" s="111">
        <v>0</v>
      </c>
      <c r="AC2259" s="110"/>
      <c r="AD2259" s="110"/>
      <c r="AE2259" s="110">
        <v>0</v>
      </c>
      <c r="AF2259" s="111">
        <v>0</v>
      </c>
      <c r="AG2259" s="110"/>
      <c r="AH2259" s="110"/>
      <c r="AI2259" s="110"/>
      <c r="AJ2259" s="110"/>
      <c r="AK2259" s="111">
        <f t="shared" si="497"/>
        <v>269.99</v>
      </c>
      <c r="AL2259" s="446">
        <f t="shared" si="498"/>
        <v>9.2799999998760541E-4</v>
      </c>
      <c r="AM2259" s="110">
        <f t="shared" si="499"/>
        <v>1</v>
      </c>
      <c r="AN2259" s="447">
        <f t="shared" si="493"/>
        <v>0</v>
      </c>
      <c r="AO2259"/>
      <c r="AP2259"/>
    </row>
    <row r="2260" spans="1:42" ht="36" x14ac:dyDescent="0.25">
      <c r="A2260" s="310">
        <v>24704</v>
      </c>
      <c r="B2260" s="551" t="s">
        <v>588</v>
      </c>
      <c r="C2260" s="311"/>
      <c r="D2260" s="915"/>
      <c r="E2260" s="312"/>
      <c r="F2260" s="313"/>
      <c r="G2260" s="1040" t="s">
        <v>3463</v>
      </c>
      <c r="H2260" s="313"/>
      <c r="I2260" s="729"/>
      <c r="J2260" s="800"/>
      <c r="K2260" s="131">
        <f t="shared" si="492"/>
        <v>0</v>
      </c>
      <c r="L2260" s="335">
        <f t="shared" si="496"/>
        <v>0</v>
      </c>
      <c r="M2260" s="421"/>
      <c r="N2260" s="421"/>
      <c r="O2260" s="421"/>
      <c r="P2260" s="421"/>
      <c r="Q2260" s="387">
        <f t="shared" si="502"/>
        <v>0</v>
      </c>
      <c r="R2260" s="314">
        <f t="shared" si="500"/>
        <v>0</v>
      </c>
      <c r="S2260" s="387"/>
      <c r="T2260" s="387"/>
      <c r="U2260" s="387">
        <f t="shared" si="503"/>
        <v>0</v>
      </c>
      <c r="V2260" s="314">
        <f t="shared" si="501"/>
        <v>0</v>
      </c>
      <c r="W2260" s="387"/>
      <c r="X2260" s="387"/>
      <c r="Y2260" s="387"/>
      <c r="Z2260" s="387"/>
      <c r="AA2260" s="387">
        <f t="shared" si="504"/>
        <v>0</v>
      </c>
      <c r="AB2260" s="314">
        <f t="shared" si="505"/>
        <v>0</v>
      </c>
      <c r="AC2260" s="387"/>
      <c r="AD2260" s="387"/>
      <c r="AE2260" s="387">
        <f t="shared" si="504"/>
        <v>0</v>
      </c>
      <c r="AF2260" s="314">
        <f t="shared" si="506"/>
        <v>0</v>
      </c>
      <c r="AG2260" s="387"/>
      <c r="AH2260" s="387"/>
      <c r="AI2260" s="387"/>
      <c r="AJ2260" s="387"/>
      <c r="AK2260" s="314">
        <f t="shared" si="497"/>
        <v>0</v>
      </c>
      <c r="AL2260" s="446">
        <f t="shared" si="498"/>
        <v>0</v>
      </c>
      <c r="AM2260" s="110">
        <f t="shared" si="499"/>
        <v>0</v>
      </c>
      <c r="AN2260" s="447">
        <f t="shared" si="493"/>
        <v>0</v>
      </c>
      <c r="AO2260" s="436">
        <f>SUM(J2261:J2263)</f>
        <v>8646.5399999999991</v>
      </c>
      <c r="AP2260" s="111"/>
    </row>
    <row r="2261" spans="1:42" ht="66" x14ac:dyDescent="0.25">
      <c r="A2261" s="9"/>
      <c r="B2261" s="45" t="s">
        <v>1089</v>
      </c>
      <c r="C2261" s="1024"/>
      <c r="D2261" s="913">
        <f>1</f>
        <v>1</v>
      </c>
      <c r="E2261" s="1027"/>
      <c r="F2261" s="278" t="s">
        <v>3446</v>
      </c>
      <c r="G2261" s="1040" t="s">
        <v>3463</v>
      </c>
      <c r="H2261" s="273" t="s">
        <v>3462</v>
      </c>
      <c r="I2261" s="720">
        <f>+J2261/D2261</f>
        <v>1342.72</v>
      </c>
      <c r="J2261" s="756">
        <f>1342.72</f>
        <v>1342.72</v>
      </c>
      <c r="K2261" s="131">
        <f t="shared" si="492"/>
        <v>1342.72</v>
      </c>
      <c r="L2261" s="335">
        <f t="shared" si="496"/>
        <v>0</v>
      </c>
      <c r="M2261" s="446"/>
      <c r="N2261" s="446"/>
      <c r="O2261" s="446"/>
      <c r="P2261" s="446"/>
      <c r="Q2261" s="110">
        <v>1</v>
      </c>
      <c r="R2261" s="111">
        <v>1342.72</v>
      </c>
      <c r="S2261" s="110"/>
      <c r="T2261" s="110"/>
      <c r="U2261" s="110">
        <v>0</v>
      </c>
      <c r="V2261" s="111">
        <v>0</v>
      </c>
      <c r="W2261" s="110"/>
      <c r="X2261" s="110"/>
      <c r="Y2261" s="110"/>
      <c r="Z2261" s="110"/>
      <c r="AA2261" s="110">
        <v>0</v>
      </c>
      <c r="AB2261" s="111">
        <v>0</v>
      </c>
      <c r="AC2261" s="110"/>
      <c r="AD2261" s="110"/>
      <c r="AE2261" s="110">
        <v>0</v>
      </c>
      <c r="AF2261" s="111">
        <v>0</v>
      </c>
      <c r="AG2261" s="110"/>
      <c r="AH2261" s="110"/>
      <c r="AI2261" s="110"/>
      <c r="AJ2261" s="110"/>
      <c r="AK2261" s="111">
        <f t="shared" si="497"/>
        <v>1342.72</v>
      </c>
      <c r="AL2261" s="446">
        <f t="shared" si="498"/>
        <v>0</v>
      </c>
      <c r="AM2261" s="110">
        <f t="shared" si="499"/>
        <v>1</v>
      </c>
      <c r="AN2261" s="447">
        <f t="shared" si="493"/>
        <v>0</v>
      </c>
      <c r="AO2261"/>
      <c r="AP2261"/>
    </row>
    <row r="2262" spans="1:42" ht="66" x14ac:dyDescent="0.25">
      <c r="A2262" s="9"/>
      <c r="B2262" s="152" t="s">
        <v>1234</v>
      </c>
      <c r="C2262" s="1024"/>
      <c r="D2262" s="913">
        <f>2</f>
        <v>2</v>
      </c>
      <c r="E2262" s="1027"/>
      <c r="F2262" s="278" t="s">
        <v>3446</v>
      </c>
      <c r="G2262" s="1040" t="s">
        <v>3463</v>
      </c>
      <c r="H2262" s="273" t="s">
        <v>3462</v>
      </c>
      <c r="I2262" s="720">
        <f>+J2262/D2262</f>
        <v>3651.91</v>
      </c>
      <c r="J2262" s="756">
        <f>7303.82</f>
        <v>7303.82</v>
      </c>
      <c r="K2262" s="131">
        <f t="shared" si="492"/>
        <v>7303.82</v>
      </c>
      <c r="L2262" s="335">
        <f t="shared" si="496"/>
        <v>0</v>
      </c>
      <c r="M2262" s="446"/>
      <c r="N2262" s="446"/>
      <c r="O2262" s="446"/>
      <c r="P2262" s="446"/>
      <c r="Q2262" s="130">
        <v>1</v>
      </c>
      <c r="R2262" s="111">
        <v>3651.91</v>
      </c>
      <c r="S2262" s="110"/>
      <c r="T2262" s="110"/>
      <c r="U2262" s="130">
        <v>1</v>
      </c>
      <c r="V2262" s="111">
        <v>3651.91</v>
      </c>
      <c r="W2262" s="110"/>
      <c r="X2262" s="110"/>
      <c r="Y2262" s="110"/>
      <c r="Z2262" s="110"/>
      <c r="AA2262" s="130">
        <v>0</v>
      </c>
      <c r="AB2262" s="111">
        <v>0</v>
      </c>
      <c r="AC2262" s="110"/>
      <c r="AD2262" s="110"/>
      <c r="AE2262" s="130">
        <v>0</v>
      </c>
      <c r="AF2262" s="111">
        <v>0</v>
      </c>
      <c r="AG2262" s="110"/>
      <c r="AH2262" s="110"/>
      <c r="AI2262" s="110"/>
      <c r="AJ2262" s="110"/>
      <c r="AK2262" s="111">
        <f t="shared" si="497"/>
        <v>7303.82</v>
      </c>
      <c r="AL2262" s="446">
        <f t="shared" si="498"/>
        <v>0</v>
      </c>
      <c r="AM2262" s="110">
        <f t="shared" si="499"/>
        <v>2</v>
      </c>
      <c r="AN2262" s="447">
        <f t="shared" si="493"/>
        <v>0</v>
      </c>
      <c r="AO2262"/>
      <c r="AP2262"/>
    </row>
    <row r="2263" spans="1:42" x14ac:dyDescent="0.25">
      <c r="A2263" s="9"/>
      <c r="B2263" s="518"/>
      <c r="C2263" s="1024"/>
      <c r="D2263" s="913"/>
      <c r="E2263" s="1027"/>
      <c r="F2263" s="272"/>
      <c r="G2263" s="272"/>
      <c r="H2263" s="272"/>
      <c r="I2263" s="720"/>
      <c r="J2263" s="763"/>
      <c r="K2263" s="131">
        <f t="shared" si="492"/>
        <v>0</v>
      </c>
      <c r="L2263" s="335">
        <f t="shared" si="496"/>
        <v>0</v>
      </c>
      <c r="M2263" s="446"/>
      <c r="N2263" s="446"/>
      <c r="O2263" s="446"/>
      <c r="P2263" s="446"/>
      <c r="Q2263" s="110">
        <f t="shared" si="502"/>
        <v>0</v>
      </c>
      <c r="R2263" s="111">
        <f t="shared" si="500"/>
        <v>0</v>
      </c>
      <c r="S2263" s="110"/>
      <c r="T2263" s="110"/>
      <c r="U2263" s="110">
        <f t="shared" si="503"/>
        <v>0</v>
      </c>
      <c r="V2263" s="111">
        <f t="shared" si="501"/>
        <v>0</v>
      </c>
      <c r="W2263" s="110"/>
      <c r="X2263" s="110"/>
      <c r="Y2263" s="110"/>
      <c r="Z2263" s="110"/>
      <c r="AA2263" s="110">
        <f t="shared" si="504"/>
        <v>0</v>
      </c>
      <c r="AB2263" s="111">
        <f t="shared" si="505"/>
        <v>0</v>
      </c>
      <c r="AC2263" s="110"/>
      <c r="AD2263" s="110"/>
      <c r="AE2263" s="110">
        <f t="shared" si="504"/>
        <v>0</v>
      </c>
      <c r="AF2263" s="111">
        <f t="shared" si="506"/>
        <v>0</v>
      </c>
      <c r="AG2263" s="110"/>
      <c r="AH2263" s="110"/>
      <c r="AI2263" s="110"/>
      <c r="AJ2263" s="110"/>
      <c r="AK2263" s="111">
        <f t="shared" si="497"/>
        <v>0</v>
      </c>
      <c r="AL2263" s="446">
        <f t="shared" si="498"/>
        <v>0</v>
      </c>
      <c r="AM2263" s="110">
        <f t="shared" si="499"/>
        <v>0</v>
      </c>
      <c r="AN2263" s="447">
        <f t="shared" si="493"/>
        <v>0</v>
      </c>
      <c r="AO2263"/>
      <c r="AP2263"/>
    </row>
    <row r="2264" spans="1:42" x14ac:dyDescent="0.25">
      <c r="A2264" s="376">
        <v>248</v>
      </c>
      <c r="B2264" s="565" t="s">
        <v>589</v>
      </c>
      <c r="C2264" s="376"/>
      <c r="D2264" s="927"/>
      <c r="E2264" s="377"/>
      <c r="F2264" s="378"/>
      <c r="G2264" s="378"/>
      <c r="H2264" s="378"/>
      <c r="I2264" s="734"/>
      <c r="J2264" s="806"/>
      <c r="K2264" s="131">
        <f t="shared" si="492"/>
        <v>0</v>
      </c>
      <c r="L2264" s="335">
        <f t="shared" si="496"/>
        <v>0</v>
      </c>
      <c r="M2264" s="419"/>
      <c r="N2264" s="419"/>
      <c r="O2264" s="419"/>
      <c r="P2264" s="419"/>
      <c r="Q2264" s="418">
        <f t="shared" si="502"/>
        <v>0</v>
      </c>
      <c r="R2264" s="379">
        <f t="shared" si="500"/>
        <v>0</v>
      </c>
      <c r="S2264" s="418"/>
      <c r="T2264" s="418"/>
      <c r="U2264" s="418">
        <f t="shared" si="503"/>
        <v>0</v>
      </c>
      <c r="V2264" s="379">
        <f t="shared" si="501"/>
        <v>0</v>
      </c>
      <c r="W2264" s="418"/>
      <c r="X2264" s="418"/>
      <c r="Y2264" s="418"/>
      <c r="Z2264" s="418"/>
      <c r="AA2264" s="418">
        <f t="shared" si="504"/>
        <v>0</v>
      </c>
      <c r="AB2264" s="379">
        <f t="shared" si="505"/>
        <v>0</v>
      </c>
      <c r="AC2264" s="418"/>
      <c r="AD2264" s="418"/>
      <c r="AE2264" s="418">
        <f t="shared" si="504"/>
        <v>0</v>
      </c>
      <c r="AF2264" s="379">
        <f t="shared" si="506"/>
        <v>0</v>
      </c>
      <c r="AG2264" s="418"/>
      <c r="AH2264" s="418"/>
      <c r="AI2264" s="418"/>
      <c r="AJ2264" s="418"/>
      <c r="AK2264" s="379">
        <f t="shared" si="497"/>
        <v>0</v>
      </c>
      <c r="AL2264" s="446">
        <f t="shared" si="498"/>
        <v>0</v>
      </c>
      <c r="AM2264" s="110">
        <f t="shared" si="499"/>
        <v>0</v>
      </c>
      <c r="AN2264" s="447">
        <f t="shared" si="493"/>
        <v>0</v>
      </c>
      <c r="AO2264" s="108"/>
      <c r="AP2264"/>
    </row>
    <row r="2265" spans="1:42" x14ac:dyDescent="0.25">
      <c r="A2265" s="310">
        <v>24801</v>
      </c>
      <c r="B2265" s="557" t="s">
        <v>590</v>
      </c>
      <c r="C2265" s="311"/>
      <c r="D2265" s="915"/>
      <c r="E2265" s="312"/>
      <c r="F2265" s="313"/>
      <c r="G2265" s="313"/>
      <c r="H2265" s="313"/>
      <c r="I2265" s="729"/>
      <c r="J2265" s="800"/>
      <c r="K2265" s="131">
        <f t="shared" si="492"/>
        <v>0</v>
      </c>
      <c r="L2265" s="335">
        <f t="shared" si="496"/>
        <v>0</v>
      </c>
      <c r="M2265" s="421"/>
      <c r="N2265" s="421"/>
      <c r="O2265" s="421"/>
      <c r="P2265" s="421"/>
      <c r="Q2265" s="387">
        <f t="shared" si="502"/>
        <v>0</v>
      </c>
      <c r="R2265" s="314">
        <f t="shared" si="500"/>
        <v>0</v>
      </c>
      <c r="S2265" s="387"/>
      <c r="T2265" s="387"/>
      <c r="U2265" s="387">
        <f t="shared" si="503"/>
        <v>0</v>
      </c>
      <c r="V2265" s="314">
        <f t="shared" si="501"/>
        <v>0</v>
      </c>
      <c r="W2265" s="387"/>
      <c r="X2265" s="387"/>
      <c r="Y2265" s="387"/>
      <c r="Z2265" s="387"/>
      <c r="AA2265" s="387">
        <f t="shared" si="504"/>
        <v>0</v>
      </c>
      <c r="AB2265" s="314">
        <f t="shared" si="505"/>
        <v>0</v>
      </c>
      <c r="AC2265" s="387"/>
      <c r="AD2265" s="387"/>
      <c r="AE2265" s="387">
        <f t="shared" si="504"/>
        <v>0</v>
      </c>
      <c r="AF2265" s="314">
        <f t="shared" si="506"/>
        <v>0</v>
      </c>
      <c r="AG2265" s="387"/>
      <c r="AH2265" s="387"/>
      <c r="AI2265" s="387"/>
      <c r="AJ2265" s="387"/>
      <c r="AK2265" s="314">
        <f t="shared" si="497"/>
        <v>0</v>
      </c>
      <c r="AL2265" s="446">
        <f t="shared" si="498"/>
        <v>0</v>
      </c>
      <c r="AM2265" s="110">
        <f t="shared" si="499"/>
        <v>0</v>
      </c>
      <c r="AN2265" s="447">
        <f t="shared" si="493"/>
        <v>0</v>
      </c>
      <c r="AO2265" s="436">
        <f>SUM(J2266:J2276)</f>
        <v>57154.400000000001</v>
      </c>
      <c r="AP2265" s="111"/>
    </row>
    <row r="2266" spans="1:42" ht="66" x14ac:dyDescent="0.25">
      <c r="A2266" s="40"/>
      <c r="B2266" s="149" t="s">
        <v>591</v>
      </c>
      <c r="C2266" s="1024"/>
      <c r="D2266" s="916">
        <v>1</v>
      </c>
      <c r="E2266" s="1027" t="s">
        <v>1749</v>
      </c>
      <c r="F2266" s="278" t="s">
        <v>3446</v>
      </c>
      <c r="G2266" s="1040" t="s">
        <v>3463</v>
      </c>
      <c r="H2266" s="273" t="s">
        <v>3462</v>
      </c>
      <c r="I2266" s="720">
        <f t="shared" ref="I2266:I2276" si="508">+J2266/D2266</f>
        <v>3100</v>
      </c>
      <c r="J2266" s="756">
        <v>3100</v>
      </c>
      <c r="K2266" s="131">
        <f t="shared" ref="K2266:K2329" si="509">+D2266*I2266</f>
        <v>3100</v>
      </c>
      <c r="L2266" s="335">
        <f t="shared" si="496"/>
        <v>0</v>
      </c>
      <c r="M2266" s="446"/>
      <c r="N2266" s="446"/>
      <c r="O2266" s="446"/>
      <c r="P2266" s="446"/>
      <c r="Q2266" s="110">
        <v>1</v>
      </c>
      <c r="R2266" s="111">
        <v>3100</v>
      </c>
      <c r="S2266" s="110"/>
      <c r="T2266" s="110"/>
      <c r="U2266" s="110">
        <v>0</v>
      </c>
      <c r="V2266" s="111">
        <v>0</v>
      </c>
      <c r="W2266" s="110"/>
      <c r="X2266" s="110"/>
      <c r="Y2266" s="110"/>
      <c r="Z2266" s="110"/>
      <c r="AA2266" s="110">
        <v>0</v>
      </c>
      <c r="AB2266" s="111">
        <v>0</v>
      </c>
      <c r="AC2266" s="110"/>
      <c r="AD2266" s="110"/>
      <c r="AE2266" s="110">
        <v>0</v>
      </c>
      <c r="AF2266" s="111">
        <v>0</v>
      </c>
      <c r="AG2266" s="110"/>
      <c r="AH2266" s="110"/>
      <c r="AI2266" s="110"/>
      <c r="AJ2266" s="110"/>
      <c r="AK2266" s="111">
        <f t="shared" si="497"/>
        <v>3100</v>
      </c>
      <c r="AL2266" s="446">
        <f t="shared" si="498"/>
        <v>0</v>
      </c>
      <c r="AM2266" s="110">
        <f t="shared" si="499"/>
        <v>1</v>
      </c>
      <c r="AN2266" s="447">
        <f t="shared" ref="AN2266:AN2329" si="510">+D2266-AM2266</f>
        <v>0</v>
      </c>
      <c r="AO2266"/>
      <c r="AP2266"/>
    </row>
    <row r="2267" spans="1:42" ht="66" x14ac:dyDescent="0.25">
      <c r="A2267" s="40"/>
      <c r="B2267" s="149" t="s">
        <v>592</v>
      </c>
      <c r="C2267" s="1024"/>
      <c r="D2267" s="916">
        <v>1</v>
      </c>
      <c r="E2267" s="1027" t="s">
        <v>1749</v>
      </c>
      <c r="F2267" s="278" t="s">
        <v>3446</v>
      </c>
      <c r="G2267" s="1040" t="s">
        <v>3463</v>
      </c>
      <c r="H2267" s="273" t="s">
        <v>3462</v>
      </c>
      <c r="I2267" s="720">
        <f t="shared" si="508"/>
        <v>3400</v>
      </c>
      <c r="J2267" s="756">
        <v>3400</v>
      </c>
      <c r="K2267" s="131">
        <f t="shared" si="509"/>
        <v>3400</v>
      </c>
      <c r="L2267" s="335">
        <f t="shared" si="496"/>
        <v>0</v>
      </c>
      <c r="M2267" s="446"/>
      <c r="N2267" s="446"/>
      <c r="O2267" s="446"/>
      <c r="P2267" s="446"/>
      <c r="Q2267" s="110">
        <v>1</v>
      </c>
      <c r="R2267" s="111">
        <v>3400</v>
      </c>
      <c r="S2267" s="110"/>
      <c r="T2267" s="110"/>
      <c r="U2267" s="110">
        <v>0</v>
      </c>
      <c r="V2267" s="111">
        <v>0</v>
      </c>
      <c r="W2267" s="110"/>
      <c r="X2267" s="110"/>
      <c r="Y2267" s="110"/>
      <c r="Z2267" s="110"/>
      <c r="AA2267" s="110">
        <v>0</v>
      </c>
      <c r="AB2267" s="111">
        <v>0</v>
      </c>
      <c r="AC2267" s="110"/>
      <c r="AD2267" s="110"/>
      <c r="AE2267" s="110">
        <v>0</v>
      </c>
      <c r="AF2267" s="111">
        <v>0</v>
      </c>
      <c r="AG2267" s="110"/>
      <c r="AH2267" s="110"/>
      <c r="AI2267" s="110"/>
      <c r="AJ2267" s="110"/>
      <c r="AK2267" s="111">
        <f t="shared" si="497"/>
        <v>3400</v>
      </c>
      <c r="AL2267" s="446">
        <f t="shared" si="498"/>
        <v>0</v>
      </c>
      <c r="AM2267" s="110">
        <f t="shared" si="499"/>
        <v>1</v>
      </c>
      <c r="AN2267" s="447">
        <f t="shared" si="510"/>
        <v>0</v>
      </c>
      <c r="AO2267"/>
      <c r="AP2267"/>
    </row>
    <row r="2268" spans="1:42" ht="66" x14ac:dyDescent="0.25">
      <c r="A2268" s="40"/>
      <c r="B2268" s="149" t="s">
        <v>593</v>
      </c>
      <c r="C2268" s="1024"/>
      <c r="D2268" s="916">
        <v>2</v>
      </c>
      <c r="E2268" s="1027" t="s">
        <v>1749</v>
      </c>
      <c r="F2268" s="278" t="s">
        <v>3446</v>
      </c>
      <c r="G2268" s="1040" t="s">
        <v>3463</v>
      </c>
      <c r="H2268" s="273" t="s">
        <v>3462</v>
      </c>
      <c r="I2268" s="720">
        <f t="shared" si="508"/>
        <v>2500</v>
      </c>
      <c r="J2268" s="756">
        <v>5000</v>
      </c>
      <c r="K2268" s="131">
        <f t="shared" si="509"/>
        <v>5000</v>
      </c>
      <c r="L2268" s="335">
        <f t="shared" si="496"/>
        <v>0</v>
      </c>
      <c r="M2268" s="446"/>
      <c r="N2268" s="446"/>
      <c r="O2268" s="446"/>
      <c r="P2268" s="446"/>
      <c r="Q2268" s="130">
        <v>1</v>
      </c>
      <c r="R2268" s="111">
        <v>2500</v>
      </c>
      <c r="S2268" s="110"/>
      <c r="T2268" s="110"/>
      <c r="U2268" s="130">
        <v>1</v>
      </c>
      <c r="V2268" s="111">
        <v>2500</v>
      </c>
      <c r="W2268" s="110"/>
      <c r="X2268" s="110"/>
      <c r="Y2268" s="110"/>
      <c r="Z2268" s="110"/>
      <c r="AA2268" s="130">
        <v>0</v>
      </c>
      <c r="AB2268" s="111">
        <v>0</v>
      </c>
      <c r="AC2268" s="110"/>
      <c r="AD2268" s="110"/>
      <c r="AE2268" s="130">
        <v>0</v>
      </c>
      <c r="AF2268" s="111">
        <v>0</v>
      </c>
      <c r="AG2268" s="110"/>
      <c r="AH2268" s="110"/>
      <c r="AI2268" s="110"/>
      <c r="AJ2268" s="110"/>
      <c r="AK2268" s="111">
        <f t="shared" si="497"/>
        <v>5000</v>
      </c>
      <c r="AL2268" s="446">
        <f t="shared" si="498"/>
        <v>0</v>
      </c>
      <c r="AM2268" s="110">
        <f t="shared" si="499"/>
        <v>2</v>
      </c>
      <c r="AN2268" s="447">
        <f t="shared" si="510"/>
        <v>0</v>
      </c>
      <c r="AO2268"/>
      <c r="AP2268"/>
    </row>
    <row r="2269" spans="1:42" ht="66" x14ac:dyDescent="0.25">
      <c r="A2269" s="9"/>
      <c r="B2269" s="558" t="s">
        <v>1235</v>
      </c>
      <c r="C2269" s="1024"/>
      <c r="D2269" s="916">
        <f>9</f>
        <v>9</v>
      </c>
      <c r="E2269" s="1027" t="s">
        <v>1749</v>
      </c>
      <c r="F2269" s="278" t="s">
        <v>3446</v>
      </c>
      <c r="G2269" s="1040" t="s">
        <v>3463</v>
      </c>
      <c r="H2269" s="273" t="s">
        <v>3462</v>
      </c>
      <c r="I2269" s="720">
        <f t="shared" si="508"/>
        <v>3712</v>
      </c>
      <c r="J2269" s="756">
        <f>33408</f>
        <v>33408</v>
      </c>
      <c r="K2269" s="131">
        <f t="shared" si="509"/>
        <v>33408</v>
      </c>
      <c r="L2269" s="335">
        <f t="shared" si="496"/>
        <v>0</v>
      </c>
      <c r="M2269" s="446"/>
      <c r="N2269" s="446"/>
      <c r="O2269" s="446"/>
      <c r="P2269" s="446"/>
      <c r="Q2269" s="110">
        <v>3</v>
      </c>
      <c r="R2269" s="111">
        <f t="shared" si="500"/>
        <v>8352</v>
      </c>
      <c r="S2269" s="110"/>
      <c r="T2269" s="110"/>
      <c r="U2269" s="110">
        <v>2</v>
      </c>
      <c r="V2269" s="111">
        <f t="shared" si="501"/>
        <v>8352</v>
      </c>
      <c r="W2269" s="110"/>
      <c r="X2269" s="110"/>
      <c r="Y2269" s="110"/>
      <c r="Z2269" s="110"/>
      <c r="AA2269" s="110">
        <v>2</v>
      </c>
      <c r="AB2269" s="111">
        <f t="shared" si="505"/>
        <v>8352</v>
      </c>
      <c r="AC2269" s="110"/>
      <c r="AD2269" s="110"/>
      <c r="AE2269" s="110">
        <v>2</v>
      </c>
      <c r="AF2269" s="111">
        <f t="shared" si="506"/>
        <v>8352</v>
      </c>
      <c r="AG2269" s="110"/>
      <c r="AH2269" s="110"/>
      <c r="AI2269" s="110"/>
      <c r="AJ2269" s="110"/>
      <c r="AK2269" s="111">
        <f t="shared" si="497"/>
        <v>33408</v>
      </c>
      <c r="AL2269" s="446">
        <f t="shared" si="498"/>
        <v>0</v>
      </c>
      <c r="AM2269" s="110">
        <f t="shared" si="499"/>
        <v>9</v>
      </c>
      <c r="AN2269" s="447">
        <f t="shared" si="510"/>
        <v>0</v>
      </c>
      <c r="AO2269"/>
      <c r="AP2269"/>
    </row>
    <row r="2270" spans="1:42" ht="66" x14ac:dyDescent="0.25">
      <c r="A2270" s="40"/>
      <c r="B2270" s="149" t="s">
        <v>1818</v>
      </c>
      <c r="C2270" s="1024"/>
      <c r="D2270" s="869">
        <v>3</v>
      </c>
      <c r="E2270" s="1027" t="s">
        <v>1823</v>
      </c>
      <c r="F2270" s="278" t="s">
        <v>3446</v>
      </c>
      <c r="G2270" s="1040" t="s">
        <v>3463</v>
      </c>
      <c r="H2270" s="273" t="s">
        <v>3462</v>
      </c>
      <c r="I2270" s="720">
        <f t="shared" si="508"/>
        <v>484.92</v>
      </c>
      <c r="J2270" s="756">
        <v>1454.76</v>
      </c>
      <c r="K2270" s="131">
        <f t="shared" si="509"/>
        <v>1454.76</v>
      </c>
      <c r="L2270" s="335">
        <f t="shared" si="496"/>
        <v>0</v>
      </c>
      <c r="M2270" s="446"/>
      <c r="N2270" s="446"/>
      <c r="O2270" s="446"/>
      <c r="P2270" s="446"/>
      <c r="Q2270" s="130">
        <v>1</v>
      </c>
      <c r="R2270" s="111">
        <v>484.92</v>
      </c>
      <c r="S2270" s="110"/>
      <c r="T2270" s="110"/>
      <c r="U2270" s="130">
        <v>1</v>
      </c>
      <c r="V2270" s="111">
        <v>484.92</v>
      </c>
      <c r="W2270" s="110"/>
      <c r="X2270" s="110"/>
      <c r="Y2270" s="110"/>
      <c r="Z2270" s="110"/>
      <c r="AA2270" s="130">
        <v>1</v>
      </c>
      <c r="AB2270" s="111">
        <v>484.92</v>
      </c>
      <c r="AC2270" s="110"/>
      <c r="AD2270" s="110"/>
      <c r="AE2270" s="130">
        <v>0</v>
      </c>
      <c r="AF2270" s="111">
        <v>0</v>
      </c>
      <c r="AG2270" s="110"/>
      <c r="AH2270" s="110"/>
      <c r="AI2270" s="110"/>
      <c r="AJ2270" s="110"/>
      <c r="AK2270" s="111">
        <f t="shared" si="497"/>
        <v>1454.76</v>
      </c>
      <c r="AL2270" s="446">
        <f t="shared" si="498"/>
        <v>0</v>
      </c>
      <c r="AM2270" s="110">
        <f t="shared" si="499"/>
        <v>3</v>
      </c>
      <c r="AN2270" s="447">
        <f t="shared" si="510"/>
        <v>0</v>
      </c>
      <c r="AO2270"/>
      <c r="AP2270"/>
    </row>
    <row r="2271" spans="1:42" ht="66" x14ac:dyDescent="0.25">
      <c r="A2271" s="40"/>
      <c r="B2271" s="149" t="s">
        <v>1819</v>
      </c>
      <c r="C2271" s="1024"/>
      <c r="D2271" s="869">
        <v>10</v>
      </c>
      <c r="E2271" s="1027" t="s">
        <v>1766</v>
      </c>
      <c r="F2271" s="278" t="s">
        <v>3446</v>
      </c>
      <c r="G2271" s="1040" t="s">
        <v>3463</v>
      </c>
      <c r="H2271" s="273" t="s">
        <v>3462</v>
      </c>
      <c r="I2271" s="720">
        <f t="shared" si="508"/>
        <v>147.94999999999999</v>
      </c>
      <c r="J2271" s="756">
        <v>1479.5</v>
      </c>
      <c r="K2271" s="131">
        <f t="shared" si="509"/>
        <v>1479.5</v>
      </c>
      <c r="L2271" s="335">
        <f t="shared" si="496"/>
        <v>0</v>
      </c>
      <c r="M2271" s="446"/>
      <c r="N2271" s="446"/>
      <c r="O2271" s="446"/>
      <c r="P2271" s="446"/>
      <c r="Q2271" s="130">
        <v>3</v>
      </c>
      <c r="R2271" s="111">
        <f t="shared" si="500"/>
        <v>369.875</v>
      </c>
      <c r="S2271" s="110"/>
      <c r="T2271" s="110"/>
      <c r="U2271" s="130">
        <v>3</v>
      </c>
      <c r="V2271" s="111">
        <f t="shared" si="501"/>
        <v>369.875</v>
      </c>
      <c r="W2271" s="110"/>
      <c r="X2271" s="110"/>
      <c r="Y2271" s="110"/>
      <c r="Z2271" s="110"/>
      <c r="AA2271" s="130">
        <v>2</v>
      </c>
      <c r="AB2271" s="111">
        <f t="shared" si="505"/>
        <v>369.875</v>
      </c>
      <c r="AC2271" s="110"/>
      <c r="AD2271" s="110"/>
      <c r="AE2271" s="130">
        <v>2</v>
      </c>
      <c r="AF2271" s="111">
        <f t="shared" si="506"/>
        <v>369.875</v>
      </c>
      <c r="AG2271" s="110"/>
      <c r="AH2271" s="110"/>
      <c r="AI2271" s="110"/>
      <c r="AJ2271" s="110"/>
      <c r="AK2271" s="111">
        <f t="shared" si="497"/>
        <v>1479.5</v>
      </c>
      <c r="AL2271" s="446">
        <f t="shared" si="498"/>
        <v>0</v>
      </c>
      <c r="AM2271" s="110">
        <f t="shared" si="499"/>
        <v>10</v>
      </c>
      <c r="AN2271" s="447">
        <f t="shared" si="510"/>
        <v>0</v>
      </c>
      <c r="AO2271"/>
      <c r="AP2271"/>
    </row>
    <row r="2272" spans="1:42" ht="66" x14ac:dyDescent="0.25">
      <c r="A2272" s="40"/>
      <c r="B2272" s="149" t="s">
        <v>1820</v>
      </c>
      <c r="C2272" s="1024"/>
      <c r="D2272" s="869">
        <v>6</v>
      </c>
      <c r="E2272" s="1027" t="s">
        <v>1767</v>
      </c>
      <c r="F2272" s="278" t="s">
        <v>3446</v>
      </c>
      <c r="G2272" s="1040" t="s">
        <v>3463</v>
      </c>
      <c r="H2272" s="273" t="s">
        <v>3462</v>
      </c>
      <c r="I2272" s="720">
        <f t="shared" si="508"/>
        <v>194.39</v>
      </c>
      <c r="J2272" s="756">
        <v>1166.3399999999999</v>
      </c>
      <c r="K2272" s="131">
        <f t="shared" si="509"/>
        <v>1166.3399999999999</v>
      </c>
      <c r="L2272" s="335">
        <f t="shared" si="496"/>
        <v>0</v>
      </c>
      <c r="M2272" s="446"/>
      <c r="N2272" s="446"/>
      <c r="O2272" s="446"/>
      <c r="P2272" s="446"/>
      <c r="Q2272" s="130">
        <v>2</v>
      </c>
      <c r="R2272" s="111">
        <f t="shared" si="500"/>
        <v>291.58499999999998</v>
      </c>
      <c r="S2272" s="110"/>
      <c r="T2272" s="110"/>
      <c r="U2272" s="130">
        <v>2</v>
      </c>
      <c r="V2272" s="111">
        <f t="shared" si="501"/>
        <v>291.58499999999998</v>
      </c>
      <c r="W2272" s="110"/>
      <c r="X2272" s="110"/>
      <c r="Y2272" s="110"/>
      <c r="Z2272" s="110"/>
      <c r="AA2272" s="130">
        <v>1</v>
      </c>
      <c r="AB2272" s="111">
        <f t="shared" si="505"/>
        <v>291.58499999999998</v>
      </c>
      <c r="AC2272" s="110"/>
      <c r="AD2272" s="110"/>
      <c r="AE2272" s="130">
        <v>1</v>
      </c>
      <c r="AF2272" s="111">
        <f t="shared" si="506"/>
        <v>291.58499999999998</v>
      </c>
      <c r="AG2272" s="110"/>
      <c r="AH2272" s="110"/>
      <c r="AI2272" s="110"/>
      <c r="AJ2272" s="110"/>
      <c r="AK2272" s="111">
        <f t="shared" si="497"/>
        <v>1166.3399999999999</v>
      </c>
      <c r="AL2272" s="446">
        <f t="shared" si="498"/>
        <v>0</v>
      </c>
      <c r="AM2272" s="110">
        <f t="shared" si="499"/>
        <v>6</v>
      </c>
      <c r="AN2272" s="447">
        <f t="shared" si="510"/>
        <v>0</v>
      </c>
      <c r="AO2272"/>
      <c r="AP2272"/>
    </row>
    <row r="2273" spans="1:42" ht="66" x14ac:dyDescent="0.25">
      <c r="A2273" s="40"/>
      <c r="B2273" s="149" t="s">
        <v>1821</v>
      </c>
      <c r="C2273" s="1024"/>
      <c r="D2273" s="869">
        <v>1</v>
      </c>
      <c r="E2273" s="1027" t="s">
        <v>1767</v>
      </c>
      <c r="F2273" s="278" t="s">
        <v>3446</v>
      </c>
      <c r="G2273" s="1040" t="s">
        <v>3463</v>
      </c>
      <c r="H2273" s="273" t="s">
        <v>3462</v>
      </c>
      <c r="I2273" s="720">
        <f t="shared" si="508"/>
        <v>145.80000000000001</v>
      </c>
      <c r="J2273" s="756">
        <v>145.80000000000001</v>
      </c>
      <c r="K2273" s="131">
        <f t="shared" si="509"/>
        <v>145.80000000000001</v>
      </c>
      <c r="L2273" s="335">
        <f t="shared" si="496"/>
        <v>0</v>
      </c>
      <c r="M2273" s="446"/>
      <c r="N2273" s="446"/>
      <c r="O2273" s="446"/>
      <c r="P2273" s="446"/>
      <c r="Q2273" s="110">
        <v>1</v>
      </c>
      <c r="R2273" s="111">
        <v>145.80000000000001</v>
      </c>
      <c r="S2273" s="110"/>
      <c r="T2273" s="110"/>
      <c r="U2273" s="110">
        <v>0</v>
      </c>
      <c r="V2273" s="111">
        <v>0</v>
      </c>
      <c r="W2273" s="110"/>
      <c r="X2273" s="110"/>
      <c r="Y2273" s="110"/>
      <c r="Z2273" s="110"/>
      <c r="AA2273" s="110">
        <v>0</v>
      </c>
      <c r="AB2273" s="111">
        <v>0</v>
      </c>
      <c r="AC2273" s="110"/>
      <c r="AD2273" s="110"/>
      <c r="AE2273" s="110">
        <v>0</v>
      </c>
      <c r="AF2273" s="111">
        <v>0</v>
      </c>
      <c r="AG2273" s="110"/>
      <c r="AH2273" s="110"/>
      <c r="AI2273" s="110"/>
      <c r="AJ2273" s="110"/>
      <c r="AK2273" s="111">
        <f t="shared" si="497"/>
        <v>145.80000000000001</v>
      </c>
      <c r="AL2273" s="446">
        <f t="shared" si="498"/>
        <v>0</v>
      </c>
      <c r="AM2273" s="110">
        <f t="shared" si="499"/>
        <v>1</v>
      </c>
      <c r="AN2273" s="447">
        <f t="shared" si="510"/>
        <v>0</v>
      </c>
      <c r="AO2273"/>
      <c r="AP2273"/>
    </row>
    <row r="2274" spans="1:42" ht="66" x14ac:dyDescent="0.25">
      <c r="A2274" s="40"/>
      <c r="B2274" s="149" t="s">
        <v>1822</v>
      </c>
      <c r="C2274" s="1024"/>
      <c r="D2274" s="869">
        <v>10</v>
      </c>
      <c r="E2274" s="1027" t="s">
        <v>1793</v>
      </c>
      <c r="F2274" s="278" t="s">
        <v>3446</v>
      </c>
      <c r="G2274" s="1040" t="s">
        <v>3463</v>
      </c>
      <c r="H2274" s="273" t="s">
        <v>3462</v>
      </c>
      <c r="I2274" s="720">
        <f t="shared" si="508"/>
        <v>100</v>
      </c>
      <c r="J2274" s="756">
        <v>1000</v>
      </c>
      <c r="K2274" s="131">
        <f t="shared" si="509"/>
        <v>1000</v>
      </c>
      <c r="L2274" s="335">
        <f t="shared" si="496"/>
        <v>0</v>
      </c>
      <c r="M2274" s="446"/>
      <c r="N2274" s="446"/>
      <c r="O2274" s="446"/>
      <c r="P2274" s="446"/>
      <c r="Q2274" s="130">
        <v>3</v>
      </c>
      <c r="R2274" s="111">
        <f t="shared" si="500"/>
        <v>250</v>
      </c>
      <c r="S2274" s="110"/>
      <c r="T2274" s="110"/>
      <c r="U2274" s="130">
        <v>3</v>
      </c>
      <c r="V2274" s="111">
        <f t="shared" si="501"/>
        <v>250</v>
      </c>
      <c r="W2274" s="110"/>
      <c r="X2274" s="110"/>
      <c r="Y2274" s="110"/>
      <c r="Z2274" s="110"/>
      <c r="AA2274" s="130">
        <v>2</v>
      </c>
      <c r="AB2274" s="111">
        <f t="shared" si="505"/>
        <v>250</v>
      </c>
      <c r="AC2274" s="110"/>
      <c r="AD2274" s="110"/>
      <c r="AE2274" s="130">
        <v>2</v>
      </c>
      <c r="AF2274" s="111">
        <f t="shared" si="506"/>
        <v>250</v>
      </c>
      <c r="AG2274" s="110"/>
      <c r="AH2274" s="110"/>
      <c r="AI2274" s="110"/>
      <c r="AJ2274" s="110"/>
      <c r="AK2274" s="111">
        <f t="shared" si="497"/>
        <v>1000</v>
      </c>
      <c r="AL2274" s="446">
        <f t="shared" si="498"/>
        <v>0</v>
      </c>
      <c r="AM2274" s="110">
        <f t="shared" si="499"/>
        <v>10</v>
      </c>
      <c r="AN2274" s="447">
        <f t="shared" si="510"/>
        <v>0</v>
      </c>
      <c r="AO2274"/>
      <c r="AP2274"/>
    </row>
    <row r="2275" spans="1:42" ht="66" x14ac:dyDescent="0.25">
      <c r="A2275" s="9"/>
      <c r="B2275" s="219" t="s">
        <v>2255</v>
      </c>
      <c r="C2275" s="1024"/>
      <c r="D2275" s="916">
        <v>3</v>
      </c>
      <c r="E2275" s="1027" t="s">
        <v>1749</v>
      </c>
      <c r="F2275" s="278" t="s">
        <v>3446</v>
      </c>
      <c r="G2275" s="1040" t="s">
        <v>3463</v>
      </c>
      <c r="H2275" s="273" t="s">
        <v>3462</v>
      </c>
      <c r="I2275" s="720">
        <f t="shared" si="508"/>
        <v>2000</v>
      </c>
      <c r="J2275" s="756">
        <v>6000</v>
      </c>
      <c r="K2275" s="131">
        <f t="shared" si="509"/>
        <v>6000</v>
      </c>
      <c r="L2275" s="335">
        <f t="shared" si="496"/>
        <v>0</v>
      </c>
      <c r="M2275" s="446"/>
      <c r="N2275" s="446"/>
      <c r="O2275" s="446"/>
      <c r="P2275" s="446"/>
      <c r="Q2275" s="130">
        <v>1</v>
      </c>
      <c r="R2275" s="111">
        <v>2000</v>
      </c>
      <c r="S2275" s="110"/>
      <c r="T2275" s="110"/>
      <c r="U2275" s="130">
        <v>1</v>
      </c>
      <c r="V2275" s="111">
        <v>2000</v>
      </c>
      <c r="W2275" s="110"/>
      <c r="X2275" s="110"/>
      <c r="Y2275" s="110"/>
      <c r="Z2275" s="110"/>
      <c r="AA2275" s="130">
        <v>1</v>
      </c>
      <c r="AB2275" s="111">
        <v>2000</v>
      </c>
      <c r="AC2275" s="110"/>
      <c r="AD2275" s="110"/>
      <c r="AE2275" s="130">
        <v>0</v>
      </c>
      <c r="AF2275" s="111">
        <v>0</v>
      </c>
      <c r="AG2275" s="110"/>
      <c r="AH2275" s="110"/>
      <c r="AI2275" s="110"/>
      <c r="AJ2275" s="110"/>
      <c r="AK2275" s="111">
        <f t="shared" si="497"/>
        <v>6000</v>
      </c>
      <c r="AL2275" s="446">
        <f t="shared" si="498"/>
        <v>0</v>
      </c>
      <c r="AM2275" s="110">
        <f t="shared" si="499"/>
        <v>3</v>
      </c>
      <c r="AN2275" s="447">
        <f t="shared" si="510"/>
        <v>0</v>
      </c>
      <c r="AO2275"/>
      <c r="AP2275"/>
    </row>
    <row r="2276" spans="1:42" ht="66" x14ac:dyDescent="0.25">
      <c r="A2276" s="9"/>
      <c r="B2276" s="45" t="s">
        <v>2997</v>
      </c>
      <c r="C2276" s="1024"/>
      <c r="D2276" s="916">
        <v>2</v>
      </c>
      <c r="E2276" s="1027" t="s">
        <v>1721</v>
      </c>
      <c r="F2276" s="278" t="s">
        <v>3446</v>
      </c>
      <c r="G2276" s="1040" t="s">
        <v>3463</v>
      </c>
      <c r="H2276" s="273" t="s">
        <v>3462</v>
      </c>
      <c r="I2276" s="720">
        <f t="shared" si="508"/>
        <v>500</v>
      </c>
      <c r="J2276" s="756">
        <v>1000</v>
      </c>
      <c r="K2276" s="131">
        <f>+D2276*I2276</f>
        <v>1000</v>
      </c>
      <c r="L2276" s="335">
        <f t="shared" si="496"/>
        <v>0</v>
      </c>
      <c r="M2276" s="446"/>
      <c r="N2276" s="446"/>
      <c r="O2276" s="446"/>
      <c r="P2276" s="446"/>
      <c r="Q2276" s="130">
        <v>2</v>
      </c>
      <c r="R2276" s="111">
        <v>1000</v>
      </c>
      <c r="S2276" s="110"/>
      <c r="T2276" s="110"/>
      <c r="U2276" s="130">
        <v>1</v>
      </c>
      <c r="V2276" s="111">
        <v>0</v>
      </c>
      <c r="W2276" s="110"/>
      <c r="X2276" s="110"/>
      <c r="Y2276" s="110"/>
      <c r="Z2276" s="110"/>
      <c r="AA2276" s="130">
        <v>0</v>
      </c>
      <c r="AB2276" s="111">
        <v>0</v>
      </c>
      <c r="AC2276" s="110"/>
      <c r="AD2276" s="110"/>
      <c r="AE2276" s="130">
        <v>0</v>
      </c>
      <c r="AF2276" s="111">
        <v>0</v>
      </c>
      <c r="AG2276" s="110"/>
      <c r="AH2276" s="110"/>
      <c r="AI2276" s="110"/>
      <c r="AJ2276" s="110"/>
      <c r="AK2276" s="111">
        <f t="shared" si="497"/>
        <v>1000</v>
      </c>
      <c r="AL2276" s="446">
        <f t="shared" si="498"/>
        <v>0</v>
      </c>
      <c r="AM2276" s="110">
        <f t="shared" si="499"/>
        <v>3</v>
      </c>
      <c r="AN2276" s="447">
        <f t="shared" si="510"/>
        <v>-1</v>
      </c>
      <c r="AO2276"/>
      <c r="AP2276"/>
    </row>
    <row r="2277" spans="1:42" x14ac:dyDescent="0.25">
      <c r="A2277" s="310">
        <v>24802</v>
      </c>
      <c r="B2277" s="551" t="s">
        <v>594</v>
      </c>
      <c r="C2277" s="311"/>
      <c r="D2277" s="915"/>
      <c r="E2277" s="312"/>
      <c r="F2277" s="313"/>
      <c r="G2277" s="313"/>
      <c r="H2277" s="313"/>
      <c r="I2277" s="729"/>
      <c r="J2277" s="800"/>
      <c r="K2277" s="131">
        <f t="shared" si="509"/>
        <v>0</v>
      </c>
      <c r="L2277" s="335">
        <f t="shared" si="496"/>
        <v>0</v>
      </c>
      <c r="M2277" s="421"/>
      <c r="N2277" s="421"/>
      <c r="O2277" s="421"/>
      <c r="P2277" s="421"/>
      <c r="Q2277" s="387">
        <f t="shared" si="502"/>
        <v>0</v>
      </c>
      <c r="R2277" s="314">
        <f t="shared" si="500"/>
        <v>0</v>
      </c>
      <c r="S2277" s="387"/>
      <c r="T2277" s="387"/>
      <c r="U2277" s="387">
        <f t="shared" si="503"/>
        <v>0</v>
      </c>
      <c r="V2277" s="314">
        <f t="shared" si="501"/>
        <v>0</v>
      </c>
      <c r="W2277" s="387"/>
      <c r="X2277" s="387"/>
      <c r="Y2277" s="387"/>
      <c r="Z2277" s="387"/>
      <c r="AA2277" s="387">
        <f t="shared" si="504"/>
        <v>0</v>
      </c>
      <c r="AB2277" s="314">
        <f t="shared" si="505"/>
        <v>0</v>
      </c>
      <c r="AC2277" s="387"/>
      <c r="AD2277" s="387"/>
      <c r="AE2277" s="387">
        <f t="shared" si="504"/>
        <v>0</v>
      </c>
      <c r="AF2277" s="314">
        <f t="shared" si="506"/>
        <v>0</v>
      </c>
      <c r="AG2277" s="387"/>
      <c r="AH2277" s="387"/>
      <c r="AI2277" s="387"/>
      <c r="AJ2277" s="387"/>
      <c r="AK2277" s="314">
        <f t="shared" si="497"/>
        <v>0</v>
      </c>
      <c r="AL2277" s="446">
        <f t="shared" si="498"/>
        <v>0</v>
      </c>
      <c r="AM2277" s="110">
        <f t="shared" si="499"/>
        <v>0</v>
      </c>
      <c r="AN2277" s="447">
        <f t="shared" si="510"/>
        <v>0</v>
      </c>
      <c r="AO2277" s="108"/>
      <c r="AP2277"/>
    </row>
    <row r="2278" spans="1:42" s="108" customFormat="1" x14ac:dyDescent="0.25">
      <c r="A2278" s="58"/>
      <c r="B2278" s="482"/>
      <c r="C2278" s="9"/>
      <c r="D2278" s="869"/>
      <c r="E2278" s="1027"/>
      <c r="F2278" s="272"/>
      <c r="G2278" s="272"/>
      <c r="H2278" s="272"/>
      <c r="I2278" s="722"/>
      <c r="J2278" s="763"/>
      <c r="K2278" s="131">
        <f t="shared" si="509"/>
        <v>0</v>
      </c>
      <c r="L2278" s="335">
        <f t="shared" si="496"/>
        <v>0</v>
      </c>
      <c r="M2278" s="335"/>
      <c r="N2278" s="335"/>
      <c r="O2278" s="335"/>
      <c r="P2278" s="335"/>
      <c r="Q2278" s="130">
        <f t="shared" si="502"/>
        <v>0</v>
      </c>
      <c r="R2278" s="131">
        <f t="shared" si="500"/>
        <v>0</v>
      </c>
      <c r="S2278" s="130"/>
      <c r="T2278" s="130"/>
      <c r="U2278" s="130">
        <f t="shared" si="503"/>
        <v>0</v>
      </c>
      <c r="V2278" s="131">
        <f t="shared" si="501"/>
        <v>0</v>
      </c>
      <c r="W2278" s="130"/>
      <c r="X2278" s="130"/>
      <c r="Y2278" s="130"/>
      <c r="Z2278" s="130"/>
      <c r="AA2278" s="130">
        <f t="shared" si="504"/>
        <v>0</v>
      </c>
      <c r="AB2278" s="131">
        <f t="shared" si="505"/>
        <v>0</v>
      </c>
      <c r="AC2278" s="130"/>
      <c r="AD2278" s="130"/>
      <c r="AE2278" s="130">
        <f t="shared" si="504"/>
        <v>0</v>
      </c>
      <c r="AF2278" s="131">
        <f t="shared" si="506"/>
        <v>0</v>
      </c>
      <c r="AG2278" s="130"/>
      <c r="AH2278" s="130"/>
      <c r="AI2278" s="130"/>
      <c r="AJ2278" s="130"/>
      <c r="AK2278" s="131">
        <f t="shared" si="497"/>
        <v>0</v>
      </c>
      <c r="AL2278" s="335">
        <f t="shared" si="498"/>
        <v>0</v>
      </c>
      <c r="AM2278" s="130">
        <f t="shared" si="499"/>
        <v>0</v>
      </c>
      <c r="AN2278" s="336">
        <f t="shared" si="510"/>
        <v>0</v>
      </c>
    </row>
    <row r="2279" spans="1:42" x14ac:dyDescent="0.25">
      <c r="A2279" s="310">
        <v>24803</v>
      </c>
      <c r="B2279" s="551" t="s">
        <v>595</v>
      </c>
      <c r="C2279" s="311"/>
      <c r="D2279" s="915"/>
      <c r="E2279" s="312"/>
      <c r="F2279" s="313"/>
      <c r="G2279" s="313"/>
      <c r="H2279" s="313"/>
      <c r="I2279" s="729"/>
      <c r="J2279" s="800"/>
      <c r="K2279" s="131">
        <f t="shared" si="509"/>
        <v>0</v>
      </c>
      <c r="L2279" s="335">
        <f t="shared" si="496"/>
        <v>0</v>
      </c>
      <c r="M2279" s="421"/>
      <c r="N2279" s="421"/>
      <c r="O2279" s="421"/>
      <c r="P2279" s="421"/>
      <c r="Q2279" s="387">
        <f t="shared" si="502"/>
        <v>0</v>
      </c>
      <c r="R2279" s="314">
        <f t="shared" si="500"/>
        <v>0</v>
      </c>
      <c r="S2279" s="387"/>
      <c r="T2279" s="387"/>
      <c r="U2279" s="387">
        <f t="shared" si="503"/>
        <v>0</v>
      </c>
      <c r="V2279" s="314">
        <f t="shared" si="501"/>
        <v>0</v>
      </c>
      <c r="W2279" s="387"/>
      <c r="X2279" s="387"/>
      <c r="Y2279" s="387"/>
      <c r="Z2279" s="387"/>
      <c r="AA2279" s="387">
        <f t="shared" si="504"/>
        <v>0</v>
      </c>
      <c r="AB2279" s="314">
        <f t="shared" si="505"/>
        <v>0</v>
      </c>
      <c r="AC2279" s="387"/>
      <c r="AD2279" s="387"/>
      <c r="AE2279" s="387">
        <f t="shared" si="504"/>
        <v>0</v>
      </c>
      <c r="AF2279" s="314">
        <f t="shared" si="506"/>
        <v>0</v>
      </c>
      <c r="AG2279" s="387"/>
      <c r="AH2279" s="387"/>
      <c r="AI2279" s="387"/>
      <c r="AJ2279" s="387"/>
      <c r="AK2279" s="314">
        <f t="shared" si="497"/>
        <v>0</v>
      </c>
      <c r="AL2279" s="446">
        <f t="shared" si="498"/>
        <v>0</v>
      </c>
      <c r="AM2279" s="110">
        <f t="shared" si="499"/>
        <v>0</v>
      </c>
      <c r="AN2279" s="447">
        <f t="shared" si="510"/>
        <v>0</v>
      </c>
      <c r="AO2279" s="436">
        <f>SUM(J2280)</f>
        <v>388.8</v>
      </c>
      <c r="AP2279" s="111"/>
    </row>
    <row r="2280" spans="1:42" s="108" customFormat="1" ht="66" x14ac:dyDescent="0.25">
      <c r="A2280" s="58"/>
      <c r="B2280" s="686" t="s">
        <v>2998</v>
      </c>
      <c r="C2280" s="9"/>
      <c r="D2280" s="869">
        <v>12</v>
      </c>
      <c r="E2280" s="1027" t="s">
        <v>1826</v>
      </c>
      <c r="F2280" s="278" t="s">
        <v>3446</v>
      </c>
      <c r="G2280" s="1040" t="s">
        <v>3463</v>
      </c>
      <c r="H2280" s="273" t="s">
        <v>3462</v>
      </c>
      <c r="I2280" s="722">
        <f>+J2280/D2280</f>
        <v>32.4</v>
      </c>
      <c r="J2280" s="763">
        <v>388.8</v>
      </c>
      <c r="K2280" s="131">
        <f t="shared" si="509"/>
        <v>388.79999999999995</v>
      </c>
      <c r="L2280" s="335">
        <f t="shared" si="496"/>
        <v>0</v>
      </c>
      <c r="M2280" s="335"/>
      <c r="N2280" s="335"/>
      <c r="O2280" s="335"/>
      <c r="P2280" s="335"/>
      <c r="Q2280" s="130">
        <f t="shared" si="502"/>
        <v>3</v>
      </c>
      <c r="R2280" s="131">
        <f t="shared" si="500"/>
        <v>97.2</v>
      </c>
      <c r="S2280" s="130"/>
      <c r="T2280" s="130"/>
      <c r="U2280" s="130">
        <f t="shared" si="503"/>
        <v>3</v>
      </c>
      <c r="V2280" s="131">
        <f t="shared" si="501"/>
        <v>97.2</v>
      </c>
      <c r="W2280" s="130"/>
      <c r="X2280" s="130"/>
      <c r="Y2280" s="130"/>
      <c r="Z2280" s="130"/>
      <c r="AA2280" s="130">
        <f t="shared" si="504"/>
        <v>3</v>
      </c>
      <c r="AB2280" s="131">
        <f t="shared" si="505"/>
        <v>97.2</v>
      </c>
      <c r="AC2280" s="130"/>
      <c r="AD2280" s="130"/>
      <c r="AE2280" s="130">
        <f t="shared" si="504"/>
        <v>3</v>
      </c>
      <c r="AF2280" s="131">
        <f t="shared" si="506"/>
        <v>97.2</v>
      </c>
      <c r="AG2280" s="130"/>
      <c r="AH2280" s="130"/>
      <c r="AI2280" s="130"/>
      <c r="AJ2280" s="130"/>
      <c r="AK2280" s="131">
        <f t="shared" si="497"/>
        <v>388.8</v>
      </c>
      <c r="AL2280" s="335">
        <f t="shared" si="498"/>
        <v>0</v>
      </c>
      <c r="AM2280" s="130">
        <f t="shared" si="499"/>
        <v>12</v>
      </c>
      <c r="AN2280" s="336">
        <f t="shared" si="510"/>
        <v>0</v>
      </c>
    </row>
    <row r="2281" spans="1:42" x14ac:dyDescent="0.25">
      <c r="A2281" s="310">
        <v>24804</v>
      </c>
      <c r="B2281" s="551" t="s">
        <v>596</v>
      </c>
      <c r="C2281" s="311"/>
      <c r="D2281" s="915"/>
      <c r="E2281" s="312"/>
      <c r="F2281" s="371"/>
      <c r="G2281" s="371"/>
      <c r="H2281" s="371"/>
      <c r="I2281" s="729"/>
      <c r="J2281" s="800"/>
      <c r="K2281" s="131">
        <f t="shared" si="509"/>
        <v>0</v>
      </c>
      <c r="L2281" s="335">
        <f t="shared" si="496"/>
        <v>0</v>
      </c>
      <c r="M2281" s="421"/>
      <c r="N2281" s="421"/>
      <c r="O2281" s="421"/>
      <c r="P2281" s="421"/>
      <c r="Q2281" s="387">
        <f t="shared" si="502"/>
        <v>0</v>
      </c>
      <c r="R2281" s="314">
        <f t="shared" si="500"/>
        <v>0</v>
      </c>
      <c r="S2281" s="387"/>
      <c r="T2281" s="387"/>
      <c r="U2281" s="387">
        <f t="shared" si="503"/>
        <v>0</v>
      </c>
      <c r="V2281" s="314">
        <f t="shared" si="501"/>
        <v>0</v>
      </c>
      <c r="W2281" s="387"/>
      <c r="X2281" s="387"/>
      <c r="Y2281" s="387"/>
      <c r="Z2281" s="387"/>
      <c r="AA2281" s="387">
        <f t="shared" si="504"/>
        <v>0</v>
      </c>
      <c r="AB2281" s="314">
        <f t="shared" si="505"/>
        <v>0</v>
      </c>
      <c r="AC2281" s="387"/>
      <c r="AD2281" s="387"/>
      <c r="AE2281" s="387">
        <f t="shared" si="504"/>
        <v>0</v>
      </c>
      <c r="AF2281" s="314">
        <f t="shared" si="506"/>
        <v>0</v>
      </c>
      <c r="AG2281" s="387"/>
      <c r="AH2281" s="387"/>
      <c r="AI2281" s="387"/>
      <c r="AJ2281" s="387"/>
      <c r="AK2281" s="314">
        <f t="shared" si="497"/>
        <v>0</v>
      </c>
      <c r="AL2281" s="446">
        <f t="shared" si="498"/>
        <v>0</v>
      </c>
      <c r="AM2281" s="110">
        <f t="shared" si="499"/>
        <v>0</v>
      </c>
      <c r="AN2281" s="447">
        <f t="shared" si="510"/>
        <v>0</v>
      </c>
      <c r="AO2281" s="436">
        <f>SUM(J2282:J2285)</f>
        <v>9811.9295999999995</v>
      </c>
      <c r="AP2281" s="111"/>
    </row>
    <row r="2282" spans="1:42" ht="66" x14ac:dyDescent="0.25">
      <c r="A2282" s="9"/>
      <c r="B2282" s="152" t="s">
        <v>1236</v>
      </c>
      <c r="C2282" s="1027"/>
      <c r="D2282" s="916">
        <v>2</v>
      </c>
      <c r="E2282" s="1027" t="s">
        <v>1721</v>
      </c>
      <c r="F2282" s="278" t="s">
        <v>3446</v>
      </c>
      <c r="G2282" s="1040" t="s">
        <v>3463</v>
      </c>
      <c r="H2282" s="273" t="s">
        <v>3462</v>
      </c>
      <c r="I2282" s="720">
        <f>+J2282/D2282</f>
        <v>1446.9839999999999</v>
      </c>
      <c r="J2282" s="756">
        <v>2893.9679999999998</v>
      </c>
      <c r="K2282" s="131">
        <f t="shared" si="509"/>
        <v>2893.9679999999998</v>
      </c>
      <c r="L2282" s="335">
        <f t="shared" si="496"/>
        <v>0</v>
      </c>
      <c r="M2282" s="446"/>
      <c r="N2282" s="446"/>
      <c r="O2282" s="446"/>
      <c r="P2282" s="446"/>
      <c r="Q2282" s="130">
        <v>1</v>
      </c>
      <c r="R2282" s="111">
        <v>1446.98</v>
      </c>
      <c r="S2282" s="110"/>
      <c r="T2282" s="110"/>
      <c r="U2282" s="130">
        <v>1</v>
      </c>
      <c r="V2282" s="111">
        <v>1446.98</v>
      </c>
      <c r="W2282" s="110"/>
      <c r="X2282" s="110"/>
      <c r="Y2282" s="110"/>
      <c r="Z2282" s="110"/>
      <c r="AA2282" s="130">
        <v>0</v>
      </c>
      <c r="AB2282" s="111">
        <v>0</v>
      </c>
      <c r="AC2282" s="110"/>
      <c r="AD2282" s="110"/>
      <c r="AE2282" s="130">
        <v>0</v>
      </c>
      <c r="AF2282" s="111">
        <v>0</v>
      </c>
      <c r="AG2282" s="110"/>
      <c r="AH2282" s="110"/>
      <c r="AI2282" s="110"/>
      <c r="AJ2282" s="110"/>
      <c r="AK2282" s="111">
        <f t="shared" si="497"/>
        <v>2893.96</v>
      </c>
      <c r="AL2282" s="446">
        <f t="shared" si="498"/>
        <v>7.9999999998108251E-3</v>
      </c>
      <c r="AM2282" s="110">
        <f t="shared" si="499"/>
        <v>2</v>
      </c>
      <c r="AN2282" s="447">
        <f t="shared" si="510"/>
        <v>0</v>
      </c>
      <c r="AO2282"/>
      <c r="AP2282"/>
    </row>
    <row r="2283" spans="1:42" ht="66" x14ac:dyDescent="0.25">
      <c r="A2283" s="9"/>
      <c r="B2283" s="152" t="s">
        <v>1237</v>
      </c>
      <c r="C2283" s="1027"/>
      <c r="D2283" s="916">
        <v>2</v>
      </c>
      <c r="E2283" s="1027" t="s">
        <v>1721</v>
      </c>
      <c r="F2283" s="278" t="s">
        <v>3446</v>
      </c>
      <c r="G2283" s="1040" t="s">
        <v>3463</v>
      </c>
      <c r="H2283" s="273" t="s">
        <v>3462</v>
      </c>
      <c r="I2283" s="720">
        <f>+J2283/D2283</f>
        <v>1364.2991999999997</v>
      </c>
      <c r="J2283" s="756">
        <v>2728.5983999999994</v>
      </c>
      <c r="K2283" s="131">
        <f t="shared" si="509"/>
        <v>2728.5983999999994</v>
      </c>
      <c r="L2283" s="335">
        <f t="shared" si="496"/>
        <v>0</v>
      </c>
      <c r="M2283" s="446"/>
      <c r="N2283" s="446"/>
      <c r="O2283" s="446"/>
      <c r="P2283" s="446"/>
      <c r="Q2283" s="130">
        <v>1</v>
      </c>
      <c r="R2283" s="111">
        <v>1364.3</v>
      </c>
      <c r="S2283" s="110"/>
      <c r="T2283" s="110"/>
      <c r="U2283" s="130">
        <v>1</v>
      </c>
      <c r="V2283" s="111">
        <v>1364.3</v>
      </c>
      <c r="W2283" s="110"/>
      <c r="X2283" s="110"/>
      <c r="Y2283" s="110"/>
      <c r="Z2283" s="110"/>
      <c r="AA2283" s="130">
        <v>0</v>
      </c>
      <c r="AB2283" s="111">
        <v>0</v>
      </c>
      <c r="AC2283" s="110"/>
      <c r="AD2283" s="110"/>
      <c r="AE2283" s="130">
        <v>0</v>
      </c>
      <c r="AF2283" s="111">
        <v>0</v>
      </c>
      <c r="AG2283" s="110"/>
      <c r="AH2283" s="110"/>
      <c r="AI2283" s="110"/>
      <c r="AJ2283" s="110"/>
      <c r="AK2283" s="111">
        <f t="shared" si="497"/>
        <v>2728.6</v>
      </c>
      <c r="AL2283" s="446">
        <f t="shared" si="498"/>
        <v>-1.6000000005078618E-3</v>
      </c>
      <c r="AM2283" s="110">
        <f t="shared" si="499"/>
        <v>2</v>
      </c>
      <c r="AN2283" s="447">
        <f t="shared" si="510"/>
        <v>0</v>
      </c>
      <c r="AO2283"/>
      <c r="AP2283"/>
    </row>
    <row r="2284" spans="1:42" ht="66" x14ac:dyDescent="0.25">
      <c r="A2284" s="9"/>
      <c r="B2284" s="152" t="s">
        <v>1238</v>
      </c>
      <c r="C2284" s="1027"/>
      <c r="D2284" s="916">
        <v>2</v>
      </c>
      <c r="E2284" s="1027" t="s">
        <v>1721</v>
      </c>
      <c r="F2284" s="278" t="s">
        <v>3446</v>
      </c>
      <c r="G2284" s="1040" t="s">
        <v>3463</v>
      </c>
      <c r="H2284" s="273" t="s">
        <v>3462</v>
      </c>
      <c r="I2284" s="720">
        <f>+J2284/D2284</f>
        <v>1336.7375999999997</v>
      </c>
      <c r="J2284" s="756">
        <v>2673.4751999999994</v>
      </c>
      <c r="K2284" s="131">
        <f t="shared" si="509"/>
        <v>2673.4751999999994</v>
      </c>
      <c r="L2284" s="335">
        <f t="shared" si="496"/>
        <v>0</v>
      </c>
      <c r="M2284" s="446"/>
      <c r="N2284" s="446"/>
      <c r="O2284" s="446"/>
      <c r="P2284" s="446"/>
      <c r="Q2284" s="130">
        <v>1</v>
      </c>
      <c r="R2284" s="111">
        <v>1336.74</v>
      </c>
      <c r="S2284" s="110"/>
      <c r="T2284" s="110"/>
      <c r="U2284" s="130">
        <v>1</v>
      </c>
      <c r="V2284" s="111">
        <v>1336.74</v>
      </c>
      <c r="W2284" s="110"/>
      <c r="X2284" s="110"/>
      <c r="Y2284" s="110"/>
      <c r="Z2284" s="110"/>
      <c r="AA2284" s="130">
        <v>0</v>
      </c>
      <c r="AB2284" s="111">
        <v>0</v>
      </c>
      <c r="AC2284" s="110"/>
      <c r="AD2284" s="110"/>
      <c r="AE2284" s="130">
        <v>0</v>
      </c>
      <c r="AF2284" s="111">
        <v>0</v>
      </c>
      <c r="AG2284" s="110"/>
      <c r="AH2284" s="110"/>
      <c r="AI2284" s="110"/>
      <c r="AJ2284" s="110"/>
      <c r="AK2284" s="111">
        <f t="shared" si="497"/>
        <v>2673.48</v>
      </c>
      <c r="AL2284" s="446">
        <f t="shared" si="498"/>
        <v>-4.8000000006140908E-3</v>
      </c>
      <c r="AM2284" s="110">
        <f t="shared" si="499"/>
        <v>2</v>
      </c>
      <c r="AN2284" s="447">
        <f t="shared" si="510"/>
        <v>0</v>
      </c>
      <c r="AO2284"/>
      <c r="AP2284"/>
    </row>
    <row r="2285" spans="1:42" ht="66" x14ac:dyDescent="0.25">
      <c r="A2285" s="9"/>
      <c r="B2285" s="152" t="s">
        <v>1239</v>
      </c>
      <c r="C2285" s="1027"/>
      <c r="D2285" s="916">
        <v>2</v>
      </c>
      <c r="E2285" s="1027" t="s">
        <v>1721</v>
      </c>
      <c r="F2285" s="278" t="s">
        <v>3446</v>
      </c>
      <c r="G2285" s="1040" t="s">
        <v>3463</v>
      </c>
      <c r="H2285" s="273" t="s">
        <v>3462</v>
      </c>
      <c r="I2285" s="720">
        <f>+J2285/D2285</f>
        <v>757.94399999999996</v>
      </c>
      <c r="J2285" s="756">
        <v>1515.8879999999999</v>
      </c>
      <c r="K2285" s="131">
        <f t="shared" si="509"/>
        <v>1515.8879999999999</v>
      </c>
      <c r="L2285" s="335">
        <f t="shared" si="496"/>
        <v>0</v>
      </c>
      <c r="M2285" s="446"/>
      <c r="N2285" s="446"/>
      <c r="O2285" s="446"/>
      <c r="P2285" s="446"/>
      <c r="Q2285" s="130">
        <v>1</v>
      </c>
      <c r="R2285" s="111">
        <v>757.94</v>
      </c>
      <c r="S2285" s="110"/>
      <c r="T2285" s="110"/>
      <c r="U2285" s="130">
        <v>1</v>
      </c>
      <c r="V2285" s="111">
        <v>757.94</v>
      </c>
      <c r="W2285" s="110"/>
      <c r="X2285" s="110"/>
      <c r="Y2285" s="110"/>
      <c r="Z2285" s="110"/>
      <c r="AA2285" s="130">
        <v>0</v>
      </c>
      <c r="AB2285" s="111">
        <v>0</v>
      </c>
      <c r="AC2285" s="110"/>
      <c r="AD2285" s="110"/>
      <c r="AE2285" s="130">
        <v>0</v>
      </c>
      <c r="AF2285" s="111">
        <v>0</v>
      </c>
      <c r="AG2285" s="110"/>
      <c r="AH2285" s="110"/>
      <c r="AI2285" s="110"/>
      <c r="AJ2285" s="110"/>
      <c r="AK2285" s="111">
        <f t="shared" si="497"/>
        <v>1515.88</v>
      </c>
      <c r="AL2285" s="446">
        <f t="shared" si="498"/>
        <v>7.9999999998108251E-3</v>
      </c>
      <c r="AM2285" s="110">
        <f t="shared" si="499"/>
        <v>2</v>
      </c>
      <c r="AN2285" s="447">
        <f t="shared" si="510"/>
        <v>0</v>
      </c>
      <c r="AO2285"/>
      <c r="AP2285"/>
    </row>
    <row r="2286" spans="1:42" x14ac:dyDescent="0.25">
      <c r="A2286" s="1001">
        <v>24805</v>
      </c>
      <c r="B2286" s="551" t="s">
        <v>597</v>
      </c>
      <c r="C2286" s="311"/>
      <c r="D2286" s="915"/>
      <c r="E2286" s="1002"/>
      <c r="F2286" s="1003"/>
      <c r="G2286" s="1003"/>
      <c r="H2286" s="1003"/>
      <c r="I2286" s="729"/>
      <c r="J2286" s="1004"/>
      <c r="K2286" s="131">
        <f t="shared" si="509"/>
        <v>0</v>
      </c>
      <c r="L2286" s="335">
        <f t="shared" si="496"/>
        <v>0</v>
      </c>
      <c r="M2286" s="421"/>
      <c r="N2286" s="421"/>
      <c r="O2286" s="421"/>
      <c r="P2286" s="421"/>
      <c r="Q2286" s="387">
        <f t="shared" si="502"/>
        <v>0</v>
      </c>
      <c r="R2286" s="314">
        <f t="shared" si="500"/>
        <v>0</v>
      </c>
      <c r="S2286" s="387"/>
      <c r="T2286" s="387"/>
      <c r="U2286" s="387">
        <f t="shared" si="503"/>
        <v>0</v>
      </c>
      <c r="V2286" s="314">
        <f t="shared" si="501"/>
        <v>0</v>
      </c>
      <c r="W2286" s="387"/>
      <c r="X2286" s="387"/>
      <c r="Y2286" s="387"/>
      <c r="Z2286" s="387"/>
      <c r="AA2286" s="387">
        <f t="shared" si="504"/>
        <v>0</v>
      </c>
      <c r="AB2286" s="314">
        <f t="shared" si="505"/>
        <v>0</v>
      </c>
      <c r="AC2286" s="387"/>
      <c r="AD2286" s="387"/>
      <c r="AE2286" s="387">
        <f t="shared" si="504"/>
        <v>0</v>
      </c>
      <c r="AF2286" s="314">
        <f t="shared" si="506"/>
        <v>0</v>
      </c>
      <c r="AG2286" s="387"/>
      <c r="AH2286" s="387"/>
      <c r="AI2286" s="387"/>
      <c r="AJ2286" s="387"/>
      <c r="AK2286" s="314">
        <f t="shared" si="497"/>
        <v>0</v>
      </c>
      <c r="AL2286" s="446">
        <f t="shared" si="498"/>
        <v>0</v>
      </c>
      <c r="AM2286" s="110">
        <f t="shared" si="499"/>
        <v>0</v>
      </c>
      <c r="AN2286" s="447">
        <f t="shared" si="510"/>
        <v>0</v>
      </c>
      <c r="AO2286" s="108"/>
      <c r="AP2286"/>
    </row>
    <row r="2287" spans="1:42" s="108" customFormat="1" x14ac:dyDescent="0.25">
      <c r="A2287" s="58"/>
      <c r="B2287" s="707"/>
      <c r="C2287" s="57"/>
      <c r="D2287" s="869"/>
      <c r="E2287" s="1027"/>
      <c r="F2287" s="272"/>
      <c r="G2287" s="272"/>
      <c r="H2287" s="272"/>
      <c r="I2287" s="722"/>
      <c r="J2287" s="763"/>
      <c r="K2287" s="131">
        <f t="shared" si="509"/>
        <v>0</v>
      </c>
      <c r="L2287" s="335">
        <f t="shared" si="496"/>
        <v>0</v>
      </c>
      <c r="M2287" s="335"/>
      <c r="N2287" s="335"/>
      <c r="O2287" s="335"/>
      <c r="P2287" s="335"/>
      <c r="Q2287" s="130">
        <f t="shared" si="502"/>
        <v>0</v>
      </c>
      <c r="R2287" s="131">
        <f t="shared" si="500"/>
        <v>0</v>
      </c>
      <c r="S2287" s="130"/>
      <c r="T2287" s="130"/>
      <c r="U2287" s="130">
        <f t="shared" si="503"/>
        <v>0</v>
      </c>
      <c r="V2287" s="131">
        <f t="shared" si="501"/>
        <v>0</v>
      </c>
      <c r="W2287" s="130"/>
      <c r="X2287" s="130"/>
      <c r="Y2287" s="130"/>
      <c r="Z2287" s="130"/>
      <c r="AA2287" s="130">
        <f t="shared" si="504"/>
        <v>0</v>
      </c>
      <c r="AB2287" s="131">
        <f t="shared" si="505"/>
        <v>0</v>
      </c>
      <c r="AC2287" s="130"/>
      <c r="AD2287" s="130"/>
      <c r="AE2287" s="130">
        <f t="shared" si="504"/>
        <v>0</v>
      </c>
      <c r="AF2287" s="131">
        <f t="shared" si="506"/>
        <v>0</v>
      </c>
      <c r="AG2287" s="130"/>
      <c r="AH2287" s="130"/>
      <c r="AI2287" s="130"/>
      <c r="AJ2287" s="130"/>
      <c r="AK2287" s="131">
        <f t="shared" si="497"/>
        <v>0</v>
      </c>
      <c r="AL2287" s="335">
        <f t="shared" si="498"/>
        <v>0</v>
      </c>
      <c r="AM2287" s="130">
        <f t="shared" si="499"/>
        <v>0</v>
      </c>
      <c r="AN2287" s="336">
        <f t="shared" si="510"/>
        <v>0</v>
      </c>
    </row>
    <row r="2288" spans="1:42" x14ac:dyDescent="0.25">
      <c r="A2288" s="310">
        <v>24806</v>
      </c>
      <c r="B2288" s="374" t="s">
        <v>598</v>
      </c>
      <c r="C2288" s="311"/>
      <c r="D2288" s="902"/>
      <c r="E2288" s="312"/>
      <c r="F2288" s="313"/>
      <c r="G2288" s="313"/>
      <c r="H2288" s="313"/>
      <c r="I2288" s="729"/>
      <c r="J2288" s="800"/>
      <c r="K2288" s="131">
        <f t="shared" si="509"/>
        <v>0</v>
      </c>
      <c r="L2288" s="335">
        <f t="shared" si="496"/>
        <v>0</v>
      </c>
      <c r="M2288" s="421"/>
      <c r="N2288" s="421"/>
      <c r="O2288" s="421"/>
      <c r="P2288" s="421"/>
      <c r="Q2288" s="387">
        <f t="shared" si="502"/>
        <v>0</v>
      </c>
      <c r="R2288" s="314">
        <f t="shared" si="500"/>
        <v>0</v>
      </c>
      <c r="S2288" s="387"/>
      <c r="T2288" s="387"/>
      <c r="U2288" s="387">
        <f t="shared" si="503"/>
        <v>0</v>
      </c>
      <c r="V2288" s="314">
        <f t="shared" si="501"/>
        <v>0</v>
      </c>
      <c r="W2288" s="387"/>
      <c r="X2288" s="387"/>
      <c r="Y2288" s="387"/>
      <c r="Z2288" s="387"/>
      <c r="AA2288" s="387">
        <f t="shared" si="504"/>
        <v>0</v>
      </c>
      <c r="AB2288" s="314">
        <f t="shared" si="505"/>
        <v>0</v>
      </c>
      <c r="AC2288" s="387"/>
      <c r="AD2288" s="387"/>
      <c r="AE2288" s="387">
        <f t="shared" si="504"/>
        <v>0</v>
      </c>
      <c r="AF2288" s="314">
        <f t="shared" si="506"/>
        <v>0</v>
      </c>
      <c r="AG2288" s="387"/>
      <c r="AH2288" s="387"/>
      <c r="AI2288" s="387"/>
      <c r="AJ2288" s="387"/>
      <c r="AK2288" s="314">
        <f t="shared" si="497"/>
        <v>0</v>
      </c>
      <c r="AL2288" s="446">
        <f t="shared" si="498"/>
        <v>0</v>
      </c>
      <c r="AM2288" s="110">
        <f t="shared" si="499"/>
        <v>0</v>
      </c>
      <c r="AN2288" s="447">
        <f t="shared" si="510"/>
        <v>0</v>
      </c>
      <c r="AO2288" s="436">
        <f>SUM(J2289:J2290)</f>
        <v>1960</v>
      </c>
      <c r="AP2288" s="111"/>
    </row>
    <row r="2289" spans="1:42" ht="66" x14ac:dyDescent="0.25">
      <c r="A2289" s="40"/>
      <c r="B2289" s="149" t="s">
        <v>1824</v>
      </c>
      <c r="C2289" s="1024"/>
      <c r="D2289" s="869">
        <v>20</v>
      </c>
      <c r="E2289" s="1027" t="s">
        <v>1826</v>
      </c>
      <c r="F2289" s="278" t="s">
        <v>3446</v>
      </c>
      <c r="G2289" s="1040" t="s">
        <v>3463</v>
      </c>
      <c r="H2289" s="273" t="s">
        <v>3462</v>
      </c>
      <c r="I2289" s="720">
        <f>+J2289/D2289</f>
        <v>68</v>
      </c>
      <c r="J2289" s="756">
        <v>1360</v>
      </c>
      <c r="K2289" s="131">
        <f t="shared" si="509"/>
        <v>1360</v>
      </c>
      <c r="L2289" s="335">
        <f t="shared" si="496"/>
        <v>0</v>
      </c>
      <c r="M2289" s="446"/>
      <c r="N2289" s="446"/>
      <c r="O2289" s="446"/>
      <c r="P2289" s="446"/>
      <c r="Q2289" s="110">
        <f t="shared" si="502"/>
        <v>5</v>
      </c>
      <c r="R2289" s="111">
        <f t="shared" si="500"/>
        <v>340</v>
      </c>
      <c r="S2289" s="110"/>
      <c r="T2289" s="110"/>
      <c r="U2289" s="110">
        <f t="shared" si="503"/>
        <v>5</v>
      </c>
      <c r="V2289" s="111">
        <f t="shared" si="501"/>
        <v>340</v>
      </c>
      <c r="W2289" s="110"/>
      <c r="X2289" s="110"/>
      <c r="Y2289" s="110"/>
      <c r="Z2289" s="110"/>
      <c r="AA2289" s="110">
        <f t="shared" ref="AA2289:AE2335" si="511">+$D2289/4</f>
        <v>5</v>
      </c>
      <c r="AB2289" s="111">
        <f t="shared" si="505"/>
        <v>340</v>
      </c>
      <c r="AC2289" s="110"/>
      <c r="AD2289" s="110"/>
      <c r="AE2289" s="110">
        <f t="shared" si="511"/>
        <v>5</v>
      </c>
      <c r="AF2289" s="111">
        <f t="shared" si="506"/>
        <v>340</v>
      </c>
      <c r="AG2289" s="110"/>
      <c r="AH2289" s="110"/>
      <c r="AI2289" s="110"/>
      <c r="AJ2289" s="110"/>
      <c r="AK2289" s="111">
        <f t="shared" si="497"/>
        <v>1360</v>
      </c>
      <c r="AL2289" s="446">
        <f t="shared" si="498"/>
        <v>0</v>
      </c>
      <c r="AM2289" s="110">
        <f t="shared" si="499"/>
        <v>20</v>
      </c>
      <c r="AN2289" s="447">
        <f t="shared" si="510"/>
        <v>0</v>
      </c>
      <c r="AO2289"/>
      <c r="AP2289"/>
    </row>
    <row r="2290" spans="1:42" ht="66" x14ac:dyDescent="0.25">
      <c r="A2290" s="40"/>
      <c r="B2290" s="149" t="s">
        <v>1825</v>
      </c>
      <c r="C2290" s="1024"/>
      <c r="D2290" s="869">
        <v>20</v>
      </c>
      <c r="E2290" s="1027" t="s">
        <v>1826</v>
      </c>
      <c r="F2290" s="278" t="s">
        <v>3446</v>
      </c>
      <c r="G2290" s="1040" t="s">
        <v>3463</v>
      </c>
      <c r="H2290" s="273" t="s">
        <v>3462</v>
      </c>
      <c r="I2290" s="720">
        <f>+J2290/D2290</f>
        <v>30</v>
      </c>
      <c r="J2290" s="756">
        <v>600</v>
      </c>
      <c r="K2290" s="131">
        <f t="shared" si="509"/>
        <v>600</v>
      </c>
      <c r="L2290" s="335">
        <f t="shared" si="496"/>
        <v>0</v>
      </c>
      <c r="M2290" s="446"/>
      <c r="N2290" s="446"/>
      <c r="O2290" s="446"/>
      <c r="P2290" s="446"/>
      <c r="Q2290" s="110">
        <f t="shared" si="502"/>
        <v>5</v>
      </c>
      <c r="R2290" s="111">
        <f t="shared" si="500"/>
        <v>150</v>
      </c>
      <c r="S2290" s="110"/>
      <c r="T2290" s="110"/>
      <c r="U2290" s="110">
        <f t="shared" si="503"/>
        <v>5</v>
      </c>
      <c r="V2290" s="111">
        <f t="shared" si="501"/>
        <v>150</v>
      </c>
      <c r="W2290" s="110"/>
      <c r="X2290" s="110"/>
      <c r="Y2290" s="110"/>
      <c r="Z2290" s="110"/>
      <c r="AA2290" s="110">
        <f t="shared" si="511"/>
        <v>5</v>
      </c>
      <c r="AB2290" s="111">
        <f t="shared" si="505"/>
        <v>150</v>
      </c>
      <c r="AC2290" s="110"/>
      <c r="AD2290" s="110"/>
      <c r="AE2290" s="110">
        <f t="shared" si="511"/>
        <v>5</v>
      </c>
      <c r="AF2290" s="111">
        <f t="shared" si="506"/>
        <v>150</v>
      </c>
      <c r="AG2290" s="110"/>
      <c r="AH2290" s="110"/>
      <c r="AI2290" s="110"/>
      <c r="AJ2290" s="110"/>
      <c r="AK2290" s="111">
        <f t="shared" si="497"/>
        <v>600</v>
      </c>
      <c r="AL2290" s="446">
        <f t="shared" si="498"/>
        <v>0</v>
      </c>
      <c r="AM2290" s="110">
        <f t="shared" si="499"/>
        <v>20</v>
      </c>
      <c r="AN2290" s="447">
        <f t="shared" si="510"/>
        <v>0</v>
      </c>
      <c r="AO2290"/>
      <c r="AP2290"/>
    </row>
    <row r="2291" spans="1:42" ht="22.5" x14ac:dyDescent="0.25">
      <c r="A2291" s="310">
        <v>24807</v>
      </c>
      <c r="B2291" s="375" t="s">
        <v>599</v>
      </c>
      <c r="C2291" s="311"/>
      <c r="D2291" s="902"/>
      <c r="E2291" s="312"/>
      <c r="F2291" s="313"/>
      <c r="G2291" s="313"/>
      <c r="H2291" s="313"/>
      <c r="I2291" s="729"/>
      <c r="J2291" s="800"/>
      <c r="K2291" s="131">
        <f t="shared" si="509"/>
        <v>0</v>
      </c>
      <c r="L2291" s="335">
        <f t="shared" si="496"/>
        <v>0</v>
      </c>
      <c r="M2291" s="421"/>
      <c r="N2291" s="421"/>
      <c r="O2291" s="421"/>
      <c r="P2291" s="421"/>
      <c r="Q2291" s="387">
        <f t="shared" si="502"/>
        <v>0</v>
      </c>
      <c r="R2291" s="314">
        <f t="shared" si="500"/>
        <v>0</v>
      </c>
      <c r="S2291" s="387"/>
      <c r="T2291" s="387"/>
      <c r="U2291" s="387">
        <f t="shared" si="503"/>
        <v>0</v>
      </c>
      <c r="V2291" s="314">
        <f t="shared" si="501"/>
        <v>0</v>
      </c>
      <c r="W2291" s="387"/>
      <c r="X2291" s="387"/>
      <c r="Y2291" s="387"/>
      <c r="Z2291" s="387"/>
      <c r="AA2291" s="387">
        <f t="shared" si="511"/>
        <v>0</v>
      </c>
      <c r="AB2291" s="314">
        <f t="shared" si="505"/>
        <v>0</v>
      </c>
      <c r="AC2291" s="387"/>
      <c r="AD2291" s="387"/>
      <c r="AE2291" s="387">
        <f t="shared" si="511"/>
        <v>0</v>
      </c>
      <c r="AF2291" s="314">
        <f t="shared" si="506"/>
        <v>0</v>
      </c>
      <c r="AG2291" s="387"/>
      <c r="AH2291" s="387"/>
      <c r="AI2291" s="387"/>
      <c r="AJ2291" s="387"/>
      <c r="AK2291" s="314">
        <f t="shared" si="497"/>
        <v>0</v>
      </c>
      <c r="AL2291" s="446">
        <f t="shared" si="498"/>
        <v>0</v>
      </c>
      <c r="AM2291" s="110">
        <f t="shared" si="499"/>
        <v>0</v>
      </c>
      <c r="AN2291" s="447">
        <f t="shared" si="510"/>
        <v>0</v>
      </c>
      <c r="AO2291" s="436">
        <f>SUM(J2292:J2331)</f>
        <v>13009.937439999994</v>
      </c>
      <c r="AP2291" s="111"/>
    </row>
    <row r="2292" spans="1:42" ht="66" x14ac:dyDescent="0.25">
      <c r="A2292" s="9"/>
      <c r="B2292" s="59" t="s">
        <v>1091</v>
      </c>
      <c r="C2292" s="1024"/>
      <c r="D2292" s="916">
        <f>5</f>
        <v>5</v>
      </c>
      <c r="E2292" s="1027"/>
      <c r="F2292" s="278" t="s">
        <v>3446</v>
      </c>
      <c r="G2292" s="1040" t="s">
        <v>3463</v>
      </c>
      <c r="H2292" s="273" t="s">
        <v>3462</v>
      </c>
      <c r="I2292" s="720">
        <f t="shared" ref="I2292:I2331" si="512">+J2292/D2292</f>
        <v>250</v>
      </c>
      <c r="J2292" s="802">
        <f>1250</f>
        <v>1250</v>
      </c>
      <c r="K2292" s="131">
        <f t="shared" si="509"/>
        <v>1250</v>
      </c>
      <c r="L2292" s="335">
        <f t="shared" ref="L2292:L2355" si="513">+J2292-K2292</f>
        <v>0</v>
      </c>
      <c r="M2292" s="446"/>
      <c r="N2292" s="446"/>
      <c r="O2292" s="446"/>
      <c r="P2292" s="446"/>
      <c r="Q2292" s="110">
        <v>2</v>
      </c>
      <c r="R2292" s="111">
        <f t="shared" si="500"/>
        <v>312.5</v>
      </c>
      <c r="S2292" s="110"/>
      <c r="T2292" s="110"/>
      <c r="U2292" s="110">
        <v>1</v>
      </c>
      <c r="V2292" s="111">
        <f t="shared" si="501"/>
        <v>312.5</v>
      </c>
      <c r="W2292" s="110"/>
      <c r="X2292" s="110"/>
      <c r="Y2292" s="110"/>
      <c r="Z2292" s="110"/>
      <c r="AA2292" s="110">
        <v>1</v>
      </c>
      <c r="AB2292" s="111">
        <f t="shared" si="505"/>
        <v>312.5</v>
      </c>
      <c r="AC2292" s="110"/>
      <c r="AD2292" s="110"/>
      <c r="AE2292" s="110">
        <v>1</v>
      </c>
      <c r="AF2292" s="111">
        <f t="shared" si="506"/>
        <v>312.5</v>
      </c>
      <c r="AG2292" s="110"/>
      <c r="AH2292" s="110"/>
      <c r="AI2292" s="110"/>
      <c r="AJ2292" s="110"/>
      <c r="AK2292" s="111">
        <f t="shared" ref="AK2292:AK2355" si="514">+R2292+V2292+AB2292+AF2292</f>
        <v>1250</v>
      </c>
      <c r="AL2292" s="446">
        <f t="shared" ref="AL2292:AL2355" si="515">+J2292-AK2292</f>
        <v>0</v>
      </c>
      <c r="AM2292" s="110">
        <f t="shared" ref="AM2292:AM2355" si="516">+Q2292+U2292+AA2292+AE2292</f>
        <v>5</v>
      </c>
      <c r="AN2292" s="447">
        <f t="shared" si="510"/>
        <v>0</v>
      </c>
      <c r="AO2292"/>
      <c r="AP2292"/>
    </row>
    <row r="2293" spans="1:42" ht="66" x14ac:dyDescent="0.25">
      <c r="A2293" s="433"/>
      <c r="B2293" s="37" t="s">
        <v>1092</v>
      </c>
      <c r="C2293" s="9"/>
      <c r="D2293" s="916">
        <f>6</f>
        <v>6</v>
      </c>
      <c r="E2293" s="257"/>
      <c r="F2293" s="278" t="s">
        <v>3446</v>
      </c>
      <c r="G2293" s="1040" t="s">
        <v>3463</v>
      </c>
      <c r="H2293" s="273" t="s">
        <v>3462</v>
      </c>
      <c r="I2293" s="720">
        <f t="shared" si="512"/>
        <v>77.22</v>
      </c>
      <c r="J2293" s="756">
        <f>463.32</f>
        <v>463.32</v>
      </c>
      <c r="K2293" s="131">
        <f t="shared" si="509"/>
        <v>463.32</v>
      </c>
      <c r="L2293" s="335">
        <f t="shared" si="513"/>
        <v>0</v>
      </c>
      <c r="M2293" s="446"/>
      <c r="N2293" s="446"/>
      <c r="O2293" s="446"/>
      <c r="P2293" s="446"/>
      <c r="Q2293" s="130">
        <v>2</v>
      </c>
      <c r="R2293" s="111">
        <f t="shared" si="500"/>
        <v>115.83</v>
      </c>
      <c r="S2293" s="110"/>
      <c r="T2293" s="110"/>
      <c r="U2293" s="130">
        <v>2</v>
      </c>
      <c r="V2293" s="111">
        <f t="shared" si="501"/>
        <v>115.83</v>
      </c>
      <c r="W2293" s="110"/>
      <c r="X2293" s="110"/>
      <c r="Y2293" s="110"/>
      <c r="Z2293" s="110"/>
      <c r="AA2293" s="130">
        <v>1</v>
      </c>
      <c r="AB2293" s="111">
        <f t="shared" si="505"/>
        <v>115.83</v>
      </c>
      <c r="AC2293" s="110"/>
      <c r="AD2293" s="110"/>
      <c r="AE2293" s="130">
        <v>1</v>
      </c>
      <c r="AF2293" s="111">
        <f t="shared" si="506"/>
        <v>115.83</v>
      </c>
      <c r="AG2293" s="110"/>
      <c r="AH2293" s="110"/>
      <c r="AI2293" s="110"/>
      <c r="AJ2293" s="110"/>
      <c r="AK2293" s="111">
        <f t="shared" si="514"/>
        <v>463.32</v>
      </c>
      <c r="AL2293" s="446">
        <f t="shared" si="515"/>
        <v>0</v>
      </c>
      <c r="AM2293" s="110">
        <f t="shared" si="516"/>
        <v>6</v>
      </c>
      <c r="AN2293" s="447">
        <f t="shared" si="510"/>
        <v>0</v>
      </c>
      <c r="AO2293"/>
      <c r="AP2293"/>
    </row>
    <row r="2294" spans="1:42" ht="66" x14ac:dyDescent="0.25">
      <c r="A2294" s="433"/>
      <c r="B2294" s="37" t="s">
        <v>600</v>
      </c>
      <c r="C2294" s="9"/>
      <c r="D2294" s="916">
        <f>6+5</f>
        <v>11</v>
      </c>
      <c r="E2294" s="257"/>
      <c r="F2294" s="278" t="s">
        <v>3446</v>
      </c>
      <c r="G2294" s="1040" t="s">
        <v>3463</v>
      </c>
      <c r="H2294" s="273" t="s">
        <v>3462</v>
      </c>
      <c r="I2294" s="720">
        <f t="shared" si="512"/>
        <v>82.836363636363643</v>
      </c>
      <c r="J2294" s="756">
        <f>463.32+447.88</f>
        <v>911.2</v>
      </c>
      <c r="K2294" s="131">
        <f t="shared" si="509"/>
        <v>911.2</v>
      </c>
      <c r="L2294" s="335">
        <f t="shared" si="513"/>
        <v>0</v>
      </c>
      <c r="M2294" s="446"/>
      <c r="N2294" s="446"/>
      <c r="O2294" s="446"/>
      <c r="P2294" s="446"/>
      <c r="Q2294" s="110">
        <v>3</v>
      </c>
      <c r="R2294" s="111">
        <f t="shared" si="500"/>
        <v>227.8</v>
      </c>
      <c r="S2294" s="110"/>
      <c r="T2294" s="110"/>
      <c r="U2294" s="110">
        <v>3</v>
      </c>
      <c r="V2294" s="111">
        <f t="shared" si="501"/>
        <v>227.8</v>
      </c>
      <c r="W2294" s="110"/>
      <c r="X2294" s="110"/>
      <c r="Y2294" s="110"/>
      <c r="Z2294" s="110"/>
      <c r="AA2294" s="110">
        <v>3</v>
      </c>
      <c r="AB2294" s="111">
        <f t="shared" si="505"/>
        <v>227.8</v>
      </c>
      <c r="AC2294" s="110"/>
      <c r="AD2294" s="110"/>
      <c r="AE2294" s="110">
        <v>2</v>
      </c>
      <c r="AF2294" s="111">
        <f t="shared" si="506"/>
        <v>227.8</v>
      </c>
      <c r="AG2294" s="110"/>
      <c r="AH2294" s="110"/>
      <c r="AI2294" s="110"/>
      <c r="AJ2294" s="110"/>
      <c r="AK2294" s="111">
        <f t="shared" si="514"/>
        <v>911.2</v>
      </c>
      <c r="AL2294" s="446">
        <f t="shared" si="515"/>
        <v>0</v>
      </c>
      <c r="AM2294" s="110">
        <f t="shared" si="516"/>
        <v>11</v>
      </c>
      <c r="AN2294" s="447">
        <f t="shared" si="510"/>
        <v>0</v>
      </c>
      <c r="AO2294"/>
      <c r="AP2294"/>
    </row>
    <row r="2295" spans="1:42" ht="66" x14ac:dyDescent="0.25">
      <c r="A2295" s="433"/>
      <c r="B2295" s="37" t="s">
        <v>1093</v>
      </c>
      <c r="C2295" s="9"/>
      <c r="D2295" s="916">
        <f>6</f>
        <v>6</v>
      </c>
      <c r="E2295" s="257"/>
      <c r="F2295" s="278" t="s">
        <v>3446</v>
      </c>
      <c r="G2295" s="1040" t="s">
        <v>3463</v>
      </c>
      <c r="H2295" s="273" t="s">
        <v>3462</v>
      </c>
      <c r="I2295" s="720">
        <f t="shared" si="512"/>
        <v>71.28</v>
      </c>
      <c r="J2295" s="756">
        <f>427.68</f>
        <v>427.68</v>
      </c>
      <c r="K2295" s="131">
        <f t="shared" si="509"/>
        <v>427.68</v>
      </c>
      <c r="L2295" s="335">
        <f t="shared" si="513"/>
        <v>0</v>
      </c>
      <c r="M2295" s="446"/>
      <c r="N2295" s="446"/>
      <c r="O2295" s="446"/>
      <c r="P2295" s="446"/>
      <c r="Q2295" s="130">
        <v>2</v>
      </c>
      <c r="R2295" s="111">
        <f t="shared" si="500"/>
        <v>106.92</v>
      </c>
      <c r="S2295" s="110"/>
      <c r="T2295" s="110"/>
      <c r="U2295" s="130">
        <v>2</v>
      </c>
      <c r="V2295" s="111">
        <f t="shared" si="501"/>
        <v>106.92</v>
      </c>
      <c r="W2295" s="110"/>
      <c r="X2295" s="110"/>
      <c r="Y2295" s="110"/>
      <c r="Z2295" s="110"/>
      <c r="AA2295" s="130">
        <v>1</v>
      </c>
      <c r="AB2295" s="111">
        <f t="shared" si="505"/>
        <v>106.92</v>
      </c>
      <c r="AC2295" s="110"/>
      <c r="AD2295" s="110"/>
      <c r="AE2295" s="130">
        <v>1</v>
      </c>
      <c r="AF2295" s="111">
        <f t="shared" si="506"/>
        <v>106.92</v>
      </c>
      <c r="AG2295" s="110"/>
      <c r="AH2295" s="110"/>
      <c r="AI2295" s="110"/>
      <c r="AJ2295" s="110"/>
      <c r="AK2295" s="111">
        <f t="shared" si="514"/>
        <v>427.68</v>
      </c>
      <c r="AL2295" s="446">
        <f t="shared" si="515"/>
        <v>0</v>
      </c>
      <c r="AM2295" s="110">
        <f t="shared" si="516"/>
        <v>6</v>
      </c>
      <c r="AN2295" s="447">
        <f t="shared" si="510"/>
        <v>0</v>
      </c>
      <c r="AO2295"/>
      <c r="AP2295"/>
    </row>
    <row r="2296" spans="1:42" ht="66" x14ac:dyDescent="0.25">
      <c r="A2296" s="433"/>
      <c r="B2296" s="152" t="s">
        <v>1262</v>
      </c>
      <c r="C2296" s="9"/>
      <c r="D2296" s="916">
        <v>1</v>
      </c>
      <c r="E2296" s="257"/>
      <c r="F2296" s="278" t="s">
        <v>3446</v>
      </c>
      <c r="G2296" s="1040" t="s">
        <v>3463</v>
      </c>
      <c r="H2296" s="273" t="s">
        <v>3462</v>
      </c>
      <c r="I2296" s="720">
        <f t="shared" si="512"/>
        <v>1739.9999999999998</v>
      </c>
      <c r="J2296" s="756">
        <v>1739.9999999999998</v>
      </c>
      <c r="K2296" s="131">
        <f t="shared" si="509"/>
        <v>1739.9999999999998</v>
      </c>
      <c r="L2296" s="335">
        <f t="shared" si="513"/>
        <v>0</v>
      </c>
      <c r="M2296" s="446"/>
      <c r="N2296" s="446"/>
      <c r="O2296" s="446"/>
      <c r="P2296" s="446"/>
      <c r="Q2296" s="110">
        <v>1</v>
      </c>
      <c r="R2296" s="111">
        <v>1740</v>
      </c>
      <c r="S2296" s="110"/>
      <c r="T2296" s="110"/>
      <c r="U2296" s="110">
        <v>0</v>
      </c>
      <c r="V2296" s="111">
        <v>0</v>
      </c>
      <c r="W2296" s="110"/>
      <c r="X2296" s="110"/>
      <c r="Y2296" s="110"/>
      <c r="Z2296" s="110"/>
      <c r="AA2296" s="110">
        <v>0</v>
      </c>
      <c r="AB2296" s="111">
        <v>0</v>
      </c>
      <c r="AC2296" s="110"/>
      <c r="AD2296" s="110"/>
      <c r="AE2296" s="110">
        <v>0</v>
      </c>
      <c r="AF2296" s="111">
        <v>0</v>
      </c>
      <c r="AG2296" s="110"/>
      <c r="AH2296" s="110"/>
      <c r="AI2296" s="110"/>
      <c r="AJ2296" s="110"/>
      <c r="AK2296" s="111">
        <f t="shared" si="514"/>
        <v>1740</v>
      </c>
      <c r="AL2296" s="446">
        <f t="shared" si="515"/>
        <v>0</v>
      </c>
      <c r="AM2296" s="110">
        <f t="shared" si="516"/>
        <v>1</v>
      </c>
      <c r="AN2296" s="447">
        <f t="shared" si="510"/>
        <v>0</v>
      </c>
      <c r="AO2296"/>
      <c r="AP2296"/>
    </row>
    <row r="2297" spans="1:42" ht="66" x14ac:dyDescent="0.25">
      <c r="A2297" s="433"/>
      <c r="B2297" s="559" t="s">
        <v>1240</v>
      </c>
      <c r="C2297" s="9"/>
      <c r="D2297" s="916">
        <v>5</v>
      </c>
      <c r="E2297" s="257"/>
      <c r="F2297" s="278" t="s">
        <v>3446</v>
      </c>
      <c r="G2297" s="1040" t="s">
        <v>3463</v>
      </c>
      <c r="H2297" s="273" t="s">
        <v>3462</v>
      </c>
      <c r="I2297" s="720">
        <f t="shared" si="512"/>
        <v>348</v>
      </c>
      <c r="J2297" s="756">
        <v>1740</v>
      </c>
      <c r="K2297" s="131">
        <f t="shared" si="509"/>
        <v>1740</v>
      </c>
      <c r="L2297" s="335">
        <f t="shared" si="513"/>
        <v>0</v>
      </c>
      <c r="M2297" s="446"/>
      <c r="N2297" s="446"/>
      <c r="O2297" s="446"/>
      <c r="P2297" s="446"/>
      <c r="Q2297" s="110">
        <v>2</v>
      </c>
      <c r="R2297" s="111">
        <f t="shared" si="500"/>
        <v>435</v>
      </c>
      <c r="S2297" s="110"/>
      <c r="T2297" s="110"/>
      <c r="U2297" s="110">
        <v>1</v>
      </c>
      <c r="V2297" s="111">
        <f t="shared" si="501"/>
        <v>435</v>
      </c>
      <c r="W2297" s="110"/>
      <c r="X2297" s="110"/>
      <c r="Y2297" s="110"/>
      <c r="Z2297" s="110"/>
      <c r="AA2297" s="110">
        <v>1</v>
      </c>
      <c r="AB2297" s="111">
        <f t="shared" si="505"/>
        <v>435</v>
      </c>
      <c r="AC2297" s="110"/>
      <c r="AD2297" s="110"/>
      <c r="AE2297" s="110">
        <v>1</v>
      </c>
      <c r="AF2297" s="111">
        <f t="shared" si="506"/>
        <v>435</v>
      </c>
      <c r="AG2297" s="110"/>
      <c r="AH2297" s="110"/>
      <c r="AI2297" s="110"/>
      <c r="AJ2297" s="110"/>
      <c r="AK2297" s="111">
        <f t="shared" si="514"/>
        <v>1740</v>
      </c>
      <c r="AL2297" s="446">
        <f t="shared" si="515"/>
        <v>0</v>
      </c>
      <c r="AM2297" s="110">
        <f t="shared" si="516"/>
        <v>5</v>
      </c>
      <c r="AN2297" s="447">
        <f t="shared" si="510"/>
        <v>0</v>
      </c>
      <c r="AO2297"/>
      <c r="AP2297"/>
    </row>
    <row r="2298" spans="1:42" ht="66" x14ac:dyDescent="0.25">
      <c r="A2298" s="433"/>
      <c r="B2298" s="559" t="s">
        <v>1241</v>
      </c>
      <c r="C2298" s="9"/>
      <c r="D2298" s="916">
        <v>5</v>
      </c>
      <c r="E2298" s="257"/>
      <c r="F2298" s="278" t="s">
        <v>3446</v>
      </c>
      <c r="G2298" s="1040" t="s">
        <v>3463</v>
      </c>
      <c r="H2298" s="273" t="s">
        <v>3462</v>
      </c>
      <c r="I2298" s="720">
        <f t="shared" si="512"/>
        <v>174</v>
      </c>
      <c r="J2298" s="756">
        <v>870</v>
      </c>
      <c r="K2298" s="131">
        <f t="shared" si="509"/>
        <v>870</v>
      </c>
      <c r="L2298" s="335">
        <f t="shared" si="513"/>
        <v>0</v>
      </c>
      <c r="M2298" s="446"/>
      <c r="N2298" s="446"/>
      <c r="O2298" s="446"/>
      <c r="P2298" s="446"/>
      <c r="Q2298" s="110">
        <v>2</v>
      </c>
      <c r="R2298" s="111">
        <f t="shared" si="500"/>
        <v>217.5</v>
      </c>
      <c r="S2298" s="110"/>
      <c r="T2298" s="110"/>
      <c r="U2298" s="110">
        <v>1</v>
      </c>
      <c r="V2298" s="111">
        <f t="shared" si="501"/>
        <v>217.5</v>
      </c>
      <c r="W2298" s="110"/>
      <c r="X2298" s="110"/>
      <c r="Y2298" s="110"/>
      <c r="Z2298" s="110"/>
      <c r="AA2298" s="110">
        <v>1</v>
      </c>
      <c r="AB2298" s="111">
        <f t="shared" si="505"/>
        <v>217.5</v>
      </c>
      <c r="AC2298" s="110"/>
      <c r="AD2298" s="110"/>
      <c r="AE2298" s="110">
        <v>1</v>
      </c>
      <c r="AF2298" s="111">
        <f t="shared" si="506"/>
        <v>217.5</v>
      </c>
      <c r="AG2298" s="110"/>
      <c r="AH2298" s="110"/>
      <c r="AI2298" s="110"/>
      <c r="AJ2298" s="110"/>
      <c r="AK2298" s="111">
        <f t="shared" si="514"/>
        <v>870</v>
      </c>
      <c r="AL2298" s="446">
        <f t="shared" si="515"/>
        <v>0</v>
      </c>
      <c r="AM2298" s="110">
        <f t="shared" si="516"/>
        <v>5</v>
      </c>
      <c r="AN2298" s="447">
        <f t="shared" si="510"/>
        <v>0</v>
      </c>
      <c r="AO2298"/>
      <c r="AP2298"/>
    </row>
    <row r="2299" spans="1:42" ht="66" x14ac:dyDescent="0.25">
      <c r="A2299" s="433"/>
      <c r="B2299" s="559" t="s">
        <v>1242</v>
      </c>
      <c r="C2299" s="9"/>
      <c r="D2299" s="916">
        <v>5</v>
      </c>
      <c r="E2299" s="257"/>
      <c r="F2299" s="278" t="s">
        <v>3446</v>
      </c>
      <c r="G2299" s="1040" t="s">
        <v>3463</v>
      </c>
      <c r="H2299" s="273" t="s">
        <v>3462</v>
      </c>
      <c r="I2299" s="720">
        <f t="shared" si="512"/>
        <v>231.99999999999994</v>
      </c>
      <c r="J2299" s="756">
        <v>1159.9999999999998</v>
      </c>
      <c r="K2299" s="131">
        <f t="shared" si="509"/>
        <v>1159.9999999999998</v>
      </c>
      <c r="L2299" s="335">
        <f t="shared" si="513"/>
        <v>0</v>
      </c>
      <c r="M2299" s="446"/>
      <c r="N2299" s="446"/>
      <c r="O2299" s="446"/>
      <c r="P2299" s="446"/>
      <c r="Q2299" s="110">
        <v>2</v>
      </c>
      <c r="R2299" s="111">
        <f t="shared" si="500"/>
        <v>289.99999999999994</v>
      </c>
      <c r="S2299" s="110"/>
      <c r="T2299" s="110"/>
      <c r="U2299" s="110">
        <v>1</v>
      </c>
      <c r="V2299" s="111">
        <f t="shared" si="501"/>
        <v>289.99999999999994</v>
      </c>
      <c r="W2299" s="110"/>
      <c r="X2299" s="110"/>
      <c r="Y2299" s="110"/>
      <c r="Z2299" s="110"/>
      <c r="AA2299" s="110">
        <v>1</v>
      </c>
      <c r="AB2299" s="111">
        <f t="shared" si="505"/>
        <v>289.99999999999994</v>
      </c>
      <c r="AC2299" s="110"/>
      <c r="AD2299" s="110"/>
      <c r="AE2299" s="110">
        <v>1</v>
      </c>
      <c r="AF2299" s="111">
        <f t="shared" si="506"/>
        <v>289.99999999999994</v>
      </c>
      <c r="AG2299" s="110"/>
      <c r="AH2299" s="110"/>
      <c r="AI2299" s="110"/>
      <c r="AJ2299" s="110"/>
      <c r="AK2299" s="111">
        <f t="shared" si="514"/>
        <v>1159.9999999999998</v>
      </c>
      <c r="AL2299" s="446">
        <f t="shared" si="515"/>
        <v>0</v>
      </c>
      <c r="AM2299" s="110">
        <f t="shared" si="516"/>
        <v>5</v>
      </c>
      <c r="AN2299" s="447">
        <f t="shared" si="510"/>
        <v>0</v>
      </c>
      <c r="AO2299"/>
      <c r="AP2299"/>
    </row>
    <row r="2300" spans="1:42" ht="66" x14ac:dyDescent="0.25">
      <c r="A2300" s="433"/>
      <c r="B2300" s="179" t="s">
        <v>1243</v>
      </c>
      <c r="C2300" s="9"/>
      <c r="D2300" s="916">
        <v>2</v>
      </c>
      <c r="E2300" s="257"/>
      <c r="F2300" s="278" t="s">
        <v>3446</v>
      </c>
      <c r="G2300" s="1040" t="s">
        <v>3463</v>
      </c>
      <c r="H2300" s="273" t="s">
        <v>3462</v>
      </c>
      <c r="I2300" s="720">
        <f t="shared" si="512"/>
        <v>135</v>
      </c>
      <c r="J2300" s="756">
        <v>270</v>
      </c>
      <c r="K2300" s="131">
        <f t="shared" si="509"/>
        <v>270</v>
      </c>
      <c r="L2300" s="335">
        <f t="shared" si="513"/>
        <v>0</v>
      </c>
      <c r="M2300" s="446"/>
      <c r="N2300" s="446"/>
      <c r="O2300" s="446"/>
      <c r="P2300" s="446"/>
      <c r="Q2300" s="130">
        <v>1</v>
      </c>
      <c r="R2300" s="111">
        <v>135</v>
      </c>
      <c r="S2300" s="110"/>
      <c r="T2300" s="110"/>
      <c r="U2300" s="130">
        <v>1</v>
      </c>
      <c r="V2300" s="111">
        <v>135</v>
      </c>
      <c r="W2300" s="110"/>
      <c r="X2300" s="110"/>
      <c r="Y2300" s="110"/>
      <c r="Z2300" s="110"/>
      <c r="AA2300" s="130">
        <v>0</v>
      </c>
      <c r="AB2300" s="111">
        <v>0</v>
      </c>
      <c r="AC2300" s="110"/>
      <c r="AD2300" s="110"/>
      <c r="AE2300" s="130">
        <v>0</v>
      </c>
      <c r="AF2300" s="111">
        <v>0</v>
      </c>
      <c r="AG2300" s="110"/>
      <c r="AH2300" s="110"/>
      <c r="AI2300" s="110"/>
      <c r="AJ2300" s="110"/>
      <c r="AK2300" s="111">
        <f t="shared" si="514"/>
        <v>270</v>
      </c>
      <c r="AL2300" s="446">
        <f t="shared" si="515"/>
        <v>0</v>
      </c>
      <c r="AM2300" s="110">
        <f t="shared" si="516"/>
        <v>2</v>
      </c>
      <c r="AN2300" s="447">
        <f t="shared" si="510"/>
        <v>0</v>
      </c>
      <c r="AO2300"/>
      <c r="AP2300"/>
    </row>
    <row r="2301" spans="1:42" ht="66" x14ac:dyDescent="0.25">
      <c r="A2301" s="433"/>
      <c r="B2301" s="179" t="s">
        <v>1244</v>
      </c>
      <c r="C2301" s="9"/>
      <c r="D2301" s="916">
        <v>3</v>
      </c>
      <c r="E2301" s="257"/>
      <c r="F2301" s="278" t="s">
        <v>3446</v>
      </c>
      <c r="G2301" s="1040" t="s">
        <v>3463</v>
      </c>
      <c r="H2301" s="273" t="s">
        <v>3462</v>
      </c>
      <c r="I2301" s="720">
        <f t="shared" si="512"/>
        <v>21.63</v>
      </c>
      <c r="J2301" s="756">
        <v>64.89</v>
      </c>
      <c r="K2301" s="131">
        <f t="shared" si="509"/>
        <v>64.89</v>
      </c>
      <c r="L2301" s="335">
        <f t="shared" si="513"/>
        <v>0</v>
      </c>
      <c r="M2301" s="446"/>
      <c r="N2301" s="446"/>
      <c r="O2301" s="446"/>
      <c r="P2301" s="446"/>
      <c r="Q2301" s="130">
        <v>1</v>
      </c>
      <c r="R2301" s="111">
        <v>21.63</v>
      </c>
      <c r="S2301" s="110"/>
      <c r="T2301" s="110"/>
      <c r="U2301" s="130">
        <v>1</v>
      </c>
      <c r="V2301" s="111">
        <v>21.63</v>
      </c>
      <c r="W2301" s="110"/>
      <c r="X2301" s="110"/>
      <c r="Y2301" s="110"/>
      <c r="Z2301" s="110"/>
      <c r="AA2301" s="130">
        <v>1</v>
      </c>
      <c r="AB2301" s="111">
        <v>21.63</v>
      </c>
      <c r="AC2301" s="110"/>
      <c r="AD2301" s="110"/>
      <c r="AE2301" s="130">
        <v>0</v>
      </c>
      <c r="AF2301" s="111">
        <v>0</v>
      </c>
      <c r="AG2301" s="110"/>
      <c r="AH2301" s="110"/>
      <c r="AI2301" s="110"/>
      <c r="AJ2301" s="110"/>
      <c r="AK2301" s="111">
        <f t="shared" si="514"/>
        <v>64.89</v>
      </c>
      <c r="AL2301" s="446">
        <f t="shared" si="515"/>
        <v>0</v>
      </c>
      <c r="AM2301" s="110">
        <f t="shared" si="516"/>
        <v>3</v>
      </c>
      <c r="AN2301" s="447">
        <f t="shared" si="510"/>
        <v>0</v>
      </c>
      <c r="AO2301"/>
      <c r="AP2301"/>
    </row>
    <row r="2302" spans="1:42" ht="66" x14ac:dyDescent="0.25">
      <c r="A2302" s="433"/>
      <c r="B2302" s="179" t="s">
        <v>1245</v>
      </c>
      <c r="C2302" s="9"/>
      <c r="D2302" s="916">
        <v>6</v>
      </c>
      <c r="E2302" s="257"/>
      <c r="F2302" s="278" t="s">
        <v>3446</v>
      </c>
      <c r="G2302" s="1040" t="s">
        <v>3463</v>
      </c>
      <c r="H2302" s="273" t="s">
        <v>3462</v>
      </c>
      <c r="I2302" s="720">
        <f t="shared" si="512"/>
        <v>23.76</v>
      </c>
      <c r="J2302" s="756">
        <v>142.56</v>
      </c>
      <c r="K2302" s="131">
        <f t="shared" si="509"/>
        <v>142.56</v>
      </c>
      <c r="L2302" s="335">
        <f t="shared" si="513"/>
        <v>0</v>
      </c>
      <c r="M2302" s="446"/>
      <c r="N2302" s="446"/>
      <c r="O2302" s="446"/>
      <c r="P2302" s="446"/>
      <c r="Q2302" s="130">
        <v>2</v>
      </c>
      <c r="R2302" s="111">
        <f t="shared" ref="R2302:R2343" si="517">+J2302/4</f>
        <v>35.64</v>
      </c>
      <c r="S2302" s="110"/>
      <c r="T2302" s="110"/>
      <c r="U2302" s="130">
        <v>2</v>
      </c>
      <c r="V2302" s="111">
        <f t="shared" ref="V2302:V2343" si="518">+J2302/4</f>
        <v>35.64</v>
      </c>
      <c r="W2302" s="110"/>
      <c r="X2302" s="110"/>
      <c r="Y2302" s="110"/>
      <c r="Z2302" s="110"/>
      <c r="AA2302" s="130">
        <v>1</v>
      </c>
      <c r="AB2302" s="111">
        <f t="shared" si="505"/>
        <v>35.64</v>
      </c>
      <c r="AC2302" s="110"/>
      <c r="AD2302" s="110"/>
      <c r="AE2302" s="130">
        <v>1</v>
      </c>
      <c r="AF2302" s="111">
        <f t="shared" si="506"/>
        <v>35.64</v>
      </c>
      <c r="AG2302" s="110"/>
      <c r="AH2302" s="110"/>
      <c r="AI2302" s="110"/>
      <c r="AJ2302" s="110"/>
      <c r="AK2302" s="111">
        <f t="shared" si="514"/>
        <v>142.56</v>
      </c>
      <c r="AL2302" s="446">
        <f t="shared" si="515"/>
        <v>0</v>
      </c>
      <c r="AM2302" s="110">
        <f t="shared" si="516"/>
        <v>6</v>
      </c>
      <c r="AN2302" s="447">
        <f t="shared" si="510"/>
        <v>0</v>
      </c>
      <c r="AO2302"/>
      <c r="AP2302"/>
    </row>
    <row r="2303" spans="1:42" ht="66" x14ac:dyDescent="0.25">
      <c r="A2303" s="433"/>
      <c r="B2303" s="179" t="s">
        <v>1246</v>
      </c>
      <c r="C2303" s="9"/>
      <c r="D2303" s="916">
        <v>1</v>
      </c>
      <c r="E2303" s="257" t="s">
        <v>1721</v>
      </c>
      <c r="F2303" s="278" t="s">
        <v>3446</v>
      </c>
      <c r="G2303" s="1040" t="s">
        <v>3463</v>
      </c>
      <c r="H2303" s="273" t="s">
        <v>3462</v>
      </c>
      <c r="I2303" s="720">
        <f t="shared" si="512"/>
        <v>19.440000000000001</v>
      </c>
      <c r="J2303" s="756">
        <v>19.440000000000001</v>
      </c>
      <c r="K2303" s="131">
        <f t="shared" si="509"/>
        <v>19.440000000000001</v>
      </c>
      <c r="L2303" s="335">
        <f t="shared" si="513"/>
        <v>0</v>
      </c>
      <c r="M2303" s="446"/>
      <c r="N2303" s="446"/>
      <c r="O2303" s="446"/>
      <c r="P2303" s="446"/>
      <c r="Q2303" s="110">
        <v>1</v>
      </c>
      <c r="R2303" s="111">
        <v>19.440000000000001</v>
      </c>
      <c r="S2303" s="110"/>
      <c r="T2303" s="110"/>
      <c r="U2303" s="110">
        <v>0</v>
      </c>
      <c r="V2303" s="111">
        <v>0</v>
      </c>
      <c r="W2303" s="110"/>
      <c r="X2303" s="110"/>
      <c r="Y2303" s="110"/>
      <c r="Z2303" s="110"/>
      <c r="AA2303" s="110">
        <v>0</v>
      </c>
      <c r="AB2303" s="111">
        <v>0</v>
      </c>
      <c r="AC2303" s="110"/>
      <c r="AD2303" s="110"/>
      <c r="AE2303" s="110">
        <v>0</v>
      </c>
      <c r="AF2303" s="111">
        <v>0</v>
      </c>
      <c r="AG2303" s="110"/>
      <c r="AH2303" s="110"/>
      <c r="AI2303" s="110"/>
      <c r="AJ2303" s="110"/>
      <c r="AK2303" s="111">
        <f t="shared" si="514"/>
        <v>19.440000000000001</v>
      </c>
      <c r="AL2303" s="446">
        <f t="shared" si="515"/>
        <v>0</v>
      </c>
      <c r="AM2303" s="110">
        <f t="shared" si="516"/>
        <v>1</v>
      </c>
      <c r="AN2303" s="447">
        <f t="shared" si="510"/>
        <v>0</v>
      </c>
      <c r="AO2303"/>
      <c r="AP2303"/>
    </row>
    <row r="2304" spans="1:42" ht="66" x14ac:dyDescent="0.25">
      <c r="A2304" s="433"/>
      <c r="B2304" s="179" t="s">
        <v>1247</v>
      </c>
      <c r="C2304" s="9"/>
      <c r="D2304" s="916">
        <v>1</v>
      </c>
      <c r="E2304" s="257" t="s">
        <v>1721</v>
      </c>
      <c r="F2304" s="278" t="s">
        <v>3446</v>
      </c>
      <c r="G2304" s="1040" t="s">
        <v>3463</v>
      </c>
      <c r="H2304" s="273" t="s">
        <v>3462</v>
      </c>
      <c r="I2304" s="720">
        <f t="shared" si="512"/>
        <v>25.92</v>
      </c>
      <c r="J2304" s="756">
        <v>25.92</v>
      </c>
      <c r="K2304" s="131">
        <f t="shared" si="509"/>
        <v>25.92</v>
      </c>
      <c r="L2304" s="335">
        <f t="shared" si="513"/>
        <v>0</v>
      </c>
      <c r="M2304" s="446"/>
      <c r="N2304" s="446"/>
      <c r="O2304" s="446"/>
      <c r="P2304" s="446"/>
      <c r="Q2304" s="110">
        <v>1</v>
      </c>
      <c r="R2304" s="111">
        <v>25.92</v>
      </c>
      <c r="S2304" s="110"/>
      <c r="T2304" s="110"/>
      <c r="U2304" s="110">
        <v>0</v>
      </c>
      <c r="V2304" s="111">
        <v>0</v>
      </c>
      <c r="W2304" s="110"/>
      <c r="X2304" s="110"/>
      <c r="Y2304" s="110"/>
      <c r="Z2304" s="110"/>
      <c r="AA2304" s="110">
        <v>0</v>
      </c>
      <c r="AB2304" s="111">
        <v>0</v>
      </c>
      <c r="AC2304" s="110"/>
      <c r="AD2304" s="110"/>
      <c r="AE2304" s="110">
        <v>0</v>
      </c>
      <c r="AF2304" s="111">
        <v>0</v>
      </c>
      <c r="AG2304" s="110"/>
      <c r="AH2304" s="110"/>
      <c r="AI2304" s="110"/>
      <c r="AJ2304" s="110"/>
      <c r="AK2304" s="111">
        <f t="shared" si="514"/>
        <v>25.92</v>
      </c>
      <c r="AL2304" s="446">
        <f t="shared" si="515"/>
        <v>0</v>
      </c>
      <c r="AM2304" s="110">
        <f t="shared" si="516"/>
        <v>1</v>
      </c>
      <c r="AN2304" s="447">
        <f t="shared" si="510"/>
        <v>0</v>
      </c>
      <c r="AO2304"/>
      <c r="AP2304"/>
    </row>
    <row r="2305" spans="1:42" ht="66" x14ac:dyDescent="0.25">
      <c r="A2305" s="433"/>
      <c r="B2305" s="179" t="s">
        <v>1248</v>
      </c>
      <c r="C2305" s="9"/>
      <c r="D2305" s="916">
        <v>1</v>
      </c>
      <c r="E2305" s="257"/>
      <c r="F2305" s="278" t="s">
        <v>3446</v>
      </c>
      <c r="G2305" s="1040" t="s">
        <v>3463</v>
      </c>
      <c r="H2305" s="273" t="s">
        <v>3462</v>
      </c>
      <c r="I2305" s="720">
        <f t="shared" si="512"/>
        <v>37.799999999999997</v>
      </c>
      <c r="J2305" s="756">
        <v>37.799999999999997</v>
      </c>
      <c r="K2305" s="131">
        <f t="shared" si="509"/>
        <v>37.799999999999997</v>
      </c>
      <c r="L2305" s="335">
        <f t="shared" si="513"/>
        <v>0</v>
      </c>
      <c r="M2305" s="446"/>
      <c r="N2305" s="446"/>
      <c r="O2305" s="446"/>
      <c r="P2305" s="446"/>
      <c r="Q2305" s="110">
        <v>1</v>
      </c>
      <c r="R2305" s="111">
        <v>37.799999999999997</v>
      </c>
      <c r="S2305" s="110"/>
      <c r="T2305" s="110"/>
      <c r="U2305" s="110">
        <v>0</v>
      </c>
      <c r="V2305" s="111">
        <v>0</v>
      </c>
      <c r="W2305" s="110"/>
      <c r="X2305" s="110"/>
      <c r="Y2305" s="110"/>
      <c r="Z2305" s="110"/>
      <c r="AA2305" s="110">
        <v>0</v>
      </c>
      <c r="AB2305" s="111">
        <v>0</v>
      </c>
      <c r="AC2305" s="110"/>
      <c r="AD2305" s="110"/>
      <c r="AE2305" s="110">
        <v>0</v>
      </c>
      <c r="AF2305" s="111">
        <v>0</v>
      </c>
      <c r="AG2305" s="110"/>
      <c r="AH2305" s="110"/>
      <c r="AI2305" s="110"/>
      <c r="AJ2305" s="110"/>
      <c r="AK2305" s="111">
        <f t="shared" si="514"/>
        <v>37.799999999999997</v>
      </c>
      <c r="AL2305" s="446">
        <f t="shared" si="515"/>
        <v>0</v>
      </c>
      <c r="AM2305" s="110">
        <f t="shared" si="516"/>
        <v>1</v>
      </c>
      <c r="AN2305" s="447">
        <f t="shared" si="510"/>
        <v>0</v>
      </c>
      <c r="AO2305"/>
      <c r="AP2305"/>
    </row>
    <row r="2306" spans="1:42" ht="66" x14ac:dyDescent="0.25">
      <c r="A2306" s="433"/>
      <c r="B2306" s="560" t="s">
        <v>1249</v>
      </c>
      <c r="C2306" s="9"/>
      <c r="D2306" s="916">
        <v>6</v>
      </c>
      <c r="E2306" s="257"/>
      <c r="F2306" s="278" t="s">
        <v>3446</v>
      </c>
      <c r="G2306" s="1040" t="s">
        <v>3463</v>
      </c>
      <c r="H2306" s="273" t="s">
        <v>3462</v>
      </c>
      <c r="I2306" s="720">
        <f t="shared" si="512"/>
        <v>5.94</v>
      </c>
      <c r="J2306" s="756">
        <v>35.64</v>
      </c>
      <c r="K2306" s="131">
        <f t="shared" si="509"/>
        <v>35.64</v>
      </c>
      <c r="L2306" s="335">
        <f t="shared" si="513"/>
        <v>0</v>
      </c>
      <c r="M2306" s="446"/>
      <c r="N2306" s="446"/>
      <c r="O2306" s="446"/>
      <c r="P2306" s="446"/>
      <c r="Q2306" s="130">
        <v>6</v>
      </c>
      <c r="R2306" s="111">
        <v>35.64</v>
      </c>
      <c r="S2306" s="110"/>
      <c r="T2306" s="110"/>
      <c r="U2306" s="130">
        <v>0</v>
      </c>
      <c r="V2306" s="111">
        <v>0</v>
      </c>
      <c r="W2306" s="110"/>
      <c r="X2306" s="110"/>
      <c r="Y2306" s="110"/>
      <c r="Z2306" s="110"/>
      <c r="AA2306" s="130">
        <v>0</v>
      </c>
      <c r="AB2306" s="111">
        <v>0</v>
      </c>
      <c r="AC2306" s="110"/>
      <c r="AD2306" s="110"/>
      <c r="AE2306" s="130">
        <v>0</v>
      </c>
      <c r="AF2306" s="111">
        <v>0</v>
      </c>
      <c r="AG2306" s="110"/>
      <c r="AH2306" s="110"/>
      <c r="AI2306" s="110"/>
      <c r="AJ2306" s="110"/>
      <c r="AK2306" s="111">
        <f t="shared" si="514"/>
        <v>35.64</v>
      </c>
      <c r="AL2306" s="446">
        <f t="shared" si="515"/>
        <v>0</v>
      </c>
      <c r="AM2306" s="110">
        <f t="shared" si="516"/>
        <v>6</v>
      </c>
      <c r="AN2306" s="447">
        <f t="shared" si="510"/>
        <v>0</v>
      </c>
      <c r="AO2306"/>
      <c r="AP2306"/>
    </row>
    <row r="2307" spans="1:42" ht="66" x14ac:dyDescent="0.25">
      <c r="A2307" s="433"/>
      <c r="B2307" s="560" t="s">
        <v>1250</v>
      </c>
      <c r="C2307" s="9"/>
      <c r="D2307" s="916">
        <v>2</v>
      </c>
      <c r="E2307" s="257"/>
      <c r="F2307" s="278" t="s">
        <v>3446</v>
      </c>
      <c r="G2307" s="1040" t="s">
        <v>3463</v>
      </c>
      <c r="H2307" s="273" t="s">
        <v>3462</v>
      </c>
      <c r="I2307" s="720">
        <f t="shared" si="512"/>
        <v>172.26</v>
      </c>
      <c r="J2307" s="756">
        <v>344.52</v>
      </c>
      <c r="K2307" s="131">
        <f t="shared" si="509"/>
        <v>344.52</v>
      </c>
      <c r="L2307" s="335">
        <f t="shared" si="513"/>
        <v>0</v>
      </c>
      <c r="M2307" s="446"/>
      <c r="N2307" s="446"/>
      <c r="O2307" s="446"/>
      <c r="P2307" s="446"/>
      <c r="Q2307" s="130">
        <v>2</v>
      </c>
      <c r="R2307" s="111">
        <v>344.52</v>
      </c>
      <c r="S2307" s="110"/>
      <c r="T2307" s="110"/>
      <c r="U2307" s="130">
        <v>0</v>
      </c>
      <c r="V2307" s="111">
        <v>0</v>
      </c>
      <c r="W2307" s="110"/>
      <c r="X2307" s="110"/>
      <c r="Y2307" s="110"/>
      <c r="Z2307" s="110"/>
      <c r="AA2307" s="130">
        <v>0</v>
      </c>
      <c r="AB2307" s="111">
        <v>0</v>
      </c>
      <c r="AC2307" s="110"/>
      <c r="AD2307" s="110"/>
      <c r="AE2307" s="130">
        <v>0</v>
      </c>
      <c r="AF2307" s="111">
        <v>0</v>
      </c>
      <c r="AG2307" s="110"/>
      <c r="AH2307" s="110"/>
      <c r="AI2307" s="110"/>
      <c r="AJ2307" s="110"/>
      <c r="AK2307" s="111">
        <f t="shared" si="514"/>
        <v>344.52</v>
      </c>
      <c r="AL2307" s="446">
        <f t="shared" si="515"/>
        <v>0</v>
      </c>
      <c r="AM2307" s="110">
        <f t="shared" si="516"/>
        <v>2</v>
      </c>
      <c r="AN2307" s="447">
        <f t="shared" si="510"/>
        <v>0</v>
      </c>
      <c r="AO2307"/>
      <c r="AP2307"/>
    </row>
    <row r="2308" spans="1:42" ht="66" x14ac:dyDescent="0.25">
      <c r="A2308" s="433"/>
      <c r="B2308" s="559" t="s">
        <v>1251</v>
      </c>
      <c r="C2308" s="9"/>
      <c r="D2308" s="916">
        <v>15</v>
      </c>
      <c r="E2308" s="257"/>
      <c r="F2308" s="278" t="s">
        <v>3446</v>
      </c>
      <c r="G2308" s="1040" t="s">
        <v>3463</v>
      </c>
      <c r="H2308" s="273" t="s">
        <v>3462</v>
      </c>
      <c r="I2308" s="720">
        <f t="shared" si="512"/>
        <v>17.399999999999999</v>
      </c>
      <c r="J2308" s="756">
        <v>261</v>
      </c>
      <c r="K2308" s="131">
        <f t="shared" si="509"/>
        <v>261</v>
      </c>
      <c r="L2308" s="335">
        <f t="shared" si="513"/>
        <v>0</v>
      </c>
      <c r="M2308" s="446"/>
      <c r="N2308" s="446"/>
      <c r="O2308" s="446"/>
      <c r="P2308" s="446"/>
      <c r="Q2308" s="110">
        <v>4</v>
      </c>
      <c r="R2308" s="111">
        <f t="shared" si="517"/>
        <v>65.25</v>
      </c>
      <c r="S2308" s="110"/>
      <c r="T2308" s="110"/>
      <c r="U2308" s="110">
        <v>4</v>
      </c>
      <c r="V2308" s="111">
        <f t="shared" si="518"/>
        <v>65.25</v>
      </c>
      <c r="W2308" s="110"/>
      <c r="X2308" s="110"/>
      <c r="Y2308" s="110"/>
      <c r="Z2308" s="110"/>
      <c r="AA2308" s="110">
        <v>4</v>
      </c>
      <c r="AB2308" s="111">
        <f t="shared" si="505"/>
        <v>65.25</v>
      </c>
      <c r="AC2308" s="110"/>
      <c r="AD2308" s="110"/>
      <c r="AE2308" s="110">
        <v>3</v>
      </c>
      <c r="AF2308" s="111">
        <f t="shared" si="506"/>
        <v>65.25</v>
      </c>
      <c r="AG2308" s="110"/>
      <c r="AH2308" s="110"/>
      <c r="AI2308" s="110"/>
      <c r="AJ2308" s="110"/>
      <c r="AK2308" s="111">
        <f t="shared" si="514"/>
        <v>261</v>
      </c>
      <c r="AL2308" s="446">
        <f t="shared" si="515"/>
        <v>0</v>
      </c>
      <c r="AM2308" s="110">
        <f t="shared" si="516"/>
        <v>15</v>
      </c>
      <c r="AN2308" s="447">
        <f t="shared" si="510"/>
        <v>0</v>
      </c>
      <c r="AO2308"/>
      <c r="AP2308"/>
    </row>
    <row r="2309" spans="1:42" ht="66" x14ac:dyDescent="0.25">
      <c r="A2309" s="433"/>
      <c r="B2309" s="559" t="s">
        <v>1252</v>
      </c>
      <c r="C2309" s="9"/>
      <c r="D2309" s="916">
        <v>30</v>
      </c>
      <c r="E2309" s="257"/>
      <c r="F2309" s="278" t="s">
        <v>3446</v>
      </c>
      <c r="G2309" s="1040" t="s">
        <v>3463</v>
      </c>
      <c r="H2309" s="273" t="s">
        <v>3462</v>
      </c>
      <c r="I2309" s="720">
        <f t="shared" si="512"/>
        <v>11.6</v>
      </c>
      <c r="J2309" s="756">
        <v>348</v>
      </c>
      <c r="K2309" s="131">
        <f t="shared" si="509"/>
        <v>348</v>
      </c>
      <c r="L2309" s="335">
        <f t="shared" si="513"/>
        <v>0</v>
      </c>
      <c r="M2309" s="446"/>
      <c r="N2309" s="446"/>
      <c r="O2309" s="446"/>
      <c r="P2309" s="446"/>
      <c r="Q2309" s="110">
        <v>8</v>
      </c>
      <c r="R2309" s="111">
        <f t="shared" si="517"/>
        <v>87</v>
      </c>
      <c r="S2309" s="110"/>
      <c r="T2309" s="110"/>
      <c r="U2309" s="110">
        <v>8</v>
      </c>
      <c r="V2309" s="111">
        <f t="shared" si="518"/>
        <v>87</v>
      </c>
      <c r="W2309" s="110"/>
      <c r="X2309" s="110"/>
      <c r="Y2309" s="110"/>
      <c r="Z2309" s="110"/>
      <c r="AA2309" s="110">
        <v>7</v>
      </c>
      <c r="AB2309" s="111">
        <f t="shared" si="505"/>
        <v>87</v>
      </c>
      <c r="AC2309" s="110"/>
      <c r="AD2309" s="110"/>
      <c r="AE2309" s="110">
        <v>7</v>
      </c>
      <c r="AF2309" s="111">
        <f t="shared" si="506"/>
        <v>87</v>
      </c>
      <c r="AG2309" s="110"/>
      <c r="AH2309" s="110"/>
      <c r="AI2309" s="110"/>
      <c r="AJ2309" s="110"/>
      <c r="AK2309" s="111">
        <f t="shared" si="514"/>
        <v>348</v>
      </c>
      <c r="AL2309" s="446">
        <f t="shared" si="515"/>
        <v>0</v>
      </c>
      <c r="AM2309" s="110">
        <f t="shared" si="516"/>
        <v>30</v>
      </c>
      <c r="AN2309" s="447">
        <f t="shared" si="510"/>
        <v>0</v>
      </c>
      <c r="AO2309"/>
      <c r="AP2309"/>
    </row>
    <row r="2310" spans="1:42" ht="66" x14ac:dyDescent="0.25">
      <c r="A2310" s="433"/>
      <c r="B2310" s="559" t="s">
        <v>1253</v>
      </c>
      <c r="C2310" s="9"/>
      <c r="D2310" s="916">
        <v>15</v>
      </c>
      <c r="E2310" s="257"/>
      <c r="F2310" s="278" t="s">
        <v>3446</v>
      </c>
      <c r="G2310" s="1040" t="s">
        <v>3463</v>
      </c>
      <c r="H2310" s="273" t="s">
        <v>3462</v>
      </c>
      <c r="I2310" s="720">
        <f t="shared" si="512"/>
        <v>11.6</v>
      </c>
      <c r="J2310" s="756">
        <v>174</v>
      </c>
      <c r="K2310" s="131">
        <f t="shared" si="509"/>
        <v>174</v>
      </c>
      <c r="L2310" s="335">
        <f t="shared" si="513"/>
        <v>0</v>
      </c>
      <c r="M2310" s="446"/>
      <c r="N2310" s="446"/>
      <c r="O2310" s="446"/>
      <c r="P2310" s="446"/>
      <c r="Q2310" s="110">
        <v>4</v>
      </c>
      <c r="R2310" s="111">
        <f t="shared" si="517"/>
        <v>43.5</v>
      </c>
      <c r="S2310" s="110"/>
      <c r="T2310" s="110"/>
      <c r="U2310" s="110">
        <v>4</v>
      </c>
      <c r="V2310" s="111">
        <f t="shared" si="518"/>
        <v>43.5</v>
      </c>
      <c r="W2310" s="110"/>
      <c r="X2310" s="110"/>
      <c r="Y2310" s="110"/>
      <c r="Z2310" s="110"/>
      <c r="AA2310" s="110">
        <v>4</v>
      </c>
      <c r="AB2310" s="111">
        <f t="shared" si="505"/>
        <v>43.5</v>
      </c>
      <c r="AC2310" s="110"/>
      <c r="AD2310" s="110"/>
      <c r="AE2310" s="110">
        <v>3</v>
      </c>
      <c r="AF2310" s="111">
        <f t="shared" si="506"/>
        <v>43.5</v>
      </c>
      <c r="AG2310" s="110"/>
      <c r="AH2310" s="110"/>
      <c r="AI2310" s="110"/>
      <c r="AJ2310" s="110"/>
      <c r="AK2310" s="111">
        <f t="shared" si="514"/>
        <v>174</v>
      </c>
      <c r="AL2310" s="446">
        <f t="shared" si="515"/>
        <v>0</v>
      </c>
      <c r="AM2310" s="110">
        <f t="shared" si="516"/>
        <v>15</v>
      </c>
      <c r="AN2310" s="447">
        <f t="shared" si="510"/>
        <v>0</v>
      </c>
      <c r="AO2310"/>
      <c r="AP2310"/>
    </row>
    <row r="2311" spans="1:42" ht="66" x14ac:dyDescent="0.25">
      <c r="A2311" s="433"/>
      <c r="B2311" s="559" t="s">
        <v>1254</v>
      </c>
      <c r="C2311" s="9"/>
      <c r="D2311" s="916">
        <v>15</v>
      </c>
      <c r="E2311" s="257"/>
      <c r="F2311" s="278" t="s">
        <v>3446</v>
      </c>
      <c r="G2311" s="1040" t="s">
        <v>3463</v>
      </c>
      <c r="H2311" s="273" t="s">
        <v>3462</v>
      </c>
      <c r="I2311" s="720">
        <f t="shared" si="512"/>
        <v>17.399999999999999</v>
      </c>
      <c r="J2311" s="756">
        <v>261</v>
      </c>
      <c r="K2311" s="131">
        <f t="shared" si="509"/>
        <v>261</v>
      </c>
      <c r="L2311" s="335">
        <f t="shared" si="513"/>
        <v>0</v>
      </c>
      <c r="M2311" s="446"/>
      <c r="N2311" s="446"/>
      <c r="O2311" s="446"/>
      <c r="P2311" s="446"/>
      <c r="Q2311" s="110">
        <v>4</v>
      </c>
      <c r="R2311" s="111">
        <f t="shared" si="517"/>
        <v>65.25</v>
      </c>
      <c r="S2311" s="110"/>
      <c r="T2311" s="110"/>
      <c r="U2311" s="110">
        <v>4</v>
      </c>
      <c r="V2311" s="111">
        <f t="shared" si="518"/>
        <v>65.25</v>
      </c>
      <c r="W2311" s="110"/>
      <c r="X2311" s="110"/>
      <c r="Y2311" s="110"/>
      <c r="Z2311" s="110"/>
      <c r="AA2311" s="110">
        <v>4</v>
      </c>
      <c r="AB2311" s="111">
        <f t="shared" ref="AB2311:AB2374" si="519">+J2311/4</f>
        <v>65.25</v>
      </c>
      <c r="AC2311" s="110"/>
      <c r="AD2311" s="110"/>
      <c r="AE2311" s="110">
        <v>3</v>
      </c>
      <c r="AF2311" s="111">
        <f t="shared" ref="AF2311:AF2374" si="520">+J2311/4</f>
        <v>65.25</v>
      </c>
      <c r="AG2311" s="110"/>
      <c r="AH2311" s="110"/>
      <c r="AI2311" s="110"/>
      <c r="AJ2311" s="110"/>
      <c r="AK2311" s="111">
        <f t="shared" si="514"/>
        <v>261</v>
      </c>
      <c r="AL2311" s="446">
        <f t="shared" si="515"/>
        <v>0</v>
      </c>
      <c r="AM2311" s="110">
        <f t="shared" si="516"/>
        <v>15</v>
      </c>
      <c r="AN2311" s="447">
        <f t="shared" si="510"/>
        <v>0</v>
      </c>
      <c r="AO2311"/>
      <c r="AP2311"/>
    </row>
    <row r="2312" spans="1:42" ht="66" x14ac:dyDescent="0.25">
      <c r="A2312" s="433"/>
      <c r="B2312" s="559" t="s">
        <v>1255</v>
      </c>
      <c r="C2312" s="9"/>
      <c r="D2312" s="916">
        <v>30</v>
      </c>
      <c r="E2312" s="257"/>
      <c r="F2312" s="278" t="s">
        <v>3446</v>
      </c>
      <c r="G2312" s="1040" t="s">
        <v>3463</v>
      </c>
      <c r="H2312" s="273" t="s">
        <v>3462</v>
      </c>
      <c r="I2312" s="720">
        <f t="shared" si="512"/>
        <v>11.6</v>
      </c>
      <c r="J2312" s="756">
        <v>348</v>
      </c>
      <c r="K2312" s="131">
        <f t="shared" si="509"/>
        <v>348</v>
      </c>
      <c r="L2312" s="335">
        <f t="shared" si="513"/>
        <v>0</v>
      </c>
      <c r="M2312" s="446"/>
      <c r="N2312" s="446"/>
      <c r="O2312" s="446"/>
      <c r="P2312" s="446"/>
      <c r="Q2312" s="110">
        <v>8</v>
      </c>
      <c r="R2312" s="111">
        <f t="shared" si="517"/>
        <v>87</v>
      </c>
      <c r="S2312" s="110"/>
      <c r="T2312" s="110"/>
      <c r="U2312" s="110">
        <v>8</v>
      </c>
      <c r="V2312" s="111">
        <f t="shared" si="518"/>
        <v>87</v>
      </c>
      <c r="W2312" s="110"/>
      <c r="X2312" s="110"/>
      <c r="Y2312" s="110"/>
      <c r="Z2312" s="110"/>
      <c r="AA2312" s="110">
        <v>7</v>
      </c>
      <c r="AB2312" s="111">
        <f t="shared" si="519"/>
        <v>87</v>
      </c>
      <c r="AC2312" s="110"/>
      <c r="AD2312" s="110"/>
      <c r="AE2312" s="110">
        <v>7</v>
      </c>
      <c r="AF2312" s="111">
        <f t="shared" si="520"/>
        <v>87</v>
      </c>
      <c r="AG2312" s="110"/>
      <c r="AH2312" s="110"/>
      <c r="AI2312" s="110"/>
      <c r="AJ2312" s="110"/>
      <c r="AK2312" s="111">
        <f t="shared" si="514"/>
        <v>348</v>
      </c>
      <c r="AL2312" s="446">
        <f t="shared" si="515"/>
        <v>0</v>
      </c>
      <c r="AM2312" s="110">
        <f t="shared" si="516"/>
        <v>30</v>
      </c>
      <c r="AN2312" s="447">
        <f t="shared" si="510"/>
        <v>0</v>
      </c>
      <c r="AO2312"/>
      <c r="AP2312"/>
    </row>
    <row r="2313" spans="1:42" ht="66" x14ac:dyDescent="0.25">
      <c r="A2313" s="433"/>
      <c r="B2313" s="559" t="s">
        <v>1256</v>
      </c>
      <c r="C2313" s="9"/>
      <c r="D2313" s="916">
        <v>8</v>
      </c>
      <c r="E2313" s="257"/>
      <c r="F2313" s="278" t="s">
        <v>3446</v>
      </c>
      <c r="G2313" s="1040" t="s">
        <v>3463</v>
      </c>
      <c r="H2313" s="273" t="s">
        <v>3462</v>
      </c>
      <c r="I2313" s="720">
        <f t="shared" si="512"/>
        <v>11.6</v>
      </c>
      <c r="J2313" s="756">
        <v>92.8</v>
      </c>
      <c r="K2313" s="131">
        <f t="shared" si="509"/>
        <v>92.8</v>
      </c>
      <c r="L2313" s="335">
        <f t="shared" si="513"/>
        <v>0</v>
      </c>
      <c r="M2313" s="446"/>
      <c r="N2313" s="446"/>
      <c r="O2313" s="446"/>
      <c r="P2313" s="446"/>
      <c r="Q2313" s="110">
        <f t="shared" ref="Q2313:Q2335" si="521">+$D2313/4</f>
        <v>2</v>
      </c>
      <c r="R2313" s="111">
        <f t="shared" si="517"/>
        <v>23.2</v>
      </c>
      <c r="S2313" s="110"/>
      <c r="T2313" s="110"/>
      <c r="U2313" s="110">
        <f t="shared" ref="U2313:U2335" si="522">+$D2313/4</f>
        <v>2</v>
      </c>
      <c r="V2313" s="111">
        <f t="shared" si="518"/>
        <v>23.2</v>
      </c>
      <c r="W2313" s="110"/>
      <c r="X2313" s="110"/>
      <c r="Y2313" s="110"/>
      <c r="Z2313" s="110"/>
      <c r="AA2313" s="110">
        <f t="shared" si="511"/>
        <v>2</v>
      </c>
      <c r="AB2313" s="111">
        <f t="shared" si="519"/>
        <v>23.2</v>
      </c>
      <c r="AC2313" s="110"/>
      <c r="AD2313" s="110"/>
      <c r="AE2313" s="110">
        <f t="shared" si="511"/>
        <v>2</v>
      </c>
      <c r="AF2313" s="111">
        <f t="shared" si="520"/>
        <v>23.2</v>
      </c>
      <c r="AG2313" s="110"/>
      <c r="AH2313" s="110"/>
      <c r="AI2313" s="110"/>
      <c r="AJ2313" s="110"/>
      <c r="AK2313" s="111">
        <f t="shared" si="514"/>
        <v>92.8</v>
      </c>
      <c r="AL2313" s="446">
        <f t="shared" si="515"/>
        <v>0</v>
      </c>
      <c r="AM2313" s="110">
        <f t="shared" si="516"/>
        <v>8</v>
      </c>
      <c r="AN2313" s="447">
        <f t="shared" si="510"/>
        <v>0</v>
      </c>
      <c r="AO2313"/>
      <c r="AP2313"/>
    </row>
    <row r="2314" spans="1:42" ht="66" x14ac:dyDescent="0.25">
      <c r="A2314" s="433"/>
      <c r="B2314" s="559" t="s">
        <v>1257</v>
      </c>
      <c r="C2314" s="9"/>
      <c r="D2314" s="916">
        <v>15</v>
      </c>
      <c r="E2314" s="257"/>
      <c r="F2314" s="278" t="s">
        <v>3446</v>
      </c>
      <c r="G2314" s="1040" t="s">
        <v>3463</v>
      </c>
      <c r="H2314" s="273" t="s">
        <v>3462</v>
      </c>
      <c r="I2314" s="720">
        <f t="shared" si="512"/>
        <v>5.8</v>
      </c>
      <c r="J2314" s="756">
        <v>87</v>
      </c>
      <c r="K2314" s="131">
        <f t="shared" si="509"/>
        <v>87</v>
      </c>
      <c r="L2314" s="335">
        <f t="shared" si="513"/>
        <v>0</v>
      </c>
      <c r="M2314" s="446"/>
      <c r="N2314" s="446"/>
      <c r="O2314" s="446"/>
      <c r="P2314" s="446"/>
      <c r="Q2314" s="110">
        <v>4</v>
      </c>
      <c r="R2314" s="111">
        <f t="shared" si="517"/>
        <v>21.75</v>
      </c>
      <c r="S2314" s="110"/>
      <c r="T2314" s="110"/>
      <c r="U2314" s="110">
        <v>4</v>
      </c>
      <c r="V2314" s="111">
        <f t="shared" si="518"/>
        <v>21.75</v>
      </c>
      <c r="W2314" s="110"/>
      <c r="X2314" s="110"/>
      <c r="Y2314" s="110"/>
      <c r="Z2314" s="110"/>
      <c r="AA2314" s="110">
        <v>4</v>
      </c>
      <c r="AB2314" s="111">
        <f t="shared" si="519"/>
        <v>21.75</v>
      </c>
      <c r="AC2314" s="110"/>
      <c r="AD2314" s="110"/>
      <c r="AE2314" s="110">
        <v>3</v>
      </c>
      <c r="AF2314" s="111">
        <f t="shared" si="520"/>
        <v>21.75</v>
      </c>
      <c r="AG2314" s="110"/>
      <c r="AH2314" s="110"/>
      <c r="AI2314" s="110"/>
      <c r="AJ2314" s="110"/>
      <c r="AK2314" s="111">
        <f t="shared" si="514"/>
        <v>87</v>
      </c>
      <c r="AL2314" s="446">
        <f t="shared" si="515"/>
        <v>0</v>
      </c>
      <c r="AM2314" s="110">
        <f t="shared" si="516"/>
        <v>15</v>
      </c>
      <c r="AN2314" s="447">
        <f t="shared" si="510"/>
        <v>0</v>
      </c>
      <c r="AO2314"/>
      <c r="AP2314"/>
    </row>
    <row r="2315" spans="1:42" ht="66" x14ac:dyDescent="0.25">
      <c r="A2315" s="433"/>
      <c r="B2315" s="559" t="s">
        <v>1258</v>
      </c>
      <c r="C2315" s="9"/>
      <c r="D2315" s="916">
        <v>8</v>
      </c>
      <c r="E2315" s="257"/>
      <c r="F2315" s="278" t="s">
        <v>3446</v>
      </c>
      <c r="G2315" s="1040" t="s">
        <v>3463</v>
      </c>
      <c r="H2315" s="273" t="s">
        <v>3462</v>
      </c>
      <c r="I2315" s="720">
        <f t="shared" si="512"/>
        <v>11.6</v>
      </c>
      <c r="J2315" s="756">
        <v>92.8</v>
      </c>
      <c r="K2315" s="131">
        <f t="shared" si="509"/>
        <v>92.8</v>
      </c>
      <c r="L2315" s="335">
        <f t="shared" si="513"/>
        <v>0</v>
      </c>
      <c r="M2315" s="446"/>
      <c r="N2315" s="446"/>
      <c r="O2315" s="446"/>
      <c r="P2315" s="446"/>
      <c r="Q2315" s="110">
        <f t="shared" si="521"/>
        <v>2</v>
      </c>
      <c r="R2315" s="111">
        <f t="shared" si="517"/>
        <v>23.2</v>
      </c>
      <c r="S2315" s="110"/>
      <c r="T2315" s="110"/>
      <c r="U2315" s="110">
        <f t="shared" si="522"/>
        <v>2</v>
      </c>
      <c r="V2315" s="111">
        <f t="shared" si="518"/>
        <v>23.2</v>
      </c>
      <c r="W2315" s="110"/>
      <c r="X2315" s="110"/>
      <c r="Y2315" s="110"/>
      <c r="Z2315" s="110"/>
      <c r="AA2315" s="110">
        <f t="shared" si="511"/>
        <v>2</v>
      </c>
      <c r="AB2315" s="111">
        <f t="shared" si="519"/>
        <v>23.2</v>
      </c>
      <c r="AC2315" s="110"/>
      <c r="AD2315" s="110"/>
      <c r="AE2315" s="110">
        <f t="shared" si="511"/>
        <v>2</v>
      </c>
      <c r="AF2315" s="111">
        <f t="shared" si="520"/>
        <v>23.2</v>
      </c>
      <c r="AG2315" s="110"/>
      <c r="AH2315" s="110"/>
      <c r="AI2315" s="110"/>
      <c r="AJ2315" s="110"/>
      <c r="AK2315" s="111">
        <f t="shared" si="514"/>
        <v>92.8</v>
      </c>
      <c r="AL2315" s="446">
        <f t="shared" si="515"/>
        <v>0</v>
      </c>
      <c r="AM2315" s="110">
        <f t="shared" si="516"/>
        <v>8</v>
      </c>
      <c r="AN2315" s="447">
        <f t="shared" si="510"/>
        <v>0</v>
      </c>
      <c r="AO2315"/>
      <c r="AP2315"/>
    </row>
    <row r="2316" spans="1:42" ht="66" x14ac:dyDescent="0.25">
      <c r="A2316" s="433"/>
      <c r="B2316" s="559" t="s">
        <v>1259</v>
      </c>
      <c r="C2316" s="9"/>
      <c r="D2316" s="916">
        <v>20</v>
      </c>
      <c r="E2316" s="257"/>
      <c r="F2316" s="278" t="s">
        <v>3446</v>
      </c>
      <c r="G2316" s="1040" t="s">
        <v>3463</v>
      </c>
      <c r="H2316" s="273" t="s">
        <v>3462</v>
      </c>
      <c r="I2316" s="720">
        <f t="shared" si="512"/>
        <v>5.8</v>
      </c>
      <c r="J2316" s="756">
        <v>116</v>
      </c>
      <c r="K2316" s="131">
        <f t="shared" si="509"/>
        <v>116</v>
      </c>
      <c r="L2316" s="335">
        <f t="shared" si="513"/>
        <v>0</v>
      </c>
      <c r="M2316" s="446"/>
      <c r="N2316" s="446"/>
      <c r="O2316" s="446"/>
      <c r="P2316" s="446"/>
      <c r="Q2316" s="110">
        <f t="shared" si="521"/>
        <v>5</v>
      </c>
      <c r="R2316" s="111">
        <f t="shared" si="517"/>
        <v>29</v>
      </c>
      <c r="S2316" s="110"/>
      <c r="T2316" s="110"/>
      <c r="U2316" s="110">
        <f t="shared" si="522"/>
        <v>5</v>
      </c>
      <c r="V2316" s="111">
        <f t="shared" si="518"/>
        <v>29</v>
      </c>
      <c r="W2316" s="110"/>
      <c r="X2316" s="110"/>
      <c r="Y2316" s="110"/>
      <c r="Z2316" s="110"/>
      <c r="AA2316" s="110">
        <f t="shared" si="511"/>
        <v>5</v>
      </c>
      <c r="AB2316" s="111">
        <f t="shared" si="519"/>
        <v>29</v>
      </c>
      <c r="AC2316" s="110"/>
      <c r="AD2316" s="110"/>
      <c r="AE2316" s="110">
        <f t="shared" si="511"/>
        <v>5</v>
      </c>
      <c r="AF2316" s="111">
        <f t="shared" si="520"/>
        <v>29</v>
      </c>
      <c r="AG2316" s="110"/>
      <c r="AH2316" s="110"/>
      <c r="AI2316" s="110"/>
      <c r="AJ2316" s="110"/>
      <c r="AK2316" s="111">
        <f t="shared" si="514"/>
        <v>116</v>
      </c>
      <c r="AL2316" s="446">
        <f t="shared" si="515"/>
        <v>0</v>
      </c>
      <c r="AM2316" s="110">
        <f t="shared" si="516"/>
        <v>20</v>
      </c>
      <c r="AN2316" s="447">
        <f t="shared" si="510"/>
        <v>0</v>
      </c>
      <c r="AO2316"/>
      <c r="AP2316"/>
    </row>
    <row r="2317" spans="1:42" ht="66" x14ac:dyDescent="0.25">
      <c r="A2317" s="433"/>
      <c r="B2317" s="559" t="s">
        <v>1260</v>
      </c>
      <c r="C2317" s="9"/>
      <c r="D2317" s="916">
        <v>20</v>
      </c>
      <c r="E2317" s="257"/>
      <c r="F2317" s="278" t="s">
        <v>3446</v>
      </c>
      <c r="G2317" s="1040" t="s">
        <v>3463</v>
      </c>
      <c r="H2317" s="273" t="s">
        <v>3462</v>
      </c>
      <c r="I2317" s="720">
        <f t="shared" si="512"/>
        <v>11.6</v>
      </c>
      <c r="J2317" s="756">
        <v>232</v>
      </c>
      <c r="K2317" s="131">
        <f t="shared" si="509"/>
        <v>232</v>
      </c>
      <c r="L2317" s="335">
        <f t="shared" si="513"/>
        <v>0</v>
      </c>
      <c r="M2317" s="446"/>
      <c r="N2317" s="446"/>
      <c r="O2317" s="446"/>
      <c r="P2317" s="446"/>
      <c r="Q2317" s="110">
        <f t="shared" si="521"/>
        <v>5</v>
      </c>
      <c r="R2317" s="111">
        <f t="shared" si="517"/>
        <v>58</v>
      </c>
      <c r="S2317" s="110"/>
      <c r="T2317" s="110"/>
      <c r="U2317" s="110">
        <f t="shared" si="522"/>
        <v>5</v>
      </c>
      <c r="V2317" s="111">
        <f t="shared" si="518"/>
        <v>58</v>
      </c>
      <c r="W2317" s="110"/>
      <c r="X2317" s="110"/>
      <c r="Y2317" s="110"/>
      <c r="Z2317" s="110"/>
      <c r="AA2317" s="110">
        <f t="shared" si="511"/>
        <v>5</v>
      </c>
      <c r="AB2317" s="111">
        <f t="shared" si="519"/>
        <v>58</v>
      </c>
      <c r="AC2317" s="110"/>
      <c r="AD2317" s="110"/>
      <c r="AE2317" s="110">
        <f t="shared" si="511"/>
        <v>5</v>
      </c>
      <c r="AF2317" s="111">
        <f t="shared" si="520"/>
        <v>58</v>
      </c>
      <c r="AG2317" s="110"/>
      <c r="AH2317" s="110"/>
      <c r="AI2317" s="110"/>
      <c r="AJ2317" s="110"/>
      <c r="AK2317" s="111">
        <f t="shared" si="514"/>
        <v>232</v>
      </c>
      <c r="AL2317" s="446">
        <f t="shared" si="515"/>
        <v>0</v>
      </c>
      <c r="AM2317" s="110">
        <f t="shared" si="516"/>
        <v>20</v>
      </c>
      <c r="AN2317" s="447">
        <f t="shared" si="510"/>
        <v>0</v>
      </c>
      <c r="AO2317"/>
      <c r="AP2317"/>
    </row>
    <row r="2318" spans="1:42" ht="66" x14ac:dyDescent="0.25">
      <c r="A2318" s="433"/>
      <c r="B2318" s="482" t="s">
        <v>1261</v>
      </c>
      <c r="C2318" s="9"/>
      <c r="D2318" s="916">
        <v>10</v>
      </c>
      <c r="E2318" s="257"/>
      <c r="F2318" s="278" t="s">
        <v>3446</v>
      </c>
      <c r="G2318" s="1040" t="s">
        <v>3463</v>
      </c>
      <c r="H2318" s="273" t="s">
        <v>3462</v>
      </c>
      <c r="I2318" s="720">
        <f t="shared" si="512"/>
        <v>11.6</v>
      </c>
      <c r="J2318" s="756">
        <v>116</v>
      </c>
      <c r="K2318" s="131">
        <f t="shared" si="509"/>
        <v>116</v>
      </c>
      <c r="L2318" s="335">
        <f t="shared" si="513"/>
        <v>0</v>
      </c>
      <c r="M2318" s="446"/>
      <c r="N2318" s="446"/>
      <c r="O2318" s="446"/>
      <c r="P2318" s="446"/>
      <c r="Q2318" s="130">
        <v>3</v>
      </c>
      <c r="R2318" s="111">
        <f t="shared" si="517"/>
        <v>29</v>
      </c>
      <c r="S2318" s="110"/>
      <c r="T2318" s="110"/>
      <c r="U2318" s="130">
        <v>3</v>
      </c>
      <c r="V2318" s="111">
        <f t="shared" si="518"/>
        <v>29</v>
      </c>
      <c r="W2318" s="110"/>
      <c r="X2318" s="110"/>
      <c r="Y2318" s="110"/>
      <c r="Z2318" s="110"/>
      <c r="AA2318" s="130">
        <v>2</v>
      </c>
      <c r="AB2318" s="111">
        <f t="shared" si="519"/>
        <v>29</v>
      </c>
      <c r="AC2318" s="110"/>
      <c r="AD2318" s="110"/>
      <c r="AE2318" s="130">
        <v>2</v>
      </c>
      <c r="AF2318" s="111">
        <f t="shared" si="520"/>
        <v>29</v>
      </c>
      <c r="AG2318" s="110"/>
      <c r="AH2318" s="110"/>
      <c r="AI2318" s="110"/>
      <c r="AJ2318" s="110"/>
      <c r="AK2318" s="111">
        <f t="shared" si="514"/>
        <v>116</v>
      </c>
      <c r="AL2318" s="446">
        <f t="shared" si="515"/>
        <v>0</v>
      </c>
      <c r="AM2318" s="110">
        <f t="shared" si="516"/>
        <v>10</v>
      </c>
      <c r="AN2318" s="447">
        <f t="shared" si="510"/>
        <v>0</v>
      </c>
      <c r="AO2318"/>
      <c r="AP2318"/>
    </row>
    <row r="2319" spans="1:42" ht="66" x14ac:dyDescent="0.25">
      <c r="A2319" s="433"/>
      <c r="B2319" s="561" t="s">
        <v>1531</v>
      </c>
      <c r="C2319" s="9"/>
      <c r="D2319" s="916">
        <v>1</v>
      </c>
      <c r="E2319" s="257"/>
      <c r="F2319" s="278" t="s">
        <v>3446</v>
      </c>
      <c r="G2319" s="1040" t="s">
        <v>3463</v>
      </c>
      <c r="H2319" s="273" t="s">
        <v>3462</v>
      </c>
      <c r="I2319" s="720">
        <f t="shared" si="512"/>
        <v>64.77</v>
      </c>
      <c r="J2319" s="756">
        <v>64.77</v>
      </c>
      <c r="K2319" s="131">
        <f t="shared" si="509"/>
        <v>64.77</v>
      </c>
      <c r="L2319" s="335">
        <f t="shared" si="513"/>
        <v>0</v>
      </c>
      <c r="M2319" s="446"/>
      <c r="N2319" s="446"/>
      <c r="O2319" s="446"/>
      <c r="P2319" s="446"/>
      <c r="Q2319" s="110">
        <v>1</v>
      </c>
      <c r="R2319" s="111">
        <v>64.77</v>
      </c>
      <c r="S2319" s="110"/>
      <c r="T2319" s="110"/>
      <c r="U2319" s="110">
        <v>0</v>
      </c>
      <c r="V2319" s="111">
        <v>0</v>
      </c>
      <c r="W2319" s="110"/>
      <c r="X2319" s="110"/>
      <c r="Y2319" s="110"/>
      <c r="Z2319" s="110"/>
      <c r="AA2319" s="110">
        <v>0</v>
      </c>
      <c r="AB2319" s="111">
        <v>0</v>
      </c>
      <c r="AC2319" s="110"/>
      <c r="AD2319" s="110"/>
      <c r="AE2319" s="110">
        <v>0</v>
      </c>
      <c r="AF2319" s="111">
        <v>0</v>
      </c>
      <c r="AG2319" s="110"/>
      <c r="AH2319" s="110"/>
      <c r="AI2319" s="110"/>
      <c r="AJ2319" s="110"/>
      <c r="AK2319" s="111">
        <f t="shared" si="514"/>
        <v>64.77</v>
      </c>
      <c r="AL2319" s="446">
        <f t="shared" si="515"/>
        <v>0</v>
      </c>
      <c r="AM2319" s="110">
        <f t="shared" si="516"/>
        <v>1</v>
      </c>
      <c r="AN2319" s="447">
        <f t="shared" si="510"/>
        <v>0</v>
      </c>
      <c r="AO2319"/>
      <c r="AP2319"/>
    </row>
    <row r="2320" spans="1:42" ht="66" x14ac:dyDescent="0.25">
      <c r="A2320" s="433"/>
      <c r="B2320" s="528" t="s">
        <v>2999</v>
      </c>
      <c r="C2320" s="9"/>
      <c r="D2320" s="882">
        <v>1</v>
      </c>
      <c r="E2320" s="251" t="s">
        <v>3011</v>
      </c>
      <c r="F2320" s="278" t="s">
        <v>3446</v>
      </c>
      <c r="G2320" s="1040" t="s">
        <v>3463</v>
      </c>
      <c r="H2320" s="273" t="s">
        <v>3462</v>
      </c>
      <c r="I2320" s="720">
        <f t="shared" si="512"/>
        <v>59.860000000000014</v>
      </c>
      <c r="J2320" s="756">
        <v>59.860000000000014</v>
      </c>
      <c r="K2320" s="131">
        <f t="shared" si="509"/>
        <v>59.860000000000014</v>
      </c>
      <c r="L2320" s="335">
        <f t="shared" si="513"/>
        <v>0</v>
      </c>
      <c r="M2320" s="446"/>
      <c r="N2320" s="446"/>
      <c r="O2320" s="446"/>
      <c r="P2320" s="446"/>
      <c r="Q2320" s="110">
        <v>1</v>
      </c>
      <c r="R2320" s="111">
        <v>59.86</v>
      </c>
      <c r="S2320" s="110"/>
      <c r="T2320" s="110"/>
      <c r="U2320" s="110">
        <v>0</v>
      </c>
      <c r="V2320" s="111">
        <v>0</v>
      </c>
      <c r="W2320" s="110"/>
      <c r="X2320" s="110"/>
      <c r="Y2320" s="110"/>
      <c r="Z2320" s="110"/>
      <c r="AA2320" s="110">
        <v>0</v>
      </c>
      <c r="AB2320" s="111">
        <v>0</v>
      </c>
      <c r="AC2320" s="110"/>
      <c r="AD2320" s="110"/>
      <c r="AE2320" s="110">
        <v>0</v>
      </c>
      <c r="AF2320" s="111">
        <v>0</v>
      </c>
      <c r="AG2320" s="110"/>
      <c r="AH2320" s="110"/>
      <c r="AI2320" s="110"/>
      <c r="AJ2320" s="110"/>
      <c r="AK2320" s="111">
        <f t="shared" si="514"/>
        <v>59.86</v>
      </c>
      <c r="AL2320" s="446">
        <f t="shared" si="515"/>
        <v>0</v>
      </c>
      <c r="AM2320" s="110">
        <f t="shared" si="516"/>
        <v>1</v>
      </c>
      <c r="AN2320" s="447">
        <f t="shared" si="510"/>
        <v>0</v>
      </c>
      <c r="AO2320"/>
      <c r="AP2320"/>
    </row>
    <row r="2321" spans="1:42" ht="66" x14ac:dyDescent="0.25">
      <c r="A2321" s="433"/>
      <c r="B2321" s="554" t="s">
        <v>3000</v>
      </c>
      <c r="C2321" s="9"/>
      <c r="D2321" s="882">
        <v>1</v>
      </c>
      <c r="E2321" s="251" t="s">
        <v>3011</v>
      </c>
      <c r="F2321" s="278" t="s">
        <v>3446</v>
      </c>
      <c r="G2321" s="1040" t="s">
        <v>3463</v>
      </c>
      <c r="H2321" s="273" t="s">
        <v>3462</v>
      </c>
      <c r="I2321" s="720">
        <f t="shared" si="512"/>
        <v>41.040000000000006</v>
      </c>
      <c r="J2321" s="756">
        <v>41.040000000000006</v>
      </c>
      <c r="K2321" s="131">
        <f t="shared" si="509"/>
        <v>41.040000000000006</v>
      </c>
      <c r="L2321" s="335">
        <f t="shared" si="513"/>
        <v>0</v>
      </c>
      <c r="M2321" s="446"/>
      <c r="N2321" s="446"/>
      <c r="O2321" s="446"/>
      <c r="P2321" s="446"/>
      <c r="Q2321" s="110">
        <v>1</v>
      </c>
      <c r="R2321" s="111">
        <v>41.04</v>
      </c>
      <c r="S2321" s="110"/>
      <c r="T2321" s="110"/>
      <c r="U2321" s="110">
        <v>0</v>
      </c>
      <c r="V2321" s="111">
        <v>0</v>
      </c>
      <c r="W2321" s="110"/>
      <c r="X2321" s="110"/>
      <c r="Y2321" s="110"/>
      <c r="Z2321" s="110"/>
      <c r="AA2321" s="110">
        <v>0</v>
      </c>
      <c r="AB2321" s="111">
        <v>0</v>
      </c>
      <c r="AC2321" s="110"/>
      <c r="AD2321" s="110"/>
      <c r="AE2321" s="110">
        <v>0</v>
      </c>
      <c r="AF2321" s="111">
        <v>0</v>
      </c>
      <c r="AG2321" s="110"/>
      <c r="AH2321" s="110"/>
      <c r="AI2321" s="110"/>
      <c r="AJ2321" s="110"/>
      <c r="AK2321" s="111">
        <f t="shared" si="514"/>
        <v>41.04</v>
      </c>
      <c r="AL2321" s="446">
        <f t="shared" si="515"/>
        <v>0</v>
      </c>
      <c r="AM2321" s="110">
        <f t="shared" si="516"/>
        <v>1</v>
      </c>
      <c r="AN2321" s="447">
        <f t="shared" si="510"/>
        <v>0</v>
      </c>
      <c r="AO2321"/>
      <c r="AP2321"/>
    </row>
    <row r="2322" spans="1:42" ht="66" x14ac:dyDescent="0.25">
      <c r="A2322" s="433"/>
      <c r="B2322" s="554" t="s">
        <v>3001</v>
      </c>
      <c r="C2322" s="9"/>
      <c r="D2322" s="882">
        <v>1</v>
      </c>
      <c r="E2322" s="251" t="s">
        <v>1767</v>
      </c>
      <c r="F2322" s="278" t="s">
        <v>3446</v>
      </c>
      <c r="G2322" s="1040" t="s">
        <v>3463</v>
      </c>
      <c r="H2322" s="273" t="s">
        <v>3462</v>
      </c>
      <c r="I2322" s="720">
        <f t="shared" si="512"/>
        <v>37.796976000000001</v>
      </c>
      <c r="J2322" s="756">
        <v>37.796976000000001</v>
      </c>
      <c r="K2322" s="131">
        <f t="shared" si="509"/>
        <v>37.796976000000001</v>
      </c>
      <c r="L2322" s="335">
        <f t="shared" si="513"/>
        <v>0</v>
      </c>
      <c r="M2322" s="446"/>
      <c r="N2322" s="446"/>
      <c r="O2322" s="446"/>
      <c r="P2322" s="446"/>
      <c r="Q2322" s="110">
        <v>1</v>
      </c>
      <c r="R2322" s="111">
        <v>37.799999999999997</v>
      </c>
      <c r="S2322" s="110"/>
      <c r="T2322" s="110"/>
      <c r="U2322" s="110">
        <v>0</v>
      </c>
      <c r="V2322" s="111">
        <v>0</v>
      </c>
      <c r="W2322" s="110"/>
      <c r="X2322" s="110"/>
      <c r="Y2322" s="110"/>
      <c r="Z2322" s="110"/>
      <c r="AA2322" s="110">
        <v>0</v>
      </c>
      <c r="AB2322" s="111">
        <v>0</v>
      </c>
      <c r="AC2322" s="110"/>
      <c r="AD2322" s="110"/>
      <c r="AE2322" s="110">
        <v>0</v>
      </c>
      <c r="AF2322" s="111">
        <v>0</v>
      </c>
      <c r="AG2322" s="110"/>
      <c r="AH2322" s="110"/>
      <c r="AI2322" s="110"/>
      <c r="AJ2322" s="110"/>
      <c r="AK2322" s="111">
        <f t="shared" si="514"/>
        <v>37.799999999999997</v>
      </c>
      <c r="AL2322" s="446">
        <f t="shared" si="515"/>
        <v>-3.0239999999963629E-3</v>
      </c>
      <c r="AM2322" s="110">
        <f t="shared" si="516"/>
        <v>1</v>
      </c>
      <c r="AN2322" s="447">
        <f t="shared" si="510"/>
        <v>0</v>
      </c>
      <c r="AO2322"/>
      <c r="AP2322"/>
    </row>
    <row r="2323" spans="1:42" ht="66" x14ac:dyDescent="0.25">
      <c r="A2323" s="433"/>
      <c r="B2323" s="554" t="s">
        <v>3002</v>
      </c>
      <c r="C2323" s="9"/>
      <c r="D2323" s="882">
        <v>1</v>
      </c>
      <c r="E2323" s="251" t="s">
        <v>1767</v>
      </c>
      <c r="F2323" s="278" t="s">
        <v>3446</v>
      </c>
      <c r="G2323" s="1040" t="s">
        <v>3463</v>
      </c>
      <c r="H2323" s="273" t="s">
        <v>3462</v>
      </c>
      <c r="I2323" s="720">
        <f t="shared" si="512"/>
        <v>79.866000000000014</v>
      </c>
      <c r="J2323" s="756">
        <v>79.866000000000014</v>
      </c>
      <c r="K2323" s="131">
        <f t="shared" si="509"/>
        <v>79.866000000000014</v>
      </c>
      <c r="L2323" s="335">
        <f t="shared" si="513"/>
        <v>0</v>
      </c>
      <c r="M2323" s="446"/>
      <c r="N2323" s="446"/>
      <c r="O2323" s="446"/>
      <c r="P2323" s="446"/>
      <c r="Q2323" s="110">
        <v>1</v>
      </c>
      <c r="R2323" s="111">
        <v>79.87</v>
      </c>
      <c r="S2323" s="110"/>
      <c r="T2323" s="110"/>
      <c r="U2323" s="110">
        <v>0</v>
      </c>
      <c r="V2323" s="111">
        <v>0</v>
      </c>
      <c r="W2323" s="110"/>
      <c r="X2323" s="110"/>
      <c r="Y2323" s="110"/>
      <c r="Z2323" s="110"/>
      <c r="AA2323" s="110">
        <v>0</v>
      </c>
      <c r="AB2323" s="111">
        <v>0</v>
      </c>
      <c r="AC2323" s="110"/>
      <c r="AD2323" s="110"/>
      <c r="AE2323" s="110">
        <v>0</v>
      </c>
      <c r="AF2323" s="111">
        <v>0</v>
      </c>
      <c r="AG2323" s="110"/>
      <c r="AH2323" s="110"/>
      <c r="AI2323" s="110"/>
      <c r="AJ2323" s="110"/>
      <c r="AK2323" s="111">
        <f t="shared" si="514"/>
        <v>79.87</v>
      </c>
      <c r="AL2323" s="446">
        <f t="shared" si="515"/>
        <v>-3.9999999999906777E-3</v>
      </c>
      <c r="AM2323" s="110">
        <f t="shared" si="516"/>
        <v>1</v>
      </c>
      <c r="AN2323" s="447">
        <f t="shared" si="510"/>
        <v>0</v>
      </c>
      <c r="AO2323"/>
      <c r="AP2323"/>
    </row>
    <row r="2324" spans="1:42" ht="66" x14ac:dyDescent="0.25">
      <c r="A2324" s="433"/>
      <c r="B2324" s="554" t="s">
        <v>3003</v>
      </c>
      <c r="C2324" s="9"/>
      <c r="D2324" s="882">
        <v>1</v>
      </c>
      <c r="E2324" s="251" t="s">
        <v>1767</v>
      </c>
      <c r="F2324" s="278" t="s">
        <v>3446</v>
      </c>
      <c r="G2324" s="1040" t="s">
        <v>3463</v>
      </c>
      <c r="H2324" s="273" t="s">
        <v>3462</v>
      </c>
      <c r="I2324" s="720">
        <f t="shared" si="512"/>
        <v>77.22</v>
      </c>
      <c r="J2324" s="756">
        <v>77.22</v>
      </c>
      <c r="K2324" s="131">
        <f t="shared" si="509"/>
        <v>77.22</v>
      </c>
      <c r="L2324" s="335">
        <f t="shared" si="513"/>
        <v>0</v>
      </c>
      <c r="M2324" s="446"/>
      <c r="N2324" s="446"/>
      <c r="O2324" s="446"/>
      <c r="P2324" s="446"/>
      <c r="Q2324" s="110">
        <v>1</v>
      </c>
      <c r="R2324" s="111">
        <v>77.22</v>
      </c>
      <c r="S2324" s="110"/>
      <c r="T2324" s="110"/>
      <c r="U2324" s="110">
        <v>0</v>
      </c>
      <c r="V2324" s="111">
        <v>0</v>
      </c>
      <c r="W2324" s="110"/>
      <c r="X2324" s="110"/>
      <c r="Y2324" s="110"/>
      <c r="Z2324" s="110"/>
      <c r="AA2324" s="110">
        <v>0</v>
      </c>
      <c r="AB2324" s="111">
        <v>0</v>
      </c>
      <c r="AC2324" s="110"/>
      <c r="AD2324" s="110"/>
      <c r="AE2324" s="110">
        <v>0</v>
      </c>
      <c r="AF2324" s="111">
        <v>0</v>
      </c>
      <c r="AG2324" s="110"/>
      <c r="AH2324" s="110"/>
      <c r="AI2324" s="110"/>
      <c r="AJ2324" s="110"/>
      <c r="AK2324" s="111">
        <f t="shared" si="514"/>
        <v>77.22</v>
      </c>
      <c r="AL2324" s="446">
        <f t="shared" si="515"/>
        <v>0</v>
      </c>
      <c r="AM2324" s="110">
        <f t="shared" si="516"/>
        <v>1</v>
      </c>
      <c r="AN2324" s="447">
        <f t="shared" si="510"/>
        <v>0</v>
      </c>
      <c r="AO2324"/>
      <c r="AP2324"/>
    </row>
    <row r="2325" spans="1:42" ht="66" x14ac:dyDescent="0.25">
      <c r="A2325" s="433"/>
      <c r="B2325" s="554" t="s">
        <v>3004</v>
      </c>
      <c r="C2325" s="9"/>
      <c r="D2325" s="882">
        <v>1</v>
      </c>
      <c r="E2325" s="251" t="s">
        <v>1767</v>
      </c>
      <c r="F2325" s="278" t="s">
        <v>3446</v>
      </c>
      <c r="G2325" s="1040" t="s">
        <v>3463</v>
      </c>
      <c r="H2325" s="273" t="s">
        <v>3462</v>
      </c>
      <c r="I2325" s="720">
        <f t="shared" si="512"/>
        <v>6.4152000000000005</v>
      </c>
      <c r="J2325" s="756">
        <v>6.4152000000000005</v>
      </c>
      <c r="K2325" s="131">
        <f t="shared" si="509"/>
        <v>6.4152000000000005</v>
      </c>
      <c r="L2325" s="335">
        <f t="shared" si="513"/>
        <v>0</v>
      </c>
      <c r="M2325" s="446"/>
      <c r="N2325" s="446"/>
      <c r="O2325" s="446"/>
      <c r="P2325" s="446"/>
      <c r="Q2325" s="110">
        <v>1</v>
      </c>
      <c r="R2325" s="111">
        <v>6.42</v>
      </c>
      <c r="S2325" s="110"/>
      <c r="T2325" s="110"/>
      <c r="U2325" s="110">
        <v>0</v>
      </c>
      <c r="V2325" s="111">
        <v>0</v>
      </c>
      <c r="W2325" s="110"/>
      <c r="X2325" s="110"/>
      <c r="Y2325" s="110"/>
      <c r="Z2325" s="110"/>
      <c r="AA2325" s="110">
        <v>0</v>
      </c>
      <c r="AB2325" s="111">
        <v>0</v>
      </c>
      <c r="AC2325" s="110"/>
      <c r="AD2325" s="110"/>
      <c r="AE2325" s="110">
        <v>0</v>
      </c>
      <c r="AF2325" s="111">
        <v>0</v>
      </c>
      <c r="AG2325" s="110"/>
      <c r="AH2325" s="110"/>
      <c r="AI2325" s="110"/>
      <c r="AJ2325" s="110"/>
      <c r="AK2325" s="111">
        <f t="shared" si="514"/>
        <v>6.42</v>
      </c>
      <c r="AL2325" s="446">
        <f t="shared" si="515"/>
        <v>-4.7999999999994714E-3</v>
      </c>
      <c r="AM2325" s="110">
        <f t="shared" si="516"/>
        <v>1</v>
      </c>
      <c r="AN2325" s="447">
        <f t="shared" si="510"/>
        <v>0</v>
      </c>
      <c r="AO2325"/>
      <c r="AP2325"/>
    </row>
    <row r="2326" spans="1:42" ht="66" x14ac:dyDescent="0.25">
      <c r="A2326" s="433"/>
      <c r="B2326" s="554" t="s">
        <v>3005</v>
      </c>
      <c r="C2326" s="9"/>
      <c r="D2326" s="882">
        <v>1</v>
      </c>
      <c r="E2326" s="251" t="s">
        <v>1767</v>
      </c>
      <c r="F2326" s="278" t="s">
        <v>3446</v>
      </c>
      <c r="G2326" s="1040" t="s">
        <v>3463</v>
      </c>
      <c r="H2326" s="273" t="s">
        <v>3462</v>
      </c>
      <c r="I2326" s="720">
        <f t="shared" si="512"/>
        <v>71.259264000000002</v>
      </c>
      <c r="J2326" s="756">
        <v>71.259264000000002</v>
      </c>
      <c r="K2326" s="131">
        <f t="shared" si="509"/>
        <v>71.259264000000002</v>
      </c>
      <c r="L2326" s="335">
        <f t="shared" si="513"/>
        <v>0</v>
      </c>
      <c r="M2326" s="446"/>
      <c r="N2326" s="446"/>
      <c r="O2326" s="446"/>
      <c r="P2326" s="446"/>
      <c r="Q2326" s="110">
        <v>1</v>
      </c>
      <c r="R2326" s="111">
        <v>71.260000000000005</v>
      </c>
      <c r="S2326" s="110"/>
      <c r="T2326" s="110"/>
      <c r="U2326" s="110">
        <v>0</v>
      </c>
      <c r="V2326" s="111">
        <v>0</v>
      </c>
      <c r="W2326" s="110"/>
      <c r="X2326" s="110"/>
      <c r="Y2326" s="110"/>
      <c r="Z2326" s="110"/>
      <c r="AA2326" s="110">
        <v>0</v>
      </c>
      <c r="AB2326" s="111">
        <v>0</v>
      </c>
      <c r="AC2326" s="110"/>
      <c r="AD2326" s="110"/>
      <c r="AE2326" s="110">
        <v>0</v>
      </c>
      <c r="AF2326" s="111">
        <v>0</v>
      </c>
      <c r="AG2326" s="110"/>
      <c r="AH2326" s="110"/>
      <c r="AI2326" s="110"/>
      <c r="AJ2326" s="110"/>
      <c r="AK2326" s="111">
        <f t="shared" si="514"/>
        <v>71.260000000000005</v>
      </c>
      <c r="AL2326" s="446">
        <f t="shared" si="515"/>
        <v>-7.360000000034006E-4</v>
      </c>
      <c r="AM2326" s="110">
        <f t="shared" si="516"/>
        <v>1</v>
      </c>
      <c r="AN2326" s="447">
        <f t="shared" si="510"/>
        <v>0</v>
      </c>
      <c r="AO2326"/>
      <c r="AP2326"/>
    </row>
    <row r="2327" spans="1:42" ht="66" x14ac:dyDescent="0.25">
      <c r="A2327" s="433"/>
      <c r="B2327" s="528" t="s">
        <v>3006</v>
      </c>
      <c r="C2327" s="9"/>
      <c r="D2327" s="882">
        <v>1</v>
      </c>
      <c r="E2327" s="251" t="s">
        <v>1767</v>
      </c>
      <c r="F2327" s="278" t="s">
        <v>3446</v>
      </c>
      <c r="G2327" s="1040" t="s">
        <v>3463</v>
      </c>
      <c r="H2327" s="273" t="s">
        <v>3462</v>
      </c>
      <c r="I2327" s="720">
        <f t="shared" si="512"/>
        <v>77.22</v>
      </c>
      <c r="J2327" s="756">
        <v>77.22</v>
      </c>
      <c r="K2327" s="131">
        <f t="shared" si="509"/>
        <v>77.22</v>
      </c>
      <c r="L2327" s="335">
        <f t="shared" si="513"/>
        <v>0</v>
      </c>
      <c r="M2327" s="446"/>
      <c r="N2327" s="446"/>
      <c r="O2327" s="446"/>
      <c r="P2327" s="446"/>
      <c r="Q2327" s="110">
        <v>1</v>
      </c>
      <c r="R2327" s="111">
        <v>77.22</v>
      </c>
      <c r="S2327" s="110"/>
      <c r="T2327" s="110"/>
      <c r="U2327" s="110">
        <v>0</v>
      </c>
      <c r="V2327" s="111">
        <v>0</v>
      </c>
      <c r="W2327" s="110"/>
      <c r="X2327" s="110"/>
      <c r="Y2327" s="110"/>
      <c r="Z2327" s="110"/>
      <c r="AA2327" s="110">
        <v>0</v>
      </c>
      <c r="AB2327" s="111">
        <v>0</v>
      </c>
      <c r="AC2327" s="110"/>
      <c r="AD2327" s="110"/>
      <c r="AE2327" s="110">
        <v>0</v>
      </c>
      <c r="AF2327" s="111">
        <v>0</v>
      </c>
      <c r="AG2327" s="110"/>
      <c r="AH2327" s="110"/>
      <c r="AI2327" s="110"/>
      <c r="AJ2327" s="110"/>
      <c r="AK2327" s="111">
        <f t="shared" si="514"/>
        <v>77.22</v>
      </c>
      <c r="AL2327" s="446">
        <f t="shared" si="515"/>
        <v>0</v>
      </c>
      <c r="AM2327" s="110">
        <f t="shared" si="516"/>
        <v>1</v>
      </c>
      <c r="AN2327" s="447">
        <f t="shared" si="510"/>
        <v>0</v>
      </c>
      <c r="AO2327"/>
      <c r="AP2327"/>
    </row>
    <row r="2328" spans="1:42" ht="66" x14ac:dyDescent="0.25">
      <c r="A2328" s="433"/>
      <c r="B2328" s="528" t="s">
        <v>3007</v>
      </c>
      <c r="C2328" s="9"/>
      <c r="D2328" s="882">
        <v>10</v>
      </c>
      <c r="E2328" s="251" t="s">
        <v>3012</v>
      </c>
      <c r="F2328" s="278" t="s">
        <v>3446</v>
      </c>
      <c r="G2328" s="1040" t="s">
        <v>3463</v>
      </c>
      <c r="H2328" s="273" t="s">
        <v>3462</v>
      </c>
      <c r="I2328" s="720">
        <f t="shared" si="512"/>
        <v>25.380000000000003</v>
      </c>
      <c r="J2328" s="756">
        <v>253.8</v>
      </c>
      <c r="K2328" s="131">
        <f t="shared" si="509"/>
        <v>253.8</v>
      </c>
      <c r="L2328" s="335">
        <f t="shared" si="513"/>
        <v>0</v>
      </c>
      <c r="M2328" s="446"/>
      <c r="N2328" s="446"/>
      <c r="O2328" s="446"/>
      <c r="P2328" s="446"/>
      <c r="Q2328" s="130">
        <v>3</v>
      </c>
      <c r="R2328" s="111">
        <f t="shared" si="517"/>
        <v>63.45</v>
      </c>
      <c r="S2328" s="110"/>
      <c r="T2328" s="110"/>
      <c r="U2328" s="130">
        <v>3</v>
      </c>
      <c r="V2328" s="111">
        <f t="shared" si="518"/>
        <v>63.45</v>
      </c>
      <c r="W2328" s="110"/>
      <c r="X2328" s="110"/>
      <c r="Y2328" s="110"/>
      <c r="Z2328" s="110"/>
      <c r="AA2328" s="130">
        <v>2</v>
      </c>
      <c r="AB2328" s="111">
        <f t="shared" si="519"/>
        <v>63.45</v>
      </c>
      <c r="AC2328" s="110"/>
      <c r="AD2328" s="110"/>
      <c r="AE2328" s="130">
        <v>2</v>
      </c>
      <c r="AF2328" s="111">
        <f t="shared" si="520"/>
        <v>63.45</v>
      </c>
      <c r="AG2328" s="110"/>
      <c r="AH2328" s="110"/>
      <c r="AI2328" s="110"/>
      <c r="AJ2328" s="110"/>
      <c r="AK2328" s="111">
        <f t="shared" si="514"/>
        <v>253.8</v>
      </c>
      <c r="AL2328" s="446">
        <f t="shared" si="515"/>
        <v>0</v>
      </c>
      <c r="AM2328" s="110">
        <f t="shared" si="516"/>
        <v>10</v>
      </c>
      <c r="AN2328" s="447">
        <f t="shared" si="510"/>
        <v>0</v>
      </c>
      <c r="AO2328"/>
      <c r="AP2328"/>
    </row>
    <row r="2329" spans="1:42" ht="66" x14ac:dyDescent="0.25">
      <c r="A2329" s="433"/>
      <c r="B2329" s="528" t="s">
        <v>3008</v>
      </c>
      <c r="C2329" s="9"/>
      <c r="D2329" s="882">
        <v>9</v>
      </c>
      <c r="E2329" s="251" t="s">
        <v>3012</v>
      </c>
      <c r="F2329" s="278" t="s">
        <v>3446</v>
      </c>
      <c r="G2329" s="1040" t="s">
        <v>3463</v>
      </c>
      <c r="H2329" s="273" t="s">
        <v>3462</v>
      </c>
      <c r="I2329" s="720">
        <f t="shared" si="512"/>
        <v>27</v>
      </c>
      <c r="J2329" s="756">
        <v>243</v>
      </c>
      <c r="K2329" s="131">
        <f t="shared" si="509"/>
        <v>243</v>
      </c>
      <c r="L2329" s="335">
        <f t="shared" si="513"/>
        <v>0</v>
      </c>
      <c r="M2329" s="446"/>
      <c r="N2329" s="446"/>
      <c r="O2329" s="446"/>
      <c r="P2329" s="446"/>
      <c r="Q2329" s="110">
        <v>3</v>
      </c>
      <c r="R2329" s="111">
        <f t="shared" si="517"/>
        <v>60.75</v>
      </c>
      <c r="S2329" s="110"/>
      <c r="T2329" s="110"/>
      <c r="U2329" s="110">
        <v>2</v>
      </c>
      <c r="V2329" s="111">
        <f t="shared" si="518"/>
        <v>60.75</v>
      </c>
      <c r="W2329" s="110"/>
      <c r="X2329" s="110"/>
      <c r="Y2329" s="110"/>
      <c r="Z2329" s="110"/>
      <c r="AA2329" s="110">
        <v>2</v>
      </c>
      <c r="AB2329" s="111">
        <f t="shared" si="519"/>
        <v>60.75</v>
      </c>
      <c r="AC2329" s="110"/>
      <c r="AD2329" s="110"/>
      <c r="AE2329" s="110">
        <v>2</v>
      </c>
      <c r="AF2329" s="111">
        <f t="shared" si="520"/>
        <v>60.75</v>
      </c>
      <c r="AG2329" s="110"/>
      <c r="AH2329" s="110"/>
      <c r="AI2329" s="110"/>
      <c r="AJ2329" s="110"/>
      <c r="AK2329" s="111">
        <f t="shared" si="514"/>
        <v>243</v>
      </c>
      <c r="AL2329" s="446">
        <f t="shared" si="515"/>
        <v>0</v>
      </c>
      <c r="AM2329" s="110">
        <f t="shared" si="516"/>
        <v>9</v>
      </c>
      <c r="AN2329" s="447">
        <f t="shared" si="510"/>
        <v>0</v>
      </c>
      <c r="AO2329"/>
      <c r="AP2329"/>
    </row>
    <row r="2330" spans="1:42" ht="66" x14ac:dyDescent="0.25">
      <c r="A2330" s="433"/>
      <c r="B2330" s="528" t="s">
        <v>3009</v>
      </c>
      <c r="C2330" s="9"/>
      <c r="D2330" s="882">
        <v>1</v>
      </c>
      <c r="E2330" s="251" t="s">
        <v>3012</v>
      </c>
      <c r="F2330" s="278" t="s">
        <v>3446</v>
      </c>
      <c r="G2330" s="1040" t="s">
        <v>3463</v>
      </c>
      <c r="H2330" s="273" t="s">
        <v>3462</v>
      </c>
      <c r="I2330" s="720">
        <f t="shared" si="512"/>
        <v>32.400000000000006</v>
      </c>
      <c r="J2330" s="756">
        <v>32.400000000000006</v>
      </c>
      <c r="K2330" s="131">
        <f t="shared" ref="K2330:K2393" si="523">+D2330*I2330</f>
        <v>32.400000000000006</v>
      </c>
      <c r="L2330" s="335">
        <f t="shared" si="513"/>
        <v>0</v>
      </c>
      <c r="M2330" s="446"/>
      <c r="N2330" s="446"/>
      <c r="O2330" s="446"/>
      <c r="P2330" s="446"/>
      <c r="Q2330" s="110">
        <v>1</v>
      </c>
      <c r="R2330" s="111">
        <v>32.4</v>
      </c>
      <c r="S2330" s="110"/>
      <c r="T2330" s="110"/>
      <c r="U2330" s="110">
        <v>0</v>
      </c>
      <c r="V2330" s="111">
        <v>0</v>
      </c>
      <c r="W2330" s="110"/>
      <c r="X2330" s="110"/>
      <c r="Y2330" s="110"/>
      <c r="Z2330" s="110"/>
      <c r="AA2330" s="110">
        <v>0</v>
      </c>
      <c r="AB2330" s="111">
        <v>0</v>
      </c>
      <c r="AC2330" s="110"/>
      <c r="AD2330" s="110"/>
      <c r="AE2330" s="110">
        <v>0</v>
      </c>
      <c r="AF2330" s="111">
        <v>0</v>
      </c>
      <c r="AG2330" s="110"/>
      <c r="AH2330" s="110"/>
      <c r="AI2330" s="110"/>
      <c r="AJ2330" s="110"/>
      <c r="AK2330" s="111">
        <f t="shared" si="514"/>
        <v>32.4</v>
      </c>
      <c r="AL2330" s="446">
        <f t="shared" si="515"/>
        <v>0</v>
      </c>
      <c r="AM2330" s="110">
        <f t="shared" si="516"/>
        <v>1</v>
      </c>
      <c r="AN2330" s="447">
        <f t="shared" ref="AN2330:AN2393" si="524">+D2330-AM2330</f>
        <v>0</v>
      </c>
      <c r="AO2330"/>
      <c r="AP2330"/>
    </row>
    <row r="2331" spans="1:42" ht="66" x14ac:dyDescent="0.25">
      <c r="A2331" s="433"/>
      <c r="B2331" s="528" t="s">
        <v>3010</v>
      </c>
      <c r="C2331" s="9"/>
      <c r="D2331" s="882">
        <v>1</v>
      </c>
      <c r="E2331" s="251" t="s">
        <v>1767</v>
      </c>
      <c r="F2331" s="278" t="s">
        <v>3446</v>
      </c>
      <c r="G2331" s="1040" t="s">
        <v>3463</v>
      </c>
      <c r="H2331" s="273" t="s">
        <v>3462</v>
      </c>
      <c r="I2331" s="720">
        <f t="shared" si="512"/>
        <v>333.72</v>
      </c>
      <c r="J2331" s="756">
        <v>333.72</v>
      </c>
      <c r="K2331" s="131">
        <f t="shared" si="523"/>
        <v>333.72</v>
      </c>
      <c r="L2331" s="335">
        <f t="shared" si="513"/>
        <v>0</v>
      </c>
      <c r="M2331" s="446"/>
      <c r="N2331" s="446"/>
      <c r="O2331" s="446"/>
      <c r="P2331" s="446"/>
      <c r="Q2331" s="110">
        <v>1</v>
      </c>
      <c r="R2331" s="111">
        <v>333.72</v>
      </c>
      <c r="S2331" s="110"/>
      <c r="T2331" s="110"/>
      <c r="U2331" s="110">
        <v>0</v>
      </c>
      <c r="V2331" s="111">
        <v>0</v>
      </c>
      <c r="W2331" s="110"/>
      <c r="X2331" s="110"/>
      <c r="Y2331" s="110"/>
      <c r="Z2331" s="110"/>
      <c r="AA2331" s="110">
        <v>0</v>
      </c>
      <c r="AB2331" s="111">
        <v>0</v>
      </c>
      <c r="AC2331" s="110"/>
      <c r="AD2331" s="110"/>
      <c r="AE2331" s="110">
        <v>0</v>
      </c>
      <c r="AF2331" s="111">
        <v>0</v>
      </c>
      <c r="AG2331" s="110"/>
      <c r="AH2331" s="110"/>
      <c r="AI2331" s="110"/>
      <c r="AJ2331" s="110"/>
      <c r="AK2331" s="111">
        <f t="shared" si="514"/>
        <v>333.72</v>
      </c>
      <c r="AL2331" s="446">
        <f t="shared" si="515"/>
        <v>0</v>
      </c>
      <c r="AM2331" s="110">
        <f t="shared" si="516"/>
        <v>1</v>
      </c>
      <c r="AN2331" s="447">
        <f t="shared" si="524"/>
        <v>0</v>
      </c>
      <c r="AO2331"/>
      <c r="AP2331"/>
    </row>
    <row r="2332" spans="1:42" ht="22.5" x14ac:dyDescent="0.25">
      <c r="A2332" s="1021">
        <v>249</v>
      </c>
      <c r="B2332" s="582" t="s">
        <v>601</v>
      </c>
      <c r="C2332" s="1021"/>
      <c r="D2332" s="995"/>
      <c r="E2332" s="978"/>
      <c r="F2332" s="996"/>
      <c r="G2332" s="996"/>
      <c r="H2332" s="996"/>
      <c r="I2332" s="997"/>
      <c r="J2332" s="811"/>
      <c r="K2332" s="1016">
        <f t="shared" si="523"/>
        <v>0</v>
      </c>
      <c r="L2332" s="1017">
        <f t="shared" si="513"/>
        <v>0</v>
      </c>
      <c r="M2332" s="999"/>
      <c r="N2332" s="999"/>
      <c r="O2332" s="999"/>
      <c r="P2332" s="999"/>
      <c r="Q2332" s="1000">
        <f t="shared" si="521"/>
        <v>0</v>
      </c>
      <c r="R2332" s="998">
        <f t="shared" si="517"/>
        <v>0</v>
      </c>
      <c r="S2332" s="1000"/>
      <c r="T2332" s="1000"/>
      <c r="U2332" s="1000">
        <f t="shared" si="522"/>
        <v>0</v>
      </c>
      <c r="V2332" s="998">
        <f t="shared" si="518"/>
        <v>0</v>
      </c>
      <c r="W2332" s="1000"/>
      <c r="X2332" s="1000"/>
      <c r="Y2332" s="1000"/>
      <c r="Z2332" s="1000"/>
      <c r="AA2332" s="1000">
        <f t="shared" si="511"/>
        <v>0</v>
      </c>
      <c r="AB2332" s="998">
        <f t="shared" si="519"/>
        <v>0</v>
      </c>
      <c r="AC2332" s="1000"/>
      <c r="AD2332" s="1000"/>
      <c r="AE2332" s="1000">
        <f t="shared" si="511"/>
        <v>0</v>
      </c>
      <c r="AF2332" s="998">
        <f t="shared" si="520"/>
        <v>0</v>
      </c>
      <c r="AG2332" s="1000"/>
      <c r="AH2332" s="1000"/>
      <c r="AI2332" s="1000"/>
      <c r="AJ2332" s="1000"/>
      <c r="AK2332" s="998">
        <f t="shared" si="514"/>
        <v>0</v>
      </c>
      <c r="AL2332" s="446">
        <f t="shared" si="515"/>
        <v>0</v>
      </c>
      <c r="AM2332" s="110">
        <f t="shared" si="516"/>
        <v>0</v>
      </c>
      <c r="AN2332" s="447">
        <f t="shared" si="524"/>
        <v>0</v>
      </c>
      <c r="AO2332" s="108"/>
      <c r="AP2332"/>
    </row>
    <row r="2333" spans="1:42" ht="22.5" x14ac:dyDescent="0.25">
      <c r="A2333" s="643">
        <v>24901</v>
      </c>
      <c r="B2333" s="644" t="s">
        <v>602</v>
      </c>
      <c r="C2333" s="654"/>
      <c r="D2333" s="954"/>
      <c r="E2333" s="645"/>
      <c r="F2333" s="646"/>
      <c r="G2333" s="646"/>
      <c r="H2333" s="646"/>
      <c r="I2333" s="717"/>
      <c r="J2333" s="753"/>
      <c r="K2333" s="131">
        <f t="shared" si="523"/>
        <v>0</v>
      </c>
      <c r="L2333" s="335">
        <f t="shared" si="513"/>
        <v>0</v>
      </c>
      <c r="M2333" s="648"/>
      <c r="N2333" s="648"/>
      <c r="O2333" s="648"/>
      <c r="P2333" s="648"/>
      <c r="Q2333" s="649">
        <f t="shared" si="521"/>
        <v>0</v>
      </c>
      <c r="R2333" s="647">
        <f t="shared" si="517"/>
        <v>0</v>
      </c>
      <c r="S2333" s="649"/>
      <c r="T2333" s="649"/>
      <c r="U2333" s="649">
        <f t="shared" si="522"/>
        <v>0</v>
      </c>
      <c r="V2333" s="647">
        <f t="shared" si="518"/>
        <v>0</v>
      </c>
      <c r="W2333" s="649"/>
      <c r="X2333" s="649"/>
      <c r="Y2333" s="649"/>
      <c r="Z2333" s="649"/>
      <c r="AA2333" s="649">
        <f t="shared" si="511"/>
        <v>0</v>
      </c>
      <c r="AB2333" s="647">
        <f t="shared" si="519"/>
        <v>0</v>
      </c>
      <c r="AC2333" s="649"/>
      <c r="AD2333" s="649"/>
      <c r="AE2333" s="649">
        <f t="shared" si="511"/>
        <v>0</v>
      </c>
      <c r="AF2333" s="647">
        <f t="shared" si="520"/>
        <v>0</v>
      </c>
      <c r="AG2333" s="649"/>
      <c r="AH2333" s="649"/>
      <c r="AI2333" s="649"/>
      <c r="AJ2333" s="649"/>
      <c r="AK2333" s="647">
        <f t="shared" si="514"/>
        <v>0</v>
      </c>
      <c r="AL2333" s="446">
        <f t="shared" si="515"/>
        <v>0</v>
      </c>
      <c r="AM2333" s="110">
        <f t="shared" si="516"/>
        <v>0</v>
      </c>
      <c r="AN2333" s="447">
        <f t="shared" si="524"/>
        <v>0</v>
      </c>
      <c r="AO2333" s="436">
        <f>SUM(J2334:J2351)</f>
        <v>14711.931744</v>
      </c>
      <c r="AP2333" s="111"/>
    </row>
    <row r="2334" spans="1:42" ht="66" x14ac:dyDescent="0.25">
      <c r="A2334" s="9"/>
      <c r="B2334" s="34" t="s">
        <v>1164</v>
      </c>
      <c r="C2334" s="1024"/>
      <c r="D2334" s="869">
        <f>200</f>
        <v>200</v>
      </c>
      <c r="E2334" s="1027" t="s">
        <v>1749</v>
      </c>
      <c r="F2334" s="278" t="s">
        <v>3446</v>
      </c>
      <c r="G2334" s="1040" t="s">
        <v>3463</v>
      </c>
      <c r="H2334" s="273" t="s">
        <v>3462</v>
      </c>
      <c r="I2334" s="720">
        <f t="shared" ref="I2334:I2350" si="525">+J2334/D2334</f>
        <v>14.511600000000001</v>
      </c>
      <c r="J2334" s="756">
        <f>2902.32</f>
        <v>2902.32</v>
      </c>
      <c r="K2334" s="131">
        <f t="shared" si="523"/>
        <v>2902.32</v>
      </c>
      <c r="L2334" s="335">
        <f t="shared" si="513"/>
        <v>0</v>
      </c>
      <c r="M2334" s="446"/>
      <c r="N2334" s="446"/>
      <c r="O2334" s="446"/>
      <c r="P2334" s="446"/>
      <c r="Q2334" s="110">
        <f t="shared" si="521"/>
        <v>50</v>
      </c>
      <c r="R2334" s="111">
        <f t="shared" si="517"/>
        <v>725.58</v>
      </c>
      <c r="S2334" s="110"/>
      <c r="T2334" s="110"/>
      <c r="U2334" s="110">
        <f t="shared" si="522"/>
        <v>50</v>
      </c>
      <c r="V2334" s="111">
        <f t="shared" si="518"/>
        <v>725.58</v>
      </c>
      <c r="W2334" s="110"/>
      <c r="X2334" s="110"/>
      <c r="Y2334" s="110"/>
      <c r="Z2334" s="110"/>
      <c r="AA2334" s="110">
        <f t="shared" si="511"/>
        <v>50</v>
      </c>
      <c r="AB2334" s="111">
        <f t="shared" si="519"/>
        <v>725.58</v>
      </c>
      <c r="AC2334" s="110"/>
      <c r="AD2334" s="110"/>
      <c r="AE2334" s="110">
        <f t="shared" si="511"/>
        <v>50</v>
      </c>
      <c r="AF2334" s="111">
        <f t="shared" si="520"/>
        <v>725.58</v>
      </c>
      <c r="AG2334" s="110"/>
      <c r="AH2334" s="110"/>
      <c r="AI2334" s="110"/>
      <c r="AJ2334" s="110"/>
      <c r="AK2334" s="111">
        <f t="shared" si="514"/>
        <v>2902.32</v>
      </c>
      <c r="AL2334" s="446">
        <f t="shared" si="515"/>
        <v>0</v>
      </c>
      <c r="AM2334" s="110">
        <f t="shared" si="516"/>
        <v>200</v>
      </c>
      <c r="AN2334" s="447">
        <f t="shared" si="524"/>
        <v>0</v>
      </c>
      <c r="AO2334"/>
      <c r="AP2334"/>
    </row>
    <row r="2335" spans="1:42" ht="66" x14ac:dyDescent="0.25">
      <c r="A2335" s="9"/>
      <c r="B2335" s="562" t="s">
        <v>604</v>
      </c>
      <c r="C2335" s="1024"/>
      <c r="D2335" s="869">
        <f>35+1</f>
        <v>36</v>
      </c>
      <c r="E2335" s="1027"/>
      <c r="F2335" s="278" t="s">
        <v>3446</v>
      </c>
      <c r="G2335" s="1040" t="s">
        <v>3463</v>
      </c>
      <c r="H2335" s="273" t="s">
        <v>3462</v>
      </c>
      <c r="I2335" s="720">
        <f t="shared" si="525"/>
        <v>22.585333333333335</v>
      </c>
      <c r="J2335" s="756">
        <f>723.492+89.58</f>
        <v>813.072</v>
      </c>
      <c r="K2335" s="131">
        <f t="shared" si="523"/>
        <v>813.072</v>
      </c>
      <c r="L2335" s="335">
        <f t="shared" si="513"/>
        <v>0</v>
      </c>
      <c r="M2335" s="446"/>
      <c r="N2335" s="446"/>
      <c r="O2335" s="446"/>
      <c r="P2335" s="446"/>
      <c r="Q2335" s="110">
        <f t="shared" si="521"/>
        <v>9</v>
      </c>
      <c r="R2335" s="111">
        <f t="shared" si="517"/>
        <v>203.268</v>
      </c>
      <c r="S2335" s="110"/>
      <c r="T2335" s="110"/>
      <c r="U2335" s="110">
        <f t="shared" si="522"/>
        <v>9</v>
      </c>
      <c r="V2335" s="111">
        <f t="shared" si="518"/>
        <v>203.268</v>
      </c>
      <c r="W2335" s="110"/>
      <c r="X2335" s="110"/>
      <c r="Y2335" s="110"/>
      <c r="Z2335" s="110"/>
      <c r="AA2335" s="110">
        <f t="shared" si="511"/>
        <v>9</v>
      </c>
      <c r="AB2335" s="111">
        <f t="shared" si="519"/>
        <v>203.268</v>
      </c>
      <c r="AC2335" s="110"/>
      <c r="AD2335" s="110"/>
      <c r="AE2335" s="110">
        <f t="shared" si="511"/>
        <v>9</v>
      </c>
      <c r="AF2335" s="111">
        <f t="shared" si="520"/>
        <v>203.268</v>
      </c>
      <c r="AG2335" s="110"/>
      <c r="AH2335" s="110"/>
      <c r="AI2335" s="110"/>
      <c r="AJ2335" s="110"/>
      <c r="AK2335" s="111">
        <f t="shared" si="514"/>
        <v>813.072</v>
      </c>
      <c r="AL2335" s="446">
        <f t="shared" si="515"/>
        <v>0</v>
      </c>
      <c r="AM2335" s="110">
        <f t="shared" si="516"/>
        <v>36</v>
      </c>
      <c r="AN2335" s="447">
        <f t="shared" si="524"/>
        <v>0</v>
      </c>
      <c r="AO2335"/>
      <c r="AP2335"/>
    </row>
    <row r="2336" spans="1:42" ht="66" x14ac:dyDescent="0.25">
      <c r="A2336" s="9"/>
      <c r="B2336" s="487" t="s">
        <v>1263</v>
      </c>
      <c r="C2336" s="1024"/>
      <c r="D2336" s="869">
        <v>5</v>
      </c>
      <c r="E2336" s="1027"/>
      <c r="F2336" s="278" t="s">
        <v>3446</v>
      </c>
      <c r="G2336" s="1040" t="s">
        <v>3463</v>
      </c>
      <c r="H2336" s="273" t="s">
        <v>3462</v>
      </c>
      <c r="I2336" s="720">
        <f t="shared" si="525"/>
        <v>192.93119999999999</v>
      </c>
      <c r="J2336" s="756">
        <v>964.65599999999995</v>
      </c>
      <c r="K2336" s="131">
        <f t="shared" si="523"/>
        <v>964.65599999999995</v>
      </c>
      <c r="L2336" s="335">
        <f t="shared" si="513"/>
        <v>0</v>
      </c>
      <c r="M2336" s="446"/>
      <c r="N2336" s="446"/>
      <c r="O2336" s="446"/>
      <c r="P2336" s="446"/>
      <c r="Q2336" s="110">
        <v>2</v>
      </c>
      <c r="R2336" s="111">
        <f t="shared" si="517"/>
        <v>241.16399999999999</v>
      </c>
      <c r="S2336" s="110"/>
      <c r="T2336" s="110"/>
      <c r="U2336" s="110">
        <v>1</v>
      </c>
      <c r="V2336" s="111">
        <f t="shared" si="518"/>
        <v>241.16399999999999</v>
      </c>
      <c r="W2336" s="110"/>
      <c r="X2336" s="110"/>
      <c r="Y2336" s="110"/>
      <c r="Z2336" s="110"/>
      <c r="AA2336" s="110">
        <v>1</v>
      </c>
      <c r="AB2336" s="111">
        <f t="shared" si="519"/>
        <v>241.16399999999999</v>
      </c>
      <c r="AC2336" s="110"/>
      <c r="AD2336" s="110"/>
      <c r="AE2336" s="110">
        <v>1</v>
      </c>
      <c r="AF2336" s="111">
        <f t="shared" si="520"/>
        <v>241.16399999999999</v>
      </c>
      <c r="AG2336" s="110"/>
      <c r="AH2336" s="110"/>
      <c r="AI2336" s="110"/>
      <c r="AJ2336" s="110"/>
      <c r="AK2336" s="111">
        <f t="shared" si="514"/>
        <v>964.65599999999995</v>
      </c>
      <c r="AL2336" s="446">
        <f t="shared" si="515"/>
        <v>0</v>
      </c>
      <c r="AM2336" s="110">
        <f t="shared" si="516"/>
        <v>5</v>
      </c>
      <c r="AN2336" s="447">
        <f t="shared" si="524"/>
        <v>0</v>
      </c>
      <c r="AO2336"/>
      <c r="AP2336"/>
    </row>
    <row r="2337" spans="1:42" ht="66" x14ac:dyDescent="0.25">
      <c r="A2337" s="9"/>
      <c r="B2337" s="487" t="s">
        <v>1264</v>
      </c>
      <c r="C2337" s="1024"/>
      <c r="D2337" s="869">
        <v>3</v>
      </c>
      <c r="E2337" s="1027"/>
      <c r="F2337" s="278" t="s">
        <v>3446</v>
      </c>
      <c r="G2337" s="1040" t="s">
        <v>3463</v>
      </c>
      <c r="H2337" s="273" t="s">
        <v>3462</v>
      </c>
      <c r="I2337" s="720">
        <f t="shared" si="525"/>
        <v>41.342399999999998</v>
      </c>
      <c r="J2337" s="756">
        <v>124.02719999999999</v>
      </c>
      <c r="K2337" s="131">
        <f t="shared" si="523"/>
        <v>124.02719999999999</v>
      </c>
      <c r="L2337" s="335">
        <f t="shared" si="513"/>
        <v>0</v>
      </c>
      <c r="M2337" s="446"/>
      <c r="N2337" s="446"/>
      <c r="O2337" s="446"/>
      <c r="P2337" s="446"/>
      <c r="Q2337" s="130">
        <v>1</v>
      </c>
      <c r="R2337" s="111">
        <v>41.34</v>
      </c>
      <c r="S2337" s="110"/>
      <c r="T2337" s="110"/>
      <c r="U2337" s="130">
        <v>1</v>
      </c>
      <c r="V2337" s="111">
        <v>41.34</v>
      </c>
      <c r="W2337" s="110"/>
      <c r="X2337" s="110"/>
      <c r="Y2337" s="110"/>
      <c r="Z2337" s="110"/>
      <c r="AA2337" s="130">
        <v>1</v>
      </c>
      <c r="AB2337" s="111">
        <v>41.34</v>
      </c>
      <c r="AC2337" s="110"/>
      <c r="AD2337" s="110"/>
      <c r="AE2337" s="130">
        <v>0</v>
      </c>
      <c r="AF2337" s="111">
        <v>0</v>
      </c>
      <c r="AG2337" s="110"/>
      <c r="AH2337" s="110"/>
      <c r="AI2337" s="110"/>
      <c r="AJ2337" s="110"/>
      <c r="AK2337" s="111">
        <f t="shared" si="514"/>
        <v>124.02000000000001</v>
      </c>
      <c r="AL2337" s="446">
        <f t="shared" si="515"/>
        <v>7.1999999999832198E-3</v>
      </c>
      <c r="AM2337" s="110">
        <f t="shared" si="516"/>
        <v>3</v>
      </c>
      <c r="AN2337" s="447">
        <f t="shared" si="524"/>
        <v>0</v>
      </c>
      <c r="AO2337"/>
      <c r="AP2337"/>
    </row>
    <row r="2338" spans="1:42" ht="66" x14ac:dyDescent="0.25">
      <c r="A2338" s="9"/>
      <c r="B2338" s="487" t="s">
        <v>1265</v>
      </c>
      <c r="C2338" s="1024"/>
      <c r="D2338" s="869">
        <v>1</v>
      </c>
      <c r="E2338" s="1027"/>
      <c r="F2338" s="278" t="s">
        <v>3446</v>
      </c>
      <c r="G2338" s="1040" t="s">
        <v>3463</v>
      </c>
      <c r="H2338" s="273" t="s">
        <v>3462</v>
      </c>
      <c r="I2338" s="720">
        <f t="shared" si="525"/>
        <v>580</v>
      </c>
      <c r="J2338" s="756">
        <v>580</v>
      </c>
      <c r="K2338" s="131">
        <f t="shared" si="523"/>
        <v>580</v>
      </c>
      <c r="L2338" s="335">
        <f t="shared" si="513"/>
        <v>0</v>
      </c>
      <c r="M2338" s="446"/>
      <c r="N2338" s="446"/>
      <c r="O2338" s="446"/>
      <c r="P2338" s="446"/>
      <c r="Q2338" s="110">
        <v>1</v>
      </c>
      <c r="R2338" s="111">
        <v>580</v>
      </c>
      <c r="S2338" s="110"/>
      <c r="T2338" s="110"/>
      <c r="U2338" s="110">
        <v>0</v>
      </c>
      <c r="V2338" s="111">
        <v>0</v>
      </c>
      <c r="W2338" s="110"/>
      <c r="X2338" s="110"/>
      <c r="Y2338" s="110"/>
      <c r="Z2338" s="110"/>
      <c r="AA2338" s="110">
        <v>0</v>
      </c>
      <c r="AB2338" s="111">
        <v>0</v>
      </c>
      <c r="AC2338" s="110"/>
      <c r="AD2338" s="110"/>
      <c r="AE2338" s="110">
        <v>0</v>
      </c>
      <c r="AF2338" s="111">
        <v>0</v>
      </c>
      <c r="AG2338" s="110"/>
      <c r="AH2338" s="110"/>
      <c r="AI2338" s="110"/>
      <c r="AJ2338" s="110"/>
      <c r="AK2338" s="111">
        <f t="shared" si="514"/>
        <v>580</v>
      </c>
      <c r="AL2338" s="446">
        <f t="shared" si="515"/>
        <v>0</v>
      </c>
      <c r="AM2338" s="110">
        <f t="shared" si="516"/>
        <v>1</v>
      </c>
      <c r="AN2338" s="447">
        <f t="shared" si="524"/>
        <v>0</v>
      </c>
      <c r="AO2338"/>
      <c r="AP2338"/>
    </row>
    <row r="2339" spans="1:42" ht="66" x14ac:dyDescent="0.25">
      <c r="A2339" s="9"/>
      <c r="B2339" s="152" t="s">
        <v>1266</v>
      </c>
      <c r="C2339" s="1024"/>
      <c r="D2339" s="869">
        <v>1</v>
      </c>
      <c r="E2339" s="1027"/>
      <c r="F2339" s="278" t="s">
        <v>3446</v>
      </c>
      <c r="G2339" s="1040" t="s">
        <v>3463</v>
      </c>
      <c r="H2339" s="273" t="s">
        <v>3462</v>
      </c>
      <c r="I2339" s="720">
        <f t="shared" si="525"/>
        <v>696</v>
      </c>
      <c r="J2339" s="756">
        <v>696</v>
      </c>
      <c r="K2339" s="131">
        <f t="shared" si="523"/>
        <v>696</v>
      </c>
      <c r="L2339" s="335">
        <f t="shared" si="513"/>
        <v>0</v>
      </c>
      <c r="M2339" s="446"/>
      <c r="N2339" s="446"/>
      <c r="O2339" s="446"/>
      <c r="P2339" s="446"/>
      <c r="Q2339" s="110">
        <v>1</v>
      </c>
      <c r="R2339" s="111">
        <v>696</v>
      </c>
      <c r="S2339" s="110"/>
      <c r="T2339" s="110"/>
      <c r="U2339" s="110">
        <v>0</v>
      </c>
      <c r="V2339" s="111">
        <v>0</v>
      </c>
      <c r="W2339" s="110"/>
      <c r="X2339" s="110"/>
      <c r="Y2339" s="110"/>
      <c r="Z2339" s="110"/>
      <c r="AA2339" s="110">
        <v>0</v>
      </c>
      <c r="AB2339" s="111">
        <v>0</v>
      </c>
      <c r="AC2339" s="110"/>
      <c r="AD2339" s="110"/>
      <c r="AE2339" s="110">
        <v>0</v>
      </c>
      <c r="AF2339" s="111">
        <v>0</v>
      </c>
      <c r="AG2339" s="110"/>
      <c r="AH2339" s="110"/>
      <c r="AI2339" s="110"/>
      <c r="AJ2339" s="110"/>
      <c r="AK2339" s="111">
        <f t="shared" si="514"/>
        <v>696</v>
      </c>
      <c r="AL2339" s="446">
        <f t="shared" si="515"/>
        <v>0</v>
      </c>
      <c r="AM2339" s="110">
        <f t="shared" si="516"/>
        <v>1</v>
      </c>
      <c r="AN2339" s="447">
        <f t="shared" si="524"/>
        <v>0</v>
      </c>
      <c r="AO2339"/>
      <c r="AP2339"/>
    </row>
    <row r="2340" spans="1:42" ht="66" x14ac:dyDescent="0.25">
      <c r="A2340" s="9"/>
      <c r="B2340" s="152" t="s">
        <v>1267</v>
      </c>
      <c r="C2340" s="1024"/>
      <c r="D2340" s="869">
        <v>1</v>
      </c>
      <c r="E2340" s="1027"/>
      <c r="F2340" s="278" t="s">
        <v>3446</v>
      </c>
      <c r="G2340" s="1040" t="s">
        <v>3463</v>
      </c>
      <c r="H2340" s="273" t="s">
        <v>3462</v>
      </c>
      <c r="I2340" s="720">
        <f t="shared" si="525"/>
        <v>580</v>
      </c>
      <c r="J2340" s="756">
        <v>580</v>
      </c>
      <c r="K2340" s="131">
        <f t="shared" si="523"/>
        <v>580</v>
      </c>
      <c r="L2340" s="335">
        <f t="shared" si="513"/>
        <v>0</v>
      </c>
      <c r="M2340" s="446"/>
      <c r="N2340" s="446"/>
      <c r="O2340" s="446"/>
      <c r="P2340" s="446"/>
      <c r="Q2340" s="110">
        <v>1</v>
      </c>
      <c r="R2340" s="111">
        <v>580</v>
      </c>
      <c r="S2340" s="110"/>
      <c r="T2340" s="110"/>
      <c r="U2340" s="110">
        <v>0</v>
      </c>
      <c r="V2340" s="111">
        <v>0</v>
      </c>
      <c r="W2340" s="110"/>
      <c r="X2340" s="110"/>
      <c r="Y2340" s="110"/>
      <c r="Z2340" s="110"/>
      <c r="AA2340" s="110">
        <v>0</v>
      </c>
      <c r="AB2340" s="111">
        <v>0</v>
      </c>
      <c r="AC2340" s="110"/>
      <c r="AD2340" s="110"/>
      <c r="AE2340" s="110">
        <v>0</v>
      </c>
      <c r="AF2340" s="111">
        <v>0</v>
      </c>
      <c r="AG2340" s="110"/>
      <c r="AH2340" s="110"/>
      <c r="AI2340" s="110"/>
      <c r="AJ2340" s="110"/>
      <c r="AK2340" s="111">
        <f t="shared" si="514"/>
        <v>580</v>
      </c>
      <c r="AL2340" s="446">
        <f t="shared" si="515"/>
        <v>0</v>
      </c>
      <c r="AM2340" s="110">
        <f t="shared" si="516"/>
        <v>1</v>
      </c>
      <c r="AN2340" s="447">
        <f t="shared" si="524"/>
        <v>0</v>
      </c>
      <c r="AO2340"/>
      <c r="AP2340"/>
    </row>
    <row r="2341" spans="1:42" ht="66" x14ac:dyDescent="0.25">
      <c r="A2341" s="9"/>
      <c r="B2341" s="152" t="s">
        <v>603</v>
      </c>
      <c r="C2341" s="1024"/>
      <c r="D2341" s="869">
        <f>5+6+2</f>
        <v>13</v>
      </c>
      <c r="E2341" s="1027"/>
      <c r="F2341" s="278" t="s">
        <v>3446</v>
      </c>
      <c r="G2341" s="1040" t="s">
        <v>3463</v>
      </c>
      <c r="H2341" s="273" t="s">
        <v>3462</v>
      </c>
      <c r="I2341" s="720">
        <f t="shared" si="525"/>
        <v>135.27923076923076</v>
      </c>
      <c r="J2341" s="756">
        <f>638+87.07+1033.56</f>
        <v>1758.6299999999999</v>
      </c>
      <c r="K2341" s="131">
        <f t="shared" si="523"/>
        <v>1758.6299999999999</v>
      </c>
      <c r="L2341" s="335">
        <f t="shared" si="513"/>
        <v>0</v>
      </c>
      <c r="M2341" s="446"/>
      <c r="N2341" s="446"/>
      <c r="O2341" s="446"/>
      <c r="P2341" s="446"/>
      <c r="Q2341" s="110">
        <v>4</v>
      </c>
      <c r="R2341" s="111">
        <f t="shared" si="517"/>
        <v>439.65749999999997</v>
      </c>
      <c r="S2341" s="110"/>
      <c r="T2341" s="110"/>
      <c r="U2341" s="110">
        <v>3</v>
      </c>
      <c r="V2341" s="111">
        <f t="shared" si="518"/>
        <v>439.65749999999997</v>
      </c>
      <c r="W2341" s="110"/>
      <c r="X2341" s="110"/>
      <c r="Y2341" s="110"/>
      <c r="Z2341" s="110"/>
      <c r="AA2341" s="110">
        <v>3</v>
      </c>
      <c r="AB2341" s="111">
        <f t="shared" si="519"/>
        <v>439.65749999999997</v>
      </c>
      <c r="AC2341" s="110"/>
      <c r="AD2341" s="110"/>
      <c r="AE2341" s="110">
        <v>3</v>
      </c>
      <c r="AF2341" s="111">
        <f t="shared" si="520"/>
        <v>439.65749999999997</v>
      </c>
      <c r="AG2341" s="110"/>
      <c r="AH2341" s="110"/>
      <c r="AI2341" s="110"/>
      <c r="AJ2341" s="110"/>
      <c r="AK2341" s="111">
        <f t="shared" si="514"/>
        <v>1758.6299999999999</v>
      </c>
      <c r="AL2341" s="446">
        <f t="shared" si="515"/>
        <v>0</v>
      </c>
      <c r="AM2341" s="110">
        <f t="shared" si="516"/>
        <v>13</v>
      </c>
      <c r="AN2341" s="447">
        <f t="shared" si="524"/>
        <v>0</v>
      </c>
      <c r="AO2341"/>
      <c r="AP2341"/>
    </row>
    <row r="2342" spans="1:42" ht="66" x14ac:dyDescent="0.25">
      <c r="A2342" s="9"/>
      <c r="B2342" s="152" t="s">
        <v>725</v>
      </c>
      <c r="C2342" s="1024"/>
      <c r="D2342" s="869">
        <v>10</v>
      </c>
      <c r="E2342" s="1027"/>
      <c r="F2342" s="278" t="s">
        <v>3446</v>
      </c>
      <c r="G2342" s="1040" t="s">
        <v>3463</v>
      </c>
      <c r="H2342" s="273" t="s">
        <v>3462</v>
      </c>
      <c r="I2342" s="720">
        <f t="shared" si="525"/>
        <v>115.99999999999997</v>
      </c>
      <c r="J2342" s="756">
        <v>1159.9999999999998</v>
      </c>
      <c r="K2342" s="131">
        <f t="shared" si="523"/>
        <v>1159.9999999999998</v>
      </c>
      <c r="L2342" s="335">
        <f t="shared" si="513"/>
        <v>0</v>
      </c>
      <c r="M2342" s="446"/>
      <c r="N2342" s="446"/>
      <c r="O2342" s="446"/>
      <c r="P2342" s="446"/>
      <c r="Q2342" s="130">
        <v>3</v>
      </c>
      <c r="R2342" s="111">
        <f t="shared" si="517"/>
        <v>289.99999999999994</v>
      </c>
      <c r="S2342" s="110"/>
      <c r="T2342" s="110"/>
      <c r="U2342" s="130">
        <v>3</v>
      </c>
      <c r="V2342" s="111">
        <f t="shared" si="518"/>
        <v>289.99999999999994</v>
      </c>
      <c r="W2342" s="110"/>
      <c r="X2342" s="110"/>
      <c r="Y2342" s="110"/>
      <c r="Z2342" s="110"/>
      <c r="AA2342" s="130">
        <v>2</v>
      </c>
      <c r="AB2342" s="111">
        <f t="shared" si="519"/>
        <v>289.99999999999994</v>
      </c>
      <c r="AC2342" s="110"/>
      <c r="AD2342" s="110"/>
      <c r="AE2342" s="130">
        <v>2</v>
      </c>
      <c r="AF2342" s="111">
        <f t="shared" si="520"/>
        <v>289.99999999999994</v>
      </c>
      <c r="AG2342" s="110"/>
      <c r="AH2342" s="110"/>
      <c r="AI2342" s="110"/>
      <c r="AJ2342" s="110"/>
      <c r="AK2342" s="111">
        <f t="shared" si="514"/>
        <v>1159.9999999999998</v>
      </c>
      <c r="AL2342" s="446">
        <f t="shared" si="515"/>
        <v>0</v>
      </c>
      <c r="AM2342" s="110">
        <f t="shared" si="516"/>
        <v>10</v>
      </c>
      <c r="AN2342" s="447">
        <f t="shared" si="524"/>
        <v>0</v>
      </c>
      <c r="AO2342"/>
      <c r="AP2342"/>
    </row>
    <row r="2343" spans="1:42" ht="66" x14ac:dyDescent="0.25">
      <c r="A2343" s="58"/>
      <c r="B2343" s="34" t="s">
        <v>1509</v>
      </c>
      <c r="C2343" s="9"/>
      <c r="D2343" s="869">
        <v>100</v>
      </c>
      <c r="E2343" s="1027"/>
      <c r="F2343" s="278" t="s">
        <v>3446</v>
      </c>
      <c r="G2343" s="1040" t="s">
        <v>3463</v>
      </c>
      <c r="H2343" s="273" t="s">
        <v>3462</v>
      </c>
      <c r="I2343" s="720">
        <f t="shared" si="525"/>
        <v>46.4</v>
      </c>
      <c r="J2343" s="756">
        <v>4640</v>
      </c>
      <c r="K2343" s="131">
        <f t="shared" si="523"/>
        <v>4640</v>
      </c>
      <c r="L2343" s="335">
        <f t="shared" si="513"/>
        <v>0</v>
      </c>
      <c r="M2343" s="446"/>
      <c r="N2343" s="446"/>
      <c r="O2343" s="446"/>
      <c r="P2343" s="446"/>
      <c r="Q2343" s="110">
        <v>30</v>
      </c>
      <c r="R2343" s="111">
        <f t="shared" si="517"/>
        <v>1160</v>
      </c>
      <c r="S2343" s="110"/>
      <c r="T2343" s="110"/>
      <c r="U2343" s="110">
        <v>30</v>
      </c>
      <c r="V2343" s="111">
        <f t="shared" si="518"/>
        <v>1160</v>
      </c>
      <c r="W2343" s="110"/>
      <c r="X2343" s="110"/>
      <c r="Y2343" s="110"/>
      <c r="Z2343" s="110"/>
      <c r="AA2343" s="110">
        <v>30</v>
      </c>
      <c r="AB2343" s="111">
        <f t="shared" si="519"/>
        <v>1160</v>
      </c>
      <c r="AC2343" s="110"/>
      <c r="AD2343" s="110"/>
      <c r="AE2343" s="110">
        <v>10</v>
      </c>
      <c r="AF2343" s="111">
        <f t="shared" si="520"/>
        <v>1160</v>
      </c>
      <c r="AG2343" s="110"/>
      <c r="AH2343" s="110"/>
      <c r="AI2343" s="110"/>
      <c r="AJ2343" s="110"/>
      <c r="AK2343" s="111">
        <f t="shared" si="514"/>
        <v>4640</v>
      </c>
      <c r="AL2343" s="446">
        <f t="shared" si="515"/>
        <v>0</v>
      </c>
      <c r="AM2343" s="110">
        <f t="shared" si="516"/>
        <v>100</v>
      </c>
      <c r="AN2343" s="447">
        <f t="shared" si="524"/>
        <v>0</v>
      </c>
      <c r="AO2343"/>
      <c r="AP2343"/>
    </row>
    <row r="2344" spans="1:42" ht="66" x14ac:dyDescent="0.25">
      <c r="A2344" s="58"/>
      <c r="B2344" s="154" t="s">
        <v>1268</v>
      </c>
      <c r="C2344" s="9"/>
      <c r="D2344" s="869">
        <v>1</v>
      </c>
      <c r="E2344" s="1027" t="s">
        <v>1721</v>
      </c>
      <c r="F2344" s="278" t="s">
        <v>3446</v>
      </c>
      <c r="G2344" s="1040" t="s">
        <v>3463</v>
      </c>
      <c r="H2344" s="273" t="s">
        <v>3462</v>
      </c>
      <c r="I2344" s="720">
        <f t="shared" si="525"/>
        <v>62.01</v>
      </c>
      <c r="J2344" s="756">
        <v>62.01</v>
      </c>
      <c r="K2344" s="131">
        <f t="shared" si="523"/>
        <v>62.01</v>
      </c>
      <c r="L2344" s="335">
        <f t="shared" si="513"/>
        <v>0</v>
      </c>
      <c r="M2344" s="446"/>
      <c r="N2344" s="446"/>
      <c r="O2344" s="446"/>
      <c r="P2344" s="446"/>
      <c r="Q2344" s="110">
        <v>1</v>
      </c>
      <c r="R2344" s="111">
        <v>62.01</v>
      </c>
      <c r="S2344" s="110"/>
      <c r="T2344" s="110"/>
      <c r="U2344" s="110">
        <v>0</v>
      </c>
      <c r="V2344" s="111">
        <v>0</v>
      </c>
      <c r="W2344" s="110"/>
      <c r="X2344" s="110"/>
      <c r="Y2344" s="110"/>
      <c r="Z2344" s="110"/>
      <c r="AA2344" s="110">
        <v>0</v>
      </c>
      <c r="AB2344" s="111">
        <v>0</v>
      </c>
      <c r="AC2344" s="110"/>
      <c r="AD2344" s="110"/>
      <c r="AE2344" s="110">
        <v>0</v>
      </c>
      <c r="AF2344" s="111">
        <v>0</v>
      </c>
      <c r="AG2344" s="110"/>
      <c r="AH2344" s="110"/>
      <c r="AI2344" s="110"/>
      <c r="AJ2344" s="110"/>
      <c r="AK2344" s="111">
        <f t="shared" si="514"/>
        <v>62.01</v>
      </c>
      <c r="AL2344" s="446">
        <f t="shared" si="515"/>
        <v>0</v>
      </c>
      <c r="AM2344" s="110">
        <f t="shared" si="516"/>
        <v>1</v>
      </c>
      <c r="AN2344" s="447">
        <f t="shared" si="524"/>
        <v>0</v>
      </c>
      <c r="AO2344"/>
      <c r="AP2344"/>
    </row>
    <row r="2345" spans="1:42" ht="66" x14ac:dyDescent="0.25">
      <c r="A2345" s="58"/>
      <c r="B2345" s="528" t="s">
        <v>3013</v>
      </c>
      <c r="C2345" s="9"/>
      <c r="D2345" s="882">
        <v>2</v>
      </c>
      <c r="E2345" s="251" t="s">
        <v>1767</v>
      </c>
      <c r="F2345" s="278" t="s">
        <v>3446</v>
      </c>
      <c r="G2345" s="1040" t="s">
        <v>3463</v>
      </c>
      <c r="H2345" s="273" t="s">
        <v>3462</v>
      </c>
      <c r="I2345" s="720">
        <f t="shared" si="525"/>
        <v>16.197839999999999</v>
      </c>
      <c r="J2345" s="756">
        <v>32.395679999999999</v>
      </c>
      <c r="K2345" s="131">
        <f t="shared" si="523"/>
        <v>32.395679999999999</v>
      </c>
      <c r="L2345" s="335">
        <f t="shared" si="513"/>
        <v>0</v>
      </c>
      <c r="M2345" s="446"/>
      <c r="N2345" s="446"/>
      <c r="O2345" s="446"/>
      <c r="P2345" s="446"/>
      <c r="Q2345" s="130">
        <v>2</v>
      </c>
      <c r="R2345" s="111">
        <v>32.4</v>
      </c>
      <c r="S2345" s="110"/>
      <c r="T2345" s="110"/>
      <c r="U2345" s="130">
        <v>0</v>
      </c>
      <c r="V2345" s="111">
        <v>0</v>
      </c>
      <c r="W2345" s="110"/>
      <c r="X2345" s="110"/>
      <c r="Y2345" s="110"/>
      <c r="Z2345" s="110"/>
      <c r="AA2345" s="130">
        <v>0</v>
      </c>
      <c r="AB2345" s="111">
        <v>0</v>
      </c>
      <c r="AC2345" s="110"/>
      <c r="AD2345" s="110"/>
      <c r="AE2345" s="130">
        <v>0</v>
      </c>
      <c r="AF2345" s="111">
        <v>0</v>
      </c>
      <c r="AG2345" s="110"/>
      <c r="AH2345" s="110"/>
      <c r="AI2345" s="110"/>
      <c r="AJ2345" s="110"/>
      <c r="AK2345" s="111">
        <f t="shared" si="514"/>
        <v>32.4</v>
      </c>
      <c r="AL2345" s="446">
        <f t="shared" si="515"/>
        <v>-4.3199999999998795E-3</v>
      </c>
      <c r="AM2345" s="110">
        <f t="shared" si="516"/>
        <v>2</v>
      </c>
      <c r="AN2345" s="447">
        <f t="shared" si="524"/>
        <v>0</v>
      </c>
      <c r="AO2345"/>
      <c r="AP2345"/>
    </row>
    <row r="2346" spans="1:42" ht="66" x14ac:dyDescent="0.25">
      <c r="A2346" s="58"/>
      <c r="B2346" s="554" t="s">
        <v>3014</v>
      </c>
      <c r="C2346" s="9"/>
      <c r="D2346" s="882">
        <v>1</v>
      </c>
      <c r="E2346" s="251" t="s">
        <v>1767</v>
      </c>
      <c r="F2346" s="278" t="s">
        <v>3446</v>
      </c>
      <c r="G2346" s="1040" t="s">
        <v>3463</v>
      </c>
      <c r="H2346" s="273" t="s">
        <v>3462</v>
      </c>
      <c r="I2346" s="720">
        <f t="shared" si="525"/>
        <v>35.64</v>
      </c>
      <c r="J2346" s="756">
        <v>35.64</v>
      </c>
      <c r="K2346" s="131">
        <f t="shared" si="523"/>
        <v>35.64</v>
      </c>
      <c r="L2346" s="335">
        <f t="shared" si="513"/>
        <v>0</v>
      </c>
      <c r="M2346" s="446"/>
      <c r="N2346" s="446"/>
      <c r="O2346" s="446"/>
      <c r="P2346" s="446"/>
      <c r="Q2346" s="110">
        <v>1</v>
      </c>
      <c r="R2346" s="111">
        <v>35.64</v>
      </c>
      <c r="S2346" s="110"/>
      <c r="T2346" s="110"/>
      <c r="U2346" s="110">
        <v>0</v>
      </c>
      <c r="V2346" s="111">
        <v>0</v>
      </c>
      <c r="W2346" s="110"/>
      <c r="X2346" s="110"/>
      <c r="Y2346" s="110"/>
      <c r="Z2346" s="110"/>
      <c r="AA2346" s="110">
        <v>0</v>
      </c>
      <c r="AB2346" s="111">
        <v>0</v>
      </c>
      <c r="AC2346" s="110"/>
      <c r="AD2346" s="110"/>
      <c r="AE2346" s="110">
        <v>0</v>
      </c>
      <c r="AF2346" s="111">
        <v>0</v>
      </c>
      <c r="AG2346" s="110"/>
      <c r="AH2346" s="110"/>
      <c r="AI2346" s="110"/>
      <c r="AJ2346" s="110"/>
      <c r="AK2346" s="111">
        <f t="shared" si="514"/>
        <v>35.64</v>
      </c>
      <c r="AL2346" s="446">
        <f t="shared" si="515"/>
        <v>0</v>
      </c>
      <c r="AM2346" s="110">
        <f t="shared" si="516"/>
        <v>1</v>
      </c>
      <c r="AN2346" s="447">
        <f t="shared" si="524"/>
        <v>0</v>
      </c>
      <c r="AO2346"/>
      <c r="AP2346"/>
    </row>
    <row r="2347" spans="1:42" ht="66" x14ac:dyDescent="0.25">
      <c r="A2347" s="58"/>
      <c r="B2347" s="528" t="s">
        <v>3015</v>
      </c>
      <c r="C2347" s="9"/>
      <c r="D2347" s="882">
        <v>2</v>
      </c>
      <c r="E2347" s="251" t="s">
        <v>1767</v>
      </c>
      <c r="F2347" s="278" t="s">
        <v>3446</v>
      </c>
      <c r="G2347" s="1040" t="s">
        <v>3463</v>
      </c>
      <c r="H2347" s="273" t="s">
        <v>3462</v>
      </c>
      <c r="I2347" s="720">
        <f t="shared" si="525"/>
        <v>148.5</v>
      </c>
      <c r="J2347" s="756">
        <v>297</v>
      </c>
      <c r="K2347" s="131">
        <f t="shared" si="523"/>
        <v>297</v>
      </c>
      <c r="L2347" s="335">
        <f t="shared" si="513"/>
        <v>0</v>
      </c>
      <c r="M2347" s="446"/>
      <c r="N2347" s="446"/>
      <c r="O2347" s="446"/>
      <c r="P2347" s="446"/>
      <c r="Q2347" s="130">
        <v>2</v>
      </c>
      <c r="R2347" s="111">
        <v>297</v>
      </c>
      <c r="S2347" s="110"/>
      <c r="T2347" s="110"/>
      <c r="U2347" s="130">
        <v>0</v>
      </c>
      <c r="V2347" s="111">
        <v>0</v>
      </c>
      <c r="W2347" s="110"/>
      <c r="X2347" s="110"/>
      <c r="Y2347" s="110"/>
      <c r="Z2347" s="110"/>
      <c r="AA2347" s="130">
        <v>0</v>
      </c>
      <c r="AB2347" s="111">
        <v>0</v>
      </c>
      <c r="AC2347" s="110"/>
      <c r="AD2347" s="110"/>
      <c r="AE2347" s="130">
        <v>0</v>
      </c>
      <c r="AF2347" s="111">
        <v>0</v>
      </c>
      <c r="AG2347" s="110"/>
      <c r="AH2347" s="110"/>
      <c r="AI2347" s="110"/>
      <c r="AJ2347" s="110"/>
      <c r="AK2347" s="111">
        <f t="shared" si="514"/>
        <v>297</v>
      </c>
      <c r="AL2347" s="446">
        <f t="shared" si="515"/>
        <v>0</v>
      </c>
      <c r="AM2347" s="110">
        <f t="shared" si="516"/>
        <v>2</v>
      </c>
      <c r="AN2347" s="447">
        <f t="shared" si="524"/>
        <v>0</v>
      </c>
      <c r="AO2347"/>
      <c r="AP2347"/>
    </row>
    <row r="2348" spans="1:42" ht="66" x14ac:dyDescent="0.25">
      <c r="A2348" s="58"/>
      <c r="B2348" s="528" t="s">
        <v>3016</v>
      </c>
      <c r="C2348" s="9"/>
      <c r="D2348" s="882">
        <v>1</v>
      </c>
      <c r="E2348" s="251" t="s">
        <v>1772</v>
      </c>
      <c r="F2348" s="278" t="s">
        <v>3446</v>
      </c>
      <c r="G2348" s="1040" t="s">
        <v>3463</v>
      </c>
      <c r="H2348" s="273" t="s">
        <v>3462</v>
      </c>
      <c r="I2348" s="720">
        <f t="shared" si="525"/>
        <v>42.871727999999997</v>
      </c>
      <c r="J2348" s="756">
        <v>42.871727999999997</v>
      </c>
      <c r="K2348" s="131">
        <f t="shared" si="523"/>
        <v>42.871727999999997</v>
      </c>
      <c r="L2348" s="335">
        <f t="shared" si="513"/>
        <v>0</v>
      </c>
      <c r="M2348" s="446"/>
      <c r="N2348" s="446"/>
      <c r="O2348" s="446"/>
      <c r="P2348" s="446"/>
      <c r="Q2348" s="110">
        <v>1</v>
      </c>
      <c r="R2348" s="111">
        <v>42.87</v>
      </c>
      <c r="S2348" s="110"/>
      <c r="T2348" s="110"/>
      <c r="U2348" s="110">
        <v>0</v>
      </c>
      <c r="V2348" s="111">
        <v>0</v>
      </c>
      <c r="W2348" s="110"/>
      <c r="X2348" s="110"/>
      <c r="Y2348" s="110"/>
      <c r="Z2348" s="110"/>
      <c r="AA2348" s="110">
        <v>0</v>
      </c>
      <c r="AB2348" s="111">
        <v>0</v>
      </c>
      <c r="AC2348" s="110"/>
      <c r="AD2348" s="110"/>
      <c r="AE2348" s="110">
        <v>0</v>
      </c>
      <c r="AF2348" s="111">
        <v>0</v>
      </c>
      <c r="AG2348" s="110"/>
      <c r="AH2348" s="110"/>
      <c r="AI2348" s="110"/>
      <c r="AJ2348" s="110"/>
      <c r="AK2348" s="111">
        <f t="shared" si="514"/>
        <v>42.87</v>
      </c>
      <c r="AL2348" s="446">
        <f t="shared" si="515"/>
        <v>1.7279999999999518E-3</v>
      </c>
      <c r="AM2348" s="110">
        <f t="shared" si="516"/>
        <v>1</v>
      </c>
      <c r="AN2348" s="447">
        <f t="shared" si="524"/>
        <v>0</v>
      </c>
      <c r="AO2348"/>
      <c r="AP2348"/>
    </row>
    <row r="2349" spans="1:42" ht="66" x14ac:dyDescent="0.25">
      <c r="A2349" s="58"/>
      <c r="B2349" s="528" t="s">
        <v>3017</v>
      </c>
      <c r="C2349" s="9"/>
      <c r="D2349" s="882">
        <v>1</v>
      </c>
      <c r="E2349" s="251" t="s">
        <v>1767</v>
      </c>
      <c r="F2349" s="278" t="s">
        <v>3446</v>
      </c>
      <c r="G2349" s="1040" t="s">
        <v>3463</v>
      </c>
      <c r="H2349" s="273" t="s">
        <v>3462</v>
      </c>
      <c r="I2349" s="720">
        <f t="shared" si="525"/>
        <v>12.51</v>
      </c>
      <c r="J2349" s="756">
        <v>12.51</v>
      </c>
      <c r="K2349" s="131">
        <f t="shared" si="523"/>
        <v>12.51</v>
      </c>
      <c r="L2349" s="335">
        <f t="shared" si="513"/>
        <v>0</v>
      </c>
      <c r="M2349" s="446"/>
      <c r="N2349" s="446"/>
      <c r="O2349" s="446"/>
      <c r="P2349" s="446"/>
      <c r="Q2349" s="110">
        <v>1</v>
      </c>
      <c r="R2349" s="111">
        <v>12.51</v>
      </c>
      <c r="S2349" s="110"/>
      <c r="T2349" s="110"/>
      <c r="U2349" s="110">
        <v>0</v>
      </c>
      <c r="V2349" s="111">
        <v>0</v>
      </c>
      <c r="W2349" s="110"/>
      <c r="X2349" s="110"/>
      <c r="Y2349" s="110"/>
      <c r="Z2349" s="110"/>
      <c r="AA2349" s="110">
        <v>0</v>
      </c>
      <c r="AB2349" s="111">
        <v>0</v>
      </c>
      <c r="AC2349" s="110"/>
      <c r="AD2349" s="110"/>
      <c r="AE2349" s="110">
        <v>0</v>
      </c>
      <c r="AF2349" s="111">
        <v>0</v>
      </c>
      <c r="AG2349" s="110"/>
      <c r="AH2349" s="110"/>
      <c r="AI2349" s="110"/>
      <c r="AJ2349" s="110"/>
      <c r="AK2349" s="111">
        <f t="shared" si="514"/>
        <v>12.51</v>
      </c>
      <c r="AL2349" s="446">
        <f t="shared" si="515"/>
        <v>0</v>
      </c>
      <c r="AM2349" s="110">
        <f t="shared" si="516"/>
        <v>1</v>
      </c>
      <c r="AN2349" s="447">
        <f t="shared" si="524"/>
        <v>0</v>
      </c>
      <c r="AO2349"/>
      <c r="AP2349"/>
    </row>
    <row r="2350" spans="1:42" ht="66" x14ac:dyDescent="0.25">
      <c r="A2350" s="58"/>
      <c r="B2350" s="528" t="s">
        <v>3018</v>
      </c>
      <c r="C2350" s="9"/>
      <c r="D2350" s="882">
        <v>1</v>
      </c>
      <c r="E2350" s="251" t="s">
        <v>1767</v>
      </c>
      <c r="F2350" s="278" t="s">
        <v>3446</v>
      </c>
      <c r="G2350" s="1040" t="s">
        <v>3463</v>
      </c>
      <c r="H2350" s="273" t="s">
        <v>3462</v>
      </c>
      <c r="I2350" s="720">
        <f t="shared" si="525"/>
        <v>10.799136000000001</v>
      </c>
      <c r="J2350" s="756">
        <v>10.799136000000001</v>
      </c>
      <c r="K2350" s="131">
        <f t="shared" si="523"/>
        <v>10.799136000000001</v>
      </c>
      <c r="L2350" s="335">
        <f t="shared" si="513"/>
        <v>0</v>
      </c>
      <c r="M2350" s="446"/>
      <c r="N2350" s="446"/>
      <c r="O2350" s="446"/>
      <c r="P2350" s="446"/>
      <c r="Q2350" s="110">
        <v>1</v>
      </c>
      <c r="R2350" s="111">
        <v>10.8</v>
      </c>
      <c r="S2350" s="110"/>
      <c r="T2350" s="110"/>
      <c r="U2350" s="110">
        <v>0</v>
      </c>
      <c r="V2350" s="111">
        <v>0</v>
      </c>
      <c r="W2350" s="110"/>
      <c r="X2350" s="110"/>
      <c r="Y2350" s="110"/>
      <c r="Z2350" s="110"/>
      <c r="AA2350" s="110">
        <v>0</v>
      </c>
      <c r="AB2350" s="111">
        <v>0</v>
      </c>
      <c r="AC2350" s="110"/>
      <c r="AD2350" s="110"/>
      <c r="AE2350" s="110">
        <v>0</v>
      </c>
      <c r="AF2350" s="111">
        <v>0</v>
      </c>
      <c r="AG2350" s="110"/>
      <c r="AH2350" s="110"/>
      <c r="AI2350" s="110"/>
      <c r="AJ2350" s="110"/>
      <c r="AK2350" s="111">
        <f t="shared" si="514"/>
        <v>10.8</v>
      </c>
      <c r="AL2350" s="446">
        <f t="shared" si="515"/>
        <v>-8.639999999999759E-4</v>
      </c>
      <c r="AM2350" s="110">
        <f t="shared" si="516"/>
        <v>1</v>
      </c>
      <c r="AN2350" s="447">
        <f t="shared" si="524"/>
        <v>0</v>
      </c>
      <c r="AO2350"/>
      <c r="AP2350"/>
    </row>
    <row r="2351" spans="1:42" x14ac:dyDescent="0.25">
      <c r="A2351" s="58"/>
      <c r="B2351" s="154"/>
      <c r="C2351" s="9"/>
      <c r="D2351" s="869"/>
      <c r="E2351" s="1027"/>
      <c r="F2351" s="272"/>
      <c r="G2351" s="272"/>
      <c r="H2351" s="272"/>
      <c r="I2351" s="720"/>
      <c r="J2351" s="756"/>
      <c r="K2351" s="131">
        <f t="shared" si="523"/>
        <v>0</v>
      </c>
      <c r="L2351" s="335">
        <f t="shared" si="513"/>
        <v>0</v>
      </c>
      <c r="M2351" s="446"/>
      <c r="N2351" s="446"/>
      <c r="O2351" s="446"/>
      <c r="P2351" s="446"/>
      <c r="Q2351" s="110">
        <f t="shared" ref="Q2351:Q2410" si="526">+$D2351/4</f>
        <v>0</v>
      </c>
      <c r="R2351" s="111">
        <f t="shared" ref="R2351:R2414" si="527">+J2351/4</f>
        <v>0</v>
      </c>
      <c r="S2351" s="110"/>
      <c r="T2351" s="110"/>
      <c r="U2351" s="110">
        <f t="shared" ref="U2351:U2410" si="528">+$D2351/4</f>
        <v>0</v>
      </c>
      <c r="V2351" s="111">
        <f t="shared" ref="V2351:V2414" si="529">+J2351/4</f>
        <v>0</v>
      </c>
      <c r="W2351" s="110"/>
      <c r="X2351" s="110"/>
      <c r="Y2351" s="110"/>
      <c r="Z2351" s="110"/>
      <c r="AA2351" s="110">
        <f t="shared" ref="AA2351:AE2410" si="530">+$D2351/4</f>
        <v>0</v>
      </c>
      <c r="AB2351" s="111">
        <f t="shared" si="519"/>
        <v>0</v>
      </c>
      <c r="AC2351" s="110"/>
      <c r="AD2351" s="110"/>
      <c r="AE2351" s="110">
        <f t="shared" si="530"/>
        <v>0</v>
      </c>
      <c r="AF2351" s="111">
        <f t="shared" si="520"/>
        <v>0</v>
      </c>
      <c r="AG2351" s="110"/>
      <c r="AH2351" s="110"/>
      <c r="AI2351" s="110"/>
      <c r="AJ2351" s="110"/>
      <c r="AK2351" s="111">
        <f t="shared" si="514"/>
        <v>0</v>
      </c>
      <c r="AL2351" s="446">
        <f t="shared" si="515"/>
        <v>0</v>
      </c>
      <c r="AM2351" s="110">
        <f t="shared" si="516"/>
        <v>0</v>
      </c>
      <c r="AN2351" s="447">
        <f t="shared" si="524"/>
        <v>0</v>
      </c>
      <c r="AO2351"/>
      <c r="AP2351"/>
    </row>
    <row r="2352" spans="1:42" ht="22.5" x14ac:dyDescent="0.25">
      <c r="A2352" s="987">
        <v>24902</v>
      </c>
      <c r="B2352" s="988" t="s">
        <v>605</v>
      </c>
      <c r="C2352" s="989"/>
      <c r="D2352" s="990"/>
      <c r="E2352" s="991"/>
      <c r="F2352" s="992"/>
      <c r="G2352" s="992"/>
      <c r="H2352" s="992"/>
      <c r="I2352" s="993"/>
      <c r="J2352" s="983"/>
      <c r="K2352" s="131">
        <f t="shared" si="523"/>
        <v>0</v>
      </c>
      <c r="L2352" s="335">
        <f t="shared" si="513"/>
        <v>0</v>
      </c>
      <c r="M2352" s="985"/>
      <c r="N2352" s="985"/>
      <c r="O2352" s="985"/>
      <c r="P2352" s="985"/>
      <c r="Q2352" s="986">
        <f t="shared" si="526"/>
        <v>0</v>
      </c>
      <c r="R2352" s="984">
        <f t="shared" si="527"/>
        <v>0</v>
      </c>
      <c r="S2352" s="986"/>
      <c r="T2352" s="986"/>
      <c r="U2352" s="986">
        <f t="shared" si="528"/>
        <v>0</v>
      </c>
      <c r="V2352" s="984">
        <f t="shared" si="529"/>
        <v>0</v>
      </c>
      <c r="W2352" s="986"/>
      <c r="X2352" s="986"/>
      <c r="Y2352" s="986"/>
      <c r="Z2352" s="986"/>
      <c r="AA2352" s="986">
        <f t="shared" si="530"/>
        <v>0</v>
      </c>
      <c r="AB2352" s="984">
        <f t="shared" si="519"/>
        <v>0</v>
      </c>
      <c r="AC2352" s="986"/>
      <c r="AD2352" s="986"/>
      <c r="AE2352" s="986">
        <f t="shared" si="530"/>
        <v>0</v>
      </c>
      <c r="AF2352" s="984">
        <f t="shared" si="520"/>
        <v>0</v>
      </c>
      <c r="AG2352" s="986"/>
      <c r="AH2352" s="986"/>
      <c r="AI2352" s="986"/>
      <c r="AJ2352" s="986"/>
      <c r="AK2352" s="984">
        <f t="shared" si="514"/>
        <v>0</v>
      </c>
      <c r="AL2352" s="446">
        <f t="shared" si="515"/>
        <v>0</v>
      </c>
      <c r="AM2352" s="110">
        <f t="shared" si="516"/>
        <v>0</v>
      </c>
      <c r="AN2352" s="447">
        <f t="shared" si="524"/>
        <v>0</v>
      </c>
      <c r="AO2352" s="108"/>
      <c r="AP2352"/>
    </row>
    <row r="2353" spans="1:42" s="108" customFormat="1" x14ac:dyDescent="0.25">
      <c r="A2353" s="58"/>
      <c r="B2353" s="707"/>
      <c r="C2353" s="9"/>
      <c r="D2353" s="894"/>
      <c r="E2353" s="138"/>
      <c r="F2353" s="279"/>
      <c r="G2353" s="279"/>
      <c r="H2353" s="279"/>
      <c r="I2353" s="722"/>
      <c r="J2353" s="773"/>
      <c r="K2353" s="131">
        <f t="shared" si="523"/>
        <v>0</v>
      </c>
      <c r="L2353" s="335">
        <f t="shared" si="513"/>
        <v>0</v>
      </c>
      <c r="M2353" s="335"/>
      <c r="N2353" s="335"/>
      <c r="O2353" s="335"/>
      <c r="P2353" s="335"/>
      <c r="Q2353" s="130">
        <f t="shared" si="526"/>
        <v>0</v>
      </c>
      <c r="R2353" s="131">
        <f t="shared" si="527"/>
        <v>0</v>
      </c>
      <c r="S2353" s="130"/>
      <c r="T2353" s="130"/>
      <c r="U2353" s="130">
        <f t="shared" si="528"/>
        <v>0</v>
      </c>
      <c r="V2353" s="131">
        <f t="shared" si="529"/>
        <v>0</v>
      </c>
      <c r="W2353" s="130"/>
      <c r="X2353" s="130"/>
      <c r="Y2353" s="130"/>
      <c r="Z2353" s="130"/>
      <c r="AA2353" s="130">
        <f t="shared" si="530"/>
        <v>0</v>
      </c>
      <c r="AB2353" s="131">
        <f t="shared" si="519"/>
        <v>0</v>
      </c>
      <c r="AC2353" s="130"/>
      <c r="AD2353" s="130"/>
      <c r="AE2353" s="130">
        <f t="shared" si="530"/>
        <v>0</v>
      </c>
      <c r="AF2353" s="131">
        <f t="shared" si="520"/>
        <v>0</v>
      </c>
      <c r="AG2353" s="130"/>
      <c r="AH2353" s="130"/>
      <c r="AI2353" s="130"/>
      <c r="AJ2353" s="130"/>
      <c r="AK2353" s="131">
        <f t="shared" si="514"/>
        <v>0</v>
      </c>
      <c r="AL2353" s="335">
        <f t="shared" si="515"/>
        <v>0</v>
      </c>
      <c r="AM2353" s="130">
        <f t="shared" si="516"/>
        <v>0</v>
      </c>
      <c r="AN2353" s="336">
        <f t="shared" si="524"/>
        <v>0</v>
      </c>
    </row>
    <row r="2354" spans="1:42" ht="22.5" x14ac:dyDescent="0.25">
      <c r="A2354" s="987">
        <v>24903</v>
      </c>
      <c r="B2354" s="988" t="s">
        <v>606</v>
      </c>
      <c r="C2354" s="989"/>
      <c r="D2354" s="990"/>
      <c r="E2354" s="991"/>
      <c r="F2354" s="992"/>
      <c r="G2354" s="992"/>
      <c r="H2354" s="992"/>
      <c r="I2354" s="993"/>
      <c r="J2354" s="983"/>
      <c r="K2354" s="131">
        <f t="shared" si="523"/>
        <v>0</v>
      </c>
      <c r="L2354" s="335">
        <f t="shared" si="513"/>
        <v>0</v>
      </c>
      <c r="M2354" s="985"/>
      <c r="N2354" s="985"/>
      <c r="O2354" s="985"/>
      <c r="P2354" s="985"/>
      <c r="Q2354" s="986">
        <f t="shared" si="526"/>
        <v>0</v>
      </c>
      <c r="R2354" s="984">
        <f t="shared" si="527"/>
        <v>0</v>
      </c>
      <c r="S2354" s="986"/>
      <c r="T2354" s="986"/>
      <c r="U2354" s="986">
        <f t="shared" si="528"/>
        <v>0</v>
      </c>
      <c r="V2354" s="984">
        <f t="shared" si="529"/>
        <v>0</v>
      </c>
      <c r="W2354" s="986"/>
      <c r="X2354" s="986"/>
      <c r="Y2354" s="986"/>
      <c r="Z2354" s="986"/>
      <c r="AA2354" s="986">
        <f t="shared" si="530"/>
        <v>0</v>
      </c>
      <c r="AB2354" s="984">
        <f t="shared" si="519"/>
        <v>0</v>
      </c>
      <c r="AC2354" s="986"/>
      <c r="AD2354" s="986"/>
      <c r="AE2354" s="986">
        <f t="shared" si="530"/>
        <v>0</v>
      </c>
      <c r="AF2354" s="984">
        <f t="shared" si="520"/>
        <v>0</v>
      </c>
      <c r="AG2354" s="986"/>
      <c r="AH2354" s="986"/>
      <c r="AI2354" s="986"/>
      <c r="AJ2354" s="986"/>
      <c r="AK2354" s="984">
        <f t="shared" si="514"/>
        <v>0</v>
      </c>
      <c r="AL2354" s="446">
        <f t="shared" si="515"/>
        <v>0</v>
      </c>
      <c r="AM2354" s="110">
        <f t="shared" si="516"/>
        <v>0</v>
      </c>
      <c r="AN2354" s="447">
        <f t="shared" si="524"/>
        <v>0</v>
      </c>
      <c r="AO2354" s="108"/>
      <c r="AP2354"/>
    </row>
    <row r="2355" spans="1:42" s="108" customFormat="1" x14ac:dyDescent="0.25">
      <c r="A2355" s="58"/>
      <c r="B2355" s="707"/>
      <c r="C2355" s="9"/>
      <c r="D2355" s="894"/>
      <c r="E2355" s="138"/>
      <c r="F2355" s="279"/>
      <c r="G2355" s="279"/>
      <c r="H2355" s="279"/>
      <c r="I2355" s="722"/>
      <c r="J2355" s="773"/>
      <c r="K2355" s="131">
        <f t="shared" si="523"/>
        <v>0</v>
      </c>
      <c r="L2355" s="335">
        <f t="shared" si="513"/>
        <v>0</v>
      </c>
      <c r="M2355" s="335"/>
      <c r="N2355" s="335"/>
      <c r="O2355" s="335"/>
      <c r="P2355" s="335"/>
      <c r="Q2355" s="130">
        <f t="shared" si="526"/>
        <v>0</v>
      </c>
      <c r="R2355" s="131">
        <f t="shared" si="527"/>
        <v>0</v>
      </c>
      <c r="S2355" s="130"/>
      <c r="T2355" s="130"/>
      <c r="U2355" s="130">
        <f t="shared" si="528"/>
        <v>0</v>
      </c>
      <c r="V2355" s="131">
        <f t="shared" si="529"/>
        <v>0</v>
      </c>
      <c r="W2355" s="130"/>
      <c r="X2355" s="130"/>
      <c r="Y2355" s="130"/>
      <c r="Z2355" s="130"/>
      <c r="AA2355" s="130">
        <f t="shared" si="530"/>
        <v>0</v>
      </c>
      <c r="AB2355" s="131">
        <f t="shared" si="519"/>
        <v>0</v>
      </c>
      <c r="AC2355" s="130"/>
      <c r="AD2355" s="130"/>
      <c r="AE2355" s="130">
        <f t="shared" si="530"/>
        <v>0</v>
      </c>
      <c r="AF2355" s="131">
        <f t="shared" si="520"/>
        <v>0</v>
      </c>
      <c r="AG2355" s="130"/>
      <c r="AH2355" s="130"/>
      <c r="AI2355" s="130"/>
      <c r="AJ2355" s="130"/>
      <c r="AK2355" s="131">
        <f t="shared" si="514"/>
        <v>0</v>
      </c>
      <c r="AL2355" s="335">
        <f t="shared" si="515"/>
        <v>0</v>
      </c>
      <c r="AM2355" s="130">
        <f t="shared" si="516"/>
        <v>0</v>
      </c>
      <c r="AN2355" s="336">
        <f t="shared" si="524"/>
        <v>0</v>
      </c>
    </row>
    <row r="2356" spans="1:42" ht="22.5" x14ac:dyDescent="0.25">
      <c r="A2356" s="310">
        <v>24904</v>
      </c>
      <c r="B2356" s="375" t="s">
        <v>607</v>
      </c>
      <c r="C2356" s="311"/>
      <c r="D2356" s="902"/>
      <c r="E2356" s="312"/>
      <c r="F2356" s="313"/>
      <c r="G2356" s="313"/>
      <c r="H2356" s="313"/>
      <c r="I2356" s="729"/>
      <c r="J2356" s="983"/>
      <c r="K2356" s="131">
        <f t="shared" si="523"/>
        <v>0</v>
      </c>
      <c r="L2356" s="335">
        <f t="shared" ref="L2356:L2419" si="531">+J2356-K2356</f>
        <v>0</v>
      </c>
      <c r="M2356" s="985"/>
      <c r="N2356" s="985"/>
      <c r="O2356" s="985"/>
      <c r="P2356" s="985"/>
      <c r="Q2356" s="986">
        <f t="shared" si="526"/>
        <v>0</v>
      </c>
      <c r="R2356" s="984">
        <f t="shared" si="527"/>
        <v>0</v>
      </c>
      <c r="S2356" s="986"/>
      <c r="T2356" s="986"/>
      <c r="U2356" s="986">
        <f t="shared" si="528"/>
        <v>0</v>
      </c>
      <c r="V2356" s="984">
        <f t="shared" si="529"/>
        <v>0</v>
      </c>
      <c r="W2356" s="986"/>
      <c r="X2356" s="986"/>
      <c r="Y2356" s="986"/>
      <c r="Z2356" s="986"/>
      <c r="AA2356" s="986">
        <f t="shared" si="530"/>
        <v>0</v>
      </c>
      <c r="AB2356" s="984">
        <f t="shared" si="519"/>
        <v>0</v>
      </c>
      <c r="AC2356" s="986"/>
      <c r="AD2356" s="986"/>
      <c r="AE2356" s="986">
        <f t="shared" si="530"/>
        <v>0</v>
      </c>
      <c r="AF2356" s="984">
        <f t="shared" si="520"/>
        <v>0</v>
      </c>
      <c r="AG2356" s="986"/>
      <c r="AH2356" s="986"/>
      <c r="AI2356" s="986"/>
      <c r="AJ2356" s="986"/>
      <c r="AK2356" s="984">
        <f t="shared" ref="AK2356:AK2419" si="532">+R2356+V2356+AB2356+AF2356</f>
        <v>0</v>
      </c>
      <c r="AL2356" s="446">
        <f t="shared" ref="AL2356:AL2419" si="533">+J2356-AK2356</f>
        <v>0</v>
      </c>
      <c r="AM2356" s="110">
        <f t="shared" ref="AM2356:AM2419" si="534">+Q2356+U2356+AA2356+AE2356</f>
        <v>0</v>
      </c>
      <c r="AN2356" s="447">
        <f t="shared" si="524"/>
        <v>0</v>
      </c>
      <c r="AO2356" s="436">
        <f>SUM(J2357:J2401)</f>
        <v>90556.680942400009</v>
      </c>
      <c r="AP2356" s="111"/>
    </row>
    <row r="2357" spans="1:42" ht="66" x14ac:dyDescent="0.25">
      <c r="A2357" s="9"/>
      <c r="B2357" s="59" t="s">
        <v>608</v>
      </c>
      <c r="C2357" s="1024"/>
      <c r="D2357" s="916">
        <v>5</v>
      </c>
      <c r="E2357" s="1027" t="s">
        <v>1721</v>
      </c>
      <c r="F2357" s="278" t="s">
        <v>3446</v>
      </c>
      <c r="G2357" s="1040" t="s">
        <v>3463</v>
      </c>
      <c r="H2357" s="273" t="s">
        <v>3462</v>
      </c>
      <c r="I2357" s="720">
        <f t="shared" ref="I2357:I2401" si="535">+J2357/D2357</f>
        <v>1722.6</v>
      </c>
      <c r="J2357" s="756">
        <v>8613</v>
      </c>
      <c r="K2357" s="131">
        <f t="shared" si="523"/>
        <v>8613</v>
      </c>
      <c r="L2357" s="335">
        <f t="shared" si="531"/>
        <v>0</v>
      </c>
      <c r="M2357" s="446"/>
      <c r="N2357" s="446"/>
      <c r="O2357" s="446"/>
      <c r="P2357" s="446"/>
      <c r="Q2357" s="110">
        <v>2</v>
      </c>
      <c r="R2357" s="111">
        <f t="shared" si="527"/>
        <v>2153.25</v>
      </c>
      <c r="S2357" s="110"/>
      <c r="T2357" s="110"/>
      <c r="U2357" s="110">
        <v>1</v>
      </c>
      <c r="V2357" s="111">
        <f t="shared" si="529"/>
        <v>2153.25</v>
      </c>
      <c r="W2357" s="110"/>
      <c r="X2357" s="110"/>
      <c r="Y2357" s="110"/>
      <c r="Z2357" s="110"/>
      <c r="AA2357" s="110">
        <v>1</v>
      </c>
      <c r="AB2357" s="111">
        <f t="shared" si="519"/>
        <v>2153.25</v>
      </c>
      <c r="AC2357" s="110"/>
      <c r="AD2357" s="110"/>
      <c r="AE2357" s="110">
        <v>1</v>
      </c>
      <c r="AF2357" s="111">
        <f t="shared" si="520"/>
        <v>2153.25</v>
      </c>
      <c r="AG2357" s="110"/>
      <c r="AH2357" s="110"/>
      <c r="AI2357" s="110"/>
      <c r="AJ2357" s="110"/>
      <c r="AK2357" s="111">
        <f t="shared" si="532"/>
        <v>8613</v>
      </c>
      <c r="AL2357" s="446">
        <f t="shared" si="533"/>
        <v>0</v>
      </c>
      <c r="AM2357" s="110">
        <f t="shared" si="534"/>
        <v>5</v>
      </c>
      <c r="AN2357" s="447">
        <f t="shared" si="524"/>
        <v>0</v>
      </c>
      <c r="AO2357"/>
      <c r="AP2357"/>
    </row>
    <row r="2358" spans="1:42" ht="66" x14ac:dyDescent="0.25">
      <c r="A2358" s="9"/>
      <c r="B2358" s="152" t="s">
        <v>612</v>
      </c>
      <c r="C2358" s="1024"/>
      <c r="D2358" s="916">
        <f>1+1+1</f>
        <v>3</v>
      </c>
      <c r="E2358" s="1027" t="s">
        <v>1721</v>
      </c>
      <c r="F2358" s="278" t="s">
        <v>3446</v>
      </c>
      <c r="G2358" s="1040" t="s">
        <v>3463</v>
      </c>
      <c r="H2358" s="273" t="s">
        <v>3462</v>
      </c>
      <c r="I2358" s="720">
        <f t="shared" si="535"/>
        <v>1998.2173333333333</v>
      </c>
      <c r="J2358" s="756">
        <f>2273.832+1998.22+1722.6</f>
        <v>5994.652</v>
      </c>
      <c r="K2358" s="131">
        <f t="shared" si="523"/>
        <v>5994.652</v>
      </c>
      <c r="L2358" s="335">
        <f t="shared" si="531"/>
        <v>0</v>
      </c>
      <c r="M2358" s="446"/>
      <c r="N2358" s="446"/>
      <c r="O2358" s="446"/>
      <c r="P2358" s="446"/>
      <c r="Q2358" s="130">
        <v>1</v>
      </c>
      <c r="R2358" s="111">
        <f t="shared" si="527"/>
        <v>1498.663</v>
      </c>
      <c r="S2358" s="110"/>
      <c r="T2358" s="110"/>
      <c r="U2358" s="130">
        <v>1</v>
      </c>
      <c r="V2358" s="111">
        <f t="shared" si="529"/>
        <v>1498.663</v>
      </c>
      <c r="W2358" s="110"/>
      <c r="X2358" s="110"/>
      <c r="Y2358" s="110"/>
      <c r="Z2358" s="110"/>
      <c r="AA2358" s="130">
        <v>1</v>
      </c>
      <c r="AB2358" s="111">
        <f t="shared" si="519"/>
        <v>1498.663</v>
      </c>
      <c r="AC2358" s="110"/>
      <c r="AD2358" s="110"/>
      <c r="AE2358" s="130">
        <v>0</v>
      </c>
      <c r="AF2358" s="111">
        <f t="shared" si="520"/>
        <v>1498.663</v>
      </c>
      <c r="AG2358" s="110"/>
      <c r="AH2358" s="110"/>
      <c r="AI2358" s="110"/>
      <c r="AJ2358" s="110"/>
      <c r="AK2358" s="111">
        <f t="shared" si="532"/>
        <v>5994.652</v>
      </c>
      <c r="AL2358" s="446">
        <f t="shared" si="533"/>
        <v>0</v>
      </c>
      <c r="AM2358" s="110">
        <f t="shared" si="534"/>
        <v>3</v>
      </c>
      <c r="AN2358" s="447">
        <f t="shared" si="524"/>
        <v>0</v>
      </c>
      <c r="AO2358"/>
      <c r="AP2358"/>
    </row>
    <row r="2359" spans="1:42" ht="66" x14ac:dyDescent="0.25">
      <c r="A2359" s="9"/>
      <c r="B2359" s="152" t="s">
        <v>613</v>
      </c>
      <c r="C2359" s="1024"/>
      <c r="D2359" s="916">
        <f>65+1</f>
        <v>66</v>
      </c>
      <c r="E2359" s="1027" t="s">
        <v>1721</v>
      </c>
      <c r="F2359" s="278" t="s">
        <v>3446</v>
      </c>
      <c r="G2359" s="1040" t="s">
        <v>3463</v>
      </c>
      <c r="H2359" s="273" t="s">
        <v>3462</v>
      </c>
      <c r="I2359" s="720">
        <f t="shared" si="535"/>
        <v>394.1099696969697</v>
      </c>
      <c r="J2359" s="756">
        <f>23737.428+2273.83</f>
        <v>26011.258000000002</v>
      </c>
      <c r="K2359" s="131">
        <f t="shared" si="523"/>
        <v>26011.258000000002</v>
      </c>
      <c r="L2359" s="335">
        <f t="shared" si="531"/>
        <v>0</v>
      </c>
      <c r="M2359" s="446"/>
      <c r="N2359" s="446"/>
      <c r="O2359" s="446"/>
      <c r="P2359" s="446"/>
      <c r="Q2359" s="110">
        <f t="shared" si="526"/>
        <v>16.5</v>
      </c>
      <c r="R2359" s="111">
        <f t="shared" si="527"/>
        <v>6502.8145000000004</v>
      </c>
      <c r="S2359" s="110"/>
      <c r="T2359" s="110"/>
      <c r="U2359" s="110">
        <f t="shared" si="528"/>
        <v>16.5</v>
      </c>
      <c r="V2359" s="111">
        <f t="shared" si="529"/>
        <v>6502.8145000000004</v>
      </c>
      <c r="W2359" s="110"/>
      <c r="X2359" s="110"/>
      <c r="Y2359" s="110"/>
      <c r="Z2359" s="110"/>
      <c r="AA2359" s="110">
        <f t="shared" si="530"/>
        <v>16.5</v>
      </c>
      <c r="AB2359" s="111">
        <f t="shared" si="519"/>
        <v>6502.8145000000004</v>
      </c>
      <c r="AC2359" s="110"/>
      <c r="AD2359" s="110"/>
      <c r="AE2359" s="110">
        <f t="shared" si="530"/>
        <v>16.5</v>
      </c>
      <c r="AF2359" s="111">
        <f t="shared" si="520"/>
        <v>6502.8145000000004</v>
      </c>
      <c r="AG2359" s="110"/>
      <c r="AH2359" s="110"/>
      <c r="AI2359" s="110"/>
      <c r="AJ2359" s="110"/>
      <c r="AK2359" s="111">
        <f t="shared" si="532"/>
        <v>26011.258000000002</v>
      </c>
      <c r="AL2359" s="446">
        <f t="shared" si="533"/>
        <v>0</v>
      </c>
      <c r="AM2359" s="110">
        <f t="shared" si="534"/>
        <v>66</v>
      </c>
      <c r="AN2359" s="447">
        <f t="shared" si="524"/>
        <v>0</v>
      </c>
      <c r="AO2359"/>
      <c r="AP2359"/>
    </row>
    <row r="2360" spans="1:42" ht="66" x14ac:dyDescent="0.25">
      <c r="A2360" s="9"/>
      <c r="B2360" s="152" t="s">
        <v>609</v>
      </c>
      <c r="C2360" s="1024"/>
      <c r="D2360" s="916">
        <v>5</v>
      </c>
      <c r="E2360" s="1027"/>
      <c r="F2360" s="278" t="s">
        <v>3446</v>
      </c>
      <c r="G2360" s="1040" t="s">
        <v>3463</v>
      </c>
      <c r="H2360" s="273" t="s">
        <v>3462</v>
      </c>
      <c r="I2360" s="720">
        <f t="shared" si="535"/>
        <v>1722.6</v>
      </c>
      <c r="J2360" s="756">
        <v>8613</v>
      </c>
      <c r="K2360" s="131">
        <f t="shared" si="523"/>
        <v>8613</v>
      </c>
      <c r="L2360" s="335">
        <f t="shared" si="531"/>
        <v>0</v>
      </c>
      <c r="M2360" s="446"/>
      <c r="N2360" s="446"/>
      <c r="O2360" s="446"/>
      <c r="P2360" s="446"/>
      <c r="Q2360" s="110">
        <v>2</v>
      </c>
      <c r="R2360" s="111">
        <f t="shared" si="527"/>
        <v>2153.25</v>
      </c>
      <c r="S2360" s="110"/>
      <c r="T2360" s="110"/>
      <c r="U2360" s="110">
        <v>1</v>
      </c>
      <c r="V2360" s="111">
        <f t="shared" si="529"/>
        <v>2153.25</v>
      </c>
      <c r="W2360" s="110"/>
      <c r="X2360" s="110"/>
      <c r="Y2360" s="110"/>
      <c r="Z2360" s="110"/>
      <c r="AA2360" s="110">
        <v>1</v>
      </c>
      <c r="AB2360" s="111">
        <f t="shared" si="519"/>
        <v>2153.25</v>
      </c>
      <c r="AC2360" s="110"/>
      <c r="AD2360" s="110"/>
      <c r="AE2360" s="110">
        <v>1</v>
      </c>
      <c r="AF2360" s="111">
        <f t="shared" si="520"/>
        <v>2153.25</v>
      </c>
      <c r="AG2360" s="110"/>
      <c r="AH2360" s="110"/>
      <c r="AI2360" s="110"/>
      <c r="AJ2360" s="110"/>
      <c r="AK2360" s="111">
        <f t="shared" si="532"/>
        <v>8613</v>
      </c>
      <c r="AL2360" s="446">
        <f t="shared" si="533"/>
        <v>0</v>
      </c>
      <c r="AM2360" s="110">
        <f t="shared" si="534"/>
        <v>5</v>
      </c>
      <c r="AN2360" s="447">
        <f t="shared" si="524"/>
        <v>0</v>
      </c>
      <c r="AO2360"/>
      <c r="AP2360"/>
    </row>
    <row r="2361" spans="1:42" ht="66" x14ac:dyDescent="0.25">
      <c r="A2361" s="9"/>
      <c r="B2361" s="152" t="s">
        <v>610</v>
      </c>
      <c r="C2361" s="1024"/>
      <c r="D2361" s="916">
        <v>2</v>
      </c>
      <c r="E2361" s="1027"/>
      <c r="F2361" s="278" t="s">
        <v>3446</v>
      </c>
      <c r="G2361" s="1040" t="s">
        <v>3463</v>
      </c>
      <c r="H2361" s="273" t="s">
        <v>3462</v>
      </c>
      <c r="I2361" s="720">
        <f t="shared" si="535"/>
        <v>234.27360000000002</v>
      </c>
      <c r="J2361" s="756">
        <v>468.54720000000003</v>
      </c>
      <c r="K2361" s="131">
        <f t="shared" si="523"/>
        <v>468.54720000000003</v>
      </c>
      <c r="L2361" s="335">
        <f t="shared" si="531"/>
        <v>0</v>
      </c>
      <c r="M2361" s="446"/>
      <c r="N2361" s="446"/>
      <c r="O2361" s="446"/>
      <c r="P2361" s="446"/>
      <c r="Q2361" s="130">
        <v>1</v>
      </c>
      <c r="R2361" s="111">
        <f t="shared" si="527"/>
        <v>117.13680000000001</v>
      </c>
      <c r="S2361" s="110"/>
      <c r="T2361" s="110"/>
      <c r="U2361" s="130">
        <v>1</v>
      </c>
      <c r="V2361" s="111">
        <f t="shared" si="529"/>
        <v>117.13680000000001</v>
      </c>
      <c r="W2361" s="110"/>
      <c r="X2361" s="110"/>
      <c r="Y2361" s="110"/>
      <c r="Z2361" s="110"/>
      <c r="AA2361" s="130">
        <v>0</v>
      </c>
      <c r="AB2361" s="111">
        <f t="shared" si="519"/>
        <v>117.13680000000001</v>
      </c>
      <c r="AC2361" s="110"/>
      <c r="AD2361" s="110"/>
      <c r="AE2361" s="130">
        <v>0</v>
      </c>
      <c r="AF2361" s="111">
        <f t="shared" si="520"/>
        <v>117.13680000000001</v>
      </c>
      <c r="AG2361" s="110"/>
      <c r="AH2361" s="110"/>
      <c r="AI2361" s="110"/>
      <c r="AJ2361" s="110"/>
      <c r="AK2361" s="111">
        <f t="shared" si="532"/>
        <v>468.54720000000003</v>
      </c>
      <c r="AL2361" s="446">
        <f t="shared" si="533"/>
        <v>0</v>
      </c>
      <c r="AM2361" s="110">
        <f t="shared" si="534"/>
        <v>2</v>
      </c>
      <c r="AN2361" s="447">
        <f t="shared" si="524"/>
        <v>0</v>
      </c>
      <c r="AO2361"/>
      <c r="AP2361"/>
    </row>
    <row r="2362" spans="1:42" ht="66" x14ac:dyDescent="0.25">
      <c r="A2362" s="9"/>
      <c r="B2362" s="487" t="s">
        <v>1269</v>
      </c>
      <c r="C2362" s="1024"/>
      <c r="D2362" s="916">
        <v>5</v>
      </c>
      <c r="E2362" s="1027" t="s">
        <v>1721</v>
      </c>
      <c r="F2362" s="278" t="s">
        <v>3446</v>
      </c>
      <c r="G2362" s="1040" t="s">
        <v>3463</v>
      </c>
      <c r="H2362" s="273" t="s">
        <v>3462</v>
      </c>
      <c r="I2362" s="720">
        <f t="shared" si="535"/>
        <v>172.26</v>
      </c>
      <c r="J2362" s="756">
        <v>861.3</v>
      </c>
      <c r="K2362" s="131">
        <f t="shared" si="523"/>
        <v>861.3</v>
      </c>
      <c r="L2362" s="335">
        <f t="shared" si="531"/>
        <v>0</v>
      </c>
      <c r="M2362" s="446"/>
      <c r="N2362" s="446"/>
      <c r="O2362" s="446"/>
      <c r="P2362" s="446"/>
      <c r="Q2362" s="110">
        <v>2</v>
      </c>
      <c r="R2362" s="111">
        <f t="shared" si="527"/>
        <v>215.32499999999999</v>
      </c>
      <c r="S2362" s="110"/>
      <c r="T2362" s="110"/>
      <c r="U2362" s="110">
        <v>1</v>
      </c>
      <c r="V2362" s="111">
        <f t="shared" si="529"/>
        <v>215.32499999999999</v>
      </c>
      <c r="W2362" s="110"/>
      <c r="X2362" s="110"/>
      <c r="Y2362" s="110"/>
      <c r="Z2362" s="110"/>
      <c r="AA2362" s="110">
        <v>1</v>
      </c>
      <c r="AB2362" s="111">
        <f t="shared" si="519"/>
        <v>215.32499999999999</v>
      </c>
      <c r="AC2362" s="110"/>
      <c r="AD2362" s="110"/>
      <c r="AE2362" s="110">
        <v>1</v>
      </c>
      <c r="AF2362" s="111">
        <f t="shared" si="520"/>
        <v>215.32499999999999</v>
      </c>
      <c r="AG2362" s="110"/>
      <c r="AH2362" s="110"/>
      <c r="AI2362" s="110"/>
      <c r="AJ2362" s="110"/>
      <c r="AK2362" s="111">
        <f t="shared" si="532"/>
        <v>861.3</v>
      </c>
      <c r="AL2362" s="446">
        <f t="shared" si="533"/>
        <v>0</v>
      </c>
      <c r="AM2362" s="110">
        <f t="shared" si="534"/>
        <v>5</v>
      </c>
      <c r="AN2362" s="447">
        <f t="shared" si="524"/>
        <v>0</v>
      </c>
      <c r="AO2362"/>
      <c r="AP2362"/>
    </row>
    <row r="2363" spans="1:42" ht="66" x14ac:dyDescent="0.25">
      <c r="A2363" s="9"/>
      <c r="B2363" s="152" t="s">
        <v>1270</v>
      </c>
      <c r="C2363" s="1024"/>
      <c r="D2363" s="916">
        <v>5</v>
      </c>
      <c r="E2363" s="1027" t="s">
        <v>1721</v>
      </c>
      <c r="F2363" s="278" t="s">
        <v>3446</v>
      </c>
      <c r="G2363" s="1040" t="s">
        <v>3463</v>
      </c>
      <c r="H2363" s="273" t="s">
        <v>3462</v>
      </c>
      <c r="I2363" s="720">
        <f t="shared" si="535"/>
        <v>165.36959999999999</v>
      </c>
      <c r="J2363" s="756">
        <v>826.84799999999996</v>
      </c>
      <c r="K2363" s="131">
        <f t="shared" si="523"/>
        <v>826.84799999999996</v>
      </c>
      <c r="L2363" s="335">
        <f t="shared" si="531"/>
        <v>0</v>
      </c>
      <c r="M2363" s="446"/>
      <c r="N2363" s="446"/>
      <c r="O2363" s="446"/>
      <c r="P2363" s="446"/>
      <c r="Q2363" s="110">
        <v>2</v>
      </c>
      <c r="R2363" s="111">
        <f t="shared" si="527"/>
        <v>206.71199999999999</v>
      </c>
      <c r="S2363" s="110"/>
      <c r="T2363" s="110"/>
      <c r="U2363" s="110">
        <v>1</v>
      </c>
      <c r="V2363" s="111">
        <f t="shared" si="529"/>
        <v>206.71199999999999</v>
      </c>
      <c r="W2363" s="110"/>
      <c r="X2363" s="110"/>
      <c r="Y2363" s="110"/>
      <c r="Z2363" s="110"/>
      <c r="AA2363" s="110">
        <v>1</v>
      </c>
      <c r="AB2363" s="111">
        <f t="shared" si="519"/>
        <v>206.71199999999999</v>
      </c>
      <c r="AC2363" s="110"/>
      <c r="AD2363" s="110"/>
      <c r="AE2363" s="110">
        <v>1</v>
      </c>
      <c r="AF2363" s="111">
        <f t="shared" si="520"/>
        <v>206.71199999999999</v>
      </c>
      <c r="AG2363" s="110"/>
      <c r="AH2363" s="110"/>
      <c r="AI2363" s="110"/>
      <c r="AJ2363" s="110"/>
      <c r="AK2363" s="111">
        <f t="shared" si="532"/>
        <v>826.84799999999996</v>
      </c>
      <c r="AL2363" s="446">
        <f t="shared" si="533"/>
        <v>0</v>
      </c>
      <c r="AM2363" s="110">
        <f t="shared" si="534"/>
        <v>5</v>
      </c>
      <c r="AN2363" s="447">
        <f t="shared" si="524"/>
        <v>0</v>
      </c>
      <c r="AO2363"/>
      <c r="AP2363"/>
    </row>
    <row r="2364" spans="1:42" ht="66" x14ac:dyDescent="0.25">
      <c r="A2364" s="9"/>
      <c r="B2364" s="152" t="s">
        <v>1271</v>
      </c>
      <c r="C2364" s="1024"/>
      <c r="D2364" s="916">
        <v>5</v>
      </c>
      <c r="E2364" s="1027" t="s">
        <v>1721</v>
      </c>
      <c r="F2364" s="278" t="s">
        <v>3446</v>
      </c>
      <c r="G2364" s="1040" t="s">
        <v>3463</v>
      </c>
      <c r="H2364" s="273" t="s">
        <v>3462</v>
      </c>
      <c r="I2364" s="720">
        <f t="shared" si="535"/>
        <v>165.36959999999999</v>
      </c>
      <c r="J2364" s="756">
        <v>826.84799999999996</v>
      </c>
      <c r="K2364" s="131">
        <f t="shared" si="523"/>
        <v>826.84799999999996</v>
      </c>
      <c r="L2364" s="335">
        <f t="shared" si="531"/>
        <v>0</v>
      </c>
      <c r="M2364" s="446"/>
      <c r="N2364" s="446"/>
      <c r="O2364" s="446"/>
      <c r="P2364" s="446"/>
      <c r="Q2364" s="110">
        <v>2</v>
      </c>
      <c r="R2364" s="111">
        <f t="shared" si="527"/>
        <v>206.71199999999999</v>
      </c>
      <c r="S2364" s="110"/>
      <c r="T2364" s="110"/>
      <c r="U2364" s="110">
        <v>1</v>
      </c>
      <c r="V2364" s="111">
        <f t="shared" si="529"/>
        <v>206.71199999999999</v>
      </c>
      <c r="W2364" s="110"/>
      <c r="X2364" s="110"/>
      <c r="Y2364" s="110"/>
      <c r="Z2364" s="110"/>
      <c r="AA2364" s="110">
        <v>1</v>
      </c>
      <c r="AB2364" s="111">
        <f t="shared" si="519"/>
        <v>206.71199999999999</v>
      </c>
      <c r="AC2364" s="110"/>
      <c r="AD2364" s="110"/>
      <c r="AE2364" s="110">
        <v>1</v>
      </c>
      <c r="AF2364" s="111">
        <f t="shared" si="520"/>
        <v>206.71199999999999</v>
      </c>
      <c r="AG2364" s="110"/>
      <c r="AH2364" s="110"/>
      <c r="AI2364" s="110"/>
      <c r="AJ2364" s="110"/>
      <c r="AK2364" s="111">
        <f t="shared" si="532"/>
        <v>826.84799999999996</v>
      </c>
      <c r="AL2364" s="446">
        <f t="shared" si="533"/>
        <v>0</v>
      </c>
      <c r="AM2364" s="110">
        <f t="shared" si="534"/>
        <v>5</v>
      </c>
      <c r="AN2364" s="447">
        <f t="shared" si="524"/>
        <v>0</v>
      </c>
      <c r="AO2364"/>
      <c r="AP2364"/>
    </row>
    <row r="2365" spans="1:42" ht="66" x14ac:dyDescent="0.25">
      <c r="A2365" s="9"/>
      <c r="B2365" s="152" t="s">
        <v>1272</v>
      </c>
      <c r="C2365" s="1024"/>
      <c r="D2365" s="916">
        <v>5</v>
      </c>
      <c r="E2365" s="1027" t="s">
        <v>1721</v>
      </c>
      <c r="F2365" s="278" t="s">
        <v>3446</v>
      </c>
      <c r="G2365" s="1040" t="s">
        <v>3463</v>
      </c>
      <c r="H2365" s="273" t="s">
        <v>3462</v>
      </c>
      <c r="I2365" s="720">
        <f t="shared" si="535"/>
        <v>165.36959999999999</v>
      </c>
      <c r="J2365" s="756">
        <v>826.84799999999996</v>
      </c>
      <c r="K2365" s="131">
        <f t="shared" si="523"/>
        <v>826.84799999999996</v>
      </c>
      <c r="L2365" s="335">
        <f t="shared" si="531"/>
        <v>0</v>
      </c>
      <c r="M2365" s="446"/>
      <c r="N2365" s="446"/>
      <c r="O2365" s="446"/>
      <c r="P2365" s="446"/>
      <c r="Q2365" s="110">
        <v>2</v>
      </c>
      <c r="R2365" s="111">
        <f t="shared" si="527"/>
        <v>206.71199999999999</v>
      </c>
      <c r="S2365" s="110"/>
      <c r="T2365" s="110"/>
      <c r="U2365" s="110">
        <v>1</v>
      </c>
      <c r="V2365" s="111">
        <f t="shared" si="529"/>
        <v>206.71199999999999</v>
      </c>
      <c r="W2365" s="110"/>
      <c r="X2365" s="110"/>
      <c r="Y2365" s="110"/>
      <c r="Z2365" s="110"/>
      <c r="AA2365" s="110">
        <v>1</v>
      </c>
      <c r="AB2365" s="111">
        <f t="shared" si="519"/>
        <v>206.71199999999999</v>
      </c>
      <c r="AC2365" s="110"/>
      <c r="AD2365" s="110"/>
      <c r="AE2365" s="110">
        <v>1</v>
      </c>
      <c r="AF2365" s="111">
        <f t="shared" si="520"/>
        <v>206.71199999999999</v>
      </c>
      <c r="AG2365" s="110"/>
      <c r="AH2365" s="110"/>
      <c r="AI2365" s="110"/>
      <c r="AJ2365" s="110"/>
      <c r="AK2365" s="111">
        <f t="shared" si="532"/>
        <v>826.84799999999996</v>
      </c>
      <c r="AL2365" s="446">
        <f t="shared" si="533"/>
        <v>0</v>
      </c>
      <c r="AM2365" s="110">
        <f t="shared" si="534"/>
        <v>5</v>
      </c>
      <c r="AN2365" s="447">
        <f t="shared" si="524"/>
        <v>0</v>
      </c>
      <c r="AO2365"/>
      <c r="AP2365"/>
    </row>
    <row r="2366" spans="1:42" ht="66" x14ac:dyDescent="0.25">
      <c r="A2366" s="9"/>
      <c r="B2366" s="152" t="s">
        <v>1273</v>
      </c>
      <c r="C2366" s="1024"/>
      <c r="D2366" s="916">
        <v>5</v>
      </c>
      <c r="E2366" s="1027" t="s">
        <v>1721</v>
      </c>
      <c r="F2366" s="278" t="s">
        <v>3446</v>
      </c>
      <c r="G2366" s="1040" t="s">
        <v>3463</v>
      </c>
      <c r="H2366" s="273" t="s">
        <v>3462</v>
      </c>
      <c r="I2366" s="720">
        <f t="shared" si="535"/>
        <v>496.10880000000009</v>
      </c>
      <c r="J2366" s="756">
        <v>2480.5440000000003</v>
      </c>
      <c r="K2366" s="131">
        <f t="shared" si="523"/>
        <v>2480.5440000000003</v>
      </c>
      <c r="L2366" s="335">
        <f t="shared" si="531"/>
        <v>0</v>
      </c>
      <c r="M2366" s="446"/>
      <c r="N2366" s="446"/>
      <c r="O2366" s="446"/>
      <c r="P2366" s="446"/>
      <c r="Q2366" s="110">
        <v>2</v>
      </c>
      <c r="R2366" s="111">
        <f t="shared" si="527"/>
        <v>620.13600000000008</v>
      </c>
      <c r="S2366" s="110"/>
      <c r="T2366" s="110"/>
      <c r="U2366" s="110">
        <v>1</v>
      </c>
      <c r="V2366" s="111">
        <f t="shared" si="529"/>
        <v>620.13600000000008</v>
      </c>
      <c r="W2366" s="110"/>
      <c r="X2366" s="110"/>
      <c r="Y2366" s="110"/>
      <c r="Z2366" s="110"/>
      <c r="AA2366" s="110">
        <v>1</v>
      </c>
      <c r="AB2366" s="111">
        <f t="shared" si="519"/>
        <v>620.13600000000008</v>
      </c>
      <c r="AC2366" s="110"/>
      <c r="AD2366" s="110"/>
      <c r="AE2366" s="110">
        <v>1</v>
      </c>
      <c r="AF2366" s="111">
        <f t="shared" si="520"/>
        <v>620.13600000000008</v>
      </c>
      <c r="AG2366" s="110"/>
      <c r="AH2366" s="110"/>
      <c r="AI2366" s="110"/>
      <c r="AJ2366" s="110"/>
      <c r="AK2366" s="111">
        <f t="shared" si="532"/>
        <v>2480.5440000000003</v>
      </c>
      <c r="AL2366" s="446">
        <f t="shared" si="533"/>
        <v>0</v>
      </c>
      <c r="AM2366" s="110">
        <f t="shared" si="534"/>
        <v>5</v>
      </c>
      <c r="AN2366" s="447">
        <f t="shared" si="524"/>
        <v>0</v>
      </c>
      <c r="AO2366"/>
      <c r="AP2366"/>
    </row>
    <row r="2367" spans="1:42" ht="66" x14ac:dyDescent="0.25">
      <c r="A2367" s="9"/>
      <c r="B2367" s="152" t="s">
        <v>1274</v>
      </c>
      <c r="C2367" s="1024"/>
      <c r="D2367" s="916">
        <v>1</v>
      </c>
      <c r="E2367" s="1027" t="s">
        <v>1721</v>
      </c>
      <c r="F2367" s="278" t="s">
        <v>3446</v>
      </c>
      <c r="G2367" s="1040" t="s">
        <v>3463</v>
      </c>
      <c r="H2367" s="273" t="s">
        <v>3462</v>
      </c>
      <c r="I2367" s="720">
        <f t="shared" si="535"/>
        <v>330.73919999999998</v>
      </c>
      <c r="J2367" s="756">
        <v>330.73919999999998</v>
      </c>
      <c r="K2367" s="131">
        <f t="shared" si="523"/>
        <v>330.73919999999998</v>
      </c>
      <c r="L2367" s="335">
        <f t="shared" si="531"/>
        <v>0</v>
      </c>
      <c r="M2367" s="446"/>
      <c r="N2367" s="446"/>
      <c r="O2367" s="446"/>
      <c r="P2367" s="446"/>
      <c r="Q2367" s="110">
        <v>1</v>
      </c>
      <c r="R2367" s="111">
        <f t="shared" si="527"/>
        <v>82.684799999999996</v>
      </c>
      <c r="S2367" s="110"/>
      <c r="T2367" s="110"/>
      <c r="U2367" s="110">
        <v>0</v>
      </c>
      <c r="V2367" s="111">
        <f t="shared" si="529"/>
        <v>82.684799999999996</v>
      </c>
      <c r="W2367" s="110"/>
      <c r="X2367" s="110"/>
      <c r="Y2367" s="110"/>
      <c r="Z2367" s="110"/>
      <c r="AA2367" s="110">
        <v>0</v>
      </c>
      <c r="AB2367" s="111">
        <f t="shared" si="519"/>
        <v>82.684799999999996</v>
      </c>
      <c r="AC2367" s="110"/>
      <c r="AD2367" s="110"/>
      <c r="AE2367" s="110">
        <v>0</v>
      </c>
      <c r="AF2367" s="111">
        <f t="shared" si="520"/>
        <v>82.684799999999996</v>
      </c>
      <c r="AG2367" s="110"/>
      <c r="AH2367" s="110"/>
      <c r="AI2367" s="110"/>
      <c r="AJ2367" s="110"/>
      <c r="AK2367" s="111">
        <f t="shared" si="532"/>
        <v>330.73919999999998</v>
      </c>
      <c r="AL2367" s="446">
        <f t="shared" si="533"/>
        <v>0</v>
      </c>
      <c r="AM2367" s="110">
        <f t="shared" si="534"/>
        <v>1</v>
      </c>
      <c r="AN2367" s="447">
        <f t="shared" si="524"/>
        <v>0</v>
      </c>
      <c r="AO2367"/>
      <c r="AP2367"/>
    </row>
    <row r="2368" spans="1:42" ht="66" x14ac:dyDescent="0.25">
      <c r="A2368" s="9"/>
      <c r="B2368" s="487" t="s">
        <v>1275</v>
      </c>
      <c r="C2368" s="1024"/>
      <c r="D2368" s="916">
        <v>5</v>
      </c>
      <c r="E2368" s="1027" t="s">
        <v>1721</v>
      </c>
      <c r="F2368" s="278" t="s">
        <v>3446</v>
      </c>
      <c r="G2368" s="1040" t="s">
        <v>3463</v>
      </c>
      <c r="H2368" s="273" t="s">
        <v>3462</v>
      </c>
      <c r="I2368" s="720">
        <f t="shared" si="535"/>
        <v>165.36959999999999</v>
      </c>
      <c r="J2368" s="756">
        <v>826.84799999999996</v>
      </c>
      <c r="K2368" s="131">
        <f t="shared" si="523"/>
        <v>826.84799999999996</v>
      </c>
      <c r="L2368" s="335">
        <f t="shared" si="531"/>
        <v>0</v>
      </c>
      <c r="M2368" s="446"/>
      <c r="N2368" s="446"/>
      <c r="O2368" s="446"/>
      <c r="P2368" s="446"/>
      <c r="Q2368" s="110">
        <v>2</v>
      </c>
      <c r="R2368" s="111">
        <f t="shared" si="527"/>
        <v>206.71199999999999</v>
      </c>
      <c r="S2368" s="110"/>
      <c r="T2368" s="110"/>
      <c r="U2368" s="110">
        <v>1</v>
      </c>
      <c r="V2368" s="111">
        <f t="shared" si="529"/>
        <v>206.71199999999999</v>
      </c>
      <c r="W2368" s="110"/>
      <c r="X2368" s="110"/>
      <c r="Y2368" s="110"/>
      <c r="Z2368" s="110"/>
      <c r="AA2368" s="110">
        <v>1</v>
      </c>
      <c r="AB2368" s="111">
        <f t="shared" si="519"/>
        <v>206.71199999999999</v>
      </c>
      <c r="AC2368" s="110"/>
      <c r="AD2368" s="110"/>
      <c r="AE2368" s="110">
        <v>1</v>
      </c>
      <c r="AF2368" s="111">
        <f t="shared" si="520"/>
        <v>206.71199999999999</v>
      </c>
      <c r="AG2368" s="110"/>
      <c r="AH2368" s="110"/>
      <c r="AI2368" s="110"/>
      <c r="AJ2368" s="110"/>
      <c r="AK2368" s="111">
        <f t="shared" si="532"/>
        <v>826.84799999999996</v>
      </c>
      <c r="AL2368" s="446">
        <f t="shared" si="533"/>
        <v>0</v>
      </c>
      <c r="AM2368" s="110">
        <f t="shared" si="534"/>
        <v>5</v>
      </c>
      <c r="AN2368" s="447">
        <f t="shared" si="524"/>
        <v>0</v>
      </c>
      <c r="AO2368"/>
      <c r="AP2368"/>
    </row>
    <row r="2369" spans="1:42" ht="66" x14ac:dyDescent="0.25">
      <c r="A2369" s="9"/>
      <c r="B2369" s="152" t="s">
        <v>1276</v>
      </c>
      <c r="C2369" s="1024"/>
      <c r="D2369" s="916">
        <v>5</v>
      </c>
      <c r="E2369" s="1027" t="s">
        <v>1721</v>
      </c>
      <c r="F2369" s="278" t="s">
        <v>3446</v>
      </c>
      <c r="G2369" s="1040" t="s">
        <v>3463</v>
      </c>
      <c r="H2369" s="273" t="s">
        <v>3462</v>
      </c>
      <c r="I2369" s="720">
        <f t="shared" si="535"/>
        <v>165.36959999999999</v>
      </c>
      <c r="J2369" s="756">
        <v>826.84799999999996</v>
      </c>
      <c r="K2369" s="131">
        <f t="shared" si="523"/>
        <v>826.84799999999996</v>
      </c>
      <c r="L2369" s="335">
        <f t="shared" si="531"/>
        <v>0</v>
      </c>
      <c r="M2369" s="446"/>
      <c r="N2369" s="446"/>
      <c r="O2369" s="446"/>
      <c r="P2369" s="446"/>
      <c r="Q2369" s="110">
        <v>2</v>
      </c>
      <c r="R2369" s="111">
        <f t="shared" si="527"/>
        <v>206.71199999999999</v>
      </c>
      <c r="S2369" s="110"/>
      <c r="T2369" s="110"/>
      <c r="U2369" s="110">
        <v>1</v>
      </c>
      <c r="V2369" s="111">
        <f t="shared" si="529"/>
        <v>206.71199999999999</v>
      </c>
      <c r="W2369" s="110"/>
      <c r="X2369" s="110"/>
      <c r="Y2369" s="110"/>
      <c r="Z2369" s="110"/>
      <c r="AA2369" s="110">
        <v>1</v>
      </c>
      <c r="AB2369" s="111">
        <f t="shared" si="519"/>
        <v>206.71199999999999</v>
      </c>
      <c r="AC2369" s="110"/>
      <c r="AD2369" s="110"/>
      <c r="AE2369" s="110">
        <v>1</v>
      </c>
      <c r="AF2369" s="111">
        <f t="shared" si="520"/>
        <v>206.71199999999999</v>
      </c>
      <c r="AG2369" s="110"/>
      <c r="AH2369" s="110"/>
      <c r="AI2369" s="110"/>
      <c r="AJ2369" s="110"/>
      <c r="AK2369" s="111">
        <f t="shared" si="532"/>
        <v>826.84799999999996</v>
      </c>
      <c r="AL2369" s="446">
        <f t="shared" si="533"/>
        <v>0</v>
      </c>
      <c r="AM2369" s="110">
        <f t="shared" si="534"/>
        <v>5</v>
      </c>
      <c r="AN2369" s="447">
        <f t="shared" si="524"/>
        <v>0</v>
      </c>
      <c r="AO2369"/>
      <c r="AP2369"/>
    </row>
    <row r="2370" spans="1:42" ht="66" x14ac:dyDescent="0.25">
      <c r="A2370" s="9"/>
      <c r="B2370" s="152" t="s">
        <v>1277</v>
      </c>
      <c r="C2370" s="1024"/>
      <c r="D2370" s="916">
        <v>3</v>
      </c>
      <c r="E2370" s="1027" t="s">
        <v>1721</v>
      </c>
      <c r="F2370" s="278" t="s">
        <v>3446</v>
      </c>
      <c r="G2370" s="1040" t="s">
        <v>3463</v>
      </c>
      <c r="H2370" s="273" t="s">
        <v>3462</v>
      </c>
      <c r="I2370" s="720">
        <f t="shared" si="535"/>
        <v>771.72479999999996</v>
      </c>
      <c r="J2370" s="756">
        <v>2315.1743999999999</v>
      </c>
      <c r="K2370" s="131">
        <f t="shared" si="523"/>
        <v>2315.1743999999999</v>
      </c>
      <c r="L2370" s="335">
        <f t="shared" si="531"/>
        <v>0</v>
      </c>
      <c r="M2370" s="446"/>
      <c r="N2370" s="446"/>
      <c r="O2370" s="446"/>
      <c r="P2370" s="446"/>
      <c r="Q2370" s="130">
        <v>1</v>
      </c>
      <c r="R2370" s="111">
        <f t="shared" si="527"/>
        <v>578.79359999999997</v>
      </c>
      <c r="S2370" s="110"/>
      <c r="T2370" s="110"/>
      <c r="U2370" s="130">
        <v>1</v>
      </c>
      <c r="V2370" s="111">
        <f t="shared" si="529"/>
        <v>578.79359999999997</v>
      </c>
      <c r="W2370" s="110"/>
      <c r="X2370" s="110"/>
      <c r="Y2370" s="110"/>
      <c r="Z2370" s="110"/>
      <c r="AA2370" s="130">
        <v>1</v>
      </c>
      <c r="AB2370" s="111">
        <f t="shared" si="519"/>
        <v>578.79359999999997</v>
      </c>
      <c r="AC2370" s="110"/>
      <c r="AD2370" s="110"/>
      <c r="AE2370" s="130">
        <v>0</v>
      </c>
      <c r="AF2370" s="111">
        <f t="shared" si="520"/>
        <v>578.79359999999997</v>
      </c>
      <c r="AG2370" s="110"/>
      <c r="AH2370" s="110"/>
      <c r="AI2370" s="110"/>
      <c r="AJ2370" s="110"/>
      <c r="AK2370" s="111">
        <f t="shared" si="532"/>
        <v>2315.1743999999999</v>
      </c>
      <c r="AL2370" s="446">
        <f t="shared" si="533"/>
        <v>0</v>
      </c>
      <c r="AM2370" s="110">
        <f t="shared" si="534"/>
        <v>3</v>
      </c>
      <c r="AN2370" s="447">
        <f t="shared" si="524"/>
        <v>0</v>
      </c>
      <c r="AO2370"/>
      <c r="AP2370"/>
    </row>
    <row r="2371" spans="1:42" ht="66" x14ac:dyDescent="0.25">
      <c r="A2371" s="9"/>
      <c r="B2371" s="152" t="s">
        <v>1278</v>
      </c>
      <c r="C2371" s="1024"/>
      <c r="D2371" s="916">
        <v>1</v>
      </c>
      <c r="E2371" s="1027" t="s">
        <v>1721</v>
      </c>
      <c r="F2371" s="278" t="s">
        <v>3446</v>
      </c>
      <c r="G2371" s="1040" t="s">
        <v>3463</v>
      </c>
      <c r="H2371" s="273" t="s">
        <v>3462</v>
      </c>
      <c r="I2371" s="720">
        <f t="shared" si="535"/>
        <v>358.30079999999998</v>
      </c>
      <c r="J2371" s="756">
        <v>358.30079999999998</v>
      </c>
      <c r="K2371" s="131">
        <f t="shared" si="523"/>
        <v>358.30079999999998</v>
      </c>
      <c r="L2371" s="335">
        <f t="shared" si="531"/>
        <v>0</v>
      </c>
      <c r="M2371" s="446"/>
      <c r="N2371" s="446"/>
      <c r="O2371" s="446"/>
      <c r="P2371" s="446"/>
      <c r="Q2371" s="110">
        <v>1</v>
      </c>
      <c r="R2371" s="111">
        <f t="shared" si="527"/>
        <v>89.575199999999995</v>
      </c>
      <c r="S2371" s="110"/>
      <c r="T2371" s="110"/>
      <c r="U2371" s="110">
        <v>0</v>
      </c>
      <c r="V2371" s="111">
        <f t="shared" si="529"/>
        <v>89.575199999999995</v>
      </c>
      <c r="W2371" s="110"/>
      <c r="X2371" s="110"/>
      <c r="Y2371" s="110"/>
      <c r="Z2371" s="110"/>
      <c r="AA2371" s="110">
        <v>0</v>
      </c>
      <c r="AB2371" s="111">
        <f t="shared" si="519"/>
        <v>89.575199999999995</v>
      </c>
      <c r="AC2371" s="110"/>
      <c r="AD2371" s="110"/>
      <c r="AE2371" s="110">
        <v>0</v>
      </c>
      <c r="AF2371" s="111">
        <f t="shared" si="520"/>
        <v>89.575199999999995</v>
      </c>
      <c r="AG2371" s="110"/>
      <c r="AH2371" s="110"/>
      <c r="AI2371" s="110"/>
      <c r="AJ2371" s="110"/>
      <c r="AK2371" s="111">
        <f t="shared" si="532"/>
        <v>358.30079999999998</v>
      </c>
      <c r="AL2371" s="446">
        <f t="shared" si="533"/>
        <v>0</v>
      </c>
      <c r="AM2371" s="110">
        <f t="shared" si="534"/>
        <v>1</v>
      </c>
      <c r="AN2371" s="447">
        <f t="shared" si="524"/>
        <v>0</v>
      </c>
      <c r="AO2371"/>
      <c r="AP2371"/>
    </row>
    <row r="2372" spans="1:42" ht="66" x14ac:dyDescent="0.25">
      <c r="A2372" s="9"/>
      <c r="B2372" s="152" t="s">
        <v>1279</v>
      </c>
      <c r="C2372" s="1024"/>
      <c r="D2372" s="916">
        <v>10</v>
      </c>
      <c r="E2372" s="1027"/>
      <c r="F2372" s="278" t="s">
        <v>3446</v>
      </c>
      <c r="G2372" s="1040" t="s">
        <v>3463</v>
      </c>
      <c r="H2372" s="273" t="s">
        <v>3462</v>
      </c>
      <c r="I2372" s="720">
        <f t="shared" si="535"/>
        <v>282.50639999999999</v>
      </c>
      <c r="J2372" s="756">
        <v>2825.0639999999999</v>
      </c>
      <c r="K2372" s="131">
        <f t="shared" si="523"/>
        <v>2825.0639999999999</v>
      </c>
      <c r="L2372" s="335">
        <f t="shared" si="531"/>
        <v>0</v>
      </c>
      <c r="M2372" s="446"/>
      <c r="N2372" s="446"/>
      <c r="O2372" s="446"/>
      <c r="P2372" s="446"/>
      <c r="Q2372" s="130">
        <v>3</v>
      </c>
      <c r="R2372" s="111">
        <f t="shared" si="527"/>
        <v>706.26599999999996</v>
      </c>
      <c r="S2372" s="110"/>
      <c r="T2372" s="110"/>
      <c r="U2372" s="130">
        <v>3</v>
      </c>
      <c r="V2372" s="111">
        <f t="shared" si="529"/>
        <v>706.26599999999996</v>
      </c>
      <c r="W2372" s="110"/>
      <c r="X2372" s="110"/>
      <c r="Y2372" s="110"/>
      <c r="Z2372" s="110"/>
      <c r="AA2372" s="130">
        <v>2</v>
      </c>
      <c r="AB2372" s="111">
        <f t="shared" si="519"/>
        <v>706.26599999999996</v>
      </c>
      <c r="AC2372" s="110"/>
      <c r="AD2372" s="110"/>
      <c r="AE2372" s="130">
        <v>2</v>
      </c>
      <c r="AF2372" s="111">
        <f t="shared" si="520"/>
        <v>706.26599999999996</v>
      </c>
      <c r="AG2372" s="110"/>
      <c r="AH2372" s="110"/>
      <c r="AI2372" s="110"/>
      <c r="AJ2372" s="110"/>
      <c r="AK2372" s="111">
        <f t="shared" si="532"/>
        <v>2825.0639999999999</v>
      </c>
      <c r="AL2372" s="446">
        <f t="shared" si="533"/>
        <v>0</v>
      </c>
      <c r="AM2372" s="110">
        <f t="shared" si="534"/>
        <v>10</v>
      </c>
      <c r="AN2372" s="447">
        <f t="shared" si="524"/>
        <v>0</v>
      </c>
      <c r="AO2372"/>
      <c r="AP2372"/>
    </row>
    <row r="2373" spans="1:42" ht="66" x14ac:dyDescent="0.25">
      <c r="A2373" s="9"/>
      <c r="B2373" s="152" t="s">
        <v>1280</v>
      </c>
      <c r="C2373" s="1024"/>
      <c r="D2373" s="916">
        <v>3</v>
      </c>
      <c r="E2373" s="1027" t="s">
        <v>1721</v>
      </c>
      <c r="F2373" s="278" t="s">
        <v>3446</v>
      </c>
      <c r="G2373" s="1040" t="s">
        <v>3463</v>
      </c>
      <c r="H2373" s="273" t="s">
        <v>3462</v>
      </c>
      <c r="I2373" s="720">
        <f t="shared" si="535"/>
        <v>303.17759999999998</v>
      </c>
      <c r="J2373" s="756">
        <v>909.53279999999995</v>
      </c>
      <c r="K2373" s="131">
        <f t="shared" si="523"/>
        <v>909.53279999999995</v>
      </c>
      <c r="L2373" s="335">
        <f t="shared" si="531"/>
        <v>0</v>
      </c>
      <c r="M2373" s="446"/>
      <c r="N2373" s="446"/>
      <c r="O2373" s="446"/>
      <c r="P2373" s="446"/>
      <c r="Q2373" s="130">
        <v>1</v>
      </c>
      <c r="R2373" s="111">
        <f t="shared" si="527"/>
        <v>227.38319999999999</v>
      </c>
      <c r="S2373" s="110"/>
      <c r="T2373" s="110"/>
      <c r="U2373" s="130">
        <v>1</v>
      </c>
      <c r="V2373" s="111">
        <f t="shared" si="529"/>
        <v>227.38319999999999</v>
      </c>
      <c r="W2373" s="110"/>
      <c r="X2373" s="110"/>
      <c r="Y2373" s="110"/>
      <c r="Z2373" s="110"/>
      <c r="AA2373" s="130">
        <v>1</v>
      </c>
      <c r="AB2373" s="111">
        <f t="shared" si="519"/>
        <v>227.38319999999999</v>
      </c>
      <c r="AC2373" s="110"/>
      <c r="AD2373" s="110"/>
      <c r="AE2373" s="130">
        <v>0</v>
      </c>
      <c r="AF2373" s="111">
        <f t="shared" si="520"/>
        <v>227.38319999999999</v>
      </c>
      <c r="AG2373" s="110"/>
      <c r="AH2373" s="110"/>
      <c r="AI2373" s="110"/>
      <c r="AJ2373" s="110"/>
      <c r="AK2373" s="111">
        <f t="shared" si="532"/>
        <v>909.53279999999995</v>
      </c>
      <c r="AL2373" s="446">
        <f t="shared" si="533"/>
        <v>0</v>
      </c>
      <c r="AM2373" s="110">
        <f t="shared" si="534"/>
        <v>3</v>
      </c>
      <c r="AN2373" s="447">
        <f t="shared" si="524"/>
        <v>0</v>
      </c>
      <c r="AO2373"/>
      <c r="AP2373"/>
    </row>
    <row r="2374" spans="1:42" ht="66" x14ac:dyDescent="0.25">
      <c r="A2374" s="9"/>
      <c r="B2374" s="152" t="s">
        <v>1281</v>
      </c>
      <c r="C2374" s="1024"/>
      <c r="D2374" s="916">
        <v>3</v>
      </c>
      <c r="E2374" s="1027" t="s">
        <v>1721</v>
      </c>
      <c r="F2374" s="278" t="s">
        <v>3446</v>
      </c>
      <c r="G2374" s="1040" t="s">
        <v>3463</v>
      </c>
      <c r="H2374" s="273" t="s">
        <v>3462</v>
      </c>
      <c r="I2374" s="720">
        <f t="shared" si="535"/>
        <v>227.38320000000002</v>
      </c>
      <c r="J2374" s="756">
        <v>682.14960000000008</v>
      </c>
      <c r="K2374" s="131">
        <f t="shared" si="523"/>
        <v>682.14960000000008</v>
      </c>
      <c r="L2374" s="335">
        <f t="shared" si="531"/>
        <v>0</v>
      </c>
      <c r="M2374" s="446"/>
      <c r="N2374" s="446"/>
      <c r="O2374" s="446"/>
      <c r="P2374" s="446"/>
      <c r="Q2374" s="130">
        <v>1</v>
      </c>
      <c r="R2374" s="111">
        <f t="shared" si="527"/>
        <v>170.53740000000002</v>
      </c>
      <c r="S2374" s="110"/>
      <c r="T2374" s="110"/>
      <c r="U2374" s="130">
        <v>1</v>
      </c>
      <c r="V2374" s="111">
        <f t="shared" si="529"/>
        <v>170.53740000000002</v>
      </c>
      <c r="W2374" s="110"/>
      <c r="X2374" s="110"/>
      <c r="Y2374" s="110"/>
      <c r="Z2374" s="110"/>
      <c r="AA2374" s="130">
        <v>1</v>
      </c>
      <c r="AB2374" s="111">
        <f t="shared" si="519"/>
        <v>170.53740000000002</v>
      </c>
      <c r="AC2374" s="110"/>
      <c r="AD2374" s="110"/>
      <c r="AE2374" s="130">
        <v>0</v>
      </c>
      <c r="AF2374" s="111">
        <f t="shared" si="520"/>
        <v>170.53740000000002</v>
      </c>
      <c r="AG2374" s="110"/>
      <c r="AH2374" s="110"/>
      <c r="AI2374" s="110"/>
      <c r="AJ2374" s="110"/>
      <c r="AK2374" s="111">
        <f t="shared" si="532"/>
        <v>682.14960000000008</v>
      </c>
      <c r="AL2374" s="446">
        <f t="shared" si="533"/>
        <v>0</v>
      </c>
      <c r="AM2374" s="110">
        <f t="shared" si="534"/>
        <v>3</v>
      </c>
      <c r="AN2374" s="447">
        <f t="shared" si="524"/>
        <v>0</v>
      </c>
      <c r="AO2374"/>
      <c r="AP2374"/>
    </row>
    <row r="2375" spans="1:42" ht="66" x14ac:dyDescent="0.25">
      <c r="A2375" s="9"/>
      <c r="B2375" s="152" t="s">
        <v>611</v>
      </c>
      <c r="C2375" s="1024"/>
      <c r="D2375" s="916">
        <v>60</v>
      </c>
      <c r="E2375" s="1027" t="s">
        <v>1721</v>
      </c>
      <c r="F2375" s="278" t="s">
        <v>3446</v>
      </c>
      <c r="G2375" s="1040" t="s">
        <v>3463</v>
      </c>
      <c r="H2375" s="273" t="s">
        <v>3462</v>
      </c>
      <c r="I2375" s="720">
        <f t="shared" si="535"/>
        <v>65.34</v>
      </c>
      <c r="J2375" s="756">
        <v>3920.4</v>
      </c>
      <c r="K2375" s="131">
        <f t="shared" si="523"/>
        <v>3920.4</v>
      </c>
      <c r="L2375" s="335">
        <f t="shared" si="531"/>
        <v>0</v>
      </c>
      <c r="M2375" s="446"/>
      <c r="N2375" s="446"/>
      <c r="O2375" s="446"/>
      <c r="P2375" s="446"/>
      <c r="Q2375" s="110">
        <f t="shared" si="526"/>
        <v>15</v>
      </c>
      <c r="R2375" s="111">
        <f t="shared" si="527"/>
        <v>980.1</v>
      </c>
      <c r="S2375" s="110"/>
      <c r="T2375" s="110"/>
      <c r="U2375" s="110">
        <f t="shared" si="528"/>
        <v>15</v>
      </c>
      <c r="V2375" s="111">
        <f t="shared" si="529"/>
        <v>980.1</v>
      </c>
      <c r="W2375" s="110"/>
      <c r="X2375" s="110"/>
      <c r="Y2375" s="110"/>
      <c r="Z2375" s="110"/>
      <c r="AA2375" s="110">
        <f t="shared" si="530"/>
        <v>15</v>
      </c>
      <c r="AB2375" s="111">
        <f t="shared" ref="AB2375:AB2438" si="536">+J2375/4</f>
        <v>980.1</v>
      </c>
      <c r="AC2375" s="110"/>
      <c r="AD2375" s="110"/>
      <c r="AE2375" s="110">
        <f t="shared" si="530"/>
        <v>15</v>
      </c>
      <c r="AF2375" s="111">
        <f t="shared" ref="AF2375:AF2438" si="537">+J2375/4</f>
        <v>980.1</v>
      </c>
      <c r="AG2375" s="110"/>
      <c r="AH2375" s="110"/>
      <c r="AI2375" s="110"/>
      <c r="AJ2375" s="110"/>
      <c r="AK2375" s="111">
        <f t="shared" si="532"/>
        <v>3920.4</v>
      </c>
      <c r="AL2375" s="446">
        <f t="shared" si="533"/>
        <v>0</v>
      </c>
      <c r="AM2375" s="110">
        <f t="shared" si="534"/>
        <v>60</v>
      </c>
      <c r="AN2375" s="447">
        <f t="shared" si="524"/>
        <v>0</v>
      </c>
      <c r="AO2375"/>
      <c r="AP2375"/>
    </row>
    <row r="2376" spans="1:42" ht="66" x14ac:dyDescent="0.25">
      <c r="A2376" s="9"/>
      <c r="B2376" s="152" t="s">
        <v>1741</v>
      </c>
      <c r="C2376" s="1024"/>
      <c r="D2376" s="916">
        <f>5</f>
        <v>5</v>
      </c>
      <c r="E2376" s="1027" t="s">
        <v>1736</v>
      </c>
      <c r="F2376" s="278" t="s">
        <v>3446</v>
      </c>
      <c r="G2376" s="1040" t="s">
        <v>3463</v>
      </c>
      <c r="H2376" s="273" t="s">
        <v>3462</v>
      </c>
      <c r="I2376" s="720">
        <f t="shared" si="535"/>
        <v>255.2</v>
      </c>
      <c r="J2376" s="756">
        <f>1276</f>
        <v>1276</v>
      </c>
      <c r="K2376" s="131">
        <f t="shared" si="523"/>
        <v>1276</v>
      </c>
      <c r="L2376" s="335">
        <f t="shared" si="531"/>
        <v>0</v>
      </c>
      <c r="M2376" s="446"/>
      <c r="N2376" s="446"/>
      <c r="O2376" s="446"/>
      <c r="P2376" s="446"/>
      <c r="Q2376" s="110">
        <v>2</v>
      </c>
      <c r="R2376" s="111">
        <f t="shared" si="527"/>
        <v>319</v>
      </c>
      <c r="S2376" s="110"/>
      <c r="T2376" s="110"/>
      <c r="U2376" s="110">
        <v>1</v>
      </c>
      <c r="V2376" s="111">
        <f t="shared" si="529"/>
        <v>319</v>
      </c>
      <c r="W2376" s="110"/>
      <c r="X2376" s="110"/>
      <c r="Y2376" s="110"/>
      <c r="Z2376" s="110"/>
      <c r="AA2376" s="110">
        <v>1</v>
      </c>
      <c r="AB2376" s="111">
        <f t="shared" si="536"/>
        <v>319</v>
      </c>
      <c r="AC2376" s="110"/>
      <c r="AD2376" s="110"/>
      <c r="AE2376" s="110">
        <v>1</v>
      </c>
      <c r="AF2376" s="111">
        <f t="shared" si="537"/>
        <v>319</v>
      </c>
      <c r="AG2376" s="110"/>
      <c r="AH2376" s="110"/>
      <c r="AI2376" s="110"/>
      <c r="AJ2376" s="110"/>
      <c r="AK2376" s="111">
        <f t="shared" si="532"/>
        <v>1276</v>
      </c>
      <c r="AL2376" s="446">
        <f t="shared" si="533"/>
        <v>0</v>
      </c>
      <c r="AM2376" s="110">
        <f t="shared" si="534"/>
        <v>5</v>
      </c>
      <c r="AN2376" s="447">
        <f t="shared" si="524"/>
        <v>0</v>
      </c>
      <c r="AO2376"/>
      <c r="AP2376"/>
    </row>
    <row r="2377" spans="1:42" ht="66" x14ac:dyDescent="0.25">
      <c r="A2377" s="9"/>
      <c r="B2377" s="152" t="s">
        <v>1282</v>
      </c>
      <c r="C2377" s="1024"/>
      <c r="D2377" s="916">
        <v>6</v>
      </c>
      <c r="E2377" s="1027" t="s">
        <v>1721</v>
      </c>
      <c r="F2377" s="278" t="s">
        <v>3446</v>
      </c>
      <c r="G2377" s="1040" t="s">
        <v>3463</v>
      </c>
      <c r="H2377" s="273" t="s">
        <v>3462</v>
      </c>
      <c r="I2377" s="720">
        <f t="shared" si="535"/>
        <v>626.4</v>
      </c>
      <c r="J2377" s="756">
        <v>3758.4</v>
      </c>
      <c r="K2377" s="131">
        <f t="shared" si="523"/>
        <v>3758.3999999999996</v>
      </c>
      <c r="L2377" s="335">
        <f t="shared" si="531"/>
        <v>0</v>
      </c>
      <c r="M2377" s="446"/>
      <c r="N2377" s="446"/>
      <c r="O2377" s="446"/>
      <c r="P2377" s="446"/>
      <c r="Q2377" s="130">
        <v>2</v>
      </c>
      <c r="R2377" s="111">
        <f t="shared" si="527"/>
        <v>939.6</v>
      </c>
      <c r="S2377" s="110"/>
      <c r="T2377" s="110"/>
      <c r="U2377" s="130">
        <v>2</v>
      </c>
      <c r="V2377" s="111">
        <f t="shared" si="529"/>
        <v>939.6</v>
      </c>
      <c r="W2377" s="110"/>
      <c r="X2377" s="110"/>
      <c r="Y2377" s="110"/>
      <c r="Z2377" s="110"/>
      <c r="AA2377" s="130">
        <v>1</v>
      </c>
      <c r="AB2377" s="111">
        <f t="shared" si="536"/>
        <v>939.6</v>
      </c>
      <c r="AC2377" s="110"/>
      <c r="AD2377" s="110"/>
      <c r="AE2377" s="130">
        <v>1</v>
      </c>
      <c r="AF2377" s="111">
        <f t="shared" si="537"/>
        <v>939.6</v>
      </c>
      <c r="AG2377" s="110"/>
      <c r="AH2377" s="110"/>
      <c r="AI2377" s="110"/>
      <c r="AJ2377" s="110"/>
      <c r="AK2377" s="111">
        <f t="shared" si="532"/>
        <v>3758.4</v>
      </c>
      <c r="AL2377" s="446">
        <f t="shared" si="533"/>
        <v>0</v>
      </c>
      <c r="AM2377" s="110">
        <f t="shared" si="534"/>
        <v>6</v>
      </c>
      <c r="AN2377" s="447">
        <f t="shared" si="524"/>
        <v>0</v>
      </c>
      <c r="AO2377"/>
      <c r="AP2377"/>
    </row>
    <row r="2378" spans="1:42" ht="66" x14ac:dyDescent="0.25">
      <c r="A2378" s="9"/>
      <c r="B2378" s="59" t="s">
        <v>608</v>
      </c>
      <c r="C2378" s="1024"/>
      <c r="D2378" s="916">
        <v>3</v>
      </c>
      <c r="E2378" s="1027" t="s">
        <v>1721</v>
      </c>
      <c r="F2378" s="278" t="s">
        <v>3446</v>
      </c>
      <c r="G2378" s="1040" t="s">
        <v>3463</v>
      </c>
      <c r="H2378" s="273" t="s">
        <v>3462</v>
      </c>
      <c r="I2378" s="720">
        <f t="shared" si="535"/>
        <v>365.19119999999998</v>
      </c>
      <c r="J2378" s="756">
        <v>1095.5735999999999</v>
      </c>
      <c r="K2378" s="131">
        <f t="shared" si="523"/>
        <v>1095.5735999999999</v>
      </c>
      <c r="L2378" s="335">
        <f t="shared" si="531"/>
        <v>0</v>
      </c>
      <c r="M2378" s="446"/>
      <c r="N2378" s="446"/>
      <c r="O2378" s="446"/>
      <c r="P2378" s="446"/>
      <c r="Q2378" s="130">
        <v>1</v>
      </c>
      <c r="R2378" s="111">
        <f t="shared" si="527"/>
        <v>273.89339999999999</v>
      </c>
      <c r="S2378" s="110"/>
      <c r="T2378" s="110"/>
      <c r="U2378" s="130">
        <v>1</v>
      </c>
      <c r="V2378" s="111">
        <f t="shared" si="529"/>
        <v>273.89339999999999</v>
      </c>
      <c r="W2378" s="110"/>
      <c r="X2378" s="110"/>
      <c r="Y2378" s="110"/>
      <c r="Z2378" s="110"/>
      <c r="AA2378" s="130">
        <v>1</v>
      </c>
      <c r="AB2378" s="111">
        <f t="shared" si="536"/>
        <v>273.89339999999999</v>
      </c>
      <c r="AC2378" s="110"/>
      <c r="AD2378" s="110"/>
      <c r="AE2378" s="130">
        <v>0</v>
      </c>
      <c r="AF2378" s="111">
        <f t="shared" si="537"/>
        <v>273.89339999999999</v>
      </c>
      <c r="AG2378" s="110"/>
      <c r="AH2378" s="110"/>
      <c r="AI2378" s="110"/>
      <c r="AJ2378" s="110"/>
      <c r="AK2378" s="111">
        <f t="shared" si="532"/>
        <v>1095.5735999999999</v>
      </c>
      <c r="AL2378" s="446">
        <f t="shared" si="533"/>
        <v>0</v>
      </c>
      <c r="AM2378" s="110">
        <f t="shared" si="534"/>
        <v>3</v>
      </c>
      <c r="AN2378" s="447">
        <f t="shared" si="524"/>
        <v>0</v>
      </c>
      <c r="AO2378"/>
      <c r="AP2378"/>
    </row>
    <row r="2379" spans="1:42" ht="66" x14ac:dyDescent="0.25">
      <c r="A2379" s="9"/>
      <c r="B2379" s="34" t="s">
        <v>609</v>
      </c>
      <c r="C2379" s="1024"/>
      <c r="D2379" s="916">
        <v>1</v>
      </c>
      <c r="E2379" s="1027" t="s">
        <v>1721</v>
      </c>
      <c r="F2379" s="278" t="s">
        <v>3446</v>
      </c>
      <c r="G2379" s="1040" t="s">
        <v>3463</v>
      </c>
      <c r="H2379" s="273" t="s">
        <v>3462</v>
      </c>
      <c r="I2379" s="720">
        <f t="shared" si="535"/>
        <v>1722.6</v>
      </c>
      <c r="J2379" s="756">
        <v>1722.6</v>
      </c>
      <c r="K2379" s="131">
        <f t="shared" si="523"/>
        <v>1722.6</v>
      </c>
      <c r="L2379" s="335">
        <f t="shared" si="531"/>
        <v>0</v>
      </c>
      <c r="M2379" s="446"/>
      <c r="N2379" s="446"/>
      <c r="O2379" s="446"/>
      <c r="P2379" s="446"/>
      <c r="Q2379" s="110">
        <v>1</v>
      </c>
      <c r="R2379" s="111">
        <f t="shared" si="527"/>
        <v>430.65</v>
      </c>
      <c r="S2379" s="110"/>
      <c r="T2379" s="110"/>
      <c r="U2379" s="110">
        <v>0</v>
      </c>
      <c r="V2379" s="111">
        <f t="shared" si="529"/>
        <v>430.65</v>
      </c>
      <c r="W2379" s="110"/>
      <c r="X2379" s="110"/>
      <c r="Y2379" s="110"/>
      <c r="Z2379" s="110"/>
      <c r="AA2379" s="110">
        <v>0</v>
      </c>
      <c r="AB2379" s="111">
        <f t="shared" si="536"/>
        <v>430.65</v>
      </c>
      <c r="AC2379" s="110"/>
      <c r="AD2379" s="110"/>
      <c r="AE2379" s="110">
        <v>0</v>
      </c>
      <c r="AF2379" s="111">
        <f t="shared" si="537"/>
        <v>430.65</v>
      </c>
      <c r="AG2379" s="110"/>
      <c r="AH2379" s="110"/>
      <c r="AI2379" s="110"/>
      <c r="AJ2379" s="110"/>
      <c r="AK2379" s="111">
        <f t="shared" si="532"/>
        <v>1722.6</v>
      </c>
      <c r="AL2379" s="446">
        <f t="shared" si="533"/>
        <v>0</v>
      </c>
      <c r="AM2379" s="110">
        <f t="shared" si="534"/>
        <v>1</v>
      </c>
      <c r="AN2379" s="447">
        <f t="shared" si="524"/>
        <v>0</v>
      </c>
      <c r="AO2379"/>
      <c r="AP2379"/>
    </row>
    <row r="2380" spans="1:42" ht="66" x14ac:dyDescent="0.25">
      <c r="A2380" s="9"/>
      <c r="B2380" s="34" t="s">
        <v>610</v>
      </c>
      <c r="C2380" s="1024"/>
      <c r="D2380" s="916">
        <v>1</v>
      </c>
      <c r="E2380" s="1027" t="s">
        <v>1721</v>
      </c>
      <c r="F2380" s="278" t="s">
        <v>3446</v>
      </c>
      <c r="G2380" s="1040" t="s">
        <v>3463</v>
      </c>
      <c r="H2380" s="273" t="s">
        <v>3462</v>
      </c>
      <c r="I2380" s="720">
        <f t="shared" si="535"/>
        <v>344.52</v>
      </c>
      <c r="J2380" s="756">
        <v>344.52</v>
      </c>
      <c r="K2380" s="131">
        <f t="shared" si="523"/>
        <v>344.52</v>
      </c>
      <c r="L2380" s="335">
        <f t="shared" si="531"/>
        <v>0</v>
      </c>
      <c r="M2380" s="446"/>
      <c r="N2380" s="446"/>
      <c r="O2380" s="446"/>
      <c r="P2380" s="446"/>
      <c r="Q2380" s="110">
        <v>1</v>
      </c>
      <c r="R2380" s="111">
        <f t="shared" si="527"/>
        <v>86.13</v>
      </c>
      <c r="S2380" s="110"/>
      <c r="T2380" s="110"/>
      <c r="U2380" s="110">
        <v>0</v>
      </c>
      <c r="V2380" s="111">
        <f t="shared" si="529"/>
        <v>86.13</v>
      </c>
      <c r="W2380" s="110"/>
      <c r="X2380" s="110"/>
      <c r="Y2380" s="110"/>
      <c r="Z2380" s="110"/>
      <c r="AA2380" s="110">
        <v>0</v>
      </c>
      <c r="AB2380" s="111">
        <f t="shared" si="536"/>
        <v>86.13</v>
      </c>
      <c r="AC2380" s="110"/>
      <c r="AD2380" s="110"/>
      <c r="AE2380" s="110">
        <v>0</v>
      </c>
      <c r="AF2380" s="111">
        <f t="shared" si="537"/>
        <v>86.13</v>
      </c>
      <c r="AG2380" s="110"/>
      <c r="AH2380" s="110"/>
      <c r="AI2380" s="110"/>
      <c r="AJ2380" s="110"/>
      <c r="AK2380" s="111">
        <f t="shared" si="532"/>
        <v>344.52</v>
      </c>
      <c r="AL2380" s="446">
        <f t="shared" si="533"/>
        <v>0</v>
      </c>
      <c r="AM2380" s="110">
        <f t="shared" si="534"/>
        <v>1</v>
      </c>
      <c r="AN2380" s="447">
        <f t="shared" si="524"/>
        <v>0</v>
      </c>
      <c r="AO2380"/>
      <c r="AP2380"/>
    </row>
    <row r="2381" spans="1:42" ht="66" x14ac:dyDescent="0.25">
      <c r="A2381" s="9"/>
      <c r="B2381" s="34" t="s">
        <v>1532</v>
      </c>
      <c r="C2381" s="1024"/>
      <c r="D2381" s="916">
        <v>3</v>
      </c>
      <c r="E2381" s="1027" t="s">
        <v>1721</v>
      </c>
      <c r="F2381" s="278" t="s">
        <v>3446</v>
      </c>
      <c r="G2381" s="1040" t="s">
        <v>3463</v>
      </c>
      <c r="H2381" s="273" t="s">
        <v>3462</v>
      </c>
      <c r="I2381" s="720">
        <f t="shared" si="535"/>
        <v>234.27360000000002</v>
      </c>
      <c r="J2381" s="756">
        <v>702.82080000000008</v>
      </c>
      <c r="K2381" s="131">
        <f t="shared" si="523"/>
        <v>702.82080000000008</v>
      </c>
      <c r="L2381" s="335">
        <f t="shared" si="531"/>
        <v>0</v>
      </c>
      <c r="M2381" s="446"/>
      <c r="N2381" s="446"/>
      <c r="O2381" s="446"/>
      <c r="P2381" s="446"/>
      <c r="Q2381" s="130">
        <v>1</v>
      </c>
      <c r="R2381" s="111">
        <f t="shared" si="527"/>
        <v>175.70520000000002</v>
      </c>
      <c r="S2381" s="110"/>
      <c r="T2381" s="110"/>
      <c r="U2381" s="130">
        <v>1</v>
      </c>
      <c r="V2381" s="111">
        <f t="shared" si="529"/>
        <v>175.70520000000002</v>
      </c>
      <c r="W2381" s="110"/>
      <c r="X2381" s="110"/>
      <c r="Y2381" s="110"/>
      <c r="Z2381" s="110"/>
      <c r="AA2381" s="130">
        <v>1</v>
      </c>
      <c r="AB2381" s="111">
        <f t="shared" si="536"/>
        <v>175.70520000000002</v>
      </c>
      <c r="AC2381" s="110"/>
      <c r="AD2381" s="110"/>
      <c r="AE2381" s="130">
        <v>0</v>
      </c>
      <c r="AF2381" s="111">
        <f t="shared" si="537"/>
        <v>175.70520000000002</v>
      </c>
      <c r="AG2381" s="110"/>
      <c r="AH2381" s="110"/>
      <c r="AI2381" s="110"/>
      <c r="AJ2381" s="110"/>
      <c r="AK2381" s="111">
        <f t="shared" si="532"/>
        <v>702.82080000000008</v>
      </c>
      <c r="AL2381" s="446">
        <f t="shared" si="533"/>
        <v>0</v>
      </c>
      <c r="AM2381" s="110">
        <f t="shared" si="534"/>
        <v>3</v>
      </c>
      <c r="AN2381" s="447">
        <f t="shared" si="524"/>
        <v>0</v>
      </c>
      <c r="AO2381"/>
      <c r="AP2381"/>
    </row>
    <row r="2382" spans="1:42" ht="66" x14ac:dyDescent="0.25">
      <c r="A2382" s="9"/>
      <c r="B2382" s="34" t="s">
        <v>1533</v>
      </c>
      <c r="C2382" s="1024"/>
      <c r="D2382" s="916">
        <v>2</v>
      </c>
      <c r="E2382" s="1027" t="s">
        <v>1721</v>
      </c>
      <c r="F2382" s="278" t="s">
        <v>3446</v>
      </c>
      <c r="G2382" s="1040" t="s">
        <v>3463</v>
      </c>
      <c r="H2382" s="273" t="s">
        <v>3462</v>
      </c>
      <c r="I2382" s="720">
        <f t="shared" si="535"/>
        <v>227.38320000000002</v>
      </c>
      <c r="J2382" s="756">
        <v>454.76640000000003</v>
      </c>
      <c r="K2382" s="131">
        <f t="shared" si="523"/>
        <v>454.76640000000003</v>
      </c>
      <c r="L2382" s="335">
        <f t="shared" si="531"/>
        <v>0</v>
      </c>
      <c r="M2382" s="446"/>
      <c r="N2382" s="446"/>
      <c r="O2382" s="446"/>
      <c r="P2382" s="446"/>
      <c r="Q2382" s="130">
        <v>1</v>
      </c>
      <c r="R2382" s="111">
        <f t="shared" si="527"/>
        <v>113.69160000000001</v>
      </c>
      <c r="S2382" s="110"/>
      <c r="T2382" s="110"/>
      <c r="U2382" s="130">
        <v>1</v>
      </c>
      <c r="V2382" s="111">
        <f t="shared" si="529"/>
        <v>113.69160000000001</v>
      </c>
      <c r="W2382" s="110"/>
      <c r="X2382" s="110"/>
      <c r="Y2382" s="110"/>
      <c r="Z2382" s="110"/>
      <c r="AA2382" s="130">
        <v>0</v>
      </c>
      <c r="AB2382" s="111">
        <f t="shared" si="536"/>
        <v>113.69160000000001</v>
      </c>
      <c r="AC2382" s="110"/>
      <c r="AD2382" s="110"/>
      <c r="AE2382" s="130">
        <v>0</v>
      </c>
      <c r="AF2382" s="111">
        <f t="shared" si="537"/>
        <v>113.69160000000001</v>
      </c>
      <c r="AG2382" s="110"/>
      <c r="AH2382" s="110"/>
      <c r="AI2382" s="110"/>
      <c r="AJ2382" s="110"/>
      <c r="AK2382" s="111">
        <f t="shared" si="532"/>
        <v>454.76640000000003</v>
      </c>
      <c r="AL2382" s="446">
        <f t="shared" si="533"/>
        <v>0</v>
      </c>
      <c r="AM2382" s="110">
        <f t="shared" si="534"/>
        <v>2</v>
      </c>
      <c r="AN2382" s="447">
        <f t="shared" si="524"/>
        <v>0</v>
      </c>
      <c r="AO2382"/>
      <c r="AP2382"/>
    </row>
    <row r="2383" spans="1:42" ht="66" x14ac:dyDescent="0.25">
      <c r="A2383" s="9"/>
      <c r="B2383" s="34" t="s">
        <v>611</v>
      </c>
      <c r="C2383" s="1024"/>
      <c r="D2383" s="916">
        <v>4</v>
      </c>
      <c r="E2383" s="1027" t="s">
        <v>1721</v>
      </c>
      <c r="F2383" s="278" t="s">
        <v>3446</v>
      </c>
      <c r="G2383" s="1040" t="s">
        <v>3463</v>
      </c>
      <c r="H2383" s="273" t="s">
        <v>3462</v>
      </c>
      <c r="I2383" s="720">
        <f t="shared" si="535"/>
        <v>117.13680000000001</v>
      </c>
      <c r="J2383" s="756">
        <v>468.54720000000003</v>
      </c>
      <c r="K2383" s="131">
        <f t="shared" si="523"/>
        <v>468.54720000000003</v>
      </c>
      <c r="L2383" s="335">
        <f t="shared" si="531"/>
        <v>0</v>
      </c>
      <c r="M2383" s="446"/>
      <c r="N2383" s="446"/>
      <c r="O2383" s="446"/>
      <c r="P2383" s="446"/>
      <c r="Q2383" s="110">
        <f t="shared" si="526"/>
        <v>1</v>
      </c>
      <c r="R2383" s="111">
        <f t="shared" si="527"/>
        <v>117.13680000000001</v>
      </c>
      <c r="S2383" s="110"/>
      <c r="T2383" s="110"/>
      <c r="U2383" s="110">
        <f t="shared" si="528"/>
        <v>1</v>
      </c>
      <c r="V2383" s="111">
        <f t="shared" si="529"/>
        <v>117.13680000000001</v>
      </c>
      <c r="W2383" s="110"/>
      <c r="X2383" s="110"/>
      <c r="Y2383" s="110"/>
      <c r="Z2383" s="110"/>
      <c r="AA2383" s="110">
        <f t="shared" si="530"/>
        <v>1</v>
      </c>
      <c r="AB2383" s="111">
        <f t="shared" si="536"/>
        <v>117.13680000000001</v>
      </c>
      <c r="AC2383" s="110"/>
      <c r="AD2383" s="110"/>
      <c r="AE2383" s="110">
        <f t="shared" si="530"/>
        <v>1</v>
      </c>
      <c r="AF2383" s="111">
        <f t="shared" si="537"/>
        <v>117.13680000000001</v>
      </c>
      <c r="AG2383" s="110"/>
      <c r="AH2383" s="110"/>
      <c r="AI2383" s="110"/>
      <c r="AJ2383" s="110"/>
      <c r="AK2383" s="111">
        <f t="shared" si="532"/>
        <v>468.54720000000003</v>
      </c>
      <c r="AL2383" s="446">
        <f t="shared" si="533"/>
        <v>0</v>
      </c>
      <c r="AM2383" s="110">
        <f t="shared" si="534"/>
        <v>4</v>
      </c>
      <c r="AN2383" s="447">
        <f t="shared" si="524"/>
        <v>0</v>
      </c>
      <c r="AO2383"/>
      <c r="AP2383"/>
    </row>
    <row r="2384" spans="1:42" ht="66" x14ac:dyDescent="0.25">
      <c r="A2384" s="9"/>
      <c r="B2384" s="34" t="s">
        <v>1534</v>
      </c>
      <c r="C2384" s="1024"/>
      <c r="D2384" s="916">
        <v>1</v>
      </c>
      <c r="E2384" s="1027" t="s">
        <v>1721</v>
      </c>
      <c r="F2384" s="278" t="s">
        <v>3446</v>
      </c>
      <c r="G2384" s="1040" t="s">
        <v>3463</v>
      </c>
      <c r="H2384" s="273" t="s">
        <v>3462</v>
      </c>
      <c r="I2384" s="720">
        <f t="shared" si="535"/>
        <v>1722.6</v>
      </c>
      <c r="J2384" s="756">
        <v>1722.6</v>
      </c>
      <c r="K2384" s="131">
        <f t="shared" si="523"/>
        <v>1722.6</v>
      </c>
      <c r="L2384" s="335">
        <f t="shared" si="531"/>
        <v>0</v>
      </c>
      <c r="M2384" s="446"/>
      <c r="N2384" s="446"/>
      <c r="O2384" s="446"/>
      <c r="P2384" s="446"/>
      <c r="Q2384" s="110">
        <v>1</v>
      </c>
      <c r="R2384" s="111">
        <f t="shared" si="527"/>
        <v>430.65</v>
      </c>
      <c r="S2384" s="110"/>
      <c r="T2384" s="110"/>
      <c r="U2384" s="110">
        <v>0</v>
      </c>
      <c r="V2384" s="111">
        <f t="shared" si="529"/>
        <v>430.65</v>
      </c>
      <c r="W2384" s="110"/>
      <c r="X2384" s="110"/>
      <c r="Y2384" s="110"/>
      <c r="Z2384" s="110"/>
      <c r="AA2384" s="110">
        <v>0</v>
      </c>
      <c r="AB2384" s="111">
        <f t="shared" si="536"/>
        <v>430.65</v>
      </c>
      <c r="AC2384" s="110"/>
      <c r="AD2384" s="110"/>
      <c r="AE2384" s="110">
        <v>0</v>
      </c>
      <c r="AF2384" s="111">
        <f t="shared" si="537"/>
        <v>430.65</v>
      </c>
      <c r="AG2384" s="110"/>
      <c r="AH2384" s="110"/>
      <c r="AI2384" s="110"/>
      <c r="AJ2384" s="110"/>
      <c r="AK2384" s="111">
        <f t="shared" si="532"/>
        <v>1722.6</v>
      </c>
      <c r="AL2384" s="446">
        <f t="shared" si="533"/>
        <v>0</v>
      </c>
      <c r="AM2384" s="110">
        <f t="shared" si="534"/>
        <v>1</v>
      </c>
      <c r="AN2384" s="447">
        <f t="shared" si="524"/>
        <v>0</v>
      </c>
      <c r="AO2384"/>
      <c r="AP2384"/>
    </row>
    <row r="2385" spans="1:42" ht="66" x14ac:dyDescent="0.25">
      <c r="A2385" s="9"/>
      <c r="B2385" s="34" t="s">
        <v>612</v>
      </c>
      <c r="C2385" s="1024"/>
      <c r="D2385" s="869">
        <v>1</v>
      </c>
      <c r="E2385" s="1027" t="s">
        <v>1721</v>
      </c>
      <c r="F2385" s="278" t="s">
        <v>3446</v>
      </c>
      <c r="G2385" s="1040" t="s">
        <v>3463</v>
      </c>
      <c r="H2385" s="273" t="s">
        <v>3462</v>
      </c>
      <c r="I2385" s="720">
        <f t="shared" si="535"/>
        <v>2273.6</v>
      </c>
      <c r="J2385" s="756">
        <v>2273.6</v>
      </c>
      <c r="K2385" s="131">
        <f t="shared" si="523"/>
        <v>2273.6</v>
      </c>
      <c r="L2385" s="335">
        <f t="shared" si="531"/>
        <v>0</v>
      </c>
      <c r="M2385" s="446"/>
      <c r="N2385" s="446"/>
      <c r="O2385" s="446"/>
      <c r="P2385" s="446"/>
      <c r="Q2385" s="110">
        <v>1</v>
      </c>
      <c r="R2385" s="111">
        <f t="shared" si="527"/>
        <v>568.4</v>
      </c>
      <c r="S2385" s="110"/>
      <c r="T2385" s="110"/>
      <c r="U2385" s="110">
        <v>0</v>
      </c>
      <c r="V2385" s="111">
        <f t="shared" si="529"/>
        <v>568.4</v>
      </c>
      <c r="W2385" s="110"/>
      <c r="X2385" s="110"/>
      <c r="Y2385" s="110"/>
      <c r="Z2385" s="110"/>
      <c r="AA2385" s="110">
        <v>0</v>
      </c>
      <c r="AB2385" s="111">
        <f t="shared" si="536"/>
        <v>568.4</v>
      </c>
      <c r="AC2385" s="110"/>
      <c r="AD2385" s="110"/>
      <c r="AE2385" s="110">
        <v>0</v>
      </c>
      <c r="AF2385" s="111">
        <f t="shared" si="537"/>
        <v>568.4</v>
      </c>
      <c r="AG2385" s="110"/>
      <c r="AH2385" s="110"/>
      <c r="AI2385" s="110"/>
      <c r="AJ2385" s="110"/>
      <c r="AK2385" s="111">
        <f t="shared" si="532"/>
        <v>2273.6</v>
      </c>
      <c r="AL2385" s="446">
        <f t="shared" si="533"/>
        <v>0</v>
      </c>
      <c r="AM2385" s="110">
        <f t="shared" si="534"/>
        <v>1</v>
      </c>
      <c r="AN2385" s="447">
        <f t="shared" si="524"/>
        <v>0</v>
      </c>
      <c r="AO2385"/>
      <c r="AP2385"/>
    </row>
    <row r="2386" spans="1:42" ht="66" x14ac:dyDescent="0.25">
      <c r="A2386" s="433"/>
      <c r="B2386" s="37" t="s">
        <v>1742</v>
      </c>
      <c r="C2386" s="9"/>
      <c r="D2386" s="869">
        <v>3</v>
      </c>
      <c r="E2386" s="1027" t="s">
        <v>1736</v>
      </c>
      <c r="F2386" s="278" t="s">
        <v>3446</v>
      </c>
      <c r="G2386" s="1040" t="s">
        <v>3463</v>
      </c>
      <c r="H2386" s="273" t="s">
        <v>3462</v>
      </c>
      <c r="I2386" s="720">
        <f t="shared" si="535"/>
        <v>75.793333333333337</v>
      </c>
      <c r="J2386" s="756">
        <v>227.38</v>
      </c>
      <c r="K2386" s="131">
        <f t="shared" si="523"/>
        <v>227.38</v>
      </c>
      <c r="L2386" s="335">
        <f t="shared" si="531"/>
        <v>0</v>
      </c>
      <c r="M2386" s="446"/>
      <c r="N2386" s="446"/>
      <c r="O2386" s="446"/>
      <c r="P2386" s="446"/>
      <c r="Q2386" s="130">
        <v>1</v>
      </c>
      <c r="R2386" s="111">
        <f t="shared" si="527"/>
        <v>56.844999999999999</v>
      </c>
      <c r="S2386" s="110"/>
      <c r="T2386" s="110"/>
      <c r="U2386" s="130">
        <v>1</v>
      </c>
      <c r="V2386" s="111">
        <f t="shared" si="529"/>
        <v>56.844999999999999</v>
      </c>
      <c r="W2386" s="110"/>
      <c r="X2386" s="110"/>
      <c r="Y2386" s="110"/>
      <c r="Z2386" s="110"/>
      <c r="AA2386" s="130">
        <v>1</v>
      </c>
      <c r="AB2386" s="111">
        <f t="shared" si="536"/>
        <v>56.844999999999999</v>
      </c>
      <c r="AC2386" s="110"/>
      <c r="AD2386" s="110"/>
      <c r="AE2386" s="130">
        <v>0</v>
      </c>
      <c r="AF2386" s="111">
        <f t="shared" si="537"/>
        <v>56.844999999999999</v>
      </c>
      <c r="AG2386" s="110"/>
      <c r="AH2386" s="110"/>
      <c r="AI2386" s="110"/>
      <c r="AJ2386" s="110"/>
      <c r="AK2386" s="111">
        <f t="shared" si="532"/>
        <v>227.38</v>
      </c>
      <c r="AL2386" s="446">
        <f t="shared" si="533"/>
        <v>0</v>
      </c>
      <c r="AM2386" s="110">
        <f t="shared" si="534"/>
        <v>3</v>
      </c>
      <c r="AN2386" s="447">
        <f t="shared" si="524"/>
        <v>0</v>
      </c>
      <c r="AO2386"/>
      <c r="AP2386"/>
    </row>
    <row r="2387" spans="1:42" ht="66" x14ac:dyDescent="0.25">
      <c r="A2387" s="433"/>
      <c r="B2387" s="495" t="s">
        <v>3019</v>
      </c>
      <c r="C2387" s="9"/>
      <c r="D2387" s="882">
        <v>1</v>
      </c>
      <c r="E2387" s="251" t="s">
        <v>2938</v>
      </c>
      <c r="F2387" s="278" t="s">
        <v>3446</v>
      </c>
      <c r="G2387" s="1040" t="s">
        <v>3463</v>
      </c>
      <c r="H2387" s="273" t="s">
        <v>3462</v>
      </c>
      <c r="I2387" s="720">
        <f t="shared" si="535"/>
        <v>314.82</v>
      </c>
      <c r="J2387" s="756">
        <v>314.82</v>
      </c>
      <c r="K2387" s="131">
        <f t="shared" si="523"/>
        <v>314.82</v>
      </c>
      <c r="L2387" s="335">
        <f t="shared" si="531"/>
        <v>0</v>
      </c>
      <c r="M2387" s="446"/>
      <c r="N2387" s="446"/>
      <c r="O2387" s="446"/>
      <c r="P2387" s="446"/>
      <c r="Q2387" s="110">
        <v>1</v>
      </c>
      <c r="R2387" s="111">
        <f t="shared" si="527"/>
        <v>78.704999999999998</v>
      </c>
      <c r="S2387" s="110"/>
      <c r="T2387" s="110"/>
      <c r="U2387" s="110">
        <v>0</v>
      </c>
      <c r="V2387" s="111">
        <f t="shared" si="529"/>
        <v>78.704999999999998</v>
      </c>
      <c r="W2387" s="110"/>
      <c r="X2387" s="110"/>
      <c r="Y2387" s="110"/>
      <c r="Z2387" s="110"/>
      <c r="AA2387" s="110">
        <v>0</v>
      </c>
      <c r="AB2387" s="111">
        <f t="shared" si="536"/>
        <v>78.704999999999998</v>
      </c>
      <c r="AC2387" s="110"/>
      <c r="AD2387" s="110"/>
      <c r="AE2387" s="110">
        <v>0</v>
      </c>
      <c r="AF2387" s="111">
        <f t="shared" si="537"/>
        <v>78.704999999999998</v>
      </c>
      <c r="AG2387" s="110"/>
      <c r="AH2387" s="110"/>
      <c r="AI2387" s="110"/>
      <c r="AJ2387" s="110"/>
      <c r="AK2387" s="111">
        <f t="shared" si="532"/>
        <v>314.82</v>
      </c>
      <c r="AL2387" s="446">
        <f t="shared" si="533"/>
        <v>0</v>
      </c>
      <c r="AM2387" s="110">
        <f t="shared" si="534"/>
        <v>1</v>
      </c>
      <c r="AN2387" s="447">
        <f t="shared" si="524"/>
        <v>0</v>
      </c>
      <c r="AO2387"/>
      <c r="AP2387"/>
    </row>
    <row r="2388" spans="1:42" ht="66" x14ac:dyDescent="0.25">
      <c r="A2388" s="433"/>
      <c r="B2388" s="601" t="s">
        <v>3020</v>
      </c>
      <c r="C2388" s="9"/>
      <c r="D2388" s="882">
        <v>1</v>
      </c>
      <c r="E2388" s="251" t="s">
        <v>1767</v>
      </c>
      <c r="F2388" s="278" t="s">
        <v>3446</v>
      </c>
      <c r="G2388" s="1040" t="s">
        <v>3463</v>
      </c>
      <c r="H2388" s="273" t="s">
        <v>3462</v>
      </c>
      <c r="I2388" s="720">
        <f t="shared" si="535"/>
        <v>100.98</v>
      </c>
      <c r="J2388" s="756">
        <v>100.98</v>
      </c>
      <c r="K2388" s="131">
        <f t="shared" si="523"/>
        <v>100.98</v>
      </c>
      <c r="L2388" s="335">
        <f t="shared" si="531"/>
        <v>0</v>
      </c>
      <c r="M2388" s="446"/>
      <c r="N2388" s="446"/>
      <c r="O2388" s="446"/>
      <c r="P2388" s="446"/>
      <c r="Q2388" s="110">
        <v>1</v>
      </c>
      <c r="R2388" s="111">
        <f t="shared" si="527"/>
        <v>25.245000000000001</v>
      </c>
      <c r="S2388" s="110"/>
      <c r="T2388" s="110"/>
      <c r="U2388" s="110">
        <v>0</v>
      </c>
      <c r="V2388" s="111">
        <f t="shared" si="529"/>
        <v>25.245000000000001</v>
      </c>
      <c r="W2388" s="110"/>
      <c r="X2388" s="110"/>
      <c r="Y2388" s="110"/>
      <c r="Z2388" s="110"/>
      <c r="AA2388" s="110">
        <v>0</v>
      </c>
      <c r="AB2388" s="111">
        <f t="shared" si="536"/>
        <v>25.245000000000001</v>
      </c>
      <c r="AC2388" s="110"/>
      <c r="AD2388" s="110"/>
      <c r="AE2388" s="110">
        <v>0</v>
      </c>
      <c r="AF2388" s="111">
        <f t="shared" si="537"/>
        <v>25.245000000000001</v>
      </c>
      <c r="AG2388" s="110"/>
      <c r="AH2388" s="110"/>
      <c r="AI2388" s="110"/>
      <c r="AJ2388" s="110"/>
      <c r="AK2388" s="111">
        <f t="shared" si="532"/>
        <v>100.98</v>
      </c>
      <c r="AL2388" s="446">
        <f t="shared" si="533"/>
        <v>0</v>
      </c>
      <c r="AM2388" s="110">
        <f t="shared" si="534"/>
        <v>1</v>
      </c>
      <c r="AN2388" s="447">
        <f t="shared" si="524"/>
        <v>0</v>
      </c>
      <c r="AO2388"/>
      <c r="AP2388"/>
    </row>
    <row r="2389" spans="1:42" ht="66" x14ac:dyDescent="0.25">
      <c r="A2389" s="433"/>
      <c r="B2389" s="601" t="s">
        <v>1741</v>
      </c>
      <c r="C2389" s="9"/>
      <c r="D2389" s="882">
        <v>1</v>
      </c>
      <c r="E2389" s="251" t="s">
        <v>1767</v>
      </c>
      <c r="F2389" s="278" t="s">
        <v>3446</v>
      </c>
      <c r="G2389" s="1040" t="s">
        <v>3463</v>
      </c>
      <c r="H2389" s="273" t="s">
        <v>3462</v>
      </c>
      <c r="I2389" s="720">
        <f t="shared" si="535"/>
        <v>65.34</v>
      </c>
      <c r="J2389" s="756">
        <v>65.34</v>
      </c>
      <c r="K2389" s="131">
        <f t="shared" si="523"/>
        <v>65.34</v>
      </c>
      <c r="L2389" s="335">
        <f t="shared" si="531"/>
        <v>0</v>
      </c>
      <c r="M2389" s="446"/>
      <c r="N2389" s="446"/>
      <c r="O2389" s="446"/>
      <c r="P2389" s="446"/>
      <c r="Q2389" s="110">
        <v>1</v>
      </c>
      <c r="R2389" s="111">
        <f t="shared" si="527"/>
        <v>16.335000000000001</v>
      </c>
      <c r="S2389" s="110"/>
      <c r="T2389" s="110"/>
      <c r="U2389" s="110">
        <v>0</v>
      </c>
      <c r="V2389" s="111">
        <f t="shared" si="529"/>
        <v>16.335000000000001</v>
      </c>
      <c r="W2389" s="110"/>
      <c r="X2389" s="110"/>
      <c r="Y2389" s="110"/>
      <c r="Z2389" s="110"/>
      <c r="AA2389" s="110">
        <v>0</v>
      </c>
      <c r="AB2389" s="111">
        <f t="shared" si="536"/>
        <v>16.335000000000001</v>
      </c>
      <c r="AC2389" s="110"/>
      <c r="AD2389" s="110"/>
      <c r="AE2389" s="110">
        <v>0</v>
      </c>
      <c r="AF2389" s="111">
        <f t="shared" si="537"/>
        <v>16.335000000000001</v>
      </c>
      <c r="AG2389" s="110"/>
      <c r="AH2389" s="110"/>
      <c r="AI2389" s="110"/>
      <c r="AJ2389" s="110"/>
      <c r="AK2389" s="111">
        <f t="shared" si="532"/>
        <v>65.34</v>
      </c>
      <c r="AL2389" s="446">
        <f t="shared" si="533"/>
        <v>0</v>
      </c>
      <c r="AM2389" s="110">
        <f t="shared" si="534"/>
        <v>1</v>
      </c>
      <c r="AN2389" s="447">
        <f t="shared" si="524"/>
        <v>0</v>
      </c>
      <c r="AO2389"/>
      <c r="AP2389"/>
    </row>
    <row r="2390" spans="1:42" ht="66" x14ac:dyDescent="0.25">
      <c r="A2390" s="433"/>
      <c r="B2390" s="601" t="s">
        <v>3021</v>
      </c>
      <c r="C2390" s="9"/>
      <c r="D2390" s="882">
        <v>11</v>
      </c>
      <c r="E2390" s="251" t="s">
        <v>1767</v>
      </c>
      <c r="F2390" s="278" t="s">
        <v>3446</v>
      </c>
      <c r="G2390" s="1040" t="s">
        <v>3463</v>
      </c>
      <c r="H2390" s="273" t="s">
        <v>3462</v>
      </c>
      <c r="I2390" s="720">
        <f t="shared" si="535"/>
        <v>100.57999999999998</v>
      </c>
      <c r="J2390" s="756">
        <v>1106.3799999999999</v>
      </c>
      <c r="K2390" s="131">
        <f t="shared" si="523"/>
        <v>1106.3799999999999</v>
      </c>
      <c r="L2390" s="335">
        <f t="shared" si="531"/>
        <v>0</v>
      </c>
      <c r="M2390" s="446"/>
      <c r="N2390" s="446"/>
      <c r="O2390" s="446"/>
      <c r="P2390" s="446"/>
      <c r="Q2390" s="110">
        <v>3</v>
      </c>
      <c r="R2390" s="111">
        <f t="shared" si="527"/>
        <v>276.59499999999997</v>
      </c>
      <c r="S2390" s="110"/>
      <c r="T2390" s="110"/>
      <c r="U2390" s="110">
        <v>3</v>
      </c>
      <c r="V2390" s="111">
        <f t="shared" si="529"/>
        <v>276.59499999999997</v>
      </c>
      <c r="W2390" s="110"/>
      <c r="X2390" s="110"/>
      <c r="Y2390" s="110"/>
      <c r="Z2390" s="110"/>
      <c r="AA2390" s="110">
        <v>3</v>
      </c>
      <c r="AB2390" s="111">
        <f t="shared" si="536"/>
        <v>276.59499999999997</v>
      </c>
      <c r="AC2390" s="110"/>
      <c r="AD2390" s="110"/>
      <c r="AE2390" s="110">
        <v>2</v>
      </c>
      <c r="AF2390" s="111">
        <f t="shared" si="537"/>
        <v>276.59499999999997</v>
      </c>
      <c r="AG2390" s="110"/>
      <c r="AH2390" s="110"/>
      <c r="AI2390" s="110"/>
      <c r="AJ2390" s="110"/>
      <c r="AK2390" s="111">
        <f t="shared" si="532"/>
        <v>1106.3799999999999</v>
      </c>
      <c r="AL2390" s="446">
        <f t="shared" si="533"/>
        <v>0</v>
      </c>
      <c r="AM2390" s="110">
        <f t="shared" si="534"/>
        <v>11</v>
      </c>
      <c r="AN2390" s="447">
        <f t="shared" si="524"/>
        <v>0</v>
      </c>
      <c r="AO2390"/>
      <c r="AP2390"/>
    </row>
    <row r="2391" spans="1:42" ht="66" x14ac:dyDescent="0.25">
      <c r="A2391" s="433"/>
      <c r="B2391" s="601" t="s">
        <v>3022</v>
      </c>
      <c r="C2391" s="9"/>
      <c r="D2391" s="882">
        <v>1</v>
      </c>
      <c r="E2391" s="251" t="s">
        <v>1767</v>
      </c>
      <c r="F2391" s="278" t="s">
        <v>3446</v>
      </c>
      <c r="G2391" s="1040" t="s">
        <v>3463</v>
      </c>
      <c r="H2391" s="273" t="s">
        <v>3462</v>
      </c>
      <c r="I2391" s="720">
        <f t="shared" si="535"/>
        <v>97.192223999999996</v>
      </c>
      <c r="J2391" s="756">
        <v>97.192223999999996</v>
      </c>
      <c r="K2391" s="131">
        <f t="shared" si="523"/>
        <v>97.192223999999996</v>
      </c>
      <c r="L2391" s="335">
        <f t="shared" si="531"/>
        <v>0</v>
      </c>
      <c r="M2391" s="446"/>
      <c r="N2391" s="446"/>
      <c r="O2391" s="446"/>
      <c r="P2391" s="446"/>
      <c r="Q2391" s="110">
        <v>1</v>
      </c>
      <c r="R2391" s="111">
        <f t="shared" si="527"/>
        <v>24.298055999999999</v>
      </c>
      <c r="S2391" s="110"/>
      <c r="T2391" s="110"/>
      <c r="U2391" s="110">
        <v>0</v>
      </c>
      <c r="V2391" s="111">
        <f t="shared" si="529"/>
        <v>24.298055999999999</v>
      </c>
      <c r="W2391" s="110"/>
      <c r="X2391" s="110"/>
      <c r="Y2391" s="110"/>
      <c r="Z2391" s="110"/>
      <c r="AA2391" s="110">
        <v>0</v>
      </c>
      <c r="AB2391" s="111">
        <f t="shared" si="536"/>
        <v>24.298055999999999</v>
      </c>
      <c r="AC2391" s="110"/>
      <c r="AD2391" s="110"/>
      <c r="AE2391" s="110">
        <v>0</v>
      </c>
      <c r="AF2391" s="111">
        <f t="shared" si="537"/>
        <v>24.298055999999999</v>
      </c>
      <c r="AG2391" s="110"/>
      <c r="AH2391" s="110"/>
      <c r="AI2391" s="110"/>
      <c r="AJ2391" s="110"/>
      <c r="AK2391" s="111">
        <f t="shared" si="532"/>
        <v>97.192223999999996</v>
      </c>
      <c r="AL2391" s="446">
        <f t="shared" si="533"/>
        <v>0</v>
      </c>
      <c r="AM2391" s="110">
        <f t="shared" si="534"/>
        <v>1</v>
      </c>
      <c r="AN2391" s="447">
        <f t="shared" si="524"/>
        <v>0</v>
      </c>
      <c r="AO2391"/>
      <c r="AP2391"/>
    </row>
    <row r="2392" spans="1:42" ht="66" x14ac:dyDescent="0.25">
      <c r="A2392" s="433"/>
      <c r="B2392" s="601" t="s">
        <v>3023</v>
      </c>
      <c r="C2392" s="9"/>
      <c r="D2392" s="882">
        <v>1</v>
      </c>
      <c r="E2392" s="251" t="s">
        <v>1767</v>
      </c>
      <c r="F2392" s="278" t="s">
        <v>3446</v>
      </c>
      <c r="G2392" s="1040" t="s">
        <v>3463</v>
      </c>
      <c r="H2392" s="273" t="s">
        <v>3462</v>
      </c>
      <c r="I2392" s="720">
        <f t="shared" si="535"/>
        <v>261.36</v>
      </c>
      <c r="J2392" s="756">
        <v>261.36</v>
      </c>
      <c r="K2392" s="131">
        <f t="shared" si="523"/>
        <v>261.36</v>
      </c>
      <c r="L2392" s="335">
        <f t="shared" si="531"/>
        <v>0</v>
      </c>
      <c r="M2392" s="446"/>
      <c r="N2392" s="446"/>
      <c r="O2392" s="446"/>
      <c r="P2392" s="446"/>
      <c r="Q2392" s="110">
        <v>1</v>
      </c>
      <c r="R2392" s="111">
        <f t="shared" si="527"/>
        <v>65.34</v>
      </c>
      <c r="S2392" s="110"/>
      <c r="T2392" s="110"/>
      <c r="U2392" s="110">
        <v>0</v>
      </c>
      <c r="V2392" s="111">
        <f t="shared" si="529"/>
        <v>65.34</v>
      </c>
      <c r="W2392" s="110"/>
      <c r="X2392" s="110"/>
      <c r="Y2392" s="110"/>
      <c r="Z2392" s="110"/>
      <c r="AA2392" s="110">
        <v>0</v>
      </c>
      <c r="AB2392" s="111">
        <f t="shared" si="536"/>
        <v>65.34</v>
      </c>
      <c r="AC2392" s="110"/>
      <c r="AD2392" s="110"/>
      <c r="AE2392" s="110">
        <v>0</v>
      </c>
      <c r="AF2392" s="111">
        <f t="shared" si="537"/>
        <v>65.34</v>
      </c>
      <c r="AG2392" s="110"/>
      <c r="AH2392" s="110"/>
      <c r="AI2392" s="110"/>
      <c r="AJ2392" s="110"/>
      <c r="AK2392" s="111">
        <f t="shared" si="532"/>
        <v>261.36</v>
      </c>
      <c r="AL2392" s="446">
        <f t="shared" si="533"/>
        <v>0</v>
      </c>
      <c r="AM2392" s="110">
        <f t="shared" si="534"/>
        <v>1</v>
      </c>
      <c r="AN2392" s="447">
        <f t="shared" si="524"/>
        <v>0</v>
      </c>
      <c r="AO2392"/>
      <c r="AP2392"/>
    </row>
    <row r="2393" spans="1:42" ht="66" x14ac:dyDescent="0.25">
      <c r="A2393" s="433"/>
      <c r="B2393" s="601" t="s">
        <v>3024</v>
      </c>
      <c r="C2393" s="9"/>
      <c r="D2393" s="882">
        <v>1</v>
      </c>
      <c r="E2393" s="251" t="s">
        <v>1767</v>
      </c>
      <c r="F2393" s="278" t="s">
        <v>3446</v>
      </c>
      <c r="G2393" s="1040" t="s">
        <v>3463</v>
      </c>
      <c r="H2393" s="273" t="s">
        <v>3462</v>
      </c>
      <c r="I2393" s="720">
        <f t="shared" si="535"/>
        <v>700</v>
      </c>
      <c r="J2393" s="756">
        <v>700</v>
      </c>
      <c r="K2393" s="131">
        <f t="shared" si="523"/>
        <v>700</v>
      </c>
      <c r="L2393" s="335">
        <f t="shared" si="531"/>
        <v>0</v>
      </c>
      <c r="M2393" s="446"/>
      <c r="N2393" s="446"/>
      <c r="O2393" s="446"/>
      <c r="P2393" s="446"/>
      <c r="Q2393" s="110">
        <v>1</v>
      </c>
      <c r="R2393" s="111">
        <f t="shared" si="527"/>
        <v>175</v>
      </c>
      <c r="S2393" s="110"/>
      <c r="T2393" s="110"/>
      <c r="U2393" s="110">
        <v>0</v>
      </c>
      <c r="V2393" s="111">
        <f t="shared" si="529"/>
        <v>175</v>
      </c>
      <c r="W2393" s="110"/>
      <c r="X2393" s="110"/>
      <c r="Y2393" s="110"/>
      <c r="Z2393" s="110"/>
      <c r="AA2393" s="110">
        <v>0</v>
      </c>
      <c r="AB2393" s="111">
        <f t="shared" si="536"/>
        <v>175</v>
      </c>
      <c r="AC2393" s="110"/>
      <c r="AD2393" s="110"/>
      <c r="AE2393" s="110">
        <v>0</v>
      </c>
      <c r="AF2393" s="111">
        <f t="shared" si="537"/>
        <v>175</v>
      </c>
      <c r="AG2393" s="110"/>
      <c r="AH2393" s="110"/>
      <c r="AI2393" s="110"/>
      <c r="AJ2393" s="110"/>
      <c r="AK2393" s="111">
        <f t="shared" si="532"/>
        <v>700</v>
      </c>
      <c r="AL2393" s="446">
        <f t="shared" si="533"/>
        <v>0</v>
      </c>
      <c r="AM2393" s="110">
        <f t="shared" si="534"/>
        <v>1</v>
      </c>
      <c r="AN2393" s="447">
        <f t="shared" si="524"/>
        <v>0</v>
      </c>
      <c r="AO2393"/>
      <c r="AP2393"/>
    </row>
    <row r="2394" spans="1:42" ht="66" x14ac:dyDescent="0.25">
      <c r="A2394" s="433"/>
      <c r="B2394" s="601" t="s">
        <v>3025</v>
      </c>
      <c r="C2394" s="9"/>
      <c r="D2394" s="882">
        <v>1</v>
      </c>
      <c r="E2394" s="251" t="s">
        <v>1767</v>
      </c>
      <c r="F2394" s="278" t="s">
        <v>3446</v>
      </c>
      <c r="G2394" s="1040" t="s">
        <v>3463</v>
      </c>
      <c r="H2394" s="273" t="s">
        <v>3462</v>
      </c>
      <c r="I2394" s="720">
        <f t="shared" si="535"/>
        <v>2793.96</v>
      </c>
      <c r="J2394" s="756">
        <v>2793.96</v>
      </c>
      <c r="K2394" s="131">
        <f t="shared" ref="K2394:K2457" si="538">+D2394*I2394</f>
        <v>2793.96</v>
      </c>
      <c r="L2394" s="335">
        <f t="shared" si="531"/>
        <v>0</v>
      </c>
      <c r="M2394" s="446"/>
      <c r="N2394" s="446"/>
      <c r="O2394" s="446"/>
      <c r="P2394" s="446"/>
      <c r="Q2394" s="110">
        <v>1</v>
      </c>
      <c r="R2394" s="111">
        <f t="shared" si="527"/>
        <v>698.49</v>
      </c>
      <c r="S2394" s="110"/>
      <c r="T2394" s="110"/>
      <c r="U2394" s="110">
        <v>0</v>
      </c>
      <c r="V2394" s="111">
        <f t="shared" si="529"/>
        <v>698.49</v>
      </c>
      <c r="W2394" s="110"/>
      <c r="X2394" s="110"/>
      <c r="Y2394" s="110"/>
      <c r="Z2394" s="110"/>
      <c r="AA2394" s="110">
        <v>0</v>
      </c>
      <c r="AB2394" s="111">
        <f t="shared" si="536"/>
        <v>698.49</v>
      </c>
      <c r="AC2394" s="110"/>
      <c r="AD2394" s="110"/>
      <c r="AE2394" s="110">
        <v>0</v>
      </c>
      <c r="AF2394" s="111">
        <f t="shared" si="537"/>
        <v>698.49</v>
      </c>
      <c r="AG2394" s="110"/>
      <c r="AH2394" s="110"/>
      <c r="AI2394" s="110"/>
      <c r="AJ2394" s="110"/>
      <c r="AK2394" s="111">
        <f t="shared" si="532"/>
        <v>2793.96</v>
      </c>
      <c r="AL2394" s="446">
        <f t="shared" si="533"/>
        <v>0</v>
      </c>
      <c r="AM2394" s="110">
        <f t="shared" si="534"/>
        <v>1</v>
      </c>
      <c r="AN2394" s="447">
        <f t="shared" ref="AN2394:AN2457" si="539">+D2394-AM2394</f>
        <v>0</v>
      </c>
      <c r="AO2394"/>
      <c r="AP2394"/>
    </row>
    <row r="2395" spans="1:42" ht="66" x14ac:dyDescent="0.25">
      <c r="A2395" s="433"/>
      <c r="B2395" s="601" t="s">
        <v>3026</v>
      </c>
      <c r="C2395" s="9"/>
      <c r="D2395" s="882">
        <v>1</v>
      </c>
      <c r="E2395" s="251" t="s">
        <v>1767</v>
      </c>
      <c r="F2395" s="278" t="s">
        <v>3446</v>
      </c>
      <c r="G2395" s="1040" t="s">
        <v>3463</v>
      </c>
      <c r="H2395" s="273" t="s">
        <v>3462</v>
      </c>
      <c r="I2395" s="720">
        <f t="shared" si="535"/>
        <v>48.602376000000007</v>
      </c>
      <c r="J2395" s="756">
        <v>48.602376000000007</v>
      </c>
      <c r="K2395" s="131">
        <f t="shared" si="538"/>
        <v>48.602376000000007</v>
      </c>
      <c r="L2395" s="335">
        <f t="shared" si="531"/>
        <v>0</v>
      </c>
      <c r="M2395" s="446"/>
      <c r="N2395" s="446"/>
      <c r="O2395" s="446"/>
      <c r="P2395" s="446"/>
      <c r="Q2395" s="110">
        <v>1</v>
      </c>
      <c r="R2395" s="111">
        <f t="shared" si="527"/>
        <v>12.150594000000002</v>
      </c>
      <c r="S2395" s="110"/>
      <c r="T2395" s="110"/>
      <c r="U2395" s="110">
        <v>0</v>
      </c>
      <c r="V2395" s="111">
        <f t="shared" si="529"/>
        <v>12.150594000000002</v>
      </c>
      <c r="W2395" s="110"/>
      <c r="X2395" s="110"/>
      <c r="Y2395" s="110"/>
      <c r="Z2395" s="110"/>
      <c r="AA2395" s="110">
        <v>0</v>
      </c>
      <c r="AB2395" s="111">
        <f t="shared" si="536"/>
        <v>12.150594000000002</v>
      </c>
      <c r="AC2395" s="110"/>
      <c r="AD2395" s="110"/>
      <c r="AE2395" s="110">
        <v>0</v>
      </c>
      <c r="AF2395" s="111">
        <f t="shared" si="537"/>
        <v>12.150594000000002</v>
      </c>
      <c r="AG2395" s="110"/>
      <c r="AH2395" s="110"/>
      <c r="AI2395" s="110"/>
      <c r="AJ2395" s="110"/>
      <c r="AK2395" s="111">
        <f t="shared" si="532"/>
        <v>48.602376000000007</v>
      </c>
      <c r="AL2395" s="446">
        <f t="shared" si="533"/>
        <v>0</v>
      </c>
      <c r="AM2395" s="110">
        <f t="shared" si="534"/>
        <v>1</v>
      </c>
      <c r="AN2395" s="447">
        <f t="shared" si="539"/>
        <v>0</v>
      </c>
      <c r="AO2395"/>
      <c r="AP2395"/>
    </row>
    <row r="2396" spans="1:42" ht="66" x14ac:dyDescent="0.25">
      <c r="A2396" s="433"/>
      <c r="B2396" s="601" t="s">
        <v>3027</v>
      </c>
      <c r="C2396" s="9"/>
      <c r="D2396" s="882">
        <v>1</v>
      </c>
      <c r="E2396" s="251" t="s">
        <v>1767</v>
      </c>
      <c r="F2396" s="278" t="s">
        <v>3446</v>
      </c>
      <c r="G2396" s="1040" t="s">
        <v>3463</v>
      </c>
      <c r="H2396" s="273" t="s">
        <v>3462</v>
      </c>
      <c r="I2396" s="720">
        <f t="shared" si="535"/>
        <v>243.54</v>
      </c>
      <c r="J2396" s="756">
        <v>243.54</v>
      </c>
      <c r="K2396" s="131">
        <f t="shared" si="538"/>
        <v>243.54</v>
      </c>
      <c r="L2396" s="335">
        <f t="shared" si="531"/>
        <v>0</v>
      </c>
      <c r="M2396" s="446"/>
      <c r="N2396" s="446"/>
      <c r="O2396" s="446"/>
      <c r="P2396" s="446"/>
      <c r="Q2396" s="110">
        <v>1</v>
      </c>
      <c r="R2396" s="111">
        <f t="shared" si="527"/>
        <v>60.884999999999998</v>
      </c>
      <c r="S2396" s="110"/>
      <c r="T2396" s="110"/>
      <c r="U2396" s="110">
        <v>0</v>
      </c>
      <c r="V2396" s="111">
        <f t="shared" si="529"/>
        <v>60.884999999999998</v>
      </c>
      <c r="W2396" s="110"/>
      <c r="X2396" s="110"/>
      <c r="Y2396" s="110"/>
      <c r="Z2396" s="110"/>
      <c r="AA2396" s="110">
        <v>0</v>
      </c>
      <c r="AB2396" s="111">
        <f t="shared" si="536"/>
        <v>60.884999999999998</v>
      </c>
      <c r="AC2396" s="110"/>
      <c r="AD2396" s="110"/>
      <c r="AE2396" s="110">
        <v>0</v>
      </c>
      <c r="AF2396" s="111">
        <f t="shared" si="537"/>
        <v>60.884999999999998</v>
      </c>
      <c r="AG2396" s="110"/>
      <c r="AH2396" s="110"/>
      <c r="AI2396" s="110"/>
      <c r="AJ2396" s="110"/>
      <c r="AK2396" s="111">
        <f t="shared" si="532"/>
        <v>243.54</v>
      </c>
      <c r="AL2396" s="446">
        <f t="shared" si="533"/>
        <v>0</v>
      </c>
      <c r="AM2396" s="110">
        <f t="shared" si="534"/>
        <v>1</v>
      </c>
      <c r="AN2396" s="447">
        <f t="shared" si="539"/>
        <v>0</v>
      </c>
      <c r="AO2396"/>
      <c r="AP2396"/>
    </row>
    <row r="2397" spans="1:42" ht="66" x14ac:dyDescent="0.25">
      <c r="A2397" s="433"/>
      <c r="B2397" s="601" t="s">
        <v>3028</v>
      </c>
      <c r="C2397" s="9"/>
      <c r="D2397" s="882">
        <v>1</v>
      </c>
      <c r="E2397" s="251" t="s">
        <v>2938</v>
      </c>
      <c r="F2397" s="278" t="s">
        <v>3446</v>
      </c>
      <c r="G2397" s="1040" t="s">
        <v>3463</v>
      </c>
      <c r="H2397" s="273" t="s">
        <v>3462</v>
      </c>
      <c r="I2397" s="720">
        <f t="shared" si="535"/>
        <v>314</v>
      </c>
      <c r="J2397" s="756">
        <v>314</v>
      </c>
      <c r="K2397" s="131">
        <f t="shared" si="538"/>
        <v>314</v>
      </c>
      <c r="L2397" s="335">
        <f t="shared" si="531"/>
        <v>0</v>
      </c>
      <c r="M2397" s="446"/>
      <c r="N2397" s="446"/>
      <c r="O2397" s="446"/>
      <c r="P2397" s="446"/>
      <c r="Q2397" s="110">
        <v>1</v>
      </c>
      <c r="R2397" s="111">
        <f t="shared" si="527"/>
        <v>78.5</v>
      </c>
      <c r="S2397" s="110"/>
      <c r="T2397" s="110"/>
      <c r="U2397" s="110">
        <v>0</v>
      </c>
      <c r="V2397" s="111">
        <f t="shared" si="529"/>
        <v>78.5</v>
      </c>
      <c r="W2397" s="110"/>
      <c r="X2397" s="110"/>
      <c r="Y2397" s="110"/>
      <c r="Z2397" s="110"/>
      <c r="AA2397" s="110">
        <v>0</v>
      </c>
      <c r="AB2397" s="111">
        <f t="shared" si="536"/>
        <v>78.5</v>
      </c>
      <c r="AC2397" s="110"/>
      <c r="AD2397" s="110"/>
      <c r="AE2397" s="110">
        <v>0</v>
      </c>
      <c r="AF2397" s="111">
        <f t="shared" si="537"/>
        <v>78.5</v>
      </c>
      <c r="AG2397" s="110"/>
      <c r="AH2397" s="110"/>
      <c r="AI2397" s="110"/>
      <c r="AJ2397" s="110"/>
      <c r="AK2397" s="111">
        <f t="shared" si="532"/>
        <v>314</v>
      </c>
      <c r="AL2397" s="446">
        <f t="shared" si="533"/>
        <v>0</v>
      </c>
      <c r="AM2397" s="110">
        <f t="shared" si="534"/>
        <v>1</v>
      </c>
      <c r="AN2397" s="447">
        <f t="shared" si="539"/>
        <v>0</v>
      </c>
      <c r="AO2397"/>
      <c r="AP2397"/>
    </row>
    <row r="2398" spans="1:42" ht="66" x14ac:dyDescent="0.25">
      <c r="A2398" s="433"/>
      <c r="B2398" s="495" t="s">
        <v>3029</v>
      </c>
      <c r="C2398" s="9"/>
      <c r="D2398" s="882">
        <v>1</v>
      </c>
      <c r="E2398" s="251" t="s">
        <v>3031</v>
      </c>
      <c r="F2398" s="278" t="s">
        <v>3446</v>
      </c>
      <c r="G2398" s="1040" t="s">
        <v>3463</v>
      </c>
      <c r="H2398" s="273" t="s">
        <v>3462</v>
      </c>
      <c r="I2398" s="720">
        <f t="shared" si="535"/>
        <v>81.006047999999993</v>
      </c>
      <c r="J2398" s="756">
        <v>81.006047999999993</v>
      </c>
      <c r="K2398" s="131">
        <f t="shared" si="538"/>
        <v>81.006047999999993</v>
      </c>
      <c r="L2398" s="335">
        <f t="shared" si="531"/>
        <v>0</v>
      </c>
      <c r="M2398" s="446"/>
      <c r="N2398" s="446"/>
      <c r="O2398" s="446"/>
      <c r="P2398" s="446"/>
      <c r="Q2398" s="110">
        <v>1</v>
      </c>
      <c r="R2398" s="111">
        <f t="shared" si="527"/>
        <v>20.251511999999998</v>
      </c>
      <c r="S2398" s="110"/>
      <c r="T2398" s="110"/>
      <c r="U2398" s="110">
        <v>0</v>
      </c>
      <c r="V2398" s="111">
        <f t="shared" si="529"/>
        <v>20.251511999999998</v>
      </c>
      <c r="W2398" s="110"/>
      <c r="X2398" s="110"/>
      <c r="Y2398" s="110"/>
      <c r="Z2398" s="110"/>
      <c r="AA2398" s="110">
        <v>0</v>
      </c>
      <c r="AB2398" s="111">
        <f t="shared" si="536"/>
        <v>20.251511999999998</v>
      </c>
      <c r="AC2398" s="110"/>
      <c r="AD2398" s="110"/>
      <c r="AE2398" s="110">
        <v>0</v>
      </c>
      <c r="AF2398" s="111">
        <f t="shared" si="537"/>
        <v>20.251511999999998</v>
      </c>
      <c r="AG2398" s="110"/>
      <c r="AH2398" s="110"/>
      <c r="AI2398" s="110"/>
      <c r="AJ2398" s="110"/>
      <c r="AK2398" s="111">
        <f t="shared" si="532"/>
        <v>81.006047999999993</v>
      </c>
      <c r="AL2398" s="446">
        <f t="shared" si="533"/>
        <v>0</v>
      </c>
      <c r="AM2398" s="110">
        <f t="shared" si="534"/>
        <v>1</v>
      </c>
      <c r="AN2398" s="447">
        <f t="shared" si="539"/>
        <v>0</v>
      </c>
      <c r="AO2398"/>
      <c r="AP2398"/>
    </row>
    <row r="2399" spans="1:42" ht="66" x14ac:dyDescent="0.25">
      <c r="A2399" s="433"/>
      <c r="B2399" s="495" t="s">
        <v>1741</v>
      </c>
      <c r="C2399" s="9"/>
      <c r="D2399" s="882">
        <v>1</v>
      </c>
      <c r="E2399" s="251" t="s">
        <v>2938</v>
      </c>
      <c r="F2399" s="278" t="s">
        <v>3446</v>
      </c>
      <c r="G2399" s="1040" t="s">
        <v>3463</v>
      </c>
      <c r="H2399" s="273" t="s">
        <v>3462</v>
      </c>
      <c r="I2399" s="720">
        <f t="shared" si="535"/>
        <v>65.34</v>
      </c>
      <c r="J2399" s="756">
        <v>65.34</v>
      </c>
      <c r="K2399" s="131">
        <f t="shared" si="538"/>
        <v>65.34</v>
      </c>
      <c r="L2399" s="335">
        <f t="shared" si="531"/>
        <v>0</v>
      </c>
      <c r="M2399" s="446"/>
      <c r="N2399" s="446"/>
      <c r="O2399" s="446"/>
      <c r="P2399" s="446"/>
      <c r="Q2399" s="110">
        <v>1</v>
      </c>
      <c r="R2399" s="111">
        <f t="shared" si="527"/>
        <v>16.335000000000001</v>
      </c>
      <c r="S2399" s="110"/>
      <c r="T2399" s="110"/>
      <c r="U2399" s="110">
        <v>0</v>
      </c>
      <c r="V2399" s="111">
        <f t="shared" si="529"/>
        <v>16.335000000000001</v>
      </c>
      <c r="W2399" s="110"/>
      <c r="X2399" s="110"/>
      <c r="Y2399" s="110"/>
      <c r="Z2399" s="110"/>
      <c r="AA2399" s="110">
        <v>0</v>
      </c>
      <c r="AB2399" s="111">
        <f t="shared" si="536"/>
        <v>16.335000000000001</v>
      </c>
      <c r="AC2399" s="110"/>
      <c r="AD2399" s="110"/>
      <c r="AE2399" s="110">
        <v>0</v>
      </c>
      <c r="AF2399" s="111">
        <f t="shared" si="537"/>
        <v>16.335000000000001</v>
      </c>
      <c r="AG2399" s="110"/>
      <c r="AH2399" s="110"/>
      <c r="AI2399" s="110"/>
      <c r="AJ2399" s="110"/>
      <c r="AK2399" s="111">
        <f t="shared" si="532"/>
        <v>65.34</v>
      </c>
      <c r="AL2399" s="446">
        <f t="shared" si="533"/>
        <v>0</v>
      </c>
      <c r="AM2399" s="110">
        <f t="shared" si="534"/>
        <v>1</v>
      </c>
      <c r="AN2399" s="447">
        <f t="shared" si="539"/>
        <v>0</v>
      </c>
      <c r="AO2399"/>
      <c r="AP2399"/>
    </row>
    <row r="2400" spans="1:42" ht="66" x14ac:dyDescent="0.25">
      <c r="A2400" s="433"/>
      <c r="B2400" s="495" t="s">
        <v>3030</v>
      </c>
      <c r="C2400" s="9"/>
      <c r="D2400" s="882">
        <v>2</v>
      </c>
      <c r="E2400" s="251" t="s">
        <v>3031</v>
      </c>
      <c r="F2400" s="278" t="s">
        <v>3446</v>
      </c>
      <c r="G2400" s="1040" t="s">
        <v>3463</v>
      </c>
      <c r="H2400" s="273" t="s">
        <v>3462</v>
      </c>
      <c r="I2400" s="720">
        <f t="shared" si="535"/>
        <v>157.22514719999998</v>
      </c>
      <c r="J2400" s="756">
        <v>314.45029439999996</v>
      </c>
      <c r="K2400" s="131">
        <f t="shared" si="538"/>
        <v>314.45029439999996</v>
      </c>
      <c r="L2400" s="335">
        <f t="shared" si="531"/>
        <v>0</v>
      </c>
      <c r="M2400" s="446"/>
      <c r="N2400" s="446"/>
      <c r="O2400" s="446"/>
      <c r="P2400" s="446"/>
      <c r="Q2400" s="130">
        <v>1</v>
      </c>
      <c r="R2400" s="111">
        <f t="shared" si="527"/>
        <v>78.61257359999999</v>
      </c>
      <c r="S2400" s="110"/>
      <c r="T2400" s="110"/>
      <c r="U2400" s="130">
        <v>1</v>
      </c>
      <c r="V2400" s="111">
        <f t="shared" si="529"/>
        <v>78.61257359999999</v>
      </c>
      <c r="W2400" s="110"/>
      <c r="X2400" s="110"/>
      <c r="Y2400" s="110"/>
      <c r="Z2400" s="110"/>
      <c r="AA2400" s="130">
        <v>0</v>
      </c>
      <c r="AB2400" s="111">
        <f t="shared" si="536"/>
        <v>78.61257359999999</v>
      </c>
      <c r="AC2400" s="110"/>
      <c r="AD2400" s="110"/>
      <c r="AE2400" s="130">
        <v>0</v>
      </c>
      <c r="AF2400" s="111">
        <f t="shared" si="537"/>
        <v>78.61257359999999</v>
      </c>
      <c r="AG2400" s="110"/>
      <c r="AH2400" s="110"/>
      <c r="AI2400" s="110"/>
      <c r="AJ2400" s="110"/>
      <c r="AK2400" s="111">
        <f t="shared" si="532"/>
        <v>314.45029439999996</v>
      </c>
      <c r="AL2400" s="446">
        <f t="shared" si="533"/>
        <v>0</v>
      </c>
      <c r="AM2400" s="110">
        <f t="shared" si="534"/>
        <v>2</v>
      </c>
      <c r="AN2400" s="447">
        <f t="shared" si="539"/>
        <v>0</v>
      </c>
      <c r="AO2400"/>
      <c r="AP2400"/>
    </row>
    <row r="2401" spans="1:42" ht="66" x14ac:dyDescent="0.25">
      <c r="A2401" s="433"/>
      <c r="B2401" s="495" t="s">
        <v>610</v>
      </c>
      <c r="C2401" s="42"/>
      <c r="D2401" s="882">
        <v>1</v>
      </c>
      <c r="E2401" s="251" t="s">
        <v>3032</v>
      </c>
      <c r="F2401" s="278" t="s">
        <v>3446</v>
      </c>
      <c r="G2401" s="1040" t="s">
        <v>3463</v>
      </c>
      <c r="H2401" s="273" t="s">
        <v>3462</v>
      </c>
      <c r="I2401" s="720">
        <f t="shared" si="535"/>
        <v>1485</v>
      </c>
      <c r="J2401" s="756">
        <v>1485</v>
      </c>
      <c r="K2401" s="131">
        <f t="shared" si="538"/>
        <v>1485</v>
      </c>
      <c r="L2401" s="335">
        <f t="shared" si="531"/>
        <v>0</v>
      </c>
      <c r="M2401" s="446"/>
      <c r="N2401" s="446"/>
      <c r="O2401" s="446"/>
      <c r="P2401" s="446"/>
      <c r="Q2401" s="110">
        <v>1</v>
      </c>
      <c r="R2401" s="111">
        <f t="shared" si="527"/>
        <v>371.25</v>
      </c>
      <c r="S2401" s="110"/>
      <c r="T2401" s="110"/>
      <c r="U2401" s="110">
        <v>0</v>
      </c>
      <c r="V2401" s="111">
        <f t="shared" si="529"/>
        <v>371.25</v>
      </c>
      <c r="W2401" s="110"/>
      <c r="X2401" s="110"/>
      <c r="Y2401" s="110"/>
      <c r="Z2401" s="110"/>
      <c r="AA2401" s="110">
        <v>0</v>
      </c>
      <c r="AB2401" s="111">
        <f t="shared" si="536"/>
        <v>371.25</v>
      </c>
      <c r="AC2401" s="110"/>
      <c r="AD2401" s="110"/>
      <c r="AE2401" s="110">
        <v>0</v>
      </c>
      <c r="AF2401" s="111">
        <f t="shared" si="537"/>
        <v>371.25</v>
      </c>
      <c r="AG2401" s="110"/>
      <c r="AH2401" s="110"/>
      <c r="AI2401" s="110"/>
      <c r="AJ2401" s="110"/>
      <c r="AK2401" s="111">
        <f t="shared" si="532"/>
        <v>1485</v>
      </c>
      <c r="AL2401" s="446">
        <f t="shared" si="533"/>
        <v>0</v>
      </c>
      <c r="AM2401" s="110">
        <f t="shared" si="534"/>
        <v>1</v>
      </c>
      <c r="AN2401" s="447">
        <f t="shared" si="539"/>
        <v>0</v>
      </c>
      <c r="AO2401"/>
      <c r="AP2401"/>
    </row>
    <row r="2402" spans="1:42" x14ac:dyDescent="0.25">
      <c r="A2402" s="376">
        <v>251</v>
      </c>
      <c r="B2402" s="565" t="s">
        <v>614</v>
      </c>
      <c r="C2402" s="979"/>
      <c r="D2402" s="980"/>
      <c r="E2402" s="981"/>
      <c r="F2402" s="982"/>
      <c r="G2402" s="982"/>
      <c r="H2402" s="982"/>
      <c r="I2402" s="734"/>
      <c r="J2402" s="807"/>
      <c r="K2402" s="131">
        <f t="shared" si="538"/>
        <v>0</v>
      </c>
      <c r="L2402" s="335">
        <f t="shared" si="531"/>
        <v>0</v>
      </c>
      <c r="M2402" s="419"/>
      <c r="N2402" s="419"/>
      <c r="O2402" s="419"/>
      <c r="P2402" s="419"/>
      <c r="Q2402" s="418">
        <f t="shared" si="526"/>
        <v>0</v>
      </c>
      <c r="R2402" s="379">
        <f t="shared" si="527"/>
        <v>0</v>
      </c>
      <c r="S2402" s="418"/>
      <c r="T2402" s="418"/>
      <c r="U2402" s="418">
        <f t="shared" si="528"/>
        <v>0</v>
      </c>
      <c r="V2402" s="379">
        <f t="shared" si="529"/>
        <v>0</v>
      </c>
      <c r="W2402" s="418"/>
      <c r="X2402" s="418"/>
      <c r="Y2402" s="418"/>
      <c r="Z2402" s="418"/>
      <c r="AA2402" s="418">
        <f t="shared" si="530"/>
        <v>0</v>
      </c>
      <c r="AB2402" s="379">
        <f t="shared" si="536"/>
        <v>0</v>
      </c>
      <c r="AC2402" s="418"/>
      <c r="AD2402" s="418"/>
      <c r="AE2402" s="418">
        <f t="shared" si="530"/>
        <v>0</v>
      </c>
      <c r="AF2402" s="379">
        <f t="shared" si="537"/>
        <v>0</v>
      </c>
      <c r="AG2402" s="418"/>
      <c r="AH2402" s="418"/>
      <c r="AI2402" s="418"/>
      <c r="AJ2402" s="418"/>
      <c r="AK2402" s="379">
        <f t="shared" si="532"/>
        <v>0</v>
      </c>
      <c r="AL2402" s="446">
        <f t="shared" si="533"/>
        <v>0</v>
      </c>
      <c r="AM2402" s="110">
        <f t="shared" si="534"/>
        <v>0</v>
      </c>
      <c r="AN2402" s="447">
        <f t="shared" si="539"/>
        <v>0</v>
      </c>
      <c r="AO2402" s="108"/>
      <c r="AP2402"/>
    </row>
    <row r="2403" spans="1:42" x14ac:dyDescent="0.25">
      <c r="A2403" s="310">
        <v>25101</v>
      </c>
      <c r="B2403" s="375" t="s">
        <v>615</v>
      </c>
      <c r="C2403" s="311"/>
      <c r="D2403" s="902"/>
      <c r="E2403" s="312"/>
      <c r="F2403" s="313"/>
      <c r="G2403" s="313"/>
      <c r="H2403" s="313"/>
      <c r="I2403" s="729"/>
      <c r="J2403" s="753"/>
      <c r="K2403" s="131">
        <f t="shared" si="538"/>
        <v>0</v>
      </c>
      <c r="L2403" s="335">
        <f t="shared" si="531"/>
        <v>0</v>
      </c>
      <c r="M2403" s="648"/>
      <c r="N2403" s="648"/>
      <c r="O2403" s="648"/>
      <c r="P2403" s="648"/>
      <c r="Q2403" s="649">
        <f t="shared" si="526"/>
        <v>0</v>
      </c>
      <c r="R2403" s="647">
        <f t="shared" si="527"/>
        <v>0</v>
      </c>
      <c r="S2403" s="649"/>
      <c r="T2403" s="649"/>
      <c r="U2403" s="649">
        <f t="shared" si="528"/>
        <v>0</v>
      </c>
      <c r="V2403" s="647">
        <f t="shared" si="529"/>
        <v>0</v>
      </c>
      <c r="W2403" s="649"/>
      <c r="X2403" s="649"/>
      <c r="Y2403" s="649"/>
      <c r="Z2403" s="649"/>
      <c r="AA2403" s="649">
        <f t="shared" si="530"/>
        <v>0</v>
      </c>
      <c r="AB2403" s="647">
        <f t="shared" si="536"/>
        <v>0</v>
      </c>
      <c r="AC2403" s="649"/>
      <c r="AD2403" s="649"/>
      <c r="AE2403" s="649">
        <f t="shared" si="530"/>
        <v>0</v>
      </c>
      <c r="AF2403" s="647">
        <f t="shared" si="537"/>
        <v>0</v>
      </c>
      <c r="AG2403" s="649"/>
      <c r="AH2403" s="649"/>
      <c r="AI2403" s="649"/>
      <c r="AJ2403" s="649"/>
      <c r="AK2403" s="647">
        <f t="shared" si="532"/>
        <v>0</v>
      </c>
      <c r="AL2403" s="446">
        <f t="shared" si="533"/>
        <v>0</v>
      </c>
      <c r="AM2403" s="110">
        <f t="shared" si="534"/>
        <v>0</v>
      </c>
      <c r="AN2403" s="447">
        <f t="shared" si="539"/>
        <v>0</v>
      </c>
      <c r="AO2403" s="436">
        <f>SUM(J2404)</f>
        <v>1000</v>
      </c>
      <c r="AP2403" s="111"/>
    </row>
    <row r="2404" spans="1:42" ht="66" x14ac:dyDescent="0.25">
      <c r="A2404" s="9"/>
      <c r="B2404" s="528" t="s">
        <v>3033</v>
      </c>
      <c r="C2404" s="1024"/>
      <c r="D2404" s="869">
        <v>2</v>
      </c>
      <c r="E2404" s="1027" t="s">
        <v>2321</v>
      </c>
      <c r="F2404" s="278" t="s">
        <v>3446</v>
      </c>
      <c r="G2404" s="1040" t="s">
        <v>3463</v>
      </c>
      <c r="H2404" s="273" t="s">
        <v>3462</v>
      </c>
      <c r="I2404" s="720">
        <f>+J2404/D2404</f>
        <v>500</v>
      </c>
      <c r="J2404" s="763">
        <v>1000</v>
      </c>
      <c r="K2404" s="131">
        <f t="shared" si="538"/>
        <v>1000</v>
      </c>
      <c r="L2404" s="335">
        <f t="shared" si="531"/>
        <v>0</v>
      </c>
      <c r="M2404" s="446"/>
      <c r="N2404" s="446"/>
      <c r="O2404" s="446"/>
      <c r="P2404" s="446"/>
      <c r="Q2404" s="130">
        <v>1</v>
      </c>
      <c r="R2404" s="111">
        <f t="shared" si="527"/>
        <v>250</v>
      </c>
      <c r="S2404" s="110"/>
      <c r="T2404" s="110"/>
      <c r="U2404" s="130">
        <v>1</v>
      </c>
      <c r="V2404" s="111">
        <f t="shared" si="529"/>
        <v>250</v>
      </c>
      <c r="W2404" s="110"/>
      <c r="X2404" s="110"/>
      <c r="Y2404" s="110"/>
      <c r="Z2404" s="110"/>
      <c r="AA2404" s="130">
        <v>0</v>
      </c>
      <c r="AB2404" s="111">
        <f t="shared" si="536"/>
        <v>250</v>
      </c>
      <c r="AC2404" s="110"/>
      <c r="AD2404" s="110"/>
      <c r="AE2404" s="130">
        <v>0</v>
      </c>
      <c r="AF2404" s="111">
        <f t="shared" si="537"/>
        <v>250</v>
      </c>
      <c r="AG2404" s="110"/>
      <c r="AH2404" s="110"/>
      <c r="AI2404" s="110"/>
      <c r="AJ2404" s="110"/>
      <c r="AK2404" s="111">
        <f t="shared" si="532"/>
        <v>1000</v>
      </c>
      <c r="AL2404" s="446">
        <f t="shared" si="533"/>
        <v>0</v>
      </c>
      <c r="AM2404" s="110">
        <f t="shared" si="534"/>
        <v>2</v>
      </c>
      <c r="AN2404" s="447">
        <f t="shared" si="539"/>
        <v>0</v>
      </c>
      <c r="AO2404" s="294"/>
      <c r="AP2404"/>
    </row>
    <row r="2405" spans="1:42" x14ac:dyDescent="0.25">
      <c r="A2405" s="310">
        <v>25102</v>
      </c>
      <c r="B2405" s="375" t="s">
        <v>616</v>
      </c>
      <c r="C2405" s="311"/>
      <c r="D2405" s="902"/>
      <c r="E2405" s="312"/>
      <c r="F2405" s="313"/>
      <c r="G2405" s="313"/>
      <c r="H2405" s="313"/>
      <c r="I2405" s="729"/>
      <c r="J2405" s="800"/>
      <c r="K2405" s="131">
        <f t="shared" si="538"/>
        <v>0</v>
      </c>
      <c r="L2405" s="335">
        <f t="shared" si="531"/>
        <v>0</v>
      </c>
      <c r="M2405" s="446"/>
      <c r="N2405" s="446"/>
      <c r="O2405" s="446"/>
      <c r="P2405" s="446"/>
      <c r="Q2405" s="110">
        <f t="shared" si="526"/>
        <v>0</v>
      </c>
      <c r="R2405" s="111">
        <f t="shared" si="527"/>
        <v>0</v>
      </c>
      <c r="S2405" s="110"/>
      <c r="T2405" s="110"/>
      <c r="U2405" s="110">
        <f t="shared" si="528"/>
        <v>0</v>
      </c>
      <c r="V2405" s="111">
        <f t="shared" si="529"/>
        <v>0</v>
      </c>
      <c r="W2405" s="110"/>
      <c r="X2405" s="110"/>
      <c r="Y2405" s="110"/>
      <c r="Z2405" s="110"/>
      <c r="AA2405" s="110">
        <f t="shared" si="530"/>
        <v>0</v>
      </c>
      <c r="AB2405" s="111">
        <f t="shared" si="536"/>
        <v>0</v>
      </c>
      <c r="AC2405" s="110"/>
      <c r="AD2405" s="110"/>
      <c r="AE2405" s="110">
        <f t="shared" si="530"/>
        <v>0</v>
      </c>
      <c r="AF2405" s="111">
        <f t="shared" si="537"/>
        <v>0</v>
      </c>
      <c r="AG2405" s="110"/>
      <c r="AH2405" s="110"/>
      <c r="AI2405" s="110"/>
      <c r="AJ2405" s="110"/>
      <c r="AK2405" s="111">
        <f t="shared" si="532"/>
        <v>0</v>
      </c>
      <c r="AL2405" s="446">
        <f t="shared" si="533"/>
        <v>0</v>
      </c>
      <c r="AM2405" s="110">
        <f t="shared" si="534"/>
        <v>0</v>
      </c>
      <c r="AN2405" s="447">
        <f t="shared" si="539"/>
        <v>0</v>
      </c>
      <c r="AO2405" s="436">
        <f>SUM(J2406:J2414)</f>
        <v>28031.390000000003</v>
      </c>
      <c r="AP2405" s="111"/>
    </row>
    <row r="2406" spans="1:42" ht="66" x14ac:dyDescent="0.25">
      <c r="A2406" s="9"/>
      <c r="B2406" s="563" t="s">
        <v>617</v>
      </c>
      <c r="C2406" s="1024"/>
      <c r="D2406" s="916">
        <f>5+33+5+10</f>
        <v>53</v>
      </c>
      <c r="E2406" s="1027" t="s">
        <v>1721</v>
      </c>
      <c r="F2406" s="278" t="s">
        <v>3446</v>
      </c>
      <c r="G2406" s="1040" t="s">
        <v>3463</v>
      </c>
      <c r="H2406" s="273" t="s">
        <v>3462</v>
      </c>
      <c r="I2406" s="720">
        <f t="shared" ref="I2406:I2413" si="540">+J2406/D2406</f>
        <v>113.75811320754715</v>
      </c>
      <c r="J2406" s="756">
        <f>489.1+3980.35+519.91+1039.82</f>
        <v>6029.1799999999994</v>
      </c>
      <c r="K2406" s="131">
        <f t="shared" si="538"/>
        <v>6029.1799999999994</v>
      </c>
      <c r="L2406" s="335">
        <f t="shared" si="531"/>
        <v>0</v>
      </c>
      <c r="M2406" s="446"/>
      <c r="N2406" s="446"/>
      <c r="O2406" s="446"/>
      <c r="P2406" s="446"/>
      <c r="Q2406" s="110">
        <v>14</v>
      </c>
      <c r="R2406" s="111">
        <f t="shared" si="527"/>
        <v>1507.2949999999998</v>
      </c>
      <c r="S2406" s="110"/>
      <c r="T2406" s="110"/>
      <c r="U2406" s="110">
        <v>13</v>
      </c>
      <c r="V2406" s="111">
        <f t="shared" si="529"/>
        <v>1507.2949999999998</v>
      </c>
      <c r="W2406" s="110"/>
      <c r="X2406" s="110"/>
      <c r="Y2406" s="110"/>
      <c r="Z2406" s="110"/>
      <c r="AA2406" s="110">
        <v>14</v>
      </c>
      <c r="AB2406" s="111">
        <f t="shared" si="536"/>
        <v>1507.2949999999998</v>
      </c>
      <c r="AC2406" s="110"/>
      <c r="AD2406" s="110"/>
      <c r="AE2406" s="110">
        <v>12</v>
      </c>
      <c r="AF2406" s="111">
        <f t="shared" si="537"/>
        <v>1507.2949999999998</v>
      </c>
      <c r="AG2406" s="110"/>
      <c r="AH2406" s="110"/>
      <c r="AI2406" s="110"/>
      <c r="AJ2406" s="110"/>
      <c r="AK2406" s="111">
        <f t="shared" si="532"/>
        <v>6029.1799999999994</v>
      </c>
      <c r="AL2406" s="446">
        <f t="shared" si="533"/>
        <v>0</v>
      </c>
      <c r="AM2406" s="110">
        <f t="shared" si="534"/>
        <v>53</v>
      </c>
      <c r="AN2406" s="447">
        <f t="shared" si="539"/>
        <v>0</v>
      </c>
      <c r="AO2406"/>
      <c r="AP2406"/>
    </row>
    <row r="2407" spans="1:42" ht="66" x14ac:dyDescent="0.25">
      <c r="A2407" s="9"/>
      <c r="B2407" s="128" t="s">
        <v>1450</v>
      </c>
      <c r="C2407" s="1024"/>
      <c r="D2407" s="916">
        <f>3+2</f>
        <v>5</v>
      </c>
      <c r="E2407" s="1027" t="s">
        <v>2443</v>
      </c>
      <c r="F2407" s="278" t="s">
        <v>3446</v>
      </c>
      <c r="G2407" s="1040" t="s">
        <v>3463</v>
      </c>
      <c r="H2407" s="273" t="s">
        <v>3462</v>
      </c>
      <c r="I2407" s="720">
        <f t="shared" si="540"/>
        <v>1465.55</v>
      </c>
      <c r="J2407" s="756">
        <f>4653.39+2674.36</f>
        <v>7327.75</v>
      </c>
      <c r="K2407" s="131">
        <f t="shared" si="538"/>
        <v>7327.75</v>
      </c>
      <c r="L2407" s="335">
        <f t="shared" si="531"/>
        <v>0</v>
      </c>
      <c r="M2407" s="446"/>
      <c r="N2407" s="446"/>
      <c r="O2407" s="446"/>
      <c r="P2407" s="446"/>
      <c r="Q2407" s="110">
        <v>2</v>
      </c>
      <c r="R2407" s="111">
        <f t="shared" si="527"/>
        <v>1831.9375</v>
      </c>
      <c r="S2407" s="110"/>
      <c r="T2407" s="110"/>
      <c r="U2407" s="110">
        <v>1</v>
      </c>
      <c r="V2407" s="111">
        <f t="shared" si="529"/>
        <v>1831.9375</v>
      </c>
      <c r="W2407" s="110"/>
      <c r="X2407" s="110"/>
      <c r="Y2407" s="110"/>
      <c r="Z2407" s="110"/>
      <c r="AA2407" s="110">
        <v>1</v>
      </c>
      <c r="AB2407" s="111">
        <f t="shared" si="536"/>
        <v>1831.9375</v>
      </c>
      <c r="AC2407" s="110"/>
      <c r="AD2407" s="110"/>
      <c r="AE2407" s="110">
        <v>1</v>
      </c>
      <c r="AF2407" s="111">
        <f t="shared" si="537"/>
        <v>1831.9375</v>
      </c>
      <c r="AG2407" s="110"/>
      <c r="AH2407" s="110"/>
      <c r="AI2407" s="110"/>
      <c r="AJ2407" s="110"/>
      <c r="AK2407" s="111">
        <f t="shared" si="532"/>
        <v>7327.75</v>
      </c>
      <c r="AL2407" s="446">
        <f t="shared" si="533"/>
        <v>0</v>
      </c>
      <c r="AM2407" s="110">
        <f t="shared" si="534"/>
        <v>5</v>
      </c>
      <c r="AN2407" s="447">
        <f t="shared" si="539"/>
        <v>0</v>
      </c>
      <c r="AO2407"/>
      <c r="AP2407"/>
    </row>
    <row r="2408" spans="1:42" ht="66" x14ac:dyDescent="0.25">
      <c r="A2408" s="9"/>
      <c r="B2408" s="476" t="s">
        <v>1874</v>
      </c>
      <c r="C2408" s="1024"/>
      <c r="D2408" s="916">
        <v>112</v>
      </c>
      <c r="E2408" s="1027" t="s">
        <v>1721</v>
      </c>
      <c r="F2408" s="278" t="s">
        <v>3446</v>
      </c>
      <c r="G2408" s="1040" t="s">
        <v>3463</v>
      </c>
      <c r="H2408" s="273" t="s">
        <v>3462</v>
      </c>
      <c r="I2408" s="720">
        <f t="shared" si="540"/>
        <v>30.48</v>
      </c>
      <c r="J2408" s="756">
        <v>3413.76</v>
      </c>
      <c r="K2408" s="131">
        <f t="shared" si="538"/>
        <v>3413.76</v>
      </c>
      <c r="L2408" s="335">
        <f t="shared" si="531"/>
        <v>0</v>
      </c>
      <c r="M2408" s="446"/>
      <c r="N2408" s="446"/>
      <c r="O2408" s="446"/>
      <c r="P2408" s="446"/>
      <c r="Q2408" s="110">
        <f t="shared" si="526"/>
        <v>28</v>
      </c>
      <c r="R2408" s="111">
        <f t="shared" si="527"/>
        <v>853.44</v>
      </c>
      <c r="S2408" s="110"/>
      <c r="T2408" s="110"/>
      <c r="U2408" s="110">
        <f t="shared" si="528"/>
        <v>28</v>
      </c>
      <c r="V2408" s="111">
        <f t="shared" si="529"/>
        <v>853.44</v>
      </c>
      <c r="W2408" s="110"/>
      <c r="X2408" s="110"/>
      <c r="Y2408" s="110"/>
      <c r="Z2408" s="110"/>
      <c r="AA2408" s="110">
        <f t="shared" si="530"/>
        <v>28</v>
      </c>
      <c r="AB2408" s="111">
        <f t="shared" si="536"/>
        <v>853.44</v>
      </c>
      <c r="AC2408" s="110"/>
      <c r="AD2408" s="110"/>
      <c r="AE2408" s="110">
        <f t="shared" si="530"/>
        <v>28</v>
      </c>
      <c r="AF2408" s="111">
        <f t="shared" si="537"/>
        <v>853.44</v>
      </c>
      <c r="AG2408" s="110"/>
      <c r="AH2408" s="110"/>
      <c r="AI2408" s="110"/>
      <c r="AJ2408" s="110"/>
      <c r="AK2408" s="111">
        <f t="shared" si="532"/>
        <v>3413.76</v>
      </c>
      <c r="AL2408" s="446">
        <f t="shared" si="533"/>
        <v>0</v>
      </c>
      <c r="AM2408" s="110">
        <f t="shared" si="534"/>
        <v>112</v>
      </c>
      <c r="AN2408" s="447">
        <f t="shared" si="539"/>
        <v>0</v>
      </c>
      <c r="AO2408"/>
      <c r="AP2408"/>
    </row>
    <row r="2409" spans="1:42" ht="66" x14ac:dyDescent="0.25">
      <c r="A2409" s="9"/>
      <c r="B2409" s="476" t="s">
        <v>1875</v>
      </c>
      <c r="C2409" s="1024"/>
      <c r="D2409" s="916">
        <v>4</v>
      </c>
      <c r="E2409" s="1027" t="s">
        <v>1721</v>
      </c>
      <c r="F2409" s="278" t="s">
        <v>3446</v>
      </c>
      <c r="G2409" s="1040" t="s">
        <v>3463</v>
      </c>
      <c r="H2409" s="273" t="s">
        <v>3462</v>
      </c>
      <c r="I2409" s="720">
        <f t="shared" si="540"/>
        <v>286.64</v>
      </c>
      <c r="J2409" s="756">
        <v>1146.56</v>
      </c>
      <c r="K2409" s="131">
        <f t="shared" si="538"/>
        <v>1146.56</v>
      </c>
      <c r="L2409" s="335">
        <f t="shared" si="531"/>
        <v>0</v>
      </c>
      <c r="M2409" s="446"/>
      <c r="N2409" s="446"/>
      <c r="O2409" s="446"/>
      <c r="P2409" s="446"/>
      <c r="Q2409" s="110">
        <f t="shared" si="526"/>
        <v>1</v>
      </c>
      <c r="R2409" s="111">
        <f t="shared" si="527"/>
        <v>286.64</v>
      </c>
      <c r="S2409" s="110"/>
      <c r="T2409" s="110"/>
      <c r="U2409" s="110">
        <f t="shared" si="528"/>
        <v>1</v>
      </c>
      <c r="V2409" s="111">
        <f t="shared" si="529"/>
        <v>286.64</v>
      </c>
      <c r="W2409" s="110"/>
      <c r="X2409" s="110"/>
      <c r="Y2409" s="110"/>
      <c r="Z2409" s="110"/>
      <c r="AA2409" s="110">
        <f t="shared" si="530"/>
        <v>1</v>
      </c>
      <c r="AB2409" s="111">
        <f t="shared" si="536"/>
        <v>286.64</v>
      </c>
      <c r="AC2409" s="110"/>
      <c r="AD2409" s="110"/>
      <c r="AE2409" s="110">
        <f t="shared" si="530"/>
        <v>1</v>
      </c>
      <c r="AF2409" s="111">
        <f t="shared" si="537"/>
        <v>286.64</v>
      </c>
      <c r="AG2409" s="110"/>
      <c r="AH2409" s="110"/>
      <c r="AI2409" s="110"/>
      <c r="AJ2409" s="110"/>
      <c r="AK2409" s="111">
        <f t="shared" si="532"/>
        <v>1146.56</v>
      </c>
      <c r="AL2409" s="446">
        <f t="shared" si="533"/>
        <v>0</v>
      </c>
      <c r="AM2409" s="110">
        <f t="shared" si="534"/>
        <v>4</v>
      </c>
      <c r="AN2409" s="447">
        <f t="shared" si="539"/>
        <v>0</v>
      </c>
      <c r="AO2409"/>
      <c r="AP2409"/>
    </row>
    <row r="2410" spans="1:42" ht="66" x14ac:dyDescent="0.25">
      <c r="A2410" s="58"/>
      <c r="B2410" s="564" t="s">
        <v>2734</v>
      </c>
      <c r="C2410" s="9"/>
      <c r="D2410" s="913">
        <v>16</v>
      </c>
      <c r="E2410" s="1027" t="s">
        <v>1736</v>
      </c>
      <c r="F2410" s="278" t="s">
        <v>3446</v>
      </c>
      <c r="G2410" s="1040" t="s">
        <v>3463</v>
      </c>
      <c r="H2410" s="273" t="s">
        <v>3462</v>
      </c>
      <c r="I2410" s="720">
        <f t="shared" si="540"/>
        <v>76.096249999999998</v>
      </c>
      <c r="J2410" s="756">
        <v>1217.54</v>
      </c>
      <c r="K2410" s="131">
        <f t="shared" si="538"/>
        <v>1217.54</v>
      </c>
      <c r="L2410" s="335">
        <f t="shared" si="531"/>
        <v>0</v>
      </c>
      <c r="M2410" s="446"/>
      <c r="N2410" s="446"/>
      <c r="O2410" s="446"/>
      <c r="P2410" s="446"/>
      <c r="Q2410" s="110">
        <f t="shared" si="526"/>
        <v>4</v>
      </c>
      <c r="R2410" s="111">
        <f t="shared" si="527"/>
        <v>304.38499999999999</v>
      </c>
      <c r="S2410" s="110"/>
      <c r="T2410" s="110"/>
      <c r="U2410" s="110">
        <f t="shared" si="528"/>
        <v>4</v>
      </c>
      <c r="V2410" s="111">
        <f t="shared" si="529"/>
        <v>304.38499999999999</v>
      </c>
      <c r="W2410" s="110"/>
      <c r="X2410" s="110"/>
      <c r="Y2410" s="110"/>
      <c r="Z2410" s="110"/>
      <c r="AA2410" s="110">
        <f t="shared" si="530"/>
        <v>4</v>
      </c>
      <c r="AB2410" s="111">
        <f t="shared" si="536"/>
        <v>304.38499999999999</v>
      </c>
      <c r="AC2410" s="110"/>
      <c r="AD2410" s="110"/>
      <c r="AE2410" s="110">
        <f t="shared" si="530"/>
        <v>4</v>
      </c>
      <c r="AF2410" s="111">
        <f t="shared" si="537"/>
        <v>304.38499999999999</v>
      </c>
      <c r="AG2410" s="110"/>
      <c r="AH2410" s="110"/>
      <c r="AI2410" s="110"/>
      <c r="AJ2410" s="110"/>
      <c r="AK2410" s="111">
        <f t="shared" si="532"/>
        <v>1217.54</v>
      </c>
      <c r="AL2410" s="446">
        <f t="shared" si="533"/>
        <v>0</v>
      </c>
      <c r="AM2410" s="110">
        <f t="shared" si="534"/>
        <v>16</v>
      </c>
      <c r="AN2410" s="447">
        <f t="shared" si="539"/>
        <v>0</v>
      </c>
      <c r="AO2410"/>
      <c r="AP2410"/>
    </row>
    <row r="2411" spans="1:42" ht="66" x14ac:dyDescent="0.25">
      <c r="A2411" s="58"/>
      <c r="B2411" s="36" t="s">
        <v>2735</v>
      </c>
      <c r="C2411" s="9"/>
      <c r="D2411" s="913">
        <v>3</v>
      </c>
      <c r="E2411" s="1027" t="s">
        <v>1736</v>
      </c>
      <c r="F2411" s="278" t="s">
        <v>3446</v>
      </c>
      <c r="G2411" s="1040" t="s">
        <v>3463</v>
      </c>
      <c r="H2411" s="273" t="s">
        <v>3462</v>
      </c>
      <c r="I2411" s="720">
        <f t="shared" si="540"/>
        <v>2320</v>
      </c>
      <c r="J2411" s="756">
        <v>6960</v>
      </c>
      <c r="K2411" s="131">
        <f t="shared" si="538"/>
        <v>6960</v>
      </c>
      <c r="L2411" s="335">
        <f t="shared" si="531"/>
        <v>0</v>
      </c>
      <c r="M2411" s="446"/>
      <c r="N2411" s="446"/>
      <c r="O2411" s="446"/>
      <c r="P2411" s="446"/>
      <c r="Q2411" s="130">
        <v>1</v>
      </c>
      <c r="R2411" s="111">
        <f t="shared" si="527"/>
        <v>1740</v>
      </c>
      <c r="S2411" s="110"/>
      <c r="T2411" s="110"/>
      <c r="U2411" s="130">
        <v>1</v>
      </c>
      <c r="V2411" s="111">
        <f t="shared" si="529"/>
        <v>1740</v>
      </c>
      <c r="W2411" s="110"/>
      <c r="X2411" s="110"/>
      <c r="Y2411" s="110"/>
      <c r="Z2411" s="110"/>
      <c r="AA2411" s="130">
        <v>1</v>
      </c>
      <c r="AB2411" s="111">
        <f t="shared" si="536"/>
        <v>1740</v>
      </c>
      <c r="AC2411" s="110"/>
      <c r="AD2411" s="110"/>
      <c r="AE2411" s="130">
        <v>0</v>
      </c>
      <c r="AF2411" s="111">
        <f t="shared" si="537"/>
        <v>1740</v>
      </c>
      <c r="AG2411" s="110"/>
      <c r="AH2411" s="110"/>
      <c r="AI2411" s="110"/>
      <c r="AJ2411" s="110"/>
      <c r="AK2411" s="111">
        <f t="shared" si="532"/>
        <v>6960</v>
      </c>
      <c r="AL2411" s="446">
        <f t="shared" si="533"/>
        <v>0</v>
      </c>
      <c r="AM2411" s="110">
        <f t="shared" si="534"/>
        <v>3</v>
      </c>
      <c r="AN2411" s="447">
        <f t="shared" si="539"/>
        <v>0</v>
      </c>
      <c r="AO2411"/>
      <c r="AP2411"/>
    </row>
    <row r="2412" spans="1:42" ht="66" x14ac:dyDescent="0.25">
      <c r="A2412" s="58"/>
      <c r="B2412" s="528" t="s">
        <v>3034</v>
      </c>
      <c r="C2412" s="9"/>
      <c r="D2412" s="882">
        <v>12</v>
      </c>
      <c r="E2412" s="251" t="s">
        <v>2442</v>
      </c>
      <c r="F2412" s="278" t="s">
        <v>3446</v>
      </c>
      <c r="G2412" s="1040" t="s">
        <v>3463</v>
      </c>
      <c r="H2412" s="273" t="s">
        <v>3462</v>
      </c>
      <c r="I2412" s="720">
        <f t="shared" si="540"/>
        <v>103.98</v>
      </c>
      <c r="J2412" s="756">
        <v>1247.76</v>
      </c>
      <c r="K2412" s="131">
        <f t="shared" si="538"/>
        <v>1247.76</v>
      </c>
      <c r="L2412" s="335">
        <f t="shared" si="531"/>
        <v>0</v>
      </c>
      <c r="M2412" s="446"/>
      <c r="N2412" s="446"/>
      <c r="O2412" s="446"/>
      <c r="P2412" s="446"/>
      <c r="Q2412" s="110">
        <f t="shared" ref="Q2412:Q2473" si="541">+$D2412/4</f>
        <v>3</v>
      </c>
      <c r="R2412" s="111">
        <f t="shared" si="527"/>
        <v>311.94</v>
      </c>
      <c r="S2412" s="110"/>
      <c r="T2412" s="110"/>
      <c r="U2412" s="110">
        <f t="shared" ref="U2412:U2473" si="542">+$D2412/4</f>
        <v>3</v>
      </c>
      <c r="V2412" s="111">
        <f t="shared" si="529"/>
        <v>311.94</v>
      </c>
      <c r="W2412" s="110"/>
      <c r="X2412" s="110"/>
      <c r="Y2412" s="110"/>
      <c r="Z2412" s="110"/>
      <c r="AA2412" s="110">
        <f t="shared" ref="AA2412:AE2473" si="543">+$D2412/4</f>
        <v>3</v>
      </c>
      <c r="AB2412" s="111">
        <f t="shared" si="536"/>
        <v>311.94</v>
      </c>
      <c r="AC2412" s="110"/>
      <c r="AD2412" s="110"/>
      <c r="AE2412" s="110">
        <f t="shared" si="543"/>
        <v>3</v>
      </c>
      <c r="AF2412" s="111">
        <f t="shared" si="537"/>
        <v>311.94</v>
      </c>
      <c r="AG2412" s="110"/>
      <c r="AH2412" s="110"/>
      <c r="AI2412" s="110"/>
      <c r="AJ2412" s="110"/>
      <c r="AK2412" s="111">
        <f t="shared" si="532"/>
        <v>1247.76</v>
      </c>
      <c r="AL2412" s="446">
        <f t="shared" si="533"/>
        <v>0</v>
      </c>
      <c r="AM2412" s="110">
        <f t="shared" si="534"/>
        <v>12</v>
      </c>
      <c r="AN2412" s="447">
        <f t="shared" si="539"/>
        <v>0</v>
      </c>
      <c r="AO2412"/>
      <c r="AP2412"/>
    </row>
    <row r="2413" spans="1:42" ht="66" x14ac:dyDescent="0.25">
      <c r="A2413" s="58"/>
      <c r="B2413" s="234" t="s">
        <v>3035</v>
      </c>
      <c r="C2413" s="9"/>
      <c r="D2413" s="882">
        <v>2</v>
      </c>
      <c r="E2413" s="251" t="s">
        <v>3036</v>
      </c>
      <c r="F2413" s="278" t="s">
        <v>3446</v>
      </c>
      <c r="G2413" s="1040" t="s">
        <v>3463</v>
      </c>
      <c r="H2413" s="273" t="s">
        <v>3462</v>
      </c>
      <c r="I2413" s="720">
        <f t="shared" si="540"/>
        <v>344.42</v>
      </c>
      <c r="J2413" s="756">
        <v>688.84</v>
      </c>
      <c r="K2413" s="131">
        <f t="shared" si="538"/>
        <v>688.84</v>
      </c>
      <c r="L2413" s="335">
        <f t="shared" si="531"/>
        <v>0</v>
      </c>
      <c r="M2413" s="446"/>
      <c r="N2413" s="446"/>
      <c r="O2413" s="446"/>
      <c r="P2413" s="446"/>
      <c r="Q2413" s="130">
        <v>1</v>
      </c>
      <c r="R2413" s="111">
        <f t="shared" si="527"/>
        <v>172.21</v>
      </c>
      <c r="S2413" s="110"/>
      <c r="T2413" s="110"/>
      <c r="U2413" s="130">
        <v>1</v>
      </c>
      <c r="V2413" s="111">
        <f t="shared" si="529"/>
        <v>172.21</v>
      </c>
      <c r="W2413" s="110"/>
      <c r="X2413" s="110"/>
      <c r="Y2413" s="110"/>
      <c r="Z2413" s="110"/>
      <c r="AA2413" s="130">
        <v>0</v>
      </c>
      <c r="AB2413" s="111">
        <f t="shared" si="536"/>
        <v>172.21</v>
      </c>
      <c r="AC2413" s="110"/>
      <c r="AD2413" s="110"/>
      <c r="AE2413" s="130">
        <v>0</v>
      </c>
      <c r="AF2413" s="111">
        <f t="shared" si="537"/>
        <v>172.21</v>
      </c>
      <c r="AG2413" s="110"/>
      <c r="AH2413" s="110"/>
      <c r="AI2413" s="110"/>
      <c r="AJ2413" s="110"/>
      <c r="AK2413" s="111">
        <f t="shared" si="532"/>
        <v>688.84</v>
      </c>
      <c r="AL2413" s="446">
        <f t="shared" si="533"/>
        <v>0</v>
      </c>
      <c r="AM2413" s="110">
        <f t="shared" si="534"/>
        <v>2</v>
      </c>
      <c r="AN2413" s="447">
        <f t="shared" si="539"/>
        <v>0</v>
      </c>
      <c r="AO2413"/>
      <c r="AP2413"/>
    </row>
    <row r="2414" spans="1:42" x14ac:dyDescent="0.25">
      <c r="A2414" s="58"/>
      <c r="B2414" s="564"/>
      <c r="C2414" s="9"/>
      <c r="D2414" s="913"/>
      <c r="E2414" s="1027"/>
      <c r="F2414" s="272"/>
      <c r="G2414" s="1040"/>
      <c r="H2414" s="273"/>
      <c r="I2414" s="720"/>
      <c r="J2414" s="763"/>
      <c r="K2414" s="131">
        <f t="shared" si="538"/>
        <v>0</v>
      </c>
      <c r="L2414" s="335">
        <f t="shared" si="531"/>
        <v>0</v>
      </c>
      <c r="M2414" s="446"/>
      <c r="N2414" s="446"/>
      <c r="O2414" s="446"/>
      <c r="P2414" s="446"/>
      <c r="Q2414" s="110">
        <f t="shared" si="541"/>
        <v>0</v>
      </c>
      <c r="R2414" s="111">
        <f t="shared" si="527"/>
        <v>0</v>
      </c>
      <c r="S2414" s="110"/>
      <c r="T2414" s="110"/>
      <c r="U2414" s="110">
        <f t="shared" si="542"/>
        <v>0</v>
      </c>
      <c r="V2414" s="111">
        <f t="shared" si="529"/>
        <v>0</v>
      </c>
      <c r="W2414" s="110"/>
      <c r="X2414" s="110"/>
      <c r="Y2414" s="110"/>
      <c r="Z2414" s="110"/>
      <c r="AA2414" s="110">
        <f t="shared" si="543"/>
        <v>0</v>
      </c>
      <c r="AB2414" s="111">
        <f t="shared" si="536"/>
        <v>0</v>
      </c>
      <c r="AC2414" s="110"/>
      <c r="AD2414" s="110"/>
      <c r="AE2414" s="110">
        <f t="shared" si="543"/>
        <v>0</v>
      </c>
      <c r="AF2414" s="111">
        <f t="shared" si="537"/>
        <v>0</v>
      </c>
      <c r="AG2414" s="110"/>
      <c r="AH2414" s="110"/>
      <c r="AI2414" s="110"/>
      <c r="AJ2414" s="110"/>
      <c r="AK2414" s="111">
        <f t="shared" si="532"/>
        <v>0</v>
      </c>
      <c r="AL2414" s="446">
        <f t="shared" si="533"/>
        <v>0</v>
      </c>
      <c r="AM2414" s="110">
        <f t="shared" si="534"/>
        <v>0</v>
      </c>
      <c r="AN2414" s="447">
        <f t="shared" si="539"/>
        <v>0</v>
      </c>
      <c r="AO2414"/>
      <c r="AP2414"/>
    </row>
    <row r="2415" spans="1:42" x14ac:dyDescent="0.25">
      <c r="A2415" s="1021">
        <v>252</v>
      </c>
      <c r="B2415" s="582" t="s">
        <v>618</v>
      </c>
      <c r="C2415" s="1021"/>
      <c r="D2415" s="974"/>
      <c r="E2415" s="975"/>
      <c r="F2415" s="976"/>
      <c r="G2415" s="976"/>
      <c r="H2415" s="362"/>
      <c r="I2415" s="737"/>
      <c r="J2415" s="977"/>
      <c r="K2415" s="131">
        <f t="shared" si="538"/>
        <v>0</v>
      </c>
      <c r="L2415" s="335">
        <f t="shared" si="531"/>
        <v>0</v>
      </c>
      <c r="M2415" s="414"/>
      <c r="N2415" s="414"/>
      <c r="O2415" s="414"/>
      <c r="P2415" s="414"/>
      <c r="Q2415" s="413">
        <f t="shared" si="541"/>
        <v>0</v>
      </c>
      <c r="R2415" s="345">
        <f t="shared" ref="R2415:R2478" si="544">+J2415/4</f>
        <v>0</v>
      </c>
      <c r="S2415" s="413"/>
      <c r="T2415" s="413"/>
      <c r="U2415" s="413">
        <f t="shared" si="542"/>
        <v>0</v>
      </c>
      <c r="V2415" s="345">
        <f t="shared" ref="V2415:V2478" si="545">+J2415/4</f>
        <v>0</v>
      </c>
      <c r="W2415" s="413"/>
      <c r="X2415" s="413"/>
      <c r="Y2415" s="413"/>
      <c r="Z2415" s="413"/>
      <c r="AA2415" s="413">
        <f t="shared" si="543"/>
        <v>0</v>
      </c>
      <c r="AB2415" s="345">
        <f t="shared" si="536"/>
        <v>0</v>
      </c>
      <c r="AC2415" s="413"/>
      <c r="AD2415" s="413"/>
      <c r="AE2415" s="413">
        <f t="shared" si="543"/>
        <v>0</v>
      </c>
      <c r="AF2415" s="345">
        <f t="shared" si="537"/>
        <v>0</v>
      </c>
      <c r="AG2415" s="413"/>
      <c r="AH2415" s="413"/>
      <c r="AI2415" s="413"/>
      <c r="AJ2415" s="413"/>
      <c r="AK2415" s="345">
        <f t="shared" si="532"/>
        <v>0</v>
      </c>
      <c r="AL2415" s="446">
        <f t="shared" si="533"/>
        <v>0</v>
      </c>
      <c r="AM2415" s="110">
        <f t="shared" si="534"/>
        <v>0</v>
      </c>
      <c r="AN2415" s="447">
        <f t="shared" si="539"/>
        <v>0</v>
      </c>
      <c r="AO2415" s="108"/>
      <c r="AP2415"/>
    </row>
    <row r="2416" spans="1:42" x14ac:dyDescent="0.25">
      <c r="A2416" s="310">
        <v>25201</v>
      </c>
      <c r="B2416" s="375" t="s">
        <v>618</v>
      </c>
      <c r="C2416" s="311"/>
      <c r="D2416" s="902"/>
      <c r="E2416" s="312"/>
      <c r="F2416" s="313"/>
      <c r="G2416" s="313"/>
      <c r="H2416" s="371"/>
      <c r="I2416" s="717"/>
      <c r="J2416" s="753"/>
      <c r="K2416" s="131">
        <f t="shared" si="538"/>
        <v>0</v>
      </c>
      <c r="L2416" s="335">
        <f t="shared" si="531"/>
        <v>0</v>
      </c>
      <c r="M2416" s="648"/>
      <c r="N2416" s="648"/>
      <c r="O2416" s="648"/>
      <c r="P2416" s="648"/>
      <c r="Q2416" s="649">
        <f t="shared" si="541"/>
        <v>0</v>
      </c>
      <c r="R2416" s="647">
        <f t="shared" si="544"/>
        <v>0</v>
      </c>
      <c r="S2416" s="649"/>
      <c r="T2416" s="649"/>
      <c r="U2416" s="649">
        <f t="shared" si="542"/>
        <v>0</v>
      </c>
      <c r="V2416" s="647">
        <f t="shared" si="545"/>
        <v>0</v>
      </c>
      <c r="W2416" s="649"/>
      <c r="X2416" s="649"/>
      <c r="Y2416" s="649"/>
      <c r="Z2416" s="649"/>
      <c r="AA2416" s="649">
        <f t="shared" si="543"/>
        <v>0</v>
      </c>
      <c r="AB2416" s="647">
        <f t="shared" si="536"/>
        <v>0</v>
      </c>
      <c r="AC2416" s="649"/>
      <c r="AD2416" s="649"/>
      <c r="AE2416" s="649">
        <f t="shared" si="543"/>
        <v>0</v>
      </c>
      <c r="AF2416" s="647">
        <f t="shared" si="537"/>
        <v>0</v>
      </c>
      <c r="AG2416" s="649"/>
      <c r="AH2416" s="649"/>
      <c r="AI2416" s="649"/>
      <c r="AJ2416" s="649"/>
      <c r="AK2416" s="647">
        <f t="shared" si="532"/>
        <v>0</v>
      </c>
      <c r="AL2416" s="446">
        <f t="shared" si="533"/>
        <v>0</v>
      </c>
      <c r="AM2416" s="110">
        <f t="shared" si="534"/>
        <v>0</v>
      </c>
      <c r="AN2416" s="447">
        <f t="shared" si="539"/>
        <v>0</v>
      </c>
      <c r="AO2416" s="436">
        <f>SUM(J2417:J2422)</f>
        <v>8869.2099999999991</v>
      </c>
      <c r="AP2416" s="111"/>
    </row>
    <row r="2417" spans="1:42" ht="66" x14ac:dyDescent="0.25">
      <c r="A2417" s="9"/>
      <c r="B2417" s="534" t="s">
        <v>1283</v>
      </c>
      <c r="C2417" s="1024"/>
      <c r="D2417" s="918">
        <f>10+3</f>
        <v>13</v>
      </c>
      <c r="E2417" s="1027" t="s">
        <v>1736</v>
      </c>
      <c r="F2417" s="278" t="s">
        <v>3446</v>
      </c>
      <c r="G2417" s="1040" t="s">
        <v>3463</v>
      </c>
      <c r="H2417" s="273" t="s">
        <v>3462</v>
      </c>
      <c r="I2417" s="720">
        <f t="shared" ref="I2417:I2422" si="546">+J2417/D2417</f>
        <v>406.53000000000003</v>
      </c>
      <c r="J2417" s="763">
        <f>4065.3+1219.59</f>
        <v>5284.89</v>
      </c>
      <c r="K2417" s="131">
        <f t="shared" si="538"/>
        <v>5284.89</v>
      </c>
      <c r="L2417" s="335">
        <f t="shared" si="531"/>
        <v>0</v>
      </c>
      <c r="M2417" s="446"/>
      <c r="N2417" s="446"/>
      <c r="O2417" s="446"/>
      <c r="P2417" s="446"/>
      <c r="Q2417" s="110">
        <v>4</v>
      </c>
      <c r="R2417" s="111">
        <f t="shared" si="544"/>
        <v>1321.2225000000001</v>
      </c>
      <c r="S2417" s="110"/>
      <c r="T2417" s="110"/>
      <c r="U2417" s="110">
        <v>3</v>
      </c>
      <c r="V2417" s="111">
        <f t="shared" si="545"/>
        <v>1321.2225000000001</v>
      </c>
      <c r="W2417" s="110"/>
      <c r="X2417" s="110"/>
      <c r="Y2417" s="110"/>
      <c r="Z2417" s="110"/>
      <c r="AA2417" s="110">
        <v>3</v>
      </c>
      <c r="AB2417" s="111">
        <f t="shared" si="536"/>
        <v>1321.2225000000001</v>
      </c>
      <c r="AC2417" s="110"/>
      <c r="AD2417" s="110"/>
      <c r="AE2417" s="110">
        <v>3</v>
      </c>
      <c r="AF2417" s="111">
        <f t="shared" si="537"/>
        <v>1321.2225000000001</v>
      </c>
      <c r="AG2417" s="110"/>
      <c r="AH2417" s="110"/>
      <c r="AI2417" s="110"/>
      <c r="AJ2417" s="110"/>
      <c r="AK2417" s="111">
        <f t="shared" si="532"/>
        <v>5284.89</v>
      </c>
      <c r="AL2417" s="446">
        <f t="shared" si="533"/>
        <v>0</v>
      </c>
      <c r="AM2417" s="110">
        <f t="shared" si="534"/>
        <v>13</v>
      </c>
      <c r="AN2417" s="447">
        <f t="shared" si="539"/>
        <v>0</v>
      </c>
      <c r="AO2417"/>
      <c r="AP2417"/>
    </row>
    <row r="2418" spans="1:42" ht="66" x14ac:dyDescent="0.25">
      <c r="A2418" s="9"/>
      <c r="B2418" s="127" t="s">
        <v>1284</v>
      </c>
      <c r="C2418" s="1024"/>
      <c r="D2418" s="919">
        <f>20+4</f>
        <v>24</v>
      </c>
      <c r="E2418" s="1027" t="s">
        <v>1827</v>
      </c>
      <c r="F2418" s="278" t="s">
        <v>3446</v>
      </c>
      <c r="G2418" s="1040" t="s">
        <v>3463</v>
      </c>
      <c r="H2418" s="273" t="s">
        <v>3462</v>
      </c>
      <c r="I2418" s="720">
        <f t="shared" si="546"/>
        <v>82.679999999999993</v>
      </c>
      <c r="J2418" s="763">
        <f>1653.6+330.72</f>
        <v>1984.32</v>
      </c>
      <c r="K2418" s="131">
        <f t="shared" si="538"/>
        <v>1984.3199999999997</v>
      </c>
      <c r="L2418" s="335">
        <f t="shared" si="531"/>
        <v>0</v>
      </c>
      <c r="M2418" s="446"/>
      <c r="N2418" s="446"/>
      <c r="O2418" s="446"/>
      <c r="P2418" s="446"/>
      <c r="Q2418" s="110">
        <f t="shared" si="541"/>
        <v>6</v>
      </c>
      <c r="R2418" s="111">
        <f t="shared" si="544"/>
        <v>496.08</v>
      </c>
      <c r="S2418" s="110"/>
      <c r="T2418" s="110"/>
      <c r="U2418" s="110">
        <f t="shared" si="542"/>
        <v>6</v>
      </c>
      <c r="V2418" s="111">
        <f t="shared" si="545"/>
        <v>496.08</v>
      </c>
      <c r="W2418" s="110"/>
      <c r="X2418" s="110"/>
      <c r="Y2418" s="110"/>
      <c r="Z2418" s="110"/>
      <c r="AA2418" s="110">
        <f t="shared" si="543"/>
        <v>6</v>
      </c>
      <c r="AB2418" s="111">
        <f t="shared" si="536"/>
        <v>496.08</v>
      </c>
      <c r="AC2418" s="110"/>
      <c r="AD2418" s="110"/>
      <c r="AE2418" s="110">
        <f t="shared" si="543"/>
        <v>6</v>
      </c>
      <c r="AF2418" s="111">
        <f t="shared" si="537"/>
        <v>496.08</v>
      </c>
      <c r="AG2418" s="110"/>
      <c r="AH2418" s="110"/>
      <c r="AI2418" s="110"/>
      <c r="AJ2418" s="110"/>
      <c r="AK2418" s="111">
        <f t="shared" si="532"/>
        <v>1984.32</v>
      </c>
      <c r="AL2418" s="446">
        <f t="shared" si="533"/>
        <v>0</v>
      </c>
      <c r="AM2418" s="110">
        <f t="shared" si="534"/>
        <v>24</v>
      </c>
      <c r="AN2418" s="447">
        <f t="shared" si="539"/>
        <v>0</v>
      </c>
      <c r="AO2418"/>
      <c r="AP2418"/>
    </row>
    <row r="2419" spans="1:42" ht="66" x14ac:dyDescent="0.25">
      <c r="A2419" s="9"/>
      <c r="B2419" s="528" t="s">
        <v>3037</v>
      </c>
      <c r="C2419" s="1024"/>
      <c r="D2419" s="882">
        <v>1</v>
      </c>
      <c r="E2419" s="251" t="s">
        <v>2940</v>
      </c>
      <c r="F2419" s="278" t="s">
        <v>3446</v>
      </c>
      <c r="G2419" s="1040" t="s">
        <v>3463</v>
      </c>
      <c r="H2419" s="273" t="s">
        <v>3462</v>
      </c>
      <c r="I2419" s="720">
        <f t="shared" si="546"/>
        <v>71.28</v>
      </c>
      <c r="J2419" s="756">
        <v>71.28</v>
      </c>
      <c r="K2419" s="131">
        <f t="shared" si="538"/>
        <v>71.28</v>
      </c>
      <c r="L2419" s="335">
        <f t="shared" si="531"/>
        <v>0</v>
      </c>
      <c r="M2419" s="446"/>
      <c r="N2419" s="446"/>
      <c r="O2419" s="446"/>
      <c r="P2419" s="446"/>
      <c r="Q2419" s="110">
        <v>1</v>
      </c>
      <c r="R2419" s="111">
        <f t="shared" si="544"/>
        <v>17.82</v>
      </c>
      <c r="S2419" s="110"/>
      <c r="T2419" s="110"/>
      <c r="U2419" s="110">
        <v>0</v>
      </c>
      <c r="V2419" s="111">
        <f t="shared" si="545"/>
        <v>17.82</v>
      </c>
      <c r="W2419" s="110"/>
      <c r="X2419" s="110"/>
      <c r="Y2419" s="110"/>
      <c r="Z2419" s="110"/>
      <c r="AA2419" s="110">
        <v>0</v>
      </c>
      <c r="AB2419" s="111">
        <f t="shared" si="536"/>
        <v>17.82</v>
      </c>
      <c r="AC2419" s="110"/>
      <c r="AD2419" s="110"/>
      <c r="AE2419" s="110">
        <v>0</v>
      </c>
      <c r="AF2419" s="111">
        <f t="shared" si="537"/>
        <v>17.82</v>
      </c>
      <c r="AG2419" s="110"/>
      <c r="AH2419" s="110"/>
      <c r="AI2419" s="110"/>
      <c r="AJ2419" s="110"/>
      <c r="AK2419" s="111">
        <f t="shared" si="532"/>
        <v>71.28</v>
      </c>
      <c r="AL2419" s="446">
        <f t="shared" si="533"/>
        <v>0</v>
      </c>
      <c r="AM2419" s="110">
        <f t="shared" si="534"/>
        <v>1</v>
      </c>
      <c r="AN2419" s="447">
        <f t="shared" si="539"/>
        <v>0</v>
      </c>
      <c r="AO2419"/>
      <c r="AP2419"/>
    </row>
    <row r="2420" spans="1:42" ht="66" x14ac:dyDescent="0.25">
      <c r="A2420" s="9"/>
      <c r="B2420" s="528" t="s">
        <v>3038</v>
      </c>
      <c r="C2420" s="1024"/>
      <c r="D2420" s="882">
        <v>1</v>
      </c>
      <c r="E2420" s="251" t="s">
        <v>3031</v>
      </c>
      <c r="F2420" s="278" t="s">
        <v>3446</v>
      </c>
      <c r="G2420" s="1040" t="s">
        <v>3463</v>
      </c>
      <c r="H2420" s="273" t="s">
        <v>3462</v>
      </c>
      <c r="I2420" s="720">
        <f t="shared" si="546"/>
        <v>324</v>
      </c>
      <c r="J2420" s="756">
        <v>324</v>
      </c>
      <c r="K2420" s="131">
        <f t="shared" si="538"/>
        <v>324</v>
      </c>
      <c r="L2420" s="335">
        <f t="shared" ref="L2420:L2483" si="547">+J2420-K2420</f>
        <v>0</v>
      </c>
      <c r="M2420" s="446"/>
      <c r="N2420" s="446"/>
      <c r="O2420" s="446"/>
      <c r="P2420" s="446"/>
      <c r="Q2420" s="110">
        <v>1</v>
      </c>
      <c r="R2420" s="111">
        <f t="shared" si="544"/>
        <v>81</v>
      </c>
      <c r="S2420" s="110"/>
      <c r="T2420" s="110"/>
      <c r="U2420" s="110">
        <v>0</v>
      </c>
      <c r="V2420" s="111">
        <f t="shared" si="545"/>
        <v>81</v>
      </c>
      <c r="W2420" s="110"/>
      <c r="X2420" s="110"/>
      <c r="Y2420" s="110"/>
      <c r="Z2420" s="110"/>
      <c r="AA2420" s="110">
        <v>0</v>
      </c>
      <c r="AB2420" s="111">
        <f t="shared" si="536"/>
        <v>81</v>
      </c>
      <c r="AC2420" s="110"/>
      <c r="AD2420" s="110"/>
      <c r="AE2420" s="110">
        <v>0</v>
      </c>
      <c r="AF2420" s="111">
        <f t="shared" si="537"/>
        <v>81</v>
      </c>
      <c r="AG2420" s="110"/>
      <c r="AH2420" s="110"/>
      <c r="AI2420" s="110"/>
      <c r="AJ2420" s="110"/>
      <c r="AK2420" s="111">
        <f t="shared" ref="AK2420:AK2483" si="548">+R2420+V2420+AB2420+AF2420</f>
        <v>324</v>
      </c>
      <c r="AL2420" s="446">
        <f t="shared" ref="AL2420:AL2483" si="549">+J2420-AK2420</f>
        <v>0</v>
      </c>
      <c r="AM2420" s="110">
        <f t="shared" ref="AM2420:AM2483" si="550">+Q2420+U2420+AA2420+AE2420</f>
        <v>1</v>
      </c>
      <c r="AN2420" s="447">
        <f t="shared" si="539"/>
        <v>0</v>
      </c>
      <c r="AO2420"/>
      <c r="AP2420"/>
    </row>
    <row r="2421" spans="1:42" ht="66" x14ac:dyDescent="0.25">
      <c r="A2421" s="9"/>
      <c r="B2421" s="528" t="s">
        <v>3039</v>
      </c>
      <c r="C2421" s="1024"/>
      <c r="D2421" s="882">
        <v>1</v>
      </c>
      <c r="E2421" s="251" t="s">
        <v>3041</v>
      </c>
      <c r="F2421" s="278" t="s">
        <v>3446</v>
      </c>
      <c r="G2421" s="1040" t="s">
        <v>3463</v>
      </c>
      <c r="H2421" s="273" t="s">
        <v>3462</v>
      </c>
      <c r="I2421" s="720">
        <f t="shared" si="546"/>
        <v>178.20000000000002</v>
      </c>
      <c r="J2421" s="756">
        <v>178.20000000000002</v>
      </c>
      <c r="K2421" s="131">
        <f t="shared" si="538"/>
        <v>178.20000000000002</v>
      </c>
      <c r="L2421" s="335">
        <f t="shared" si="547"/>
        <v>0</v>
      </c>
      <c r="M2421" s="446"/>
      <c r="N2421" s="446"/>
      <c r="O2421" s="446"/>
      <c r="P2421" s="446"/>
      <c r="Q2421" s="110">
        <v>1</v>
      </c>
      <c r="R2421" s="111">
        <f t="shared" si="544"/>
        <v>44.550000000000004</v>
      </c>
      <c r="S2421" s="110"/>
      <c r="T2421" s="110"/>
      <c r="U2421" s="110">
        <v>0</v>
      </c>
      <c r="V2421" s="111">
        <f t="shared" si="545"/>
        <v>44.550000000000004</v>
      </c>
      <c r="W2421" s="110"/>
      <c r="X2421" s="110"/>
      <c r="Y2421" s="110"/>
      <c r="Z2421" s="110"/>
      <c r="AA2421" s="110">
        <v>0</v>
      </c>
      <c r="AB2421" s="111">
        <f t="shared" si="536"/>
        <v>44.550000000000004</v>
      </c>
      <c r="AC2421" s="110"/>
      <c r="AD2421" s="110"/>
      <c r="AE2421" s="110">
        <v>0</v>
      </c>
      <c r="AF2421" s="111">
        <f t="shared" si="537"/>
        <v>44.550000000000004</v>
      </c>
      <c r="AG2421" s="110"/>
      <c r="AH2421" s="110"/>
      <c r="AI2421" s="110"/>
      <c r="AJ2421" s="110"/>
      <c r="AK2421" s="111">
        <f t="shared" si="548"/>
        <v>178.20000000000002</v>
      </c>
      <c r="AL2421" s="446">
        <f t="shared" si="549"/>
        <v>0</v>
      </c>
      <c r="AM2421" s="110">
        <f t="shared" si="550"/>
        <v>1</v>
      </c>
      <c r="AN2421" s="447">
        <f t="shared" si="539"/>
        <v>0</v>
      </c>
      <c r="AO2421"/>
      <c r="AP2421"/>
    </row>
    <row r="2422" spans="1:42" ht="66" x14ac:dyDescent="0.25">
      <c r="A2422" s="9"/>
      <c r="B2422" s="528" t="s">
        <v>3040</v>
      </c>
      <c r="C2422" s="1024"/>
      <c r="D2422" s="882">
        <v>1</v>
      </c>
      <c r="E2422" s="251" t="s">
        <v>3041</v>
      </c>
      <c r="F2422" s="278" t="s">
        <v>3446</v>
      </c>
      <c r="G2422" s="1040" t="s">
        <v>3463</v>
      </c>
      <c r="H2422" s="273" t="s">
        <v>3462</v>
      </c>
      <c r="I2422" s="720">
        <f t="shared" si="546"/>
        <v>1026.52</v>
      </c>
      <c r="J2422" s="756">
        <v>1026.52</v>
      </c>
      <c r="K2422" s="131">
        <f t="shared" si="538"/>
        <v>1026.52</v>
      </c>
      <c r="L2422" s="335">
        <f t="shared" si="547"/>
        <v>0</v>
      </c>
      <c r="M2422" s="446"/>
      <c r="N2422" s="446"/>
      <c r="O2422" s="446"/>
      <c r="P2422" s="446"/>
      <c r="Q2422" s="110">
        <v>1</v>
      </c>
      <c r="R2422" s="111">
        <f t="shared" si="544"/>
        <v>256.63</v>
      </c>
      <c r="S2422" s="110"/>
      <c r="T2422" s="110"/>
      <c r="U2422" s="110">
        <v>0</v>
      </c>
      <c r="V2422" s="111">
        <f t="shared" si="545"/>
        <v>256.63</v>
      </c>
      <c r="W2422" s="110"/>
      <c r="X2422" s="110"/>
      <c r="Y2422" s="110"/>
      <c r="Z2422" s="110"/>
      <c r="AA2422" s="110">
        <v>0</v>
      </c>
      <c r="AB2422" s="111">
        <f t="shared" si="536"/>
        <v>256.63</v>
      </c>
      <c r="AC2422" s="110"/>
      <c r="AD2422" s="110"/>
      <c r="AE2422" s="110">
        <v>0</v>
      </c>
      <c r="AF2422" s="111">
        <f t="shared" si="537"/>
        <v>256.63</v>
      </c>
      <c r="AG2422" s="110"/>
      <c r="AH2422" s="110"/>
      <c r="AI2422" s="110"/>
      <c r="AJ2422" s="110"/>
      <c r="AK2422" s="111">
        <f t="shared" si="548"/>
        <v>1026.52</v>
      </c>
      <c r="AL2422" s="446">
        <f t="shared" si="549"/>
        <v>0</v>
      </c>
      <c r="AM2422" s="110">
        <f t="shared" si="550"/>
        <v>1</v>
      </c>
      <c r="AN2422" s="447">
        <f t="shared" si="539"/>
        <v>0</v>
      </c>
      <c r="AO2422"/>
      <c r="AP2422"/>
    </row>
    <row r="2423" spans="1:42" x14ac:dyDescent="0.25">
      <c r="A2423" s="9"/>
      <c r="B2423" s="127"/>
      <c r="C2423" s="1024"/>
      <c r="D2423" s="920"/>
      <c r="E2423" s="1027"/>
      <c r="F2423" s="272"/>
      <c r="G2423" s="272"/>
      <c r="H2423" s="272"/>
      <c r="I2423" s="720"/>
      <c r="J2423" s="763"/>
      <c r="K2423" s="131">
        <f t="shared" si="538"/>
        <v>0</v>
      </c>
      <c r="L2423" s="335">
        <f t="shared" si="547"/>
        <v>0</v>
      </c>
      <c r="M2423" s="446"/>
      <c r="N2423" s="446"/>
      <c r="O2423" s="446"/>
      <c r="P2423" s="446"/>
      <c r="Q2423" s="110">
        <f t="shared" si="541"/>
        <v>0</v>
      </c>
      <c r="R2423" s="111">
        <f t="shared" si="544"/>
        <v>0</v>
      </c>
      <c r="S2423" s="110"/>
      <c r="T2423" s="110"/>
      <c r="U2423" s="110">
        <f t="shared" si="542"/>
        <v>0</v>
      </c>
      <c r="V2423" s="111">
        <f t="shared" si="545"/>
        <v>0</v>
      </c>
      <c r="W2423" s="110"/>
      <c r="X2423" s="110"/>
      <c r="Y2423" s="110"/>
      <c r="Z2423" s="110"/>
      <c r="AA2423" s="110">
        <f t="shared" si="543"/>
        <v>0</v>
      </c>
      <c r="AB2423" s="111">
        <f t="shared" si="536"/>
        <v>0</v>
      </c>
      <c r="AC2423" s="110"/>
      <c r="AD2423" s="110"/>
      <c r="AE2423" s="110">
        <f t="shared" si="543"/>
        <v>0</v>
      </c>
      <c r="AF2423" s="111">
        <f t="shared" si="537"/>
        <v>0</v>
      </c>
      <c r="AG2423" s="110"/>
      <c r="AH2423" s="110"/>
      <c r="AI2423" s="110"/>
      <c r="AJ2423" s="110"/>
      <c r="AK2423" s="111">
        <f t="shared" si="548"/>
        <v>0</v>
      </c>
      <c r="AL2423" s="446">
        <f t="shared" si="549"/>
        <v>0</v>
      </c>
      <c r="AM2423" s="110">
        <f t="shared" si="550"/>
        <v>0</v>
      </c>
      <c r="AN2423" s="447">
        <f t="shared" si="539"/>
        <v>0</v>
      </c>
      <c r="AO2423"/>
      <c r="AP2423"/>
    </row>
    <row r="2424" spans="1:42" x14ac:dyDescent="0.25">
      <c r="A2424" s="376">
        <v>253</v>
      </c>
      <c r="B2424" s="565" t="s">
        <v>619</v>
      </c>
      <c r="C2424" s="376"/>
      <c r="D2424" s="921"/>
      <c r="E2424" s="377"/>
      <c r="F2424" s="378"/>
      <c r="G2424" s="378"/>
      <c r="H2424" s="378"/>
      <c r="I2424" s="734"/>
      <c r="J2424" s="804"/>
      <c r="K2424" s="131">
        <f t="shared" si="538"/>
        <v>0</v>
      </c>
      <c r="L2424" s="335">
        <f t="shared" si="547"/>
        <v>0</v>
      </c>
      <c r="M2424" s="446"/>
      <c r="N2424" s="446"/>
      <c r="O2424" s="446"/>
      <c r="P2424" s="446"/>
      <c r="Q2424" s="110">
        <f t="shared" si="541"/>
        <v>0</v>
      </c>
      <c r="R2424" s="111">
        <f t="shared" si="544"/>
        <v>0</v>
      </c>
      <c r="S2424" s="110"/>
      <c r="T2424" s="110"/>
      <c r="U2424" s="110">
        <f t="shared" si="542"/>
        <v>0</v>
      </c>
      <c r="V2424" s="111">
        <f t="shared" si="545"/>
        <v>0</v>
      </c>
      <c r="W2424" s="110"/>
      <c r="X2424" s="110"/>
      <c r="Y2424" s="110"/>
      <c r="Z2424" s="110"/>
      <c r="AA2424" s="110">
        <f t="shared" si="543"/>
        <v>0</v>
      </c>
      <c r="AB2424" s="111">
        <f t="shared" si="536"/>
        <v>0</v>
      </c>
      <c r="AC2424" s="110"/>
      <c r="AD2424" s="110"/>
      <c r="AE2424" s="110">
        <f t="shared" si="543"/>
        <v>0</v>
      </c>
      <c r="AF2424" s="111">
        <f t="shared" si="537"/>
        <v>0</v>
      </c>
      <c r="AG2424" s="110"/>
      <c r="AH2424" s="110"/>
      <c r="AI2424" s="110"/>
      <c r="AJ2424" s="110"/>
      <c r="AK2424" s="111">
        <f t="shared" si="548"/>
        <v>0</v>
      </c>
      <c r="AL2424" s="446">
        <f t="shared" si="549"/>
        <v>0</v>
      </c>
      <c r="AM2424" s="110">
        <f t="shared" si="550"/>
        <v>0</v>
      </c>
      <c r="AN2424" s="447">
        <f t="shared" si="539"/>
        <v>0</v>
      </c>
      <c r="AO2424" s="108"/>
      <c r="AP2424"/>
    </row>
    <row r="2425" spans="1:42" ht="22.5" x14ac:dyDescent="0.25">
      <c r="A2425" s="310">
        <v>25301</v>
      </c>
      <c r="B2425" s="375" t="s">
        <v>620</v>
      </c>
      <c r="C2425" s="311"/>
      <c r="D2425" s="902"/>
      <c r="E2425" s="312"/>
      <c r="F2425" s="313"/>
      <c r="G2425" s="313"/>
      <c r="H2425" s="313"/>
      <c r="I2425" s="729"/>
      <c r="J2425" s="800"/>
      <c r="K2425" s="131">
        <f t="shared" si="538"/>
        <v>0</v>
      </c>
      <c r="L2425" s="335">
        <f t="shared" si="547"/>
        <v>0</v>
      </c>
      <c r="M2425" s="446"/>
      <c r="N2425" s="446"/>
      <c r="O2425" s="446"/>
      <c r="P2425" s="446"/>
      <c r="Q2425" s="110">
        <f t="shared" si="541"/>
        <v>0</v>
      </c>
      <c r="R2425" s="111">
        <f t="shared" si="544"/>
        <v>0</v>
      </c>
      <c r="S2425" s="110"/>
      <c r="T2425" s="110"/>
      <c r="U2425" s="110">
        <f t="shared" si="542"/>
        <v>0</v>
      </c>
      <c r="V2425" s="111">
        <f t="shared" si="545"/>
        <v>0</v>
      </c>
      <c r="W2425" s="110"/>
      <c r="X2425" s="110"/>
      <c r="Y2425" s="110"/>
      <c r="Z2425" s="110"/>
      <c r="AA2425" s="110">
        <f t="shared" si="543"/>
        <v>0</v>
      </c>
      <c r="AB2425" s="111">
        <f t="shared" si="536"/>
        <v>0</v>
      </c>
      <c r="AC2425" s="110"/>
      <c r="AD2425" s="110"/>
      <c r="AE2425" s="110">
        <f t="shared" si="543"/>
        <v>0</v>
      </c>
      <c r="AF2425" s="111">
        <f t="shared" si="537"/>
        <v>0</v>
      </c>
      <c r="AG2425" s="110"/>
      <c r="AH2425" s="110"/>
      <c r="AI2425" s="110"/>
      <c r="AJ2425" s="110"/>
      <c r="AK2425" s="111">
        <f t="shared" si="548"/>
        <v>0</v>
      </c>
      <c r="AL2425" s="446">
        <f t="shared" si="549"/>
        <v>0</v>
      </c>
      <c r="AM2425" s="110">
        <f t="shared" si="550"/>
        <v>0</v>
      </c>
      <c r="AN2425" s="447">
        <f t="shared" si="539"/>
        <v>0</v>
      </c>
      <c r="AO2425" s="436">
        <f>SUM(J2426:J2652)</f>
        <v>648014.68559999962</v>
      </c>
      <c r="AP2425" s="111"/>
    </row>
    <row r="2426" spans="1:42" ht="66" x14ac:dyDescent="0.25">
      <c r="A2426" s="9"/>
      <c r="B2426" s="145" t="s">
        <v>1451</v>
      </c>
      <c r="C2426" s="1024"/>
      <c r="D2426" s="869">
        <v>22</v>
      </c>
      <c r="E2426" s="1027"/>
      <c r="F2426" s="278" t="s">
        <v>3446</v>
      </c>
      <c r="G2426" s="1040" t="s">
        <v>3463</v>
      </c>
      <c r="H2426" s="273" t="s">
        <v>3462</v>
      </c>
      <c r="I2426" s="720">
        <f t="shared" ref="I2426:I2489" si="551">+J2426/D2426</f>
        <v>29.069599999999994</v>
      </c>
      <c r="J2426" s="756">
        <v>639.5311999999999</v>
      </c>
      <c r="K2426" s="131">
        <f t="shared" si="538"/>
        <v>639.5311999999999</v>
      </c>
      <c r="L2426" s="335">
        <f t="shared" si="547"/>
        <v>0</v>
      </c>
      <c r="M2426" s="446"/>
      <c r="N2426" s="446"/>
      <c r="O2426" s="446"/>
      <c r="P2426" s="446"/>
      <c r="Q2426" s="110">
        <v>6</v>
      </c>
      <c r="R2426" s="111">
        <f t="shared" si="544"/>
        <v>159.88279999999997</v>
      </c>
      <c r="S2426" s="110"/>
      <c r="T2426" s="110"/>
      <c r="U2426" s="110">
        <v>6</v>
      </c>
      <c r="V2426" s="111">
        <f t="shared" si="545"/>
        <v>159.88279999999997</v>
      </c>
      <c r="W2426" s="110"/>
      <c r="X2426" s="110"/>
      <c r="Y2426" s="110"/>
      <c r="Z2426" s="110"/>
      <c r="AA2426" s="110">
        <v>5</v>
      </c>
      <c r="AB2426" s="111">
        <f t="shared" si="536"/>
        <v>159.88279999999997</v>
      </c>
      <c r="AC2426" s="110"/>
      <c r="AD2426" s="110"/>
      <c r="AE2426" s="110">
        <v>5</v>
      </c>
      <c r="AF2426" s="111">
        <f t="shared" si="537"/>
        <v>159.88279999999997</v>
      </c>
      <c r="AG2426" s="110"/>
      <c r="AH2426" s="110"/>
      <c r="AI2426" s="110"/>
      <c r="AJ2426" s="110"/>
      <c r="AK2426" s="111">
        <f t="shared" si="548"/>
        <v>639.5311999999999</v>
      </c>
      <c r="AL2426" s="446">
        <f t="shared" si="549"/>
        <v>0</v>
      </c>
      <c r="AM2426" s="110">
        <f t="shared" si="550"/>
        <v>22</v>
      </c>
      <c r="AN2426" s="447">
        <f t="shared" si="539"/>
        <v>0</v>
      </c>
      <c r="AO2426"/>
      <c r="AP2426"/>
    </row>
    <row r="2427" spans="1:42" ht="66" x14ac:dyDescent="0.25">
      <c r="A2427" s="9"/>
      <c r="B2427" s="145" t="s">
        <v>1452</v>
      </c>
      <c r="C2427" s="1024"/>
      <c r="D2427" s="869">
        <v>11</v>
      </c>
      <c r="E2427" s="1027" t="s">
        <v>1722</v>
      </c>
      <c r="F2427" s="278" t="s">
        <v>3446</v>
      </c>
      <c r="G2427" s="1040" t="s">
        <v>3463</v>
      </c>
      <c r="H2427" s="273" t="s">
        <v>3462</v>
      </c>
      <c r="I2427" s="720">
        <f t="shared" si="551"/>
        <v>84.285599999999988</v>
      </c>
      <c r="J2427" s="756">
        <v>927.14159999999993</v>
      </c>
      <c r="K2427" s="131">
        <f t="shared" si="538"/>
        <v>927.14159999999993</v>
      </c>
      <c r="L2427" s="335">
        <f t="shared" si="547"/>
        <v>0</v>
      </c>
      <c r="M2427" s="446"/>
      <c r="N2427" s="446"/>
      <c r="O2427" s="446"/>
      <c r="P2427" s="446"/>
      <c r="Q2427" s="110">
        <v>3</v>
      </c>
      <c r="R2427" s="111">
        <f t="shared" si="544"/>
        <v>231.78539999999998</v>
      </c>
      <c r="S2427" s="110"/>
      <c r="T2427" s="110"/>
      <c r="U2427" s="110">
        <v>3</v>
      </c>
      <c r="V2427" s="111">
        <f t="shared" si="545"/>
        <v>231.78539999999998</v>
      </c>
      <c r="W2427" s="110"/>
      <c r="X2427" s="110"/>
      <c r="Y2427" s="110"/>
      <c r="Z2427" s="110"/>
      <c r="AA2427" s="110">
        <v>3</v>
      </c>
      <c r="AB2427" s="111">
        <f t="shared" si="536"/>
        <v>231.78539999999998</v>
      </c>
      <c r="AC2427" s="110"/>
      <c r="AD2427" s="110"/>
      <c r="AE2427" s="110">
        <v>2</v>
      </c>
      <c r="AF2427" s="111">
        <f t="shared" si="537"/>
        <v>231.78539999999998</v>
      </c>
      <c r="AG2427" s="110"/>
      <c r="AH2427" s="110"/>
      <c r="AI2427" s="110"/>
      <c r="AJ2427" s="110"/>
      <c r="AK2427" s="111">
        <f t="shared" si="548"/>
        <v>927.14159999999993</v>
      </c>
      <c r="AL2427" s="446">
        <f t="shared" si="549"/>
        <v>0</v>
      </c>
      <c r="AM2427" s="110">
        <f t="shared" si="550"/>
        <v>11</v>
      </c>
      <c r="AN2427" s="447">
        <f t="shared" si="539"/>
        <v>0</v>
      </c>
      <c r="AO2427"/>
      <c r="AP2427"/>
    </row>
    <row r="2428" spans="1:42" ht="66" x14ac:dyDescent="0.25">
      <c r="A2428" s="9"/>
      <c r="B2428" s="37" t="s">
        <v>1453</v>
      </c>
      <c r="C2428" s="1024"/>
      <c r="D2428" s="869">
        <v>11</v>
      </c>
      <c r="E2428" s="1027"/>
      <c r="F2428" s="278" t="s">
        <v>3446</v>
      </c>
      <c r="G2428" s="1040" t="s">
        <v>3463</v>
      </c>
      <c r="H2428" s="273" t="s">
        <v>3462</v>
      </c>
      <c r="I2428" s="720">
        <f t="shared" si="551"/>
        <v>27.608000000000001</v>
      </c>
      <c r="J2428" s="756">
        <v>303.68799999999999</v>
      </c>
      <c r="K2428" s="131">
        <f t="shared" si="538"/>
        <v>303.68799999999999</v>
      </c>
      <c r="L2428" s="335">
        <f t="shared" si="547"/>
        <v>0</v>
      </c>
      <c r="M2428" s="446"/>
      <c r="N2428" s="446"/>
      <c r="O2428" s="446"/>
      <c r="P2428" s="446"/>
      <c r="Q2428" s="110">
        <v>3</v>
      </c>
      <c r="R2428" s="111">
        <f t="shared" si="544"/>
        <v>75.921999999999997</v>
      </c>
      <c r="S2428" s="110"/>
      <c r="T2428" s="110"/>
      <c r="U2428" s="110">
        <v>3</v>
      </c>
      <c r="V2428" s="111">
        <f t="shared" si="545"/>
        <v>75.921999999999997</v>
      </c>
      <c r="W2428" s="110"/>
      <c r="X2428" s="110"/>
      <c r="Y2428" s="110"/>
      <c r="Z2428" s="110"/>
      <c r="AA2428" s="110">
        <v>3</v>
      </c>
      <c r="AB2428" s="111">
        <f t="shared" si="536"/>
        <v>75.921999999999997</v>
      </c>
      <c r="AC2428" s="110"/>
      <c r="AD2428" s="110"/>
      <c r="AE2428" s="110">
        <v>2</v>
      </c>
      <c r="AF2428" s="111">
        <f t="shared" si="537"/>
        <v>75.921999999999997</v>
      </c>
      <c r="AG2428" s="110"/>
      <c r="AH2428" s="110"/>
      <c r="AI2428" s="110"/>
      <c r="AJ2428" s="110"/>
      <c r="AK2428" s="111">
        <f t="shared" si="548"/>
        <v>303.68799999999999</v>
      </c>
      <c r="AL2428" s="446">
        <f t="shared" si="549"/>
        <v>0</v>
      </c>
      <c r="AM2428" s="110">
        <f t="shared" si="550"/>
        <v>11</v>
      </c>
      <c r="AN2428" s="447">
        <f t="shared" si="539"/>
        <v>0</v>
      </c>
      <c r="AO2428"/>
      <c r="AP2428"/>
    </row>
    <row r="2429" spans="1:42" ht="66" x14ac:dyDescent="0.25">
      <c r="A2429" s="9"/>
      <c r="B2429" s="37" t="s">
        <v>622</v>
      </c>
      <c r="C2429" s="1024"/>
      <c r="D2429" s="869">
        <v>11</v>
      </c>
      <c r="E2429" s="1027" t="s">
        <v>1722</v>
      </c>
      <c r="F2429" s="278" t="s">
        <v>3446</v>
      </c>
      <c r="G2429" s="1040" t="s">
        <v>3463</v>
      </c>
      <c r="H2429" s="273" t="s">
        <v>3462</v>
      </c>
      <c r="I2429" s="720">
        <f t="shared" si="551"/>
        <v>84.285599999999988</v>
      </c>
      <c r="J2429" s="756">
        <v>927.14159999999993</v>
      </c>
      <c r="K2429" s="131">
        <f t="shared" si="538"/>
        <v>927.14159999999993</v>
      </c>
      <c r="L2429" s="335">
        <f t="shared" si="547"/>
        <v>0</v>
      </c>
      <c r="M2429" s="446"/>
      <c r="N2429" s="446"/>
      <c r="O2429" s="446"/>
      <c r="P2429" s="446"/>
      <c r="Q2429" s="110">
        <v>3</v>
      </c>
      <c r="R2429" s="111">
        <f t="shared" si="544"/>
        <v>231.78539999999998</v>
      </c>
      <c r="S2429" s="110"/>
      <c r="T2429" s="110"/>
      <c r="U2429" s="110">
        <v>3</v>
      </c>
      <c r="V2429" s="111">
        <f t="shared" si="545"/>
        <v>231.78539999999998</v>
      </c>
      <c r="W2429" s="110"/>
      <c r="X2429" s="110"/>
      <c r="Y2429" s="110"/>
      <c r="Z2429" s="110"/>
      <c r="AA2429" s="110">
        <v>3</v>
      </c>
      <c r="AB2429" s="111">
        <f t="shared" si="536"/>
        <v>231.78539999999998</v>
      </c>
      <c r="AC2429" s="110"/>
      <c r="AD2429" s="110"/>
      <c r="AE2429" s="110">
        <v>2</v>
      </c>
      <c r="AF2429" s="111">
        <f t="shared" si="537"/>
        <v>231.78539999999998</v>
      </c>
      <c r="AG2429" s="110"/>
      <c r="AH2429" s="110"/>
      <c r="AI2429" s="110"/>
      <c r="AJ2429" s="110"/>
      <c r="AK2429" s="111">
        <f t="shared" si="548"/>
        <v>927.14159999999993</v>
      </c>
      <c r="AL2429" s="446">
        <f t="shared" si="549"/>
        <v>0</v>
      </c>
      <c r="AM2429" s="110">
        <f t="shared" si="550"/>
        <v>11</v>
      </c>
      <c r="AN2429" s="447">
        <f t="shared" si="539"/>
        <v>0</v>
      </c>
      <c r="AO2429"/>
      <c r="AP2429"/>
    </row>
    <row r="2430" spans="1:42" ht="66" x14ac:dyDescent="0.25">
      <c r="A2430" s="9"/>
      <c r="B2430" s="37" t="s">
        <v>1454</v>
      </c>
      <c r="C2430" s="1024"/>
      <c r="D2430" s="869">
        <v>11</v>
      </c>
      <c r="E2430" s="1027"/>
      <c r="F2430" s="278" t="s">
        <v>3446</v>
      </c>
      <c r="G2430" s="1040" t="s">
        <v>3463</v>
      </c>
      <c r="H2430" s="273" t="s">
        <v>3462</v>
      </c>
      <c r="I2430" s="720">
        <f t="shared" si="551"/>
        <v>27.608000000000001</v>
      </c>
      <c r="J2430" s="756">
        <v>303.68799999999999</v>
      </c>
      <c r="K2430" s="131">
        <f t="shared" si="538"/>
        <v>303.68799999999999</v>
      </c>
      <c r="L2430" s="335">
        <f t="shared" si="547"/>
        <v>0</v>
      </c>
      <c r="M2430" s="446"/>
      <c r="N2430" s="446"/>
      <c r="O2430" s="446"/>
      <c r="P2430" s="446"/>
      <c r="Q2430" s="110">
        <v>3</v>
      </c>
      <c r="R2430" s="111">
        <f t="shared" si="544"/>
        <v>75.921999999999997</v>
      </c>
      <c r="S2430" s="110"/>
      <c r="T2430" s="110"/>
      <c r="U2430" s="110">
        <v>3</v>
      </c>
      <c r="V2430" s="111">
        <f t="shared" si="545"/>
        <v>75.921999999999997</v>
      </c>
      <c r="W2430" s="110"/>
      <c r="X2430" s="110"/>
      <c r="Y2430" s="110"/>
      <c r="Z2430" s="110"/>
      <c r="AA2430" s="110">
        <v>3</v>
      </c>
      <c r="AB2430" s="111">
        <f t="shared" si="536"/>
        <v>75.921999999999997</v>
      </c>
      <c r="AC2430" s="110"/>
      <c r="AD2430" s="110"/>
      <c r="AE2430" s="110">
        <v>2</v>
      </c>
      <c r="AF2430" s="111">
        <f t="shared" si="537"/>
        <v>75.921999999999997</v>
      </c>
      <c r="AG2430" s="110"/>
      <c r="AH2430" s="110"/>
      <c r="AI2430" s="110"/>
      <c r="AJ2430" s="110"/>
      <c r="AK2430" s="111">
        <f t="shared" si="548"/>
        <v>303.68799999999999</v>
      </c>
      <c r="AL2430" s="446">
        <f t="shared" si="549"/>
        <v>0</v>
      </c>
      <c r="AM2430" s="110">
        <f t="shared" si="550"/>
        <v>11</v>
      </c>
      <c r="AN2430" s="447">
        <f t="shared" si="539"/>
        <v>0</v>
      </c>
      <c r="AO2430"/>
      <c r="AP2430"/>
    </row>
    <row r="2431" spans="1:42" ht="66" x14ac:dyDescent="0.25">
      <c r="A2431" s="9"/>
      <c r="B2431" s="37" t="s">
        <v>624</v>
      </c>
      <c r="C2431" s="1024"/>
      <c r="D2431" s="869">
        <v>11</v>
      </c>
      <c r="E2431" s="1027"/>
      <c r="F2431" s="278" t="s">
        <v>3446</v>
      </c>
      <c r="G2431" s="1040" t="s">
        <v>3463</v>
      </c>
      <c r="H2431" s="273" t="s">
        <v>3462</v>
      </c>
      <c r="I2431" s="720">
        <f t="shared" si="551"/>
        <v>84.285599999999988</v>
      </c>
      <c r="J2431" s="756">
        <v>927.14159999999993</v>
      </c>
      <c r="K2431" s="131">
        <f t="shared" si="538"/>
        <v>927.14159999999993</v>
      </c>
      <c r="L2431" s="335">
        <f t="shared" si="547"/>
        <v>0</v>
      </c>
      <c r="M2431" s="446"/>
      <c r="N2431" s="446"/>
      <c r="O2431" s="446"/>
      <c r="P2431" s="446"/>
      <c r="Q2431" s="110">
        <v>3</v>
      </c>
      <c r="R2431" s="111">
        <f t="shared" si="544"/>
        <v>231.78539999999998</v>
      </c>
      <c r="S2431" s="110"/>
      <c r="T2431" s="110"/>
      <c r="U2431" s="110">
        <v>3</v>
      </c>
      <c r="V2431" s="111">
        <f t="shared" si="545"/>
        <v>231.78539999999998</v>
      </c>
      <c r="W2431" s="110"/>
      <c r="X2431" s="110"/>
      <c r="Y2431" s="110"/>
      <c r="Z2431" s="110"/>
      <c r="AA2431" s="110">
        <v>3</v>
      </c>
      <c r="AB2431" s="111">
        <f t="shared" si="536"/>
        <v>231.78539999999998</v>
      </c>
      <c r="AC2431" s="110"/>
      <c r="AD2431" s="110"/>
      <c r="AE2431" s="110">
        <v>2</v>
      </c>
      <c r="AF2431" s="111">
        <f t="shared" si="537"/>
        <v>231.78539999999998</v>
      </c>
      <c r="AG2431" s="110"/>
      <c r="AH2431" s="110"/>
      <c r="AI2431" s="110"/>
      <c r="AJ2431" s="110"/>
      <c r="AK2431" s="111">
        <f t="shared" si="548"/>
        <v>927.14159999999993</v>
      </c>
      <c r="AL2431" s="446">
        <f t="shared" si="549"/>
        <v>0</v>
      </c>
      <c r="AM2431" s="110">
        <f t="shared" si="550"/>
        <v>11</v>
      </c>
      <c r="AN2431" s="447">
        <f t="shared" si="539"/>
        <v>0</v>
      </c>
      <c r="AO2431"/>
      <c r="AP2431"/>
    </row>
    <row r="2432" spans="1:42" ht="66" x14ac:dyDescent="0.25">
      <c r="A2432" s="9"/>
      <c r="B2432" s="37" t="s">
        <v>625</v>
      </c>
      <c r="C2432" s="1024"/>
      <c r="D2432" s="869">
        <v>11</v>
      </c>
      <c r="E2432" s="1027" t="s">
        <v>1722</v>
      </c>
      <c r="F2432" s="278" t="s">
        <v>3446</v>
      </c>
      <c r="G2432" s="1040" t="s">
        <v>3463</v>
      </c>
      <c r="H2432" s="273" t="s">
        <v>3462</v>
      </c>
      <c r="I2432" s="720">
        <f t="shared" si="551"/>
        <v>50.865999999999993</v>
      </c>
      <c r="J2432" s="756">
        <v>559.52599999999995</v>
      </c>
      <c r="K2432" s="131">
        <f t="shared" si="538"/>
        <v>559.52599999999995</v>
      </c>
      <c r="L2432" s="335">
        <f t="shared" si="547"/>
        <v>0</v>
      </c>
      <c r="M2432" s="446"/>
      <c r="N2432" s="446"/>
      <c r="O2432" s="446"/>
      <c r="P2432" s="446"/>
      <c r="Q2432" s="110">
        <v>3</v>
      </c>
      <c r="R2432" s="111">
        <f t="shared" si="544"/>
        <v>139.88149999999999</v>
      </c>
      <c r="S2432" s="110"/>
      <c r="T2432" s="110"/>
      <c r="U2432" s="110">
        <v>3</v>
      </c>
      <c r="V2432" s="111">
        <f t="shared" si="545"/>
        <v>139.88149999999999</v>
      </c>
      <c r="W2432" s="110"/>
      <c r="X2432" s="110"/>
      <c r="Y2432" s="110"/>
      <c r="Z2432" s="110"/>
      <c r="AA2432" s="110">
        <v>3</v>
      </c>
      <c r="AB2432" s="111">
        <f t="shared" si="536"/>
        <v>139.88149999999999</v>
      </c>
      <c r="AC2432" s="110"/>
      <c r="AD2432" s="110"/>
      <c r="AE2432" s="110">
        <v>2</v>
      </c>
      <c r="AF2432" s="111">
        <f t="shared" si="537"/>
        <v>139.88149999999999</v>
      </c>
      <c r="AG2432" s="110"/>
      <c r="AH2432" s="110"/>
      <c r="AI2432" s="110"/>
      <c r="AJ2432" s="110"/>
      <c r="AK2432" s="111">
        <f t="shared" si="548"/>
        <v>559.52599999999995</v>
      </c>
      <c r="AL2432" s="446">
        <f t="shared" si="549"/>
        <v>0</v>
      </c>
      <c r="AM2432" s="110">
        <f t="shared" si="550"/>
        <v>11</v>
      </c>
      <c r="AN2432" s="447">
        <f t="shared" si="539"/>
        <v>0</v>
      </c>
      <c r="AO2432"/>
      <c r="AP2432"/>
    </row>
    <row r="2433" spans="1:42" ht="66" x14ac:dyDescent="0.25">
      <c r="A2433" s="9"/>
      <c r="B2433" s="37" t="s">
        <v>626</v>
      </c>
      <c r="C2433" s="1024"/>
      <c r="D2433" s="869">
        <v>11</v>
      </c>
      <c r="E2433" s="1027" t="s">
        <v>1722</v>
      </c>
      <c r="F2433" s="278" t="s">
        <v>3446</v>
      </c>
      <c r="G2433" s="1040" t="s">
        <v>3463</v>
      </c>
      <c r="H2433" s="273" t="s">
        <v>3462</v>
      </c>
      <c r="I2433" s="720">
        <f t="shared" si="551"/>
        <v>374.93519999999995</v>
      </c>
      <c r="J2433" s="756">
        <v>4124.2871999999998</v>
      </c>
      <c r="K2433" s="131">
        <f t="shared" si="538"/>
        <v>4124.2871999999998</v>
      </c>
      <c r="L2433" s="335">
        <f t="shared" si="547"/>
        <v>0</v>
      </c>
      <c r="M2433" s="446"/>
      <c r="N2433" s="446"/>
      <c r="O2433" s="446"/>
      <c r="P2433" s="446"/>
      <c r="Q2433" s="110">
        <v>3</v>
      </c>
      <c r="R2433" s="111">
        <f t="shared" si="544"/>
        <v>1031.0717999999999</v>
      </c>
      <c r="S2433" s="110"/>
      <c r="T2433" s="110"/>
      <c r="U2433" s="110">
        <v>3</v>
      </c>
      <c r="V2433" s="111">
        <f t="shared" si="545"/>
        <v>1031.0717999999999</v>
      </c>
      <c r="W2433" s="110"/>
      <c r="X2433" s="110"/>
      <c r="Y2433" s="110"/>
      <c r="Z2433" s="110"/>
      <c r="AA2433" s="110">
        <v>3</v>
      </c>
      <c r="AB2433" s="111">
        <f t="shared" si="536"/>
        <v>1031.0717999999999</v>
      </c>
      <c r="AC2433" s="110"/>
      <c r="AD2433" s="110"/>
      <c r="AE2433" s="110">
        <v>2</v>
      </c>
      <c r="AF2433" s="111">
        <f t="shared" si="537"/>
        <v>1031.0717999999999</v>
      </c>
      <c r="AG2433" s="110"/>
      <c r="AH2433" s="110"/>
      <c r="AI2433" s="110"/>
      <c r="AJ2433" s="110"/>
      <c r="AK2433" s="111">
        <f t="shared" si="548"/>
        <v>4124.2871999999998</v>
      </c>
      <c r="AL2433" s="446">
        <f t="shared" si="549"/>
        <v>0</v>
      </c>
      <c r="AM2433" s="110">
        <f t="shared" si="550"/>
        <v>11</v>
      </c>
      <c r="AN2433" s="447">
        <f t="shared" si="539"/>
        <v>0</v>
      </c>
      <c r="AO2433"/>
      <c r="AP2433"/>
    </row>
    <row r="2434" spans="1:42" ht="66" x14ac:dyDescent="0.25">
      <c r="A2434" s="9"/>
      <c r="B2434" s="37" t="s">
        <v>1455</v>
      </c>
      <c r="C2434" s="1024"/>
      <c r="D2434" s="869">
        <v>11</v>
      </c>
      <c r="E2434" s="1027"/>
      <c r="F2434" s="278" t="s">
        <v>3446</v>
      </c>
      <c r="G2434" s="1040" t="s">
        <v>3463</v>
      </c>
      <c r="H2434" s="273" t="s">
        <v>3462</v>
      </c>
      <c r="I2434" s="720">
        <f t="shared" si="551"/>
        <v>174.39439999999999</v>
      </c>
      <c r="J2434" s="756">
        <v>1918.3383999999999</v>
      </c>
      <c r="K2434" s="131">
        <f t="shared" si="538"/>
        <v>1918.3383999999999</v>
      </c>
      <c r="L2434" s="335">
        <f t="shared" si="547"/>
        <v>0</v>
      </c>
      <c r="M2434" s="446"/>
      <c r="N2434" s="446"/>
      <c r="O2434" s="446"/>
      <c r="P2434" s="446"/>
      <c r="Q2434" s="110">
        <v>3</v>
      </c>
      <c r="R2434" s="111">
        <f t="shared" si="544"/>
        <v>479.58459999999997</v>
      </c>
      <c r="S2434" s="110"/>
      <c r="T2434" s="110"/>
      <c r="U2434" s="110">
        <v>3</v>
      </c>
      <c r="V2434" s="111">
        <f t="shared" si="545"/>
        <v>479.58459999999997</v>
      </c>
      <c r="W2434" s="110"/>
      <c r="X2434" s="110"/>
      <c r="Y2434" s="110"/>
      <c r="Z2434" s="110"/>
      <c r="AA2434" s="110">
        <v>3</v>
      </c>
      <c r="AB2434" s="111">
        <f t="shared" si="536"/>
        <v>479.58459999999997</v>
      </c>
      <c r="AC2434" s="110"/>
      <c r="AD2434" s="110"/>
      <c r="AE2434" s="110">
        <v>2</v>
      </c>
      <c r="AF2434" s="111">
        <f t="shared" si="537"/>
        <v>479.58459999999997</v>
      </c>
      <c r="AG2434" s="110"/>
      <c r="AH2434" s="110"/>
      <c r="AI2434" s="110"/>
      <c r="AJ2434" s="110"/>
      <c r="AK2434" s="111">
        <f t="shared" si="548"/>
        <v>1918.3383999999999</v>
      </c>
      <c r="AL2434" s="446">
        <f t="shared" si="549"/>
        <v>0</v>
      </c>
      <c r="AM2434" s="110">
        <f t="shared" si="550"/>
        <v>11</v>
      </c>
      <c r="AN2434" s="447">
        <f t="shared" si="539"/>
        <v>0</v>
      </c>
      <c r="AO2434"/>
      <c r="AP2434"/>
    </row>
    <row r="2435" spans="1:42" ht="66" x14ac:dyDescent="0.25">
      <c r="A2435" s="9"/>
      <c r="B2435" s="37" t="s">
        <v>627</v>
      </c>
      <c r="C2435" s="1024"/>
      <c r="D2435" s="869">
        <v>6</v>
      </c>
      <c r="E2435" s="1027"/>
      <c r="F2435" s="278" t="s">
        <v>3446</v>
      </c>
      <c r="G2435" s="1040" t="s">
        <v>3463</v>
      </c>
      <c r="H2435" s="273" t="s">
        <v>3462</v>
      </c>
      <c r="I2435" s="720">
        <f t="shared" si="551"/>
        <v>254.3184</v>
      </c>
      <c r="J2435" s="756">
        <v>1525.9104</v>
      </c>
      <c r="K2435" s="131">
        <f t="shared" si="538"/>
        <v>1525.9104</v>
      </c>
      <c r="L2435" s="335">
        <f t="shared" si="547"/>
        <v>0</v>
      </c>
      <c r="M2435" s="446"/>
      <c r="N2435" s="446"/>
      <c r="O2435" s="446"/>
      <c r="P2435" s="446"/>
      <c r="Q2435" s="130">
        <v>2</v>
      </c>
      <c r="R2435" s="111">
        <f t="shared" si="544"/>
        <v>381.4776</v>
      </c>
      <c r="S2435" s="110"/>
      <c r="T2435" s="110"/>
      <c r="U2435" s="130">
        <v>2</v>
      </c>
      <c r="V2435" s="111">
        <f t="shared" si="545"/>
        <v>381.4776</v>
      </c>
      <c r="W2435" s="110"/>
      <c r="X2435" s="110"/>
      <c r="Y2435" s="110"/>
      <c r="Z2435" s="110"/>
      <c r="AA2435" s="130">
        <v>1</v>
      </c>
      <c r="AB2435" s="111">
        <f t="shared" si="536"/>
        <v>381.4776</v>
      </c>
      <c r="AC2435" s="110"/>
      <c r="AD2435" s="110"/>
      <c r="AE2435" s="130">
        <v>1</v>
      </c>
      <c r="AF2435" s="111">
        <f t="shared" si="537"/>
        <v>381.4776</v>
      </c>
      <c r="AG2435" s="110"/>
      <c r="AH2435" s="110"/>
      <c r="AI2435" s="110"/>
      <c r="AJ2435" s="110"/>
      <c r="AK2435" s="111">
        <f t="shared" si="548"/>
        <v>1525.9104</v>
      </c>
      <c r="AL2435" s="446">
        <f t="shared" si="549"/>
        <v>0</v>
      </c>
      <c r="AM2435" s="110">
        <f t="shared" si="550"/>
        <v>6</v>
      </c>
      <c r="AN2435" s="447">
        <f t="shared" si="539"/>
        <v>0</v>
      </c>
      <c r="AO2435"/>
      <c r="AP2435"/>
    </row>
    <row r="2436" spans="1:42" ht="66" x14ac:dyDescent="0.25">
      <c r="A2436" s="9"/>
      <c r="B2436" s="37" t="s">
        <v>1456</v>
      </c>
      <c r="C2436" s="1024"/>
      <c r="D2436" s="869">
        <v>6</v>
      </c>
      <c r="E2436" s="1027" t="s">
        <v>1722</v>
      </c>
      <c r="F2436" s="278" t="s">
        <v>3446</v>
      </c>
      <c r="G2436" s="1040" t="s">
        <v>3463</v>
      </c>
      <c r="H2436" s="273" t="s">
        <v>3462</v>
      </c>
      <c r="I2436" s="720">
        <f t="shared" si="551"/>
        <v>784.75159999999994</v>
      </c>
      <c r="J2436" s="756">
        <v>4708.5095999999994</v>
      </c>
      <c r="K2436" s="131">
        <f t="shared" si="538"/>
        <v>4708.5095999999994</v>
      </c>
      <c r="L2436" s="335">
        <f t="shared" si="547"/>
        <v>0</v>
      </c>
      <c r="M2436" s="446"/>
      <c r="N2436" s="446"/>
      <c r="O2436" s="446"/>
      <c r="P2436" s="446"/>
      <c r="Q2436" s="130">
        <v>2</v>
      </c>
      <c r="R2436" s="111">
        <f t="shared" si="544"/>
        <v>1177.1273999999999</v>
      </c>
      <c r="S2436" s="110"/>
      <c r="T2436" s="110"/>
      <c r="U2436" s="130">
        <v>2</v>
      </c>
      <c r="V2436" s="111">
        <f t="shared" si="545"/>
        <v>1177.1273999999999</v>
      </c>
      <c r="W2436" s="110"/>
      <c r="X2436" s="110"/>
      <c r="Y2436" s="110"/>
      <c r="Z2436" s="110"/>
      <c r="AA2436" s="130">
        <v>1</v>
      </c>
      <c r="AB2436" s="111">
        <f t="shared" si="536"/>
        <v>1177.1273999999999</v>
      </c>
      <c r="AC2436" s="110"/>
      <c r="AD2436" s="110"/>
      <c r="AE2436" s="130">
        <v>1</v>
      </c>
      <c r="AF2436" s="111">
        <f t="shared" si="537"/>
        <v>1177.1273999999999</v>
      </c>
      <c r="AG2436" s="110"/>
      <c r="AH2436" s="110"/>
      <c r="AI2436" s="110"/>
      <c r="AJ2436" s="110"/>
      <c r="AK2436" s="111">
        <f t="shared" si="548"/>
        <v>4708.5095999999994</v>
      </c>
      <c r="AL2436" s="446">
        <f t="shared" si="549"/>
        <v>0</v>
      </c>
      <c r="AM2436" s="110">
        <f t="shared" si="550"/>
        <v>6</v>
      </c>
      <c r="AN2436" s="447">
        <f t="shared" si="539"/>
        <v>0</v>
      </c>
      <c r="AO2436"/>
      <c r="AP2436"/>
    </row>
    <row r="2437" spans="1:42" ht="66" x14ac:dyDescent="0.25">
      <c r="A2437" s="9"/>
      <c r="B2437" s="37" t="s">
        <v>1457</v>
      </c>
      <c r="C2437" s="1024"/>
      <c r="D2437" s="869">
        <v>11</v>
      </c>
      <c r="E2437" s="1027" t="s">
        <v>1722</v>
      </c>
      <c r="F2437" s="278" t="s">
        <v>3446</v>
      </c>
      <c r="G2437" s="1040" t="s">
        <v>3463</v>
      </c>
      <c r="H2437" s="273" t="s">
        <v>3462</v>
      </c>
      <c r="I2437" s="720">
        <f t="shared" si="551"/>
        <v>72.662399999999991</v>
      </c>
      <c r="J2437" s="756">
        <v>799.28639999999996</v>
      </c>
      <c r="K2437" s="131">
        <f t="shared" si="538"/>
        <v>799.28639999999996</v>
      </c>
      <c r="L2437" s="335">
        <f t="shared" si="547"/>
        <v>0</v>
      </c>
      <c r="M2437" s="446"/>
      <c r="N2437" s="446"/>
      <c r="O2437" s="446"/>
      <c r="P2437" s="446"/>
      <c r="Q2437" s="110">
        <v>3</v>
      </c>
      <c r="R2437" s="111">
        <f t="shared" si="544"/>
        <v>199.82159999999999</v>
      </c>
      <c r="S2437" s="110"/>
      <c r="T2437" s="110"/>
      <c r="U2437" s="110">
        <v>3</v>
      </c>
      <c r="V2437" s="111">
        <f t="shared" si="545"/>
        <v>199.82159999999999</v>
      </c>
      <c r="W2437" s="110"/>
      <c r="X2437" s="110"/>
      <c r="Y2437" s="110"/>
      <c r="Z2437" s="110"/>
      <c r="AA2437" s="110">
        <v>3</v>
      </c>
      <c r="AB2437" s="111">
        <f t="shared" si="536"/>
        <v>199.82159999999999</v>
      </c>
      <c r="AC2437" s="110"/>
      <c r="AD2437" s="110"/>
      <c r="AE2437" s="110">
        <v>2</v>
      </c>
      <c r="AF2437" s="111">
        <f t="shared" si="537"/>
        <v>199.82159999999999</v>
      </c>
      <c r="AG2437" s="110"/>
      <c r="AH2437" s="110"/>
      <c r="AI2437" s="110"/>
      <c r="AJ2437" s="110"/>
      <c r="AK2437" s="111">
        <f t="shared" si="548"/>
        <v>799.28639999999996</v>
      </c>
      <c r="AL2437" s="446">
        <f t="shared" si="549"/>
        <v>0</v>
      </c>
      <c r="AM2437" s="110">
        <f t="shared" si="550"/>
        <v>11</v>
      </c>
      <c r="AN2437" s="447">
        <f t="shared" si="539"/>
        <v>0</v>
      </c>
      <c r="AO2437"/>
      <c r="AP2437"/>
    </row>
    <row r="2438" spans="1:42" ht="66" x14ac:dyDescent="0.25">
      <c r="A2438" s="9"/>
      <c r="B2438" s="37" t="s">
        <v>623</v>
      </c>
      <c r="C2438" s="1024"/>
      <c r="D2438" s="869">
        <v>11</v>
      </c>
      <c r="E2438" s="1027"/>
      <c r="F2438" s="278" t="s">
        <v>3446</v>
      </c>
      <c r="G2438" s="1040" t="s">
        <v>3463</v>
      </c>
      <c r="H2438" s="273" t="s">
        <v>3462</v>
      </c>
      <c r="I2438" s="720">
        <f t="shared" si="551"/>
        <v>56.677600000000005</v>
      </c>
      <c r="J2438" s="756">
        <v>623.45360000000005</v>
      </c>
      <c r="K2438" s="131">
        <f t="shared" si="538"/>
        <v>623.45360000000005</v>
      </c>
      <c r="L2438" s="335">
        <f t="shared" si="547"/>
        <v>0</v>
      </c>
      <c r="M2438" s="446"/>
      <c r="N2438" s="446"/>
      <c r="O2438" s="446"/>
      <c r="P2438" s="446"/>
      <c r="Q2438" s="110">
        <v>3</v>
      </c>
      <c r="R2438" s="111">
        <f t="shared" si="544"/>
        <v>155.86340000000001</v>
      </c>
      <c r="S2438" s="110"/>
      <c r="T2438" s="110"/>
      <c r="U2438" s="110">
        <v>3</v>
      </c>
      <c r="V2438" s="111">
        <f t="shared" si="545"/>
        <v>155.86340000000001</v>
      </c>
      <c r="W2438" s="110"/>
      <c r="X2438" s="110"/>
      <c r="Y2438" s="110"/>
      <c r="Z2438" s="110"/>
      <c r="AA2438" s="110">
        <v>3</v>
      </c>
      <c r="AB2438" s="111">
        <f t="shared" si="536"/>
        <v>155.86340000000001</v>
      </c>
      <c r="AC2438" s="110"/>
      <c r="AD2438" s="110"/>
      <c r="AE2438" s="110">
        <v>2</v>
      </c>
      <c r="AF2438" s="111">
        <f t="shared" si="537"/>
        <v>155.86340000000001</v>
      </c>
      <c r="AG2438" s="110"/>
      <c r="AH2438" s="110"/>
      <c r="AI2438" s="110"/>
      <c r="AJ2438" s="110"/>
      <c r="AK2438" s="111">
        <f t="shared" si="548"/>
        <v>623.45360000000005</v>
      </c>
      <c r="AL2438" s="446">
        <f t="shared" si="549"/>
        <v>0</v>
      </c>
      <c r="AM2438" s="110">
        <f t="shared" si="550"/>
        <v>11</v>
      </c>
      <c r="AN2438" s="447">
        <f t="shared" si="539"/>
        <v>0</v>
      </c>
      <c r="AO2438"/>
      <c r="AP2438"/>
    </row>
    <row r="2439" spans="1:42" ht="66" x14ac:dyDescent="0.25">
      <c r="A2439" s="9"/>
      <c r="B2439" s="37" t="s">
        <v>1458</v>
      </c>
      <c r="C2439" s="1024"/>
      <c r="D2439" s="869">
        <v>11</v>
      </c>
      <c r="E2439" s="1027"/>
      <c r="F2439" s="278" t="s">
        <v>3446</v>
      </c>
      <c r="G2439" s="1040" t="s">
        <v>3463</v>
      </c>
      <c r="H2439" s="273" t="s">
        <v>3462</v>
      </c>
      <c r="I2439" s="720">
        <f t="shared" si="551"/>
        <v>58.127600000000001</v>
      </c>
      <c r="J2439" s="756">
        <v>639.40359999999998</v>
      </c>
      <c r="K2439" s="131">
        <f t="shared" si="538"/>
        <v>639.40359999999998</v>
      </c>
      <c r="L2439" s="335">
        <f t="shared" si="547"/>
        <v>0</v>
      </c>
      <c r="M2439" s="446"/>
      <c r="N2439" s="446"/>
      <c r="O2439" s="446"/>
      <c r="P2439" s="446"/>
      <c r="Q2439" s="110">
        <v>3</v>
      </c>
      <c r="R2439" s="111">
        <f t="shared" si="544"/>
        <v>159.8509</v>
      </c>
      <c r="S2439" s="110"/>
      <c r="T2439" s="110"/>
      <c r="U2439" s="110">
        <v>3</v>
      </c>
      <c r="V2439" s="111">
        <f t="shared" si="545"/>
        <v>159.8509</v>
      </c>
      <c r="W2439" s="110"/>
      <c r="X2439" s="110"/>
      <c r="Y2439" s="110"/>
      <c r="Z2439" s="110"/>
      <c r="AA2439" s="110">
        <v>3</v>
      </c>
      <c r="AB2439" s="111">
        <f t="shared" ref="AB2439:AB2502" si="552">+J2439/4</f>
        <v>159.8509</v>
      </c>
      <c r="AC2439" s="110"/>
      <c r="AD2439" s="110"/>
      <c r="AE2439" s="110">
        <v>2</v>
      </c>
      <c r="AF2439" s="111">
        <f t="shared" ref="AF2439:AF2502" si="553">+J2439/4</f>
        <v>159.8509</v>
      </c>
      <c r="AG2439" s="110"/>
      <c r="AH2439" s="110"/>
      <c r="AI2439" s="110"/>
      <c r="AJ2439" s="110"/>
      <c r="AK2439" s="111">
        <f t="shared" si="548"/>
        <v>639.40359999999998</v>
      </c>
      <c r="AL2439" s="446">
        <f t="shared" si="549"/>
        <v>0</v>
      </c>
      <c r="AM2439" s="110">
        <f t="shared" si="550"/>
        <v>11</v>
      </c>
      <c r="AN2439" s="447">
        <f t="shared" si="539"/>
        <v>0</v>
      </c>
      <c r="AO2439"/>
      <c r="AP2439"/>
    </row>
    <row r="2440" spans="1:42" ht="66" x14ac:dyDescent="0.25">
      <c r="A2440" s="9"/>
      <c r="B2440" s="37" t="s">
        <v>1459</v>
      </c>
      <c r="C2440" s="1024"/>
      <c r="D2440" s="869">
        <v>8</v>
      </c>
      <c r="E2440" s="1027"/>
      <c r="F2440" s="278" t="s">
        <v>3446</v>
      </c>
      <c r="G2440" s="1040" t="s">
        <v>3463</v>
      </c>
      <c r="H2440" s="273" t="s">
        <v>3462</v>
      </c>
      <c r="I2440" s="720">
        <f t="shared" si="551"/>
        <v>69.750799999999998</v>
      </c>
      <c r="J2440" s="756">
        <v>558.00639999999999</v>
      </c>
      <c r="K2440" s="131">
        <f t="shared" si="538"/>
        <v>558.00639999999999</v>
      </c>
      <c r="L2440" s="335">
        <f t="shared" si="547"/>
        <v>0</v>
      </c>
      <c r="M2440" s="446"/>
      <c r="N2440" s="446"/>
      <c r="O2440" s="446"/>
      <c r="P2440" s="446"/>
      <c r="Q2440" s="110">
        <f t="shared" si="541"/>
        <v>2</v>
      </c>
      <c r="R2440" s="111">
        <f t="shared" si="544"/>
        <v>139.5016</v>
      </c>
      <c r="S2440" s="110"/>
      <c r="T2440" s="110"/>
      <c r="U2440" s="110">
        <f t="shared" si="542"/>
        <v>2</v>
      </c>
      <c r="V2440" s="111">
        <f t="shared" si="545"/>
        <v>139.5016</v>
      </c>
      <c r="W2440" s="110"/>
      <c r="X2440" s="110"/>
      <c r="Y2440" s="110"/>
      <c r="Z2440" s="110"/>
      <c r="AA2440" s="110">
        <f t="shared" si="543"/>
        <v>2</v>
      </c>
      <c r="AB2440" s="111">
        <f t="shared" si="552"/>
        <v>139.5016</v>
      </c>
      <c r="AC2440" s="110"/>
      <c r="AD2440" s="110"/>
      <c r="AE2440" s="110">
        <f t="shared" si="543"/>
        <v>2</v>
      </c>
      <c r="AF2440" s="111">
        <f t="shared" si="553"/>
        <v>139.5016</v>
      </c>
      <c r="AG2440" s="110"/>
      <c r="AH2440" s="110"/>
      <c r="AI2440" s="110"/>
      <c r="AJ2440" s="110"/>
      <c r="AK2440" s="111">
        <f t="shared" si="548"/>
        <v>558.00639999999999</v>
      </c>
      <c r="AL2440" s="446">
        <f t="shared" si="549"/>
        <v>0</v>
      </c>
      <c r="AM2440" s="110">
        <f t="shared" si="550"/>
        <v>8</v>
      </c>
      <c r="AN2440" s="447">
        <f t="shared" si="539"/>
        <v>0</v>
      </c>
      <c r="AO2440"/>
      <c r="AP2440"/>
    </row>
    <row r="2441" spans="1:42" ht="66" x14ac:dyDescent="0.25">
      <c r="A2441" s="9"/>
      <c r="B2441" s="37" t="s">
        <v>1460</v>
      </c>
      <c r="C2441" s="1024"/>
      <c r="D2441" s="869">
        <v>22</v>
      </c>
      <c r="E2441" s="1027" t="s">
        <v>1722</v>
      </c>
      <c r="F2441" s="278" t="s">
        <v>3446</v>
      </c>
      <c r="G2441" s="1040" t="s">
        <v>3463</v>
      </c>
      <c r="H2441" s="273" t="s">
        <v>3462</v>
      </c>
      <c r="I2441" s="720">
        <f t="shared" si="551"/>
        <v>58.127600000000001</v>
      </c>
      <c r="J2441" s="756">
        <v>1278.8072</v>
      </c>
      <c r="K2441" s="131">
        <f t="shared" si="538"/>
        <v>1278.8072</v>
      </c>
      <c r="L2441" s="335">
        <f t="shared" si="547"/>
        <v>0</v>
      </c>
      <c r="M2441" s="446"/>
      <c r="N2441" s="446"/>
      <c r="O2441" s="446"/>
      <c r="P2441" s="446"/>
      <c r="Q2441" s="110">
        <v>6</v>
      </c>
      <c r="R2441" s="111">
        <f t="shared" si="544"/>
        <v>319.70179999999999</v>
      </c>
      <c r="S2441" s="110"/>
      <c r="T2441" s="110"/>
      <c r="U2441" s="110">
        <v>6</v>
      </c>
      <c r="V2441" s="111">
        <f t="shared" si="545"/>
        <v>319.70179999999999</v>
      </c>
      <c r="W2441" s="110"/>
      <c r="X2441" s="110"/>
      <c r="Y2441" s="110"/>
      <c r="Z2441" s="110"/>
      <c r="AA2441" s="110">
        <v>5</v>
      </c>
      <c r="AB2441" s="111">
        <f t="shared" si="552"/>
        <v>319.70179999999999</v>
      </c>
      <c r="AC2441" s="110"/>
      <c r="AD2441" s="110"/>
      <c r="AE2441" s="110">
        <v>5</v>
      </c>
      <c r="AF2441" s="111">
        <f t="shared" si="553"/>
        <v>319.70179999999999</v>
      </c>
      <c r="AG2441" s="110"/>
      <c r="AH2441" s="110"/>
      <c r="AI2441" s="110"/>
      <c r="AJ2441" s="110"/>
      <c r="AK2441" s="111">
        <f t="shared" si="548"/>
        <v>1278.8072</v>
      </c>
      <c r="AL2441" s="446">
        <f t="shared" si="549"/>
        <v>0</v>
      </c>
      <c r="AM2441" s="110">
        <f t="shared" si="550"/>
        <v>22</v>
      </c>
      <c r="AN2441" s="447">
        <f t="shared" si="539"/>
        <v>0</v>
      </c>
      <c r="AO2441"/>
      <c r="AP2441"/>
    </row>
    <row r="2442" spans="1:42" ht="66" x14ac:dyDescent="0.25">
      <c r="A2442" s="9"/>
      <c r="B2442" s="37" t="s">
        <v>621</v>
      </c>
      <c r="C2442" s="1024"/>
      <c r="D2442" s="869">
        <v>31</v>
      </c>
      <c r="E2442" s="1027"/>
      <c r="F2442" s="278" t="s">
        <v>3446</v>
      </c>
      <c r="G2442" s="1040" t="s">
        <v>3463</v>
      </c>
      <c r="H2442" s="273" t="s">
        <v>3462</v>
      </c>
      <c r="I2442" s="720">
        <f t="shared" si="551"/>
        <v>69.750799999999984</v>
      </c>
      <c r="J2442" s="756">
        <v>2162.2747999999997</v>
      </c>
      <c r="K2442" s="131">
        <f t="shared" si="538"/>
        <v>2162.2747999999997</v>
      </c>
      <c r="L2442" s="335">
        <f t="shared" si="547"/>
        <v>0</v>
      </c>
      <c r="M2442" s="446"/>
      <c r="N2442" s="446"/>
      <c r="O2442" s="446"/>
      <c r="P2442" s="446"/>
      <c r="Q2442" s="110">
        <v>8</v>
      </c>
      <c r="R2442" s="111">
        <f t="shared" si="544"/>
        <v>540.56869999999992</v>
      </c>
      <c r="S2442" s="110"/>
      <c r="T2442" s="110"/>
      <c r="U2442" s="110">
        <v>8</v>
      </c>
      <c r="V2442" s="111">
        <f t="shared" si="545"/>
        <v>540.56869999999992</v>
      </c>
      <c r="W2442" s="110"/>
      <c r="X2442" s="110"/>
      <c r="Y2442" s="110"/>
      <c r="Z2442" s="110"/>
      <c r="AA2442" s="110">
        <v>8</v>
      </c>
      <c r="AB2442" s="111">
        <f t="shared" si="552"/>
        <v>540.56869999999992</v>
      </c>
      <c r="AC2442" s="110"/>
      <c r="AD2442" s="110"/>
      <c r="AE2442" s="110">
        <v>7</v>
      </c>
      <c r="AF2442" s="111">
        <f t="shared" si="553"/>
        <v>540.56869999999992</v>
      </c>
      <c r="AG2442" s="110"/>
      <c r="AH2442" s="110"/>
      <c r="AI2442" s="110"/>
      <c r="AJ2442" s="110"/>
      <c r="AK2442" s="111">
        <f t="shared" si="548"/>
        <v>2162.2747999999997</v>
      </c>
      <c r="AL2442" s="446">
        <f t="shared" si="549"/>
        <v>0</v>
      </c>
      <c r="AM2442" s="110">
        <f t="shared" si="550"/>
        <v>31</v>
      </c>
      <c r="AN2442" s="447">
        <f t="shared" si="539"/>
        <v>0</v>
      </c>
      <c r="AO2442"/>
      <c r="AP2442"/>
    </row>
    <row r="2443" spans="1:42" ht="66" x14ac:dyDescent="0.25">
      <c r="A2443" s="9"/>
      <c r="B2443" s="37" t="s">
        <v>1461</v>
      </c>
      <c r="C2443" s="1024"/>
      <c r="D2443" s="869">
        <v>11</v>
      </c>
      <c r="E2443" s="1027"/>
      <c r="F2443" s="278" t="s">
        <v>3446</v>
      </c>
      <c r="G2443" s="1040" t="s">
        <v>3463</v>
      </c>
      <c r="H2443" s="273" t="s">
        <v>3462</v>
      </c>
      <c r="I2443" s="720">
        <f t="shared" si="551"/>
        <v>26.158000000000001</v>
      </c>
      <c r="J2443" s="756">
        <v>287.738</v>
      </c>
      <c r="K2443" s="131">
        <f t="shared" si="538"/>
        <v>287.738</v>
      </c>
      <c r="L2443" s="335">
        <f t="shared" si="547"/>
        <v>0</v>
      </c>
      <c r="M2443" s="446"/>
      <c r="N2443" s="446"/>
      <c r="O2443" s="446"/>
      <c r="P2443" s="446"/>
      <c r="Q2443" s="110">
        <v>3</v>
      </c>
      <c r="R2443" s="111">
        <f t="shared" si="544"/>
        <v>71.9345</v>
      </c>
      <c r="S2443" s="110"/>
      <c r="T2443" s="110"/>
      <c r="U2443" s="110">
        <v>3</v>
      </c>
      <c r="V2443" s="111">
        <f t="shared" si="545"/>
        <v>71.9345</v>
      </c>
      <c r="W2443" s="110"/>
      <c r="X2443" s="110"/>
      <c r="Y2443" s="110"/>
      <c r="Z2443" s="110"/>
      <c r="AA2443" s="110">
        <v>3</v>
      </c>
      <c r="AB2443" s="111">
        <f t="shared" si="552"/>
        <v>71.9345</v>
      </c>
      <c r="AC2443" s="110"/>
      <c r="AD2443" s="110"/>
      <c r="AE2443" s="110">
        <v>2</v>
      </c>
      <c r="AF2443" s="111">
        <f t="shared" si="553"/>
        <v>71.9345</v>
      </c>
      <c r="AG2443" s="110"/>
      <c r="AH2443" s="110"/>
      <c r="AI2443" s="110"/>
      <c r="AJ2443" s="110"/>
      <c r="AK2443" s="111">
        <f t="shared" si="548"/>
        <v>287.738</v>
      </c>
      <c r="AL2443" s="446">
        <f t="shared" si="549"/>
        <v>0</v>
      </c>
      <c r="AM2443" s="110">
        <f t="shared" si="550"/>
        <v>11</v>
      </c>
      <c r="AN2443" s="447">
        <f t="shared" si="539"/>
        <v>0</v>
      </c>
      <c r="AO2443"/>
      <c r="AP2443"/>
    </row>
    <row r="2444" spans="1:42" ht="66" x14ac:dyDescent="0.25">
      <c r="A2444" s="9"/>
      <c r="B2444" s="37" t="s">
        <v>1462</v>
      </c>
      <c r="C2444" s="1024"/>
      <c r="D2444" s="869">
        <v>11</v>
      </c>
      <c r="E2444" s="1027" t="s">
        <v>2321</v>
      </c>
      <c r="F2444" s="278" t="s">
        <v>3446</v>
      </c>
      <c r="G2444" s="1040" t="s">
        <v>3463</v>
      </c>
      <c r="H2444" s="273" t="s">
        <v>3462</v>
      </c>
      <c r="I2444" s="720">
        <f t="shared" si="551"/>
        <v>56.677600000000005</v>
      </c>
      <c r="J2444" s="756">
        <v>623.45360000000005</v>
      </c>
      <c r="K2444" s="131">
        <f t="shared" si="538"/>
        <v>623.45360000000005</v>
      </c>
      <c r="L2444" s="335">
        <f t="shared" si="547"/>
        <v>0</v>
      </c>
      <c r="M2444" s="446"/>
      <c r="N2444" s="446"/>
      <c r="O2444" s="446"/>
      <c r="P2444" s="446"/>
      <c r="Q2444" s="110">
        <v>3</v>
      </c>
      <c r="R2444" s="111">
        <f t="shared" si="544"/>
        <v>155.86340000000001</v>
      </c>
      <c r="S2444" s="110"/>
      <c r="T2444" s="110"/>
      <c r="U2444" s="110">
        <v>3</v>
      </c>
      <c r="V2444" s="111">
        <f t="shared" si="545"/>
        <v>155.86340000000001</v>
      </c>
      <c r="W2444" s="110"/>
      <c r="X2444" s="110"/>
      <c r="Y2444" s="110"/>
      <c r="Z2444" s="110"/>
      <c r="AA2444" s="110">
        <v>3</v>
      </c>
      <c r="AB2444" s="111">
        <f t="shared" si="552"/>
        <v>155.86340000000001</v>
      </c>
      <c r="AC2444" s="110"/>
      <c r="AD2444" s="110"/>
      <c r="AE2444" s="110">
        <v>2</v>
      </c>
      <c r="AF2444" s="111">
        <f t="shared" si="553"/>
        <v>155.86340000000001</v>
      </c>
      <c r="AG2444" s="110"/>
      <c r="AH2444" s="110"/>
      <c r="AI2444" s="110"/>
      <c r="AJ2444" s="110"/>
      <c r="AK2444" s="111">
        <f t="shared" si="548"/>
        <v>623.45360000000005</v>
      </c>
      <c r="AL2444" s="446">
        <f t="shared" si="549"/>
        <v>0</v>
      </c>
      <c r="AM2444" s="110">
        <f t="shared" si="550"/>
        <v>11</v>
      </c>
      <c r="AN2444" s="447">
        <f t="shared" si="539"/>
        <v>0</v>
      </c>
      <c r="AO2444"/>
      <c r="AP2444"/>
    </row>
    <row r="2445" spans="1:42" ht="66" x14ac:dyDescent="0.25">
      <c r="A2445" s="9"/>
      <c r="B2445" s="37" t="s">
        <v>628</v>
      </c>
      <c r="C2445" s="1024"/>
      <c r="D2445" s="869">
        <v>11</v>
      </c>
      <c r="E2445" s="1027" t="s">
        <v>1722</v>
      </c>
      <c r="F2445" s="278" t="s">
        <v>3446</v>
      </c>
      <c r="G2445" s="1040" t="s">
        <v>3463</v>
      </c>
      <c r="H2445" s="273" t="s">
        <v>3462</v>
      </c>
      <c r="I2445" s="720">
        <f t="shared" si="551"/>
        <v>21.796399999999998</v>
      </c>
      <c r="J2445" s="756">
        <v>239.76039999999998</v>
      </c>
      <c r="K2445" s="131">
        <f t="shared" si="538"/>
        <v>239.76039999999998</v>
      </c>
      <c r="L2445" s="335">
        <f t="shared" si="547"/>
        <v>0</v>
      </c>
      <c r="M2445" s="446"/>
      <c r="N2445" s="446"/>
      <c r="O2445" s="446"/>
      <c r="P2445" s="446"/>
      <c r="Q2445" s="110">
        <v>3</v>
      </c>
      <c r="R2445" s="111">
        <f t="shared" si="544"/>
        <v>59.940099999999994</v>
      </c>
      <c r="S2445" s="110"/>
      <c r="T2445" s="110"/>
      <c r="U2445" s="110">
        <v>3</v>
      </c>
      <c r="V2445" s="111">
        <f t="shared" si="545"/>
        <v>59.940099999999994</v>
      </c>
      <c r="W2445" s="110"/>
      <c r="X2445" s="110"/>
      <c r="Y2445" s="110"/>
      <c r="Z2445" s="110"/>
      <c r="AA2445" s="110">
        <v>3</v>
      </c>
      <c r="AB2445" s="111">
        <f t="shared" si="552"/>
        <v>59.940099999999994</v>
      </c>
      <c r="AC2445" s="110"/>
      <c r="AD2445" s="110"/>
      <c r="AE2445" s="110">
        <v>2</v>
      </c>
      <c r="AF2445" s="111">
        <f t="shared" si="553"/>
        <v>59.940099999999994</v>
      </c>
      <c r="AG2445" s="110"/>
      <c r="AH2445" s="110"/>
      <c r="AI2445" s="110"/>
      <c r="AJ2445" s="110"/>
      <c r="AK2445" s="111">
        <f t="shared" si="548"/>
        <v>239.76039999999998</v>
      </c>
      <c r="AL2445" s="446">
        <f t="shared" si="549"/>
        <v>0</v>
      </c>
      <c r="AM2445" s="110">
        <f t="shared" si="550"/>
        <v>11</v>
      </c>
      <c r="AN2445" s="447">
        <f t="shared" si="539"/>
        <v>0</v>
      </c>
      <c r="AO2445"/>
      <c r="AP2445"/>
    </row>
    <row r="2446" spans="1:42" ht="66" x14ac:dyDescent="0.25">
      <c r="A2446" s="9"/>
      <c r="B2446" s="34" t="s">
        <v>1535</v>
      </c>
      <c r="C2446" s="1024"/>
      <c r="D2446" s="869">
        <v>5</v>
      </c>
      <c r="E2446" s="1027"/>
      <c r="F2446" s="278" t="s">
        <v>3446</v>
      </c>
      <c r="G2446" s="1040" t="s">
        <v>3463</v>
      </c>
      <c r="H2446" s="273" t="s">
        <v>3462</v>
      </c>
      <c r="I2446" s="720">
        <f t="shared" si="551"/>
        <v>38.836799999999997</v>
      </c>
      <c r="J2446" s="756">
        <v>194.18399999999997</v>
      </c>
      <c r="K2446" s="131">
        <f t="shared" si="538"/>
        <v>194.18399999999997</v>
      </c>
      <c r="L2446" s="335">
        <f t="shared" si="547"/>
        <v>0</v>
      </c>
      <c r="M2446" s="446"/>
      <c r="N2446" s="446"/>
      <c r="O2446" s="446"/>
      <c r="P2446" s="446"/>
      <c r="Q2446" s="110">
        <v>2</v>
      </c>
      <c r="R2446" s="111">
        <f t="shared" si="544"/>
        <v>48.545999999999992</v>
      </c>
      <c r="S2446" s="110"/>
      <c r="T2446" s="110"/>
      <c r="U2446" s="110">
        <v>1</v>
      </c>
      <c r="V2446" s="111">
        <f t="shared" si="545"/>
        <v>48.545999999999992</v>
      </c>
      <c r="W2446" s="110"/>
      <c r="X2446" s="110"/>
      <c r="Y2446" s="110"/>
      <c r="Z2446" s="110"/>
      <c r="AA2446" s="110">
        <v>1</v>
      </c>
      <c r="AB2446" s="111">
        <f t="shared" si="552"/>
        <v>48.545999999999992</v>
      </c>
      <c r="AC2446" s="110"/>
      <c r="AD2446" s="110"/>
      <c r="AE2446" s="110">
        <v>1</v>
      </c>
      <c r="AF2446" s="111">
        <f t="shared" si="553"/>
        <v>48.545999999999992</v>
      </c>
      <c r="AG2446" s="110"/>
      <c r="AH2446" s="110"/>
      <c r="AI2446" s="110"/>
      <c r="AJ2446" s="110"/>
      <c r="AK2446" s="111">
        <f t="shared" si="548"/>
        <v>194.18399999999997</v>
      </c>
      <c r="AL2446" s="446">
        <f t="shared" si="549"/>
        <v>0</v>
      </c>
      <c r="AM2446" s="110">
        <f t="shared" si="550"/>
        <v>5</v>
      </c>
      <c r="AN2446" s="447">
        <f t="shared" si="539"/>
        <v>0</v>
      </c>
      <c r="AO2446"/>
      <c r="AP2446"/>
    </row>
    <row r="2447" spans="1:42" ht="66" x14ac:dyDescent="0.25">
      <c r="A2447" s="9"/>
      <c r="B2447" s="34" t="s">
        <v>1536</v>
      </c>
      <c r="C2447" s="1024"/>
      <c r="D2447" s="869">
        <v>10</v>
      </c>
      <c r="E2447" s="1027" t="s">
        <v>1722</v>
      </c>
      <c r="F2447" s="278" t="s">
        <v>3446</v>
      </c>
      <c r="G2447" s="1040" t="s">
        <v>3463</v>
      </c>
      <c r="H2447" s="273" t="s">
        <v>3462</v>
      </c>
      <c r="I2447" s="720">
        <f t="shared" si="551"/>
        <v>62.64</v>
      </c>
      <c r="J2447" s="756">
        <v>626.4</v>
      </c>
      <c r="K2447" s="131">
        <f t="shared" si="538"/>
        <v>626.4</v>
      </c>
      <c r="L2447" s="335">
        <f t="shared" si="547"/>
        <v>0</v>
      </c>
      <c r="M2447" s="446"/>
      <c r="N2447" s="446"/>
      <c r="O2447" s="446"/>
      <c r="P2447" s="446"/>
      <c r="Q2447" s="130">
        <v>3</v>
      </c>
      <c r="R2447" s="111">
        <f t="shared" si="544"/>
        <v>156.6</v>
      </c>
      <c r="S2447" s="110"/>
      <c r="T2447" s="110"/>
      <c r="U2447" s="130">
        <v>3</v>
      </c>
      <c r="V2447" s="111">
        <f t="shared" si="545"/>
        <v>156.6</v>
      </c>
      <c r="W2447" s="110"/>
      <c r="X2447" s="110"/>
      <c r="Y2447" s="110"/>
      <c r="Z2447" s="110"/>
      <c r="AA2447" s="130">
        <v>2</v>
      </c>
      <c r="AB2447" s="111">
        <f t="shared" si="552"/>
        <v>156.6</v>
      </c>
      <c r="AC2447" s="110"/>
      <c r="AD2447" s="110"/>
      <c r="AE2447" s="130">
        <v>2</v>
      </c>
      <c r="AF2447" s="111">
        <f t="shared" si="553"/>
        <v>156.6</v>
      </c>
      <c r="AG2447" s="110"/>
      <c r="AH2447" s="110"/>
      <c r="AI2447" s="110"/>
      <c r="AJ2447" s="110"/>
      <c r="AK2447" s="111">
        <f t="shared" si="548"/>
        <v>626.4</v>
      </c>
      <c r="AL2447" s="446">
        <f t="shared" si="549"/>
        <v>0</v>
      </c>
      <c r="AM2447" s="110">
        <f t="shared" si="550"/>
        <v>10</v>
      </c>
      <c r="AN2447" s="447">
        <f t="shared" si="539"/>
        <v>0</v>
      </c>
      <c r="AO2447"/>
      <c r="AP2447"/>
    </row>
    <row r="2448" spans="1:42" ht="66" x14ac:dyDescent="0.25">
      <c r="A2448" s="9"/>
      <c r="B2448" s="34" t="s">
        <v>1537</v>
      </c>
      <c r="C2448" s="1024"/>
      <c r="D2448" s="869">
        <v>10</v>
      </c>
      <c r="E2448" s="1027" t="s">
        <v>1722</v>
      </c>
      <c r="F2448" s="278" t="s">
        <v>3446</v>
      </c>
      <c r="G2448" s="1040" t="s">
        <v>3463</v>
      </c>
      <c r="H2448" s="273" t="s">
        <v>3462</v>
      </c>
      <c r="I2448" s="720">
        <f t="shared" si="551"/>
        <v>50.112000000000002</v>
      </c>
      <c r="J2448" s="756">
        <v>501.12</v>
      </c>
      <c r="K2448" s="131">
        <f t="shared" si="538"/>
        <v>501.12</v>
      </c>
      <c r="L2448" s="335">
        <f t="shared" si="547"/>
        <v>0</v>
      </c>
      <c r="M2448" s="446"/>
      <c r="N2448" s="446"/>
      <c r="O2448" s="446"/>
      <c r="P2448" s="446"/>
      <c r="Q2448" s="130">
        <v>3</v>
      </c>
      <c r="R2448" s="111">
        <f t="shared" si="544"/>
        <v>125.28</v>
      </c>
      <c r="S2448" s="110"/>
      <c r="T2448" s="110"/>
      <c r="U2448" s="130">
        <v>3</v>
      </c>
      <c r="V2448" s="111">
        <f t="shared" si="545"/>
        <v>125.28</v>
      </c>
      <c r="W2448" s="110"/>
      <c r="X2448" s="110"/>
      <c r="Y2448" s="110"/>
      <c r="Z2448" s="110"/>
      <c r="AA2448" s="130">
        <v>2</v>
      </c>
      <c r="AB2448" s="111">
        <f t="shared" si="552"/>
        <v>125.28</v>
      </c>
      <c r="AC2448" s="110"/>
      <c r="AD2448" s="110"/>
      <c r="AE2448" s="130">
        <v>2</v>
      </c>
      <c r="AF2448" s="111">
        <f t="shared" si="553"/>
        <v>125.28</v>
      </c>
      <c r="AG2448" s="110"/>
      <c r="AH2448" s="110"/>
      <c r="AI2448" s="110"/>
      <c r="AJ2448" s="110"/>
      <c r="AK2448" s="111">
        <f t="shared" si="548"/>
        <v>501.12</v>
      </c>
      <c r="AL2448" s="446">
        <f t="shared" si="549"/>
        <v>0</v>
      </c>
      <c r="AM2448" s="110">
        <f t="shared" si="550"/>
        <v>10</v>
      </c>
      <c r="AN2448" s="447">
        <f t="shared" si="539"/>
        <v>0</v>
      </c>
      <c r="AO2448"/>
      <c r="AP2448"/>
    </row>
    <row r="2449" spans="1:42" ht="66" x14ac:dyDescent="0.25">
      <c r="A2449" s="9"/>
      <c r="B2449" s="34" t="s">
        <v>1538</v>
      </c>
      <c r="C2449" s="1024"/>
      <c r="D2449" s="869">
        <v>10</v>
      </c>
      <c r="E2449" s="1027"/>
      <c r="F2449" s="278" t="s">
        <v>3446</v>
      </c>
      <c r="G2449" s="1040" t="s">
        <v>3463</v>
      </c>
      <c r="H2449" s="273" t="s">
        <v>3462</v>
      </c>
      <c r="I2449" s="720">
        <f t="shared" si="551"/>
        <v>50.112000000000002</v>
      </c>
      <c r="J2449" s="756">
        <v>501.12</v>
      </c>
      <c r="K2449" s="131">
        <f t="shared" si="538"/>
        <v>501.12</v>
      </c>
      <c r="L2449" s="335">
        <f t="shared" si="547"/>
        <v>0</v>
      </c>
      <c r="M2449" s="446"/>
      <c r="N2449" s="446"/>
      <c r="O2449" s="446"/>
      <c r="P2449" s="446"/>
      <c r="Q2449" s="130">
        <v>3</v>
      </c>
      <c r="R2449" s="111">
        <f t="shared" si="544"/>
        <v>125.28</v>
      </c>
      <c r="S2449" s="110"/>
      <c r="T2449" s="110"/>
      <c r="U2449" s="130">
        <v>3</v>
      </c>
      <c r="V2449" s="111">
        <f t="shared" si="545"/>
        <v>125.28</v>
      </c>
      <c r="W2449" s="110"/>
      <c r="X2449" s="110"/>
      <c r="Y2449" s="110"/>
      <c r="Z2449" s="110"/>
      <c r="AA2449" s="130">
        <v>2</v>
      </c>
      <c r="AB2449" s="111">
        <f t="shared" si="552"/>
        <v>125.28</v>
      </c>
      <c r="AC2449" s="110"/>
      <c r="AD2449" s="110"/>
      <c r="AE2449" s="130">
        <v>2</v>
      </c>
      <c r="AF2449" s="111">
        <f t="shared" si="553"/>
        <v>125.28</v>
      </c>
      <c r="AG2449" s="110"/>
      <c r="AH2449" s="110"/>
      <c r="AI2449" s="110"/>
      <c r="AJ2449" s="110"/>
      <c r="AK2449" s="111">
        <f t="shared" si="548"/>
        <v>501.12</v>
      </c>
      <c r="AL2449" s="446">
        <f t="shared" si="549"/>
        <v>0</v>
      </c>
      <c r="AM2449" s="110">
        <f t="shared" si="550"/>
        <v>10</v>
      </c>
      <c r="AN2449" s="447">
        <f t="shared" si="539"/>
        <v>0</v>
      </c>
      <c r="AO2449"/>
      <c r="AP2449"/>
    </row>
    <row r="2450" spans="1:42" ht="66" x14ac:dyDescent="0.25">
      <c r="A2450" s="9"/>
      <c r="B2450" s="34" t="s">
        <v>621</v>
      </c>
      <c r="C2450" s="1024"/>
      <c r="D2450" s="869">
        <v>10</v>
      </c>
      <c r="E2450" s="1027"/>
      <c r="F2450" s="278" t="s">
        <v>3446</v>
      </c>
      <c r="G2450" s="1040" t="s">
        <v>3463</v>
      </c>
      <c r="H2450" s="273" t="s">
        <v>3462</v>
      </c>
      <c r="I2450" s="720">
        <f t="shared" si="551"/>
        <v>60.134400000000007</v>
      </c>
      <c r="J2450" s="756">
        <v>601.34400000000005</v>
      </c>
      <c r="K2450" s="131">
        <f t="shared" si="538"/>
        <v>601.34400000000005</v>
      </c>
      <c r="L2450" s="335">
        <f t="shared" si="547"/>
        <v>0</v>
      </c>
      <c r="M2450" s="446"/>
      <c r="N2450" s="446"/>
      <c r="O2450" s="446"/>
      <c r="P2450" s="446"/>
      <c r="Q2450" s="130">
        <v>3</v>
      </c>
      <c r="R2450" s="111">
        <f t="shared" si="544"/>
        <v>150.33600000000001</v>
      </c>
      <c r="S2450" s="110"/>
      <c r="T2450" s="110"/>
      <c r="U2450" s="130">
        <v>3</v>
      </c>
      <c r="V2450" s="111">
        <f t="shared" si="545"/>
        <v>150.33600000000001</v>
      </c>
      <c r="W2450" s="110"/>
      <c r="X2450" s="110"/>
      <c r="Y2450" s="110"/>
      <c r="Z2450" s="110"/>
      <c r="AA2450" s="130">
        <v>2</v>
      </c>
      <c r="AB2450" s="111">
        <f t="shared" si="552"/>
        <v>150.33600000000001</v>
      </c>
      <c r="AC2450" s="110"/>
      <c r="AD2450" s="110"/>
      <c r="AE2450" s="130">
        <v>2</v>
      </c>
      <c r="AF2450" s="111">
        <f t="shared" si="553"/>
        <v>150.33600000000001</v>
      </c>
      <c r="AG2450" s="110"/>
      <c r="AH2450" s="110"/>
      <c r="AI2450" s="110"/>
      <c r="AJ2450" s="110"/>
      <c r="AK2450" s="111">
        <f t="shared" si="548"/>
        <v>601.34400000000005</v>
      </c>
      <c r="AL2450" s="446">
        <f t="shared" si="549"/>
        <v>0</v>
      </c>
      <c r="AM2450" s="110">
        <f t="shared" si="550"/>
        <v>10</v>
      </c>
      <c r="AN2450" s="447">
        <f t="shared" si="539"/>
        <v>0</v>
      </c>
      <c r="AO2450"/>
      <c r="AP2450"/>
    </row>
    <row r="2451" spans="1:42" ht="66" x14ac:dyDescent="0.25">
      <c r="A2451" s="9"/>
      <c r="B2451" s="34" t="s">
        <v>622</v>
      </c>
      <c r="C2451" s="1024"/>
      <c r="D2451" s="869">
        <v>15</v>
      </c>
      <c r="E2451" s="1027" t="s">
        <v>1722</v>
      </c>
      <c r="F2451" s="278" t="s">
        <v>3446</v>
      </c>
      <c r="G2451" s="1040" t="s">
        <v>3463</v>
      </c>
      <c r="H2451" s="273" t="s">
        <v>3462</v>
      </c>
      <c r="I2451" s="720">
        <f t="shared" si="551"/>
        <v>72.662400000000005</v>
      </c>
      <c r="J2451" s="756">
        <v>1089.9360000000001</v>
      </c>
      <c r="K2451" s="131">
        <f t="shared" si="538"/>
        <v>1089.9360000000001</v>
      </c>
      <c r="L2451" s="335">
        <f t="shared" si="547"/>
        <v>0</v>
      </c>
      <c r="M2451" s="446"/>
      <c r="N2451" s="446"/>
      <c r="O2451" s="446"/>
      <c r="P2451" s="446"/>
      <c r="Q2451" s="110">
        <v>4</v>
      </c>
      <c r="R2451" s="111">
        <f t="shared" si="544"/>
        <v>272.48400000000004</v>
      </c>
      <c r="S2451" s="110"/>
      <c r="T2451" s="110"/>
      <c r="U2451" s="110">
        <v>4</v>
      </c>
      <c r="V2451" s="111">
        <f t="shared" si="545"/>
        <v>272.48400000000004</v>
      </c>
      <c r="W2451" s="110"/>
      <c r="X2451" s="110"/>
      <c r="Y2451" s="110"/>
      <c r="Z2451" s="110"/>
      <c r="AA2451" s="110">
        <v>4</v>
      </c>
      <c r="AB2451" s="111">
        <f t="shared" si="552"/>
        <v>272.48400000000004</v>
      </c>
      <c r="AC2451" s="110"/>
      <c r="AD2451" s="110"/>
      <c r="AE2451" s="110">
        <v>3</v>
      </c>
      <c r="AF2451" s="111">
        <f t="shared" si="553"/>
        <v>272.48400000000004</v>
      </c>
      <c r="AG2451" s="110"/>
      <c r="AH2451" s="110"/>
      <c r="AI2451" s="110"/>
      <c r="AJ2451" s="110"/>
      <c r="AK2451" s="111">
        <f t="shared" si="548"/>
        <v>1089.9360000000001</v>
      </c>
      <c r="AL2451" s="446">
        <f t="shared" si="549"/>
        <v>0</v>
      </c>
      <c r="AM2451" s="110">
        <f t="shared" si="550"/>
        <v>15</v>
      </c>
      <c r="AN2451" s="447">
        <f t="shared" si="539"/>
        <v>0</v>
      </c>
      <c r="AO2451"/>
      <c r="AP2451"/>
    </row>
    <row r="2452" spans="1:42" ht="66" x14ac:dyDescent="0.25">
      <c r="A2452" s="9"/>
      <c r="B2452" s="34" t="s">
        <v>1539</v>
      </c>
      <c r="C2452" s="1024"/>
      <c r="D2452" s="869">
        <v>10</v>
      </c>
      <c r="E2452" s="1027" t="s">
        <v>2321</v>
      </c>
      <c r="F2452" s="278" t="s">
        <v>3446</v>
      </c>
      <c r="G2452" s="1040" t="s">
        <v>3463</v>
      </c>
      <c r="H2452" s="273" t="s">
        <v>3462</v>
      </c>
      <c r="I2452" s="720">
        <f t="shared" si="551"/>
        <v>50.112000000000002</v>
      </c>
      <c r="J2452" s="756">
        <v>501.12</v>
      </c>
      <c r="K2452" s="131">
        <f t="shared" si="538"/>
        <v>501.12</v>
      </c>
      <c r="L2452" s="335">
        <f t="shared" si="547"/>
        <v>0</v>
      </c>
      <c r="M2452" s="446"/>
      <c r="N2452" s="446"/>
      <c r="O2452" s="446"/>
      <c r="P2452" s="446"/>
      <c r="Q2452" s="130">
        <v>3</v>
      </c>
      <c r="R2452" s="111">
        <f t="shared" si="544"/>
        <v>125.28</v>
      </c>
      <c r="S2452" s="110"/>
      <c r="T2452" s="110"/>
      <c r="U2452" s="130">
        <v>3</v>
      </c>
      <c r="V2452" s="111">
        <f t="shared" si="545"/>
        <v>125.28</v>
      </c>
      <c r="W2452" s="110"/>
      <c r="X2452" s="110"/>
      <c r="Y2452" s="110"/>
      <c r="Z2452" s="110"/>
      <c r="AA2452" s="130">
        <v>2</v>
      </c>
      <c r="AB2452" s="111">
        <f t="shared" si="552"/>
        <v>125.28</v>
      </c>
      <c r="AC2452" s="110"/>
      <c r="AD2452" s="110"/>
      <c r="AE2452" s="130">
        <v>2</v>
      </c>
      <c r="AF2452" s="111">
        <f t="shared" si="553"/>
        <v>125.28</v>
      </c>
      <c r="AG2452" s="110"/>
      <c r="AH2452" s="110"/>
      <c r="AI2452" s="110"/>
      <c r="AJ2452" s="110"/>
      <c r="AK2452" s="111">
        <f t="shared" si="548"/>
        <v>501.12</v>
      </c>
      <c r="AL2452" s="446">
        <f t="shared" si="549"/>
        <v>0</v>
      </c>
      <c r="AM2452" s="110">
        <f t="shared" si="550"/>
        <v>10</v>
      </c>
      <c r="AN2452" s="447">
        <f t="shared" si="539"/>
        <v>0</v>
      </c>
      <c r="AO2452"/>
      <c r="AP2452"/>
    </row>
    <row r="2453" spans="1:42" ht="66" x14ac:dyDescent="0.25">
      <c r="A2453" s="9"/>
      <c r="B2453" s="34" t="s">
        <v>1540</v>
      </c>
      <c r="C2453" s="1024"/>
      <c r="D2453" s="869">
        <v>10</v>
      </c>
      <c r="E2453" s="1027"/>
      <c r="F2453" s="278" t="s">
        <v>3446</v>
      </c>
      <c r="G2453" s="1040" t="s">
        <v>3463</v>
      </c>
      <c r="H2453" s="273" t="s">
        <v>3462</v>
      </c>
      <c r="I2453" s="720">
        <f t="shared" si="551"/>
        <v>56.375999999999998</v>
      </c>
      <c r="J2453" s="756">
        <v>563.76</v>
      </c>
      <c r="K2453" s="131">
        <f t="shared" si="538"/>
        <v>563.76</v>
      </c>
      <c r="L2453" s="335">
        <f t="shared" si="547"/>
        <v>0</v>
      </c>
      <c r="M2453" s="446"/>
      <c r="N2453" s="446"/>
      <c r="O2453" s="446"/>
      <c r="P2453" s="446"/>
      <c r="Q2453" s="130">
        <v>3</v>
      </c>
      <c r="R2453" s="111">
        <f t="shared" si="544"/>
        <v>140.94</v>
      </c>
      <c r="S2453" s="110"/>
      <c r="T2453" s="110"/>
      <c r="U2453" s="130">
        <v>3</v>
      </c>
      <c r="V2453" s="111">
        <f t="shared" si="545"/>
        <v>140.94</v>
      </c>
      <c r="W2453" s="110"/>
      <c r="X2453" s="110"/>
      <c r="Y2453" s="110"/>
      <c r="Z2453" s="110"/>
      <c r="AA2453" s="130">
        <v>2</v>
      </c>
      <c r="AB2453" s="111">
        <f t="shared" si="552"/>
        <v>140.94</v>
      </c>
      <c r="AC2453" s="110"/>
      <c r="AD2453" s="110"/>
      <c r="AE2453" s="130">
        <v>2</v>
      </c>
      <c r="AF2453" s="111">
        <f t="shared" si="553"/>
        <v>140.94</v>
      </c>
      <c r="AG2453" s="110"/>
      <c r="AH2453" s="110"/>
      <c r="AI2453" s="110"/>
      <c r="AJ2453" s="110"/>
      <c r="AK2453" s="111">
        <f t="shared" si="548"/>
        <v>563.76</v>
      </c>
      <c r="AL2453" s="446">
        <f t="shared" si="549"/>
        <v>0</v>
      </c>
      <c r="AM2453" s="110">
        <f t="shared" si="550"/>
        <v>10</v>
      </c>
      <c r="AN2453" s="447">
        <f t="shared" si="539"/>
        <v>0</v>
      </c>
      <c r="AO2453"/>
      <c r="AP2453"/>
    </row>
    <row r="2454" spans="1:42" ht="66" x14ac:dyDescent="0.25">
      <c r="A2454" s="9"/>
      <c r="B2454" s="34" t="s">
        <v>623</v>
      </c>
      <c r="C2454" s="1024"/>
      <c r="D2454" s="869">
        <v>5</v>
      </c>
      <c r="E2454" s="1027"/>
      <c r="F2454" s="278" t="s">
        <v>3446</v>
      </c>
      <c r="G2454" s="1040" t="s">
        <v>3463</v>
      </c>
      <c r="H2454" s="273" t="s">
        <v>3462</v>
      </c>
      <c r="I2454" s="720">
        <f t="shared" si="551"/>
        <v>51.179199999999994</v>
      </c>
      <c r="J2454" s="756">
        <v>255.89599999999996</v>
      </c>
      <c r="K2454" s="131">
        <f t="shared" si="538"/>
        <v>255.89599999999996</v>
      </c>
      <c r="L2454" s="335">
        <f t="shared" si="547"/>
        <v>0</v>
      </c>
      <c r="M2454" s="446"/>
      <c r="N2454" s="446"/>
      <c r="O2454" s="446"/>
      <c r="P2454" s="446"/>
      <c r="Q2454" s="110">
        <v>2</v>
      </c>
      <c r="R2454" s="111">
        <f t="shared" si="544"/>
        <v>63.97399999999999</v>
      </c>
      <c r="S2454" s="110"/>
      <c r="T2454" s="110"/>
      <c r="U2454" s="110">
        <v>1</v>
      </c>
      <c r="V2454" s="111">
        <f t="shared" si="545"/>
        <v>63.97399999999999</v>
      </c>
      <c r="W2454" s="110"/>
      <c r="X2454" s="110"/>
      <c r="Y2454" s="110"/>
      <c r="Z2454" s="110"/>
      <c r="AA2454" s="110">
        <v>1</v>
      </c>
      <c r="AB2454" s="111">
        <f t="shared" si="552"/>
        <v>63.97399999999999</v>
      </c>
      <c r="AC2454" s="110"/>
      <c r="AD2454" s="110"/>
      <c r="AE2454" s="110">
        <v>1</v>
      </c>
      <c r="AF2454" s="111">
        <f t="shared" si="553"/>
        <v>63.97399999999999</v>
      </c>
      <c r="AG2454" s="110"/>
      <c r="AH2454" s="110"/>
      <c r="AI2454" s="110"/>
      <c r="AJ2454" s="110"/>
      <c r="AK2454" s="111">
        <f t="shared" si="548"/>
        <v>255.89599999999996</v>
      </c>
      <c r="AL2454" s="446">
        <f t="shared" si="549"/>
        <v>0</v>
      </c>
      <c r="AM2454" s="110">
        <f t="shared" si="550"/>
        <v>5</v>
      </c>
      <c r="AN2454" s="447">
        <f t="shared" si="539"/>
        <v>0</v>
      </c>
      <c r="AO2454"/>
      <c r="AP2454"/>
    </row>
    <row r="2455" spans="1:42" ht="66" x14ac:dyDescent="0.25">
      <c r="A2455" s="9"/>
      <c r="B2455" s="34" t="s">
        <v>624</v>
      </c>
      <c r="C2455" s="1024"/>
      <c r="D2455" s="869">
        <v>20</v>
      </c>
      <c r="E2455" s="1027"/>
      <c r="F2455" s="278" t="s">
        <v>3446</v>
      </c>
      <c r="G2455" s="1040" t="s">
        <v>3463</v>
      </c>
      <c r="H2455" s="273" t="s">
        <v>3462</v>
      </c>
      <c r="I2455" s="720">
        <f t="shared" si="551"/>
        <v>72.662400000000005</v>
      </c>
      <c r="J2455" s="756">
        <v>1453.248</v>
      </c>
      <c r="K2455" s="131">
        <f t="shared" si="538"/>
        <v>1453.248</v>
      </c>
      <c r="L2455" s="335">
        <f t="shared" si="547"/>
        <v>0</v>
      </c>
      <c r="M2455" s="446"/>
      <c r="N2455" s="446"/>
      <c r="O2455" s="446"/>
      <c r="P2455" s="446"/>
      <c r="Q2455" s="110">
        <f t="shared" si="541"/>
        <v>5</v>
      </c>
      <c r="R2455" s="111">
        <f t="shared" si="544"/>
        <v>363.31200000000001</v>
      </c>
      <c r="S2455" s="110"/>
      <c r="T2455" s="110"/>
      <c r="U2455" s="110">
        <f t="shared" si="542"/>
        <v>5</v>
      </c>
      <c r="V2455" s="111">
        <f t="shared" si="545"/>
        <v>363.31200000000001</v>
      </c>
      <c r="W2455" s="110"/>
      <c r="X2455" s="110"/>
      <c r="Y2455" s="110"/>
      <c r="Z2455" s="110"/>
      <c r="AA2455" s="110">
        <f t="shared" si="543"/>
        <v>5</v>
      </c>
      <c r="AB2455" s="111">
        <f t="shared" si="552"/>
        <v>363.31200000000001</v>
      </c>
      <c r="AC2455" s="110"/>
      <c r="AD2455" s="110"/>
      <c r="AE2455" s="110">
        <f t="shared" si="543"/>
        <v>5</v>
      </c>
      <c r="AF2455" s="111">
        <f t="shared" si="553"/>
        <v>363.31200000000001</v>
      </c>
      <c r="AG2455" s="110"/>
      <c r="AH2455" s="110"/>
      <c r="AI2455" s="110"/>
      <c r="AJ2455" s="110"/>
      <c r="AK2455" s="111">
        <f t="shared" si="548"/>
        <v>1453.248</v>
      </c>
      <c r="AL2455" s="446">
        <f t="shared" si="549"/>
        <v>0</v>
      </c>
      <c r="AM2455" s="110">
        <f t="shared" si="550"/>
        <v>20</v>
      </c>
      <c r="AN2455" s="447">
        <f t="shared" si="539"/>
        <v>0</v>
      </c>
      <c r="AO2455"/>
      <c r="AP2455"/>
    </row>
    <row r="2456" spans="1:42" ht="66" x14ac:dyDescent="0.25">
      <c r="A2456" s="9"/>
      <c r="B2456" s="34" t="s">
        <v>1541</v>
      </c>
      <c r="C2456" s="1024"/>
      <c r="D2456" s="869">
        <v>20</v>
      </c>
      <c r="E2456" s="1027"/>
      <c r="F2456" s="278" t="s">
        <v>3446</v>
      </c>
      <c r="G2456" s="1040" t="s">
        <v>3463</v>
      </c>
      <c r="H2456" s="273" t="s">
        <v>3462</v>
      </c>
      <c r="I2456" s="720">
        <f t="shared" si="551"/>
        <v>97.718399999999988</v>
      </c>
      <c r="J2456" s="756">
        <v>1954.3679999999997</v>
      </c>
      <c r="K2456" s="131">
        <f t="shared" si="538"/>
        <v>1954.3679999999997</v>
      </c>
      <c r="L2456" s="335">
        <f t="shared" si="547"/>
        <v>0</v>
      </c>
      <c r="M2456" s="446"/>
      <c r="N2456" s="446"/>
      <c r="O2456" s="446"/>
      <c r="P2456" s="446"/>
      <c r="Q2456" s="110">
        <f t="shared" si="541"/>
        <v>5</v>
      </c>
      <c r="R2456" s="111">
        <f t="shared" si="544"/>
        <v>488.59199999999993</v>
      </c>
      <c r="S2456" s="110"/>
      <c r="T2456" s="110"/>
      <c r="U2456" s="110">
        <f t="shared" si="542"/>
        <v>5</v>
      </c>
      <c r="V2456" s="111">
        <f t="shared" si="545"/>
        <v>488.59199999999993</v>
      </c>
      <c r="W2456" s="110"/>
      <c r="X2456" s="110"/>
      <c r="Y2456" s="110"/>
      <c r="Z2456" s="110"/>
      <c r="AA2456" s="110">
        <f t="shared" si="543"/>
        <v>5</v>
      </c>
      <c r="AB2456" s="111">
        <f t="shared" si="552"/>
        <v>488.59199999999993</v>
      </c>
      <c r="AC2456" s="110"/>
      <c r="AD2456" s="110"/>
      <c r="AE2456" s="110">
        <f t="shared" si="543"/>
        <v>5</v>
      </c>
      <c r="AF2456" s="111">
        <f t="shared" si="553"/>
        <v>488.59199999999993</v>
      </c>
      <c r="AG2456" s="110"/>
      <c r="AH2456" s="110"/>
      <c r="AI2456" s="110"/>
      <c r="AJ2456" s="110"/>
      <c r="AK2456" s="111">
        <f t="shared" si="548"/>
        <v>1954.3679999999997</v>
      </c>
      <c r="AL2456" s="446">
        <f t="shared" si="549"/>
        <v>0</v>
      </c>
      <c r="AM2456" s="110">
        <f t="shared" si="550"/>
        <v>20</v>
      </c>
      <c r="AN2456" s="447">
        <f t="shared" si="539"/>
        <v>0</v>
      </c>
      <c r="AO2456"/>
      <c r="AP2456"/>
    </row>
    <row r="2457" spans="1:42" ht="66" x14ac:dyDescent="0.25">
      <c r="A2457" s="9"/>
      <c r="B2457" s="34" t="s">
        <v>1542</v>
      </c>
      <c r="C2457" s="1024"/>
      <c r="D2457" s="869">
        <v>10</v>
      </c>
      <c r="E2457" s="1027"/>
      <c r="F2457" s="278" t="s">
        <v>3446</v>
      </c>
      <c r="G2457" s="1040" t="s">
        <v>3463</v>
      </c>
      <c r="H2457" s="273" t="s">
        <v>3462</v>
      </c>
      <c r="I2457" s="720">
        <f t="shared" si="551"/>
        <v>43.847999999999999</v>
      </c>
      <c r="J2457" s="756">
        <v>438.48</v>
      </c>
      <c r="K2457" s="131">
        <f t="shared" si="538"/>
        <v>438.48</v>
      </c>
      <c r="L2457" s="335">
        <f t="shared" si="547"/>
        <v>0</v>
      </c>
      <c r="M2457" s="446"/>
      <c r="N2457" s="446"/>
      <c r="O2457" s="446"/>
      <c r="P2457" s="446"/>
      <c r="Q2457" s="130">
        <v>3</v>
      </c>
      <c r="R2457" s="111">
        <f t="shared" si="544"/>
        <v>109.62</v>
      </c>
      <c r="S2457" s="110"/>
      <c r="T2457" s="110"/>
      <c r="U2457" s="130">
        <v>3</v>
      </c>
      <c r="V2457" s="111">
        <f t="shared" si="545"/>
        <v>109.62</v>
      </c>
      <c r="W2457" s="110"/>
      <c r="X2457" s="110"/>
      <c r="Y2457" s="110"/>
      <c r="Z2457" s="110"/>
      <c r="AA2457" s="130">
        <v>2</v>
      </c>
      <c r="AB2457" s="111">
        <f t="shared" si="552"/>
        <v>109.62</v>
      </c>
      <c r="AC2457" s="110"/>
      <c r="AD2457" s="110"/>
      <c r="AE2457" s="130">
        <v>2</v>
      </c>
      <c r="AF2457" s="111">
        <f t="shared" si="553"/>
        <v>109.62</v>
      </c>
      <c r="AG2457" s="110"/>
      <c r="AH2457" s="110"/>
      <c r="AI2457" s="110"/>
      <c r="AJ2457" s="110"/>
      <c r="AK2457" s="111">
        <f t="shared" si="548"/>
        <v>438.48</v>
      </c>
      <c r="AL2457" s="446">
        <f t="shared" si="549"/>
        <v>0</v>
      </c>
      <c r="AM2457" s="110">
        <f t="shared" si="550"/>
        <v>10</v>
      </c>
      <c r="AN2457" s="447">
        <f t="shared" si="539"/>
        <v>0</v>
      </c>
      <c r="AO2457"/>
      <c r="AP2457"/>
    </row>
    <row r="2458" spans="1:42" ht="66" x14ac:dyDescent="0.25">
      <c r="A2458" s="9"/>
      <c r="B2458" s="34" t="s">
        <v>1543</v>
      </c>
      <c r="C2458" s="1024"/>
      <c r="D2458" s="869">
        <v>10</v>
      </c>
      <c r="E2458" s="1027"/>
      <c r="F2458" s="278" t="s">
        <v>3446</v>
      </c>
      <c r="G2458" s="1040" t="s">
        <v>3463</v>
      </c>
      <c r="H2458" s="273" t="s">
        <v>3462</v>
      </c>
      <c r="I2458" s="720">
        <f t="shared" si="551"/>
        <v>50.112000000000002</v>
      </c>
      <c r="J2458" s="756">
        <v>501.12</v>
      </c>
      <c r="K2458" s="131">
        <f t="shared" ref="K2458:K2521" si="554">+D2458*I2458</f>
        <v>501.12</v>
      </c>
      <c r="L2458" s="335">
        <f t="shared" si="547"/>
        <v>0</v>
      </c>
      <c r="M2458" s="446"/>
      <c r="N2458" s="446"/>
      <c r="O2458" s="446"/>
      <c r="P2458" s="446"/>
      <c r="Q2458" s="130">
        <v>3</v>
      </c>
      <c r="R2458" s="111">
        <f t="shared" si="544"/>
        <v>125.28</v>
      </c>
      <c r="S2458" s="110"/>
      <c r="T2458" s="110"/>
      <c r="U2458" s="130">
        <v>3</v>
      </c>
      <c r="V2458" s="111">
        <f t="shared" si="545"/>
        <v>125.28</v>
      </c>
      <c r="W2458" s="110"/>
      <c r="X2458" s="110"/>
      <c r="Y2458" s="110"/>
      <c r="Z2458" s="110"/>
      <c r="AA2458" s="130">
        <v>2</v>
      </c>
      <c r="AB2458" s="111">
        <f t="shared" si="552"/>
        <v>125.28</v>
      </c>
      <c r="AC2458" s="110"/>
      <c r="AD2458" s="110"/>
      <c r="AE2458" s="130">
        <v>2</v>
      </c>
      <c r="AF2458" s="111">
        <f t="shared" si="553"/>
        <v>125.28</v>
      </c>
      <c r="AG2458" s="110"/>
      <c r="AH2458" s="110"/>
      <c r="AI2458" s="110"/>
      <c r="AJ2458" s="110"/>
      <c r="AK2458" s="111">
        <f t="shared" si="548"/>
        <v>501.12</v>
      </c>
      <c r="AL2458" s="446">
        <f t="shared" si="549"/>
        <v>0</v>
      </c>
      <c r="AM2458" s="110">
        <f t="shared" si="550"/>
        <v>10</v>
      </c>
      <c r="AN2458" s="447">
        <f t="shared" ref="AN2458:AN2521" si="555">+D2458-AM2458</f>
        <v>0</v>
      </c>
      <c r="AO2458"/>
      <c r="AP2458"/>
    </row>
    <row r="2459" spans="1:42" ht="66" x14ac:dyDescent="0.25">
      <c r="A2459" s="9"/>
      <c r="B2459" s="34" t="s">
        <v>1544</v>
      </c>
      <c r="C2459" s="1024"/>
      <c r="D2459" s="869">
        <v>5</v>
      </c>
      <c r="E2459" s="1027"/>
      <c r="F2459" s="278" t="s">
        <v>3446</v>
      </c>
      <c r="G2459" s="1040" t="s">
        <v>3463</v>
      </c>
      <c r="H2459" s="273" t="s">
        <v>3462</v>
      </c>
      <c r="I2459" s="720">
        <f t="shared" si="551"/>
        <v>52.617599999999996</v>
      </c>
      <c r="J2459" s="756">
        <v>263.08799999999997</v>
      </c>
      <c r="K2459" s="131">
        <f t="shared" si="554"/>
        <v>263.08799999999997</v>
      </c>
      <c r="L2459" s="335">
        <f t="shared" si="547"/>
        <v>0</v>
      </c>
      <c r="M2459" s="446"/>
      <c r="N2459" s="446"/>
      <c r="O2459" s="446"/>
      <c r="P2459" s="446"/>
      <c r="Q2459" s="110">
        <v>2</v>
      </c>
      <c r="R2459" s="111">
        <f t="shared" si="544"/>
        <v>65.771999999999991</v>
      </c>
      <c r="S2459" s="110"/>
      <c r="T2459" s="110"/>
      <c r="U2459" s="110">
        <v>1</v>
      </c>
      <c r="V2459" s="111">
        <f t="shared" si="545"/>
        <v>65.771999999999991</v>
      </c>
      <c r="W2459" s="110"/>
      <c r="X2459" s="110"/>
      <c r="Y2459" s="110"/>
      <c r="Z2459" s="110"/>
      <c r="AA2459" s="110">
        <v>1</v>
      </c>
      <c r="AB2459" s="111">
        <f t="shared" si="552"/>
        <v>65.771999999999991</v>
      </c>
      <c r="AC2459" s="110"/>
      <c r="AD2459" s="110"/>
      <c r="AE2459" s="110">
        <v>1</v>
      </c>
      <c r="AF2459" s="111">
        <f t="shared" si="553"/>
        <v>65.771999999999991</v>
      </c>
      <c r="AG2459" s="110"/>
      <c r="AH2459" s="110"/>
      <c r="AI2459" s="110"/>
      <c r="AJ2459" s="110"/>
      <c r="AK2459" s="111">
        <f t="shared" si="548"/>
        <v>263.08799999999997</v>
      </c>
      <c r="AL2459" s="446">
        <f t="shared" si="549"/>
        <v>0</v>
      </c>
      <c r="AM2459" s="110">
        <f t="shared" si="550"/>
        <v>5</v>
      </c>
      <c r="AN2459" s="447">
        <f t="shared" si="555"/>
        <v>0</v>
      </c>
      <c r="AO2459"/>
      <c r="AP2459"/>
    </row>
    <row r="2460" spans="1:42" ht="66" x14ac:dyDescent="0.25">
      <c r="A2460" s="9"/>
      <c r="B2460" s="34" t="s">
        <v>1545</v>
      </c>
      <c r="C2460" s="1024"/>
      <c r="D2460" s="869">
        <v>1</v>
      </c>
      <c r="E2460" s="1027"/>
      <c r="F2460" s="278" t="s">
        <v>3446</v>
      </c>
      <c r="G2460" s="1040" t="s">
        <v>3463</v>
      </c>
      <c r="H2460" s="273" t="s">
        <v>3462</v>
      </c>
      <c r="I2460" s="720">
        <f t="shared" si="551"/>
        <v>21.297599999999999</v>
      </c>
      <c r="J2460" s="756">
        <v>21.297599999999999</v>
      </c>
      <c r="K2460" s="131">
        <f t="shared" si="554"/>
        <v>21.297599999999999</v>
      </c>
      <c r="L2460" s="335">
        <f t="shared" si="547"/>
        <v>0</v>
      </c>
      <c r="M2460" s="446"/>
      <c r="N2460" s="446"/>
      <c r="O2460" s="446"/>
      <c r="P2460" s="446"/>
      <c r="Q2460" s="110">
        <v>1</v>
      </c>
      <c r="R2460" s="111">
        <f t="shared" si="544"/>
        <v>5.3243999999999998</v>
      </c>
      <c r="S2460" s="110"/>
      <c r="T2460" s="110"/>
      <c r="U2460" s="110">
        <v>0</v>
      </c>
      <c r="V2460" s="111">
        <f t="shared" si="545"/>
        <v>5.3243999999999998</v>
      </c>
      <c r="W2460" s="110"/>
      <c r="X2460" s="110"/>
      <c r="Y2460" s="110"/>
      <c r="Z2460" s="110"/>
      <c r="AA2460" s="110">
        <v>0</v>
      </c>
      <c r="AB2460" s="111">
        <f t="shared" si="552"/>
        <v>5.3243999999999998</v>
      </c>
      <c r="AC2460" s="110"/>
      <c r="AD2460" s="110"/>
      <c r="AE2460" s="110">
        <v>0</v>
      </c>
      <c r="AF2460" s="111">
        <f t="shared" si="553"/>
        <v>5.3243999999999998</v>
      </c>
      <c r="AG2460" s="110"/>
      <c r="AH2460" s="110"/>
      <c r="AI2460" s="110"/>
      <c r="AJ2460" s="110"/>
      <c r="AK2460" s="111">
        <f t="shared" si="548"/>
        <v>21.297599999999999</v>
      </c>
      <c r="AL2460" s="446">
        <f t="shared" si="549"/>
        <v>0</v>
      </c>
      <c r="AM2460" s="110">
        <f t="shared" si="550"/>
        <v>1</v>
      </c>
      <c r="AN2460" s="447">
        <f t="shared" si="555"/>
        <v>0</v>
      </c>
      <c r="AO2460"/>
      <c r="AP2460"/>
    </row>
    <row r="2461" spans="1:42" ht="66" x14ac:dyDescent="0.25">
      <c r="A2461" s="9"/>
      <c r="B2461" s="34" t="s">
        <v>1546</v>
      </c>
      <c r="C2461" s="1024"/>
      <c r="D2461" s="869">
        <v>15</v>
      </c>
      <c r="E2461" s="1027"/>
      <c r="F2461" s="278" t="s">
        <v>3446</v>
      </c>
      <c r="G2461" s="1040" t="s">
        <v>3463</v>
      </c>
      <c r="H2461" s="273" t="s">
        <v>3462</v>
      </c>
      <c r="I2461" s="720">
        <f t="shared" si="551"/>
        <v>65.145600000000002</v>
      </c>
      <c r="J2461" s="756">
        <v>977.18399999999997</v>
      </c>
      <c r="K2461" s="131">
        <f t="shared" si="554"/>
        <v>977.18399999999997</v>
      </c>
      <c r="L2461" s="335">
        <f t="shared" si="547"/>
        <v>0</v>
      </c>
      <c r="M2461" s="446"/>
      <c r="N2461" s="446"/>
      <c r="O2461" s="446"/>
      <c r="P2461" s="446"/>
      <c r="Q2461" s="110">
        <v>4</v>
      </c>
      <c r="R2461" s="111">
        <f t="shared" si="544"/>
        <v>244.29599999999999</v>
      </c>
      <c r="S2461" s="110"/>
      <c r="T2461" s="110"/>
      <c r="U2461" s="110">
        <v>4</v>
      </c>
      <c r="V2461" s="111">
        <f t="shared" si="545"/>
        <v>244.29599999999999</v>
      </c>
      <c r="W2461" s="110"/>
      <c r="X2461" s="110"/>
      <c r="Y2461" s="110"/>
      <c r="Z2461" s="110"/>
      <c r="AA2461" s="110">
        <v>4</v>
      </c>
      <c r="AB2461" s="111">
        <f t="shared" si="552"/>
        <v>244.29599999999999</v>
      </c>
      <c r="AC2461" s="110"/>
      <c r="AD2461" s="110"/>
      <c r="AE2461" s="110">
        <v>3</v>
      </c>
      <c r="AF2461" s="111">
        <f t="shared" si="553"/>
        <v>244.29599999999999</v>
      </c>
      <c r="AG2461" s="110"/>
      <c r="AH2461" s="110"/>
      <c r="AI2461" s="110"/>
      <c r="AJ2461" s="110"/>
      <c r="AK2461" s="111">
        <f t="shared" si="548"/>
        <v>977.18399999999997</v>
      </c>
      <c r="AL2461" s="446">
        <f t="shared" si="549"/>
        <v>0</v>
      </c>
      <c r="AM2461" s="110">
        <f t="shared" si="550"/>
        <v>15</v>
      </c>
      <c r="AN2461" s="447">
        <f t="shared" si="555"/>
        <v>0</v>
      </c>
      <c r="AO2461"/>
      <c r="AP2461"/>
    </row>
    <row r="2462" spans="1:42" ht="66" x14ac:dyDescent="0.25">
      <c r="A2462" s="9"/>
      <c r="B2462" s="34" t="s">
        <v>1547</v>
      </c>
      <c r="C2462" s="1024"/>
      <c r="D2462" s="869">
        <v>25</v>
      </c>
      <c r="E2462" s="1027" t="s">
        <v>1722</v>
      </c>
      <c r="F2462" s="278" t="s">
        <v>3446</v>
      </c>
      <c r="G2462" s="1040" t="s">
        <v>3463</v>
      </c>
      <c r="H2462" s="273" t="s">
        <v>3462</v>
      </c>
      <c r="I2462" s="720">
        <f t="shared" si="551"/>
        <v>60.134400000000007</v>
      </c>
      <c r="J2462" s="756">
        <v>1503.3600000000001</v>
      </c>
      <c r="K2462" s="131">
        <f t="shared" si="554"/>
        <v>1503.3600000000001</v>
      </c>
      <c r="L2462" s="335">
        <f t="shared" si="547"/>
        <v>0</v>
      </c>
      <c r="M2462" s="446"/>
      <c r="N2462" s="446"/>
      <c r="O2462" s="446"/>
      <c r="P2462" s="446"/>
      <c r="Q2462" s="110">
        <v>7</v>
      </c>
      <c r="R2462" s="111">
        <f t="shared" si="544"/>
        <v>375.84000000000003</v>
      </c>
      <c r="S2462" s="110"/>
      <c r="T2462" s="110"/>
      <c r="U2462" s="110">
        <v>6</v>
      </c>
      <c r="V2462" s="111">
        <f t="shared" si="545"/>
        <v>375.84000000000003</v>
      </c>
      <c r="W2462" s="110"/>
      <c r="X2462" s="110"/>
      <c r="Y2462" s="110"/>
      <c r="Z2462" s="110"/>
      <c r="AA2462" s="110">
        <v>6</v>
      </c>
      <c r="AB2462" s="111">
        <f t="shared" si="552"/>
        <v>375.84000000000003</v>
      </c>
      <c r="AC2462" s="110"/>
      <c r="AD2462" s="110"/>
      <c r="AE2462" s="110">
        <v>6</v>
      </c>
      <c r="AF2462" s="111">
        <f t="shared" si="553"/>
        <v>375.84000000000003</v>
      </c>
      <c r="AG2462" s="110"/>
      <c r="AH2462" s="110"/>
      <c r="AI2462" s="110"/>
      <c r="AJ2462" s="110"/>
      <c r="AK2462" s="111">
        <f t="shared" si="548"/>
        <v>1503.3600000000001</v>
      </c>
      <c r="AL2462" s="446">
        <f t="shared" si="549"/>
        <v>0</v>
      </c>
      <c r="AM2462" s="110">
        <f t="shared" si="550"/>
        <v>25</v>
      </c>
      <c r="AN2462" s="447">
        <f t="shared" si="555"/>
        <v>0</v>
      </c>
      <c r="AO2462"/>
      <c r="AP2462"/>
    </row>
    <row r="2463" spans="1:42" ht="66" x14ac:dyDescent="0.25">
      <c r="A2463" s="9"/>
      <c r="B2463" s="34" t="s">
        <v>1548</v>
      </c>
      <c r="C2463" s="1024"/>
      <c r="D2463" s="869">
        <v>10</v>
      </c>
      <c r="E2463" s="1027"/>
      <c r="F2463" s="278" t="s">
        <v>3446</v>
      </c>
      <c r="G2463" s="1040" t="s">
        <v>3463</v>
      </c>
      <c r="H2463" s="273" t="s">
        <v>3462</v>
      </c>
      <c r="I2463" s="720">
        <f t="shared" si="551"/>
        <v>53.870399999999997</v>
      </c>
      <c r="J2463" s="756">
        <v>538.70399999999995</v>
      </c>
      <c r="K2463" s="131">
        <f t="shared" si="554"/>
        <v>538.70399999999995</v>
      </c>
      <c r="L2463" s="335">
        <f t="shared" si="547"/>
        <v>0</v>
      </c>
      <c r="M2463" s="446"/>
      <c r="N2463" s="446"/>
      <c r="O2463" s="446"/>
      <c r="P2463" s="446"/>
      <c r="Q2463" s="130">
        <v>3</v>
      </c>
      <c r="R2463" s="111">
        <f t="shared" si="544"/>
        <v>134.67599999999999</v>
      </c>
      <c r="S2463" s="110"/>
      <c r="T2463" s="110"/>
      <c r="U2463" s="130">
        <v>3</v>
      </c>
      <c r="V2463" s="111">
        <f t="shared" si="545"/>
        <v>134.67599999999999</v>
      </c>
      <c r="W2463" s="110"/>
      <c r="X2463" s="110"/>
      <c r="Y2463" s="110"/>
      <c r="Z2463" s="110"/>
      <c r="AA2463" s="130">
        <v>2</v>
      </c>
      <c r="AB2463" s="111">
        <f t="shared" si="552"/>
        <v>134.67599999999999</v>
      </c>
      <c r="AC2463" s="110"/>
      <c r="AD2463" s="110"/>
      <c r="AE2463" s="130">
        <v>2</v>
      </c>
      <c r="AF2463" s="111">
        <f t="shared" si="553"/>
        <v>134.67599999999999</v>
      </c>
      <c r="AG2463" s="110"/>
      <c r="AH2463" s="110"/>
      <c r="AI2463" s="110"/>
      <c r="AJ2463" s="110"/>
      <c r="AK2463" s="111">
        <f t="shared" si="548"/>
        <v>538.70399999999995</v>
      </c>
      <c r="AL2463" s="446">
        <f t="shared" si="549"/>
        <v>0</v>
      </c>
      <c r="AM2463" s="110">
        <f t="shared" si="550"/>
        <v>10</v>
      </c>
      <c r="AN2463" s="447">
        <f t="shared" si="555"/>
        <v>0</v>
      </c>
      <c r="AO2463"/>
      <c r="AP2463"/>
    </row>
    <row r="2464" spans="1:42" ht="66" x14ac:dyDescent="0.25">
      <c r="A2464" s="9"/>
      <c r="B2464" s="34" t="s">
        <v>1549</v>
      </c>
      <c r="C2464" s="1024"/>
      <c r="D2464" s="869">
        <v>5</v>
      </c>
      <c r="E2464" s="1027"/>
      <c r="F2464" s="278" t="s">
        <v>3446</v>
      </c>
      <c r="G2464" s="1040" t="s">
        <v>3463</v>
      </c>
      <c r="H2464" s="273" t="s">
        <v>3462</v>
      </c>
      <c r="I2464" s="720">
        <f t="shared" si="551"/>
        <v>81.432000000000002</v>
      </c>
      <c r="J2464" s="756">
        <v>407.16</v>
      </c>
      <c r="K2464" s="131">
        <f t="shared" si="554"/>
        <v>407.16</v>
      </c>
      <c r="L2464" s="335">
        <f t="shared" si="547"/>
        <v>0</v>
      </c>
      <c r="M2464" s="446"/>
      <c r="N2464" s="446"/>
      <c r="O2464" s="446"/>
      <c r="P2464" s="446"/>
      <c r="Q2464" s="110">
        <v>2</v>
      </c>
      <c r="R2464" s="111">
        <f t="shared" si="544"/>
        <v>101.79</v>
      </c>
      <c r="S2464" s="110"/>
      <c r="T2464" s="110"/>
      <c r="U2464" s="110">
        <v>1</v>
      </c>
      <c r="V2464" s="111">
        <f t="shared" si="545"/>
        <v>101.79</v>
      </c>
      <c r="W2464" s="110"/>
      <c r="X2464" s="110"/>
      <c r="Y2464" s="110"/>
      <c r="Z2464" s="110"/>
      <c r="AA2464" s="110">
        <v>1</v>
      </c>
      <c r="AB2464" s="111">
        <f t="shared" si="552"/>
        <v>101.79</v>
      </c>
      <c r="AC2464" s="110"/>
      <c r="AD2464" s="110"/>
      <c r="AE2464" s="110">
        <v>1</v>
      </c>
      <c r="AF2464" s="111">
        <f t="shared" si="553"/>
        <v>101.79</v>
      </c>
      <c r="AG2464" s="110"/>
      <c r="AH2464" s="110"/>
      <c r="AI2464" s="110"/>
      <c r="AJ2464" s="110"/>
      <c r="AK2464" s="111">
        <f t="shared" si="548"/>
        <v>407.16</v>
      </c>
      <c r="AL2464" s="446">
        <f t="shared" si="549"/>
        <v>0</v>
      </c>
      <c r="AM2464" s="110">
        <f t="shared" si="550"/>
        <v>5</v>
      </c>
      <c r="AN2464" s="447">
        <f t="shared" si="555"/>
        <v>0</v>
      </c>
      <c r="AO2464"/>
      <c r="AP2464"/>
    </row>
    <row r="2465" spans="1:42" ht="66" x14ac:dyDescent="0.25">
      <c r="A2465" s="9"/>
      <c r="B2465" s="34" t="s">
        <v>1550</v>
      </c>
      <c r="C2465" s="1024"/>
      <c r="D2465" s="869">
        <v>5</v>
      </c>
      <c r="E2465" s="1027"/>
      <c r="F2465" s="278" t="s">
        <v>3446</v>
      </c>
      <c r="G2465" s="1040" t="s">
        <v>3463</v>
      </c>
      <c r="H2465" s="273" t="s">
        <v>3462</v>
      </c>
      <c r="I2465" s="720">
        <f t="shared" si="551"/>
        <v>72.662400000000005</v>
      </c>
      <c r="J2465" s="756">
        <v>363.31200000000001</v>
      </c>
      <c r="K2465" s="131">
        <f t="shared" si="554"/>
        <v>363.31200000000001</v>
      </c>
      <c r="L2465" s="335">
        <f t="shared" si="547"/>
        <v>0</v>
      </c>
      <c r="M2465" s="446"/>
      <c r="N2465" s="446"/>
      <c r="O2465" s="446"/>
      <c r="P2465" s="446"/>
      <c r="Q2465" s="110">
        <v>2</v>
      </c>
      <c r="R2465" s="111">
        <f t="shared" si="544"/>
        <v>90.828000000000003</v>
      </c>
      <c r="S2465" s="110"/>
      <c r="T2465" s="110"/>
      <c r="U2465" s="110">
        <v>1</v>
      </c>
      <c r="V2465" s="111">
        <f t="shared" si="545"/>
        <v>90.828000000000003</v>
      </c>
      <c r="W2465" s="110"/>
      <c r="X2465" s="110"/>
      <c r="Y2465" s="110"/>
      <c r="Z2465" s="110"/>
      <c r="AA2465" s="110">
        <v>1</v>
      </c>
      <c r="AB2465" s="111">
        <f t="shared" si="552"/>
        <v>90.828000000000003</v>
      </c>
      <c r="AC2465" s="110"/>
      <c r="AD2465" s="110"/>
      <c r="AE2465" s="110">
        <v>1</v>
      </c>
      <c r="AF2465" s="111">
        <f t="shared" si="553"/>
        <v>90.828000000000003</v>
      </c>
      <c r="AG2465" s="110"/>
      <c r="AH2465" s="110"/>
      <c r="AI2465" s="110"/>
      <c r="AJ2465" s="110"/>
      <c r="AK2465" s="111">
        <f t="shared" si="548"/>
        <v>363.31200000000001</v>
      </c>
      <c r="AL2465" s="446">
        <f t="shared" si="549"/>
        <v>0</v>
      </c>
      <c r="AM2465" s="110">
        <f t="shared" si="550"/>
        <v>5</v>
      </c>
      <c r="AN2465" s="447">
        <f t="shared" si="555"/>
        <v>0</v>
      </c>
      <c r="AO2465"/>
      <c r="AP2465"/>
    </row>
    <row r="2466" spans="1:42" ht="66" x14ac:dyDescent="0.25">
      <c r="A2466" s="9"/>
      <c r="B2466" s="34" t="s">
        <v>1551</v>
      </c>
      <c r="C2466" s="1024"/>
      <c r="D2466" s="869">
        <v>20</v>
      </c>
      <c r="E2466" s="1027"/>
      <c r="F2466" s="278" t="s">
        <v>3446</v>
      </c>
      <c r="G2466" s="1040" t="s">
        <v>3463</v>
      </c>
      <c r="H2466" s="273" t="s">
        <v>3462</v>
      </c>
      <c r="I2466" s="720">
        <f t="shared" si="551"/>
        <v>23.8032</v>
      </c>
      <c r="J2466" s="756">
        <v>476.06400000000002</v>
      </c>
      <c r="K2466" s="131">
        <f t="shared" si="554"/>
        <v>476.06400000000002</v>
      </c>
      <c r="L2466" s="335">
        <f t="shared" si="547"/>
        <v>0</v>
      </c>
      <c r="M2466" s="446"/>
      <c r="N2466" s="446"/>
      <c r="O2466" s="446"/>
      <c r="P2466" s="446"/>
      <c r="Q2466" s="110">
        <f t="shared" si="541"/>
        <v>5</v>
      </c>
      <c r="R2466" s="111">
        <f t="shared" si="544"/>
        <v>119.01600000000001</v>
      </c>
      <c r="S2466" s="110"/>
      <c r="T2466" s="110"/>
      <c r="U2466" s="110">
        <f t="shared" si="542"/>
        <v>5</v>
      </c>
      <c r="V2466" s="111">
        <f t="shared" si="545"/>
        <v>119.01600000000001</v>
      </c>
      <c r="W2466" s="110"/>
      <c r="X2466" s="110"/>
      <c r="Y2466" s="110"/>
      <c r="Z2466" s="110"/>
      <c r="AA2466" s="110">
        <f t="shared" si="543"/>
        <v>5</v>
      </c>
      <c r="AB2466" s="111">
        <f t="shared" si="552"/>
        <v>119.01600000000001</v>
      </c>
      <c r="AC2466" s="110"/>
      <c r="AD2466" s="110"/>
      <c r="AE2466" s="110">
        <f t="shared" si="543"/>
        <v>5</v>
      </c>
      <c r="AF2466" s="111">
        <f t="shared" si="553"/>
        <v>119.01600000000001</v>
      </c>
      <c r="AG2466" s="110"/>
      <c r="AH2466" s="110"/>
      <c r="AI2466" s="110"/>
      <c r="AJ2466" s="110"/>
      <c r="AK2466" s="111">
        <f t="shared" si="548"/>
        <v>476.06400000000002</v>
      </c>
      <c r="AL2466" s="446">
        <f t="shared" si="549"/>
        <v>0</v>
      </c>
      <c r="AM2466" s="110">
        <f t="shared" si="550"/>
        <v>20</v>
      </c>
      <c r="AN2466" s="447">
        <f t="shared" si="555"/>
        <v>0</v>
      </c>
      <c r="AO2466"/>
      <c r="AP2466"/>
    </row>
    <row r="2467" spans="1:42" ht="66" x14ac:dyDescent="0.25">
      <c r="A2467" s="9"/>
      <c r="B2467" s="34" t="s">
        <v>1552</v>
      </c>
      <c r="C2467" s="1024"/>
      <c r="D2467" s="869">
        <v>10</v>
      </c>
      <c r="E2467" s="1027"/>
      <c r="F2467" s="278" t="s">
        <v>3446</v>
      </c>
      <c r="G2467" s="1040" t="s">
        <v>3463</v>
      </c>
      <c r="H2467" s="273" t="s">
        <v>3462</v>
      </c>
      <c r="I2467" s="720">
        <f t="shared" si="551"/>
        <v>56.375999999999998</v>
      </c>
      <c r="J2467" s="756">
        <v>563.76</v>
      </c>
      <c r="K2467" s="131">
        <f t="shared" si="554"/>
        <v>563.76</v>
      </c>
      <c r="L2467" s="335">
        <f t="shared" si="547"/>
        <v>0</v>
      </c>
      <c r="M2467" s="446"/>
      <c r="N2467" s="446"/>
      <c r="O2467" s="446"/>
      <c r="P2467" s="446"/>
      <c r="Q2467" s="130">
        <v>3</v>
      </c>
      <c r="R2467" s="111">
        <f t="shared" si="544"/>
        <v>140.94</v>
      </c>
      <c r="S2467" s="110"/>
      <c r="T2467" s="110"/>
      <c r="U2467" s="130">
        <v>3</v>
      </c>
      <c r="V2467" s="111">
        <f t="shared" si="545"/>
        <v>140.94</v>
      </c>
      <c r="W2467" s="110"/>
      <c r="X2467" s="110"/>
      <c r="Y2467" s="110"/>
      <c r="Z2467" s="110"/>
      <c r="AA2467" s="130">
        <v>2</v>
      </c>
      <c r="AB2467" s="111">
        <f t="shared" si="552"/>
        <v>140.94</v>
      </c>
      <c r="AC2467" s="110"/>
      <c r="AD2467" s="110"/>
      <c r="AE2467" s="130">
        <v>2</v>
      </c>
      <c r="AF2467" s="111">
        <f t="shared" si="553"/>
        <v>140.94</v>
      </c>
      <c r="AG2467" s="110"/>
      <c r="AH2467" s="110"/>
      <c r="AI2467" s="110"/>
      <c r="AJ2467" s="110"/>
      <c r="AK2467" s="111">
        <f t="shared" si="548"/>
        <v>563.76</v>
      </c>
      <c r="AL2467" s="446">
        <f t="shared" si="549"/>
        <v>0</v>
      </c>
      <c r="AM2467" s="110">
        <f t="shared" si="550"/>
        <v>10</v>
      </c>
      <c r="AN2467" s="447">
        <f t="shared" si="555"/>
        <v>0</v>
      </c>
      <c r="AO2467"/>
      <c r="AP2467"/>
    </row>
    <row r="2468" spans="1:42" ht="66" x14ac:dyDescent="0.25">
      <c r="A2468" s="9"/>
      <c r="B2468" s="34" t="s">
        <v>1553</v>
      </c>
      <c r="C2468" s="1024"/>
      <c r="D2468" s="869">
        <v>10</v>
      </c>
      <c r="E2468" s="1027"/>
      <c r="F2468" s="278" t="s">
        <v>3446</v>
      </c>
      <c r="G2468" s="1040" t="s">
        <v>3463</v>
      </c>
      <c r="H2468" s="273" t="s">
        <v>3462</v>
      </c>
      <c r="I2468" s="720">
        <f t="shared" si="551"/>
        <v>81.432000000000002</v>
      </c>
      <c r="J2468" s="756">
        <v>814.32</v>
      </c>
      <c r="K2468" s="131">
        <f t="shared" si="554"/>
        <v>814.32</v>
      </c>
      <c r="L2468" s="335">
        <f t="shared" si="547"/>
        <v>0</v>
      </c>
      <c r="M2468" s="446"/>
      <c r="N2468" s="446"/>
      <c r="O2468" s="446"/>
      <c r="P2468" s="446"/>
      <c r="Q2468" s="130">
        <v>3</v>
      </c>
      <c r="R2468" s="111">
        <f t="shared" si="544"/>
        <v>203.58</v>
      </c>
      <c r="S2468" s="110"/>
      <c r="T2468" s="110"/>
      <c r="U2468" s="130">
        <v>3</v>
      </c>
      <c r="V2468" s="111">
        <f t="shared" si="545"/>
        <v>203.58</v>
      </c>
      <c r="W2468" s="110"/>
      <c r="X2468" s="110"/>
      <c r="Y2468" s="110"/>
      <c r="Z2468" s="110"/>
      <c r="AA2468" s="130">
        <v>2</v>
      </c>
      <c r="AB2468" s="111">
        <f t="shared" si="552"/>
        <v>203.58</v>
      </c>
      <c r="AC2468" s="110"/>
      <c r="AD2468" s="110"/>
      <c r="AE2468" s="130">
        <v>2</v>
      </c>
      <c r="AF2468" s="111">
        <f t="shared" si="553"/>
        <v>203.58</v>
      </c>
      <c r="AG2468" s="110"/>
      <c r="AH2468" s="110"/>
      <c r="AI2468" s="110"/>
      <c r="AJ2468" s="110"/>
      <c r="AK2468" s="111">
        <f t="shared" si="548"/>
        <v>814.32</v>
      </c>
      <c r="AL2468" s="446">
        <f t="shared" si="549"/>
        <v>0</v>
      </c>
      <c r="AM2468" s="110">
        <f t="shared" si="550"/>
        <v>10</v>
      </c>
      <c r="AN2468" s="447">
        <f t="shared" si="555"/>
        <v>0</v>
      </c>
      <c r="AO2468"/>
      <c r="AP2468"/>
    </row>
    <row r="2469" spans="1:42" ht="66" x14ac:dyDescent="0.25">
      <c r="A2469" s="9"/>
      <c r="B2469" s="34" t="s">
        <v>1554</v>
      </c>
      <c r="C2469" s="1024"/>
      <c r="D2469" s="869">
        <v>10</v>
      </c>
      <c r="E2469" s="1027"/>
      <c r="F2469" s="278" t="s">
        <v>3446</v>
      </c>
      <c r="G2469" s="1040" t="s">
        <v>3463</v>
      </c>
      <c r="H2469" s="273" t="s">
        <v>3462</v>
      </c>
      <c r="I2469" s="720">
        <f t="shared" si="551"/>
        <v>50.112000000000002</v>
      </c>
      <c r="J2469" s="756">
        <v>501.12</v>
      </c>
      <c r="K2469" s="131">
        <f t="shared" si="554"/>
        <v>501.12</v>
      </c>
      <c r="L2469" s="335">
        <f t="shared" si="547"/>
        <v>0</v>
      </c>
      <c r="M2469" s="446"/>
      <c r="N2469" s="446"/>
      <c r="O2469" s="446"/>
      <c r="P2469" s="446"/>
      <c r="Q2469" s="130">
        <v>3</v>
      </c>
      <c r="R2469" s="111">
        <f t="shared" si="544"/>
        <v>125.28</v>
      </c>
      <c r="S2469" s="110"/>
      <c r="T2469" s="110"/>
      <c r="U2469" s="130">
        <v>3</v>
      </c>
      <c r="V2469" s="111">
        <f t="shared" si="545"/>
        <v>125.28</v>
      </c>
      <c r="W2469" s="110"/>
      <c r="X2469" s="110"/>
      <c r="Y2469" s="110"/>
      <c r="Z2469" s="110"/>
      <c r="AA2469" s="130">
        <v>2</v>
      </c>
      <c r="AB2469" s="111">
        <f t="shared" si="552"/>
        <v>125.28</v>
      </c>
      <c r="AC2469" s="110"/>
      <c r="AD2469" s="110"/>
      <c r="AE2469" s="130">
        <v>2</v>
      </c>
      <c r="AF2469" s="111">
        <f t="shared" si="553"/>
        <v>125.28</v>
      </c>
      <c r="AG2469" s="110"/>
      <c r="AH2469" s="110"/>
      <c r="AI2469" s="110"/>
      <c r="AJ2469" s="110"/>
      <c r="AK2469" s="111">
        <f t="shared" si="548"/>
        <v>501.12</v>
      </c>
      <c r="AL2469" s="446">
        <f t="shared" si="549"/>
        <v>0</v>
      </c>
      <c r="AM2469" s="110">
        <f t="shared" si="550"/>
        <v>10</v>
      </c>
      <c r="AN2469" s="447">
        <f t="shared" si="555"/>
        <v>0</v>
      </c>
      <c r="AO2469"/>
      <c r="AP2469"/>
    </row>
    <row r="2470" spans="1:42" ht="66" x14ac:dyDescent="0.25">
      <c r="A2470" s="9"/>
      <c r="B2470" s="34" t="s">
        <v>1555</v>
      </c>
      <c r="C2470" s="1024"/>
      <c r="D2470" s="869">
        <v>10</v>
      </c>
      <c r="E2470" s="1027"/>
      <c r="F2470" s="278" t="s">
        <v>3446</v>
      </c>
      <c r="G2470" s="1040" t="s">
        <v>3463</v>
      </c>
      <c r="H2470" s="273" t="s">
        <v>3462</v>
      </c>
      <c r="I2470" s="720">
        <f t="shared" si="551"/>
        <v>81.432000000000002</v>
      </c>
      <c r="J2470" s="756">
        <v>814.32</v>
      </c>
      <c r="K2470" s="131">
        <f t="shared" si="554"/>
        <v>814.32</v>
      </c>
      <c r="L2470" s="335">
        <f t="shared" si="547"/>
        <v>0</v>
      </c>
      <c r="M2470" s="446"/>
      <c r="N2470" s="446"/>
      <c r="O2470" s="446"/>
      <c r="P2470" s="446"/>
      <c r="Q2470" s="130">
        <v>3</v>
      </c>
      <c r="R2470" s="111">
        <f t="shared" si="544"/>
        <v>203.58</v>
      </c>
      <c r="S2470" s="110"/>
      <c r="T2470" s="110"/>
      <c r="U2470" s="130">
        <v>3</v>
      </c>
      <c r="V2470" s="111">
        <f t="shared" si="545"/>
        <v>203.58</v>
      </c>
      <c r="W2470" s="110"/>
      <c r="X2470" s="110"/>
      <c r="Y2470" s="110"/>
      <c r="Z2470" s="110"/>
      <c r="AA2470" s="130">
        <v>2</v>
      </c>
      <c r="AB2470" s="111">
        <f t="shared" si="552"/>
        <v>203.58</v>
      </c>
      <c r="AC2470" s="110"/>
      <c r="AD2470" s="110"/>
      <c r="AE2470" s="130">
        <v>2</v>
      </c>
      <c r="AF2470" s="111">
        <f t="shared" si="553"/>
        <v>203.58</v>
      </c>
      <c r="AG2470" s="110"/>
      <c r="AH2470" s="110"/>
      <c r="AI2470" s="110"/>
      <c r="AJ2470" s="110"/>
      <c r="AK2470" s="111">
        <f t="shared" si="548"/>
        <v>814.32</v>
      </c>
      <c r="AL2470" s="446">
        <f t="shared" si="549"/>
        <v>0</v>
      </c>
      <c r="AM2470" s="110">
        <f t="shared" si="550"/>
        <v>10</v>
      </c>
      <c r="AN2470" s="447">
        <f t="shared" si="555"/>
        <v>0</v>
      </c>
      <c r="AO2470"/>
      <c r="AP2470"/>
    </row>
    <row r="2471" spans="1:42" ht="66" x14ac:dyDescent="0.25">
      <c r="A2471" s="9"/>
      <c r="B2471" s="34" t="s">
        <v>1556</v>
      </c>
      <c r="C2471" s="1024"/>
      <c r="D2471" s="869">
        <v>10</v>
      </c>
      <c r="E2471" s="1027"/>
      <c r="F2471" s="278" t="s">
        <v>3446</v>
      </c>
      <c r="G2471" s="1040" t="s">
        <v>3463</v>
      </c>
      <c r="H2471" s="273" t="s">
        <v>3462</v>
      </c>
      <c r="I2471" s="720">
        <f t="shared" si="551"/>
        <v>77.673599999999993</v>
      </c>
      <c r="J2471" s="756">
        <v>776.73599999999988</v>
      </c>
      <c r="K2471" s="131">
        <f t="shared" si="554"/>
        <v>776.73599999999988</v>
      </c>
      <c r="L2471" s="335">
        <f t="shared" si="547"/>
        <v>0</v>
      </c>
      <c r="M2471" s="446"/>
      <c r="N2471" s="446"/>
      <c r="O2471" s="446"/>
      <c r="P2471" s="446"/>
      <c r="Q2471" s="130">
        <v>3</v>
      </c>
      <c r="R2471" s="111">
        <f t="shared" si="544"/>
        <v>194.18399999999997</v>
      </c>
      <c r="S2471" s="110"/>
      <c r="T2471" s="110"/>
      <c r="U2471" s="130">
        <v>3</v>
      </c>
      <c r="V2471" s="111">
        <f t="shared" si="545"/>
        <v>194.18399999999997</v>
      </c>
      <c r="W2471" s="110"/>
      <c r="X2471" s="110"/>
      <c r="Y2471" s="110"/>
      <c r="Z2471" s="110"/>
      <c r="AA2471" s="130">
        <v>2</v>
      </c>
      <c r="AB2471" s="111">
        <f t="shared" si="552"/>
        <v>194.18399999999997</v>
      </c>
      <c r="AC2471" s="110"/>
      <c r="AD2471" s="110"/>
      <c r="AE2471" s="130">
        <v>2</v>
      </c>
      <c r="AF2471" s="111">
        <f t="shared" si="553"/>
        <v>194.18399999999997</v>
      </c>
      <c r="AG2471" s="110"/>
      <c r="AH2471" s="110"/>
      <c r="AI2471" s="110"/>
      <c r="AJ2471" s="110"/>
      <c r="AK2471" s="111">
        <f t="shared" si="548"/>
        <v>776.73599999999988</v>
      </c>
      <c r="AL2471" s="446">
        <f t="shared" si="549"/>
        <v>0</v>
      </c>
      <c r="AM2471" s="110">
        <f t="shared" si="550"/>
        <v>10</v>
      </c>
      <c r="AN2471" s="447">
        <f t="shared" si="555"/>
        <v>0</v>
      </c>
      <c r="AO2471"/>
      <c r="AP2471"/>
    </row>
    <row r="2472" spans="1:42" ht="66" x14ac:dyDescent="0.25">
      <c r="A2472" s="9"/>
      <c r="B2472" s="34" t="s">
        <v>1557</v>
      </c>
      <c r="C2472" s="1024"/>
      <c r="D2472" s="869">
        <v>40</v>
      </c>
      <c r="E2472" s="1027" t="s">
        <v>1722</v>
      </c>
      <c r="F2472" s="273" t="s">
        <v>3446</v>
      </c>
      <c r="G2472" s="1040" t="s">
        <v>3463</v>
      </c>
      <c r="H2472" s="273" t="s">
        <v>3462</v>
      </c>
      <c r="I2472" s="720">
        <f t="shared" si="551"/>
        <v>48.859199999999994</v>
      </c>
      <c r="J2472" s="756">
        <v>1954.3679999999997</v>
      </c>
      <c r="K2472" s="131">
        <f t="shared" si="554"/>
        <v>1954.3679999999997</v>
      </c>
      <c r="L2472" s="335">
        <f t="shared" si="547"/>
        <v>0</v>
      </c>
      <c r="M2472" s="446"/>
      <c r="N2472" s="446"/>
      <c r="O2472" s="446"/>
      <c r="P2472" s="446"/>
      <c r="Q2472" s="110">
        <f t="shared" si="541"/>
        <v>10</v>
      </c>
      <c r="R2472" s="111">
        <f t="shared" si="544"/>
        <v>488.59199999999993</v>
      </c>
      <c r="S2472" s="110"/>
      <c r="T2472" s="110"/>
      <c r="U2472" s="110">
        <f t="shared" si="542"/>
        <v>10</v>
      </c>
      <c r="V2472" s="111">
        <f t="shared" si="545"/>
        <v>488.59199999999993</v>
      </c>
      <c r="W2472" s="110"/>
      <c r="X2472" s="110"/>
      <c r="Y2472" s="110"/>
      <c r="Z2472" s="110"/>
      <c r="AA2472" s="110">
        <f t="shared" si="543"/>
        <v>10</v>
      </c>
      <c r="AB2472" s="111">
        <f t="shared" si="552"/>
        <v>488.59199999999993</v>
      </c>
      <c r="AC2472" s="110"/>
      <c r="AD2472" s="110"/>
      <c r="AE2472" s="110">
        <f t="shared" si="543"/>
        <v>10</v>
      </c>
      <c r="AF2472" s="111">
        <f t="shared" si="553"/>
        <v>488.59199999999993</v>
      </c>
      <c r="AG2472" s="110"/>
      <c r="AH2472" s="110"/>
      <c r="AI2472" s="110"/>
      <c r="AJ2472" s="110"/>
      <c r="AK2472" s="111">
        <f t="shared" si="548"/>
        <v>1954.3679999999997</v>
      </c>
      <c r="AL2472" s="446">
        <f t="shared" si="549"/>
        <v>0</v>
      </c>
      <c r="AM2472" s="110">
        <f t="shared" si="550"/>
        <v>40</v>
      </c>
      <c r="AN2472" s="447">
        <f t="shared" si="555"/>
        <v>0</v>
      </c>
      <c r="AO2472"/>
      <c r="AP2472"/>
    </row>
    <row r="2473" spans="1:42" ht="66" x14ac:dyDescent="0.25">
      <c r="A2473" s="9"/>
      <c r="B2473" s="34" t="s">
        <v>625</v>
      </c>
      <c r="C2473" s="1024"/>
      <c r="D2473" s="869">
        <v>20</v>
      </c>
      <c r="E2473" s="1027" t="s">
        <v>1722</v>
      </c>
      <c r="F2473" s="273" t="s">
        <v>3446</v>
      </c>
      <c r="G2473" s="1040" t="s">
        <v>3463</v>
      </c>
      <c r="H2473" s="273" t="s">
        <v>3462</v>
      </c>
      <c r="I2473" s="720">
        <f t="shared" si="551"/>
        <v>43.847999999999999</v>
      </c>
      <c r="J2473" s="756">
        <v>876.96</v>
      </c>
      <c r="K2473" s="131">
        <f t="shared" si="554"/>
        <v>876.96</v>
      </c>
      <c r="L2473" s="335">
        <f t="shared" si="547"/>
        <v>0</v>
      </c>
      <c r="M2473" s="446"/>
      <c r="N2473" s="446"/>
      <c r="O2473" s="446"/>
      <c r="P2473" s="446"/>
      <c r="Q2473" s="110">
        <f t="shared" si="541"/>
        <v>5</v>
      </c>
      <c r="R2473" s="111">
        <f t="shared" si="544"/>
        <v>219.24</v>
      </c>
      <c r="S2473" s="110"/>
      <c r="T2473" s="110"/>
      <c r="U2473" s="110">
        <f t="shared" si="542"/>
        <v>5</v>
      </c>
      <c r="V2473" s="111">
        <f t="shared" si="545"/>
        <v>219.24</v>
      </c>
      <c r="W2473" s="110"/>
      <c r="X2473" s="110"/>
      <c r="Y2473" s="110"/>
      <c r="Z2473" s="110"/>
      <c r="AA2473" s="110">
        <f t="shared" si="543"/>
        <v>5</v>
      </c>
      <c r="AB2473" s="111">
        <f t="shared" si="552"/>
        <v>219.24</v>
      </c>
      <c r="AC2473" s="110"/>
      <c r="AD2473" s="110"/>
      <c r="AE2473" s="110">
        <f t="shared" si="543"/>
        <v>5</v>
      </c>
      <c r="AF2473" s="111">
        <f t="shared" si="553"/>
        <v>219.24</v>
      </c>
      <c r="AG2473" s="110"/>
      <c r="AH2473" s="110"/>
      <c r="AI2473" s="110"/>
      <c r="AJ2473" s="110"/>
      <c r="AK2473" s="111">
        <f t="shared" si="548"/>
        <v>876.96</v>
      </c>
      <c r="AL2473" s="446">
        <f t="shared" si="549"/>
        <v>0</v>
      </c>
      <c r="AM2473" s="110">
        <f t="shared" si="550"/>
        <v>20</v>
      </c>
      <c r="AN2473" s="447">
        <f t="shared" si="555"/>
        <v>0</v>
      </c>
      <c r="AO2473"/>
      <c r="AP2473"/>
    </row>
    <row r="2474" spans="1:42" ht="66" x14ac:dyDescent="0.25">
      <c r="A2474" s="9"/>
      <c r="B2474" s="34" t="s">
        <v>1558</v>
      </c>
      <c r="C2474" s="1024"/>
      <c r="D2474" s="869">
        <v>15</v>
      </c>
      <c r="E2474" s="1027"/>
      <c r="F2474" s="273" t="s">
        <v>3446</v>
      </c>
      <c r="G2474" s="1040" t="s">
        <v>3463</v>
      </c>
      <c r="H2474" s="273" t="s">
        <v>3462</v>
      </c>
      <c r="I2474" s="720">
        <f t="shared" si="551"/>
        <v>23.8032</v>
      </c>
      <c r="J2474" s="756">
        <v>357.048</v>
      </c>
      <c r="K2474" s="131">
        <f t="shared" si="554"/>
        <v>357.048</v>
      </c>
      <c r="L2474" s="335">
        <f t="shared" si="547"/>
        <v>0</v>
      </c>
      <c r="M2474" s="446"/>
      <c r="N2474" s="446"/>
      <c r="O2474" s="446"/>
      <c r="P2474" s="446"/>
      <c r="Q2474" s="110">
        <v>4</v>
      </c>
      <c r="R2474" s="111">
        <f t="shared" si="544"/>
        <v>89.262</v>
      </c>
      <c r="S2474" s="110"/>
      <c r="T2474" s="110"/>
      <c r="U2474" s="110">
        <v>4</v>
      </c>
      <c r="V2474" s="111">
        <f t="shared" si="545"/>
        <v>89.262</v>
      </c>
      <c r="W2474" s="110"/>
      <c r="X2474" s="110"/>
      <c r="Y2474" s="110"/>
      <c r="Z2474" s="110"/>
      <c r="AA2474" s="110">
        <v>4</v>
      </c>
      <c r="AB2474" s="111">
        <f t="shared" si="552"/>
        <v>89.262</v>
      </c>
      <c r="AC2474" s="110"/>
      <c r="AD2474" s="110"/>
      <c r="AE2474" s="110">
        <v>3</v>
      </c>
      <c r="AF2474" s="111">
        <f t="shared" si="553"/>
        <v>89.262</v>
      </c>
      <c r="AG2474" s="110"/>
      <c r="AH2474" s="110"/>
      <c r="AI2474" s="110"/>
      <c r="AJ2474" s="110"/>
      <c r="AK2474" s="111">
        <f t="shared" si="548"/>
        <v>357.048</v>
      </c>
      <c r="AL2474" s="446">
        <f t="shared" si="549"/>
        <v>0</v>
      </c>
      <c r="AM2474" s="110">
        <f t="shared" si="550"/>
        <v>15</v>
      </c>
      <c r="AN2474" s="447">
        <f t="shared" si="555"/>
        <v>0</v>
      </c>
      <c r="AO2474"/>
      <c r="AP2474"/>
    </row>
    <row r="2475" spans="1:42" ht="66" x14ac:dyDescent="0.25">
      <c r="A2475" s="9"/>
      <c r="B2475" s="34" t="s">
        <v>1559</v>
      </c>
      <c r="C2475" s="1024"/>
      <c r="D2475" s="869">
        <v>5</v>
      </c>
      <c r="E2475" s="1027"/>
      <c r="F2475" s="273" t="s">
        <v>3446</v>
      </c>
      <c r="G2475" s="1040" t="s">
        <v>3463</v>
      </c>
      <c r="H2475" s="273" t="s">
        <v>3462</v>
      </c>
      <c r="I2475" s="720">
        <f t="shared" si="551"/>
        <v>17.539200000000001</v>
      </c>
      <c r="J2475" s="756">
        <v>87.695999999999998</v>
      </c>
      <c r="K2475" s="131">
        <f t="shared" si="554"/>
        <v>87.695999999999998</v>
      </c>
      <c r="L2475" s="335">
        <f t="shared" si="547"/>
        <v>0</v>
      </c>
      <c r="M2475" s="446"/>
      <c r="N2475" s="446"/>
      <c r="O2475" s="446"/>
      <c r="P2475" s="446"/>
      <c r="Q2475" s="110">
        <v>2</v>
      </c>
      <c r="R2475" s="111">
        <f t="shared" si="544"/>
        <v>21.923999999999999</v>
      </c>
      <c r="S2475" s="110"/>
      <c r="T2475" s="110"/>
      <c r="U2475" s="110">
        <v>1</v>
      </c>
      <c r="V2475" s="111">
        <f t="shared" si="545"/>
        <v>21.923999999999999</v>
      </c>
      <c r="W2475" s="110"/>
      <c r="X2475" s="110"/>
      <c r="Y2475" s="110"/>
      <c r="Z2475" s="110"/>
      <c r="AA2475" s="110">
        <v>1</v>
      </c>
      <c r="AB2475" s="111">
        <f t="shared" si="552"/>
        <v>21.923999999999999</v>
      </c>
      <c r="AC2475" s="110"/>
      <c r="AD2475" s="110"/>
      <c r="AE2475" s="110">
        <v>1</v>
      </c>
      <c r="AF2475" s="111">
        <f t="shared" si="553"/>
        <v>21.923999999999999</v>
      </c>
      <c r="AG2475" s="110"/>
      <c r="AH2475" s="110"/>
      <c r="AI2475" s="110"/>
      <c r="AJ2475" s="110"/>
      <c r="AK2475" s="111">
        <f t="shared" si="548"/>
        <v>87.695999999999998</v>
      </c>
      <c r="AL2475" s="446">
        <f t="shared" si="549"/>
        <v>0</v>
      </c>
      <c r="AM2475" s="110">
        <f t="shared" si="550"/>
        <v>5</v>
      </c>
      <c r="AN2475" s="447">
        <f t="shared" si="555"/>
        <v>0</v>
      </c>
      <c r="AO2475"/>
      <c r="AP2475"/>
    </row>
    <row r="2476" spans="1:42" ht="66" x14ac:dyDescent="0.25">
      <c r="A2476" s="9"/>
      <c r="B2476" s="34" t="s">
        <v>1560</v>
      </c>
      <c r="C2476" s="1024"/>
      <c r="D2476" s="869">
        <v>10</v>
      </c>
      <c r="E2476" s="1027"/>
      <c r="F2476" s="273" t="s">
        <v>3446</v>
      </c>
      <c r="G2476" s="1040" t="s">
        <v>3463</v>
      </c>
      <c r="H2476" s="273" t="s">
        <v>3462</v>
      </c>
      <c r="I2476" s="720">
        <f t="shared" si="551"/>
        <v>23.8032</v>
      </c>
      <c r="J2476" s="756">
        <v>238.03200000000001</v>
      </c>
      <c r="K2476" s="131">
        <f t="shared" si="554"/>
        <v>238.03200000000001</v>
      </c>
      <c r="L2476" s="335">
        <f t="shared" si="547"/>
        <v>0</v>
      </c>
      <c r="M2476" s="446"/>
      <c r="N2476" s="446"/>
      <c r="O2476" s="446"/>
      <c r="P2476" s="446"/>
      <c r="Q2476" s="130">
        <v>3</v>
      </c>
      <c r="R2476" s="111">
        <f t="shared" si="544"/>
        <v>59.508000000000003</v>
      </c>
      <c r="S2476" s="110"/>
      <c r="T2476" s="110"/>
      <c r="U2476" s="130">
        <v>3</v>
      </c>
      <c r="V2476" s="111">
        <f t="shared" si="545"/>
        <v>59.508000000000003</v>
      </c>
      <c r="W2476" s="110"/>
      <c r="X2476" s="110"/>
      <c r="Y2476" s="110"/>
      <c r="Z2476" s="110"/>
      <c r="AA2476" s="130">
        <v>2</v>
      </c>
      <c r="AB2476" s="111">
        <f t="shared" si="552"/>
        <v>59.508000000000003</v>
      </c>
      <c r="AC2476" s="110"/>
      <c r="AD2476" s="110"/>
      <c r="AE2476" s="130">
        <v>2</v>
      </c>
      <c r="AF2476" s="111">
        <f t="shared" si="553"/>
        <v>59.508000000000003</v>
      </c>
      <c r="AG2476" s="110"/>
      <c r="AH2476" s="110"/>
      <c r="AI2476" s="110"/>
      <c r="AJ2476" s="110"/>
      <c r="AK2476" s="111">
        <f t="shared" si="548"/>
        <v>238.03200000000001</v>
      </c>
      <c r="AL2476" s="446">
        <f t="shared" si="549"/>
        <v>0</v>
      </c>
      <c r="AM2476" s="110">
        <f t="shared" si="550"/>
        <v>10</v>
      </c>
      <c r="AN2476" s="447">
        <f t="shared" si="555"/>
        <v>0</v>
      </c>
      <c r="AO2476"/>
      <c r="AP2476"/>
    </row>
    <row r="2477" spans="1:42" ht="66" x14ac:dyDescent="0.25">
      <c r="A2477" s="9"/>
      <c r="B2477" s="34" t="s">
        <v>626</v>
      </c>
      <c r="C2477" s="1024"/>
      <c r="D2477" s="869">
        <v>5</v>
      </c>
      <c r="E2477" s="1027" t="s">
        <v>1722</v>
      </c>
      <c r="F2477" s="273" t="s">
        <v>3446</v>
      </c>
      <c r="G2477" s="1040" t="s">
        <v>3463</v>
      </c>
      <c r="H2477" s="273" t="s">
        <v>3462</v>
      </c>
      <c r="I2477" s="720">
        <f t="shared" si="551"/>
        <v>323.22239999999999</v>
      </c>
      <c r="J2477" s="756">
        <v>1616.1120000000001</v>
      </c>
      <c r="K2477" s="131">
        <f t="shared" si="554"/>
        <v>1616.1120000000001</v>
      </c>
      <c r="L2477" s="335">
        <f t="shared" si="547"/>
        <v>0</v>
      </c>
      <c r="M2477" s="446"/>
      <c r="N2477" s="446"/>
      <c r="O2477" s="446"/>
      <c r="P2477" s="446"/>
      <c r="Q2477" s="110">
        <v>2</v>
      </c>
      <c r="R2477" s="111">
        <f t="shared" si="544"/>
        <v>404.02800000000002</v>
      </c>
      <c r="S2477" s="110"/>
      <c r="T2477" s="110"/>
      <c r="U2477" s="110">
        <v>1</v>
      </c>
      <c r="V2477" s="111">
        <f t="shared" si="545"/>
        <v>404.02800000000002</v>
      </c>
      <c r="W2477" s="110"/>
      <c r="X2477" s="110"/>
      <c r="Y2477" s="110"/>
      <c r="Z2477" s="110"/>
      <c r="AA2477" s="110">
        <v>1</v>
      </c>
      <c r="AB2477" s="111">
        <f t="shared" si="552"/>
        <v>404.02800000000002</v>
      </c>
      <c r="AC2477" s="110"/>
      <c r="AD2477" s="110"/>
      <c r="AE2477" s="110">
        <v>1</v>
      </c>
      <c r="AF2477" s="111">
        <f t="shared" si="553"/>
        <v>404.02800000000002</v>
      </c>
      <c r="AG2477" s="110"/>
      <c r="AH2477" s="110"/>
      <c r="AI2477" s="110"/>
      <c r="AJ2477" s="110"/>
      <c r="AK2477" s="111">
        <f t="shared" si="548"/>
        <v>1616.1120000000001</v>
      </c>
      <c r="AL2477" s="446">
        <f t="shared" si="549"/>
        <v>0</v>
      </c>
      <c r="AM2477" s="110">
        <f t="shared" si="550"/>
        <v>5</v>
      </c>
      <c r="AN2477" s="447">
        <f t="shared" si="555"/>
        <v>0</v>
      </c>
      <c r="AO2477"/>
      <c r="AP2477"/>
    </row>
    <row r="2478" spans="1:42" ht="66" x14ac:dyDescent="0.25">
      <c r="A2478" s="9"/>
      <c r="B2478" s="34" t="s">
        <v>1561</v>
      </c>
      <c r="C2478" s="1024"/>
      <c r="D2478" s="869">
        <v>10</v>
      </c>
      <c r="E2478" s="1027"/>
      <c r="F2478" s="273" t="s">
        <v>3446</v>
      </c>
      <c r="G2478" s="1040" t="s">
        <v>3463</v>
      </c>
      <c r="H2478" s="273" t="s">
        <v>3462</v>
      </c>
      <c r="I2478" s="720">
        <f t="shared" si="551"/>
        <v>27.561600000000006</v>
      </c>
      <c r="J2478" s="756">
        <v>275.61600000000004</v>
      </c>
      <c r="K2478" s="131">
        <f t="shared" si="554"/>
        <v>275.61600000000004</v>
      </c>
      <c r="L2478" s="335">
        <f t="shared" si="547"/>
        <v>0</v>
      </c>
      <c r="M2478" s="446"/>
      <c r="N2478" s="446"/>
      <c r="O2478" s="446"/>
      <c r="P2478" s="446"/>
      <c r="Q2478" s="130">
        <v>3</v>
      </c>
      <c r="R2478" s="111">
        <f t="shared" si="544"/>
        <v>68.904000000000011</v>
      </c>
      <c r="S2478" s="110"/>
      <c r="T2478" s="110"/>
      <c r="U2478" s="130">
        <v>3</v>
      </c>
      <c r="V2478" s="111">
        <f t="shared" si="545"/>
        <v>68.904000000000011</v>
      </c>
      <c r="W2478" s="110"/>
      <c r="X2478" s="110"/>
      <c r="Y2478" s="110"/>
      <c r="Z2478" s="110"/>
      <c r="AA2478" s="130">
        <v>2</v>
      </c>
      <c r="AB2478" s="111">
        <f t="shared" si="552"/>
        <v>68.904000000000011</v>
      </c>
      <c r="AC2478" s="110"/>
      <c r="AD2478" s="110"/>
      <c r="AE2478" s="130">
        <v>2</v>
      </c>
      <c r="AF2478" s="111">
        <f t="shared" si="553"/>
        <v>68.904000000000011</v>
      </c>
      <c r="AG2478" s="110"/>
      <c r="AH2478" s="110"/>
      <c r="AI2478" s="110"/>
      <c r="AJ2478" s="110"/>
      <c r="AK2478" s="111">
        <f t="shared" si="548"/>
        <v>275.61600000000004</v>
      </c>
      <c r="AL2478" s="446">
        <f t="shared" si="549"/>
        <v>0</v>
      </c>
      <c r="AM2478" s="110">
        <f t="shared" si="550"/>
        <v>10</v>
      </c>
      <c r="AN2478" s="447">
        <f t="shared" si="555"/>
        <v>0</v>
      </c>
      <c r="AO2478"/>
      <c r="AP2478"/>
    </row>
    <row r="2479" spans="1:42" ht="66" x14ac:dyDescent="0.25">
      <c r="A2479" s="9"/>
      <c r="B2479" s="34" t="s">
        <v>1562</v>
      </c>
      <c r="C2479" s="1024"/>
      <c r="D2479" s="869">
        <v>20</v>
      </c>
      <c r="E2479" s="1027"/>
      <c r="F2479" s="273" t="s">
        <v>3446</v>
      </c>
      <c r="G2479" s="1040" t="s">
        <v>3463</v>
      </c>
      <c r="H2479" s="273" t="s">
        <v>3462</v>
      </c>
      <c r="I2479" s="720">
        <f t="shared" si="551"/>
        <v>17.539200000000001</v>
      </c>
      <c r="J2479" s="756">
        <v>350.78399999999999</v>
      </c>
      <c r="K2479" s="131">
        <f t="shared" si="554"/>
        <v>350.78399999999999</v>
      </c>
      <c r="L2479" s="335">
        <f t="shared" si="547"/>
        <v>0</v>
      </c>
      <c r="M2479" s="446"/>
      <c r="N2479" s="446"/>
      <c r="O2479" s="446"/>
      <c r="P2479" s="446"/>
      <c r="Q2479" s="110">
        <f t="shared" ref="Q2479:Q2518" si="556">+$D2479/4</f>
        <v>5</v>
      </c>
      <c r="R2479" s="111">
        <f t="shared" ref="R2479:R2542" si="557">+J2479/4</f>
        <v>87.695999999999998</v>
      </c>
      <c r="S2479" s="110"/>
      <c r="T2479" s="110"/>
      <c r="U2479" s="110">
        <f t="shared" ref="U2479:U2518" si="558">+$D2479/4</f>
        <v>5</v>
      </c>
      <c r="V2479" s="111">
        <f t="shared" ref="V2479:V2542" si="559">+J2479/4</f>
        <v>87.695999999999998</v>
      </c>
      <c r="W2479" s="110"/>
      <c r="X2479" s="110"/>
      <c r="Y2479" s="110"/>
      <c r="Z2479" s="110"/>
      <c r="AA2479" s="110">
        <f t="shared" ref="AA2479:AE2518" si="560">+$D2479/4</f>
        <v>5</v>
      </c>
      <c r="AB2479" s="111">
        <f t="shared" si="552"/>
        <v>87.695999999999998</v>
      </c>
      <c r="AC2479" s="110"/>
      <c r="AD2479" s="110"/>
      <c r="AE2479" s="110">
        <f t="shared" si="560"/>
        <v>5</v>
      </c>
      <c r="AF2479" s="111">
        <f t="shared" si="553"/>
        <v>87.695999999999998</v>
      </c>
      <c r="AG2479" s="110"/>
      <c r="AH2479" s="110"/>
      <c r="AI2479" s="110"/>
      <c r="AJ2479" s="110"/>
      <c r="AK2479" s="111">
        <f t="shared" si="548"/>
        <v>350.78399999999999</v>
      </c>
      <c r="AL2479" s="446">
        <f t="shared" si="549"/>
        <v>0</v>
      </c>
      <c r="AM2479" s="110">
        <f t="shared" si="550"/>
        <v>20</v>
      </c>
      <c r="AN2479" s="447">
        <f t="shared" si="555"/>
        <v>0</v>
      </c>
      <c r="AO2479"/>
      <c r="AP2479"/>
    </row>
    <row r="2480" spans="1:42" ht="66" x14ac:dyDescent="0.25">
      <c r="A2480" s="9"/>
      <c r="B2480" s="34" t="s">
        <v>1563</v>
      </c>
      <c r="C2480" s="1024"/>
      <c r="D2480" s="869">
        <v>20</v>
      </c>
      <c r="E2480" s="1027"/>
      <c r="F2480" s="273" t="s">
        <v>3446</v>
      </c>
      <c r="G2480" s="1040" t="s">
        <v>3463</v>
      </c>
      <c r="H2480" s="273" t="s">
        <v>3462</v>
      </c>
      <c r="I2480" s="720">
        <f t="shared" si="551"/>
        <v>43.847999999999999</v>
      </c>
      <c r="J2480" s="756">
        <v>876.96</v>
      </c>
      <c r="K2480" s="131">
        <f t="shared" si="554"/>
        <v>876.96</v>
      </c>
      <c r="L2480" s="335">
        <f t="shared" si="547"/>
        <v>0</v>
      </c>
      <c r="M2480" s="446"/>
      <c r="N2480" s="446"/>
      <c r="O2480" s="446"/>
      <c r="P2480" s="446"/>
      <c r="Q2480" s="110">
        <f t="shared" si="556"/>
        <v>5</v>
      </c>
      <c r="R2480" s="111">
        <f t="shared" si="557"/>
        <v>219.24</v>
      </c>
      <c r="S2480" s="110"/>
      <c r="T2480" s="110"/>
      <c r="U2480" s="110">
        <f t="shared" si="558"/>
        <v>5</v>
      </c>
      <c r="V2480" s="111">
        <f t="shared" si="559"/>
        <v>219.24</v>
      </c>
      <c r="W2480" s="110"/>
      <c r="X2480" s="110"/>
      <c r="Y2480" s="110"/>
      <c r="Z2480" s="110"/>
      <c r="AA2480" s="110">
        <f t="shared" si="560"/>
        <v>5</v>
      </c>
      <c r="AB2480" s="111">
        <f t="shared" si="552"/>
        <v>219.24</v>
      </c>
      <c r="AC2480" s="110"/>
      <c r="AD2480" s="110"/>
      <c r="AE2480" s="110">
        <f t="shared" si="560"/>
        <v>5</v>
      </c>
      <c r="AF2480" s="111">
        <f t="shared" si="553"/>
        <v>219.24</v>
      </c>
      <c r="AG2480" s="110"/>
      <c r="AH2480" s="110"/>
      <c r="AI2480" s="110"/>
      <c r="AJ2480" s="110"/>
      <c r="AK2480" s="111">
        <f t="shared" si="548"/>
        <v>876.96</v>
      </c>
      <c r="AL2480" s="446">
        <f t="shared" si="549"/>
        <v>0</v>
      </c>
      <c r="AM2480" s="110">
        <f t="shared" si="550"/>
        <v>20</v>
      </c>
      <c r="AN2480" s="447">
        <f t="shared" si="555"/>
        <v>0</v>
      </c>
      <c r="AO2480"/>
      <c r="AP2480"/>
    </row>
    <row r="2481" spans="1:42" ht="66" x14ac:dyDescent="0.25">
      <c r="A2481" s="9"/>
      <c r="B2481" s="34" t="s">
        <v>1564</v>
      </c>
      <c r="C2481" s="1024"/>
      <c r="D2481" s="869">
        <v>10</v>
      </c>
      <c r="E2481" s="1027"/>
      <c r="F2481" s="273" t="s">
        <v>3446</v>
      </c>
      <c r="G2481" s="1040" t="s">
        <v>3463</v>
      </c>
      <c r="H2481" s="273" t="s">
        <v>3462</v>
      </c>
      <c r="I2481" s="720">
        <f t="shared" si="551"/>
        <v>43.847999999999999</v>
      </c>
      <c r="J2481" s="756">
        <v>438.48</v>
      </c>
      <c r="K2481" s="131">
        <f t="shared" si="554"/>
        <v>438.48</v>
      </c>
      <c r="L2481" s="335">
        <f t="shared" si="547"/>
        <v>0</v>
      </c>
      <c r="M2481" s="446"/>
      <c r="N2481" s="446"/>
      <c r="O2481" s="446"/>
      <c r="P2481" s="446"/>
      <c r="Q2481" s="130">
        <v>3</v>
      </c>
      <c r="R2481" s="111">
        <f t="shared" si="557"/>
        <v>109.62</v>
      </c>
      <c r="S2481" s="110"/>
      <c r="T2481" s="110"/>
      <c r="U2481" s="130">
        <v>3</v>
      </c>
      <c r="V2481" s="111">
        <f t="shared" si="559"/>
        <v>109.62</v>
      </c>
      <c r="W2481" s="110"/>
      <c r="X2481" s="110"/>
      <c r="Y2481" s="110"/>
      <c r="Z2481" s="110"/>
      <c r="AA2481" s="130">
        <v>2</v>
      </c>
      <c r="AB2481" s="111">
        <f t="shared" si="552"/>
        <v>109.62</v>
      </c>
      <c r="AC2481" s="110"/>
      <c r="AD2481" s="110"/>
      <c r="AE2481" s="130">
        <v>2</v>
      </c>
      <c r="AF2481" s="111">
        <f t="shared" si="553"/>
        <v>109.62</v>
      </c>
      <c r="AG2481" s="110"/>
      <c r="AH2481" s="110"/>
      <c r="AI2481" s="110"/>
      <c r="AJ2481" s="110"/>
      <c r="AK2481" s="111">
        <f t="shared" si="548"/>
        <v>438.48</v>
      </c>
      <c r="AL2481" s="446">
        <f t="shared" si="549"/>
        <v>0</v>
      </c>
      <c r="AM2481" s="110">
        <f t="shared" si="550"/>
        <v>10</v>
      </c>
      <c r="AN2481" s="447">
        <f t="shared" si="555"/>
        <v>0</v>
      </c>
      <c r="AO2481"/>
      <c r="AP2481"/>
    </row>
    <row r="2482" spans="1:42" ht="66" x14ac:dyDescent="0.25">
      <c r="A2482" s="9"/>
      <c r="B2482" s="34" t="s">
        <v>1565</v>
      </c>
      <c r="C2482" s="1024"/>
      <c r="D2482" s="869">
        <v>10</v>
      </c>
      <c r="E2482" s="1027"/>
      <c r="F2482" s="273" t="s">
        <v>3446</v>
      </c>
      <c r="G2482" s="1040" t="s">
        <v>3463</v>
      </c>
      <c r="H2482" s="273" t="s">
        <v>3462</v>
      </c>
      <c r="I2482" s="720">
        <f t="shared" si="551"/>
        <v>25.056000000000001</v>
      </c>
      <c r="J2482" s="756">
        <v>250.56</v>
      </c>
      <c r="K2482" s="131">
        <f t="shared" si="554"/>
        <v>250.56</v>
      </c>
      <c r="L2482" s="335">
        <f t="shared" si="547"/>
        <v>0</v>
      </c>
      <c r="M2482" s="446"/>
      <c r="N2482" s="446"/>
      <c r="O2482" s="446"/>
      <c r="P2482" s="446"/>
      <c r="Q2482" s="130">
        <v>3</v>
      </c>
      <c r="R2482" s="111">
        <f t="shared" si="557"/>
        <v>62.64</v>
      </c>
      <c r="S2482" s="110"/>
      <c r="T2482" s="110"/>
      <c r="U2482" s="130">
        <v>3</v>
      </c>
      <c r="V2482" s="111">
        <f t="shared" si="559"/>
        <v>62.64</v>
      </c>
      <c r="W2482" s="110"/>
      <c r="X2482" s="110"/>
      <c r="Y2482" s="110"/>
      <c r="Z2482" s="110"/>
      <c r="AA2482" s="130">
        <v>2</v>
      </c>
      <c r="AB2482" s="111">
        <f t="shared" si="552"/>
        <v>62.64</v>
      </c>
      <c r="AC2482" s="110"/>
      <c r="AD2482" s="110"/>
      <c r="AE2482" s="130">
        <v>2</v>
      </c>
      <c r="AF2482" s="111">
        <f t="shared" si="553"/>
        <v>62.64</v>
      </c>
      <c r="AG2482" s="110"/>
      <c r="AH2482" s="110"/>
      <c r="AI2482" s="110"/>
      <c r="AJ2482" s="110"/>
      <c r="AK2482" s="111">
        <f t="shared" si="548"/>
        <v>250.56</v>
      </c>
      <c r="AL2482" s="446">
        <f t="shared" si="549"/>
        <v>0</v>
      </c>
      <c r="AM2482" s="110">
        <f t="shared" si="550"/>
        <v>10</v>
      </c>
      <c r="AN2482" s="447">
        <f t="shared" si="555"/>
        <v>0</v>
      </c>
      <c r="AO2482"/>
      <c r="AP2482"/>
    </row>
    <row r="2483" spans="1:42" ht="66" x14ac:dyDescent="0.25">
      <c r="A2483" s="9"/>
      <c r="B2483" s="34" t="s">
        <v>1566</v>
      </c>
      <c r="C2483" s="1024"/>
      <c r="D2483" s="869">
        <v>100</v>
      </c>
      <c r="E2483" s="1027"/>
      <c r="F2483" s="273" t="s">
        <v>3446</v>
      </c>
      <c r="G2483" s="1040" t="s">
        <v>3463</v>
      </c>
      <c r="H2483" s="273" t="s">
        <v>3462</v>
      </c>
      <c r="I2483" s="720">
        <f t="shared" si="551"/>
        <v>23.8032</v>
      </c>
      <c r="J2483" s="756">
        <v>2380.3200000000002</v>
      </c>
      <c r="K2483" s="131">
        <f t="shared" si="554"/>
        <v>2380.3200000000002</v>
      </c>
      <c r="L2483" s="335">
        <f t="shared" si="547"/>
        <v>0</v>
      </c>
      <c r="M2483" s="446"/>
      <c r="N2483" s="446"/>
      <c r="O2483" s="446"/>
      <c r="P2483" s="446"/>
      <c r="Q2483" s="110">
        <v>30</v>
      </c>
      <c r="R2483" s="111">
        <f t="shared" si="557"/>
        <v>595.08000000000004</v>
      </c>
      <c r="S2483" s="110"/>
      <c r="T2483" s="110"/>
      <c r="U2483" s="110">
        <v>30</v>
      </c>
      <c r="V2483" s="111">
        <f t="shared" si="559"/>
        <v>595.08000000000004</v>
      </c>
      <c r="W2483" s="110"/>
      <c r="X2483" s="110"/>
      <c r="Y2483" s="110"/>
      <c r="Z2483" s="110"/>
      <c r="AA2483" s="110">
        <v>30</v>
      </c>
      <c r="AB2483" s="111">
        <f t="shared" si="552"/>
        <v>595.08000000000004</v>
      </c>
      <c r="AC2483" s="110"/>
      <c r="AD2483" s="110"/>
      <c r="AE2483" s="110">
        <v>10</v>
      </c>
      <c r="AF2483" s="111">
        <f t="shared" si="553"/>
        <v>595.08000000000004</v>
      </c>
      <c r="AG2483" s="110"/>
      <c r="AH2483" s="110"/>
      <c r="AI2483" s="110"/>
      <c r="AJ2483" s="110"/>
      <c r="AK2483" s="111">
        <f t="shared" si="548"/>
        <v>2380.3200000000002</v>
      </c>
      <c r="AL2483" s="446">
        <f t="shared" si="549"/>
        <v>0</v>
      </c>
      <c r="AM2483" s="110">
        <f t="shared" si="550"/>
        <v>100</v>
      </c>
      <c r="AN2483" s="447">
        <f t="shared" si="555"/>
        <v>0</v>
      </c>
      <c r="AO2483"/>
      <c r="AP2483"/>
    </row>
    <row r="2484" spans="1:42" ht="66" x14ac:dyDescent="0.25">
      <c r="A2484" s="9"/>
      <c r="B2484" s="34" t="s">
        <v>1567</v>
      </c>
      <c r="C2484" s="1024"/>
      <c r="D2484" s="869">
        <v>10</v>
      </c>
      <c r="E2484" s="1027"/>
      <c r="F2484" s="273" t="s">
        <v>3446</v>
      </c>
      <c r="G2484" s="1040" t="s">
        <v>3463</v>
      </c>
      <c r="H2484" s="273" t="s">
        <v>3462</v>
      </c>
      <c r="I2484" s="720">
        <f t="shared" si="551"/>
        <v>18.791999999999998</v>
      </c>
      <c r="J2484" s="756">
        <v>187.92</v>
      </c>
      <c r="K2484" s="131">
        <f t="shared" si="554"/>
        <v>187.92</v>
      </c>
      <c r="L2484" s="335">
        <f t="shared" ref="L2484:L2547" si="561">+J2484-K2484</f>
        <v>0</v>
      </c>
      <c r="M2484" s="446"/>
      <c r="N2484" s="446"/>
      <c r="O2484" s="446"/>
      <c r="P2484" s="446"/>
      <c r="Q2484" s="130">
        <v>3</v>
      </c>
      <c r="R2484" s="111">
        <f t="shared" si="557"/>
        <v>46.98</v>
      </c>
      <c r="S2484" s="110"/>
      <c r="T2484" s="110"/>
      <c r="U2484" s="130">
        <v>3</v>
      </c>
      <c r="V2484" s="111">
        <f t="shared" si="559"/>
        <v>46.98</v>
      </c>
      <c r="W2484" s="110"/>
      <c r="X2484" s="110"/>
      <c r="Y2484" s="110"/>
      <c r="Z2484" s="110"/>
      <c r="AA2484" s="130">
        <v>2</v>
      </c>
      <c r="AB2484" s="111">
        <f t="shared" si="552"/>
        <v>46.98</v>
      </c>
      <c r="AC2484" s="110"/>
      <c r="AD2484" s="110"/>
      <c r="AE2484" s="130">
        <v>2</v>
      </c>
      <c r="AF2484" s="111">
        <f t="shared" si="553"/>
        <v>46.98</v>
      </c>
      <c r="AG2484" s="110"/>
      <c r="AH2484" s="110"/>
      <c r="AI2484" s="110"/>
      <c r="AJ2484" s="110"/>
      <c r="AK2484" s="111">
        <f t="shared" ref="AK2484:AK2547" si="562">+R2484+V2484+AB2484+AF2484</f>
        <v>187.92</v>
      </c>
      <c r="AL2484" s="446">
        <f t="shared" ref="AL2484:AL2547" si="563">+J2484-AK2484</f>
        <v>0</v>
      </c>
      <c r="AM2484" s="110">
        <f t="shared" ref="AM2484:AM2547" si="564">+Q2484+U2484+AA2484+AE2484</f>
        <v>10</v>
      </c>
      <c r="AN2484" s="447">
        <f t="shared" si="555"/>
        <v>0</v>
      </c>
      <c r="AO2484"/>
      <c r="AP2484"/>
    </row>
    <row r="2485" spans="1:42" ht="66" x14ac:dyDescent="0.25">
      <c r="A2485" s="9"/>
      <c r="B2485" s="34" t="s">
        <v>1568</v>
      </c>
      <c r="C2485" s="1024"/>
      <c r="D2485" s="869">
        <v>25</v>
      </c>
      <c r="E2485" s="1027" t="s">
        <v>1722</v>
      </c>
      <c r="F2485" s="273" t="s">
        <v>3446</v>
      </c>
      <c r="G2485" s="1040" t="s">
        <v>3463</v>
      </c>
      <c r="H2485" s="273" t="s">
        <v>3462</v>
      </c>
      <c r="I2485" s="720">
        <f t="shared" si="551"/>
        <v>47.606400000000001</v>
      </c>
      <c r="J2485" s="756">
        <v>1190.1600000000001</v>
      </c>
      <c r="K2485" s="131">
        <f t="shared" si="554"/>
        <v>1190.1600000000001</v>
      </c>
      <c r="L2485" s="335">
        <f t="shared" si="561"/>
        <v>0</v>
      </c>
      <c r="M2485" s="446"/>
      <c r="N2485" s="446"/>
      <c r="O2485" s="446"/>
      <c r="P2485" s="446"/>
      <c r="Q2485" s="110">
        <v>7</v>
      </c>
      <c r="R2485" s="111">
        <f t="shared" si="557"/>
        <v>297.54000000000002</v>
      </c>
      <c r="S2485" s="110"/>
      <c r="T2485" s="110"/>
      <c r="U2485" s="110">
        <v>6</v>
      </c>
      <c r="V2485" s="111">
        <f t="shared" si="559"/>
        <v>297.54000000000002</v>
      </c>
      <c r="W2485" s="110"/>
      <c r="X2485" s="110"/>
      <c r="Y2485" s="110"/>
      <c r="Z2485" s="110"/>
      <c r="AA2485" s="110">
        <v>6</v>
      </c>
      <c r="AB2485" s="111">
        <f t="shared" si="552"/>
        <v>297.54000000000002</v>
      </c>
      <c r="AC2485" s="110"/>
      <c r="AD2485" s="110"/>
      <c r="AE2485" s="110">
        <v>6</v>
      </c>
      <c r="AF2485" s="111">
        <f t="shared" si="553"/>
        <v>297.54000000000002</v>
      </c>
      <c r="AG2485" s="110"/>
      <c r="AH2485" s="110"/>
      <c r="AI2485" s="110"/>
      <c r="AJ2485" s="110"/>
      <c r="AK2485" s="111">
        <f t="shared" si="562"/>
        <v>1190.1600000000001</v>
      </c>
      <c r="AL2485" s="446">
        <f t="shared" si="563"/>
        <v>0</v>
      </c>
      <c r="AM2485" s="110">
        <f t="shared" si="564"/>
        <v>25</v>
      </c>
      <c r="AN2485" s="447">
        <f t="shared" si="555"/>
        <v>0</v>
      </c>
      <c r="AO2485"/>
      <c r="AP2485"/>
    </row>
    <row r="2486" spans="1:42" ht="66" x14ac:dyDescent="0.25">
      <c r="A2486" s="9"/>
      <c r="B2486" s="34" t="s">
        <v>1569</v>
      </c>
      <c r="C2486" s="1024"/>
      <c r="D2486" s="869">
        <v>5</v>
      </c>
      <c r="E2486" s="1027"/>
      <c r="F2486" s="273" t="s">
        <v>3446</v>
      </c>
      <c r="G2486" s="1040" t="s">
        <v>3463</v>
      </c>
      <c r="H2486" s="273" t="s">
        <v>3462</v>
      </c>
      <c r="I2486" s="720">
        <f t="shared" si="551"/>
        <v>31.32</v>
      </c>
      <c r="J2486" s="756">
        <v>156.6</v>
      </c>
      <c r="K2486" s="131">
        <f t="shared" si="554"/>
        <v>156.6</v>
      </c>
      <c r="L2486" s="335">
        <f t="shared" si="561"/>
        <v>0</v>
      </c>
      <c r="M2486" s="446"/>
      <c r="N2486" s="446"/>
      <c r="O2486" s="446"/>
      <c r="P2486" s="446"/>
      <c r="Q2486" s="110">
        <v>2</v>
      </c>
      <c r="R2486" s="111">
        <f t="shared" si="557"/>
        <v>39.15</v>
      </c>
      <c r="S2486" s="110"/>
      <c r="T2486" s="110"/>
      <c r="U2486" s="110">
        <v>1</v>
      </c>
      <c r="V2486" s="111">
        <f t="shared" si="559"/>
        <v>39.15</v>
      </c>
      <c r="W2486" s="110"/>
      <c r="X2486" s="110"/>
      <c r="Y2486" s="110"/>
      <c r="Z2486" s="110"/>
      <c r="AA2486" s="110">
        <v>1</v>
      </c>
      <c r="AB2486" s="111">
        <f t="shared" si="552"/>
        <v>39.15</v>
      </c>
      <c r="AC2486" s="110"/>
      <c r="AD2486" s="110"/>
      <c r="AE2486" s="110">
        <v>1</v>
      </c>
      <c r="AF2486" s="111">
        <f t="shared" si="553"/>
        <v>39.15</v>
      </c>
      <c r="AG2486" s="110"/>
      <c r="AH2486" s="110"/>
      <c r="AI2486" s="110"/>
      <c r="AJ2486" s="110"/>
      <c r="AK2486" s="111">
        <f t="shared" si="562"/>
        <v>156.6</v>
      </c>
      <c r="AL2486" s="446">
        <f t="shared" si="563"/>
        <v>0</v>
      </c>
      <c r="AM2486" s="110">
        <f t="shared" si="564"/>
        <v>5</v>
      </c>
      <c r="AN2486" s="447">
        <f t="shared" si="555"/>
        <v>0</v>
      </c>
      <c r="AO2486"/>
      <c r="AP2486"/>
    </row>
    <row r="2487" spans="1:42" ht="66" x14ac:dyDescent="0.25">
      <c r="A2487" s="9"/>
      <c r="B2487" s="34" t="s">
        <v>1570</v>
      </c>
      <c r="C2487" s="1024"/>
      <c r="D2487" s="869">
        <v>30</v>
      </c>
      <c r="E2487" s="1027"/>
      <c r="F2487" s="273" t="s">
        <v>3446</v>
      </c>
      <c r="G2487" s="1040" t="s">
        <v>3463</v>
      </c>
      <c r="H2487" s="273" t="s">
        <v>3462</v>
      </c>
      <c r="I2487" s="720">
        <f t="shared" si="551"/>
        <v>41.342399999999998</v>
      </c>
      <c r="J2487" s="756">
        <v>1240.2719999999999</v>
      </c>
      <c r="K2487" s="131">
        <f t="shared" si="554"/>
        <v>1240.2719999999999</v>
      </c>
      <c r="L2487" s="335">
        <f t="shared" si="561"/>
        <v>0</v>
      </c>
      <c r="M2487" s="446"/>
      <c r="N2487" s="446"/>
      <c r="O2487" s="446"/>
      <c r="P2487" s="446"/>
      <c r="Q2487" s="110">
        <v>8</v>
      </c>
      <c r="R2487" s="111">
        <f t="shared" si="557"/>
        <v>310.06799999999998</v>
      </c>
      <c r="S2487" s="110"/>
      <c r="T2487" s="110"/>
      <c r="U2487" s="110">
        <v>8</v>
      </c>
      <c r="V2487" s="111">
        <f t="shared" si="559"/>
        <v>310.06799999999998</v>
      </c>
      <c r="W2487" s="110"/>
      <c r="X2487" s="110"/>
      <c r="Y2487" s="110"/>
      <c r="Z2487" s="110"/>
      <c r="AA2487" s="110">
        <v>7</v>
      </c>
      <c r="AB2487" s="111">
        <f t="shared" si="552"/>
        <v>310.06799999999998</v>
      </c>
      <c r="AC2487" s="110"/>
      <c r="AD2487" s="110"/>
      <c r="AE2487" s="110">
        <v>7</v>
      </c>
      <c r="AF2487" s="111">
        <f t="shared" si="553"/>
        <v>310.06799999999998</v>
      </c>
      <c r="AG2487" s="110"/>
      <c r="AH2487" s="110"/>
      <c r="AI2487" s="110"/>
      <c r="AJ2487" s="110"/>
      <c r="AK2487" s="111">
        <f t="shared" si="562"/>
        <v>1240.2719999999999</v>
      </c>
      <c r="AL2487" s="446">
        <f t="shared" si="563"/>
        <v>0</v>
      </c>
      <c r="AM2487" s="110">
        <f t="shared" si="564"/>
        <v>30</v>
      </c>
      <c r="AN2487" s="447">
        <f t="shared" si="555"/>
        <v>0</v>
      </c>
      <c r="AO2487"/>
      <c r="AP2487"/>
    </row>
    <row r="2488" spans="1:42" ht="66" x14ac:dyDescent="0.25">
      <c r="A2488" s="9"/>
      <c r="B2488" s="34" t="s">
        <v>627</v>
      </c>
      <c r="C2488" s="1024"/>
      <c r="D2488" s="869">
        <v>1</v>
      </c>
      <c r="E2488" s="1027"/>
      <c r="F2488" s="273" t="s">
        <v>3446</v>
      </c>
      <c r="G2488" s="1040" t="s">
        <v>3463</v>
      </c>
      <c r="H2488" s="273" t="s">
        <v>3462</v>
      </c>
      <c r="I2488" s="720">
        <f t="shared" si="551"/>
        <v>219.24</v>
      </c>
      <c r="J2488" s="756">
        <v>219.24</v>
      </c>
      <c r="K2488" s="131">
        <f t="shared" si="554"/>
        <v>219.24</v>
      </c>
      <c r="L2488" s="335">
        <f t="shared" si="561"/>
        <v>0</v>
      </c>
      <c r="M2488" s="446"/>
      <c r="N2488" s="446"/>
      <c r="O2488" s="446"/>
      <c r="P2488" s="446"/>
      <c r="Q2488" s="110">
        <v>1</v>
      </c>
      <c r="R2488" s="111">
        <f t="shared" si="557"/>
        <v>54.81</v>
      </c>
      <c r="S2488" s="110"/>
      <c r="T2488" s="110"/>
      <c r="U2488" s="110">
        <v>0</v>
      </c>
      <c r="V2488" s="111">
        <f t="shared" si="559"/>
        <v>54.81</v>
      </c>
      <c r="W2488" s="110"/>
      <c r="X2488" s="110"/>
      <c r="Y2488" s="110"/>
      <c r="Z2488" s="110"/>
      <c r="AA2488" s="110">
        <v>0</v>
      </c>
      <c r="AB2488" s="111">
        <f t="shared" si="552"/>
        <v>54.81</v>
      </c>
      <c r="AC2488" s="110"/>
      <c r="AD2488" s="110"/>
      <c r="AE2488" s="110">
        <v>0</v>
      </c>
      <c r="AF2488" s="111">
        <f t="shared" si="553"/>
        <v>54.81</v>
      </c>
      <c r="AG2488" s="110"/>
      <c r="AH2488" s="110"/>
      <c r="AI2488" s="110"/>
      <c r="AJ2488" s="110"/>
      <c r="AK2488" s="111">
        <f t="shared" si="562"/>
        <v>219.24</v>
      </c>
      <c r="AL2488" s="446">
        <f t="shared" si="563"/>
        <v>0</v>
      </c>
      <c r="AM2488" s="110">
        <f t="shared" si="564"/>
        <v>1</v>
      </c>
      <c r="AN2488" s="447">
        <f t="shared" si="555"/>
        <v>0</v>
      </c>
      <c r="AO2488"/>
      <c r="AP2488"/>
    </row>
    <row r="2489" spans="1:42" ht="66" x14ac:dyDescent="0.25">
      <c r="A2489" s="9"/>
      <c r="B2489" s="34" t="s">
        <v>1571</v>
      </c>
      <c r="C2489" s="1024"/>
      <c r="D2489" s="869">
        <v>5</v>
      </c>
      <c r="E2489" s="1027"/>
      <c r="F2489" s="273" t="s">
        <v>3446</v>
      </c>
      <c r="G2489" s="1040" t="s">
        <v>3463</v>
      </c>
      <c r="H2489" s="273" t="s">
        <v>3462</v>
      </c>
      <c r="I2489" s="720">
        <f t="shared" si="551"/>
        <v>43.847999999999999</v>
      </c>
      <c r="J2489" s="756">
        <v>219.24</v>
      </c>
      <c r="K2489" s="131">
        <f t="shared" si="554"/>
        <v>219.24</v>
      </c>
      <c r="L2489" s="335">
        <f t="shared" si="561"/>
        <v>0</v>
      </c>
      <c r="M2489" s="446"/>
      <c r="N2489" s="446"/>
      <c r="O2489" s="446"/>
      <c r="P2489" s="446"/>
      <c r="Q2489" s="110">
        <v>2</v>
      </c>
      <c r="R2489" s="111">
        <f t="shared" si="557"/>
        <v>54.81</v>
      </c>
      <c r="S2489" s="110"/>
      <c r="T2489" s="110"/>
      <c r="U2489" s="110">
        <v>1</v>
      </c>
      <c r="V2489" s="111">
        <f t="shared" si="559"/>
        <v>54.81</v>
      </c>
      <c r="W2489" s="110"/>
      <c r="X2489" s="110"/>
      <c r="Y2489" s="110"/>
      <c r="Z2489" s="110"/>
      <c r="AA2489" s="110">
        <v>1</v>
      </c>
      <c r="AB2489" s="111">
        <f t="shared" si="552"/>
        <v>54.81</v>
      </c>
      <c r="AC2489" s="110"/>
      <c r="AD2489" s="110"/>
      <c r="AE2489" s="110">
        <v>1</v>
      </c>
      <c r="AF2489" s="111">
        <f t="shared" si="553"/>
        <v>54.81</v>
      </c>
      <c r="AG2489" s="110"/>
      <c r="AH2489" s="110"/>
      <c r="AI2489" s="110"/>
      <c r="AJ2489" s="110"/>
      <c r="AK2489" s="111">
        <f t="shared" si="562"/>
        <v>219.24</v>
      </c>
      <c r="AL2489" s="446">
        <f t="shared" si="563"/>
        <v>0</v>
      </c>
      <c r="AM2489" s="110">
        <f t="shared" si="564"/>
        <v>5</v>
      </c>
      <c r="AN2489" s="447">
        <f t="shared" si="555"/>
        <v>0</v>
      </c>
      <c r="AO2489"/>
      <c r="AP2489"/>
    </row>
    <row r="2490" spans="1:42" ht="66" x14ac:dyDescent="0.25">
      <c r="A2490" s="9"/>
      <c r="B2490" s="34" t="s">
        <v>1572</v>
      </c>
      <c r="C2490" s="1024"/>
      <c r="D2490" s="869">
        <v>15</v>
      </c>
      <c r="E2490" s="1027"/>
      <c r="F2490" s="273" t="s">
        <v>3446</v>
      </c>
      <c r="G2490" s="1040" t="s">
        <v>3463</v>
      </c>
      <c r="H2490" s="273" t="s">
        <v>3462</v>
      </c>
      <c r="I2490" s="720">
        <f t="shared" ref="I2490:I2553" si="565">+J2490/D2490</f>
        <v>50.112000000000002</v>
      </c>
      <c r="J2490" s="756">
        <v>751.68000000000006</v>
      </c>
      <c r="K2490" s="131">
        <f t="shared" si="554"/>
        <v>751.68000000000006</v>
      </c>
      <c r="L2490" s="335">
        <f t="shared" si="561"/>
        <v>0</v>
      </c>
      <c r="M2490" s="446"/>
      <c r="N2490" s="446"/>
      <c r="O2490" s="446"/>
      <c r="P2490" s="446"/>
      <c r="Q2490" s="110">
        <v>4</v>
      </c>
      <c r="R2490" s="111">
        <f t="shared" si="557"/>
        <v>187.92000000000002</v>
      </c>
      <c r="S2490" s="110"/>
      <c r="T2490" s="110"/>
      <c r="U2490" s="110">
        <v>4</v>
      </c>
      <c r="V2490" s="111">
        <f t="shared" si="559"/>
        <v>187.92000000000002</v>
      </c>
      <c r="W2490" s="110"/>
      <c r="X2490" s="110"/>
      <c r="Y2490" s="110"/>
      <c r="Z2490" s="110"/>
      <c r="AA2490" s="110">
        <v>4</v>
      </c>
      <c r="AB2490" s="111">
        <f t="shared" si="552"/>
        <v>187.92000000000002</v>
      </c>
      <c r="AC2490" s="110"/>
      <c r="AD2490" s="110"/>
      <c r="AE2490" s="110">
        <v>3</v>
      </c>
      <c r="AF2490" s="111">
        <f t="shared" si="553"/>
        <v>187.92000000000002</v>
      </c>
      <c r="AG2490" s="110"/>
      <c r="AH2490" s="110"/>
      <c r="AI2490" s="110"/>
      <c r="AJ2490" s="110"/>
      <c r="AK2490" s="111">
        <f t="shared" si="562"/>
        <v>751.68000000000006</v>
      </c>
      <c r="AL2490" s="446">
        <f t="shared" si="563"/>
        <v>0</v>
      </c>
      <c r="AM2490" s="110">
        <f t="shared" si="564"/>
        <v>15</v>
      </c>
      <c r="AN2490" s="447">
        <f t="shared" si="555"/>
        <v>0</v>
      </c>
      <c r="AO2490"/>
      <c r="AP2490"/>
    </row>
    <row r="2491" spans="1:42" ht="66" x14ac:dyDescent="0.25">
      <c r="A2491" s="9"/>
      <c r="B2491" s="34" t="s">
        <v>1573</v>
      </c>
      <c r="C2491" s="1024"/>
      <c r="D2491" s="869">
        <v>40</v>
      </c>
      <c r="E2491" s="1027" t="s">
        <v>1722</v>
      </c>
      <c r="F2491" s="273" t="s">
        <v>3446</v>
      </c>
      <c r="G2491" s="1040" t="s">
        <v>3463</v>
      </c>
      <c r="H2491" s="273" t="s">
        <v>3462</v>
      </c>
      <c r="I2491" s="720">
        <f t="shared" si="565"/>
        <v>37.583999999999996</v>
      </c>
      <c r="J2491" s="756">
        <v>1503.36</v>
      </c>
      <c r="K2491" s="131">
        <f t="shared" si="554"/>
        <v>1503.36</v>
      </c>
      <c r="L2491" s="335">
        <f t="shared" si="561"/>
        <v>0</v>
      </c>
      <c r="M2491" s="446"/>
      <c r="N2491" s="446"/>
      <c r="O2491" s="446"/>
      <c r="P2491" s="446"/>
      <c r="Q2491" s="110">
        <f t="shared" si="556"/>
        <v>10</v>
      </c>
      <c r="R2491" s="111">
        <f t="shared" si="557"/>
        <v>375.84</v>
      </c>
      <c r="S2491" s="110"/>
      <c r="T2491" s="110"/>
      <c r="U2491" s="110">
        <f t="shared" si="558"/>
        <v>10</v>
      </c>
      <c r="V2491" s="111">
        <f t="shared" si="559"/>
        <v>375.84</v>
      </c>
      <c r="W2491" s="110"/>
      <c r="X2491" s="110"/>
      <c r="Y2491" s="110"/>
      <c r="Z2491" s="110"/>
      <c r="AA2491" s="110">
        <f t="shared" si="560"/>
        <v>10</v>
      </c>
      <c r="AB2491" s="111">
        <f t="shared" si="552"/>
        <v>375.84</v>
      </c>
      <c r="AC2491" s="110"/>
      <c r="AD2491" s="110"/>
      <c r="AE2491" s="110">
        <f t="shared" si="560"/>
        <v>10</v>
      </c>
      <c r="AF2491" s="111">
        <f t="shared" si="553"/>
        <v>375.84</v>
      </c>
      <c r="AG2491" s="110"/>
      <c r="AH2491" s="110"/>
      <c r="AI2491" s="110"/>
      <c r="AJ2491" s="110"/>
      <c r="AK2491" s="111">
        <f t="shared" si="562"/>
        <v>1503.36</v>
      </c>
      <c r="AL2491" s="446">
        <f t="shared" si="563"/>
        <v>0</v>
      </c>
      <c r="AM2491" s="110">
        <f t="shared" si="564"/>
        <v>40</v>
      </c>
      <c r="AN2491" s="447">
        <f t="shared" si="555"/>
        <v>0</v>
      </c>
      <c r="AO2491"/>
      <c r="AP2491"/>
    </row>
    <row r="2492" spans="1:42" ht="66" x14ac:dyDescent="0.25">
      <c r="A2492" s="9"/>
      <c r="B2492" s="34" t="s">
        <v>628</v>
      </c>
      <c r="C2492" s="1024"/>
      <c r="D2492" s="869">
        <v>10</v>
      </c>
      <c r="E2492" s="1027" t="s">
        <v>1722</v>
      </c>
      <c r="F2492" s="273" t="s">
        <v>3446</v>
      </c>
      <c r="G2492" s="1040" t="s">
        <v>3463</v>
      </c>
      <c r="H2492" s="273" t="s">
        <v>3462</v>
      </c>
      <c r="I2492" s="720">
        <f t="shared" si="565"/>
        <v>18.791999999999998</v>
      </c>
      <c r="J2492" s="756">
        <v>187.92</v>
      </c>
      <c r="K2492" s="131">
        <f t="shared" si="554"/>
        <v>187.92</v>
      </c>
      <c r="L2492" s="335">
        <f t="shared" si="561"/>
        <v>0</v>
      </c>
      <c r="M2492" s="446"/>
      <c r="N2492" s="446"/>
      <c r="O2492" s="446"/>
      <c r="P2492" s="446"/>
      <c r="Q2492" s="130">
        <v>3</v>
      </c>
      <c r="R2492" s="111">
        <f t="shared" si="557"/>
        <v>46.98</v>
      </c>
      <c r="S2492" s="110"/>
      <c r="T2492" s="110"/>
      <c r="U2492" s="130">
        <v>3</v>
      </c>
      <c r="V2492" s="111">
        <f t="shared" si="559"/>
        <v>46.98</v>
      </c>
      <c r="W2492" s="110"/>
      <c r="X2492" s="110"/>
      <c r="Y2492" s="110"/>
      <c r="Z2492" s="110"/>
      <c r="AA2492" s="130">
        <v>2</v>
      </c>
      <c r="AB2492" s="111">
        <f t="shared" si="552"/>
        <v>46.98</v>
      </c>
      <c r="AC2492" s="110"/>
      <c r="AD2492" s="110"/>
      <c r="AE2492" s="130">
        <v>2</v>
      </c>
      <c r="AF2492" s="111">
        <f t="shared" si="553"/>
        <v>46.98</v>
      </c>
      <c r="AG2492" s="110"/>
      <c r="AH2492" s="110"/>
      <c r="AI2492" s="110"/>
      <c r="AJ2492" s="110"/>
      <c r="AK2492" s="111">
        <f t="shared" si="562"/>
        <v>187.92</v>
      </c>
      <c r="AL2492" s="446">
        <f t="shared" si="563"/>
        <v>0</v>
      </c>
      <c r="AM2492" s="110">
        <f t="shared" si="564"/>
        <v>10</v>
      </c>
      <c r="AN2492" s="447">
        <f t="shared" si="555"/>
        <v>0</v>
      </c>
      <c r="AO2492"/>
      <c r="AP2492"/>
    </row>
    <row r="2493" spans="1:42" ht="66" x14ac:dyDescent="0.25">
      <c r="A2493" s="9"/>
      <c r="B2493" s="34" t="s">
        <v>1574</v>
      </c>
      <c r="C2493" s="1024"/>
      <c r="D2493" s="869">
        <v>5</v>
      </c>
      <c r="E2493" s="1027"/>
      <c r="F2493" s="273" t="s">
        <v>3446</v>
      </c>
      <c r="G2493" s="1040" t="s">
        <v>3463</v>
      </c>
      <c r="H2493" s="273" t="s">
        <v>3462</v>
      </c>
      <c r="I2493" s="720">
        <f t="shared" si="565"/>
        <v>56.375999999999998</v>
      </c>
      <c r="J2493" s="756">
        <v>281.88</v>
      </c>
      <c r="K2493" s="131">
        <f t="shared" si="554"/>
        <v>281.88</v>
      </c>
      <c r="L2493" s="335">
        <f t="shared" si="561"/>
        <v>0</v>
      </c>
      <c r="M2493" s="446"/>
      <c r="N2493" s="446"/>
      <c r="O2493" s="446"/>
      <c r="P2493" s="446"/>
      <c r="Q2493" s="110">
        <v>2</v>
      </c>
      <c r="R2493" s="111">
        <f t="shared" si="557"/>
        <v>70.47</v>
      </c>
      <c r="S2493" s="110"/>
      <c r="T2493" s="110"/>
      <c r="U2493" s="110">
        <v>1</v>
      </c>
      <c r="V2493" s="111">
        <f t="shared" si="559"/>
        <v>70.47</v>
      </c>
      <c r="W2493" s="110"/>
      <c r="X2493" s="110"/>
      <c r="Y2493" s="110"/>
      <c r="Z2493" s="110"/>
      <c r="AA2493" s="110">
        <v>1</v>
      </c>
      <c r="AB2493" s="111">
        <f t="shared" si="552"/>
        <v>70.47</v>
      </c>
      <c r="AC2493" s="110"/>
      <c r="AD2493" s="110"/>
      <c r="AE2493" s="110">
        <v>1</v>
      </c>
      <c r="AF2493" s="111">
        <f t="shared" si="553"/>
        <v>70.47</v>
      </c>
      <c r="AG2493" s="110"/>
      <c r="AH2493" s="110"/>
      <c r="AI2493" s="110"/>
      <c r="AJ2493" s="110"/>
      <c r="AK2493" s="111">
        <f t="shared" si="562"/>
        <v>281.88</v>
      </c>
      <c r="AL2493" s="446">
        <f t="shared" si="563"/>
        <v>0</v>
      </c>
      <c r="AM2493" s="110">
        <f t="shared" si="564"/>
        <v>5</v>
      </c>
      <c r="AN2493" s="447">
        <f t="shared" si="555"/>
        <v>0</v>
      </c>
      <c r="AO2493"/>
      <c r="AP2493"/>
    </row>
    <row r="2494" spans="1:42" ht="66" x14ac:dyDescent="0.25">
      <c r="A2494" s="9"/>
      <c r="B2494" s="46" t="s">
        <v>1575</v>
      </c>
      <c r="C2494" s="1024"/>
      <c r="D2494" s="869">
        <v>20</v>
      </c>
      <c r="E2494" s="1027"/>
      <c r="F2494" s="273" t="s">
        <v>3446</v>
      </c>
      <c r="G2494" s="1040" t="s">
        <v>3463</v>
      </c>
      <c r="H2494" s="273" t="s">
        <v>3462</v>
      </c>
      <c r="I2494" s="720">
        <f t="shared" si="565"/>
        <v>131.54400000000001</v>
      </c>
      <c r="J2494" s="756">
        <v>2630.88</v>
      </c>
      <c r="K2494" s="131">
        <f t="shared" si="554"/>
        <v>2630.88</v>
      </c>
      <c r="L2494" s="335">
        <f t="shared" si="561"/>
        <v>0</v>
      </c>
      <c r="M2494" s="446"/>
      <c r="N2494" s="446"/>
      <c r="O2494" s="446"/>
      <c r="P2494" s="446"/>
      <c r="Q2494" s="110">
        <f t="shared" si="556"/>
        <v>5</v>
      </c>
      <c r="R2494" s="111">
        <f t="shared" si="557"/>
        <v>657.72</v>
      </c>
      <c r="S2494" s="110"/>
      <c r="T2494" s="110"/>
      <c r="U2494" s="110">
        <f t="shared" si="558"/>
        <v>5</v>
      </c>
      <c r="V2494" s="111">
        <f t="shared" si="559"/>
        <v>657.72</v>
      </c>
      <c r="W2494" s="110"/>
      <c r="X2494" s="110"/>
      <c r="Y2494" s="110"/>
      <c r="Z2494" s="110"/>
      <c r="AA2494" s="110">
        <f t="shared" si="560"/>
        <v>5</v>
      </c>
      <c r="AB2494" s="111">
        <f t="shared" si="552"/>
        <v>657.72</v>
      </c>
      <c r="AC2494" s="110"/>
      <c r="AD2494" s="110"/>
      <c r="AE2494" s="110">
        <f t="shared" si="560"/>
        <v>5</v>
      </c>
      <c r="AF2494" s="111">
        <f t="shared" si="553"/>
        <v>657.72</v>
      </c>
      <c r="AG2494" s="110"/>
      <c r="AH2494" s="110"/>
      <c r="AI2494" s="110"/>
      <c r="AJ2494" s="110"/>
      <c r="AK2494" s="111">
        <f t="shared" si="562"/>
        <v>2630.88</v>
      </c>
      <c r="AL2494" s="446">
        <f t="shared" si="563"/>
        <v>0</v>
      </c>
      <c r="AM2494" s="110">
        <f t="shared" si="564"/>
        <v>20</v>
      </c>
      <c r="AN2494" s="447">
        <f t="shared" si="555"/>
        <v>0</v>
      </c>
      <c r="AO2494"/>
      <c r="AP2494"/>
    </row>
    <row r="2495" spans="1:42" ht="66" x14ac:dyDescent="0.25">
      <c r="A2495" s="9"/>
      <c r="B2495" s="34" t="s">
        <v>1576</v>
      </c>
      <c r="C2495" s="1024"/>
      <c r="D2495" s="869">
        <v>10</v>
      </c>
      <c r="E2495" s="1027" t="s">
        <v>1722</v>
      </c>
      <c r="F2495" s="273" t="s">
        <v>3446</v>
      </c>
      <c r="G2495" s="1040" t="s">
        <v>3463</v>
      </c>
      <c r="H2495" s="273" t="s">
        <v>3462</v>
      </c>
      <c r="I2495" s="720">
        <f t="shared" si="565"/>
        <v>169.12800000000001</v>
      </c>
      <c r="J2495" s="756">
        <v>1691.2800000000002</v>
      </c>
      <c r="K2495" s="131">
        <f t="shared" si="554"/>
        <v>1691.2800000000002</v>
      </c>
      <c r="L2495" s="335">
        <f t="shared" si="561"/>
        <v>0</v>
      </c>
      <c r="M2495" s="446"/>
      <c r="N2495" s="446"/>
      <c r="O2495" s="446"/>
      <c r="P2495" s="446"/>
      <c r="Q2495" s="130">
        <v>3</v>
      </c>
      <c r="R2495" s="111">
        <f t="shared" si="557"/>
        <v>422.82000000000005</v>
      </c>
      <c r="S2495" s="110"/>
      <c r="T2495" s="110"/>
      <c r="U2495" s="130">
        <v>3</v>
      </c>
      <c r="V2495" s="111">
        <f t="shared" si="559"/>
        <v>422.82000000000005</v>
      </c>
      <c r="W2495" s="110"/>
      <c r="X2495" s="110"/>
      <c r="Y2495" s="110"/>
      <c r="Z2495" s="110"/>
      <c r="AA2495" s="130">
        <v>2</v>
      </c>
      <c r="AB2495" s="111">
        <f t="shared" si="552"/>
        <v>422.82000000000005</v>
      </c>
      <c r="AC2495" s="110"/>
      <c r="AD2495" s="110"/>
      <c r="AE2495" s="130">
        <v>2</v>
      </c>
      <c r="AF2495" s="111">
        <f t="shared" si="553"/>
        <v>422.82000000000005</v>
      </c>
      <c r="AG2495" s="110"/>
      <c r="AH2495" s="110"/>
      <c r="AI2495" s="110"/>
      <c r="AJ2495" s="110"/>
      <c r="AK2495" s="111">
        <f t="shared" si="562"/>
        <v>1691.2800000000002</v>
      </c>
      <c r="AL2495" s="446">
        <f t="shared" si="563"/>
        <v>0</v>
      </c>
      <c r="AM2495" s="110">
        <f t="shared" si="564"/>
        <v>10</v>
      </c>
      <c r="AN2495" s="447">
        <f t="shared" si="555"/>
        <v>0</v>
      </c>
      <c r="AO2495"/>
      <c r="AP2495"/>
    </row>
    <row r="2496" spans="1:42" ht="66" x14ac:dyDescent="0.25">
      <c r="A2496" s="9"/>
      <c r="B2496" s="46" t="s">
        <v>1577</v>
      </c>
      <c r="C2496" s="1024"/>
      <c r="D2496" s="869">
        <v>5</v>
      </c>
      <c r="E2496" s="1027"/>
      <c r="F2496" s="273" t="s">
        <v>3446</v>
      </c>
      <c r="G2496" s="1040" t="s">
        <v>3463</v>
      </c>
      <c r="H2496" s="273" t="s">
        <v>3462</v>
      </c>
      <c r="I2496" s="720">
        <f t="shared" si="565"/>
        <v>47.56</v>
      </c>
      <c r="J2496" s="756">
        <v>237.8</v>
      </c>
      <c r="K2496" s="131">
        <f t="shared" si="554"/>
        <v>237.8</v>
      </c>
      <c r="L2496" s="335">
        <f t="shared" si="561"/>
        <v>0</v>
      </c>
      <c r="M2496" s="446"/>
      <c r="N2496" s="446"/>
      <c r="O2496" s="446"/>
      <c r="P2496" s="446"/>
      <c r="Q2496" s="110">
        <v>2</v>
      </c>
      <c r="R2496" s="111">
        <f t="shared" si="557"/>
        <v>59.45</v>
      </c>
      <c r="S2496" s="110"/>
      <c r="T2496" s="110"/>
      <c r="U2496" s="110">
        <v>1</v>
      </c>
      <c r="V2496" s="111">
        <f t="shared" si="559"/>
        <v>59.45</v>
      </c>
      <c r="W2496" s="110"/>
      <c r="X2496" s="110"/>
      <c r="Y2496" s="110"/>
      <c r="Z2496" s="110"/>
      <c r="AA2496" s="110">
        <v>1</v>
      </c>
      <c r="AB2496" s="111">
        <f t="shared" si="552"/>
        <v>59.45</v>
      </c>
      <c r="AC2496" s="110"/>
      <c r="AD2496" s="110"/>
      <c r="AE2496" s="110">
        <v>1</v>
      </c>
      <c r="AF2496" s="111">
        <f t="shared" si="553"/>
        <v>59.45</v>
      </c>
      <c r="AG2496" s="110"/>
      <c r="AH2496" s="110"/>
      <c r="AI2496" s="110"/>
      <c r="AJ2496" s="110"/>
      <c r="AK2496" s="111">
        <f t="shared" si="562"/>
        <v>237.8</v>
      </c>
      <c r="AL2496" s="446">
        <f t="shared" si="563"/>
        <v>0</v>
      </c>
      <c r="AM2496" s="110">
        <f t="shared" si="564"/>
        <v>5</v>
      </c>
      <c r="AN2496" s="447">
        <f t="shared" si="555"/>
        <v>0</v>
      </c>
      <c r="AO2496"/>
      <c r="AP2496"/>
    </row>
    <row r="2497" spans="1:42" ht="66" x14ac:dyDescent="0.25">
      <c r="A2497" s="9"/>
      <c r="B2497" s="46" t="s">
        <v>1578</v>
      </c>
      <c r="C2497" s="1024"/>
      <c r="D2497" s="869">
        <v>5</v>
      </c>
      <c r="E2497" s="1027"/>
      <c r="F2497" s="273" t="s">
        <v>3446</v>
      </c>
      <c r="G2497" s="1040" t="s">
        <v>3463</v>
      </c>
      <c r="H2497" s="273" t="s">
        <v>3462</v>
      </c>
      <c r="I2497" s="720">
        <f t="shared" si="565"/>
        <v>69.101200000000006</v>
      </c>
      <c r="J2497" s="756">
        <v>345.50600000000003</v>
      </c>
      <c r="K2497" s="131">
        <f t="shared" si="554"/>
        <v>345.50600000000003</v>
      </c>
      <c r="L2497" s="335">
        <f t="shared" si="561"/>
        <v>0</v>
      </c>
      <c r="M2497" s="446"/>
      <c r="N2497" s="446"/>
      <c r="O2497" s="446"/>
      <c r="P2497" s="446"/>
      <c r="Q2497" s="110">
        <v>2</v>
      </c>
      <c r="R2497" s="111">
        <f t="shared" si="557"/>
        <v>86.376500000000007</v>
      </c>
      <c r="S2497" s="110"/>
      <c r="T2497" s="110"/>
      <c r="U2497" s="110">
        <v>1</v>
      </c>
      <c r="V2497" s="111">
        <f t="shared" si="559"/>
        <v>86.376500000000007</v>
      </c>
      <c r="W2497" s="110"/>
      <c r="X2497" s="110"/>
      <c r="Y2497" s="110"/>
      <c r="Z2497" s="110"/>
      <c r="AA2497" s="110">
        <v>1</v>
      </c>
      <c r="AB2497" s="111">
        <f t="shared" si="552"/>
        <v>86.376500000000007</v>
      </c>
      <c r="AC2497" s="110"/>
      <c r="AD2497" s="110"/>
      <c r="AE2497" s="110">
        <v>1</v>
      </c>
      <c r="AF2497" s="111">
        <f t="shared" si="553"/>
        <v>86.376500000000007</v>
      </c>
      <c r="AG2497" s="110"/>
      <c r="AH2497" s="110"/>
      <c r="AI2497" s="110"/>
      <c r="AJ2497" s="110"/>
      <c r="AK2497" s="111">
        <f t="shared" si="562"/>
        <v>345.50600000000003</v>
      </c>
      <c r="AL2497" s="446">
        <f t="shared" si="563"/>
        <v>0</v>
      </c>
      <c r="AM2497" s="110">
        <f t="shared" si="564"/>
        <v>5</v>
      </c>
      <c r="AN2497" s="447">
        <f t="shared" si="555"/>
        <v>0</v>
      </c>
      <c r="AO2497"/>
      <c r="AP2497"/>
    </row>
    <row r="2498" spans="1:42" ht="66" x14ac:dyDescent="0.25">
      <c r="A2498" s="9"/>
      <c r="B2498" s="46" t="s">
        <v>1579</v>
      </c>
      <c r="C2498" s="1024"/>
      <c r="D2498" s="869">
        <v>10</v>
      </c>
      <c r="E2498" s="1027"/>
      <c r="F2498" s="273" t="s">
        <v>3446</v>
      </c>
      <c r="G2498" s="1040" t="s">
        <v>3463</v>
      </c>
      <c r="H2498" s="273" t="s">
        <v>3462</v>
      </c>
      <c r="I2498" s="720">
        <f t="shared" si="565"/>
        <v>31.32</v>
      </c>
      <c r="J2498" s="756">
        <v>313.2</v>
      </c>
      <c r="K2498" s="131">
        <f t="shared" si="554"/>
        <v>313.2</v>
      </c>
      <c r="L2498" s="335">
        <f t="shared" si="561"/>
        <v>0</v>
      </c>
      <c r="M2498" s="446"/>
      <c r="N2498" s="446"/>
      <c r="O2498" s="446"/>
      <c r="P2498" s="446"/>
      <c r="Q2498" s="130">
        <v>3</v>
      </c>
      <c r="R2498" s="111">
        <f t="shared" si="557"/>
        <v>78.3</v>
      </c>
      <c r="S2498" s="110"/>
      <c r="T2498" s="110"/>
      <c r="U2498" s="130">
        <v>3</v>
      </c>
      <c r="V2498" s="111">
        <f t="shared" si="559"/>
        <v>78.3</v>
      </c>
      <c r="W2498" s="110"/>
      <c r="X2498" s="110"/>
      <c r="Y2498" s="110"/>
      <c r="Z2498" s="110"/>
      <c r="AA2498" s="130">
        <v>2</v>
      </c>
      <c r="AB2498" s="111">
        <f t="shared" si="552"/>
        <v>78.3</v>
      </c>
      <c r="AC2498" s="110"/>
      <c r="AD2498" s="110"/>
      <c r="AE2498" s="130">
        <v>2</v>
      </c>
      <c r="AF2498" s="111">
        <f t="shared" si="553"/>
        <v>78.3</v>
      </c>
      <c r="AG2498" s="110"/>
      <c r="AH2498" s="110"/>
      <c r="AI2498" s="110"/>
      <c r="AJ2498" s="110"/>
      <c r="AK2498" s="111">
        <f t="shared" si="562"/>
        <v>313.2</v>
      </c>
      <c r="AL2498" s="446">
        <f t="shared" si="563"/>
        <v>0</v>
      </c>
      <c r="AM2498" s="110">
        <f t="shared" si="564"/>
        <v>10</v>
      </c>
      <c r="AN2498" s="447">
        <f t="shared" si="555"/>
        <v>0</v>
      </c>
      <c r="AO2498"/>
      <c r="AP2498"/>
    </row>
    <row r="2499" spans="1:42" ht="66" x14ac:dyDescent="0.25">
      <c r="A2499" s="9"/>
      <c r="B2499" s="46" t="s">
        <v>1580</v>
      </c>
      <c r="C2499" s="1024"/>
      <c r="D2499" s="869">
        <v>25</v>
      </c>
      <c r="E2499" s="1027" t="s">
        <v>1721</v>
      </c>
      <c r="F2499" s="273" t="s">
        <v>3446</v>
      </c>
      <c r="G2499" s="1040" t="s">
        <v>3463</v>
      </c>
      <c r="H2499" s="273" t="s">
        <v>3462</v>
      </c>
      <c r="I2499" s="720">
        <f t="shared" si="565"/>
        <v>91.454400000000007</v>
      </c>
      <c r="J2499" s="756">
        <v>2286.36</v>
      </c>
      <c r="K2499" s="131">
        <f t="shared" si="554"/>
        <v>2286.36</v>
      </c>
      <c r="L2499" s="335">
        <f t="shared" si="561"/>
        <v>0</v>
      </c>
      <c r="M2499" s="446"/>
      <c r="N2499" s="446"/>
      <c r="O2499" s="446"/>
      <c r="P2499" s="446"/>
      <c r="Q2499" s="110">
        <v>7</v>
      </c>
      <c r="R2499" s="111">
        <f t="shared" si="557"/>
        <v>571.59</v>
      </c>
      <c r="S2499" s="110"/>
      <c r="T2499" s="110"/>
      <c r="U2499" s="110">
        <v>6</v>
      </c>
      <c r="V2499" s="111">
        <f t="shared" si="559"/>
        <v>571.59</v>
      </c>
      <c r="W2499" s="110"/>
      <c r="X2499" s="110"/>
      <c r="Y2499" s="110"/>
      <c r="Z2499" s="110"/>
      <c r="AA2499" s="110">
        <v>6</v>
      </c>
      <c r="AB2499" s="111">
        <f t="shared" si="552"/>
        <v>571.59</v>
      </c>
      <c r="AC2499" s="110"/>
      <c r="AD2499" s="110"/>
      <c r="AE2499" s="110">
        <v>6</v>
      </c>
      <c r="AF2499" s="111">
        <f t="shared" si="553"/>
        <v>571.59</v>
      </c>
      <c r="AG2499" s="110"/>
      <c r="AH2499" s="110"/>
      <c r="AI2499" s="110"/>
      <c r="AJ2499" s="110"/>
      <c r="AK2499" s="111">
        <f t="shared" si="562"/>
        <v>2286.36</v>
      </c>
      <c r="AL2499" s="446">
        <f t="shared" si="563"/>
        <v>0</v>
      </c>
      <c r="AM2499" s="110">
        <f t="shared" si="564"/>
        <v>25</v>
      </c>
      <c r="AN2499" s="447">
        <f t="shared" si="555"/>
        <v>0</v>
      </c>
      <c r="AO2499"/>
      <c r="AP2499"/>
    </row>
    <row r="2500" spans="1:42" ht="66" x14ac:dyDescent="0.25">
      <c r="A2500" s="9"/>
      <c r="B2500" s="46" t="s">
        <v>1581</v>
      </c>
      <c r="C2500" s="1024"/>
      <c r="D2500" s="869">
        <v>5</v>
      </c>
      <c r="E2500" s="1027"/>
      <c r="F2500" s="273" t="s">
        <v>3446</v>
      </c>
      <c r="G2500" s="1040" t="s">
        <v>3463</v>
      </c>
      <c r="H2500" s="273" t="s">
        <v>3462</v>
      </c>
      <c r="I2500" s="720">
        <f t="shared" si="565"/>
        <v>103.98240000000001</v>
      </c>
      <c r="J2500" s="756">
        <v>519.91200000000003</v>
      </c>
      <c r="K2500" s="131">
        <f t="shared" si="554"/>
        <v>519.91200000000003</v>
      </c>
      <c r="L2500" s="335">
        <f t="shared" si="561"/>
        <v>0</v>
      </c>
      <c r="M2500" s="446"/>
      <c r="N2500" s="446"/>
      <c r="O2500" s="446"/>
      <c r="P2500" s="446"/>
      <c r="Q2500" s="110">
        <v>2</v>
      </c>
      <c r="R2500" s="111">
        <f t="shared" si="557"/>
        <v>129.97800000000001</v>
      </c>
      <c r="S2500" s="110"/>
      <c r="T2500" s="110"/>
      <c r="U2500" s="110">
        <v>1</v>
      </c>
      <c r="V2500" s="111">
        <f t="shared" si="559"/>
        <v>129.97800000000001</v>
      </c>
      <c r="W2500" s="110"/>
      <c r="X2500" s="110"/>
      <c r="Y2500" s="110"/>
      <c r="Z2500" s="110"/>
      <c r="AA2500" s="110">
        <v>1</v>
      </c>
      <c r="AB2500" s="111">
        <f t="shared" si="552"/>
        <v>129.97800000000001</v>
      </c>
      <c r="AC2500" s="110"/>
      <c r="AD2500" s="110"/>
      <c r="AE2500" s="110">
        <v>1</v>
      </c>
      <c r="AF2500" s="111">
        <f t="shared" si="553"/>
        <v>129.97800000000001</v>
      </c>
      <c r="AG2500" s="110"/>
      <c r="AH2500" s="110"/>
      <c r="AI2500" s="110"/>
      <c r="AJ2500" s="110"/>
      <c r="AK2500" s="111">
        <f t="shared" si="562"/>
        <v>519.91200000000003</v>
      </c>
      <c r="AL2500" s="446">
        <f t="shared" si="563"/>
        <v>0</v>
      </c>
      <c r="AM2500" s="110">
        <f t="shared" si="564"/>
        <v>5</v>
      </c>
      <c r="AN2500" s="447">
        <f t="shared" si="555"/>
        <v>0</v>
      </c>
      <c r="AO2500"/>
      <c r="AP2500"/>
    </row>
    <row r="2501" spans="1:42" ht="66" x14ac:dyDescent="0.25">
      <c r="A2501" s="9"/>
      <c r="B2501" s="46" t="s">
        <v>1582</v>
      </c>
      <c r="C2501" s="1024"/>
      <c r="D2501" s="869">
        <v>5</v>
      </c>
      <c r="E2501" s="1027"/>
      <c r="F2501" s="273" t="s">
        <v>3446</v>
      </c>
      <c r="G2501" s="1040" t="s">
        <v>3463</v>
      </c>
      <c r="H2501" s="273" t="s">
        <v>3462</v>
      </c>
      <c r="I2501" s="720">
        <f t="shared" si="565"/>
        <v>85.190399999999997</v>
      </c>
      <c r="J2501" s="756">
        <v>425.952</v>
      </c>
      <c r="K2501" s="131">
        <f t="shared" si="554"/>
        <v>425.952</v>
      </c>
      <c r="L2501" s="335">
        <f t="shared" si="561"/>
        <v>0</v>
      </c>
      <c r="M2501" s="446"/>
      <c r="N2501" s="446"/>
      <c r="O2501" s="446"/>
      <c r="P2501" s="446"/>
      <c r="Q2501" s="110">
        <v>2</v>
      </c>
      <c r="R2501" s="111">
        <f t="shared" si="557"/>
        <v>106.488</v>
      </c>
      <c r="S2501" s="110"/>
      <c r="T2501" s="110"/>
      <c r="U2501" s="110">
        <v>1</v>
      </c>
      <c r="V2501" s="111">
        <f t="shared" si="559"/>
        <v>106.488</v>
      </c>
      <c r="W2501" s="110"/>
      <c r="X2501" s="110"/>
      <c r="Y2501" s="110"/>
      <c r="Z2501" s="110"/>
      <c r="AA2501" s="110">
        <v>1</v>
      </c>
      <c r="AB2501" s="111">
        <f t="shared" si="552"/>
        <v>106.488</v>
      </c>
      <c r="AC2501" s="110"/>
      <c r="AD2501" s="110"/>
      <c r="AE2501" s="110">
        <v>1</v>
      </c>
      <c r="AF2501" s="111">
        <f t="shared" si="553"/>
        <v>106.488</v>
      </c>
      <c r="AG2501" s="110"/>
      <c r="AH2501" s="110"/>
      <c r="AI2501" s="110"/>
      <c r="AJ2501" s="110"/>
      <c r="AK2501" s="111">
        <f t="shared" si="562"/>
        <v>425.952</v>
      </c>
      <c r="AL2501" s="446">
        <f t="shared" si="563"/>
        <v>0</v>
      </c>
      <c r="AM2501" s="110">
        <f t="shared" si="564"/>
        <v>5</v>
      </c>
      <c r="AN2501" s="447">
        <f t="shared" si="555"/>
        <v>0</v>
      </c>
      <c r="AO2501"/>
      <c r="AP2501"/>
    </row>
    <row r="2502" spans="1:42" ht="66" x14ac:dyDescent="0.25">
      <c r="A2502" s="9"/>
      <c r="B2502" s="46" t="s">
        <v>1583</v>
      </c>
      <c r="C2502" s="1024"/>
      <c r="D2502" s="869">
        <v>10</v>
      </c>
      <c r="E2502" s="1027"/>
      <c r="F2502" s="273" t="s">
        <v>3446</v>
      </c>
      <c r="G2502" s="1040" t="s">
        <v>3463</v>
      </c>
      <c r="H2502" s="273" t="s">
        <v>3462</v>
      </c>
      <c r="I2502" s="720">
        <f t="shared" si="565"/>
        <v>125.28</v>
      </c>
      <c r="J2502" s="756">
        <v>1252.8</v>
      </c>
      <c r="K2502" s="131">
        <f t="shared" si="554"/>
        <v>1252.8</v>
      </c>
      <c r="L2502" s="335">
        <f t="shared" si="561"/>
        <v>0</v>
      </c>
      <c r="M2502" s="446"/>
      <c r="N2502" s="446"/>
      <c r="O2502" s="446"/>
      <c r="P2502" s="446"/>
      <c r="Q2502" s="130">
        <v>3</v>
      </c>
      <c r="R2502" s="111">
        <f t="shared" si="557"/>
        <v>313.2</v>
      </c>
      <c r="S2502" s="110"/>
      <c r="T2502" s="110"/>
      <c r="U2502" s="130">
        <v>3</v>
      </c>
      <c r="V2502" s="111">
        <f t="shared" si="559"/>
        <v>313.2</v>
      </c>
      <c r="W2502" s="110"/>
      <c r="X2502" s="110"/>
      <c r="Y2502" s="110"/>
      <c r="Z2502" s="110"/>
      <c r="AA2502" s="130">
        <v>2</v>
      </c>
      <c r="AB2502" s="111">
        <f t="shared" si="552"/>
        <v>313.2</v>
      </c>
      <c r="AC2502" s="110"/>
      <c r="AD2502" s="110"/>
      <c r="AE2502" s="130">
        <v>2</v>
      </c>
      <c r="AF2502" s="111">
        <f t="shared" si="553"/>
        <v>313.2</v>
      </c>
      <c r="AG2502" s="110"/>
      <c r="AH2502" s="110"/>
      <c r="AI2502" s="110"/>
      <c r="AJ2502" s="110"/>
      <c r="AK2502" s="111">
        <f t="shared" si="562"/>
        <v>1252.8</v>
      </c>
      <c r="AL2502" s="446">
        <f t="shared" si="563"/>
        <v>0</v>
      </c>
      <c r="AM2502" s="110">
        <f t="shared" si="564"/>
        <v>10</v>
      </c>
      <c r="AN2502" s="447">
        <f t="shared" si="555"/>
        <v>0</v>
      </c>
      <c r="AO2502"/>
      <c r="AP2502"/>
    </row>
    <row r="2503" spans="1:42" ht="66" x14ac:dyDescent="0.25">
      <c r="A2503" s="9"/>
      <c r="B2503" s="46" t="s">
        <v>1584</v>
      </c>
      <c r="C2503" s="1024"/>
      <c r="D2503" s="869">
        <v>5</v>
      </c>
      <c r="E2503" s="1027"/>
      <c r="F2503" s="273" t="s">
        <v>3446</v>
      </c>
      <c r="G2503" s="1040" t="s">
        <v>3463</v>
      </c>
      <c r="H2503" s="273" t="s">
        <v>3462</v>
      </c>
      <c r="I2503" s="720">
        <f t="shared" si="565"/>
        <v>166.62239999999997</v>
      </c>
      <c r="J2503" s="756">
        <v>833.11199999999985</v>
      </c>
      <c r="K2503" s="131">
        <f t="shared" si="554"/>
        <v>833.11199999999985</v>
      </c>
      <c r="L2503" s="335">
        <f t="shared" si="561"/>
        <v>0</v>
      </c>
      <c r="M2503" s="446"/>
      <c r="N2503" s="446"/>
      <c r="O2503" s="446"/>
      <c r="P2503" s="446"/>
      <c r="Q2503" s="110">
        <v>2</v>
      </c>
      <c r="R2503" s="111">
        <f t="shared" si="557"/>
        <v>208.27799999999996</v>
      </c>
      <c r="S2503" s="110"/>
      <c r="T2503" s="110"/>
      <c r="U2503" s="110">
        <v>1</v>
      </c>
      <c r="V2503" s="111">
        <f t="shared" si="559"/>
        <v>208.27799999999996</v>
      </c>
      <c r="W2503" s="110"/>
      <c r="X2503" s="110"/>
      <c r="Y2503" s="110"/>
      <c r="Z2503" s="110"/>
      <c r="AA2503" s="110">
        <v>1</v>
      </c>
      <c r="AB2503" s="111">
        <f t="shared" ref="AB2503:AB2566" si="566">+J2503/4</f>
        <v>208.27799999999996</v>
      </c>
      <c r="AC2503" s="110"/>
      <c r="AD2503" s="110"/>
      <c r="AE2503" s="110">
        <v>1</v>
      </c>
      <c r="AF2503" s="111">
        <f t="shared" ref="AF2503:AF2566" si="567">+J2503/4</f>
        <v>208.27799999999996</v>
      </c>
      <c r="AG2503" s="110"/>
      <c r="AH2503" s="110"/>
      <c r="AI2503" s="110"/>
      <c r="AJ2503" s="110"/>
      <c r="AK2503" s="111">
        <f t="shared" si="562"/>
        <v>833.11199999999985</v>
      </c>
      <c r="AL2503" s="446">
        <f t="shared" si="563"/>
        <v>0</v>
      </c>
      <c r="AM2503" s="110">
        <f t="shared" si="564"/>
        <v>5</v>
      </c>
      <c r="AN2503" s="447">
        <f t="shared" si="555"/>
        <v>0</v>
      </c>
      <c r="AO2503"/>
      <c r="AP2503"/>
    </row>
    <row r="2504" spans="1:42" ht="66" x14ac:dyDescent="0.25">
      <c r="A2504" s="9"/>
      <c r="B2504" s="46" t="s">
        <v>1585</v>
      </c>
      <c r="C2504" s="1024"/>
      <c r="D2504" s="869">
        <v>5</v>
      </c>
      <c r="E2504" s="1027"/>
      <c r="F2504" s="273" t="s">
        <v>3446</v>
      </c>
      <c r="G2504" s="1040" t="s">
        <v>3463</v>
      </c>
      <c r="H2504" s="273" t="s">
        <v>3462</v>
      </c>
      <c r="I2504" s="720">
        <f t="shared" si="565"/>
        <v>72.662400000000005</v>
      </c>
      <c r="J2504" s="756">
        <v>363.31200000000001</v>
      </c>
      <c r="K2504" s="131">
        <f t="shared" si="554"/>
        <v>363.31200000000001</v>
      </c>
      <c r="L2504" s="335">
        <f t="shared" si="561"/>
        <v>0</v>
      </c>
      <c r="M2504" s="446"/>
      <c r="N2504" s="446"/>
      <c r="O2504" s="446"/>
      <c r="P2504" s="446"/>
      <c r="Q2504" s="110">
        <v>2</v>
      </c>
      <c r="R2504" s="111">
        <f t="shared" si="557"/>
        <v>90.828000000000003</v>
      </c>
      <c r="S2504" s="110"/>
      <c r="T2504" s="110"/>
      <c r="U2504" s="110">
        <v>1</v>
      </c>
      <c r="V2504" s="111">
        <f t="shared" si="559"/>
        <v>90.828000000000003</v>
      </c>
      <c r="W2504" s="110"/>
      <c r="X2504" s="110"/>
      <c r="Y2504" s="110"/>
      <c r="Z2504" s="110"/>
      <c r="AA2504" s="110">
        <v>1</v>
      </c>
      <c r="AB2504" s="111">
        <f t="shared" si="566"/>
        <v>90.828000000000003</v>
      </c>
      <c r="AC2504" s="110"/>
      <c r="AD2504" s="110"/>
      <c r="AE2504" s="110">
        <v>1</v>
      </c>
      <c r="AF2504" s="111">
        <f t="shared" si="567"/>
        <v>90.828000000000003</v>
      </c>
      <c r="AG2504" s="110"/>
      <c r="AH2504" s="110"/>
      <c r="AI2504" s="110"/>
      <c r="AJ2504" s="110"/>
      <c r="AK2504" s="111">
        <f t="shared" si="562"/>
        <v>363.31200000000001</v>
      </c>
      <c r="AL2504" s="446">
        <f t="shared" si="563"/>
        <v>0</v>
      </c>
      <c r="AM2504" s="110">
        <f t="shared" si="564"/>
        <v>5</v>
      </c>
      <c r="AN2504" s="447">
        <f t="shared" si="555"/>
        <v>0</v>
      </c>
      <c r="AO2504"/>
      <c r="AP2504"/>
    </row>
    <row r="2505" spans="1:42" ht="66" x14ac:dyDescent="0.25">
      <c r="A2505" s="9"/>
      <c r="B2505" s="46" t="s">
        <v>1586</v>
      </c>
      <c r="C2505" s="1024"/>
      <c r="D2505" s="869">
        <v>25</v>
      </c>
      <c r="E2505" s="1027" t="s">
        <v>1721</v>
      </c>
      <c r="F2505" s="273" t="s">
        <v>3446</v>
      </c>
      <c r="G2505" s="1040" t="s">
        <v>3463</v>
      </c>
      <c r="H2505" s="273" t="s">
        <v>3462</v>
      </c>
      <c r="I2505" s="720">
        <f t="shared" si="565"/>
        <v>142.8192</v>
      </c>
      <c r="J2505" s="756">
        <v>3570.48</v>
      </c>
      <c r="K2505" s="131">
        <f t="shared" si="554"/>
        <v>3570.48</v>
      </c>
      <c r="L2505" s="335">
        <f t="shared" si="561"/>
        <v>0</v>
      </c>
      <c r="M2505" s="446"/>
      <c r="N2505" s="446"/>
      <c r="O2505" s="446"/>
      <c r="P2505" s="446"/>
      <c r="Q2505" s="110">
        <v>7</v>
      </c>
      <c r="R2505" s="111">
        <f t="shared" si="557"/>
        <v>892.62</v>
      </c>
      <c r="S2505" s="110"/>
      <c r="T2505" s="110"/>
      <c r="U2505" s="110">
        <v>6</v>
      </c>
      <c r="V2505" s="111">
        <f t="shared" si="559"/>
        <v>892.62</v>
      </c>
      <c r="W2505" s="110"/>
      <c r="X2505" s="110"/>
      <c r="Y2505" s="110"/>
      <c r="Z2505" s="110"/>
      <c r="AA2505" s="110">
        <v>6</v>
      </c>
      <c r="AB2505" s="111">
        <f t="shared" si="566"/>
        <v>892.62</v>
      </c>
      <c r="AC2505" s="110"/>
      <c r="AD2505" s="110"/>
      <c r="AE2505" s="110">
        <v>6</v>
      </c>
      <c r="AF2505" s="111">
        <f t="shared" si="567"/>
        <v>892.62</v>
      </c>
      <c r="AG2505" s="110"/>
      <c r="AH2505" s="110"/>
      <c r="AI2505" s="110"/>
      <c r="AJ2505" s="110"/>
      <c r="AK2505" s="111">
        <f t="shared" si="562"/>
        <v>3570.48</v>
      </c>
      <c r="AL2505" s="446">
        <f t="shared" si="563"/>
        <v>0</v>
      </c>
      <c r="AM2505" s="110">
        <f t="shared" si="564"/>
        <v>25</v>
      </c>
      <c r="AN2505" s="447">
        <f t="shared" si="555"/>
        <v>0</v>
      </c>
      <c r="AO2505"/>
      <c r="AP2505"/>
    </row>
    <row r="2506" spans="1:42" ht="66" x14ac:dyDescent="0.25">
      <c r="A2506" s="9"/>
      <c r="B2506" s="46" t="s">
        <v>1587</v>
      </c>
      <c r="C2506" s="1024"/>
      <c r="D2506" s="869">
        <v>5</v>
      </c>
      <c r="E2506" s="1027"/>
      <c r="F2506" s="273" t="s">
        <v>3446</v>
      </c>
      <c r="G2506" s="1040" t="s">
        <v>3463</v>
      </c>
      <c r="H2506" s="273" t="s">
        <v>3462</v>
      </c>
      <c r="I2506" s="720">
        <f t="shared" si="565"/>
        <v>76.4208</v>
      </c>
      <c r="J2506" s="756">
        <v>382.10399999999998</v>
      </c>
      <c r="K2506" s="131">
        <f t="shared" si="554"/>
        <v>382.10399999999998</v>
      </c>
      <c r="L2506" s="335">
        <f t="shared" si="561"/>
        <v>0</v>
      </c>
      <c r="M2506" s="446"/>
      <c r="N2506" s="446"/>
      <c r="O2506" s="446"/>
      <c r="P2506" s="446"/>
      <c r="Q2506" s="110">
        <v>2</v>
      </c>
      <c r="R2506" s="111">
        <f t="shared" si="557"/>
        <v>95.525999999999996</v>
      </c>
      <c r="S2506" s="110"/>
      <c r="T2506" s="110"/>
      <c r="U2506" s="110">
        <v>1</v>
      </c>
      <c r="V2506" s="111">
        <f t="shared" si="559"/>
        <v>95.525999999999996</v>
      </c>
      <c r="W2506" s="110"/>
      <c r="X2506" s="110"/>
      <c r="Y2506" s="110"/>
      <c r="Z2506" s="110"/>
      <c r="AA2506" s="110">
        <v>1</v>
      </c>
      <c r="AB2506" s="111">
        <f t="shared" si="566"/>
        <v>95.525999999999996</v>
      </c>
      <c r="AC2506" s="110"/>
      <c r="AD2506" s="110"/>
      <c r="AE2506" s="110">
        <v>1</v>
      </c>
      <c r="AF2506" s="111">
        <f t="shared" si="567"/>
        <v>95.525999999999996</v>
      </c>
      <c r="AG2506" s="110"/>
      <c r="AH2506" s="110"/>
      <c r="AI2506" s="110"/>
      <c r="AJ2506" s="110"/>
      <c r="AK2506" s="111">
        <f t="shared" si="562"/>
        <v>382.10399999999998</v>
      </c>
      <c r="AL2506" s="446">
        <f t="shared" si="563"/>
        <v>0</v>
      </c>
      <c r="AM2506" s="110">
        <f t="shared" si="564"/>
        <v>5</v>
      </c>
      <c r="AN2506" s="447">
        <f t="shared" si="555"/>
        <v>0</v>
      </c>
      <c r="AO2506"/>
      <c r="AP2506"/>
    </row>
    <row r="2507" spans="1:42" ht="66" x14ac:dyDescent="0.25">
      <c r="A2507" s="9"/>
      <c r="B2507" s="46" t="s">
        <v>1588</v>
      </c>
      <c r="C2507" s="1024"/>
      <c r="D2507" s="869">
        <v>2</v>
      </c>
      <c r="E2507" s="1027"/>
      <c r="F2507" s="273" t="s">
        <v>3446</v>
      </c>
      <c r="G2507" s="1040" t="s">
        <v>3463</v>
      </c>
      <c r="H2507" s="273" t="s">
        <v>3462</v>
      </c>
      <c r="I2507" s="720">
        <f t="shared" si="565"/>
        <v>95.12</v>
      </c>
      <c r="J2507" s="756">
        <v>190.24</v>
      </c>
      <c r="K2507" s="131">
        <f t="shared" si="554"/>
        <v>190.24</v>
      </c>
      <c r="L2507" s="335">
        <f t="shared" si="561"/>
        <v>0</v>
      </c>
      <c r="M2507" s="446"/>
      <c r="N2507" s="446"/>
      <c r="O2507" s="446"/>
      <c r="P2507" s="446"/>
      <c r="Q2507" s="130">
        <v>1</v>
      </c>
      <c r="R2507" s="111">
        <f t="shared" si="557"/>
        <v>47.56</v>
      </c>
      <c r="S2507" s="110"/>
      <c r="T2507" s="110"/>
      <c r="U2507" s="130">
        <v>1</v>
      </c>
      <c r="V2507" s="111">
        <f t="shared" si="559"/>
        <v>47.56</v>
      </c>
      <c r="W2507" s="110"/>
      <c r="X2507" s="110"/>
      <c r="Y2507" s="110"/>
      <c r="Z2507" s="110"/>
      <c r="AA2507" s="130">
        <v>0</v>
      </c>
      <c r="AB2507" s="111">
        <f t="shared" si="566"/>
        <v>47.56</v>
      </c>
      <c r="AC2507" s="110"/>
      <c r="AD2507" s="110"/>
      <c r="AE2507" s="130">
        <v>0</v>
      </c>
      <c r="AF2507" s="111">
        <f t="shared" si="567"/>
        <v>47.56</v>
      </c>
      <c r="AG2507" s="110"/>
      <c r="AH2507" s="110"/>
      <c r="AI2507" s="110"/>
      <c r="AJ2507" s="110"/>
      <c r="AK2507" s="111">
        <f t="shared" si="562"/>
        <v>190.24</v>
      </c>
      <c r="AL2507" s="446">
        <f t="shared" si="563"/>
        <v>0</v>
      </c>
      <c r="AM2507" s="110">
        <f t="shared" si="564"/>
        <v>2</v>
      </c>
      <c r="AN2507" s="447">
        <f t="shared" si="555"/>
        <v>0</v>
      </c>
      <c r="AO2507"/>
      <c r="AP2507"/>
    </row>
    <row r="2508" spans="1:42" ht="66" x14ac:dyDescent="0.25">
      <c r="A2508" s="9"/>
      <c r="B2508" s="46" t="s">
        <v>1589</v>
      </c>
      <c r="C2508" s="1024"/>
      <c r="D2508" s="869">
        <v>5</v>
      </c>
      <c r="E2508" s="1027"/>
      <c r="F2508" s="273" t="s">
        <v>3446</v>
      </c>
      <c r="G2508" s="1040" t="s">
        <v>3463</v>
      </c>
      <c r="H2508" s="273" t="s">
        <v>3462</v>
      </c>
      <c r="I2508" s="720">
        <f t="shared" si="565"/>
        <v>224.25119999999998</v>
      </c>
      <c r="J2508" s="756">
        <v>1121.2559999999999</v>
      </c>
      <c r="K2508" s="131">
        <f t="shared" si="554"/>
        <v>1121.2559999999999</v>
      </c>
      <c r="L2508" s="335">
        <f t="shared" si="561"/>
        <v>0</v>
      </c>
      <c r="M2508" s="446"/>
      <c r="N2508" s="446"/>
      <c r="O2508" s="446"/>
      <c r="P2508" s="446"/>
      <c r="Q2508" s="110">
        <v>2</v>
      </c>
      <c r="R2508" s="111">
        <f t="shared" si="557"/>
        <v>280.31399999999996</v>
      </c>
      <c r="S2508" s="110"/>
      <c r="T2508" s="110"/>
      <c r="U2508" s="110">
        <v>1</v>
      </c>
      <c r="V2508" s="111">
        <f t="shared" si="559"/>
        <v>280.31399999999996</v>
      </c>
      <c r="W2508" s="110"/>
      <c r="X2508" s="110"/>
      <c r="Y2508" s="110"/>
      <c r="Z2508" s="110"/>
      <c r="AA2508" s="110">
        <v>1</v>
      </c>
      <c r="AB2508" s="111">
        <f t="shared" si="566"/>
        <v>280.31399999999996</v>
      </c>
      <c r="AC2508" s="110"/>
      <c r="AD2508" s="110"/>
      <c r="AE2508" s="110">
        <v>1</v>
      </c>
      <c r="AF2508" s="111">
        <f t="shared" si="567"/>
        <v>280.31399999999996</v>
      </c>
      <c r="AG2508" s="110"/>
      <c r="AH2508" s="110"/>
      <c r="AI2508" s="110"/>
      <c r="AJ2508" s="110"/>
      <c r="AK2508" s="111">
        <f t="shared" si="562"/>
        <v>1121.2559999999999</v>
      </c>
      <c r="AL2508" s="446">
        <f t="shared" si="563"/>
        <v>0</v>
      </c>
      <c r="AM2508" s="110">
        <f t="shared" si="564"/>
        <v>5</v>
      </c>
      <c r="AN2508" s="447">
        <f t="shared" si="555"/>
        <v>0</v>
      </c>
      <c r="AO2508"/>
      <c r="AP2508"/>
    </row>
    <row r="2509" spans="1:42" ht="66" x14ac:dyDescent="0.25">
      <c r="A2509" s="9"/>
      <c r="B2509" s="46" t="s">
        <v>1590</v>
      </c>
      <c r="C2509" s="1024"/>
      <c r="D2509" s="869">
        <v>15</v>
      </c>
      <c r="E2509" s="1027"/>
      <c r="F2509" s="273" t="s">
        <v>3446</v>
      </c>
      <c r="G2509" s="1040" t="s">
        <v>3463</v>
      </c>
      <c r="H2509" s="273" t="s">
        <v>3462</v>
      </c>
      <c r="I2509" s="720">
        <f t="shared" si="565"/>
        <v>147.8304</v>
      </c>
      <c r="J2509" s="756">
        <v>2217.4560000000001</v>
      </c>
      <c r="K2509" s="131">
        <f t="shared" si="554"/>
        <v>2217.4560000000001</v>
      </c>
      <c r="L2509" s="335">
        <f t="shared" si="561"/>
        <v>0</v>
      </c>
      <c r="M2509" s="446"/>
      <c r="N2509" s="446"/>
      <c r="O2509" s="446"/>
      <c r="P2509" s="446"/>
      <c r="Q2509" s="110">
        <v>4</v>
      </c>
      <c r="R2509" s="111">
        <f t="shared" si="557"/>
        <v>554.36400000000003</v>
      </c>
      <c r="S2509" s="110"/>
      <c r="T2509" s="110"/>
      <c r="U2509" s="110">
        <v>4</v>
      </c>
      <c r="V2509" s="111">
        <f t="shared" si="559"/>
        <v>554.36400000000003</v>
      </c>
      <c r="W2509" s="110"/>
      <c r="X2509" s="110"/>
      <c r="Y2509" s="110"/>
      <c r="Z2509" s="110"/>
      <c r="AA2509" s="110">
        <v>4</v>
      </c>
      <c r="AB2509" s="111">
        <f t="shared" si="566"/>
        <v>554.36400000000003</v>
      </c>
      <c r="AC2509" s="110"/>
      <c r="AD2509" s="110"/>
      <c r="AE2509" s="110">
        <v>3</v>
      </c>
      <c r="AF2509" s="111">
        <f t="shared" si="567"/>
        <v>554.36400000000003</v>
      </c>
      <c r="AG2509" s="110"/>
      <c r="AH2509" s="110"/>
      <c r="AI2509" s="110"/>
      <c r="AJ2509" s="110"/>
      <c r="AK2509" s="111">
        <f t="shared" si="562"/>
        <v>2217.4560000000001</v>
      </c>
      <c r="AL2509" s="446">
        <f t="shared" si="563"/>
        <v>0</v>
      </c>
      <c r="AM2509" s="110">
        <f t="shared" si="564"/>
        <v>15</v>
      </c>
      <c r="AN2509" s="447">
        <f t="shared" si="555"/>
        <v>0</v>
      </c>
      <c r="AO2509"/>
      <c r="AP2509"/>
    </row>
    <row r="2510" spans="1:42" ht="66" x14ac:dyDescent="0.25">
      <c r="A2510" s="9"/>
      <c r="B2510" s="46" t="s">
        <v>1591</v>
      </c>
      <c r="C2510" s="1024"/>
      <c r="D2510" s="869">
        <v>5</v>
      </c>
      <c r="E2510" s="1027"/>
      <c r="F2510" s="273" t="s">
        <v>3446</v>
      </c>
      <c r="G2510" s="1040" t="s">
        <v>3463</v>
      </c>
      <c r="H2510" s="273" t="s">
        <v>3462</v>
      </c>
      <c r="I2510" s="720">
        <f t="shared" si="565"/>
        <v>154.09440000000001</v>
      </c>
      <c r="J2510" s="756">
        <v>770.47199999999998</v>
      </c>
      <c r="K2510" s="131">
        <f t="shared" si="554"/>
        <v>770.47199999999998</v>
      </c>
      <c r="L2510" s="335">
        <f t="shared" si="561"/>
        <v>0</v>
      </c>
      <c r="M2510" s="446"/>
      <c r="N2510" s="446"/>
      <c r="O2510" s="446"/>
      <c r="P2510" s="446"/>
      <c r="Q2510" s="110">
        <v>2</v>
      </c>
      <c r="R2510" s="111">
        <f t="shared" si="557"/>
        <v>192.61799999999999</v>
      </c>
      <c r="S2510" s="110"/>
      <c r="T2510" s="110"/>
      <c r="U2510" s="110">
        <v>1</v>
      </c>
      <c r="V2510" s="111">
        <f t="shared" si="559"/>
        <v>192.61799999999999</v>
      </c>
      <c r="W2510" s="110"/>
      <c r="X2510" s="110"/>
      <c r="Y2510" s="110"/>
      <c r="Z2510" s="110"/>
      <c r="AA2510" s="110">
        <v>1</v>
      </c>
      <c r="AB2510" s="111">
        <f t="shared" si="566"/>
        <v>192.61799999999999</v>
      </c>
      <c r="AC2510" s="110"/>
      <c r="AD2510" s="110"/>
      <c r="AE2510" s="110">
        <v>1</v>
      </c>
      <c r="AF2510" s="111">
        <f t="shared" si="567"/>
        <v>192.61799999999999</v>
      </c>
      <c r="AG2510" s="110"/>
      <c r="AH2510" s="110"/>
      <c r="AI2510" s="110"/>
      <c r="AJ2510" s="110"/>
      <c r="AK2510" s="111">
        <f t="shared" si="562"/>
        <v>770.47199999999998</v>
      </c>
      <c r="AL2510" s="446">
        <f t="shared" si="563"/>
        <v>0</v>
      </c>
      <c r="AM2510" s="110">
        <f t="shared" si="564"/>
        <v>5</v>
      </c>
      <c r="AN2510" s="447">
        <f t="shared" si="555"/>
        <v>0</v>
      </c>
      <c r="AO2510"/>
      <c r="AP2510"/>
    </row>
    <row r="2511" spans="1:42" ht="66" x14ac:dyDescent="0.25">
      <c r="A2511" s="9"/>
      <c r="B2511" s="46" t="s">
        <v>1592</v>
      </c>
      <c r="C2511" s="1024"/>
      <c r="D2511" s="869">
        <v>5</v>
      </c>
      <c r="E2511" s="1027"/>
      <c r="F2511" s="273" t="s">
        <v>3446</v>
      </c>
      <c r="G2511" s="1040" t="s">
        <v>3463</v>
      </c>
      <c r="H2511" s="273" t="s">
        <v>3462</v>
      </c>
      <c r="I2511" s="720">
        <f t="shared" si="565"/>
        <v>57.628799999999998</v>
      </c>
      <c r="J2511" s="756">
        <v>288.14400000000001</v>
      </c>
      <c r="K2511" s="131">
        <f t="shared" si="554"/>
        <v>288.14400000000001</v>
      </c>
      <c r="L2511" s="335">
        <f t="shared" si="561"/>
        <v>0</v>
      </c>
      <c r="M2511" s="446"/>
      <c r="N2511" s="446"/>
      <c r="O2511" s="446"/>
      <c r="P2511" s="446"/>
      <c r="Q2511" s="110">
        <v>2</v>
      </c>
      <c r="R2511" s="111">
        <f t="shared" si="557"/>
        <v>72.036000000000001</v>
      </c>
      <c r="S2511" s="110"/>
      <c r="T2511" s="110"/>
      <c r="U2511" s="110">
        <v>1</v>
      </c>
      <c r="V2511" s="111">
        <f t="shared" si="559"/>
        <v>72.036000000000001</v>
      </c>
      <c r="W2511" s="110"/>
      <c r="X2511" s="110"/>
      <c r="Y2511" s="110"/>
      <c r="Z2511" s="110"/>
      <c r="AA2511" s="110">
        <v>1</v>
      </c>
      <c r="AB2511" s="111">
        <f t="shared" si="566"/>
        <v>72.036000000000001</v>
      </c>
      <c r="AC2511" s="110"/>
      <c r="AD2511" s="110"/>
      <c r="AE2511" s="110">
        <v>1</v>
      </c>
      <c r="AF2511" s="111">
        <f t="shared" si="567"/>
        <v>72.036000000000001</v>
      </c>
      <c r="AG2511" s="110"/>
      <c r="AH2511" s="110"/>
      <c r="AI2511" s="110"/>
      <c r="AJ2511" s="110"/>
      <c r="AK2511" s="111">
        <f t="shared" si="562"/>
        <v>288.14400000000001</v>
      </c>
      <c r="AL2511" s="446">
        <f t="shared" si="563"/>
        <v>0</v>
      </c>
      <c r="AM2511" s="110">
        <f t="shared" si="564"/>
        <v>5</v>
      </c>
      <c r="AN2511" s="447">
        <f t="shared" si="555"/>
        <v>0</v>
      </c>
      <c r="AO2511"/>
      <c r="AP2511"/>
    </row>
    <row r="2512" spans="1:42" ht="66" x14ac:dyDescent="0.25">
      <c r="A2512" s="9"/>
      <c r="B2512" s="46" t="s">
        <v>1593</v>
      </c>
      <c r="C2512" s="1024"/>
      <c r="D2512" s="869">
        <v>20</v>
      </c>
      <c r="E2512" s="1027"/>
      <c r="F2512" s="273" t="s">
        <v>3446</v>
      </c>
      <c r="G2512" s="1040" t="s">
        <v>3463</v>
      </c>
      <c r="H2512" s="273" t="s">
        <v>3462</v>
      </c>
      <c r="I2512" s="720">
        <f t="shared" si="565"/>
        <v>48.859199999999994</v>
      </c>
      <c r="J2512" s="756">
        <v>977.18399999999986</v>
      </c>
      <c r="K2512" s="131">
        <f t="shared" si="554"/>
        <v>977.18399999999986</v>
      </c>
      <c r="L2512" s="335">
        <f t="shared" si="561"/>
        <v>0</v>
      </c>
      <c r="M2512" s="446"/>
      <c r="N2512" s="446"/>
      <c r="O2512" s="446"/>
      <c r="P2512" s="446"/>
      <c r="Q2512" s="110">
        <f t="shared" si="556"/>
        <v>5</v>
      </c>
      <c r="R2512" s="111">
        <f t="shared" si="557"/>
        <v>244.29599999999996</v>
      </c>
      <c r="S2512" s="110"/>
      <c r="T2512" s="110"/>
      <c r="U2512" s="110">
        <f t="shared" si="558"/>
        <v>5</v>
      </c>
      <c r="V2512" s="111">
        <f t="shared" si="559"/>
        <v>244.29599999999996</v>
      </c>
      <c r="W2512" s="110"/>
      <c r="X2512" s="110"/>
      <c r="Y2512" s="110"/>
      <c r="Z2512" s="110"/>
      <c r="AA2512" s="110">
        <f t="shared" si="560"/>
        <v>5</v>
      </c>
      <c r="AB2512" s="111">
        <f t="shared" si="566"/>
        <v>244.29599999999996</v>
      </c>
      <c r="AC2512" s="110"/>
      <c r="AD2512" s="110"/>
      <c r="AE2512" s="110">
        <f t="shared" si="560"/>
        <v>5</v>
      </c>
      <c r="AF2512" s="111">
        <f t="shared" si="567"/>
        <v>244.29599999999996</v>
      </c>
      <c r="AG2512" s="110"/>
      <c r="AH2512" s="110"/>
      <c r="AI2512" s="110"/>
      <c r="AJ2512" s="110"/>
      <c r="AK2512" s="111">
        <f t="shared" si="562"/>
        <v>977.18399999999986</v>
      </c>
      <c r="AL2512" s="446">
        <f t="shared" si="563"/>
        <v>0</v>
      </c>
      <c r="AM2512" s="110">
        <f t="shared" si="564"/>
        <v>20</v>
      </c>
      <c r="AN2512" s="447">
        <f t="shared" si="555"/>
        <v>0</v>
      </c>
      <c r="AO2512"/>
      <c r="AP2512"/>
    </row>
    <row r="2513" spans="1:42" ht="66" x14ac:dyDescent="0.25">
      <c r="A2513" s="9"/>
      <c r="B2513" s="46" t="s">
        <v>1594</v>
      </c>
      <c r="C2513" s="1024"/>
      <c r="D2513" s="869">
        <v>15</v>
      </c>
      <c r="E2513" s="1027"/>
      <c r="F2513" s="273" t="s">
        <v>3446</v>
      </c>
      <c r="G2513" s="1040" t="s">
        <v>3463</v>
      </c>
      <c r="H2513" s="273" t="s">
        <v>3462</v>
      </c>
      <c r="I2513" s="720">
        <f t="shared" si="565"/>
        <v>170.38079999999999</v>
      </c>
      <c r="J2513" s="756">
        <v>2555.712</v>
      </c>
      <c r="K2513" s="131">
        <f t="shared" si="554"/>
        <v>2555.712</v>
      </c>
      <c r="L2513" s="335">
        <f t="shared" si="561"/>
        <v>0</v>
      </c>
      <c r="M2513" s="446"/>
      <c r="N2513" s="446"/>
      <c r="O2513" s="446"/>
      <c r="P2513" s="446"/>
      <c r="Q2513" s="110">
        <v>4</v>
      </c>
      <c r="R2513" s="111">
        <f t="shared" si="557"/>
        <v>638.928</v>
      </c>
      <c r="S2513" s="110"/>
      <c r="T2513" s="110"/>
      <c r="U2513" s="110">
        <v>4</v>
      </c>
      <c r="V2513" s="111">
        <f t="shared" si="559"/>
        <v>638.928</v>
      </c>
      <c r="W2513" s="110"/>
      <c r="X2513" s="110"/>
      <c r="Y2513" s="110"/>
      <c r="Z2513" s="110"/>
      <c r="AA2513" s="110">
        <v>4</v>
      </c>
      <c r="AB2513" s="111">
        <f t="shared" si="566"/>
        <v>638.928</v>
      </c>
      <c r="AC2513" s="110"/>
      <c r="AD2513" s="110"/>
      <c r="AE2513" s="110">
        <v>3</v>
      </c>
      <c r="AF2513" s="111">
        <f t="shared" si="567"/>
        <v>638.928</v>
      </c>
      <c r="AG2513" s="110"/>
      <c r="AH2513" s="110"/>
      <c r="AI2513" s="110"/>
      <c r="AJ2513" s="110"/>
      <c r="AK2513" s="111">
        <f t="shared" si="562"/>
        <v>2555.712</v>
      </c>
      <c r="AL2513" s="446">
        <f t="shared" si="563"/>
        <v>0</v>
      </c>
      <c r="AM2513" s="110">
        <f t="shared" si="564"/>
        <v>15</v>
      </c>
      <c r="AN2513" s="447">
        <f t="shared" si="555"/>
        <v>0</v>
      </c>
      <c r="AO2513"/>
      <c r="AP2513"/>
    </row>
    <row r="2514" spans="1:42" ht="66" x14ac:dyDescent="0.25">
      <c r="A2514" s="9"/>
      <c r="B2514" s="46" t="s">
        <v>1595</v>
      </c>
      <c r="C2514" s="1024"/>
      <c r="D2514" s="869">
        <v>15</v>
      </c>
      <c r="E2514" s="1027"/>
      <c r="F2514" s="273" t="s">
        <v>3446</v>
      </c>
      <c r="G2514" s="1040" t="s">
        <v>3463</v>
      </c>
      <c r="H2514" s="273" t="s">
        <v>3462</v>
      </c>
      <c r="I2514" s="720">
        <f t="shared" si="565"/>
        <v>184.16159999999999</v>
      </c>
      <c r="J2514" s="756">
        <v>2762.424</v>
      </c>
      <c r="K2514" s="131">
        <f t="shared" si="554"/>
        <v>2762.424</v>
      </c>
      <c r="L2514" s="335">
        <f t="shared" si="561"/>
        <v>0</v>
      </c>
      <c r="M2514" s="446"/>
      <c r="N2514" s="446"/>
      <c r="O2514" s="446"/>
      <c r="P2514" s="446"/>
      <c r="Q2514" s="110">
        <v>4</v>
      </c>
      <c r="R2514" s="111">
        <f t="shared" si="557"/>
        <v>690.60599999999999</v>
      </c>
      <c r="S2514" s="110"/>
      <c r="T2514" s="110"/>
      <c r="U2514" s="110">
        <v>4</v>
      </c>
      <c r="V2514" s="111">
        <f t="shared" si="559"/>
        <v>690.60599999999999</v>
      </c>
      <c r="W2514" s="110"/>
      <c r="X2514" s="110"/>
      <c r="Y2514" s="110"/>
      <c r="Z2514" s="110"/>
      <c r="AA2514" s="110">
        <v>4</v>
      </c>
      <c r="AB2514" s="111">
        <f t="shared" si="566"/>
        <v>690.60599999999999</v>
      </c>
      <c r="AC2514" s="110"/>
      <c r="AD2514" s="110"/>
      <c r="AE2514" s="110">
        <v>3</v>
      </c>
      <c r="AF2514" s="111">
        <f t="shared" si="567"/>
        <v>690.60599999999999</v>
      </c>
      <c r="AG2514" s="110"/>
      <c r="AH2514" s="110"/>
      <c r="AI2514" s="110"/>
      <c r="AJ2514" s="110"/>
      <c r="AK2514" s="111">
        <f t="shared" si="562"/>
        <v>2762.424</v>
      </c>
      <c r="AL2514" s="446">
        <f t="shared" si="563"/>
        <v>0</v>
      </c>
      <c r="AM2514" s="110">
        <f t="shared" si="564"/>
        <v>15</v>
      </c>
      <c r="AN2514" s="447">
        <f t="shared" si="555"/>
        <v>0</v>
      </c>
      <c r="AO2514"/>
      <c r="AP2514"/>
    </row>
    <row r="2515" spans="1:42" ht="66" x14ac:dyDescent="0.25">
      <c r="A2515" s="9"/>
      <c r="B2515" s="46" t="s">
        <v>1596</v>
      </c>
      <c r="C2515" s="1024"/>
      <c r="D2515" s="869">
        <v>5</v>
      </c>
      <c r="E2515" s="1027"/>
      <c r="F2515" s="273" t="s">
        <v>3446</v>
      </c>
      <c r="G2515" s="1040" t="s">
        <v>3463</v>
      </c>
      <c r="H2515" s="273" t="s">
        <v>3462</v>
      </c>
      <c r="I2515" s="720">
        <f t="shared" si="565"/>
        <v>73.915199999999999</v>
      </c>
      <c r="J2515" s="756">
        <v>369.57600000000002</v>
      </c>
      <c r="K2515" s="131">
        <f t="shared" si="554"/>
        <v>369.57600000000002</v>
      </c>
      <c r="L2515" s="335">
        <f t="shared" si="561"/>
        <v>0</v>
      </c>
      <c r="M2515" s="446"/>
      <c r="N2515" s="446"/>
      <c r="O2515" s="446"/>
      <c r="P2515" s="446"/>
      <c r="Q2515" s="110">
        <v>2</v>
      </c>
      <c r="R2515" s="111">
        <f t="shared" si="557"/>
        <v>92.394000000000005</v>
      </c>
      <c r="S2515" s="110"/>
      <c r="T2515" s="110"/>
      <c r="U2515" s="110">
        <v>1</v>
      </c>
      <c r="V2515" s="111">
        <f t="shared" si="559"/>
        <v>92.394000000000005</v>
      </c>
      <c r="W2515" s="110"/>
      <c r="X2515" s="110"/>
      <c r="Y2515" s="110"/>
      <c r="Z2515" s="110"/>
      <c r="AA2515" s="110">
        <v>1</v>
      </c>
      <c r="AB2515" s="111">
        <f t="shared" si="566"/>
        <v>92.394000000000005</v>
      </c>
      <c r="AC2515" s="110"/>
      <c r="AD2515" s="110"/>
      <c r="AE2515" s="110">
        <v>1</v>
      </c>
      <c r="AF2515" s="111">
        <f t="shared" si="567"/>
        <v>92.394000000000005</v>
      </c>
      <c r="AG2515" s="110"/>
      <c r="AH2515" s="110"/>
      <c r="AI2515" s="110"/>
      <c r="AJ2515" s="110"/>
      <c r="AK2515" s="111">
        <f t="shared" si="562"/>
        <v>369.57600000000002</v>
      </c>
      <c r="AL2515" s="446">
        <f t="shared" si="563"/>
        <v>0</v>
      </c>
      <c r="AM2515" s="110">
        <f t="shared" si="564"/>
        <v>5</v>
      </c>
      <c r="AN2515" s="447">
        <f t="shared" si="555"/>
        <v>0</v>
      </c>
      <c r="AO2515"/>
      <c r="AP2515"/>
    </row>
    <row r="2516" spans="1:42" ht="66" x14ac:dyDescent="0.25">
      <c r="A2516" s="9"/>
      <c r="B2516" s="46" t="s">
        <v>1597</v>
      </c>
      <c r="C2516" s="1024"/>
      <c r="D2516" s="869">
        <v>20</v>
      </c>
      <c r="E2516" s="1027"/>
      <c r="F2516" s="273" t="s">
        <v>3446</v>
      </c>
      <c r="G2516" s="1040" t="s">
        <v>3463</v>
      </c>
      <c r="H2516" s="273" t="s">
        <v>3462</v>
      </c>
      <c r="I2516" s="720">
        <f t="shared" si="565"/>
        <v>71.409599999999998</v>
      </c>
      <c r="J2516" s="756">
        <v>1428.192</v>
      </c>
      <c r="K2516" s="131">
        <f t="shared" si="554"/>
        <v>1428.192</v>
      </c>
      <c r="L2516" s="335">
        <f t="shared" si="561"/>
        <v>0</v>
      </c>
      <c r="M2516" s="446"/>
      <c r="N2516" s="446"/>
      <c r="O2516" s="446"/>
      <c r="P2516" s="446"/>
      <c r="Q2516" s="110">
        <f t="shared" si="556"/>
        <v>5</v>
      </c>
      <c r="R2516" s="111">
        <f t="shared" si="557"/>
        <v>357.048</v>
      </c>
      <c r="S2516" s="110"/>
      <c r="T2516" s="110"/>
      <c r="U2516" s="110">
        <f t="shared" si="558"/>
        <v>5</v>
      </c>
      <c r="V2516" s="111">
        <f t="shared" si="559"/>
        <v>357.048</v>
      </c>
      <c r="W2516" s="110"/>
      <c r="X2516" s="110"/>
      <c r="Y2516" s="110"/>
      <c r="Z2516" s="110"/>
      <c r="AA2516" s="110">
        <f t="shared" si="560"/>
        <v>5</v>
      </c>
      <c r="AB2516" s="111">
        <f t="shared" si="566"/>
        <v>357.048</v>
      </c>
      <c r="AC2516" s="110"/>
      <c r="AD2516" s="110"/>
      <c r="AE2516" s="110">
        <f t="shared" si="560"/>
        <v>5</v>
      </c>
      <c r="AF2516" s="111">
        <f t="shared" si="567"/>
        <v>357.048</v>
      </c>
      <c r="AG2516" s="110"/>
      <c r="AH2516" s="110"/>
      <c r="AI2516" s="110"/>
      <c r="AJ2516" s="110"/>
      <c r="AK2516" s="111">
        <f t="shared" si="562"/>
        <v>1428.192</v>
      </c>
      <c r="AL2516" s="446">
        <f t="shared" si="563"/>
        <v>0</v>
      </c>
      <c r="AM2516" s="110">
        <f t="shared" si="564"/>
        <v>20</v>
      </c>
      <c r="AN2516" s="447">
        <f t="shared" si="555"/>
        <v>0</v>
      </c>
      <c r="AO2516"/>
      <c r="AP2516"/>
    </row>
    <row r="2517" spans="1:42" ht="66" x14ac:dyDescent="0.25">
      <c r="A2517" s="9"/>
      <c r="B2517" s="46" t="s">
        <v>1598</v>
      </c>
      <c r="C2517" s="1024"/>
      <c r="D2517" s="869">
        <v>10</v>
      </c>
      <c r="E2517" s="1027"/>
      <c r="F2517" s="273" t="s">
        <v>3446</v>
      </c>
      <c r="G2517" s="1040" t="s">
        <v>3463</v>
      </c>
      <c r="H2517" s="273" t="s">
        <v>3462</v>
      </c>
      <c r="I2517" s="720">
        <f t="shared" si="565"/>
        <v>87.695999999999998</v>
      </c>
      <c r="J2517" s="756">
        <v>876.96</v>
      </c>
      <c r="K2517" s="131">
        <f t="shared" si="554"/>
        <v>876.96</v>
      </c>
      <c r="L2517" s="335">
        <f t="shared" si="561"/>
        <v>0</v>
      </c>
      <c r="M2517" s="446"/>
      <c r="N2517" s="446"/>
      <c r="O2517" s="446"/>
      <c r="P2517" s="446"/>
      <c r="Q2517" s="130">
        <v>3</v>
      </c>
      <c r="R2517" s="111">
        <f t="shared" si="557"/>
        <v>219.24</v>
      </c>
      <c r="S2517" s="110"/>
      <c r="T2517" s="110"/>
      <c r="U2517" s="130">
        <v>3</v>
      </c>
      <c r="V2517" s="111">
        <f t="shared" si="559"/>
        <v>219.24</v>
      </c>
      <c r="W2517" s="110"/>
      <c r="X2517" s="110"/>
      <c r="Y2517" s="110"/>
      <c r="Z2517" s="110"/>
      <c r="AA2517" s="130">
        <v>2</v>
      </c>
      <c r="AB2517" s="111">
        <f t="shared" si="566"/>
        <v>219.24</v>
      </c>
      <c r="AC2517" s="110"/>
      <c r="AD2517" s="110"/>
      <c r="AE2517" s="130">
        <v>2</v>
      </c>
      <c r="AF2517" s="111">
        <f t="shared" si="567"/>
        <v>219.24</v>
      </c>
      <c r="AG2517" s="110"/>
      <c r="AH2517" s="110"/>
      <c r="AI2517" s="110"/>
      <c r="AJ2517" s="110"/>
      <c r="AK2517" s="111">
        <f t="shared" si="562"/>
        <v>876.96</v>
      </c>
      <c r="AL2517" s="446">
        <f t="shared" si="563"/>
        <v>0</v>
      </c>
      <c r="AM2517" s="110">
        <f t="shared" si="564"/>
        <v>10</v>
      </c>
      <c r="AN2517" s="447">
        <f t="shared" si="555"/>
        <v>0</v>
      </c>
      <c r="AO2517"/>
      <c r="AP2517"/>
    </row>
    <row r="2518" spans="1:42" ht="66" x14ac:dyDescent="0.25">
      <c r="A2518" s="9"/>
      <c r="B2518" s="46" t="s">
        <v>1599</v>
      </c>
      <c r="C2518" s="1024"/>
      <c r="D2518" s="869">
        <v>20</v>
      </c>
      <c r="E2518" s="1027" t="s">
        <v>1721</v>
      </c>
      <c r="F2518" s="273" t="s">
        <v>3446</v>
      </c>
      <c r="G2518" s="1040" t="s">
        <v>3463</v>
      </c>
      <c r="H2518" s="273" t="s">
        <v>3462</v>
      </c>
      <c r="I2518" s="720">
        <f t="shared" si="565"/>
        <v>100.224</v>
      </c>
      <c r="J2518" s="756">
        <v>2004.48</v>
      </c>
      <c r="K2518" s="131">
        <f t="shared" si="554"/>
        <v>2004.48</v>
      </c>
      <c r="L2518" s="335">
        <f t="shared" si="561"/>
        <v>0</v>
      </c>
      <c r="M2518" s="446"/>
      <c r="N2518" s="446"/>
      <c r="O2518" s="446"/>
      <c r="P2518" s="446"/>
      <c r="Q2518" s="110">
        <f t="shared" si="556"/>
        <v>5</v>
      </c>
      <c r="R2518" s="111">
        <f t="shared" si="557"/>
        <v>501.12</v>
      </c>
      <c r="S2518" s="110"/>
      <c r="T2518" s="110"/>
      <c r="U2518" s="110">
        <f t="shared" si="558"/>
        <v>5</v>
      </c>
      <c r="V2518" s="111">
        <f t="shared" si="559"/>
        <v>501.12</v>
      </c>
      <c r="W2518" s="110"/>
      <c r="X2518" s="110"/>
      <c r="Y2518" s="110"/>
      <c r="Z2518" s="110"/>
      <c r="AA2518" s="110">
        <f t="shared" si="560"/>
        <v>5</v>
      </c>
      <c r="AB2518" s="111">
        <f t="shared" si="566"/>
        <v>501.12</v>
      </c>
      <c r="AC2518" s="110"/>
      <c r="AD2518" s="110"/>
      <c r="AE2518" s="110">
        <f t="shared" si="560"/>
        <v>5</v>
      </c>
      <c r="AF2518" s="111">
        <f t="shared" si="567"/>
        <v>501.12</v>
      </c>
      <c r="AG2518" s="110"/>
      <c r="AH2518" s="110"/>
      <c r="AI2518" s="110"/>
      <c r="AJ2518" s="110"/>
      <c r="AK2518" s="111">
        <f t="shared" si="562"/>
        <v>2004.48</v>
      </c>
      <c r="AL2518" s="446">
        <f t="shared" si="563"/>
        <v>0</v>
      </c>
      <c r="AM2518" s="110">
        <f t="shared" si="564"/>
        <v>20</v>
      </c>
      <c r="AN2518" s="447">
        <f t="shared" si="555"/>
        <v>0</v>
      </c>
      <c r="AO2518"/>
      <c r="AP2518"/>
    </row>
    <row r="2519" spans="1:42" ht="66" x14ac:dyDescent="0.25">
      <c r="A2519" s="9"/>
      <c r="B2519" s="46" t="s">
        <v>1600</v>
      </c>
      <c r="C2519" s="1024"/>
      <c r="D2519" s="869">
        <v>5</v>
      </c>
      <c r="E2519" s="1027"/>
      <c r="F2519" s="273" t="s">
        <v>3446</v>
      </c>
      <c r="G2519" s="1040" t="s">
        <v>3463</v>
      </c>
      <c r="H2519" s="273" t="s">
        <v>3462</v>
      </c>
      <c r="I2519" s="720">
        <f t="shared" si="565"/>
        <v>202.95359999999999</v>
      </c>
      <c r="J2519" s="756">
        <v>1014.768</v>
      </c>
      <c r="K2519" s="131">
        <f t="shared" si="554"/>
        <v>1014.768</v>
      </c>
      <c r="L2519" s="335">
        <f t="shared" si="561"/>
        <v>0</v>
      </c>
      <c r="M2519" s="446"/>
      <c r="N2519" s="446"/>
      <c r="O2519" s="446"/>
      <c r="P2519" s="446"/>
      <c r="Q2519" s="110">
        <v>2</v>
      </c>
      <c r="R2519" s="111">
        <f t="shared" si="557"/>
        <v>253.69200000000001</v>
      </c>
      <c r="S2519" s="110"/>
      <c r="T2519" s="110"/>
      <c r="U2519" s="110">
        <v>1</v>
      </c>
      <c r="V2519" s="111">
        <f t="shared" si="559"/>
        <v>253.69200000000001</v>
      </c>
      <c r="W2519" s="110"/>
      <c r="X2519" s="110"/>
      <c r="Y2519" s="110"/>
      <c r="Z2519" s="110"/>
      <c r="AA2519" s="110">
        <v>1</v>
      </c>
      <c r="AB2519" s="111">
        <f t="shared" si="566"/>
        <v>253.69200000000001</v>
      </c>
      <c r="AC2519" s="110"/>
      <c r="AD2519" s="110"/>
      <c r="AE2519" s="110">
        <v>1</v>
      </c>
      <c r="AF2519" s="111">
        <f t="shared" si="567"/>
        <v>253.69200000000001</v>
      </c>
      <c r="AG2519" s="110"/>
      <c r="AH2519" s="110"/>
      <c r="AI2519" s="110"/>
      <c r="AJ2519" s="110"/>
      <c r="AK2519" s="111">
        <f t="shared" si="562"/>
        <v>1014.768</v>
      </c>
      <c r="AL2519" s="446">
        <f t="shared" si="563"/>
        <v>0</v>
      </c>
      <c r="AM2519" s="110">
        <f t="shared" si="564"/>
        <v>5</v>
      </c>
      <c r="AN2519" s="447">
        <f t="shared" si="555"/>
        <v>0</v>
      </c>
      <c r="AO2519"/>
      <c r="AP2519"/>
    </row>
    <row r="2520" spans="1:42" ht="66" x14ac:dyDescent="0.25">
      <c r="A2520" s="9"/>
      <c r="B2520" s="46" t="s">
        <v>1601</v>
      </c>
      <c r="C2520" s="1024"/>
      <c r="D2520" s="869">
        <v>2</v>
      </c>
      <c r="E2520" s="1027"/>
      <c r="F2520" s="273" t="s">
        <v>3446</v>
      </c>
      <c r="G2520" s="1040" t="s">
        <v>3463</v>
      </c>
      <c r="H2520" s="273" t="s">
        <v>3462</v>
      </c>
      <c r="I2520" s="720">
        <f t="shared" si="565"/>
        <v>122.7744</v>
      </c>
      <c r="J2520" s="756">
        <v>245.5488</v>
      </c>
      <c r="K2520" s="131">
        <f t="shared" si="554"/>
        <v>245.5488</v>
      </c>
      <c r="L2520" s="335">
        <f t="shared" si="561"/>
        <v>0</v>
      </c>
      <c r="M2520" s="446"/>
      <c r="N2520" s="446"/>
      <c r="O2520" s="446"/>
      <c r="P2520" s="446"/>
      <c r="Q2520" s="130">
        <v>1</v>
      </c>
      <c r="R2520" s="111">
        <f t="shared" si="557"/>
        <v>61.3872</v>
      </c>
      <c r="S2520" s="110"/>
      <c r="T2520" s="110"/>
      <c r="U2520" s="130">
        <v>1</v>
      </c>
      <c r="V2520" s="111">
        <f t="shared" si="559"/>
        <v>61.3872</v>
      </c>
      <c r="W2520" s="110"/>
      <c r="X2520" s="110"/>
      <c r="Y2520" s="110"/>
      <c r="Z2520" s="110"/>
      <c r="AA2520" s="130">
        <v>0</v>
      </c>
      <c r="AB2520" s="111">
        <f t="shared" si="566"/>
        <v>61.3872</v>
      </c>
      <c r="AC2520" s="110"/>
      <c r="AD2520" s="110"/>
      <c r="AE2520" s="130">
        <v>0</v>
      </c>
      <c r="AF2520" s="111">
        <f t="shared" si="567"/>
        <v>61.3872</v>
      </c>
      <c r="AG2520" s="110"/>
      <c r="AH2520" s="110"/>
      <c r="AI2520" s="110"/>
      <c r="AJ2520" s="110"/>
      <c r="AK2520" s="111">
        <f t="shared" si="562"/>
        <v>245.5488</v>
      </c>
      <c r="AL2520" s="446">
        <f t="shared" si="563"/>
        <v>0</v>
      </c>
      <c r="AM2520" s="110">
        <f t="shared" si="564"/>
        <v>2</v>
      </c>
      <c r="AN2520" s="447">
        <f t="shared" si="555"/>
        <v>0</v>
      </c>
      <c r="AO2520"/>
      <c r="AP2520"/>
    </row>
    <row r="2521" spans="1:42" ht="66" x14ac:dyDescent="0.25">
      <c r="A2521" s="9"/>
      <c r="B2521" s="46" t="s">
        <v>1602</v>
      </c>
      <c r="C2521" s="1024"/>
      <c r="D2521" s="869">
        <v>10</v>
      </c>
      <c r="E2521" s="1027"/>
      <c r="F2521" s="273" t="s">
        <v>3446</v>
      </c>
      <c r="G2521" s="1040" t="s">
        <v>3463</v>
      </c>
      <c r="H2521" s="273" t="s">
        <v>3462</v>
      </c>
      <c r="I2521" s="720">
        <f t="shared" si="565"/>
        <v>417.18239999999997</v>
      </c>
      <c r="J2521" s="756">
        <v>4171.8239999999996</v>
      </c>
      <c r="K2521" s="131">
        <f t="shared" si="554"/>
        <v>4171.8239999999996</v>
      </c>
      <c r="L2521" s="335">
        <f t="shared" si="561"/>
        <v>0</v>
      </c>
      <c r="M2521" s="446"/>
      <c r="N2521" s="446"/>
      <c r="O2521" s="446"/>
      <c r="P2521" s="446"/>
      <c r="Q2521" s="130">
        <v>3</v>
      </c>
      <c r="R2521" s="111">
        <f t="shared" si="557"/>
        <v>1042.9559999999999</v>
      </c>
      <c r="S2521" s="110"/>
      <c r="T2521" s="110"/>
      <c r="U2521" s="130">
        <v>3</v>
      </c>
      <c r="V2521" s="111">
        <f t="shared" si="559"/>
        <v>1042.9559999999999</v>
      </c>
      <c r="W2521" s="110"/>
      <c r="X2521" s="110"/>
      <c r="Y2521" s="110"/>
      <c r="Z2521" s="110"/>
      <c r="AA2521" s="130">
        <v>2</v>
      </c>
      <c r="AB2521" s="111">
        <f t="shared" si="566"/>
        <v>1042.9559999999999</v>
      </c>
      <c r="AC2521" s="110"/>
      <c r="AD2521" s="110"/>
      <c r="AE2521" s="130">
        <v>2</v>
      </c>
      <c r="AF2521" s="111">
        <f t="shared" si="567"/>
        <v>1042.9559999999999</v>
      </c>
      <c r="AG2521" s="110"/>
      <c r="AH2521" s="110"/>
      <c r="AI2521" s="110"/>
      <c r="AJ2521" s="110"/>
      <c r="AK2521" s="111">
        <f t="shared" si="562"/>
        <v>4171.8239999999996</v>
      </c>
      <c r="AL2521" s="446">
        <f t="shared" si="563"/>
        <v>0</v>
      </c>
      <c r="AM2521" s="110">
        <f t="shared" si="564"/>
        <v>10</v>
      </c>
      <c r="AN2521" s="447">
        <f t="shared" si="555"/>
        <v>0</v>
      </c>
      <c r="AO2521"/>
      <c r="AP2521"/>
    </row>
    <row r="2522" spans="1:42" ht="66" x14ac:dyDescent="0.25">
      <c r="A2522" s="9"/>
      <c r="B2522" s="46" t="s">
        <v>1603</v>
      </c>
      <c r="C2522" s="1024"/>
      <c r="D2522" s="869">
        <v>3</v>
      </c>
      <c r="E2522" s="1027"/>
      <c r="F2522" s="273" t="s">
        <v>3446</v>
      </c>
      <c r="G2522" s="1040" t="s">
        <v>3463</v>
      </c>
      <c r="H2522" s="273" t="s">
        <v>3462</v>
      </c>
      <c r="I2522" s="720">
        <f t="shared" si="565"/>
        <v>205.45920000000001</v>
      </c>
      <c r="J2522" s="756">
        <v>616.37760000000003</v>
      </c>
      <c r="K2522" s="131">
        <f t="shared" ref="K2522:K2585" si="568">+D2522*I2522</f>
        <v>616.37760000000003</v>
      </c>
      <c r="L2522" s="335">
        <f t="shared" si="561"/>
        <v>0</v>
      </c>
      <c r="M2522" s="446"/>
      <c r="N2522" s="446"/>
      <c r="O2522" s="446"/>
      <c r="P2522" s="446"/>
      <c r="Q2522" s="130">
        <v>1</v>
      </c>
      <c r="R2522" s="111">
        <f t="shared" si="557"/>
        <v>154.09440000000001</v>
      </c>
      <c r="S2522" s="110"/>
      <c r="T2522" s="110"/>
      <c r="U2522" s="130">
        <v>1</v>
      </c>
      <c r="V2522" s="111">
        <f t="shared" si="559"/>
        <v>154.09440000000001</v>
      </c>
      <c r="W2522" s="110"/>
      <c r="X2522" s="110"/>
      <c r="Y2522" s="110"/>
      <c r="Z2522" s="110"/>
      <c r="AA2522" s="130">
        <v>1</v>
      </c>
      <c r="AB2522" s="111">
        <f t="shared" si="566"/>
        <v>154.09440000000001</v>
      </c>
      <c r="AC2522" s="110"/>
      <c r="AD2522" s="110"/>
      <c r="AE2522" s="130">
        <v>0</v>
      </c>
      <c r="AF2522" s="111">
        <f t="shared" si="567"/>
        <v>154.09440000000001</v>
      </c>
      <c r="AG2522" s="110"/>
      <c r="AH2522" s="110"/>
      <c r="AI2522" s="110"/>
      <c r="AJ2522" s="110"/>
      <c r="AK2522" s="111">
        <f t="shared" si="562"/>
        <v>616.37760000000003</v>
      </c>
      <c r="AL2522" s="446">
        <f t="shared" si="563"/>
        <v>0</v>
      </c>
      <c r="AM2522" s="110">
        <f t="shared" si="564"/>
        <v>3</v>
      </c>
      <c r="AN2522" s="447">
        <f t="shared" ref="AN2522:AN2585" si="569">+D2522-AM2522</f>
        <v>0</v>
      </c>
      <c r="AO2522"/>
      <c r="AP2522"/>
    </row>
    <row r="2523" spans="1:42" ht="66" x14ac:dyDescent="0.25">
      <c r="A2523" s="9"/>
      <c r="B2523" s="124" t="s">
        <v>1604</v>
      </c>
      <c r="C2523" s="1024"/>
      <c r="D2523" s="869">
        <v>5</v>
      </c>
      <c r="E2523" s="1027"/>
      <c r="F2523" s="273" t="s">
        <v>3446</v>
      </c>
      <c r="G2523" s="1040" t="s">
        <v>3463</v>
      </c>
      <c r="H2523" s="273" t="s">
        <v>3462</v>
      </c>
      <c r="I2523" s="720">
        <f t="shared" si="565"/>
        <v>91.454400000000007</v>
      </c>
      <c r="J2523" s="756">
        <v>457.27200000000005</v>
      </c>
      <c r="K2523" s="131">
        <f t="shared" si="568"/>
        <v>457.27200000000005</v>
      </c>
      <c r="L2523" s="335">
        <f t="shared" si="561"/>
        <v>0</v>
      </c>
      <c r="M2523" s="446"/>
      <c r="N2523" s="446"/>
      <c r="O2523" s="446"/>
      <c r="P2523" s="446"/>
      <c r="Q2523" s="110">
        <v>2</v>
      </c>
      <c r="R2523" s="111">
        <f t="shared" si="557"/>
        <v>114.31800000000001</v>
      </c>
      <c r="S2523" s="110"/>
      <c r="T2523" s="110"/>
      <c r="U2523" s="110">
        <v>1</v>
      </c>
      <c r="V2523" s="111">
        <f t="shared" si="559"/>
        <v>114.31800000000001</v>
      </c>
      <c r="W2523" s="110"/>
      <c r="X2523" s="110"/>
      <c r="Y2523" s="110"/>
      <c r="Z2523" s="110"/>
      <c r="AA2523" s="110">
        <v>1</v>
      </c>
      <c r="AB2523" s="111">
        <f t="shared" si="566"/>
        <v>114.31800000000001</v>
      </c>
      <c r="AC2523" s="110"/>
      <c r="AD2523" s="110"/>
      <c r="AE2523" s="110">
        <v>1</v>
      </c>
      <c r="AF2523" s="111">
        <f t="shared" si="567"/>
        <v>114.31800000000001</v>
      </c>
      <c r="AG2523" s="110"/>
      <c r="AH2523" s="110"/>
      <c r="AI2523" s="110"/>
      <c r="AJ2523" s="110"/>
      <c r="AK2523" s="111">
        <f t="shared" si="562"/>
        <v>457.27200000000005</v>
      </c>
      <c r="AL2523" s="446">
        <f t="shared" si="563"/>
        <v>0</v>
      </c>
      <c r="AM2523" s="110">
        <f t="shared" si="564"/>
        <v>5</v>
      </c>
      <c r="AN2523" s="447">
        <f t="shared" si="569"/>
        <v>0</v>
      </c>
      <c r="AO2523"/>
      <c r="AP2523"/>
    </row>
    <row r="2524" spans="1:42" ht="66" x14ac:dyDescent="0.25">
      <c r="A2524" s="9"/>
      <c r="B2524" s="124" t="s">
        <v>1605</v>
      </c>
      <c r="C2524" s="1024"/>
      <c r="D2524" s="869">
        <v>5</v>
      </c>
      <c r="E2524" s="1027"/>
      <c r="F2524" s="273" t="s">
        <v>3446</v>
      </c>
      <c r="G2524" s="1040" t="s">
        <v>3463</v>
      </c>
      <c r="H2524" s="273" t="s">
        <v>3462</v>
      </c>
      <c r="I2524" s="720">
        <f t="shared" si="565"/>
        <v>80.179200000000009</v>
      </c>
      <c r="J2524" s="756">
        <v>400.89600000000007</v>
      </c>
      <c r="K2524" s="131">
        <f t="shared" si="568"/>
        <v>400.89600000000007</v>
      </c>
      <c r="L2524" s="335">
        <f t="shared" si="561"/>
        <v>0</v>
      </c>
      <c r="M2524" s="446"/>
      <c r="N2524" s="446"/>
      <c r="O2524" s="446"/>
      <c r="P2524" s="446"/>
      <c r="Q2524" s="110">
        <v>2</v>
      </c>
      <c r="R2524" s="111">
        <f t="shared" si="557"/>
        <v>100.22400000000002</v>
      </c>
      <c r="S2524" s="110"/>
      <c r="T2524" s="110"/>
      <c r="U2524" s="110">
        <v>1</v>
      </c>
      <c r="V2524" s="111">
        <f t="shared" si="559"/>
        <v>100.22400000000002</v>
      </c>
      <c r="W2524" s="110"/>
      <c r="X2524" s="110"/>
      <c r="Y2524" s="110"/>
      <c r="Z2524" s="110"/>
      <c r="AA2524" s="110">
        <v>1</v>
      </c>
      <c r="AB2524" s="111">
        <f t="shared" si="566"/>
        <v>100.22400000000002</v>
      </c>
      <c r="AC2524" s="110"/>
      <c r="AD2524" s="110"/>
      <c r="AE2524" s="110">
        <v>1</v>
      </c>
      <c r="AF2524" s="111">
        <f t="shared" si="567"/>
        <v>100.22400000000002</v>
      </c>
      <c r="AG2524" s="110"/>
      <c r="AH2524" s="110"/>
      <c r="AI2524" s="110"/>
      <c r="AJ2524" s="110"/>
      <c r="AK2524" s="111">
        <f t="shared" si="562"/>
        <v>400.89600000000007</v>
      </c>
      <c r="AL2524" s="446">
        <f t="shared" si="563"/>
        <v>0</v>
      </c>
      <c r="AM2524" s="110">
        <f t="shared" si="564"/>
        <v>5</v>
      </c>
      <c r="AN2524" s="447">
        <f t="shared" si="569"/>
        <v>0</v>
      </c>
      <c r="AO2524"/>
      <c r="AP2524"/>
    </row>
    <row r="2525" spans="1:42" ht="66" x14ac:dyDescent="0.25">
      <c r="A2525" s="9"/>
      <c r="B2525" s="124" t="s">
        <v>1606</v>
      </c>
      <c r="C2525" s="1024"/>
      <c r="D2525" s="869">
        <v>5</v>
      </c>
      <c r="E2525" s="1027"/>
      <c r="F2525" s="273" t="s">
        <v>3446</v>
      </c>
      <c r="G2525" s="1040" t="s">
        <v>3463</v>
      </c>
      <c r="H2525" s="273" t="s">
        <v>3462</v>
      </c>
      <c r="I2525" s="720">
        <f t="shared" si="565"/>
        <v>65.145600000000002</v>
      </c>
      <c r="J2525" s="756">
        <v>325.72800000000001</v>
      </c>
      <c r="K2525" s="131">
        <f t="shared" si="568"/>
        <v>325.72800000000001</v>
      </c>
      <c r="L2525" s="335">
        <f t="shared" si="561"/>
        <v>0</v>
      </c>
      <c r="M2525" s="446"/>
      <c r="N2525" s="446"/>
      <c r="O2525" s="446"/>
      <c r="P2525" s="446"/>
      <c r="Q2525" s="110">
        <v>2</v>
      </c>
      <c r="R2525" s="111">
        <f t="shared" si="557"/>
        <v>81.432000000000002</v>
      </c>
      <c r="S2525" s="110"/>
      <c r="T2525" s="110"/>
      <c r="U2525" s="110">
        <v>1</v>
      </c>
      <c r="V2525" s="111">
        <f t="shared" si="559"/>
        <v>81.432000000000002</v>
      </c>
      <c r="W2525" s="110"/>
      <c r="X2525" s="110"/>
      <c r="Y2525" s="110"/>
      <c r="Z2525" s="110"/>
      <c r="AA2525" s="110">
        <v>1</v>
      </c>
      <c r="AB2525" s="111">
        <f t="shared" si="566"/>
        <v>81.432000000000002</v>
      </c>
      <c r="AC2525" s="110"/>
      <c r="AD2525" s="110"/>
      <c r="AE2525" s="110">
        <v>1</v>
      </c>
      <c r="AF2525" s="111">
        <f t="shared" si="567"/>
        <v>81.432000000000002</v>
      </c>
      <c r="AG2525" s="110"/>
      <c r="AH2525" s="110"/>
      <c r="AI2525" s="110"/>
      <c r="AJ2525" s="110"/>
      <c r="AK2525" s="111">
        <f t="shared" si="562"/>
        <v>325.72800000000001</v>
      </c>
      <c r="AL2525" s="446">
        <f t="shared" si="563"/>
        <v>0</v>
      </c>
      <c r="AM2525" s="110">
        <f t="shared" si="564"/>
        <v>5</v>
      </c>
      <c r="AN2525" s="447">
        <f t="shared" si="569"/>
        <v>0</v>
      </c>
      <c r="AO2525"/>
      <c r="AP2525"/>
    </row>
    <row r="2526" spans="1:42" ht="66" x14ac:dyDescent="0.25">
      <c r="A2526" s="9"/>
      <c r="B2526" s="124" t="s">
        <v>1607</v>
      </c>
      <c r="C2526" s="1024"/>
      <c r="D2526" s="869">
        <v>10</v>
      </c>
      <c r="E2526" s="1027"/>
      <c r="F2526" s="273" t="s">
        <v>3446</v>
      </c>
      <c r="G2526" s="1040" t="s">
        <v>3463</v>
      </c>
      <c r="H2526" s="273" t="s">
        <v>3462</v>
      </c>
      <c r="I2526" s="720">
        <f t="shared" si="565"/>
        <v>117.76320000000001</v>
      </c>
      <c r="J2526" s="756">
        <v>1177.6320000000001</v>
      </c>
      <c r="K2526" s="131">
        <f t="shared" si="568"/>
        <v>1177.6320000000001</v>
      </c>
      <c r="L2526" s="335">
        <f t="shared" si="561"/>
        <v>0</v>
      </c>
      <c r="M2526" s="446"/>
      <c r="N2526" s="446"/>
      <c r="O2526" s="446"/>
      <c r="P2526" s="446"/>
      <c r="Q2526" s="130">
        <v>3</v>
      </c>
      <c r="R2526" s="111">
        <f t="shared" si="557"/>
        <v>294.40800000000002</v>
      </c>
      <c r="S2526" s="110"/>
      <c r="T2526" s="110"/>
      <c r="U2526" s="130">
        <v>3</v>
      </c>
      <c r="V2526" s="111">
        <f t="shared" si="559"/>
        <v>294.40800000000002</v>
      </c>
      <c r="W2526" s="110"/>
      <c r="X2526" s="110"/>
      <c r="Y2526" s="110"/>
      <c r="Z2526" s="110"/>
      <c r="AA2526" s="130">
        <v>2</v>
      </c>
      <c r="AB2526" s="111">
        <f t="shared" si="566"/>
        <v>294.40800000000002</v>
      </c>
      <c r="AC2526" s="110"/>
      <c r="AD2526" s="110"/>
      <c r="AE2526" s="130">
        <v>2</v>
      </c>
      <c r="AF2526" s="111">
        <f t="shared" si="567"/>
        <v>294.40800000000002</v>
      </c>
      <c r="AG2526" s="110"/>
      <c r="AH2526" s="110"/>
      <c r="AI2526" s="110"/>
      <c r="AJ2526" s="110"/>
      <c r="AK2526" s="111">
        <f t="shared" si="562"/>
        <v>1177.6320000000001</v>
      </c>
      <c r="AL2526" s="446">
        <f t="shared" si="563"/>
        <v>0</v>
      </c>
      <c r="AM2526" s="110">
        <f t="shared" si="564"/>
        <v>10</v>
      </c>
      <c r="AN2526" s="447">
        <f t="shared" si="569"/>
        <v>0</v>
      </c>
      <c r="AO2526"/>
      <c r="AP2526"/>
    </row>
    <row r="2527" spans="1:42" ht="66" x14ac:dyDescent="0.25">
      <c r="A2527" s="9"/>
      <c r="B2527" s="124" t="s">
        <v>1608</v>
      </c>
      <c r="C2527" s="1024"/>
      <c r="D2527" s="869">
        <v>5</v>
      </c>
      <c r="E2527" s="1027"/>
      <c r="F2527" s="273" t="s">
        <v>3446</v>
      </c>
      <c r="G2527" s="1040" t="s">
        <v>3463</v>
      </c>
      <c r="H2527" s="273" t="s">
        <v>3462</v>
      </c>
      <c r="I2527" s="720">
        <f t="shared" si="565"/>
        <v>196.68960000000001</v>
      </c>
      <c r="J2527" s="756">
        <v>983.44800000000009</v>
      </c>
      <c r="K2527" s="131">
        <f t="shared" si="568"/>
        <v>983.44800000000009</v>
      </c>
      <c r="L2527" s="335">
        <f t="shared" si="561"/>
        <v>0</v>
      </c>
      <c r="M2527" s="446"/>
      <c r="N2527" s="446"/>
      <c r="O2527" s="446"/>
      <c r="P2527" s="446"/>
      <c r="Q2527" s="110">
        <v>2</v>
      </c>
      <c r="R2527" s="111">
        <f t="shared" si="557"/>
        <v>245.86200000000002</v>
      </c>
      <c r="S2527" s="110"/>
      <c r="T2527" s="110"/>
      <c r="U2527" s="110">
        <v>1</v>
      </c>
      <c r="V2527" s="111">
        <f t="shared" si="559"/>
        <v>245.86200000000002</v>
      </c>
      <c r="W2527" s="110"/>
      <c r="X2527" s="110"/>
      <c r="Y2527" s="110"/>
      <c r="Z2527" s="110"/>
      <c r="AA2527" s="110">
        <v>1</v>
      </c>
      <c r="AB2527" s="111">
        <f t="shared" si="566"/>
        <v>245.86200000000002</v>
      </c>
      <c r="AC2527" s="110"/>
      <c r="AD2527" s="110"/>
      <c r="AE2527" s="110">
        <v>1</v>
      </c>
      <c r="AF2527" s="111">
        <f t="shared" si="567"/>
        <v>245.86200000000002</v>
      </c>
      <c r="AG2527" s="110"/>
      <c r="AH2527" s="110"/>
      <c r="AI2527" s="110"/>
      <c r="AJ2527" s="110"/>
      <c r="AK2527" s="111">
        <f t="shared" si="562"/>
        <v>983.44800000000009</v>
      </c>
      <c r="AL2527" s="446">
        <f t="shared" si="563"/>
        <v>0</v>
      </c>
      <c r="AM2527" s="110">
        <f t="shared" si="564"/>
        <v>5</v>
      </c>
      <c r="AN2527" s="447">
        <f t="shared" si="569"/>
        <v>0</v>
      </c>
      <c r="AO2527"/>
      <c r="AP2527"/>
    </row>
    <row r="2528" spans="1:42" ht="66" x14ac:dyDescent="0.25">
      <c r="A2528" s="9"/>
      <c r="B2528" s="124" t="s">
        <v>1609</v>
      </c>
      <c r="C2528" s="1024"/>
      <c r="D2528" s="869">
        <v>121</v>
      </c>
      <c r="E2528" s="1027"/>
      <c r="F2528" s="273" t="s">
        <v>3446</v>
      </c>
      <c r="G2528" s="1040" t="s">
        <v>3463</v>
      </c>
      <c r="H2528" s="273" t="s">
        <v>3462</v>
      </c>
      <c r="I2528" s="720">
        <f t="shared" si="565"/>
        <v>114.0048</v>
      </c>
      <c r="J2528" s="756">
        <v>13794.5808</v>
      </c>
      <c r="K2528" s="131">
        <f t="shared" si="568"/>
        <v>13794.5808</v>
      </c>
      <c r="L2528" s="335">
        <f t="shared" si="561"/>
        <v>0</v>
      </c>
      <c r="M2528" s="446"/>
      <c r="N2528" s="446"/>
      <c r="O2528" s="446"/>
      <c r="P2528" s="446"/>
      <c r="Q2528" s="110">
        <v>31</v>
      </c>
      <c r="R2528" s="111">
        <f t="shared" si="557"/>
        <v>3448.6451999999999</v>
      </c>
      <c r="S2528" s="110"/>
      <c r="T2528" s="110"/>
      <c r="U2528" s="110">
        <v>31</v>
      </c>
      <c r="V2528" s="111">
        <f t="shared" si="559"/>
        <v>3448.6451999999999</v>
      </c>
      <c r="W2528" s="110"/>
      <c r="X2528" s="110"/>
      <c r="Y2528" s="110"/>
      <c r="Z2528" s="110"/>
      <c r="AA2528" s="110">
        <v>30</v>
      </c>
      <c r="AB2528" s="111">
        <f t="shared" si="566"/>
        <v>3448.6451999999999</v>
      </c>
      <c r="AC2528" s="110"/>
      <c r="AD2528" s="110"/>
      <c r="AE2528" s="110">
        <v>29</v>
      </c>
      <c r="AF2528" s="111">
        <f t="shared" si="567"/>
        <v>3448.6451999999999</v>
      </c>
      <c r="AG2528" s="110"/>
      <c r="AH2528" s="110"/>
      <c r="AI2528" s="110"/>
      <c r="AJ2528" s="110"/>
      <c r="AK2528" s="111">
        <f t="shared" si="562"/>
        <v>13794.5808</v>
      </c>
      <c r="AL2528" s="446">
        <f t="shared" si="563"/>
        <v>0</v>
      </c>
      <c r="AM2528" s="110">
        <f t="shared" si="564"/>
        <v>121</v>
      </c>
      <c r="AN2528" s="447">
        <f t="shared" si="569"/>
        <v>0</v>
      </c>
      <c r="AO2528"/>
      <c r="AP2528"/>
    </row>
    <row r="2529" spans="1:42" ht="66" x14ac:dyDescent="0.25">
      <c r="A2529" s="9"/>
      <c r="B2529" s="124" t="s">
        <v>1610</v>
      </c>
      <c r="C2529" s="1024"/>
      <c r="D2529" s="869">
        <v>5</v>
      </c>
      <c r="E2529" s="1027"/>
      <c r="F2529" s="273" t="s">
        <v>3446</v>
      </c>
      <c r="G2529" s="1040" t="s">
        <v>3463</v>
      </c>
      <c r="H2529" s="273" t="s">
        <v>3462</v>
      </c>
      <c r="I2529" s="720">
        <f t="shared" si="565"/>
        <v>218.01040000000003</v>
      </c>
      <c r="J2529" s="756">
        <v>1090.0520000000001</v>
      </c>
      <c r="K2529" s="131">
        <f t="shared" si="568"/>
        <v>1090.0520000000001</v>
      </c>
      <c r="L2529" s="335">
        <f t="shared" si="561"/>
        <v>0</v>
      </c>
      <c r="M2529" s="446"/>
      <c r="N2529" s="446"/>
      <c r="O2529" s="446"/>
      <c r="P2529" s="446"/>
      <c r="Q2529" s="110">
        <v>2</v>
      </c>
      <c r="R2529" s="111">
        <f t="shared" si="557"/>
        <v>272.51300000000003</v>
      </c>
      <c r="S2529" s="110"/>
      <c r="T2529" s="110"/>
      <c r="U2529" s="110">
        <v>1</v>
      </c>
      <c r="V2529" s="111">
        <f t="shared" si="559"/>
        <v>272.51300000000003</v>
      </c>
      <c r="W2529" s="110"/>
      <c r="X2529" s="110"/>
      <c r="Y2529" s="110"/>
      <c r="Z2529" s="110"/>
      <c r="AA2529" s="110">
        <v>1</v>
      </c>
      <c r="AB2529" s="111">
        <f t="shared" si="566"/>
        <v>272.51300000000003</v>
      </c>
      <c r="AC2529" s="110"/>
      <c r="AD2529" s="110"/>
      <c r="AE2529" s="110">
        <v>1</v>
      </c>
      <c r="AF2529" s="111">
        <f t="shared" si="567"/>
        <v>272.51300000000003</v>
      </c>
      <c r="AG2529" s="110"/>
      <c r="AH2529" s="110"/>
      <c r="AI2529" s="110"/>
      <c r="AJ2529" s="110"/>
      <c r="AK2529" s="111">
        <f t="shared" si="562"/>
        <v>1090.0520000000001</v>
      </c>
      <c r="AL2529" s="446">
        <f t="shared" si="563"/>
        <v>0</v>
      </c>
      <c r="AM2529" s="110">
        <f t="shared" si="564"/>
        <v>5</v>
      </c>
      <c r="AN2529" s="447">
        <f t="shared" si="569"/>
        <v>0</v>
      </c>
      <c r="AO2529"/>
      <c r="AP2529"/>
    </row>
    <row r="2530" spans="1:42" ht="66" x14ac:dyDescent="0.25">
      <c r="A2530" s="9"/>
      <c r="B2530" s="124" t="s">
        <v>1611</v>
      </c>
      <c r="C2530" s="1024"/>
      <c r="D2530" s="869">
        <v>5</v>
      </c>
      <c r="E2530" s="1027"/>
      <c r="F2530" s="273" t="s">
        <v>3446</v>
      </c>
      <c r="G2530" s="1040" t="s">
        <v>3463</v>
      </c>
      <c r="H2530" s="273" t="s">
        <v>3462</v>
      </c>
      <c r="I2530" s="720">
        <f t="shared" si="565"/>
        <v>132.79680000000002</v>
      </c>
      <c r="J2530" s="756">
        <v>663.98400000000015</v>
      </c>
      <c r="K2530" s="131">
        <f t="shared" si="568"/>
        <v>663.98400000000015</v>
      </c>
      <c r="L2530" s="335">
        <f t="shared" si="561"/>
        <v>0</v>
      </c>
      <c r="M2530" s="446"/>
      <c r="N2530" s="446"/>
      <c r="O2530" s="446"/>
      <c r="P2530" s="446"/>
      <c r="Q2530" s="110">
        <v>2</v>
      </c>
      <c r="R2530" s="111">
        <f t="shared" si="557"/>
        <v>165.99600000000004</v>
      </c>
      <c r="S2530" s="110"/>
      <c r="T2530" s="110"/>
      <c r="U2530" s="110">
        <v>1</v>
      </c>
      <c r="V2530" s="111">
        <f t="shared" si="559"/>
        <v>165.99600000000004</v>
      </c>
      <c r="W2530" s="110"/>
      <c r="X2530" s="110"/>
      <c r="Y2530" s="110"/>
      <c r="Z2530" s="110"/>
      <c r="AA2530" s="110">
        <v>1</v>
      </c>
      <c r="AB2530" s="111">
        <f t="shared" si="566"/>
        <v>165.99600000000004</v>
      </c>
      <c r="AC2530" s="110"/>
      <c r="AD2530" s="110"/>
      <c r="AE2530" s="110">
        <v>1</v>
      </c>
      <c r="AF2530" s="111">
        <f t="shared" si="567"/>
        <v>165.99600000000004</v>
      </c>
      <c r="AG2530" s="110"/>
      <c r="AH2530" s="110"/>
      <c r="AI2530" s="110"/>
      <c r="AJ2530" s="110"/>
      <c r="AK2530" s="111">
        <f t="shared" si="562"/>
        <v>663.98400000000015</v>
      </c>
      <c r="AL2530" s="446">
        <f t="shared" si="563"/>
        <v>0</v>
      </c>
      <c r="AM2530" s="110">
        <f t="shared" si="564"/>
        <v>5</v>
      </c>
      <c r="AN2530" s="447">
        <f t="shared" si="569"/>
        <v>0</v>
      </c>
      <c r="AO2530"/>
      <c r="AP2530"/>
    </row>
    <row r="2531" spans="1:42" ht="66" x14ac:dyDescent="0.25">
      <c r="A2531" s="9"/>
      <c r="B2531" s="124" t="s">
        <v>1612</v>
      </c>
      <c r="C2531" s="1024"/>
      <c r="D2531" s="869">
        <v>10</v>
      </c>
      <c r="E2531" s="1027"/>
      <c r="F2531" s="273" t="s">
        <v>3446</v>
      </c>
      <c r="G2531" s="1040" t="s">
        <v>3463</v>
      </c>
      <c r="H2531" s="273" t="s">
        <v>3462</v>
      </c>
      <c r="I2531" s="720">
        <f t="shared" si="565"/>
        <v>38.709199999999996</v>
      </c>
      <c r="J2531" s="756">
        <v>387.09199999999998</v>
      </c>
      <c r="K2531" s="131">
        <f t="shared" si="568"/>
        <v>387.09199999999998</v>
      </c>
      <c r="L2531" s="335">
        <f t="shared" si="561"/>
        <v>0</v>
      </c>
      <c r="M2531" s="446"/>
      <c r="N2531" s="446"/>
      <c r="O2531" s="446"/>
      <c r="P2531" s="446"/>
      <c r="Q2531" s="130">
        <v>3</v>
      </c>
      <c r="R2531" s="111">
        <f t="shared" si="557"/>
        <v>96.772999999999996</v>
      </c>
      <c r="S2531" s="110"/>
      <c r="T2531" s="110"/>
      <c r="U2531" s="130">
        <v>3</v>
      </c>
      <c r="V2531" s="111">
        <f t="shared" si="559"/>
        <v>96.772999999999996</v>
      </c>
      <c r="W2531" s="110"/>
      <c r="X2531" s="110"/>
      <c r="Y2531" s="110"/>
      <c r="Z2531" s="110"/>
      <c r="AA2531" s="130">
        <v>2</v>
      </c>
      <c r="AB2531" s="111">
        <f t="shared" si="566"/>
        <v>96.772999999999996</v>
      </c>
      <c r="AC2531" s="110"/>
      <c r="AD2531" s="110"/>
      <c r="AE2531" s="130">
        <v>2</v>
      </c>
      <c r="AF2531" s="111">
        <f t="shared" si="567"/>
        <v>96.772999999999996</v>
      </c>
      <c r="AG2531" s="110"/>
      <c r="AH2531" s="110"/>
      <c r="AI2531" s="110"/>
      <c r="AJ2531" s="110"/>
      <c r="AK2531" s="111">
        <f t="shared" si="562"/>
        <v>387.09199999999998</v>
      </c>
      <c r="AL2531" s="446">
        <f t="shared" si="563"/>
        <v>0</v>
      </c>
      <c r="AM2531" s="110">
        <f t="shared" si="564"/>
        <v>10</v>
      </c>
      <c r="AN2531" s="447">
        <f t="shared" si="569"/>
        <v>0</v>
      </c>
      <c r="AO2531"/>
      <c r="AP2531"/>
    </row>
    <row r="2532" spans="1:42" ht="66" x14ac:dyDescent="0.25">
      <c r="A2532" s="9"/>
      <c r="B2532" s="124" t="s">
        <v>1613</v>
      </c>
      <c r="C2532" s="1024"/>
      <c r="D2532" s="869">
        <v>10</v>
      </c>
      <c r="E2532" s="1027"/>
      <c r="F2532" s="273" t="s">
        <v>3446</v>
      </c>
      <c r="G2532" s="1040" t="s">
        <v>3463</v>
      </c>
      <c r="H2532" s="273" t="s">
        <v>3462</v>
      </c>
      <c r="I2532" s="720">
        <f t="shared" si="565"/>
        <v>38.836799999999997</v>
      </c>
      <c r="J2532" s="756">
        <v>388.36799999999994</v>
      </c>
      <c r="K2532" s="131">
        <f t="shared" si="568"/>
        <v>388.36799999999994</v>
      </c>
      <c r="L2532" s="335">
        <f t="shared" si="561"/>
        <v>0</v>
      </c>
      <c r="M2532" s="446"/>
      <c r="N2532" s="446"/>
      <c r="O2532" s="446"/>
      <c r="P2532" s="446"/>
      <c r="Q2532" s="130">
        <v>3</v>
      </c>
      <c r="R2532" s="111">
        <f t="shared" si="557"/>
        <v>97.091999999999985</v>
      </c>
      <c r="S2532" s="110"/>
      <c r="T2532" s="110"/>
      <c r="U2532" s="130">
        <v>3</v>
      </c>
      <c r="V2532" s="111">
        <f t="shared" si="559"/>
        <v>97.091999999999985</v>
      </c>
      <c r="W2532" s="110"/>
      <c r="X2532" s="110"/>
      <c r="Y2532" s="110"/>
      <c r="Z2532" s="110"/>
      <c r="AA2532" s="130">
        <v>2</v>
      </c>
      <c r="AB2532" s="111">
        <f t="shared" si="566"/>
        <v>97.091999999999985</v>
      </c>
      <c r="AC2532" s="110"/>
      <c r="AD2532" s="110"/>
      <c r="AE2532" s="130">
        <v>2</v>
      </c>
      <c r="AF2532" s="111">
        <f t="shared" si="567"/>
        <v>97.091999999999985</v>
      </c>
      <c r="AG2532" s="110"/>
      <c r="AH2532" s="110"/>
      <c r="AI2532" s="110"/>
      <c r="AJ2532" s="110"/>
      <c r="AK2532" s="111">
        <f t="shared" si="562"/>
        <v>388.36799999999994</v>
      </c>
      <c r="AL2532" s="446">
        <f t="shared" si="563"/>
        <v>0</v>
      </c>
      <c r="AM2532" s="110">
        <f t="shared" si="564"/>
        <v>10</v>
      </c>
      <c r="AN2532" s="447">
        <f t="shared" si="569"/>
        <v>0</v>
      </c>
      <c r="AO2532"/>
      <c r="AP2532"/>
    </row>
    <row r="2533" spans="1:42" ht="66" x14ac:dyDescent="0.25">
      <c r="A2533" s="9"/>
      <c r="B2533" s="214" t="s">
        <v>2108</v>
      </c>
      <c r="C2533" s="1024"/>
      <c r="D2533" s="869">
        <v>3</v>
      </c>
      <c r="E2533" s="1027" t="s">
        <v>1722</v>
      </c>
      <c r="F2533" s="273" t="s">
        <v>3446</v>
      </c>
      <c r="G2533" s="1040" t="s">
        <v>3463</v>
      </c>
      <c r="H2533" s="273" t="s">
        <v>3462</v>
      </c>
      <c r="I2533" s="720">
        <f t="shared" si="565"/>
        <v>150</v>
      </c>
      <c r="J2533" s="756">
        <v>450</v>
      </c>
      <c r="K2533" s="131">
        <f t="shared" si="568"/>
        <v>450</v>
      </c>
      <c r="L2533" s="335">
        <f t="shared" si="561"/>
        <v>0</v>
      </c>
      <c r="M2533" s="446"/>
      <c r="N2533" s="446"/>
      <c r="O2533" s="446"/>
      <c r="P2533" s="446"/>
      <c r="Q2533" s="130">
        <v>1</v>
      </c>
      <c r="R2533" s="111">
        <f t="shared" si="557"/>
        <v>112.5</v>
      </c>
      <c r="S2533" s="110"/>
      <c r="T2533" s="110"/>
      <c r="U2533" s="130">
        <v>1</v>
      </c>
      <c r="V2533" s="111">
        <f t="shared" si="559"/>
        <v>112.5</v>
      </c>
      <c r="W2533" s="110"/>
      <c r="X2533" s="110"/>
      <c r="Y2533" s="110"/>
      <c r="Z2533" s="110"/>
      <c r="AA2533" s="130">
        <v>1</v>
      </c>
      <c r="AB2533" s="111">
        <f t="shared" si="566"/>
        <v>112.5</v>
      </c>
      <c r="AC2533" s="110"/>
      <c r="AD2533" s="110"/>
      <c r="AE2533" s="130">
        <v>0</v>
      </c>
      <c r="AF2533" s="111">
        <f t="shared" si="567"/>
        <v>112.5</v>
      </c>
      <c r="AG2533" s="110"/>
      <c r="AH2533" s="110"/>
      <c r="AI2533" s="110"/>
      <c r="AJ2533" s="110"/>
      <c r="AK2533" s="111">
        <f t="shared" si="562"/>
        <v>450</v>
      </c>
      <c r="AL2533" s="446">
        <f t="shared" si="563"/>
        <v>0</v>
      </c>
      <c r="AM2533" s="110">
        <f t="shared" si="564"/>
        <v>3</v>
      </c>
      <c r="AN2533" s="447">
        <f t="shared" si="569"/>
        <v>0</v>
      </c>
      <c r="AO2533"/>
      <c r="AP2533"/>
    </row>
    <row r="2534" spans="1:42" ht="66" x14ac:dyDescent="0.25">
      <c r="A2534" s="9"/>
      <c r="B2534" s="214" t="s">
        <v>2109</v>
      </c>
      <c r="C2534" s="1024"/>
      <c r="D2534" s="869">
        <v>3</v>
      </c>
      <c r="E2534" s="1027" t="s">
        <v>1722</v>
      </c>
      <c r="F2534" s="273" t="s">
        <v>3446</v>
      </c>
      <c r="G2534" s="1040" t="s">
        <v>3463</v>
      </c>
      <c r="H2534" s="273" t="s">
        <v>3462</v>
      </c>
      <c r="I2534" s="720">
        <f t="shared" si="565"/>
        <v>133</v>
      </c>
      <c r="J2534" s="756">
        <v>399</v>
      </c>
      <c r="K2534" s="131">
        <f t="shared" si="568"/>
        <v>399</v>
      </c>
      <c r="L2534" s="335">
        <f t="shared" si="561"/>
        <v>0</v>
      </c>
      <c r="M2534" s="446"/>
      <c r="N2534" s="446"/>
      <c r="O2534" s="446"/>
      <c r="P2534" s="446"/>
      <c r="Q2534" s="130">
        <v>1</v>
      </c>
      <c r="R2534" s="111">
        <f t="shared" si="557"/>
        <v>99.75</v>
      </c>
      <c r="S2534" s="110"/>
      <c r="T2534" s="110"/>
      <c r="U2534" s="130">
        <v>1</v>
      </c>
      <c r="V2534" s="111">
        <f t="shared" si="559"/>
        <v>99.75</v>
      </c>
      <c r="W2534" s="110"/>
      <c r="X2534" s="110"/>
      <c r="Y2534" s="110"/>
      <c r="Z2534" s="110"/>
      <c r="AA2534" s="130">
        <v>1</v>
      </c>
      <c r="AB2534" s="111">
        <f t="shared" si="566"/>
        <v>99.75</v>
      </c>
      <c r="AC2534" s="110"/>
      <c r="AD2534" s="110"/>
      <c r="AE2534" s="130">
        <v>0</v>
      </c>
      <c r="AF2534" s="111">
        <f t="shared" si="567"/>
        <v>99.75</v>
      </c>
      <c r="AG2534" s="110"/>
      <c r="AH2534" s="110"/>
      <c r="AI2534" s="110"/>
      <c r="AJ2534" s="110"/>
      <c r="AK2534" s="111">
        <f t="shared" si="562"/>
        <v>399</v>
      </c>
      <c r="AL2534" s="446">
        <f t="shared" si="563"/>
        <v>0</v>
      </c>
      <c r="AM2534" s="110">
        <f t="shared" si="564"/>
        <v>3</v>
      </c>
      <c r="AN2534" s="447">
        <f t="shared" si="569"/>
        <v>0</v>
      </c>
      <c r="AO2534"/>
      <c r="AP2534"/>
    </row>
    <row r="2535" spans="1:42" ht="66" x14ac:dyDescent="0.25">
      <c r="A2535" s="9"/>
      <c r="B2535" s="214" t="s">
        <v>2110</v>
      </c>
      <c r="C2535" s="1024"/>
      <c r="D2535" s="869">
        <v>3</v>
      </c>
      <c r="E2535" s="1027" t="s">
        <v>1722</v>
      </c>
      <c r="F2535" s="273" t="s">
        <v>3446</v>
      </c>
      <c r="G2535" s="1040" t="s">
        <v>3463</v>
      </c>
      <c r="H2535" s="273" t="s">
        <v>3462</v>
      </c>
      <c r="I2535" s="720">
        <f t="shared" si="565"/>
        <v>148</v>
      </c>
      <c r="J2535" s="756">
        <v>444</v>
      </c>
      <c r="K2535" s="131">
        <f t="shared" si="568"/>
        <v>444</v>
      </c>
      <c r="L2535" s="335">
        <f t="shared" si="561"/>
        <v>0</v>
      </c>
      <c r="M2535" s="446"/>
      <c r="N2535" s="446"/>
      <c r="O2535" s="446"/>
      <c r="P2535" s="446"/>
      <c r="Q2535" s="130">
        <v>1</v>
      </c>
      <c r="R2535" s="111">
        <f t="shared" si="557"/>
        <v>111</v>
      </c>
      <c r="S2535" s="110"/>
      <c r="T2535" s="110"/>
      <c r="U2535" s="130">
        <v>1</v>
      </c>
      <c r="V2535" s="111">
        <f t="shared" si="559"/>
        <v>111</v>
      </c>
      <c r="W2535" s="110"/>
      <c r="X2535" s="110"/>
      <c r="Y2535" s="110"/>
      <c r="Z2535" s="110"/>
      <c r="AA2535" s="130">
        <v>1</v>
      </c>
      <c r="AB2535" s="111">
        <f t="shared" si="566"/>
        <v>111</v>
      </c>
      <c r="AC2535" s="110"/>
      <c r="AD2535" s="110"/>
      <c r="AE2535" s="130">
        <v>0</v>
      </c>
      <c r="AF2535" s="111">
        <f t="shared" si="567"/>
        <v>111</v>
      </c>
      <c r="AG2535" s="110"/>
      <c r="AH2535" s="110"/>
      <c r="AI2535" s="110"/>
      <c r="AJ2535" s="110"/>
      <c r="AK2535" s="111">
        <f t="shared" si="562"/>
        <v>444</v>
      </c>
      <c r="AL2535" s="446">
        <f t="shared" si="563"/>
        <v>0</v>
      </c>
      <c r="AM2535" s="110">
        <f t="shared" si="564"/>
        <v>3</v>
      </c>
      <c r="AN2535" s="447">
        <f t="shared" si="569"/>
        <v>0</v>
      </c>
      <c r="AO2535"/>
      <c r="AP2535"/>
    </row>
    <row r="2536" spans="1:42" ht="66" x14ac:dyDescent="0.25">
      <c r="A2536" s="9"/>
      <c r="B2536" s="214" t="s">
        <v>2111</v>
      </c>
      <c r="C2536" s="1024"/>
      <c r="D2536" s="869">
        <v>3</v>
      </c>
      <c r="E2536" s="1027" t="s">
        <v>1722</v>
      </c>
      <c r="F2536" s="273" t="s">
        <v>3446</v>
      </c>
      <c r="G2536" s="1040" t="s">
        <v>3463</v>
      </c>
      <c r="H2536" s="273" t="s">
        <v>3462</v>
      </c>
      <c r="I2536" s="720">
        <f t="shared" si="565"/>
        <v>257</v>
      </c>
      <c r="J2536" s="756">
        <v>771</v>
      </c>
      <c r="K2536" s="131">
        <f t="shared" si="568"/>
        <v>771</v>
      </c>
      <c r="L2536" s="335">
        <f t="shared" si="561"/>
        <v>0</v>
      </c>
      <c r="M2536" s="446"/>
      <c r="N2536" s="446"/>
      <c r="O2536" s="446"/>
      <c r="P2536" s="446"/>
      <c r="Q2536" s="130">
        <v>1</v>
      </c>
      <c r="R2536" s="111">
        <f t="shared" si="557"/>
        <v>192.75</v>
      </c>
      <c r="S2536" s="110"/>
      <c r="T2536" s="110"/>
      <c r="U2536" s="130">
        <v>1</v>
      </c>
      <c r="V2536" s="111">
        <f t="shared" si="559"/>
        <v>192.75</v>
      </c>
      <c r="W2536" s="110"/>
      <c r="X2536" s="110"/>
      <c r="Y2536" s="110"/>
      <c r="Z2536" s="110"/>
      <c r="AA2536" s="130">
        <v>1</v>
      </c>
      <c r="AB2536" s="111">
        <f t="shared" si="566"/>
        <v>192.75</v>
      </c>
      <c r="AC2536" s="110"/>
      <c r="AD2536" s="110"/>
      <c r="AE2536" s="130">
        <v>0</v>
      </c>
      <c r="AF2536" s="111">
        <f t="shared" si="567"/>
        <v>192.75</v>
      </c>
      <c r="AG2536" s="110"/>
      <c r="AH2536" s="110"/>
      <c r="AI2536" s="110"/>
      <c r="AJ2536" s="110"/>
      <c r="AK2536" s="111">
        <f t="shared" si="562"/>
        <v>771</v>
      </c>
      <c r="AL2536" s="446">
        <f t="shared" si="563"/>
        <v>0</v>
      </c>
      <c r="AM2536" s="110">
        <f t="shared" si="564"/>
        <v>3</v>
      </c>
      <c r="AN2536" s="447">
        <f t="shared" si="569"/>
        <v>0</v>
      </c>
      <c r="AO2536"/>
      <c r="AP2536"/>
    </row>
    <row r="2537" spans="1:42" ht="66" x14ac:dyDescent="0.25">
      <c r="A2537" s="9"/>
      <c r="B2537" s="215" t="s">
        <v>2112</v>
      </c>
      <c r="C2537" s="1024"/>
      <c r="D2537" s="869">
        <v>3</v>
      </c>
      <c r="E2537" s="1027" t="s">
        <v>1722</v>
      </c>
      <c r="F2537" s="273" t="s">
        <v>3446</v>
      </c>
      <c r="G2537" s="1040" t="s">
        <v>3463</v>
      </c>
      <c r="H2537" s="273" t="s">
        <v>3462</v>
      </c>
      <c r="I2537" s="720">
        <f t="shared" si="565"/>
        <v>55</v>
      </c>
      <c r="J2537" s="756">
        <v>165</v>
      </c>
      <c r="K2537" s="131">
        <f t="shared" si="568"/>
        <v>165</v>
      </c>
      <c r="L2537" s="335">
        <f t="shared" si="561"/>
        <v>0</v>
      </c>
      <c r="M2537" s="446"/>
      <c r="N2537" s="446"/>
      <c r="O2537" s="446"/>
      <c r="P2537" s="446"/>
      <c r="Q2537" s="130">
        <v>1</v>
      </c>
      <c r="R2537" s="111">
        <f t="shared" si="557"/>
        <v>41.25</v>
      </c>
      <c r="S2537" s="110"/>
      <c r="T2537" s="110"/>
      <c r="U2537" s="130">
        <v>1</v>
      </c>
      <c r="V2537" s="111">
        <f t="shared" si="559"/>
        <v>41.25</v>
      </c>
      <c r="W2537" s="110"/>
      <c r="X2537" s="110"/>
      <c r="Y2537" s="110"/>
      <c r="Z2537" s="110"/>
      <c r="AA2537" s="130">
        <v>1</v>
      </c>
      <c r="AB2537" s="111">
        <f t="shared" si="566"/>
        <v>41.25</v>
      </c>
      <c r="AC2537" s="110"/>
      <c r="AD2537" s="110"/>
      <c r="AE2537" s="130">
        <v>0</v>
      </c>
      <c r="AF2537" s="111">
        <f t="shared" si="567"/>
        <v>41.25</v>
      </c>
      <c r="AG2537" s="110"/>
      <c r="AH2537" s="110"/>
      <c r="AI2537" s="110"/>
      <c r="AJ2537" s="110"/>
      <c r="AK2537" s="111">
        <f t="shared" si="562"/>
        <v>165</v>
      </c>
      <c r="AL2537" s="446">
        <f t="shared" si="563"/>
        <v>0</v>
      </c>
      <c r="AM2537" s="110">
        <f t="shared" si="564"/>
        <v>3</v>
      </c>
      <c r="AN2537" s="447">
        <f t="shared" si="569"/>
        <v>0</v>
      </c>
      <c r="AO2537"/>
      <c r="AP2537"/>
    </row>
    <row r="2538" spans="1:42" ht="66" x14ac:dyDescent="0.25">
      <c r="A2538" s="9"/>
      <c r="B2538" s="215" t="s">
        <v>2113</v>
      </c>
      <c r="C2538" s="1024"/>
      <c r="D2538" s="869">
        <v>3</v>
      </c>
      <c r="E2538" s="1027" t="s">
        <v>1722</v>
      </c>
      <c r="F2538" s="273" t="s">
        <v>3446</v>
      </c>
      <c r="G2538" s="1040" t="s">
        <v>3463</v>
      </c>
      <c r="H2538" s="273" t="s">
        <v>3462</v>
      </c>
      <c r="I2538" s="720">
        <f t="shared" si="565"/>
        <v>113</v>
      </c>
      <c r="J2538" s="756">
        <v>339</v>
      </c>
      <c r="K2538" s="131">
        <f t="shared" si="568"/>
        <v>339</v>
      </c>
      <c r="L2538" s="335">
        <f t="shared" si="561"/>
        <v>0</v>
      </c>
      <c r="M2538" s="446"/>
      <c r="N2538" s="446"/>
      <c r="O2538" s="446"/>
      <c r="P2538" s="446"/>
      <c r="Q2538" s="130">
        <v>1</v>
      </c>
      <c r="R2538" s="111">
        <f t="shared" si="557"/>
        <v>84.75</v>
      </c>
      <c r="S2538" s="110"/>
      <c r="T2538" s="110"/>
      <c r="U2538" s="130">
        <v>1</v>
      </c>
      <c r="V2538" s="111">
        <f t="shared" si="559"/>
        <v>84.75</v>
      </c>
      <c r="W2538" s="110"/>
      <c r="X2538" s="110"/>
      <c r="Y2538" s="110"/>
      <c r="Z2538" s="110"/>
      <c r="AA2538" s="130">
        <v>1</v>
      </c>
      <c r="AB2538" s="111">
        <f t="shared" si="566"/>
        <v>84.75</v>
      </c>
      <c r="AC2538" s="110"/>
      <c r="AD2538" s="110"/>
      <c r="AE2538" s="130">
        <v>0</v>
      </c>
      <c r="AF2538" s="111">
        <f t="shared" si="567"/>
        <v>84.75</v>
      </c>
      <c r="AG2538" s="110"/>
      <c r="AH2538" s="110"/>
      <c r="AI2538" s="110"/>
      <c r="AJ2538" s="110"/>
      <c r="AK2538" s="111">
        <f t="shared" si="562"/>
        <v>339</v>
      </c>
      <c r="AL2538" s="446">
        <f t="shared" si="563"/>
        <v>0</v>
      </c>
      <c r="AM2538" s="110">
        <f t="shared" si="564"/>
        <v>3</v>
      </c>
      <c r="AN2538" s="447">
        <f t="shared" si="569"/>
        <v>0</v>
      </c>
      <c r="AO2538"/>
      <c r="AP2538"/>
    </row>
    <row r="2539" spans="1:42" ht="66" x14ac:dyDescent="0.25">
      <c r="A2539" s="9"/>
      <c r="B2539" s="215" t="s">
        <v>2114</v>
      </c>
      <c r="C2539" s="1024"/>
      <c r="D2539" s="869">
        <v>3</v>
      </c>
      <c r="E2539" s="1027" t="s">
        <v>1722</v>
      </c>
      <c r="F2539" s="273" t="s">
        <v>3446</v>
      </c>
      <c r="G2539" s="1040" t="s">
        <v>3463</v>
      </c>
      <c r="H2539" s="273" t="s">
        <v>3462</v>
      </c>
      <c r="I2539" s="720">
        <f t="shared" si="565"/>
        <v>133</v>
      </c>
      <c r="J2539" s="756">
        <v>399</v>
      </c>
      <c r="K2539" s="131">
        <f t="shared" si="568"/>
        <v>399</v>
      </c>
      <c r="L2539" s="335">
        <f t="shared" si="561"/>
        <v>0</v>
      </c>
      <c r="M2539" s="446"/>
      <c r="N2539" s="446"/>
      <c r="O2539" s="446"/>
      <c r="P2539" s="446"/>
      <c r="Q2539" s="130">
        <v>1</v>
      </c>
      <c r="R2539" s="111">
        <f t="shared" si="557"/>
        <v>99.75</v>
      </c>
      <c r="S2539" s="110"/>
      <c r="T2539" s="110"/>
      <c r="U2539" s="130">
        <v>1</v>
      </c>
      <c r="V2539" s="111">
        <f t="shared" si="559"/>
        <v>99.75</v>
      </c>
      <c r="W2539" s="110"/>
      <c r="X2539" s="110"/>
      <c r="Y2539" s="110"/>
      <c r="Z2539" s="110"/>
      <c r="AA2539" s="130">
        <v>1</v>
      </c>
      <c r="AB2539" s="111">
        <f t="shared" si="566"/>
        <v>99.75</v>
      </c>
      <c r="AC2539" s="110"/>
      <c r="AD2539" s="110"/>
      <c r="AE2539" s="130">
        <v>0</v>
      </c>
      <c r="AF2539" s="111">
        <f t="shared" si="567"/>
        <v>99.75</v>
      </c>
      <c r="AG2539" s="110"/>
      <c r="AH2539" s="110"/>
      <c r="AI2539" s="110"/>
      <c r="AJ2539" s="110"/>
      <c r="AK2539" s="111">
        <f t="shared" si="562"/>
        <v>399</v>
      </c>
      <c r="AL2539" s="446">
        <f t="shared" si="563"/>
        <v>0</v>
      </c>
      <c r="AM2539" s="110">
        <f t="shared" si="564"/>
        <v>3</v>
      </c>
      <c r="AN2539" s="447">
        <f t="shared" si="569"/>
        <v>0</v>
      </c>
      <c r="AO2539"/>
      <c r="AP2539"/>
    </row>
    <row r="2540" spans="1:42" ht="66" x14ac:dyDescent="0.25">
      <c r="A2540" s="9"/>
      <c r="B2540" s="552" t="s">
        <v>2115</v>
      </c>
      <c r="C2540" s="1024"/>
      <c r="D2540" s="869">
        <v>2</v>
      </c>
      <c r="E2540" s="1027" t="s">
        <v>1722</v>
      </c>
      <c r="F2540" s="273" t="s">
        <v>3446</v>
      </c>
      <c r="G2540" s="1040" t="s">
        <v>3463</v>
      </c>
      <c r="H2540" s="273" t="s">
        <v>3462</v>
      </c>
      <c r="I2540" s="720">
        <f t="shared" si="565"/>
        <v>224</v>
      </c>
      <c r="J2540" s="756">
        <v>448</v>
      </c>
      <c r="K2540" s="131">
        <f t="shared" si="568"/>
        <v>448</v>
      </c>
      <c r="L2540" s="335">
        <f t="shared" si="561"/>
        <v>0</v>
      </c>
      <c r="M2540" s="446"/>
      <c r="N2540" s="446"/>
      <c r="O2540" s="446"/>
      <c r="P2540" s="446"/>
      <c r="Q2540" s="130">
        <v>1</v>
      </c>
      <c r="R2540" s="111">
        <f t="shared" si="557"/>
        <v>112</v>
      </c>
      <c r="S2540" s="110"/>
      <c r="T2540" s="110"/>
      <c r="U2540" s="130">
        <v>1</v>
      </c>
      <c r="V2540" s="111">
        <f t="shared" si="559"/>
        <v>112</v>
      </c>
      <c r="W2540" s="110"/>
      <c r="X2540" s="110"/>
      <c r="Y2540" s="110"/>
      <c r="Z2540" s="110"/>
      <c r="AA2540" s="130">
        <v>0</v>
      </c>
      <c r="AB2540" s="111">
        <f t="shared" si="566"/>
        <v>112</v>
      </c>
      <c r="AC2540" s="110"/>
      <c r="AD2540" s="110"/>
      <c r="AE2540" s="130">
        <v>0</v>
      </c>
      <c r="AF2540" s="111">
        <f t="shared" si="567"/>
        <v>112</v>
      </c>
      <c r="AG2540" s="110"/>
      <c r="AH2540" s="110"/>
      <c r="AI2540" s="110"/>
      <c r="AJ2540" s="110"/>
      <c r="AK2540" s="111">
        <f t="shared" si="562"/>
        <v>448</v>
      </c>
      <c r="AL2540" s="446">
        <f t="shared" si="563"/>
        <v>0</v>
      </c>
      <c r="AM2540" s="110">
        <f t="shared" si="564"/>
        <v>2</v>
      </c>
      <c r="AN2540" s="447">
        <f t="shared" si="569"/>
        <v>0</v>
      </c>
      <c r="AO2540"/>
      <c r="AP2540"/>
    </row>
    <row r="2541" spans="1:42" ht="66" x14ac:dyDescent="0.25">
      <c r="A2541" s="9"/>
      <c r="B2541" s="49" t="s">
        <v>2116</v>
      </c>
      <c r="C2541" s="1024"/>
      <c r="D2541" s="869">
        <v>5</v>
      </c>
      <c r="E2541" s="1027" t="s">
        <v>1722</v>
      </c>
      <c r="F2541" s="273" t="s">
        <v>3446</v>
      </c>
      <c r="G2541" s="1040" t="s">
        <v>3463</v>
      </c>
      <c r="H2541" s="273" t="s">
        <v>3462</v>
      </c>
      <c r="I2541" s="720">
        <f t="shared" si="565"/>
        <v>45</v>
      </c>
      <c r="J2541" s="756">
        <v>225</v>
      </c>
      <c r="K2541" s="131">
        <f t="shared" si="568"/>
        <v>225</v>
      </c>
      <c r="L2541" s="335">
        <f t="shared" si="561"/>
        <v>0</v>
      </c>
      <c r="M2541" s="446"/>
      <c r="N2541" s="446"/>
      <c r="O2541" s="446"/>
      <c r="P2541" s="446"/>
      <c r="Q2541" s="110">
        <v>2</v>
      </c>
      <c r="R2541" s="111">
        <f t="shared" si="557"/>
        <v>56.25</v>
      </c>
      <c r="S2541" s="110"/>
      <c r="T2541" s="110"/>
      <c r="U2541" s="110">
        <v>1</v>
      </c>
      <c r="V2541" s="111">
        <f t="shared" si="559"/>
        <v>56.25</v>
      </c>
      <c r="W2541" s="110"/>
      <c r="X2541" s="110"/>
      <c r="Y2541" s="110"/>
      <c r="Z2541" s="110"/>
      <c r="AA2541" s="110">
        <v>1</v>
      </c>
      <c r="AB2541" s="111">
        <f t="shared" si="566"/>
        <v>56.25</v>
      </c>
      <c r="AC2541" s="110"/>
      <c r="AD2541" s="110"/>
      <c r="AE2541" s="110">
        <v>1</v>
      </c>
      <c r="AF2541" s="111">
        <f t="shared" si="567"/>
        <v>56.25</v>
      </c>
      <c r="AG2541" s="110"/>
      <c r="AH2541" s="110"/>
      <c r="AI2541" s="110"/>
      <c r="AJ2541" s="110"/>
      <c r="AK2541" s="111">
        <f t="shared" si="562"/>
        <v>225</v>
      </c>
      <c r="AL2541" s="446">
        <f t="shared" si="563"/>
        <v>0</v>
      </c>
      <c r="AM2541" s="110">
        <f t="shared" si="564"/>
        <v>5</v>
      </c>
      <c r="AN2541" s="447">
        <f t="shared" si="569"/>
        <v>0</v>
      </c>
      <c r="AO2541"/>
      <c r="AP2541"/>
    </row>
    <row r="2542" spans="1:42" ht="66" x14ac:dyDescent="0.25">
      <c r="A2542" s="9"/>
      <c r="B2542" s="566" t="s">
        <v>2256</v>
      </c>
      <c r="C2542" s="1024"/>
      <c r="D2542" s="882">
        <v>24</v>
      </c>
      <c r="E2542" s="1025" t="s">
        <v>1722</v>
      </c>
      <c r="F2542" s="273" t="s">
        <v>3446</v>
      </c>
      <c r="G2542" s="1040" t="s">
        <v>3463</v>
      </c>
      <c r="H2542" s="273" t="s">
        <v>3462</v>
      </c>
      <c r="I2542" s="720">
        <f t="shared" si="565"/>
        <v>30.24</v>
      </c>
      <c r="J2542" s="756">
        <v>725.76</v>
      </c>
      <c r="K2542" s="131">
        <f t="shared" si="568"/>
        <v>725.76</v>
      </c>
      <c r="L2542" s="335">
        <f t="shared" si="561"/>
        <v>0</v>
      </c>
      <c r="M2542" s="446"/>
      <c r="N2542" s="446"/>
      <c r="O2542" s="446"/>
      <c r="P2542" s="446"/>
      <c r="Q2542" s="110">
        <f t="shared" ref="Q2542:Q2605" si="570">+$D2542/4</f>
        <v>6</v>
      </c>
      <c r="R2542" s="111">
        <f t="shared" si="557"/>
        <v>181.44</v>
      </c>
      <c r="S2542" s="110"/>
      <c r="T2542" s="110"/>
      <c r="U2542" s="110">
        <f t="shared" ref="U2542:U2605" si="571">+$D2542/4</f>
        <v>6</v>
      </c>
      <c r="V2542" s="111">
        <f t="shared" si="559"/>
        <v>181.44</v>
      </c>
      <c r="W2542" s="110"/>
      <c r="X2542" s="110"/>
      <c r="Y2542" s="110"/>
      <c r="Z2542" s="110"/>
      <c r="AA2542" s="110">
        <f t="shared" ref="AA2542:AE2601" si="572">+$D2542/4</f>
        <v>6</v>
      </c>
      <c r="AB2542" s="111">
        <f t="shared" si="566"/>
        <v>181.44</v>
      </c>
      <c r="AC2542" s="110"/>
      <c r="AD2542" s="110"/>
      <c r="AE2542" s="110">
        <f t="shared" si="572"/>
        <v>6</v>
      </c>
      <c r="AF2542" s="111">
        <f t="shared" si="567"/>
        <v>181.44</v>
      </c>
      <c r="AG2542" s="110"/>
      <c r="AH2542" s="110"/>
      <c r="AI2542" s="110"/>
      <c r="AJ2542" s="110"/>
      <c r="AK2542" s="111">
        <f t="shared" si="562"/>
        <v>725.76</v>
      </c>
      <c r="AL2542" s="446">
        <f t="shared" si="563"/>
        <v>0</v>
      </c>
      <c r="AM2542" s="110">
        <f t="shared" si="564"/>
        <v>24</v>
      </c>
      <c r="AN2542" s="447">
        <f t="shared" si="569"/>
        <v>0</v>
      </c>
      <c r="AO2542"/>
      <c r="AP2542"/>
    </row>
    <row r="2543" spans="1:42" ht="66" x14ac:dyDescent="0.25">
      <c r="A2543" s="9"/>
      <c r="B2543" s="567" t="s">
        <v>2257</v>
      </c>
      <c r="C2543" s="1024"/>
      <c r="D2543" s="882">
        <v>24</v>
      </c>
      <c r="E2543" s="1025" t="s">
        <v>1722</v>
      </c>
      <c r="F2543" s="273" t="s">
        <v>3446</v>
      </c>
      <c r="G2543" s="1040" t="s">
        <v>3463</v>
      </c>
      <c r="H2543" s="273" t="s">
        <v>3462</v>
      </c>
      <c r="I2543" s="720">
        <f t="shared" si="565"/>
        <v>43.20000000000001</v>
      </c>
      <c r="J2543" s="756">
        <v>1036.8000000000002</v>
      </c>
      <c r="K2543" s="131">
        <f t="shared" si="568"/>
        <v>1036.8000000000002</v>
      </c>
      <c r="L2543" s="335">
        <f t="shared" si="561"/>
        <v>0</v>
      </c>
      <c r="M2543" s="446"/>
      <c r="N2543" s="446"/>
      <c r="O2543" s="446"/>
      <c r="P2543" s="446"/>
      <c r="Q2543" s="110">
        <f t="shared" si="570"/>
        <v>6</v>
      </c>
      <c r="R2543" s="111">
        <f t="shared" ref="R2543:R2606" si="573">+J2543/4</f>
        <v>259.20000000000005</v>
      </c>
      <c r="S2543" s="110"/>
      <c r="T2543" s="110"/>
      <c r="U2543" s="110">
        <f t="shared" si="571"/>
        <v>6</v>
      </c>
      <c r="V2543" s="111">
        <f t="shared" ref="V2543:V2606" si="574">+J2543/4</f>
        <v>259.20000000000005</v>
      </c>
      <c r="W2543" s="110"/>
      <c r="X2543" s="110"/>
      <c r="Y2543" s="110"/>
      <c r="Z2543" s="110"/>
      <c r="AA2543" s="110">
        <f t="shared" si="572"/>
        <v>6</v>
      </c>
      <c r="AB2543" s="111">
        <f t="shared" si="566"/>
        <v>259.20000000000005</v>
      </c>
      <c r="AC2543" s="110"/>
      <c r="AD2543" s="110"/>
      <c r="AE2543" s="110">
        <f t="shared" si="572"/>
        <v>6</v>
      </c>
      <c r="AF2543" s="111">
        <f t="shared" si="567"/>
        <v>259.20000000000005</v>
      </c>
      <c r="AG2543" s="110"/>
      <c r="AH2543" s="110"/>
      <c r="AI2543" s="110"/>
      <c r="AJ2543" s="110"/>
      <c r="AK2543" s="111">
        <f t="shared" si="562"/>
        <v>1036.8000000000002</v>
      </c>
      <c r="AL2543" s="446">
        <f t="shared" si="563"/>
        <v>0</v>
      </c>
      <c r="AM2543" s="110">
        <f t="shared" si="564"/>
        <v>24</v>
      </c>
      <c r="AN2543" s="447">
        <f t="shared" si="569"/>
        <v>0</v>
      </c>
      <c r="AO2543"/>
      <c r="AP2543"/>
    </row>
    <row r="2544" spans="1:42" ht="66" x14ac:dyDescent="0.25">
      <c r="A2544" s="9"/>
      <c r="B2544" s="566" t="s">
        <v>2258</v>
      </c>
      <c r="C2544" s="1024"/>
      <c r="D2544" s="882">
        <v>36</v>
      </c>
      <c r="E2544" s="1025" t="s">
        <v>1722</v>
      </c>
      <c r="F2544" s="273" t="s">
        <v>3446</v>
      </c>
      <c r="G2544" s="1040" t="s">
        <v>3463</v>
      </c>
      <c r="H2544" s="273" t="s">
        <v>3462</v>
      </c>
      <c r="I2544" s="720">
        <f t="shared" si="565"/>
        <v>70</v>
      </c>
      <c r="J2544" s="756">
        <v>2520</v>
      </c>
      <c r="K2544" s="131">
        <f t="shared" si="568"/>
        <v>2520</v>
      </c>
      <c r="L2544" s="335">
        <f t="shared" si="561"/>
        <v>0</v>
      </c>
      <c r="M2544" s="446"/>
      <c r="N2544" s="446"/>
      <c r="O2544" s="446"/>
      <c r="P2544" s="446"/>
      <c r="Q2544" s="110">
        <f t="shared" si="570"/>
        <v>9</v>
      </c>
      <c r="R2544" s="111">
        <f t="shared" si="573"/>
        <v>630</v>
      </c>
      <c r="S2544" s="110"/>
      <c r="T2544" s="110"/>
      <c r="U2544" s="110">
        <f t="shared" si="571"/>
        <v>9</v>
      </c>
      <c r="V2544" s="111">
        <f t="shared" si="574"/>
        <v>630</v>
      </c>
      <c r="W2544" s="110"/>
      <c r="X2544" s="110"/>
      <c r="Y2544" s="110"/>
      <c r="Z2544" s="110"/>
      <c r="AA2544" s="110">
        <f t="shared" si="572"/>
        <v>9</v>
      </c>
      <c r="AB2544" s="111">
        <f t="shared" si="566"/>
        <v>630</v>
      </c>
      <c r="AC2544" s="110"/>
      <c r="AD2544" s="110"/>
      <c r="AE2544" s="110">
        <f t="shared" si="572"/>
        <v>9</v>
      </c>
      <c r="AF2544" s="111">
        <f t="shared" si="567"/>
        <v>630</v>
      </c>
      <c r="AG2544" s="110"/>
      <c r="AH2544" s="110"/>
      <c r="AI2544" s="110"/>
      <c r="AJ2544" s="110"/>
      <c r="AK2544" s="111">
        <f t="shared" si="562"/>
        <v>2520</v>
      </c>
      <c r="AL2544" s="446">
        <f t="shared" si="563"/>
        <v>0</v>
      </c>
      <c r="AM2544" s="110">
        <f t="shared" si="564"/>
        <v>36</v>
      </c>
      <c r="AN2544" s="447">
        <f t="shared" si="569"/>
        <v>0</v>
      </c>
      <c r="AO2544"/>
      <c r="AP2544"/>
    </row>
    <row r="2545" spans="1:42" ht="66" x14ac:dyDescent="0.25">
      <c r="A2545" s="9"/>
      <c r="B2545" s="568" t="s">
        <v>623</v>
      </c>
      <c r="C2545" s="1024"/>
      <c r="D2545" s="882">
        <v>36</v>
      </c>
      <c r="E2545" s="1025" t="s">
        <v>1722</v>
      </c>
      <c r="F2545" s="273" t="s">
        <v>3446</v>
      </c>
      <c r="G2545" s="1040" t="s">
        <v>3463</v>
      </c>
      <c r="H2545" s="273" t="s">
        <v>3462</v>
      </c>
      <c r="I2545" s="720">
        <f t="shared" si="565"/>
        <v>42.12</v>
      </c>
      <c r="J2545" s="756">
        <v>1516.32</v>
      </c>
      <c r="K2545" s="131">
        <f t="shared" si="568"/>
        <v>1516.32</v>
      </c>
      <c r="L2545" s="335">
        <f t="shared" si="561"/>
        <v>0</v>
      </c>
      <c r="M2545" s="446"/>
      <c r="N2545" s="446"/>
      <c r="O2545" s="446"/>
      <c r="P2545" s="446"/>
      <c r="Q2545" s="110">
        <f t="shared" si="570"/>
        <v>9</v>
      </c>
      <c r="R2545" s="111">
        <f t="shared" si="573"/>
        <v>379.08</v>
      </c>
      <c r="S2545" s="110"/>
      <c r="T2545" s="110"/>
      <c r="U2545" s="110">
        <f t="shared" si="571"/>
        <v>9</v>
      </c>
      <c r="V2545" s="111">
        <f t="shared" si="574"/>
        <v>379.08</v>
      </c>
      <c r="W2545" s="110"/>
      <c r="X2545" s="110"/>
      <c r="Y2545" s="110"/>
      <c r="Z2545" s="110"/>
      <c r="AA2545" s="110">
        <f t="shared" si="572"/>
        <v>9</v>
      </c>
      <c r="AB2545" s="111">
        <f t="shared" si="566"/>
        <v>379.08</v>
      </c>
      <c r="AC2545" s="110"/>
      <c r="AD2545" s="110"/>
      <c r="AE2545" s="110">
        <f t="shared" si="572"/>
        <v>9</v>
      </c>
      <c r="AF2545" s="111">
        <f t="shared" si="567"/>
        <v>379.08</v>
      </c>
      <c r="AG2545" s="110"/>
      <c r="AH2545" s="110"/>
      <c r="AI2545" s="110"/>
      <c r="AJ2545" s="110"/>
      <c r="AK2545" s="111">
        <f t="shared" si="562"/>
        <v>1516.32</v>
      </c>
      <c r="AL2545" s="446">
        <f t="shared" si="563"/>
        <v>0</v>
      </c>
      <c r="AM2545" s="110">
        <f t="shared" si="564"/>
        <v>36</v>
      </c>
      <c r="AN2545" s="447">
        <f t="shared" si="569"/>
        <v>0</v>
      </c>
      <c r="AO2545"/>
      <c r="AP2545"/>
    </row>
    <row r="2546" spans="1:42" ht="66" x14ac:dyDescent="0.25">
      <c r="A2546" s="9"/>
      <c r="B2546" s="567" t="s">
        <v>2259</v>
      </c>
      <c r="C2546" s="1024"/>
      <c r="D2546" s="882">
        <v>60</v>
      </c>
      <c r="E2546" s="1025" t="s">
        <v>1722</v>
      </c>
      <c r="F2546" s="273" t="s">
        <v>3446</v>
      </c>
      <c r="G2546" s="1040" t="s">
        <v>3463</v>
      </c>
      <c r="H2546" s="273" t="s">
        <v>3462</v>
      </c>
      <c r="I2546" s="720">
        <f t="shared" si="565"/>
        <v>16.2</v>
      </c>
      <c r="J2546" s="756">
        <v>972</v>
      </c>
      <c r="K2546" s="131">
        <f t="shared" si="568"/>
        <v>972</v>
      </c>
      <c r="L2546" s="335">
        <f t="shared" si="561"/>
        <v>0</v>
      </c>
      <c r="M2546" s="446"/>
      <c r="N2546" s="446"/>
      <c r="O2546" s="446"/>
      <c r="P2546" s="446"/>
      <c r="Q2546" s="110">
        <f t="shared" si="570"/>
        <v>15</v>
      </c>
      <c r="R2546" s="111">
        <f t="shared" si="573"/>
        <v>243</v>
      </c>
      <c r="S2546" s="110"/>
      <c r="T2546" s="110"/>
      <c r="U2546" s="110">
        <f t="shared" si="571"/>
        <v>15</v>
      </c>
      <c r="V2546" s="111">
        <f t="shared" si="574"/>
        <v>243</v>
      </c>
      <c r="W2546" s="110"/>
      <c r="X2546" s="110"/>
      <c r="Y2546" s="110"/>
      <c r="Z2546" s="110"/>
      <c r="AA2546" s="110">
        <f t="shared" si="572"/>
        <v>15</v>
      </c>
      <c r="AB2546" s="111">
        <f t="shared" si="566"/>
        <v>243</v>
      </c>
      <c r="AC2546" s="110"/>
      <c r="AD2546" s="110"/>
      <c r="AE2546" s="110">
        <f t="shared" si="572"/>
        <v>15</v>
      </c>
      <c r="AF2546" s="111">
        <f t="shared" si="567"/>
        <v>243</v>
      </c>
      <c r="AG2546" s="110"/>
      <c r="AH2546" s="110"/>
      <c r="AI2546" s="110"/>
      <c r="AJ2546" s="110"/>
      <c r="AK2546" s="111">
        <f t="shared" si="562"/>
        <v>972</v>
      </c>
      <c r="AL2546" s="446">
        <f t="shared" si="563"/>
        <v>0</v>
      </c>
      <c r="AM2546" s="110">
        <f t="shared" si="564"/>
        <v>60</v>
      </c>
      <c r="AN2546" s="447">
        <f t="shared" si="569"/>
        <v>0</v>
      </c>
      <c r="AO2546"/>
      <c r="AP2546"/>
    </row>
    <row r="2547" spans="1:42" ht="66" x14ac:dyDescent="0.25">
      <c r="A2547" s="9"/>
      <c r="B2547" s="566" t="s">
        <v>2260</v>
      </c>
      <c r="C2547" s="1024"/>
      <c r="D2547" s="882">
        <v>180</v>
      </c>
      <c r="E2547" s="1025" t="s">
        <v>1722</v>
      </c>
      <c r="F2547" s="273" t="s">
        <v>3446</v>
      </c>
      <c r="G2547" s="1040" t="s">
        <v>3463</v>
      </c>
      <c r="H2547" s="273" t="s">
        <v>3462</v>
      </c>
      <c r="I2547" s="720">
        <f t="shared" si="565"/>
        <v>692.64</v>
      </c>
      <c r="J2547" s="756">
        <v>124675.2</v>
      </c>
      <c r="K2547" s="131">
        <f t="shared" si="568"/>
        <v>124675.2</v>
      </c>
      <c r="L2547" s="335">
        <f t="shared" si="561"/>
        <v>0</v>
      </c>
      <c r="M2547" s="446"/>
      <c r="N2547" s="446"/>
      <c r="O2547" s="446"/>
      <c r="P2547" s="446"/>
      <c r="Q2547" s="110">
        <f t="shared" si="570"/>
        <v>45</v>
      </c>
      <c r="R2547" s="111">
        <f t="shared" si="573"/>
        <v>31168.799999999999</v>
      </c>
      <c r="S2547" s="110"/>
      <c r="T2547" s="110"/>
      <c r="U2547" s="110">
        <f t="shared" si="571"/>
        <v>45</v>
      </c>
      <c r="V2547" s="111">
        <f t="shared" si="574"/>
        <v>31168.799999999999</v>
      </c>
      <c r="W2547" s="110"/>
      <c r="X2547" s="110"/>
      <c r="Y2547" s="110"/>
      <c r="Z2547" s="110"/>
      <c r="AA2547" s="110">
        <f t="shared" si="572"/>
        <v>45</v>
      </c>
      <c r="AB2547" s="111">
        <f t="shared" si="566"/>
        <v>31168.799999999999</v>
      </c>
      <c r="AC2547" s="110"/>
      <c r="AD2547" s="110"/>
      <c r="AE2547" s="110">
        <f t="shared" si="572"/>
        <v>45</v>
      </c>
      <c r="AF2547" s="111">
        <f t="shared" si="567"/>
        <v>31168.799999999999</v>
      </c>
      <c r="AG2547" s="110"/>
      <c r="AH2547" s="110"/>
      <c r="AI2547" s="110"/>
      <c r="AJ2547" s="110"/>
      <c r="AK2547" s="111">
        <f t="shared" si="562"/>
        <v>124675.2</v>
      </c>
      <c r="AL2547" s="446">
        <f t="shared" si="563"/>
        <v>0</v>
      </c>
      <c r="AM2547" s="110">
        <f t="shared" si="564"/>
        <v>180</v>
      </c>
      <c r="AN2547" s="447">
        <f t="shared" si="569"/>
        <v>0</v>
      </c>
      <c r="AO2547"/>
      <c r="AP2547"/>
    </row>
    <row r="2548" spans="1:42" ht="66" x14ac:dyDescent="0.25">
      <c r="A2548" s="9"/>
      <c r="B2548" s="567" t="s">
        <v>2261</v>
      </c>
      <c r="C2548" s="1024"/>
      <c r="D2548" s="882">
        <v>240</v>
      </c>
      <c r="E2548" s="1025" t="s">
        <v>1722</v>
      </c>
      <c r="F2548" s="273" t="s">
        <v>3446</v>
      </c>
      <c r="G2548" s="1040" t="s">
        <v>3463</v>
      </c>
      <c r="H2548" s="273" t="s">
        <v>3462</v>
      </c>
      <c r="I2548" s="720">
        <f t="shared" si="565"/>
        <v>84.24</v>
      </c>
      <c r="J2548" s="756">
        <v>20217.599999999999</v>
      </c>
      <c r="K2548" s="131">
        <f t="shared" si="568"/>
        <v>20217.599999999999</v>
      </c>
      <c r="L2548" s="335">
        <f t="shared" ref="L2548:L2611" si="575">+J2548-K2548</f>
        <v>0</v>
      </c>
      <c r="M2548" s="446"/>
      <c r="N2548" s="446"/>
      <c r="O2548" s="446"/>
      <c r="P2548" s="446"/>
      <c r="Q2548" s="110">
        <f t="shared" si="570"/>
        <v>60</v>
      </c>
      <c r="R2548" s="111">
        <f t="shared" si="573"/>
        <v>5054.3999999999996</v>
      </c>
      <c r="S2548" s="110"/>
      <c r="T2548" s="110"/>
      <c r="U2548" s="110">
        <f t="shared" si="571"/>
        <v>60</v>
      </c>
      <c r="V2548" s="111">
        <f t="shared" si="574"/>
        <v>5054.3999999999996</v>
      </c>
      <c r="W2548" s="110"/>
      <c r="X2548" s="110"/>
      <c r="Y2548" s="110"/>
      <c r="Z2548" s="110"/>
      <c r="AA2548" s="110">
        <f t="shared" si="572"/>
        <v>60</v>
      </c>
      <c r="AB2548" s="111">
        <f t="shared" si="566"/>
        <v>5054.3999999999996</v>
      </c>
      <c r="AC2548" s="110"/>
      <c r="AD2548" s="110"/>
      <c r="AE2548" s="110">
        <f t="shared" si="572"/>
        <v>60</v>
      </c>
      <c r="AF2548" s="111">
        <f t="shared" si="567"/>
        <v>5054.3999999999996</v>
      </c>
      <c r="AG2548" s="110"/>
      <c r="AH2548" s="110"/>
      <c r="AI2548" s="110"/>
      <c r="AJ2548" s="110"/>
      <c r="AK2548" s="111">
        <f t="shared" ref="AK2548:AK2611" si="576">+R2548+V2548+AB2548+AF2548</f>
        <v>20217.599999999999</v>
      </c>
      <c r="AL2548" s="446">
        <f t="shared" ref="AL2548:AL2611" si="577">+J2548-AK2548</f>
        <v>0</v>
      </c>
      <c r="AM2548" s="110">
        <f t="shared" ref="AM2548:AM2611" si="578">+Q2548+U2548+AA2548+AE2548</f>
        <v>240</v>
      </c>
      <c r="AN2548" s="447">
        <f t="shared" si="569"/>
        <v>0</v>
      </c>
      <c r="AO2548"/>
      <c r="AP2548"/>
    </row>
    <row r="2549" spans="1:42" ht="66" x14ac:dyDescent="0.25">
      <c r="A2549" s="9"/>
      <c r="B2549" s="567" t="s">
        <v>2262</v>
      </c>
      <c r="C2549" s="1024"/>
      <c r="D2549" s="882">
        <v>240</v>
      </c>
      <c r="E2549" s="1025" t="s">
        <v>1722</v>
      </c>
      <c r="F2549" s="273" t="s">
        <v>3446</v>
      </c>
      <c r="G2549" s="1040" t="s">
        <v>3463</v>
      </c>
      <c r="H2549" s="273" t="s">
        <v>3462</v>
      </c>
      <c r="I2549" s="720">
        <f t="shared" si="565"/>
        <v>37.799999999999997</v>
      </c>
      <c r="J2549" s="756">
        <v>9072</v>
      </c>
      <c r="K2549" s="131">
        <f t="shared" si="568"/>
        <v>9072</v>
      </c>
      <c r="L2549" s="335">
        <f t="shared" si="575"/>
        <v>0</v>
      </c>
      <c r="M2549" s="446"/>
      <c r="N2549" s="446"/>
      <c r="O2549" s="446"/>
      <c r="P2549" s="446"/>
      <c r="Q2549" s="110">
        <f t="shared" si="570"/>
        <v>60</v>
      </c>
      <c r="R2549" s="111">
        <f t="shared" si="573"/>
        <v>2268</v>
      </c>
      <c r="S2549" s="110"/>
      <c r="T2549" s="110"/>
      <c r="U2549" s="110">
        <f t="shared" si="571"/>
        <v>60</v>
      </c>
      <c r="V2549" s="111">
        <f t="shared" si="574"/>
        <v>2268</v>
      </c>
      <c r="W2549" s="110"/>
      <c r="X2549" s="110"/>
      <c r="Y2549" s="110"/>
      <c r="Z2549" s="110"/>
      <c r="AA2549" s="110">
        <f t="shared" si="572"/>
        <v>60</v>
      </c>
      <c r="AB2549" s="111">
        <f t="shared" si="566"/>
        <v>2268</v>
      </c>
      <c r="AC2549" s="110"/>
      <c r="AD2549" s="110"/>
      <c r="AE2549" s="110">
        <f t="shared" si="572"/>
        <v>60</v>
      </c>
      <c r="AF2549" s="111">
        <f t="shared" si="567"/>
        <v>2268</v>
      </c>
      <c r="AG2549" s="110"/>
      <c r="AH2549" s="110"/>
      <c r="AI2549" s="110"/>
      <c r="AJ2549" s="110"/>
      <c r="AK2549" s="111">
        <f t="shared" si="576"/>
        <v>9072</v>
      </c>
      <c r="AL2549" s="446">
        <f t="shared" si="577"/>
        <v>0</v>
      </c>
      <c r="AM2549" s="110">
        <f t="shared" si="578"/>
        <v>240</v>
      </c>
      <c r="AN2549" s="447">
        <f t="shared" si="569"/>
        <v>0</v>
      </c>
      <c r="AO2549"/>
      <c r="AP2549"/>
    </row>
    <row r="2550" spans="1:42" ht="66" x14ac:dyDescent="0.25">
      <c r="A2550" s="9"/>
      <c r="B2550" s="567" t="s">
        <v>2263</v>
      </c>
      <c r="C2550" s="1024"/>
      <c r="D2550" s="882">
        <v>240</v>
      </c>
      <c r="E2550" s="1025" t="s">
        <v>1722</v>
      </c>
      <c r="F2550" s="273" t="s">
        <v>3446</v>
      </c>
      <c r="G2550" s="1040" t="s">
        <v>3463</v>
      </c>
      <c r="H2550" s="273" t="s">
        <v>3462</v>
      </c>
      <c r="I2550" s="720">
        <f t="shared" si="565"/>
        <v>43.2</v>
      </c>
      <c r="J2550" s="756">
        <v>10368</v>
      </c>
      <c r="K2550" s="131">
        <f t="shared" si="568"/>
        <v>10368</v>
      </c>
      <c r="L2550" s="335">
        <f t="shared" si="575"/>
        <v>0</v>
      </c>
      <c r="M2550" s="446"/>
      <c r="N2550" s="446"/>
      <c r="O2550" s="446"/>
      <c r="P2550" s="446"/>
      <c r="Q2550" s="110">
        <f t="shared" si="570"/>
        <v>60</v>
      </c>
      <c r="R2550" s="111">
        <f t="shared" si="573"/>
        <v>2592</v>
      </c>
      <c r="S2550" s="110"/>
      <c r="T2550" s="110"/>
      <c r="U2550" s="110">
        <f t="shared" si="571"/>
        <v>60</v>
      </c>
      <c r="V2550" s="111">
        <f t="shared" si="574"/>
        <v>2592</v>
      </c>
      <c r="W2550" s="110"/>
      <c r="X2550" s="110"/>
      <c r="Y2550" s="110"/>
      <c r="Z2550" s="110"/>
      <c r="AA2550" s="110">
        <f t="shared" si="572"/>
        <v>60</v>
      </c>
      <c r="AB2550" s="111">
        <f t="shared" si="566"/>
        <v>2592</v>
      </c>
      <c r="AC2550" s="110"/>
      <c r="AD2550" s="110"/>
      <c r="AE2550" s="110">
        <f t="shared" si="572"/>
        <v>60</v>
      </c>
      <c r="AF2550" s="111">
        <f t="shared" si="567"/>
        <v>2592</v>
      </c>
      <c r="AG2550" s="110"/>
      <c r="AH2550" s="110"/>
      <c r="AI2550" s="110"/>
      <c r="AJ2550" s="110"/>
      <c r="AK2550" s="111">
        <f t="shared" si="576"/>
        <v>10368</v>
      </c>
      <c r="AL2550" s="446">
        <f t="shared" si="577"/>
        <v>0</v>
      </c>
      <c r="AM2550" s="110">
        <f t="shared" si="578"/>
        <v>240</v>
      </c>
      <c r="AN2550" s="447">
        <f t="shared" si="569"/>
        <v>0</v>
      </c>
      <c r="AO2550"/>
      <c r="AP2550"/>
    </row>
    <row r="2551" spans="1:42" ht="66" x14ac:dyDescent="0.25">
      <c r="A2551" s="9"/>
      <c r="B2551" s="567" t="s">
        <v>2264</v>
      </c>
      <c r="C2551" s="1024"/>
      <c r="D2551" s="882">
        <v>60</v>
      </c>
      <c r="E2551" s="1025" t="s">
        <v>1722</v>
      </c>
      <c r="F2551" s="273" t="s">
        <v>3446</v>
      </c>
      <c r="G2551" s="1040" t="s">
        <v>3463</v>
      </c>
      <c r="H2551" s="273" t="s">
        <v>3462</v>
      </c>
      <c r="I2551" s="720">
        <f t="shared" si="565"/>
        <v>43.2</v>
      </c>
      <c r="J2551" s="756">
        <v>2592</v>
      </c>
      <c r="K2551" s="131">
        <f t="shared" si="568"/>
        <v>2592</v>
      </c>
      <c r="L2551" s="335">
        <f t="shared" si="575"/>
        <v>0</v>
      </c>
      <c r="M2551" s="446"/>
      <c r="N2551" s="446"/>
      <c r="O2551" s="446"/>
      <c r="P2551" s="446"/>
      <c r="Q2551" s="110">
        <f t="shared" si="570"/>
        <v>15</v>
      </c>
      <c r="R2551" s="111">
        <f t="shared" si="573"/>
        <v>648</v>
      </c>
      <c r="S2551" s="110"/>
      <c r="T2551" s="110"/>
      <c r="U2551" s="110">
        <f t="shared" si="571"/>
        <v>15</v>
      </c>
      <c r="V2551" s="111">
        <f t="shared" si="574"/>
        <v>648</v>
      </c>
      <c r="W2551" s="110"/>
      <c r="X2551" s="110"/>
      <c r="Y2551" s="110"/>
      <c r="Z2551" s="110"/>
      <c r="AA2551" s="110">
        <f t="shared" si="572"/>
        <v>15</v>
      </c>
      <c r="AB2551" s="111">
        <f t="shared" si="566"/>
        <v>648</v>
      </c>
      <c r="AC2551" s="110"/>
      <c r="AD2551" s="110"/>
      <c r="AE2551" s="110">
        <f t="shared" si="572"/>
        <v>15</v>
      </c>
      <c r="AF2551" s="111">
        <f t="shared" si="567"/>
        <v>648</v>
      </c>
      <c r="AG2551" s="110"/>
      <c r="AH2551" s="110"/>
      <c r="AI2551" s="110"/>
      <c r="AJ2551" s="110"/>
      <c r="AK2551" s="111">
        <f t="shared" si="576"/>
        <v>2592</v>
      </c>
      <c r="AL2551" s="446">
        <f t="shared" si="577"/>
        <v>0</v>
      </c>
      <c r="AM2551" s="110">
        <f t="shared" si="578"/>
        <v>60</v>
      </c>
      <c r="AN2551" s="447">
        <f t="shared" si="569"/>
        <v>0</v>
      </c>
      <c r="AO2551"/>
      <c r="AP2551"/>
    </row>
    <row r="2552" spans="1:42" ht="66" x14ac:dyDescent="0.25">
      <c r="A2552" s="9"/>
      <c r="B2552" s="567" t="s">
        <v>2265</v>
      </c>
      <c r="C2552" s="1024"/>
      <c r="D2552" s="882">
        <v>84</v>
      </c>
      <c r="E2552" s="1025" t="s">
        <v>1722</v>
      </c>
      <c r="F2552" s="273" t="s">
        <v>3446</v>
      </c>
      <c r="G2552" s="1040" t="s">
        <v>3463</v>
      </c>
      <c r="H2552" s="273" t="s">
        <v>3462</v>
      </c>
      <c r="I2552" s="720">
        <f t="shared" si="565"/>
        <v>45.36</v>
      </c>
      <c r="J2552" s="756">
        <v>3810.24</v>
      </c>
      <c r="K2552" s="131">
        <f t="shared" si="568"/>
        <v>3810.24</v>
      </c>
      <c r="L2552" s="335">
        <f t="shared" si="575"/>
        <v>0</v>
      </c>
      <c r="M2552" s="446"/>
      <c r="N2552" s="446"/>
      <c r="O2552" s="446"/>
      <c r="P2552" s="446"/>
      <c r="Q2552" s="110">
        <f t="shared" si="570"/>
        <v>21</v>
      </c>
      <c r="R2552" s="111">
        <f t="shared" si="573"/>
        <v>952.56</v>
      </c>
      <c r="S2552" s="110"/>
      <c r="T2552" s="110"/>
      <c r="U2552" s="110">
        <f t="shared" si="571"/>
        <v>21</v>
      </c>
      <c r="V2552" s="111">
        <f t="shared" si="574"/>
        <v>952.56</v>
      </c>
      <c r="W2552" s="110"/>
      <c r="X2552" s="110"/>
      <c r="Y2552" s="110"/>
      <c r="Z2552" s="110"/>
      <c r="AA2552" s="110">
        <f t="shared" si="572"/>
        <v>21</v>
      </c>
      <c r="AB2552" s="111">
        <f t="shared" si="566"/>
        <v>952.56</v>
      </c>
      <c r="AC2552" s="110"/>
      <c r="AD2552" s="110"/>
      <c r="AE2552" s="110">
        <f t="shared" si="572"/>
        <v>21</v>
      </c>
      <c r="AF2552" s="111">
        <f t="shared" si="567"/>
        <v>952.56</v>
      </c>
      <c r="AG2552" s="110"/>
      <c r="AH2552" s="110"/>
      <c r="AI2552" s="110"/>
      <c r="AJ2552" s="110"/>
      <c r="AK2552" s="111">
        <f t="shared" si="576"/>
        <v>3810.24</v>
      </c>
      <c r="AL2552" s="446">
        <f t="shared" si="577"/>
        <v>0</v>
      </c>
      <c r="AM2552" s="110">
        <f t="shared" si="578"/>
        <v>84</v>
      </c>
      <c r="AN2552" s="447">
        <f t="shared" si="569"/>
        <v>0</v>
      </c>
      <c r="AO2552"/>
      <c r="AP2552"/>
    </row>
    <row r="2553" spans="1:42" ht="66" x14ac:dyDescent="0.25">
      <c r="A2553" s="9"/>
      <c r="B2553" s="567" t="s">
        <v>2266</v>
      </c>
      <c r="C2553" s="1024"/>
      <c r="D2553" s="882">
        <v>60</v>
      </c>
      <c r="E2553" s="1025" t="s">
        <v>1722</v>
      </c>
      <c r="F2553" s="273" t="s">
        <v>3446</v>
      </c>
      <c r="G2553" s="1040" t="s">
        <v>3463</v>
      </c>
      <c r="H2553" s="273" t="s">
        <v>3462</v>
      </c>
      <c r="I2553" s="720">
        <f t="shared" si="565"/>
        <v>51.84</v>
      </c>
      <c r="J2553" s="756">
        <v>3110.4</v>
      </c>
      <c r="K2553" s="131">
        <f t="shared" si="568"/>
        <v>3110.4</v>
      </c>
      <c r="L2553" s="335">
        <f t="shared" si="575"/>
        <v>0</v>
      </c>
      <c r="M2553" s="446"/>
      <c r="N2553" s="446"/>
      <c r="O2553" s="446"/>
      <c r="P2553" s="446"/>
      <c r="Q2553" s="110">
        <f t="shared" si="570"/>
        <v>15</v>
      </c>
      <c r="R2553" s="111">
        <f t="shared" si="573"/>
        <v>777.6</v>
      </c>
      <c r="S2553" s="110"/>
      <c r="T2553" s="110"/>
      <c r="U2553" s="110">
        <f t="shared" si="571"/>
        <v>15</v>
      </c>
      <c r="V2553" s="111">
        <f t="shared" si="574"/>
        <v>777.6</v>
      </c>
      <c r="W2553" s="110"/>
      <c r="X2553" s="110"/>
      <c r="Y2553" s="110"/>
      <c r="Z2553" s="110"/>
      <c r="AA2553" s="110">
        <f t="shared" si="572"/>
        <v>15</v>
      </c>
      <c r="AB2553" s="111">
        <f t="shared" si="566"/>
        <v>777.6</v>
      </c>
      <c r="AC2553" s="110"/>
      <c r="AD2553" s="110"/>
      <c r="AE2553" s="110">
        <f t="shared" si="572"/>
        <v>15</v>
      </c>
      <c r="AF2553" s="111">
        <f t="shared" si="567"/>
        <v>777.6</v>
      </c>
      <c r="AG2553" s="110"/>
      <c r="AH2553" s="110"/>
      <c r="AI2553" s="110"/>
      <c r="AJ2553" s="110"/>
      <c r="AK2553" s="111">
        <f t="shared" si="576"/>
        <v>3110.4</v>
      </c>
      <c r="AL2553" s="446">
        <f t="shared" si="577"/>
        <v>0</v>
      </c>
      <c r="AM2553" s="110">
        <f t="shared" si="578"/>
        <v>60</v>
      </c>
      <c r="AN2553" s="447">
        <f t="shared" si="569"/>
        <v>0</v>
      </c>
      <c r="AO2553"/>
      <c r="AP2553"/>
    </row>
    <row r="2554" spans="1:42" ht="66" x14ac:dyDescent="0.25">
      <c r="A2554" s="9"/>
      <c r="B2554" s="567" t="s">
        <v>2267</v>
      </c>
      <c r="C2554" s="1024"/>
      <c r="D2554" s="882">
        <v>60</v>
      </c>
      <c r="E2554" s="1025" t="s">
        <v>1722</v>
      </c>
      <c r="F2554" s="273" t="s">
        <v>3446</v>
      </c>
      <c r="G2554" s="1040" t="s">
        <v>3463</v>
      </c>
      <c r="H2554" s="273" t="s">
        <v>3462</v>
      </c>
      <c r="I2554" s="720">
        <f t="shared" ref="I2554:I2617" si="579">+J2554/D2554</f>
        <v>18.36</v>
      </c>
      <c r="J2554" s="756">
        <v>1101.5999999999999</v>
      </c>
      <c r="K2554" s="131">
        <f t="shared" si="568"/>
        <v>1101.5999999999999</v>
      </c>
      <c r="L2554" s="335">
        <f t="shared" si="575"/>
        <v>0</v>
      </c>
      <c r="M2554" s="446"/>
      <c r="N2554" s="446"/>
      <c r="O2554" s="446"/>
      <c r="P2554" s="446"/>
      <c r="Q2554" s="110">
        <f t="shared" si="570"/>
        <v>15</v>
      </c>
      <c r="R2554" s="111">
        <f t="shared" si="573"/>
        <v>275.39999999999998</v>
      </c>
      <c r="S2554" s="110"/>
      <c r="T2554" s="110"/>
      <c r="U2554" s="110">
        <f t="shared" si="571"/>
        <v>15</v>
      </c>
      <c r="V2554" s="111">
        <f t="shared" si="574"/>
        <v>275.39999999999998</v>
      </c>
      <c r="W2554" s="110"/>
      <c r="X2554" s="110"/>
      <c r="Y2554" s="110"/>
      <c r="Z2554" s="110"/>
      <c r="AA2554" s="110">
        <f t="shared" si="572"/>
        <v>15</v>
      </c>
      <c r="AB2554" s="111">
        <f t="shared" si="566"/>
        <v>275.39999999999998</v>
      </c>
      <c r="AC2554" s="110"/>
      <c r="AD2554" s="110"/>
      <c r="AE2554" s="110">
        <f t="shared" si="572"/>
        <v>15</v>
      </c>
      <c r="AF2554" s="111">
        <f t="shared" si="567"/>
        <v>275.39999999999998</v>
      </c>
      <c r="AG2554" s="110"/>
      <c r="AH2554" s="110"/>
      <c r="AI2554" s="110"/>
      <c r="AJ2554" s="110"/>
      <c r="AK2554" s="111">
        <f t="shared" si="576"/>
        <v>1101.5999999999999</v>
      </c>
      <c r="AL2554" s="446">
        <f t="shared" si="577"/>
        <v>0</v>
      </c>
      <c r="AM2554" s="110">
        <f t="shared" si="578"/>
        <v>60</v>
      </c>
      <c r="AN2554" s="447">
        <f t="shared" si="569"/>
        <v>0</v>
      </c>
      <c r="AO2554"/>
      <c r="AP2554"/>
    </row>
    <row r="2555" spans="1:42" ht="66" x14ac:dyDescent="0.25">
      <c r="A2555" s="9"/>
      <c r="B2555" s="567" t="s">
        <v>2268</v>
      </c>
      <c r="C2555" s="1024"/>
      <c r="D2555" s="882">
        <v>120</v>
      </c>
      <c r="E2555" s="1025" t="s">
        <v>1722</v>
      </c>
      <c r="F2555" s="273" t="s">
        <v>3446</v>
      </c>
      <c r="G2555" s="1040" t="s">
        <v>3463</v>
      </c>
      <c r="H2555" s="273" t="s">
        <v>3462</v>
      </c>
      <c r="I2555" s="720">
        <f t="shared" si="579"/>
        <v>56.16</v>
      </c>
      <c r="J2555" s="756">
        <v>6739.2</v>
      </c>
      <c r="K2555" s="131">
        <f t="shared" si="568"/>
        <v>6739.2</v>
      </c>
      <c r="L2555" s="335">
        <f t="shared" si="575"/>
        <v>0</v>
      </c>
      <c r="M2555" s="446"/>
      <c r="N2555" s="446"/>
      <c r="O2555" s="446"/>
      <c r="P2555" s="446"/>
      <c r="Q2555" s="110">
        <v>50</v>
      </c>
      <c r="R2555" s="111">
        <f t="shared" si="573"/>
        <v>1684.8</v>
      </c>
      <c r="S2555" s="110"/>
      <c r="T2555" s="110"/>
      <c r="U2555" s="110">
        <v>50</v>
      </c>
      <c r="V2555" s="111">
        <f t="shared" si="574"/>
        <v>1684.8</v>
      </c>
      <c r="W2555" s="110"/>
      <c r="X2555" s="110"/>
      <c r="Y2555" s="110"/>
      <c r="Z2555" s="110"/>
      <c r="AA2555" s="110">
        <v>10</v>
      </c>
      <c r="AB2555" s="111">
        <f t="shared" si="566"/>
        <v>1684.8</v>
      </c>
      <c r="AC2555" s="110"/>
      <c r="AD2555" s="110"/>
      <c r="AE2555" s="110">
        <v>10</v>
      </c>
      <c r="AF2555" s="111">
        <f t="shared" si="567"/>
        <v>1684.8</v>
      </c>
      <c r="AG2555" s="110"/>
      <c r="AH2555" s="110"/>
      <c r="AI2555" s="110"/>
      <c r="AJ2555" s="110"/>
      <c r="AK2555" s="111">
        <f t="shared" si="576"/>
        <v>6739.2</v>
      </c>
      <c r="AL2555" s="446">
        <f t="shared" si="577"/>
        <v>0</v>
      </c>
      <c r="AM2555" s="110">
        <f t="shared" si="578"/>
        <v>120</v>
      </c>
      <c r="AN2555" s="447">
        <f t="shared" si="569"/>
        <v>0</v>
      </c>
      <c r="AO2555"/>
      <c r="AP2555"/>
    </row>
    <row r="2556" spans="1:42" ht="66" x14ac:dyDescent="0.25">
      <c r="A2556" s="9"/>
      <c r="B2556" s="567" t="s">
        <v>2269</v>
      </c>
      <c r="C2556" s="1024"/>
      <c r="D2556" s="882">
        <v>120</v>
      </c>
      <c r="E2556" s="1025" t="s">
        <v>1722</v>
      </c>
      <c r="F2556" s="273" t="s">
        <v>3446</v>
      </c>
      <c r="G2556" s="1040" t="s">
        <v>3463</v>
      </c>
      <c r="H2556" s="273" t="s">
        <v>3462</v>
      </c>
      <c r="I2556" s="720">
        <f t="shared" si="579"/>
        <v>51.84</v>
      </c>
      <c r="J2556" s="756">
        <v>6220.8</v>
      </c>
      <c r="K2556" s="131">
        <f t="shared" si="568"/>
        <v>6220.8</v>
      </c>
      <c r="L2556" s="335">
        <f t="shared" si="575"/>
        <v>0</v>
      </c>
      <c r="M2556" s="446"/>
      <c r="N2556" s="446"/>
      <c r="O2556" s="446"/>
      <c r="P2556" s="446"/>
      <c r="Q2556" s="110">
        <v>50</v>
      </c>
      <c r="R2556" s="111">
        <f t="shared" si="573"/>
        <v>1555.2</v>
      </c>
      <c r="S2556" s="110"/>
      <c r="T2556" s="110"/>
      <c r="U2556" s="110">
        <v>50</v>
      </c>
      <c r="V2556" s="111">
        <f t="shared" si="574"/>
        <v>1555.2</v>
      </c>
      <c r="W2556" s="110"/>
      <c r="X2556" s="110"/>
      <c r="Y2556" s="110"/>
      <c r="Z2556" s="110"/>
      <c r="AA2556" s="110">
        <v>10</v>
      </c>
      <c r="AB2556" s="111">
        <f t="shared" si="566"/>
        <v>1555.2</v>
      </c>
      <c r="AC2556" s="110"/>
      <c r="AD2556" s="110"/>
      <c r="AE2556" s="110">
        <v>10</v>
      </c>
      <c r="AF2556" s="111">
        <f t="shared" si="567"/>
        <v>1555.2</v>
      </c>
      <c r="AG2556" s="110"/>
      <c r="AH2556" s="110"/>
      <c r="AI2556" s="110"/>
      <c r="AJ2556" s="110"/>
      <c r="AK2556" s="111">
        <f t="shared" si="576"/>
        <v>6220.8</v>
      </c>
      <c r="AL2556" s="446">
        <f t="shared" si="577"/>
        <v>0</v>
      </c>
      <c r="AM2556" s="110">
        <f t="shared" si="578"/>
        <v>120</v>
      </c>
      <c r="AN2556" s="447">
        <f t="shared" si="569"/>
        <v>0</v>
      </c>
      <c r="AO2556"/>
      <c r="AP2556"/>
    </row>
    <row r="2557" spans="1:42" ht="66" x14ac:dyDescent="0.25">
      <c r="A2557" s="9"/>
      <c r="B2557" s="567" t="s">
        <v>2270</v>
      </c>
      <c r="C2557" s="1024"/>
      <c r="D2557" s="882">
        <v>120</v>
      </c>
      <c r="E2557" s="1025" t="s">
        <v>1722</v>
      </c>
      <c r="F2557" s="273" t="s">
        <v>3446</v>
      </c>
      <c r="G2557" s="1040" t="s">
        <v>3463</v>
      </c>
      <c r="H2557" s="273" t="s">
        <v>3462</v>
      </c>
      <c r="I2557" s="720">
        <f t="shared" si="579"/>
        <v>46.439999999999991</v>
      </c>
      <c r="J2557" s="756">
        <v>5572.7999999999993</v>
      </c>
      <c r="K2557" s="131">
        <f t="shared" si="568"/>
        <v>5572.7999999999993</v>
      </c>
      <c r="L2557" s="335">
        <f t="shared" si="575"/>
        <v>0</v>
      </c>
      <c r="M2557" s="446"/>
      <c r="N2557" s="446"/>
      <c r="O2557" s="446"/>
      <c r="P2557" s="446"/>
      <c r="Q2557" s="110">
        <v>50</v>
      </c>
      <c r="R2557" s="111">
        <f t="shared" si="573"/>
        <v>1393.1999999999998</v>
      </c>
      <c r="S2557" s="110"/>
      <c r="T2557" s="110"/>
      <c r="U2557" s="110">
        <v>50</v>
      </c>
      <c r="V2557" s="111">
        <f t="shared" si="574"/>
        <v>1393.1999999999998</v>
      </c>
      <c r="W2557" s="110"/>
      <c r="X2557" s="110"/>
      <c r="Y2557" s="110"/>
      <c r="Z2557" s="110"/>
      <c r="AA2557" s="110">
        <v>10</v>
      </c>
      <c r="AB2557" s="111">
        <f t="shared" si="566"/>
        <v>1393.1999999999998</v>
      </c>
      <c r="AC2557" s="110"/>
      <c r="AD2557" s="110"/>
      <c r="AE2557" s="110">
        <v>10</v>
      </c>
      <c r="AF2557" s="111">
        <f t="shared" si="567"/>
        <v>1393.1999999999998</v>
      </c>
      <c r="AG2557" s="110"/>
      <c r="AH2557" s="110"/>
      <c r="AI2557" s="110"/>
      <c r="AJ2557" s="110"/>
      <c r="AK2557" s="111">
        <f t="shared" si="576"/>
        <v>5572.7999999999993</v>
      </c>
      <c r="AL2557" s="446">
        <f t="shared" si="577"/>
        <v>0</v>
      </c>
      <c r="AM2557" s="110">
        <f t="shared" si="578"/>
        <v>120</v>
      </c>
      <c r="AN2557" s="447">
        <f t="shared" si="569"/>
        <v>0</v>
      </c>
      <c r="AO2557"/>
      <c r="AP2557"/>
    </row>
    <row r="2558" spans="1:42" ht="66" x14ac:dyDescent="0.25">
      <c r="A2558" s="9"/>
      <c r="B2558" s="567" t="s">
        <v>2271</v>
      </c>
      <c r="C2558" s="1024"/>
      <c r="D2558" s="882">
        <v>120</v>
      </c>
      <c r="E2558" s="1025" t="s">
        <v>1722</v>
      </c>
      <c r="F2558" s="273" t="s">
        <v>3446</v>
      </c>
      <c r="G2558" s="1040" t="s">
        <v>3463</v>
      </c>
      <c r="H2558" s="273" t="s">
        <v>3462</v>
      </c>
      <c r="I2558" s="720">
        <f t="shared" si="579"/>
        <v>70.2</v>
      </c>
      <c r="J2558" s="756">
        <v>8424</v>
      </c>
      <c r="K2558" s="131">
        <f t="shared" si="568"/>
        <v>8424</v>
      </c>
      <c r="L2558" s="335">
        <f t="shared" si="575"/>
        <v>0</v>
      </c>
      <c r="M2558" s="446"/>
      <c r="N2558" s="446"/>
      <c r="O2558" s="446"/>
      <c r="P2558" s="446"/>
      <c r="Q2558" s="110">
        <v>50</v>
      </c>
      <c r="R2558" s="111">
        <f t="shared" si="573"/>
        <v>2106</v>
      </c>
      <c r="S2558" s="110"/>
      <c r="T2558" s="110"/>
      <c r="U2558" s="110">
        <v>50</v>
      </c>
      <c r="V2558" s="111">
        <f t="shared" si="574"/>
        <v>2106</v>
      </c>
      <c r="W2558" s="110"/>
      <c r="X2558" s="110"/>
      <c r="Y2558" s="110"/>
      <c r="Z2558" s="110"/>
      <c r="AA2558" s="110">
        <v>10</v>
      </c>
      <c r="AB2558" s="111">
        <f t="shared" si="566"/>
        <v>2106</v>
      </c>
      <c r="AC2558" s="110"/>
      <c r="AD2558" s="110"/>
      <c r="AE2558" s="110">
        <v>10</v>
      </c>
      <c r="AF2558" s="111">
        <f t="shared" si="567"/>
        <v>2106</v>
      </c>
      <c r="AG2558" s="110"/>
      <c r="AH2558" s="110"/>
      <c r="AI2558" s="110"/>
      <c r="AJ2558" s="110"/>
      <c r="AK2558" s="111">
        <f t="shared" si="576"/>
        <v>8424</v>
      </c>
      <c r="AL2558" s="446">
        <f t="shared" si="577"/>
        <v>0</v>
      </c>
      <c r="AM2558" s="110">
        <f t="shared" si="578"/>
        <v>120</v>
      </c>
      <c r="AN2558" s="447">
        <f t="shared" si="569"/>
        <v>0</v>
      </c>
      <c r="AO2558"/>
      <c r="AP2558"/>
    </row>
    <row r="2559" spans="1:42" ht="66" x14ac:dyDescent="0.25">
      <c r="A2559" s="9"/>
      <c r="B2559" s="567" t="s">
        <v>2272</v>
      </c>
      <c r="C2559" s="1024"/>
      <c r="D2559" s="882">
        <v>120</v>
      </c>
      <c r="E2559" s="1025" t="s">
        <v>1722</v>
      </c>
      <c r="F2559" s="273" t="s">
        <v>3446</v>
      </c>
      <c r="G2559" s="1040" t="s">
        <v>3463</v>
      </c>
      <c r="H2559" s="273" t="s">
        <v>3462</v>
      </c>
      <c r="I2559" s="720">
        <f t="shared" si="579"/>
        <v>62.64</v>
      </c>
      <c r="J2559" s="756">
        <v>7516.8</v>
      </c>
      <c r="K2559" s="131">
        <f t="shared" si="568"/>
        <v>7516.8</v>
      </c>
      <c r="L2559" s="335">
        <f t="shared" si="575"/>
        <v>0</v>
      </c>
      <c r="M2559" s="446"/>
      <c r="N2559" s="446"/>
      <c r="O2559" s="446"/>
      <c r="P2559" s="446"/>
      <c r="Q2559" s="110">
        <v>50</v>
      </c>
      <c r="R2559" s="111">
        <f t="shared" si="573"/>
        <v>1879.2</v>
      </c>
      <c r="S2559" s="110"/>
      <c r="T2559" s="110"/>
      <c r="U2559" s="110">
        <v>50</v>
      </c>
      <c r="V2559" s="111">
        <f t="shared" si="574"/>
        <v>1879.2</v>
      </c>
      <c r="W2559" s="110"/>
      <c r="X2559" s="110"/>
      <c r="Y2559" s="110"/>
      <c r="Z2559" s="110"/>
      <c r="AA2559" s="110">
        <v>10</v>
      </c>
      <c r="AB2559" s="111">
        <f t="shared" si="566"/>
        <v>1879.2</v>
      </c>
      <c r="AC2559" s="110"/>
      <c r="AD2559" s="110"/>
      <c r="AE2559" s="110">
        <v>10</v>
      </c>
      <c r="AF2559" s="111">
        <f t="shared" si="567"/>
        <v>1879.2</v>
      </c>
      <c r="AG2559" s="110"/>
      <c r="AH2559" s="110"/>
      <c r="AI2559" s="110"/>
      <c r="AJ2559" s="110"/>
      <c r="AK2559" s="111">
        <f t="shared" si="576"/>
        <v>7516.8</v>
      </c>
      <c r="AL2559" s="446">
        <f t="shared" si="577"/>
        <v>0</v>
      </c>
      <c r="AM2559" s="110">
        <f t="shared" si="578"/>
        <v>120</v>
      </c>
      <c r="AN2559" s="447">
        <f t="shared" si="569"/>
        <v>0</v>
      </c>
      <c r="AO2559"/>
      <c r="AP2559"/>
    </row>
    <row r="2560" spans="1:42" ht="66" x14ac:dyDescent="0.25">
      <c r="A2560" s="9"/>
      <c r="B2560" s="567" t="s">
        <v>2273</v>
      </c>
      <c r="C2560" s="1024"/>
      <c r="D2560" s="882">
        <v>120</v>
      </c>
      <c r="E2560" s="1025" t="s">
        <v>1722</v>
      </c>
      <c r="F2560" s="273" t="s">
        <v>3446</v>
      </c>
      <c r="G2560" s="1040" t="s">
        <v>3463</v>
      </c>
      <c r="H2560" s="273" t="s">
        <v>3462</v>
      </c>
      <c r="I2560" s="720">
        <f t="shared" si="579"/>
        <v>20.52</v>
      </c>
      <c r="J2560" s="756">
        <v>2462.4</v>
      </c>
      <c r="K2560" s="131">
        <f t="shared" si="568"/>
        <v>2462.4</v>
      </c>
      <c r="L2560" s="335">
        <f t="shared" si="575"/>
        <v>0</v>
      </c>
      <c r="M2560" s="446"/>
      <c r="N2560" s="446"/>
      <c r="O2560" s="446"/>
      <c r="P2560" s="446"/>
      <c r="Q2560" s="110">
        <v>50</v>
      </c>
      <c r="R2560" s="111">
        <f t="shared" si="573"/>
        <v>615.6</v>
      </c>
      <c r="S2560" s="110"/>
      <c r="T2560" s="110"/>
      <c r="U2560" s="110">
        <v>50</v>
      </c>
      <c r="V2560" s="111">
        <f t="shared" si="574"/>
        <v>615.6</v>
      </c>
      <c r="W2560" s="110"/>
      <c r="X2560" s="110"/>
      <c r="Y2560" s="110"/>
      <c r="Z2560" s="110"/>
      <c r="AA2560" s="110">
        <v>10</v>
      </c>
      <c r="AB2560" s="111">
        <f t="shared" si="566"/>
        <v>615.6</v>
      </c>
      <c r="AC2560" s="110"/>
      <c r="AD2560" s="110"/>
      <c r="AE2560" s="110">
        <v>10</v>
      </c>
      <c r="AF2560" s="111">
        <f t="shared" si="567"/>
        <v>615.6</v>
      </c>
      <c r="AG2560" s="110"/>
      <c r="AH2560" s="110"/>
      <c r="AI2560" s="110"/>
      <c r="AJ2560" s="110"/>
      <c r="AK2560" s="111">
        <f t="shared" si="576"/>
        <v>2462.4</v>
      </c>
      <c r="AL2560" s="446">
        <f t="shared" si="577"/>
        <v>0</v>
      </c>
      <c r="AM2560" s="110">
        <f t="shared" si="578"/>
        <v>120</v>
      </c>
      <c r="AN2560" s="447">
        <f t="shared" si="569"/>
        <v>0</v>
      </c>
      <c r="AO2560"/>
      <c r="AP2560"/>
    </row>
    <row r="2561" spans="1:42" ht="66" x14ac:dyDescent="0.25">
      <c r="A2561" s="9"/>
      <c r="B2561" s="567" t="s">
        <v>2274</v>
      </c>
      <c r="C2561" s="1024"/>
      <c r="D2561" s="882">
        <v>84</v>
      </c>
      <c r="E2561" s="1025" t="s">
        <v>1722</v>
      </c>
      <c r="F2561" s="273" t="s">
        <v>3446</v>
      </c>
      <c r="G2561" s="1040" t="s">
        <v>3463</v>
      </c>
      <c r="H2561" s="273" t="s">
        <v>3462</v>
      </c>
      <c r="I2561" s="720">
        <f t="shared" si="579"/>
        <v>70.2</v>
      </c>
      <c r="J2561" s="756">
        <v>5896.8</v>
      </c>
      <c r="K2561" s="131">
        <f t="shared" si="568"/>
        <v>5896.8</v>
      </c>
      <c r="L2561" s="335">
        <f t="shared" si="575"/>
        <v>0</v>
      </c>
      <c r="M2561" s="446"/>
      <c r="N2561" s="446"/>
      <c r="O2561" s="446"/>
      <c r="P2561" s="446"/>
      <c r="Q2561" s="110">
        <f t="shared" si="570"/>
        <v>21</v>
      </c>
      <c r="R2561" s="111">
        <f t="shared" si="573"/>
        <v>1474.2</v>
      </c>
      <c r="S2561" s="110"/>
      <c r="T2561" s="110"/>
      <c r="U2561" s="110">
        <f t="shared" si="571"/>
        <v>21</v>
      </c>
      <c r="V2561" s="111">
        <f t="shared" si="574"/>
        <v>1474.2</v>
      </c>
      <c r="W2561" s="110"/>
      <c r="X2561" s="110"/>
      <c r="Y2561" s="110"/>
      <c r="Z2561" s="110"/>
      <c r="AA2561" s="110">
        <f t="shared" si="572"/>
        <v>21</v>
      </c>
      <c r="AB2561" s="111">
        <f t="shared" si="566"/>
        <v>1474.2</v>
      </c>
      <c r="AC2561" s="110"/>
      <c r="AD2561" s="110"/>
      <c r="AE2561" s="110">
        <f t="shared" si="572"/>
        <v>21</v>
      </c>
      <c r="AF2561" s="111">
        <f t="shared" si="567"/>
        <v>1474.2</v>
      </c>
      <c r="AG2561" s="110"/>
      <c r="AH2561" s="110"/>
      <c r="AI2561" s="110"/>
      <c r="AJ2561" s="110"/>
      <c r="AK2561" s="111">
        <f t="shared" si="576"/>
        <v>5896.8</v>
      </c>
      <c r="AL2561" s="446">
        <f t="shared" si="577"/>
        <v>0</v>
      </c>
      <c r="AM2561" s="110">
        <f t="shared" si="578"/>
        <v>84</v>
      </c>
      <c r="AN2561" s="447">
        <f t="shared" si="569"/>
        <v>0</v>
      </c>
      <c r="AO2561"/>
      <c r="AP2561"/>
    </row>
    <row r="2562" spans="1:42" ht="66" x14ac:dyDescent="0.25">
      <c r="A2562" s="9"/>
      <c r="B2562" s="567" t="s">
        <v>2275</v>
      </c>
      <c r="C2562" s="1024"/>
      <c r="D2562" s="882">
        <v>84</v>
      </c>
      <c r="E2562" s="1025" t="s">
        <v>2321</v>
      </c>
      <c r="F2562" s="273" t="s">
        <v>3446</v>
      </c>
      <c r="G2562" s="1040" t="s">
        <v>3463</v>
      </c>
      <c r="H2562" s="273" t="s">
        <v>3462</v>
      </c>
      <c r="I2562" s="720">
        <f t="shared" si="579"/>
        <v>43.2</v>
      </c>
      <c r="J2562" s="756">
        <v>3628.8</v>
      </c>
      <c r="K2562" s="131">
        <f t="shared" si="568"/>
        <v>3628.8</v>
      </c>
      <c r="L2562" s="335">
        <f t="shared" si="575"/>
        <v>0</v>
      </c>
      <c r="M2562" s="446"/>
      <c r="N2562" s="446"/>
      <c r="O2562" s="446"/>
      <c r="P2562" s="446"/>
      <c r="Q2562" s="110">
        <f t="shared" si="570"/>
        <v>21</v>
      </c>
      <c r="R2562" s="111">
        <f t="shared" si="573"/>
        <v>907.2</v>
      </c>
      <c r="S2562" s="110"/>
      <c r="T2562" s="110"/>
      <c r="U2562" s="110">
        <f t="shared" si="571"/>
        <v>21</v>
      </c>
      <c r="V2562" s="111">
        <f t="shared" si="574"/>
        <v>907.2</v>
      </c>
      <c r="W2562" s="110"/>
      <c r="X2562" s="110"/>
      <c r="Y2562" s="110"/>
      <c r="Z2562" s="110"/>
      <c r="AA2562" s="110">
        <f t="shared" si="572"/>
        <v>21</v>
      </c>
      <c r="AB2562" s="111">
        <f t="shared" si="566"/>
        <v>907.2</v>
      </c>
      <c r="AC2562" s="110"/>
      <c r="AD2562" s="110"/>
      <c r="AE2562" s="110">
        <f t="shared" si="572"/>
        <v>21</v>
      </c>
      <c r="AF2562" s="111">
        <f t="shared" si="567"/>
        <v>907.2</v>
      </c>
      <c r="AG2562" s="110"/>
      <c r="AH2562" s="110"/>
      <c r="AI2562" s="110"/>
      <c r="AJ2562" s="110"/>
      <c r="AK2562" s="111">
        <f t="shared" si="576"/>
        <v>3628.8</v>
      </c>
      <c r="AL2562" s="446">
        <f t="shared" si="577"/>
        <v>0</v>
      </c>
      <c r="AM2562" s="110">
        <f t="shared" si="578"/>
        <v>84</v>
      </c>
      <c r="AN2562" s="447">
        <f t="shared" si="569"/>
        <v>0</v>
      </c>
      <c r="AO2562"/>
      <c r="AP2562"/>
    </row>
    <row r="2563" spans="1:42" ht="66" x14ac:dyDescent="0.25">
      <c r="A2563" s="9"/>
      <c r="B2563" s="567" t="s">
        <v>2276</v>
      </c>
      <c r="C2563" s="1024"/>
      <c r="D2563" s="882">
        <v>48</v>
      </c>
      <c r="E2563" s="1025" t="s">
        <v>1722</v>
      </c>
      <c r="F2563" s="273" t="s">
        <v>3446</v>
      </c>
      <c r="G2563" s="1040" t="s">
        <v>3463</v>
      </c>
      <c r="H2563" s="273" t="s">
        <v>3462</v>
      </c>
      <c r="I2563" s="720">
        <f t="shared" si="579"/>
        <v>36.72</v>
      </c>
      <c r="J2563" s="756">
        <v>1762.56</v>
      </c>
      <c r="K2563" s="131">
        <f t="shared" si="568"/>
        <v>1762.56</v>
      </c>
      <c r="L2563" s="335">
        <f t="shared" si="575"/>
        <v>0</v>
      </c>
      <c r="M2563" s="446"/>
      <c r="N2563" s="446"/>
      <c r="O2563" s="446"/>
      <c r="P2563" s="446"/>
      <c r="Q2563" s="110">
        <f t="shared" si="570"/>
        <v>12</v>
      </c>
      <c r="R2563" s="111">
        <f t="shared" si="573"/>
        <v>440.64</v>
      </c>
      <c r="S2563" s="110"/>
      <c r="T2563" s="110"/>
      <c r="U2563" s="110">
        <f t="shared" si="571"/>
        <v>12</v>
      </c>
      <c r="V2563" s="111">
        <f t="shared" si="574"/>
        <v>440.64</v>
      </c>
      <c r="W2563" s="110"/>
      <c r="X2563" s="110"/>
      <c r="Y2563" s="110"/>
      <c r="Z2563" s="110"/>
      <c r="AA2563" s="110">
        <f t="shared" si="572"/>
        <v>12</v>
      </c>
      <c r="AB2563" s="111">
        <f t="shared" si="566"/>
        <v>440.64</v>
      </c>
      <c r="AC2563" s="110"/>
      <c r="AD2563" s="110"/>
      <c r="AE2563" s="110">
        <f t="shared" si="572"/>
        <v>12</v>
      </c>
      <c r="AF2563" s="111">
        <f t="shared" si="567"/>
        <v>440.64</v>
      </c>
      <c r="AG2563" s="110"/>
      <c r="AH2563" s="110"/>
      <c r="AI2563" s="110"/>
      <c r="AJ2563" s="110"/>
      <c r="AK2563" s="111">
        <f t="shared" si="576"/>
        <v>1762.56</v>
      </c>
      <c r="AL2563" s="446">
        <f t="shared" si="577"/>
        <v>0</v>
      </c>
      <c r="AM2563" s="110">
        <f t="shared" si="578"/>
        <v>48</v>
      </c>
      <c r="AN2563" s="447">
        <f t="shared" si="569"/>
        <v>0</v>
      </c>
      <c r="AO2563"/>
      <c r="AP2563"/>
    </row>
    <row r="2564" spans="1:42" ht="66" x14ac:dyDescent="0.25">
      <c r="A2564" s="9"/>
      <c r="B2564" s="567" t="s">
        <v>2277</v>
      </c>
      <c r="C2564" s="1024"/>
      <c r="D2564" s="882">
        <v>48</v>
      </c>
      <c r="E2564" s="1025" t="s">
        <v>2321</v>
      </c>
      <c r="F2564" s="273" t="s">
        <v>3446</v>
      </c>
      <c r="G2564" s="1040" t="s">
        <v>3463</v>
      </c>
      <c r="H2564" s="273" t="s">
        <v>3462</v>
      </c>
      <c r="I2564" s="720">
        <f t="shared" si="579"/>
        <v>70.2</v>
      </c>
      <c r="J2564" s="756">
        <v>3369.6000000000004</v>
      </c>
      <c r="K2564" s="131">
        <f t="shared" si="568"/>
        <v>3369.6000000000004</v>
      </c>
      <c r="L2564" s="335">
        <f t="shared" si="575"/>
        <v>0</v>
      </c>
      <c r="M2564" s="446"/>
      <c r="N2564" s="446"/>
      <c r="O2564" s="446"/>
      <c r="P2564" s="446"/>
      <c r="Q2564" s="110">
        <f t="shared" si="570"/>
        <v>12</v>
      </c>
      <c r="R2564" s="111">
        <f t="shared" si="573"/>
        <v>842.40000000000009</v>
      </c>
      <c r="S2564" s="110"/>
      <c r="T2564" s="110"/>
      <c r="U2564" s="110">
        <f t="shared" si="571"/>
        <v>12</v>
      </c>
      <c r="V2564" s="111">
        <f t="shared" si="574"/>
        <v>842.40000000000009</v>
      </c>
      <c r="W2564" s="110"/>
      <c r="X2564" s="110"/>
      <c r="Y2564" s="110"/>
      <c r="Z2564" s="110"/>
      <c r="AA2564" s="110">
        <f t="shared" si="572"/>
        <v>12</v>
      </c>
      <c r="AB2564" s="111">
        <f t="shared" si="566"/>
        <v>842.40000000000009</v>
      </c>
      <c r="AC2564" s="110"/>
      <c r="AD2564" s="110"/>
      <c r="AE2564" s="110">
        <f t="shared" si="572"/>
        <v>12</v>
      </c>
      <c r="AF2564" s="111">
        <f t="shared" si="567"/>
        <v>842.40000000000009</v>
      </c>
      <c r="AG2564" s="110"/>
      <c r="AH2564" s="110"/>
      <c r="AI2564" s="110"/>
      <c r="AJ2564" s="110"/>
      <c r="AK2564" s="111">
        <f t="shared" si="576"/>
        <v>3369.6000000000004</v>
      </c>
      <c r="AL2564" s="446">
        <f t="shared" si="577"/>
        <v>0</v>
      </c>
      <c r="AM2564" s="110">
        <f t="shared" si="578"/>
        <v>48</v>
      </c>
      <c r="AN2564" s="447">
        <f t="shared" si="569"/>
        <v>0</v>
      </c>
      <c r="AO2564"/>
      <c r="AP2564"/>
    </row>
    <row r="2565" spans="1:42" ht="66" x14ac:dyDescent="0.25">
      <c r="A2565" s="9"/>
      <c r="B2565" s="567" t="s">
        <v>2278</v>
      </c>
      <c r="C2565" s="1024"/>
      <c r="D2565" s="882">
        <v>36</v>
      </c>
      <c r="E2565" s="1025" t="s">
        <v>1722</v>
      </c>
      <c r="F2565" s="273" t="s">
        <v>3446</v>
      </c>
      <c r="G2565" s="1040" t="s">
        <v>3463</v>
      </c>
      <c r="H2565" s="273" t="s">
        <v>3462</v>
      </c>
      <c r="I2565" s="720">
        <f t="shared" si="579"/>
        <v>66.959999999999994</v>
      </c>
      <c r="J2565" s="756">
        <v>2410.56</v>
      </c>
      <c r="K2565" s="131">
        <f t="shared" si="568"/>
        <v>2410.56</v>
      </c>
      <c r="L2565" s="335">
        <f t="shared" si="575"/>
        <v>0</v>
      </c>
      <c r="M2565" s="446"/>
      <c r="N2565" s="446"/>
      <c r="O2565" s="446"/>
      <c r="P2565" s="446"/>
      <c r="Q2565" s="110">
        <f t="shared" si="570"/>
        <v>9</v>
      </c>
      <c r="R2565" s="111">
        <f t="shared" si="573"/>
        <v>602.64</v>
      </c>
      <c r="S2565" s="110"/>
      <c r="T2565" s="110"/>
      <c r="U2565" s="110">
        <f t="shared" si="571"/>
        <v>9</v>
      </c>
      <c r="V2565" s="111">
        <f t="shared" si="574"/>
        <v>602.64</v>
      </c>
      <c r="W2565" s="110"/>
      <c r="X2565" s="110"/>
      <c r="Y2565" s="110"/>
      <c r="Z2565" s="110"/>
      <c r="AA2565" s="110">
        <f t="shared" si="572"/>
        <v>9</v>
      </c>
      <c r="AB2565" s="111">
        <f t="shared" si="566"/>
        <v>602.64</v>
      </c>
      <c r="AC2565" s="110"/>
      <c r="AD2565" s="110"/>
      <c r="AE2565" s="110">
        <f t="shared" si="572"/>
        <v>9</v>
      </c>
      <c r="AF2565" s="111">
        <f t="shared" si="567"/>
        <v>602.64</v>
      </c>
      <c r="AG2565" s="110"/>
      <c r="AH2565" s="110"/>
      <c r="AI2565" s="110"/>
      <c r="AJ2565" s="110"/>
      <c r="AK2565" s="111">
        <f t="shared" si="576"/>
        <v>2410.56</v>
      </c>
      <c r="AL2565" s="446">
        <f t="shared" si="577"/>
        <v>0</v>
      </c>
      <c r="AM2565" s="110">
        <f t="shared" si="578"/>
        <v>36</v>
      </c>
      <c r="AN2565" s="447">
        <f t="shared" si="569"/>
        <v>0</v>
      </c>
      <c r="AO2565"/>
      <c r="AP2565"/>
    </row>
    <row r="2566" spans="1:42" ht="66" x14ac:dyDescent="0.25">
      <c r="A2566" s="9"/>
      <c r="B2566" s="567" t="s">
        <v>2279</v>
      </c>
      <c r="C2566" s="1024"/>
      <c r="D2566" s="882">
        <v>60</v>
      </c>
      <c r="E2566" s="1025" t="s">
        <v>1722</v>
      </c>
      <c r="F2566" s="273" t="s">
        <v>3446</v>
      </c>
      <c r="G2566" s="1040" t="s">
        <v>3463</v>
      </c>
      <c r="H2566" s="273" t="s">
        <v>3462</v>
      </c>
      <c r="I2566" s="720">
        <f t="shared" si="579"/>
        <v>24.84</v>
      </c>
      <c r="J2566" s="756">
        <v>1490.4</v>
      </c>
      <c r="K2566" s="131">
        <f t="shared" si="568"/>
        <v>1490.4</v>
      </c>
      <c r="L2566" s="335">
        <f t="shared" si="575"/>
        <v>0</v>
      </c>
      <c r="M2566" s="446"/>
      <c r="N2566" s="446"/>
      <c r="O2566" s="446"/>
      <c r="P2566" s="446"/>
      <c r="Q2566" s="110">
        <f t="shared" si="570"/>
        <v>15</v>
      </c>
      <c r="R2566" s="111">
        <f t="shared" si="573"/>
        <v>372.6</v>
      </c>
      <c r="S2566" s="110"/>
      <c r="T2566" s="110"/>
      <c r="U2566" s="110">
        <f t="shared" si="571"/>
        <v>15</v>
      </c>
      <c r="V2566" s="111">
        <f t="shared" si="574"/>
        <v>372.6</v>
      </c>
      <c r="W2566" s="110"/>
      <c r="X2566" s="110"/>
      <c r="Y2566" s="110"/>
      <c r="Z2566" s="110"/>
      <c r="AA2566" s="110">
        <f t="shared" si="572"/>
        <v>15</v>
      </c>
      <c r="AB2566" s="111">
        <f t="shared" si="566"/>
        <v>372.6</v>
      </c>
      <c r="AC2566" s="110"/>
      <c r="AD2566" s="110"/>
      <c r="AE2566" s="110">
        <f t="shared" si="572"/>
        <v>15</v>
      </c>
      <c r="AF2566" s="111">
        <f t="shared" si="567"/>
        <v>372.6</v>
      </c>
      <c r="AG2566" s="110"/>
      <c r="AH2566" s="110"/>
      <c r="AI2566" s="110"/>
      <c r="AJ2566" s="110"/>
      <c r="AK2566" s="111">
        <f t="shared" si="576"/>
        <v>1490.4</v>
      </c>
      <c r="AL2566" s="446">
        <f t="shared" si="577"/>
        <v>0</v>
      </c>
      <c r="AM2566" s="110">
        <f t="shared" si="578"/>
        <v>60</v>
      </c>
      <c r="AN2566" s="447">
        <f t="shared" si="569"/>
        <v>0</v>
      </c>
      <c r="AO2566"/>
      <c r="AP2566"/>
    </row>
    <row r="2567" spans="1:42" ht="66" x14ac:dyDescent="0.25">
      <c r="A2567" s="9"/>
      <c r="B2567" s="567" t="s">
        <v>2280</v>
      </c>
      <c r="C2567" s="1024"/>
      <c r="D2567" s="882">
        <v>120</v>
      </c>
      <c r="E2567" s="1025" t="s">
        <v>1722</v>
      </c>
      <c r="F2567" s="273" t="s">
        <v>3446</v>
      </c>
      <c r="G2567" s="1040" t="s">
        <v>3463</v>
      </c>
      <c r="H2567" s="273" t="s">
        <v>3462</v>
      </c>
      <c r="I2567" s="720">
        <f t="shared" si="579"/>
        <v>42.12</v>
      </c>
      <c r="J2567" s="756">
        <v>5054.3999999999996</v>
      </c>
      <c r="K2567" s="131">
        <f t="shared" si="568"/>
        <v>5054.3999999999996</v>
      </c>
      <c r="L2567" s="335">
        <f t="shared" si="575"/>
        <v>0</v>
      </c>
      <c r="M2567" s="446"/>
      <c r="N2567" s="446"/>
      <c r="O2567" s="446"/>
      <c r="P2567" s="446"/>
      <c r="Q2567" s="110">
        <v>50</v>
      </c>
      <c r="R2567" s="111">
        <f t="shared" si="573"/>
        <v>1263.5999999999999</v>
      </c>
      <c r="S2567" s="110"/>
      <c r="T2567" s="110"/>
      <c r="U2567" s="110">
        <v>50</v>
      </c>
      <c r="V2567" s="111">
        <f t="shared" si="574"/>
        <v>1263.5999999999999</v>
      </c>
      <c r="W2567" s="110"/>
      <c r="X2567" s="110"/>
      <c r="Y2567" s="110"/>
      <c r="Z2567" s="110"/>
      <c r="AA2567" s="110">
        <v>10</v>
      </c>
      <c r="AB2567" s="111">
        <f t="shared" ref="AB2567:AB2630" si="580">+J2567/4</f>
        <v>1263.5999999999999</v>
      </c>
      <c r="AC2567" s="110"/>
      <c r="AD2567" s="110"/>
      <c r="AE2567" s="110">
        <v>10</v>
      </c>
      <c r="AF2567" s="111">
        <f t="shared" ref="AF2567:AF2630" si="581">+J2567/4</f>
        <v>1263.5999999999999</v>
      </c>
      <c r="AG2567" s="110"/>
      <c r="AH2567" s="110"/>
      <c r="AI2567" s="110"/>
      <c r="AJ2567" s="110"/>
      <c r="AK2567" s="111">
        <f t="shared" si="576"/>
        <v>5054.3999999999996</v>
      </c>
      <c r="AL2567" s="446">
        <f t="shared" si="577"/>
        <v>0</v>
      </c>
      <c r="AM2567" s="110">
        <f t="shared" si="578"/>
        <v>120</v>
      </c>
      <c r="AN2567" s="447">
        <f t="shared" si="569"/>
        <v>0</v>
      </c>
      <c r="AO2567"/>
      <c r="AP2567"/>
    </row>
    <row r="2568" spans="1:42" ht="66" x14ac:dyDescent="0.25">
      <c r="A2568" s="9"/>
      <c r="B2568" s="567" t="s">
        <v>2281</v>
      </c>
      <c r="C2568" s="1024"/>
      <c r="D2568" s="882">
        <v>240</v>
      </c>
      <c r="E2568" s="1025" t="s">
        <v>1722</v>
      </c>
      <c r="F2568" s="273" t="s">
        <v>3446</v>
      </c>
      <c r="G2568" s="1040" t="s">
        <v>3463</v>
      </c>
      <c r="H2568" s="273" t="s">
        <v>3462</v>
      </c>
      <c r="I2568" s="720">
        <f t="shared" si="579"/>
        <v>37.799999999999997</v>
      </c>
      <c r="J2568" s="756">
        <v>9072</v>
      </c>
      <c r="K2568" s="131">
        <f t="shared" si="568"/>
        <v>9072</v>
      </c>
      <c r="L2568" s="335">
        <f t="shared" si="575"/>
        <v>0</v>
      </c>
      <c r="M2568" s="446"/>
      <c r="N2568" s="446"/>
      <c r="O2568" s="446"/>
      <c r="P2568" s="446"/>
      <c r="Q2568" s="110">
        <f t="shared" si="570"/>
        <v>60</v>
      </c>
      <c r="R2568" s="111">
        <f t="shared" si="573"/>
        <v>2268</v>
      </c>
      <c r="S2568" s="110"/>
      <c r="T2568" s="110"/>
      <c r="U2568" s="110">
        <f t="shared" si="571"/>
        <v>60</v>
      </c>
      <c r="V2568" s="111">
        <f t="shared" si="574"/>
        <v>2268</v>
      </c>
      <c r="W2568" s="110"/>
      <c r="X2568" s="110"/>
      <c r="Y2568" s="110"/>
      <c r="Z2568" s="110"/>
      <c r="AA2568" s="110">
        <f t="shared" si="572"/>
        <v>60</v>
      </c>
      <c r="AB2568" s="111">
        <f t="shared" si="580"/>
        <v>2268</v>
      </c>
      <c r="AC2568" s="110"/>
      <c r="AD2568" s="110"/>
      <c r="AE2568" s="110">
        <f t="shared" si="572"/>
        <v>60</v>
      </c>
      <c r="AF2568" s="111">
        <f t="shared" si="581"/>
        <v>2268</v>
      </c>
      <c r="AG2568" s="110"/>
      <c r="AH2568" s="110"/>
      <c r="AI2568" s="110"/>
      <c r="AJ2568" s="110"/>
      <c r="AK2568" s="111">
        <f t="shared" si="576"/>
        <v>9072</v>
      </c>
      <c r="AL2568" s="446">
        <f t="shared" si="577"/>
        <v>0</v>
      </c>
      <c r="AM2568" s="110">
        <f t="shared" si="578"/>
        <v>240</v>
      </c>
      <c r="AN2568" s="447">
        <f t="shared" si="569"/>
        <v>0</v>
      </c>
      <c r="AO2568"/>
      <c r="AP2568"/>
    </row>
    <row r="2569" spans="1:42" ht="66" x14ac:dyDescent="0.25">
      <c r="A2569" s="9"/>
      <c r="B2569" s="567" t="s">
        <v>2282</v>
      </c>
      <c r="C2569" s="1024"/>
      <c r="D2569" s="882">
        <v>240</v>
      </c>
      <c r="E2569" s="1025" t="s">
        <v>1722</v>
      </c>
      <c r="F2569" s="273" t="s">
        <v>3446</v>
      </c>
      <c r="G2569" s="1040" t="s">
        <v>3463</v>
      </c>
      <c r="H2569" s="273" t="s">
        <v>3462</v>
      </c>
      <c r="I2569" s="720">
        <f t="shared" si="579"/>
        <v>20.52</v>
      </c>
      <c r="J2569" s="756">
        <v>4924.8</v>
      </c>
      <c r="K2569" s="131">
        <f t="shared" si="568"/>
        <v>4924.8</v>
      </c>
      <c r="L2569" s="335">
        <f t="shared" si="575"/>
        <v>0</v>
      </c>
      <c r="M2569" s="446"/>
      <c r="N2569" s="446"/>
      <c r="O2569" s="446"/>
      <c r="P2569" s="446"/>
      <c r="Q2569" s="110">
        <f t="shared" si="570"/>
        <v>60</v>
      </c>
      <c r="R2569" s="111">
        <f t="shared" si="573"/>
        <v>1231.2</v>
      </c>
      <c r="S2569" s="110"/>
      <c r="T2569" s="110"/>
      <c r="U2569" s="110">
        <f t="shared" si="571"/>
        <v>60</v>
      </c>
      <c r="V2569" s="111">
        <f t="shared" si="574"/>
        <v>1231.2</v>
      </c>
      <c r="W2569" s="110"/>
      <c r="X2569" s="110"/>
      <c r="Y2569" s="110"/>
      <c r="Z2569" s="110"/>
      <c r="AA2569" s="110">
        <f t="shared" si="572"/>
        <v>60</v>
      </c>
      <c r="AB2569" s="111">
        <f t="shared" si="580"/>
        <v>1231.2</v>
      </c>
      <c r="AC2569" s="110"/>
      <c r="AD2569" s="110"/>
      <c r="AE2569" s="110">
        <f t="shared" si="572"/>
        <v>60</v>
      </c>
      <c r="AF2569" s="111">
        <f t="shared" si="581"/>
        <v>1231.2</v>
      </c>
      <c r="AG2569" s="110"/>
      <c r="AH2569" s="110"/>
      <c r="AI2569" s="110"/>
      <c r="AJ2569" s="110"/>
      <c r="AK2569" s="111">
        <f t="shared" si="576"/>
        <v>4924.8</v>
      </c>
      <c r="AL2569" s="446">
        <f t="shared" si="577"/>
        <v>0</v>
      </c>
      <c r="AM2569" s="110">
        <f t="shared" si="578"/>
        <v>240</v>
      </c>
      <c r="AN2569" s="447">
        <f t="shared" si="569"/>
        <v>0</v>
      </c>
      <c r="AO2569"/>
      <c r="AP2569"/>
    </row>
    <row r="2570" spans="1:42" ht="66" x14ac:dyDescent="0.25">
      <c r="A2570" s="9"/>
      <c r="B2570" s="567" t="s">
        <v>2283</v>
      </c>
      <c r="C2570" s="1024"/>
      <c r="D2570" s="882">
        <v>240</v>
      </c>
      <c r="E2570" s="1025" t="s">
        <v>1722</v>
      </c>
      <c r="F2570" s="273" t="s">
        <v>3446</v>
      </c>
      <c r="G2570" s="1040" t="s">
        <v>3463</v>
      </c>
      <c r="H2570" s="273" t="s">
        <v>3462</v>
      </c>
      <c r="I2570" s="720">
        <f t="shared" si="579"/>
        <v>45</v>
      </c>
      <c r="J2570" s="756">
        <v>10800</v>
      </c>
      <c r="K2570" s="131">
        <f t="shared" si="568"/>
        <v>10800</v>
      </c>
      <c r="L2570" s="335">
        <f t="shared" si="575"/>
        <v>0</v>
      </c>
      <c r="M2570" s="446"/>
      <c r="N2570" s="446"/>
      <c r="O2570" s="446"/>
      <c r="P2570" s="446"/>
      <c r="Q2570" s="110">
        <f t="shared" si="570"/>
        <v>60</v>
      </c>
      <c r="R2570" s="111">
        <f t="shared" si="573"/>
        <v>2700</v>
      </c>
      <c r="S2570" s="110"/>
      <c r="T2570" s="110"/>
      <c r="U2570" s="110">
        <f t="shared" si="571"/>
        <v>60</v>
      </c>
      <c r="V2570" s="111">
        <f t="shared" si="574"/>
        <v>2700</v>
      </c>
      <c r="W2570" s="110"/>
      <c r="X2570" s="110"/>
      <c r="Y2570" s="110"/>
      <c r="Z2570" s="110"/>
      <c r="AA2570" s="110">
        <f t="shared" si="572"/>
        <v>60</v>
      </c>
      <c r="AB2570" s="111">
        <f t="shared" si="580"/>
        <v>2700</v>
      </c>
      <c r="AC2570" s="110"/>
      <c r="AD2570" s="110"/>
      <c r="AE2570" s="110">
        <f t="shared" si="572"/>
        <v>60</v>
      </c>
      <c r="AF2570" s="111">
        <f t="shared" si="581"/>
        <v>2700</v>
      </c>
      <c r="AG2570" s="110"/>
      <c r="AH2570" s="110"/>
      <c r="AI2570" s="110"/>
      <c r="AJ2570" s="110"/>
      <c r="AK2570" s="111">
        <f t="shared" si="576"/>
        <v>10800</v>
      </c>
      <c r="AL2570" s="446">
        <f t="shared" si="577"/>
        <v>0</v>
      </c>
      <c r="AM2570" s="110">
        <f t="shared" si="578"/>
        <v>240</v>
      </c>
      <c r="AN2570" s="447">
        <f t="shared" si="569"/>
        <v>0</v>
      </c>
      <c r="AO2570"/>
      <c r="AP2570"/>
    </row>
    <row r="2571" spans="1:42" ht="66" x14ac:dyDescent="0.25">
      <c r="A2571" s="9"/>
      <c r="B2571" s="567" t="s">
        <v>2284</v>
      </c>
      <c r="C2571" s="1024"/>
      <c r="D2571" s="882">
        <v>60</v>
      </c>
      <c r="E2571" s="1025" t="s">
        <v>1722</v>
      </c>
      <c r="F2571" s="273" t="s">
        <v>3446</v>
      </c>
      <c r="G2571" s="1040" t="s">
        <v>3463</v>
      </c>
      <c r="H2571" s="273" t="s">
        <v>3462</v>
      </c>
      <c r="I2571" s="720">
        <f t="shared" si="579"/>
        <v>15.12</v>
      </c>
      <c r="J2571" s="756">
        <v>907.19999999999993</v>
      </c>
      <c r="K2571" s="131">
        <f t="shared" si="568"/>
        <v>907.19999999999993</v>
      </c>
      <c r="L2571" s="335">
        <f t="shared" si="575"/>
        <v>0</v>
      </c>
      <c r="M2571" s="446"/>
      <c r="N2571" s="446"/>
      <c r="O2571" s="446"/>
      <c r="P2571" s="446"/>
      <c r="Q2571" s="110">
        <f t="shared" si="570"/>
        <v>15</v>
      </c>
      <c r="R2571" s="111">
        <f t="shared" si="573"/>
        <v>226.79999999999998</v>
      </c>
      <c r="S2571" s="110"/>
      <c r="T2571" s="110"/>
      <c r="U2571" s="110">
        <f t="shared" si="571"/>
        <v>15</v>
      </c>
      <c r="V2571" s="111">
        <f t="shared" si="574"/>
        <v>226.79999999999998</v>
      </c>
      <c r="W2571" s="110"/>
      <c r="X2571" s="110"/>
      <c r="Y2571" s="110"/>
      <c r="Z2571" s="110"/>
      <c r="AA2571" s="110">
        <f t="shared" si="572"/>
        <v>15</v>
      </c>
      <c r="AB2571" s="111">
        <f t="shared" si="580"/>
        <v>226.79999999999998</v>
      </c>
      <c r="AC2571" s="110"/>
      <c r="AD2571" s="110"/>
      <c r="AE2571" s="110">
        <f t="shared" si="572"/>
        <v>15</v>
      </c>
      <c r="AF2571" s="111">
        <f t="shared" si="581"/>
        <v>226.79999999999998</v>
      </c>
      <c r="AG2571" s="110"/>
      <c r="AH2571" s="110"/>
      <c r="AI2571" s="110"/>
      <c r="AJ2571" s="110"/>
      <c r="AK2571" s="111">
        <f t="shared" si="576"/>
        <v>907.19999999999993</v>
      </c>
      <c r="AL2571" s="446">
        <f t="shared" si="577"/>
        <v>0</v>
      </c>
      <c r="AM2571" s="110">
        <f t="shared" si="578"/>
        <v>60</v>
      </c>
      <c r="AN2571" s="447">
        <f t="shared" si="569"/>
        <v>0</v>
      </c>
      <c r="AO2571"/>
      <c r="AP2571"/>
    </row>
    <row r="2572" spans="1:42" ht="66" x14ac:dyDescent="0.25">
      <c r="A2572" s="9"/>
      <c r="B2572" s="567" t="s">
        <v>2285</v>
      </c>
      <c r="C2572" s="1024"/>
      <c r="D2572" s="882">
        <v>60</v>
      </c>
      <c r="E2572" s="1025" t="s">
        <v>2321</v>
      </c>
      <c r="F2572" s="273" t="s">
        <v>3446</v>
      </c>
      <c r="G2572" s="1040" t="s">
        <v>3463</v>
      </c>
      <c r="H2572" s="273" t="s">
        <v>3462</v>
      </c>
      <c r="I2572" s="720">
        <f t="shared" si="579"/>
        <v>37.799999999999997</v>
      </c>
      <c r="J2572" s="756">
        <v>2268</v>
      </c>
      <c r="K2572" s="131">
        <f t="shared" si="568"/>
        <v>2268</v>
      </c>
      <c r="L2572" s="335">
        <f t="shared" si="575"/>
        <v>0</v>
      </c>
      <c r="M2572" s="446"/>
      <c r="N2572" s="446"/>
      <c r="O2572" s="446"/>
      <c r="P2572" s="446"/>
      <c r="Q2572" s="110">
        <f t="shared" si="570"/>
        <v>15</v>
      </c>
      <c r="R2572" s="111">
        <f t="shared" si="573"/>
        <v>567</v>
      </c>
      <c r="S2572" s="110"/>
      <c r="T2572" s="110"/>
      <c r="U2572" s="110">
        <f t="shared" si="571"/>
        <v>15</v>
      </c>
      <c r="V2572" s="111">
        <f t="shared" si="574"/>
        <v>567</v>
      </c>
      <c r="W2572" s="110"/>
      <c r="X2572" s="110"/>
      <c r="Y2572" s="110"/>
      <c r="Z2572" s="110"/>
      <c r="AA2572" s="110">
        <f t="shared" si="572"/>
        <v>15</v>
      </c>
      <c r="AB2572" s="111">
        <f t="shared" si="580"/>
        <v>567</v>
      </c>
      <c r="AC2572" s="110"/>
      <c r="AD2572" s="110"/>
      <c r="AE2572" s="110">
        <f t="shared" si="572"/>
        <v>15</v>
      </c>
      <c r="AF2572" s="111">
        <f t="shared" si="581"/>
        <v>567</v>
      </c>
      <c r="AG2572" s="110"/>
      <c r="AH2572" s="110"/>
      <c r="AI2572" s="110"/>
      <c r="AJ2572" s="110"/>
      <c r="AK2572" s="111">
        <f t="shared" si="576"/>
        <v>2268</v>
      </c>
      <c r="AL2572" s="446">
        <f t="shared" si="577"/>
        <v>0</v>
      </c>
      <c r="AM2572" s="110">
        <f t="shared" si="578"/>
        <v>60</v>
      </c>
      <c r="AN2572" s="447">
        <f t="shared" si="569"/>
        <v>0</v>
      </c>
      <c r="AO2572"/>
      <c r="AP2572"/>
    </row>
    <row r="2573" spans="1:42" ht="66" x14ac:dyDescent="0.25">
      <c r="A2573" s="9"/>
      <c r="B2573" s="567" t="s">
        <v>2286</v>
      </c>
      <c r="C2573" s="1024"/>
      <c r="D2573" s="882">
        <v>120</v>
      </c>
      <c r="E2573" s="1025" t="s">
        <v>1722</v>
      </c>
      <c r="F2573" s="273" t="s">
        <v>3446</v>
      </c>
      <c r="G2573" s="1040" t="s">
        <v>3463</v>
      </c>
      <c r="H2573" s="273" t="s">
        <v>3462</v>
      </c>
      <c r="I2573" s="720">
        <f t="shared" si="579"/>
        <v>20.52</v>
      </c>
      <c r="J2573" s="756">
        <v>2462.4</v>
      </c>
      <c r="K2573" s="131">
        <f t="shared" si="568"/>
        <v>2462.4</v>
      </c>
      <c r="L2573" s="335">
        <f t="shared" si="575"/>
        <v>0</v>
      </c>
      <c r="M2573" s="446"/>
      <c r="N2573" s="446"/>
      <c r="O2573" s="446"/>
      <c r="P2573" s="446"/>
      <c r="Q2573" s="110">
        <v>50</v>
      </c>
      <c r="R2573" s="111">
        <f t="shared" si="573"/>
        <v>615.6</v>
      </c>
      <c r="S2573" s="110"/>
      <c r="T2573" s="110"/>
      <c r="U2573" s="110">
        <v>50</v>
      </c>
      <c r="V2573" s="111">
        <f t="shared" si="574"/>
        <v>615.6</v>
      </c>
      <c r="W2573" s="110"/>
      <c r="X2573" s="110"/>
      <c r="Y2573" s="110"/>
      <c r="Z2573" s="110"/>
      <c r="AA2573" s="110">
        <v>10</v>
      </c>
      <c r="AB2573" s="111">
        <f t="shared" si="580"/>
        <v>615.6</v>
      </c>
      <c r="AC2573" s="110"/>
      <c r="AD2573" s="110"/>
      <c r="AE2573" s="110">
        <v>10</v>
      </c>
      <c r="AF2573" s="111">
        <f t="shared" si="581"/>
        <v>615.6</v>
      </c>
      <c r="AG2573" s="110"/>
      <c r="AH2573" s="110"/>
      <c r="AI2573" s="110"/>
      <c r="AJ2573" s="110"/>
      <c r="AK2573" s="111">
        <f t="shared" si="576"/>
        <v>2462.4</v>
      </c>
      <c r="AL2573" s="446">
        <f t="shared" si="577"/>
        <v>0</v>
      </c>
      <c r="AM2573" s="110">
        <f t="shared" si="578"/>
        <v>120</v>
      </c>
      <c r="AN2573" s="447">
        <f t="shared" si="569"/>
        <v>0</v>
      </c>
      <c r="AO2573"/>
      <c r="AP2573"/>
    </row>
    <row r="2574" spans="1:42" ht="66" x14ac:dyDescent="0.25">
      <c r="A2574" s="9"/>
      <c r="B2574" s="567" t="s">
        <v>2287</v>
      </c>
      <c r="C2574" s="1024"/>
      <c r="D2574" s="882">
        <v>60</v>
      </c>
      <c r="E2574" s="1025" t="s">
        <v>1722</v>
      </c>
      <c r="F2574" s="273" t="s">
        <v>3446</v>
      </c>
      <c r="G2574" s="1040" t="s">
        <v>3463</v>
      </c>
      <c r="H2574" s="273" t="s">
        <v>3462</v>
      </c>
      <c r="I2574" s="720">
        <f t="shared" si="579"/>
        <v>32.4</v>
      </c>
      <c r="J2574" s="756">
        <v>1944</v>
      </c>
      <c r="K2574" s="131">
        <f t="shared" si="568"/>
        <v>1944</v>
      </c>
      <c r="L2574" s="335">
        <f t="shared" si="575"/>
        <v>0</v>
      </c>
      <c r="M2574" s="446"/>
      <c r="N2574" s="446"/>
      <c r="O2574" s="446"/>
      <c r="P2574" s="446"/>
      <c r="Q2574" s="110">
        <f t="shared" si="570"/>
        <v>15</v>
      </c>
      <c r="R2574" s="111">
        <f t="shared" si="573"/>
        <v>486</v>
      </c>
      <c r="S2574" s="110"/>
      <c r="T2574" s="110"/>
      <c r="U2574" s="110">
        <f t="shared" si="571"/>
        <v>15</v>
      </c>
      <c r="V2574" s="111">
        <f t="shared" si="574"/>
        <v>486</v>
      </c>
      <c r="W2574" s="110"/>
      <c r="X2574" s="110"/>
      <c r="Y2574" s="110"/>
      <c r="Z2574" s="110"/>
      <c r="AA2574" s="110">
        <f t="shared" si="572"/>
        <v>15</v>
      </c>
      <c r="AB2574" s="111">
        <f t="shared" si="580"/>
        <v>486</v>
      </c>
      <c r="AC2574" s="110"/>
      <c r="AD2574" s="110"/>
      <c r="AE2574" s="110">
        <f t="shared" si="572"/>
        <v>15</v>
      </c>
      <c r="AF2574" s="111">
        <f t="shared" si="581"/>
        <v>486</v>
      </c>
      <c r="AG2574" s="110"/>
      <c r="AH2574" s="110"/>
      <c r="AI2574" s="110"/>
      <c r="AJ2574" s="110"/>
      <c r="AK2574" s="111">
        <f t="shared" si="576"/>
        <v>1944</v>
      </c>
      <c r="AL2574" s="446">
        <f t="shared" si="577"/>
        <v>0</v>
      </c>
      <c r="AM2574" s="110">
        <f t="shared" si="578"/>
        <v>60</v>
      </c>
      <c r="AN2574" s="447">
        <f t="shared" si="569"/>
        <v>0</v>
      </c>
      <c r="AO2574"/>
      <c r="AP2574"/>
    </row>
    <row r="2575" spans="1:42" ht="66" x14ac:dyDescent="0.25">
      <c r="A2575" s="9"/>
      <c r="B2575" s="567" t="s">
        <v>2288</v>
      </c>
      <c r="C2575" s="1024"/>
      <c r="D2575" s="882">
        <v>48</v>
      </c>
      <c r="E2575" s="1025" t="s">
        <v>1722</v>
      </c>
      <c r="F2575" s="273" t="s">
        <v>3446</v>
      </c>
      <c r="G2575" s="1040" t="s">
        <v>3463</v>
      </c>
      <c r="H2575" s="273" t="s">
        <v>3462</v>
      </c>
      <c r="I2575" s="720">
        <f t="shared" si="579"/>
        <v>278.64</v>
      </c>
      <c r="J2575" s="756">
        <v>13374.72</v>
      </c>
      <c r="K2575" s="131">
        <f t="shared" si="568"/>
        <v>13374.72</v>
      </c>
      <c r="L2575" s="335">
        <f t="shared" si="575"/>
        <v>0</v>
      </c>
      <c r="M2575" s="446"/>
      <c r="N2575" s="446"/>
      <c r="O2575" s="446"/>
      <c r="P2575" s="446"/>
      <c r="Q2575" s="110">
        <f t="shared" si="570"/>
        <v>12</v>
      </c>
      <c r="R2575" s="111">
        <f t="shared" si="573"/>
        <v>3343.68</v>
      </c>
      <c r="S2575" s="110"/>
      <c r="T2575" s="110"/>
      <c r="U2575" s="110">
        <f t="shared" si="571"/>
        <v>12</v>
      </c>
      <c r="V2575" s="111">
        <f t="shared" si="574"/>
        <v>3343.68</v>
      </c>
      <c r="W2575" s="110"/>
      <c r="X2575" s="110"/>
      <c r="Y2575" s="110"/>
      <c r="Z2575" s="110"/>
      <c r="AA2575" s="110">
        <f t="shared" si="572"/>
        <v>12</v>
      </c>
      <c r="AB2575" s="111">
        <f t="shared" si="580"/>
        <v>3343.68</v>
      </c>
      <c r="AC2575" s="110"/>
      <c r="AD2575" s="110"/>
      <c r="AE2575" s="110">
        <f t="shared" si="572"/>
        <v>12</v>
      </c>
      <c r="AF2575" s="111">
        <f t="shared" si="581"/>
        <v>3343.68</v>
      </c>
      <c r="AG2575" s="110"/>
      <c r="AH2575" s="110"/>
      <c r="AI2575" s="110"/>
      <c r="AJ2575" s="110"/>
      <c r="AK2575" s="111">
        <f t="shared" si="576"/>
        <v>13374.72</v>
      </c>
      <c r="AL2575" s="446">
        <f t="shared" si="577"/>
        <v>0</v>
      </c>
      <c r="AM2575" s="110">
        <f t="shared" si="578"/>
        <v>48</v>
      </c>
      <c r="AN2575" s="447">
        <f t="shared" si="569"/>
        <v>0</v>
      </c>
      <c r="AO2575"/>
      <c r="AP2575"/>
    </row>
    <row r="2576" spans="1:42" ht="66" x14ac:dyDescent="0.25">
      <c r="A2576" s="9"/>
      <c r="B2576" s="567" t="s">
        <v>2289</v>
      </c>
      <c r="C2576" s="1024"/>
      <c r="D2576" s="882">
        <v>12</v>
      </c>
      <c r="E2576" s="1025" t="s">
        <v>2321</v>
      </c>
      <c r="F2576" s="273" t="s">
        <v>3446</v>
      </c>
      <c r="G2576" s="1040" t="s">
        <v>3463</v>
      </c>
      <c r="H2576" s="273" t="s">
        <v>3462</v>
      </c>
      <c r="I2576" s="720">
        <f t="shared" si="579"/>
        <v>2.76</v>
      </c>
      <c r="J2576" s="756">
        <v>33.119999999999997</v>
      </c>
      <c r="K2576" s="131">
        <f t="shared" si="568"/>
        <v>33.119999999999997</v>
      </c>
      <c r="L2576" s="335">
        <f t="shared" si="575"/>
        <v>0</v>
      </c>
      <c r="M2576" s="446"/>
      <c r="N2576" s="446"/>
      <c r="O2576" s="446"/>
      <c r="P2576" s="446"/>
      <c r="Q2576" s="110">
        <f t="shared" si="570"/>
        <v>3</v>
      </c>
      <c r="R2576" s="111">
        <f t="shared" si="573"/>
        <v>8.2799999999999994</v>
      </c>
      <c r="S2576" s="110"/>
      <c r="T2576" s="110"/>
      <c r="U2576" s="110">
        <f t="shared" si="571"/>
        <v>3</v>
      </c>
      <c r="V2576" s="111">
        <f t="shared" si="574"/>
        <v>8.2799999999999994</v>
      </c>
      <c r="W2576" s="110"/>
      <c r="X2576" s="110"/>
      <c r="Y2576" s="110"/>
      <c r="Z2576" s="110"/>
      <c r="AA2576" s="110">
        <f t="shared" si="572"/>
        <v>3</v>
      </c>
      <c r="AB2576" s="111">
        <f t="shared" si="580"/>
        <v>8.2799999999999994</v>
      </c>
      <c r="AC2576" s="110"/>
      <c r="AD2576" s="110"/>
      <c r="AE2576" s="110">
        <f t="shared" si="572"/>
        <v>3</v>
      </c>
      <c r="AF2576" s="111">
        <f t="shared" si="581"/>
        <v>8.2799999999999994</v>
      </c>
      <c r="AG2576" s="110"/>
      <c r="AH2576" s="110"/>
      <c r="AI2576" s="110"/>
      <c r="AJ2576" s="110"/>
      <c r="AK2576" s="111">
        <f t="shared" si="576"/>
        <v>33.119999999999997</v>
      </c>
      <c r="AL2576" s="446">
        <f t="shared" si="577"/>
        <v>0</v>
      </c>
      <c r="AM2576" s="110">
        <f t="shared" si="578"/>
        <v>12</v>
      </c>
      <c r="AN2576" s="447">
        <f t="shared" si="569"/>
        <v>0</v>
      </c>
      <c r="AO2576"/>
      <c r="AP2576"/>
    </row>
    <row r="2577" spans="1:42" ht="66" x14ac:dyDescent="0.25">
      <c r="A2577" s="9"/>
      <c r="B2577" s="567" t="s">
        <v>2290</v>
      </c>
      <c r="C2577" s="1024"/>
      <c r="D2577" s="882">
        <v>36</v>
      </c>
      <c r="E2577" s="264" t="s">
        <v>1998</v>
      </c>
      <c r="F2577" s="273" t="s">
        <v>3446</v>
      </c>
      <c r="G2577" s="1040" t="s">
        <v>3463</v>
      </c>
      <c r="H2577" s="273" t="s">
        <v>3462</v>
      </c>
      <c r="I2577" s="720">
        <f t="shared" si="579"/>
        <v>15.119999999999997</v>
      </c>
      <c r="J2577" s="756">
        <v>544.31999999999994</v>
      </c>
      <c r="K2577" s="131">
        <f t="shared" si="568"/>
        <v>544.31999999999994</v>
      </c>
      <c r="L2577" s="335">
        <f t="shared" si="575"/>
        <v>0</v>
      </c>
      <c r="M2577" s="446"/>
      <c r="N2577" s="446"/>
      <c r="O2577" s="446"/>
      <c r="P2577" s="446"/>
      <c r="Q2577" s="110">
        <f t="shared" si="570"/>
        <v>9</v>
      </c>
      <c r="R2577" s="111">
        <f t="shared" si="573"/>
        <v>136.07999999999998</v>
      </c>
      <c r="S2577" s="110"/>
      <c r="T2577" s="110"/>
      <c r="U2577" s="110">
        <f t="shared" si="571"/>
        <v>9</v>
      </c>
      <c r="V2577" s="111">
        <f t="shared" si="574"/>
        <v>136.07999999999998</v>
      </c>
      <c r="W2577" s="110"/>
      <c r="X2577" s="110"/>
      <c r="Y2577" s="110"/>
      <c r="Z2577" s="110"/>
      <c r="AA2577" s="110">
        <f t="shared" si="572"/>
        <v>9</v>
      </c>
      <c r="AB2577" s="111">
        <f t="shared" si="580"/>
        <v>136.07999999999998</v>
      </c>
      <c r="AC2577" s="110"/>
      <c r="AD2577" s="110"/>
      <c r="AE2577" s="110">
        <f t="shared" si="572"/>
        <v>9</v>
      </c>
      <c r="AF2577" s="111">
        <f t="shared" si="581"/>
        <v>136.07999999999998</v>
      </c>
      <c r="AG2577" s="110"/>
      <c r="AH2577" s="110"/>
      <c r="AI2577" s="110"/>
      <c r="AJ2577" s="110"/>
      <c r="AK2577" s="111">
        <f t="shared" si="576"/>
        <v>544.31999999999994</v>
      </c>
      <c r="AL2577" s="446">
        <f t="shared" si="577"/>
        <v>0</v>
      </c>
      <c r="AM2577" s="110">
        <f t="shared" si="578"/>
        <v>36</v>
      </c>
      <c r="AN2577" s="447">
        <f t="shared" si="569"/>
        <v>0</v>
      </c>
      <c r="AO2577"/>
      <c r="AP2577"/>
    </row>
    <row r="2578" spans="1:42" ht="66" x14ac:dyDescent="0.25">
      <c r="A2578" s="9"/>
      <c r="B2578" s="567" t="s">
        <v>2291</v>
      </c>
      <c r="C2578" s="1024"/>
      <c r="D2578" s="882">
        <v>60</v>
      </c>
      <c r="E2578" s="264" t="s">
        <v>1998</v>
      </c>
      <c r="F2578" s="273" t="s">
        <v>3446</v>
      </c>
      <c r="G2578" s="1040" t="s">
        <v>3463</v>
      </c>
      <c r="H2578" s="273" t="s">
        <v>3462</v>
      </c>
      <c r="I2578" s="720">
        <f t="shared" si="579"/>
        <v>21.6</v>
      </c>
      <c r="J2578" s="756">
        <v>1296</v>
      </c>
      <c r="K2578" s="131">
        <f t="shared" si="568"/>
        <v>1296</v>
      </c>
      <c r="L2578" s="335">
        <f t="shared" si="575"/>
        <v>0</v>
      </c>
      <c r="M2578" s="446"/>
      <c r="N2578" s="446"/>
      <c r="O2578" s="446"/>
      <c r="P2578" s="446"/>
      <c r="Q2578" s="110">
        <f t="shared" si="570"/>
        <v>15</v>
      </c>
      <c r="R2578" s="111">
        <f t="shared" si="573"/>
        <v>324</v>
      </c>
      <c r="S2578" s="110"/>
      <c r="T2578" s="110"/>
      <c r="U2578" s="110">
        <f t="shared" si="571"/>
        <v>15</v>
      </c>
      <c r="V2578" s="111">
        <f t="shared" si="574"/>
        <v>324</v>
      </c>
      <c r="W2578" s="110"/>
      <c r="X2578" s="110"/>
      <c r="Y2578" s="110"/>
      <c r="Z2578" s="110"/>
      <c r="AA2578" s="110">
        <f t="shared" si="572"/>
        <v>15</v>
      </c>
      <c r="AB2578" s="111">
        <f t="shared" si="580"/>
        <v>324</v>
      </c>
      <c r="AC2578" s="110"/>
      <c r="AD2578" s="110"/>
      <c r="AE2578" s="110">
        <f t="shared" si="572"/>
        <v>15</v>
      </c>
      <c r="AF2578" s="111">
        <f t="shared" si="581"/>
        <v>324</v>
      </c>
      <c r="AG2578" s="110"/>
      <c r="AH2578" s="110"/>
      <c r="AI2578" s="110"/>
      <c r="AJ2578" s="110"/>
      <c r="AK2578" s="111">
        <f t="shared" si="576"/>
        <v>1296</v>
      </c>
      <c r="AL2578" s="446">
        <f t="shared" si="577"/>
        <v>0</v>
      </c>
      <c r="AM2578" s="110">
        <f t="shared" si="578"/>
        <v>60</v>
      </c>
      <c r="AN2578" s="447">
        <f t="shared" si="569"/>
        <v>0</v>
      </c>
      <c r="AO2578"/>
      <c r="AP2578"/>
    </row>
    <row r="2579" spans="1:42" ht="66" x14ac:dyDescent="0.25">
      <c r="A2579" s="9"/>
      <c r="B2579" s="567" t="s">
        <v>2292</v>
      </c>
      <c r="C2579" s="1024"/>
      <c r="D2579" s="882">
        <v>120</v>
      </c>
      <c r="E2579" s="264" t="s">
        <v>1998</v>
      </c>
      <c r="F2579" s="273" t="s">
        <v>3446</v>
      </c>
      <c r="G2579" s="1040" t="s">
        <v>3463</v>
      </c>
      <c r="H2579" s="273" t="s">
        <v>3462</v>
      </c>
      <c r="I2579" s="720">
        <f t="shared" si="579"/>
        <v>37.799999999999997</v>
      </c>
      <c r="J2579" s="756">
        <v>4536</v>
      </c>
      <c r="K2579" s="131">
        <f t="shared" si="568"/>
        <v>4536</v>
      </c>
      <c r="L2579" s="335">
        <f t="shared" si="575"/>
        <v>0</v>
      </c>
      <c r="M2579" s="446"/>
      <c r="N2579" s="446"/>
      <c r="O2579" s="446"/>
      <c r="P2579" s="446"/>
      <c r="Q2579" s="110">
        <v>50</v>
      </c>
      <c r="R2579" s="111">
        <f t="shared" si="573"/>
        <v>1134</v>
      </c>
      <c r="S2579" s="110"/>
      <c r="T2579" s="110"/>
      <c r="U2579" s="110">
        <v>50</v>
      </c>
      <c r="V2579" s="111">
        <f t="shared" si="574"/>
        <v>1134</v>
      </c>
      <c r="W2579" s="110"/>
      <c r="X2579" s="110"/>
      <c r="Y2579" s="110"/>
      <c r="Z2579" s="110"/>
      <c r="AA2579" s="110">
        <v>10</v>
      </c>
      <c r="AB2579" s="111">
        <f t="shared" si="580"/>
        <v>1134</v>
      </c>
      <c r="AC2579" s="110"/>
      <c r="AD2579" s="110"/>
      <c r="AE2579" s="110">
        <v>10</v>
      </c>
      <c r="AF2579" s="111">
        <f t="shared" si="581"/>
        <v>1134</v>
      </c>
      <c r="AG2579" s="110"/>
      <c r="AH2579" s="110"/>
      <c r="AI2579" s="110"/>
      <c r="AJ2579" s="110"/>
      <c r="AK2579" s="111">
        <f t="shared" si="576"/>
        <v>4536</v>
      </c>
      <c r="AL2579" s="446">
        <f t="shared" si="577"/>
        <v>0</v>
      </c>
      <c r="AM2579" s="110">
        <f t="shared" si="578"/>
        <v>120</v>
      </c>
      <c r="AN2579" s="447">
        <f t="shared" si="569"/>
        <v>0</v>
      </c>
      <c r="AO2579"/>
      <c r="AP2579"/>
    </row>
    <row r="2580" spans="1:42" ht="66" x14ac:dyDescent="0.25">
      <c r="A2580" s="9"/>
      <c r="B2580" s="567" t="s">
        <v>2293</v>
      </c>
      <c r="C2580" s="1024"/>
      <c r="D2580" s="882">
        <v>120</v>
      </c>
      <c r="E2580" s="264" t="s">
        <v>1722</v>
      </c>
      <c r="F2580" s="273" t="s">
        <v>3446</v>
      </c>
      <c r="G2580" s="1040" t="s">
        <v>3463</v>
      </c>
      <c r="H2580" s="273" t="s">
        <v>3462</v>
      </c>
      <c r="I2580" s="720">
        <f t="shared" si="579"/>
        <v>35</v>
      </c>
      <c r="J2580" s="756">
        <v>4200</v>
      </c>
      <c r="K2580" s="131">
        <f t="shared" si="568"/>
        <v>4200</v>
      </c>
      <c r="L2580" s="335">
        <f t="shared" si="575"/>
        <v>0</v>
      </c>
      <c r="M2580" s="446"/>
      <c r="N2580" s="446"/>
      <c r="O2580" s="446"/>
      <c r="P2580" s="446"/>
      <c r="Q2580" s="110">
        <v>50</v>
      </c>
      <c r="R2580" s="111">
        <f t="shared" si="573"/>
        <v>1050</v>
      </c>
      <c r="S2580" s="110"/>
      <c r="T2580" s="110"/>
      <c r="U2580" s="110">
        <v>50</v>
      </c>
      <c r="V2580" s="111">
        <f t="shared" si="574"/>
        <v>1050</v>
      </c>
      <c r="W2580" s="110"/>
      <c r="X2580" s="110"/>
      <c r="Y2580" s="110"/>
      <c r="Z2580" s="110"/>
      <c r="AA2580" s="110">
        <v>10</v>
      </c>
      <c r="AB2580" s="111">
        <f t="shared" si="580"/>
        <v>1050</v>
      </c>
      <c r="AC2580" s="110"/>
      <c r="AD2580" s="110"/>
      <c r="AE2580" s="110">
        <v>10</v>
      </c>
      <c r="AF2580" s="111">
        <f t="shared" si="581"/>
        <v>1050</v>
      </c>
      <c r="AG2580" s="110"/>
      <c r="AH2580" s="110"/>
      <c r="AI2580" s="110"/>
      <c r="AJ2580" s="110"/>
      <c r="AK2580" s="111">
        <f t="shared" si="576"/>
        <v>4200</v>
      </c>
      <c r="AL2580" s="446">
        <f t="shared" si="577"/>
        <v>0</v>
      </c>
      <c r="AM2580" s="110">
        <f t="shared" si="578"/>
        <v>120</v>
      </c>
      <c r="AN2580" s="447">
        <f t="shared" si="569"/>
        <v>0</v>
      </c>
      <c r="AO2580"/>
      <c r="AP2580"/>
    </row>
    <row r="2581" spans="1:42" ht="66" x14ac:dyDescent="0.25">
      <c r="A2581" s="9"/>
      <c r="B2581" s="567" t="s">
        <v>2294</v>
      </c>
      <c r="C2581" s="1024"/>
      <c r="D2581" s="882">
        <v>120</v>
      </c>
      <c r="E2581" s="264" t="s">
        <v>1998</v>
      </c>
      <c r="F2581" s="273" t="s">
        <v>3446</v>
      </c>
      <c r="G2581" s="1040" t="s">
        <v>3463</v>
      </c>
      <c r="H2581" s="273" t="s">
        <v>3462</v>
      </c>
      <c r="I2581" s="720">
        <f t="shared" si="579"/>
        <v>37.799999999999997</v>
      </c>
      <c r="J2581" s="756">
        <v>4536</v>
      </c>
      <c r="K2581" s="131">
        <f t="shared" si="568"/>
        <v>4536</v>
      </c>
      <c r="L2581" s="335">
        <f t="shared" si="575"/>
        <v>0</v>
      </c>
      <c r="M2581" s="446"/>
      <c r="N2581" s="446"/>
      <c r="O2581" s="446"/>
      <c r="P2581" s="446"/>
      <c r="Q2581" s="110">
        <v>50</v>
      </c>
      <c r="R2581" s="111">
        <f t="shared" si="573"/>
        <v>1134</v>
      </c>
      <c r="S2581" s="110"/>
      <c r="T2581" s="110"/>
      <c r="U2581" s="110">
        <v>50</v>
      </c>
      <c r="V2581" s="111">
        <f t="shared" si="574"/>
        <v>1134</v>
      </c>
      <c r="W2581" s="110"/>
      <c r="X2581" s="110"/>
      <c r="Y2581" s="110"/>
      <c r="Z2581" s="110"/>
      <c r="AA2581" s="110">
        <v>10</v>
      </c>
      <c r="AB2581" s="111">
        <f t="shared" si="580"/>
        <v>1134</v>
      </c>
      <c r="AC2581" s="110"/>
      <c r="AD2581" s="110"/>
      <c r="AE2581" s="110">
        <v>10</v>
      </c>
      <c r="AF2581" s="111">
        <f t="shared" si="581"/>
        <v>1134</v>
      </c>
      <c r="AG2581" s="110"/>
      <c r="AH2581" s="110"/>
      <c r="AI2581" s="110"/>
      <c r="AJ2581" s="110"/>
      <c r="AK2581" s="111">
        <f t="shared" si="576"/>
        <v>4536</v>
      </c>
      <c r="AL2581" s="446">
        <f t="shared" si="577"/>
        <v>0</v>
      </c>
      <c r="AM2581" s="110">
        <f t="shared" si="578"/>
        <v>120</v>
      </c>
      <c r="AN2581" s="447">
        <f t="shared" si="569"/>
        <v>0</v>
      </c>
      <c r="AO2581"/>
      <c r="AP2581"/>
    </row>
    <row r="2582" spans="1:42" ht="66" x14ac:dyDescent="0.25">
      <c r="A2582" s="9"/>
      <c r="B2582" s="567" t="s">
        <v>2295</v>
      </c>
      <c r="C2582" s="1024"/>
      <c r="D2582" s="882">
        <v>211</v>
      </c>
      <c r="E2582" s="264" t="s">
        <v>2321</v>
      </c>
      <c r="F2582" s="273" t="s">
        <v>3446</v>
      </c>
      <c r="G2582" s="1040" t="s">
        <v>3463</v>
      </c>
      <c r="H2582" s="273" t="s">
        <v>3462</v>
      </c>
      <c r="I2582" s="720">
        <f t="shared" si="579"/>
        <v>37.799999999999997</v>
      </c>
      <c r="J2582" s="756">
        <v>7975.7999999999993</v>
      </c>
      <c r="K2582" s="131">
        <f t="shared" si="568"/>
        <v>7975.7999999999993</v>
      </c>
      <c r="L2582" s="335">
        <f t="shared" si="575"/>
        <v>0</v>
      </c>
      <c r="M2582" s="446"/>
      <c r="N2582" s="446"/>
      <c r="O2582" s="446"/>
      <c r="P2582" s="446"/>
      <c r="Q2582" s="110">
        <v>60</v>
      </c>
      <c r="R2582" s="111">
        <f t="shared" si="573"/>
        <v>1993.9499999999998</v>
      </c>
      <c r="S2582" s="110"/>
      <c r="T2582" s="110"/>
      <c r="U2582" s="110">
        <v>60</v>
      </c>
      <c r="V2582" s="111">
        <f t="shared" si="574"/>
        <v>1993.9499999999998</v>
      </c>
      <c r="W2582" s="110"/>
      <c r="X2582" s="110"/>
      <c r="Y2582" s="110"/>
      <c r="Z2582" s="110"/>
      <c r="AA2582" s="110">
        <v>60</v>
      </c>
      <c r="AB2582" s="111">
        <f t="shared" si="580"/>
        <v>1993.9499999999998</v>
      </c>
      <c r="AC2582" s="110"/>
      <c r="AD2582" s="110"/>
      <c r="AE2582" s="110">
        <v>31</v>
      </c>
      <c r="AF2582" s="111">
        <f t="shared" si="581"/>
        <v>1993.9499999999998</v>
      </c>
      <c r="AG2582" s="110"/>
      <c r="AH2582" s="110"/>
      <c r="AI2582" s="110"/>
      <c r="AJ2582" s="110"/>
      <c r="AK2582" s="111">
        <f t="shared" si="576"/>
        <v>7975.7999999999993</v>
      </c>
      <c r="AL2582" s="446">
        <f t="shared" si="577"/>
        <v>0</v>
      </c>
      <c r="AM2582" s="110">
        <f t="shared" si="578"/>
        <v>211</v>
      </c>
      <c r="AN2582" s="447">
        <f t="shared" si="569"/>
        <v>0</v>
      </c>
      <c r="AO2582"/>
      <c r="AP2582"/>
    </row>
    <row r="2583" spans="1:42" ht="66" x14ac:dyDescent="0.25">
      <c r="A2583" s="9"/>
      <c r="B2583" s="567" t="s">
        <v>2296</v>
      </c>
      <c r="C2583" s="1024"/>
      <c r="D2583" s="882">
        <v>120</v>
      </c>
      <c r="E2583" s="264" t="s">
        <v>1998</v>
      </c>
      <c r="F2583" s="273" t="s">
        <v>3446</v>
      </c>
      <c r="G2583" s="1040" t="s">
        <v>3463</v>
      </c>
      <c r="H2583" s="273" t="s">
        <v>3462</v>
      </c>
      <c r="I2583" s="720">
        <f t="shared" si="579"/>
        <v>21.6</v>
      </c>
      <c r="J2583" s="756">
        <v>2592</v>
      </c>
      <c r="K2583" s="131">
        <f t="shared" si="568"/>
        <v>2592</v>
      </c>
      <c r="L2583" s="335">
        <f t="shared" si="575"/>
        <v>0</v>
      </c>
      <c r="M2583" s="446"/>
      <c r="N2583" s="446"/>
      <c r="O2583" s="446"/>
      <c r="P2583" s="446"/>
      <c r="Q2583" s="110">
        <v>50</v>
      </c>
      <c r="R2583" s="111">
        <f t="shared" si="573"/>
        <v>648</v>
      </c>
      <c r="S2583" s="110"/>
      <c r="T2583" s="110"/>
      <c r="U2583" s="110">
        <v>50</v>
      </c>
      <c r="V2583" s="111">
        <f t="shared" si="574"/>
        <v>648</v>
      </c>
      <c r="W2583" s="110"/>
      <c r="X2583" s="110"/>
      <c r="Y2583" s="110"/>
      <c r="Z2583" s="110"/>
      <c r="AA2583" s="110">
        <v>10</v>
      </c>
      <c r="AB2583" s="111">
        <f t="shared" si="580"/>
        <v>648</v>
      </c>
      <c r="AC2583" s="110"/>
      <c r="AD2583" s="110"/>
      <c r="AE2583" s="110">
        <v>10</v>
      </c>
      <c r="AF2583" s="111">
        <f t="shared" si="581"/>
        <v>648</v>
      </c>
      <c r="AG2583" s="110"/>
      <c r="AH2583" s="110"/>
      <c r="AI2583" s="110"/>
      <c r="AJ2583" s="110"/>
      <c r="AK2583" s="111">
        <f t="shared" si="576"/>
        <v>2592</v>
      </c>
      <c r="AL2583" s="446">
        <f t="shared" si="577"/>
        <v>0</v>
      </c>
      <c r="AM2583" s="110">
        <f t="shared" si="578"/>
        <v>120</v>
      </c>
      <c r="AN2583" s="447">
        <f t="shared" si="569"/>
        <v>0</v>
      </c>
      <c r="AO2583"/>
      <c r="AP2583"/>
    </row>
    <row r="2584" spans="1:42" ht="66" x14ac:dyDescent="0.25">
      <c r="A2584" s="9"/>
      <c r="B2584" s="567" t="s">
        <v>2297</v>
      </c>
      <c r="C2584" s="1024"/>
      <c r="D2584" s="882">
        <v>360</v>
      </c>
      <c r="E2584" s="264" t="s">
        <v>1722</v>
      </c>
      <c r="F2584" s="273" t="s">
        <v>3446</v>
      </c>
      <c r="G2584" s="1040" t="s">
        <v>3463</v>
      </c>
      <c r="H2584" s="273" t="s">
        <v>3462</v>
      </c>
      <c r="I2584" s="720">
        <f t="shared" si="579"/>
        <v>20.52</v>
      </c>
      <c r="J2584" s="756">
        <v>7387.2</v>
      </c>
      <c r="K2584" s="131">
        <f t="shared" si="568"/>
        <v>7387.2</v>
      </c>
      <c r="L2584" s="335">
        <f t="shared" si="575"/>
        <v>0</v>
      </c>
      <c r="M2584" s="446"/>
      <c r="N2584" s="446"/>
      <c r="O2584" s="446"/>
      <c r="P2584" s="446"/>
      <c r="Q2584" s="110">
        <f t="shared" si="570"/>
        <v>90</v>
      </c>
      <c r="R2584" s="111">
        <f t="shared" si="573"/>
        <v>1846.8</v>
      </c>
      <c r="S2584" s="110"/>
      <c r="T2584" s="110"/>
      <c r="U2584" s="110">
        <f t="shared" si="571"/>
        <v>90</v>
      </c>
      <c r="V2584" s="111">
        <f t="shared" si="574"/>
        <v>1846.8</v>
      </c>
      <c r="W2584" s="110"/>
      <c r="X2584" s="110"/>
      <c r="Y2584" s="110"/>
      <c r="Z2584" s="110"/>
      <c r="AA2584" s="110">
        <f t="shared" si="572"/>
        <v>90</v>
      </c>
      <c r="AB2584" s="111">
        <f t="shared" si="580"/>
        <v>1846.8</v>
      </c>
      <c r="AC2584" s="110"/>
      <c r="AD2584" s="110"/>
      <c r="AE2584" s="110">
        <f t="shared" si="572"/>
        <v>90</v>
      </c>
      <c r="AF2584" s="111">
        <f t="shared" si="581"/>
        <v>1846.8</v>
      </c>
      <c r="AG2584" s="110"/>
      <c r="AH2584" s="110"/>
      <c r="AI2584" s="110"/>
      <c r="AJ2584" s="110"/>
      <c r="AK2584" s="111">
        <f t="shared" si="576"/>
        <v>7387.2</v>
      </c>
      <c r="AL2584" s="446">
        <f t="shared" si="577"/>
        <v>0</v>
      </c>
      <c r="AM2584" s="110">
        <f t="shared" si="578"/>
        <v>360</v>
      </c>
      <c r="AN2584" s="447">
        <f t="shared" si="569"/>
        <v>0</v>
      </c>
      <c r="AO2584"/>
      <c r="AP2584"/>
    </row>
    <row r="2585" spans="1:42" ht="66" x14ac:dyDescent="0.25">
      <c r="A2585" s="9"/>
      <c r="B2585" s="567" t="s">
        <v>2298</v>
      </c>
      <c r="C2585" s="1024"/>
      <c r="D2585" s="882">
        <v>24</v>
      </c>
      <c r="E2585" s="264" t="s">
        <v>2322</v>
      </c>
      <c r="F2585" s="273" t="s">
        <v>3446</v>
      </c>
      <c r="G2585" s="1040" t="s">
        <v>3463</v>
      </c>
      <c r="H2585" s="273" t="s">
        <v>3462</v>
      </c>
      <c r="I2585" s="720">
        <f t="shared" si="579"/>
        <v>16.2</v>
      </c>
      <c r="J2585" s="756">
        <v>388.79999999999995</v>
      </c>
      <c r="K2585" s="131">
        <f t="shared" si="568"/>
        <v>388.79999999999995</v>
      </c>
      <c r="L2585" s="335">
        <f t="shared" si="575"/>
        <v>0</v>
      </c>
      <c r="M2585" s="446"/>
      <c r="N2585" s="446"/>
      <c r="O2585" s="446"/>
      <c r="P2585" s="446"/>
      <c r="Q2585" s="110">
        <f t="shared" si="570"/>
        <v>6</v>
      </c>
      <c r="R2585" s="111">
        <f t="shared" si="573"/>
        <v>97.199999999999989</v>
      </c>
      <c r="S2585" s="110"/>
      <c r="T2585" s="110"/>
      <c r="U2585" s="110">
        <f t="shared" si="571"/>
        <v>6</v>
      </c>
      <c r="V2585" s="111">
        <f t="shared" si="574"/>
        <v>97.199999999999989</v>
      </c>
      <c r="W2585" s="110"/>
      <c r="X2585" s="110"/>
      <c r="Y2585" s="110"/>
      <c r="Z2585" s="110"/>
      <c r="AA2585" s="110">
        <f t="shared" si="572"/>
        <v>6</v>
      </c>
      <c r="AB2585" s="111">
        <f t="shared" si="580"/>
        <v>97.199999999999989</v>
      </c>
      <c r="AC2585" s="110"/>
      <c r="AD2585" s="110"/>
      <c r="AE2585" s="110">
        <f t="shared" si="572"/>
        <v>6</v>
      </c>
      <c r="AF2585" s="111">
        <f t="shared" si="581"/>
        <v>97.199999999999989</v>
      </c>
      <c r="AG2585" s="110"/>
      <c r="AH2585" s="110"/>
      <c r="AI2585" s="110"/>
      <c r="AJ2585" s="110"/>
      <c r="AK2585" s="111">
        <f t="shared" si="576"/>
        <v>388.79999999999995</v>
      </c>
      <c r="AL2585" s="446">
        <f t="shared" si="577"/>
        <v>0</v>
      </c>
      <c r="AM2585" s="110">
        <f t="shared" si="578"/>
        <v>24</v>
      </c>
      <c r="AN2585" s="447">
        <f t="shared" si="569"/>
        <v>0</v>
      </c>
      <c r="AO2585"/>
      <c r="AP2585"/>
    </row>
    <row r="2586" spans="1:42" ht="66" x14ac:dyDescent="0.25">
      <c r="A2586" s="9"/>
      <c r="B2586" s="567" t="s">
        <v>2299</v>
      </c>
      <c r="C2586" s="1024"/>
      <c r="D2586" s="882">
        <v>120</v>
      </c>
      <c r="E2586" s="264" t="s">
        <v>1998</v>
      </c>
      <c r="F2586" s="273" t="s">
        <v>3446</v>
      </c>
      <c r="G2586" s="1040" t="s">
        <v>3463</v>
      </c>
      <c r="H2586" s="273" t="s">
        <v>3462</v>
      </c>
      <c r="I2586" s="720">
        <f t="shared" si="579"/>
        <v>41.04</v>
      </c>
      <c r="J2586" s="756">
        <v>4924.8</v>
      </c>
      <c r="K2586" s="131">
        <f t="shared" ref="K2586:K2649" si="582">+D2586*I2586</f>
        <v>4924.8</v>
      </c>
      <c r="L2586" s="335">
        <f t="shared" si="575"/>
        <v>0</v>
      </c>
      <c r="M2586" s="446"/>
      <c r="N2586" s="446"/>
      <c r="O2586" s="446"/>
      <c r="P2586" s="446"/>
      <c r="Q2586" s="110">
        <v>50</v>
      </c>
      <c r="R2586" s="111">
        <f t="shared" si="573"/>
        <v>1231.2</v>
      </c>
      <c r="S2586" s="110"/>
      <c r="T2586" s="110"/>
      <c r="U2586" s="110">
        <v>50</v>
      </c>
      <c r="V2586" s="111">
        <f t="shared" si="574"/>
        <v>1231.2</v>
      </c>
      <c r="W2586" s="110"/>
      <c r="X2586" s="110"/>
      <c r="Y2586" s="110"/>
      <c r="Z2586" s="110"/>
      <c r="AA2586" s="110">
        <v>10</v>
      </c>
      <c r="AB2586" s="111">
        <f t="shared" si="580"/>
        <v>1231.2</v>
      </c>
      <c r="AC2586" s="110"/>
      <c r="AD2586" s="110"/>
      <c r="AE2586" s="110">
        <v>10</v>
      </c>
      <c r="AF2586" s="111">
        <f t="shared" si="581"/>
        <v>1231.2</v>
      </c>
      <c r="AG2586" s="110"/>
      <c r="AH2586" s="110"/>
      <c r="AI2586" s="110"/>
      <c r="AJ2586" s="110"/>
      <c r="AK2586" s="111">
        <f t="shared" si="576"/>
        <v>4924.8</v>
      </c>
      <c r="AL2586" s="446">
        <f t="shared" si="577"/>
        <v>0</v>
      </c>
      <c r="AM2586" s="110">
        <f t="shared" si="578"/>
        <v>120</v>
      </c>
      <c r="AN2586" s="447">
        <f t="shared" ref="AN2586:AN2649" si="583">+D2586-AM2586</f>
        <v>0</v>
      </c>
      <c r="AO2586"/>
      <c r="AP2586"/>
    </row>
    <row r="2587" spans="1:42" ht="66" x14ac:dyDescent="0.25">
      <c r="A2587" s="9"/>
      <c r="B2587" s="567" t="s">
        <v>2300</v>
      </c>
      <c r="C2587" s="1024"/>
      <c r="D2587" s="882">
        <v>48</v>
      </c>
      <c r="E2587" s="264" t="s">
        <v>1998</v>
      </c>
      <c r="F2587" s="273" t="s">
        <v>3446</v>
      </c>
      <c r="G2587" s="1040" t="s">
        <v>3463</v>
      </c>
      <c r="H2587" s="273" t="s">
        <v>3462</v>
      </c>
      <c r="I2587" s="720">
        <f t="shared" si="579"/>
        <v>41.04</v>
      </c>
      <c r="J2587" s="756">
        <v>1969.92</v>
      </c>
      <c r="K2587" s="131">
        <f t="shared" si="582"/>
        <v>1969.92</v>
      </c>
      <c r="L2587" s="335">
        <f t="shared" si="575"/>
        <v>0</v>
      </c>
      <c r="M2587" s="446"/>
      <c r="N2587" s="446"/>
      <c r="O2587" s="446"/>
      <c r="P2587" s="446"/>
      <c r="Q2587" s="110">
        <f t="shared" si="570"/>
        <v>12</v>
      </c>
      <c r="R2587" s="111">
        <f t="shared" si="573"/>
        <v>492.48</v>
      </c>
      <c r="S2587" s="110"/>
      <c r="T2587" s="110"/>
      <c r="U2587" s="110">
        <f t="shared" si="571"/>
        <v>12</v>
      </c>
      <c r="V2587" s="111">
        <f t="shared" si="574"/>
        <v>492.48</v>
      </c>
      <c r="W2587" s="110"/>
      <c r="X2587" s="110"/>
      <c r="Y2587" s="110"/>
      <c r="Z2587" s="110"/>
      <c r="AA2587" s="110">
        <f t="shared" si="572"/>
        <v>12</v>
      </c>
      <c r="AB2587" s="111">
        <f t="shared" si="580"/>
        <v>492.48</v>
      </c>
      <c r="AC2587" s="110"/>
      <c r="AD2587" s="110"/>
      <c r="AE2587" s="110">
        <f t="shared" si="572"/>
        <v>12</v>
      </c>
      <c r="AF2587" s="111">
        <f t="shared" si="581"/>
        <v>492.48</v>
      </c>
      <c r="AG2587" s="110"/>
      <c r="AH2587" s="110"/>
      <c r="AI2587" s="110"/>
      <c r="AJ2587" s="110"/>
      <c r="AK2587" s="111">
        <f t="shared" si="576"/>
        <v>1969.92</v>
      </c>
      <c r="AL2587" s="446">
        <f t="shared" si="577"/>
        <v>0</v>
      </c>
      <c r="AM2587" s="110">
        <f t="shared" si="578"/>
        <v>48</v>
      </c>
      <c r="AN2587" s="447">
        <f t="shared" si="583"/>
        <v>0</v>
      </c>
      <c r="AO2587"/>
      <c r="AP2587"/>
    </row>
    <row r="2588" spans="1:42" ht="66" x14ac:dyDescent="0.25">
      <c r="A2588" s="9"/>
      <c r="B2588" s="567" t="s">
        <v>2301</v>
      </c>
      <c r="C2588" s="1024"/>
      <c r="D2588" s="882">
        <v>60</v>
      </c>
      <c r="E2588" s="264" t="s">
        <v>1998</v>
      </c>
      <c r="F2588" s="273" t="s">
        <v>3446</v>
      </c>
      <c r="G2588" s="1040" t="s">
        <v>3463</v>
      </c>
      <c r="H2588" s="273" t="s">
        <v>3462</v>
      </c>
      <c r="I2588" s="720">
        <f t="shared" si="579"/>
        <v>27</v>
      </c>
      <c r="J2588" s="756">
        <v>1620</v>
      </c>
      <c r="K2588" s="131">
        <f t="shared" si="582"/>
        <v>1620</v>
      </c>
      <c r="L2588" s="335">
        <f t="shared" si="575"/>
        <v>0</v>
      </c>
      <c r="M2588" s="446"/>
      <c r="N2588" s="446"/>
      <c r="O2588" s="446"/>
      <c r="P2588" s="446"/>
      <c r="Q2588" s="110">
        <f t="shared" si="570"/>
        <v>15</v>
      </c>
      <c r="R2588" s="111">
        <f t="shared" si="573"/>
        <v>405</v>
      </c>
      <c r="S2588" s="110"/>
      <c r="T2588" s="110"/>
      <c r="U2588" s="110">
        <f t="shared" si="571"/>
        <v>15</v>
      </c>
      <c r="V2588" s="111">
        <f t="shared" si="574"/>
        <v>405</v>
      </c>
      <c r="W2588" s="110"/>
      <c r="X2588" s="110"/>
      <c r="Y2588" s="110"/>
      <c r="Z2588" s="110"/>
      <c r="AA2588" s="110">
        <f t="shared" si="572"/>
        <v>15</v>
      </c>
      <c r="AB2588" s="111">
        <f t="shared" si="580"/>
        <v>405</v>
      </c>
      <c r="AC2588" s="110"/>
      <c r="AD2588" s="110"/>
      <c r="AE2588" s="110">
        <f t="shared" si="572"/>
        <v>15</v>
      </c>
      <c r="AF2588" s="111">
        <f t="shared" si="581"/>
        <v>405</v>
      </c>
      <c r="AG2588" s="110"/>
      <c r="AH2588" s="110"/>
      <c r="AI2588" s="110"/>
      <c r="AJ2588" s="110"/>
      <c r="AK2588" s="111">
        <f t="shared" si="576"/>
        <v>1620</v>
      </c>
      <c r="AL2588" s="446">
        <f t="shared" si="577"/>
        <v>0</v>
      </c>
      <c r="AM2588" s="110">
        <f t="shared" si="578"/>
        <v>60</v>
      </c>
      <c r="AN2588" s="447">
        <f t="shared" si="583"/>
        <v>0</v>
      </c>
      <c r="AO2588"/>
      <c r="AP2588"/>
    </row>
    <row r="2589" spans="1:42" ht="66" x14ac:dyDescent="0.25">
      <c r="A2589" s="9"/>
      <c r="B2589" s="567" t="s">
        <v>2302</v>
      </c>
      <c r="C2589" s="1024"/>
      <c r="D2589" s="882">
        <v>48</v>
      </c>
      <c r="E2589" s="264" t="s">
        <v>1998</v>
      </c>
      <c r="F2589" s="273" t="s">
        <v>3446</v>
      </c>
      <c r="G2589" s="1040" t="s">
        <v>3463</v>
      </c>
      <c r="H2589" s="273" t="s">
        <v>3462</v>
      </c>
      <c r="I2589" s="720">
        <f t="shared" si="579"/>
        <v>36.72</v>
      </c>
      <c r="J2589" s="756">
        <v>1762.56</v>
      </c>
      <c r="K2589" s="131">
        <f t="shared" si="582"/>
        <v>1762.56</v>
      </c>
      <c r="L2589" s="335">
        <f t="shared" si="575"/>
        <v>0</v>
      </c>
      <c r="M2589" s="446"/>
      <c r="N2589" s="446"/>
      <c r="O2589" s="446"/>
      <c r="P2589" s="446"/>
      <c r="Q2589" s="110">
        <f t="shared" si="570"/>
        <v>12</v>
      </c>
      <c r="R2589" s="111">
        <f t="shared" si="573"/>
        <v>440.64</v>
      </c>
      <c r="S2589" s="110"/>
      <c r="T2589" s="110"/>
      <c r="U2589" s="110">
        <f t="shared" si="571"/>
        <v>12</v>
      </c>
      <c r="V2589" s="111">
        <f t="shared" si="574"/>
        <v>440.64</v>
      </c>
      <c r="W2589" s="110"/>
      <c r="X2589" s="110"/>
      <c r="Y2589" s="110"/>
      <c r="Z2589" s="110"/>
      <c r="AA2589" s="110">
        <f t="shared" si="572"/>
        <v>12</v>
      </c>
      <c r="AB2589" s="111">
        <f t="shared" si="580"/>
        <v>440.64</v>
      </c>
      <c r="AC2589" s="110"/>
      <c r="AD2589" s="110"/>
      <c r="AE2589" s="110">
        <f t="shared" si="572"/>
        <v>12</v>
      </c>
      <c r="AF2589" s="111">
        <f t="shared" si="581"/>
        <v>440.64</v>
      </c>
      <c r="AG2589" s="110"/>
      <c r="AH2589" s="110"/>
      <c r="AI2589" s="110"/>
      <c r="AJ2589" s="110"/>
      <c r="AK2589" s="111">
        <f t="shared" si="576"/>
        <v>1762.56</v>
      </c>
      <c r="AL2589" s="446">
        <f t="shared" si="577"/>
        <v>0</v>
      </c>
      <c r="AM2589" s="110">
        <f t="shared" si="578"/>
        <v>48</v>
      </c>
      <c r="AN2589" s="447">
        <f t="shared" si="583"/>
        <v>0</v>
      </c>
      <c r="AO2589"/>
      <c r="AP2589"/>
    </row>
    <row r="2590" spans="1:42" ht="66" x14ac:dyDescent="0.25">
      <c r="A2590" s="9"/>
      <c r="B2590" s="567" t="s">
        <v>2303</v>
      </c>
      <c r="C2590" s="1024"/>
      <c r="D2590" s="882">
        <v>84</v>
      </c>
      <c r="E2590" s="264" t="s">
        <v>1998</v>
      </c>
      <c r="F2590" s="273" t="s">
        <v>3446</v>
      </c>
      <c r="G2590" s="1040" t="s">
        <v>3463</v>
      </c>
      <c r="H2590" s="273" t="s">
        <v>3462</v>
      </c>
      <c r="I2590" s="720">
        <f t="shared" si="579"/>
        <v>129.6</v>
      </c>
      <c r="J2590" s="756">
        <v>10886.4</v>
      </c>
      <c r="K2590" s="131">
        <f t="shared" si="582"/>
        <v>10886.4</v>
      </c>
      <c r="L2590" s="335">
        <f t="shared" si="575"/>
        <v>0</v>
      </c>
      <c r="M2590" s="446"/>
      <c r="N2590" s="446"/>
      <c r="O2590" s="446"/>
      <c r="P2590" s="446"/>
      <c r="Q2590" s="110">
        <f t="shared" si="570"/>
        <v>21</v>
      </c>
      <c r="R2590" s="111">
        <f t="shared" si="573"/>
        <v>2721.6</v>
      </c>
      <c r="S2590" s="110"/>
      <c r="T2590" s="110"/>
      <c r="U2590" s="110">
        <f t="shared" si="571"/>
        <v>21</v>
      </c>
      <c r="V2590" s="111">
        <f t="shared" si="574"/>
        <v>2721.6</v>
      </c>
      <c r="W2590" s="110"/>
      <c r="X2590" s="110"/>
      <c r="Y2590" s="110"/>
      <c r="Z2590" s="110"/>
      <c r="AA2590" s="110">
        <f t="shared" si="572"/>
        <v>21</v>
      </c>
      <c r="AB2590" s="111">
        <f t="shared" si="580"/>
        <v>2721.6</v>
      </c>
      <c r="AC2590" s="110"/>
      <c r="AD2590" s="110"/>
      <c r="AE2590" s="110">
        <f t="shared" si="572"/>
        <v>21</v>
      </c>
      <c r="AF2590" s="111">
        <f t="shared" si="581"/>
        <v>2721.6</v>
      </c>
      <c r="AG2590" s="110"/>
      <c r="AH2590" s="110"/>
      <c r="AI2590" s="110"/>
      <c r="AJ2590" s="110"/>
      <c r="AK2590" s="111">
        <f t="shared" si="576"/>
        <v>10886.4</v>
      </c>
      <c r="AL2590" s="446">
        <f t="shared" si="577"/>
        <v>0</v>
      </c>
      <c r="AM2590" s="110">
        <f t="shared" si="578"/>
        <v>84</v>
      </c>
      <c r="AN2590" s="447">
        <f t="shared" si="583"/>
        <v>0</v>
      </c>
      <c r="AO2590"/>
      <c r="AP2590"/>
    </row>
    <row r="2591" spans="1:42" ht="66" x14ac:dyDescent="0.25">
      <c r="A2591" s="9"/>
      <c r="B2591" s="567" t="s">
        <v>2304</v>
      </c>
      <c r="C2591" s="1024"/>
      <c r="D2591" s="882">
        <v>84</v>
      </c>
      <c r="E2591" s="264" t="s">
        <v>1998</v>
      </c>
      <c r="F2591" s="273" t="s">
        <v>3446</v>
      </c>
      <c r="G2591" s="1040" t="s">
        <v>3463</v>
      </c>
      <c r="H2591" s="273" t="s">
        <v>3462</v>
      </c>
      <c r="I2591" s="720">
        <f t="shared" si="579"/>
        <v>35.64</v>
      </c>
      <c r="J2591" s="756">
        <v>2993.76</v>
      </c>
      <c r="K2591" s="131">
        <f t="shared" si="582"/>
        <v>2993.76</v>
      </c>
      <c r="L2591" s="335">
        <f t="shared" si="575"/>
        <v>0</v>
      </c>
      <c r="M2591" s="446"/>
      <c r="N2591" s="446"/>
      <c r="O2591" s="446"/>
      <c r="P2591" s="446"/>
      <c r="Q2591" s="110">
        <f t="shared" si="570"/>
        <v>21</v>
      </c>
      <c r="R2591" s="111">
        <f t="shared" si="573"/>
        <v>748.44</v>
      </c>
      <c r="S2591" s="110"/>
      <c r="T2591" s="110"/>
      <c r="U2591" s="110">
        <f t="shared" si="571"/>
        <v>21</v>
      </c>
      <c r="V2591" s="111">
        <f t="shared" si="574"/>
        <v>748.44</v>
      </c>
      <c r="W2591" s="110"/>
      <c r="X2591" s="110"/>
      <c r="Y2591" s="110"/>
      <c r="Z2591" s="110"/>
      <c r="AA2591" s="110">
        <f t="shared" si="572"/>
        <v>21</v>
      </c>
      <c r="AB2591" s="111">
        <f t="shared" si="580"/>
        <v>748.44</v>
      </c>
      <c r="AC2591" s="110"/>
      <c r="AD2591" s="110"/>
      <c r="AE2591" s="110">
        <f t="shared" si="572"/>
        <v>21</v>
      </c>
      <c r="AF2591" s="111">
        <f t="shared" si="581"/>
        <v>748.44</v>
      </c>
      <c r="AG2591" s="110"/>
      <c r="AH2591" s="110"/>
      <c r="AI2591" s="110"/>
      <c r="AJ2591" s="110"/>
      <c r="AK2591" s="111">
        <f t="shared" si="576"/>
        <v>2993.76</v>
      </c>
      <c r="AL2591" s="446">
        <f t="shared" si="577"/>
        <v>0</v>
      </c>
      <c r="AM2591" s="110">
        <f t="shared" si="578"/>
        <v>84</v>
      </c>
      <c r="AN2591" s="447">
        <f t="shared" si="583"/>
        <v>0</v>
      </c>
      <c r="AO2591"/>
      <c r="AP2591"/>
    </row>
    <row r="2592" spans="1:42" ht="66" x14ac:dyDescent="0.25">
      <c r="A2592" s="9"/>
      <c r="B2592" s="567" t="s">
        <v>2305</v>
      </c>
      <c r="C2592" s="1024"/>
      <c r="D2592" s="882">
        <v>36</v>
      </c>
      <c r="E2592" s="264" t="s">
        <v>1998</v>
      </c>
      <c r="F2592" s="273" t="s">
        <v>3446</v>
      </c>
      <c r="G2592" s="1040" t="s">
        <v>3463</v>
      </c>
      <c r="H2592" s="273" t="s">
        <v>3462</v>
      </c>
      <c r="I2592" s="720">
        <f t="shared" si="579"/>
        <v>189</v>
      </c>
      <c r="J2592" s="756">
        <v>6804</v>
      </c>
      <c r="K2592" s="131">
        <f t="shared" si="582"/>
        <v>6804</v>
      </c>
      <c r="L2592" s="335">
        <f t="shared" si="575"/>
        <v>0</v>
      </c>
      <c r="M2592" s="446"/>
      <c r="N2592" s="446"/>
      <c r="O2592" s="446"/>
      <c r="P2592" s="446"/>
      <c r="Q2592" s="110">
        <f t="shared" si="570"/>
        <v>9</v>
      </c>
      <c r="R2592" s="111">
        <f t="shared" si="573"/>
        <v>1701</v>
      </c>
      <c r="S2592" s="110"/>
      <c r="T2592" s="110"/>
      <c r="U2592" s="110">
        <f t="shared" si="571"/>
        <v>9</v>
      </c>
      <c r="V2592" s="111">
        <f t="shared" si="574"/>
        <v>1701</v>
      </c>
      <c r="W2592" s="110"/>
      <c r="X2592" s="110"/>
      <c r="Y2592" s="110"/>
      <c r="Z2592" s="110"/>
      <c r="AA2592" s="110">
        <f t="shared" si="572"/>
        <v>9</v>
      </c>
      <c r="AB2592" s="111">
        <f t="shared" si="580"/>
        <v>1701</v>
      </c>
      <c r="AC2592" s="110"/>
      <c r="AD2592" s="110"/>
      <c r="AE2592" s="110">
        <f t="shared" si="572"/>
        <v>9</v>
      </c>
      <c r="AF2592" s="111">
        <f t="shared" si="581"/>
        <v>1701</v>
      </c>
      <c r="AG2592" s="110"/>
      <c r="AH2592" s="110"/>
      <c r="AI2592" s="110"/>
      <c r="AJ2592" s="110"/>
      <c r="AK2592" s="111">
        <f t="shared" si="576"/>
        <v>6804</v>
      </c>
      <c r="AL2592" s="446">
        <f t="shared" si="577"/>
        <v>0</v>
      </c>
      <c r="AM2592" s="110">
        <f t="shared" si="578"/>
        <v>36</v>
      </c>
      <c r="AN2592" s="447">
        <f t="shared" si="583"/>
        <v>0</v>
      </c>
      <c r="AO2592"/>
      <c r="AP2592"/>
    </row>
    <row r="2593" spans="1:42" ht="66" x14ac:dyDescent="0.25">
      <c r="A2593" s="9"/>
      <c r="B2593" s="569" t="s">
        <v>2306</v>
      </c>
      <c r="C2593" s="1024"/>
      <c r="D2593" s="882">
        <v>36</v>
      </c>
      <c r="E2593" s="264" t="s">
        <v>1998</v>
      </c>
      <c r="F2593" s="273" t="s">
        <v>3446</v>
      </c>
      <c r="G2593" s="1040" t="s">
        <v>3463</v>
      </c>
      <c r="H2593" s="273" t="s">
        <v>3462</v>
      </c>
      <c r="I2593" s="720">
        <f t="shared" si="579"/>
        <v>37.799999999999997</v>
      </c>
      <c r="J2593" s="756">
        <v>1360.8</v>
      </c>
      <c r="K2593" s="131">
        <f t="shared" si="582"/>
        <v>1360.8</v>
      </c>
      <c r="L2593" s="335">
        <f t="shared" si="575"/>
        <v>0</v>
      </c>
      <c r="M2593" s="446"/>
      <c r="N2593" s="446"/>
      <c r="O2593" s="446"/>
      <c r="P2593" s="446"/>
      <c r="Q2593" s="110">
        <f t="shared" si="570"/>
        <v>9</v>
      </c>
      <c r="R2593" s="111">
        <f t="shared" si="573"/>
        <v>340.2</v>
      </c>
      <c r="S2593" s="110"/>
      <c r="T2593" s="110"/>
      <c r="U2593" s="110">
        <f t="shared" si="571"/>
        <v>9</v>
      </c>
      <c r="V2593" s="111">
        <f t="shared" si="574"/>
        <v>340.2</v>
      </c>
      <c r="W2593" s="110"/>
      <c r="X2593" s="110"/>
      <c r="Y2593" s="110"/>
      <c r="Z2593" s="110"/>
      <c r="AA2593" s="110">
        <f t="shared" si="572"/>
        <v>9</v>
      </c>
      <c r="AB2593" s="111">
        <f t="shared" si="580"/>
        <v>340.2</v>
      </c>
      <c r="AC2593" s="110"/>
      <c r="AD2593" s="110"/>
      <c r="AE2593" s="110">
        <f t="shared" si="572"/>
        <v>9</v>
      </c>
      <c r="AF2593" s="111">
        <f t="shared" si="581"/>
        <v>340.2</v>
      </c>
      <c r="AG2593" s="110"/>
      <c r="AH2593" s="110"/>
      <c r="AI2593" s="110"/>
      <c r="AJ2593" s="110"/>
      <c r="AK2593" s="111">
        <f t="shared" si="576"/>
        <v>1360.8</v>
      </c>
      <c r="AL2593" s="446">
        <f t="shared" si="577"/>
        <v>0</v>
      </c>
      <c r="AM2593" s="110">
        <f t="shared" si="578"/>
        <v>36</v>
      </c>
      <c r="AN2593" s="447">
        <f t="shared" si="583"/>
        <v>0</v>
      </c>
      <c r="AO2593"/>
      <c r="AP2593"/>
    </row>
    <row r="2594" spans="1:42" ht="66" x14ac:dyDescent="0.25">
      <c r="A2594" s="9"/>
      <c r="B2594" s="570" t="s">
        <v>2307</v>
      </c>
      <c r="C2594" s="1024"/>
      <c r="D2594" s="882">
        <v>36</v>
      </c>
      <c r="E2594" s="264" t="s">
        <v>1998</v>
      </c>
      <c r="F2594" s="273" t="s">
        <v>3446</v>
      </c>
      <c r="G2594" s="1040" t="s">
        <v>3463</v>
      </c>
      <c r="H2594" s="273" t="s">
        <v>3462</v>
      </c>
      <c r="I2594" s="720">
        <f t="shared" si="579"/>
        <v>43.2</v>
      </c>
      <c r="J2594" s="756">
        <v>1555.2</v>
      </c>
      <c r="K2594" s="131">
        <f t="shared" si="582"/>
        <v>1555.2</v>
      </c>
      <c r="L2594" s="335">
        <f t="shared" si="575"/>
        <v>0</v>
      </c>
      <c r="M2594" s="446"/>
      <c r="N2594" s="446"/>
      <c r="O2594" s="446"/>
      <c r="P2594" s="446"/>
      <c r="Q2594" s="110">
        <f t="shared" si="570"/>
        <v>9</v>
      </c>
      <c r="R2594" s="111">
        <f t="shared" si="573"/>
        <v>388.8</v>
      </c>
      <c r="S2594" s="110"/>
      <c r="T2594" s="110"/>
      <c r="U2594" s="110">
        <f t="shared" si="571"/>
        <v>9</v>
      </c>
      <c r="V2594" s="111">
        <f t="shared" si="574"/>
        <v>388.8</v>
      </c>
      <c r="W2594" s="110"/>
      <c r="X2594" s="110"/>
      <c r="Y2594" s="110"/>
      <c r="Z2594" s="110"/>
      <c r="AA2594" s="110">
        <f t="shared" si="572"/>
        <v>9</v>
      </c>
      <c r="AB2594" s="111">
        <f t="shared" si="580"/>
        <v>388.8</v>
      </c>
      <c r="AC2594" s="110"/>
      <c r="AD2594" s="110"/>
      <c r="AE2594" s="110">
        <f t="shared" si="572"/>
        <v>9</v>
      </c>
      <c r="AF2594" s="111">
        <f t="shared" si="581"/>
        <v>388.8</v>
      </c>
      <c r="AG2594" s="110"/>
      <c r="AH2594" s="110"/>
      <c r="AI2594" s="110"/>
      <c r="AJ2594" s="110"/>
      <c r="AK2594" s="111">
        <f t="shared" si="576"/>
        <v>1555.2</v>
      </c>
      <c r="AL2594" s="446">
        <f t="shared" si="577"/>
        <v>0</v>
      </c>
      <c r="AM2594" s="110">
        <f t="shared" si="578"/>
        <v>36</v>
      </c>
      <c r="AN2594" s="447">
        <f t="shared" si="583"/>
        <v>0</v>
      </c>
      <c r="AO2594"/>
      <c r="AP2594"/>
    </row>
    <row r="2595" spans="1:42" ht="66" x14ac:dyDescent="0.25">
      <c r="A2595" s="9"/>
      <c r="B2595" s="567" t="s">
        <v>2308</v>
      </c>
      <c r="C2595" s="1024"/>
      <c r="D2595" s="882">
        <v>120</v>
      </c>
      <c r="E2595" s="264" t="s">
        <v>1998</v>
      </c>
      <c r="F2595" s="273" t="s">
        <v>3446</v>
      </c>
      <c r="G2595" s="1040" t="s">
        <v>3463</v>
      </c>
      <c r="H2595" s="273" t="s">
        <v>3462</v>
      </c>
      <c r="I2595" s="720">
        <f t="shared" si="579"/>
        <v>97.2</v>
      </c>
      <c r="J2595" s="756">
        <v>11664</v>
      </c>
      <c r="K2595" s="131">
        <f t="shared" si="582"/>
        <v>11664</v>
      </c>
      <c r="L2595" s="335">
        <f t="shared" si="575"/>
        <v>0</v>
      </c>
      <c r="M2595" s="446"/>
      <c r="N2595" s="446"/>
      <c r="O2595" s="446"/>
      <c r="P2595" s="446"/>
      <c r="Q2595" s="110">
        <v>50</v>
      </c>
      <c r="R2595" s="111">
        <f t="shared" si="573"/>
        <v>2916</v>
      </c>
      <c r="S2595" s="110"/>
      <c r="T2595" s="110"/>
      <c r="U2595" s="110">
        <v>50</v>
      </c>
      <c r="V2595" s="111">
        <f t="shared" si="574"/>
        <v>2916</v>
      </c>
      <c r="W2595" s="110"/>
      <c r="X2595" s="110"/>
      <c r="Y2595" s="110"/>
      <c r="Z2595" s="110"/>
      <c r="AA2595" s="110">
        <v>10</v>
      </c>
      <c r="AB2595" s="111">
        <f t="shared" si="580"/>
        <v>2916</v>
      </c>
      <c r="AC2595" s="110"/>
      <c r="AD2595" s="110"/>
      <c r="AE2595" s="110">
        <v>10</v>
      </c>
      <c r="AF2595" s="111">
        <f t="shared" si="581"/>
        <v>2916</v>
      </c>
      <c r="AG2595" s="110"/>
      <c r="AH2595" s="110"/>
      <c r="AI2595" s="110"/>
      <c r="AJ2595" s="110"/>
      <c r="AK2595" s="111">
        <f t="shared" si="576"/>
        <v>11664</v>
      </c>
      <c r="AL2595" s="446">
        <f t="shared" si="577"/>
        <v>0</v>
      </c>
      <c r="AM2595" s="110">
        <f t="shared" si="578"/>
        <v>120</v>
      </c>
      <c r="AN2595" s="447">
        <f t="shared" si="583"/>
        <v>0</v>
      </c>
      <c r="AO2595"/>
      <c r="AP2595"/>
    </row>
    <row r="2596" spans="1:42" ht="66" x14ac:dyDescent="0.25">
      <c r="A2596" s="9"/>
      <c r="B2596" s="567" t="s">
        <v>2309</v>
      </c>
      <c r="C2596" s="1024"/>
      <c r="D2596" s="882">
        <v>180</v>
      </c>
      <c r="E2596" s="264" t="s">
        <v>1998</v>
      </c>
      <c r="F2596" s="273" t="s">
        <v>3446</v>
      </c>
      <c r="G2596" s="1040" t="s">
        <v>3463</v>
      </c>
      <c r="H2596" s="273" t="s">
        <v>3462</v>
      </c>
      <c r="I2596" s="720">
        <f t="shared" si="579"/>
        <v>81</v>
      </c>
      <c r="J2596" s="756">
        <v>14580</v>
      </c>
      <c r="K2596" s="131">
        <f t="shared" si="582"/>
        <v>14580</v>
      </c>
      <c r="L2596" s="335">
        <f t="shared" si="575"/>
        <v>0</v>
      </c>
      <c r="M2596" s="446"/>
      <c r="N2596" s="446"/>
      <c r="O2596" s="446"/>
      <c r="P2596" s="446"/>
      <c r="Q2596" s="110">
        <f t="shared" si="570"/>
        <v>45</v>
      </c>
      <c r="R2596" s="111">
        <f t="shared" si="573"/>
        <v>3645</v>
      </c>
      <c r="S2596" s="110"/>
      <c r="T2596" s="110"/>
      <c r="U2596" s="110">
        <f t="shared" si="571"/>
        <v>45</v>
      </c>
      <c r="V2596" s="111">
        <f t="shared" si="574"/>
        <v>3645</v>
      </c>
      <c r="W2596" s="110"/>
      <c r="X2596" s="110"/>
      <c r="Y2596" s="110"/>
      <c r="Z2596" s="110"/>
      <c r="AA2596" s="110">
        <f t="shared" si="572"/>
        <v>45</v>
      </c>
      <c r="AB2596" s="111">
        <f t="shared" si="580"/>
        <v>3645</v>
      </c>
      <c r="AC2596" s="110"/>
      <c r="AD2596" s="110"/>
      <c r="AE2596" s="110">
        <f t="shared" si="572"/>
        <v>45</v>
      </c>
      <c r="AF2596" s="111">
        <f t="shared" si="581"/>
        <v>3645</v>
      </c>
      <c r="AG2596" s="110"/>
      <c r="AH2596" s="110"/>
      <c r="AI2596" s="110"/>
      <c r="AJ2596" s="110"/>
      <c r="AK2596" s="111">
        <f t="shared" si="576"/>
        <v>14580</v>
      </c>
      <c r="AL2596" s="446">
        <f t="shared" si="577"/>
        <v>0</v>
      </c>
      <c r="AM2596" s="110">
        <f t="shared" si="578"/>
        <v>180</v>
      </c>
      <c r="AN2596" s="447">
        <f t="shared" si="583"/>
        <v>0</v>
      </c>
      <c r="AO2596"/>
      <c r="AP2596"/>
    </row>
    <row r="2597" spans="1:42" ht="66" x14ac:dyDescent="0.25">
      <c r="A2597" s="9"/>
      <c r="B2597" s="567" t="s">
        <v>2310</v>
      </c>
      <c r="C2597" s="1024"/>
      <c r="D2597" s="882">
        <v>360</v>
      </c>
      <c r="E2597" s="264" t="s">
        <v>1998</v>
      </c>
      <c r="F2597" s="273" t="s">
        <v>3446</v>
      </c>
      <c r="G2597" s="1040" t="s">
        <v>3463</v>
      </c>
      <c r="H2597" s="273" t="s">
        <v>3462</v>
      </c>
      <c r="I2597" s="720">
        <f t="shared" si="579"/>
        <v>32.4</v>
      </c>
      <c r="J2597" s="756">
        <v>11664</v>
      </c>
      <c r="K2597" s="131">
        <f t="shared" si="582"/>
        <v>11664</v>
      </c>
      <c r="L2597" s="335">
        <f t="shared" si="575"/>
        <v>0</v>
      </c>
      <c r="M2597" s="446"/>
      <c r="N2597" s="446"/>
      <c r="O2597" s="446"/>
      <c r="P2597" s="446"/>
      <c r="Q2597" s="110">
        <f t="shared" si="570"/>
        <v>90</v>
      </c>
      <c r="R2597" s="111">
        <f t="shared" si="573"/>
        <v>2916</v>
      </c>
      <c r="S2597" s="110"/>
      <c r="T2597" s="110"/>
      <c r="U2597" s="110">
        <f t="shared" si="571"/>
        <v>90</v>
      </c>
      <c r="V2597" s="111">
        <f t="shared" si="574"/>
        <v>2916</v>
      </c>
      <c r="W2597" s="110"/>
      <c r="X2597" s="110"/>
      <c r="Y2597" s="110"/>
      <c r="Z2597" s="110"/>
      <c r="AA2597" s="110">
        <f t="shared" si="572"/>
        <v>90</v>
      </c>
      <c r="AB2597" s="111">
        <f t="shared" si="580"/>
        <v>2916</v>
      </c>
      <c r="AC2597" s="110"/>
      <c r="AD2597" s="110"/>
      <c r="AE2597" s="110">
        <f t="shared" si="572"/>
        <v>90</v>
      </c>
      <c r="AF2597" s="111">
        <f t="shared" si="581"/>
        <v>2916</v>
      </c>
      <c r="AG2597" s="110"/>
      <c r="AH2597" s="110"/>
      <c r="AI2597" s="110"/>
      <c r="AJ2597" s="110"/>
      <c r="AK2597" s="111">
        <f t="shared" si="576"/>
        <v>11664</v>
      </c>
      <c r="AL2597" s="446">
        <f t="shared" si="577"/>
        <v>0</v>
      </c>
      <c r="AM2597" s="110">
        <f t="shared" si="578"/>
        <v>360</v>
      </c>
      <c r="AN2597" s="447">
        <f t="shared" si="583"/>
        <v>0</v>
      </c>
      <c r="AO2597"/>
      <c r="AP2597"/>
    </row>
    <row r="2598" spans="1:42" ht="66" x14ac:dyDescent="0.25">
      <c r="A2598" s="9"/>
      <c r="B2598" s="567" t="s">
        <v>2311</v>
      </c>
      <c r="C2598" s="1024"/>
      <c r="D2598" s="882">
        <v>84</v>
      </c>
      <c r="E2598" s="264" t="s">
        <v>1998</v>
      </c>
      <c r="F2598" s="273" t="s">
        <v>3446</v>
      </c>
      <c r="G2598" s="1040" t="s">
        <v>3463</v>
      </c>
      <c r="H2598" s="273" t="s">
        <v>3462</v>
      </c>
      <c r="I2598" s="720">
        <f t="shared" si="579"/>
        <v>588</v>
      </c>
      <c r="J2598" s="756">
        <v>49392</v>
      </c>
      <c r="K2598" s="131">
        <f t="shared" si="582"/>
        <v>49392</v>
      </c>
      <c r="L2598" s="335">
        <f t="shared" si="575"/>
        <v>0</v>
      </c>
      <c r="M2598" s="446"/>
      <c r="N2598" s="446"/>
      <c r="O2598" s="446"/>
      <c r="P2598" s="446"/>
      <c r="Q2598" s="110">
        <f t="shared" si="570"/>
        <v>21</v>
      </c>
      <c r="R2598" s="111">
        <f t="shared" si="573"/>
        <v>12348</v>
      </c>
      <c r="S2598" s="110"/>
      <c r="T2598" s="110"/>
      <c r="U2598" s="110">
        <f t="shared" si="571"/>
        <v>21</v>
      </c>
      <c r="V2598" s="111">
        <f t="shared" si="574"/>
        <v>12348</v>
      </c>
      <c r="W2598" s="110"/>
      <c r="X2598" s="110"/>
      <c r="Y2598" s="110"/>
      <c r="Z2598" s="110"/>
      <c r="AA2598" s="110">
        <f t="shared" si="572"/>
        <v>21</v>
      </c>
      <c r="AB2598" s="111">
        <f t="shared" si="580"/>
        <v>12348</v>
      </c>
      <c r="AC2598" s="110"/>
      <c r="AD2598" s="110"/>
      <c r="AE2598" s="110">
        <f t="shared" si="572"/>
        <v>21</v>
      </c>
      <c r="AF2598" s="111">
        <f t="shared" si="581"/>
        <v>12348</v>
      </c>
      <c r="AG2598" s="110"/>
      <c r="AH2598" s="110"/>
      <c r="AI2598" s="110"/>
      <c r="AJ2598" s="110"/>
      <c r="AK2598" s="111">
        <f t="shared" si="576"/>
        <v>49392</v>
      </c>
      <c r="AL2598" s="446">
        <f t="shared" si="577"/>
        <v>0</v>
      </c>
      <c r="AM2598" s="110">
        <f t="shared" si="578"/>
        <v>84</v>
      </c>
      <c r="AN2598" s="447">
        <f t="shared" si="583"/>
        <v>0</v>
      </c>
      <c r="AO2598"/>
      <c r="AP2598"/>
    </row>
    <row r="2599" spans="1:42" ht="66" x14ac:dyDescent="0.25">
      <c r="A2599" s="9"/>
      <c r="B2599" s="567" t="s">
        <v>2312</v>
      </c>
      <c r="C2599" s="1024"/>
      <c r="D2599" s="882">
        <v>60</v>
      </c>
      <c r="E2599" s="264" t="s">
        <v>1998</v>
      </c>
      <c r="F2599" s="273" t="s">
        <v>3446</v>
      </c>
      <c r="G2599" s="1040" t="s">
        <v>3463</v>
      </c>
      <c r="H2599" s="273" t="s">
        <v>3462</v>
      </c>
      <c r="I2599" s="720">
        <f t="shared" si="579"/>
        <v>41.04</v>
      </c>
      <c r="J2599" s="756">
        <v>2462.4</v>
      </c>
      <c r="K2599" s="131">
        <f t="shared" si="582"/>
        <v>2462.4</v>
      </c>
      <c r="L2599" s="335">
        <f t="shared" si="575"/>
        <v>0</v>
      </c>
      <c r="M2599" s="446"/>
      <c r="N2599" s="446"/>
      <c r="O2599" s="446"/>
      <c r="P2599" s="446"/>
      <c r="Q2599" s="110">
        <f t="shared" si="570"/>
        <v>15</v>
      </c>
      <c r="R2599" s="111">
        <f t="shared" si="573"/>
        <v>615.6</v>
      </c>
      <c r="S2599" s="110"/>
      <c r="T2599" s="110"/>
      <c r="U2599" s="110">
        <f t="shared" si="571"/>
        <v>15</v>
      </c>
      <c r="V2599" s="111">
        <f t="shared" si="574"/>
        <v>615.6</v>
      </c>
      <c r="W2599" s="110"/>
      <c r="X2599" s="110"/>
      <c r="Y2599" s="110"/>
      <c r="Z2599" s="110"/>
      <c r="AA2599" s="110">
        <f t="shared" si="572"/>
        <v>15</v>
      </c>
      <c r="AB2599" s="111">
        <f t="shared" si="580"/>
        <v>615.6</v>
      </c>
      <c r="AC2599" s="110"/>
      <c r="AD2599" s="110"/>
      <c r="AE2599" s="110">
        <f t="shared" si="572"/>
        <v>15</v>
      </c>
      <c r="AF2599" s="111">
        <f t="shared" si="581"/>
        <v>615.6</v>
      </c>
      <c r="AG2599" s="110"/>
      <c r="AH2599" s="110"/>
      <c r="AI2599" s="110"/>
      <c r="AJ2599" s="110"/>
      <c r="AK2599" s="111">
        <f t="shared" si="576"/>
        <v>2462.4</v>
      </c>
      <c r="AL2599" s="446">
        <f t="shared" si="577"/>
        <v>0</v>
      </c>
      <c r="AM2599" s="110">
        <f t="shared" si="578"/>
        <v>60</v>
      </c>
      <c r="AN2599" s="447">
        <f t="shared" si="583"/>
        <v>0</v>
      </c>
      <c r="AO2599"/>
      <c r="AP2599"/>
    </row>
    <row r="2600" spans="1:42" ht="66" x14ac:dyDescent="0.25">
      <c r="A2600" s="9"/>
      <c r="B2600" s="567" t="s">
        <v>2313</v>
      </c>
      <c r="C2600" s="1024"/>
      <c r="D2600" s="882">
        <v>48</v>
      </c>
      <c r="E2600" s="264" t="s">
        <v>1998</v>
      </c>
      <c r="F2600" s="273" t="s">
        <v>3446</v>
      </c>
      <c r="G2600" s="1040" t="s">
        <v>3463</v>
      </c>
      <c r="H2600" s="273" t="s">
        <v>3462</v>
      </c>
      <c r="I2600" s="720">
        <f t="shared" si="579"/>
        <v>54</v>
      </c>
      <c r="J2600" s="756">
        <v>2592</v>
      </c>
      <c r="K2600" s="131">
        <f t="shared" si="582"/>
        <v>2592</v>
      </c>
      <c r="L2600" s="335">
        <f t="shared" si="575"/>
        <v>0</v>
      </c>
      <c r="M2600" s="446"/>
      <c r="N2600" s="446"/>
      <c r="O2600" s="446"/>
      <c r="P2600" s="446"/>
      <c r="Q2600" s="110">
        <f t="shared" si="570"/>
        <v>12</v>
      </c>
      <c r="R2600" s="111">
        <f t="shared" si="573"/>
        <v>648</v>
      </c>
      <c r="S2600" s="110"/>
      <c r="T2600" s="110"/>
      <c r="U2600" s="110">
        <f t="shared" si="571"/>
        <v>12</v>
      </c>
      <c r="V2600" s="111">
        <f t="shared" si="574"/>
        <v>648</v>
      </c>
      <c r="W2600" s="110"/>
      <c r="X2600" s="110"/>
      <c r="Y2600" s="110"/>
      <c r="Z2600" s="110"/>
      <c r="AA2600" s="110">
        <f t="shared" si="572"/>
        <v>12</v>
      </c>
      <c r="AB2600" s="111">
        <f t="shared" si="580"/>
        <v>648</v>
      </c>
      <c r="AC2600" s="110"/>
      <c r="AD2600" s="110"/>
      <c r="AE2600" s="110">
        <f t="shared" si="572"/>
        <v>12</v>
      </c>
      <c r="AF2600" s="111">
        <f t="shared" si="581"/>
        <v>648</v>
      </c>
      <c r="AG2600" s="110"/>
      <c r="AH2600" s="110"/>
      <c r="AI2600" s="110"/>
      <c r="AJ2600" s="110"/>
      <c r="AK2600" s="111">
        <f t="shared" si="576"/>
        <v>2592</v>
      </c>
      <c r="AL2600" s="446">
        <f t="shared" si="577"/>
        <v>0</v>
      </c>
      <c r="AM2600" s="110">
        <f t="shared" si="578"/>
        <v>48</v>
      </c>
      <c r="AN2600" s="447">
        <f t="shared" si="583"/>
        <v>0</v>
      </c>
      <c r="AO2600"/>
      <c r="AP2600"/>
    </row>
    <row r="2601" spans="1:42" ht="66" x14ac:dyDescent="0.25">
      <c r="A2601" s="9"/>
      <c r="B2601" s="567" t="s">
        <v>2314</v>
      </c>
      <c r="C2601" s="1024"/>
      <c r="D2601" s="882">
        <v>24</v>
      </c>
      <c r="E2601" s="264" t="s">
        <v>1998</v>
      </c>
      <c r="F2601" s="273" t="s">
        <v>3446</v>
      </c>
      <c r="G2601" s="1040" t="s">
        <v>3463</v>
      </c>
      <c r="H2601" s="273" t="s">
        <v>3462</v>
      </c>
      <c r="I2601" s="720">
        <f t="shared" si="579"/>
        <v>583.20000000000005</v>
      </c>
      <c r="J2601" s="756">
        <v>13996.800000000001</v>
      </c>
      <c r="K2601" s="131">
        <f t="shared" si="582"/>
        <v>13996.800000000001</v>
      </c>
      <c r="L2601" s="335">
        <f t="shared" si="575"/>
        <v>0</v>
      </c>
      <c r="M2601" s="446"/>
      <c r="N2601" s="446"/>
      <c r="O2601" s="446"/>
      <c r="P2601" s="446"/>
      <c r="Q2601" s="110">
        <f t="shared" si="570"/>
        <v>6</v>
      </c>
      <c r="R2601" s="111">
        <f t="shared" si="573"/>
        <v>3499.2000000000003</v>
      </c>
      <c r="S2601" s="110"/>
      <c r="T2601" s="110"/>
      <c r="U2601" s="110">
        <f t="shared" si="571"/>
        <v>6</v>
      </c>
      <c r="V2601" s="111">
        <f t="shared" si="574"/>
        <v>3499.2000000000003</v>
      </c>
      <c r="W2601" s="110"/>
      <c r="X2601" s="110"/>
      <c r="Y2601" s="110"/>
      <c r="Z2601" s="110"/>
      <c r="AA2601" s="110">
        <f t="shared" si="572"/>
        <v>6</v>
      </c>
      <c r="AB2601" s="111">
        <f t="shared" si="580"/>
        <v>3499.2000000000003</v>
      </c>
      <c r="AC2601" s="110"/>
      <c r="AD2601" s="110"/>
      <c r="AE2601" s="110">
        <f t="shared" si="572"/>
        <v>6</v>
      </c>
      <c r="AF2601" s="111">
        <f t="shared" si="581"/>
        <v>3499.2000000000003</v>
      </c>
      <c r="AG2601" s="110"/>
      <c r="AH2601" s="110"/>
      <c r="AI2601" s="110"/>
      <c r="AJ2601" s="110"/>
      <c r="AK2601" s="111">
        <f t="shared" si="576"/>
        <v>13996.800000000001</v>
      </c>
      <c r="AL2601" s="446">
        <f t="shared" si="577"/>
        <v>0</v>
      </c>
      <c r="AM2601" s="110">
        <f t="shared" si="578"/>
        <v>24</v>
      </c>
      <c r="AN2601" s="447">
        <f t="shared" si="583"/>
        <v>0</v>
      </c>
      <c r="AO2601"/>
      <c r="AP2601"/>
    </row>
    <row r="2602" spans="1:42" ht="66" x14ac:dyDescent="0.25">
      <c r="A2602" s="9"/>
      <c r="B2602" s="567" t="s">
        <v>2315</v>
      </c>
      <c r="C2602" s="1024"/>
      <c r="D2602" s="882">
        <v>36</v>
      </c>
      <c r="E2602" s="264" t="s">
        <v>1998</v>
      </c>
      <c r="F2602" s="273" t="s">
        <v>3446</v>
      </c>
      <c r="G2602" s="1040" t="s">
        <v>3463</v>
      </c>
      <c r="H2602" s="273" t="s">
        <v>3462</v>
      </c>
      <c r="I2602" s="720">
        <f t="shared" si="579"/>
        <v>74</v>
      </c>
      <c r="J2602" s="756">
        <v>2664</v>
      </c>
      <c r="K2602" s="131">
        <f t="shared" si="582"/>
        <v>2664</v>
      </c>
      <c r="L2602" s="335">
        <f t="shared" si="575"/>
        <v>0</v>
      </c>
      <c r="M2602" s="446"/>
      <c r="N2602" s="446"/>
      <c r="O2602" s="446"/>
      <c r="P2602" s="446"/>
      <c r="Q2602" s="110">
        <f t="shared" si="570"/>
        <v>9</v>
      </c>
      <c r="R2602" s="111">
        <f t="shared" si="573"/>
        <v>666</v>
      </c>
      <c r="S2602" s="110"/>
      <c r="T2602" s="110"/>
      <c r="U2602" s="110">
        <f t="shared" si="571"/>
        <v>9</v>
      </c>
      <c r="V2602" s="111">
        <f t="shared" si="574"/>
        <v>666</v>
      </c>
      <c r="W2602" s="110"/>
      <c r="X2602" s="110"/>
      <c r="Y2602" s="110"/>
      <c r="Z2602" s="110"/>
      <c r="AA2602" s="110">
        <f t="shared" ref="AA2602:AE2665" si="584">+$D2602/4</f>
        <v>9</v>
      </c>
      <c r="AB2602" s="111">
        <f t="shared" si="580"/>
        <v>666</v>
      </c>
      <c r="AC2602" s="110"/>
      <c r="AD2602" s="110"/>
      <c r="AE2602" s="110">
        <f t="shared" si="584"/>
        <v>9</v>
      </c>
      <c r="AF2602" s="111">
        <f t="shared" si="581"/>
        <v>666</v>
      </c>
      <c r="AG2602" s="110"/>
      <c r="AH2602" s="110"/>
      <c r="AI2602" s="110"/>
      <c r="AJ2602" s="110"/>
      <c r="AK2602" s="111">
        <f t="shared" si="576"/>
        <v>2664</v>
      </c>
      <c r="AL2602" s="446">
        <f t="shared" si="577"/>
        <v>0</v>
      </c>
      <c r="AM2602" s="110">
        <f t="shared" si="578"/>
        <v>36</v>
      </c>
      <c r="AN2602" s="447">
        <f t="shared" si="583"/>
        <v>0</v>
      </c>
      <c r="AO2602"/>
      <c r="AP2602"/>
    </row>
    <row r="2603" spans="1:42" ht="66" x14ac:dyDescent="0.25">
      <c r="A2603" s="9"/>
      <c r="B2603" s="146" t="s">
        <v>2316</v>
      </c>
      <c r="C2603" s="1024"/>
      <c r="D2603" s="922">
        <v>12</v>
      </c>
      <c r="E2603" s="258" t="s">
        <v>1722</v>
      </c>
      <c r="F2603" s="273" t="s">
        <v>3446</v>
      </c>
      <c r="G2603" s="1040" t="s">
        <v>3463</v>
      </c>
      <c r="H2603" s="273" t="s">
        <v>3462</v>
      </c>
      <c r="I2603" s="720">
        <f t="shared" si="579"/>
        <v>808.6</v>
      </c>
      <c r="J2603" s="756">
        <v>9703.2000000000007</v>
      </c>
      <c r="K2603" s="131">
        <f t="shared" si="582"/>
        <v>9703.2000000000007</v>
      </c>
      <c r="L2603" s="335">
        <f t="shared" si="575"/>
        <v>0</v>
      </c>
      <c r="M2603" s="446"/>
      <c r="N2603" s="446"/>
      <c r="O2603" s="446"/>
      <c r="P2603" s="446"/>
      <c r="Q2603" s="110">
        <f t="shared" si="570"/>
        <v>3</v>
      </c>
      <c r="R2603" s="111">
        <f t="shared" si="573"/>
        <v>2425.8000000000002</v>
      </c>
      <c r="S2603" s="110"/>
      <c r="T2603" s="110"/>
      <c r="U2603" s="110">
        <f t="shared" si="571"/>
        <v>3</v>
      </c>
      <c r="V2603" s="111">
        <f t="shared" si="574"/>
        <v>2425.8000000000002</v>
      </c>
      <c r="W2603" s="110"/>
      <c r="X2603" s="110"/>
      <c r="Y2603" s="110"/>
      <c r="Z2603" s="110"/>
      <c r="AA2603" s="110">
        <f t="shared" si="584"/>
        <v>3</v>
      </c>
      <c r="AB2603" s="111">
        <f t="shared" si="580"/>
        <v>2425.8000000000002</v>
      </c>
      <c r="AC2603" s="110"/>
      <c r="AD2603" s="110"/>
      <c r="AE2603" s="110">
        <f t="shared" si="584"/>
        <v>3</v>
      </c>
      <c r="AF2603" s="111">
        <f t="shared" si="581"/>
        <v>2425.8000000000002</v>
      </c>
      <c r="AG2603" s="110"/>
      <c r="AH2603" s="110"/>
      <c r="AI2603" s="110"/>
      <c r="AJ2603" s="110"/>
      <c r="AK2603" s="111">
        <f t="shared" si="576"/>
        <v>9703.2000000000007</v>
      </c>
      <c r="AL2603" s="446">
        <f t="shared" si="577"/>
        <v>0</v>
      </c>
      <c r="AM2603" s="110">
        <f t="shared" si="578"/>
        <v>12</v>
      </c>
      <c r="AN2603" s="447">
        <f t="shared" si="583"/>
        <v>0</v>
      </c>
      <c r="AO2603"/>
      <c r="AP2603"/>
    </row>
    <row r="2604" spans="1:42" ht="66" x14ac:dyDescent="0.25">
      <c r="A2604" s="9"/>
      <c r="B2604" s="146" t="s">
        <v>2317</v>
      </c>
      <c r="C2604" s="1024"/>
      <c r="D2604" s="922">
        <v>12</v>
      </c>
      <c r="E2604" s="258" t="s">
        <v>1722</v>
      </c>
      <c r="F2604" s="273" t="s">
        <v>3446</v>
      </c>
      <c r="G2604" s="1040" t="s">
        <v>3463</v>
      </c>
      <c r="H2604" s="273" t="s">
        <v>3462</v>
      </c>
      <c r="I2604" s="720">
        <f t="shared" si="579"/>
        <v>808.6</v>
      </c>
      <c r="J2604" s="756">
        <v>9703.2000000000007</v>
      </c>
      <c r="K2604" s="131">
        <f t="shared" si="582"/>
        <v>9703.2000000000007</v>
      </c>
      <c r="L2604" s="335">
        <f t="shared" si="575"/>
        <v>0</v>
      </c>
      <c r="M2604" s="446"/>
      <c r="N2604" s="446"/>
      <c r="O2604" s="446"/>
      <c r="P2604" s="446"/>
      <c r="Q2604" s="110">
        <f t="shared" si="570"/>
        <v>3</v>
      </c>
      <c r="R2604" s="111">
        <f t="shared" si="573"/>
        <v>2425.8000000000002</v>
      </c>
      <c r="S2604" s="110"/>
      <c r="T2604" s="110"/>
      <c r="U2604" s="110">
        <f t="shared" si="571"/>
        <v>3</v>
      </c>
      <c r="V2604" s="111">
        <f t="shared" si="574"/>
        <v>2425.8000000000002</v>
      </c>
      <c r="W2604" s="110"/>
      <c r="X2604" s="110"/>
      <c r="Y2604" s="110"/>
      <c r="Z2604" s="110"/>
      <c r="AA2604" s="110">
        <f t="shared" si="584"/>
        <v>3</v>
      </c>
      <c r="AB2604" s="111">
        <f t="shared" si="580"/>
        <v>2425.8000000000002</v>
      </c>
      <c r="AC2604" s="110"/>
      <c r="AD2604" s="110"/>
      <c r="AE2604" s="110">
        <f t="shared" si="584"/>
        <v>3</v>
      </c>
      <c r="AF2604" s="111">
        <f t="shared" si="581"/>
        <v>2425.8000000000002</v>
      </c>
      <c r="AG2604" s="110"/>
      <c r="AH2604" s="110"/>
      <c r="AI2604" s="110"/>
      <c r="AJ2604" s="110"/>
      <c r="AK2604" s="111">
        <f t="shared" si="576"/>
        <v>9703.2000000000007</v>
      </c>
      <c r="AL2604" s="446">
        <f t="shared" si="577"/>
        <v>0</v>
      </c>
      <c r="AM2604" s="110">
        <f t="shared" si="578"/>
        <v>12</v>
      </c>
      <c r="AN2604" s="447">
        <f t="shared" si="583"/>
        <v>0</v>
      </c>
      <c r="AO2604"/>
      <c r="AP2604"/>
    </row>
    <row r="2605" spans="1:42" ht="66" x14ac:dyDescent="0.25">
      <c r="A2605" s="9"/>
      <c r="B2605" s="146" t="s">
        <v>2318</v>
      </c>
      <c r="C2605" s="1024"/>
      <c r="D2605" s="922">
        <v>16</v>
      </c>
      <c r="E2605" s="259" t="s">
        <v>1722</v>
      </c>
      <c r="F2605" s="273" t="s">
        <v>3446</v>
      </c>
      <c r="G2605" s="1040" t="s">
        <v>3463</v>
      </c>
      <c r="H2605" s="273" t="s">
        <v>3462</v>
      </c>
      <c r="I2605" s="720">
        <f t="shared" si="579"/>
        <v>740.9</v>
      </c>
      <c r="J2605" s="756">
        <v>11854.4</v>
      </c>
      <c r="K2605" s="131">
        <f t="shared" si="582"/>
        <v>11854.4</v>
      </c>
      <c r="L2605" s="335">
        <f t="shared" si="575"/>
        <v>0</v>
      </c>
      <c r="M2605" s="446"/>
      <c r="N2605" s="446"/>
      <c r="O2605" s="446"/>
      <c r="P2605" s="446"/>
      <c r="Q2605" s="110">
        <f t="shared" si="570"/>
        <v>4</v>
      </c>
      <c r="R2605" s="111">
        <f t="shared" si="573"/>
        <v>2963.6</v>
      </c>
      <c r="S2605" s="110"/>
      <c r="T2605" s="110"/>
      <c r="U2605" s="110">
        <f t="shared" si="571"/>
        <v>4</v>
      </c>
      <c r="V2605" s="111">
        <f t="shared" si="574"/>
        <v>2963.6</v>
      </c>
      <c r="W2605" s="110"/>
      <c r="X2605" s="110"/>
      <c r="Y2605" s="110"/>
      <c r="Z2605" s="110"/>
      <c r="AA2605" s="110">
        <f t="shared" si="584"/>
        <v>4</v>
      </c>
      <c r="AB2605" s="111">
        <f t="shared" si="580"/>
        <v>2963.6</v>
      </c>
      <c r="AC2605" s="110"/>
      <c r="AD2605" s="110"/>
      <c r="AE2605" s="110">
        <f t="shared" si="584"/>
        <v>4</v>
      </c>
      <c r="AF2605" s="111">
        <f t="shared" si="581"/>
        <v>2963.6</v>
      </c>
      <c r="AG2605" s="110"/>
      <c r="AH2605" s="110"/>
      <c r="AI2605" s="110"/>
      <c r="AJ2605" s="110"/>
      <c r="AK2605" s="111">
        <f t="shared" si="576"/>
        <v>11854.4</v>
      </c>
      <c r="AL2605" s="446">
        <f t="shared" si="577"/>
        <v>0</v>
      </c>
      <c r="AM2605" s="110">
        <f t="shared" si="578"/>
        <v>16</v>
      </c>
      <c r="AN2605" s="447">
        <f t="shared" si="583"/>
        <v>0</v>
      </c>
      <c r="AO2605"/>
      <c r="AP2605"/>
    </row>
    <row r="2606" spans="1:42" ht="66" x14ac:dyDescent="0.25">
      <c r="A2606" s="9"/>
      <c r="B2606" s="146" t="s">
        <v>2319</v>
      </c>
      <c r="C2606" s="1024"/>
      <c r="D2606" s="922">
        <v>16</v>
      </c>
      <c r="E2606" s="259" t="s">
        <v>2321</v>
      </c>
      <c r="F2606" s="273" t="s">
        <v>3446</v>
      </c>
      <c r="G2606" s="1040" t="s">
        <v>3463</v>
      </c>
      <c r="H2606" s="273" t="s">
        <v>3462</v>
      </c>
      <c r="I2606" s="720">
        <f t="shared" si="579"/>
        <v>740.9</v>
      </c>
      <c r="J2606" s="756">
        <v>11854.4</v>
      </c>
      <c r="K2606" s="131">
        <f t="shared" si="582"/>
        <v>11854.4</v>
      </c>
      <c r="L2606" s="335">
        <f t="shared" si="575"/>
        <v>0</v>
      </c>
      <c r="M2606" s="446"/>
      <c r="N2606" s="446"/>
      <c r="O2606" s="446"/>
      <c r="P2606" s="446"/>
      <c r="Q2606" s="110">
        <f t="shared" ref="Q2606:Q2669" si="585">+$D2606/4</f>
        <v>4</v>
      </c>
      <c r="R2606" s="111">
        <f t="shared" si="573"/>
        <v>2963.6</v>
      </c>
      <c r="S2606" s="110"/>
      <c r="T2606" s="110"/>
      <c r="U2606" s="110">
        <f t="shared" ref="U2606:U2669" si="586">+$D2606/4</f>
        <v>4</v>
      </c>
      <c r="V2606" s="111">
        <f t="shared" si="574"/>
        <v>2963.6</v>
      </c>
      <c r="W2606" s="110"/>
      <c r="X2606" s="110"/>
      <c r="Y2606" s="110"/>
      <c r="Z2606" s="110"/>
      <c r="AA2606" s="110">
        <f t="shared" si="584"/>
        <v>4</v>
      </c>
      <c r="AB2606" s="111">
        <f t="shared" si="580"/>
        <v>2963.6</v>
      </c>
      <c r="AC2606" s="110"/>
      <c r="AD2606" s="110"/>
      <c r="AE2606" s="110">
        <f t="shared" si="584"/>
        <v>4</v>
      </c>
      <c r="AF2606" s="111">
        <f t="shared" si="581"/>
        <v>2963.6</v>
      </c>
      <c r="AG2606" s="110"/>
      <c r="AH2606" s="110"/>
      <c r="AI2606" s="110"/>
      <c r="AJ2606" s="110"/>
      <c r="AK2606" s="111">
        <f t="shared" si="576"/>
        <v>11854.4</v>
      </c>
      <c r="AL2606" s="446">
        <f t="shared" si="577"/>
        <v>0</v>
      </c>
      <c r="AM2606" s="110">
        <f t="shared" si="578"/>
        <v>16</v>
      </c>
      <c r="AN2606" s="447">
        <f t="shared" si="583"/>
        <v>0</v>
      </c>
      <c r="AO2606"/>
      <c r="AP2606"/>
    </row>
    <row r="2607" spans="1:42" ht="66" x14ac:dyDescent="0.25">
      <c r="A2607" s="9"/>
      <c r="B2607" s="146" t="s">
        <v>2320</v>
      </c>
      <c r="C2607" s="1024"/>
      <c r="D2607" s="922">
        <v>2</v>
      </c>
      <c r="E2607" s="258" t="s">
        <v>1721</v>
      </c>
      <c r="F2607" s="273" t="s">
        <v>3446</v>
      </c>
      <c r="G2607" s="1040" t="s">
        <v>3463</v>
      </c>
      <c r="H2607" s="273" t="s">
        <v>3462</v>
      </c>
      <c r="I2607" s="720">
        <f t="shared" si="579"/>
        <v>83.13</v>
      </c>
      <c r="J2607" s="756">
        <v>166.26</v>
      </c>
      <c r="K2607" s="131">
        <f t="shared" si="582"/>
        <v>166.26</v>
      </c>
      <c r="L2607" s="335">
        <f t="shared" si="575"/>
        <v>0</v>
      </c>
      <c r="M2607" s="446"/>
      <c r="N2607" s="446"/>
      <c r="O2607" s="446"/>
      <c r="P2607" s="446"/>
      <c r="Q2607" s="130">
        <v>1</v>
      </c>
      <c r="R2607" s="111">
        <f t="shared" ref="R2607:R2670" si="587">+J2607/4</f>
        <v>41.564999999999998</v>
      </c>
      <c r="S2607" s="110"/>
      <c r="T2607" s="110"/>
      <c r="U2607" s="130">
        <v>1</v>
      </c>
      <c r="V2607" s="111">
        <f t="shared" ref="V2607:V2670" si="588">+J2607/4</f>
        <v>41.564999999999998</v>
      </c>
      <c r="W2607" s="110"/>
      <c r="X2607" s="110"/>
      <c r="Y2607" s="110"/>
      <c r="Z2607" s="110"/>
      <c r="AA2607" s="130">
        <v>0</v>
      </c>
      <c r="AB2607" s="111">
        <f t="shared" si="580"/>
        <v>41.564999999999998</v>
      </c>
      <c r="AC2607" s="110"/>
      <c r="AD2607" s="110"/>
      <c r="AE2607" s="130">
        <v>0</v>
      </c>
      <c r="AF2607" s="111">
        <f t="shared" si="581"/>
        <v>41.564999999999998</v>
      </c>
      <c r="AG2607" s="110"/>
      <c r="AH2607" s="110"/>
      <c r="AI2607" s="110"/>
      <c r="AJ2607" s="110"/>
      <c r="AK2607" s="111">
        <f t="shared" si="576"/>
        <v>166.26</v>
      </c>
      <c r="AL2607" s="446">
        <f t="shared" si="577"/>
        <v>0</v>
      </c>
      <c r="AM2607" s="110">
        <f t="shared" si="578"/>
        <v>2</v>
      </c>
      <c r="AN2607" s="447">
        <f t="shared" si="583"/>
        <v>0</v>
      </c>
      <c r="AO2607"/>
      <c r="AP2607"/>
    </row>
    <row r="2608" spans="1:42" ht="66" x14ac:dyDescent="0.25">
      <c r="A2608" s="9"/>
      <c r="B2608" s="219" t="s">
        <v>2736</v>
      </c>
      <c r="C2608" s="1"/>
      <c r="D2608" s="880">
        <v>15</v>
      </c>
      <c r="E2608" s="1025" t="s">
        <v>1722</v>
      </c>
      <c r="F2608" s="273" t="s">
        <v>3446</v>
      </c>
      <c r="G2608" s="1040" t="s">
        <v>3463</v>
      </c>
      <c r="H2608" s="273" t="s">
        <v>3462</v>
      </c>
      <c r="I2608" s="720">
        <f t="shared" si="579"/>
        <v>23.803199999999997</v>
      </c>
      <c r="J2608" s="773">
        <v>357.04799999999994</v>
      </c>
      <c r="K2608" s="131">
        <f t="shared" si="582"/>
        <v>357.04799999999994</v>
      </c>
      <c r="L2608" s="335">
        <f t="shared" si="575"/>
        <v>0</v>
      </c>
      <c r="M2608" s="446"/>
      <c r="N2608" s="446"/>
      <c r="O2608" s="446"/>
      <c r="P2608" s="446"/>
      <c r="Q2608" s="110">
        <v>4</v>
      </c>
      <c r="R2608" s="111">
        <f t="shared" si="587"/>
        <v>89.261999999999986</v>
      </c>
      <c r="S2608" s="110"/>
      <c r="T2608" s="110"/>
      <c r="U2608" s="110">
        <v>4</v>
      </c>
      <c r="V2608" s="111">
        <f t="shared" si="588"/>
        <v>89.261999999999986</v>
      </c>
      <c r="W2608" s="110"/>
      <c r="X2608" s="110"/>
      <c r="Y2608" s="110"/>
      <c r="Z2608" s="110"/>
      <c r="AA2608" s="110">
        <v>4</v>
      </c>
      <c r="AB2608" s="111">
        <f t="shared" si="580"/>
        <v>89.261999999999986</v>
      </c>
      <c r="AC2608" s="110"/>
      <c r="AD2608" s="110"/>
      <c r="AE2608" s="110">
        <v>3</v>
      </c>
      <c r="AF2608" s="111">
        <f t="shared" si="581"/>
        <v>89.261999999999986</v>
      </c>
      <c r="AG2608" s="110"/>
      <c r="AH2608" s="110"/>
      <c r="AI2608" s="110"/>
      <c r="AJ2608" s="110"/>
      <c r="AK2608" s="111">
        <f t="shared" si="576"/>
        <v>357.04799999999994</v>
      </c>
      <c r="AL2608" s="446">
        <f t="shared" si="577"/>
        <v>0</v>
      </c>
      <c r="AM2608" s="110">
        <f t="shared" si="578"/>
        <v>15</v>
      </c>
      <c r="AN2608" s="447">
        <f t="shared" si="583"/>
        <v>0</v>
      </c>
      <c r="AO2608"/>
      <c r="AP2608"/>
    </row>
    <row r="2609" spans="1:42" ht="66" x14ac:dyDescent="0.25">
      <c r="A2609" s="9"/>
      <c r="B2609" s="219" t="s">
        <v>2737</v>
      </c>
      <c r="C2609" s="1024"/>
      <c r="D2609" s="880">
        <v>11</v>
      </c>
      <c r="E2609" s="1025" t="s">
        <v>1722</v>
      </c>
      <c r="F2609" s="273" t="s">
        <v>3446</v>
      </c>
      <c r="G2609" s="1040" t="s">
        <v>3463</v>
      </c>
      <c r="H2609" s="273" t="s">
        <v>3462</v>
      </c>
      <c r="I2609" s="720">
        <f t="shared" si="579"/>
        <v>43.847999999999992</v>
      </c>
      <c r="J2609" s="756">
        <v>482.32799999999992</v>
      </c>
      <c r="K2609" s="131">
        <f t="shared" si="582"/>
        <v>482.32799999999992</v>
      </c>
      <c r="L2609" s="335">
        <f t="shared" si="575"/>
        <v>0</v>
      </c>
      <c r="M2609" s="446"/>
      <c r="N2609" s="446"/>
      <c r="O2609" s="446"/>
      <c r="P2609" s="446"/>
      <c r="Q2609" s="110">
        <v>3</v>
      </c>
      <c r="R2609" s="111">
        <f t="shared" si="587"/>
        <v>120.58199999999998</v>
      </c>
      <c r="S2609" s="110"/>
      <c r="T2609" s="110"/>
      <c r="U2609" s="110">
        <v>3</v>
      </c>
      <c r="V2609" s="111">
        <f t="shared" si="588"/>
        <v>120.58199999999998</v>
      </c>
      <c r="W2609" s="110"/>
      <c r="X2609" s="110"/>
      <c r="Y2609" s="110"/>
      <c r="Z2609" s="110"/>
      <c r="AA2609" s="110">
        <v>3</v>
      </c>
      <c r="AB2609" s="111">
        <f t="shared" si="580"/>
        <v>120.58199999999998</v>
      </c>
      <c r="AC2609" s="110"/>
      <c r="AD2609" s="110"/>
      <c r="AE2609" s="110">
        <v>2</v>
      </c>
      <c r="AF2609" s="111">
        <f t="shared" si="581"/>
        <v>120.58199999999998</v>
      </c>
      <c r="AG2609" s="110"/>
      <c r="AH2609" s="110"/>
      <c r="AI2609" s="110"/>
      <c r="AJ2609" s="110"/>
      <c r="AK2609" s="111">
        <f t="shared" si="576"/>
        <v>482.32799999999992</v>
      </c>
      <c r="AL2609" s="446">
        <f t="shared" si="577"/>
        <v>0</v>
      </c>
      <c r="AM2609" s="110">
        <f t="shared" si="578"/>
        <v>11</v>
      </c>
      <c r="AN2609" s="447">
        <f t="shared" si="583"/>
        <v>0</v>
      </c>
      <c r="AO2609"/>
      <c r="AP2609"/>
    </row>
    <row r="2610" spans="1:42" ht="66" x14ac:dyDescent="0.25">
      <c r="A2610" s="9"/>
      <c r="B2610" s="219" t="s">
        <v>2738</v>
      </c>
      <c r="C2610" s="1024"/>
      <c r="D2610" s="880">
        <v>11</v>
      </c>
      <c r="E2610" s="1025" t="s">
        <v>1722</v>
      </c>
      <c r="F2610" s="273" t="s">
        <v>3446</v>
      </c>
      <c r="G2610" s="1040" t="s">
        <v>3463</v>
      </c>
      <c r="H2610" s="273" t="s">
        <v>3462</v>
      </c>
      <c r="I2610" s="720">
        <f t="shared" si="579"/>
        <v>23.8032</v>
      </c>
      <c r="J2610" s="756">
        <v>261.83519999999999</v>
      </c>
      <c r="K2610" s="131">
        <f t="shared" si="582"/>
        <v>261.83519999999999</v>
      </c>
      <c r="L2610" s="335">
        <f t="shared" si="575"/>
        <v>0</v>
      </c>
      <c r="M2610" s="446"/>
      <c r="N2610" s="446"/>
      <c r="O2610" s="446"/>
      <c r="P2610" s="446"/>
      <c r="Q2610" s="110">
        <v>3</v>
      </c>
      <c r="R2610" s="111">
        <f t="shared" si="587"/>
        <v>65.458799999999997</v>
      </c>
      <c r="S2610" s="110"/>
      <c r="T2610" s="110"/>
      <c r="U2610" s="110">
        <v>3</v>
      </c>
      <c r="V2610" s="111">
        <f t="shared" si="588"/>
        <v>65.458799999999997</v>
      </c>
      <c r="W2610" s="110"/>
      <c r="X2610" s="110"/>
      <c r="Y2610" s="110"/>
      <c r="Z2610" s="110"/>
      <c r="AA2610" s="110">
        <v>3</v>
      </c>
      <c r="AB2610" s="111">
        <f t="shared" si="580"/>
        <v>65.458799999999997</v>
      </c>
      <c r="AC2610" s="110"/>
      <c r="AD2610" s="110"/>
      <c r="AE2610" s="110">
        <v>2</v>
      </c>
      <c r="AF2610" s="111">
        <f t="shared" si="581"/>
        <v>65.458799999999997</v>
      </c>
      <c r="AG2610" s="110"/>
      <c r="AH2610" s="110"/>
      <c r="AI2610" s="110"/>
      <c r="AJ2610" s="110"/>
      <c r="AK2610" s="111">
        <f t="shared" si="576"/>
        <v>261.83519999999999</v>
      </c>
      <c r="AL2610" s="446">
        <f t="shared" si="577"/>
        <v>0</v>
      </c>
      <c r="AM2610" s="110">
        <f t="shared" si="578"/>
        <v>11</v>
      </c>
      <c r="AN2610" s="447">
        <f t="shared" si="583"/>
        <v>0</v>
      </c>
      <c r="AO2610"/>
      <c r="AP2610"/>
    </row>
    <row r="2611" spans="1:42" ht="66" x14ac:dyDescent="0.25">
      <c r="A2611" s="9"/>
      <c r="B2611" s="219" t="s">
        <v>2739</v>
      </c>
      <c r="C2611" s="1024"/>
      <c r="D2611" s="880">
        <v>11</v>
      </c>
      <c r="E2611" s="1025" t="s">
        <v>1722</v>
      </c>
      <c r="F2611" s="273" t="s">
        <v>3446</v>
      </c>
      <c r="G2611" s="1040" t="s">
        <v>3463</v>
      </c>
      <c r="H2611" s="273" t="s">
        <v>3462</v>
      </c>
      <c r="I2611" s="720">
        <f t="shared" si="579"/>
        <v>43.847999999999992</v>
      </c>
      <c r="J2611" s="756">
        <v>482.32799999999992</v>
      </c>
      <c r="K2611" s="131">
        <f t="shared" si="582"/>
        <v>482.32799999999992</v>
      </c>
      <c r="L2611" s="335">
        <f t="shared" si="575"/>
        <v>0</v>
      </c>
      <c r="M2611" s="446"/>
      <c r="N2611" s="446"/>
      <c r="O2611" s="446"/>
      <c r="P2611" s="446"/>
      <c r="Q2611" s="110">
        <v>3</v>
      </c>
      <c r="R2611" s="111">
        <f t="shared" si="587"/>
        <v>120.58199999999998</v>
      </c>
      <c r="S2611" s="110"/>
      <c r="T2611" s="110"/>
      <c r="U2611" s="110">
        <v>3</v>
      </c>
      <c r="V2611" s="111">
        <f t="shared" si="588"/>
        <v>120.58199999999998</v>
      </c>
      <c r="W2611" s="110"/>
      <c r="X2611" s="110"/>
      <c r="Y2611" s="110"/>
      <c r="Z2611" s="110"/>
      <c r="AA2611" s="110">
        <v>3</v>
      </c>
      <c r="AB2611" s="111">
        <f t="shared" si="580"/>
        <v>120.58199999999998</v>
      </c>
      <c r="AC2611" s="110"/>
      <c r="AD2611" s="110"/>
      <c r="AE2611" s="110">
        <v>2</v>
      </c>
      <c r="AF2611" s="111">
        <f t="shared" si="581"/>
        <v>120.58199999999998</v>
      </c>
      <c r="AG2611" s="110"/>
      <c r="AH2611" s="110"/>
      <c r="AI2611" s="110"/>
      <c r="AJ2611" s="110"/>
      <c r="AK2611" s="111">
        <f t="shared" si="576"/>
        <v>482.32799999999992</v>
      </c>
      <c r="AL2611" s="446">
        <f t="shared" si="577"/>
        <v>0</v>
      </c>
      <c r="AM2611" s="110">
        <f t="shared" si="578"/>
        <v>11</v>
      </c>
      <c r="AN2611" s="447">
        <f t="shared" si="583"/>
        <v>0</v>
      </c>
      <c r="AO2611"/>
      <c r="AP2611"/>
    </row>
    <row r="2612" spans="1:42" ht="66" x14ac:dyDescent="0.25">
      <c r="A2612" s="9"/>
      <c r="B2612" s="219" t="s">
        <v>2740</v>
      </c>
      <c r="C2612" s="1024"/>
      <c r="D2612" s="880">
        <v>10</v>
      </c>
      <c r="E2612" s="1025" t="s">
        <v>1722</v>
      </c>
      <c r="F2612" s="273" t="s">
        <v>3446</v>
      </c>
      <c r="G2612" s="1040" t="s">
        <v>3463</v>
      </c>
      <c r="H2612" s="273" t="s">
        <v>3462</v>
      </c>
      <c r="I2612" s="720">
        <f t="shared" si="579"/>
        <v>72.662399999999991</v>
      </c>
      <c r="J2612" s="756">
        <v>726.62399999999991</v>
      </c>
      <c r="K2612" s="131">
        <f t="shared" si="582"/>
        <v>726.62399999999991</v>
      </c>
      <c r="L2612" s="335">
        <f t="shared" ref="L2612:L2675" si="589">+J2612-K2612</f>
        <v>0</v>
      </c>
      <c r="M2612" s="446"/>
      <c r="N2612" s="446"/>
      <c r="O2612" s="446"/>
      <c r="P2612" s="446"/>
      <c r="Q2612" s="130">
        <v>3</v>
      </c>
      <c r="R2612" s="111">
        <f t="shared" si="587"/>
        <v>181.65599999999998</v>
      </c>
      <c r="S2612" s="110"/>
      <c r="T2612" s="110"/>
      <c r="U2612" s="130">
        <v>3</v>
      </c>
      <c r="V2612" s="111">
        <f t="shared" si="588"/>
        <v>181.65599999999998</v>
      </c>
      <c r="W2612" s="110"/>
      <c r="X2612" s="110"/>
      <c r="Y2612" s="110"/>
      <c r="Z2612" s="110"/>
      <c r="AA2612" s="130">
        <v>2</v>
      </c>
      <c r="AB2612" s="111">
        <f t="shared" si="580"/>
        <v>181.65599999999998</v>
      </c>
      <c r="AC2612" s="110"/>
      <c r="AD2612" s="110"/>
      <c r="AE2612" s="130">
        <v>2</v>
      </c>
      <c r="AF2612" s="111">
        <f t="shared" si="581"/>
        <v>181.65599999999998</v>
      </c>
      <c r="AG2612" s="110"/>
      <c r="AH2612" s="110"/>
      <c r="AI2612" s="110"/>
      <c r="AJ2612" s="110"/>
      <c r="AK2612" s="111">
        <f t="shared" ref="AK2612:AK2675" si="590">+R2612+V2612+AB2612+AF2612</f>
        <v>726.62399999999991</v>
      </c>
      <c r="AL2612" s="446">
        <f t="shared" ref="AL2612:AL2675" si="591">+J2612-AK2612</f>
        <v>0</v>
      </c>
      <c r="AM2612" s="110">
        <f t="shared" ref="AM2612:AM2675" si="592">+Q2612+U2612+AA2612+AE2612</f>
        <v>10</v>
      </c>
      <c r="AN2612" s="447">
        <f t="shared" si="583"/>
        <v>0</v>
      </c>
      <c r="AO2612"/>
      <c r="AP2612"/>
    </row>
    <row r="2613" spans="1:42" ht="66" x14ac:dyDescent="0.25">
      <c r="A2613" s="9"/>
      <c r="B2613" s="219" t="s">
        <v>2741</v>
      </c>
      <c r="C2613" s="1024"/>
      <c r="D2613" s="880">
        <v>10</v>
      </c>
      <c r="E2613" s="1025" t="s">
        <v>1722</v>
      </c>
      <c r="F2613" s="273" t="s">
        <v>3446</v>
      </c>
      <c r="G2613" s="1040" t="s">
        <v>3463</v>
      </c>
      <c r="H2613" s="273" t="s">
        <v>3462</v>
      </c>
      <c r="I2613" s="720">
        <f t="shared" si="579"/>
        <v>22.5504</v>
      </c>
      <c r="J2613" s="756">
        <v>225.50399999999999</v>
      </c>
      <c r="K2613" s="131">
        <f t="shared" si="582"/>
        <v>225.50399999999999</v>
      </c>
      <c r="L2613" s="335">
        <f t="shared" si="589"/>
        <v>0</v>
      </c>
      <c r="M2613" s="446"/>
      <c r="N2613" s="446"/>
      <c r="O2613" s="446"/>
      <c r="P2613" s="446"/>
      <c r="Q2613" s="130">
        <v>3</v>
      </c>
      <c r="R2613" s="111">
        <f t="shared" si="587"/>
        <v>56.375999999999998</v>
      </c>
      <c r="S2613" s="110"/>
      <c r="T2613" s="110"/>
      <c r="U2613" s="130">
        <v>3</v>
      </c>
      <c r="V2613" s="111">
        <f t="shared" si="588"/>
        <v>56.375999999999998</v>
      </c>
      <c r="W2613" s="110"/>
      <c r="X2613" s="110"/>
      <c r="Y2613" s="110"/>
      <c r="Z2613" s="110"/>
      <c r="AA2613" s="130">
        <v>2</v>
      </c>
      <c r="AB2613" s="111">
        <f t="shared" si="580"/>
        <v>56.375999999999998</v>
      </c>
      <c r="AC2613" s="110"/>
      <c r="AD2613" s="110"/>
      <c r="AE2613" s="130">
        <v>2</v>
      </c>
      <c r="AF2613" s="111">
        <f t="shared" si="581"/>
        <v>56.375999999999998</v>
      </c>
      <c r="AG2613" s="110"/>
      <c r="AH2613" s="110"/>
      <c r="AI2613" s="110"/>
      <c r="AJ2613" s="110"/>
      <c r="AK2613" s="111">
        <f t="shared" si="590"/>
        <v>225.50399999999999</v>
      </c>
      <c r="AL2613" s="446">
        <f t="shared" si="591"/>
        <v>0</v>
      </c>
      <c r="AM2613" s="110">
        <f t="shared" si="592"/>
        <v>10</v>
      </c>
      <c r="AN2613" s="447">
        <f t="shared" si="583"/>
        <v>0</v>
      </c>
      <c r="AO2613"/>
      <c r="AP2613"/>
    </row>
    <row r="2614" spans="1:42" ht="66" x14ac:dyDescent="0.25">
      <c r="A2614" s="9"/>
      <c r="B2614" s="219" t="s">
        <v>2742</v>
      </c>
      <c r="C2614" s="1024"/>
      <c r="D2614" s="880">
        <v>10</v>
      </c>
      <c r="E2614" s="1025" t="s">
        <v>1722</v>
      </c>
      <c r="F2614" s="273" t="s">
        <v>3446</v>
      </c>
      <c r="G2614" s="1040" t="s">
        <v>3463</v>
      </c>
      <c r="H2614" s="273" t="s">
        <v>3462</v>
      </c>
      <c r="I2614" s="720">
        <f t="shared" si="579"/>
        <v>20.346399999999999</v>
      </c>
      <c r="J2614" s="756">
        <v>203.464</v>
      </c>
      <c r="K2614" s="131">
        <f t="shared" si="582"/>
        <v>203.464</v>
      </c>
      <c r="L2614" s="335">
        <f t="shared" si="589"/>
        <v>0</v>
      </c>
      <c r="M2614" s="446"/>
      <c r="N2614" s="446"/>
      <c r="O2614" s="446"/>
      <c r="P2614" s="446"/>
      <c r="Q2614" s="130">
        <v>3</v>
      </c>
      <c r="R2614" s="111">
        <f t="shared" si="587"/>
        <v>50.866</v>
      </c>
      <c r="S2614" s="110"/>
      <c r="T2614" s="110"/>
      <c r="U2614" s="130">
        <v>3</v>
      </c>
      <c r="V2614" s="111">
        <f t="shared" si="588"/>
        <v>50.866</v>
      </c>
      <c r="W2614" s="110"/>
      <c r="X2614" s="110"/>
      <c r="Y2614" s="110"/>
      <c r="Z2614" s="110"/>
      <c r="AA2614" s="130">
        <v>2</v>
      </c>
      <c r="AB2614" s="111">
        <f t="shared" si="580"/>
        <v>50.866</v>
      </c>
      <c r="AC2614" s="110"/>
      <c r="AD2614" s="110"/>
      <c r="AE2614" s="130">
        <v>2</v>
      </c>
      <c r="AF2614" s="111">
        <f t="shared" si="581"/>
        <v>50.866</v>
      </c>
      <c r="AG2614" s="110"/>
      <c r="AH2614" s="110"/>
      <c r="AI2614" s="110"/>
      <c r="AJ2614" s="110"/>
      <c r="AK2614" s="111">
        <f t="shared" si="590"/>
        <v>203.464</v>
      </c>
      <c r="AL2614" s="446">
        <f t="shared" si="591"/>
        <v>0</v>
      </c>
      <c r="AM2614" s="110">
        <f t="shared" si="592"/>
        <v>10</v>
      </c>
      <c r="AN2614" s="447">
        <f t="shared" si="583"/>
        <v>0</v>
      </c>
      <c r="AO2614"/>
      <c r="AP2614"/>
    </row>
    <row r="2615" spans="1:42" ht="66" x14ac:dyDescent="0.25">
      <c r="A2615" s="9"/>
      <c r="B2615" s="219" t="s">
        <v>2743</v>
      </c>
      <c r="C2615" s="1024"/>
      <c r="D2615" s="880">
        <v>10</v>
      </c>
      <c r="E2615" s="1025" t="s">
        <v>1722</v>
      </c>
      <c r="F2615" s="273" t="s">
        <v>3446</v>
      </c>
      <c r="G2615" s="1040" t="s">
        <v>3463</v>
      </c>
      <c r="H2615" s="273" t="s">
        <v>3462</v>
      </c>
      <c r="I2615" s="720">
        <f t="shared" si="579"/>
        <v>20.346399999999999</v>
      </c>
      <c r="J2615" s="756">
        <v>203.464</v>
      </c>
      <c r="K2615" s="131">
        <f t="shared" si="582"/>
        <v>203.464</v>
      </c>
      <c r="L2615" s="335">
        <f t="shared" si="589"/>
        <v>0</v>
      </c>
      <c r="M2615" s="446"/>
      <c r="N2615" s="446"/>
      <c r="O2615" s="446"/>
      <c r="P2615" s="446"/>
      <c r="Q2615" s="130">
        <v>3</v>
      </c>
      <c r="R2615" s="111">
        <f t="shared" si="587"/>
        <v>50.866</v>
      </c>
      <c r="S2615" s="110"/>
      <c r="T2615" s="110"/>
      <c r="U2615" s="130">
        <v>3</v>
      </c>
      <c r="V2615" s="111">
        <f t="shared" si="588"/>
        <v>50.866</v>
      </c>
      <c r="W2615" s="110"/>
      <c r="X2615" s="110"/>
      <c r="Y2615" s="110"/>
      <c r="Z2615" s="110"/>
      <c r="AA2615" s="130">
        <v>2</v>
      </c>
      <c r="AB2615" s="111">
        <f t="shared" si="580"/>
        <v>50.866</v>
      </c>
      <c r="AC2615" s="110"/>
      <c r="AD2615" s="110"/>
      <c r="AE2615" s="130">
        <v>2</v>
      </c>
      <c r="AF2615" s="111">
        <f t="shared" si="581"/>
        <v>50.866</v>
      </c>
      <c r="AG2615" s="110"/>
      <c r="AH2615" s="110"/>
      <c r="AI2615" s="110"/>
      <c r="AJ2615" s="110"/>
      <c r="AK2615" s="111">
        <f t="shared" si="590"/>
        <v>203.464</v>
      </c>
      <c r="AL2615" s="446">
        <f t="shared" si="591"/>
        <v>0</v>
      </c>
      <c r="AM2615" s="110">
        <f t="shared" si="592"/>
        <v>10</v>
      </c>
      <c r="AN2615" s="447">
        <f t="shared" si="583"/>
        <v>0</v>
      </c>
      <c r="AO2615"/>
      <c r="AP2615"/>
    </row>
    <row r="2616" spans="1:42" ht="66" x14ac:dyDescent="0.25">
      <c r="A2616" s="9"/>
      <c r="B2616" s="76" t="s">
        <v>2744</v>
      </c>
      <c r="C2616" s="1024"/>
      <c r="D2616" s="880">
        <v>10</v>
      </c>
      <c r="E2616" s="1025" t="s">
        <v>1722</v>
      </c>
      <c r="F2616" s="273" t="s">
        <v>3446</v>
      </c>
      <c r="G2616" s="1040" t="s">
        <v>3463</v>
      </c>
      <c r="H2616" s="273" t="s">
        <v>3462</v>
      </c>
      <c r="I2616" s="720">
        <f t="shared" si="579"/>
        <v>62.64</v>
      </c>
      <c r="J2616" s="756">
        <v>626.4</v>
      </c>
      <c r="K2616" s="131">
        <f t="shared" si="582"/>
        <v>626.4</v>
      </c>
      <c r="L2616" s="335">
        <f t="shared" si="589"/>
        <v>0</v>
      </c>
      <c r="M2616" s="446"/>
      <c r="N2616" s="446"/>
      <c r="O2616" s="446"/>
      <c r="P2616" s="446"/>
      <c r="Q2616" s="130">
        <v>3</v>
      </c>
      <c r="R2616" s="111">
        <f t="shared" si="587"/>
        <v>156.6</v>
      </c>
      <c r="S2616" s="110"/>
      <c r="T2616" s="110"/>
      <c r="U2616" s="130">
        <v>3</v>
      </c>
      <c r="V2616" s="111">
        <f t="shared" si="588"/>
        <v>156.6</v>
      </c>
      <c r="W2616" s="110"/>
      <c r="X2616" s="110"/>
      <c r="Y2616" s="110"/>
      <c r="Z2616" s="110"/>
      <c r="AA2616" s="130">
        <v>2</v>
      </c>
      <c r="AB2616" s="111">
        <f t="shared" si="580"/>
        <v>156.6</v>
      </c>
      <c r="AC2616" s="110"/>
      <c r="AD2616" s="110"/>
      <c r="AE2616" s="130">
        <v>2</v>
      </c>
      <c r="AF2616" s="111">
        <f t="shared" si="581"/>
        <v>156.6</v>
      </c>
      <c r="AG2616" s="110"/>
      <c r="AH2616" s="110"/>
      <c r="AI2616" s="110"/>
      <c r="AJ2616" s="110"/>
      <c r="AK2616" s="111">
        <f t="shared" si="590"/>
        <v>626.4</v>
      </c>
      <c r="AL2616" s="446">
        <f t="shared" si="591"/>
        <v>0</v>
      </c>
      <c r="AM2616" s="110">
        <f t="shared" si="592"/>
        <v>10</v>
      </c>
      <c r="AN2616" s="447">
        <f t="shared" si="583"/>
        <v>0</v>
      </c>
      <c r="AO2616"/>
      <c r="AP2616"/>
    </row>
    <row r="2617" spans="1:42" ht="66" x14ac:dyDescent="0.25">
      <c r="A2617" s="9"/>
      <c r="B2617" s="219" t="s">
        <v>2745</v>
      </c>
      <c r="C2617" s="1024"/>
      <c r="D2617" s="880">
        <v>15</v>
      </c>
      <c r="E2617" s="1025" t="s">
        <v>1722</v>
      </c>
      <c r="F2617" s="273" t="s">
        <v>3446</v>
      </c>
      <c r="G2617" s="1040" t="s">
        <v>3463</v>
      </c>
      <c r="H2617" s="273" t="s">
        <v>3462</v>
      </c>
      <c r="I2617" s="720">
        <f t="shared" si="579"/>
        <v>25.056000000000001</v>
      </c>
      <c r="J2617" s="756">
        <v>375.84000000000003</v>
      </c>
      <c r="K2617" s="131">
        <f t="shared" si="582"/>
        <v>375.84000000000003</v>
      </c>
      <c r="L2617" s="335">
        <f t="shared" si="589"/>
        <v>0</v>
      </c>
      <c r="M2617" s="446"/>
      <c r="N2617" s="446"/>
      <c r="O2617" s="446"/>
      <c r="P2617" s="446"/>
      <c r="Q2617" s="110">
        <v>4</v>
      </c>
      <c r="R2617" s="111">
        <f t="shared" si="587"/>
        <v>93.960000000000008</v>
      </c>
      <c r="S2617" s="110"/>
      <c r="T2617" s="110"/>
      <c r="U2617" s="110">
        <v>4</v>
      </c>
      <c r="V2617" s="111">
        <f t="shared" si="588"/>
        <v>93.960000000000008</v>
      </c>
      <c r="W2617" s="110"/>
      <c r="X2617" s="110"/>
      <c r="Y2617" s="110"/>
      <c r="Z2617" s="110"/>
      <c r="AA2617" s="110">
        <v>4</v>
      </c>
      <c r="AB2617" s="111">
        <f t="shared" si="580"/>
        <v>93.960000000000008</v>
      </c>
      <c r="AC2617" s="110"/>
      <c r="AD2617" s="110"/>
      <c r="AE2617" s="110">
        <v>3</v>
      </c>
      <c r="AF2617" s="111">
        <f t="shared" si="581"/>
        <v>93.960000000000008</v>
      </c>
      <c r="AG2617" s="110"/>
      <c r="AH2617" s="110"/>
      <c r="AI2617" s="110"/>
      <c r="AJ2617" s="110"/>
      <c r="AK2617" s="111">
        <f t="shared" si="590"/>
        <v>375.84000000000003</v>
      </c>
      <c r="AL2617" s="446">
        <f t="shared" si="591"/>
        <v>0</v>
      </c>
      <c r="AM2617" s="110">
        <f t="shared" si="592"/>
        <v>15</v>
      </c>
      <c r="AN2617" s="447">
        <f t="shared" si="583"/>
        <v>0</v>
      </c>
      <c r="AO2617"/>
      <c r="AP2617"/>
    </row>
    <row r="2618" spans="1:42" ht="66" x14ac:dyDescent="0.25">
      <c r="A2618" s="9"/>
      <c r="B2618" s="219" t="s">
        <v>2746</v>
      </c>
      <c r="C2618" s="1024"/>
      <c r="D2618" s="880">
        <v>5</v>
      </c>
      <c r="E2618" s="1025" t="s">
        <v>2321</v>
      </c>
      <c r="F2618" s="273" t="s">
        <v>3446</v>
      </c>
      <c r="G2618" s="1040" t="s">
        <v>3463</v>
      </c>
      <c r="H2618" s="273" t="s">
        <v>3462</v>
      </c>
      <c r="I2618" s="720">
        <f t="shared" ref="I2618:I2652" si="593">+J2618/D2618</f>
        <v>440.8</v>
      </c>
      <c r="J2618" s="756">
        <v>2204</v>
      </c>
      <c r="K2618" s="131">
        <f t="shared" si="582"/>
        <v>2204</v>
      </c>
      <c r="L2618" s="335">
        <f t="shared" si="589"/>
        <v>0</v>
      </c>
      <c r="M2618" s="446"/>
      <c r="N2618" s="446"/>
      <c r="O2618" s="446"/>
      <c r="P2618" s="446"/>
      <c r="Q2618" s="110">
        <v>2</v>
      </c>
      <c r="R2618" s="111">
        <f t="shared" si="587"/>
        <v>551</v>
      </c>
      <c r="S2618" s="110"/>
      <c r="T2618" s="110"/>
      <c r="U2618" s="110">
        <v>1</v>
      </c>
      <c r="V2618" s="111">
        <f t="shared" si="588"/>
        <v>551</v>
      </c>
      <c r="W2618" s="110"/>
      <c r="X2618" s="110"/>
      <c r="Y2618" s="110"/>
      <c r="Z2618" s="110"/>
      <c r="AA2618" s="110">
        <v>1</v>
      </c>
      <c r="AB2618" s="111">
        <f t="shared" si="580"/>
        <v>551</v>
      </c>
      <c r="AC2618" s="110"/>
      <c r="AD2618" s="110"/>
      <c r="AE2618" s="110">
        <v>1</v>
      </c>
      <c r="AF2618" s="111">
        <f t="shared" si="581"/>
        <v>551</v>
      </c>
      <c r="AG2618" s="110"/>
      <c r="AH2618" s="110"/>
      <c r="AI2618" s="110"/>
      <c r="AJ2618" s="110"/>
      <c r="AK2618" s="111">
        <f t="shared" si="590"/>
        <v>2204</v>
      </c>
      <c r="AL2618" s="446">
        <f t="shared" si="591"/>
        <v>0</v>
      </c>
      <c r="AM2618" s="110">
        <f t="shared" si="592"/>
        <v>5</v>
      </c>
      <c r="AN2618" s="447">
        <f t="shared" si="583"/>
        <v>0</v>
      </c>
      <c r="AO2618"/>
      <c r="AP2618"/>
    </row>
    <row r="2619" spans="1:42" ht="66" x14ac:dyDescent="0.25">
      <c r="A2619" s="9"/>
      <c r="B2619" s="219" t="s">
        <v>2747</v>
      </c>
      <c r="C2619" s="1024"/>
      <c r="D2619" s="880">
        <v>10</v>
      </c>
      <c r="E2619" s="1025" t="s">
        <v>1722</v>
      </c>
      <c r="F2619" s="273" t="s">
        <v>3446</v>
      </c>
      <c r="G2619" s="1040" t="s">
        <v>3463</v>
      </c>
      <c r="H2619" s="273" t="s">
        <v>3462</v>
      </c>
      <c r="I2619" s="720">
        <f t="shared" si="593"/>
        <v>46.4</v>
      </c>
      <c r="J2619" s="756">
        <v>464</v>
      </c>
      <c r="K2619" s="131">
        <f t="shared" si="582"/>
        <v>464</v>
      </c>
      <c r="L2619" s="335">
        <f t="shared" si="589"/>
        <v>0</v>
      </c>
      <c r="M2619" s="446"/>
      <c r="N2619" s="446"/>
      <c r="O2619" s="446"/>
      <c r="P2619" s="446"/>
      <c r="Q2619" s="130">
        <v>3</v>
      </c>
      <c r="R2619" s="111">
        <f t="shared" si="587"/>
        <v>116</v>
      </c>
      <c r="S2619" s="110"/>
      <c r="T2619" s="110"/>
      <c r="U2619" s="130">
        <v>3</v>
      </c>
      <c r="V2619" s="111">
        <f t="shared" si="588"/>
        <v>116</v>
      </c>
      <c r="W2619" s="110"/>
      <c r="X2619" s="110"/>
      <c r="Y2619" s="110"/>
      <c r="Z2619" s="110"/>
      <c r="AA2619" s="130">
        <v>2</v>
      </c>
      <c r="AB2619" s="111">
        <f t="shared" si="580"/>
        <v>116</v>
      </c>
      <c r="AC2619" s="110"/>
      <c r="AD2619" s="110"/>
      <c r="AE2619" s="130">
        <v>2</v>
      </c>
      <c r="AF2619" s="111">
        <f t="shared" si="581"/>
        <v>116</v>
      </c>
      <c r="AG2619" s="110"/>
      <c r="AH2619" s="110"/>
      <c r="AI2619" s="110"/>
      <c r="AJ2619" s="110"/>
      <c r="AK2619" s="111">
        <f t="shared" si="590"/>
        <v>464</v>
      </c>
      <c r="AL2619" s="446">
        <f t="shared" si="591"/>
        <v>0</v>
      </c>
      <c r="AM2619" s="110">
        <f t="shared" si="592"/>
        <v>10</v>
      </c>
      <c r="AN2619" s="447">
        <f t="shared" si="583"/>
        <v>0</v>
      </c>
      <c r="AO2619"/>
      <c r="AP2619"/>
    </row>
    <row r="2620" spans="1:42" ht="66" x14ac:dyDescent="0.25">
      <c r="A2620" s="9"/>
      <c r="B2620" s="219" t="s">
        <v>2748</v>
      </c>
      <c r="C2620" s="1024"/>
      <c r="D2620" s="880">
        <v>5</v>
      </c>
      <c r="E2620" s="1025" t="s">
        <v>1722</v>
      </c>
      <c r="F2620" s="273" t="s">
        <v>3446</v>
      </c>
      <c r="G2620" s="1040" t="s">
        <v>3463</v>
      </c>
      <c r="H2620" s="273" t="s">
        <v>3462</v>
      </c>
      <c r="I2620" s="720">
        <f t="shared" si="593"/>
        <v>290</v>
      </c>
      <c r="J2620" s="756">
        <v>1450</v>
      </c>
      <c r="K2620" s="131">
        <f t="shared" si="582"/>
        <v>1450</v>
      </c>
      <c r="L2620" s="335">
        <f t="shared" si="589"/>
        <v>0</v>
      </c>
      <c r="M2620" s="446"/>
      <c r="N2620" s="446"/>
      <c r="O2620" s="446"/>
      <c r="P2620" s="446"/>
      <c r="Q2620" s="110">
        <v>2</v>
      </c>
      <c r="R2620" s="111">
        <f t="shared" si="587"/>
        <v>362.5</v>
      </c>
      <c r="S2620" s="110"/>
      <c r="T2620" s="110"/>
      <c r="U2620" s="110">
        <v>1</v>
      </c>
      <c r="V2620" s="111">
        <f t="shared" si="588"/>
        <v>362.5</v>
      </c>
      <c r="W2620" s="110"/>
      <c r="X2620" s="110"/>
      <c r="Y2620" s="110"/>
      <c r="Z2620" s="110"/>
      <c r="AA2620" s="110">
        <v>1</v>
      </c>
      <c r="AB2620" s="111">
        <f t="shared" si="580"/>
        <v>362.5</v>
      </c>
      <c r="AC2620" s="110"/>
      <c r="AD2620" s="110"/>
      <c r="AE2620" s="110">
        <v>1</v>
      </c>
      <c r="AF2620" s="111">
        <f t="shared" si="581"/>
        <v>362.5</v>
      </c>
      <c r="AG2620" s="110"/>
      <c r="AH2620" s="110"/>
      <c r="AI2620" s="110"/>
      <c r="AJ2620" s="110"/>
      <c r="AK2620" s="111">
        <f t="shared" si="590"/>
        <v>1450</v>
      </c>
      <c r="AL2620" s="446">
        <f t="shared" si="591"/>
        <v>0</v>
      </c>
      <c r="AM2620" s="110">
        <f t="shared" si="592"/>
        <v>5</v>
      </c>
      <c r="AN2620" s="447">
        <f t="shared" si="583"/>
        <v>0</v>
      </c>
      <c r="AO2620"/>
      <c r="AP2620"/>
    </row>
    <row r="2621" spans="1:42" ht="66" x14ac:dyDescent="0.25">
      <c r="A2621" s="9"/>
      <c r="B2621" s="219" t="s">
        <v>2749</v>
      </c>
      <c r="C2621" s="1024"/>
      <c r="D2621" s="880">
        <v>5</v>
      </c>
      <c r="E2621" s="1025" t="s">
        <v>1722</v>
      </c>
      <c r="F2621" s="273" t="s">
        <v>3446</v>
      </c>
      <c r="G2621" s="1040" t="s">
        <v>3463</v>
      </c>
      <c r="H2621" s="273" t="s">
        <v>3462</v>
      </c>
      <c r="I2621" s="720">
        <f t="shared" si="593"/>
        <v>682.77599999999995</v>
      </c>
      <c r="J2621" s="756">
        <v>3413.8799999999997</v>
      </c>
      <c r="K2621" s="131">
        <f t="shared" si="582"/>
        <v>3413.8799999999997</v>
      </c>
      <c r="L2621" s="335">
        <f t="shared" si="589"/>
        <v>0</v>
      </c>
      <c r="M2621" s="446"/>
      <c r="N2621" s="446"/>
      <c r="O2621" s="446"/>
      <c r="P2621" s="446"/>
      <c r="Q2621" s="110">
        <v>2</v>
      </c>
      <c r="R2621" s="111">
        <f t="shared" si="587"/>
        <v>853.46999999999991</v>
      </c>
      <c r="S2621" s="110"/>
      <c r="T2621" s="110"/>
      <c r="U2621" s="110">
        <v>1</v>
      </c>
      <c r="V2621" s="111">
        <f t="shared" si="588"/>
        <v>853.46999999999991</v>
      </c>
      <c r="W2621" s="110"/>
      <c r="X2621" s="110"/>
      <c r="Y2621" s="110"/>
      <c r="Z2621" s="110"/>
      <c r="AA2621" s="110">
        <v>1</v>
      </c>
      <c r="AB2621" s="111">
        <f t="shared" si="580"/>
        <v>853.46999999999991</v>
      </c>
      <c r="AC2621" s="110"/>
      <c r="AD2621" s="110"/>
      <c r="AE2621" s="110">
        <v>1</v>
      </c>
      <c r="AF2621" s="111">
        <f t="shared" si="581"/>
        <v>853.46999999999991</v>
      </c>
      <c r="AG2621" s="110"/>
      <c r="AH2621" s="110"/>
      <c r="AI2621" s="110"/>
      <c r="AJ2621" s="110"/>
      <c r="AK2621" s="111">
        <f t="shared" si="590"/>
        <v>3413.8799999999997</v>
      </c>
      <c r="AL2621" s="446">
        <f t="shared" si="591"/>
        <v>0</v>
      </c>
      <c r="AM2621" s="110">
        <f t="shared" si="592"/>
        <v>5</v>
      </c>
      <c r="AN2621" s="447">
        <f t="shared" si="583"/>
        <v>0</v>
      </c>
      <c r="AO2621"/>
      <c r="AP2621"/>
    </row>
    <row r="2622" spans="1:42" ht="66" x14ac:dyDescent="0.25">
      <c r="A2622" s="9"/>
      <c r="B2622" s="219" t="s">
        <v>2750</v>
      </c>
      <c r="C2622" s="1024"/>
      <c r="D2622" s="880">
        <v>1</v>
      </c>
      <c r="E2622" s="1025" t="s">
        <v>1722</v>
      </c>
      <c r="F2622" s="273" t="s">
        <v>3446</v>
      </c>
      <c r="G2622" s="1040" t="s">
        <v>3463</v>
      </c>
      <c r="H2622" s="273" t="s">
        <v>3462</v>
      </c>
      <c r="I2622" s="720">
        <f t="shared" si="593"/>
        <v>2668</v>
      </c>
      <c r="J2622" s="756">
        <v>2668</v>
      </c>
      <c r="K2622" s="131">
        <f t="shared" si="582"/>
        <v>2668</v>
      </c>
      <c r="L2622" s="335">
        <f t="shared" si="589"/>
        <v>0</v>
      </c>
      <c r="M2622" s="446"/>
      <c r="N2622" s="446"/>
      <c r="O2622" s="446"/>
      <c r="P2622" s="446"/>
      <c r="Q2622" s="110">
        <v>1</v>
      </c>
      <c r="R2622" s="111">
        <f t="shared" si="587"/>
        <v>667</v>
      </c>
      <c r="S2622" s="110"/>
      <c r="T2622" s="110"/>
      <c r="U2622" s="110">
        <v>0</v>
      </c>
      <c r="V2622" s="111">
        <f t="shared" si="588"/>
        <v>667</v>
      </c>
      <c r="W2622" s="110"/>
      <c r="X2622" s="110"/>
      <c r="Y2622" s="110"/>
      <c r="Z2622" s="110"/>
      <c r="AA2622" s="110">
        <v>0</v>
      </c>
      <c r="AB2622" s="111">
        <f t="shared" si="580"/>
        <v>667</v>
      </c>
      <c r="AC2622" s="110"/>
      <c r="AD2622" s="110"/>
      <c r="AE2622" s="110">
        <v>0</v>
      </c>
      <c r="AF2622" s="111">
        <f t="shared" si="581"/>
        <v>667</v>
      </c>
      <c r="AG2622" s="110"/>
      <c r="AH2622" s="110"/>
      <c r="AI2622" s="110"/>
      <c r="AJ2622" s="110"/>
      <c r="AK2622" s="111">
        <f t="shared" si="590"/>
        <v>2668</v>
      </c>
      <c r="AL2622" s="446">
        <f t="shared" si="591"/>
        <v>0</v>
      </c>
      <c r="AM2622" s="110">
        <f t="shared" si="592"/>
        <v>1</v>
      </c>
      <c r="AN2622" s="447">
        <f t="shared" si="583"/>
        <v>0</v>
      </c>
      <c r="AO2622"/>
      <c r="AP2622"/>
    </row>
    <row r="2623" spans="1:42" ht="66" x14ac:dyDescent="0.25">
      <c r="A2623" s="9"/>
      <c r="B2623" s="219" t="s">
        <v>2751</v>
      </c>
      <c r="C2623" s="1024"/>
      <c r="D2623" s="880">
        <v>1</v>
      </c>
      <c r="E2623" s="1025" t="s">
        <v>1722</v>
      </c>
      <c r="F2623" s="273" t="s">
        <v>3446</v>
      </c>
      <c r="G2623" s="1040" t="s">
        <v>3463</v>
      </c>
      <c r="H2623" s="273" t="s">
        <v>3462</v>
      </c>
      <c r="I2623" s="720">
        <f t="shared" si="593"/>
        <v>578.83999999999992</v>
      </c>
      <c r="J2623" s="756">
        <v>578.83999999999992</v>
      </c>
      <c r="K2623" s="131">
        <f t="shared" si="582"/>
        <v>578.83999999999992</v>
      </c>
      <c r="L2623" s="335">
        <f t="shared" si="589"/>
        <v>0</v>
      </c>
      <c r="M2623" s="446"/>
      <c r="N2623" s="446"/>
      <c r="O2623" s="446"/>
      <c r="P2623" s="446"/>
      <c r="Q2623" s="110">
        <v>1</v>
      </c>
      <c r="R2623" s="111">
        <f t="shared" si="587"/>
        <v>144.70999999999998</v>
      </c>
      <c r="S2623" s="110"/>
      <c r="T2623" s="110"/>
      <c r="U2623" s="110">
        <v>0</v>
      </c>
      <c r="V2623" s="111">
        <f t="shared" si="588"/>
        <v>144.70999999999998</v>
      </c>
      <c r="W2623" s="110"/>
      <c r="X2623" s="110"/>
      <c r="Y2623" s="110"/>
      <c r="Z2623" s="110"/>
      <c r="AA2623" s="110">
        <v>0</v>
      </c>
      <c r="AB2623" s="111">
        <f t="shared" si="580"/>
        <v>144.70999999999998</v>
      </c>
      <c r="AC2623" s="110"/>
      <c r="AD2623" s="110"/>
      <c r="AE2623" s="110">
        <v>0</v>
      </c>
      <c r="AF2623" s="111">
        <f t="shared" si="581"/>
        <v>144.70999999999998</v>
      </c>
      <c r="AG2623" s="110"/>
      <c r="AH2623" s="110"/>
      <c r="AI2623" s="110"/>
      <c r="AJ2623" s="110"/>
      <c r="AK2623" s="111">
        <f t="shared" si="590"/>
        <v>578.83999999999992</v>
      </c>
      <c r="AL2623" s="446">
        <f t="shared" si="591"/>
        <v>0</v>
      </c>
      <c r="AM2623" s="110">
        <f t="shared" si="592"/>
        <v>1</v>
      </c>
      <c r="AN2623" s="447">
        <f t="shared" si="583"/>
        <v>0</v>
      </c>
      <c r="AO2623"/>
      <c r="AP2623"/>
    </row>
    <row r="2624" spans="1:42" ht="66" x14ac:dyDescent="0.25">
      <c r="A2624" s="9"/>
      <c r="B2624" s="219" t="s">
        <v>2752</v>
      </c>
      <c r="C2624" s="1024"/>
      <c r="D2624" s="880">
        <v>1</v>
      </c>
      <c r="E2624" s="1025" t="s">
        <v>1722</v>
      </c>
      <c r="F2624" s="273" t="s">
        <v>3446</v>
      </c>
      <c r="G2624" s="1040" t="s">
        <v>3463</v>
      </c>
      <c r="H2624" s="273" t="s">
        <v>3462</v>
      </c>
      <c r="I2624" s="720">
        <f t="shared" si="593"/>
        <v>578.83999999999992</v>
      </c>
      <c r="J2624" s="756">
        <v>578.83999999999992</v>
      </c>
      <c r="K2624" s="131">
        <f t="shared" si="582"/>
        <v>578.83999999999992</v>
      </c>
      <c r="L2624" s="335">
        <f t="shared" si="589"/>
        <v>0</v>
      </c>
      <c r="M2624" s="446"/>
      <c r="N2624" s="446"/>
      <c r="O2624" s="446"/>
      <c r="P2624" s="446"/>
      <c r="Q2624" s="110">
        <v>1</v>
      </c>
      <c r="R2624" s="111">
        <f t="shared" si="587"/>
        <v>144.70999999999998</v>
      </c>
      <c r="S2624" s="110"/>
      <c r="T2624" s="110"/>
      <c r="U2624" s="110">
        <v>0</v>
      </c>
      <c r="V2624" s="111">
        <f t="shared" si="588"/>
        <v>144.70999999999998</v>
      </c>
      <c r="W2624" s="110"/>
      <c r="X2624" s="110"/>
      <c r="Y2624" s="110"/>
      <c r="Z2624" s="110"/>
      <c r="AA2624" s="110">
        <v>0</v>
      </c>
      <c r="AB2624" s="111">
        <f t="shared" si="580"/>
        <v>144.70999999999998</v>
      </c>
      <c r="AC2624" s="110"/>
      <c r="AD2624" s="110"/>
      <c r="AE2624" s="110">
        <v>0</v>
      </c>
      <c r="AF2624" s="111">
        <f t="shared" si="581"/>
        <v>144.70999999999998</v>
      </c>
      <c r="AG2624" s="110"/>
      <c r="AH2624" s="110"/>
      <c r="AI2624" s="110"/>
      <c r="AJ2624" s="110"/>
      <c r="AK2624" s="111">
        <f t="shared" si="590"/>
        <v>578.83999999999992</v>
      </c>
      <c r="AL2624" s="446">
        <f t="shared" si="591"/>
        <v>0</v>
      </c>
      <c r="AM2624" s="110">
        <f t="shared" si="592"/>
        <v>1</v>
      </c>
      <c r="AN2624" s="447">
        <f t="shared" si="583"/>
        <v>0</v>
      </c>
      <c r="AO2624"/>
      <c r="AP2624"/>
    </row>
    <row r="2625" spans="1:42" ht="66" x14ac:dyDescent="0.25">
      <c r="A2625" s="9"/>
      <c r="B2625" s="219" t="s">
        <v>2753</v>
      </c>
      <c r="C2625" s="1024"/>
      <c r="D2625" s="880">
        <v>1</v>
      </c>
      <c r="E2625" s="1025" t="s">
        <v>1722</v>
      </c>
      <c r="F2625" s="273" t="s">
        <v>3446</v>
      </c>
      <c r="G2625" s="1040" t="s">
        <v>3463</v>
      </c>
      <c r="H2625" s="273" t="s">
        <v>3462</v>
      </c>
      <c r="I2625" s="720">
        <f t="shared" si="593"/>
        <v>290</v>
      </c>
      <c r="J2625" s="756">
        <v>290</v>
      </c>
      <c r="K2625" s="131">
        <f t="shared" si="582"/>
        <v>290</v>
      </c>
      <c r="L2625" s="335">
        <f t="shared" si="589"/>
        <v>0</v>
      </c>
      <c r="M2625" s="446"/>
      <c r="N2625" s="446"/>
      <c r="O2625" s="446"/>
      <c r="P2625" s="446"/>
      <c r="Q2625" s="110">
        <v>1</v>
      </c>
      <c r="R2625" s="111">
        <f t="shared" si="587"/>
        <v>72.5</v>
      </c>
      <c r="S2625" s="110"/>
      <c r="T2625" s="110"/>
      <c r="U2625" s="110">
        <v>0</v>
      </c>
      <c r="V2625" s="111">
        <f t="shared" si="588"/>
        <v>72.5</v>
      </c>
      <c r="W2625" s="110"/>
      <c r="X2625" s="110"/>
      <c r="Y2625" s="110"/>
      <c r="Z2625" s="110"/>
      <c r="AA2625" s="110">
        <v>0</v>
      </c>
      <c r="AB2625" s="111">
        <f t="shared" si="580"/>
        <v>72.5</v>
      </c>
      <c r="AC2625" s="110"/>
      <c r="AD2625" s="110"/>
      <c r="AE2625" s="110">
        <v>0</v>
      </c>
      <c r="AF2625" s="111">
        <f t="shared" si="581"/>
        <v>72.5</v>
      </c>
      <c r="AG2625" s="110"/>
      <c r="AH2625" s="110"/>
      <c r="AI2625" s="110"/>
      <c r="AJ2625" s="110"/>
      <c r="AK2625" s="111">
        <f t="shared" si="590"/>
        <v>290</v>
      </c>
      <c r="AL2625" s="446">
        <f t="shared" si="591"/>
        <v>0</v>
      </c>
      <c r="AM2625" s="110">
        <f t="shared" si="592"/>
        <v>1</v>
      </c>
      <c r="AN2625" s="447">
        <f t="shared" si="583"/>
        <v>0</v>
      </c>
      <c r="AO2625"/>
      <c r="AP2625"/>
    </row>
    <row r="2626" spans="1:42" ht="66" x14ac:dyDescent="0.25">
      <c r="A2626" s="9"/>
      <c r="B2626" s="219" t="s">
        <v>2754</v>
      </c>
      <c r="C2626" s="1024"/>
      <c r="D2626" s="880">
        <v>1</v>
      </c>
      <c r="E2626" s="1025" t="s">
        <v>1722</v>
      </c>
      <c r="F2626" s="273" t="s">
        <v>3446</v>
      </c>
      <c r="G2626" s="1040" t="s">
        <v>3463</v>
      </c>
      <c r="H2626" s="273" t="s">
        <v>3462</v>
      </c>
      <c r="I2626" s="720">
        <f t="shared" si="593"/>
        <v>266.79999999999995</v>
      </c>
      <c r="J2626" s="756">
        <v>266.79999999999995</v>
      </c>
      <c r="K2626" s="131">
        <f t="shared" si="582"/>
        <v>266.79999999999995</v>
      </c>
      <c r="L2626" s="335">
        <f t="shared" si="589"/>
        <v>0</v>
      </c>
      <c r="M2626" s="446"/>
      <c r="N2626" s="446"/>
      <c r="O2626" s="446"/>
      <c r="P2626" s="446"/>
      <c r="Q2626" s="110">
        <v>1</v>
      </c>
      <c r="R2626" s="111">
        <f t="shared" si="587"/>
        <v>66.699999999999989</v>
      </c>
      <c r="S2626" s="110"/>
      <c r="T2626" s="110"/>
      <c r="U2626" s="110">
        <v>0</v>
      </c>
      <c r="V2626" s="111">
        <f t="shared" si="588"/>
        <v>66.699999999999989</v>
      </c>
      <c r="W2626" s="110"/>
      <c r="X2626" s="110"/>
      <c r="Y2626" s="110"/>
      <c r="Z2626" s="110"/>
      <c r="AA2626" s="110">
        <v>0</v>
      </c>
      <c r="AB2626" s="111">
        <f t="shared" si="580"/>
        <v>66.699999999999989</v>
      </c>
      <c r="AC2626" s="110"/>
      <c r="AD2626" s="110"/>
      <c r="AE2626" s="110">
        <v>0</v>
      </c>
      <c r="AF2626" s="111">
        <f t="shared" si="581"/>
        <v>66.699999999999989</v>
      </c>
      <c r="AG2626" s="110"/>
      <c r="AH2626" s="110"/>
      <c r="AI2626" s="110"/>
      <c r="AJ2626" s="110"/>
      <c r="AK2626" s="111">
        <f t="shared" si="590"/>
        <v>266.79999999999995</v>
      </c>
      <c r="AL2626" s="446">
        <f t="shared" si="591"/>
        <v>0</v>
      </c>
      <c r="AM2626" s="110">
        <f t="shared" si="592"/>
        <v>1</v>
      </c>
      <c r="AN2626" s="447">
        <f t="shared" si="583"/>
        <v>0</v>
      </c>
      <c r="AO2626"/>
      <c r="AP2626"/>
    </row>
    <row r="2627" spans="1:42" ht="66" x14ac:dyDescent="0.25">
      <c r="A2627" s="9"/>
      <c r="B2627" s="219" t="s">
        <v>2755</v>
      </c>
      <c r="C2627" s="1024"/>
      <c r="D2627" s="880">
        <v>1</v>
      </c>
      <c r="E2627" s="1025" t="s">
        <v>1722</v>
      </c>
      <c r="F2627" s="273" t="s">
        <v>3446</v>
      </c>
      <c r="G2627" s="1040" t="s">
        <v>3463</v>
      </c>
      <c r="H2627" s="273" t="s">
        <v>3462</v>
      </c>
      <c r="I2627" s="720">
        <f t="shared" si="593"/>
        <v>81.199999999999989</v>
      </c>
      <c r="J2627" s="756">
        <v>81.199999999999989</v>
      </c>
      <c r="K2627" s="131">
        <f t="shared" si="582"/>
        <v>81.199999999999989</v>
      </c>
      <c r="L2627" s="335">
        <f t="shared" si="589"/>
        <v>0</v>
      </c>
      <c r="M2627" s="446"/>
      <c r="N2627" s="446"/>
      <c r="O2627" s="446"/>
      <c r="P2627" s="446"/>
      <c r="Q2627" s="110">
        <v>1</v>
      </c>
      <c r="R2627" s="111">
        <f t="shared" si="587"/>
        <v>20.299999999999997</v>
      </c>
      <c r="S2627" s="110"/>
      <c r="T2627" s="110"/>
      <c r="U2627" s="110">
        <v>0</v>
      </c>
      <c r="V2627" s="111">
        <f t="shared" si="588"/>
        <v>20.299999999999997</v>
      </c>
      <c r="W2627" s="110"/>
      <c r="X2627" s="110"/>
      <c r="Y2627" s="110"/>
      <c r="Z2627" s="110"/>
      <c r="AA2627" s="110">
        <v>0</v>
      </c>
      <c r="AB2627" s="111">
        <f t="shared" si="580"/>
        <v>20.299999999999997</v>
      </c>
      <c r="AC2627" s="110"/>
      <c r="AD2627" s="110"/>
      <c r="AE2627" s="110">
        <v>0</v>
      </c>
      <c r="AF2627" s="111">
        <f t="shared" si="581"/>
        <v>20.299999999999997</v>
      </c>
      <c r="AG2627" s="110"/>
      <c r="AH2627" s="110"/>
      <c r="AI2627" s="110"/>
      <c r="AJ2627" s="110"/>
      <c r="AK2627" s="111">
        <f t="shared" si="590"/>
        <v>81.199999999999989</v>
      </c>
      <c r="AL2627" s="446">
        <f t="shared" si="591"/>
        <v>0</v>
      </c>
      <c r="AM2627" s="110">
        <f t="shared" si="592"/>
        <v>1</v>
      </c>
      <c r="AN2627" s="447">
        <f t="shared" si="583"/>
        <v>0</v>
      </c>
      <c r="AO2627"/>
      <c r="AP2627"/>
    </row>
    <row r="2628" spans="1:42" ht="66" x14ac:dyDescent="0.25">
      <c r="A2628" s="9"/>
      <c r="B2628" s="219" t="s">
        <v>2756</v>
      </c>
      <c r="C2628" s="1024"/>
      <c r="D2628" s="880">
        <v>1</v>
      </c>
      <c r="E2628" s="1025" t="s">
        <v>1722</v>
      </c>
      <c r="F2628" s="273" t="s">
        <v>3446</v>
      </c>
      <c r="G2628" s="1040" t="s">
        <v>3463</v>
      </c>
      <c r="H2628" s="273" t="s">
        <v>3462</v>
      </c>
      <c r="I2628" s="720">
        <f t="shared" si="593"/>
        <v>69.599999999999994</v>
      </c>
      <c r="J2628" s="756">
        <v>69.599999999999994</v>
      </c>
      <c r="K2628" s="131">
        <f t="shared" si="582"/>
        <v>69.599999999999994</v>
      </c>
      <c r="L2628" s="335">
        <f t="shared" si="589"/>
        <v>0</v>
      </c>
      <c r="M2628" s="446"/>
      <c r="N2628" s="446"/>
      <c r="O2628" s="446"/>
      <c r="P2628" s="446"/>
      <c r="Q2628" s="110">
        <v>1</v>
      </c>
      <c r="R2628" s="111">
        <f t="shared" si="587"/>
        <v>17.399999999999999</v>
      </c>
      <c r="S2628" s="110"/>
      <c r="T2628" s="110"/>
      <c r="U2628" s="110">
        <v>0</v>
      </c>
      <c r="V2628" s="111">
        <f t="shared" si="588"/>
        <v>17.399999999999999</v>
      </c>
      <c r="W2628" s="110"/>
      <c r="X2628" s="110"/>
      <c r="Y2628" s="110"/>
      <c r="Z2628" s="110"/>
      <c r="AA2628" s="110">
        <v>0</v>
      </c>
      <c r="AB2628" s="111">
        <f t="shared" si="580"/>
        <v>17.399999999999999</v>
      </c>
      <c r="AC2628" s="110"/>
      <c r="AD2628" s="110"/>
      <c r="AE2628" s="110">
        <v>0</v>
      </c>
      <c r="AF2628" s="111">
        <f t="shared" si="581"/>
        <v>17.399999999999999</v>
      </c>
      <c r="AG2628" s="110"/>
      <c r="AH2628" s="110"/>
      <c r="AI2628" s="110"/>
      <c r="AJ2628" s="110"/>
      <c r="AK2628" s="111">
        <f t="shared" si="590"/>
        <v>69.599999999999994</v>
      </c>
      <c r="AL2628" s="446">
        <f t="shared" si="591"/>
        <v>0</v>
      </c>
      <c r="AM2628" s="110">
        <f t="shared" si="592"/>
        <v>1</v>
      </c>
      <c r="AN2628" s="447">
        <f t="shared" si="583"/>
        <v>0</v>
      </c>
      <c r="AO2628"/>
      <c r="AP2628"/>
    </row>
    <row r="2629" spans="1:42" ht="66" x14ac:dyDescent="0.25">
      <c r="A2629" s="9"/>
      <c r="B2629" s="219" t="s">
        <v>2757</v>
      </c>
      <c r="C2629" s="1024"/>
      <c r="D2629" s="880">
        <v>1</v>
      </c>
      <c r="E2629" s="1025" t="s">
        <v>1722</v>
      </c>
      <c r="F2629" s="273" t="s">
        <v>3446</v>
      </c>
      <c r="G2629" s="1040" t="s">
        <v>3463</v>
      </c>
      <c r="H2629" s="273" t="s">
        <v>3462</v>
      </c>
      <c r="I2629" s="720">
        <f t="shared" si="593"/>
        <v>231.99999999999997</v>
      </c>
      <c r="J2629" s="756">
        <v>231.99999999999997</v>
      </c>
      <c r="K2629" s="131">
        <f t="shared" si="582"/>
        <v>231.99999999999997</v>
      </c>
      <c r="L2629" s="335">
        <f t="shared" si="589"/>
        <v>0</v>
      </c>
      <c r="M2629" s="446"/>
      <c r="N2629" s="446"/>
      <c r="O2629" s="446"/>
      <c r="P2629" s="446"/>
      <c r="Q2629" s="110">
        <v>1</v>
      </c>
      <c r="R2629" s="111">
        <f t="shared" si="587"/>
        <v>57.999999999999993</v>
      </c>
      <c r="S2629" s="110"/>
      <c r="T2629" s="110"/>
      <c r="U2629" s="110">
        <v>0</v>
      </c>
      <c r="V2629" s="111">
        <f t="shared" si="588"/>
        <v>57.999999999999993</v>
      </c>
      <c r="W2629" s="110"/>
      <c r="X2629" s="110"/>
      <c r="Y2629" s="110"/>
      <c r="Z2629" s="110"/>
      <c r="AA2629" s="110">
        <v>0</v>
      </c>
      <c r="AB2629" s="111">
        <f t="shared" si="580"/>
        <v>57.999999999999993</v>
      </c>
      <c r="AC2629" s="110"/>
      <c r="AD2629" s="110"/>
      <c r="AE2629" s="110">
        <v>0</v>
      </c>
      <c r="AF2629" s="111">
        <f t="shared" si="581"/>
        <v>57.999999999999993</v>
      </c>
      <c r="AG2629" s="110"/>
      <c r="AH2629" s="110"/>
      <c r="AI2629" s="110"/>
      <c r="AJ2629" s="110"/>
      <c r="AK2629" s="111">
        <f t="shared" si="590"/>
        <v>231.99999999999997</v>
      </c>
      <c r="AL2629" s="446">
        <f t="shared" si="591"/>
        <v>0</v>
      </c>
      <c r="AM2629" s="110">
        <f t="shared" si="592"/>
        <v>1</v>
      </c>
      <c r="AN2629" s="447">
        <f t="shared" si="583"/>
        <v>0</v>
      </c>
      <c r="AO2629"/>
      <c r="AP2629"/>
    </row>
    <row r="2630" spans="1:42" ht="66" x14ac:dyDescent="0.25">
      <c r="A2630" s="9"/>
      <c r="B2630" s="219" t="s">
        <v>2758</v>
      </c>
      <c r="C2630" s="1024"/>
      <c r="D2630" s="880">
        <v>1</v>
      </c>
      <c r="E2630" s="1025" t="s">
        <v>2776</v>
      </c>
      <c r="F2630" s="273" t="s">
        <v>3446</v>
      </c>
      <c r="G2630" s="1040" t="s">
        <v>3463</v>
      </c>
      <c r="H2630" s="273" t="s">
        <v>3462</v>
      </c>
      <c r="I2630" s="720">
        <f t="shared" si="593"/>
        <v>104.39999999999999</v>
      </c>
      <c r="J2630" s="756">
        <v>104.39999999999999</v>
      </c>
      <c r="K2630" s="131">
        <f t="shared" si="582"/>
        <v>104.39999999999999</v>
      </c>
      <c r="L2630" s="335">
        <f t="shared" si="589"/>
        <v>0</v>
      </c>
      <c r="M2630" s="446"/>
      <c r="N2630" s="446"/>
      <c r="O2630" s="446"/>
      <c r="P2630" s="446"/>
      <c r="Q2630" s="110">
        <v>1</v>
      </c>
      <c r="R2630" s="111">
        <f t="shared" si="587"/>
        <v>26.099999999999998</v>
      </c>
      <c r="S2630" s="110"/>
      <c r="T2630" s="110"/>
      <c r="U2630" s="110">
        <v>0</v>
      </c>
      <c r="V2630" s="111">
        <f t="shared" si="588"/>
        <v>26.099999999999998</v>
      </c>
      <c r="W2630" s="110"/>
      <c r="X2630" s="110"/>
      <c r="Y2630" s="110"/>
      <c r="Z2630" s="110"/>
      <c r="AA2630" s="110">
        <v>0</v>
      </c>
      <c r="AB2630" s="111">
        <f t="shared" si="580"/>
        <v>26.099999999999998</v>
      </c>
      <c r="AC2630" s="110"/>
      <c r="AD2630" s="110"/>
      <c r="AE2630" s="110">
        <v>0</v>
      </c>
      <c r="AF2630" s="111">
        <f t="shared" si="581"/>
        <v>26.099999999999998</v>
      </c>
      <c r="AG2630" s="110"/>
      <c r="AH2630" s="110"/>
      <c r="AI2630" s="110"/>
      <c r="AJ2630" s="110"/>
      <c r="AK2630" s="111">
        <f t="shared" si="590"/>
        <v>104.39999999999999</v>
      </c>
      <c r="AL2630" s="446">
        <f t="shared" si="591"/>
        <v>0</v>
      </c>
      <c r="AM2630" s="110">
        <f t="shared" si="592"/>
        <v>1</v>
      </c>
      <c r="AN2630" s="447">
        <f t="shared" si="583"/>
        <v>0</v>
      </c>
      <c r="AO2630"/>
      <c r="AP2630"/>
    </row>
    <row r="2631" spans="1:42" ht="66" x14ac:dyDescent="0.25">
      <c r="A2631" s="9"/>
      <c r="B2631" s="219" t="s">
        <v>2759</v>
      </c>
      <c r="C2631" s="1024"/>
      <c r="D2631" s="880">
        <v>1</v>
      </c>
      <c r="E2631" s="1025" t="s">
        <v>1827</v>
      </c>
      <c r="F2631" s="273" t="s">
        <v>3446</v>
      </c>
      <c r="G2631" s="1040" t="s">
        <v>3463</v>
      </c>
      <c r="H2631" s="273" t="s">
        <v>3462</v>
      </c>
      <c r="I2631" s="720">
        <f t="shared" si="593"/>
        <v>614.79999999999995</v>
      </c>
      <c r="J2631" s="756">
        <v>614.79999999999995</v>
      </c>
      <c r="K2631" s="131">
        <f t="shared" si="582"/>
        <v>614.79999999999995</v>
      </c>
      <c r="L2631" s="335">
        <f t="shared" si="589"/>
        <v>0</v>
      </c>
      <c r="M2631" s="446"/>
      <c r="N2631" s="446"/>
      <c r="O2631" s="446"/>
      <c r="P2631" s="446"/>
      <c r="Q2631" s="110">
        <v>1</v>
      </c>
      <c r="R2631" s="111">
        <f t="shared" si="587"/>
        <v>153.69999999999999</v>
      </c>
      <c r="S2631" s="110"/>
      <c r="T2631" s="110"/>
      <c r="U2631" s="110">
        <v>0</v>
      </c>
      <c r="V2631" s="111">
        <f t="shared" si="588"/>
        <v>153.69999999999999</v>
      </c>
      <c r="W2631" s="110"/>
      <c r="X2631" s="110"/>
      <c r="Y2631" s="110"/>
      <c r="Z2631" s="110"/>
      <c r="AA2631" s="110">
        <v>0</v>
      </c>
      <c r="AB2631" s="111">
        <f t="shared" ref="AB2631:AB2694" si="594">+J2631/4</f>
        <v>153.69999999999999</v>
      </c>
      <c r="AC2631" s="110"/>
      <c r="AD2631" s="110"/>
      <c r="AE2631" s="110">
        <v>0</v>
      </c>
      <c r="AF2631" s="111">
        <f t="shared" ref="AF2631:AF2694" si="595">+J2631/4</f>
        <v>153.69999999999999</v>
      </c>
      <c r="AG2631" s="110"/>
      <c r="AH2631" s="110"/>
      <c r="AI2631" s="110"/>
      <c r="AJ2631" s="110"/>
      <c r="AK2631" s="111">
        <f t="shared" si="590"/>
        <v>614.79999999999995</v>
      </c>
      <c r="AL2631" s="446">
        <f t="shared" si="591"/>
        <v>0</v>
      </c>
      <c r="AM2631" s="110">
        <f t="shared" si="592"/>
        <v>1</v>
      </c>
      <c r="AN2631" s="447">
        <f t="shared" si="583"/>
        <v>0</v>
      </c>
      <c r="AO2631"/>
      <c r="AP2631"/>
    </row>
    <row r="2632" spans="1:42" ht="66" x14ac:dyDescent="0.25">
      <c r="A2632" s="9"/>
      <c r="B2632" s="219" t="s">
        <v>2760</v>
      </c>
      <c r="C2632" s="1024"/>
      <c r="D2632" s="880">
        <v>1</v>
      </c>
      <c r="E2632" s="1025" t="s">
        <v>1722</v>
      </c>
      <c r="F2632" s="273" t="s">
        <v>3446</v>
      </c>
      <c r="G2632" s="1040" t="s">
        <v>3463</v>
      </c>
      <c r="H2632" s="273" t="s">
        <v>3462</v>
      </c>
      <c r="I2632" s="720">
        <f t="shared" si="593"/>
        <v>661.19999999999993</v>
      </c>
      <c r="J2632" s="756">
        <v>661.19999999999993</v>
      </c>
      <c r="K2632" s="131">
        <f t="shared" si="582"/>
        <v>661.19999999999993</v>
      </c>
      <c r="L2632" s="335">
        <f t="shared" si="589"/>
        <v>0</v>
      </c>
      <c r="M2632" s="446"/>
      <c r="N2632" s="446"/>
      <c r="O2632" s="446"/>
      <c r="P2632" s="446"/>
      <c r="Q2632" s="110">
        <v>1</v>
      </c>
      <c r="R2632" s="111">
        <f t="shared" si="587"/>
        <v>165.29999999999998</v>
      </c>
      <c r="S2632" s="110"/>
      <c r="T2632" s="110"/>
      <c r="U2632" s="110">
        <v>0</v>
      </c>
      <c r="V2632" s="111">
        <f t="shared" si="588"/>
        <v>165.29999999999998</v>
      </c>
      <c r="W2632" s="110"/>
      <c r="X2632" s="110"/>
      <c r="Y2632" s="110"/>
      <c r="Z2632" s="110"/>
      <c r="AA2632" s="110">
        <v>0</v>
      </c>
      <c r="AB2632" s="111">
        <f t="shared" si="594"/>
        <v>165.29999999999998</v>
      </c>
      <c r="AC2632" s="110"/>
      <c r="AD2632" s="110"/>
      <c r="AE2632" s="110">
        <v>0</v>
      </c>
      <c r="AF2632" s="111">
        <f t="shared" si="595"/>
        <v>165.29999999999998</v>
      </c>
      <c r="AG2632" s="110"/>
      <c r="AH2632" s="110"/>
      <c r="AI2632" s="110"/>
      <c r="AJ2632" s="110"/>
      <c r="AK2632" s="111">
        <f t="shared" si="590"/>
        <v>661.19999999999993</v>
      </c>
      <c r="AL2632" s="446">
        <f t="shared" si="591"/>
        <v>0</v>
      </c>
      <c r="AM2632" s="110">
        <f t="shared" si="592"/>
        <v>1</v>
      </c>
      <c r="AN2632" s="447">
        <f t="shared" si="583"/>
        <v>0</v>
      </c>
      <c r="AO2632"/>
      <c r="AP2632"/>
    </row>
    <row r="2633" spans="1:42" ht="66" x14ac:dyDescent="0.25">
      <c r="A2633" s="9"/>
      <c r="B2633" s="219" t="s">
        <v>2761</v>
      </c>
      <c r="C2633" s="1024"/>
      <c r="D2633" s="880">
        <v>1</v>
      </c>
      <c r="E2633" s="1025" t="s">
        <v>2777</v>
      </c>
      <c r="F2633" s="273" t="s">
        <v>3446</v>
      </c>
      <c r="G2633" s="1040" t="s">
        <v>3463</v>
      </c>
      <c r="H2633" s="273" t="s">
        <v>3462</v>
      </c>
      <c r="I2633" s="720">
        <f t="shared" si="593"/>
        <v>52.199999999999996</v>
      </c>
      <c r="J2633" s="756">
        <v>52.199999999999996</v>
      </c>
      <c r="K2633" s="131">
        <f t="shared" si="582"/>
        <v>52.199999999999996</v>
      </c>
      <c r="L2633" s="335">
        <f t="shared" si="589"/>
        <v>0</v>
      </c>
      <c r="M2633" s="446"/>
      <c r="N2633" s="446"/>
      <c r="O2633" s="446"/>
      <c r="P2633" s="446"/>
      <c r="Q2633" s="110">
        <v>1</v>
      </c>
      <c r="R2633" s="111">
        <f t="shared" si="587"/>
        <v>13.049999999999999</v>
      </c>
      <c r="S2633" s="110"/>
      <c r="T2633" s="110"/>
      <c r="U2633" s="110">
        <v>0</v>
      </c>
      <c r="V2633" s="111">
        <f t="shared" si="588"/>
        <v>13.049999999999999</v>
      </c>
      <c r="W2633" s="110"/>
      <c r="X2633" s="110"/>
      <c r="Y2633" s="110"/>
      <c r="Z2633" s="110"/>
      <c r="AA2633" s="110">
        <v>0</v>
      </c>
      <c r="AB2633" s="111">
        <f t="shared" si="594"/>
        <v>13.049999999999999</v>
      </c>
      <c r="AC2633" s="110"/>
      <c r="AD2633" s="110"/>
      <c r="AE2633" s="110">
        <v>0</v>
      </c>
      <c r="AF2633" s="111">
        <f t="shared" si="595"/>
        <v>13.049999999999999</v>
      </c>
      <c r="AG2633" s="110"/>
      <c r="AH2633" s="110"/>
      <c r="AI2633" s="110"/>
      <c r="AJ2633" s="110"/>
      <c r="AK2633" s="111">
        <f t="shared" si="590"/>
        <v>52.199999999999996</v>
      </c>
      <c r="AL2633" s="446">
        <f t="shared" si="591"/>
        <v>0</v>
      </c>
      <c r="AM2633" s="110">
        <f t="shared" si="592"/>
        <v>1</v>
      </c>
      <c r="AN2633" s="447">
        <f t="shared" si="583"/>
        <v>0</v>
      </c>
      <c r="AO2633"/>
      <c r="AP2633"/>
    </row>
    <row r="2634" spans="1:42" ht="66" x14ac:dyDescent="0.25">
      <c r="A2634" s="9"/>
      <c r="B2634" s="219" t="s">
        <v>2762</v>
      </c>
      <c r="C2634" s="1024"/>
      <c r="D2634" s="880">
        <v>1</v>
      </c>
      <c r="E2634" s="1025" t="s">
        <v>2776</v>
      </c>
      <c r="F2634" s="273" t="s">
        <v>3446</v>
      </c>
      <c r="G2634" s="1040" t="s">
        <v>3463</v>
      </c>
      <c r="H2634" s="273" t="s">
        <v>3462</v>
      </c>
      <c r="I2634" s="720">
        <f t="shared" si="593"/>
        <v>81.199999999999989</v>
      </c>
      <c r="J2634" s="756">
        <v>81.199999999999989</v>
      </c>
      <c r="K2634" s="131">
        <f t="shared" si="582"/>
        <v>81.199999999999989</v>
      </c>
      <c r="L2634" s="335">
        <f t="shared" si="589"/>
        <v>0</v>
      </c>
      <c r="M2634" s="446"/>
      <c r="N2634" s="446"/>
      <c r="O2634" s="446"/>
      <c r="P2634" s="446"/>
      <c r="Q2634" s="110">
        <v>1</v>
      </c>
      <c r="R2634" s="111">
        <f t="shared" si="587"/>
        <v>20.299999999999997</v>
      </c>
      <c r="S2634" s="110"/>
      <c r="T2634" s="110"/>
      <c r="U2634" s="110">
        <v>0</v>
      </c>
      <c r="V2634" s="111">
        <f t="shared" si="588"/>
        <v>20.299999999999997</v>
      </c>
      <c r="W2634" s="110"/>
      <c r="X2634" s="110"/>
      <c r="Y2634" s="110"/>
      <c r="Z2634" s="110"/>
      <c r="AA2634" s="110">
        <v>0</v>
      </c>
      <c r="AB2634" s="111">
        <f t="shared" si="594"/>
        <v>20.299999999999997</v>
      </c>
      <c r="AC2634" s="110"/>
      <c r="AD2634" s="110"/>
      <c r="AE2634" s="110">
        <v>0</v>
      </c>
      <c r="AF2634" s="111">
        <f t="shared" si="595"/>
        <v>20.299999999999997</v>
      </c>
      <c r="AG2634" s="110"/>
      <c r="AH2634" s="110"/>
      <c r="AI2634" s="110"/>
      <c r="AJ2634" s="110"/>
      <c r="AK2634" s="111">
        <f t="shared" si="590"/>
        <v>81.199999999999989</v>
      </c>
      <c r="AL2634" s="446">
        <f t="shared" si="591"/>
        <v>0</v>
      </c>
      <c r="AM2634" s="110">
        <f t="shared" si="592"/>
        <v>1</v>
      </c>
      <c r="AN2634" s="447">
        <f t="shared" si="583"/>
        <v>0</v>
      </c>
      <c r="AO2634"/>
      <c r="AP2634"/>
    </row>
    <row r="2635" spans="1:42" ht="66" x14ac:dyDescent="0.25">
      <c r="A2635" s="9"/>
      <c r="B2635" s="219" t="s">
        <v>2763</v>
      </c>
      <c r="C2635" s="1024"/>
      <c r="D2635" s="880">
        <v>1</v>
      </c>
      <c r="E2635" s="1025" t="s">
        <v>1722</v>
      </c>
      <c r="F2635" s="273" t="s">
        <v>3446</v>
      </c>
      <c r="G2635" s="1040" t="s">
        <v>3463</v>
      </c>
      <c r="H2635" s="273" t="s">
        <v>3462</v>
      </c>
      <c r="I2635" s="720">
        <f t="shared" si="593"/>
        <v>330.59999999999997</v>
      </c>
      <c r="J2635" s="756">
        <v>330.59999999999997</v>
      </c>
      <c r="K2635" s="131">
        <f t="shared" si="582"/>
        <v>330.59999999999997</v>
      </c>
      <c r="L2635" s="335">
        <f t="shared" si="589"/>
        <v>0</v>
      </c>
      <c r="M2635" s="446"/>
      <c r="N2635" s="446"/>
      <c r="O2635" s="446"/>
      <c r="P2635" s="446"/>
      <c r="Q2635" s="110">
        <v>1</v>
      </c>
      <c r="R2635" s="111">
        <f t="shared" si="587"/>
        <v>82.649999999999991</v>
      </c>
      <c r="S2635" s="110"/>
      <c r="T2635" s="110"/>
      <c r="U2635" s="110">
        <v>0</v>
      </c>
      <c r="V2635" s="111">
        <f t="shared" si="588"/>
        <v>82.649999999999991</v>
      </c>
      <c r="W2635" s="110"/>
      <c r="X2635" s="110"/>
      <c r="Y2635" s="110"/>
      <c r="Z2635" s="110"/>
      <c r="AA2635" s="110">
        <v>0</v>
      </c>
      <c r="AB2635" s="111">
        <f t="shared" si="594"/>
        <v>82.649999999999991</v>
      </c>
      <c r="AC2635" s="110"/>
      <c r="AD2635" s="110"/>
      <c r="AE2635" s="110">
        <v>0</v>
      </c>
      <c r="AF2635" s="111">
        <f t="shared" si="595"/>
        <v>82.649999999999991</v>
      </c>
      <c r="AG2635" s="110"/>
      <c r="AH2635" s="110"/>
      <c r="AI2635" s="110"/>
      <c r="AJ2635" s="110"/>
      <c r="AK2635" s="111">
        <f t="shared" si="590"/>
        <v>330.59999999999997</v>
      </c>
      <c r="AL2635" s="446">
        <f t="shared" si="591"/>
        <v>0</v>
      </c>
      <c r="AM2635" s="110">
        <f t="shared" si="592"/>
        <v>1</v>
      </c>
      <c r="AN2635" s="447">
        <f t="shared" si="583"/>
        <v>0</v>
      </c>
      <c r="AO2635"/>
      <c r="AP2635"/>
    </row>
    <row r="2636" spans="1:42" ht="66" x14ac:dyDescent="0.25">
      <c r="A2636" s="9"/>
      <c r="B2636" s="219" t="s">
        <v>2764</v>
      </c>
      <c r="C2636" s="1024"/>
      <c r="D2636" s="880">
        <v>1</v>
      </c>
      <c r="E2636" s="1025" t="s">
        <v>2776</v>
      </c>
      <c r="F2636" s="273" t="s">
        <v>3446</v>
      </c>
      <c r="G2636" s="1040" t="s">
        <v>3463</v>
      </c>
      <c r="H2636" s="273" t="s">
        <v>3462</v>
      </c>
      <c r="I2636" s="720">
        <f t="shared" si="593"/>
        <v>87</v>
      </c>
      <c r="J2636" s="756">
        <v>87</v>
      </c>
      <c r="K2636" s="131">
        <f t="shared" si="582"/>
        <v>87</v>
      </c>
      <c r="L2636" s="335">
        <f t="shared" si="589"/>
        <v>0</v>
      </c>
      <c r="M2636" s="446"/>
      <c r="N2636" s="446"/>
      <c r="O2636" s="446"/>
      <c r="P2636" s="446"/>
      <c r="Q2636" s="110">
        <v>1</v>
      </c>
      <c r="R2636" s="111">
        <f t="shared" si="587"/>
        <v>21.75</v>
      </c>
      <c r="S2636" s="110"/>
      <c r="T2636" s="110"/>
      <c r="U2636" s="110">
        <v>0</v>
      </c>
      <c r="V2636" s="111">
        <f t="shared" si="588"/>
        <v>21.75</v>
      </c>
      <c r="W2636" s="110"/>
      <c r="X2636" s="110"/>
      <c r="Y2636" s="110"/>
      <c r="Z2636" s="110"/>
      <c r="AA2636" s="110">
        <v>0</v>
      </c>
      <c r="AB2636" s="111">
        <f t="shared" si="594"/>
        <v>21.75</v>
      </c>
      <c r="AC2636" s="110"/>
      <c r="AD2636" s="110"/>
      <c r="AE2636" s="110">
        <v>0</v>
      </c>
      <c r="AF2636" s="111">
        <f t="shared" si="595"/>
        <v>21.75</v>
      </c>
      <c r="AG2636" s="110"/>
      <c r="AH2636" s="110"/>
      <c r="AI2636" s="110"/>
      <c r="AJ2636" s="110"/>
      <c r="AK2636" s="111">
        <f t="shared" si="590"/>
        <v>87</v>
      </c>
      <c r="AL2636" s="446">
        <f t="shared" si="591"/>
        <v>0</v>
      </c>
      <c r="AM2636" s="110">
        <f t="shared" si="592"/>
        <v>1</v>
      </c>
      <c r="AN2636" s="447">
        <f t="shared" si="583"/>
        <v>0</v>
      </c>
      <c r="AO2636"/>
      <c r="AP2636"/>
    </row>
    <row r="2637" spans="1:42" ht="66" x14ac:dyDescent="0.25">
      <c r="A2637" s="9"/>
      <c r="B2637" s="219" t="s">
        <v>2765</v>
      </c>
      <c r="C2637" s="1024"/>
      <c r="D2637" s="880">
        <v>1</v>
      </c>
      <c r="E2637" s="1025" t="s">
        <v>2776</v>
      </c>
      <c r="F2637" s="273" t="s">
        <v>3446</v>
      </c>
      <c r="G2637" s="1040" t="s">
        <v>3463</v>
      </c>
      <c r="H2637" s="273" t="s">
        <v>3462</v>
      </c>
      <c r="I2637" s="720">
        <f t="shared" si="593"/>
        <v>104.39999999999999</v>
      </c>
      <c r="J2637" s="756">
        <v>104.39999999999999</v>
      </c>
      <c r="K2637" s="131">
        <f t="shared" si="582"/>
        <v>104.39999999999999</v>
      </c>
      <c r="L2637" s="335">
        <f t="shared" si="589"/>
        <v>0</v>
      </c>
      <c r="M2637" s="446"/>
      <c r="N2637" s="446"/>
      <c r="O2637" s="446"/>
      <c r="P2637" s="446"/>
      <c r="Q2637" s="110">
        <v>1</v>
      </c>
      <c r="R2637" s="111">
        <f t="shared" si="587"/>
        <v>26.099999999999998</v>
      </c>
      <c r="S2637" s="110"/>
      <c r="T2637" s="110"/>
      <c r="U2637" s="110">
        <v>0</v>
      </c>
      <c r="V2637" s="111">
        <f t="shared" si="588"/>
        <v>26.099999999999998</v>
      </c>
      <c r="W2637" s="110"/>
      <c r="X2637" s="110"/>
      <c r="Y2637" s="110"/>
      <c r="Z2637" s="110"/>
      <c r="AA2637" s="110">
        <v>0</v>
      </c>
      <c r="AB2637" s="111">
        <f t="shared" si="594"/>
        <v>26.099999999999998</v>
      </c>
      <c r="AC2637" s="110"/>
      <c r="AD2637" s="110"/>
      <c r="AE2637" s="110">
        <v>0</v>
      </c>
      <c r="AF2637" s="111">
        <f t="shared" si="595"/>
        <v>26.099999999999998</v>
      </c>
      <c r="AG2637" s="110"/>
      <c r="AH2637" s="110"/>
      <c r="AI2637" s="110"/>
      <c r="AJ2637" s="110"/>
      <c r="AK2637" s="111">
        <f t="shared" si="590"/>
        <v>104.39999999999999</v>
      </c>
      <c r="AL2637" s="446">
        <f t="shared" si="591"/>
        <v>0</v>
      </c>
      <c r="AM2637" s="110">
        <f t="shared" si="592"/>
        <v>1</v>
      </c>
      <c r="AN2637" s="447">
        <f t="shared" si="583"/>
        <v>0</v>
      </c>
      <c r="AO2637"/>
      <c r="AP2637"/>
    </row>
    <row r="2638" spans="1:42" ht="66" x14ac:dyDescent="0.25">
      <c r="A2638" s="9"/>
      <c r="B2638" s="219" t="s">
        <v>2766</v>
      </c>
      <c r="C2638" s="1024"/>
      <c r="D2638" s="880">
        <v>1</v>
      </c>
      <c r="E2638" s="1025" t="s">
        <v>2321</v>
      </c>
      <c r="F2638" s="273" t="s">
        <v>3446</v>
      </c>
      <c r="G2638" s="1040" t="s">
        <v>3463</v>
      </c>
      <c r="H2638" s="273" t="s">
        <v>3462</v>
      </c>
      <c r="I2638" s="720">
        <f t="shared" si="593"/>
        <v>92.8</v>
      </c>
      <c r="J2638" s="756">
        <v>92.8</v>
      </c>
      <c r="K2638" s="131">
        <f t="shared" si="582"/>
        <v>92.8</v>
      </c>
      <c r="L2638" s="335">
        <f t="shared" si="589"/>
        <v>0</v>
      </c>
      <c r="M2638" s="446"/>
      <c r="N2638" s="446"/>
      <c r="O2638" s="446"/>
      <c r="P2638" s="446"/>
      <c r="Q2638" s="110">
        <v>1</v>
      </c>
      <c r="R2638" s="111">
        <f t="shared" si="587"/>
        <v>23.2</v>
      </c>
      <c r="S2638" s="110"/>
      <c r="T2638" s="110"/>
      <c r="U2638" s="110">
        <v>0</v>
      </c>
      <c r="V2638" s="111">
        <f t="shared" si="588"/>
        <v>23.2</v>
      </c>
      <c r="W2638" s="110"/>
      <c r="X2638" s="110"/>
      <c r="Y2638" s="110"/>
      <c r="Z2638" s="110"/>
      <c r="AA2638" s="110">
        <v>0</v>
      </c>
      <c r="AB2638" s="111">
        <f t="shared" si="594"/>
        <v>23.2</v>
      </c>
      <c r="AC2638" s="110"/>
      <c r="AD2638" s="110"/>
      <c r="AE2638" s="110">
        <v>0</v>
      </c>
      <c r="AF2638" s="111">
        <f t="shared" si="595"/>
        <v>23.2</v>
      </c>
      <c r="AG2638" s="110"/>
      <c r="AH2638" s="110"/>
      <c r="AI2638" s="110"/>
      <c r="AJ2638" s="110"/>
      <c r="AK2638" s="111">
        <f t="shared" si="590"/>
        <v>92.8</v>
      </c>
      <c r="AL2638" s="446">
        <f t="shared" si="591"/>
        <v>0</v>
      </c>
      <c r="AM2638" s="110">
        <f t="shared" si="592"/>
        <v>1</v>
      </c>
      <c r="AN2638" s="447">
        <f t="shared" si="583"/>
        <v>0</v>
      </c>
      <c r="AO2638"/>
      <c r="AP2638"/>
    </row>
    <row r="2639" spans="1:42" ht="66" x14ac:dyDescent="0.25">
      <c r="A2639" s="9"/>
      <c r="B2639" s="219" t="s">
        <v>2767</v>
      </c>
      <c r="C2639" s="1024"/>
      <c r="D2639" s="880">
        <v>1</v>
      </c>
      <c r="E2639" s="1025" t="s">
        <v>2321</v>
      </c>
      <c r="F2639" s="273" t="s">
        <v>3446</v>
      </c>
      <c r="G2639" s="1040" t="s">
        <v>3463</v>
      </c>
      <c r="H2639" s="273" t="s">
        <v>3462</v>
      </c>
      <c r="I2639" s="720">
        <f t="shared" si="593"/>
        <v>110.19999999999999</v>
      </c>
      <c r="J2639" s="756">
        <v>110.19999999999999</v>
      </c>
      <c r="K2639" s="131">
        <f t="shared" si="582"/>
        <v>110.19999999999999</v>
      </c>
      <c r="L2639" s="335">
        <f t="shared" si="589"/>
        <v>0</v>
      </c>
      <c r="M2639" s="446"/>
      <c r="N2639" s="446"/>
      <c r="O2639" s="446"/>
      <c r="P2639" s="446"/>
      <c r="Q2639" s="110">
        <v>1</v>
      </c>
      <c r="R2639" s="111">
        <f t="shared" si="587"/>
        <v>27.549999999999997</v>
      </c>
      <c r="S2639" s="110"/>
      <c r="T2639" s="110"/>
      <c r="U2639" s="110">
        <v>0</v>
      </c>
      <c r="V2639" s="111">
        <f t="shared" si="588"/>
        <v>27.549999999999997</v>
      </c>
      <c r="W2639" s="110"/>
      <c r="X2639" s="110"/>
      <c r="Y2639" s="110"/>
      <c r="Z2639" s="110"/>
      <c r="AA2639" s="110">
        <v>0</v>
      </c>
      <c r="AB2639" s="111">
        <f t="shared" si="594"/>
        <v>27.549999999999997</v>
      </c>
      <c r="AC2639" s="110"/>
      <c r="AD2639" s="110"/>
      <c r="AE2639" s="110">
        <v>0</v>
      </c>
      <c r="AF2639" s="111">
        <f t="shared" si="595"/>
        <v>27.549999999999997</v>
      </c>
      <c r="AG2639" s="110"/>
      <c r="AH2639" s="110"/>
      <c r="AI2639" s="110"/>
      <c r="AJ2639" s="110"/>
      <c r="AK2639" s="111">
        <f t="shared" si="590"/>
        <v>110.19999999999999</v>
      </c>
      <c r="AL2639" s="446">
        <f t="shared" si="591"/>
        <v>0</v>
      </c>
      <c r="AM2639" s="110">
        <f t="shared" si="592"/>
        <v>1</v>
      </c>
      <c r="AN2639" s="447">
        <f t="shared" si="583"/>
        <v>0</v>
      </c>
      <c r="AO2639"/>
      <c r="AP2639"/>
    </row>
    <row r="2640" spans="1:42" ht="66" x14ac:dyDescent="0.25">
      <c r="A2640" s="9"/>
      <c r="B2640" s="219" t="s">
        <v>2768</v>
      </c>
      <c r="C2640" s="1024"/>
      <c r="D2640" s="880">
        <v>1</v>
      </c>
      <c r="E2640" s="1025" t="s">
        <v>2776</v>
      </c>
      <c r="F2640" s="273" t="s">
        <v>3446</v>
      </c>
      <c r="G2640" s="1040" t="s">
        <v>3463</v>
      </c>
      <c r="H2640" s="273" t="s">
        <v>3462</v>
      </c>
      <c r="I2640" s="720">
        <f t="shared" si="593"/>
        <v>6.9599999999999991</v>
      </c>
      <c r="J2640" s="756">
        <v>6.9599999999999991</v>
      </c>
      <c r="K2640" s="131">
        <f t="shared" si="582"/>
        <v>6.9599999999999991</v>
      </c>
      <c r="L2640" s="335">
        <f t="shared" si="589"/>
        <v>0</v>
      </c>
      <c r="M2640" s="446"/>
      <c r="N2640" s="446"/>
      <c r="O2640" s="446"/>
      <c r="P2640" s="446"/>
      <c r="Q2640" s="110">
        <v>1</v>
      </c>
      <c r="R2640" s="111">
        <f t="shared" si="587"/>
        <v>1.7399999999999998</v>
      </c>
      <c r="S2640" s="110"/>
      <c r="T2640" s="110"/>
      <c r="U2640" s="110">
        <v>0</v>
      </c>
      <c r="V2640" s="111">
        <f t="shared" si="588"/>
        <v>1.7399999999999998</v>
      </c>
      <c r="W2640" s="110"/>
      <c r="X2640" s="110"/>
      <c r="Y2640" s="110"/>
      <c r="Z2640" s="110"/>
      <c r="AA2640" s="110">
        <v>0</v>
      </c>
      <c r="AB2640" s="111">
        <f t="shared" si="594"/>
        <v>1.7399999999999998</v>
      </c>
      <c r="AC2640" s="110"/>
      <c r="AD2640" s="110"/>
      <c r="AE2640" s="110">
        <v>0</v>
      </c>
      <c r="AF2640" s="111">
        <f t="shared" si="595"/>
        <v>1.7399999999999998</v>
      </c>
      <c r="AG2640" s="110"/>
      <c r="AH2640" s="110"/>
      <c r="AI2640" s="110"/>
      <c r="AJ2640" s="110"/>
      <c r="AK2640" s="111">
        <f t="shared" si="590"/>
        <v>6.9599999999999991</v>
      </c>
      <c r="AL2640" s="446">
        <f t="shared" si="591"/>
        <v>0</v>
      </c>
      <c r="AM2640" s="110">
        <f t="shared" si="592"/>
        <v>1</v>
      </c>
      <c r="AN2640" s="447">
        <f t="shared" si="583"/>
        <v>0</v>
      </c>
      <c r="AO2640"/>
      <c r="AP2640"/>
    </row>
    <row r="2641" spans="1:42" ht="66" x14ac:dyDescent="0.25">
      <c r="A2641" s="9"/>
      <c r="B2641" s="219" t="s">
        <v>2769</v>
      </c>
      <c r="C2641" s="1024"/>
      <c r="D2641" s="880">
        <v>1</v>
      </c>
      <c r="E2641" s="1025" t="s">
        <v>2776</v>
      </c>
      <c r="F2641" s="273" t="s">
        <v>3446</v>
      </c>
      <c r="G2641" s="1040" t="s">
        <v>3463</v>
      </c>
      <c r="H2641" s="273" t="s">
        <v>3462</v>
      </c>
      <c r="I2641" s="720">
        <f t="shared" si="593"/>
        <v>301.59999999999997</v>
      </c>
      <c r="J2641" s="756">
        <v>301.59999999999997</v>
      </c>
      <c r="K2641" s="131">
        <f t="shared" si="582"/>
        <v>301.59999999999997</v>
      </c>
      <c r="L2641" s="335">
        <f t="shared" si="589"/>
        <v>0</v>
      </c>
      <c r="M2641" s="446"/>
      <c r="N2641" s="446"/>
      <c r="O2641" s="446"/>
      <c r="P2641" s="446"/>
      <c r="Q2641" s="110">
        <v>1</v>
      </c>
      <c r="R2641" s="111">
        <f t="shared" si="587"/>
        <v>75.399999999999991</v>
      </c>
      <c r="S2641" s="110"/>
      <c r="T2641" s="110"/>
      <c r="U2641" s="110">
        <v>0</v>
      </c>
      <c r="V2641" s="111">
        <f t="shared" si="588"/>
        <v>75.399999999999991</v>
      </c>
      <c r="W2641" s="110"/>
      <c r="X2641" s="110"/>
      <c r="Y2641" s="110"/>
      <c r="Z2641" s="110"/>
      <c r="AA2641" s="110">
        <v>0</v>
      </c>
      <c r="AB2641" s="111">
        <f t="shared" si="594"/>
        <v>75.399999999999991</v>
      </c>
      <c r="AC2641" s="110"/>
      <c r="AD2641" s="110"/>
      <c r="AE2641" s="110">
        <v>0</v>
      </c>
      <c r="AF2641" s="111">
        <f t="shared" si="595"/>
        <v>75.399999999999991</v>
      </c>
      <c r="AG2641" s="110"/>
      <c r="AH2641" s="110"/>
      <c r="AI2641" s="110"/>
      <c r="AJ2641" s="110"/>
      <c r="AK2641" s="111">
        <f t="shared" si="590"/>
        <v>301.59999999999997</v>
      </c>
      <c r="AL2641" s="446">
        <f t="shared" si="591"/>
        <v>0</v>
      </c>
      <c r="AM2641" s="110">
        <f t="shared" si="592"/>
        <v>1</v>
      </c>
      <c r="AN2641" s="447">
        <f t="shared" si="583"/>
        <v>0</v>
      </c>
      <c r="AO2641"/>
      <c r="AP2641"/>
    </row>
    <row r="2642" spans="1:42" ht="66" x14ac:dyDescent="0.25">
      <c r="A2642" s="9"/>
      <c r="B2642" s="219" t="s">
        <v>1619</v>
      </c>
      <c r="C2642" s="1024"/>
      <c r="D2642" s="880">
        <v>2</v>
      </c>
      <c r="E2642" s="1025" t="s">
        <v>2776</v>
      </c>
      <c r="F2642" s="273" t="s">
        <v>3446</v>
      </c>
      <c r="G2642" s="1040" t="s">
        <v>3463</v>
      </c>
      <c r="H2642" s="273" t="s">
        <v>3462</v>
      </c>
      <c r="I2642" s="720">
        <f t="shared" si="593"/>
        <v>92.8</v>
      </c>
      <c r="J2642" s="756">
        <v>185.6</v>
      </c>
      <c r="K2642" s="131">
        <f t="shared" si="582"/>
        <v>185.6</v>
      </c>
      <c r="L2642" s="335">
        <f t="shared" si="589"/>
        <v>0</v>
      </c>
      <c r="M2642" s="446"/>
      <c r="N2642" s="446"/>
      <c r="O2642" s="446"/>
      <c r="P2642" s="446"/>
      <c r="Q2642" s="130">
        <v>1</v>
      </c>
      <c r="R2642" s="111">
        <f t="shared" si="587"/>
        <v>46.4</v>
      </c>
      <c r="S2642" s="110"/>
      <c r="T2642" s="110"/>
      <c r="U2642" s="130">
        <v>1</v>
      </c>
      <c r="V2642" s="111">
        <f t="shared" si="588"/>
        <v>46.4</v>
      </c>
      <c r="W2642" s="110"/>
      <c r="X2642" s="110"/>
      <c r="Y2642" s="110"/>
      <c r="Z2642" s="110"/>
      <c r="AA2642" s="130">
        <v>0</v>
      </c>
      <c r="AB2642" s="111">
        <f t="shared" si="594"/>
        <v>46.4</v>
      </c>
      <c r="AC2642" s="110"/>
      <c r="AD2642" s="110"/>
      <c r="AE2642" s="130">
        <v>0</v>
      </c>
      <c r="AF2642" s="111">
        <f t="shared" si="595"/>
        <v>46.4</v>
      </c>
      <c r="AG2642" s="110"/>
      <c r="AH2642" s="110"/>
      <c r="AI2642" s="110"/>
      <c r="AJ2642" s="110"/>
      <c r="AK2642" s="111">
        <f t="shared" si="590"/>
        <v>185.6</v>
      </c>
      <c r="AL2642" s="446">
        <f t="shared" si="591"/>
        <v>0</v>
      </c>
      <c r="AM2642" s="110">
        <f t="shared" si="592"/>
        <v>2</v>
      </c>
      <c r="AN2642" s="447">
        <f t="shared" si="583"/>
        <v>0</v>
      </c>
      <c r="AO2642"/>
      <c r="AP2642"/>
    </row>
    <row r="2643" spans="1:42" ht="66" x14ac:dyDescent="0.25">
      <c r="A2643" s="9"/>
      <c r="B2643" s="219" t="s">
        <v>2770</v>
      </c>
      <c r="C2643" s="1024"/>
      <c r="D2643" s="880">
        <v>2</v>
      </c>
      <c r="E2643" s="1025" t="s">
        <v>2776</v>
      </c>
      <c r="F2643" s="273" t="s">
        <v>3446</v>
      </c>
      <c r="G2643" s="1040" t="s">
        <v>3463</v>
      </c>
      <c r="H2643" s="273" t="s">
        <v>3462</v>
      </c>
      <c r="I2643" s="720">
        <f t="shared" si="593"/>
        <v>176.32</v>
      </c>
      <c r="J2643" s="756">
        <v>352.64</v>
      </c>
      <c r="K2643" s="131">
        <f t="shared" si="582"/>
        <v>352.64</v>
      </c>
      <c r="L2643" s="335">
        <f t="shared" si="589"/>
        <v>0</v>
      </c>
      <c r="M2643" s="446"/>
      <c r="N2643" s="446"/>
      <c r="O2643" s="446"/>
      <c r="P2643" s="446"/>
      <c r="Q2643" s="130">
        <v>1</v>
      </c>
      <c r="R2643" s="111">
        <f t="shared" si="587"/>
        <v>88.16</v>
      </c>
      <c r="S2643" s="110"/>
      <c r="T2643" s="110"/>
      <c r="U2643" s="130">
        <v>1</v>
      </c>
      <c r="V2643" s="111">
        <f t="shared" si="588"/>
        <v>88.16</v>
      </c>
      <c r="W2643" s="110"/>
      <c r="X2643" s="110"/>
      <c r="Y2643" s="110"/>
      <c r="Z2643" s="110"/>
      <c r="AA2643" s="130">
        <v>0</v>
      </c>
      <c r="AB2643" s="111">
        <f t="shared" si="594"/>
        <v>88.16</v>
      </c>
      <c r="AC2643" s="110"/>
      <c r="AD2643" s="110"/>
      <c r="AE2643" s="130">
        <v>0</v>
      </c>
      <c r="AF2643" s="111">
        <f t="shared" si="595"/>
        <v>88.16</v>
      </c>
      <c r="AG2643" s="110"/>
      <c r="AH2643" s="110"/>
      <c r="AI2643" s="110"/>
      <c r="AJ2643" s="110"/>
      <c r="AK2643" s="111">
        <f t="shared" si="590"/>
        <v>352.64</v>
      </c>
      <c r="AL2643" s="446">
        <f t="shared" si="591"/>
        <v>0</v>
      </c>
      <c r="AM2643" s="110">
        <f t="shared" si="592"/>
        <v>2</v>
      </c>
      <c r="AN2643" s="447">
        <f t="shared" si="583"/>
        <v>0</v>
      </c>
      <c r="AO2643"/>
      <c r="AP2643"/>
    </row>
    <row r="2644" spans="1:42" ht="66" x14ac:dyDescent="0.25">
      <c r="A2644" s="9"/>
      <c r="B2644" s="219" t="s">
        <v>2771</v>
      </c>
      <c r="C2644" s="1024"/>
      <c r="D2644" s="880">
        <v>2</v>
      </c>
      <c r="E2644" s="1025" t="s">
        <v>2776</v>
      </c>
      <c r="F2644" s="273" t="s">
        <v>3446</v>
      </c>
      <c r="G2644" s="1040" t="s">
        <v>3463</v>
      </c>
      <c r="H2644" s="273" t="s">
        <v>3462</v>
      </c>
      <c r="I2644" s="720">
        <f t="shared" si="593"/>
        <v>113.67999999999999</v>
      </c>
      <c r="J2644" s="756">
        <v>227.35999999999999</v>
      </c>
      <c r="K2644" s="131">
        <f t="shared" si="582"/>
        <v>227.35999999999999</v>
      </c>
      <c r="L2644" s="335">
        <f t="shared" si="589"/>
        <v>0</v>
      </c>
      <c r="M2644" s="446"/>
      <c r="N2644" s="446"/>
      <c r="O2644" s="446"/>
      <c r="P2644" s="446"/>
      <c r="Q2644" s="130">
        <v>1</v>
      </c>
      <c r="R2644" s="111">
        <f t="shared" si="587"/>
        <v>56.839999999999996</v>
      </c>
      <c r="S2644" s="110"/>
      <c r="T2644" s="110"/>
      <c r="U2644" s="130">
        <v>1</v>
      </c>
      <c r="V2644" s="111">
        <f t="shared" si="588"/>
        <v>56.839999999999996</v>
      </c>
      <c r="W2644" s="110"/>
      <c r="X2644" s="110"/>
      <c r="Y2644" s="110"/>
      <c r="Z2644" s="110"/>
      <c r="AA2644" s="130">
        <v>0</v>
      </c>
      <c r="AB2644" s="111">
        <f t="shared" si="594"/>
        <v>56.839999999999996</v>
      </c>
      <c r="AC2644" s="110"/>
      <c r="AD2644" s="110"/>
      <c r="AE2644" s="130">
        <v>0</v>
      </c>
      <c r="AF2644" s="111">
        <f t="shared" si="595"/>
        <v>56.839999999999996</v>
      </c>
      <c r="AG2644" s="110"/>
      <c r="AH2644" s="110"/>
      <c r="AI2644" s="110"/>
      <c r="AJ2644" s="110"/>
      <c r="AK2644" s="111">
        <f t="shared" si="590"/>
        <v>227.35999999999999</v>
      </c>
      <c r="AL2644" s="446">
        <f t="shared" si="591"/>
        <v>0</v>
      </c>
      <c r="AM2644" s="110">
        <f t="shared" si="592"/>
        <v>2</v>
      </c>
      <c r="AN2644" s="447">
        <f t="shared" si="583"/>
        <v>0</v>
      </c>
      <c r="AO2644"/>
      <c r="AP2644"/>
    </row>
    <row r="2645" spans="1:42" ht="66" x14ac:dyDescent="0.25">
      <c r="A2645" s="9"/>
      <c r="B2645" s="219" t="s">
        <v>2772</v>
      </c>
      <c r="C2645" s="1024"/>
      <c r="D2645" s="880">
        <v>2</v>
      </c>
      <c r="E2645" s="1025" t="s">
        <v>2776</v>
      </c>
      <c r="F2645" s="273" t="s">
        <v>3446</v>
      </c>
      <c r="G2645" s="1040" t="s">
        <v>3463</v>
      </c>
      <c r="H2645" s="273" t="s">
        <v>3462</v>
      </c>
      <c r="I2645" s="720">
        <f t="shared" si="593"/>
        <v>176.32</v>
      </c>
      <c r="J2645" s="756">
        <v>352.64</v>
      </c>
      <c r="K2645" s="131">
        <f t="shared" si="582"/>
        <v>352.64</v>
      </c>
      <c r="L2645" s="335">
        <f t="shared" si="589"/>
        <v>0</v>
      </c>
      <c r="M2645" s="446"/>
      <c r="N2645" s="446"/>
      <c r="O2645" s="446"/>
      <c r="P2645" s="446"/>
      <c r="Q2645" s="130">
        <v>1</v>
      </c>
      <c r="R2645" s="111">
        <f t="shared" si="587"/>
        <v>88.16</v>
      </c>
      <c r="S2645" s="110"/>
      <c r="T2645" s="110"/>
      <c r="U2645" s="130">
        <v>1</v>
      </c>
      <c r="V2645" s="111">
        <f t="shared" si="588"/>
        <v>88.16</v>
      </c>
      <c r="W2645" s="110"/>
      <c r="X2645" s="110"/>
      <c r="Y2645" s="110"/>
      <c r="Z2645" s="110"/>
      <c r="AA2645" s="130">
        <v>0</v>
      </c>
      <c r="AB2645" s="111">
        <f t="shared" si="594"/>
        <v>88.16</v>
      </c>
      <c r="AC2645" s="110"/>
      <c r="AD2645" s="110"/>
      <c r="AE2645" s="130">
        <v>0</v>
      </c>
      <c r="AF2645" s="111">
        <f t="shared" si="595"/>
        <v>88.16</v>
      </c>
      <c r="AG2645" s="110"/>
      <c r="AH2645" s="110"/>
      <c r="AI2645" s="110"/>
      <c r="AJ2645" s="110"/>
      <c r="AK2645" s="111">
        <f t="shared" si="590"/>
        <v>352.64</v>
      </c>
      <c r="AL2645" s="446">
        <f t="shared" si="591"/>
        <v>0</v>
      </c>
      <c r="AM2645" s="110">
        <f t="shared" si="592"/>
        <v>2</v>
      </c>
      <c r="AN2645" s="447">
        <f t="shared" si="583"/>
        <v>0</v>
      </c>
      <c r="AO2645"/>
      <c r="AP2645"/>
    </row>
    <row r="2646" spans="1:42" ht="66" x14ac:dyDescent="0.25">
      <c r="A2646" s="9"/>
      <c r="B2646" s="219" t="s">
        <v>2773</v>
      </c>
      <c r="C2646" s="1024"/>
      <c r="D2646" s="880">
        <v>2</v>
      </c>
      <c r="E2646" s="1025" t="s">
        <v>2776</v>
      </c>
      <c r="F2646" s="273" t="s">
        <v>3446</v>
      </c>
      <c r="G2646" s="1040" t="s">
        <v>3463</v>
      </c>
      <c r="H2646" s="273" t="s">
        <v>3462</v>
      </c>
      <c r="I2646" s="720">
        <f t="shared" si="593"/>
        <v>113.67999999999999</v>
      </c>
      <c r="J2646" s="756">
        <v>227.35999999999999</v>
      </c>
      <c r="K2646" s="131">
        <f t="shared" si="582"/>
        <v>227.35999999999999</v>
      </c>
      <c r="L2646" s="335">
        <f t="shared" si="589"/>
        <v>0</v>
      </c>
      <c r="M2646" s="446"/>
      <c r="N2646" s="446"/>
      <c r="O2646" s="446"/>
      <c r="P2646" s="446"/>
      <c r="Q2646" s="130">
        <v>1</v>
      </c>
      <c r="R2646" s="111">
        <f t="shared" si="587"/>
        <v>56.839999999999996</v>
      </c>
      <c r="S2646" s="110"/>
      <c r="T2646" s="110"/>
      <c r="U2646" s="130">
        <v>1</v>
      </c>
      <c r="V2646" s="111">
        <f t="shared" si="588"/>
        <v>56.839999999999996</v>
      </c>
      <c r="W2646" s="110"/>
      <c r="X2646" s="110"/>
      <c r="Y2646" s="110"/>
      <c r="Z2646" s="110"/>
      <c r="AA2646" s="130">
        <v>0</v>
      </c>
      <c r="AB2646" s="111">
        <f t="shared" si="594"/>
        <v>56.839999999999996</v>
      </c>
      <c r="AC2646" s="110"/>
      <c r="AD2646" s="110"/>
      <c r="AE2646" s="130">
        <v>0</v>
      </c>
      <c r="AF2646" s="111">
        <f t="shared" si="595"/>
        <v>56.839999999999996</v>
      </c>
      <c r="AG2646" s="110"/>
      <c r="AH2646" s="110"/>
      <c r="AI2646" s="110"/>
      <c r="AJ2646" s="110"/>
      <c r="AK2646" s="111">
        <f t="shared" si="590"/>
        <v>227.35999999999999</v>
      </c>
      <c r="AL2646" s="446">
        <f t="shared" si="591"/>
        <v>0</v>
      </c>
      <c r="AM2646" s="110">
        <f t="shared" si="592"/>
        <v>2</v>
      </c>
      <c r="AN2646" s="447">
        <f t="shared" si="583"/>
        <v>0</v>
      </c>
      <c r="AO2646"/>
      <c r="AP2646"/>
    </row>
    <row r="2647" spans="1:42" ht="66" x14ac:dyDescent="0.25">
      <c r="A2647" s="9"/>
      <c r="B2647" s="219" t="s">
        <v>2774</v>
      </c>
      <c r="C2647" s="1024"/>
      <c r="D2647" s="880">
        <v>2</v>
      </c>
      <c r="E2647" s="1025" t="s">
        <v>2776</v>
      </c>
      <c r="F2647" s="273" t="s">
        <v>3446</v>
      </c>
      <c r="G2647" s="1040" t="s">
        <v>3463</v>
      </c>
      <c r="H2647" s="273" t="s">
        <v>3462</v>
      </c>
      <c r="I2647" s="720">
        <f t="shared" si="593"/>
        <v>176.32</v>
      </c>
      <c r="J2647" s="756">
        <v>352.64</v>
      </c>
      <c r="K2647" s="131">
        <f t="shared" si="582"/>
        <v>352.64</v>
      </c>
      <c r="L2647" s="335">
        <f t="shared" si="589"/>
        <v>0</v>
      </c>
      <c r="M2647" s="446"/>
      <c r="N2647" s="446"/>
      <c r="O2647" s="446"/>
      <c r="P2647" s="446"/>
      <c r="Q2647" s="130">
        <v>1</v>
      </c>
      <c r="R2647" s="111">
        <f t="shared" si="587"/>
        <v>88.16</v>
      </c>
      <c r="S2647" s="110"/>
      <c r="T2647" s="110"/>
      <c r="U2647" s="130">
        <v>1</v>
      </c>
      <c r="V2647" s="111">
        <f t="shared" si="588"/>
        <v>88.16</v>
      </c>
      <c r="W2647" s="110"/>
      <c r="X2647" s="110"/>
      <c r="Y2647" s="110"/>
      <c r="Z2647" s="110"/>
      <c r="AA2647" s="130">
        <v>0</v>
      </c>
      <c r="AB2647" s="111">
        <f t="shared" si="594"/>
        <v>88.16</v>
      </c>
      <c r="AC2647" s="110"/>
      <c r="AD2647" s="110"/>
      <c r="AE2647" s="130">
        <v>0</v>
      </c>
      <c r="AF2647" s="111">
        <f t="shared" si="595"/>
        <v>88.16</v>
      </c>
      <c r="AG2647" s="110"/>
      <c r="AH2647" s="110"/>
      <c r="AI2647" s="110"/>
      <c r="AJ2647" s="110"/>
      <c r="AK2647" s="111">
        <f t="shared" si="590"/>
        <v>352.64</v>
      </c>
      <c r="AL2647" s="446">
        <f t="shared" si="591"/>
        <v>0</v>
      </c>
      <c r="AM2647" s="110">
        <f t="shared" si="592"/>
        <v>2</v>
      </c>
      <c r="AN2647" s="447">
        <f t="shared" si="583"/>
        <v>0</v>
      </c>
      <c r="AO2647"/>
      <c r="AP2647"/>
    </row>
    <row r="2648" spans="1:42" ht="66" x14ac:dyDescent="0.25">
      <c r="A2648" s="9"/>
      <c r="B2648" s="219" t="s">
        <v>2775</v>
      </c>
      <c r="C2648" s="1024"/>
      <c r="D2648" s="880">
        <v>2</v>
      </c>
      <c r="E2648" s="1025" t="s">
        <v>2776</v>
      </c>
      <c r="F2648" s="273" t="s">
        <v>3446</v>
      </c>
      <c r="G2648" s="1040" t="s">
        <v>3463</v>
      </c>
      <c r="H2648" s="273" t="s">
        <v>3462</v>
      </c>
      <c r="I2648" s="720">
        <f t="shared" si="593"/>
        <v>113.67999999999999</v>
      </c>
      <c r="J2648" s="756">
        <v>227.35999999999999</v>
      </c>
      <c r="K2648" s="131">
        <f t="shared" si="582"/>
        <v>227.35999999999999</v>
      </c>
      <c r="L2648" s="335">
        <f t="shared" si="589"/>
        <v>0</v>
      </c>
      <c r="M2648" s="446"/>
      <c r="N2648" s="446"/>
      <c r="O2648" s="446"/>
      <c r="P2648" s="446"/>
      <c r="Q2648" s="130">
        <v>1</v>
      </c>
      <c r="R2648" s="111">
        <f t="shared" si="587"/>
        <v>56.839999999999996</v>
      </c>
      <c r="S2648" s="110"/>
      <c r="T2648" s="110"/>
      <c r="U2648" s="130">
        <v>1</v>
      </c>
      <c r="V2648" s="111">
        <f t="shared" si="588"/>
        <v>56.839999999999996</v>
      </c>
      <c r="W2648" s="110"/>
      <c r="X2648" s="110"/>
      <c r="Y2648" s="110"/>
      <c r="Z2648" s="110"/>
      <c r="AA2648" s="130">
        <v>0</v>
      </c>
      <c r="AB2648" s="111">
        <f t="shared" si="594"/>
        <v>56.839999999999996</v>
      </c>
      <c r="AC2648" s="110"/>
      <c r="AD2648" s="110"/>
      <c r="AE2648" s="130">
        <v>0</v>
      </c>
      <c r="AF2648" s="111">
        <f t="shared" si="595"/>
        <v>56.839999999999996</v>
      </c>
      <c r="AG2648" s="110"/>
      <c r="AH2648" s="110"/>
      <c r="AI2648" s="110"/>
      <c r="AJ2648" s="110"/>
      <c r="AK2648" s="111">
        <f t="shared" si="590"/>
        <v>227.35999999999999</v>
      </c>
      <c r="AL2648" s="446">
        <f t="shared" si="591"/>
        <v>0</v>
      </c>
      <c r="AM2648" s="110">
        <f t="shared" si="592"/>
        <v>2</v>
      </c>
      <c r="AN2648" s="447">
        <f t="shared" si="583"/>
        <v>0</v>
      </c>
      <c r="AO2648"/>
      <c r="AP2648"/>
    </row>
    <row r="2649" spans="1:42" ht="66" x14ac:dyDescent="0.25">
      <c r="A2649" s="9"/>
      <c r="B2649" s="528" t="s">
        <v>3042</v>
      </c>
      <c r="C2649" s="1024"/>
      <c r="D2649" s="882">
        <v>1</v>
      </c>
      <c r="E2649" s="251" t="s">
        <v>1767</v>
      </c>
      <c r="F2649" s="273" t="s">
        <v>3446</v>
      </c>
      <c r="G2649" s="1040" t="s">
        <v>3463</v>
      </c>
      <c r="H2649" s="273" t="s">
        <v>3462</v>
      </c>
      <c r="I2649" s="720">
        <f t="shared" si="593"/>
        <v>280.8</v>
      </c>
      <c r="J2649" s="756">
        <v>280.8</v>
      </c>
      <c r="K2649" s="131">
        <f t="shared" si="582"/>
        <v>280.8</v>
      </c>
      <c r="L2649" s="335">
        <f t="shared" si="589"/>
        <v>0</v>
      </c>
      <c r="M2649" s="446"/>
      <c r="N2649" s="446"/>
      <c r="O2649" s="446"/>
      <c r="P2649" s="446"/>
      <c r="Q2649" s="110">
        <v>1</v>
      </c>
      <c r="R2649" s="111">
        <f t="shared" si="587"/>
        <v>70.2</v>
      </c>
      <c r="S2649" s="110"/>
      <c r="T2649" s="110"/>
      <c r="U2649" s="110">
        <v>0</v>
      </c>
      <c r="V2649" s="111">
        <f t="shared" si="588"/>
        <v>70.2</v>
      </c>
      <c r="W2649" s="110"/>
      <c r="X2649" s="110"/>
      <c r="Y2649" s="110"/>
      <c r="Z2649" s="110"/>
      <c r="AA2649" s="110">
        <v>0</v>
      </c>
      <c r="AB2649" s="111">
        <f t="shared" si="594"/>
        <v>70.2</v>
      </c>
      <c r="AC2649" s="110"/>
      <c r="AD2649" s="110"/>
      <c r="AE2649" s="110">
        <v>0</v>
      </c>
      <c r="AF2649" s="111">
        <f t="shared" si="595"/>
        <v>70.2</v>
      </c>
      <c r="AG2649" s="110"/>
      <c r="AH2649" s="110"/>
      <c r="AI2649" s="110"/>
      <c r="AJ2649" s="110"/>
      <c r="AK2649" s="111">
        <f t="shared" si="590"/>
        <v>280.8</v>
      </c>
      <c r="AL2649" s="446">
        <f t="shared" si="591"/>
        <v>0</v>
      </c>
      <c r="AM2649" s="110">
        <f t="shared" si="592"/>
        <v>1</v>
      </c>
      <c r="AN2649" s="447">
        <f t="shared" si="583"/>
        <v>0</v>
      </c>
      <c r="AO2649"/>
      <c r="AP2649"/>
    </row>
    <row r="2650" spans="1:42" ht="66" x14ac:dyDescent="0.25">
      <c r="A2650" s="9"/>
      <c r="B2650" s="528" t="s">
        <v>3043</v>
      </c>
      <c r="C2650" s="1024"/>
      <c r="D2650" s="882">
        <v>1</v>
      </c>
      <c r="E2650" s="251" t="s">
        <v>1767</v>
      </c>
      <c r="F2650" s="273" t="s">
        <v>3446</v>
      </c>
      <c r="G2650" s="1040" t="s">
        <v>3463</v>
      </c>
      <c r="H2650" s="273" t="s">
        <v>3462</v>
      </c>
      <c r="I2650" s="720">
        <f t="shared" si="593"/>
        <v>1457.25</v>
      </c>
      <c r="J2650" s="756">
        <v>1457.25</v>
      </c>
      <c r="K2650" s="131">
        <f t="shared" ref="K2650:K2713" si="596">+D2650*I2650</f>
        <v>1457.25</v>
      </c>
      <c r="L2650" s="335">
        <f t="shared" si="589"/>
        <v>0</v>
      </c>
      <c r="M2650" s="446"/>
      <c r="N2650" s="446"/>
      <c r="O2650" s="446"/>
      <c r="P2650" s="446"/>
      <c r="Q2650" s="110">
        <v>1</v>
      </c>
      <c r="R2650" s="111">
        <f t="shared" si="587"/>
        <v>364.3125</v>
      </c>
      <c r="S2650" s="110"/>
      <c r="T2650" s="110"/>
      <c r="U2650" s="110">
        <v>0</v>
      </c>
      <c r="V2650" s="111">
        <f t="shared" si="588"/>
        <v>364.3125</v>
      </c>
      <c r="W2650" s="110"/>
      <c r="X2650" s="110"/>
      <c r="Y2650" s="110"/>
      <c r="Z2650" s="110"/>
      <c r="AA2650" s="110">
        <v>0</v>
      </c>
      <c r="AB2650" s="111">
        <f t="shared" si="594"/>
        <v>364.3125</v>
      </c>
      <c r="AC2650" s="110"/>
      <c r="AD2650" s="110"/>
      <c r="AE2650" s="110">
        <v>0</v>
      </c>
      <c r="AF2650" s="111">
        <f t="shared" si="595"/>
        <v>364.3125</v>
      </c>
      <c r="AG2650" s="110"/>
      <c r="AH2650" s="110"/>
      <c r="AI2650" s="110"/>
      <c r="AJ2650" s="110"/>
      <c r="AK2650" s="111">
        <f t="shared" si="590"/>
        <v>1457.25</v>
      </c>
      <c r="AL2650" s="446">
        <f t="shared" si="591"/>
        <v>0</v>
      </c>
      <c r="AM2650" s="110">
        <f t="shared" si="592"/>
        <v>1</v>
      </c>
      <c r="AN2650" s="447">
        <f t="shared" ref="AN2650:AN2713" si="597">+D2650-AM2650</f>
        <v>0</v>
      </c>
      <c r="AO2650"/>
      <c r="AP2650"/>
    </row>
    <row r="2651" spans="1:42" ht="66" x14ac:dyDescent="0.25">
      <c r="A2651" s="9"/>
      <c r="B2651" s="528" t="s">
        <v>3044</v>
      </c>
      <c r="C2651" s="1024"/>
      <c r="D2651" s="882">
        <v>1</v>
      </c>
      <c r="E2651" s="251" t="s">
        <v>1767</v>
      </c>
      <c r="F2651" s="273" t="s">
        <v>3446</v>
      </c>
      <c r="G2651" s="1040" t="s">
        <v>3463</v>
      </c>
      <c r="H2651" s="273" t="s">
        <v>3462</v>
      </c>
      <c r="I2651" s="720">
        <f t="shared" si="593"/>
        <v>687.99600000000009</v>
      </c>
      <c r="J2651" s="756">
        <v>687.99600000000009</v>
      </c>
      <c r="K2651" s="131">
        <f t="shared" si="596"/>
        <v>687.99600000000009</v>
      </c>
      <c r="L2651" s="335">
        <f t="shared" si="589"/>
        <v>0</v>
      </c>
      <c r="M2651" s="446"/>
      <c r="N2651" s="446"/>
      <c r="O2651" s="446"/>
      <c r="P2651" s="446"/>
      <c r="Q2651" s="110">
        <v>1</v>
      </c>
      <c r="R2651" s="111">
        <f t="shared" si="587"/>
        <v>171.99900000000002</v>
      </c>
      <c r="S2651" s="110"/>
      <c r="T2651" s="110"/>
      <c r="U2651" s="110">
        <v>0</v>
      </c>
      <c r="V2651" s="111">
        <f t="shared" si="588"/>
        <v>171.99900000000002</v>
      </c>
      <c r="W2651" s="110"/>
      <c r="X2651" s="110"/>
      <c r="Y2651" s="110"/>
      <c r="Z2651" s="110"/>
      <c r="AA2651" s="110">
        <v>0</v>
      </c>
      <c r="AB2651" s="111">
        <f t="shared" si="594"/>
        <v>171.99900000000002</v>
      </c>
      <c r="AC2651" s="110"/>
      <c r="AD2651" s="110"/>
      <c r="AE2651" s="110">
        <v>0</v>
      </c>
      <c r="AF2651" s="111">
        <f t="shared" si="595"/>
        <v>171.99900000000002</v>
      </c>
      <c r="AG2651" s="110"/>
      <c r="AH2651" s="110"/>
      <c r="AI2651" s="110"/>
      <c r="AJ2651" s="110"/>
      <c r="AK2651" s="111">
        <f t="shared" si="590"/>
        <v>687.99600000000009</v>
      </c>
      <c r="AL2651" s="446">
        <f t="shared" si="591"/>
        <v>0</v>
      </c>
      <c r="AM2651" s="110">
        <f t="shared" si="592"/>
        <v>1</v>
      </c>
      <c r="AN2651" s="447">
        <f t="shared" si="597"/>
        <v>0</v>
      </c>
      <c r="AO2651"/>
      <c r="AP2651"/>
    </row>
    <row r="2652" spans="1:42" ht="66" x14ac:dyDescent="0.25">
      <c r="A2652" s="9"/>
      <c r="B2652" s="234" t="s">
        <v>3045</v>
      </c>
      <c r="C2652" s="1024"/>
      <c r="D2652" s="882">
        <v>1</v>
      </c>
      <c r="E2652" s="251" t="s">
        <v>1767</v>
      </c>
      <c r="F2652" s="273" t="s">
        <v>3446</v>
      </c>
      <c r="G2652" s="1040" t="s">
        <v>3463</v>
      </c>
      <c r="H2652" s="273" t="s">
        <v>3462</v>
      </c>
      <c r="I2652" s="720">
        <f t="shared" si="593"/>
        <v>497.00199999999995</v>
      </c>
      <c r="J2652" s="756">
        <v>497.00199999999995</v>
      </c>
      <c r="K2652" s="131">
        <f t="shared" si="596"/>
        <v>497.00199999999995</v>
      </c>
      <c r="L2652" s="335">
        <f t="shared" si="589"/>
        <v>0</v>
      </c>
      <c r="M2652" s="446"/>
      <c r="N2652" s="446"/>
      <c r="O2652" s="446"/>
      <c r="P2652" s="446"/>
      <c r="Q2652" s="110">
        <v>1</v>
      </c>
      <c r="R2652" s="111">
        <f t="shared" si="587"/>
        <v>124.25049999999999</v>
      </c>
      <c r="S2652" s="110"/>
      <c r="T2652" s="110"/>
      <c r="U2652" s="110">
        <v>0</v>
      </c>
      <c r="V2652" s="111">
        <f t="shared" si="588"/>
        <v>124.25049999999999</v>
      </c>
      <c r="W2652" s="110"/>
      <c r="X2652" s="110"/>
      <c r="Y2652" s="110"/>
      <c r="Z2652" s="110"/>
      <c r="AA2652" s="110">
        <v>0</v>
      </c>
      <c r="AB2652" s="111">
        <f t="shared" si="594"/>
        <v>124.25049999999999</v>
      </c>
      <c r="AC2652" s="110"/>
      <c r="AD2652" s="110"/>
      <c r="AE2652" s="110">
        <v>0</v>
      </c>
      <c r="AF2652" s="111">
        <f t="shared" si="595"/>
        <v>124.25049999999999</v>
      </c>
      <c r="AG2652" s="110"/>
      <c r="AH2652" s="110"/>
      <c r="AI2652" s="110"/>
      <c r="AJ2652" s="110"/>
      <c r="AK2652" s="111">
        <f t="shared" si="590"/>
        <v>497.00199999999995</v>
      </c>
      <c r="AL2652" s="446">
        <f t="shared" si="591"/>
        <v>0</v>
      </c>
      <c r="AM2652" s="110">
        <f t="shared" si="592"/>
        <v>1</v>
      </c>
      <c r="AN2652" s="447">
        <f t="shared" si="597"/>
        <v>0</v>
      </c>
      <c r="AO2652"/>
      <c r="AP2652"/>
    </row>
    <row r="2653" spans="1:42" x14ac:dyDescent="0.25">
      <c r="A2653" s="9"/>
      <c r="B2653" s="49"/>
      <c r="C2653" s="1024"/>
      <c r="D2653" s="869"/>
      <c r="E2653" s="1027"/>
      <c r="F2653" s="272"/>
      <c r="G2653" s="272"/>
      <c r="H2653" s="272"/>
      <c r="I2653" s="720"/>
      <c r="J2653" s="756"/>
      <c r="K2653" s="131">
        <f t="shared" si="596"/>
        <v>0</v>
      </c>
      <c r="L2653" s="335">
        <f t="shared" si="589"/>
        <v>0</v>
      </c>
      <c r="M2653" s="446"/>
      <c r="N2653" s="446"/>
      <c r="O2653" s="446"/>
      <c r="P2653" s="446"/>
      <c r="Q2653" s="110">
        <f t="shared" si="585"/>
        <v>0</v>
      </c>
      <c r="R2653" s="111">
        <f t="shared" si="587"/>
        <v>0</v>
      </c>
      <c r="S2653" s="110"/>
      <c r="T2653" s="110"/>
      <c r="U2653" s="110">
        <f t="shared" si="586"/>
        <v>0</v>
      </c>
      <c r="V2653" s="111">
        <f t="shared" si="588"/>
        <v>0</v>
      </c>
      <c r="W2653" s="110"/>
      <c r="X2653" s="110"/>
      <c r="Y2653" s="110"/>
      <c r="Z2653" s="110"/>
      <c r="AA2653" s="110">
        <f t="shared" si="584"/>
        <v>0</v>
      </c>
      <c r="AB2653" s="111">
        <f t="shared" si="594"/>
        <v>0</v>
      </c>
      <c r="AC2653" s="110"/>
      <c r="AD2653" s="110"/>
      <c r="AE2653" s="110">
        <f t="shared" si="584"/>
        <v>0</v>
      </c>
      <c r="AF2653" s="111">
        <f t="shared" si="595"/>
        <v>0</v>
      </c>
      <c r="AG2653" s="110"/>
      <c r="AH2653" s="110"/>
      <c r="AI2653" s="110"/>
      <c r="AJ2653" s="110"/>
      <c r="AK2653" s="111">
        <f t="shared" si="590"/>
        <v>0</v>
      </c>
      <c r="AL2653" s="446">
        <f t="shared" si="591"/>
        <v>0</v>
      </c>
      <c r="AM2653" s="110">
        <f t="shared" si="592"/>
        <v>0</v>
      </c>
      <c r="AN2653" s="447">
        <f t="shared" si="597"/>
        <v>0</v>
      </c>
      <c r="AO2653"/>
      <c r="AP2653"/>
    </row>
    <row r="2654" spans="1:42" ht="22.5" x14ac:dyDescent="0.25">
      <c r="A2654" s="310">
        <v>25302</v>
      </c>
      <c r="B2654" s="375" t="s">
        <v>3046</v>
      </c>
      <c r="C2654" s="311"/>
      <c r="D2654" s="902"/>
      <c r="E2654" s="312"/>
      <c r="F2654" s="313"/>
      <c r="G2654" s="313"/>
      <c r="H2654" s="313"/>
      <c r="I2654" s="729"/>
      <c r="J2654" s="800"/>
      <c r="K2654" s="131">
        <f t="shared" si="596"/>
        <v>0</v>
      </c>
      <c r="L2654" s="335">
        <f t="shared" si="589"/>
        <v>0</v>
      </c>
      <c r="M2654" s="446"/>
      <c r="N2654" s="446"/>
      <c r="O2654" s="446"/>
      <c r="P2654" s="446"/>
      <c r="Q2654" s="110">
        <f t="shared" si="585"/>
        <v>0</v>
      </c>
      <c r="R2654" s="111">
        <f t="shared" si="587"/>
        <v>0</v>
      </c>
      <c r="S2654" s="110"/>
      <c r="T2654" s="110"/>
      <c r="U2654" s="110">
        <f t="shared" si="586"/>
        <v>0</v>
      </c>
      <c r="V2654" s="111">
        <f t="shared" si="588"/>
        <v>0</v>
      </c>
      <c r="W2654" s="110"/>
      <c r="X2654" s="110"/>
      <c r="Y2654" s="110"/>
      <c r="Z2654" s="110"/>
      <c r="AA2654" s="110">
        <f t="shared" si="584"/>
        <v>0</v>
      </c>
      <c r="AB2654" s="111">
        <f t="shared" si="594"/>
        <v>0</v>
      </c>
      <c r="AC2654" s="110"/>
      <c r="AD2654" s="110"/>
      <c r="AE2654" s="110">
        <f t="shared" si="584"/>
        <v>0</v>
      </c>
      <c r="AF2654" s="111">
        <f t="shared" si="595"/>
        <v>0</v>
      </c>
      <c r="AG2654" s="110"/>
      <c r="AH2654" s="110"/>
      <c r="AI2654" s="110"/>
      <c r="AJ2654" s="110"/>
      <c r="AK2654" s="111">
        <f t="shared" si="590"/>
        <v>0</v>
      </c>
      <c r="AL2654" s="446">
        <f t="shared" si="591"/>
        <v>0</v>
      </c>
      <c r="AM2654" s="110">
        <f t="shared" si="592"/>
        <v>0</v>
      </c>
      <c r="AN2654" s="447">
        <f t="shared" si="597"/>
        <v>0</v>
      </c>
      <c r="AO2654" s="436">
        <f>SUM(J2655:J2675)</f>
        <v>5326.5599999999995</v>
      </c>
      <c r="AP2654" s="111"/>
    </row>
    <row r="2655" spans="1:42" ht="66" x14ac:dyDescent="0.25">
      <c r="A2655" s="9"/>
      <c r="B2655" s="234" t="s">
        <v>3047</v>
      </c>
      <c r="C2655" s="6"/>
      <c r="D2655" s="882">
        <v>12</v>
      </c>
      <c r="E2655" s="251" t="s">
        <v>1767</v>
      </c>
      <c r="F2655" s="273" t="s">
        <v>3446</v>
      </c>
      <c r="G2655" s="1040" t="s">
        <v>3463</v>
      </c>
      <c r="H2655" s="273" t="s">
        <v>3462</v>
      </c>
      <c r="I2655" s="720">
        <f t="shared" ref="I2655:I2675" si="598">+J2655/D2655</f>
        <v>18.36</v>
      </c>
      <c r="J2655" s="756">
        <v>220.32</v>
      </c>
      <c r="K2655" s="131">
        <f t="shared" si="596"/>
        <v>220.32</v>
      </c>
      <c r="L2655" s="335">
        <f t="shared" si="589"/>
        <v>0</v>
      </c>
      <c r="M2655" s="446"/>
      <c r="N2655" s="446"/>
      <c r="O2655" s="446"/>
      <c r="P2655" s="446"/>
      <c r="Q2655" s="110">
        <f t="shared" si="585"/>
        <v>3</v>
      </c>
      <c r="R2655" s="111">
        <f t="shared" si="587"/>
        <v>55.08</v>
      </c>
      <c r="S2655" s="110"/>
      <c r="T2655" s="110"/>
      <c r="U2655" s="110">
        <f t="shared" si="586"/>
        <v>3</v>
      </c>
      <c r="V2655" s="111">
        <f t="shared" si="588"/>
        <v>55.08</v>
      </c>
      <c r="W2655" s="110"/>
      <c r="X2655" s="110"/>
      <c r="Y2655" s="110"/>
      <c r="Z2655" s="110"/>
      <c r="AA2655" s="110">
        <f t="shared" si="584"/>
        <v>3</v>
      </c>
      <c r="AB2655" s="111">
        <f t="shared" si="594"/>
        <v>55.08</v>
      </c>
      <c r="AC2655" s="110"/>
      <c r="AD2655" s="110"/>
      <c r="AE2655" s="110">
        <f t="shared" si="584"/>
        <v>3</v>
      </c>
      <c r="AF2655" s="111">
        <f t="shared" si="595"/>
        <v>55.08</v>
      </c>
      <c r="AG2655" s="110"/>
      <c r="AH2655" s="110"/>
      <c r="AI2655" s="110"/>
      <c r="AJ2655" s="110"/>
      <c r="AK2655" s="111">
        <f t="shared" si="590"/>
        <v>220.32</v>
      </c>
      <c r="AL2655" s="446">
        <f t="shared" si="591"/>
        <v>0</v>
      </c>
      <c r="AM2655" s="110">
        <f t="shared" si="592"/>
        <v>12</v>
      </c>
      <c r="AN2655" s="447">
        <f t="shared" si="597"/>
        <v>0</v>
      </c>
      <c r="AO2655"/>
      <c r="AP2655"/>
    </row>
    <row r="2656" spans="1:42" ht="66" x14ac:dyDescent="0.25">
      <c r="A2656" s="9"/>
      <c r="B2656" s="234" t="s">
        <v>3048</v>
      </c>
      <c r="C2656" s="6"/>
      <c r="D2656" s="882">
        <v>12</v>
      </c>
      <c r="E2656" s="251" t="s">
        <v>1767</v>
      </c>
      <c r="F2656" s="273" t="s">
        <v>3446</v>
      </c>
      <c r="G2656" s="1040" t="s">
        <v>3463</v>
      </c>
      <c r="H2656" s="273" t="s">
        <v>3462</v>
      </c>
      <c r="I2656" s="720">
        <f t="shared" si="598"/>
        <v>41.04</v>
      </c>
      <c r="J2656" s="756">
        <v>492.48</v>
      </c>
      <c r="K2656" s="131">
        <f t="shared" si="596"/>
        <v>492.48</v>
      </c>
      <c r="L2656" s="335">
        <f t="shared" si="589"/>
        <v>0</v>
      </c>
      <c r="M2656" s="446"/>
      <c r="N2656" s="446"/>
      <c r="O2656" s="446"/>
      <c r="P2656" s="446"/>
      <c r="Q2656" s="110">
        <f t="shared" si="585"/>
        <v>3</v>
      </c>
      <c r="R2656" s="111">
        <f t="shared" si="587"/>
        <v>123.12</v>
      </c>
      <c r="S2656" s="110"/>
      <c r="T2656" s="110"/>
      <c r="U2656" s="110">
        <f t="shared" si="586"/>
        <v>3</v>
      </c>
      <c r="V2656" s="111">
        <f t="shared" si="588"/>
        <v>123.12</v>
      </c>
      <c r="W2656" s="110"/>
      <c r="X2656" s="110"/>
      <c r="Y2656" s="110"/>
      <c r="Z2656" s="110"/>
      <c r="AA2656" s="110">
        <f t="shared" si="584"/>
        <v>3</v>
      </c>
      <c r="AB2656" s="111">
        <f t="shared" si="594"/>
        <v>123.12</v>
      </c>
      <c r="AC2656" s="110"/>
      <c r="AD2656" s="110"/>
      <c r="AE2656" s="110">
        <f t="shared" si="584"/>
        <v>3</v>
      </c>
      <c r="AF2656" s="111">
        <f t="shared" si="595"/>
        <v>123.12</v>
      </c>
      <c r="AG2656" s="110"/>
      <c r="AH2656" s="110"/>
      <c r="AI2656" s="110"/>
      <c r="AJ2656" s="110"/>
      <c r="AK2656" s="111">
        <f t="shared" si="590"/>
        <v>492.48</v>
      </c>
      <c r="AL2656" s="446">
        <f t="shared" si="591"/>
        <v>0</v>
      </c>
      <c r="AM2656" s="110">
        <f t="shared" si="592"/>
        <v>12</v>
      </c>
      <c r="AN2656" s="447">
        <f t="shared" si="597"/>
        <v>0</v>
      </c>
      <c r="AO2656"/>
      <c r="AP2656"/>
    </row>
    <row r="2657" spans="1:42" ht="66" x14ac:dyDescent="0.25">
      <c r="A2657" s="9"/>
      <c r="B2657" s="234" t="s">
        <v>3049</v>
      </c>
      <c r="C2657" s="6"/>
      <c r="D2657" s="882">
        <v>12</v>
      </c>
      <c r="E2657" s="251" t="s">
        <v>1767</v>
      </c>
      <c r="F2657" s="273" t="s">
        <v>3446</v>
      </c>
      <c r="G2657" s="1040" t="s">
        <v>3463</v>
      </c>
      <c r="H2657" s="273" t="s">
        <v>3462</v>
      </c>
      <c r="I2657" s="720">
        <f t="shared" si="598"/>
        <v>28.350000000000005</v>
      </c>
      <c r="J2657" s="756">
        <v>340.20000000000005</v>
      </c>
      <c r="K2657" s="131">
        <f t="shared" si="596"/>
        <v>340.20000000000005</v>
      </c>
      <c r="L2657" s="335">
        <f t="shared" si="589"/>
        <v>0</v>
      </c>
      <c r="M2657" s="446"/>
      <c r="N2657" s="446"/>
      <c r="O2657" s="446"/>
      <c r="P2657" s="446"/>
      <c r="Q2657" s="110">
        <f t="shared" si="585"/>
        <v>3</v>
      </c>
      <c r="R2657" s="111">
        <f t="shared" si="587"/>
        <v>85.050000000000011</v>
      </c>
      <c r="S2657" s="110"/>
      <c r="T2657" s="110"/>
      <c r="U2657" s="110">
        <f t="shared" si="586"/>
        <v>3</v>
      </c>
      <c r="V2657" s="111">
        <f t="shared" si="588"/>
        <v>85.050000000000011</v>
      </c>
      <c r="W2657" s="110"/>
      <c r="X2657" s="110"/>
      <c r="Y2657" s="110"/>
      <c r="Z2657" s="110"/>
      <c r="AA2657" s="110">
        <f t="shared" si="584"/>
        <v>3</v>
      </c>
      <c r="AB2657" s="111">
        <f t="shared" si="594"/>
        <v>85.050000000000011</v>
      </c>
      <c r="AC2657" s="110"/>
      <c r="AD2657" s="110"/>
      <c r="AE2657" s="110">
        <f t="shared" si="584"/>
        <v>3</v>
      </c>
      <c r="AF2657" s="111">
        <f t="shared" si="595"/>
        <v>85.050000000000011</v>
      </c>
      <c r="AG2657" s="110"/>
      <c r="AH2657" s="110"/>
      <c r="AI2657" s="110"/>
      <c r="AJ2657" s="110"/>
      <c r="AK2657" s="111">
        <f t="shared" si="590"/>
        <v>340.20000000000005</v>
      </c>
      <c r="AL2657" s="446">
        <f t="shared" si="591"/>
        <v>0</v>
      </c>
      <c r="AM2657" s="110">
        <f t="shared" si="592"/>
        <v>12</v>
      </c>
      <c r="AN2657" s="447">
        <f t="shared" si="597"/>
        <v>0</v>
      </c>
      <c r="AO2657"/>
      <c r="AP2657"/>
    </row>
    <row r="2658" spans="1:42" ht="66" x14ac:dyDescent="0.25">
      <c r="A2658" s="9"/>
      <c r="B2658" s="234" t="s">
        <v>3050</v>
      </c>
      <c r="C2658" s="6"/>
      <c r="D2658" s="882">
        <v>12</v>
      </c>
      <c r="E2658" s="251" t="s">
        <v>1767</v>
      </c>
      <c r="F2658" s="273" t="s">
        <v>3446</v>
      </c>
      <c r="G2658" s="1040" t="s">
        <v>3463</v>
      </c>
      <c r="H2658" s="273" t="s">
        <v>3462</v>
      </c>
      <c r="I2658" s="720">
        <f t="shared" si="598"/>
        <v>19.440000000000001</v>
      </c>
      <c r="J2658" s="756">
        <v>233.28000000000003</v>
      </c>
      <c r="K2658" s="131">
        <f t="shared" si="596"/>
        <v>233.28000000000003</v>
      </c>
      <c r="L2658" s="335">
        <f t="shared" si="589"/>
        <v>0</v>
      </c>
      <c r="M2658" s="446"/>
      <c r="N2658" s="446"/>
      <c r="O2658" s="446"/>
      <c r="P2658" s="446"/>
      <c r="Q2658" s="110">
        <f t="shared" si="585"/>
        <v>3</v>
      </c>
      <c r="R2658" s="111">
        <f t="shared" si="587"/>
        <v>58.320000000000007</v>
      </c>
      <c r="S2658" s="110"/>
      <c r="T2658" s="110"/>
      <c r="U2658" s="110">
        <f t="shared" si="586"/>
        <v>3</v>
      </c>
      <c r="V2658" s="111">
        <f t="shared" si="588"/>
        <v>58.320000000000007</v>
      </c>
      <c r="W2658" s="110"/>
      <c r="X2658" s="110"/>
      <c r="Y2658" s="110"/>
      <c r="Z2658" s="110"/>
      <c r="AA2658" s="110">
        <f t="shared" si="584"/>
        <v>3</v>
      </c>
      <c r="AB2658" s="111">
        <f t="shared" si="594"/>
        <v>58.320000000000007</v>
      </c>
      <c r="AC2658" s="110"/>
      <c r="AD2658" s="110"/>
      <c r="AE2658" s="110">
        <f t="shared" si="584"/>
        <v>3</v>
      </c>
      <c r="AF2658" s="111">
        <f t="shared" si="595"/>
        <v>58.320000000000007</v>
      </c>
      <c r="AG2658" s="110"/>
      <c r="AH2658" s="110"/>
      <c r="AI2658" s="110"/>
      <c r="AJ2658" s="110"/>
      <c r="AK2658" s="111">
        <f t="shared" si="590"/>
        <v>233.28000000000003</v>
      </c>
      <c r="AL2658" s="446">
        <f t="shared" si="591"/>
        <v>0</v>
      </c>
      <c r="AM2658" s="110">
        <f t="shared" si="592"/>
        <v>12</v>
      </c>
      <c r="AN2658" s="447">
        <f t="shared" si="597"/>
        <v>0</v>
      </c>
      <c r="AO2658"/>
      <c r="AP2658"/>
    </row>
    <row r="2659" spans="1:42" ht="66" x14ac:dyDescent="0.25">
      <c r="A2659" s="9"/>
      <c r="B2659" s="234" t="s">
        <v>3051</v>
      </c>
      <c r="C2659" s="6"/>
      <c r="D2659" s="882">
        <v>12</v>
      </c>
      <c r="E2659" s="251" t="s">
        <v>1767</v>
      </c>
      <c r="F2659" s="273" t="s">
        <v>3446</v>
      </c>
      <c r="G2659" s="1040" t="s">
        <v>3463</v>
      </c>
      <c r="H2659" s="273" t="s">
        <v>3462</v>
      </c>
      <c r="I2659" s="720">
        <f t="shared" si="598"/>
        <v>24.3</v>
      </c>
      <c r="J2659" s="756">
        <v>291.60000000000002</v>
      </c>
      <c r="K2659" s="131">
        <f t="shared" si="596"/>
        <v>291.60000000000002</v>
      </c>
      <c r="L2659" s="335">
        <f t="shared" si="589"/>
        <v>0</v>
      </c>
      <c r="M2659" s="446"/>
      <c r="N2659" s="446"/>
      <c r="O2659" s="446"/>
      <c r="P2659" s="446"/>
      <c r="Q2659" s="110">
        <f t="shared" si="585"/>
        <v>3</v>
      </c>
      <c r="R2659" s="111">
        <f t="shared" si="587"/>
        <v>72.900000000000006</v>
      </c>
      <c r="S2659" s="110"/>
      <c r="T2659" s="110"/>
      <c r="U2659" s="110">
        <f t="shared" si="586"/>
        <v>3</v>
      </c>
      <c r="V2659" s="111">
        <f t="shared" si="588"/>
        <v>72.900000000000006</v>
      </c>
      <c r="W2659" s="110"/>
      <c r="X2659" s="110"/>
      <c r="Y2659" s="110"/>
      <c r="Z2659" s="110"/>
      <c r="AA2659" s="110">
        <f t="shared" si="584"/>
        <v>3</v>
      </c>
      <c r="AB2659" s="111">
        <f t="shared" si="594"/>
        <v>72.900000000000006</v>
      </c>
      <c r="AC2659" s="110"/>
      <c r="AD2659" s="110"/>
      <c r="AE2659" s="110">
        <f t="shared" si="584"/>
        <v>3</v>
      </c>
      <c r="AF2659" s="111">
        <f t="shared" si="595"/>
        <v>72.900000000000006</v>
      </c>
      <c r="AG2659" s="110"/>
      <c r="AH2659" s="110"/>
      <c r="AI2659" s="110"/>
      <c r="AJ2659" s="110"/>
      <c r="AK2659" s="111">
        <f t="shared" si="590"/>
        <v>291.60000000000002</v>
      </c>
      <c r="AL2659" s="446">
        <f t="shared" si="591"/>
        <v>0</v>
      </c>
      <c r="AM2659" s="110">
        <f t="shared" si="592"/>
        <v>12</v>
      </c>
      <c r="AN2659" s="447">
        <f t="shared" si="597"/>
        <v>0</v>
      </c>
      <c r="AO2659"/>
      <c r="AP2659"/>
    </row>
    <row r="2660" spans="1:42" ht="66" x14ac:dyDescent="0.25">
      <c r="A2660" s="9"/>
      <c r="B2660" s="234" t="s">
        <v>3052</v>
      </c>
      <c r="C2660" s="6"/>
      <c r="D2660" s="882">
        <v>12</v>
      </c>
      <c r="E2660" s="251" t="s">
        <v>1767</v>
      </c>
      <c r="F2660" s="273" t="s">
        <v>3446</v>
      </c>
      <c r="G2660" s="1040" t="s">
        <v>3463</v>
      </c>
      <c r="H2660" s="273" t="s">
        <v>3462</v>
      </c>
      <c r="I2660" s="720">
        <f t="shared" si="598"/>
        <v>7.2900000000000018</v>
      </c>
      <c r="J2660" s="756">
        <v>87.480000000000018</v>
      </c>
      <c r="K2660" s="131">
        <f t="shared" si="596"/>
        <v>87.480000000000018</v>
      </c>
      <c r="L2660" s="335">
        <f t="shared" si="589"/>
        <v>0</v>
      </c>
      <c r="M2660" s="446"/>
      <c r="N2660" s="446"/>
      <c r="O2660" s="446"/>
      <c r="P2660" s="446"/>
      <c r="Q2660" s="110">
        <f t="shared" si="585"/>
        <v>3</v>
      </c>
      <c r="R2660" s="111">
        <f t="shared" si="587"/>
        <v>21.870000000000005</v>
      </c>
      <c r="S2660" s="110"/>
      <c r="T2660" s="110"/>
      <c r="U2660" s="110">
        <f t="shared" si="586"/>
        <v>3</v>
      </c>
      <c r="V2660" s="111">
        <f t="shared" si="588"/>
        <v>21.870000000000005</v>
      </c>
      <c r="W2660" s="110"/>
      <c r="X2660" s="110"/>
      <c r="Y2660" s="110"/>
      <c r="Z2660" s="110"/>
      <c r="AA2660" s="110">
        <f t="shared" si="584"/>
        <v>3</v>
      </c>
      <c r="AB2660" s="111">
        <f t="shared" si="594"/>
        <v>21.870000000000005</v>
      </c>
      <c r="AC2660" s="110"/>
      <c r="AD2660" s="110"/>
      <c r="AE2660" s="110">
        <f t="shared" si="584"/>
        <v>3</v>
      </c>
      <c r="AF2660" s="111">
        <f t="shared" si="595"/>
        <v>21.870000000000005</v>
      </c>
      <c r="AG2660" s="110"/>
      <c r="AH2660" s="110"/>
      <c r="AI2660" s="110"/>
      <c r="AJ2660" s="110"/>
      <c r="AK2660" s="111">
        <f t="shared" si="590"/>
        <v>87.480000000000018</v>
      </c>
      <c r="AL2660" s="446">
        <f t="shared" si="591"/>
        <v>0</v>
      </c>
      <c r="AM2660" s="110">
        <f t="shared" si="592"/>
        <v>12</v>
      </c>
      <c r="AN2660" s="447">
        <f t="shared" si="597"/>
        <v>0</v>
      </c>
      <c r="AO2660"/>
      <c r="AP2660"/>
    </row>
    <row r="2661" spans="1:42" ht="66" x14ac:dyDescent="0.25">
      <c r="A2661" s="9"/>
      <c r="B2661" s="234" t="s">
        <v>3053</v>
      </c>
      <c r="C2661" s="6"/>
      <c r="D2661" s="882">
        <v>12</v>
      </c>
      <c r="E2661" s="251" t="s">
        <v>1767</v>
      </c>
      <c r="F2661" s="273" t="s">
        <v>3446</v>
      </c>
      <c r="G2661" s="1040" t="s">
        <v>3463</v>
      </c>
      <c r="H2661" s="273" t="s">
        <v>3462</v>
      </c>
      <c r="I2661" s="720">
        <f t="shared" si="598"/>
        <v>28.350000000000005</v>
      </c>
      <c r="J2661" s="756">
        <v>340.20000000000005</v>
      </c>
      <c r="K2661" s="131">
        <f t="shared" si="596"/>
        <v>340.20000000000005</v>
      </c>
      <c r="L2661" s="335">
        <f t="shared" si="589"/>
        <v>0</v>
      </c>
      <c r="M2661" s="446"/>
      <c r="N2661" s="446"/>
      <c r="O2661" s="446"/>
      <c r="P2661" s="446"/>
      <c r="Q2661" s="110">
        <f t="shared" si="585"/>
        <v>3</v>
      </c>
      <c r="R2661" s="111">
        <f t="shared" si="587"/>
        <v>85.050000000000011</v>
      </c>
      <c r="S2661" s="110"/>
      <c r="T2661" s="110"/>
      <c r="U2661" s="110">
        <f t="shared" si="586"/>
        <v>3</v>
      </c>
      <c r="V2661" s="111">
        <f t="shared" si="588"/>
        <v>85.050000000000011</v>
      </c>
      <c r="W2661" s="110"/>
      <c r="X2661" s="110"/>
      <c r="Y2661" s="110"/>
      <c r="Z2661" s="110"/>
      <c r="AA2661" s="110">
        <f t="shared" si="584"/>
        <v>3</v>
      </c>
      <c r="AB2661" s="111">
        <f t="shared" si="594"/>
        <v>85.050000000000011</v>
      </c>
      <c r="AC2661" s="110"/>
      <c r="AD2661" s="110"/>
      <c r="AE2661" s="110">
        <f t="shared" si="584"/>
        <v>3</v>
      </c>
      <c r="AF2661" s="111">
        <f t="shared" si="595"/>
        <v>85.050000000000011</v>
      </c>
      <c r="AG2661" s="110"/>
      <c r="AH2661" s="110"/>
      <c r="AI2661" s="110"/>
      <c r="AJ2661" s="110"/>
      <c r="AK2661" s="111">
        <f t="shared" si="590"/>
        <v>340.20000000000005</v>
      </c>
      <c r="AL2661" s="446">
        <f t="shared" si="591"/>
        <v>0</v>
      </c>
      <c r="AM2661" s="110">
        <f t="shared" si="592"/>
        <v>12</v>
      </c>
      <c r="AN2661" s="447">
        <f t="shared" si="597"/>
        <v>0</v>
      </c>
      <c r="AO2661"/>
      <c r="AP2661"/>
    </row>
    <row r="2662" spans="1:42" ht="66" x14ac:dyDescent="0.25">
      <c r="A2662" s="9"/>
      <c r="B2662" s="234" t="s">
        <v>3054</v>
      </c>
      <c r="C2662" s="6"/>
      <c r="D2662" s="882">
        <v>12</v>
      </c>
      <c r="E2662" s="251" t="s">
        <v>1767</v>
      </c>
      <c r="F2662" s="273" t="s">
        <v>3446</v>
      </c>
      <c r="G2662" s="1040" t="s">
        <v>3463</v>
      </c>
      <c r="H2662" s="273" t="s">
        <v>3462</v>
      </c>
      <c r="I2662" s="720">
        <f t="shared" si="598"/>
        <v>20.52</v>
      </c>
      <c r="J2662" s="756">
        <v>246.24</v>
      </c>
      <c r="K2662" s="131">
        <f t="shared" si="596"/>
        <v>246.24</v>
      </c>
      <c r="L2662" s="335">
        <f t="shared" si="589"/>
        <v>0</v>
      </c>
      <c r="M2662" s="446"/>
      <c r="N2662" s="446"/>
      <c r="O2662" s="446"/>
      <c r="P2662" s="446"/>
      <c r="Q2662" s="110">
        <f t="shared" si="585"/>
        <v>3</v>
      </c>
      <c r="R2662" s="111">
        <f t="shared" si="587"/>
        <v>61.56</v>
      </c>
      <c r="S2662" s="110"/>
      <c r="T2662" s="110"/>
      <c r="U2662" s="110">
        <f t="shared" si="586"/>
        <v>3</v>
      </c>
      <c r="V2662" s="111">
        <f t="shared" si="588"/>
        <v>61.56</v>
      </c>
      <c r="W2662" s="110"/>
      <c r="X2662" s="110"/>
      <c r="Y2662" s="110"/>
      <c r="Z2662" s="110"/>
      <c r="AA2662" s="110">
        <f t="shared" si="584"/>
        <v>3</v>
      </c>
      <c r="AB2662" s="111">
        <f t="shared" si="594"/>
        <v>61.56</v>
      </c>
      <c r="AC2662" s="110"/>
      <c r="AD2662" s="110"/>
      <c r="AE2662" s="110">
        <f t="shared" si="584"/>
        <v>3</v>
      </c>
      <c r="AF2662" s="111">
        <f t="shared" si="595"/>
        <v>61.56</v>
      </c>
      <c r="AG2662" s="110"/>
      <c r="AH2662" s="110"/>
      <c r="AI2662" s="110"/>
      <c r="AJ2662" s="110"/>
      <c r="AK2662" s="111">
        <f t="shared" si="590"/>
        <v>246.24</v>
      </c>
      <c r="AL2662" s="446">
        <f t="shared" si="591"/>
        <v>0</v>
      </c>
      <c r="AM2662" s="110">
        <f t="shared" si="592"/>
        <v>12</v>
      </c>
      <c r="AN2662" s="447">
        <f t="shared" si="597"/>
        <v>0</v>
      </c>
      <c r="AO2662"/>
      <c r="AP2662"/>
    </row>
    <row r="2663" spans="1:42" ht="66" x14ac:dyDescent="0.25">
      <c r="A2663" s="9"/>
      <c r="B2663" s="234" t="s">
        <v>3055</v>
      </c>
      <c r="C2663" s="6"/>
      <c r="D2663" s="882">
        <v>12</v>
      </c>
      <c r="E2663" s="251" t="s">
        <v>1767</v>
      </c>
      <c r="F2663" s="273" t="s">
        <v>3446</v>
      </c>
      <c r="G2663" s="1040" t="s">
        <v>3463</v>
      </c>
      <c r="H2663" s="273" t="s">
        <v>3462</v>
      </c>
      <c r="I2663" s="720">
        <f t="shared" si="598"/>
        <v>20.52</v>
      </c>
      <c r="J2663" s="756">
        <v>246.24</v>
      </c>
      <c r="K2663" s="131">
        <f t="shared" si="596"/>
        <v>246.24</v>
      </c>
      <c r="L2663" s="335">
        <f t="shared" si="589"/>
        <v>0</v>
      </c>
      <c r="M2663" s="446"/>
      <c r="N2663" s="446"/>
      <c r="O2663" s="446"/>
      <c r="P2663" s="446"/>
      <c r="Q2663" s="110">
        <f t="shared" si="585"/>
        <v>3</v>
      </c>
      <c r="R2663" s="111">
        <f t="shared" si="587"/>
        <v>61.56</v>
      </c>
      <c r="S2663" s="110"/>
      <c r="T2663" s="110"/>
      <c r="U2663" s="110">
        <f t="shared" si="586"/>
        <v>3</v>
      </c>
      <c r="V2663" s="111">
        <f t="shared" si="588"/>
        <v>61.56</v>
      </c>
      <c r="W2663" s="110"/>
      <c r="X2663" s="110"/>
      <c r="Y2663" s="110"/>
      <c r="Z2663" s="110"/>
      <c r="AA2663" s="110">
        <f t="shared" si="584"/>
        <v>3</v>
      </c>
      <c r="AB2663" s="111">
        <f t="shared" si="594"/>
        <v>61.56</v>
      </c>
      <c r="AC2663" s="110"/>
      <c r="AD2663" s="110"/>
      <c r="AE2663" s="110">
        <f t="shared" si="584"/>
        <v>3</v>
      </c>
      <c r="AF2663" s="111">
        <f t="shared" si="595"/>
        <v>61.56</v>
      </c>
      <c r="AG2663" s="110"/>
      <c r="AH2663" s="110"/>
      <c r="AI2663" s="110"/>
      <c r="AJ2663" s="110"/>
      <c r="AK2663" s="111">
        <f t="shared" si="590"/>
        <v>246.24</v>
      </c>
      <c r="AL2663" s="446">
        <f t="shared" si="591"/>
        <v>0</v>
      </c>
      <c r="AM2663" s="110">
        <f t="shared" si="592"/>
        <v>12</v>
      </c>
      <c r="AN2663" s="447">
        <f t="shared" si="597"/>
        <v>0</v>
      </c>
      <c r="AO2663"/>
      <c r="AP2663"/>
    </row>
    <row r="2664" spans="1:42" ht="66" x14ac:dyDescent="0.25">
      <c r="A2664" s="9"/>
      <c r="B2664" s="234" t="s">
        <v>3056</v>
      </c>
      <c r="C2664" s="6"/>
      <c r="D2664" s="882">
        <v>12</v>
      </c>
      <c r="E2664" s="251" t="s">
        <v>1767</v>
      </c>
      <c r="F2664" s="273" t="s">
        <v>3446</v>
      </c>
      <c r="G2664" s="1040" t="s">
        <v>3463</v>
      </c>
      <c r="H2664" s="273" t="s">
        <v>3462</v>
      </c>
      <c r="I2664" s="720">
        <f t="shared" si="598"/>
        <v>35.64</v>
      </c>
      <c r="J2664" s="756">
        <v>427.68</v>
      </c>
      <c r="K2664" s="131">
        <f t="shared" si="596"/>
        <v>427.68</v>
      </c>
      <c r="L2664" s="335">
        <f t="shared" si="589"/>
        <v>0</v>
      </c>
      <c r="M2664" s="446"/>
      <c r="N2664" s="446"/>
      <c r="O2664" s="446"/>
      <c r="P2664" s="446"/>
      <c r="Q2664" s="110">
        <f t="shared" si="585"/>
        <v>3</v>
      </c>
      <c r="R2664" s="111">
        <f t="shared" si="587"/>
        <v>106.92</v>
      </c>
      <c r="S2664" s="110"/>
      <c r="T2664" s="110"/>
      <c r="U2664" s="110">
        <f t="shared" si="586"/>
        <v>3</v>
      </c>
      <c r="V2664" s="111">
        <f t="shared" si="588"/>
        <v>106.92</v>
      </c>
      <c r="W2664" s="110"/>
      <c r="X2664" s="110"/>
      <c r="Y2664" s="110"/>
      <c r="Z2664" s="110"/>
      <c r="AA2664" s="110">
        <f t="shared" si="584"/>
        <v>3</v>
      </c>
      <c r="AB2664" s="111">
        <f t="shared" si="594"/>
        <v>106.92</v>
      </c>
      <c r="AC2664" s="110"/>
      <c r="AD2664" s="110"/>
      <c r="AE2664" s="110">
        <f t="shared" si="584"/>
        <v>3</v>
      </c>
      <c r="AF2664" s="111">
        <f t="shared" si="595"/>
        <v>106.92</v>
      </c>
      <c r="AG2664" s="110"/>
      <c r="AH2664" s="110"/>
      <c r="AI2664" s="110"/>
      <c r="AJ2664" s="110"/>
      <c r="AK2664" s="111">
        <f t="shared" si="590"/>
        <v>427.68</v>
      </c>
      <c r="AL2664" s="446">
        <f t="shared" si="591"/>
        <v>0</v>
      </c>
      <c r="AM2664" s="110">
        <f t="shared" si="592"/>
        <v>12</v>
      </c>
      <c r="AN2664" s="447">
        <f t="shared" si="597"/>
        <v>0</v>
      </c>
      <c r="AO2664"/>
      <c r="AP2664"/>
    </row>
    <row r="2665" spans="1:42" ht="66" x14ac:dyDescent="0.25">
      <c r="A2665" s="9"/>
      <c r="B2665" s="234" t="s">
        <v>3057</v>
      </c>
      <c r="C2665" s="6"/>
      <c r="D2665" s="882">
        <v>12</v>
      </c>
      <c r="E2665" s="251" t="s">
        <v>1767</v>
      </c>
      <c r="F2665" s="273" t="s">
        <v>3446</v>
      </c>
      <c r="G2665" s="1040" t="s">
        <v>3463</v>
      </c>
      <c r="H2665" s="273" t="s">
        <v>3462</v>
      </c>
      <c r="I2665" s="720">
        <f t="shared" si="598"/>
        <v>12.96</v>
      </c>
      <c r="J2665" s="756">
        <v>155.52000000000001</v>
      </c>
      <c r="K2665" s="131">
        <f t="shared" si="596"/>
        <v>155.52000000000001</v>
      </c>
      <c r="L2665" s="335">
        <f t="shared" si="589"/>
        <v>0</v>
      </c>
      <c r="M2665" s="446"/>
      <c r="N2665" s="446"/>
      <c r="O2665" s="446"/>
      <c r="P2665" s="446"/>
      <c r="Q2665" s="110">
        <f t="shared" si="585"/>
        <v>3</v>
      </c>
      <c r="R2665" s="111">
        <f t="shared" si="587"/>
        <v>38.880000000000003</v>
      </c>
      <c r="S2665" s="110"/>
      <c r="T2665" s="110"/>
      <c r="U2665" s="110">
        <f t="shared" si="586"/>
        <v>3</v>
      </c>
      <c r="V2665" s="111">
        <f t="shared" si="588"/>
        <v>38.880000000000003</v>
      </c>
      <c r="W2665" s="110"/>
      <c r="X2665" s="110"/>
      <c r="Y2665" s="110"/>
      <c r="Z2665" s="110"/>
      <c r="AA2665" s="110">
        <f t="shared" si="584"/>
        <v>3</v>
      </c>
      <c r="AB2665" s="111">
        <f t="shared" si="594"/>
        <v>38.880000000000003</v>
      </c>
      <c r="AC2665" s="110"/>
      <c r="AD2665" s="110"/>
      <c r="AE2665" s="110">
        <f t="shared" si="584"/>
        <v>3</v>
      </c>
      <c r="AF2665" s="111">
        <f t="shared" si="595"/>
        <v>38.880000000000003</v>
      </c>
      <c r="AG2665" s="110"/>
      <c r="AH2665" s="110"/>
      <c r="AI2665" s="110"/>
      <c r="AJ2665" s="110"/>
      <c r="AK2665" s="111">
        <f t="shared" si="590"/>
        <v>155.52000000000001</v>
      </c>
      <c r="AL2665" s="446">
        <f t="shared" si="591"/>
        <v>0</v>
      </c>
      <c r="AM2665" s="110">
        <f t="shared" si="592"/>
        <v>12</v>
      </c>
      <c r="AN2665" s="447">
        <f t="shared" si="597"/>
        <v>0</v>
      </c>
      <c r="AO2665"/>
      <c r="AP2665"/>
    </row>
    <row r="2666" spans="1:42" ht="66" x14ac:dyDescent="0.25">
      <c r="A2666" s="9"/>
      <c r="B2666" s="234" t="s">
        <v>3058</v>
      </c>
      <c r="C2666" s="6"/>
      <c r="D2666" s="882">
        <v>12</v>
      </c>
      <c r="E2666" s="251" t="s">
        <v>1767</v>
      </c>
      <c r="F2666" s="273" t="s">
        <v>3446</v>
      </c>
      <c r="G2666" s="1040" t="s">
        <v>3463</v>
      </c>
      <c r="H2666" s="273" t="s">
        <v>3462</v>
      </c>
      <c r="I2666" s="720">
        <f t="shared" si="598"/>
        <v>20.52</v>
      </c>
      <c r="J2666" s="756">
        <v>246.24</v>
      </c>
      <c r="K2666" s="131">
        <f t="shared" si="596"/>
        <v>246.24</v>
      </c>
      <c r="L2666" s="335">
        <f t="shared" si="589"/>
        <v>0</v>
      </c>
      <c r="M2666" s="446"/>
      <c r="N2666" s="446"/>
      <c r="O2666" s="446"/>
      <c r="P2666" s="446"/>
      <c r="Q2666" s="110">
        <f t="shared" si="585"/>
        <v>3</v>
      </c>
      <c r="R2666" s="111">
        <f t="shared" si="587"/>
        <v>61.56</v>
      </c>
      <c r="S2666" s="110"/>
      <c r="T2666" s="110"/>
      <c r="U2666" s="110">
        <f t="shared" si="586"/>
        <v>3</v>
      </c>
      <c r="V2666" s="111">
        <f t="shared" si="588"/>
        <v>61.56</v>
      </c>
      <c r="W2666" s="110"/>
      <c r="X2666" s="110"/>
      <c r="Y2666" s="110"/>
      <c r="Z2666" s="110"/>
      <c r="AA2666" s="110">
        <f t="shared" ref="AA2666:AE2704" si="599">+$D2666/4</f>
        <v>3</v>
      </c>
      <c r="AB2666" s="111">
        <f t="shared" si="594"/>
        <v>61.56</v>
      </c>
      <c r="AC2666" s="110"/>
      <c r="AD2666" s="110"/>
      <c r="AE2666" s="110">
        <f t="shared" si="599"/>
        <v>3</v>
      </c>
      <c r="AF2666" s="111">
        <f t="shared" si="595"/>
        <v>61.56</v>
      </c>
      <c r="AG2666" s="110"/>
      <c r="AH2666" s="110"/>
      <c r="AI2666" s="110"/>
      <c r="AJ2666" s="110"/>
      <c r="AK2666" s="111">
        <f t="shared" si="590"/>
        <v>246.24</v>
      </c>
      <c r="AL2666" s="446">
        <f t="shared" si="591"/>
        <v>0</v>
      </c>
      <c r="AM2666" s="110">
        <f t="shared" si="592"/>
        <v>12</v>
      </c>
      <c r="AN2666" s="447">
        <f t="shared" si="597"/>
        <v>0</v>
      </c>
      <c r="AO2666"/>
      <c r="AP2666"/>
    </row>
    <row r="2667" spans="1:42" ht="66" x14ac:dyDescent="0.25">
      <c r="A2667" s="9"/>
      <c r="B2667" s="234" t="s">
        <v>3059</v>
      </c>
      <c r="C2667" s="9"/>
      <c r="D2667" s="882">
        <v>12</v>
      </c>
      <c r="E2667" s="251" t="s">
        <v>1767</v>
      </c>
      <c r="F2667" s="273" t="s">
        <v>3446</v>
      </c>
      <c r="G2667" s="1040" t="s">
        <v>3463</v>
      </c>
      <c r="H2667" s="273" t="s">
        <v>3462</v>
      </c>
      <c r="I2667" s="720">
        <f t="shared" si="598"/>
        <v>8.1000000000000014</v>
      </c>
      <c r="J2667" s="756">
        <v>97.200000000000017</v>
      </c>
      <c r="K2667" s="131">
        <f t="shared" si="596"/>
        <v>97.200000000000017</v>
      </c>
      <c r="L2667" s="335">
        <f t="shared" si="589"/>
        <v>0</v>
      </c>
      <c r="M2667" s="446"/>
      <c r="N2667" s="446"/>
      <c r="O2667" s="446"/>
      <c r="P2667" s="446"/>
      <c r="Q2667" s="110">
        <f t="shared" si="585"/>
        <v>3</v>
      </c>
      <c r="R2667" s="111">
        <f t="shared" si="587"/>
        <v>24.300000000000004</v>
      </c>
      <c r="S2667" s="110"/>
      <c r="T2667" s="110"/>
      <c r="U2667" s="110">
        <f t="shared" si="586"/>
        <v>3</v>
      </c>
      <c r="V2667" s="111">
        <f t="shared" si="588"/>
        <v>24.300000000000004</v>
      </c>
      <c r="W2667" s="110"/>
      <c r="X2667" s="110"/>
      <c r="Y2667" s="110"/>
      <c r="Z2667" s="110"/>
      <c r="AA2667" s="110">
        <f t="shared" si="599"/>
        <v>3</v>
      </c>
      <c r="AB2667" s="111">
        <f t="shared" si="594"/>
        <v>24.300000000000004</v>
      </c>
      <c r="AC2667" s="110"/>
      <c r="AD2667" s="110"/>
      <c r="AE2667" s="110">
        <f t="shared" si="599"/>
        <v>3</v>
      </c>
      <c r="AF2667" s="111">
        <f t="shared" si="595"/>
        <v>24.300000000000004</v>
      </c>
      <c r="AG2667" s="110"/>
      <c r="AH2667" s="110"/>
      <c r="AI2667" s="110"/>
      <c r="AJ2667" s="110"/>
      <c r="AK2667" s="111">
        <f t="shared" si="590"/>
        <v>97.200000000000017</v>
      </c>
      <c r="AL2667" s="446">
        <f t="shared" si="591"/>
        <v>0</v>
      </c>
      <c r="AM2667" s="110">
        <f t="shared" si="592"/>
        <v>12</v>
      </c>
      <c r="AN2667" s="447">
        <f t="shared" si="597"/>
        <v>0</v>
      </c>
      <c r="AO2667"/>
      <c r="AP2667"/>
    </row>
    <row r="2668" spans="1:42" ht="66" x14ac:dyDescent="0.25">
      <c r="A2668" s="9"/>
      <c r="B2668" s="234" t="s">
        <v>3060</v>
      </c>
      <c r="C2668" s="6"/>
      <c r="D2668" s="882">
        <v>12</v>
      </c>
      <c r="E2668" s="251" t="s">
        <v>1767</v>
      </c>
      <c r="F2668" s="273" t="s">
        <v>3446</v>
      </c>
      <c r="G2668" s="1040" t="s">
        <v>3463</v>
      </c>
      <c r="H2668" s="273" t="s">
        <v>3462</v>
      </c>
      <c r="I2668" s="720">
        <f t="shared" si="598"/>
        <v>32.4</v>
      </c>
      <c r="J2668" s="756">
        <v>388.79999999999995</v>
      </c>
      <c r="K2668" s="131">
        <f t="shared" si="596"/>
        <v>388.79999999999995</v>
      </c>
      <c r="L2668" s="335">
        <f t="shared" si="589"/>
        <v>0</v>
      </c>
      <c r="M2668" s="446"/>
      <c r="N2668" s="446"/>
      <c r="O2668" s="446"/>
      <c r="P2668" s="446"/>
      <c r="Q2668" s="110">
        <f t="shared" si="585"/>
        <v>3</v>
      </c>
      <c r="R2668" s="111">
        <f t="shared" si="587"/>
        <v>97.199999999999989</v>
      </c>
      <c r="S2668" s="110"/>
      <c r="T2668" s="110"/>
      <c r="U2668" s="110">
        <f t="shared" si="586"/>
        <v>3</v>
      </c>
      <c r="V2668" s="111">
        <f t="shared" si="588"/>
        <v>97.199999999999989</v>
      </c>
      <c r="W2668" s="110"/>
      <c r="X2668" s="110"/>
      <c r="Y2668" s="110"/>
      <c r="Z2668" s="110"/>
      <c r="AA2668" s="110">
        <f t="shared" si="599"/>
        <v>3</v>
      </c>
      <c r="AB2668" s="111">
        <f t="shared" si="594"/>
        <v>97.199999999999989</v>
      </c>
      <c r="AC2668" s="110"/>
      <c r="AD2668" s="110"/>
      <c r="AE2668" s="110">
        <f t="shared" si="599"/>
        <v>3</v>
      </c>
      <c r="AF2668" s="111">
        <f t="shared" si="595"/>
        <v>97.199999999999989</v>
      </c>
      <c r="AG2668" s="110"/>
      <c r="AH2668" s="110"/>
      <c r="AI2668" s="110"/>
      <c r="AJ2668" s="110"/>
      <c r="AK2668" s="111">
        <f t="shared" si="590"/>
        <v>388.79999999999995</v>
      </c>
      <c r="AL2668" s="446">
        <f t="shared" si="591"/>
        <v>0</v>
      </c>
      <c r="AM2668" s="110">
        <f t="shared" si="592"/>
        <v>12</v>
      </c>
      <c r="AN2668" s="447">
        <f t="shared" si="597"/>
        <v>0</v>
      </c>
      <c r="AO2668"/>
      <c r="AP2668"/>
    </row>
    <row r="2669" spans="1:42" ht="66" x14ac:dyDescent="0.25">
      <c r="A2669" s="9"/>
      <c r="B2669" s="234" t="s">
        <v>3061</v>
      </c>
      <c r="C2669" s="6"/>
      <c r="D2669" s="882">
        <v>12</v>
      </c>
      <c r="E2669" s="251" t="s">
        <v>1767</v>
      </c>
      <c r="F2669" s="273" t="s">
        <v>3446</v>
      </c>
      <c r="G2669" s="1040" t="s">
        <v>3463</v>
      </c>
      <c r="H2669" s="273" t="s">
        <v>3462</v>
      </c>
      <c r="I2669" s="720">
        <f t="shared" si="598"/>
        <v>15.12</v>
      </c>
      <c r="J2669" s="756">
        <v>181.44</v>
      </c>
      <c r="K2669" s="131">
        <f t="shared" si="596"/>
        <v>181.44</v>
      </c>
      <c r="L2669" s="335">
        <f t="shared" si="589"/>
        <v>0</v>
      </c>
      <c r="M2669" s="446"/>
      <c r="N2669" s="446"/>
      <c r="O2669" s="446"/>
      <c r="P2669" s="446"/>
      <c r="Q2669" s="110">
        <f t="shared" si="585"/>
        <v>3</v>
      </c>
      <c r="R2669" s="111">
        <f t="shared" si="587"/>
        <v>45.36</v>
      </c>
      <c r="S2669" s="110"/>
      <c r="T2669" s="110"/>
      <c r="U2669" s="110">
        <f t="shared" si="586"/>
        <v>3</v>
      </c>
      <c r="V2669" s="111">
        <f t="shared" si="588"/>
        <v>45.36</v>
      </c>
      <c r="W2669" s="110"/>
      <c r="X2669" s="110"/>
      <c r="Y2669" s="110"/>
      <c r="Z2669" s="110"/>
      <c r="AA2669" s="110">
        <f t="shared" si="599"/>
        <v>3</v>
      </c>
      <c r="AB2669" s="111">
        <f t="shared" si="594"/>
        <v>45.36</v>
      </c>
      <c r="AC2669" s="110"/>
      <c r="AD2669" s="110"/>
      <c r="AE2669" s="110">
        <f t="shared" si="599"/>
        <v>3</v>
      </c>
      <c r="AF2669" s="111">
        <f t="shared" si="595"/>
        <v>45.36</v>
      </c>
      <c r="AG2669" s="110"/>
      <c r="AH2669" s="110"/>
      <c r="AI2669" s="110"/>
      <c r="AJ2669" s="110"/>
      <c r="AK2669" s="111">
        <f t="shared" si="590"/>
        <v>181.44</v>
      </c>
      <c r="AL2669" s="446">
        <f t="shared" si="591"/>
        <v>0</v>
      </c>
      <c r="AM2669" s="110">
        <f t="shared" si="592"/>
        <v>12</v>
      </c>
      <c r="AN2669" s="447">
        <f t="shared" si="597"/>
        <v>0</v>
      </c>
      <c r="AO2669"/>
      <c r="AP2669"/>
    </row>
    <row r="2670" spans="1:42" ht="66" x14ac:dyDescent="0.25">
      <c r="A2670" s="9"/>
      <c r="B2670" s="234" t="s">
        <v>3062</v>
      </c>
      <c r="C2670" s="6"/>
      <c r="D2670" s="882">
        <v>12</v>
      </c>
      <c r="E2670" s="251" t="s">
        <v>1767</v>
      </c>
      <c r="F2670" s="273" t="s">
        <v>3446</v>
      </c>
      <c r="G2670" s="1040" t="s">
        <v>3463</v>
      </c>
      <c r="H2670" s="273" t="s">
        <v>3462</v>
      </c>
      <c r="I2670" s="720">
        <f t="shared" si="598"/>
        <v>24.3</v>
      </c>
      <c r="J2670" s="756">
        <v>291.60000000000002</v>
      </c>
      <c r="K2670" s="131">
        <f t="shared" si="596"/>
        <v>291.60000000000002</v>
      </c>
      <c r="L2670" s="335">
        <f t="shared" si="589"/>
        <v>0</v>
      </c>
      <c r="M2670" s="446"/>
      <c r="N2670" s="446"/>
      <c r="O2670" s="446"/>
      <c r="P2670" s="446"/>
      <c r="Q2670" s="110">
        <f t="shared" ref="Q2670:Q2704" si="600">+$D2670/4</f>
        <v>3</v>
      </c>
      <c r="R2670" s="111">
        <f t="shared" si="587"/>
        <v>72.900000000000006</v>
      </c>
      <c r="S2670" s="110"/>
      <c r="T2670" s="110"/>
      <c r="U2670" s="110">
        <f t="shared" ref="U2670:U2704" si="601">+$D2670/4</f>
        <v>3</v>
      </c>
      <c r="V2670" s="111">
        <f t="shared" si="588"/>
        <v>72.900000000000006</v>
      </c>
      <c r="W2670" s="110"/>
      <c r="X2670" s="110"/>
      <c r="Y2670" s="110"/>
      <c r="Z2670" s="110"/>
      <c r="AA2670" s="110">
        <f t="shared" si="599"/>
        <v>3</v>
      </c>
      <c r="AB2670" s="111">
        <f t="shared" si="594"/>
        <v>72.900000000000006</v>
      </c>
      <c r="AC2670" s="110"/>
      <c r="AD2670" s="110"/>
      <c r="AE2670" s="110">
        <f t="shared" si="599"/>
        <v>3</v>
      </c>
      <c r="AF2670" s="111">
        <f t="shared" si="595"/>
        <v>72.900000000000006</v>
      </c>
      <c r="AG2670" s="110"/>
      <c r="AH2670" s="110"/>
      <c r="AI2670" s="110"/>
      <c r="AJ2670" s="110"/>
      <c r="AK2670" s="111">
        <f t="shared" si="590"/>
        <v>291.60000000000002</v>
      </c>
      <c r="AL2670" s="446">
        <f t="shared" si="591"/>
        <v>0</v>
      </c>
      <c r="AM2670" s="110">
        <f t="shared" si="592"/>
        <v>12</v>
      </c>
      <c r="AN2670" s="447">
        <f t="shared" si="597"/>
        <v>0</v>
      </c>
      <c r="AO2670"/>
      <c r="AP2670"/>
    </row>
    <row r="2671" spans="1:42" ht="66" x14ac:dyDescent="0.25">
      <c r="A2671" s="9"/>
      <c r="B2671" s="234" t="s">
        <v>3063</v>
      </c>
      <c r="C2671" s="6"/>
      <c r="D2671" s="882">
        <v>12</v>
      </c>
      <c r="E2671" s="251" t="s">
        <v>1767</v>
      </c>
      <c r="F2671" s="273" t="s">
        <v>3446</v>
      </c>
      <c r="G2671" s="1040" t="s">
        <v>3463</v>
      </c>
      <c r="H2671" s="273" t="s">
        <v>3462</v>
      </c>
      <c r="I2671" s="720">
        <f t="shared" si="598"/>
        <v>23.49</v>
      </c>
      <c r="J2671" s="756">
        <v>281.88</v>
      </c>
      <c r="K2671" s="131">
        <f t="shared" si="596"/>
        <v>281.88</v>
      </c>
      <c r="L2671" s="335">
        <f t="shared" si="589"/>
        <v>0</v>
      </c>
      <c r="M2671" s="446"/>
      <c r="N2671" s="446"/>
      <c r="O2671" s="446"/>
      <c r="P2671" s="446"/>
      <c r="Q2671" s="110">
        <f t="shared" si="600"/>
        <v>3</v>
      </c>
      <c r="R2671" s="111">
        <f t="shared" ref="R2671:R2734" si="602">+J2671/4</f>
        <v>70.47</v>
      </c>
      <c r="S2671" s="110"/>
      <c r="T2671" s="110"/>
      <c r="U2671" s="110">
        <f t="shared" si="601"/>
        <v>3</v>
      </c>
      <c r="V2671" s="111">
        <f t="shared" ref="V2671:V2734" si="603">+J2671/4</f>
        <v>70.47</v>
      </c>
      <c r="W2671" s="110"/>
      <c r="X2671" s="110"/>
      <c r="Y2671" s="110"/>
      <c r="Z2671" s="110"/>
      <c r="AA2671" s="110">
        <f t="shared" si="599"/>
        <v>3</v>
      </c>
      <c r="AB2671" s="111">
        <f t="shared" si="594"/>
        <v>70.47</v>
      </c>
      <c r="AC2671" s="110"/>
      <c r="AD2671" s="110"/>
      <c r="AE2671" s="110">
        <f t="shared" si="599"/>
        <v>3</v>
      </c>
      <c r="AF2671" s="111">
        <f t="shared" si="595"/>
        <v>70.47</v>
      </c>
      <c r="AG2671" s="110"/>
      <c r="AH2671" s="110"/>
      <c r="AI2671" s="110"/>
      <c r="AJ2671" s="110"/>
      <c r="AK2671" s="111">
        <f t="shared" si="590"/>
        <v>281.88</v>
      </c>
      <c r="AL2671" s="446">
        <f t="shared" si="591"/>
        <v>0</v>
      </c>
      <c r="AM2671" s="110">
        <f t="shared" si="592"/>
        <v>12</v>
      </c>
      <c r="AN2671" s="447">
        <f t="shared" si="597"/>
        <v>0</v>
      </c>
      <c r="AO2671"/>
      <c r="AP2671"/>
    </row>
    <row r="2672" spans="1:42" ht="66" x14ac:dyDescent="0.25">
      <c r="A2672" s="9"/>
      <c r="B2672" s="234" t="s">
        <v>3063</v>
      </c>
      <c r="C2672" s="6"/>
      <c r="D2672" s="882">
        <v>12</v>
      </c>
      <c r="E2672" s="251" t="s">
        <v>1767</v>
      </c>
      <c r="F2672" s="273" t="s">
        <v>3446</v>
      </c>
      <c r="G2672" s="1040" t="s">
        <v>3463</v>
      </c>
      <c r="H2672" s="273" t="s">
        <v>3462</v>
      </c>
      <c r="I2672" s="720">
        <f t="shared" si="598"/>
        <v>23.49</v>
      </c>
      <c r="J2672" s="756">
        <v>281.88</v>
      </c>
      <c r="K2672" s="131">
        <f t="shared" si="596"/>
        <v>281.88</v>
      </c>
      <c r="L2672" s="335">
        <f t="shared" si="589"/>
        <v>0</v>
      </c>
      <c r="M2672" s="446"/>
      <c r="N2672" s="446"/>
      <c r="O2672" s="446"/>
      <c r="P2672" s="446"/>
      <c r="Q2672" s="110">
        <f t="shared" si="600"/>
        <v>3</v>
      </c>
      <c r="R2672" s="111">
        <f t="shared" si="602"/>
        <v>70.47</v>
      </c>
      <c r="S2672" s="110"/>
      <c r="T2672" s="110"/>
      <c r="U2672" s="110">
        <f t="shared" si="601"/>
        <v>3</v>
      </c>
      <c r="V2672" s="111">
        <f t="shared" si="603"/>
        <v>70.47</v>
      </c>
      <c r="W2672" s="110"/>
      <c r="X2672" s="110"/>
      <c r="Y2672" s="110"/>
      <c r="Z2672" s="110"/>
      <c r="AA2672" s="110">
        <f t="shared" si="599"/>
        <v>3</v>
      </c>
      <c r="AB2672" s="111">
        <f t="shared" si="594"/>
        <v>70.47</v>
      </c>
      <c r="AC2672" s="110"/>
      <c r="AD2672" s="110"/>
      <c r="AE2672" s="110">
        <f t="shared" si="599"/>
        <v>3</v>
      </c>
      <c r="AF2672" s="111">
        <f t="shared" si="595"/>
        <v>70.47</v>
      </c>
      <c r="AG2672" s="110"/>
      <c r="AH2672" s="110"/>
      <c r="AI2672" s="110"/>
      <c r="AJ2672" s="110"/>
      <c r="AK2672" s="111">
        <f t="shared" si="590"/>
        <v>281.88</v>
      </c>
      <c r="AL2672" s="446">
        <f t="shared" si="591"/>
        <v>0</v>
      </c>
      <c r="AM2672" s="110">
        <f t="shared" si="592"/>
        <v>12</v>
      </c>
      <c r="AN2672" s="447">
        <f t="shared" si="597"/>
        <v>0</v>
      </c>
      <c r="AO2672"/>
      <c r="AP2672"/>
    </row>
    <row r="2673" spans="1:42" ht="66" x14ac:dyDescent="0.25">
      <c r="A2673" s="9"/>
      <c r="B2673" s="234" t="s">
        <v>3064</v>
      </c>
      <c r="C2673" s="6"/>
      <c r="D2673" s="882">
        <v>12</v>
      </c>
      <c r="E2673" s="251" t="s">
        <v>1767</v>
      </c>
      <c r="F2673" s="273" t="s">
        <v>3446</v>
      </c>
      <c r="G2673" s="1040" t="s">
        <v>3463</v>
      </c>
      <c r="H2673" s="273" t="s">
        <v>3462</v>
      </c>
      <c r="I2673" s="720">
        <f t="shared" si="598"/>
        <v>11.339999999999998</v>
      </c>
      <c r="J2673" s="756">
        <v>136.07999999999998</v>
      </c>
      <c r="K2673" s="131">
        <f t="shared" si="596"/>
        <v>136.07999999999998</v>
      </c>
      <c r="L2673" s="335">
        <f t="shared" si="589"/>
        <v>0</v>
      </c>
      <c r="M2673" s="446"/>
      <c r="N2673" s="446"/>
      <c r="O2673" s="446"/>
      <c r="P2673" s="446"/>
      <c r="Q2673" s="110">
        <f t="shared" si="600"/>
        <v>3</v>
      </c>
      <c r="R2673" s="111">
        <f t="shared" si="602"/>
        <v>34.019999999999996</v>
      </c>
      <c r="S2673" s="110"/>
      <c r="T2673" s="110"/>
      <c r="U2673" s="110">
        <f t="shared" si="601"/>
        <v>3</v>
      </c>
      <c r="V2673" s="111">
        <f t="shared" si="603"/>
        <v>34.019999999999996</v>
      </c>
      <c r="W2673" s="110"/>
      <c r="X2673" s="110"/>
      <c r="Y2673" s="110"/>
      <c r="Z2673" s="110"/>
      <c r="AA2673" s="110">
        <f t="shared" si="599"/>
        <v>3</v>
      </c>
      <c r="AB2673" s="111">
        <f t="shared" si="594"/>
        <v>34.019999999999996</v>
      </c>
      <c r="AC2673" s="110"/>
      <c r="AD2673" s="110"/>
      <c r="AE2673" s="110">
        <f t="shared" si="599"/>
        <v>3</v>
      </c>
      <c r="AF2673" s="111">
        <f t="shared" si="595"/>
        <v>34.019999999999996</v>
      </c>
      <c r="AG2673" s="110"/>
      <c r="AH2673" s="110"/>
      <c r="AI2673" s="110"/>
      <c r="AJ2673" s="110"/>
      <c r="AK2673" s="111">
        <f t="shared" si="590"/>
        <v>136.07999999999998</v>
      </c>
      <c r="AL2673" s="446">
        <f t="shared" si="591"/>
        <v>0</v>
      </c>
      <c r="AM2673" s="110">
        <f t="shared" si="592"/>
        <v>12</v>
      </c>
      <c r="AN2673" s="447">
        <f t="shared" si="597"/>
        <v>0</v>
      </c>
      <c r="AO2673"/>
      <c r="AP2673"/>
    </row>
    <row r="2674" spans="1:42" ht="66" x14ac:dyDescent="0.25">
      <c r="A2674" s="9"/>
      <c r="B2674" s="234" t="s">
        <v>3065</v>
      </c>
      <c r="C2674" s="6"/>
      <c r="D2674" s="882">
        <v>12</v>
      </c>
      <c r="E2674" s="251" t="s">
        <v>1767</v>
      </c>
      <c r="F2674" s="273" t="s">
        <v>3446</v>
      </c>
      <c r="G2674" s="1040" t="s">
        <v>3463</v>
      </c>
      <c r="H2674" s="273" t="s">
        <v>3462</v>
      </c>
      <c r="I2674" s="720">
        <f t="shared" si="598"/>
        <v>19.440000000000001</v>
      </c>
      <c r="J2674" s="756">
        <v>233.28000000000003</v>
      </c>
      <c r="K2674" s="131">
        <f t="shared" si="596"/>
        <v>233.28000000000003</v>
      </c>
      <c r="L2674" s="335">
        <f t="shared" si="589"/>
        <v>0</v>
      </c>
      <c r="M2674" s="446"/>
      <c r="N2674" s="446"/>
      <c r="O2674" s="446"/>
      <c r="P2674" s="446"/>
      <c r="Q2674" s="110">
        <f t="shared" si="600"/>
        <v>3</v>
      </c>
      <c r="R2674" s="111">
        <f t="shared" si="602"/>
        <v>58.320000000000007</v>
      </c>
      <c r="S2674" s="110"/>
      <c r="T2674" s="110"/>
      <c r="U2674" s="110">
        <f t="shared" si="601"/>
        <v>3</v>
      </c>
      <c r="V2674" s="111">
        <f t="shared" si="603"/>
        <v>58.320000000000007</v>
      </c>
      <c r="W2674" s="110"/>
      <c r="X2674" s="110"/>
      <c r="Y2674" s="110"/>
      <c r="Z2674" s="110"/>
      <c r="AA2674" s="110">
        <f t="shared" si="599"/>
        <v>3</v>
      </c>
      <c r="AB2674" s="111">
        <f t="shared" si="594"/>
        <v>58.320000000000007</v>
      </c>
      <c r="AC2674" s="110"/>
      <c r="AD2674" s="110"/>
      <c r="AE2674" s="110">
        <f t="shared" si="599"/>
        <v>3</v>
      </c>
      <c r="AF2674" s="111">
        <f t="shared" si="595"/>
        <v>58.320000000000007</v>
      </c>
      <c r="AG2674" s="110"/>
      <c r="AH2674" s="110"/>
      <c r="AI2674" s="110"/>
      <c r="AJ2674" s="110"/>
      <c r="AK2674" s="111">
        <f t="shared" si="590"/>
        <v>233.28000000000003</v>
      </c>
      <c r="AL2674" s="446">
        <f t="shared" si="591"/>
        <v>0</v>
      </c>
      <c r="AM2674" s="110">
        <f t="shared" si="592"/>
        <v>12</v>
      </c>
      <c r="AN2674" s="447">
        <f t="shared" si="597"/>
        <v>0</v>
      </c>
      <c r="AO2674"/>
      <c r="AP2674"/>
    </row>
    <row r="2675" spans="1:42" ht="66" x14ac:dyDescent="0.25">
      <c r="A2675" s="9"/>
      <c r="B2675" s="234" t="s">
        <v>3066</v>
      </c>
      <c r="C2675" s="6"/>
      <c r="D2675" s="882">
        <v>12</v>
      </c>
      <c r="E2675" s="251" t="s">
        <v>1767</v>
      </c>
      <c r="F2675" s="273" t="s">
        <v>3446</v>
      </c>
      <c r="G2675" s="1040" t="s">
        <v>3463</v>
      </c>
      <c r="H2675" s="273" t="s">
        <v>3462</v>
      </c>
      <c r="I2675" s="720">
        <f t="shared" si="598"/>
        <v>8.91</v>
      </c>
      <c r="J2675" s="756">
        <v>106.92</v>
      </c>
      <c r="K2675" s="131">
        <f t="shared" si="596"/>
        <v>106.92</v>
      </c>
      <c r="L2675" s="335">
        <f t="shared" si="589"/>
        <v>0</v>
      </c>
      <c r="M2675" s="446"/>
      <c r="N2675" s="446"/>
      <c r="O2675" s="446"/>
      <c r="P2675" s="446"/>
      <c r="Q2675" s="110">
        <f t="shared" si="600"/>
        <v>3</v>
      </c>
      <c r="R2675" s="111">
        <f t="shared" si="602"/>
        <v>26.73</v>
      </c>
      <c r="S2675" s="110"/>
      <c r="T2675" s="110"/>
      <c r="U2675" s="110">
        <f t="shared" si="601"/>
        <v>3</v>
      </c>
      <c r="V2675" s="111">
        <f t="shared" si="603"/>
        <v>26.73</v>
      </c>
      <c r="W2675" s="110"/>
      <c r="X2675" s="110"/>
      <c r="Y2675" s="110"/>
      <c r="Z2675" s="110"/>
      <c r="AA2675" s="110">
        <f t="shared" si="599"/>
        <v>3</v>
      </c>
      <c r="AB2675" s="111">
        <f t="shared" si="594"/>
        <v>26.73</v>
      </c>
      <c r="AC2675" s="110"/>
      <c r="AD2675" s="110"/>
      <c r="AE2675" s="110">
        <f t="shared" si="599"/>
        <v>3</v>
      </c>
      <c r="AF2675" s="111">
        <f t="shared" si="595"/>
        <v>26.73</v>
      </c>
      <c r="AG2675" s="110"/>
      <c r="AH2675" s="110"/>
      <c r="AI2675" s="110"/>
      <c r="AJ2675" s="110"/>
      <c r="AK2675" s="111">
        <f t="shared" si="590"/>
        <v>106.92</v>
      </c>
      <c r="AL2675" s="446">
        <f t="shared" si="591"/>
        <v>0</v>
      </c>
      <c r="AM2675" s="110">
        <f t="shared" si="592"/>
        <v>12</v>
      </c>
      <c r="AN2675" s="447">
        <f t="shared" si="597"/>
        <v>0</v>
      </c>
      <c r="AO2675"/>
      <c r="AP2675"/>
    </row>
    <row r="2676" spans="1:42" x14ac:dyDescent="0.25">
      <c r="A2676" s="9"/>
      <c r="B2676" s="64"/>
      <c r="C2676" s="6"/>
      <c r="D2676" s="894"/>
      <c r="E2676" s="138"/>
      <c r="F2676" s="279"/>
      <c r="G2676" s="279"/>
      <c r="H2676" s="279"/>
      <c r="I2676" s="720"/>
      <c r="J2676" s="773"/>
      <c r="K2676" s="131">
        <f t="shared" si="596"/>
        <v>0</v>
      </c>
      <c r="L2676" s="335">
        <f t="shared" ref="L2676:L2739" si="604">+J2676-K2676</f>
        <v>0</v>
      </c>
      <c r="M2676" s="446"/>
      <c r="N2676" s="446"/>
      <c r="O2676" s="446"/>
      <c r="P2676" s="446"/>
      <c r="Q2676" s="110">
        <f t="shared" si="600"/>
        <v>0</v>
      </c>
      <c r="R2676" s="111">
        <f t="shared" si="602"/>
        <v>0</v>
      </c>
      <c r="S2676" s="110"/>
      <c r="T2676" s="110"/>
      <c r="U2676" s="110">
        <f t="shared" si="601"/>
        <v>0</v>
      </c>
      <c r="V2676" s="111">
        <f t="shared" si="603"/>
        <v>0</v>
      </c>
      <c r="W2676" s="110"/>
      <c r="X2676" s="110"/>
      <c r="Y2676" s="110"/>
      <c r="Z2676" s="110"/>
      <c r="AA2676" s="110">
        <f t="shared" si="599"/>
        <v>0</v>
      </c>
      <c r="AB2676" s="111">
        <f t="shared" si="594"/>
        <v>0</v>
      </c>
      <c r="AC2676" s="110"/>
      <c r="AD2676" s="110"/>
      <c r="AE2676" s="110">
        <f t="shared" si="599"/>
        <v>0</v>
      </c>
      <c r="AF2676" s="111">
        <f t="shared" si="595"/>
        <v>0</v>
      </c>
      <c r="AG2676" s="110"/>
      <c r="AH2676" s="110"/>
      <c r="AI2676" s="110"/>
      <c r="AJ2676" s="110"/>
      <c r="AK2676" s="111">
        <f t="shared" ref="AK2676:AK2739" si="605">+R2676+V2676+AB2676+AF2676</f>
        <v>0</v>
      </c>
      <c r="AL2676" s="446">
        <f t="shared" ref="AL2676:AL2739" si="606">+J2676-AK2676</f>
        <v>0</v>
      </c>
      <c r="AM2676" s="110">
        <f t="shared" ref="AM2676:AM2739" si="607">+Q2676+U2676+AA2676+AE2676</f>
        <v>0</v>
      </c>
      <c r="AN2676" s="447">
        <f t="shared" si="597"/>
        <v>0</v>
      </c>
      <c r="AO2676"/>
      <c r="AP2676"/>
    </row>
    <row r="2677" spans="1:42" x14ac:dyDescent="0.25">
      <c r="A2677" s="6">
        <v>254</v>
      </c>
      <c r="B2677" s="553" t="s">
        <v>629</v>
      </c>
      <c r="C2677" s="7"/>
      <c r="D2677" s="917"/>
      <c r="E2677" s="1030"/>
      <c r="F2677" s="268"/>
      <c r="G2677" s="268"/>
      <c r="H2677" s="268"/>
      <c r="I2677" s="720"/>
      <c r="J2677" s="801"/>
      <c r="K2677" s="131">
        <f t="shared" si="596"/>
        <v>0</v>
      </c>
      <c r="L2677" s="335">
        <f t="shared" si="604"/>
        <v>0</v>
      </c>
      <c r="M2677" s="446"/>
      <c r="N2677" s="446"/>
      <c r="O2677" s="446"/>
      <c r="P2677" s="446"/>
      <c r="Q2677" s="110">
        <f t="shared" si="600"/>
        <v>0</v>
      </c>
      <c r="R2677" s="111">
        <f t="shared" si="602"/>
        <v>0</v>
      </c>
      <c r="S2677" s="110"/>
      <c r="T2677" s="110"/>
      <c r="U2677" s="110">
        <f t="shared" si="601"/>
        <v>0</v>
      </c>
      <c r="V2677" s="111">
        <f t="shared" si="603"/>
        <v>0</v>
      </c>
      <c r="W2677" s="110"/>
      <c r="X2677" s="110"/>
      <c r="Y2677" s="110"/>
      <c r="Z2677" s="110"/>
      <c r="AA2677" s="110">
        <f t="shared" si="599"/>
        <v>0</v>
      </c>
      <c r="AB2677" s="111">
        <f t="shared" si="594"/>
        <v>0</v>
      </c>
      <c r="AC2677" s="110"/>
      <c r="AD2677" s="110"/>
      <c r="AE2677" s="110">
        <f t="shared" si="599"/>
        <v>0</v>
      </c>
      <c r="AF2677" s="111">
        <f t="shared" si="595"/>
        <v>0</v>
      </c>
      <c r="AG2677" s="110"/>
      <c r="AH2677" s="110"/>
      <c r="AI2677" s="110"/>
      <c r="AJ2677" s="110"/>
      <c r="AK2677" s="111">
        <f t="shared" si="605"/>
        <v>0</v>
      </c>
      <c r="AL2677" s="446">
        <f t="shared" si="606"/>
        <v>0</v>
      </c>
      <c r="AM2677" s="110">
        <f t="shared" si="607"/>
        <v>0</v>
      </c>
      <c r="AN2677" s="447">
        <f t="shared" si="597"/>
        <v>0</v>
      </c>
      <c r="AO2677" s="108"/>
      <c r="AP2677"/>
    </row>
    <row r="2678" spans="1:42" x14ac:dyDescent="0.25">
      <c r="A2678" s="310">
        <v>25401</v>
      </c>
      <c r="B2678" s="375" t="s">
        <v>630</v>
      </c>
      <c r="C2678" s="311"/>
      <c r="D2678" s="902"/>
      <c r="E2678" s="312"/>
      <c r="F2678" s="313"/>
      <c r="G2678" s="313"/>
      <c r="H2678" s="313"/>
      <c r="I2678" s="729"/>
      <c r="J2678" s="800"/>
      <c r="K2678" s="131">
        <f t="shared" si="596"/>
        <v>0</v>
      </c>
      <c r="L2678" s="335">
        <f t="shared" si="604"/>
        <v>0</v>
      </c>
      <c r="M2678" s="446"/>
      <c r="N2678" s="446"/>
      <c r="O2678" s="446"/>
      <c r="P2678" s="446"/>
      <c r="Q2678" s="110">
        <f t="shared" si="600"/>
        <v>0</v>
      </c>
      <c r="R2678" s="111">
        <f t="shared" si="602"/>
        <v>0</v>
      </c>
      <c r="S2678" s="110"/>
      <c r="T2678" s="110"/>
      <c r="U2678" s="110">
        <f t="shared" si="601"/>
        <v>0</v>
      </c>
      <c r="V2678" s="111">
        <f t="shared" si="603"/>
        <v>0</v>
      </c>
      <c r="W2678" s="110"/>
      <c r="X2678" s="110"/>
      <c r="Y2678" s="110"/>
      <c r="Z2678" s="110"/>
      <c r="AA2678" s="110">
        <f t="shared" si="599"/>
        <v>0</v>
      </c>
      <c r="AB2678" s="111">
        <f t="shared" si="594"/>
        <v>0</v>
      </c>
      <c r="AC2678" s="110"/>
      <c r="AD2678" s="110"/>
      <c r="AE2678" s="110">
        <f t="shared" si="599"/>
        <v>0</v>
      </c>
      <c r="AF2678" s="111">
        <f t="shared" si="595"/>
        <v>0</v>
      </c>
      <c r="AG2678" s="110"/>
      <c r="AH2678" s="110"/>
      <c r="AI2678" s="110"/>
      <c r="AJ2678" s="110"/>
      <c r="AK2678" s="111">
        <f t="shared" si="605"/>
        <v>0</v>
      </c>
      <c r="AL2678" s="446">
        <f t="shared" si="606"/>
        <v>0</v>
      </c>
      <c r="AM2678" s="110">
        <f t="shared" si="607"/>
        <v>0</v>
      </c>
      <c r="AN2678" s="447">
        <f t="shared" si="597"/>
        <v>0</v>
      </c>
      <c r="AO2678" s="436">
        <f>SUM(J2679:J2680)</f>
        <v>1246.73</v>
      </c>
      <c r="AP2678" s="111"/>
    </row>
    <row r="2679" spans="1:42" ht="66" x14ac:dyDescent="0.25">
      <c r="A2679" s="9"/>
      <c r="B2679" s="563" t="s">
        <v>631</v>
      </c>
      <c r="C2679" s="1024"/>
      <c r="D2679" s="869">
        <v>1</v>
      </c>
      <c r="E2679" s="1027" t="s">
        <v>1721</v>
      </c>
      <c r="F2679" s="273" t="s">
        <v>3446</v>
      </c>
      <c r="G2679" s="1040" t="s">
        <v>3463</v>
      </c>
      <c r="H2679" s="273" t="s">
        <v>3462</v>
      </c>
      <c r="I2679" s="720">
        <f>+J2679/D2679</f>
        <v>382.73</v>
      </c>
      <c r="J2679" s="756">
        <v>382.73</v>
      </c>
      <c r="K2679" s="131">
        <f t="shared" si="596"/>
        <v>382.73</v>
      </c>
      <c r="L2679" s="335">
        <f t="shared" si="604"/>
        <v>0</v>
      </c>
      <c r="M2679" s="446"/>
      <c r="N2679" s="446"/>
      <c r="O2679" s="446"/>
      <c r="P2679" s="446"/>
      <c r="Q2679" s="110">
        <v>1</v>
      </c>
      <c r="R2679" s="111">
        <f t="shared" si="602"/>
        <v>95.682500000000005</v>
      </c>
      <c r="S2679" s="110"/>
      <c r="T2679" s="110"/>
      <c r="U2679" s="110">
        <v>0</v>
      </c>
      <c r="V2679" s="111">
        <f t="shared" si="603"/>
        <v>95.682500000000005</v>
      </c>
      <c r="W2679" s="110"/>
      <c r="X2679" s="110"/>
      <c r="Y2679" s="110"/>
      <c r="Z2679" s="110"/>
      <c r="AA2679" s="110">
        <v>0</v>
      </c>
      <c r="AB2679" s="111">
        <f t="shared" si="594"/>
        <v>95.682500000000005</v>
      </c>
      <c r="AC2679" s="110"/>
      <c r="AD2679" s="110"/>
      <c r="AE2679" s="110">
        <v>0</v>
      </c>
      <c r="AF2679" s="111">
        <f t="shared" si="595"/>
        <v>95.682500000000005</v>
      </c>
      <c r="AG2679" s="110"/>
      <c r="AH2679" s="110"/>
      <c r="AI2679" s="110"/>
      <c r="AJ2679" s="110"/>
      <c r="AK2679" s="111">
        <f t="shared" si="605"/>
        <v>382.73</v>
      </c>
      <c r="AL2679" s="446">
        <f t="shared" si="606"/>
        <v>0</v>
      </c>
      <c r="AM2679" s="110">
        <f t="shared" si="607"/>
        <v>1</v>
      </c>
      <c r="AN2679" s="447">
        <f t="shared" si="597"/>
        <v>0</v>
      </c>
      <c r="AO2679"/>
      <c r="AP2679"/>
    </row>
    <row r="2680" spans="1:42" ht="66" x14ac:dyDescent="0.25">
      <c r="A2680" s="9"/>
      <c r="B2680" s="528" t="s">
        <v>3067</v>
      </c>
      <c r="C2680" s="1024"/>
      <c r="D2680" s="869">
        <v>1</v>
      </c>
      <c r="E2680" s="1027" t="s">
        <v>1721</v>
      </c>
      <c r="F2680" s="273" t="s">
        <v>3446</v>
      </c>
      <c r="G2680" s="1040" t="s">
        <v>3463</v>
      </c>
      <c r="H2680" s="273" t="s">
        <v>3462</v>
      </c>
      <c r="I2680" s="720">
        <f>+J2680/D2680</f>
        <v>864</v>
      </c>
      <c r="J2680" s="763">
        <v>864</v>
      </c>
      <c r="K2680" s="131">
        <f t="shared" si="596"/>
        <v>864</v>
      </c>
      <c r="L2680" s="335">
        <f t="shared" si="604"/>
        <v>0</v>
      </c>
      <c r="M2680" s="446"/>
      <c r="N2680" s="446"/>
      <c r="O2680" s="446"/>
      <c r="P2680" s="446"/>
      <c r="Q2680" s="110">
        <v>1</v>
      </c>
      <c r="R2680" s="111">
        <f t="shared" si="602"/>
        <v>216</v>
      </c>
      <c r="S2680" s="110"/>
      <c r="T2680" s="110"/>
      <c r="U2680" s="110">
        <v>0</v>
      </c>
      <c r="V2680" s="111">
        <f t="shared" si="603"/>
        <v>216</v>
      </c>
      <c r="W2680" s="110"/>
      <c r="X2680" s="110"/>
      <c r="Y2680" s="110"/>
      <c r="Z2680" s="110"/>
      <c r="AA2680" s="110">
        <v>0</v>
      </c>
      <c r="AB2680" s="111">
        <f t="shared" si="594"/>
        <v>216</v>
      </c>
      <c r="AC2680" s="110"/>
      <c r="AD2680" s="110"/>
      <c r="AE2680" s="110">
        <v>0</v>
      </c>
      <c r="AF2680" s="111">
        <f t="shared" si="595"/>
        <v>216</v>
      </c>
      <c r="AG2680" s="110"/>
      <c r="AH2680" s="110"/>
      <c r="AI2680" s="110"/>
      <c r="AJ2680" s="110"/>
      <c r="AK2680" s="111">
        <f t="shared" si="605"/>
        <v>864</v>
      </c>
      <c r="AL2680" s="446">
        <f t="shared" si="606"/>
        <v>0</v>
      </c>
      <c r="AM2680" s="110">
        <f t="shared" si="607"/>
        <v>1</v>
      </c>
      <c r="AN2680" s="447">
        <f t="shared" si="597"/>
        <v>0</v>
      </c>
      <c r="AO2680"/>
      <c r="AP2680"/>
    </row>
    <row r="2681" spans="1:42" x14ac:dyDescent="0.25">
      <c r="A2681" s="9"/>
      <c r="B2681" s="57"/>
      <c r="C2681" s="9"/>
      <c r="D2681" s="869"/>
      <c r="E2681" s="1027"/>
      <c r="F2681" s="272"/>
      <c r="G2681" s="272"/>
      <c r="H2681" s="272"/>
      <c r="I2681" s="720"/>
      <c r="J2681" s="763"/>
      <c r="K2681" s="131">
        <f t="shared" si="596"/>
        <v>0</v>
      </c>
      <c r="L2681" s="335">
        <f t="shared" si="604"/>
        <v>0</v>
      </c>
      <c r="M2681" s="446"/>
      <c r="N2681" s="446"/>
      <c r="O2681" s="446"/>
      <c r="P2681" s="446"/>
      <c r="Q2681" s="110">
        <f t="shared" si="600"/>
        <v>0</v>
      </c>
      <c r="R2681" s="111">
        <f t="shared" si="602"/>
        <v>0</v>
      </c>
      <c r="S2681" s="110"/>
      <c r="T2681" s="110"/>
      <c r="U2681" s="110">
        <f t="shared" si="601"/>
        <v>0</v>
      </c>
      <c r="V2681" s="111">
        <f t="shared" si="603"/>
        <v>0</v>
      </c>
      <c r="W2681" s="110"/>
      <c r="X2681" s="110"/>
      <c r="Y2681" s="110"/>
      <c r="Z2681" s="110"/>
      <c r="AA2681" s="110">
        <f t="shared" si="599"/>
        <v>0</v>
      </c>
      <c r="AB2681" s="111">
        <f t="shared" si="594"/>
        <v>0</v>
      </c>
      <c r="AC2681" s="110"/>
      <c r="AD2681" s="110"/>
      <c r="AE2681" s="110">
        <f t="shared" si="599"/>
        <v>0</v>
      </c>
      <c r="AF2681" s="111">
        <f t="shared" si="595"/>
        <v>0</v>
      </c>
      <c r="AG2681" s="110"/>
      <c r="AH2681" s="110"/>
      <c r="AI2681" s="110"/>
      <c r="AJ2681" s="110"/>
      <c r="AK2681" s="111">
        <f t="shared" si="605"/>
        <v>0</v>
      </c>
      <c r="AL2681" s="446">
        <f t="shared" si="606"/>
        <v>0</v>
      </c>
      <c r="AM2681" s="110">
        <f t="shared" si="607"/>
        <v>0</v>
      </c>
      <c r="AN2681" s="447">
        <f t="shared" si="597"/>
        <v>0</v>
      </c>
      <c r="AO2681"/>
      <c r="AP2681"/>
    </row>
    <row r="2682" spans="1:42" ht="22.5" x14ac:dyDescent="0.25">
      <c r="A2682" s="310">
        <v>25402</v>
      </c>
      <c r="B2682" s="375" t="s">
        <v>632</v>
      </c>
      <c r="C2682" s="311"/>
      <c r="D2682" s="902"/>
      <c r="E2682" s="312"/>
      <c r="F2682" s="313"/>
      <c r="G2682" s="313"/>
      <c r="H2682" s="313"/>
      <c r="I2682" s="729"/>
      <c r="J2682" s="800"/>
      <c r="K2682" s="131">
        <f t="shared" si="596"/>
        <v>0</v>
      </c>
      <c r="L2682" s="335">
        <f t="shared" si="604"/>
        <v>0</v>
      </c>
      <c r="M2682" s="446"/>
      <c r="N2682" s="446"/>
      <c r="O2682" s="446"/>
      <c r="P2682" s="446"/>
      <c r="Q2682" s="110">
        <f t="shared" si="600"/>
        <v>0</v>
      </c>
      <c r="R2682" s="111">
        <f t="shared" si="602"/>
        <v>0</v>
      </c>
      <c r="S2682" s="110"/>
      <c r="T2682" s="110"/>
      <c r="U2682" s="110">
        <f t="shared" si="601"/>
        <v>0</v>
      </c>
      <c r="V2682" s="111">
        <f t="shared" si="603"/>
        <v>0</v>
      </c>
      <c r="W2682" s="110"/>
      <c r="X2682" s="110"/>
      <c r="Y2682" s="110"/>
      <c r="Z2682" s="110"/>
      <c r="AA2682" s="110">
        <f t="shared" si="599"/>
        <v>0</v>
      </c>
      <c r="AB2682" s="111">
        <f t="shared" si="594"/>
        <v>0</v>
      </c>
      <c r="AC2682" s="110"/>
      <c r="AD2682" s="110"/>
      <c r="AE2682" s="110">
        <f t="shared" si="599"/>
        <v>0</v>
      </c>
      <c r="AF2682" s="111">
        <f t="shared" si="595"/>
        <v>0</v>
      </c>
      <c r="AG2682" s="110"/>
      <c r="AH2682" s="110"/>
      <c r="AI2682" s="110"/>
      <c r="AJ2682" s="110"/>
      <c r="AK2682" s="111">
        <f t="shared" si="605"/>
        <v>0</v>
      </c>
      <c r="AL2682" s="446">
        <f t="shared" si="606"/>
        <v>0</v>
      </c>
      <c r="AM2682" s="110">
        <f t="shared" si="607"/>
        <v>0</v>
      </c>
      <c r="AN2682" s="447">
        <f t="shared" si="597"/>
        <v>0</v>
      </c>
      <c r="AO2682" s="436">
        <f>SUM(J2683:J3112)</f>
        <v>473072.00483439933</v>
      </c>
      <c r="AP2682" s="111"/>
    </row>
    <row r="2683" spans="1:42" ht="66" x14ac:dyDescent="0.25">
      <c r="A2683" s="9"/>
      <c r="B2683" s="128" t="s">
        <v>1463</v>
      </c>
      <c r="C2683" s="1024"/>
      <c r="D2683" s="869">
        <v>2</v>
      </c>
      <c r="E2683" s="1027" t="s">
        <v>1722</v>
      </c>
      <c r="F2683" s="278" t="s">
        <v>3446</v>
      </c>
      <c r="G2683" s="1040" t="s">
        <v>3463</v>
      </c>
      <c r="H2683" s="273" t="s">
        <v>3462</v>
      </c>
      <c r="I2683" s="720">
        <f t="shared" ref="I2683:I2746" si="608">+J2683/D2683</f>
        <v>167.12119999999999</v>
      </c>
      <c r="J2683" s="756">
        <v>334.24239999999998</v>
      </c>
      <c r="K2683" s="131">
        <f t="shared" si="596"/>
        <v>334.24239999999998</v>
      </c>
      <c r="L2683" s="335">
        <f t="shared" si="604"/>
        <v>0</v>
      </c>
      <c r="M2683" s="446"/>
      <c r="N2683" s="446"/>
      <c r="O2683" s="446"/>
      <c r="P2683" s="446"/>
      <c r="Q2683" s="130">
        <v>1</v>
      </c>
      <c r="R2683" s="111">
        <f t="shared" si="602"/>
        <v>83.560599999999994</v>
      </c>
      <c r="S2683" s="110"/>
      <c r="T2683" s="110"/>
      <c r="U2683" s="130">
        <v>1</v>
      </c>
      <c r="V2683" s="111">
        <f t="shared" si="603"/>
        <v>83.560599999999994</v>
      </c>
      <c r="W2683" s="110"/>
      <c r="X2683" s="110"/>
      <c r="Y2683" s="110"/>
      <c r="Z2683" s="110"/>
      <c r="AA2683" s="130">
        <v>0</v>
      </c>
      <c r="AB2683" s="111">
        <f t="shared" si="594"/>
        <v>83.560599999999994</v>
      </c>
      <c r="AC2683" s="110"/>
      <c r="AD2683" s="110"/>
      <c r="AE2683" s="130">
        <v>0</v>
      </c>
      <c r="AF2683" s="111">
        <f t="shared" si="595"/>
        <v>83.560599999999994</v>
      </c>
      <c r="AG2683" s="110"/>
      <c r="AH2683" s="110"/>
      <c r="AI2683" s="110"/>
      <c r="AJ2683" s="110"/>
      <c r="AK2683" s="111">
        <f t="shared" si="605"/>
        <v>334.24239999999998</v>
      </c>
      <c r="AL2683" s="446">
        <f t="shared" si="606"/>
        <v>0</v>
      </c>
      <c r="AM2683" s="110">
        <f t="shared" si="607"/>
        <v>2</v>
      </c>
      <c r="AN2683" s="447">
        <f t="shared" si="597"/>
        <v>0</v>
      </c>
      <c r="AO2683"/>
      <c r="AP2683"/>
    </row>
    <row r="2684" spans="1:42" ht="66" x14ac:dyDescent="0.25">
      <c r="A2684" s="9"/>
      <c r="B2684" s="147" t="s">
        <v>633</v>
      </c>
      <c r="C2684" s="1024"/>
      <c r="D2684" s="869">
        <v>2</v>
      </c>
      <c r="E2684" s="1027"/>
      <c r="F2684" s="273" t="s">
        <v>3446</v>
      </c>
      <c r="G2684" s="1040" t="s">
        <v>3463</v>
      </c>
      <c r="H2684" s="273" t="s">
        <v>3462</v>
      </c>
      <c r="I2684" s="720">
        <f t="shared" si="608"/>
        <v>290.64959999999996</v>
      </c>
      <c r="J2684" s="756">
        <v>581.29919999999993</v>
      </c>
      <c r="K2684" s="131">
        <f t="shared" si="596"/>
        <v>581.29919999999993</v>
      </c>
      <c r="L2684" s="335">
        <f t="shared" si="604"/>
        <v>0</v>
      </c>
      <c r="M2684" s="446"/>
      <c r="N2684" s="446"/>
      <c r="O2684" s="446"/>
      <c r="P2684" s="446"/>
      <c r="Q2684" s="130">
        <v>1</v>
      </c>
      <c r="R2684" s="111">
        <f t="shared" si="602"/>
        <v>145.32479999999998</v>
      </c>
      <c r="S2684" s="110"/>
      <c r="T2684" s="110"/>
      <c r="U2684" s="130">
        <v>1</v>
      </c>
      <c r="V2684" s="111">
        <f t="shared" si="603"/>
        <v>145.32479999999998</v>
      </c>
      <c r="W2684" s="110"/>
      <c r="X2684" s="110"/>
      <c r="Y2684" s="110"/>
      <c r="Z2684" s="110"/>
      <c r="AA2684" s="130">
        <v>0</v>
      </c>
      <c r="AB2684" s="111">
        <f t="shared" si="594"/>
        <v>145.32479999999998</v>
      </c>
      <c r="AC2684" s="110"/>
      <c r="AD2684" s="110"/>
      <c r="AE2684" s="130">
        <v>0</v>
      </c>
      <c r="AF2684" s="111">
        <f t="shared" si="595"/>
        <v>145.32479999999998</v>
      </c>
      <c r="AG2684" s="110"/>
      <c r="AH2684" s="110"/>
      <c r="AI2684" s="110"/>
      <c r="AJ2684" s="110"/>
      <c r="AK2684" s="111">
        <f t="shared" si="605"/>
        <v>581.29919999999993</v>
      </c>
      <c r="AL2684" s="446">
        <f t="shared" si="606"/>
        <v>0</v>
      </c>
      <c r="AM2684" s="110">
        <f t="shared" si="607"/>
        <v>2</v>
      </c>
      <c r="AN2684" s="447">
        <f t="shared" si="597"/>
        <v>0</v>
      </c>
      <c r="AO2684"/>
      <c r="AP2684"/>
    </row>
    <row r="2685" spans="1:42" ht="66" x14ac:dyDescent="0.25">
      <c r="A2685" s="9"/>
      <c r="B2685" s="128" t="s">
        <v>1464</v>
      </c>
      <c r="C2685" s="1024"/>
      <c r="D2685" s="869">
        <v>3</v>
      </c>
      <c r="E2685" s="1027"/>
      <c r="F2685" s="273" t="s">
        <v>3446</v>
      </c>
      <c r="G2685" s="1040" t="s">
        <v>3463</v>
      </c>
      <c r="H2685" s="273" t="s">
        <v>3462</v>
      </c>
      <c r="I2685" s="720">
        <f t="shared" si="608"/>
        <v>50.866000000000007</v>
      </c>
      <c r="J2685" s="756">
        <v>152.59800000000001</v>
      </c>
      <c r="K2685" s="131">
        <f t="shared" si="596"/>
        <v>152.59800000000001</v>
      </c>
      <c r="L2685" s="335">
        <f t="shared" si="604"/>
        <v>0</v>
      </c>
      <c r="M2685" s="446"/>
      <c r="N2685" s="446"/>
      <c r="O2685" s="446"/>
      <c r="P2685" s="446"/>
      <c r="Q2685" s="130">
        <v>1</v>
      </c>
      <c r="R2685" s="111">
        <f t="shared" si="602"/>
        <v>38.149500000000003</v>
      </c>
      <c r="S2685" s="110"/>
      <c r="T2685" s="110"/>
      <c r="U2685" s="130">
        <v>1</v>
      </c>
      <c r="V2685" s="111">
        <f t="shared" si="603"/>
        <v>38.149500000000003</v>
      </c>
      <c r="W2685" s="110"/>
      <c r="X2685" s="110"/>
      <c r="Y2685" s="110"/>
      <c r="Z2685" s="110"/>
      <c r="AA2685" s="130">
        <v>1</v>
      </c>
      <c r="AB2685" s="111">
        <f t="shared" si="594"/>
        <v>38.149500000000003</v>
      </c>
      <c r="AC2685" s="110"/>
      <c r="AD2685" s="110"/>
      <c r="AE2685" s="130">
        <v>0</v>
      </c>
      <c r="AF2685" s="111">
        <f t="shared" si="595"/>
        <v>38.149500000000003</v>
      </c>
      <c r="AG2685" s="110"/>
      <c r="AH2685" s="110"/>
      <c r="AI2685" s="110"/>
      <c r="AJ2685" s="110"/>
      <c r="AK2685" s="111">
        <f t="shared" si="605"/>
        <v>152.59800000000001</v>
      </c>
      <c r="AL2685" s="446">
        <f t="shared" si="606"/>
        <v>0</v>
      </c>
      <c r="AM2685" s="110">
        <f t="shared" si="607"/>
        <v>3</v>
      </c>
      <c r="AN2685" s="447">
        <f t="shared" si="597"/>
        <v>0</v>
      </c>
      <c r="AO2685"/>
      <c r="AP2685"/>
    </row>
    <row r="2686" spans="1:42" ht="66" x14ac:dyDescent="0.25">
      <c r="A2686" s="9"/>
      <c r="B2686" s="128" t="s">
        <v>636</v>
      </c>
      <c r="C2686" s="1024"/>
      <c r="D2686" s="869">
        <v>7</v>
      </c>
      <c r="E2686" s="1027"/>
      <c r="F2686" s="273" t="s">
        <v>3446</v>
      </c>
      <c r="G2686" s="1040" t="s">
        <v>3463</v>
      </c>
      <c r="H2686" s="273" t="s">
        <v>3462</v>
      </c>
      <c r="I2686" s="720">
        <f t="shared" si="608"/>
        <v>101.73199999999999</v>
      </c>
      <c r="J2686" s="756">
        <v>712.12399999999991</v>
      </c>
      <c r="K2686" s="131">
        <f t="shared" si="596"/>
        <v>712.12399999999991</v>
      </c>
      <c r="L2686" s="335">
        <f t="shared" si="604"/>
        <v>0</v>
      </c>
      <c r="M2686" s="446"/>
      <c r="N2686" s="446"/>
      <c r="O2686" s="446"/>
      <c r="P2686" s="446"/>
      <c r="Q2686" s="130">
        <v>2</v>
      </c>
      <c r="R2686" s="111">
        <f t="shared" si="602"/>
        <v>178.03099999999998</v>
      </c>
      <c r="S2686" s="110"/>
      <c r="T2686" s="110"/>
      <c r="U2686" s="130">
        <v>2</v>
      </c>
      <c r="V2686" s="111">
        <f t="shared" si="603"/>
        <v>178.03099999999998</v>
      </c>
      <c r="W2686" s="110"/>
      <c r="X2686" s="110"/>
      <c r="Y2686" s="110"/>
      <c r="Z2686" s="110"/>
      <c r="AA2686" s="130">
        <v>2</v>
      </c>
      <c r="AB2686" s="111">
        <f t="shared" si="594"/>
        <v>178.03099999999998</v>
      </c>
      <c r="AC2686" s="110"/>
      <c r="AD2686" s="110"/>
      <c r="AE2686" s="130">
        <v>1</v>
      </c>
      <c r="AF2686" s="111">
        <f t="shared" si="595"/>
        <v>178.03099999999998</v>
      </c>
      <c r="AG2686" s="110"/>
      <c r="AH2686" s="110"/>
      <c r="AI2686" s="110"/>
      <c r="AJ2686" s="110"/>
      <c r="AK2686" s="111">
        <f t="shared" si="605"/>
        <v>712.12399999999991</v>
      </c>
      <c r="AL2686" s="446">
        <f t="shared" si="606"/>
        <v>0</v>
      </c>
      <c r="AM2686" s="110">
        <f t="shared" si="607"/>
        <v>7</v>
      </c>
      <c r="AN2686" s="447">
        <f t="shared" si="597"/>
        <v>0</v>
      </c>
      <c r="AO2686"/>
      <c r="AP2686"/>
    </row>
    <row r="2687" spans="1:42" ht="66" x14ac:dyDescent="0.25">
      <c r="A2687" s="9"/>
      <c r="B2687" s="147" t="s">
        <v>1465</v>
      </c>
      <c r="C2687" s="1024"/>
      <c r="D2687" s="869">
        <v>2</v>
      </c>
      <c r="E2687" s="1027" t="s">
        <v>1767</v>
      </c>
      <c r="F2687" s="273" t="s">
        <v>3446</v>
      </c>
      <c r="G2687" s="1040" t="s">
        <v>3463</v>
      </c>
      <c r="H2687" s="273" t="s">
        <v>3462</v>
      </c>
      <c r="I2687" s="720">
        <f t="shared" si="608"/>
        <v>119.16679999999999</v>
      </c>
      <c r="J2687" s="756">
        <v>238.33359999999999</v>
      </c>
      <c r="K2687" s="131">
        <f t="shared" si="596"/>
        <v>238.33359999999999</v>
      </c>
      <c r="L2687" s="335">
        <f t="shared" si="604"/>
        <v>0</v>
      </c>
      <c r="M2687" s="446"/>
      <c r="N2687" s="446"/>
      <c r="O2687" s="446"/>
      <c r="P2687" s="446"/>
      <c r="Q2687" s="130">
        <v>1</v>
      </c>
      <c r="R2687" s="111">
        <f t="shared" si="602"/>
        <v>59.583399999999997</v>
      </c>
      <c r="S2687" s="110"/>
      <c r="T2687" s="110"/>
      <c r="U2687" s="130">
        <v>1</v>
      </c>
      <c r="V2687" s="111">
        <f t="shared" si="603"/>
        <v>59.583399999999997</v>
      </c>
      <c r="W2687" s="110"/>
      <c r="X2687" s="110"/>
      <c r="Y2687" s="110"/>
      <c r="Z2687" s="110"/>
      <c r="AA2687" s="130">
        <v>0</v>
      </c>
      <c r="AB2687" s="111">
        <f t="shared" si="594"/>
        <v>59.583399999999997</v>
      </c>
      <c r="AC2687" s="110"/>
      <c r="AD2687" s="110"/>
      <c r="AE2687" s="130">
        <v>0</v>
      </c>
      <c r="AF2687" s="111">
        <f t="shared" si="595"/>
        <v>59.583399999999997</v>
      </c>
      <c r="AG2687" s="110"/>
      <c r="AH2687" s="110"/>
      <c r="AI2687" s="110"/>
      <c r="AJ2687" s="110"/>
      <c r="AK2687" s="111">
        <f t="shared" si="605"/>
        <v>238.33359999999999</v>
      </c>
      <c r="AL2687" s="446">
        <f t="shared" si="606"/>
        <v>0</v>
      </c>
      <c r="AM2687" s="110">
        <f t="shared" si="607"/>
        <v>2</v>
      </c>
      <c r="AN2687" s="447">
        <f t="shared" si="597"/>
        <v>0</v>
      </c>
      <c r="AO2687"/>
      <c r="AP2687"/>
    </row>
    <row r="2688" spans="1:42" ht="66" x14ac:dyDescent="0.25">
      <c r="A2688" s="9"/>
      <c r="B2688" s="147" t="s">
        <v>1466</v>
      </c>
      <c r="C2688" s="1024"/>
      <c r="D2688" s="869">
        <v>10</v>
      </c>
      <c r="E2688" s="1027"/>
      <c r="F2688" s="273" t="s">
        <v>3446</v>
      </c>
      <c r="G2688" s="1040" t="s">
        <v>3463</v>
      </c>
      <c r="H2688" s="273" t="s">
        <v>3462</v>
      </c>
      <c r="I2688" s="720">
        <f t="shared" si="608"/>
        <v>132.23999999999998</v>
      </c>
      <c r="J2688" s="756">
        <v>1322.3999999999999</v>
      </c>
      <c r="K2688" s="131">
        <f t="shared" si="596"/>
        <v>1322.3999999999999</v>
      </c>
      <c r="L2688" s="335">
        <f t="shared" si="604"/>
        <v>0</v>
      </c>
      <c r="M2688" s="446"/>
      <c r="N2688" s="446"/>
      <c r="O2688" s="446"/>
      <c r="P2688" s="446"/>
      <c r="Q2688" s="130">
        <v>3</v>
      </c>
      <c r="R2688" s="111">
        <f t="shared" si="602"/>
        <v>330.59999999999997</v>
      </c>
      <c r="S2688" s="110"/>
      <c r="T2688" s="110"/>
      <c r="U2688" s="130">
        <v>3</v>
      </c>
      <c r="V2688" s="111">
        <f t="shared" si="603"/>
        <v>330.59999999999997</v>
      </c>
      <c r="W2688" s="110"/>
      <c r="X2688" s="110"/>
      <c r="Y2688" s="110"/>
      <c r="Z2688" s="110"/>
      <c r="AA2688" s="130">
        <v>2</v>
      </c>
      <c r="AB2688" s="111">
        <f t="shared" si="594"/>
        <v>330.59999999999997</v>
      </c>
      <c r="AC2688" s="110"/>
      <c r="AD2688" s="110"/>
      <c r="AE2688" s="130">
        <v>2</v>
      </c>
      <c r="AF2688" s="111">
        <f t="shared" si="595"/>
        <v>330.59999999999997</v>
      </c>
      <c r="AG2688" s="110"/>
      <c r="AH2688" s="110"/>
      <c r="AI2688" s="110"/>
      <c r="AJ2688" s="110"/>
      <c r="AK2688" s="111">
        <f t="shared" si="605"/>
        <v>1322.3999999999999</v>
      </c>
      <c r="AL2688" s="446">
        <f t="shared" si="606"/>
        <v>0</v>
      </c>
      <c r="AM2688" s="110">
        <f t="shared" si="607"/>
        <v>10</v>
      </c>
      <c r="AN2688" s="447">
        <f t="shared" si="597"/>
        <v>0</v>
      </c>
      <c r="AO2688"/>
      <c r="AP2688"/>
    </row>
    <row r="2689" spans="1:42" ht="66" x14ac:dyDescent="0.25">
      <c r="A2689" s="9"/>
      <c r="B2689" s="147" t="s">
        <v>1467</v>
      </c>
      <c r="C2689" s="1024"/>
      <c r="D2689" s="869">
        <v>8</v>
      </c>
      <c r="E2689" s="1027"/>
      <c r="F2689" s="273" t="s">
        <v>3446</v>
      </c>
      <c r="G2689" s="1040" t="s">
        <v>3463</v>
      </c>
      <c r="H2689" s="273" t="s">
        <v>3462</v>
      </c>
      <c r="I2689" s="720">
        <f t="shared" si="608"/>
        <v>101.732</v>
      </c>
      <c r="J2689" s="756">
        <v>813.85599999999999</v>
      </c>
      <c r="K2689" s="131">
        <f t="shared" si="596"/>
        <v>813.85599999999999</v>
      </c>
      <c r="L2689" s="335">
        <f t="shared" si="604"/>
        <v>0</v>
      </c>
      <c r="M2689" s="446"/>
      <c r="N2689" s="446"/>
      <c r="O2689" s="446"/>
      <c r="P2689" s="446"/>
      <c r="Q2689" s="110">
        <f t="shared" si="600"/>
        <v>2</v>
      </c>
      <c r="R2689" s="111">
        <f t="shared" si="602"/>
        <v>203.464</v>
      </c>
      <c r="S2689" s="110"/>
      <c r="T2689" s="110"/>
      <c r="U2689" s="110">
        <f t="shared" si="601"/>
        <v>2</v>
      </c>
      <c r="V2689" s="111">
        <f t="shared" si="603"/>
        <v>203.464</v>
      </c>
      <c r="W2689" s="110"/>
      <c r="X2689" s="110"/>
      <c r="Y2689" s="110"/>
      <c r="Z2689" s="110"/>
      <c r="AA2689" s="110">
        <f t="shared" si="599"/>
        <v>2</v>
      </c>
      <c r="AB2689" s="111">
        <f t="shared" si="594"/>
        <v>203.464</v>
      </c>
      <c r="AC2689" s="110"/>
      <c r="AD2689" s="110"/>
      <c r="AE2689" s="110">
        <f t="shared" si="599"/>
        <v>2</v>
      </c>
      <c r="AF2689" s="111">
        <f t="shared" si="595"/>
        <v>203.464</v>
      </c>
      <c r="AG2689" s="110"/>
      <c r="AH2689" s="110"/>
      <c r="AI2689" s="110"/>
      <c r="AJ2689" s="110"/>
      <c r="AK2689" s="111">
        <f t="shared" si="605"/>
        <v>813.85599999999999</v>
      </c>
      <c r="AL2689" s="446">
        <f t="shared" si="606"/>
        <v>0</v>
      </c>
      <c r="AM2689" s="110">
        <f t="shared" si="607"/>
        <v>8</v>
      </c>
      <c r="AN2689" s="447">
        <f t="shared" si="597"/>
        <v>0</v>
      </c>
      <c r="AO2689"/>
      <c r="AP2689"/>
    </row>
    <row r="2690" spans="1:42" ht="66" x14ac:dyDescent="0.25">
      <c r="A2690" s="9"/>
      <c r="B2690" s="147" t="s">
        <v>1468</v>
      </c>
      <c r="C2690" s="1024"/>
      <c r="D2690" s="869">
        <v>1</v>
      </c>
      <c r="E2690" s="1027"/>
      <c r="F2690" s="273" t="s">
        <v>3446</v>
      </c>
      <c r="G2690" s="1040" t="s">
        <v>3463</v>
      </c>
      <c r="H2690" s="273" t="s">
        <v>3462</v>
      </c>
      <c r="I2690" s="720">
        <f t="shared" si="608"/>
        <v>451.23999999999995</v>
      </c>
      <c r="J2690" s="756">
        <v>451.23999999999995</v>
      </c>
      <c r="K2690" s="131">
        <f t="shared" si="596"/>
        <v>451.23999999999995</v>
      </c>
      <c r="L2690" s="335">
        <f t="shared" si="604"/>
        <v>0</v>
      </c>
      <c r="M2690" s="446"/>
      <c r="N2690" s="446"/>
      <c r="O2690" s="446"/>
      <c r="P2690" s="446"/>
      <c r="Q2690" s="110">
        <v>1</v>
      </c>
      <c r="R2690" s="111">
        <f t="shared" si="602"/>
        <v>112.80999999999999</v>
      </c>
      <c r="S2690" s="110"/>
      <c r="T2690" s="110"/>
      <c r="U2690" s="110">
        <v>0</v>
      </c>
      <c r="V2690" s="111">
        <f t="shared" si="603"/>
        <v>112.80999999999999</v>
      </c>
      <c r="W2690" s="110"/>
      <c r="X2690" s="110"/>
      <c r="Y2690" s="110"/>
      <c r="Z2690" s="110"/>
      <c r="AA2690" s="110">
        <v>0</v>
      </c>
      <c r="AB2690" s="111">
        <f t="shared" si="594"/>
        <v>112.80999999999999</v>
      </c>
      <c r="AC2690" s="110"/>
      <c r="AD2690" s="110"/>
      <c r="AE2690" s="110">
        <v>0</v>
      </c>
      <c r="AF2690" s="111">
        <f t="shared" si="595"/>
        <v>112.80999999999999</v>
      </c>
      <c r="AG2690" s="110"/>
      <c r="AH2690" s="110"/>
      <c r="AI2690" s="110"/>
      <c r="AJ2690" s="110"/>
      <c r="AK2690" s="111">
        <f t="shared" si="605"/>
        <v>451.23999999999995</v>
      </c>
      <c r="AL2690" s="446">
        <f t="shared" si="606"/>
        <v>0</v>
      </c>
      <c r="AM2690" s="110">
        <f t="shared" si="607"/>
        <v>1</v>
      </c>
      <c r="AN2690" s="447">
        <f t="shared" si="597"/>
        <v>0</v>
      </c>
      <c r="AO2690"/>
      <c r="AP2690"/>
    </row>
    <row r="2691" spans="1:42" ht="66" x14ac:dyDescent="0.25">
      <c r="A2691" s="9"/>
      <c r="B2691" s="147" t="s">
        <v>1469</v>
      </c>
      <c r="C2691" s="1024"/>
      <c r="D2691" s="869">
        <v>6</v>
      </c>
      <c r="E2691" s="1027"/>
      <c r="F2691" s="273" t="s">
        <v>3446</v>
      </c>
      <c r="G2691" s="1040" t="s">
        <v>3463</v>
      </c>
      <c r="H2691" s="273" t="s">
        <v>3462</v>
      </c>
      <c r="I2691" s="720">
        <f t="shared" si="608"/>
        <v>297.91120000000001</v>
      </c>
      <c r="J2691" s="756">
        <v>1787.4672</v>
      </c>
      <c r="K2691" s="131">
        <f t="shared" si="596"/>
        <v>1787.4672</v>
      </c>
      <c r="L2691" s="335">
        <f t="shared" si="604"/>
        <v>0</v>
      </c>
      <c r="M2691" s="446"/>
      <c r="N2691" s="446"/>
      <c r="O2691" s="446"/>
      <c r="P2691" s="446"/>
      <c r="Q2691" s="130">
        <v>2</v>
      </c>
      <c r="R2691" s="111">
        <f t="shared" si="602"/>
        <v>446.86680000000001</v>
      </c>
      <c r="S2691" s="110"/>
      <c r="T2691" s="110"/>
      <c r="U2691" s="130">
        <v>2</v>
      </c>
      <c r="V2691" s="111">
        <f t="shared" si="603"/>
        <v>446.86680000000001</v>
      </c>
      <c r="W2691" s="110"/>
      <c r="X2691" s="110"/>
      <c r="Y2691" s="110"/>
      <c r="Z2691" s="110"/>
      <c r="AA2691" s="130">
        <v>1</v>
      </c>
      <c r="AB2691" s="111">
        <f t="shared" si="594"/>
        <v>446.86680000000001</v>
      </c>
      <c r="AC2691" s="110"/>
      <c r="AD2691" s="110"/>
      <c r="AE2691" s="130">
        <v>1</v>
      </c>
      <c r="AF2691" s="111">
        <f t="shared" si="595"/>
        <v>446.86680000000001</v>
      </c>
      <c r="AG2691" s="110"/>
      <c r="AH2691" s="110"/>
      <c r="AI2691" s="110"/>
      <c r="AJ2691" s="110"/>
      <c r="AK2691" s="111">
        <f t="shared" si="605"/>
        <v>1787.4672</v>
      </c>
      <c r="AL2691" s="446">
        <f t="shared" si="606"/>
        <v>0</v>
      </c>
      <c r="AM2691" s="110">
        <f t="shared" si="607"/>
        <v>6</v>
      </c>
      <c r="AN2691" s="447">
        <f t="shared" si="597"/>
        <v>0</v>
      </c>
      <c r="AO2691"/>
      <c r="AP2691"/>
    </row>
    <row r="2692" spans="1:42" ht="66" x14ac:dyDescent="0.25">
      <c r="A2692" s="9"/>
      <c r="B2692" s="147" t="s">
        <v>1470</v>
      </c>
      <c r="C2692" s="1024"/>
      <c r="D2692" s="869">
        <v>33</v>
      </c>
      <c r="E2692" s="1027"/>
      <c r="F2692" s="273" t="s">
        <v>3446</v>
      </c>
      <c r="G2692" s="1040" t="s">
        <v>3463</v>
      </c>
      <c r="H2692" s="273" t="s">
        <v>3462</v>
      </c>
      <c r="I2692" s="720">
        <f t="shared" si="608"/>
        <v>174.39439999999999</v>
      </c>
      <c r="J2692" s="756">
        <v>5755.0151999999998</v>
      </c>
      <c r="K2692" s="131">
        <f t="shared" si="596"/>
        <v>5755.0151999999998</v>
      </c>
      <c r="L2692" s="335">
        <f t="shared" si="604"/>
        <v>0</v>
      </c>
      <c r="M2692" s="446"/>
      <c r="N2692" s="446"/>
      <c r="O2692" s="446"/>
      <c r="P2692" s="446"/>
      <c r="Q2692" s="110">
        <v>9</v>
      </c>
      <c r="R2692" s="111">
        <f t="shared" si="602"/>
        <v>1438.7538</v>
      </c>
      <c r="S2692" s="110"/>
      <c r="T2692" s="110"/>
      <c r="U2692" s="110">
        <v>8</v>
      </c>
      <c r="V2692" s="111">
        <f t="shared" si="603"/>
        <v>1438.7538</v>
      </c>
      <c r="W2692" s="110"/>
      <c r="X2692" s="110"/>
      <c r="Y2692" s="110"/>
      <c r="Z2692" s="110"/>
      <c r="AA2692" s="110">
        <v>8</v>
      </c>
      <c r="AB2692" s="111">
        <f t="shared" si="594"/>
        <v>1438.7538</v>
      </c>
      <c r="AC2692" s="110"/>
      <c r="AD2692" s="110"/>
      <c r="AE2692" s="110">
        <v>8</v>
      </c>
      <c r="AF2692" s="111">
        <f t="shared" si="595"/>
        <v>1438.7538</v>
      </c>
      <c r="AG2692" s="110"/>
      <c r="AH2692" s="110"/>
      <c r="AI2692" s="110"/>
      <c r="AJ2692" s="110"/>
      <c r="AK2692" s="111">
        <f t="shared" si="605"/>
        <v>5755.0151999999998</v>
      </c>
      <c r="AL2692" s="446">
        <f t="shared" si="606"/>
        <v>0</v>
      </c>
      <c r="AM2692" s="110">
        <f t="shared" si="607"/>
        <v>33</v>
      </c>
      <c r="AN2692" s="447">
        <f t="shared" si="597"/>
        <v>0</v>
      </c>
      <c r="AO2692"/>
      <c r="AP2692"/>
    </row>
    <row r="2693" spans="1:42" ht="66" x14ac:dyDescent="0.25">
      <c r="A2693" s="9"/>
      <c r="B2693" s="128" t="s">
        <v>635</v>
      </c>
      <c r="C2693" s="1024"/>
      <c r="D2693" s="869">
        <v>11</v>
      </c>
      <c r="E2693" s="1027" t="s">
        <v>1725</v>
      </c>
      <c r="F2693" s="273" t="s">
        <v>3446</v>
      </c>
      <c r="G2693" s="1040" t="s">
        <v>3463</v>
      </c>
      <c r="H2693" s="273" t="s">
        <v>3462</v>
      </c>
      <c r="I2693" s="720">
        <f t="shared" si="608"/>
        <v>56.677600000000005</v>
      </c>
      <c r="J2693" s="756">
        <v>623.45360000000005</v>
      </c>
      <c r="K2693" s="131">
        <f t="shared" si="596"/>
        <v>623.45360000000005</v>
      </c>
      <c r="L2693" s="335">
        <f t="shared" si="604"/>
        <v>0</v>
      </c>
      <c r="M2693" s="446"/>
      <c r="N2693" s="446"/>
      <c r="O2693" s="446"/>
      <c r="P2693" s="446"/>
      <c r="Q2693" s="110">
        <v>3</v>
      </c>
      <c r="R2693" s="111">
        <f t="shared" si="602"/>
        <v>155.86340000000001</v>
      </c>
      <c r="S2693" s="110"/>
      <c r="T2693" s="110"/>
      <c r="U2693" s="110">
        <v>3</v>
      </c>
      <c r="V2693" s="111">
        <f t="shared" si="603"/>
        <v>155.86340000000001</v>
      </c>
      <c r="W2693" s="110"/>
      <c r="X2693" s="110"/>
      <c r="Y2693" s="110"/>
      <c r="Z2693" s="110"/>
      <c r="AA2693" s="110">
        <v>3</v>
      </c>
      <c r="AB2693" s="111">
        <f t="shared" si="594"/>
        <v>155.86340000000001</v>
      </c>
      <c r="AC2693" s="110"/>
      <c r="AD2693" s="110"/>
      <c r="AE2693" s="110">
        <v>2</v>
      </c>
      <c r="AF2693" s="111">
        <f t="shared" si="595"/>
        <v>155.86340000000001</v>
      </c>
      <c r="AG2693" s="110"/>
      <c r="AH2693" s="110"/>
      <c r="AI2693" s="110"/>
      <c r="AJ2693" s="110"/>
      <c r="AK2693" s="111">
        <f t="shared" si="605"/>
        <v>623.45360000000005</v>
      </c>
      <c r="AL2693" s="446">
        <f t="shared" si="606"/>
        <v>0</v>
      </c>
      <c r="AM2693" s="110">
        <f t="shared" si="607"/>
        <v>11</v>
      </c>
      <c r="AN2693" s="447">
        <f t="shared" si="597"/>
        <v>0</v>
      </c>
      <c r="AO2693"/>
      <c r="AP2693"/>
    </row>
    <row r="2694" spans="1:42" ht="66" x14ac:dyDescent="0.25">
      <c r="A2694" s="9"/>
      <c r="B2694" s="128" t="s">
        <v>634</v>
      </c>
      <c r="C2694" s="1024"/>
      <c r="D2694" s="869">
        <v>264</v>
      </c>
      <c r="E2694" s="1027" t="s">
        <v>1767</v>
      </c>
      <c r="F2694" s="273" t="s">
        <v>3446</v>
      </c>
      <c r="G2694" s="1040" t="s">
        <v>3463</v>
      </c>
      <c r="H2694" s="273" t="s">
        <v>3462</v>
      </c>
      <c r="I2694" s="720">
        <f t="shared" si="608"/>
        <v>145.32479999999998</v>
      </c>
      <c r="J2694" s="756">
        <v>38365.747199999998</v>
      </c>
      <c r="K2694" s="131">
        <f t="shared" si="596"/>
        <v>38365.747199999998</v>
      </c>
      <c r="L2694" s="335">
        <f t="shared" si="604"/>
        <v>0</v>
      </c>
      <c r="M2694" s="446"/>
      <c r="N2694" s="446"/>
      <c r="O2694" s="446"/>
      <c r="P2694" s="446"/>
      <c r="Q2694" s="110">
        <f t="shared" si="600"/>
        <v>66</v>
      </c>
      <c r="R2694" s="111">
        <f t="shared" si="602"/>
        <v>9591.4367999999995</v>
      </c>
      <c r="S2694" s="110"/>
      <c r="T2694" s="110"/>
      <c r="U2694" s="110">
        <f t="shared" si="601"/>
        <v>66</v>
      </c>
      <c r="V2694" s="111">
        <f t="shared" si="603"/>
        <v>9591.4367999999995</v>
      </c>
      <c r="W2694" s="110"/>
      <c r="X2694" s="110"/>
      <c r="Y2694" s="110"/>
      <c r="Z2694" s="110"/>
      <c r="AA2694" s="110">
        <f t="shared" si="599"/>
        <v>66</v>
      </c>
      <c r="AB2694" s="111">
        <f t="shared" si="594"/>
        <v>9591.4367999999995</v>
      </c>
      <c r="AC2694" s="110"/>
      <c r="AD2694" s="110"/>
      <c r="AE2694" s="110">
        <f t="shared" si="599"/>
        <v>66</v>
      </c>
      <c r="AF2694" s="111">
        <f t="shared" si="595"/>
        <v>9591.4367999999995</v>
      </c>
      <c r="AG2694" s="110"/>
      <c r="AH2694" s="110"/>
      <c r="AI2694" s="110"/>
      <c r="AJ2694" s="110"/>
      <c r="AK2694" s="111">
        <f t="shared" si="605"/>
        <v>38365.747199999998</v>
      </c>
      <c r="AL2694" s="446">
        <f t="shared" si="606"/>
        <v>0</v>
      </c>
      <c r="AM2694" s="110">
        <f t="shared" si="607"/>
        <v>264</v>
      </c>
      <c r="AN2694" s="447">
        <f t="shared" si="597"/>
        <v>0</v>
      </c>
      <c r="AO2694"/>
      <c r="AP2694"/>
    </row>
    <row r="2695" spans="1:42" ht="66" x14ac:dyDescent="0.25">
      <c r="A2695" s="9"/>
      <c r="B2695" s="128" t="s">
        <v>1471</v>
      </c>
      <c r="C2695" s="1024"/>
      <c r="D2695" s="869">
        <v>3</v>
      </c>
      <c r="E2695" s="1027"/>
      <c r="F2695" s="273" t="s">
        <v>3446</v>
      </c>
      <c r="G2695" s="1040" t="s">
        <v>3463</v>
      </c>
      <c r="H2695" s="273" t="s">
        <v>3462</v>
      </c>
      <c r="I2695" s="720">
        <f t="shared" si="608"/>
        <v>254.3184</v>
      </c>
      <c r="J2695" s="756">
        <v>762.95519999999999</v>
      </c>
      <c r="K2695" s="131">
        <f t="shared" si="596"/>
        <v>762.95519999999999</v>
      </c>
      <c r="L2695" s="335">
        <f t="shared" si="604"/>
        <v>0</v>
      </c>
      <c r="M2695" s="446"/>
      <c r="N2695" s="446"/>
      <c r="O2695" s="446"/>
      <c r="P2695" s="446"/>
      <c r="Q2695" s="130">
        <v>1</v>
      </c>
      <c r="R2695" s="111">
        <f t="shared" si="602"/>
        <v>190.7388</v>
      </c>
      <c r="S2695" s="110"/>
      <c r="T2695" s="110"/>
      <c r="U2695" s="130">
        <v>1</v>
      </c>
      <c r="V2695" s="111">
        <f t="shared" si="603"/>
        <v>190.7388</v>
      </c>
      <c r="W2695" s="110"/>
      <c r="X2695" s="110"/>
      <c r="Y2695" s="110"/>
      <c r="Z2695" s="110"/>
      <c r="AA2695" s="130">
        <v>1</v>
      </c>
      <c r="AB2695" s="111">
        <f t="shared" ref="AB2695:AB2758" si="609">+J2695/4</f>
        <v>190.7388</v>
      </c>
      <c r="AC2695" s="110"/>
      <c r="AD2695" s="110"/>
      <c r="AE2695" s="130">
        <v>0</v>
      </c>
      <c r="AF2695" s="111">
        <f t="shared" ref="AF2695:AF2758" si="610">+J2695/4</f>
        <v>190.7388</v>
      </c>
      <c r="AG2695" s="110"/>
      <c r="AH2695" s="110"/>
      <c r="AI2695" s="110"/>
      <c r="AJ2695" s="110"/>
      <c r="AK2695" s="111">
        <f t="shared" si="605"/>
        <v>762.95519999999999</v>
      </c>
      <c r="AL2695" s="446">
        <f t="shared" si="606"/>
        <v>0</v>
      </c>
      <c r="AM2695" s="110">
        <f t="shared" si="607"/>
        <v>3</v>
      </c>
      <c r="AN2695" s="447">
        <f t="shared" si="597"/>
        <v>0</v>
      </c>
      <c r="AO2695"/>
      <c r="AP2695"/>
    </row>
    <row r="2696" spans="1:42" ht="66" x14ac:dyDescent="0.25">
      <c r="A2696" s="9"/>
      <c r="B2696" s="46" t="s">
        <v>1614</v>
      </c>
      <c r="C2696" s="1024"/>
      <c r="D2696" s="869">
        <v>2</v>
      </c>
      <c r="E2696" s="1027"/>
      <c r="F2696" s="273" t="s">
        <v>3446</v>
      </c>
      <c r="G2696" s="1040" t="s">
        <v>3463</v>
      </c>
      <c r="H2696" s="273" t="s">
        <v>3462</v>
      </c>
      <c r="I2696" s="720">
        <f t="shared" si="608"/>
        <v>40.089600000000004</v>
      </c>
      <c r="J2696" s="756">
        <v>80.179200000000009</v>
      </c>
      <c r="K2696" s="131">
        <f t="shared" si="596"/>
        <v>80.179200000000009</v>
      </c>
      <c r="L2696" s="335">
        <f t="shared" si="604"/>
        <v>0</v>
      </c>
      <c r="M2696" s="446"/>
      <c r="N2696" s="446"/>
      <c r="O2696" s="446"/>
      <c r="P2696" s="446"/>
      <c r="Q2696" s="130">
        <v>1</v>
      </c>
      <c r="R2696" s="111">
        <f t="shared" si="602"/>
        <v>20.044800000000002</v>
      </c>
      <c r="S2696" s="110"/>
      <c r="T2696" s="110"/>
      <c r="U2696" s="130">
        <v>1</v>
      </c>
      <c r="V2696" s="111">
        <f t="shared" si="603"/>
        <v>20.044800000000002</v>
      </c>
      <c r="W2696" s="110"/>
      <c r="X2696" s="110"/>
      <c r="Y2696" s="110"/>
      <c r="Z2696" s="110"/>
      <c r="AA2696" s="130">
        <v>0</v>
      </c>
      <c r="AB2696" s="111">
        <f t="shared" si="609"/>
        <v>20.044800000000002</v>
      </c>
      <c r="AC2696" s="110"/>
      <c r="AD2696" s="110"/>
      <c r="AE2696" s="130">
        <v>0</v>
      </c>
      <c r="AF2696" s="111">
        <f t="shared" si="610"/>
        <v>20.044800000000002</v>
      </c>
      <c r="AG2696" s="110"/>
      <c r="AH2696" s="110"/>
      <c r="AI2696" s="110"/>
      <c r="AJ2696" s="110"/>
      <c r="AK2696" s="111">
        <f t="shared" si="605"/>
        <v>80.179200000000009</v>
      </c>
      <c r="AL2696" s="446">
        <f t="shared" si="606"/>
        <v>0</v>
      </c>
      <c r="AM2696" s="110">
        <f t="shared" si="607"/>
        <v>2</v>
      </c>
      <c r="AN2696" s="447">
        <f t="shared" si="597"/>
        <v>0</v>
      </c>
      <c r="AO2696"/>
      <c r="AP2696"/>
    </row>
    <row r="2697" spans="1:42" ht="66" x14ac:dyDescent="0.25">
      <c r="A2697" s="9"/>
      <c r="B2697" s="46" t="s">
        <v>1615</v>
      </c>
      <c r="C2697" s="1024"/>
      <c r="D2697" s="869">
        <v>3</v>
      </c>
      <c r="E2697" s="1027" t="s">
        <v>1722</v>
      </c>
      <c r="F2697" s="278" t="s">
        <v>3446</v>
      </c>
      <c r="G2697" s="1040" t="s">
        <v>3463</v>
      </c>
      <c r="H2697" s="273" t="s">
        <v>3462</v>
      </c>
      <c r="I2697" s="720">
        <f t="shared" si="608"/>
        <v>256.82400000000001</v>
      </c>
      <c r="J2697" s="756">
        <v>770.47199999999998</v>
      </c>
      <c r="K2697" s="131">
        <f t="shared" si="596"/>
        <v>770.47199999999998</v>
      </c>
      <c r="L2697" s="335">
        <f t="shared" si="604"/>
        <v>0</v>
      </c>
      <c r="M2697" s="446"/>
      <c r="N2697" s="446"/>
      <c r="O2697" s="446"/>
      <c r="P2697" s="446"/>
      <c r="Q2697" s="130">
        <v>1</v>
      </c>
      <c r="R2697" s="111">
        <f t="shared" si="602"/>
        <v>192.61799999999999</v>
      </c>
      <c r="S2697" s="110"/>
      <c r="T2697" s="110"/>
      <c r="U2697" s="130">
        <v>1</v>
      </c>
      <c r="V2697" s="111">
        <f t="shared" si="603"/>
        <v>192.61799999999999</v>
      </c>
      <c r="W2697" s="110"/>
      <c r="X2697" s="110"/>
      <c r="Y2697" s="110"/>
      <c r="Z2697" s="110"/>
      <c r="AA2697" s="130">
        <v>1</v>
      </c>
      <c r="AB2697" s="111">
        <f t="shared" si="609"/>
        <v>192.61799999999999</v>
      </c>
      <c r="AC2697" s="110"/>
      <c r="AD2697" s="110"/>
      <c r="AE2697" s="130">
        <v>0</v>
      </c>
      <c r="AF2697" s="111">
        <f t="shared" si="610"/>
        <v>192.61799999999999</v>
      </c>
      <c r="AG2697" s="110"/>
      <c r="AH2697" s="110"/>
      <c r="AI2697" s="110"/>
      <c r="AJ2697" s="110"/>
      <c r="AK2697" s="111">
        <f t="shared" si="605"/>
        <v>770.47199999999998</v>
      </c>
      <c r="AL2697" s="446">
        <f t="shared" si="606"/>
        <v>0</v>
      </c>
      <c r="AM2697" s="110">
        <f t="shared" si="607"/>
        <v>3</v>
      </c>
      <c r="AN2697" s="447">
        <f t="shared" si="597"/>
        <v>0</v>
      </c>
      <c r="AO2697"/>
      <c r="AP2697"/>
    </row>
    <row r="2698" spans="1:42" ht="66" x14ac:dyDescent="0.25">
      <c r="A2698" s="9"/>
      <c r="B2698" s="46" t="s">
        <v>1616</v>
      </c>
      <c r="C2698" s="1024"/>
      <c r="D2698" s="869">
        <v>4</v>
      </c>
      <c r="E2698" s="1027" t="s">
        <v>1722</v>
      </c>
      <c r="F2698" s="278" t="s">
        <v>3446</v>
      </c>
      <c r="G2698" s="1040" t="s">
        <v>3463</v>
      </c>
      <c r="H2698" s="273" t="s">
        <v>3462</v>
      </c>
      <c r="I2698" s="720">
        <f t="shared" si="608"/>
        <v>144.072</v>
      </c>
      <c r="J2698" s="756">
        <v>576.28800000000001</v>
      </c>
      <c r="K2698" s="131">
        <f t="shared" si="596"/>
        <v>576.28800000000001</v>
      </c>
      <c r="L2698" s="335">
        <f t="shared" si="604"/>
        <v>0</v>
      </c>
      <c r="M2698" s="446"/>
      <c r="N2698" s="446"/>
      <c r="O2698" s="446"/>
      <c r="P2698" s="446"/>
      <c r="Q2698" s="110">
        <f t="shared" si="600"/>
        <v>1</v>
      </c>
      <c r="R2698" s="111">
        <f t="shared" si="602"/>
        <v>144.072</v>
      </c>
      <c r="S2698" s="110"/>
      <c r="T2698" s="110"/>
      <c r="U2698" s="110">
        <f t="shared" si="601"/>
        <v>1</v>
      </c>
      <c r="V2698" s="111">
        <f t="shared" si="603"/>
        <v>144.072</v>
      </c>
      <c r="W2698" s="110"/>
      <c r="X2698" s="110"/>
      <c r="Y2698" s="110"/>
      <c r="Z2698" s="110"/>
      <c r="AA2698" s="110">
        <f t="shared" si="599"/>
        <v>1</v>
      </c>
      <c r="AB2698" s="111">
        <f t="shared" si="609"/>
        <v>144.072</v>
      </c>
      <c r="AC2698" s="110"/>
      <c r="AD2698" s="110"/>
      <c r="AE2698" s="110">
        <f t="shared" si="599"/>
        <v>1</v>
      </c>
      <c r="AF2698" s="111">
        <f t="shared" si="610"/>
        <v>144.072</v>
      </c>
      <c r="AG2698" s="110"/>
      <c r="AH2698" s="110"/>
      <c r="AI2698" s="110"/>
      <c r="AJ2698" s="110"/>
      <c r="AK2698" s="111">
        <f t="shared" si="605"/>
        <v>576.28800000000001</v>
      </c>
      <c r="AL2698" s="446">
        <f t="shared" si="606"/>
        <v>0</v>
      </c>
      <c r="AM2698" s="110">
        <f t="shared" si="607"/>
        <v>4</v>
      </c>
      <c r="AN2698" s="447">
        <f t="shared" si="597"/>
        <v>0</v>
      </c>
      <c r="AO2698"/>
      <c r="AP2698"/>
    </row>
    <row r="2699" spans="1:42" ht="66" x14ac:dyDescent="0.25">
      <c r="A2699" s="9"/>
      <c r="B2699" s="46" t="s">
        <v>1617</v>
      </c>
      <c r="C2699" s="1024"/>
      <c r="D2699" s="869">
        <v>1</v>
      </c>
      <c r="E2699" s="1027"/>
      <c r="F2699" s="273" t="s">
        <v>3446</v>
      </c>
      <c r="G2699" s="1040" t="s">
        <v>3463</v>
      </c>
      <c r="H2699" s="273" t="s">
        <v>3462</v>
      </c>
      <c r="I2699" s="720">
        <f t="shared" si="608"/>
        <v>58.881599999999999</v>
      </c>
      <c r="J2699" s="756">
        <v>58.881599999999999</v>
      </c>
      <c r="K2699" s="131">
        <f t="shared" si="596"/>
        <v>58.881599999999999</v>
      </c>
      <c r="L2699" s="335">
        <f t="shared" si="604"/>
        <v>0</v>
      </c>
      <c r="M2699" s="446"/>
      <c r="N2699" s="446"/>
      <c r="O2699" s="446"/>
      <c r="P2699" s="446"/>
      <c r="Q2699" s="110">
        <v>1</v>
      </c>
      <c r="R2699" s="111">
        <f t="shared" si="602"/>
        <v>14.7204</v>
      </c>
      <c r="S2699" s="110"/>
      <c r="T2699" s="110"/>
      <c r="U2699" s="110">
        <v>0</v>
      </c>
      <c r="V2699" s="111">
        <f t="shared" si="603"/>
        <v>14.7204</v>
      </c>
      <c r="W2699" s="110"/>
      <c r="X2699" s="110"/>
      <c r="Y2699" s="110"/>
      <c r="Z2699" s="110"/>
      <c r="AA2699" s="110">
        <v>0</v>
      </c>
      <c r="AB2699" s="111">
        <f t="shared" si="609"/>
        <v>14.7204</v>
      </c>
      <c r="AC2699" s="110"/>
      <c r="AD2699" s="110"/>
      <c r="AE2699" s="110">
        <v>0</v>
      </c>
      <c r="AF2699" s="111">
        <f t="shared" si="610"/>
        <v>14.7204</v>
      </c>
      <c r="AG2699" s="110"/>
      <c r="AH2699" s="110"/>
      <c r="AI2699" s="110"/>
      <c r="AJ2699" s="110"/>
      <c r="AK2699" s="111">
        <f t="shared" si="605"/>
        <v>58.881599999999999</v>
      </c>
      <c r="AL2699" s="446">
        <f t="shared" si="606"/>
        <v>0</v>
      </c>
      <c r="AM2699" s="110">
        <f t="shared" si="607"/>
        <v>1</v>
      </c>
      <c r="AN2699" s="447">
        <f t="shared" si="597"/>
        <v>0</v>
      </c>
      <c r="AO2699"/>
      <c r="AP2699"/>
    </row>
    <row r="2700" spans="1:42" ht="66" x14ac:dyDescent="0.25">
      <c r="A2700" s="9"/>
      <c r="B2700" s="46" t="s">
        <v>1618</v>
      </c>
      <c r="C2700" s="1024"/>
      <c r="D2700" s="869">
        <v>2</v>
      </c>
      <c r="E2700" s="1027"/>
      <c r="F2700" s="273" t="s">
        <v>3446</v>
      </c>
      <c r="G2700" s="1040" t="s">
        <v>3463</v>
      </c>
      <c r="H2700" s="273" t="s">
        <v>3462</v>
      </c>
      <c r="I2700" s="720">
        <f t="shared" si="608"/>
        <v>211.72320000000002</v>
      </c>
      <c r="J2700" s="756">
        <v>423.44640000000004</v>
      </c>
      <c r="K2700" s="131">
        <f t="shared" si="596"/>
        <v>423.44640000000004</v>
      </c>
      <c r="L2700" s="335">
        <f t="shared" si="604"/>
        <v>0</v>
      </c>
      <c r="M2700" s="446"/>
      <c r="N2700" s="446"/>
      <c r="O2700" s="446"/>
      <c r="P2700" s="446"/>
      <c r="Q2700" s="130">
        <v>1</v>
      </c>
      <c r="R2700" s="111">
        <f t="shared" si="602"/>
        <v>105.86160000000001</v>
      </c>
      <c r="S2700" s="110"/>
      <c r="T2700" s="110"/>
      <c r="U2700" s="130">
        <v>1</v>
      </c>
      <c r="V2700" s="111">
        <f t="shared" si="603"/>
        <v>105.86160000000001</v>
      </c>
      <c r="W2700" s="110"/>
      <c r="X2700" s="110"/>
      <c r="Y2700" s="110"/>
      <c r="Z2700" s="110"/>
      <c r="AA2700" s="130">
        <v>0</v>
      </c>
      <c r="AB2700" s="111">
        <f t="shared" si="609"/>
        <v>105.86160000000001</v>
      </c>
      <c r="AC2700" s="110"/>
      <c r="AD2700" s="110"/>
      <c r="AE2700" s="130">
        <v>0</v>
      </c>
      <c r="AF2700" s="111">
        <f t="shared" si="610"/>
        <v>105.86160000000001</v>
      </c>
      <c r="AG2700" s="110"/>
      <c r="AH2700" s="110"/>
      <c r="AI2700" s="110"/>
      <c r="AJ2700" s="110"/>
      <c r="AK2700" s="111">
        <f t="shared" si="605"/>
        <v>423.44640000000004</v>
      </c>
      <c r="AL2700" s="446">
        <f t="shared" si="606"/>
        <v>0</v>
      </c>
      <c r="AM2700" s="110">
        <f t="shared" si="607"/>
        <v>2</v>
      </c>
      <c r="AN2700" s="447">
        <f t="shared" si="597"/>
        <v>0</v>
      </c>
      <c r="AO2700"/>
      <c r="AP2700"/>
    </row>
    <row r="2701" spans="1:42" ht="66" x14ac:dyDescent="0.25">
      <c r="A2701" s="9"/>
      <c r="B2701" s="46" t="s">
        <v>1619</v>
      </c>
      <c r="C2701" s="1024"/>
      <c r="D2701" s="869">
        <v>4</v>
      </c>
      <c r="E2701" s="1027"/>
      <c r="F2701" s="273" t="s">
        <v>3446</v>
      </c>
      <c r="G2701" s="1040" t="s">
        <v>3463</v>
      </c>
      <c r="H2701" s="273" t="s">
        <v>3462</v>
      </c>
      <c r="I2701" s="720">
        <f t="shared" si="608"/>
        <v>30.067200000000003</v>
      </c>
      <c r="J2701" s="756">
        <v>120.26880000000001</v>
      </c>
      <c r="K2701" s="131">
        <f t="shared" si="596"/>
        <v>120.26880000000001</v>
      </c>
      <c r="L2701" s="335">
        <f t="shared" si="604"/>
        <v>0</v>
      </c>
      <c r="M2701" s="446"/>
      <c r="N2701" s="446"/>
      <c r="O2701" s="446"/>
      <c r="P2701" s="446"/>
      <c r="Q2701" s="110">
        <f t="shared" si="600"/>
        <v>1</v>
      </c>
      <c r="R2701" s="111">
        <f t="shared" si="602"/>
        <v>30.067200000000003</v>
      </c>
      <c r="S2701" s="110"/>
      <c r="T2701" s="110"/>
      <c r="U2701" s="110">
        <f t="shared" si="601"/>
        <v>1</v>
      </c>
      <c r="V2701" s="111">
        <f t="shared" si="603"/>
        <v>30.067200000000003</v>
      </c>
      <c r="W2701" s="110"/>
      <c r="X2701" s="110"/>
      <c r="Y2701" s="110"/>
      <c r="Z2701" s="110"/>
      <c r="AA2701" s="110">
        <f t="shared" si="599"/>
        <v>1</v>
      </c>
      <c r="AB2701" s="111">
        <f t="shared" si="609"/>
        <v>30.067200000000003</v>
      </c>
      <c r="AC2701" s="110"/>
      <c r="AD2701" s="110"/>
      <c r="AE2701" s="110">
        <f t="shared" si="599"/>
        <v>1</v>
      </c>
      <c r="AF2701" s="111">
        <f t="shared" si="610"/>
        <v>30.067200000000003</v>
      </c>
      <c r="AG2701" s="110"/>
      <c r="AH2701" s="110"/>
      <c r="AI2701" s="110"/>
      <c r="AJ2701" s="110"/>
      <c r="AK2701" s="111">
        <f t="shared" si="605"/>
        <v>120.26880000000001</v>
      </c>
      <c r="AL2701" s="446">
        <f t="shared" si="606"/>
        <v>0</v>
      </c>
      <c r="AM2701" s="110">
        <f t="shared" si="607"/>
        <v>4</v>
      </c>
      <c r="AN2701" s="447">
        <f t="shared" si="597"/>
        <v>0</v>
      </c>
      <c r="AO2701"/>
      <c r="AP2701"/>
    </row>
    <row r="2702" spans="1:42" ht="66" x14ac:dyDescent="0.25">
      <c r="A2702" s="9"/>
      <c r="B2702" s="46" t="s">
        <v>633</v>
      </c>
      <c r="C2702" s="1024"/>
      <c r="D2702" s="869">
        <v>1</v>
      </c>
      <c r="E2702" s="1027"/>
      <c r="F2702" s="273" t="s">
        <v>3446</v>
      </c>
      <c r="G2702" s="1040" t="s">
        <v>3463</v>
      </c>
      <c r="H2702" s="273" t="s">
        <v>3462</v>
      </c>
      <c r="I2702" s="720">
        <f t="shared" si="608"/>
        <v>250.56</v>
      </c>
      <c r="J2702" s="756">
        <v>250.56</v>
      </c>
      <c r="K2702" s="131">
        <f t="shared" si="596"/>
        <v>250.56</v>
      </c>
      <c r="L2702" s="335">
        <f t="shared" si="604"/>
        <v>0</v>
      </c>
      <c r="M2702" s="446"/>
      <c r="N2702" s="446"/>
      <c r="O2702" s="446"/>
      <c r="P2702" s="446"/>
      <c r="Q2702" s="110">
        <v>1</v>
      </c>
      <c r="R2702" s="111">
        <f t="shared" si="602"/>
        <v>62.64</v>
      </c>
      <c r="S2702" s="110"/>
      <c r="T2702" s="110"/>
      <c r="U2702" s="110">
        <v>0</v>
      </c>
      <c r="V2702" s="111">
        <f t="shared" si="603"/>
        <v>62.64</v>
      </c>
      <c r="W2702" s="110"/>
      <c r="X2702" s="110"/>
      <c r="Y2702" s="110"/>
      <c r="Z2702" s="110"/>
      <c r="AA2702" s="110">
        <v>0</v>
      </c>
      <c r="AB2702" s="111">
        <f t="shared" si="609"/>
        <v>62.64</v>
      </c>
      <c r="AC2702" s="110"/>
      <c r="AD2702" s="110"/>
      <c r="AE2702" s="110">
        <v>0</v>
      </c>
      <c r="AF2702" s="111">
        <f t="shared" si="610"/>
        <v>62.64</v>
      </c>
      <c r="AG2702" s="110"/>
      <c r="AH2702" s="110"/>
      <c r="AI2702" s="110"/>
      <c r="AJ2702" s="110"/>
      <c r="AK2702" s="111">
        <f t="shared" si="605"/>
        <v>250.56</v>
      </c>
      <c r="AL2702" s="446">
        <f t="shared" si="606"/>
        <v>0</v>
      </c>
      <c r="AM2702" s="110">
        <f t="shared" si="607"/>
        <v>1</v>
      </c>
      <c r="AN2702" s="447">
        <f t="shared" si="597"/>
        <v>0</v>
      </c>
      <c r="AO2702"/>
      <c r="AP2702"/>
    </row>
    <row r="2703" spans="1:42" ht="66" x14ac:dyDescent="0.25">
      <c r="A2703" s="9"/>
      <c r="B2703" s="46" t="s">
        <v>1620</v>
      </c>
      <c r="C2703" s="1024"/>
      <c r="D2703" s="869">
        <v>15</v>
      </c>
      <c r="E2703" s="1027"/>
      <c r="F2703" s="273" t="s">
        <v>3446</v>
      </c>
      <c r="G2703" s="1040" t="s">
        <v>3463</v>
      </c>
      <c r="H2703" s="273" t="s">
        <v>3462</v>
      </c>
      <c r="I2703" s="720">
        <f t="shared" si="608"/>
        <v>114.0048</v>
      </c>
      <c r="J2703" s="756">
        <v>1710.0720000000001</v>
      </c>
      <c r="K2703" s="131">
        <f t="shared" si="596"/>
        <v>1710.0720000000001</v>
      </c>
      <c r="L2703" s="335">
        <f t="shared" si="604"/>
        <v>0</v>
      </c>
      <c r="M2703" s="446"/>
      <c r="N2703" s="446"/>
      <c r="O2703" s="446"/>
      <c r="P2703" s="446"/>
      <c r="Q2703" s="110">
        <v>4</v>
      </c>
      <c r="R2703" s="111">
        <f t="shared" si="602"/>
        <v>427.51800000000003</v>
      </c>
      <c r="S2703" s="110"/>
      <c r="T2703" s="110"/>
      <c r="U2703" s="110">
        <v>4</v>
      </c>
      <c r="V2703" s="111">
        <f t="shared" si="603"/>
        <v>427.51800000000003</v>
      </c>
      <c r="W2703" s="110"/>
      <c r="X2703" s="110"/>
      <c r="Y2703" s="110"/>
      <c r="Z2703" s="110"/>
      <c r="AA2703" s="110">
        <v>4</v>
      </c>
      <c r="AB2703" s="111">
        <f t="shared" si="609"/>
        <v>427.51800000000003</v>
      </c>
      <c r="AC2703" s="110"/>
      <c r="AD2703" s="110"/>
      <c r="AE2703" s="110">
        <v>3</v>
      </c>
      <c r="AF2703" s="111">
        <f t="shared" si="610"/>
        <v>427.51800000000003</v>
      </c>
      <c r="AG2703" s="110"/>
      <c r="AH2703" s="110"/>
      <c r="AI2703" s="110"/>
      <c r="AJ2703" s="110"/>
      <c r="AK2703" s="111">
        <f t="shared" si="605"/>
        <v>1710.0720000000001</v>
      </c>
      <c r="AL2703" s="446">
        <f t="shared" si="606"/>
        <v>0</v>
      </c>
      <c r="AM2703" s="110">
        <f t="shared" si="607"/>
        <v>15</v>
      </c>
      <c r="AN2703" s="447">
        <f t="shared" si="597"/>
        <v>0</v>
      </c>
      <c r="AO2703"/>
      <c r="AP2703"/>
    </row>
    <row r="2704" spans="1:42" ht="66" x14ac:dyDescent="0.25">
      <c r="A2704" s="9"/>
      <c r="B2704" s="46" t="s">
        <v>1621</v>
      </c>
      <c r="C2704" s="1024"/>
      <c r="D2704" s="869">
        <v>40</v>
      </c>
      <c r="E2704" s="1027"/>
      <c r="F2704" s="273" t="s">
        <v>3446</v>
      </c>
      <c r="G2704" s="1040" t="s">
        <v>3463</v>
      </c>
      <c r="H2704" s="273" t="s">
        <v>3462</v>
      </c>
      <c r="I2704" s="720">
        <f t="shared" si="608"/>
        <v>110.87280000000001</v>
      </c>
      <c r="J2704" s="756">
        <v>4434.9120000000003</v>
      </c>
      <c r="K2704" s="131">
        <f t="shared" si="596"/>
        <v>4434.9120000000003</v>
      </c>
      <c r="L2704" s="335">
        <f t="shared" si="604"/>
        <v>0</v>
      </c>
      <c r="M2704" s="446"/>
      <c r="N2704" s="446"/>
      <c r="O2704" s="446"/>
      <c r="P2704" s="446"/>
      <c r="Q2704" s="110">
        <f t="shared" si="600"/>
        <v>10</v>
      </c>
      <c r="R2704" s="111">
        <f t="shared" si="602"/>
        <v>1108.7280000000001</v>
      </c>
      <c r="S2704" s="110"/>
      <c r="T2704" s="110"/>
      <c r="U2704" s="110">
        <f t="shared" si="601"/>
        <v>10</v>
      </c>
      <c r="V2704" s="111">
        <f t="shared" si="603"/>
        <v>1108.7280000000001</v>
      </c>
      <c r="W2704" s="110"/>
      <c r="X2704" s="110"/>
      <c r="Y2704" s="110"/>
      <c r="Z2704" s="110"/>
      <c r="AA2704" s="110">
        <f t="shared" si="599"/>
        <v>10</v>
      </c>
      <c r="AB2704" s="111">
        <f t="shared" si="609"/>
        <v>1108.7280000000001</v>
      </c>
      <c r="AC2704" s="110"/>
      <c r="AD2704" s="110"/>
      <c r="AE2704" s="110">
        <f t="shared" si="599"/>
        <v>10</v>
      </c>
      <c r="AF2704" s="111">
        <f t="shared" si="610"/>
        <v>1108.7280000000001</v>
      </c>
      <c r="AG2704" s="110"/>
      <c r="AH2704" s="110"/>
      <c r="AI2704" s="110"/>
      <c r="AJ2704" s="110"/>
      <c r="AK2704" s="111">
        <f t="shared" si="605"/>
        <v>4434.9120000000003</v>
      </c>
      <c r="AL2704" s="446">
        <f t="shared" si="606"/>
        <v>0</v>
      </c>
      <c r="AM2704" s="110">
        <f t="shared" si="607"/>
        <v>40</v>
      </c>
      <c r="AN2704" s="447">
        <f t="shared" si="597"/>
        <v>0</v>
      </c>
      <c r="AO2704"/>
      <c r="AP2704"/>
    </row>
    <row r="2705" spans="1:42" ht="66" x14ac:dyDescent="0.25">
      <c r="A2705" s="9"/>
      <c r="B2705" s="46" t="s">
        <v>1622</v>
      </c>
      <c r="C2705" s="1024"/>
      <c r="D2705" s="869">
        <v>3</v>
      </c>
      <c r="E2705" s="1027"/>
      <c r="F2705" s="273" t="s">
        <v>3446</v>
      </c>
      <c r="G2705" s="1040" t="s">
        <v>3463</v>
      </c>
      <c r="H2705" s="273" t="s">
        <v>3462</v>
      </c>
      <c r="I2705" s="720">
        <f t="shared" si="608"/>
        <v>141.0676</v>
      </c>
      <c r="J2705" s="756">
        <v>423.20280000000002</v>
      </c>
      <c r="K2705" s="131">
        <f t="shared" si="596"/>
        <v>423.20280000000002</v>
      </c>
      <c r="L2705" s="335">
        <f t="shared" si="604"/>
        <v>0</v>
      </c>
      <c r="M2705" s="446"/>
      <c r="N2705" s="446"/>
      <c r="O2705" s="446"/>
      <c r="P2705" s="446"/>
      <c r="Q2705" s="130">
        <v>1</v>
      </c>
      <c r="R2705" s="111">
        <f t="shared" si="602"/>
        <v>105.80070000000001</v>
      </c>
      <c r="S2705" s="110"/>
      <c r="T2705" s="110"/>
      <c r="U2705" s="130">
        <v>1</v>
      </c>
      <c r="V2705" s="111">
        <f t="shared" si="603"/>
        <v>105.80070000000001</v>
      </c>
      <c r="W2705" s="110"/>
      <c r="X2705" s="110"/>
      <c r="Y2705" s="110"/>
      <c r="Z2705" s="110"/>
      <c r="AA2705" s="130">
        <v>1</v>
      </c>
      <c r="AB2705" s="111">
        <f t="shared" si="609"/>
        <v>105.80070000000001</v>
      </c>
      <c r="AC2705" s="110"/>
      <c r="AD2705" s="110"/>
      <c r="AE2705" s="130">
        <v>0</v>
      </c>
      <c r="AF2705" s="111">
        <f t="shared" si="610"/>
        <v>105.80070000000001</v>
      </c>
      <c r="AG2705" s="110"/>
      <c r="AH2705" s="110"/>
      <c r="AI2705" s="110"/>
      <c r="AJ2705" s="110"/>
      <c r="AK2705" s="111">
        <f t="shared" si="605"/>
        <v>423.20280000000002</v>
      </c>
      <c r="AL2705" s="446">
        <f t="shared" si="606"/>
        <v>0</v>
      </c>
      <c r="AM2705" s="110">
        <f t="shared" si="607"/>
        <v>3</v>
      </c>
      <c r="AN2705" s="447">
        <f t="shared" si="597"/>
        <v>0</v>
      </c>
      <c r="AO2705"/>
      <c r="AP2705"/>
    </row>
    <row r="2706" spans="1:42" ht="66" x14ac:dyDescent="0.25">
      <c r="A2706" s="9"/>
      <c r="B2706" s="46" t="s">
        <v>1623</v>
      </c>
      <c r="C2706" s="1024"/>
      <c r="D2706" s="869">
        <v>1</v>
      </c>
      <c r="E2706" s="1027" t="s">
        <v>1725</v>
      </c>
      <c r="F2706" s="273" t="s">
        <v>3446</v>
      </c>
      <c r="G2706" s="1040" t="s">
        <v>3463</v>
      </c>
      <c r="H2706" s="273" t="s">
        <v>3462</v>
      </c>
      <c r="I2706" s="720">
        <f t="shared" si="608"/>
        <v>225.50400000000002</v>
      </c>
      <c r="J2706" s="756">
        <v>225.50400000000002</v>
      </c>
      <c r="K2706" s="131">
        <f t="shared" si="596"/>
        <v>225.50400000000002</v>
      </c>
      <c r="L2706" s="335">
        <f t="shared" si="604"/>
        <v>0</v>
      </c>
      <c r="M2706" s="446"/>
      <c r="N2706" s="446"/>
      <c r="O2706" s="446"/>
      <c r="P2706" s="446"/>
      <c r="Q2706" s="110">
        <v>1</v>
      </c>
      <c r="R2706" s="111">
        <f t="shared" si="602"/>
        <v>56.376000000000005</v>
      </c>
      <c r="S2706" s="110"/>
      <c r="T2706" s="110"/>
      <c r="U2706" s="110">
        <v>0</v>
      </c>
      <c r="V2706" s="111">
        <f t="shared" si="603"/>
        <v>56.376000000000005</v>
      </c>
      <c r="W2706" s="110"/>
      <c r="X2706" s="110"/>
      <c r="Y2706" s="110"/>
      <c r="Z2706" s="110"/>
      <c r="AA2706" s="110">
        <v>0</v>
      </c>
      <c r="AB2706" s="111">
        <f t="shared" si="609"/>
        <v>56.376000000000005</v>
      </c>
      <c r="AC2706" s="110"/>
      <c r="AD2706" s="110"/>
      <c r="AE2706" s="110">
        <v>0</v>
      </c>
      <c r="AF2706" s="111">
        <f t="shared" si="610"/>
        <v>56.376000000000005</v>
      </c>
      <c r="AG2706" s="110"/>
      <c r="AH2706" s="110"/>
      <c r="AI2706" s="110"/>
      <c r="AJ2706" s="110"/>
      <c r="AK2706" s="111">
        <f t="shared" si="605"/>
        <v>225.50400000000002</v>
      </c>
      <c r="AL2706" s="446">
        <f t="shared" si="606"/>
        <v>0</v>
      </c>
      <c r="AM2706" s="110">
        <f t="shared" si="607"/>
        <v>1</v>
      </c>
      <c r="AN2706" s="447">
        <f t="shared" si="597"/>
        <v>0</v>
      </c>
      <c r="AO2706"/>
      <c r="AP2706"/>
    </row>
    <row r="2707" spans="1:42" ht="66" x14ac:dyDescent="0.25">
      <c r="A2707" s="9"/>
      <c r="B2707" s="46" t="s">
        <v>1624</v>
      </c>
      <c r="C2707" s="1024"/>
      <c r="D2707" s="869">
        <v>1</v>
      </c>
      <c r="E2707" s="1027"/>
      <c r="F2707" s="273" t="s">
        <v>3446</v>
      </c>
      <c r="G2707" s="1040" t="s">
        <v>3463</v>
      </c>
      <c r="H2707" s="273" t="s">
        <v>3462</v>
      </c>
      <c r="I2707" s="720">
        <f t="shared" si="608"/>
        <v>259.32960000000003</v>
      </c>
      <c r="J2707" s="756">
        <v>259.32960000000003</v>
      </c>
      <c r="K2707" s="131">
        <f t="shared" si="596"/>
        <v>259.32960000000003</v>
      </c>
      <c r="L2707" s="335">
        <f t="shared" si="604"/>
        <v>0</v>
      </c>
      <c r="M2707" s="446"/>
      <c r="N2707" s="446"/>
      <c r="O2707" s="446"/>
      <c r="P2707" s="446"/>
      <c r="Q2707" s="110">
        <v>1</v>
      </c>
      <c r="R2707" s="111">
        <f t="shared" si="602"/>
        <v>64.832400000000007</v>
      </c>
      <c r="S2707" s="110"/>
      <c r="T2707" s="110"/>
      <c r="U2707" s="110">
        <v>0</v>
      </c>
      <c r="V2707" s="111">
        <f t="shared" si="603"/>
        <v>64.832400000000007</v>
      </c>
      <c r="W2707" s="110"/>
      <c r="X2707" s="110"/>
      <c r="Y2707" s="110"/>
      <c r="Z2707" s="110"/>
      <c r="AA2707" s="110">
        <v>0</v>
      </c>
      <c r="AB2707" s="111">
        <f t="shared" si="609"/>
        <v>64.832400000000007</v>
      </c>
      <c r="AC2707" s="110"/>
      <c r="AD2707" s="110"/>
      <c r="AE2707" s="110">
        <v>0</v>
      </c>
      <c r="AF2707" s="111">
        <f t="shared" si="610"/>
        <v>64.832400000000007</v>
      </c>
      <c r="AG2707" s="110"/>
      <c r="AH2707" s="110"/>
      <c r="AI2707" s="110"/>
      <c r="AJ2707" s="110"/>
      <c r="AK2707" s="111">
        <f t="shared" si="605"/>
        <v>259.32960000000003</v>
      </c>
      <c r="AL2707" s="446">
        <f t="shared" si="606"/>
        <v>0</v>
      </c>
      <c r="AM2707" s="110">
        <f t="shared" si="607"/>
        <v>1</v>
      </c>
      <c r="AN2707" s="447">
        <f t="shared" si="597"/>
        <v>0</v>
      </c>
      <c r="AO2707"/>
      <c r="AP2707"/>
    </row>
    <row r="2708" spans="1:42" ht="66" x14ac:dyDescent="0.25">
      <c r="A2708" s="9"/>
      <c r="B2708" s="46" t="s">
        <v>1625</v>
      </c>
      <c r="C2708" s="1024"/>
      <c r="D2708" s="869">
        <v>1</v>
      </c>
      <c r="E2708" s="1027"/>
      <c r="F2708" s="273" t="s">
        <v>3446</v>
      </c>
      <c r="G2708" s="1040" t="s">
        <v>3463</v>
      </c>
      <c r="H2708" s="273" t="s">
        <v>3462</v>
      </c>
      <c r="I2708" s="720">
        <f t="shared" si="608"/>
        <v>102.7296</v>
      </c>
      <c r="J2708" s="756">
        <v>102.7296</v>
      </c>
      <c r="K2708" s="131">
        <f t="shared" si="596"/>
        <v>102.7296</v>
      </c>
      <c r="L2708" s="335">
        <f t="shared" si="604"/>
        <v>0</v>
      </c>
      <c r="M2708" s="446"/>
      <c r="N2708" s="446"/>
      <c r="O2708" s="446"/>
      <c r="P2708" s="446"/>
      <c r="Q2708" s="110">
        <v>1</v>
      </c>
      <c r="R2708" s="111">
        <f t="shared" si="602"/>
        <v>25.682400000000001</v>
      </c>
      <c r="S2708" s="110"/>
      <c r="T2708" s="110"/>
      <c r="U2708" s="110">
        <v>0</v>
      </c>
      <c r="V2708" s="111">
        <f t="shared" si="603"/>
        <v>25.682400000000001</v>
      </c>
      <c r="W2708" s="110"/>
      <c r="X2708" s="110"/>
      <c r="Y2708" s="110"/>
      <c r="Z2708" s="110"/>
      <c r="AA2708" s="110">
        <v>0</v>
      </c>
      <c r="AB2708" s="111">
        <f t="shared" si="609"/>
        <v>25.682400000000001</v>
      </c>
      <c r="AC2708" s="110"/>
      <c r="AD2708" s="110"/>
      <c r="AE2708" s="110">
        <v>0</v>
      </c>
      <c r="AF2708" s="111">
        <f t="shared" si="610"/>
        <v>25.682400000000001</v>
      </c>
      <c r="AG2708" s="110"/>
      <c r="AH2708" s="110"/>
      <c r="AI2708" s="110"/>
      <c r="AJ2708" s="110"/>
      <c r="AK2708" s="111">
        <f t="shared" si="605"/>
        <v>102.7296</v>
      </c>
      <c r="AL2708" s="446">
        <f t="shared" si="606"/>
        <v>0</v>
      </c>
      <c r="AM2708" s="110">
        <f t="shared" si="607"/>
        <v>1</v>
      </c>
      <c r="AN2708" s="447">
        <f t="shared" si="597"/>
        <v>0</v>
      </c>
      <c r="AO2708"/>
      <c r="AP2708"/>
    </row>
    <row r="2709" spans="1:42" ht="66" x14ac:dyDescent="0.25">
      <c r="A2709" s="9"/>
      <c r="B2709" s="46" t="s">
        <v>1626</v>
      </c>
      <c r="C2709" s="1024"/>
      <c r="D2709" s="869">
        <v>1</v>
      </c>
      <c r="E2709" s="1027"/>
      <c r="F2709" s="273" t="s">
        <v>3446</v>
      </c>
      <c r="G2709" s="1040" t="s">
        <v>3463</v>
      </c>
      <c r="H2709" s="273" t="s">
        <v>3462</v>
      </c>
      <c r="I2709" s="720">
        <f t="shared" si="608"/>
        <v>93.960000000000008</v>
      </c>
      <c r="J2709" s="756">
        <v>93.960000000000008</v>
      </c>
      <c r="K2709" s="131">
        <f t="shared" si="596"/>
        <v>93.960000000000008</v>
      </c>
      <c r="L2709" s="335">
        <f t="shared" si="604"/>
        <v>0</v>
      </c>
      <c r="M2709" s="446"/>
      <c r="N2709" s="446"/>
      <c r="O2709" s="446"/>
      <c r="P2709" s="446"/>
      <c r="Q2709" s="110">
        <v>1</v>
      </c>
      <c r="R2709" s="111">
        <f t="shared" si="602"/>
        <v>23.490000000000002</v>
      </c>
      <c r="S2709" s="110"/>
      <c r="T2709" s="110"/>
      <c r="U2709" s="110">
        <v>0</v>
      </c>
      <c r="V2709" s="111">
        <f t="shared" si="603"/>
        <v>23.490000000000002</v>
      </c>
      <c r="W2709" s="110"/>
      <c r="X2709" s="110"/>
      <c r="Y2709" s="110"/>
      <c r="Z2709" s="110"/>
      <c r="AA2709" s="110">
        <v>0</v>
      </c>
      <c r="AB2709" s="111">
        <f t="shared" si="609"/>
        <v>23.490000000000002</v>
      </c>
      <c r="AC2709" s="110"/>
      <c r="AD2709" s="110"/>
      <c r="AE2709" s="110">
        <v>0</v>
      </c>
      <c r="AF2709" s="111">
        <f t="shared" si="610"/>
        <v>23.490000000000002</v>
      </c>
      <c r="AG2709" s="110"/>
      <c r="AH2709" s="110"/>
      <c r="AI2709" s="110"/>
      <c r="AJ2709" s="110"/>
      <c r="AK2709" s="111">
        <f t="shared" si="605"/>
        <v>93.960000000000008</v>
      </c>
      <c r="AL2709" s="446">
        <f t="shared" si="606"/>
        <v>0</v>
      </c>
      <c r="AM2709" s="110">
        <f t="shared" si="607"/>
        <v>1</v>
      </c>
      <c r="AN2709" s="447">
        <f t="shared" si="597"/>
        <v>0</v>
      </c>
      <c r="AO2709"/>
      <c r="AP2709"/>
    </row>
    <row r="2710" spans="1:42" ht="66" x14ac:dyDescent="0.25">
      <c r="A2710" s="9"/>
      <c r="B2710" s="46" t="s">
        <v>1627</v>
      </c>
      <c r="C2710" s="1024"/>
      <c r="D2710" s="869">
        <v>5</v>
      </c>
      <c r="E2710" s="1027"/>
      <c r="F2710" s="273" t="s">
        <v>3446</v>
      </c>
      <c r="G2710" s="1040" t="s">
        <v>3463</v>
      </c>
      <c r="H2710" s="273" t="s">
        <v>3462</v>
      </c>
      <c r="I2710" s="720">
        <f t="shared" si="608"/>
        <v>587.56319999999994</v>
      </c>
      <c r="J2710" s="756">
        <v>2937.8159999999998</v>
      </c>
      <c r="K2710" s="131">
        <f t="shared" si="596"/>
        <v>2937.8159999999998</v>
      </c>
      <c r="L2710" s="335">
        <f t="shared" si="604"/>
        <v>0</v>
      </c>
      <c r="M2710" s="446"/>
      <c r="N2710" s="446"/>
      <c r="O2710" s="446"/>
      <c r="P2710" s="446"/>
      <c r="Q2710" s="110">
        <v>2</v>
      </c>
      <c r="R2710" s="111">
        <f t="shared" si="602"/>
        <v>734.45399999999995</v>
      </c>
      <c r="S2710" s="110"/>
      <c r="T2710" s="110"/>
      <c r="U2710" s="110">
        <v>1</v>
      </c>
      <c r="V2710" s="111">
        <f t="shared" si="603"/>
        <v>734.45399999999995</v>
      </c>
      <c r="W2710" s="110"/>
      <c r="X2710" s="110"/>
      <c r="Y2710" s="110"/>
      <c r="Z2710" s="110"/>
      <c r="AA2710" s="110">
        <v>1</v>
      </c>
      <c r="AB2710" s="111">
        <f t="shared" si="609"/>
        <v>734.45399999999995</v>
      </c>
      <c r="AC2710" s="110"/>
      <c r="AD2710" s="110"/>
      <c r="AE2710" s="110">
        <v>1</v>
      </c>
      <c r="AF2710" s="111">
        <f t="shared" si="610"/>
        <v>734.45399999999995</v>
      </c>
      <c r="AG2710" s="110"/>
      <c r="AH2710" s="110"/>
      <c r="AI2710" s="110"/>
      <c r="AJ2710" s="110"/>
      <c r="AK2710" s="111">
        <f t="shared" si="605"/>
        <v>2937.8159999999998</v>
      </c>
      <c r="AL2710" s="446">
        <f t="shared" si="606"/>
        <v>0</v>
      </c>
      <c r="AM2710" s="110">
        <f t="shared" si="607"/>
        <v>5</v>
      </c>
      <c r="AN2710" s="447">
        <f t="shared" si="597"/>
        <v>0</v>
      </c>
      <c r="AO2710"/>
      <c r="AP2710"/>
    </row>
    <row r="2711" spans="1:42" ht="66" x14ac:dyDescent="0.25">
      <c r="A2711" s="9"/>
      <c r="B2711" s="46" t="s">
        <v>1628</v>
      </c>
      <c r="C2711" s="1024"/>
      <c r="D2711" s="869">
        <v>5</v>
      </c>
      <c r="E2711" s="1027"/>
      <c r="F2711" s="273" t="s">
        <v>3446</v>
      </c>
      <c r="G2711" s="1040" t="s">
        <v>3463</v>
      </c>
      <c r="H2711" s="273" t="s">
        <v>3462</v>
      </c>
      <c r="I2711" s="720">
        <f t="shared" si="608"/>
        <v>236.15280000000001</v>
      </c>
      <c r="J2711" s="756">
        <v>1180.7640000000001</v>
      </c>
      <c r="K2711" s="131">
        <f t="shared" si="596"/>
        <v>1180.7640000000001</v>
      </c>
      <c r="L2711" s="335">
        <f t="shared" si="604"/>
        <v>0</v>
      </c>
      <c r="M2711" s="446"/>
      <c r="N2711" s="446"/>
      <c r="O2711" s="446"/>
      <c r="P2711" s="446"/>
      <c r="Q2711" s="110">
        <v>2</v>
      </c>
      <c r="R2711" s="111">
        <f t="shared" si="602"/>
        <v>295.19100000000003</v>
      </c>
      <c r="S2711" s="110"/>
      <c r="T2711" s="110"/>
      <c r="U2711" s="110">
        <v>1</v>
      </c>
      <c r="V2711" s="111">
        <f t="shared" si="603"/>
        <v>295.19100000000003</v>
      </c>
      <c r="W2711" s="110"/>
      <c r="X2711" s="110"/>
      <c r="Y2711" s="110"/>
      <c r="Z2711" s="110"/>
      <c r="AA2711" s="110">
        <v>1</v>
      </c>
      <c r="AB2711" s="111">
        <f t="shared" si="609"/>
        <v>295.19100000000003</v>
      </c>
      <c r="AC2711" s="110"/>
      <c r="AD2711" s="110"/>
      <c r="AE2711" s="110">
        <v>1</v>
      </c>
      <c r="AF2711" s="111">
        <f t="shared" si="610"/>
        <v>295.19100000000003</v>
      </c>
      <c r="AG2711" s="110"/>
      <c r="AH2711" s="110"/>
      <c r="AI2711" s="110"/>
      <c r="AJ2711" s="110"/>
      <c r="AK2711" s="111">
        <f t="shared" si="605"/>
        <v>1180.7640000000001</v>
      </c>
      <c r="AL2711" s="446">
        <f t="shared" si="606"/>
        <v>0</v>
      </c>
      <c r="AM2711" s="110">
        <f t="shared" si="607"/>
        <v>5</v>
      </c>
      <c r="AN2711" s="447">
        <f t="shared" si="597"/>
        <v>0</v>
      </c>
      <c r="AO2711"/>
      <c r="AP2711"/>
    </row>
    <row r="2712" spans="1:42" ht="66" x14ac:dyDescent="0.25">
      <c r="A2712" s="9"/>
      <c r="B2712" s="46" t="s">
        <v>1629</v>
      </c>
      <c r="C2712" s="1024"/>
      <c r="D2712" s="869">
        <v>1</v>
      </c>
      <c r="E2712" s="1027"/>
      <c r="F2712" s="273" t="s">
        <v>3446</v>
      </c>
      <c r="G2712" s="1040" t="s">
        <v>3463</v>
      </c>
      <c r="H2712" s="273" t="s">
        <v>3462</v>
      </c>
      <c r="I2712" s="720">
        <f t="shared" si="608"/>
        <v>35.078400000000002</v>
      </c>
      <c r="J2712" s="756">
        <v>35.078400000000002</v>
      </c>
      <c r="K2712" s="131">
        <f t="shared" si="596"/>
        <v>35.078400000000002</v>
      </c>
      <c r="L2712" s="335">
        <f t="shared" si="604"/>
        <v>0</v>
      </c>
      <c r="M2712" s="446"/>
      <c r="N2712" s="446"/>
      <c r="O2712" s="446"/>
      <c r="P2712" s="446"/>
      <c r="Q2712" s="110">
        <v>1</v>
      </c>
      <c r="R2712" s="111">
        <f t="shared" si="602"/>
        <v>8.7696000000000005</v>
      </c>
      <c r="S2712" s="110"/>
      <c r="T2712" s="110"/>
      <c r="U2712" s="110">
        <v>0</v>
      </c>
      <c r="V2712" s="111">
        <f t="shared" si="603"/>
        <v>8.7696000000000005</v>
      </c>
      <c r="W2712" s="110"/>
      <c r="X2712" s="110"/>
      <c r="Y2712" s="110"/>
      <c r="Z2712" s="110"/>
      <c r="AA2712" s="110">
        <v>0</v>
      </c>
      <c r="AB2712" s="111">
        <f t="shared" si="609"/>
        <v>8.7696000000000005</v>
      </c>
      <c r="AC2712" s="110"/>
      <c r="AD2712" s="110"/>
      <c r="AE2712" s="110">
        <v>0</v>
      </c>
      <c r="AF2712" s="111">
        <f t="shared" si="610"/>
        <v>8.7696000000000005</v>
      </c>
      <c r="AG2712" s="110"/>
      <c r="AH2712" s="110"/>
      <c r="AI2712" s="110"/>
      <c r="AJ2712" s="110"/>
      <c r="AK2712" s="111">
        <f t="shared" si="605"/>
        <v>35.078400000000002</v>
      </c>
      <c r="AL2712" s="446">
        <f t="shared" si="606"/>
        <v>0</v>
      </c>
      <c r="AM2712" s="110">
        <f t="shared" si="607"/>
        <v>1</v>
      </c>
      <c r="AN2712" s="447">
        <f t="shared" si="597"/>
        <v>0</v>
      </c>
      <c r="AO2712"/>
      <c r="AP2712"/>
    </row>
    <row r="2713" spans="1:42" ht="66" x14ac:dyDescent="0.25">
      <c r="A2713" s="9"/>
      <c r="B2713" s="46" t="s">
        <v>1630</v>
      </c>
      <c r="C2713" s="1024"/>
      <c r="D2713" s="869">
        <v>1</v>
      </c>
      <c r="E2713" s="1027" t="s">
        <v>1721</v>
      </c>
      <c r="F2713" s="273" t="s">
        <v>3446</v>
      </c>
      <c r="G2713" s="1040" t="s">
        <v>3463</v>
      </c>
      <c r="H2713" s="273" t="s">
        <v>3462</v>
      </c>
      <c r="I2713" s="720">
        <f t="shared" si="608"/>
        <v>200.44800000000001</v>
      </c>
      <c r="J2713" s="756">
        <v>200.44800000000001</v>
      </c>
      <c r="K2713" s="131">
        <f t="shared" si="596"/>
        <v>200.44800000000001</v>
      </c>
      <c r="L2713" s="335">
        <f t="shared" si="604"/>
        <v>0</v>
      </c>
      <c r="M2713" s="446"/>
      <c r="N2713" s="446"/>
      <c r="O2713" s="446"/>
      <c r="P2713" s="446"/>
      <c r="Q2713" s="110">
        <v>1</v>
      </c>
      <c r="R2713" s="111">
        <f t="shared" si="602"/>
        <v>50.112000000000002</v>
      </c>
      <c r="S2713" s="110"/>
      <c r="T2713" s="110"/>
      <c r="U2713" s="110">
        <v>0</v>
      </c>
      <c r="V2713" s="111">
        <f t="shared" si="603"/>
        <v>50.112000000000002</v>
      </c>
      <c r="W2713" s="110"/>
      <c r="X2713" s="110"/>
      <c r="Y2713" s="110"/>
      <c r="Z2713" s="110"/>
      <c r="AA2713" s="110">
        <v>0</v>
      </c>
      <c r="AB2713" s="111">
        <f t="shared" si="609"/>
        <v>50.112000000000002</v>
      </c>
      <c r="AC2713" s="110"/>
      <c r="AD2713" s="110"/>
      <c r="AE2713" s="110">
        <v>0</v>
      </c>
      <c r="AF2713" s="111">
        <f t="shared" si="610"/>
        <v>50.112000000000002</v>
      </c>
      <c r="AG2713" s="110"/>
      <c r="AH2713" s="110"/>
      <c r="AI2713" s="110"/>
      <c r="AJ2713" s="110"/>
      <c r="AK2713" s="111">
        <f t="shared" si="605"/>
        <v>200.44800000000001</v>
      </c>
      <c r="AL2713" s="446">
        <f t="shared" si="606"/>
        <v>0</v>
      </c>
      <c r="AM2713" s="110">
        <f t="shared" si="607"/>
        <v>1</v>
      </c>
      <c r="AN2713" s="447">
        <f t="shared" si="597"/>
        <v>0</v>
      </c>
      <c r="AO2713"/>
      <c r="AP2713"/>
    </row>
    <row r="2714" spans="1:42" ht="66" x14ac:dyDescent="0.25">
      <c r="A2714" s="9"/>
      <c r="B2714" s="46" t="s">
        <v>1631</v>
      </c>
      <c r="C2714" s="1024"/>
      <c r="D2714" s="869">
        <v>1</v>
      </c>
      <c r="E2714" s="1027"/>
      <c r="F2714" s="273" t="s">
        <v>3446</v>
      </c>
      <c r="G2714" s="1040" t="s">
        <v>3463</v>
      </c>
      <c r="H2714" s="273" t="s">
        <v>3462</v>
      </c>
      <c r="I2714" s="720">
        <f t="shared" si="608"/>
        <v>149.08320000000001</v>
      </c>
      <c r="J2714" s="756">
        <v>149.08320000000001</v>
      </c>
      <c r="K2714" s="131">
        <f t="shared" ref="K2714:K2777" si="611">+D2714*I2714</f>
        <v>149.08320000000001</v>
      </c>
      <c r="L2714" s="335">
        <f t="shared" si="604"/>
        <v>0</v>
      </c>
      <c r="M2714" s="446"/>
      <c r="N2714" s="446"/>
      <c r="O2714" s="446"/>
      <c r="P2714" s="446"/>
      <c r="Q2714" s="110">
        <v>1</v>
      </c>
      <c r="R2714" s="111">
        <f t="shared" si="602"/>
        <v>37.270800000000001</v>
      </c>
      <c r="S2714" s="110"/>
      <c r="T2714" s="110"/>
      <c r="U2714" s="110">
        <v>0</v>
      </c>
      <c r="V2714" s="111">
        <f t="shared" si="603"/>
        <v>37.270800000000001</v>
      </c>
      <c r="W2714" s="110"/>
      <c r="X2714" s="110"/>
      <c r="Y2714" s="110"/>
      <c r="Z2714" s="110"/>
      <c r="AA2714" s="110">
        <v>0</v>
      </c>
      <c r="AB2714" s="111">
        <f t="shared" si="609"/>
        <v>37.270800000000001</v>
      </c>
      <c r="AC2714" s="110"/>
      <c r="AD2714" s="110"/>
      <c r="AE2714" s="110">
        <v>0</v>
      </c>
      <c r="AF2714" s="111">
        <f t="shared" si="610"/>
        <v>37.270800000000001</v>
      </c>
      <c r="AG2714" s="110"/>
      <c r="AH2714" s="110"/>
      <c r="AI2714" s="110"/>
      <c r="AJ2714" s="110"/>
      <c r="AK2714" s="111">
        <f t="shared" si="605"/>
        <v>149.08320000000001</v>
      </c>
      <c r="AL2714" s="446">
        <f t="shared" si="606"/>
        <v>0</v>
      </c>
      <c r="AM2714" s="110">
        <f t="shared" si="607"/>
        <v>1</v>
      </c>
      <c r="AN2714" s="447">
        <f t="shared" ref="AN2714:AN2777" si="612">+D2714-AM2714</f>
        <v>0</v>
      </c>
      <c r="AO2714"/>
      <c r="AP2714"/>
    </row>
    <row r="2715" spans="1:42" ht="66" x14ac:dyDescent="0.25">
      <c r="A2715" s="9"/>
      <c r="B2715" s="34" t="s">
        <v>1632</v>
      </c>
      <c r="C2715" s="1024"/>
      <c r="D2715" s="869">
        <v>5</v>
      </c>
      <c r="E2715" s="1027"/>
      <c r="F2715" s="273" t="s">
        <v>3446</v>
      </c>
      <c r="G2715" s="1040" t="s">
        <v>3463</v>
      </c>
      <c r="H2715" s="273" t="s">
        <v>3462</v>
      </c>
      <c r="I2715" s="720">
        <f t="shared" si="608"/>
        <v>56.375999999999998</v>
      </c>
      <c r="J2715" s="763">
        <v>281.88</v>
      </c>
      <c r="K2715" s="131">
        <f t="shared" si="611"/>
        <v>281.88</v>
      </c>
      <c r="L2715" s="335">
        <f t="shared" si="604"/>
        <v>0</v>
      </c>
      <c r="M2715" s="446"/>
      <c r="N2715" s="446"/>
      <c r="O2715" s="446"/>
      <c r="P2715" s="446"/>
      <c r="Q2715" s="110">
        <v>2</v>
      </c>
      <c r="R2715" s="111">
        <f t="shared" si="602"/>
        <v>70.47</v>
      </c>
      <c r="S2715" s="110"/>
      <c r="T2715" s="110"/>
      <c r="U2715" s="110">
        <v>1</v>
      </c>
      <c r="V2715" s="111">
        <f t="shared" si="603"/>
        <v>70.47</v>
      </c>
      <c r="W2715" s="110"/>
      <c r="X2715" s="110"/>
      <c r="Y2715" s="110"/>
      <c r="Z2715" s="110"/>
      <c r="AA2715" s="110">
        <v>1</v>
      </c>
      <c r="AB2715" s="111">
        <f t="shared" si="609"/>
        <v>70.47</v>
      </c>
      <c r="AC2715" s="110"/>
      <c r="AD2715" s="110"/>
      <c r="AE2715" s="110">
        <v>1</v>
      </c>
      <c r="AF2715" s="111">
        <f t="shared" si="610"/>
        <v>70.47</v>
      </c>
      <c r="AG2715" s="110"/>
      <c r="AH2715" s="110"/>
      <c r="AI2715" s="110"/>
      <c r="AJ2715" s="110"/>
      <c r="AK2715" s="111">
        <f t="shared" si="605"/>
        <v>281.88</v>
      </c>
      <c r="AL2715" s="446">
        <f t="shared" si="606"/>
        <v>0</v>
      </c>
      <c r="AM2715" s="110">
        <f t="shared" si="607"/>
        <v>5</v>
      </c>
      <c r="AN2715" s="447">
        <f t="shared" si="612"/>
        <v>0</v>
      </c>
      <c r="AO2715"/>
      <c r="AP2715"/>
    </row>
    <row r="2716" spans="1:42" ht="66" x14ac:dyDescent="0.25">
      <c r="A2716" s="9"/>
      <c r="B2716" s="34" t="s">
        <v>634</v>
      </c>
      <c r="C2716" s="1024"/>
      <c r="D2716" s="869">
        <v>5</v>
      </c>
      <c r="E2716" s="1027"/>
      <c r="F2716" s="273" t="s">
        <v>3446</v>
      </c>
      <c r="G2716" s="1040" t="s">
        <v>3463</v>
      </c>
      <c r="H2716" s="273" t="s">
        <v>3462</v>
      </c>
      <c r="I2716" s="720">
        <f t="shared" si="608"/>
        <v>125.28</v>
      </c>
      <c r="J2716" s="763">
        <v>626.4</v>
      </c>
      <c r="K2716" s="131">
        <f t="shared" si="611"/>
        <v>626.4</v>
      </c>
      <c r="L2716" s="335">
        <f t="shared" si="604"/>
        <v>0</v>
      </c>
      <c r="M2716" s="446"/>
      <c r="N2716" s="446"/>
      <c r="O2716" s="446"/>
      <c r="P2716" s="446"/>
      <c r="Q2716" s="110">
        <v>2</v>
      </c>
      <c r="R2716" s="111">
        <f t="shared" si="602"/>
        <v>156.6</v>
      </c>
      <c r="S2716" s="110"/>
      <c r="T2716" s="110"/>
      <c r="U2716" s="110">
        <v>1</v>
      </c>
      <c r="V2716" s="111">
        <f t="shared" si="603"/>
        <v>156.6</v>
      </c>
      <c r="W2716" s="110"/>
      <c r="X2716" s="110"/>
      <c r="Y2716" s="110"/>
      <c r="Z2716" s="110"/>
      <c r="AA2716" s="110">
        <v>1</v>
      </c>
      <c r="AB2716" s="111">
        <f t="shared" si="609"/>
        <v>156.6</v>
      </c>
      <c r="AC2716" s="110"/>
      <c r="AD2716" s="110"/>
      <c r="AE2716" s="110">
        <v>1</v>
      </c>
      <c r="AF2716" s="111">
        <f t="shared" si="610"/>
        <v>156.6</v>
      </c>
      <c r="AG2716" s="110"/>
      <c r="AH2716" s="110"/>
      <c r="AI2716" s="110"/>
      <c r="AJ2716" s="110"/>
      <c r="AK2716" s="111">
        <f t="shared" si="605"/>
        <v>626.4</v>
      </c>
      <c r="AL2716" s="446">
        <f t="shared" si="606"/>
        <v>0</v>
      </c>
      <c r="AM2716" s="110">
        <f t="shared" si="607"/>
        <v>5</v>
      </c>
      <c r="AN2716" s="447">
        <f t="shared" si="612"/>
        <v>0</v>
      </c>
      <c r="AO2716"/>
      <c r="AP2716"/>
    </row>
    <row r="2717" spans="1:42" ht="66" x14ac:dyDescent="0.25">
      <c r="A2717" s="9"/>
      <c r="B2717" s="34" t="s">
        <v>1633</v>
      </c>
      <c r="C2717" s="1024"/>
      <c r="D2717" s="869">
        <v>1</v>
      </c>
      <c r="E2717" s="1027"/>
      <c r="F2717" s="273" t="s">
        <v>3446</v>
      </c>
      <c r="G2717" s="1040" t="s">
        <v>3463</v>
      </c>
      <c r="H2717" s="273" t="s">
        <v>3462</v>
      </c>
      <c r="I2717" s="720">
        <f t="shared" si="608"/>
        <v>145.32480000000001</v>
      </c>
      <c r="J2717" s="763">
        <v>145.32480000000001</v>
      </c>
      <c r="K2717" s="131">
        <f t="shared" si="611"/>
        <v>145.32480000000001</v>
      </c>
      <c r="L2717" s="335">
        <f t="shared" si="604"/>
        <v>0</v>
      </c>
      <c r="M2717" s="446"/>
      <c r="N2717" s="446"/>
      <c r="O2717" s="446"/>
      <c r="P2717" s="446"/>
      <c r="Q2717" s="110">
        <v>1</v>
      </c>
      <c r="R2717" s="111">
        <f t="shared" si="602"/>
        <v>36.331200000000003</v>
      </c>
      <c r="S2717" s="110"/>
      <c r="T2717" s="110"/>
      <c r="U2717" s="110">
        <v>0</v>
      </c>
      <c r="V2717" s="111">
        <f t="shared" si="603"/>
        <v>36.331200000000003</v>
      </c>
      <c r="W2717" s="110"/>
      <c r="X2717" s="110"/>
      <c r="Y2717" s="110"/>
      <c r="Z2717" s="110"/>
      <c r="AA2717" s="110">
        <v>0</v>
      </c>
      <c r="AB2717" s="111">
        <f t="shared" si="609"/>
        <v>36.331200000000003</v>
      </c>
      <c r="AC2717" s="110"/>
      <c r="AD2717" s="110"/>
      <c r="AE2717" s="110">
        <v>0</v>
      </c>
      <c r="AF2717" s="111">
        <f t="shared" si="610"/>
        <v>36.331200000000003</v>
      </c>
      <c r="AG2717" s="110"/>
      <c r="AH2717" s="110"/>
      <c r="AI2717" s="110"/>
      <c r="AJ2717" s="110"/>
      <c r="AK2717" s="111">
        <f t="shared" si="605"/>
        <v>145.32480000000001</v>
      </c>
      <c r="AL2717" s="446">
        <f t="shared" si="606"/>
        <v>0</v>
      </c>
      <c r="AM2717" s="110">
        <f t="shared" si="607"/>
        <v>1</v>
      </c>
      <c r="AN2717" s="447">
        <f t="shared" si="612"/>
        <v>0</v>
      </c>
      <c r="AO2717"/>
      <c r="AP2717"/>
    </row>
    <row r="2718" spans="1:42" ht="66" x14ac:dyDescent="0.25">
      <c r="A2718" s="9"/>
      <c r="B2718" s="34" t="s">
        <v>635</v>
      </c>
      <c r="C2718" s="1024"/>
      <c r="D2718" s="869">
        <v>10</v>
      </c>
      <c r="E2718" s="1027" t="s">
        <v>1725</v>
      </c>
      <c r="F2718" s="273" t="s">
        <v>3446</v>
      </c>
      <c r="G2718" s="1040" t="s">
        <v>3463</v>
      </c>
      <c r="H2718" s="273" t="s">
        <v>3462</v>
      </c>
      <c r="I2718" s="720">
        <f t="shared" si="608"/>
        <v>48.859199999999994</v>
      </c>
      <c r="J2718" s="763">
        <v>488.59199999999993</v>
      </c>
      <c r="K2718" s="131">
        <f t="shared" si="611"/>
        <v>488.59199999999993</v>
      </c>
      <c r="L2718" s="335">
        <f t="shared" si="604"/>
        <v>0</v>
      </c>
      <c r="M2718" s="446"/>
      <c r="N2718" s="446"/>
      <c r="O2718" s="446"/>
      <c r="P2718" s="446"/>
      <c r="Q2718" s="130">
        <v>3</v>
      </c>
      <c r="R2718" s="111">
        <f t="shared" si="602"/>
        <v>122.14799999999998</v>
      </c>
      <c r="S2718" s="110"/>
      <c r="T2718" s="110"/>
      <c r="U2718" s="130">
        <v>3</v>
      </c>
      <c r="V2718" s="111">
        <f t="shared" si="603"/>
        <v>122.14799999999998</v>
      </c>
      <c r="W2718" s="110"/>
      <c r="X2718" s="110"/>
      <c r="Y2718" s="110"/>
      <c r="Z2718" s="110"/>
      <c r="AA2718" s="130">
        <v>2</v>
      </c>
      <c r="AB2718" s="111">
        <f t="shared" si="609"/>
        <v>122.14799999999998</v>
      </c>
      <c r="AC2718" s="110"/>
      <c r="AD2718" s="110"/>
      <c r="AE2718" s="130">
        <v>2</v>
      </c>
      <c r="AF2718" s="111">
        <f t="shared" si="610"/>
        <v>122.14799999999998</v>
      </c>
      <c r="AG2718" s="110"/>
      <c r="AH2718" s="110"/>
      <c r="AI2718" s="110"/>
      <c r="AJ2718" s="110"/>
      <c r="AK2718" s="111">
        <f t="shared" si="605"/>
        <v>488.59199999999993</v>
      </c>
      <c r="AL2718" s="446">
        <f t="shared" si="606"/>
        <v>0</v>
      </c>
      <c r="AM2718" s="110">
        <f t="shared" si="607"/>
        <v>10</v>
      </c>
      <c r="AN2718" s="447">
        <f t="shared" si="612"/>
        <v>0</v>
      </c>
      <c r="AO2718"/>
      <c r="AP2718"/>
    </row>
    <row r="2719" spans="1:42" ht="66" x14ac:dyDescent="0.25">
      <c r="A2719" s="9"/>
      <c r="B2719" s="34" t="s">
        <v>1634</v>
      </c>
      <c r="C2719" s="1024"/>
      <c r="D2719" s="869">
        <v>2</v>
      </c>
      <c r="E2719" s="1027"/>
      <c r="F2719" s="273" t="s">
        <v>3446</v>
      </c>
      <c r="G2719" s="1040" t="s">
        <v>3463</v>
      </c>
      <c r="H2719" s="273" t="s">
        <v>3462</v>
      </c>
      <c r="I2719" s="720">
        <f t="shared" si="608"/>
        <v>102.7296</v>
      </c>
      <c r="J2719" s="763">
        <v>205.45920000000001</v>
      </c>
      <c r="K2719" s="131">
        <f t="shared" si="611"/>
        <v>205.45920000000001</v>
      </c>
      <c r="L2719" s="335">
        <f t="shared" si="604"/>
        <v>0</v>
      </c>
      <c r="M2719" s="446"/>
      <c r="N2719" s="446"/>
      <c r="O2719" s="446"/>
      <c r="P2719" s="446"/>
      <c r="Q2719" s="130">
        <v>1</v>
      </c>
      <c r="R2719" s="111">
        <f t="shared" si="602"/>
        <v>51.364800000000002</v>
      </c>
      <c r="S2719" s="110"/>
      <c r="T2719" s="110"/>
      <c r="U2719" s="130">
        <v>1</v>
      </c>
      <c r="V2719" s="111">
        <f t="shared" si="603"/>
        <v>51.364800000000002</v>
      </c>
      <c r="W2719" s="110"/>
      <c r="X2719" s="110"/>
      <c r="Y2719" s="110"/>
      <c r="Z2719" s="110"/>
      <c r="AA2719" s="130">
        <v>0</v>
      </c>
      <c r="AB2719" s="111">
        <f t="shared" si="609"/>
        <v>51.364800000000002</v>
      </c>
      <c r="AC2719" s="110"/>
      <c r="AD2719" s="110"/>
      <c r="AE2719" s="130">
        <v>0</v>
      </c>
      <c r="AF2719" s="111">
        <f t="shared" si="610"/>
        <v>51.364800000000002</v>
      </c>
      <c r="AG2719" s="110"/>
      <c r="AH2719" s="110"/>
      <c r="AI2719" s="110"/>
      <c r="AJ2719" s="110"/>
      <c r="AK2719" s="111">
        <f t="shared" si="605"/>
        <v>205.45920000000001</v>
      </c>
      <c r="AL2719" s="446">
        <f t="shared" si="606"/>
        <v>0</v>
      </c>
      <c r="AM2719" s="110">
        <f t="shared" si="607"/>
        <v>2</v>
      </c>
      <c r="AN2719" s="447">
        <f t="shared" si="612"/>
        <v>0</v>
      </c>
      <c r="AO2719"/>
      <c r="AP2719"/>
    </row>
    <row r="2720" spans="1:42" ht="66" x14ac:dyDescent="0.25">
      <c r="A2720" s="9"/>
      <c r="B2720" s="34" t="s">
        <v>636</v>
      </c>
      <c r="C2720" s="1024"/>
      <c r="D2720" s="869">
        <v>5</v>
      </c>
      <c r="E2720" s="1027"/>
      <c r="F2720" s="273" t="s">
        <v>3446</v>
      </c>
      <c r="G2720" s="1040" t="s">
        <v>3463</v>
      </c>
      <c r="H2720" s="273" t="s">
        <v>3462</v>
      </c>
      <c r="I2720" s="720">
        <f t="shared" si="608"/>
        <v>87.695999999999998</v>
      </c>
      <c r="J2720" s="763">
        <v>438.48</v>
      </c>
      <c r="K2720" s="131">
        <f t="shared" si="611"/>
        <v>438.48</v>
      </c>
      <c r="L2720" s="335">
        <f t="shared" si="604"/>
        <v>0</v>
      </c>
      <c r="M2720" s="446"/>
      <c r="N2720" s="446"/>
      <c r="O2720" s="446"/>
      <c r="P2720" s="446"/>
      <c r="Q2720" s="110">
        <v>2</v>
      </c>
      <c r="R2720" s="111">
        <f t="shared" si="602"/>
        <v>109.62</v>
      </c>
      <c r="S2720" s="110"/>
      <c r="T2720" s="110"/>
      <c r="U2720" s="110">
        <v>1</v>
      </c>
      <c r="V2720" s="111">
        <f t="shared" si="603"/>
        <v>109.62</v>
      </c>
      <c r="W2720" s="110"/>
      <c r="X2720" s="110"/>
      <c r="Y2720" s="110"/>
      <c r="Z2720" s="110"/>
      <c r="AA2720" s="110">
        <v>1</v>
      </c>
      <c r="AB2720" s="111">
        <f t="shared" si="609"/>
        <v>109.62</v>
      </c>
      <c r="AC2720" s="110"/>
      <c r="AD2720" s="110"/>
      <c r="AE2720" s="110">
        <v>1</v>
      </c>
      <c r="AF2720" s="111">
        <f t="shared" si="610"/>
        <v>109.62</v>
      </c>
      <c r="AG2720" s="110"/>
      <c r="AH2720" s="110"/>
      <c r="AI2720" s="110"/>
      <c r="AJ2720" s="110"/>
      <c r="AK2720" s="111">
        <f t="shared" si="605"/>
        <v>438.48</v>
      </c>
      <c r="AL2720" s="446">
        <f t="shared" si="606"/>
        <v>0</v>
      </c>
      <c r="AM2720" s="110">
        <f t="shared" si="607"/>
        <v>5</v>
      </c>
      <c r="AN2720" s="447">
        <f t="shared" si="612"/>
        <v>0</v>
      </c>
      <c r="AO2720"/>
      <c r="AP2720"/>
    </row>
    <row r="2721" spans="1:42" ht="66" x14ac:dyDescent="0.25">
      <c r="A2721" s="9"/>
      <c r="B2721" s="34" t="s">
        <v>1635</v>
      </c>
      <c r="C2721" s="1024"/>
      <c r="D2721" s="869">
        <v>10</v>
      </c>
      <c r="E2721" s="1027"/>
      <c r="F2721" s="273" t="s">
        <v>3446</v>
      </c>
      <c r="G2721" s="1040" t="s">
        <v>3463</v>
      </c>
      <c r="H2721" s="273" t="s">
        <v>3462</v>
      </c>
      <c r="I2721" s="720">
        <f t="shared" si="608"/>
        <v>87.695999999999998</v>
      </c>
      <c r="J2721" s="763">
        <v>876.96</v>
      </c>
      <c r="K2721" s="131">
        <f t="shared" si="611"/>
        <v>876.96</v>
      </c>
      <c r="L2721" s="335">
        <f t="shared" si="604"/>
        <v>0</v>
      </c>
      <c r="M2721" s="446"/>
      <c r="N2721" s="446"/>
      <c r="O2721" s="446"/>
      <c r="P2721" s="446"/>
      <c r="Q2721" s="130">
        <v>3</v>
      </c>
      <c r="R2721" s="111">
        <f t="shared" si="602"/>
        <v>219.24</v>
      </c>
      <c r="S2721" s="110"/>
      <c r="T2721" s="110"/>
      <c r="U2721" s="130">
        <v>3</v>
      </c>
      <c r="V2721" s="111">
        <f t="shared" si="603"/>
        <v>219.24</v>
      </c>
      <c r="W2721" s="110"/>
      <c r="X2721" s="110"/>
      <c r="Y2721" s="110"/>
      <c r="Z2721" s="110"/>
      <c r="AA2721" s="130">
        <v>2</v>
      </c>
      <c r="AB2721" s="111">
        <f t="shared" si="609"/>
        <v>219.24</v>
      </c>
      <c r="AC2721" s="110"/>
      <c r="AD2721" s="110"/>
      <c r="AE2721" s="130">
        <v>2</v>
      </c>
      <c r="AF2721" s="111">
        <f t="shared" si="610"/>
        <v>219.24</v>
      </c>
      <c r="AG2721" s="110"/>
      <c r="AH2721" s="110"/>
      <c r="AI2721" s="110"/>
      <c r="AJ2721" s="110"/>
      <c r="AK2721" s="111">
        <f t="shared" si="605"/>
        <v>876.96</v>
      </c>
      <c r="AL2721" s="446">
        <f t="shared" si="606"/>
        <v>0</v>
      </c>
      <c r="AM2721" s="110">
        <f t="shared" si="607"/>
        <v>10</v>
      </c>
      <c r="AN2721" s="447">
        <f t="shared" si="612"/>
        <v>0</v>
      </c>
      <c r="AO2721"/>
      <c r="AP2721"/>
    </row>
    <row r="2722" spans="1:42" ht="66" x14ac:dyDescent="0.25">
      <c r="A2722" s="9"/>
      <c r="B2722" s="46" t="s">
        <v>1636</v>
      </c>
      <c r="C2722" s="1024"/>
      <c r="D2722" s="869">
        <v>5</v>
      </c>
      <c r="E2722" s="1027"/>
      <c r="F2722" s="273" t="s">
        <v>3446</v>
      </c>
      <c r="G2722" s="1040" t="s">
        <v>3463</v>
      </c>
      <c r="H2722" s="273" t="s">
        <v>3462</v>
      </c>
      <c r="I2722" s="720">
        <f t="shared" si="608"/>
        <v>75.167999999999992</v>
      </c>
      <c r="J2722" s="763">
        <v>375.84</v>
      </c>
      <c r="K2722" s="131">
        <f t="shared" si="611"/>
        <v>375.84</v>
      </c>
      <c r="L2722" s="335">
        <f t="shared" si="604"/>
        <v>0</v>
      </c>
      <c r="M2722" s="446"/>
      <c r="N2722" s="446"/>
      <c r="O2722" s="446"/>
      <c r="P2722" s="446"/>
      <c r="Q2722" s="110">
        <v>2</v>
      </c>
      <c r="R2722" s="111">
        <f t="shared" si="602"/>
        <v>93.96</v>
      </c>
      <c r="S2722" s="110"/>
      <c r="T2722" s="110"/>
      <c r="U2722" s="110">
        <v>1</v>
      </c>
      <c r="V2722" s="111">
        <f t="shared" si="603"/>
        <v>93.96</v>
      </c>
      <c r="W2722" s="110"/>
      <c r="X2722" s="110"/>
      <c r="Y2722" s="110"/>
      <c r="Z2722" s="110"/>
      <c r="AA2722" s="110">
        <v>1</v>
      </c>
      <c r="AB2722" s="111">
        <f t="shared" si="609"/>
        <v>93.96</v>
      </c>
      <c r="AC2722" s="110"/>
      <c r="AD2722" s="110"/>
      <c r="AE2722" s="110">
        <v>1</v>
      </c>
      <c r="AF2722" s="111">
        <f t="shared" si="610"/>
        <v>93.96</v>
      </c>
      <c r="AG2722" s="110"/>
      <c r="AH2722" s="110"/>
      <c r="AI2722" s="110"/>
      <c r="AJ2722" s="110"/>
      <c r="AK2722" s="111">
        <f t="shared" si="605"/>
        <v>375.84</v>
      </c>
      <c r="AL2722" s="446">
        <f t="shared" si="606"/>
        <v>0</v>
      </c>
      <c r="AM2722" s="110">
        <f t="shared" si="607"/>
        <v>5</v>
      </c>
      <c r="AN2722" s="447">
        <f t="shared" si="612"/>
        <v>0</v>
      </c>
      <c r="AO2722"/>
      <c r="AP2722"/>
    </row>
    <row r="2723" spans="1:42" ht="66" x14ac:dyDescent="0.25">
      <c r="A2723" s="9"/>
      <c r="B2723" s="124" t="s">
        <v>1637</v>
      </c>
      <c r="C2723" s="1024"/>
      <c r="D2723" s="869">
        <v>5</v>
      </c>
      <c r="E2723" s="1027"/>
      <c r="F2723" s="273" t="s">
        <v>3446</v>
      </c>
      <c r="G2723" s="1040" t="s">
        <v>3463</v>
      </c>
      <c r="H2723" s="273" t="s">
        <v>3462</v>
      </c>
      <c r="I2723" s="720">
        <f t="shared" si="608"/>
        <v>350.65640000000002</v>
      </c>
      <c r="J2723" s="763">
        <v>1753.2820000000002</v>
      </c>
      <c r="K2723" s="131">
        <f t="shared" si="611"/>
        <v>1753.2820000000002</v>
      </c>
      <c r="L2723" s="335">
        <f t="shared" si="604"/>
        <v>0</v>
      </c>
      <c r="M2723" s="446"/>
      <c r="N2723" s="446"/>
      <c r="O2723" s="446"/>
      <c r="P2723" s="446"/>
      <c r="Q2723" s="110">
        <v>2</v>
      </c>
      <c r="R2723" s="111">
        <f t="shared" si="602"/>
        <v>438.32050000000004</v>
      </c>
      <c r="S2723" s="110"/>
      <c r="T2723" s="110"/>
      <c r="U2723" s="110">
        <v>1</v>
      </c>
      <c r="V2723" s="111">
        <f t="shared" si="603"/>
        <v>438.32050000000004</v>
      </c>
      <c r="W2723" s="110"/>
      <c r="X2723" s="110"/>
      <c r="Y2723" s="110"/>
      <c r="Z2723" s="110"/>
      <c r="AA2723" s="110">
        <v>1</v>
      </c>
      <c r="AB2723" s="111">
        <f t="shared" si="609"/>
        <v>438.32050000000004</v>
      </c>
      <c r="AC2723" s="110"/>
      <c r="AD2723" s="110"/>
      <c r="AE2723" s="110">
        <v>1</v>
      </c>
      <c r="AF2723" s="111">
        <f t="shared" si="610"/>
        <v>438.32050000000004</v>
      </c>
      <c r="AG2723" s="110"/>
      <c r="AH2723" s="110"/>
      <c r="AI2723" s="110"/>
      <c r="AJ2723" s="110"/>
      <c r="AK2723" s="111">
        <f t="shared" si="605"/>
        <v>1753.2820000000002</v>
      </c>
      <c r="AL2723" s="446">
        <f t="shared" si="606"/>
        <v>0</v>
      </c>
      <c r="AM2723" s="110">
        <f t="shared" si="607"/>
        <v>5</v>
      </c>
      <c r="AN2723" s="447">
        <f t="shared" si="612"/>
        <v>0</v>
      </c>
      <c r="AO2723"/>
      <c r="AP2723"/>
    </row>
    <row r="2724" spans="1:42" ht="66" x14ac:dyDescent="0.25">
      <c r="A2724" s="9"/>
      <c r="B2724" s="124" t="s">
        <v>1638</v>
      </c>
      <c r="C2724" s="1024"/>
      <c r="D2724" s="869">
        <v>5</v>
      </c>
      <c r="E2724" s="1027"/>
      <c r="F2724" s="273" t="s">
        <v>3446</v>
      </c>
      <c r="G2724" s="1040" t="s">
        <v>3463</v>
      </c>
      <c r="H2724" s="273" t="s">
        <v>3462</v>
      </c>
      <c r="I2724" s="720">
        <f t="shared" si="608"/>
        <v>463.53600000000006</v>
      </c>
      <c r="J2724" s="763">
        <v>2317.6800000000003</v>
      </c>
      <c r="K2724" s="131">
        <f t="shared" si="611"/>
        <v>2317.6800000000003</v>
      </c>
      <c r="L2724" s="335">
        <f t="shared" si="604"/>
        <v>0</v>
      </c>
      <c r="M2724" s="446"/>
      <c r="N2724" s="446"/>
      <c r="O2724" s="446"/>
      <c r="P2724" s="446"/>
      <c r="Q2724" s="110">
        <v>2</v>
      </c>
      <c r="R2724" s="111">
        <f t="shared" si="602"/>
        <v>579.42000000000007</v>
      </c>
      <c r="S2724" s="110"/>
      <c r="T2724" s="110"/>
      <c r="U2724" s="110">
        <v>1</v>
      </c>
      <c r="V2724" s="111">
        <f t="shared" si="603"/>
        <v>579.42000000000007</v>
      </c>
      <c r="W2724" s="110"/>
      <c r="X2724" s="110"/>
      <c r="Y2724" s="110"/>
      <c r="Z2724" s="110"/>
      <c r="AA2724" s="110">
        <v>1</v>
      </c>
      <c r="AB2724" s="111">
        <f t="shared" si="609"/>
        <v>579.42000000000007</v>
      </c>
      <c r="AC2724" s="110"/>
      <c r="AD2724" s="110"/>
      <c r="AE2724" s="110">
        <v>1</v>
      </c>
      <c r="AF2724" s="111">
        <f t="shared" si="610"/>
        <v>579.42000000000007</v>
      </c>
      <c r="AG2724" s="110"/>
      <c r="AH2724" s="110"/>
      <c r="AI2724" s="110"/>
      <c r="AJ2724" s="110"/>
      <c r="AK2724" s="111">
        <f t="shared" si="605"/>
        <v>2317.6800000000003</v>
      </c>
      <c r="AL2724" s="446">
        <f t="shared" si="606"/>
        <v>0</v>
      </c>
      <c r="AM2724" s="110">
        <f t="shared" si="607"/>
        <v>5</v>
      </c>
      <c r="AN2724" s="447">
        <f t="shared" si="612"/>
        <v>0</v>
      </c>
      <c r="AO2724"/>
      <c r="AP2724"/>
    </row>
    <row r="2725" spans="1:42" ht="66" x14ac:dyDescent="0.25">
      <c r="A2725" s="9"/>
      <c r="B2725" s="124" t="s">
        <v>1639</v>
      </c>
      <c r="C2725" s="1024"/>
      <c r="D2725" s="869">
        <v>10</v>
      </c>
      <c r="E2725" s="1027"/>
      <c r="F2725" s="273" t="s">
        <v>3446</v>
      </c>
      <c r="G2725" s="1040" t="s">
        <v>3463</v>
      </c>
      <c r="H2725" s="273" t="s">
        <v>3462</v>
      </c>
      <c r="I2725" s="720">
        <f t="shared" si="608"/>
        <v>42.595199999999998</v>
      </c>
      <c r="J2725" s="763">
        <v>425.952</v>
      </c>
      <c r="K2725" s="131">
        <f t="shared" si="611"/>
        <v>425.952</v>
      </c>
      <c r="L2725" s="335">
        <f t="shared" si="604"/>
        <v>0</v>
      </c>
      <c r="M2725" s="446"/>
      <c r="N2725" s="446"/>
      <c r="O2725" s="446"/>
      <c r="P2725" s="446"/>
      <c r="Q2725" s="130">
        <v>3</v>
      </c>
      <c r="R2725" s="111">
        <f t="shared" si="602"/>
        <v>106.488</v>
      </c>
      <c r="S2725" s="110"/>
      <c r="T2725" s="110"/>
      <c r="U2725" s="130">
        <v>3</v>
      </c>
      <c r="V2725" s="111">
        <f t="shared" si="603"/>
        <v>106.488</v>
      </c>
      <c r="W2725" s="110"/>
      <c r="X2725" s="110"/>
      <c r="Y2725" s="110"/>
      <c r="Z2725" s="110"/>
      <c r="AA2725" s="130">
        <v>2</v>
      </c>
      <c r="AB2725" s="111">
        <f t="shared" si="609"/>
        <v>106.488</v>
      </c>
      <c r="AC2725" s="110"/>
      <c r="AD2725" s="110"/>
      <c r="AE2725" s="130">
        <v>2</v>
      </c>
      <c r="AF2725" s="111">
        <f t="shared" si="610"/>
        <v>106.488</v>
      </c>
      <c r="AG2725" s="110"/>
      <c r="AH2725" s="110"/>
      <c r="AI2725" s="110"/>
      <c r="AJ2725" s="110"/>
      <c r="AK2725" s="111">
        <f t="shared" si="605"/>
        <v>425.952</v>
      </c>
      <c r="AL2725" s="446">
        <f t="shared" si="606"/>
        <v>0</v>
      </c>
      <c r="AM2725" s="110">
        <f t="shared" si="607"/>
        <v>10</v>
      </c>
      <c r="AN2725" s="447">
        <f t="shared" si="612"/>
        <v>0</v>
      </c>
      <c r="AO2725"/>
      <c r="AP2725"/>
    </row>
    <row r="2726" spans="1:42" ht="66" x14ac:dyDescent="0.25">
      <c r="A2726" s="9"/>
      <c r="B2726" s="124" t="s">
        <v>1640</v>
      </c>
      <c r="C2726" s="1024"/>
      <c r="D2726" s="869">
        <v>10</v>
      </c>
      <c r="E2726" s="1027"/>
      <c r="F2726" s="273" t="s">
        <v>3446</v>
      </c>
      <c r="G2726" s="1040" t="s">
        <v>3463</v>
      </c>
      <c r="H2726" s="273" t="s">
        <v>3462</v>
      </c>
      <c r="I2726" s="720">
        <f t="shared" si="608"/>
        <v>67.651200000000003</v>
      </c>
      <c r="J2726" s="763">
        <v>676.51200000000006</v>
      </c>
      <c r="K2726" s="131">
        <f t="shared" si="611"/>
        <v>676.51200000000006</v>
      </c>
      <c r="L2726" s="335">
        <f t="shared" si="604"/>
        <v>0</v>
      </c>
      <c r="M2726" s="446"/>
      <c r="N2726" s="446"/>
      <c r="O2726" s="446"/>
      <c r="P2726" s="446"/>
      <c r="Q2726" s="130">
        <v>3</v>
      </c>
      <c r="R2726" s="111">
        <f t="shared" si="602"/>
        <v>169.12800000000001</v>
      </c>
      <c r="S2726" s="110"/>
      <c r="T2726" s="110"/>
      <c r="U2726" s="130">
        <v>3</v>
      </c>
      <c r="V2726" s="111">
        <f t="shared" si="603"/>
        <v>169.12800000000001</v>
      </c>
      <c r="W2726" s="110"/>
      <c r="X2726" s="110"/>
      <c r="Y2726" s="110"/>
      <c r="Z2726" s="110"/>
      <c r="AA2726" s="130">
        <v>2</v>
      </c>
      <c r="AB2726" s="111">
        <f t="shared" si="609"/>
        <v>169.12800000000001</v>
      </c>
      <c r="AC2726" s="110"/>
      <c r="AD2726" s="110"/>
      <c r="AE2726" s="130">
        <v>2</v>
      </c>
      <c r="AF2726" s="111">
        <f t="shared" si="610"/>
        <v>169.12800000000001</v>
      </c>
      <c r="AG2726" s="110"/>
      <c r="AH2726" s="110"/>
      <c r="AI2726" s="110"/>
      <c r="AJ2726" s="110"/>
      <c r="AK2726" s="111">
        <f t="shared" si="605"/>
        <v>676.51200000000006</v>
      </c>
      <c r="AL2726" s="446">
        <f t="shared" si="606"/>
        <v>0</v>
      </c>
      <c r="AM2726" s="110">
        <f t="shared" si="607"/>
        <v>10</v>
      </c>
      <c r="AN2726" s="447">
        <f t="shared" si="612"/>
        <v>0</v>
      </c>
      <c r="AO2726"/>
      <c r="AP2726"/>
    </row>
    <row r="2727" spans="1:42" ht="66" x14ac:dyDescent="0.25">
      <c r="A2727" s="9"/>
      <c r="B2727" s="124" t="s">
        <v>1641</v>
      </c>
      <c r="C2727" s="1024"/>
      <c r="D2727" s="869">
        <v>1</v>
      </c>
      <c r="E2727" s="1027" t="s">
        <v>1725</v>
      </c>
      <c r="F2727" s="273" t="s">
        <v>3446</v>
      </c>
      <c r="G2727" s="1040" t="s">
        <v>3463</v>
      </c>
      <c r="H2727" s="273" t="s">
        <v>3462</v>
      </c>
      <c r="I2727" s="720">
        <f t="shared" si="608"/>
        <v>102.7296</v>
      </c>
      <c r="J2727" s="763">
        <v>102.7296</v>
      </c>
      <c r="K2727" s="131">
        <f t="shared" si="611"/>
        <v>102.7296</v>
      </c>
      <c r="L2727" s="335">
        <f t="shared" si="604"/>
        <v>0</v>
      </c>
      <c r="M2727" s="446"/>
      <c r="N2727" s="446"/>
      <c r="O2727" s="446"/>
      <c r="P2727" s="446"/>
      <c r="Q2727" s="110">
        <v>1</v>
      </c>
      <c r="R2727" s="111">
        <f t="shared" si="602"/>
        <v>25.682400000000001</v>
      </c>
      <c r="S2727" s="110"/>
      <c r="T2727" s="110"/>
      <c r="U2727" s="110">
        <v>0</v>
      </c>
      <c r="V2727" s="111">
        <f t="shared" si="603"/>
        <v>25.682400000000001</v>
      </c>
      <c r="W2727" s="110"/>
      <c r="X2727" s="110"/>
      <c r="Y2727" s="110"/>
      <c r="Z2727" s="110"/>
      <c r="AA2727" s="110">
        <v>0</v>
      </c>
      <c r="AB2727" s="111">
        <f t="shared" si="609"/>
        <v>25.682400000000001</v>
      </c>
      <c r="AC2727" s="110"/>
      <c r="AD2727" s="110"/>
      <c r="AE2727" s="110">
        <v>0</v>
      </c>
      <c r="AF2727" s="111">
        <f t="shared" si="610"/>
        <v>25.682400000000001</v>
      </c>
      <c r="AG2727" s="110"/>
      <c r="AH2727" s="110"/>
      <c r="AI2727" s="110"/>
      <c r="AJ2727" s="110"/>
      <c r="AK2727" s="111">
        <f t="shared" si="605"/>
        <v>102.7296</v>
      </c>
      <c r="AL2727" s="446">
        <f t="shared" si="606"/>
        <v>0</v>
      </c>
      <c r="AM2727" s="110">
        <f t="shared" si="607"/>
        <v>1</v>
      </c>
      <c r="AN2727" s="447">
        <f t="shared" si="612"/>
        <v>0</v>
      </c>
      <c r="AO2727"/>
      <c r="AP2727"/>
    </row>
    <row r="2728" spans="1:42" ht="66" x14ac:dyDescent="0.25">
      <c r="A2728" s="9"/>
      <c r="B2728" s="124" t="s">
        <v>1642</v>
      </c>
      <c r="C2728" s="1024"/>
      <c r="D2728" s="869">
        <v>1</v>
      </c>
      <c r="E2728" s="1027" t="s">
        <v>1721</v>
      </c>
      <c r="F2728" s="273" t="s">
        <v>3446</v>
      </c>
      <c r="G2728" s="1040" t="s">
        <v>3463</v>
      </c>
      <c r="H2728" s="273" t="s">
        <v>3462</v>
      </c>
      <c r="I2728" s="720">
        <f t="shared" si="608"/>
        <v>107.74079999999999</v>
      </c>
      <c r="J2728" s="763">
        <v>107.74079999999999</v>
      </c>
      <c r="K2728" s="131">
        <f t="shared" si="611"/>
        <v>107.74079999999999</v>
      </c>
      <c r="L2728" s="335">
        <f t="shared" si="604"/>
        <v>0</v>
      </c>
      <c r="M2728" s="446"/>
      <c r="N2728" s="446"/>
      <c r="O2728" s="446"/>
      <c r="P2728" s="446"/>
      <c r="Q2728" s="110">
        <v>1</v>
      </c>
      <c r="R2728" s="111">
        <f t="shared" si="602"/>
        <v>26.935199999999998</v>
      </c>
      <c r="S2728" s="110"/>
      <c r="T2728" s="110"/>
      <c r="U2728" s="110">
        <v>0</v>
      </c>
      <c r="V2728" s="111">
        <f t="shared" si="603"/>
        <v>26.935199999999998</v>
      </c>
      <c r="W2728" s="110"/>
      <c r="X2728" s="110"/>
      <c r="Y2728" s="110"/>
      <c r="Z2728" s="110"/>
      <c r="AA2728" s="110">
        <v>0</v>
      </c>
      <c r="AB2728" s="111">
        <f t="shared" si="609"/>
        <v>26.935199999999998</v>
      </c>
      <c r="AC2728" s="110"/>
      <c r="AD2728" s="110"/>
      <c r="AE2728" s="110">
        <v>0</v>
      </c>
      <c r="AF2728" s="111">
        <f t="shared" si="610"/>
        <v>26.935199999999998</v>
      </c>
      <c r="AG2728" s="110"/>
      <c r="AH2728" s="110"/>
      <c r="AI2728" s="110"/>
      <c r="AJ2728" s="110"/>
      <c r="AK2728" s="111">
        <f t="shared" si="605"/>
        <v>107.74079999999999</v>
      </c>
      <c r="AL2728" s="446">
        <f t="shared" si="606"/>
        <v>0</v>
      </c>
      <c r="AM2728" s="110">
        <f t="shared" si="607"/>
        <v>1</v>
      </c>
      <c r="AN2728" s="447">
        <f t="shared" si="612"/>
        <v>0</v>
      </c>
      <c r="AO2728"/>
      <c r="AP2728"/>
    </row>
    <row r="2729" spans="1:42" ht="66" x14ac:dyDescent="0.25">
      <c r="A2729" s="9"/>
      <c r="B2729" s="146" t="s">
        <v>2117</v>
      </c>
      <c r="C2729" s="1024"/>
      <c r="D2729" s="869">
        <v>1</v>
      </c>
      <c r="E2729" s="1027" t="s">
        <v>1721</v>
      </c>
      <c r="F2729" s="273" t="s">
        <v>3446</v>
      </c>
      <c r="G2729" s="1040" t="s">
        <v>3463</v>
      </c>
      <c r="H2729" s="273" t="s">
        <v>3462</v>
      </c>
      <c r="I2729" s="720">
        <f t="shared" si="608"/>
        <v>185</v>
      </c>
      <c r="J2729" s="756">
        <v>185</v>
      </c>
      <c r="K2729" s="131">
        <f t="shared" si="611"/>
        <v>185</v>
      </c>
      <c r="L2729" s="335">
        <f t="shared" si="604"/>
        <v>0</v>
      </c>
      <c r="M2729" s="446"/>
      <c r="N2729" s="446"/>
      <c r="O2729" s="446"/>
      <c r="P2729" s="446"/>
      <c r="Q2729" s="110">
        <v>1</v>
      </c>
      <c r="R2729" s="111">
        <f t="shared" si="602"/>
        <v>46.25</v>
      </c>
      <c r="S2729" s="110"/>
      <c r="T2729" s="110"/>
      <c r="U2729" s="110">
        <v>0</v>
      </c>
      <c r="V2729" s="111">
        <f t="shared" si="603"/>
        <v>46.25</v>
      </c>
      <c r="W2729" s="110"/>
      <c r="X2729" s="110"/>
      <c r="Y2729" s="110"/>
      <c r="Z2729" s="110"/>
      <c r="AA2729" s="110">
        <v>0</v>
      </c>
      <c r="AB2729" s="111">
        <f t="shared" si="609"/>
        <v>46.25</v>
      </c>
      <c r="AC2729" s="110"/>
      <c r="AD2729" s="110"/>
      <c r="AE2729" s="110">
        <v>0</v>
      </c>
      <c r="AF2729" s="111">
        <f t="shared" si="610"/>
        <v>46.25</v>
      </c>
      <c r="AG2729" s="110"/>
      <c r="AH2729" s="110"/>
      <c r="AI2729" s="110"/>
      <c r="AJ2729" s="110"/>
      <c r="AK2729" s="111">
        <f t="shared" si="605"/>
        <v>185</v>
      </c>
      <c r="AL2729" s="446">
        <f t="shared" si="606"/>
        <v>0</v>
      </c>
      <c r="AM2729" s="110">
        <f t="shared" si="607"/>
        <v>1</v>
      </c>
      <c r="AN2729" s="447">
        <f t="shared" si="612"/>
        <v>0</v>
      </c>
      <c r="AO2729"/>
      <c r="AP2729"/>
    </row>
    <row r="2730" spans="1:42" ht="66" x14ac:dyDescent="0.25">
      <c r="A2730" s="9"/>
      <c r="B2730" s="146" t="s">
        <v>2118</v>
      </c>
      <c r="C2730" s="1024"/>
      <c r="D2730" s="869">
        <v>2</v>
      </c>
      <c r="E2730" s="1027" t="s">
        <v>1721</v>
      </c>
      <c r="F2730" s="273" t="s">
        <v>3446</v>
      </c>
      <c r="G2730" s="1040" t="s">
        <v>3463</v>
      </c>
      <c r="H2730" s="273" t="s">
        <v>3462</v>
      </c>
      <c r="I2730" s="720">
        <f t="shared" si="608"/>
        <v>50</v>
      </c>
      <c r="J2730" s="805">
        <v>100</v>
      </c>
      <c r="K2730" s="131">
        <f t="shared" si="611"/>
        <v>100</v>
      </c>
      <c r="L2730" s="335">
        <f t="shared" si="604"/>
        <v>0</v>
      </c>
      <c r="M2730" s="446"/>
      <c r="N2730" s="446"/>
      <c r="O2730" s="446"/>
      <c r="P2730" s="446"/>
      <c r="Q2730" s="130">
        <v>1</v>
      </c>
      <c r="R2730" s="111">
        <f t="shared" si="602"/>
        <v>25</v>
      </c>
      <c r="S2730" s="110"/>
      <c r="T2730" s="110"/>
      <c r="U2730" s="130">
        <v>1</v>
      </c>
      <c r="V2730" s="111">
        <f t="shared" si="603"/>
        <v>25</v>
      </c>
      <c r="W2730" s="110"/>
      <c r="X2730" s="110"/>
      <c r="Y2730" s="110"/>
      <c r="Z2730" s="110"/>
      <c r="AA2730" s="130">
        <v>0</v>
      </c>
      <c r="AB2730" s="111">
        <f t="shared" si="609"/>
        <v>25</v>
      </c>
      <c r="AC2730" s="110"/>
      <c r="AD2730" s="110"/>
      <c r="AE2730" s="130">
        <v>0</v>
      </c>
      <c r="AF2730" s="111">
        <f t="shared" si="610"/>
        <v>25</v>
      </c>
      <c r="AG2730" s="110"/>
      <c r="AH2730" s="110"/>
      <c r="AI2730" s="110"/>
      <c r="AJ2730" s="110"/>
      <c r="AK2730" s="111">
        <f t="shared" si="605"/>
        <v>100</v>
      </c>
      <c r="AL2730" s="446">
        <f t="shared" si="606"/>
        <v>0</v>
      </c>
      <c r="AM2730" s="110">
        <f t="shared" si="607"/>
        <v>2</v>
      </c>
      <c r="AN2730" s="447">
        <f t="shared" si="612"/>
        <v>0</v>
      </c>
      <c r="AO2730"/>
      <c r="AP2730"/>
    </row>
    <row r="2731" spans="1:42" ht="66" x14ac:dyDescent="0.25">
      <c r="A2731" s="9"/>
      <c r="B2731" s="146" t="s">
        <v>2323</v>
      </c>
      <c r="C2731" s="1024"/>
      <c r="D2731" s="922">
        <v>24</v>
      </c>
      <c r="E2731" s="258" t="s">
        <v>1722</v>
      </c>
      <c r="F2731" s="273" t="s">
        <v>3446</v>
      </c>
      <c r="G2731" s="1040" t="s">
        <v>3463</v>
      </c>
      <c r="H2731" s="273" t="s">
        <v>3462</v>
      </c>
      <c r="I2731" s="720">
        <f t="shared" si="608"/>
        <v>39.94</v>
      </c>
      <c r="J2731" s="805">
        <v>958.56</v>
      </c>
      <c r="K2731" s="131">
        <f t="shared" si="611"/>
        <v>958.56</v>
      </c>
      <c r="L2731" s="335">
        <f t="shared" si="604"/>
        <v>0</v>
      </c>
      <c r="M2731" s="446"/>
      <c r="N2731" s="446"/>
      <c r="O2731" s="446"/>
      <c r="P2731" s="446"/>
      <c r="Q2731" s="110">
        <f t="shared" ref="Q2731:Q2789" si="613">+$D2731/4</f>
        <v>6</v>
      </c>
      <c r="R2731" s="111">
        <f t="shared" si="602"/>
        <v>239.64</v>
      </c>
      <c r="S2731" s="110"/>
      <c r="T2731" s="110"/>
      <c r="U2731" s="110">
        <f t="shared" ref="U2731:U2789" si="614">+$D2731/4</f>
        <v>6</v>
      </c>
      <c r="V2731" s="111">
        <f t="shared" si="603"/>
        <v>239.64</v>
      </c>
      <c r="W2731" s="110"/>
      <c r="X2731" s="110"/>
      <c r="Y2731" s="110"/>
      <c r="Z2731" s="110"/>
      <c r="AA2731" s="110">
        <f t="shared" ref="AA2731:AE2789" si="615">+$D2731/4</f>
        <v>6</v>
      </c>
      <c r="AB2731" s="111">
        <f t="shared" si="609"/>
        <v>239.64</v>
      </c>
      <c r="AC2731" s="110"/>
      <c r="AD2731" s="110"/>
      <c r="AE2731" s="110">
        <f t="shared" si="615"/>
        <v>6</v>
      </c>
      <c r="AF2731" s="111">
        <f t="shared" si="610"/>
        <v>239.64</v>
      </c>
      <c r="AG2731" s="110"/>
      <c r="AH2731" s="110"/>
      <c r="AI2731" s="110"/>
      <c r="AJ2731" s="110"/>
      <c r="AK2731" s="111">
        <f t="shared" si="605"/>
        <v>958.56</v>
      </c>
      <c r="AL2731" s="446">
        <f t="shared" si="606"/>
        <v>0</v>
      </c>
      <c r="AM2731" s="110">
        <f t="shared" si="607"/>
        <v>24</v>
      </c>
      <c r="AN2731" s="447">
        <f t="shared" si="612"/>
        <v>0</v>
      </c>
      <c r="AO2731"/>
      <c r="AP2731"/>
    </row>
    <row r="2732" spans="1:42" ht="66" x14ac:dyDescent="0.25">
      <c r="A2732" s="9"/>
      <c r="B2732" s="146" t="s">
        <v>2324</v>
      </c>
      <c r="C2732" s="1024"/>
      <c r="D2732" s="922">
        <v>4</v>
      </c>
      <c r="E2732" s="258" t="s">
        <v>2321</v>
      </c>
      <c r="F2732" s="273" t="s">
        <v>3446</v>
      </c>
      <c r="G2732" s="1040" t="s">
        <v>3463</v>
      </c>
      <c r="H2732" s="273" t="s">
        <v>3462</v>
      </c>
      <c r="I2732" s="720">
        <f t="shared" si="608"/>
        <v>1013.9</v>
      </c>
      <c r="J2732" s="805">
        <v>4055.6</v>
      </c>
      <c r="K2732" s="131">
        <f t="shared" si="611"/>
        <v>4055.6</v>
      </c>
      <c r="L2732" s="335">
        <f t="shared" si="604"/>
        <v>0</v>
      </c>
      <c r="M2732" s="446"/>
      <c r="N2732" s="446"/>
      <c r="O2732" s="446"/>
      <c r="P2732" s="446"/>
      <c r="Q2732" s="110">
        <f t="shared" si="613"/>
        <v>1</v>
      </c>
      <c r="R2732" s="111">
        <f t="shared" si="602"/>
        <v>1013.9</v>
      </c>
      <c r="S2732" s="110"/>
      <c r="T2732" s="110"/>
      <c r="U2732" s="110">
        <f t="shared" si="614"/>
        <v>1</v>
      </c>
      <c r="V2732" s="111">
        <f t="shared" si="603"/>
        <v>1013.9</v>
      </c>
      <c r="W2732" s="110"/>
      <c r="X2732" s="110"/>
      <c r="Y2732" s="110"/>
      <c r="Z2732" s="110"/>
      <c r="AA2732" s="110">
        <f t="shared" si="615"/>
        <v>1</v>
      </c>
      <c r="AB2732" s="111">
        <f t="shared" si="609"/>
        <v>1013.9</v>
      </c>
      <c r="AC2732" s="110"/>
      <c r="AD2732" s="110"/>
      <c r="AE2732" s="110">
        <f t="shared" si="615"/>
        <v>1</v>
      </c>
      <c r="AF2732" s="111">
        <f t="shared" si="610"/>
        <v>1013.9</v>
      </c>
      <c r="AG2732" s="110"/>
      <c r="AH2732" s="110"/>
      <c r="AI2732" s="110"/>
      <c r="AJ2732" s="110"/>
      <c r="AK2732" s="111">
        <f t="shared" si="605"/>
        <v>4055.6</v>
      </c>
      <c r="AL2732" s="446">
        <f t="shared" si="606"/>
        <v>0</v>
      </c>
      <c r="AM2732" s="110">
        <f t="shared" si="607"/>
        <v>4</v>
      </c>
      <c r="AN2732" s="447">
        <f t="shared" si="612"/>
        <v>0</v>
      </c>
      <c r="AO2732"/>
      <c r="AP2732"/>
    </row>
    <row r="2733" spans="1:42" ht="66" x14ac:dyDescent="0.25">
      <c r="A2733" s="9"/>
      <c r="B2733" s="146" t="s">
        <v>2325</v>
      </c>
      <c r="C2733" s="1024"/>
      <c r="D2733" s="922">
        <v>12</v>
      </c>
      <c r="E2733" s="258" t="s">
        <v>2321</v>
      </c>
      <c r="F2733" s="273" t="s">
        <v>3446</v>
      </c>
      <c r="G2733" s="1040" t="s">
        <v>3463</v>
      </c>
      <c r="H2733" s="273" t="s">
        <v>3462</v>
      </c>
      <c r="I2733" s="720">
        <f t="shared" si="608"/>
        <v>16.64</v>
      </c>
      <c r="J2733" s="805">
        <v>199.68</v>
      </c>
      <c r="K2733" s="131">
        <f t="shared" si="611"/>
        <v>199.68</v>
      </c>
      <c r="L2733" s="335">
        <f t="shared" si="604"/>
        <v>0</v>
      </c>
      <c r="M2733" s="446"/>
      <c r="N2733" s="446"/>
      <c r="O2733" s="446"/>
      <c r="P2733" s="446"/>
      <c r="Q2733" s="110">
        <f t="shared" si="613"/>
        <v>3</v>
      </c>
      <c r="R2733" s="111">
        <f t="shared" si="602"/>
        <v>49.92</v>
      </c>
      <c r="S2733" s="110"/>
      <c r="T2733" s="110"/>
      <c r="U2733" s="110">
        <f t="shared" si="614"/>
        <v>3</v>
      </c>
      <c r="V2733" s="111">
        <f t="shared" si="603"/>
        <v>49.92</v>
      </c>
      <c r="W2733" s="110"/>
      <c r="X2733" s="110"/>
      <c r="Y2733" s="110"/>
      <c r="Z2733" s="110"/>
      <c r="AA2733" s="110">
        <f t="shared" si="615"/>
        <v>3</v>
      </c>
      <c r="AB2733" s="111">
        <f t="shared" si="609"/>
        <v>49.92</v>
      </c>
      <c r="AC2733" s="110"/>
      <c r="AD2733" s="110"/>
      <c r="AE2733" s="110">
        <f t="shared" si="615"/>
        <v>3</v>
      </c>
      <c r="AF2733" s="111">
        <f t="shared" si="610"/>
        <v>49.92</v>
      </c>
      <c r="AG2733" s="110"/>
      <c r="AH2733" s="110"/>
      <c r="AI2733" s="110"/>
      <c r="AJ2733" s="110"/>
      <c r="AK2733" s="111">
        <f t="shared" si="605"/>
        <v>199.68</v>
      </c>
      <c r="AL2733" s="446">
        <f t="shared" si="606"/>
        <v>0</v>
      </c>
      <c r="AM2733" s="110">
        <f t="shared" si="607"/>
        <v>12</v>
      </c>
      <c r="AN2733" s="447">
        <f t="shared" si="612"/>
        <v>0</v>
      </c>
      <c r="AO2733"/>
      <c r="AP2733"/>
    </row>
    <row r="2734" spans="1:42" ht="66" x14ac:dyDescent="0.25">
      <c r="A2734" s="9"/>
      <c r="B2734" s="146" t="s">
        <v>2326</v>
      </c>
      <c r="C2734" s="1024"/>
      <c r="D2734" s="922">
        <v>18</v>
      </c>
      <c r="E2734" s="258" t="s">
        <v>1722</v>
      </c>
      <c r="F2734" s="273" t="s">
        <v>3446</v>
      </c>
      <c r="G2734" s="1040" t="s">
        <v>3463</v>
      </c>
      <c r="H2734" s="273" t="s">
        <v>3462</v>
      </c>
      <c r="I2734" s="720">
        <f t="shared" si="608"/>
        <v>70.95</v>
      </c>
      <c r="J2734" s="805">
        <v>1277.1000000000001</v>
      </c>
      <c r="K2734" s="131">
        <f t="shared" si="611"/>
        <v>1277.1000000000001</v>
      </c>
      <c r="L2734" s="335">
        <f t="shared" si="604"/>
        <v>0</v>
      </c>
      <c r="M2734" s="446"/>
      <c r="N2734" s="446"/>
      <c r="O2734" s="446"/>
      <c r="P2734" s="446"/>
      <c r="Q2734" s="110">
        <v>5</v>
      </c>
      <c r="R2734" s="111">
        <f t="shared" si="602"/>
        <v>319.27500000000003</v>
      </c>
      <c r="S2734" s="110"/>
      <c r="T2734" s="110"/>
      <c r="U2734" s="110">
        <v>5</v>
      </c>
      <c r="V2734" s="111">
        <f t="shared" si="603"/>
        <v>319.27500000000003</v>
      </c>
      <c r="W2734" s="110"/>
      <c r="X2734" s="110"/>
      <c r="Y2734" s="110"/>
      <c r="Z2734" s="110"/>
      <c r="AA2734" s="110">
        <v>4</v>
      </c>
      <c r="AB2734" s="111">
        <f t="shared" si="609"/>
        <v>319.27500000000003</v>
      </c>
      <c r="AC2734" s="110"/>
      <c r="AD2734" s="110"/>
      <c r="AE2734" s="110">
        <v>4</v>
      </c>
      <c r="AF2734" s="111">
        <f t="shared" si="610"/>
        <v>319.27500000000003</v>
      </c>
      <c r="AG2734" s="110"/>
      <c r="AH2734" s="110"/>
      <c r="AI2734" s="110"/>
      <c r="AJ2734" s="110"/>
      <c r="AK2734" s="111">
        <f t="shared" si="605"/>
        <v>1277.1000000000001</v>
      </c>
      <c r="AL2734" s="446">
        <f t="shared" si="606"/>
        <v>0</v>
      </c>
      <c r="AM2734" s="110">
        <f t="shared" si="607"/>
        <v>18</v>
      </c>
      <c r="AN2734" s="447">
        <f t="shared" si="612"/>
        <v>0</v>
      </c>
      <c r="AO2734"/>
      <c r="AP2734"/>
    </row>
    <row r="2735" spans="1:42" ht="66" x14ac:dyDescent="0.25">
      <c r="A2735" s="9"/>
      <c r="B2735" s="146" t="s">
        <v>2327</v>
      </c>
      <c r="C2735" s="1024"/>
      <c r="D2735" s="922">
        <v>31</v>
      </c>
      <c r="E2735" s="258" t="s">
        <v>1722</v>
      </c>
      <c r="F2735" s="273" t="s">
        <v>3446</v>
      </c>
      <c r="G2735" s="1040" t="s">
        <v>3463</v>
      </c>
      <c r="H2735" s="273" t="s">
        <v>3462</v>
      </c>
      <c r="I2735" s="720">
        <f t="shared" si="608"/>
        <v>250.92</v>
      </c>
      <c r="J2735" s="805">
        <v>7778.5199999999995</v>
      </c>
      <c r="K2735" s="131">
        <f t="shared" si="611"/>
        <v>7778.5199999999995</v>
      </c>
      <c r="L2735" s="335">
        <f t="shared" si="604"/>
        <v>0</v>
      </c>
      <c r="M2735" s="446"/>
      <c r="N2735" s="446"/>
      <c r="O2735" s="446"/>
      <c r="P2735" s="446"/>
      <c r="Q2735" s="110">
        <v>8</v>
      </c>
      <c r="R2735" s="111">
        <f t="shared" ref="R2735:R2798" si="616">+J2735/4</f>
        <v>1944.6299999999999</v>
      </c>
      <c r="S2735" s="110"/>
      <c r="T2735" s="110"/>
      <c r="U2735" s="110">
        <v>8</v>
      </c>
      <c r="V2735" s="111">
        <f t="shared" ref="V2735:V2798" si="617">+J2735/4</f>
        <v>1944.6299999999999</v>
      </c>
      <c r="W2735" s="110"/>
      <c r="X2735" s="110"/>
      <c r="Y2735" s="110"/>
      <c r="Z2735" s="110"/>
      <c r="AA2735" s="110">
        <v>8</v>
      </c>
      <c r="AB2735" s="111">
        <f t="shared" si="609"/>
        <v>1944.6299999999999</v>
      </c>
      <c r="AC2735" s="110"/>
      <c r="AD2735" s="110"/>
      <c r="AE2735" s="110">
        <v>7</v>
      </c>
      <c r="AF2735" s="111">
        <f t="shared" si="610"/>
        <v>1944.6299999999999</v>
      </c>
      <c r="AG2735" s="110"/>
      <c r="AH2735" s="110"/>
      <c r="AI2735" s="110"/>
      <c r="AJ2735" s="110"/>
      <c r="AK2735" s="111">
        <f t="shared" si="605"/>
        <v>7778.5199999999995</v>
      </c>
      <c r="AL2735" s="446">
        <f t="shared" si="606"/>
        <v>0</v>
      </c>
      <c r="AM2735" s="110">
        <f t="shared" si="607"/>
        <v>31</v>
      </c>
      <c r="AN2735" s="447">
        <f t="shared" si="612"/>
        <v>0</v>
      </c>
      <c r="AO2735"/>
      <c r="AP2735"/>
    </row>
    <row r="2736" spans="1:42" ht="66" x14ac:dyDescent="0.25">
      <c r="A2736" s="9"/>
      <c r="B2736" s="146" t="s">
        <v>2328</v>
      </c>
      <c r="C2736" s="1024"/>
      <c r="D2736" s="922">
        <v>31</v>
      </c>
      <c r="E2736" s="258" t="s">
        <v>1722</v>
      </c>
      <c r="F2736" s="273" t="s">
        <v>3446</v>
      </c>
      <c r="G2736" s="1040" t="s">
        <v>3463</v>
      </c>
      <c r="H2736" s="273" t="s">
        <v>3462</v>
      </c>
      <c r="I2736" s="720">
        <f t="shared" si="608"/>
        <v>250.92</v>
      </c>
      <c r="J2736" s="805">
        <v>7778.5199999999995</v>
      </c>
      <c r="K2736" s="131">
        <f t="shared" si="611"/>
        <v>7778.5199999999995</v>
      </c>
      <c r="L2736" s="335">
        <f t="shared" si="604"/>
        <v>0</v>
      </c>
      <c r="M2736" s="446"/>
      <c r="N2736" s="446"/>
      <c r="O2736" s="446"/>
      <c r="P2736" s="446"/>
      <c r="Q2736" s="110">
        <v>8</v>
      </c>
      <c r="R2736" s="111">
        <f t="shared" si="616"/>
        <v>1944.6299999999999</v>
      </c>
      <c r="S2736" s="110"/>
      <c r="T2736" s="110"/>
      <c r="U2736" s="110">
        <v>8</v>
      </c>
      <c r="V2736" s="111">
        <f t="shared" si="617"/>
        <v>1944.6299999999999</v>
      </c>
      <c r="W2736" s="110"/>
      <c r="X2736" s="110"/>
      <c r="Y2736" s="110"/>
      <c r="Z2736" s="110"/>
      <c r="AA2736" s="110">
        <v>8</v>
      </c>
      <c r="AB2736" s="111">
        <f t="shared" si="609"/>
        <v>1944.6299999999999</v>
      </c>
      <c r="AC2736" s="110"/>
      <c r="AD2736" s="110"/>
      <c r="AE2736" s="110">
        <v>7</v>
      </c>
      <c r="AF2736" s="111">
        <f t="shared" si="610"/>
        <v>1944.6299999999999</v>
      </c>
      <c r="AG2736" s="110"/>
      <c r="AH2736" s="110"/>
      <c r="AI2736" s="110"/>
      <c r="AJ2736" s="110"/>
      <c r="AK2736" s="111">
        <f t="shared" si="605"/>
        <v>7778.5199999999995</v>
      </c>
      <c r="AL2736" s="446">
        <f t="shared" si="606"/>
        <v>0</v>
      </c>
      <c r="AM2736" s="110">
        <f t="shared" si="607"/>
        <v>31</v>
      </c>
      <c r="AN2736" s="447">
        <f t="shared" si="612"/>
        <v>0</v>
      </c>
      <c r="AO2736"/>
      <c r="AP2736"/>
    </row>
    <row r="2737" spans="1:42" ht="66" x14ac:dyDescent="0.25">
      <c r="A2737" s="9"/>
      <c r="B2737" s="146" t="s">
        <v>2329</v>
      </c>
      <c r="C2737" s="1024"/>
      <c r="D2737" s="922">
        <v>31</v>
      </c>
      <c r="E2737" s="258" t="s">
        <v>1873</v>
      </c>
      <c r="F2737" s="273" t="s">
        <v>3446</v>
      </c>
      <c r="G2737" s="1040" t="s">
        <v>3463</v>
      </c>
      <c r="H2737" s="273" t="s">
        <v>3462</v>
      </c>
      <c r="I2737" s="720">
        <f t="shared" si="608"/>
        <v>250.92</v>
      </c>
      <c r="J2737" s="805">
        <v>7778.5199999999995</v>
      </c>
      <c r="K2737" s="131">
        <f t="shared" si="611"/>
        <v>7778.5199999999995</v>
      </c>
      <c r="L2737" s="335">
        <f t="shared" si="604"/>
        <v>0</v>
      </c>
      <c r="M2737" s="446"/>
      <c r="N2737" s="446"/>
      <c r="O2737" s="446"/>
      <c r="P2737" s="446"/>
      <c r="Q2737" s="110">
        <v>8</v>
      </c>
      <c r="R2737" s="111">
        <f t="shared" si="616"/>
        <v>1944.6299999999999</v>
      </c>
      <c r="S2737" s="110"/>
      <c r="T2737" s="110"/>
      <c r="U2737" s="110">
        <v>8</v>
      </c>
      <c r="V2737" s="111">
        <f t="shared" si="617"/>
        <v>1944.6299999999999</v>
      </c>
      <c r="W2737" s="110"/>
      <c r="X2737" s="110"/>
      <c r="Y2737" s="110"/>
      <c r="Z2737" s="110"/>
      <c r="AA2737" s="110">
        <v>8</v>
      </c>
      <c r="AB2737" s="111">
        <f t="shared" si="609"/>
        <v>1944.6299999999999</v>
      </c>
      <c r="AC2737" s="110"/>
      <c r="AD2737" s="110"/>
      <c r="AE2737" s="110">
        <v>7</v>
      </c>
      <c r="AF2737" s="111">
        <f t="shared" si="610"/>
        <v>1944.6299999999999</v>
      </c>
      <c r="AG2737" s="110"/>
      <c r="AH2737" s="110"/>
      <c r="AI2737" s="110"/>
      <c r="AJ2737" s="110"/>
      <c r="AK2737" s="111">
        <f t="shared" si="605"/>
        <v>7778.5199999999995</v>
      </c>
      <c r="AL2737" s="446">
        <f t="shared" si="606"/>
        <v>0</v>
      </c>
      <c r="AM2737" s="110">
        <f t="shared" si="607"/>
        <v>31</v>
      </c>
      <c r="AN2737" s="447">
        <f t="shared" si="612"/>
        <v>0</v>
      </c>
      <c r="AO2737"/>
      <c r="AP2737"/>
    </row>
    <row r="2738" spans="1:42" ht="66" x14ac:dyDescent="0.25">
      <c r="A2738" s="9"/>
      <c r="B2738" s="146" t="s">
        <v>2330</v>
      </c>
      <c r="C2738" s="1024"/>
      <c r="D2738" s="922">
        <v>11</v>
      </c>
      <c r="E2738" s="258" t="s">
        <v>1873</v>
      </c>
      <c r="F2738" s="273" t="s">
        <v>3446</v>
      </c>
      <c r="G2738" s="1040" t="s">
        <v>3463</v>
      </c>
      <c r="H2738" s="273" t="s">
        <v>3462</v>
      </c>
      <c r="I2738" s="720">
        <f t="shared" si="608"/>
        <v>26.480000000000004</v>
      </c>
      <c r="J2738" s="805">
        <v>291.28000000000003</v>
      </c>
      <c r="K2738" s="131">
        <f t="shared" si="611"/>
        <v>291.28000000000003</v>
      </c>
      <c r="L2738" s="335">
        <f t="shared" si="604"/>
        <v>0</v>
      </c>
      <c r="M2738" s="446"/>
      <c r="N2738" s="446"/>
      <c r="O2738" s="446"/>
      <c r="P2738" s="446"/>
      <c r="Q2738" s="110">
        <v>3</v>
      </c>
      <c r="R2738" s="111">
        <f t="shared" si="616"/>
        <v>72.820000000000007</v>
      </c>
      <c r="S2738" s="110"/>
      <c r="T2738" s="110"/>
      <c r="U2738" s="110">
        <v>3</v>
      </c>
      <c r="V2738" s="111">
        <f t="shared" si="617"/>
        <v>72.820000000000007</v>
      </c>
      <c r="W2738" s="110"/>
      <c r="X2738" s="110"/>
      <c r="Y2738" s="110"/>
      <c r="Z2738" s="110"/>
      <c r="AA2738" s="110">
        <v>3</v>
      </c>
      <c r="AB2738" s="111">
        <f t="shared" si="609"/>
        <v>72.820000000000007</v>
      </c>
      <c r="AC2738" s="110"/>
      <c r="AD2738" s="110"/>
      <c r="AE2738" s="110">
        <v>2</v>
      </c>
      <c r="AF2738" s="111">
        <f t="shared" si="610"/>
        <v>72.820000000000007</v>
      </c>
      <c r="AG2738" s="110"/>
      <c r="AH2738" s="110"/>
      <c r="AI2738" s="110"/>
      <c r="AJ2738" s="110"/>
      <c r="AK2738" s="111">
        <f t="shared" si="605"/>
        <v>291.28000000000003</v>
      </c>
      <c r="AL2738" s="446">
        <f t="shared" si="606"/>
        <v>0</v>
      </c>
      <c r="AM2738" s="110">
        <f t="shared" si="607"/>
        <v>11</v>
      </c>
      <c r="AN2738" s="447">
        <f t="shared" si="612"/>
        <v>0</v>
      </c>
      <c r="AO2738"/>
      <c r="AP2738"/>
    </row>
    <row r="2739" spans="1:42" ht="66" x14ac:dyDescent="0.25">
      <c r="A2739" s="9"/>
      <c r="B2739" s="146" t="s">
        <v>2331</v>
      </c>
      <c r="C2739" s="1024"/>
      <c r="D2739" s="922">
        <v>13</v>
      </c>
      <c r="E2739" s="258" t="s">
        <v>1722</v>
      </c>
      <c r="F2739" s="273" t="s">
        <v>3446</v>
      </c>
      <c r="G2739" s="1040" t="s">
        <v>3463</v>
      </c>
      <c r="H2739" s="273" t="s">
        <v>3462</v>
      </c>
      <c r="I2739" s="720">
        <f t="shared" si="608"/>
        <v>1068.94</v>
      </c>
      <c r="J2739" s="805">
        <v>13896.220000000001</v>
      </c>
      <c r="K2739" s="131">
        <f t="shared" si="611"/>
        <v>13896.220000000001</v>
      </c>
      <c r="L2739" s="335">
        <f t="shared" si="604"/>
        <v>0</v>
      </c>
      <c r="M2739" s="446"/>
      <c r="N2739" s="446"/>
      <c r="O2739" s="446"/>
      <c r="P2739" s="446"/>
      <c r="Q2739" s="110">
        <v>4</v>
      </c>
      <c r="R2739" s="111">
        <f t="shared" si="616"/>
        <v>3474.0550000000003</v>
      </c>
      <c r="S2739" s="110"/>
      <c r="T2739" s="110"/>
      <c r="U2739" s="110">
        <v>3</v>
      </c>
      <c r="V2739" s="111">
        <f t="shared" si="617"/>
        <v>3474.0550000000003</v>
      </c>
      <c r="W2739" s="110"/>
      <c r="X2739" s="110"/>
      <c r="Y2739" s="110"/>
      <c r="Z2739" s="110"/>
      <c r="AA2739" s="110">
        <v>3</v>
      </c>
      <c r="AB2739" s="111">
        <f t="shared" si="609"/>
        <v>3474.0550000000003</v>
      </c>
      <c r="AC2739" s="110"/>
      <c r="AD2739" s="110"/>
      <c r="AE2739" s="110">
        <v>3</v>
      </c>
      <c r="AF2739" s="111">
        <f t="shared" si="610"/>
        <v>3474.0550000000003</v>
      </c>
      <c r="AG2739" s="110"/>
      <c r="AH2739" s="110"/>
      <c r="AI2739" s="110"/>
      <c r="AJ2739" s="110"/>
      <c r="AK2739" s="111">
        <f t="shared" si="605"/>
        <v>13896.220000000001</v>
      </c>
      <c r="AL2739" s="446">
        <f t="shared" si="606"/>
        <v>0</v>
      </c>
      <c r="AM2739" s="110">
        <f t="shared" si="607"/>
        <v>13</v>
      </c>
      <c r="AN2739" s="447">
        <f t="shared" si="612"/>
        <v>0</v>
      </c>
      <c r="AO2739"/>
      <c r="AP2739"/>
    </row>
    <row r="2740" spans="1:42" ht="66" x14ac:dyDescent="0.25">
      <c r="A2740" s="9"/>
      <c r="B2740" s="220" t="s">
        <v>2316</v>
      </c>
      <c r="C2740" s="1024"/>
      <c r="D2740" s="882">
        <v>12</v>
      </c>
      <c r="E2740" s="1025" t="s">
        <v>1766</v>
      </c>
      <c r="F2740" s="273" t="s">
        <v>3446</v>
      </c>
      <c r="G2740" s="1040" t="s">
        <v>3463</v>
      </c>
      <c r="H2740" s="273" t="s">
        <v>3462</v>
      </c>
      <c r="I2740" s="720">
        <f t="shared" si="608"/>
        <v>808.6</v>
      </c>
      <c r="J2740" s="805">
        <v>9703.2000000000007</v>
      </c>
      <c r="K2740" s="131">
        <f t="shared" si="611"/>
        <v>9703.2000000000007</v>
      </c>
      <c r="L2740" s="335">
        <f t="shared" ref="L2740:L2803" si="618">+J2740-K2740</f>
        <v>0</v>
      </c>
      <c r="M2740" s="446"/>
      <c r="N2740" s="446"/>
      <c r="O2740" s="446"/>
      <c r="P2740" s="446"/>
      <c r="Q2740" s="110">
        <f t="shared" si="613"/>
        <v>3</v>
      </c>
      <c r="R2740" s="111">
        <f t="shared" si="616"/>
        <v>2425.8000000000002</v>
      </c>
      <c r="S2740" s="110"/>
      <c r="T2740" s="110"/>
      <c r="U2740" s="110">
        <f t="shared" si="614"/>
        <v>3</v>
      </c>
      <c r="V2740" s="111">
        <f t="shared" si="617"/>
        <v>2425.8000000000002</v>
      </c>
      <c r="W2740" s="110"/>
      <c r="X2740" s="110"/>
      <c r="Y2740" s="110"/>
      <c r="Z2740" s="110"/>
      <c r="AA2740" s="110">
        <f t="shared" si="615"/>
        <v>3</v>
      </c>
      <c r="AB2740" s="111">
        <f t="shared" si="609"/>
        <v>2425.8000000000002</v>
      </c>
      <c r="AC2740" s="110"/>
      <c r="AD2740" s="110"/>
      <c r="AE2740" s="110">
        <f t="shared" si="615"/>
        <v>3</v>
      </c>
      <c r="AF2740" s="111">
        <f t="shared" si="610"/>
        <v>2425.8000000000002</v>
      </c>
      <c r="AG2740" s="110"/>
      <c r="AH2740" s="110"/>
      <c r="AI2740" s="110"/>
      <c r="AJ2740" s="110"/>
      <c r="AK2740" s="111">
        <f t="shared" ref="AK2740:AK2803" si="619">+R2740+V2740+AB2740+AF2740</f>
        <v>9703.2000000000007</v>
      </c>
      <c r="AL2740" s="446">
        <f t="shared" ref="AL2740:AL2803" si="620">+J2740-AK2740</f>
        <v>0</v>
      </c>
      <c r="AM2740" s="110">
        <f t="shared" ref="AM2740:AM2803" si="621">+Q2740+U2740+AA2740+AE2740</f>
        <v>12</v>
      </c>
      <c r="AN2740" s="447">
        <f t="shared" si="612"/>
        <v>0</v>
      </c>
      <c r="AO2740"/>
      <c r="AP2740"/>
    </row>
    <row r="2741" spans="1:42" ht="66" x14ac:dyDescent="0.25">
      <c r="A2741" s="9"/>
      <c r="B2741" s="220" t="s">
        <v>2317</v>
      </c>
      <c r="C2741" s="1024"/>
      <c r="D2741" s="882">
        <v>12</v>
      </c>
      <c r="E2741" s="1025" t="s">
        <v>1766</v>
      </c>
      <c r="F2741" s="273" t="s">
        <v>3446</v>
      </c>
      <c r="G2741" s="1040" t="s">
        <v>3463</v>
      </c>
      <c r="H2741" s="273" t="s">
        <v>3462</v>
      </c>
      <c r="I2741" s="720">
        <f t="shared" si="608"/>
        <v>808.6</v>
      </c>
      <c r="J2741" s="805">
        <v>9703.2000000000007</v>
      </c>
      <c r="K2741" s="131">
        <f t="shared" si="611"/>
        <v>9703.2000000000007</v>
      </c>
      <c r="L2741" s="335">
        <f t="shared" si="618"/>
        <v>0</v>
      </c>
      <c r="M2741" s="446"/>
      <c r="N2741" s="446"/>
      <c r="O2741" s="446"/>
      <c r="P2741" s="446"/>
      <c r="Q2741" s="110">
        <f t="shared" si="613"/>
        <v>3</v>
      </c>
      <c r="R2741" s="111">
        <f t="shared" si="616"/>
        <v>2425.8000000000002</v>
      </c>
      <c r="S2741" s="110"/>
      <c r="T2741" s="110"/>
      <c r="U2741" s="110">
        <f t="shared" si="614"/>
        <v>3</v>
      </c>
      <c r="V2741" s="111">
        <f t="shared" si="617"/>
        <v>2425.8000000000002</v>
      </c>
      <c r="W2741" s="110"/>
      <c r="X2741" s="110"/>
      <c r="Y2741" s="110"/>
      <c r="Z2741" s="110"/>
      <c r="AA2741" s="110">
        <f t="shared" si="615"/>
        <v>3</v>
      </c>
      <c r="AB2741" s="111">
        <f t="shared" si="609"/>
        <v>2425.8000000000002</v>
      </c>
      <c r="AC2741" s="110"/>
      <c r="AD2741" s="110"/>
      <c r="AE2741" s="110">
        <f t="shared" si="615"/>
        <v>3</v>
      </c>
      <c r="AF2741" s="111">
        <f t="shared" si="610"/>
        <v>2425.8000000000002</v>
      </c>
      <c r="AG2741" s="110"/>
      <c r="AH2741" s="110"/>
      <c r="AI2741" s="110"/>
      <c r="AJ2741" s="110"/>
      <c r="AK2741" s="111">
        <f t="shared" si="619"/>
        <v>9703.2000000000007</v>
      </c>
      <c r="AL2741" s="446">
        <f t="shared" si="620"/>
        <v>0</v>
      </c>
      <c r="AM2741" s="110">
        <f t="shared" si="621"/>
        <v>12</v>
      </c>
      <c r="AN2741" s="447">
        <f t="shared" si="612"/>
        <v>0</v>
      </c>
      <c r="AO2741"/>
      <c r="AP2741"/>
    </row>
    <row r="2742" spans="1:42" ht="66" x14ac:dyDescent="0.25">
      <c r="A2742" s="9"/>
      <c r="B2742" s="220" t="s">
        <v>2318</v>
      </c>
      <c r="C2742" s="1024"/>
      <c r="D2742" s="882">
        <v>12</v>
      </c>
      <c r="E2742" s="1025" t="s">
        <v>1722</v>
      </c>
      <c r="F2742" s="273" t="s">
        <v>3446</v>
      </c>
      <c r="G2742" s="1040" t="s">
        <v>3463</v>
      </c>
      <c r="H2742" s="273" t="s">
        <v>3462</v>
      </c>
      <c r="I2742" s="720">
        <f t="shared" si="608"/>
        <v>740.9</v>
      </c>
      <c r="J2742" s="805">
        <v>8890.7999999999993</v>
      </c>
      <c r="K2742" s="131">
        <f t="shared" si="611"/>
        <v>8890.7999999999993</v>
      </c>
      <c r="L2742" s="335">
        <f t="shared" si="618"/>
        <v>0</v>
      </c>
      <c r="M2742" s="446"/>
      <c r="N2742" s="446"/>
      <c r="O2742" s="446"/>
      <c r="P2742" s="446"/>
      <c r="Q2742" s="110">
        <f t="shared" si="613"/>
        <v>3</v>
      </c>
      <c r="R2742" s="111">
        <f t="shared" si="616"/>
        <v>2222.6999999999998</v>
      </c>
      <c r="S2742" s="110"/>
      <c r="T2742" s="110"/>
      <c r="U2742" s="110">
        <f t="shared" si="614"/>
        <v>3</v>
      </c>
      <c r="V2742" s="111">
        <f t="shared" si="617"/>
        <v>2222.6999999999998</v>
      </c>
      <c r="W2742" s="110"/>
      <c r="X2742" s="110"/>
      <c r="Y2742" s="110"/>
      <c r="Z2742" s="110"/>
      <c r="AA2742" s="110">
        <f t="shared" si="615"/>
        <v>3</v>
      </c>
      <c r="AB2742" s="111">
        <f t="shared" si="609"/>
        <v>2222.6999999999998</v>
      </c>
      <c r="AC2742" s="110"/>
      <c r="AD2742" s="110"/>
      <c r="AE2742" s="110">
        <f t="shared" si="615"/>
        <v>3</v>
      </c>
      <c r="AF2742" s="111">
        <f t="shared" si="610"/>
        <v>2222.6999999999998</v>
      </c>
      <c r="AG2742" s="110"/>
      <c r="AH2742" s="110"/>
      <c r="AI2742" s="110"/>
      <c r="AJ2742" s="110"/>
      <c r="AK2742" s="111">
        <f t="shared" si="619"/>
        <v>8890.7999999999993</v>
      </c>
      <c r="AL2742" s="446">
        <f t="shared" si="620"/>
        <v>0</v>
      </c>
      <c r="AM2742" s="110">
        <f t="shared" si="621"/>
        <v>12</v>
      </c>
      <c r="AN2742" s="447">
        <f t="shared" si="612"/>
        <v>0</v>
      </c>
      <c r="AO2742"/>
      <c r="AP2742"/>
    </row>
    <row r="2743" spans="1:42" ht="66" x14ac:dyDescent="0.25">
      <c r="A2743" s="9"/>
      <c r="B2743" s="220" t="s">
        <v>2319</v>
      </c>
      <c r="C2743" s="1024"/>
      <c r="D2743" s="882">
        <v>12</v>
      </c>
      <c r="E2743" s="1025" t="s">
        <v>2321</v>
      </c>
      <c r="F2743" s="273" t="s">
        <v>3446</v>
      </c>
      <c r="G2743" s="1040" t="s">
        <v>3463</v>
      </c>
      <c r="H2743" s="273" t="s">
        <v>3462</v>
      </c>
      <c r="I2743" s="720">
        <f t="shared" si="608"/>
        <v>740.9</v>
      </c>
      <c r="J2743" s="805">
        <v>8890.7999999999993</v>
      </c>
      <c r="K2743" s="131">
        <f t="shared" si="611"/>
        <v>8890.7999999999993</v>
      </c>
      <c r="L2743" s="335">
        <f t="shared" si="618"/>
        <v>0</v>
      </c>
      <c r="M2743" s="446"/>
      <c r="N2743" s="446"/>
      <c r="O2743" s="446"/>
      <c r="P2743" s="446"/>
      <c r="Q2743" s="110">
        <f t="shared" si="613"/>
        <v>3</v>
      </c>
      <c r="R2743" s="111">
        <f t="shared" si="616"/>
        <v>2222.6999999999998</v>
      </c>
      <c r="S2743" s="110"/>
      <c r="T2743" s="110"/>
      <c r="U2743" s="110">
        <f t="shared" si="614"/>
        <v>3</v>
      </c>
      <c r="V2743" s="111">
        <f t="shared" si="617"/>
        <v>2222.6999999999998</v>
      </c>
      <c r="W2743" s="110"/>
      <c r="X2743" s="110"/>
      <c r="Y2743" s="110"/>
      <c r="Z2743" s="110"/>
      <c r="AA2743" s="110">
        <f t="shared" si="615"/>
        <v>3</v>
      </c>
      <c r="AB2743" s="111">
        <f t="shared" si="609"/>
        <v>2222.6999999999998</v>
      </c>
      <c r="AC2743" s="110"/>
      <c r="AD2743" s="110"/>
      <c r="AE2743" s="110">
        <f t="shared" si="615"/>
        <v>3</v>
      </c>
      <c r="AF2743" s="111">
        <f t="shared" si="610"/>
        <v>2222.6999999999998</v>
      </c>
      <c r="AG2743" s="110"/>
      <c r="AH2743" s="110"/>
      <c r="AI2743" s="110"/>
      <c r="AJ2743" s="110"/>
      <c r="AK2743" s="111">
        <f t="shared" si="619"/>
        <v>8890.7999999999993</v>
      </c>
      <c r="AL2743" s="446">
        <f t="shared" si="620"/>
        <v>0</v>
      </c>
      <c r="AM2743" s="110">
        <f t="shared" si="621"/>
        <v>12</v>
      </c>
      <c r="AN2743" s="447">
        <f t="shared" si="612"/>
        <v>0</v>
      </c>
      <c r="AO2743"/>
      <c r="AP2743"/>
    </row>
    <row r="2744" spans="1:42" ht="66" x14ac:dyDescent="0.25">
      <c r="A2744" s="9"/>
      <c r="B2744" s="146" t="s">
        <v>2332</v>
      </c>
      <c r="C2744" s="1024"/>
      <c r="D2744" s="922">
        <v>13</v>
      </c>
      <c r="E2744" s="258" t="s">
        <v>1722</v>
      </c>
      <c r="F2744" s="273" t="s">
        <v>3446</v>
      </c>
      <c r="G2744" s="1040" t="s">
        <v>3463</v>
      </c>
      <c r="H2744" s="273" t="s">
        <v>3462</v>
      </c>
      <c r="I2744" s="720">
        <f t="shared" si="608"/>
        <v>60.55</v>
      </c>
      <c r="J2744" s="805">
        <v>787.15</v>
      </c>
      <c r="K2744" s="131">
        <f t="shared" si="611"/>
        <v>787.15</v>
      </c>
      <c r="L2744" s="335">
        <f t="shared" si="618"/>
        <v>0</v>
      </c>
      <c r="M2744" s="446"/>
      <c r="N2744" s="446"/>
      <c r="O2744" s="446"/>
      <c r="P2744" s="446"/>
      <c r="Q2744" s="110">
        <v>4</v>
      </c>
      <c r="R2744" s="111">
        <f t="shared" si="616"/>
        <v>196.78749999999999</v>
      </c>
      <c r="S2744" s="110"/>
      <c r="T2744" s="110"/>
      <c r="U2744" s="110">
        <v>3</v>
      </c>
      <c r="V2744" s="111">
        <f t="shared" si="617"/>
        <v>196.78749999999999</v>
      </c>
      <c r="W2744" s="110"/>
      <c r="X2744" s="110"/>
      <c r="Y2744" s="110"/>
      <c r="Z2744" s="110"/>
      <c r="AA2744" s="110">
        <v>3</v>
      </c>
      <c r="AB2744" s="111">
        <f t="shared" si="609"/>
        <v>196.78749999999999</v>
      </c>
      <c r="AC2744" s="110"/>
      <c r="AD2744" s="110"/>
      <c r="AE2744" s="110">
        <v>3</v>
      </c>
      <c r="AF2744" s="111">
        <f t="shared" si="610"/>
        <v>196.78749999999999</v>
      </c>
      <c r="AG2744" s="110"/>
      <c r="AH2744" s="110"/>
      <c r="AI2744" s="110"/>
      <c r="AJ2744" s="110"/>
      <c r="AK2744" s="111">
        <f t="shared" si="619"/>
        <v>787.15</v>
      </c>
      <c r="AL2744" s="446">
        <f t="shared" si="620"/>
        <v>0</v>
      </c>
      <c r="AM2744" s="110">
        <f t="shared" si="621"/>
        <v>13</v>
      </c>
      <c r="AN2744" s="447">
        <f t="shared" si="612"/>
        <v>0</v>
      </c>
      <c r="AO2744"/>
      <c r="AP2744"/>
    </row>
    <row r="2745" spans="1:42" ht="66" x14ac:dyDescent="0.25">
      <c r="A2745" s="9"/>
      <c r="B2745" s="37" t="s">
        <v>2333</v>
      </c>
      <c r="C2745" s="1024"/>
      <c r="D2745" s="922">
        <v>32</v>
      </c>
      <c r="E2745" s="258" t="s">
        <v>1722</v>
      </c>
      <c r="F2745" s="273" t="s">
        <v>3446</v>
      </c>
      <c r="G2745" s="1040" t="s">
        <v>3463</v>
      </c>
      <c r="H2745" s="273" t="s">
        <v>3462</v>
      </c>
      <c r="I2745" s="720">
        <f t="shared" si="608"/>
        <v>194.58</v>
      </c>
      <c r="J2745" s="805">
        <v>6226.56</v>
      </c>
      <c r="K2745" s="131">
        <f t="shared" si="611"/>
        <v>6226.56</v>
      </c>
      <c r="L2745" s="335">
        <f t="shared" si="618"/>
        <v>0</v>
      </c>
      <c r="M2745" s="446"/>
      <c r="N2745" s="446"/>
      <c r="O2745" s="446"/>
      <c r="P2745" s="446"/>
      <c r="Q2745" s="110">
        <f t="shared" si="613"/>
        <v>8</v>
      </c>
      <c r="R2745" s="111">
        <f t="shared" si="616"/>
        <v>1556.64</v>
      </c>
      <c r="S2745" s="110"/>
      <c r="T2745" s="110"/>
      <c r="U2745" s="110">
        <f t="shared" si="614"/>
        <v>8</v>
      </c>
      <c r="V2745" s="111">
        <f t="shared" si="617"/>
        <v>1556.64</v>
      </c>
      <c r="W2745" s="110"/>
      <c r="X2745" s="110"/>
      <c r="Y2745" s="110"/>
      <c r="Z2745" s="110"/>
      <c r="AA2745" s="110">
        <f t="shared" si="615"/>
        <v>8</v>
      </c>
      <c r="AB2745" s="111">
        <f t="shared" si="609"/>
        <v>1556.64</v>
      </c>
      <c r="AC2745" s="110"/>
      <c r="AD2745" s="110"/>
      <c r="AE2745" s="110">
        <f t="shared" si="615"/>
        <v>8</v>
      </c>
      <c r="AF2745" s="111">
        <f t="shared" si="610"/>
        <v>1556.64</v>
      </c>
      <c r="AG2745" s="110"/>
      <c r="AH2745" s="110"/>
      <c r="AI2745" s="110"/>
      <c r="AJ2745" s="110"/>
      <c r="AK2745" s="111">
        <f t="shared" si="619"/>
        <v>6226.56</v>
      </c>
      <c r="AL2745" s="446">
        <f t="shared" si="620"/>
        <v>0</v>
      </c>
      <c r="AM2745" s="110">
        <f t="shared" si="621"/>
        <v>32</v>
      </c>
      <c r="AN2745" s="447">
        <f t="shared" si="612"/>
        <v>0</v>
      </c>
      <c r="AO2745"/>
      <c r="AP2745"/>
    </row>
    <row r="2746" spans="1:42" ht="66" x14ac:dyDescent="0.25">
      <c r="A2746" s="9"/>
      <c r="B2746" s="146" t="s">
        <v>2334</v>
      </c>
      <c r="C2746" s="1024"/>
      <c r="D2746" s="922">
        <v>19</v>
      </c>
      <c r="E2746" s="258" t="s">
        <v>1722</v>
      </c>
      <c r="F2746" s="273" t="s">
        <v>3446</v>
      </c>
      <c r="G2746" s="1040" t="s">
        <v>3463</v>
      </c>
      <c r="H2746" s="273" t="s">
        <v>3462</v>
      </c>
      <c r="I2746" s="720">
        <f t="shared" si="608"/>
        <v>46.78</v>
      </c>
      <c r="J2746" s="805">
        <v>888.82</v>
      </c>
      <c r="K2746" s="131">
        <f t="shared" si="611"/>
        <v>888.82</v>
      </c>
      <c r="L2746" s="335">
        <f t="shared" si="618"/>
        <v>0</v>
      </c>
      <c r="M2746" s="446"/>
      <c r="N2746" s="446"/>
      <c r="O2746" s="446"/>
      <c r="P2746" s="446"/>
      <c r="Q2746" s="110">
        <v>5</v>
      </c>
      <c r="R2746" s="111">
        <f t="shared" si="616"/>
        <v>222.20500000000001</v>
      </c>
      <c r="S2746" s="110"/>
      <c r="T2746" s="110"/>
      <c r="U2746" s="110">
        <v>5</v>
      </c>
      <c r="V2746" s="111">
        <f t="shared" si="617"/>
        <v>222.20500000000001</v>
      </c>
      <c r="W2746" s="110"/>
      <c r="X2746" s="110"/>
      <c r="Y2746" s="110"/>
      <c r="Z2746" s="110"/>
      <c r="AA2746" s="110">
        <v>5</v>
      </c>
      <c r="AB2746" s="111">
        <f t="shared" si="609"/>
        <v>222.20500000000001</v>
      </c>
      <c r="AC2746" s="110"/>
      <c r="AD2746" s="110"/>
      <c r="AE2746" s="110">
        <v>4</v>
      </c>
      <c r="AF2746" s="111">
        <f t="shared" si="610"/>
        <v>222.20500000000001</v>
      </c>
      <c r="AG2746" s="110"/>
      <c r="AH2746" s="110"/>
      <c r="AI2746" s="110"/>
      <c r="AJ2746" s="110"/>
      <c r="AK2746" s="111">
        <f t="shared" si="619"/>
        <v>888.82</v>
      </c>
      <c r="AL2746" s="446">
        <f t="shared" si="620"/>
        <v>0</v>
      </c>
      <c r="AM2746" s="110">
        <f t="shared" si="621"/>
        <v>19</v>
      </c>
      <c r="AN2746" s="447">
        <f t="shared" si="612"/>
        <v>0</v>
      </c>
      <c r="AO2746"/>
      <c r="AP2746"/>
    </row>
    <row r="2747" spans="1:42" ht="66" x14ac:dyDescent="0.25">
      <c r="A2747" s="9"/>
      <c r="B2747" s="146" t="s">
        <v>2335</v>
      </c>
      <c r="C2747" s="1024"/>
      <c r="D2747" s="922">
        <v>14</v>
      </c>
      <c r="E2747" s="258" t="s">
        <v>1722</v>
      </c>
      <c r="F2747" s="273" t="s">
        <v>3446</v>
      </c>
      <c r="G2747" s="1040" t="s">
        <v>3463</v>
      </c>
      <c r="H2747" s="273" t="s">
        <v>3462</v>
      </c>
      <c r="I2747" s="720">
        <f t="shared" ref="I2747:I2810" si="622">+J2747/D2747</f>
        <v>590.39</v>
      </c>
      <c r="J2747" s="805">
        <v>8265.4599999999991</v>
      </c>
      <c r="K2747" s="131">
        <f t="shared" si="611"/>
        <v>8265.4599999999991</v>
      </c>
      <c r="L2747" s="335">
        <f t="shared" si="618"/>
        <v>0</v>
      </c>
      <c r="M2747" s="446"/>
      <c r="N2747" s="446"/>
      <c r="O2747" s="446"/>
      <c r="P2747" s="446"/>
      <c r="Q2747" s="110">
        <f t="shared" si="613"/>
        <v>3.5</v>
      </c>
      <c r="R2747" s="111">
        <f t="shared" si="616"/>
        <v>2066.3649999999998</v>
      </c>
      <c r="S2747" s="110"/>
      <c r="T2747" s="110"/>
      <c r="U2747" s="110">
        <f t="shared" si="614"/>
        <v>3.5</v>
      </c>
      <c r="V2747" s="111">
        <f t="shared" si="617"/>
        <v>2066.3649999999998</v>
      </c>
      <c r="W2747" s="110"/>
      <c r="X2747" s="110"/>
      <c r="Y2747" s="110"/>
      <c r="Z2747" s="110"/>
      <c r="AA2747" s="110">
        <f t="shared" si="615"/>
        <v>3.5</v>
      </c>
      <c r="AB2747" s="111">
        <f t="shared" si="609"/>
        <v>2066.3649999999998</v>
      </c>
      <c r="AC2747" s="110"/>
      <c r="AD2747" s="110"/>
      <c r="AE2747" s="110">
        <f t="shared" si="615"/>
        <v>3.5</v>
      </c>
      <c r="AF2747" s="111">
        <f t="shared" si="610"/>
        <v>2066.3649999999998</v>
      </c>
      <c r="AG2747" s="110"/>
      <c r="AH2747" s="110"/>
      <c r="AI2747" s="110"/>
      <c r="AJ2747" s="110"/>
      <c r="AK2747" s="111">
        <f t="shared" si="619"/>
        <v>8265.4599999999991</v>
      </c>
      <c r="AL2747" s="446">
        <f t="shared" si="620"/>
        <v>0</v>
      </c>
      <c r="AM2747" s="110">
        <f t="shared" si="621"/>
        <v>14</v>
      </c>
      <c r="AN2747" s="447">
        <f t="shared" si="612"/>
        <v>0</v>
      </c>
      <c r="AO2747"/>
      <c r="AP2747"/>
    </row>
    <row r="2748" spans="1:42" ht="66" x14ac:dyDescent="0.25">
      <c r="A2748" s="9"/>
      <c r="B2748" s="146" t="s">
        <v>2336</v>
      </c>
      <c r="C2748" s="1024"/>
      <c r="D2748" s="922">
        <v>13</v>
      </c>
      <c r="E2748" s="258" t="s">
        <v>1722</v>
      </c>
      <c r="F2748" s="273" t="s">
        <v>3446</v>
      </c>
      <c r="G2748" s="1040" t="s">
        <v>3463</v>
      </c>
      <c r="H2748" s="273" t="s">
        <v>3462</v>
      </c>
      <c r="I2748" s="720">
        <f t="shared" si="622"/>
        <v>400</v>
      </c>
      <c r="J2748" s="805">
        <v>5200</v>
      </c>
      <c r="K2748" s="131">
        <f t="shared" si="611"/>
        <v>5200</v>
      </c>
      <c r="L2748" s="335">
        <f t="shared" si="618"/>
        <v>0</v>
      </c>
      <c r="M2748" s="446"/>
      <c r="N2748" s="446"/>
      <c r="O2748" s="446"/>
      <c r="P2748" s="446"/>
      <c r="Q2748" s="110">
        <v>4</v>
      </c>
      <c r="R2748" s="111">
        <f t="shared" si="616"/>
        <v>1300</v>
      </c>
      <c r="S2748" s="110"/>
      <c r="T2748" s="110"/>
      <c r="U2748" s="110">
        <v>3</v>
      </c>
      <c r="V2748" s="111">
        <f t="shared" si="617"/>
        <v>1300</v>
      </c>
      <c r="W2748" s="110"/>
      <c r="X2748" s="110"/>
      <c r="Y2748" s="110"/>
      <c r="Z2748" s="110"/>
      <c r="AA2748" s="110">
        <v>3</v>
      </c>
      <c r="AB2748" s="111">
        <f t="shared" si="609"/>
        <v>1300</v>
      </c>
      <c r="AC2748" s="110"/>
      <c r="AD2748" s="110"/>
      <c r="AE2748" s="110">
        <v>3</v>
      </c>
      <c r="AF2748" s="111">
        <f t="shared" si="610"/>
        <v>1300</v>
      </c>
      <c r="AG2748" s="110"/>
      <c r="AH2748" s="110"/>
      <c r="AI2748" s="110"/>
      <c r="AJ2748" s="110"/>
      <c r="AK2748" s="111">
        <f t="shared" si="619"/>
        <v>5200</v>
      </c>
      <c r="AL2748" s="446">
        <f t="shared" si="620"/>
        <v>0</v>
      </c>
      <c r="AM2748" s="110">
        <f t="shared" si="621"/>
        <v>13</v>
      </c>
      <c r="AN2748" s="447">
        <f t="shared" si="612"/>
        <v>0</v>
      </c>
      <c r="AO2748"/>
      <c r="AP2748"/>
    </row>
    <row r="2749" spans="1:42" ht="66" x14ac:dyDescent="0.25">
      <c r="A2749" s="9"/>
      <c r="B2749" s="146" t="s">
        <v>2337</v>
      </c>
      <c r="C2749" s="1024"/>
      <c r="D2749" s="922">
        <v>13</v>
      </c>
      <c r="E2749" s="258" t="s">
        <v>1722</v>
      </c>
      <c r="F2749" s="273" t="s">
        <v>3446</v>
      </c>
      <c r="G2749" s="1040" t="s">
        <v>3463</v>
      </c>
      <c r="H2749" s="273" t="s">
        <v>3462</v>
      </c>
      <c r="I2749" s="720">
        <f t="shared" si="622"/>
        <v>124.68</v>
      </c>
      <c r="J2749" s="805">
        <v>1620.8400000000001</v>
      </c>
      <c r="K2749" s="131">
        <f t="shared" si="611"/>
        <v>1620.8400000000001</v>
      </c>
      <c r="L2749" s="335">
        <f t="shared" si="618"/>
        <v>0</v>
      </c>
      <c r="M2749" s="446"/>
      <c r="N2749" s="446"/>
      <c r="O2749" s="446"/>
      <c r="P2749" s="446"/>
      <c r="Q2749" s="110">
        <v>4</v>
      </c>
      <c r="R2749" s="111">
        <f t="shared" si="616"/>
        <v>405.21000000000004</v>
      </c>
      <c r="S2749" s="110"/>
      <c r="T2749" s="110"/>
      <c r="U2749" s="110">
        <v>3</v>
      </c>
      <c r="V2749" s="111">
        <f t="shared" si="617"/>
        <v>405.21000000000004</v>
      </c>
      <c r="W2749" s="110"/>
      <c r="X2749" s="110"/>
      <c r="Y2749" s="110"/>
      <c r="Z2749" s="110"/>
      <c r="AA2749" s="110">
        <v>3</v>
      </c>
      <c r="AB2749" s="111">
        <f t="shared" si="609"/>
        <v>405.21000000000004</v>
      </c>
      <c r="AC2749" s="110"/>
      <c r="AD2749" s="110"/>
      <c r="AE2749" s="110">
        <v>3</v>
      </c>
      <c r="AF2749" s="111">
        <f t="shared" si="610"/>
        <v>405.21000000000004</v>
      </c>
      <c r="AG2749" s="110"/>
      <c r="AH2749" s="110"/>
      <c r="AI2749" s="110"/>
      <c r="AJ2749" s="110"/>
      <c r="AK2749" s="111">
        <f t="shared" si="619"/>
        <v>1620.8400000000001</v>
      </c>
      <c r="AL2749" s="446">
        <f t="shared" si="620"/>
        <v>0</v>
      </c>
      <c r="AM2749" s="110">
        <f t="shared" si="621"/>
        <v>13</v>
      </c>
      <c r="AN2749" s="447">
        <f t="shared" si="612"/>
        <v>0</v>
      </c>
      <c r="AO2749"/>
      <c r="AP2749"/>
    </row>
    <row r="2750" spans="1:42" ht="66" x14ac:dyDescent="0.25">
      <c r="A2750" s="9"/>
      <c r="B2750" s="146" t="s">
        <v>2338</v>
      </c>
      <c r="C2750" s="1024"/>
      <c r="D2750" s="922">
        <v>12</v>
      </c>
      <c r="E2750" s="258" t="s">
        <v>1722</v>
      </c>
      <c r="F2750" s="273" t="s">
        <v>3446</v>
      </c>
      <c r="G2750" s="1040" t="s">
        <v>3463</v>
      </c>
      <c r="H2750" s="273" t="s">
        <v>3462</v>
      </c>
      <c r="I2750" s="720">
        <f t="shared" si="622"/>
        <v>76.819999999999993</v>
      </c>
      <c r="J2750" s="805">
        <v>921.83999999999992</v>
      </c>
      <c r="K2750" s="131">
        <f t="shared" si="611"/>
        <v>921.83999999999992</v>
      </c>
      <c r="L2750" s="335">
        <f t="shared" si="618"/>
        <v>0</v>
      </c>
      <c r="M2750" s="446"/>
      <c r="N2750" s="446"/>
      <c r="O2750" s="446"/>
      <c r="P2750" s="446"/>
      <c r="Q2750" s="110">
        <f t="shared" si="613"/>
        <v>3</v>
      </c>
      <c r="R2750" s="111">
        <f t="shared" si="616"/>
        <v>230.45999999999998</v>
      </c>
      <c r="S2750" s="110"/>
      <c r="T2750" s="110"/>
      <c r="U2750" s="110">
        <f t="shared" si="614"/>
        <v>3</v>
      </c>
      <c r="V2750" s="111">
        <f t="shared" si="617"/>
        <v>230.45999999999998</v>
      </c>
      <c r="W2750" s="110"/>
      <c r="X2750" s="110"/>
      <c r="Y2750" s="110"/>
      <c r="Z2750" s="110"/>
      <c r="AA2750" s="110">
        <f t="shared" si="615"/>
        <v>3</v>
      </c>
      <c r="AB2750" s="111">
        <f t="shared" si="609"/>
        <v>230.45999999999998</v>
      </c>
      <c r="AC2750" s="110"/>
      <c r="AD2750" s="110"/>
      <c r="AE2750" s="110">
        <f t="shared" si="615"/>
        <v>3</v>
      </c>
      <c r="AF2750" s="111">
        <f t="shared" si="610"/>
        <v>230.45999999999998</v>
      </c>
      <c r="AG2750" s="110"/>
      <c r="AH2750" s="110"/>
      <c r="AI2750" s="110"/>
      <c r="AJ2750" s="110"/>
      <c r="AK2750" s="111">
        <f t="shared" si="619"/>
        <v>921.83999999999992</v>
      </c>
      <c r="AL2750" s="446">
        <f t="shared" si="620"/>
        <v>0</v>
      </c>
      <c r="AM2750" s="110">
        <f t="shared" si="621"/>
        <v>12</v>
      </c>
      <c r="AN2750" s="447">
        <f t="shared" si="612"/>
        <v>0</v>
      </c>
      <c r="AO2750"/>
      <c r="AP2750"/>
    </row>
    <row r="2751" spans="1:42" ht="66" x14ac:dyDescent="0.25">
      <c r="A2751" s="9"/>
      <c r="B2751" s="146" t="s">
        <v>2339</v>
      </c>
      <c r="C2751" s="1024"/>
      <c r="D2751" s="922">
        <v>40</v>
      </c>
      <c r="E2751" s="258" t="s">
        <v>1722</v>
      </c>
      <c r="F2751" s="273" t="s">
        <v>3446</v>
      </c>
      <c r="G2751" s="1040" t="s">
        <v>3463</v>
      </c>
      <c r="H2751" s="273" t="s">
        <v>3462</v>
      </c>
      <c r="I2751" s="720">
        <f t="shared" si="622"/>
        <v>28.68</v>
      </c>
      <c r="J2751" s="805">
        <v>1147.2</v>
      </c>
      <c r="K2751" s="131">
        <f t="shared" si="611"/>
        <v>1147.2</v>
      </c>
      <c r="L2751" s="335">
        <f t="shared" si="618"/>
        <v>0</v>
      </c>
      <c r="M2751" s="446"/>
      <c r="N2751" s="446"/>
      <c r="O2751" s="446"/>
      <c r="P2751" s="446"/>
      <c r="Q2751" s="110">
        <f t="shared" si="613"/>
        <v>10</v>
      </c>
      <c r="R2751" s="111">
        <f t="shared" si="616"/>
        <v>286.8</v>
      </c>
      <c r="S2751" s="110"/>
      <c r="T2751" s="110"/>
      <c r="U2751" s="110">
        <f t="shared" si="614"/>
        <v>10</v>
      </c>
      <c r="V2751" s="111">
        <f t="shared" si="617"/>
        <v>286.8</v>
      </c>
      <c r="W2751" s="110"/>
      <c r="X2751" s="110"/>
      <c r="Y2751" s="110"/>
      <c r="Z2751" s="110"/>
      <c r="AA2751" s="110">
        <f t="shared" si="615"/>
        <v>10</v>
      </c>
      <c r="AB2751" s="111">
        <f t="shared" si="609"/>
        <v>286.8</v>
      </c>
      <c r="AC2751" s="110"/>
      <c r="AD2751" s="110"/>
      <c r="AE2751" s="110">
        <f t="shared" si="615"/>
        <v>10</v>
      </c>
      <c r="AF2751" s="111">
        <f t="shared" si="610"/>
        <v>286.8</v>
      </c>
      <c r="AG2751" s="110"/>
      <c r="AH2751" s="110"/>
      <c r="AI2751" s="110"/>
      <c r="AJ2751" s="110"/>
      <c r="AK2751" s="111">
        <f t="shared" si="619"/>
        <v>1147.2</v>
      </c>
      <c r="AL2751" s="446">
        <f t="shared" si="620"/>
        <v>0</v>
      </c>
      <c r="AM2751" s="110">
        <f t="shared" si="621"/>
        <v>40</v>
      </c>
      <c r="AN2751" s="447">
        <f t="shared" si="612"/>
        <v>0</v>
      </c>
      <c r="AO2751"/>
      <c r="AP2751"/>
    </row>
    <row r="2752" spans="1:42" ht="66" x14ac:dyDescent="0.25">
      <c r="A2752" s="9"/>
      <c r="B2752" s="146" t="s">
        <v>2340</v>
      </c>
      <c r="C2752" s="1024"/>
      <c r="D2752" s="922">
        <v>8</v>
      </c>
      <c r="E2752" s="258" t="s">
        <v>1722</v>
      </c>
      <c r="F2752" s="273" t="s">
        <v>3446</v>
      </c>
      <c r="G2752" s="1040" t="s">
        <v>3463</v>
      </c>
      <c r="H2752" s="273" t="s">
        <v>3462</v>
      </c>
      <c r="I2752" s="720">
        <f t="shared" si="622"/>
        <v>29.8</v>
      </c>
      <c r="J2752" s="805">
        <v>238.4</v>
      </c>
      <c r="K2752" s="131">
        <f t="shared" si="611"/>
        <v>238.4</v>
      </c>
      <c r="L2752" s="335">
        <f t="shared" si="618"/>
        <v>0</v>
      </c>
      <c r="M2752" s="446"/>
      <c r="N2752" s="446"/>
      <c r="O2752" s="446"/>
      <c r="P2752" s="446"/>
      <c r="Q2752" s="110">
        <f t="shared" si="613"/>
        <v>2</v>
      </c>
      <c r="R2752" s="111">
        <f t="shared" si="616"/>
        <v>59.6</v>
      </c>
      <c r="S2752" s="110"/>
      <c r="T2752" s="110"/>
      <c r="U2752" s="110">
        <f t="shared" si="614"/>
        <v>2</v>
      </c>
      <c r="V2752" s="111">
        <f t="shared" si="617"/>
        <v>59.6</v>
      </c>
      <c r="W2752" s="110"/>
      <c r="X2752" s="110"/>
      <c r="Y2752" s="110"/>
      <c r="Z2752" s="110"/>
      <c r="AA2752" s="110">
        <f t="shared" si="615"/>
        <v>2</v>
      </c>
      <c r="AB2752" s="111">
        <f t="shared" si="609"/>
        <v>59.6</v>
      </c>
      <c r="AC2752" s="110"/>
      <c r="AD2752" s="110"/>
      <c r="AE2752" s="110">
        <f t="shared" si="615"/>
        <v>2</v>
      </c>
      <c r="AF2752" s="111">
        <f t="shared" si="610"/>
        <v>59.6</v>
      </c>
      <c r="AG2752" s="110"/>
      <c r="AH2752" s="110"/>
      <c r="AI2752" s="110"/>
      <c r="AJ2752" s="110"/>
      <c r="AK2752" s="111">
        <f t="shared" si="619"/>
        <v>238.4</v>
      </c>
      <c r="AL2752" s="446">
        <f t="shared" si="620"/>
        <v>0</v>
      </c>
      <c r="AM2752" s="110">
        <f t="shared" si="621"/>
        <v>8</v>
      </c>
      <c r="AN2752" s="447">
        <f t="shared" si="612"/>
        <v>0</v>
      </c>
      <c r="AO2752"/>
      <c r="AP2752"/>
    </row>
    <row r="2753" spans="1:42" ht="66" x14ac:dyDescent="0.25">
      <c r="A2753" s="9"/>
      <c r="B2753" s="146" t="s">
        <v>2341</v>
      </c>
      <c r="C2753" s="1024"/>
      <c r="D2753" s="922">
        <v>5</v>
      </c>
      <c r="E2753" s="258" t="s">
        <v>1722</v>
      </c>
      <c r="F2753" s="273" t="s">
        <v>3446</v>
      </c>
      <c r="G2753" s="1040" t="s">
        <v>3463</v>
      </c>
      <c r="H2753" s="273" t="s">
        <v>3462</v>
      </c>
      <c r="I2753" s="720">
        <f t="shared" si="622"/>
        <v>462.12</v>
      </c>
      <c r="J2753" s="805">
        <v>2310.6</v>
      </c>
      <c r="K2753" s="131">
        <f t="shared" si="611"/>
        <v>2310.6</v>
      </c>
      <c r="L2753" s="335">
        <f t="shared" si="618"/>
        <v>0</v>
      </c>
      <c r="M2753" s="446"/>
      <c r="N2753" s="446"/>
      <c r="O2753" s="446"/>
      <c r="P2753" s="446"/>
      <c r="Q2753" s="110">
        <v>2</v>
      </c>
      <c r="R2753" s="111">
        <f t="shared" si="616"/>
        <v>577.65</v>
      </c>
      <c r="S2753" s="110"/>
      <c r="T2753" s="110"/>
      <c r="U2753" s="110">
        <v>1</v>
      </c>
      <c r="V2753" s="111">
        <f t="shared" si="617"/>
        <v>577.65</v>
      </c>
      <c r="W2753" s="110"/>
      <c r="X2753" s="110"/>
      <c r="Y2753" s="110"/>
      <c r="Z2753" s="110"/>
      <c r="AA2753" s="110">
        <v>1</v>
      </c>
      <c r="AB2753" s="111">
        <f t="shared" si="609"/>
        <v>577.65</v>
      </c>
      <c r="AC2753" s="110"/>
      <c r="AD2753" s="110"/>
      <c r="AE2753" s="110">
        <v>1</v>
      </c>
      <c r="AF2753" s="111">
        <f t="shared" si="610"/>
        <v>577.65</v>
      </c>
      <c r="AG2753" s="110"/>
      <c r="AH2753" s="110"/>
      <c r="AI2753" s="110"/>
      <c r="AJ2753" s="110"/>
      <c r="AK2753" s="111">
        <f t="shared" si="619"/>
        <v>2310.6</v>
      </c>
      <c r="AL2753" s="446">
        <f t="shared" si="620"/>
        <v>0</v>
      </c>
      <c r="AM2753" s="110">
        <f t="shared" si="621"/>
        <v>5</v>
      </c>
      <c r="AN2753" s="447">
        <f t="shared" si="612"/>
        <v>0</v>
      </c>
      <c r="AO2753"/>
      <c r="AP2753"/>
    </row>
    <row r="2754" spans="1:42" ht="66" x14ac:dyDescent="0.25">
      <c r="A2754" s="9"/>
      <c r="B2754" s="146" t="s">
        <v>2342</v>
      </c>
      <c r="C2754" s="1024"/>
      <c r="D2754" s="922">
        <v>5</v>
      </c>
      <c r="E2754" s="258" t="s">
        <v>1722</v>
      </c>
      <c r="F2754" s="273" t="s">
        <v>3446</v>
      </c>
      <c r="G2754" s="1040" t="s">
        <v>3463</v>
      </c>
      <c r="H2754" s="273" t="s">
        <v>3462</v>
      </c>
      <c r="I2754" s="720">
        <f t="shared" si="622"/>
        <v>972.94000000000017</v>
      </c>
      <c r="J2754" s="805">
        <v>4864.7000000000007</v>
      </c>
      <c r="K2754" s="131">
        <f t="shared" si="611"/>
        <v>4864.7000000000007</v>
      </c>
      <c r="L2754" s="335">
        <f t="shared" si="618"/>
        <v>0</v>
      </c>
      <c r="M2754" s="446"/>
      <c r="N2754" s="446"/>
      <c r="O2754" s="446"/>
      <c r="P2754" s="446"/>
      <c r="Q2754" s="110">
        <v>2</v>
      </c>
      <c r="R2754" s="111">
        <f t="shared" si="616"/>
        <v>1216.1750000000002</v>
      </c>
      <c r="S2754" s="110"/>
      <c r="T2754" s="110"/>
      <c r="U2754" s="110">
        <v>1</v>
      </c>
      <c r="V2754" s="111">
        <f t="shared" si="617"/>
        <v>1216.1750000000002</v>
      </c>
      <c r="W2754" s="110"/>
      <c r="X2754" s="110"/>
      <c r="Y2754" s="110"/>
      <c r="Z2754" s="110"/>
      <c r="AA2754" s="110">
        <v>1</v>
      </c>
      <c r="AB2754" s="111">
        <f t="shared" si="609"/>
        <v>1216.1750000000002</v>
      </c>
      <c r="AC2754" s="110"/>
      <c r="AD2754" s="110"/>
      <c r="AE2754" s="110">
        <v>1</v>
      </c>
      <c r="AF2754" s="111">
        <f t="shared" si="610"/>
        <v>1216.1750000000002</v>
      </c>
      <c r="AG2754" s="110"/>
      <c r="AH2754" s="110"/>
      <c r="AI2754" s="110"/>
      <c r="AJ2754" s="110"/>
      <c r="AK2754" s="111">
        <f t="shared" si="619"/>
        <v>4864.7000000000007</v>
      </c>
      <c r="AL2754" s="446">
        <f t="shared" si="620"/>
        <v>0</v>
      </c>
      <c r="AM2754" s="110">
        <f t="shared" si="621"/>
        <v>5</v>
      </c>
      <c r="AN2754" s="447">
        <f t="shared" si="612"/>
        <v>0</v>
      </c>
      <c r="AO2754"/>
      <c r="AP2754"/>
    </row>
    <row r="2755" spans="1:42" ht="66" x14ac:dyDescent="0.25">
      <c r="A2755" s="9"/>
      <c r="B2755" s="146" t="s">
        <v>2343</v>
      </c>
      <c r="C2755" s="1024"/>
      <c r="D2755" s="922">
        <v>35</v>
      </c>
      <c r="E2755" s="258" t="s">
        <v>1722</v>
      </c>
      <c r="F2755" s="273" t="s">
        <v>3446</v>
      </c>
      <c r="G2755" s="1040" t="s">
        <v>3463</v>
      </c>
      <c r="H2755" s="273" t="s">
        <v>3462</v>
      </c>
      <c r="I2755" s="720">
        <f t="shared" si="622"/>
        <v>35.64</v>
      </c>
      <c r="J2755" s="805">
        <v>1247.4000000000001</v>
      </c>
      <c r="K2755" s="131">
        <f t="shared" si="611"/>
        <v>1247.4000000000001</v>
      </c>
      <c r="L2755" s="335">
        <f t="shared" si="618"/>
        <v>0</v>
      </c>
      <c r="M2755" s="446"/>
      <c r="N2755" s="446"/>
      <c r="O2755" s="446"/>
      <c r="P2755" s="446"/>
      <c r="Q2755" s="110">
        <v>9</v>
      </c>
      <c r="R2755" s="111">
        <f t="shared" si="616"/>
        <v>311.85000000000002</v>
      </c>
      <c r="S2755" s="110"/>
      <c r="T2755" s="110"/>
      <c r="U2755" s="110">
        <v>9</v>
      </c>
      <c r="V2755" s="111">
        <f t="shared" si="617"/>
        <v>311.85000000000002</v>
      </c>
      <c r="W2755" s="110"/>
      <c r="X2755" s="110"/>
      <c r="Y2755" s="110"/>
      <c r="Z2755" s="110"/>
      <c r="AA2755" s="110">
        <v>9</v>
      </c>
      <c r="AB2755" s="111">
        <f t="shared" si="609"/>
        <v>311.85000000000002</v>
      </c>
      <c r="AC2755" s="110"/>
      <c r="AD2755" s="110"/>
      <c r="AE2755" s="110">
        <v>8</v>
      </c>
      <c r="AF2755" s="111">
        <f t="shared" si="610"/>
        <v>311.85000000000002</v>
      </c>
      <c r="AG2755" s="110"/>
      <c r="AH2755" s="110"/>
      <c r="AI2755" s="110"/>
      <c r="AJ2755" s="110"/>
      <c r="AK2755" s="111">
        <f t="shared" si="619"/>
        <v>1247.4000000000001</v>
      </c>
      <c r="AL2755" s="446">
        <f t="shared" si="620"/>
        <v>0</v>
      </c>
      <c r="AM2755" s="110">
        <f t="shared" si="621"/>
        <v>35</v>
      </c>
      <c r="AN2755" s="447">
        <f t="shared" si="612"/>
        <v>0</v>
      </c>
      <c r="AO2755"/>
      <c r="AP2755"/>
    </row>
    <row r="2756" spans="1:42" ht="66" x14ac:dyDescent="0.25">
      <c r="A2756" s="9"/>
      <c r="B2756" s="146" t="s">
        <v>2344</v>
      </c>
      <c r="C2756" s="1024"/>
      <c r="D2756" s="922">
        <v>10</v>
      </c>
      <c r="E2756" s="258" t="s">
        <v>1722</v>
      </c>
      <c r="F2756" s="273" t="s">
        <v>3446</v>
      </c>
      <c r="G2756" s="1040" t="s">
        <v>3463</v>
      </c>
      <c r="H2756" s="273" t="s">
        <v>3462</v>
      </c>
      <c r="I2756" s="720">
        <f t="shared" si="622"/>
        <v>113.68000000000002</v>
      </c>
      <c r="J2756" s="805">
        <v>1136.8000000000002</v>
      </c>
      <c r="K2756" s="131">
        <f t="shared" si="611"/>
        <v>1136.8000000000002</v>
      </c>
      <c r="L2756" s="335">
        <f t="shared" si="618"/>
        <v>0</v>
      </c>
      <c r="M2756" s="446"/>
      <c r="N2756" s="446"/>
      <c r="O2756" s="446"/>
      <c r="P2756" s="446"/>
      <c r="Q2756" s="130">
        <v>3</v>
      </c>
      <c r="R2756" s="111">
        <f t="shared" si="616"/>
        <v>284.20000000000005</v>
      </c>
      <c r="S2756" s="110"/>
      <c r="T2756" s="110"/>
      <c r="U2756" s="130">
        <v>3</v>
      </c>
      <c r="V2756" s="111">
        <f t="shared" si="617"/>
        <v>284.20000000000005</v>
      </c>
      <c r="W2756" s="110"/>
      <c r="X2756" s="110"/>
      <c r="Y2756" s="110"/>
      <c r="Z2756" s="110"/>
      <c r="AA2756" s="130">
        <v>2</v>
      </c>
      <c r="AB2756" s="111">
        <f t="shared" si="609"/>
        <v>284.20000000000005</v>
      </c>
      <c r="AC2756" s="110"/>
      <c r="AD2756" s="110"/>
      <c r="AE2756" s="130">
        <v>2</v>
      </c>
      <c r="AF2756" s="111">
        <f t="shared" si="610"/>
        <v>284.20000000000005</v>
      </c>
      <c r="AG2756" s="110"/>
      <c r="AH2756" s="110"/>
      <c r="AI2756" s="110"/>
      <c r="AJ2756" s="110"/>
      <c r="AK2756" s="111">
        <f t="shared" si="619"/>
        <v>1136.8000000000002</v>
      </c>
      <c r="AL2756" s="446">
        <f t="shared" si="620"/>
        <v>0</v>
      </c>
      <c r="AM2756" s="110">
        <f t="shared" si="621"/>
        <v>10</v>
      </c>
      <c r="AN2756" s="447">
        <f t="shared" si="612"/>
        <v>0</v>
      </c>
      <c r="AO2756"/>
      <c r="AP2756"/>
    </row>
    <row r="2757" spans="1:42" ht="66" x14ac:dyDescent="0.25">
      <c r="A2757" s="9"/>
      <c r="B2757" s="146" t="s">
        <v>2345</v>
      </c>
      <c r="C2757" s="1024"/>
      <c r="D2757" s="922">
        <v>1</v>
      </c>
      <c r="E2757" s="258" t="s">
        <v>1722</v>
      </c>
      <c r="F2757" s="273" t="s">
        <v>3446</v>
      </c>
      <c r="G2757" s="1040" t="s">
        <v>3463</v>
      </c>
      <c r="H2757" s="273" t="s">
        <v>3462</v>
      </c>
      <c r="I2757" s="720">
        <f t="shared" si="622"/>
        <v>63.5</v>
      </c>
      <c r="J2757" s="805">
        <v>63.5</v>
      </c>
      <c r="K2757" s="131">
        <f t="shared" si="611"/>
        <v>63.5</v>
      </c>
      <c r="L2757" s="335">
        <f t="shared" si="618"/>
        <v>0</v>
      </c>
      <c r="M2757" s="446"/>
      <c r="N2757" s="446"/>
      <c r="O2757" s="446"/>
      <c r="P2757" s="446"/>
      <c r="Q2757" s="110">
        <v>1</v>
      </c>
      <c r="R2757" s="111">
        <f t="shared" si="616"/>
        <v>15.875</v>
      </c>
      <c r="S2757" s="110"/>
      <c r="T2757" s="110"/>
      <c r="U2757" s="110">
        <v>0</v>
      </c>
      <c r="V2757" s="111">
        <f t="shared" si="617"/>
        <v>15.875</v>
      </c>
      <c r="W2757" s="110"/>
      <c r="X2757" s="110"/>
      <c r="Y2757" s="110"/>
      <c r="Z2757" s="110"/>
      <c r="AA2757" s="110">
        <v>0</v>
      </c>
      <c r="AB2757" s="111">
        <f t="shared" si="609"/>
        <v>15.875</v>
      </c>
      <c r="AC2757" s="110"/>
      <c r="AD2757" s="110"/>
      <c r="AE2757" s="110">
        <v>0</v>
      </c>
      <c r="AF2757" s="111">
        <f t="shared" si="610"/>
        <v>15.875</v>
      </c>
      <c r="AG2757" s="110"/>
      <c r="AH2757" s="110"/>
      <c r="AI2757" s="110"/>
      <c r="AJ2757" s="110"/>
      <c r="AK2757" s="111">
        <f t="shared" si="619"/>
        <v>63.5</v>
      </c>
      <c r="AL2757" s="446">
        <f t="shared" si="620"/>
        <v>0</v>
      </c>
      <c r="AM2757" s="110">
        <f t="shared" si="621"/>
        <v>1</v>
      </c>
      <c r="AN2757" s="447">
        <f t="shared" si="612"/>
        <v>0</v>
      </c>
      <c r="AO2757"/>
      <c r="AP2757"/>
    </row>
    <row r="2758" spans="1:42" ht="66" x14ac:dyDescent="0.25">
      <c r="A2758" s="9"/>
      <c r="B2758" s="146" t="s">
        <v>2346</v>
      </c>
      <c r="C2758" s="1024"/>
      <c r="D2758" s="922">
        <v>2</v>
      </c>
      <c r="E2758" s="258" t="s">
        <v>1725</v>
      </c>
      <c r="F2758" s="273" t="s">
        <v>3446</v>
      </c>
      <c r="G2758" s="1040" t="s">
        <v>3463</v>
      </c>
      <c r="H2758" s="273" t="s">
        <v>3462</v>
      </c>
      <c r="I2758" s="720">
        <f t="shared" si="622"/>
        <v>740.9</v>
      </c>
      <c r="J2758" s="805">
        <v>1481.8</v>
      </c>
      <c r="K2758" s="131">
        <f t="shared" si="611"/>
        <v>1481.8</v>
      </c>
      <c r="L2758" s="335">
        <f t="shared" si="618"/>
        <v>0</v>
      </c>
      <c r="M2758" s="446"/>
      <c r="N2758" s="446"/>
      <c r="O2758" s="446"/>
      <c r="P2758" s="446"/>
      <c r="Q2758" s="130">
        <v>1</v>
      </c>
      <c r="R2758" s="111">
        <f t="shared" si="616"/>
        <v>370.45</v>
      </c>
      <c r="S2758" s="110"/>
      <c r="T2758" s="110"/>
      <c r="U2758" s="130">
        <v>1</v>
      </c>
      <c r="V2758" s="111">
        <f t="shared" si="617"/>
        <v>370.45</v>
      </c>
      <c r="W2758" s="110"/>
      <c r="X2758" s="110"/>
      <c r="Y2758" s="110"/>
      <c r="Z2758" s="110"/>
      <c r="AA2758" s="130">
        <v>0</v>
      </c>
      <c r="AB2758" s="111">
        <f t="shared" si="609"/>
        <v>370.45</v>
      </c>
      <c r="AC2758" s="110"/>
      <c r="AD2758" s="110"/>
      <c r="AE2758" s="130">
        <v>0</v>
      </c>
      <c r="AF2758" s="111">
        <f t="shared" si="610"/>
        <v>370.45</v>
      </c>
      <c r="AG2758" s="110"/>
      <c r="AH2758" s="110"/>
      <c r="AI2758" s="110"/>
      <c r="AJ2758" s="110"/>
      <c r="AK2758" s="111">
        <f t="shared" si="619"/>
        <v>1481.8</v>
      </c>
      <c r="AL2758" s="446">
        <f t="shared" si="620"/>
        <v>0</v>
      </c>
      <c r="AM2758" s="110">
        <f t="shared" si="621"/>
        <v>2</v>
      </c>
      <c r="AN2758" s="447">
        <f t="shared" si="612"/>
        <v>0</v>
      </c>
      <c r="AO2758"/>
      <c r="AP2758"/>
    </row>
    <row r="2759" spans="1:42" ht="66" x14ac:dyDescent="0.25">
      <c r="A2759" s="9"/>
      <c r="B2759" s="146" t="s">
        <v>2347</v>
      </c>
      <c r="C2759" s="1024"/>
      <c r="D2759" s="922">
        <v>5</v>
      </c>
      <c r="E2759" s="258" t="s">
        <v>1721</v>
      </c>
      <c r="F2759" s="273" t="s">
        <v>3446</v>
      </c>
      <c r="G2759" s="1040" t="s">
        <v>3463</v>
      </c>
      <c r="H2759" s="273" t="s">
        <v>3462</v>
      </c>
      <c r="I2759" s="720">
        <f t="shared" si="622"/>
        <v>287.76</v>
      </c>
      <c r="J2759" s="805">
        <v>1438.8</v>
      </c>
      <c r="K2759" s="131">
        <f t="shared" si="611"/>
        <v>1438.8</v>
      </c>
      <c r="L2759" s="335">
        <f t="shared" si="618"/>
        <v>0</v>
      </c>
      <c r="M2759" s="446"/>
      <c r="N2759" s="446"/>
      <c r="O2759" s="446"/>
      <c r="P2759" s="446"/>
      <c r="Q2759" s="110">
        <v>2</v>
      </c>
      <c r="R2759" s="111">
        <f t="shared" si="616"/>
        <v>359.7</v>
      </c>
      <c r="S2759" s="110"/>
      <c r="T2759" s="110"/>
      <c r="U2759" s="110">
        <v>1</v>
      </c>
      <c r="V2759" s="111">
        <f t="shared" si="617"/>
        <v>359.7</v>
      </c>
      <c r="W2759" s="110"/>
      <c r="X2759" s="110"/>
      <c r="Y2759" s="110"/>
      <c r="Z2759" s="110"/>
      <c r="AA2759" s="110">
        <v>1</v>
      </c>
      <c r="AB2759" s="111">
        <f t="shared" ref="AB2759:AB2822" si="623">+J2759/4</f>
        <v>359.7</v>
      </c>
      <c r="AC2759" s="110"/>
      <c r="AD2759" s="110"/>
      <c r="AE2759" s="110">
        <v>1</v>
      </c>
      <c r="AF2759" s="111">
        <f t="shared" ref="AF2759:AF2822" si="624">+J2759/4</f>
        <v>359.7</v>
      </c>
      <c r="AG2759" s="110"/>
      <c r="AH2759" s="110"/>
      <c r="AI2759" s="110"/>
      <c r="AJ2759" s="110"/>
      <c r="AK2759" s="111">
        <f t="shared" si="619"/>
        <v>1438.8</v>
      </c>
      <c r="AL2759" s="446">
        <f t="shared" si="620"/>
        <v>0</v>
      </c>
      <c r="AM2759" s="110">
        <f t="shared" si="621"/>
        <v>5</v>
      </c>
      <c r="AN2759" s="447">
        <f t="shared" si="612"/>
        <v>0</v>
      </c>
      <c r="AO2759"/>
      <c r="AP2759"/>
    </row>
    <row r="2760" spans="1:42" ht="66" x14ac:dyDescent="0.25">
      <c r="A2760" s="9"/>
      <c r="B2760" s="146" t="s">
        <v>2348</v>
      </c>
      <c r="C2760" s="1024"/>
      <c r="D2760" s="922">
        <v>7</v>
      </c>
      <c r="E2760" s="258" t="s">
        <v>1722</v>
      </c>
      <c r="F2760" s="273" t="s">
        <v>3446</v>
      </c>
      <c r="G2760" s="1040" t="s">
        <v>3463</v>
      </c>
      <c r="H2760" s="273" t="s">
        <v>3462</v>
      </c>
      <c r="I2760" s="720">
        <f t="shared" si="622"/>
        <v>100.36</v>
      </c>
      <c r="J2760" s="805">
        <v>702.52</v>
      </c>
      <c r="K2760" s="131">
        <f t="shared" si="611"/>
        <v>702.52</v>
      </c>
      <c r="L2760" s="335">
        <f t="shared" si="618"/>
        <v>0</v>
      </c>
      <c r="M2760" s="446"/>
      <c r="N2760" s="446"/>
      <c r="O2760" s="446"/>
      <c r="P2760" s="446"/>
      <c r="Q2760" s="130">
        <v>2</v>
      </c>
      <c r="R2760" s="111">
        <f t="shared" si="616"/>
        <v>175.63</v>
      </c>
      <c r="S2760" s="110"/>
      <c r="T2760" s="110"/>
      <c r="U2760" s="130">
        <v>2</v>
      </c>
      <c r="V2760" s="111">
        <f t="shared" si="617"/>
        <v>175.63</v>
      </c>
      <c r="W2760" s="110"/>
      <c r="X2760" s="110"/>
      <c r="Y2760" s="110"/>
      <c r="Z2760" s="110"/>
      <c r="AA2760" s="130">
        <v>2</v>
      </c>
      <c r="AB2760" s="111">
        <f t="shared" si="623"/>
        <v>175.63</v>
      </c>
      <c r="AC2760" s="110"/>
      <c r="AD2760" s="110"/>
      <c r="AE2760" s="130">
        <v>1</v>
      </c>
      <c r="AF2760" s="111">
        <f t="shared" si="624"/>
        <v>175.63</v>
      </c>
      <c r="AG2760" s="110"/>
      <c r="AH2760" s="110"/>
      <c r="AI2760" s="110"/>
      <c r="AJ2760" s="110"/>
      <c r="AK2760" s="111">
        <f t="shared" si="619"/>
        <v>702.52</v>
      </c>
      <c r="AL2760" s="446">
        <f t="shared" si="620"/>
        <v>0</v>
      </c>
      <c r="AM2760" s="110">
        <f t="shared" si="621"/>
        <v>7</v>
      </c>
      <c r="AN2760" s="447">
        <f t="shared" si="612"/>
        <v>0</v>
      </c>
      <c r="AO2760"/>
      <c r="AP2760"/>
    </row>
    <row r="2761" spans="1:42" ht="66" x14ac:dyDescent="0.25">
      <c r="A2761" s="9"/>
      <c r="B2761" s="146" t="s">
        <v>2349</v>
      </c>
      <c r="C2761" s="1024"/>
      <c r="D2761" s="922">
        <v>7</v>
      </c>
      <c r="E2761" s="258" t="s">
        <v>1725</v>
      </c>
      <c r="F2761" s="273" t="s">
        <v>3446</v>
      </c>
      <c r="G2761" s="1040" t="s">
        <v>3463</v>
      </c>
      <c r="H2761" s="273" t="s">
        <v>3462</v>
      </c>
      <c r="I2761" s="720">
        <f t="shared" si="622"/>
        <v>100.36</v>
      </c>
      <c r="J2761" s="805">
        <v>702.52</v>
      </c>
      <c r="K2761" s="131">
        <f t="shared" si="611"/>
        <v>702.52</v>
      </c>
      <c r="L2761" s="335">
        <f t="shared" si="618"/>
        <v>0</v>
      </c>
      <c r="M2761" s="446"/>
      <c r="N2761" s="446"/>
      <c r="O2761" s="446"/>
      <c r="P2761" s="446"/>
      <c r="Q2761" s="130">
        <v>2</v>
      </c>
      <c r="R2761" s="111">
        <f t="shared" si="616"/>
        <v>175.63</v>
      </c>
      <c r="S2761" s="110"/>
      <c r="T2761" s="110"/>
      <c r="U2761" s="130">
        <v>2</v>
      </c>
      <c r="V2761" s="111">
        <f t="shared" si="617"/>
        <v>175.63</v>
      </c>
      <c r="W2761" s="110"/>
      <c r="X2761" s="110"/>
      <c r="Y2761" s="110"/>
      <c r="Z2761" s="110"/>
      <c r="AA2761" s="130">
        <v>2</v>
      </c>
      <c r="AB2761" s="111">
        <f t="shared" si="623"/>
        <v>175.63</v>
      </c>
      <c r="AC2761" s="110"/>
      <c r="AD2761" s="110"/>
      <c r="AE2761" s="130">
        <v>1</v>
      </c>
      <c r="AF2761" s="111">
        <f t="shared" si="624"/>
        <v>175.63</v>
      </c>
      <c r="AG2761" s="110"/>
      <c r="AH2761" s="110"/>
      <c r="AI2761" s="110"/>
      <c r="AJ2761" s="110"/>
      <c r="AK2761" s="111">
        <f t="shared" si="619"/>
        <v>702.52</v>
      </c>
      <c r="AL2761" s="446">
        <f t="shared" si="620"/>
        <v>0</v>
      </c>
      <c r="AM2761" s="110">
        <f t="shared" si="621"/>
        <v>7</v>
      </c>
      <c r="AN2761" s="447">
        <f t="shared" si="612"/>
        <v>0</v>
      </c>
      <c r="AO2761"/>
      <c r="AP2761"/>
    </row>
    <row r="2762" spans="1:42" ht="66" x14ac:dyDescent="0.25">
      <c r="A2762" s="9"/>
      <c r="B2762" s="146" t="s">
        <v>2350</v>
      </c>
      <c r="C2762" s="1024"/>
      <c r="D2762" s="922">
        <v>7</v>
      </c>
      <c r="E2762" s="258" t="s">
        <v>1722</v>
      </c>
      <c r="F2762" s="273" t="s">
        <v>3446</v>
      </c>
      <c r="G2762" s="1040" t="s">
        <v>3463</v>
      </c>
      <c r="H2762" s="273" t="s">
        <v>3462</v>
      </c>
      <c r="I2762" s="720">
        <f t="shared" si="622"/>
        <v>100.36</v>
      </c>
      <c r="J2762" s="805">
        <v>702.52</v>
      </c>
      <c r="K2762" s="131">
        <f t="shared" si="611"/>
        <v>702.52</v>
      </c>
      <c r="L2762" s="335">
        <f t="shared" si="618"/>
        <v>0</v>
      </c>
      <c r="M2762" s="446"/>
      <c r="N2762" s="446"/>
      <c r="O2762" s="446"/>
      <c r="P2762" s="446"/>
      <c r="Q2762" s="130">
        <v>2</v>
      </c>
      <c r="R2762" s="111">
        <f t="shared" si="616"/>
        <v>175.63</v>
      </c>
      <c r="S2762" s="110"/>
      <c r="T2762" s="110"/>
      <c r="U2762" s="130">
        <v>2</v>
      </c>
      <c r="V2762" s="111">
        <f t="shared" si="617"/>
        <v>175.63</v>
      </c>
      <c r="W2762" s="110"/>
      <c r="X2762" s="110"/>
      <c r="Y2762" s="110"/>
      <c r="Z2762" s="110"/>
      <c r="AA2762" s="130">
        <v>2</v>
      </c>
      <c r="AB2762" s="111">
        <f t="shared" si="623"/>
        <v>175.63</v>
      </c>
      <c r="AC2762" s="110"/>
      <c r="AD2762" s="110"/>
      <c r="AE2762" s="130">
        <v>1</v>
      </c>
      <c r="AF2762" s="111">
        <f t="shared" si="624"/>
        <v>175.63</v>
      </c>
      <c r="AG2762" s="110"/>
      <c r="AH2762" s="110"/>
      <c r="AI2762" s="110"/>
      <c r="AJ2762" s="110"/>
      <c r="AK2762" s="111">
        <f t="shared" si="619"/>
        <v>702.52</v>
      </c>
      <c r="AL2762" s="446">
        <f t="shared" si="620"/>
        <v>0</v>
      </c>
      <c r="AM2762" s="110">
        <f t="shared" si="621"/>
        <v>7</v>
      </c>
      <c r="AN2762" s="447">
        <f t="shared" si="612"/>
        <v>0</v>
      </c>
      <c r="AO2762"/>
      <c r="AP2762"/>
    </row>
    <row r="2763" spans="1:42" ht="66" x14ac:dyDescent="0.25">
      <c r="A2763" s="9"/>
      <c r="B2763" s="146" t="s">
        <v>2351</v>
      </c>
      <c r="C2763" s="1024"/>
      <c r="D2763" s="922">
        <v>3</v>
      </c>
      <c r="E2763" s="258" t="s">
        <v>1722</v>
      </c>
      <c r="F2763" s="273" t="s">
        <v>3446</v>
      </c>
      <c r="G2763" s="1040" t="s">
        <v>3463</v>
      </c>
      <c r="H2763" s="273" t="s">
        <v>3462</v>
      </c>
      <c r="I2763" s="720">
        <f t="shared" si="622"/>
        <v>193.05000000000004</v>
      </c>
      <c r="J2763" s="805">
        <v>579.15000000000009</v>
      </c>
      <c r="K2763" s="131">
        <f t="shared" si="611"/>
        <v>579.15000000000009</v>
      </c>
      <c r="L2763" s="335">
        <f t="shared" si="618"/>
        <v>0</v>
      </c>
      <c r="M2763" s="446"/>
      <c r="N2763" s="446"/>
      <c r="O2763" s="446"/>
      <c r="P2763" s="446"/>
      <c r="Q2763" s="130">
        <v>1</v>
      </c>
      <c r="R2763" s="111">
        <f t="shared" si="616"/>
        <v>144.78750000000002</v>
      </c>
      <c r="S2763" s="110"/>
      <c r="T2763" s="110"/>
      <c r="U2763" s="130">
        <v>1</v>
      </c>
      <c r="V2763" s="111">
        <f t="shared" si="617"/>
        <v>144.78750000000002</v>
      </c>
      <c r="W2763" s="110"/>
      <c r="X2763" s="110"/>
      <c r="Y2763" s="110"/>
      <c r="Z2763" s="110"/>
      <c r="AA2763" s="130">
        <v>1</v>
      </c>
      <c r="AB2763" s="111">
        <f t="shared" si="623"/>
        <v>144.78750000000002</v>
      </c>
      <c r="AC2763" s="110"/>
      <c r="AD2763" s="110"/>
      <c r="AE2763" s="130">
        <v>0</v>
      </c>
      <c r="AF2763" s="111">
        <f t="shared" si="624"/>
        <v>144.78750000000002</v>
      </c>
      <c r="AG2763" s="110"/>
      <c r="AH2763" s="110"/>
      <c r="AI2763" s="110"/>
      <c r="AJ2763" s="110"/>
      <c r="AK2763" s="111">
        <f t="shared" si="619"/>
        <v>579.15000000000009</v>
      </c>
      <c r="AL2763" s="446">
        <f t="shared" si="620"/>
        <v>0</v>
      </c>
      <c r="AM2763" s="110">
        <f t="shared" si="621"/>
        <v>3</v>
      </c>
      <c r="AN2763" s="447">
        <f t="shared" si="612"/>
        <v>0</v>
      </c>
      <c r="AO2763"/>
      <c r="AP2763"/>
    </row>
    <row r="2764" spans="1:42" ht="66" x14ac:dyDescent="0.25">
      <c r="A2764" s="9"/>
      <c r="B2764" s="146" t="s">
        <v>2352</v>
      </c>
      <c r="C2764" s="1024"/>
      <c r="D2764" s="922">
        <v>15</v>
      </c>
      <c r="E2764" s="258" t="s">
        <v>1722</v>
      </c>
      <c r="F2764" s="273" t="s">
        <v>3446</v>
      </c>
      <c r="G2764" s="1040" t="s">
        <v>3463</v>
      </c>
      <c r="H2764" s="273" t="s">
        <v>3462</v>
      </c>
      <c r="I2764" s="720">
        <f t="shared" si="622"/>
        <v>32.840000000000003</v>
      </c>
      <c r="J2764" s="805">
        <v>492.6</v>
      </c>
      <c r="K2764" s="131">
        <f t="shared" si="611"/>
        <v>492.6</v>
      </c>
      <c r="L2764" s="335">
        <f t="shared" si="618"/>
        <v>0</v>
      </c>
      <c r="M2764" s="446"/>
      <c r="N2764" s="446"/>
      <c r="O2764" s="446"/>
      <c r="P2764" s="446"/>
      <c r="Q2764" s="110">
        <v>4</v>
      </c>
      <c r="R2764" s="111">
        <f t="shared" si="616"/>
        <v>123.15</v>
      </c>
      <c r="S2764" s="110"/>
      <c r="T2764" s="110"/>
      <c r="U2764" s="110">
        <v>4</v>
      </c>
      <c r="V2764" s="111">
        <f t="shared" si="617"/>
        <v>123.15</v>
      </c>
      <c r="W2764" s="110"/>
      <c r="X2764" s="110"/>
      <c r="Y2764" s="110"/>
      <c r="Z2764" s="110"/>
      <c r="AA2764" s="110">
        <v>4</v>
      </c>
      <c r="AB2764" s="111">
        <f t="shared" si="623"/>
        <v>123.15</v>
      </c>
      <c r="AC2764" s="110"/>
      <c r="AD2764" s="110"/>
      <c r="AE2764" s="110">
        <v>3</v>
      </c>
      <c r="AF2764" s="111">
        <f t="shared" si="624"/>
        <v>123.15</v>
      </c>
      <c r="AG2764" s="110"/>
      <c r="AH2764" s="110"/>
      <c r="AI2764" s="110"/>
      <c r="AJ2764" s="110"/>
      <c r="AK2764" s="111">
        <f t="shared" si="619"/>
        <v>492.6</v>
      </c>
      <c r="AL2764" s="446">
        <f t="shared" si="620"/>
        <v>0</v>
      </c>
      <c r="AM2764" s="110">
        <f t="shared" si="621"/>
        <v>15</v>
      </c>
      <c r="AN2764" s="447">
        <f t="shared" si="612"/>
        <v>0</v>
      </c>
      <c r="AO2764"/>
      <c r="AP2764"/>
    </row>
    <row r="2765" spans="1:42" ht="66" x14ac:dyDescent="0.25">
      <c r="A2765" s="9"/>
      <c r="B2765" s="146" t="s">
        <v>2353</v>
      </c>
      <c r="C2765" s="1024"/>
      <c r="D2765" s="922">
        <v>15</v>
      </c>
      <c r="E2765" s="258" t="s">
        <v>1722</v>
      </c>
      <c r="F2765" s="273" t="s">
        <v>3446</v>
      </c>
      <c r="G2765" s="1040" t="s">
        <v>3463</v>
      </c>
      <c r="H2765" s="273" t="s">
        <v>3462</v>
      </c>
      <c r="I2765" s="720">
        <f t="shared" si="622"/>
        <v>32.840000000000003</v>
      </c>
      <c r="J2765" s="805">
        <v>492.6</v>
      </c>
      <c r="K2765" s="131">
        <f t="shared" si="611"/>
        <v>492.6</v>
      </c>
      <c r="L2765" s="335">
        <f t="shared" si="618"/>
        <v>0</v>
      </c>
      <c r="M2765" s="446"/>
      <c r="N2765" s="446"/>
      <c r="O2765" s="446"/>
      <c r="P2765" s="446"/>
      <c r="Q2765" s="110">
        <v>4</v>
      </c>
      <c r="R2765" s="111">
        <f t="shared" si="616"/>
        <v>123.15</v>
      </c>
      <c r="S2765" s="110"/>
      <c r="T2765" s="110"/>
      <c r="U2765" s="110">
        <v>4</v>
      </c>
      <c r="V2765" s="111">
        <f t="shared" si="617"/>
        <v>123.15</v>
      </c>
      <c r="W2765" s="110"/>
      <c r="X2765" s="110"/>
      <c r="Y2765" s="110"/>
      <c r="Z2765" s="110"/>
      <c r="AA2765" s="110">
        <v>4</v>
      </c>
      <c r="AB2765" s="111">
        <f t="shared" si="623"/>
        <v>123.15</v>
      </c>
      <c r="AC2765" s="110"/>
      <c r="AD2765" s="110"/>
      <c r="AE2765" s="110">
        <v>3</v>
      </c>
      <c r="AF2765" s="111">
        <f t="shared" si="624"/>
        <v>123.15</v>
      </c>
      <c r="AG2765" s="110"/>
      <c r="AH2765" s="110"/>
      <c r="AI2765" s="110"/>
      <c r="AJ2765" s="110"/>
      <c r="AK2765" s="111">
        <f t="shared" si="619"/>
        <v>492.6</v>
      </c>
      <c r="AL2765" s="446">
        <f t="shared" si="620"/>
        <v>0</v>
      </c>
      <c r="AM2765" s="110">
        <f t="shared" si="621"/>
        <v>15</v>
      </c>
      <c r="AN2765" s="447">
        <f t="shared" si="612"/>
        <v>0</v>
      </c>
      <c r="AO2765"/>
      <c r="AP2765"/>
    </row>
    <row r="2766" spans="1:42" ht="66" x14ac:dyDescent="0.25">
      <c r="A2766" s="9"/>
      <c r="B2766" s="146" t="s">
        <v>2354</v>
      </c>
      <c r="C2766" s="1024"/>
      <c r="D2766" s="922">
        <v>15</v>
      </c>
      <c r="E2766" s="258" t="s">
        <v>2443</v>
      </c>
      <c r="F2766" s="273" t="s">
        <v>3446</v>
      </c>
      <c r="G2766" s="1040" t="s">
        <v>3463</v>
      </c>
      <c r="H2766" s="273" t="s">
        <v>3462</v>
      </c>
      <c r="I2766" s="720">
        <f t="shared" si="622"/>
        <v>32.840000000000003</v>
      </c>
      <c r="J2766" s="805">
        <v>492.6</v>
      </c>
      <c r="K2766" s="131">
        <f t="shared" si="611"/>
        <v>492.6</v>
      </c>
      <c r="L2766" s="335">
        <f t="shared" si="618"/>
        <v>0</v>
      </c>
      <c r="M2766" s="446"/>
      <c r="N2766" s="446"/>
      <c r="O2766" s="446"/>
      <c r="P2766" s="446"/>
      <c r="Q2766" s="110">
        <v>4</v>
      </c>
      <c r="R2766" s="111">
        <f t="shared" si="616"/>
        <v>123.15</v>
      </c>
      <c r="S2766" s="110"/>
      <c r="T2766" s="110"/>
      <c r="U2766" s="110">
        <v>4</v>
      </c>
      <c r="V2766" s="111">
        <f t="shared" si="617"/>
        <v>123.15</v>
      </c>
      <c r="W2766" s="110"/>
      <c r="X2766" s="110"/>
      <c r="Y2766" s="110"/>
      <c r="Z2766" s="110"/>
      <c r="AA2766" s="110">
        <v>4</v>
      </c>
      <c r="AB2766" s="111">
        <f t="shared" si="623"/>
        <v>123.15</v>
      </c>
      <c r="AC2766" s="110"/>
      <c r="AD2766" s="110"/>
      <c r="AE2766" s="110">
        <v>3</v>
      </c>
      <c r="AF2766" s="111">
        <f t="shared" si="624"/>
        <v>123.15</v>
      </c>
      <c r="AG2766" s="110"/>
      <c r="AH2766" s="110"/>
      <c r="AI2766" s="110"/>
      <c r="AJ2766" s="110"/>
      <c r="AK2766" s="111">
        <f t="shared" si="619"/>
        <v>492.6</v>
      </c>
      <c r="AL2766" s="446">
        <f t="shared" si="620"/>
        <v>0</v>
      </c>
      <c r="AM2766" s="110">
        <f t="shared" si="621"/>
        <v>15</v>
      </c>
      <c r="AN2766" s="447">
        <f t="shared" si="612"/>
        <v>0</v>
      </c>
      <c r="AO2766"/>
      <c r="AP2766"/>
    </row>
    <row r="2767" spans="1:42" ht="66" x14ac:dyDescent="0.25">
      <c r="A2767" s="9"/>
      <c r="B2767" s="146" t="s">
        <v>2355</v>
      </c>
      <c r="C2767" s="1024"/>
      <c r="D2767" s="922">
        <v>33</v>
      </c>
      <c r="E2767" s="258" t="s">
        <v>1722</v>
      </c>
      <c r="F2767" s="273" t="s">
        <v>3446</v>
      </c>
      <c r="G2767" s="1040" t="s">
        <v>3463</v>
      </c>
      <c r="H2767" s="273" t="s">
        <v>3462</v>
      </c>
      <c r="I2767" s="720">
        <f t="shared" si="622"/>
        <v>129.68</v>
      </c>
      <c r="J2767" s="805">
        <v>4279.4400000000005</v>
      </c>
      <c r="K2767" s="131">
        <f t="shared" si="611"/>
        <v>4279.4400000000005</v>
      </c>
      <c r="L2767" s="335">
        <f t="shared" si="618"/>
        <v>0</v>
      </c>
      <c r="M2767" s="446"/>
      <c r="N2767" s="446"/>
      <c r="O2767" s="446"/>
      <c r="P2767" s="446"/>
      <c r="Q2767" s="110">
        <v>9</v>
      </c>
      <c r="R2767" s="111">
        <f t="shared" si="616"/>
        <v>1069.8600000000001</v>
      </c>
      <c r="S2767" s="110"/>
      <c r="T2767" s="110"/>
      <c r="U2767" s="110">
        <v>8</v>
      </c>
      <c r="V2767" s="111">
        <f t="shared" si="617"/>
        <v>1069.8600000000001</v>
      </c>
      <c r="W2767" s="110"/>
      <c r="X2767" s="110"/>
      <c r="Y2767" s="110"/>
      <c r="Z2767" s="110"/>
      <c r="AA2767" s="110">
        <v>8</v>
      </c>
      <c r="AB2767" s="111">
        <f t="shared" si="623"/>
        <v>1069.8600000000001</v>
      </c>
      <c r="AC2767" s="110"/>
      <c r="AD2767" s="110"/>
      <c r="AE2767" s="110">
        <v>8</v>
      </c>
      <c r="AF2767" s="111">
        <f t="shared" si="624"/>
        <v>1069.8600000000001</v>
      </c>
      <c r="AG2767" s="110"/>
      <c r="AH2767" s="110"/>
      <c r="AI2767" s="110"/>
      <c r="AJ2767" s="110"/>
      <c r="AK2767" s="111">
        <f t="shared" si="619"/>
        <v>4279.4400000000005</v>
      </c>
      <c r="AL2767" s="446">
        <f t="shared" si="620"/>
        <v>0</v>
      </c>
      <c r="AM2767" s="110">
        <f t="shared" si="621"/>
        <v>33</v>
      </c>
      <c r="AN2767" s="447">
        <f t="shared" si="612"/>
        <v>0</v>
      </c>
      <c r="AO2767"/>
      <c r="AP2767"/>
    </row>
    <row r="2768" spans="1:42" ht="66" x14ac:dyDescent="0.25">
      <c r="A2768" s="9"/>
      <c r="B2768" s="146" t="s">
        <v>2356</v>
      </c>
      <c r="C2768" s="1024"/>
      <c r="D2768" s="922">
        <v>1</v>
      </c>
      <c r="E2768" s="258" t="s">
        <v>1722</v>
      </c>
      <c r="F2768" s="273" t="s">
        <v>3446</v>
      </c>
      <c r="G2768" s="1040" t="s">
        <v>3463</v>
      </c>
      <c r="H2768" s="273" t="s">
        <v>3462</v>
      </c>
      <c r="I2768" s="720">
        <f t="shared" si="622"/>
        <v>239.13</v>
      </c>
      <c r="J2768" s="805">
        <v>239.13</v>
      </c>
      <c r="K2768" s="131">
        <f t="shared" si="611"/>
        <v>239.13</v>
      </c>
      <c r="L2768" s="335">
        <f t="shared" si="618"/>
        <v>0</v>
      </c>
      <c r="M2768" s="446"/>
      <c r="N2768" s="446"/>
      <c r="O2768" s="446"/>
      <c r="P2768" s="446"/>
      <c r="Q2768" s="110">
        <v>1</v>
      </c>
      <c r="R2768" s="111">
        <f t="shared" si="616"/>
        <v>59.782499999999999</v>
      </c>
      <c r="S2768" s="110"/>
      <c r="T2768" s="110"/>
      <c r="U2768" s="110">
        <v>0</v>
      </c>
      <c r="V2768" s="111">
        <f t="shared" si="617"/>
        <v>59.782499999999999</v>
      </c>
      <c r="W2768" s="110"/>
      <c r="X2768" s="110"/>
      <c r="Y2768" s="110"/>
      <c r="Z2768" s="110"/>
      <c r="AA2768" s="110">
        <v>0</v>
      </c>
      <c r="AB2768" s="111">
        <f t="shared" si="623"/>
        <v>59.782499999999999</v>
      </c>
      <c r="AC2768" s="110"/>
      <c r="AD2768" s="110"/>
      <c r="AE2768" s="110">
        <v>0</v>
      </c>
      <c r="AF2768" s="111">
        <f t="shared" si="624"/>
        <v>59.782499999999999</v>
      </c>
      <c r="AG2768" s="110"/>
      <c r="AH2768" s="110"/>
      <c r="AI2768" s="110"/>
      <c r="AJ2768" s="110"/>
      <c r="AK2768" s="111">
        <f t="shared" si="619"/>
        <v>239.13</v>
      </c>
      <c r="AL2768" s="446">
        <f t="shared" si="620"/>
        <v>0</v>
      </c>
      <c r="AM2768" s="110">
        <f t="shared" si="621"/>
        <v>1</v>
      </c>
      <c r="AN2768" s="447">
        <f t="shared" si="612"/>
        <v>0</v>
      </c>
      <c r="AO2768"/>
      <c r="AP2768"/>
    </row>
    <row r="2769" spans="1:42" ht="66" x14ac:dyDescent="0.25">
      <c r="A2769" s="9"/>
      <c r="B2769" s="146" t="s">
        <v>2357</v>
      </c>
      <c r="C2769" s="1024"/>
      <c r="D2769" s="922">
        <v>1</v>
      </c>
      <c r="E2769" s="258" t="s">
        <v>1721</v>
      </c>
      <c r="F2769" s="273" t="s">
        <v>3446</v>
      </c>
      <c r="G2769" s="1040" t="s">
        <v>3463</v>
      </c>
      <c r="H2769" s="273" t="s">
        <v>3462</v>
      </c>
      <c r="I2769" s="720">
        <f t="shared" si="622"/>
        <v>239.13</v>
      </c>
      <c r="J2769" s="805">
        <v>239.13</v>
      </c>
      <c r="K2769" s="131">
        <f t="shared" si="611"/>
        <v>239.13</v>
      </c>
      <c r="L2769" s="335">
        <f t="shared" si="618"/>
        <v>0</v>
      </c>
      <c r="M2769" s="446"/>
      <c r="N2769" s="446"/>
      <c r="O2769" s="446"/>
      <c r="P2769" s="446"/>
      <c r="Q2769" s="110">
        <v>1</v>
      </c>
      <c r="R2769" s="111">
        <f t="shared" si="616"/>
        <v>59.782499999999999</v>
      </c>
      <c r="S2769" s="110"/>
      <c r="T2769" s="110"/>
      <c r="U2769" s="110">
        <v>0</v>
      </c>
      <c r="V2769" s="111">
        <f t="shared" si="617"/>
        <v>59.782499999999999</v>
      </c>
      <c r="W2769" s="110"/>
      <c r="X2769" s="110"/>
      <c r="Y2769" s="110"/>
      <c r="Z2769" s="110"/>
      <c r="AA2769" s="110">
        <v>0</v>
      </c>
      <c r="AB2769" s="111">
        <f t="shared" si="623"/>
        <v>59.782499999999999</v>
      </c>
      <c r="AC2769" s="110"/>
      <c r="AD2769" s="110"/>
      <c r="AE2769" s="110">
        <v>0</v>
      </c>
      <c r="AF2769" s="111">
        <f t="shared" si="624"/>
        <v>59.782499999999999</v>
      </c>
      <c r="AG2769" s="110"/>
      <c r="AH2769" s="110"/>
      <c r="AI2769" s="110"/>
      <c r="AJ2769" s="110"/>
      <c r="AK2769" s="111">
        <f t="shared" si="619"/>
        <v>239.13</v>
      </c>
      <c r="AL2769" s="446">
        <f t="shared" si="620"/>
        <v>0</v>
      </c>
      <c r="AM2769" s="110">
        <f t="shared" si="621"/>
        <v>1</v>
      </c>
      <c r="AN2769" s="447">
        <f t="shared" si="612"/>
        <v>0</v>
      </c>
      <c r="AO2769"/>
      <c r="AP2769"/>
    </row>
    <row r="2770" spans="1:42" ht="66" x14ac:dyDescent="0.25">
      <c r="A2770" s="9"/>
      <c r="B2770" s="146" t="s">
        <v>2358</v>
      </c>
      <c r="C2770" s="1024"/>
      <c r="D2770" s="922">
        <v>1</v>
      </c>
      <c r="E2770" s="258" t="s">
        <v>1721</v>
      </c>
      <c r="F2770" s="273" t="s">
        <v>3446</v>
      </c>
      <c r="G2770" s="1040" t="s">
        <v>3463</v>
      </c>
      <c r="H2770" s="273" t="s">
        <v>3462</v>
      </c>
      <c r="I2770" s="720">
        <f t="shared" si="622"/>
        <v>239</v>
      </c>
      <c r="J2770" s="805">
        <v>239</v>
      </c>
      <c r="K2770" s="131">
        <f t="shared" si="611"/>
        <v>239</v>
      </c>
      <c r="L2770" s="335">
        <f t="shared" si="618"/>
        <v>0</v>
      </c>
      <c r="M2770" s="446"/>
      <c r="N2770" s="446"/>
      <c r="O2770" s="446"/>
      <c r="P2770" s="446"/>
      <c r="Q2770" s="110">
        <v>1</v>
      </c>
      <c r="R2770" s="111">
        <f t="shared" si="616"/>
        <v>59.75</v>
      </c>
      <c r="S2770" s="110"/>
      <c r="T2770" s="110"/>
      <c r="U2770" s="110">
        <v>0</v>
      </c>
      <c r="V2770" s="111">
        <f t="shared" si="617"/>
        <v>59.75</v>
      </c>
      <c r="W2770" s="110"/>
      <c r="X2770" s="110"/>
      <c r="Y2770" s="110"/>
      <c r="Z2770" s="110"/>
      <c r="AA2770" s="110">
        <v>0</v>
      </c>
      <c r="AB2770" s="111">
        <f t="shared" si="623"/>
        <v>59.75</v>
      </c>
      <c r="AC2770" s="110"/>
      <c r="AD2770" s="110"/>
      <c r="AE2770" s="110">
        <v>0</v>
      </c>
      <c r="AF2770" s="111">
        <f t="shared" si="624"/>
        <v>59.75</v>
      </c>
      <c r="AG2770" s="110"/>
      <c r="AH2770" s="110"/>
      <c r="AI2770" s="110"/>
      <c r="AJ2770" s="110"/>
      <c r="AK2770" s="111">
        <f t="shared" si="619"/>
        <v>239</v>
      </c>
      <c r="AL2770" s="446">
        <f t="shared" si="620"/>
        <v>0</v>
      </c>
      <c r="AM2770" s="110">
        <f t="shared" si="621"/>
        <v>1</v>
      </c>
      <c r="AN2770" s="447">
        <f t="shared" si="612"/>
        <v>0</v>
      </c>
      <c r="AO2770"/>
      <c r="AP2770"/>
    </row>
    <row r="2771" spans="1:42" ht="66" x14ac:dyDescent="0.25">
      <c r="A2771" s="9"/>
      <c r="B2771" s="146" t="s">
        <v>2359</v>
      </c>
      <c r="C2771" s="1024"/>
      <c r="D2771" s="922">
        <v>3</v>
      </c>
      <c r="E2771" s="258" t="s">
        <v>1721</v>
      </c>
      <c r="F2771" s="273" t="s">
        <v>3446</v>
      </c>
      <c r="G2771" s="1040" t="s">
        <v>3463</v>
      </c>
      <c r="H2771" s="273" t="s">
        <v>3462</v>
      </c>
      <c r="I2771" s="720">
        <f t="shared" si="622"/>
        <v>239</v>
      </c>
      <c r="J2771" s="805">
        <v>717</v>
      </c>
      <c r="K2771" s="131">
        <f t="shared" si="611"/>
        <v>717</v>
      </c>
      <c r="L2771" s="335">
        <f t="shared" si="618"/>
        <v>0</v>
      </c>
      <c r="M2771" s="446"/>
      <c r="N2771" s="446"/>
      <c r="O2771" s="446"/>
      <c r="P2771" s="446"/>
      <c r="Q2771" s="130">
        <v>1</v>
      </c>
      <c r="R2771" s="111">
        <f t="shared" si="616"/>
        <v>179.25</v>
      </c>
      <c r="S2771" s="110"/>
      <c r="T2771" s="110"/>
      <c r="U2771" s="130">
        <v>1</v>
      </c>
      <c r="V2771" s="111">
        <f t="shared" si="617"/>
        <v>179.25</v>
      </c>
      <c r="W2771" s="110"/>
      <c r="X2771" s="110"/>
      <c r="Y2771" s="110"/>
      <c r="Z2771" s="110"/>
      <c r="AA2771" s="130">
        <v>1</v>
      </c>
      <c r="AB2771" s="111">
        <f t="shared" si="623"/>
        <v>179.25</v>
      </c>
      <c r="AC2771" s="110"/>
      <c r="AD2771" s="110"/>
      <c r="AE2771" s="130">
        <v>0</v>
      </c>
      <c r="AF2771" s="111">
        <f t="shared" si="624"/>
        <v>179.25</v>
      </c>
      <c r="AG2771" s="110"/>
      <c r="AH2771" s="110"/>
      <c r="AI2771" s="110"/>
      <c r="AJ2771" s="110"/>
      <c r="AK2771" s="111">
        <f t="shared" si="619"/>
        <v>717</v>
      </c>
      <c r="AL2771" s="446">
        <f t="shared" si="620"/>
        <v>0</v>
      </c>
      <c r="AM2771" s="110">
        <f t="shared" si="621"/>
        <v>3</v>
      </c>
      <c r="AN2771" s="447">
        <f t="shared" si="612"/>
        <v>0</v>
      </c>
      <c r="AO2771"/>
      <c r="AP2771"/>
    </row>
    <row r="2772" spans="1:42" ht="66" x14ac:dyDescent="0.25">
      <c r="A2772" s="9"/>
      <c r="B2772" s="146" t="s">
        <v>2360</v>
      </c>
      <c r="C2772" s="1024"/>
      <c r="D2772" s="922">
        <v>6</v>
      </c>
      <c r="E2772" s="258" t="s">
        <v>1721</v>
      </c>
      <c r="F2772" s="273" t="s">
        <v>3446</v>
      </c>
      <c r="G2772" s="1040" t="s">
        <v>3463</v>
      </c>
      <c r="H2772" s="273" t="s">
        <v>3462</v>
      </c>
      <c r="I2772" s="720">
        <f t="shared" si="622"/>
        <v>99.969999999999985</v>
      </c>
      <c r="J2772" s="805">
        <v>599.81999999999994</v>
      </c>
      <c r="K2772" s="131">
        <f t="shared" si="611"/>
        <v>599.81999999999994</v>
      </c>
      <c r="L2772" s="335">
        <f t="shared" si="618"/>
        <v>0</v>
      </c>
      <c r="M2772" s="446"/>
      <c r="N2772" s="446"/>
      <c r="O2772" s="446"/>
      <c r="P2772" s="446"/>
      <c r="Q2772" s="130">
        <v>2</v>
      </c>
      <c r="R2772" s="111">
        <f t="shared" si="616"/>
        <v>149.95499999999998</v>
      </c>
      <c r="S2772" s="110"/>
      <c r="T2772" s="110"/>
      <c r="U2772" s="130">
        <v>2</v>
      </c>
      <c r="V2772" s="111">
        <f t="shared" si="617"/>
        <v>149.95499999999998</v>
      </c>
      <c r="W2772" s="110"/>
      <c r="X2772" s="110"/>
      <c r="Y2772" s="110"/>
      <c r="Z2772" s="110"/>
      <c r="AA2772" s="130">
        <v>1</v>
      </c>
      <c r="AB2772" s="111">
        <f t="shared" si="623"/>
        <v>149.95499999999998</v>
      </c>
      <c r="AC2772" s="110"/>
      <c r="AD2772" s="110"/>
      <c r="AE2772" s="130">
        <v>1</v>
      </c>
      <c r="AF2772" s="111">
        <f t="shared" si="624"/>
        <v>149.95499999999998</v>
      </c>
      <c r="AG2772" s="110"/>
      <c r="AH2772" s="110"/>
      <c r="AI2772" s="110"/>
      <c r="AJ2772" s="110"/>
      <c r="AK2772" s="111">
        <f t="shared" si="619"/>
        <v>599.81999999999994</v>
      </c>
      <c r="AL2772" s="446">
        <f t="shared" si="620"/>
        <v>0</v>
      </c>
      <c r="AM2772" s="110">
        <f t="shared" si="621"/>
        <v>6</v>
      </c>
      <c r="AN2772" s="447">
        <f t="shared" si="612"/>
        <v>0</v>
      </c>
      <c r="AO2772"/>
      <c r="AP2772"/>
    </row>
    <row r="2773" spans="1:42" ht="66" x14ac:dyDescent="0.25">
      <c r="A2773" s="9"/>
      <c r="B2773" s="146" t="s">
        <v>2361</v>
      </c>
      <c r="C2773" s="1024"/>
      <c r="D2773" s="922">
        <v>5</v>
      </c>
      <c r="E2773" s="258" t="s">
        <v>1721</v>
      </c>
      <c r="F2773" s="273" t="s">
        <v>3446</v>
      </c>
      <c r="G2773" s="1040" t="s">
        <v>3463</v>
      </c>
      <c r="H2773" s="273" t="s">
        <v>3462</v>
      </c>
      <c r="I2773" s="720">
        <f t="shared" si="622"/>
        <v>32.14</v>
      </c>
      <c r="J2773" s="805">
        <v>160.69999999999999</v>
      </c>
      <c r="K2773" s="131">
        <f t="shared" si="611"/>
        <v>160.69999999999999</v>
      </c>
      <c r="L2773" s="335">
        <f t="shared" si="618"/>
        <v>0</v>
      </c>
      <c r="M2773" s="446"/>
      <c r="N2773" s="446"/>
      <c r="O2773" s="446"/>
      <c r="P2773" s="446"/>
      <c r="Q2773" s="110">
        <v>2</v>
      </c>
      <c r="R2773" s="111">
        <f t="shared" si="616"/>
        <v>40.174999999999997</v>
      </c>
      <c r="S2773" s="110"/>
      <c r="T2773" s="110"/>
      <c r="U2773" s="110">
        <v>1</v>
      </c>
      <c r="V2773" s="111">
        <f t="shared" si="617"/>
        <v>40.174999999999997</v>
      </c>
      <c r="W2773" s="110"/>
      <c r="X2773" s="110"/>
      <c r="Y2773" s="110"/>
      <c r="Z2773" s="110"/>
      <c r="AA2773" s="110">
        <v>1</v>
      </c>
      <c r="AB2773" s="111">
        <f t="shared" si="623"/>
        <v>40.174999999999997</v>
      </c>
      <c r="AC2773" s="110"/>
      <c r="AD2773" s="110"/>
      <c r="AE2773" s="110">
        <v>1</v>
      </c>
      <c r="AF2773" s="111">
        <f t="shared" si="624"/>
        <v>40.174999999999997</v>
      </c>
      <c r="AG2773" s="110"/>
      <c r="AH2773" s="110"/>
      <c r="AI2773" s="110"/>
      <c r="AJ2773" s="110"/>
      <c r="AK2773" s="111">
        <f t="shared" si="619"/>
        <v>160.69999999999999</v>
      </c>
      <c r="AL2773" s="446">
        <f t="shared" si="620"/>
        <v>0</v>
      </c>
      <c r="AM2773" s="110">
        <f t="shared" si="621"/>
        <v>5</v>
      </c>
      <c r="AN2773" s="447">
        <f t="shared" si="612"/>
        <v>0</v>
      </c>
      <c r="AO2773"/>
      <c r="AP2773"/>
    </row>
    <row r="2774" spans="1:42" ht="66" x14ac:dyDescent="0.25">
      <c r="A2774" s="9"/>
      <c r="B2774" s="146" t="s">
        <v>2362</v>
      </c>
      <c r="C2774" s="1024"/>
      <c r="D2774" s="922">
        <v>5</v>
      </c>
      <c r="E2774" s="258" t="s">
        <v>1721</v>
      </c>
      <c r="F2774" s="273" t="s">
        <v>3446</v>
      </c>
      <c r="G2774" s="1040" t="s">
        <v>3463</v>
      </c>
      <c r="H2774" s="273" t="s">
        <v>3462</v>
      </c>
      <c r="I2774" s="720">
        <f t="shared" si="622"/>
        <v>32.14</v>
      </c>
      <c r="J2774" s="805">
        <v>160.69999999999999</v>
      </c>
      <c r="K2774" s="131">
        <f t="shared" si="611"/>
        <v>160.69999999999999</v>
      </c>
      <c r="L2774" s="335">
        <f t="shared" si="618"/>
        <v>0</v>
      </c>
      <c r="M2774" s="446"/>
      <c r="N2774" s="446"/>
      <c r="O2774" s="446"/>
      <c r="P2774" s="446"/>
      <c r="Q2774" s="110">
        <v>2</v>
      </c>
      <c r="R2774" s="111">
        <f t="shared" si="616"/>
        <v>40.174999999999997</v>
      </c>
      <c r="S2774" s="110"/>
      <c r="T2774" s="110"/>
      <c r="U2774" s="110">
        <v>1</v>
      </c>
      <c r="V2774" s="111">
        <f t="shared" si="617"/>
        <v>40.174999999999997</v>
      </c>
      <c r="W2774" s="110"/>
      <c r="X2774" s="110"/>
      <c r="Y2774" s="110"/>
      <c r="Z2774" s="110"/>
      <c r="AA2774" s="110">
        <v>1</v>
      </c>
      <c r="AB2774" s="111">
        <f t="shared" si="623"/>
        <v>40.174999999999997</v>
      </c>
      <c r="AC2774" s="110"/>
      <c r="AD2774" s="110"/>
      <c r="AE2774" s="110">
        <v>1</v>
      </c>
      <c r="AF2774" s="111">
        <f t="shared" si="624"/>
        <v>40.174999999999997</v>
      </c>
      <c r="AG2774" s="110"/>
      <c r="AH2774" s="110"/>
      <c r="AI2774" s="110"/>
      <c r="AJ2774" s="110"/>
      <c r="AK2774" s="111">
        <f t="shared" si="619"/>
        <v>160.69999999999999</v>
      </c>
      <c r="AL2774" s="446">
        <f t="shared" si="620"/>
        <v>0</v>
      </c>
      <c r="AM2774" s="110">
        <f t="shared" si="621"/>
        <v>5</v>
      </c>
      <c r="AN2774" s="447">
        <f t="shared" si="612"/>
        <v>0</v>
      </c>
      <c r="AO2774"/>
      <c r="AP2774"/>
    </row>
    <row r="2775" spans="1:42" ht="66" x14ac:dyDescent="0.25">
      <c r="A2775" s="9"/>
      <c r="B2775" s="146" t="s">
        <v>2363</v>
      </c>
      <c r="C2775" s="1024"/>
      <c r="D2775" s="922">
        <v>5</v>
      </c>
      <c r="E2775" s="258" t="s">
        <v>1721</v>
      </c>
      <c r="F2775" s="273" t="s">
        <v>3446</v>
      </c>
      <c r="G2775" s="1040" t="s">
        <v>3463</v>
      </c>
      <c r="H2775" s="273" t="s">
        <v>3462</v>
      </c>
      <c r="I2775" s="720">
        <f t="shared" si="622"/>
        <v>32.14</v>
      </c>
      <c r="J2775" s="805">
        <v>160.69999999999999</v>
      </c>
      <c r="K2775" s="131">
        <f t="shared" si="611"/>
        <v>160.69999999999999</v>
      </c>
      <c r="L2775" s="335">
        <f t="shared" si="618"/>
        <v>0</v>
      </c>
      <c r="M2775" s="446"/>
      <c r="N2775" s="446"/>
      <c r="O2775" s="446"/>
      <c r="P2775" s="446"/>
      <c r="Q2775" s="110">
        <v>2</v>
      </c>
      <c r="R2775" s="111">
        <f t="shared" si="616"/>
        <v>40.174999999999997</v>
      </c>
      <c r="S2775" s="110"/>
      <c r="T2775" s="110"/>
      <c r="U2775" s="110">
        <v>1</v>
      </c>
      <c r="V2775" s="111">
        <f t="shared" si="617"/>
        <v>40.174999999999997</v>
      </c>
      <c r="W2775" s="110"/>
      <c r="X2775" s="110"/>
      <c r="Y2775" s="110"/>
      <c r="Z2775" s="110"/>
      <c r="AA2775" s="110">
        <v>1</v>
      </c>
      <c r="AB2775" s="111">
        <f t="shared" si="623"/>
        <v>40.174999999999997</v>
      </c>
      <c r="AC2775" s="110"/>
      <c r="AD2775" s="110"/>
      <c r="AE2775" s="110">
        <v>1</v>
      </c>
      <c r="AF2775" s="111">
        <f t="shared" si="624"/>
        <v>40.174999999999997</v>
      </c>
      <c r="AG2775" s="110"/>
      <c r="AH2775" s="110"/>
      <c r="AI2775" s="110"/>
      <c r="AJ2775" s="110"/>
      <c r="AK2775" s="111">
        <f t="shared" si="619"/>
        <v>160.69999999999999</v>
      </c>
      <c r="AL2775" s="446">
        <f t="shared" si="620"/>
        <v>0</v>
      </c>
      <c r="AM2775" s="110">
        <f t="shared" si="621"/>
        <v>5</v>
      </c>
      <c r="AN2775" s="447">
        <f t="shared" si="612"/>
        <v>0</v>
      </c>
      <c r="AO2775"/>
      <c r="AP2775"/>
    </row>
    <row r="2776" spans="1:42" ht="66" x14ac:dyDescent="0.25">
      <c r="A2776" s="9"/>
      <c r="B2776" s="146" t="s">
        <v>2364</v>
      </c>
      <c r="C2776" s="1024"/>
      <c r="D2776" s="922">
        <v>5</v>
      </c>
      <c r="E2776" s="258" t="s">
        <v>1722</v>
      </c>
      <c r="F2776" s="273" t="s">
        <v>3446</v>
      </c>
      <c r="G2776" s="1040" t="s">
        <v>3463</v>
      </c>
      <c r="H2776" s="273" t="s">
        <v>3462</v>
      </c>
      <c r="I2776" s="720">
        <f t="shared" si="622"/>
        <v>32.14</v>
      </c>
      <c r="J2776" s="805">
        <v>160.69999999999999</v>
      </c>
      <c r="K2776" s="131">
        <f t="shared" si="611"/>
        <v>160.69999999999999</v>
      </c>
      <c r="L2776" s="335">
        <f t="shared" si="618"/>
        <v>0</v>
      </c>
      <c r="M2776" s="446"/>
      <c r="N2776" s="446"/>
      <c r="O2776" s="446"/>
      <c r="P2776" s="446"/>
      <c r="Q2776" s="110">
        <v>2</v>
      </c>
      <c r="R2776" s="111">
        <f t="shared" si="616"/>
        <v>40.174999999999997</v>
      </c>
      <c r="S2776" s="110"/>
      <c r="T2776" s="110"/>
      <c r="U2776" s="110">
        <v>1</v>
      </c>
      <c r="V2776" s="111">
        <f t="shared" si="617"/>
        <v>40.174999999999997</v>
      </c>
      <c r="W2776" s="110"/>
      <c r="X2776" s="110"/>
      <c r="Y2776" s="110"/>
      <c r="Z2776" s="110"/>
      <c r="AA2776" s="110">
        <v>1</v>
      </c>
      <c r="AB2776" s="111">
        <f t="shared" si="623"/>
        <v>40.174999999999997</v>
      </c>
      <c r="AC2776" s="110"/>
      <c r="AD2776" s="110"/>
      <c r="AE2776" s="110">
        <v>1</v>
      </c>
      <c r="AF2776" s="111">
        <f t="shared" si="624"/>
        <v>40.174999999999997</v>
      </c>
      <c r="AG2776" s="110"/>
      <c r="AH2776" s="110"/>
      <c r="AI2776" s="110"/>
      <c r="AJ2776" s="110"/>
      <c r="AK2776" s="111">
        <f t="shared" si="619"/>
        <v>160.69999999999999</v>
      </c>
      <c r="AL2776" s="446">
        <f t="shared" si="620"/>
        <v>0</v>
      </c>
      <c r="AM2776" s="110">
        <f t="shared" si="621"/>
        <v>5</v>
      </c>
      <c r="AN2776" s="447">
        <f t="shared" si="612"/>
        <v>0</v>
      </c>
      <c r="AO2776"/>
      <c r="AP2776"/>
    </row>
    <row r="2777" spans="1:42" ht="66" x14ac:dyDescent="0.25">
      <c r="A2777" s="9"/>
      <c r="B2777" s="146" t="s">
        <v>2365</v>
      </c>
      <c r="C2777" s="1024"/>
      <c r="D2777" s="922">
        <v>30</v>
      </c>
      <c r="E2777" s="258" t="s">
        <v>1721</v>
      </c>
      <c r="F2777" s="273" t="s">
        <v>3446</v>
      </c>
      <c r="G2777" s="1040" t="s">
        <v>3463</v>
      </c>
      <c r="H2777" s="273" t="s">
        <v>3462</v>
      </c>
      <c r="I2777" s="720">
        <f t="shared" si="622"/>
        <v>50.18</v>
      </c>
      <c r="J2777" s="805">
        <v>1505.4</v>
      </c>
      <c r="K2777" s="131">
        <f t="shared" si="611"/>
        <v>1505.4</v>
      </c>
      <c r="L2777" s="335">
        <f t="shared" si="618"/>
        <v>0</v>
      </c>
      <c r="M2777" s="446"/>
      <c r="N2777" s="446"/>
      <c r="O2777" s="446"/>
      <c r="P2777" s="446"/>
      <c r="Q2777" s="110">
        <v>8</v>
      </c>
      <c r="R2777" s="111">
        <f t="shared" si="616"/>
        <v>376.35</v>
      </c>
      <c r="S2777" s="110"/>
      <c r="T2777" s="110"/>
      <c r="U2777" s="110">
        <v>8</v>
      </c>
      <c r="V2777" s="111">
        <f t="shared" si="617"/>
        <v>376.35</v>
      </c>
      <c r="W2777" s="110"/>
      <c r="X2777" s="110"/>
      <c r="Y2777" s="110"/>
      <c r="Z2777" s="110"/>
      <c r="AA2777" s="110">
        <v>7</v>
      </c>
      <c r="AB2777" s="111">
        <f t="shared" si="623"/>
        <v>376.35</v>
      </c>
      <c r="AC2777" s="110"/>
      <c r="AD2777" s="110"/>
      <c r="AE2777" s="110">
        <v>7</v>
      </c>
      <c r="AF2777" s="111">
        <f t="shared" si="624"/>
        <v>376.35</v>
      </c>
      <c r="AG2777" s="110"/>
      <c r="AH2777" s="110"/>
      <c r="AI2777" s="110"/>
      <c r="AJ2777" s="110"/>
      <c r="AK2777" s="111">
        <f t="shared" si="619"/>
        <v>1505.4</v>
      </c>
      <c r="AL2777" s="446">
        <f t="shared" si="620"/>
        <v>0</v>
      </c>
      <c r="AM2777" s="110">
        <f t="shared" si="621"/>
        <v>30</v>
      </c>
      <c r="AN2777" s="447">
        <f t="shared" si="612"/>
        <v>0</v>
      </c>
      <c r="AO2777"/>
      <c r="AP2777"/>
    </row>
    <row r="2778" spans="1:42" ht="66" x14ac:dyDescent="0.25">
      <c r="A2778" s="9"/>
      <c r="B2778" s="146" t="s">
        <v>2366</v>
      </c>
      <c r="C2778" s="1024"/>
      <c r="D2778" s="922">
        <v>30</v>
      </c>
      <c r="E2778" s="258" t="s">
        <v>1722</v>
      </c>
      <c r="F2778" s="273" t="s">
        <v>3446</v>
      </c>
      <c r="G2778" s="1040" t="s">
        <v>3463</v>
      </c>
      <c r="H2778" s="273" t="s">
        <v>3462</v>
      </c>
      <c r="I2778" s="720">
        <f t="shared" si="622"/>
        <v>50.18</v>
      </c>
      <c r="J2778" s="805">
        <v>1505.4</v>
      </c>
      <c r="K2778" s="131">
        <f t="shared" ref="K2778:K2841" si="625">+D2778*I2778</f>
        <v>1505.4</v>
      </c>
      <c r="L2778" s="335">
        <f t="shared" si="618"/>
        <v>0</v>
      </c>
      <c r="M2778" s="446"/>
      <c r="N2778" s="446"/>
      <c r="O2778" s="446"/>
      <c r="P2778" s="446"/>
      <c r="Q2778" s="110">
        <v>8</v>
      </c>
      <c r="R2778" s="111">
        <f t="shared" si="616"/>
        <v>376.35</v>
      </c>
      <c r="S2778" s="110"/>
      <c r="T2778" s="110"/>
      <c r="U2778" s="110">
        <v>8</v>
      </c>
      <c r="V2778" s="111">
        <f t="shared" si="617"/>
        <v>376.35</v>
      </c>
      <c r="W2778" s="110"/>
      <c r="X2778" s="110"/>
      <c r="Y2778" s="110"/>
      <c r="Z2778" s="110"/>
      <c r="AA2778" s="110">
        <v>7</v>
      </c>
      <c r="AB2778" s="111">
        <f t="shared" si="623"/>
        <v>376.35</v>
      </c>
      <c r="AC2778" s="110"/>
      <c r="AD2778" s="110"/>
      <c r="AE2778" s="110">
        <v>7</v>
      </c>
      <c r="AF2778" s="111">
        <f t="shared" si="624"/>
        <v>376.35</v>
      </c>
      <c r="AG2778" s="110"/>
      <c r="AH2778" s="110"/>
      <c r="AI2778" s="110"/>
      <c r="AJ2778" s="110"/>
      <c r="AK2778" s="111">
        <f t="shared" si="619"/>
        <v>1505.4</v>
      </c>
      <c r="AL2778" s="446">
        <f t="shared" si="620"/>
        <v>0</v>
      </c>
      <c r="AM2778" s="110">
        <f t="shared" si="621"/>
        <v>30</v>
      </c>
      <c r="AN2778" s="447">
        <f t="shared" ref="AN2778:AN2841" si="626">+D2778-AM2778</f>
        <v>0</v>
      </c>
      <c r="AO2778"/>
      <c r="AP2778"/>
    </row>
    <row r="2779" spans="1:42" ht="66" x14ac:dyDescent="0.25">
      <c r="A2779" s="9"/>
      <c r="B2779" s="146" t="s">
        <v>2367</v>
      </c>
      <c r="C2779" s="1024"/>
      <c r="D2779" s="922">
        <v>30</v>
      </c>
      <c r="E2779" s="258" t="s">
        <v>1722</v>
      </c>
      <c r="F2779" s="273" t="s">
        <v>3446</v>
      </c>
      <c r="G2779" s="1040" t="s">
        <v>3463</v>
      </c>
      <c r="H2779" s="273" t="s">
        <v>3462</v>
      </c>
      <c r="I2779" s="720">
        <f t="shared" si="622"/>
        <v>50.18</v>
      </c>
      <c r="J2779" s="805">
        <v>1505.4</v>
      </c>
      <c r="K2779" s="131">
        <f t="shared" si="625"/>
        <v>1505.4</v>
      </c>
      <c r="L2779" s="335">
        <f t="shared" si="618"/>
        <v>0</v>
      </c>
      <c r="M2779" s="446"/>
      <c r="N2779" s="446"/>
      <c r="O2779" s="446"/>
      <c r="P2779" s="446"/>
      <c r="Q2779" s="110">
        <v>8</v>
      </c>
      <c r="R2779" s="111">
        <f t="shared" si="616"/>
        <v>376.35</v>
      </c>
      <c r="S2779" s="110"/>
      <c r="T2779" s="110"/>
      <c r="U2779" s="110">
        <v>8</v>
      </c>
      <c r="V2779" s="111">
        <f t="shared" si="617"/>
        <v>376.35</v>
      </c>
      <c r="W2779" s="110"/>
      <c r="X2779" s="110"/>
      <c r="Y2779" s="110"/>
      <c r="Z2779" s="110"/>
      <c r="AA2779" s="110">
        <v>7</v>
      </c>
      <c r="AB2779" s="111">
        <f t="shared" si="623"/>
        <v>376.35</v>
      </c>
      <c r="AC2779" s="110"/>
      <c r="AD2779" s="110"/>
      <c r="AE2779" s="110">
        <v>7</v>
      </c>
      <c r="AF2779" s="111">
        <f t="shared" si="624"/>
        <v>376.35</v>
      </c>
      <c r="AG2779" s="110"/>
      <c r="AH2779" s="110"/>
      <c r="AI2779" s="110"/>
      <c r="AJ2779" s="110"/>
      <c r="AK2779" s="111">
        <f t="shared" si="619"/>
        <v>1505.4</v>
      </c>
      <c r="AL2779" s="446">
        <f t="shared" si="620"/>
        <v>0</v>
      </c>
      <c r="AM2779" s="110">
        <f t="shared" si="621"/>
        <v>30</v>
      </c>
      <c r="AN2779" s="447">
        <f t="shared" si="626"/>
        <v>0</v>
      </c>
      <c r="AO2779"/>
      <c r="AP2779"/>
    </row>
    <row r="2780" spans="1:42" ht="66" x14ac:dyDescent="0.25">
      <c r="A2780" s="9"/>
      <c r="B2780" s="146" t="s">
        <v>2368</v>
      </c>
      <c r="C2780" s="1024"/>
      <c r="D2780" s="922">
        <v>30</v>
      </c>
      <c r="E2780" s="258" t="s">
        <v>1722</v>
      </c>
      <c r="F2780" s="273" t="s">
        <v>3446</v>
      </c>
      <c r="G2780" s="1040" t="s">
        <v>3463</v>
      </c>
      <c r="H2780" s="273" t="s">
        <v>3462</v>
      </c>
      <c r="I2780" s="720">
        <f t="shared" si="622"/>
        <v>50.18</v>
      </c>
      <c r="J2780" s="805">
        <v>1505.4</v>
      </c>
      <c r="K2780" s="131">
        <f t="shared" si="625"/>
        <v>1505.4</v>
      </c>
      <c r="L2780" s="335">
        <f t="shared" si="618"/>
        <v>0</v>
      </c>
      <c r="M2780" s="446"/>
      <c r="N2780" s="446"/>
      <c r="O2780" s="446"/>
      <c r="P2780" s="446"/>
      <c r="Q2780" s="110">
        <v>8</v>
      </c>
      <c r="R2780" s="111">
        <f t="shared" si="616"/>
        <v>376.35</v>
      </c>
      <c r="S2780" s="110"/>
      <c r="T2780" s="110"/>
      <c r="U2780" s="110">
        <v>8</v>
      </c>
      <c r="V2780" s="111">
        <f t="shared" si="617"/>
        <v>376.35</v>
      </c>
      <c r="W2780" s="110"/>
      <c r="X2780" s="110"/>
      <c r="Y2780" s="110"/>
      <c r="Z2780" s="110"/>
      <c r="AA2780" s="110">
        <v>7</v>
      </c>
      <c r="AB2780" s="111">
        <f t="shared" si="623"/>
        <v>376.35</v>
      </c>
      <c r="AC2780" s="110"/>
      <c r="AD2780" s="110"/>
      <c r="AE2780" s="110">
        <v>7</v>
      </c>
      <c r="AF2780" s="111">
        <f t="shared" si="624"/>
        <v>376.35</v>
      </c>
      <c r="AG2780" s="110"/>
      <c r="AH2780" s="110"/>
      <c r="AI2780" s="110"/>
      <c r="AJ2780" s="110"/>
      <c r="AK2780" s="111">
        <f t="shared" si="619"/>
        <v>1505.4</v>
      </c>
      <c r="AL2780" s="446">
        <f t="shared" si="620"/>
        <v>0</v>
      </c>
      <c r="AM2780" s="110">
        <f t="shared" si="621"/>
        <v>30</v>
      </c>
      <c r="AN2780" s="447">
        <f t="shared" si="626"/>
        <v>0</v>
      </c>
      <c r="AO2780"/>
      <c r="AP2780"/>
    </row>
    <row r="2781" spans="1:42" ht="66" x14ac:dyDescent="0.25">
      <c r="A2781" s="9"/>
      <c r="B2781" s="146" t="s">
        <v>2369</v>
      </c>
      <c r="C2781" s="1024"/>
      <c r="D2781" s="922">
        <v>2</v>
      </c>
      <c r="E2781" s="258" t="s">
        <v>1722</v>
      </c>
      <c r="F2781" s="273" t="s">
        <v>3446</v>
      </c>
      <c r="G2781" s="1040" t="s">
        <v>3463</v>
      </c>
      <c r="H2781" s="273" t="s">
        <v>3462</v>
      </c>
      <c r="I2781" s="720">
        <f t="shared" si="622"/>
        <v>304.31</v>
      </c>
      <c r="J2781" s="805">
        <v>608.62</v>
      </c>
      <c r="K2781" s="131">
        <f t="shared" si="625"/>
        <v>608.62</v>
      </c>
      <c r="L2781" s="335">
        <f t="shared" si="618"/>
        <v>0</v>
      </c>
      <c r="M2781" s="446"/>
      <c r="N2781" s="446"/>
      <c r="O2781" s="446"/>
      <c r="P2781" s="446"/>
      <c r="Q2781" s="130">
        <v>1</v>
      </c>
      <c r="R2781" s="111">
        <f t="shared" si="616"/>
        <v>152.155</v>
      </c>
      <c r="S2781" s="110"/>
      <c r="T2781" s="110"/>
      <c r="U2781" s="130">
        <v>1</v>
      </c>
      <c r="V2781" s="111">
        <f t="shared" si="617"/>
        <v>152.155</v>
      </c>
      <c r="W2781" s="110"/>
      <c r="X2781" s="110"/>
      <c r="Y2781" s="110"/>
      <c r="Z2781" s="110"/>
      <c r="AA2781" s="130">
        <v>0</v>
      </c>
      <c r="AB2781" s="111">
        <f t="shared" si="623"/>
        <v>152.155</v>
      </c>
      <c r="AC2781" s="110"/>
      <c r="AD2781" s="110"/>
      <c r="AE2781" s="130">
        <v>0</v>
      </c>
      <c r="AF2781" s="111">
        <f t="shared" si="624"/>
        <v>152.155</v>
      </c>
      <c r="AG2781" s="110"/>
      <c r="AH2781" s="110"/>
      <c r="AI2781" s="110"/>
      <c r="AJ2781" s="110"/>
      <c r="AK2781" s="111">
        <f t="shared" si="619"/>
        <v>608.62</v>
      </c>
      <c r="AL2781" s="446">
        <f t="shared" si="620"/>
        <v>0</v>
      </c>
      <c r="AM2781" s="110">
        <f t="shared" si="621"/>
        <v>2</v>
      </c>
      <c r="AN2781" s="447">
        <f t="shared" si="626"/>
        <v>0</v>
      </c>
      <c r="AO2781"/>
      <c r="AP2781"/>
    </row>
    <row r="2782" spans="1:42" ht="66" x14ac:dyDescent="0.25">
      <c r="A2782" s="9"/>
      <c r="B2782" s="146" t="s">
        <v>2370</v>
      </c>
      <c r="C2782" s="1024"/>
      <c r="D2782" s="922">
        <v>2</v>
      </c>
      <c r="E2782" s="258" t="s">
        <v>1722</v>
      </c>
      <c r="F2782" s="273" t="s">
        <v>3446</v>
      </c>
      <c r="G2782" s="1040" t="s">
        <v>3463</v>
      </c>
      <c r="H2782" s="273" t="s">
        <v>3462</v>
      </c>
      <c r="I2782" s="720">
        <f t="shared" si="622"/>
        <v>304.31</v>
      </c>
      <c r="J2782" s="805">
        <v>608.62</v>
      </c>
      <c r="K2782" s="131">
        <f t="shared" si="625"/>
        <v>608.62</v>
      </c>
      <c r="L2782" s="335">
        <f t="shared" si="618"/>
        <v>0</v>
      </c>
      <c r="M2782" s="446"/>
      <c r="N2782" s="446"/>
      <c r="O2782" s="446"/>
      <c r="P2782" s="446"/>
      <c r="Q2782" s="130">
        <v>1</v>
      </c>
      <c r="R2782" s="111">
        <f t="shared" si="616"/>
        <v>152.155</v>
      </c>
      <c r="S2782" s="110"/>
      <c r="T2782" s="110"/>
      <c r="U2782" s="130">
        <v>1</v>
      </c>
      <c r="V2782" s="111">
        <f t="shared" si="617"/>
        <v>152.155</v>
      </c>
      <c r="W2782" s="110"/>
      <c r="X2782" s="110"/>
      <c r="Y2782" s="110"/>
      <c r="Z2782" s="110"/>
      <c r="AA2782" s="130">
        <v>0</v>
      </c>
      <c r="AB2782" s="111">
        <f t="shared" si="623"/>
        <v>152.155</v>
      </c>
      <c r="AC2782" s="110"/>
      <c r="AD2782" s="110"/>
      <c r="AE2782" s="130">
        <v>0</v>
      </c>
      <c r="AF2782" s="111">
        <f t="shared" si="624"/>
        <v>152.155</v>
      </c>
      <c r="AG2782" s="110"/>
      <c r="AH2782" s="110"/>
      <c r="AI2782" s="110"/>
      <c r="AJ2782" s="110"/>
      <c r="AK2782" s="111">
        <f t="shared" si="619"/>
        <v>608.62</v>
      </c>
      <c r="AL2782" s="446">
        <f t="shared" si="620"/>
        <v>0</v>
      </c>
      <c r="AM2782" s="110">
        <f t="shared" si="621"/>
        <v>2</v>
      </c>
      <c r="AN2782" s="447">
        <f t="shared" si="626"/>
        <v>0</v>
      </c>
      <c r="AO2782"/>
      <c r="AP2782"/>
    </row>
    <row r="2783" spans="1:42" ht="66" x14ac:dyDescent="0.25">
      <c r="A2783" s="9"/>
      <c r="B2783" s="146" t="s">
        <v>2371</v>
      </c>
      <c r="C2783" s="1024"/>
      <c r="D2783" s="922">
        <v>5</v>
      </c>
      <c r="E2783" s="258" t="s">
        <v>1722</v>
      </c>
      <c r="F2783" s="273" t="s">
        <v>3446</v>
      </c>
      <c r="G2783" s="1040" t="s">
        <v>3463</v>
      </c>
      <c r="H2783" s="273" t="s">
        <v>3462</v>
      </c>
      <c r="I2783" s="720">
        <f t="shared" si="622"/>
        <v>23.95</v>
      </c>
      <c r="J2783" s="805">
        <v>119.75</v>
      </c>
      <c r="K2783" s="131">
        <f t="shared" si="625"/>
        <v>119.75</v>
      </c>
      <c r="L2783" s="335">
        <f t="shared" si="618"/>
        <v>0</v>
      </c>
      <c r="M2783" s="446"/>
      <c r="N2783" s="446"/>
      <c r="O2783" s="446"/>
      <c r="P2783" s="446"/>
      <c r="Q2783" s="110">
        <v>2</v>
      </c>
      <c r="R2783" s="111">
        <f t="shared" si="616"/>
        <v>29.9375</v>
      </c>
      <c r="S2783" s="110"/>
      <c r="T2783" s="110"/>
      <c r="U2783" s="110">
        <v>1</v>
      </c>
      <c r="V2783" s="111">
        <f t="shared" si="617"/>
        <v>29.9375</v>
      </c>
      <c r="W2783" s="110"/>
      <c r="X2783" s="110"/>
      <c r="Y2783" s="110"/>
      <c r="Z2783" s="110"/>
      <c r="AA2783" s="110">
        <v>1</v>
      </c>
      <c r="AB2783" s="111">
        <f t="shared" si="623"/>
        <v>29.9375</v>
      </c>
      <c r="AC2783" s="110"/>
      <c r="AD2783" s="110"/>
      <c r="AE2783" s="110">
        <v>1</v>
      </c>
      <c r="AF2783" s="111">
        <f t="shared" si="624"/>
        <v>29.9375</v>
      </c>
      <c r="AG2783" s="110"/>
      <c r="AH2783" s="110"/>
      <c r="AI2783" s="110"/>
      <c r="AJ2783" s="110"/>
      <c r="AK2783" s="111">
        <f t="shared" si="619"/>
        <v>119.75</v>
      </c>
      <c r="AL2783" s="446">
        <f t="shared" si="620"/>
        <v>0</v>
      </c>
      <c r="AM2783" s="110">
        <f t="shared" si="621"/>
        <v>5</v>
      </c>
      <c r="AN2783" s="447">
        <f t="shared" si="626"/>
        <v>0</v>
      </c>
      <c r="AO2783"/>
      <c r="AP2783"/>
    </row>
    <row r="2784" spans="1:42" ht="66" x14ac:dyDescent="0.25">
      <c r="A2784" s="9"/>
      <c r="B2784" s="146" t="s">
        <v>2372</v>
      </c>
      <c r="C2784" s="1024"/>
      <c r="D2784" s="922">
        <v>5</v>
      </c>
      <c r="E2784" s="258" t="s">
        <v>1722</v>
      </c>
      <c r="F2784" s="273" t="s">
        <v>3446</v>
      </c>
      <c r="G2784" s="1040" t="s">
        <v>3463</v>
      </c>
      <c r="H2784" s="273" t="s">
        <v>3462</v>
      </c>
      <c r="I2784" s="720">
        <f t="shared" si="622"/>
        <v>73.05</v>
      </c>
      <c r="J2784" s="805">
        <v>365.25</v>
      </c>
      <c r="K2784" s="131">
        <f t="shared" si="625"/>
        <v>365.25</v>
      </c>
      <c r="L2784" s="335">
        <f t="shared" si="618"/>
        <v>0</v>
      </c>
      <c r="M2784" s="446"/>
      <c r="N2784" s="446"/>
      <c r="O2784" s="446"/>
      <c r="P2784" s="446"/>
      <c r="Q2784" s="110">
        <v>2</v>
      </c>
      <c r="R2784" s="111">
        <f t="shared" si="616"/>
        <v>91.3125</v>
      </c>
      <c r="S2784" s="110"/>
      <c r="T2784" s="110"/>
      <c r="U2784" s="110">
        <v>1</v>
      </c>
      <c r="V2784" s="111">
        <f t="shared" si="617"/>
        <v>91.3125</v>
      </c>
      <c r="W2784" s="110"/>
      <c r="X2784" s="110"/>
      <c r="Y2784" s="110"/>
      <c r="Z2784" s="110"/>
      <c r="AA2784" s="110">
        <v>1</v>
      </c>
      <c r="AB2784" s="111">
        <f t="shared" si="623"/>
        <v>91.3125</v>
      </c>
      <c r="AC2784" s="110"/>
      <c r="AD2784" s="110"/>
      <c r="AE2784" s="110">
        <v>1</v>
      </c>
      <c r="AF2784" s="111">
        <f t="shared" si="624"/>
        <v>91.3125</v>
      </c>
      <c r="AG2784" s="110"/>
      <c r="AH2784" s="110"/>
      <c r="AI2784" s="110"/>
      <c r="AJ2784" s="110"/>
      <c r="AK2784" s="111">
        <f t="shared" si="619"/>
        <v>365.25</v>
      </c>
      <c r="AL2784" s="446">
        <f t="shared" si="620"/>
        <v>0</v>
      </c>
      <c r="AM2784" s="110">
        <f t="shared" si="621"/>
        <v>5</v>
      </c>
      <c r="AN2784" s="447">
        <f t="shared" si="626"/>
        <v>0</v>
      </c>
      <c r="AO2784"/>
      <c r="AP2784"/>
    </row>
    <row r="2785" spans="1:42" ht="66" x14ac:dyDescent="0.25">
      <c r="A2785" s="9"/>
      <c r="B2785" s="146" t="s">
        <v>2373</v>
      </c>
      <c r="C2785" s="1024"/>
      <c r="D2785" s="922">
        <v>5</v>
      </c>
      <c r="E2785" s="258" t="s">
        <v>1722</v>
      </c>
      <c r="F2785" s="273" t="s">
        <v>3446</v>
      </c>
      <c r="G2785" s="1040" t="s">
        <v>3463</v>
      </c>
      <c r="H2785" s="273" t="s">
        <v>3462</v>
      </c>
      <c r="I2785" s="720">
        <f t="shared" si="622"/>
        <v>1198.6500000000001</v>
      </c>
      <c r="J2785" s="805">
        <v>5993.25</v>
      </c>
      <c r="K2785" s="131">
        <f t="shared" si="625"/>
        <v>5993.25</v>
      </c>
      <c r="L2785" s="335">
        <f t="shared" si="618"/>
        <v>0</v>
      </c>
      <c r="M2785" s="446"/>
      <c r="N2785" s="446"/>
      <c r="O2785" s="446"/>
      <c r="P2785" s="446"/>
      <c r="Q2785" s="110">
        <v>2</v>
      </c>
      <c r="R2785" s="111">
        <f t="shared" si="616"/>
        <v>1498.3125</v>
      </c>
      <c r="S2785" s="110"/>
      <c r="T2785" s="110"/>
      <c r="U2785" s="110">
        <v>1</v>
      </c>
      <c r="V2785" s="111">
        <f t="shared" si="617"/>
        <v>1498.3125</v>
      </c>
      <c r="W2785" s="110"/>
      <c r="X2785" s="110"/>
      <c r="Y2785" s="110"/>
      <c r="Z2785" s="110"/>
      <c r="AA2785" s="110">
        <v>1</v>
      </c>
      <c r="AB2785" s="111">
        <f t="shared" si="623"/>
        <v>1498.3125</v>
      </c>
      <c r="AC2785" s="110"/>
      <c r="AD2785" s="110"/>
      <c r="AE2785" s="110">
        <v>1</v>
      </c>
      <c r="AF2785" s="111">
        <f t="shared" si="624"/>
        <v>1498.3125</v>
      </c>
      <c r="AG2785" s="110"/>
      <c r="AH2785" s="110"/>
      <c r="AI2785" s="110"/>
      <c r="AJ2785" s="110"/>
      <c r="AK2785" s="111">
        <f t="shared" si="619"/>
        <v>5993.25</v>
      </c>
      <c r="AL2785" s="446">
        <f t="shared" si="620"/>
        <v>0</v>
      </c>
      <c r="AM2785" s="110">
        <f t="shared" si="621"/>
        <v>5</v>
      </c>
      <c r="AN2785" s="447">
        <f t="shared" si="626"/>
        <v>0</v>
      </c>
      <c r="AO2785"/>
      <c r="AP2785"/>
    </row>
    <row r="2786" spans="1:42" ht="66" x14ac:dyDescent="0.25">
      <c r="A2786" s="9"/>
      <c r="B2786" s="146" t="s">
        <v>2374</v>
      </c>
      <c r="C2786" s="1024"/>
      <c r="D2786" s="922">
        <v>5</v>
      </c>
      <c r="E2786" s="258" t="s">
        <v>1722</v>
      </c>
      <c r="F2786" s="273" t="s">
        <v>3446</v>
      </c>
      <c r="G2786" s="1040" t="s">
        <v>3463</v>
      </c>
      <c r="H2786" s="273" t="s">
        <v>3462</v>
      </c>
      <c r="I2786" s="720">
        <f t="shared" si="622"/>
        <v>545.35</v>
      </c>
      <c r="J2786" s="805">
        <v>2726.75</v>
      </c>
      <c r="K2786" s="131">
        <f t="shared" si="625"/>
        <v>2726.75</v>
      </c>
      <c r="L2786" s="335">
        <f t="shared" si="618"/>
        <v>0</v>
      </c>
      <c r="M2786" s="446"/>
      <c r="N2786" s="446"/>
      <c r="O2786" s="446"/>
      <c r="P2786" s="446"/>
      <c r="Q2786" s="110">
        <v>2</v>
      </c>
      <c r="R2786" s="111">
        <f t="shared" si="616"/>
        <v>681.6875</v>
      </c>
      <c r="S2786" s="110"/>
      <c r="T2786" s="110"/>
      <c r="U2786" s="110">
        <v>1</v>
      </c>
      <c r="V2786" s="111">
        <f t="shared" si="617"/>
        <v>681.6875</v>
      </c>
      <c r="W2786" s="110"/>
      <c r="X2786" s="110"/>
      <c r="Y2786" s="110"/>
      <c r="Z2786" s="110"/>
      <c r="AA2786" s="110">
        <v>1</v>
      </c>
      <c r="AB2786" s="111">
        <f t="shared" si="623"/>
        <v>681.6875</v>
      </c>
      <c r="AC2786" s="110"/>
      <c r="AD2786" s="110"/>
      <c r="AE2786" s="110">
        <v>1</v>
      </c>
      <c r="AF2786" s="111">
        <f t="shared" si="624"/>
        <v>681.6875</v>
      </c>
      <c r="AG2786" s="110"/>
      <c r="AH2786" s="110"/>
      <c r="AI2786" s="110"/>
      <c r="AJ2786" s="110"/>
      <c r="AK2786" s="111">
        <f t="shared" si="619"/>
        <v>2726.75</v>
      </c>
      <c r="AL2786" s="446">
        <f t="shared" si="620"/>
        <v>0</v>
      </c>
      <c r="AM2786" s="110">
        <f t="shared" si="621"/>
        <v>5</v>
      </c>
      <c r="AN2786" s="447">
        <f t="shared" si="626"/>
        <v>0</v>
      </c>
      <c r="AO2786"/>
      <c r="AP2786"/>
    </row>
    <row r="2787" spans="1:42" ht="66" x14ac:dyDescent="0.25">
      <c r="A2787" s="9"/>
      <c r="B2787" s="146" t="s">
        <v>2375</v>
      </c>
      <c r="C2787" s="1024"/>
      <c r="D2787" s="922">
        <v>5</v>
      </c>
      <c r="E2787" s="258" t="s">
        <v>1721</v>
      </c>
      <c r="F2787" s="273" t="s">
        <v>3446</v>
      </c>
      <c r="G2787" s="1040" t="s">
        <v>3463</v>
      </c>
      <c r="H2787" s="273" t="s">
        <v>3462</v>
      </c>
      <c r="I2787" s="720">
        <f t="shared" si="622"/>
        <v>675.68</v>
      </c>
      <c r="J2787" s="805">
        <v>3378.3999999999996</v>
      </c>
      <c r="K2787" s="131">
        <f t="shared" si="625"/>
        <v>3378.3999999999996</v>
      </c>
      <c r="L2787" s="335">
        <f t="shared" si="618"/>
        <v>0</v>
      </c>
      <c r="M2787" s="446"/>
      <c r="N2787" s="446"/>
      <c r="O2787" s="446"/>
      <c r="P2787" s="446"/>
      <c r="Q2787" s="110">
        <v>2</v>
      </c>
      <c r="R2787" s="111">
        <f t="shared" si="616"/>
        <v>844.59999999999991</v>
      </c>
      <c r="S2787" s="110"/>
      <c r="T2787" s="110"/>
      <c r="U2787" s="110">
        <v>1</v>
      </c>
      <c r="V2787" s="111">
        <f t="shared" si="617"/>
        <v>844.59999999999991</v>
      </c>
      <c r="W2787" s="110"/>
      <c r="X2787" s="110"/>
      <c r="Y2787" s="110"/>
      <c r="Z2787" s="110"/>
      <c r="AA2787" s="110">
        <v>1</v>
      </c>
      <c r="AB2787" s="111">
        <f t="shared" si="623"/>
        <v>844.59999999999991</v>
      </c>
      <c r="AC2787" s="110"/>
      <c r="AD2787" s="110"/>
      <c r="AE2787" s="110">
        <v>1</v>
      </c>
      <c r="AF2787" s="111">
        <f t="shared" si="624"/>
        <v>844.59999999999991</v>
      </c>
      <c r="AG2787" s="110"/>
      <c r="AH2787" s="110"/>
      <c r="AI2787" s="110"/>
      <c r="AJ2787" s="110"/>
      <c r="AK2787" s="111">
        <f t="shared" si="619"/>
        <v>3378.3999999999996</v>
      </c>
      <c r="AL2787" s="446">
        <f t="shared" si="620"/>
        <v>0</v>
      </c>
      <c r="AM2787" s="110">
        <f t="shared" si="621"/>
        <v>5</v>
      </c>
      <c r="AN2787" s="447">
        <f t="shared" si="626"/>
        <v>0</v>
      </c>
      <c r="AO2787"/>
      <c r="AP2787"/>
    </row>
    <row r="2788" spans="1:42" ht="66" x14ac:dyDescent="0.25">
      <c r="A2788" s="9"/>
      <c r="B2788" s="146" t="s">
        <v>2376</v>
      </c>
      <c r="C2788" s="1024"/>
      <c r="D2788" s="922">
        <v>31</v>
      </c>
      <c r="E2788" s="258" t="s">
        <v>1722</v>
      </c>
      <c r="F2788" s="273" t="s">
        <v>3446</v>
      </c>
      <c r="G2788" s="1040" t="s">
        <v>3463</v>
      </c>
      <c r="H2788" s="273" t="s">
        <v>3462</v>
      </c>
      <c r="I2788" s="720">
        <f t="shared" si="622"/>
        <v>131.99</v>
      </c>
      <c r="J2788" s="805">
        <v>4091.6900000000005</v>
      </c>
      <c r="K2788" s="131">
        <f t="shared" si="625"/>
        <v>4091.6900000000005</v>
      </c>
      <c r="L2788" s="335">
        <f t="shared" si="618"/>
        <v>0</v>
      </c>
      <c r="M2788" s="446"/>
      <c r="N2788" s="446"/>
      <c r="O2788" s="446"/>
      <c r="P2788" s="446"/>
      <c r="Q2788" s="110">
        <v>8</v>
      </c>
      <c r="R2788" s="111">
        <f t="shared" si="616"/>
        <v>1022.9225000000001</v>
      </c>
      <c r="S2788" s="110"/>
      <c r="T2788" s="110"/>
      <c r="U2788" s="110">
        <v>8</v>
      </c>
      <c r="V2788" s="111">
        <f t="shared" si="617"/>
        <v>1022.9225000000001</v>
      </c>
      <c r="W2788" s="110"/>
      <c r="X2788" s="110"/>
      <c r="Y2788" s="110"/>
      <c r="Z2788" s="110"/>
      <c r="AA2788" s="110">
        <v>8</v>
      </c>
      <c r="AB2788" s="111">
        <f t="shared" si="623"/>
        <v>1022.9225000000001</v>
      </c>
      <c r="AC2788" s="110"/>
      <c r="AD2788" s="110"/>
      <c r="AE2788" s="110">
        <v>7</v>
      </c>
      <c r="AF2788" s="111">
        <f t="shared" si="624"/>
        <v>1022.9225000000001</v>
      </c>
      <c r="AG2788" s="110"/>
      <c r="AH2788" s="110"/>
      <c r="AI2788" s="110"/>
      <c r="AJ2788" s="110"/>
      <c r="AK2788" s="111">
        <f t="shared" si="619"/>
        <v>4091.6900000000005</v>
      </c>
      <c r="AL2788" s="446">
        <f t="shared" si="620"/>
        <v>0</v>
      </c>
      <c r="AM2788" s="110">
        <f t="shared" si="621"/>
        <v>31</v>
      </c>
      <c r="AN2788" s="447">
        <f t="shared" si="626"/>
        <v>0</v>
      </c>
      <c r="AO2788"/>
      <c r="AP2788"/>
    </row>
    <row r="2789" spans="1:42" ht="66" x14ac:dyDescent="0.25">
      <c r="A2789" s="9"/>
      <c r="B2789" s="146" t="s">
        <v>2377</v>
      </c>
      <c r="C2789" s="1024"/>
      <c r="D2789" s="922">
        <v>44</v>
      </c>
      <c r="E2789" s="258" t="s">
        <v>1722</v>
      </c>
      <c r="F2789" s="273" t="s">
        <v>3446</v>
      </c>
      <c r="G2789" s="1040" t="s">
        <v>3463</v>
      </c>
      <c r="H2789" s="273" t="s">
        <v>3462</v>
      </c>
      <c r="I2789" s="720">
        <f t="shared" si="622"/>
        <v>124.25</v>
      </c>
      <c r="J2789" s="805">
        <v>5467</v>
      </c>
      <c r="K2789" s="131">
        <f t="shared" si="625"/>
        <v>5467</v>
      </c>
      <c r="L2789" s="335">
        <f t="shared" si="618"/>
        <v>0</v>
      </c>
      <c r="M2789" s="446"/>
      <c r="N2789" s="446"/>
      <c r="O2789" s="446"/>
      <c r="P2789" s="446"/>
      <c r="Q2789" s="110">
        <f t="shared" si="613"/>
        <v>11</v>
      </c>
      <c r="R2789" s="111">
        <f t="shared" si="616"/>
        <v>1366.75</v>
      </c>
      <c r="S2789" s="110"/>
      <c r="T2789" s="110"/>
      <c r="U2789" s="110">
        <f t="shared" si="614"/>
        <v>11</v>
      </c>
      <c r="V2789" s="111">
        <f t="shared" si="617"/>
        <v>1366.75</v>
      </c>
      <c r="W2789" s="110"/>
      <c r="X2789" s="110"/>
      <c r="Y2789" s="110"/>
      <c r="Z2789" s="110"/>
      <c r="AA2789" s="110">
        <f t="shared" si="615"/>
        <v>11</v>
      </c>
      <c r="AB2789" s="111">
        <f t="shared" si="623"/>
        <v>1366.75</v>
      </c>
      <c r="AC2789" s="110"/>
      <c r="AD2789" s="110"/>
      <c r="AE2789" s="110">
        <f t="shared" si="615"/>
        <v>11</v>
      </c>
      <c r="AF2789" s="111">
        <f t="shared" si="624"/>
        <v>1366.75</v>
      </c>
      <c r="AG2789" s="110"/>
      <c r="AH2789" s="110"/>
      <c r="AI2789" s="110"/>
      <c r="AJ2789" s="110"/>
      <c r="AK2789" s="111">
        <f t="shared" si="619"/>
        <v>5467</v>
      </c>
      <c r="AL2789" s="446">
        <f t="shared" si="620"/>
        <v>0</v>
      </c>
      <c r="AM2789" s="110">
        <f t="shared" si="621"/>
        <v>44</v>
      </c>
      <c r="AN2789" s="447">
        <f t="shared" si="626"/>
        <v>0</v>
      </c>
      <c r="AO2789"/>
      <c r="AP2789"/>
    </row>
    <row r="2790" spans="1:42" ht="66" x14ac:dyDescent="0.25">
      <c r="A2790" s="9"/>
      <c r="B2790" s="146" t="s">
        <v>2378</v>
      </c>
      <c r="C2790" s="1024"/>
      <c r="D2790" s="922">
        <v>2</v>
      </c>
      <c r="E2790" s="258" t="s">
        <v>1722</v>
      </c>
      <c r="F2790" s="273" t="s">
        <v>3446</v>
      </c>
      <c r="G2790" s="1040" t="s">
        <v>3463</v>
      </c>
      <c r="H2790" s="273" t="s">
        <v>3462</v>
      </c>
      <c r="I2790" s="720">
        <f t="shared" si="622"/>
        <v>279.67</v>
      </c>
      <c r="J2790" s="805">
        <v>559.34</v>
      </c>
      <c r="K2790" s="131">
        <f t="shared" si="625"/>
        <v>559.34</v>
      </c>
      <c r="L2790" s="335">
        <f t="shared" si="618"/>
        <v>0</v>
      </c>
      <c r="M2790" s="446"/>
      <c r="N2790" s="446"/>
      <c r="O2790" s="446"/>
      <c r="P2790" s="446"/>
      <c r="Q2790" s="130">
        <v>1</v>
      </c>
      <c r="R2790" s="111">
        <f t="shared" si="616"/>
        <v>139.83500000000001</v>
      </c>
      <c r="S2790" s="110"/>
      <c r="T2790" s="110"/>
      <c r="U2790" s="130">
        <v>1</v>
      </c>
      <c r="V2790" s="111">
        <f t="shared" si="617"/>
        <v>139.83500000000001</v>
      </c>
      <c r="W2790" s="110"/>
      <c r="X2790" s="110"/>
      <c r="Y2790" s="110"/>
      <c r="Z2790" s="110"/>
      <c r="AA2790" s="130">
        <v>0</v>
      </c>
      <c r="AB2790" s="111">
        <f t="shared" si="623"/>
        <v>139.83500000000001</v>
      </c>
      <c r="AC2790" s="110"/>
      <c r="AD2790" s="110"/>
      <c r="AE2790" s="130">
        <v>0</v>
      </c>
      <c r="AF2790" s="111">
        <f t="shared" si="624"/>
        <v>139.83500000000001</v>
      </c>
      <c r="AG2790" s="110"/>
      <c r="AH2790" s="110"/>
      <c r="AI2790" s="110"/>
      <c r="AJ2790" s="110"/>
      <c r="AK2790" s="111">
        <f t="shared" si="619"/>
        <v>559.34</v>
      </c>
      <c r="AL2790" s="446">
        <f t="shared" si="620"/>
        <v>0</v>
      </c>
      <c r="AM2790" s="110">
        <f t="shared" si="621"/>
        <v>2</v>
      </c>
      <c r="AN2790" s="447">
        <f t="shared" si="626"/>
        <v>0</v>
      </c>
      <c r="AO2790"/>
      <c r="AP2790"/>
    </row>
    <row r="2791" spans="1:42" ht="66" x14ac:dyDescent="0.25">
      <c r="A2791" s="9"/>
      <c r="B2791" s="146" t="s">
        <v>2379</v>
      </c>
      <c r="C2791" s="1024"/>
      <c r="D2791" s="922">
        <v>5</v>
      </c>
      <c r="E2791" s="258" t="s">
        <v>1722</v>
      </c>
      <c r="F2791" s="273" t="s">
        <v>3446</v>
      </c>
      <c r="G2791" s="1040" t="s">
        <v>3463</v>
      </c>
      <c r="H2791" s="273" t="s">
        <v>3462</v>
      </c>
      <c r="I2791" s="720">
        <f t="shared" si="622"/>
        <v>485.16</v>
      </c>
      <c r="J2791" s="805">
        <v>2425.8000000000002</v>
      </c>
      <c r="K2791" s="131">
        <f t="shared" si="625"/>
        <v>2425.8000000000002</v>
      </c>
      <c r="L2791" s="335">
        <f t="shared" si="618"/>
        <v>0</v>
      </c>
      <c r="M2791" s="446"/>
      <c r="N2791" s="446"/>
      <c r="O2791" s="446"/>
      <c r="P2791" s="446"/>
      <c r="Q2791" s="110">
        <v>2</v>
      </c>
      <c r="R2791" s="111">
        <f t="shared" si="616"/>
        <v>606.45000000000005</v>
      </c>
      <c r="S2791" s="110"/>
      <c r="T2791" s="110"/>
      <c r="U2791" s="110">
        <v>1</v>
      </c>
      <c r="V2791" s="111">
        <f t="shared" si="617"/>
        <v>606.45000000000005</v>
      </c>
      <c r="W2791" s="110"/>
      <c r="X2791" s="110"/>
      <c r="Y2791" s="110"/>
      <c r="Z2791" s="110"/>
      <c r="AA2791" s="110">
        <v>1</v>
      </c>
      <c r="AB2791" s="111">
        <f t="shared" si="623"/>
        <v>606.45000000000005</v>
      </c>
      <c r="AC2791" s="110"/>
      <c r="AD2791" s="110"/>
      <c r="AE2791" s="110">
        <v>1</v>
      </c>
      <c r="AF2791" s="111">
        <f t="shared" si="624"/>
        <v>606.45000000000005</v>
      </c>
      <c r="AG2791" s="110"/>
      <c r="AH2791" s="110"/>
      <c r="AI2791" s="110"/>
      <c r="AJ2791" s="110"/>
      <c r="AK2791" s="111">
        <f t="shared" si="619"/>
        <v>2425.8000000000002</v>
      </c>
      <c r="AL2791" s="446">
        <f t="shared" si="620"/>
        <v>0</v>
      </c>
      <c r="AM2791" s="110">
        <f t="shared" si="621"/>
        <v>5</v>
      </c>
      <c r="AN2791" s="447">
        <f t="shared" si="626"/>
        <v>0</v>
      </c>
      <c r="AO2791"/>
      <c r="AP2791"/>
    </row>
    <row r="2792" spans="1:42" ht="66" x14ac:dyDescent="0.25">
      <c r="A2792" s="9"/>
      <c r="B2792" s="146" t="s">
        <v>2380</v>
      </c>
      <c r="C2792" s="1024"/>
      <c r="D2792" s="922">
        <v>3</v>
      </c>
      <c r="E2792" s="258" t="s">
        <v>1722</v>
      </c>
      <c r="F2792" s="273" t="s">
        <v>3446</v>
      </c>
      <c r="G2792" s="1040" t="s">
        <v>3463</v>
      </c>
      <c r="H2792" s="273" t="s">
        <v>3462</v>
      </c>
      <c r="I2792" s="720">
        <f t="shared" si="622"/>
        <v>181.28</v>
      </c>
      <c r="J2792" s="805">
        <v>543.84</v>
      </c>
      <c r="K2792" s="131">
        <f t="shared" si="625"/>
        <v>543.84</v>
      </c>
      <c r="L2792" s="335">
        <f t="shared" si="618"/>
        <v>0</v>
      </c>
      <c r="M2792" s="446"/>
      <c r="N2792" s="446"/>
      <c r="O2792" s="446"/>
      <c r="P2792" s="446"/>
      <c r="Q2792" s="130">
        <v>1</v>
      </c>
      <c r="R2792" s="111">
        <f t="shared" si="616"/>
        <v>135.96</v>
      </c>
      <c r="S2792" s="110"/>
      <c r="T2792" s="110"/>
      <c r="U2792" s="130">
        <v>1</v>
      </c>
      <c r="V2792" s="111">
        <f t="shared" si="617"/>
        <v>135.96</v>
      </c>
      <c r="W2792" s="110"/>
      <c r="X2792" s="110"/>
      <c r="Y2792" s="110"/>
      <c r="Z2792" s="110"/>
      <c r="AA2792" s="130">
        <v>1</v>
      </c>
      <c r="AB2792" s="111">
        <f t="shared" si="623"/>
        <v>135.96</v>
      </c>
      <c r="AC2792" s="110"/>
      <c r="AD2792" s="110"/>
      <c r="AE2792" s="130">
        <v>0</v>
      </c>
      <c r="AF2792" s="111">
        <f t="shared" si="624"/>
        <v>135.96</v>
      </c>
      <c r="AG2792" s="110"/>
      <c r="AH2792" s="110"/>
      <c r="AI2792" s="110"/>
      <c r="AJ2792" s="110"/>
      <c r="AK2792" s="111">
        <f t="shared" si="619"/>
        <v>543.84</v>
      </c>
      <c r="AL2792" s="446">
        <f t="shared" si="620"/>
        <v>0</v>
      </c>
      <c r="AM2792" s="110">
        <f t="shared" si="621"/>
        <v>3</v>
      </c>
      <c r="AN2792" s="447">
        <f t="shared" si="626"/>
        <v>0</v>
      </c>
      <c r="AO2792"/>
      <c r="AP2792"/>
    </row>
    <row r="2793" spans="1:42" ht="66" x14ac:dyDescent="0.25">
      <c r="A2793" s="9"/>
      <c r="B2793" s="146" t="s">
        <v>2381</v>
      </c>
      <c r="C2793" s="1024"/>
      <c r="D2793" s="922">
        <v>4</v>
      </c>
      <c r="E2793" s="258" t="s">
        <v>1722</v>
      </c>
      <c r="F2793" s="273" t="s">
        <v>3446</v>
      </c>
      <c r="G2793" s="1040" t="s">
        <v>3463</v>
      </c>
      <c r="H2793" s="273" t="s">
        <v>3462</v>
      </c>
      <c r="I2793" s="720">
        <f t="shared" si="622"/>
        <v>110.5</v>
      </c>
      <c r="J2793" s="805">
        <v>442</v>
      </c>
      <c r="K2793" s="131">
        <f t="shared" si="625"/>
        <v>442</v>
      </c>
      <c r="L2793" s="335">
        <f t="shared" si="618"/>
        <v>0</v>
      </c>
      <c r="M2793" s="446"/>
      <c r="N2793" s="446"/>
      <c r="O2793" s="446"/>
      <c r="P2793" s="446"/>
      <c r="Q2793" s="110">
        <f t="shared" ref="Q2793:Q2856" si="627">+$D2793/4</f>
        <v>1</v>
      </c>
      <c r="R2793" s="111">
        <f t="shared" si="616"/>
        <v>110.5</v>
      </c>
      <c r="S2793" s="110"/>
      <c r="T2793" s="110"/>
      <c r="U2793" s="110">
        <f t="shared" ref="U2793:U2856" si="628">+$D2793/4</f>
        <v>1</v>
      </c>
      <c r="V2793" s="111">
        <f t="shared" si="617"/>
        <v>110.5</v>
      </c>
      <c r="W2793" s="110"/>
      <c r="X2793" s="110"/>
      <c r="Y2793" s="110"/>
      <c r="Z2793" s="110"/>
      <c r="AA2793" s="110">
        <f t="shared" ref="AA2793:AE2856" si="629">+$D2793/4</f>
        <v>1</v>
      </c>
      <c r="AB2793" s="111">
        <f t="shared" si="623"/>
        <v>110.5</v>
      </c>
      <c r="AC2793" s="110"/>
      <c r="AD2793" s="110"/>
      <c r="AE2793" s="110">
        <f t="shared" si="629"/>
        <v>1</v>
      </c>
      <c r="AF2793" s="111">
        <f t="shared" si="624"/>
        <v>110.5</v>
      </c>
      <c r="AG2793" s="110"/>
      <c r="AH2793" s="110"/>
      <c r="AI2793" s="110"/>
      <c r="AJ2793" s="110"/>
      <c r="AK2793" s="111">
        <f t="shared" si="619"/>
        <v>442</v>
      </c>
      <c r="AL2793" s="446">
        <f t="shared" si="620"/>
        <v>0</v>
      </c>
      <c r="AM2793" s="110">
        <f t="shared" si="621"/>
        <v>4</v>
      </c>
      <c r="AN2793" s="447">
        <f t="shared" si="626"/>
        <v>0</v>
      </c>
      <c r="AO2793"/>
      <c r="AP2793"/>
    </row>
    <row r="2794" spans="1:42" ht="66" x14ac:dyDescent="0.25">
      <c r="A2794" s="9"/>
      <c r="B2794" s="146" t="s">
        <v>2382</v>
      </c>
      <c r="C2794" s="1024"/>
      <c r="D2794" s="922">
        <v>3</v>
      </c>
      <c r="E2794" s="258" t="s">
        <v>1722</v>
      </c>
      <c r="F2794" s="273" t="s">
        <v>3446</v>
      </c>
      <c r="G2794" s="1040" t="s">
        <v>3463</v>
      </c>
      <c r="H2794" s="273" t="s">
        <v>3462</v>
      </c>
      <c r="I2794" s="720">
        <f t="shared" si="622"/>
        <v>230.88</v>
      </c>
      <c r="J2794" s="805">
        <v>692.64</v>
      </c>
      <c r="K2794" s="131">
        <f t="shared" si="625"/>
        <v>692.64</v>
      </c>
      <c r="L2794" s="335">
        <f t="shared" si="618"/>
        <v>0</v>
      </c>
      <c r="M2794" s="446"/>
      <c r="N2794" s="446"/>
      <c r="O2794" s="446"/>
      <c r="P2794" s="446"/>
      <c r="Q2794" s="130">
        <v>1</v>
      </c>
      <c r="R2794" s="111">
        <f t="shared" si="616"/>
        <v>173.16</v>
      </c>
      <c r="S2794" s="110"/>
      <c r="T2794" s="110"/>
      <c r="U2794" s="130">
        <v>1</v>
      </c>
      <c r="V2794" s="111">
        <f t="shared" si="617"/>
        <v>173.16</v>
      </c>
      <c r="W2794" s="110"/>
      <c r="X2794" s="110"/>
      <c r="Y2794" s="110"/>
      <c r="Z2794" s="110"/>
      <c r="AA2794" s="130">
        <v>1</v>
      </c>
      <c r="AB2794" s="111">
        <f t="shared" si="623"/>
        <v>173.16</v>
      </c>
      <c r="AC2794" s="110"/>
      <c r="AD2794" s="110"/>
      <c r="AE2794" s="130">
        <v>0</v>
      </c>
      <c r="AF2794" s="111">
        <f t="shared" si="624"/>
        <v>173.16</v>
      </c>
      <c r="AG2794" s="110"/>
      <c r="AH2794" s="110"/>
      <c r="AI2794" s="110"/>
      <c r="AJ2794" s="110"/>
      <c r="AK2794" s="111">
        <f t="shared" si="619"/>
        <v>692.64</v>
      </c>
      <c r="AL2794" s="446">
        <f t="shared" si="620"/>
        <v>0</v>
      </c>
      <c r="AM2794" s="110">
        <f t="shared" si="621"/>
        <v>3</v>
      </c>
      <c r="AN2794" s="447">
        <f t="shared" si="626"/>
        <v>0</v>
      </c>
      <c r="AO2794"/>
      <c r="AP2794"/>
    </row>
    <row r="2795" spans="1:42" ht="66" x14ac:dyDescent="0.25">
      <c r="A2795" s="9"/>
      <c r="B2795" s="146" t="s">
        <v>2383</v>
      </c>
      <c r="C2795" s="1024"/>
      <c r="D2795" s="922">
        <v>1</v>
      </c>
      <c r="E2795" s="258" t="s">
        <v>1721</v>
      </c>
      <c r="F2795" s="273" t="s">
        <v>3446</v>
      </c>
      <c r="G2795" s="1040" t="s">
        <v>3463</v>
      </c>
      <c r="H2795" s="273" t="s">
        <v>3462</v>
      </c>
      <c r="I2795" s="720">
        <f t="shared" si="622"/>
        <v>230.88</v>
      </c>
      <c r="J2795" s="805">
        <v>230.88</v>
      </c>
      <c r="K2795" s="131">
        <f t="shared" si="625"/>
        <v>230.88</v>
      </c>
      <c r="L2795" s="335">
        <f t="shared" si="618"/>
        <v>0</v>
      </c>
      <c r="M2795" s="446"/>
      <c r="N2795" s="446"/>
      <c r="O2795" s="446"/>
      <c r="P2795" s="446"/>
      <c r="Q2795" s="110">
        <v>1</v>
      </c>
      <c r="R2795" s="111">
        <f t="shared" si="616"/>
        <v>57.72</v>
      </c>
      <c r="S2795" s="110"/>
      <c r="T2795" s="110"/>
      <c r="U2795" s="110">
        <v>0</v>
      </c>
      <c r="V2795" s="111">
        <f t="shared" si="617"/>
        <v>57.72</v>
      </c>
      <c r="W2795" s="110"/>
      <c r="X2795" s="110"/>
      <c r="Y2795" s="110"/>
      <c r="Z2795" s="110"/>
      <c r="AA2795" s="110">
        <v>0</v>
      </c>
      <c r="AB2795" s="111">
        <f t="shared" si="623"/>
        <v>57.72</v>
      </c>
      <c r="AC2795" s="110"/>
      <c r="AD2795" s="110"/>
      <c r="AE2795" s="110">
        <v>0</v>
      </c>
      <c r="AF2795" s="111">
        <f t="shared" si="624"/>
        <v>57.72</v>
      </c>
      <c r="AG2795" s="110"/>
      <c r="AH2795" s="110"/>
      <c r="AI2795" s="110"/>
      <c r="AJ2795" s="110"/>
      <c r="AK2795" s="111">
        <f t="shared" si="619"/>
        <v>230.88</v>
      </c>
      <c r="AL2795" s="446">
        <f t="shared" si="620"/>
        <v>0</v>
      </c>
      <c r="AM2795" s="110">
        <f t="shared" si="621"/>
        <v>1</v>
      </c>
      <c r="AN2795" s="447">
        <f t="shared" si="626"/>
        <v>0</v>
      </c>
      <c r="AO2795"/>
      <c r="AP2795"/>
    </row>
    <row r="2796" spans="1:42" ht="66" x14ac:dyDescent="0.25">
      <c r="A2796" s="9"/>
      <c r="B2796" s="146" t="s">
        <v>2384</v>
      </c>
      <c r="C2796" s="1024"/>
      <c r="D2796" s="922">
        <v>1</v>
      </c>
      <c r="E2796" s="258" t="s">
        <v>1722</v>
      </c>
      <c r="F2796" s="273" t="s">
        <v>3446</v>
      </c>
      <c r="G2796" s="1040" t="s">
        <v>3463</v>
      </c>
      <c r="H2796" s="273" t="s">
        <v>3462</v>
      </c>
      <c r="I2796" s="720">
        <f t="shared" si="622"/>
        <v>230.88</v>
      </c>
      <c r="J2796" s="805">
        <v>230.88</v>
      </c>
      <c r="K2796" s="131">
        <f t="shared" si="625"/>
        <v>230.88</v>
      </c>
      <c r="L2796" s="335">
        <f t="shared" si="618"/>
        <v>0</v>
      </c>
      <c r="M2796" s="446"/>
      <c r="N2796" s="446"/>
      <c r="O2796" s="446"/>
      <c r="P2796" s="446"/>
      <c r="Q2796" s="110">
        <v>1</v>
      </c>
      <c r="R2796" s="111">
        <f t="shared" si="616"/>
        <v>57.72</v>
      </c>
      <c r="S2796" s="110"/>
      <c r="T2796" s="110"/>
      <c r="U2796" s="110">
        <v>0</v>
      </c>
      <c r="V2796" s="111">
        <f t="shared" si="617"/>
        <v>57.72</v>
      </c>
      <c r="W2796" s="110"/>
      <c r="X2796" s="110"/>
      <c r="Y2796" s="110"/>
      <c r="Z2796" s="110"/>
      <c r="AA2796" s="110">
        <v>0</v>
      </c>
      <c r="AB2796" s="111">
        <f t="shared" si="623"/>
        <v>57.72</v>
      </c>
      <c r="AC2796" s="110"/>
      <c r="AD2796" s="110"/>
      <c r="AE2796" s="110">
        <v>0</v>
      </c>
      <c r="AF2796" s="111">
        <f t="shared" si="624"/>
        <v>57.72</v>
      </c>
      <c r="AG2796" s="110"/>
      <c r="AH2796" s="110"/>
      <c r="AI2796" s="110"/>
      <c r="AJ2796" s="110"/>
      <c r="AK2796" s="111">
        <f t="shared" si="619"/>
        <v>230.88</v>
      </c>
      <c r="AL2796" s="446">
        <f t="shared" si="620"/>
        <v>0</v>
      </c>
      <c r="AM2796" s="110">
        <f t="shared" si="621"/>
        <v>1</v>
      </c>
      <c r="AN2796" s="447">
        <f t="shared" si="626"/>
        <v>0</v>
      </c>
      <c r="AO2796"/>
      <c r="AP2796"/>
    </row>
    <row r="2797" spans="1:42" ht="66" x14ac:dyDescent="0.25">
      <c r="A2797" s="9"/>
      <c r="B2797" s="146" t="s">
        <v>2385</v>
      </c>
      <c r="C2797" s="1024"/>
      <c r="D2797" s="922">
        <v>20</v>
      </c>
      <c r="E2797" s="258" t="s">
        <v>1722</v>
      </c>
      <c r="F2797" s="273" t="s">
        <v>3446</v>
      </c>
      <c r="G2797" s="1040" t="s">
        <v>3463</v>
      </c>
      <c r="H2797" s="273" t="s">
        <v>3462</v>
      </c>
      <c r="I2797" s="720">
        <f t="shared" si="622"/>
        <v>118.8</v>
      </c>
      <c r="J2797" s="805">
        <v>2376</v>
      </c>
      <c r="K2797" s="131">
        <f t="shared" si="625"/>
        <v>2376</v>
      </c>
      <c r="L2797" s="335">
        <f t="shared" si="618"/>
        <v>0</v>
      </c>
      <c r="M2797" s="446"/>
      <c r="N2797" s="446"/>
      <c r="O2797" s="446"/>
      <c r="P2797" s="446"/>
      <c r="Q2797" s="110">
        <f t="shared" si="627"/>
        <v>5</v>
      </c>
      <c r="R2797" s="111">
        <f t="shared" si="616"/>
        <v>594</v>
      </c>
      <c r="S2797" s="110"/>
      <c r="T2797" s="110"/>
      <c r="U2797" s="110">
        <f t="shared" si="628"/>
        <v>5</v>
      </c>
      <c r="V2797" s="111">
        <f t="shared" si="617"/>
        <v>594</v>
      </c>
      <c r="W2797" s="110"/>
      <c r="X2797" s="110"/>
      <c r="Y2797" s="110"/>
      <c r="Z2797" s="110"/>
      <c r="AA2797" s="110">
        <f t="shared" si="629"/>
        <v>5</v>
      </c>
      <c r="AB2797" s="111">
        <f t="shared" si="623"/>
        <v>594</v>
      </c>
      <c r="AC2797" s="110"/>
      <c r="AD2797" s="110"/>
      <c r="AE2797" s="110">
        <f t="shared" si="629"/>
        <v>5</v>
      </c>
      <c r="AF2797" s="111">
        <f t="shared" si="624"/>
        <v>594</v>
      </c>
      <c r="AG2797" s="110"/>
      <c r="AH2797" s="110"/>
      <c r="AI2797" s="110"/>
      <c r="AJ2797" s="110"/>
      <c r="AK2797" s="111">
        <f t="shared" si="619"/>
        <v>2376</v>
      </c>
      <c r="AL2797" s="446">
        <f t="shared" si="620"/>
        <v>0</v>
      </c>
      <c r="AM2797" s="110">
        <f t="shared" si="621"/>
        <v>20</v>
      </c>
      <c r="AN2797" s="447">
        <f t="shared" si="626"/>
        <v>0</v>
      </c>
      <c r="AO2797"/>
      <c r="AP2797"/>
    </row>
    <row r="2798" spans="1:42" ht="66" x14ac:dyDescent="0.25">
      <c r="A2798" s="9"/>
      <c r="B2798" s="146" t="s">
        <v>2386</v>
      </c>
      <c r="C2798" s="1024"/>
      <c r="D2798" s="922">
        <v>10</v>
      </c>
      <c r="E2798" s="258" t="s">
        <v>1725</v>
      </c>
      <c r="F2798" s="273" t="s">
        <v>3446</v>
      </c>
      <c r="G2798" s="1040" t="s">
        <v>3463</v>
      </c>
      <c r="H2798" s="273" t="s">
        <v>3462</v>
      </c>
      <c r="I2798" s="720">
        <f t="shared" si="622"/>
        <v>118.8</v>
      </c>
      <c r="J2798" s="805">
        <v>1188</v>
      </c>
      <c r="K2798" s="131">
        <f t="shared" si="625"/>
        <v>1188</v>
      </c>
      <c r="L2798" s="335">
        <f t="shared" si="618"/>
        <v>0</v>
      </c>
      <c r="M2798" s="446"/>
      <c r="N2798" s="446"/>
      <c r="O2798" s="446"/>
      <c r="P2798" s="446"/>
      <c r="Q2798" s="130">
        <v>3</v>
      </c>
      <c r="R2798" s="111">
        <f t="shared" si="616"/>
        <v>297</v>
      </c>
      <c r="S2798" s="110"/>
      <c r="T2798" s="110"/>
      <c r="U2798" s="130">
        <v>3</v>
      </c>
      <c r="V2798" s="111">
        <f t="shared" si="617"/>
        <v>297</v>
      </c>
      <c r="W2798" s="110"/>
      <c r="X2798" s="110"/>
      <c r="Y2798" s="110"/>
      <c r="Z2798" s="110"/>
      <c r="AA2798" s="130">
        <v>2</v>
      </c>
      <c r="AB2798" s="111">
        <f t="shared" si="623"/>
        <v>297</v>
      </c>
      <c r="AC2798" s="110"/>
      <c r="AD2798" s="110"/>
      <c r="AE2798" s="130">
        <v>2</v>
      </c>
      <c r="AF2798" s="111">
        <f t="shared" si="624"/>
        <v>297</v>
      </c>
      <c r="AG2798" s="110"/>
      <c r="AH2798" s="110"/>
      <c r="AI2798" s="110"/>
      <c r="AJ2798" s="110"/>
      <c r="AK2798" s="111">
        <f t="shared" si="619"/>
        <v>1188</v>
      </c>
      <c r="AL2798" s="446">
        <f t="shared" si="620"/>
        <v>0</v>
      </c>
      <c r="AM2798" s="110">
        <f t="shared" si="621"/>
        <v>10</v>
      </c>
      <c r="AN2798" s="447">
        <f t="shared" si="626"/>
        <v>0</v>
      </c>
      <c r="AO2798"/>
      <c r="AP2798"/>
    </row>
    <row r="2799" spans="1:42" ht="66" x14ac:dyDescent="0.25">
      <c r="A2799" s="9"/>
      <c r="B2799" s="146" t="s">
        <v>2387</v>
      </c>
      <c r="C2799" s="1024"/>
      <c r="D2799" s="922">
        <v>11</v>
      </c>
      <c r="E2799" s="258" t="s">
        <v>1722</v>
      </c>
      <c r="F2799" s="273" t="s">
        <v>3446</v>
      </c>
      <c r="G2799" s="1040" t="s">
        <v>3463</v>
      </c>
      <c r="H2799" s="273" t="s">
        <v>3462</v>
      </c>
      <c r="I2799" s="720">
        <f t="shared" si="622"/>
        <v>150</v>
      </c>
      <c r="J2799" s="805">
        <v>1650</v>
      </c>
      <c r="K2799" s="131">
        <f t="shared" si="625"/>
        <v>1650</v>
      </c>
      <c r="L2799" s="335">
        <f t="shared" si="618"/>
        <v>0</v>
      </c>
      <c r="M2799" s="446"/>
      <c r="N2799" s="446"/>
      <c r="O2799" s="446"/>
      <c r="P2799" s="446"/>
      <c r="Q2799" s="110">
        <v>3</v>
      </c>
      <c r="R2799" s="111">
        <f t="shared" ref="R2799:R2862" si="630">+J2799/4</f>
        <v>412.5</v>
      </c>
      <c r="S2799" s="110"/>
      <c r="T2799" s="110"/>
      <c r="U2799" s="110">
        <v>3</v>
      </c>
      <c r="V2799" s="111">
        <f t="shared" ref="V2799:V2862" si="631">+J2799/4</f>
        <v>412.5</v>
      </c>
      <c r="W2799" s="110"/>
      <c r="X2799" s="110"/>
      <c r="Y2799" s="110"/>
      <c r="Z2799" s="110"/>
      <c r="AA2799" s="110">
        <v>3</v>
      </c>
      <c r="AB2799" s="111">
        <f t="shared" si="623"/>
        <v>412.5</v>
      </c>
      <c r="AC2799" s="110"/>
      <c r="AD2799" s="110"/>
      <c r="AE2799" s="110">
        <v>2</v>
      </c>
      <c r="AF2799" s="111">
        <f t="shared" si="624"/>
        <v>412.5</v>
      </c>
      <c r="AG2799" s="110"/>
      <c r="AH2799" s="110"/>
      <c r="AI2799" s="110"/>
      <c r="AJ2799" s="110"/>
      <c r="AK2799" s="111">
        <f t="shared" si="619"/>
        <v>1650</v>
      </c>
      <c r="AL2799" s="446">
        <f t="shared" si="620"/>
        <v>0</v>
      </c>
      <c r="AM2799" s="110">
        <f t="shared" si="621"/>
        <v>11</v>
      </c>
      <c r="AN2799" s="447">
        <f t="shared" si="626"/>
        <v>0</v>
      </c>
      <c r="AO2799"/>
      <c r="AP2799"/>
    </row>
    <row r="2800" spans="1:42" ht="66" x14ac:dyDescent="0.25">
      <c r="A2800" s="9"/>
      <c r="B2800" s="146" t="s">
        <v>2388</v>
      </c>
      <c r="C2800" s="1024"/>
      <c r="D2800" s="922">
        <v>5</v>
      </c>
      <c r="E2800" s="258" t="s">
        <v>1721</v>
      </c>
      <c r="F2800" s="273" t="s">
        <v>3446</v>
      </c>
      <c r="G2800" s="1040" t="s">
        <v>3463</v>
      </c>
      <c r="H2800" s="273" t="s">
        <v>3462</v>
      </c>
      <c r="I2800" s="720">
        <f t="shared" si="622"/>
        <v>174.1</v>
      </c>
      <c r="J2800" s="805">
        <v>870.5</v>
      </c>
      <c r="K2800" s="131">
        <f t="shared" si="625"/>
        <v>870.5</v>
      </c>
      <c r="L2800" s="335">
        <f t="shared" si="618"/>
        <v>0</v>
      </c>
      <c r="M2800" s="446"/>
      <c r="N2800" s="446"/>
      <c r="O2800" s="446"/>
      <c r="P2800" s="446"/>
      <c r="Q2800" s="110">
        <v>2</v>
      </c>
      <c r="R2800" s="111">
        <f t="shared" si="630"/>
        <v>217.625</v>
      </c>
      <c r="S2800" s="110"/>
      <c r="T2800" s="110"/>
      <c r="U2800" s="110">
        <v>1</v>
      </c>
      <c r="V2800" s="111">
        <f t="shared" si="631"/>
        <v>217.625</v>
      </c>
      <c r="W2800" s="110"/>
      <c r="X2800" s="110"/>
      <c r="Y2800" s="110"/>
      <c r="Z2800" s="110"/>
      <c r="AA2800" s="110">
        <v>1</v>
      </c>
      <c r="AB2800" s="111">
        <f t="shared" si="623"/>
        <v>217.625</v>
      </c>
      <c r="AC2800" s="110"/>
      <c r="AD2800" s="110"/>
      <c r="AE2800" s="110">
        <v>1</v>
      </c>
      <c r="AF2800" s="111">
        <f t="shared" si="624"/>
        <v>217.625</v>
      </c>
      <c r="AG2800" s="110"/>
      <c r="AH2800" s="110"/>
      <c r="AI2800" s="110"/>
      <c r="AJ2800" s="110"/>
      <c r="AK2800" s="111">
        <f t="shared" si="619"/>
        <v>870.5</v>
      </c>
      <c r="AL2800" s="446">
        <f t="shared" si="620"/>
        <v>0</v>
      </c>
      <c r="AM2800" s="110">
        <f t="shared" si="621"/>
        <v>5</v>
      </c>
      <c r="AN2800" s="447">
        <f t="shared" si="626"/>
        <v>0</v>
      </c>
      <c r="AO2800"/>
      <c r="AP2800"/>
    </row>
    <row r="2801" spans="1:42" ht="66" x14ac:dyDescent="0.25">
      <c r="A2801" s="9"/>
      <c r="B2801" s="146" t="s">
        <v>2389</v>
      </c>
      <c r="C2801" s="1024"/>
      <c r="D2801" s="922">
        <v>1</v>
      </c>
      <c r="E2801" s="258" t="s">
        <v>1722</v>
      </c>
      <c r="F2801" s="273" t="s">
        <v>3446</v>
      </c>
      <c r="G2801" s="1040" t="s">
        <v>3463</v>
      </c>
      <c r="H2801" s="273" t="s">
        <v>3462</v>
      </c>
      <c r="I2801" s="720">
        <f t="shared" si="622"/>
        <v>194.39</v>
      </c>
      <c r="J2801" s="805">
        <v>194.39</v>
      </c>
      <c r="K2801" s="131">
        <f t="shared" si="625"/>
        <v>194.39</v>
      </c>
      <c r="L2801" s="335">
        <f t="shared" si="618"/>
        <v>0</v>
      </c>
      <c r="M2801" s="446"/>
      <c r="N2801" s="446"/>
      <c r="O2801" s="446"/>
      <c r="P2801" s="446"/>
      <c r="Q2801" s="110">
        <v>1</v>
      </c>
      <c r="R2801" s="111">
        <f t="shared" si="630"/>
        <v>48.597499999999997</v>
      </c>
      <c r="S2801" s="110"/>
      <c r="T2801" s="110"/>
      <c r="U2801" s="110">
        <v>0</v>
      </c>
      <c r="V2801" s="111">
        <f t="shared" si="631"/>
        <v>48.597499999999997</v>
      </c>
      <c r="W2801" s="110"/>
      <c r="X2801" s="110"/>
      <c r="Y2801" s="110"/>
      <c r="Z2801" s="110"/>
      <c r="AA2801" s="110">
        <v>0</v>
      </c>
      <c r="AB2801" s="111">
        <f t="shared" si="623"/>
        <v>48.597499999999997</v>
      </c>
      <c r="AC2801" s="110"/>
      <c r="AD2801" s="110"/>
      <c r="AE2801" s="110">
        <v>0</v>
      </c>
      <c r="AF2801" s="111">
        <f t="shared" si="624"/>
        <v>48.597499999999997</v>
      </c>
      <c r="AG2801" s="110"/>
      <c r="AH2801" s="110"/>
      <c r="AI2801" s="110"/>
      <c r="AJ2801" s="110"/>
      <c r="AK2801" s="111">
        <f t="shared" si="619"/>
        <v>194.39</v>
      </c>
      <c r="AL2801" s="446">
        <f t="shared" si="620"/>
        <v>0</v>
      </c>
      <c r="AM2801" s="110">
        <f t="shared" si="621"/>
        <v>1</v>
      </c>
      <c r="AN2801" s="447">
        <f t="shared" si="626"/>
        <v>0</v>
      </c>
      <c r="AO2801"/>
      <c r="AP2801"/>
    </row>
    <row r="2802" spans="1:42" ht="66" x14ac:dyDescent="0.25">
      <c r="A2802" s="9"/>
      <c r="B2802" s="146" t="s">
        <v>2390</v>
      </c>
      <c r="C2802" s="1024"/>
      <c r="D2802" s="922">
        <v>2</v>
      </c>
      <c r="E2802" s="258" t="s">
        <v>1725</v>
      </c>
      <c r="F2802" s="273" t="s">
        <v>3446</v>
      </c>
      <c r="G2802" s="1040" t="s">
        <v>3463</v>
      </c>
      <c r="H2802" s="273" t="s">
        <v>3462</v>
      </c>
      <c r="I2802" s="720">
        <f t="shared" si="622"/>
        <v>66.47</v>
      </c>
      <c r="J2802" s="805">
        <v>132.94</v>
      </c>
      <c r="K2802" s="131">
        <f t="shared" si="625"/>
        <v>132.94</v>
      </c>
      <c r="L2802" s="335">
        <f t="shared" si="618"/>
        <v>0</v>
      </c>
      <c r="M2802" s="446"/>
      <c r="N2802" s="446"/>
      <c r="O2802" s="446"/>
      <c r="P2802" s="446"/>
      <c r="Q2802" s="130">
        <v>1</v>
      </c>
      <c r="R2802" s="111">
        <f t="shared" si="630"/>
        <v>33.234999999999999</v>
      </c>
      <c r="S2802" s="110"/>
      <c r="T2802" s="110"/>
      <c r="U2802" s="130">
        <v>1</v>
      </c>
      <c r="V2802" s="111">
        <f t="shared" si="631"/>
        <v>33.234999999999999</v>
      </c>
      <c r="W2802" s="110"/>
      <c r="X2802" s="110"/>
      <c r="Y2802" s="110"/>
      <c r="Z2802" s="110"/>
      <c r="AA2802" s="130">
        <v>0</v>
      </c>
      <c r="AB2802" s="111">
        <f t="shared" si="623"/>
        <v>33.234999999999999</v>
      </c>
      <c r="AC2802" s="110"/>
      <c r="AD2802" s="110"/>
      <c r="AE2802" s="130">
        <v>0</v>
      </c>
      <c r="AF2802" s="111">
        <f t="shared" si="624"/>
        <v>33.234999999999999</v>
      </c>
      <c r="AG2802" s="110"/>
      <c r="AH2802" s="110"/>
      <c r="AI2802" s="110"/>
      <c r="AJ2802" s="110"/>
      <c r="AK2802" s="111">
        <f t="shared" si="619"/>
        <v>132.94</v>
      </c>
      <c r="AL2802" s="446">
        <f t="shared" si="620"/>
        <v>0</v>
      </c>
      <c r="AM2802" s="110">
        <f t="shared" si="621"/>
        <v>2</v>
      </c>
      <c r="AN2802" s="447">
        <f t="shared" si="626"/>
        <v>0</v>
      </c>
      <c r="AO2802"/>
      <c r="AP2802"/>
    </row>
    <row r="2803" spans="1:42" ht="66" x14ac:dyDescent="0.25">
      <c r="A2803" s="9"/>
      <c r="B2803" s="146" t="s">
        <v>2391</v>
      </c>
      <c r="C2803" s="1024"/>
      <c r="D2803" s="922">
        <v>6</v>
      </c>
      <c r="E2803" s="258" t="s">
        <v>1722</v>
      </c>
      <c r="F2803" s="273" t="s">
        <v>3446</v>
      </c>
      <c r="G2803" s="1040" t="s">
        <v>3463</v>
      </c>
      <c r="H2803" s="273" t="s">
        <v>3462</v>
      </c>
      <c r="I2803" s="720">
        <f t="shared" si="622"/>
        <v>92.18</v>
      </c>
      <c r="J2803" s="805">
        <v>553.08000000000004</v>
      </c>
      <c r="K2803" s="131">
        <f t="shared" si="625"/>
        <v>553.08000000000004</v>
      </c>
      <c r="L2803" s="335">
        <f t="shared" si="618"/>
        <v>0</v>
      </c>
      <c r="M2803" s="446"/>
      <c r="N2803" s="446"/>
      <c r="O2803" s="446"/>
      <c r="P2803" s="446"/>
      <c r="Q2803" s="130">
        <v>2</v>
      </c>
      <c r="R2803" s="111">
        <f t="shared" si="630"/>
        <v>138.27000000000001</v>
      </c>
      <c r="S2803" s="110"/>
      <c r="T2803" s="110"/>
      <c r="U2803" s="130">
        <v>2</v>
      </c>
      <c r="V2803" s="111">
        <f t="shared" si="631"/>
        <v>138.27000000000001</v>
      </c>
      <c r="W2803" s="110"/>
      <c r="X2803" s="110"/>
      <c r="Y2803" s="110"/>
      <c r="Z2803" s="110"/>
      <c r="AA2803" s="130">
        <v>1</v>
      </c>
      <c r="AB2803" s="111">
        <f t="shared" si="623"/>
        <v>138.27000000000001</v>
      </c>
      <c r="AC2803" s="110"/>
      <c r="AD2803" s="110"/>
      <c r="AE2803" s="130">
        <v>1</v>
      </c>
      <c r="AF2803" s="111">
        <f t="shared" si="624"/>
        <v>138.27000000000001</v>
      </c>
      <c r="AG2803" s="110"/>
      <c r="AH2803" s="110"/>
      <c r="AI2803" s="110"/>
      <c r="AJ2803" s="110"/>
      <c r="AK2803" s="111">
        <f t="shared" si="619"/>
        <v>553.08000000000004</v>
      </c>
      <c r="AL2803" s="446">
        <f t="shared" si="620"/>
        <v>0</v>
      </c>
      <c r="AM2803" s="110">
        <f t="shared" si="621"/>
        <v>6</v>
      </c>
      <c r="AN2803" s="447">
        <f t="shared" si="626"/>
        <v>0</v>
      </c>
      <c r="AO2803"/>
      <c r="AP2803"/>
    </row>
    <row r="2804" spans="1:42" ht="66" x14ac:dyDescent="0.25">
      <c r="A2804" s="9"/>
      <c r="B2804" s="146" t="s">
        <v>2392</v>
      </c>
      <c r="C2804" s="1024"/>
      <c r="D2804" s="922">
        <v>1</v>
      </c>
      <c r="E2804" s="258" t="s">
        <v>1722</v>
      </c>
      <c r="F2804" s="273" t="s">
        <v>3446</v>
      </c>
      <c r="G2804" s="1040" t="s">
        <v>3463</v>
      </c>
      <c r="H2804" s="273" t="s">
        <v>3462</v>
      </c>
      <c r="I2804" s="720">
        <f t="shared" si="622"/>
        <v>114.45</v>
      </c>
      <c r="J2804" s="805">
        <v>114.45</v>
      </c>
      <c r="K2804" s="131">
        <f t="shared" si="625"/>
        <v>114.45</v>
      </c>
      <c r="L2804" s="335">
        <f t="shared" ref="L2804:L2867" si="632">+J2804-K2804</f>
        <v>0</v>
      </c>
      <c r="M2804" s="446"/>
      <c r="N2804" s="446"/>
      <c r="O2804" s="446"/>
      <c r="P2804" s="446"/>
      <c r="Q2804" s="110">
        <v>1</v>
      </c>
      <c r="R2804" s="111">
        <f t="shared" si="630"/>
        <v>28.612500000000001</v>
      </c>
      <c r="S2804" s="110"/>
      <c r="T2804" s="110"/>
      <c r="U2804" s="110">
        <v>0</v>
      </c>
      <c r="V2804" s="111">
        <f t="shared" si="631"/>
        <v>28.612500000000001</v>
      </c>
      <c r="W2804" s="110"/>
      <c r="X2804" s="110"/>
      <c r="Y2804" s="110"/>
      <c r="Z2804" s="110"/>
      <c r="AA2804" s="110">
        <v>0</v>
      </c>
      <c r="AB2804" s="111">
        <f t="shared" si="623"/>
        <v>28.612500000000001</v>
      </c>
      <c r="AC2804" s="110"/>
      <c r="AD2804" s="110"/>
      <c r="AE2804" s="110">
        <v>0</v>
      </c>
      <c r="AF2804" s="111">
        <f t="shared" si="624"/>
        <v>28.612500000000001</v>
      </c>
      <c r="AG2804" s="110"/>
      <c r="AH2804" s="110"/>
      <c r="AI2804" s="110"/>
      <c r="AJ2804" s="110"/>
      <c r="AK2804" s="111">
        <f t="shared" ref="AK2804:AK2867" si="633">+R2804+V2804+AB2804+AF2804</f>
        <v>114.45</v>
      </c>
      <c r="AL2804" s="446">
        <f t="shared" ref="AL2804:AL2867" si="634">+J2804-AK2804</f>
        <v>0</v>
      </c>
      <c r="AM2804" s="110">
        <f t="shared" ref="AM2804:AM2867" si="635">+Q2804+U2804+AA2804+AE2804</f>
        <v>1</v>
      </c>
      <c r="AN2804" s="447">
        <f t="shared" si="626"/>
        <v>0</v>
      </c>
      <c r="AO2804"/>
      <c r="AP2804"/>
    </row>
    <row r="2805" spans="1:42" ht="66" x14ac:dyDescent="0.25">
      <c r="A2805" s="9"/>
      <c r="B2805" s="146" t="s">
        <v>2393</v>
      </c>
      <c r="C2805" s="1024"/>
      <c r="D2805" s="922">
        <v>1</v>
      </c>
      <c r="E2805" s="258" t="s">
        <v>1722</v>
      </c>
      <c r="F2805" s="273" t="s">
        <v>3446</v>
      </c>
      <c r="G2805" s="1040" t="s">
        <v>3463</v>
      </c>
      <c r="H2805" s="273" t="s">
        <v>3462</v>
      </c>
      <c r="I2805" s="720">
        <f t="shared" si="622"/>
        <v>334.13</v>
      </c>
      <c r="J2805" s="805">
        <v>334.13</v>
      </c>
      <c r="K2805" s="131">
        <f t="shared" si="625"/>
        <v>334.13</v>
      </c>
      <c r="L2805" s="335">
        <f t="shared" si="632"/>
        <v>0</v>
      </c>
      <c r="M2805" s="446"/>
      <c r="N2805" s="446"/>
      <c r="O2805" s="446"/>
      <c r="P2805" s="446"/>
      <c r="Q2805" s="110">
        <v>1</v>
      </c>
      <c r="R2805" s="111">
        <f t="shared" si="630"/>
        <v>83.532499999999999</v>
      </c>
      <c r="S2805" s="110"/>
      <c r="T2805" s="110"/>
      <c r="U2805" s="110">
        <v>0</v>
      </c>
      <c r="V2805" s="111">
        <f t="shared" si="631"/>
        <v>83.532499999999999</v>
      </c>
      <c r="W2805" s="110"/>
      <c r="X2805" s="110"/>
      <c r="Y2805" s="110"/>
      <c r="Z2805" s="110"/>
      <c r="AA2805" s="110">
        <v>0</v>
      </c>
      <c r="AB2805" s="111">
        <f t="shared" si="623"/>
        <v>83.532499999999999</v>
      </c>
      <c r="AC2805" s="110"/>
      <c r="AD2805" s="110"/>
      <c r="AE2805" s="110">
        <v>0</v>
      </c>
      <c r="AF2805" s="111">
        <f t="shared" si="624"/>
        <v>83.532499999999999</v>
      </c>
      <c r="AG2805" s="110"/>
      <c r="AH2805" s="110"/>
      <c r="AI2805" s="110"/>
      <c r="AJ2805" s="110"/>
      <c r="AK2805" s="111">
        <f t="shared" si="633"/>
        <v>334.13</v>
      </c>
      <c r="AL2805" s="446">
        <f t="shared" si="634"/>
        <v>0</v>
      </c>
      <c r="AM2805" s="110">
        <f t="shared" si="635"/>
        <v>1</v>
      </c>
      <c r="AN2805" s="447">
        <f t="shared" si="626"/>
        <v>0</v>
      </c>
      <c r="AO2805"/>
      <c r="AP2805"/>
    </row>
    <row r="2806" spans="1:42" ht="66" x14ac:dyDescent="0.25">
      <c r="A2806" s="9"/>
      <c r="B2806" s="146" t="s">
        <v>2394</v>
      </c>
      <c r="C2806" s="1024"/>
      <c r="D2806" s="922">
        <v>1</v>
      </c>
      <c r="E2806" s="258" t="s">
        <v>1722</v>
      </c>
      <c r="F2806" s="273" t="s">
        <v>3446</v>
      </c>
      <c r="G2806" s="1040" t="s">
        <v>3463</v>
      </c>
      <c r="H2806" s="273" t="s">
        <v>3462</v>
      </c>
      <c r="I2806" s="720">
        <f t="shared" si="622"/>
        <v>334.13</v>
      </c>
      <c r="J2806" s="805">
        <v>334.13</v>
      </c>
      <c r="K2806" s="131">
        <f t="shared" si="625"/>
        <v>334.13</v>
      </c>
      <c r="L2806" s="335">
        <f t="shared" si="632"/>
        <v>0</v>
      </c>
      <c r="M2806" s="446"/>
      <c r="N2806" s="446"/>
      <c r="O2806" s="446"/>
      <c r="P2806" s="446"/>
      <c r="Q2806" s="110">
        <v>1</v>
      </c>
      <c r="R2806" s="111">
        <f t="shared" si="630"/>
        <v>83.532499999999999</v>
      </c>
      <c r="S2806" s="110"/>
      <c r="T2806" s="110"/>
      <c r="U2806" s="110">
        <v>0</v>
      </c>
      <c r="V2806" s="111">
        <f t="shared" si="631"/>
        <v>83.532499999999999</v>
      </c>
      <c r="W2806" s="110"/>
      <c r="X2806" s="110"/>
      <c r="Y2806" s="110"/>
      <c r="Z2806" s="110"/>
      <c r="AA2806" s="110">
        <v>0</v>
      </c>
      <c r="AB2806" s="111">
        <f t="shared" si="623"/>
        <v>83.532499999999999</v>
      </c>
      <c r="AC2806" s="110"/>
      <c r="AD2806" s="110"/>
      <c r="AE2806" s="110">
        <v>0</v>
      </c>
      <c r="AF2806" s="111">
        <f t="shared" si="624"/>
        <v>83.532499999999999</v>
      </c>
      <c r="AG2806" s="110"/>
      <c r="AH2806" s="110"/>
      <c r="AI2806" s="110"/>
      <c r="AJ2806" s="110"/>
      <c r="AK2806" s="111">
        <f t="shared" si="633"/>
        <v>334.13</v>
      </c>
      <c r="AL2806" s="446">
        <f t="shared" si="634"/>
        <v>0</v>
      </c>
      <c r="AM2806" s="110">
        <f t="shared" si="635"/>
        <v>1</v>
      </c>
      <c r="AN2806" s="447">
        <f t="shared" si="626"/>
        <v>0</v>
      </c>
      <c r="AO2806"/>
      <c r="AP2806"/>
    </row>
    <row r="2807" spans="1:42" ht="66" x14ac:dyDescent="0.25">
      <c r="A2807" s="9"/>
      <c r="B2807" s="146" t="s">
        <v>2395</v>
      </c>
      <c r="C2807" s="1024"/>
      <c r="D2807" s="922">
        <v>1</v>
      </c>
      <c r="E2807" s="258" t="s">
        <v>1722</v>
      </c>
      <c r="F2807" s="273" t="s">
        <v>3446</v>
      </c>
      <c r="G2807" s="1040" t="s">
        <v>3463</v>
      </c>
      <c r="H2807" s="273" t="s">
        <v>3462</v>
      </c>
      <c r="I2807" s="720">
        <f t="shared" si="622"/>
        <v>2143.62</v>
      </c>
      <c r="J2807" s="805">
        <v>2143.62</v>
      </c>
      <c r="K2807" s="131">
        <f t="shared" si="625"/>
        <v>2143.62</v>
      </c>
      <c r="L2807" s="335">
        <f t="shared" si="632"/>
        <v>0</v>
      </c>
      <c r="M2807" s="446"/>
      <c r="N2807" s="446"/>
      <c r="O2807" s="446"/>
      <c r="P2807" s="446"/>
      <c r="Q2807" s="110">
        <v>1</v>
      </c>
      <c r="R2807" s="111">
        <f t="shared" si="630"/>
        <v>535.90499999999997</v>
      </c>
      <c r="S2807" s="110"/>
      <c r="T2807" s="110"/>
      <c r="U2807" s="110">
        <v>0</v>
      </c>
      <c r="V2807" s="111">
        <f t="shared" si="631"/>
        <v>535.90499999999997</v>
      </c>
      <c r="W2807" s="110"/>
      <c r="X2807" s="110"/>
      <c r="Y2807" s="110"/>
      <c r="Z2807" s="110"/>
      <c r="AA2807" s="110">
        <v>0</v>
      </c>
      <c r="AB2807" s="111">
        <f t="shared" si="623"/>
        <v>535.90499999999997</v>
      </c>
      <c r="AC2807" s="110"/>
      <c r="AD2807" s="110"/>
      <c r="AE2807" s="110">
        <v>0</v>
      </c>
      <c r="AF2807" s="111">
        <f t="shared" si="624"/>
        <v>535.90499999999997</v>
      </c>
      <c r="AG2807" s="110"/>
      <c r="AH2807" s="110"/>
      <c r="AI2807" s="110"/>
      <c r="AJ2807" s="110"/>
      <c r="AK2807" s="111">
        <f t="shared" si="633"/>
        <v>2143.62</v>
      </c>
      <c r="AL2807" s="446">
        <f t="shared" si="634"/>
        <v>0</v>
      </c>
      <c r="AM2807" s="110">
        <f t="shared" si="635"/>
        <v>1</v>
      </c>
      <c r="AN2807" s="447">
        <f t="shared" si="626"/>
        <v>0</v>
      </c>
      <c r="AO2807"/>
      <c r="AP2807"/>
    </row>
    <row r="2808" spans="1:42" ht="66" x14ac:dyDescent="0.25">
      <c r="A2808" s="9"/>
      <c r="B2808" s="146" t="s">
        <v>2396</v>
      </c>
      <c r="C2808" s="1024"/>
      <c r="D2808" s="922">
        <v>2</v>
      </c>
      <c r="E2808" s="258" t="s">
        <v>1722</v>
      </c>
      <c r="F2808" s="273" t="s">
        <v>3446</v>
      </c>
      <c r="G2808" s="1040" t="s">
        <v>3463</v>
      </c>
      <c r="H2808" s="273" t="s">
        <v>3462</v>
      </c>
      <c r="I2808" s="720">
        <f t="shared" si="622"/>
        <v>486.26</v>
      </c>
      <c r="J2808" s="805">
        <v>972.52</v>
      </c>
      <c r="K2808" s="131">
        <f t="shared" si="625"/>
        <v>972.52</v>
      </c>
      <c r="L2808" s="335">
        <f t="shared" si="632"/>
        <v>0</v>
      </c>
      <c r="M2808" s="446"/>
      <c r="N2808" s="446"/>
      <c r="O2808" s="446"/>
      <c r="P2808" s="446"/>
      <c r="Q2808" s="130">
        <v>1</v>
      </c>
      <c r="R2808" s="111">
        <f t="shared" si="630"/>
        <v>243.13</v>
      </c>
      <c r="S2808" s="110"/>
      <c r="T2808" s="110"/>
      <c r="U2808" s="130">
        <v>1</v>
      </c>
      <c r="V2808" s="111">
        <f t="shared" si="631"/>
        <v>243.13</v>
      </c>
      <c r="W2808" s="110"/>
      <c r="X2808" s="110"/>
      <c r="Y2808" s="110"/>
      <c r="Z2808" s="110"/>
      <c r="AA2808" s="130">
        <v>0</v>
      </c>
      <c r="AB2808" s="111">
        <f t="shared" si="623"/>
        <v>243.13</v>
      </c>
      <c r="AC2808" s="110"/>
      <c r="AD2808" s="110"/>
      <c r="AE2808" s="130">
        <v>0</v>
      </c>
      <c r="AF2808" s="111">
        <f t="shared" si="624"/>
        <v>243.13</v>
      </c>
      <c r="AG2808" s="110"/>
      <c r="AH2808" s="110"/>
      <c r="AI2808" s="110"/>
      <c r="AJ2808" s="110"/>
      <c r="AK2808" s="111">
        <f t="shared" si="633"/>
        <v>972.52</v>
      </c>
      <c r="AL2808" s="446">
        <f t="shared" si="634"/>
        <v>0</v>
      </c>
      <c r="AM2808" s="110">
        <f t="shared" si="635"/>
        <v>2</v>
      </c>
      <c r="AN2808" s="447">
        <f t="shared" si="626"/>
        <v>0</v>
      </c>
      <c r="AO2808"/>
      <c r="AP2808"/>
    </row>
    <row r="2809" spans="1:42" ht="66" x14ac:dyDescent="0.25">
      <c r="A2809" s="9"/>
      <c r="B2809" s="146" t="s">
        <v>2397</v>
      </c>
      <c r="C2809" s="1024"/>
      <c r="D2809" s="922">
        <v>2</v>
      </c>
      <c r="E2809" s="258" t="s">
        <v>1721</v>
      </c>
      <c r="F2809" s="273" t="s">
        <v>3446</v>
      </c>
      <c r="G2809" s="1040" t="s">
        <v>3463</v>
      </c>
      <c r="H2809" s="273" t="s">
        <v>3462</v>
      </c>
      <c r="I2809" s="720">
        <f t="shared" si="622"/>
        <v>460</v>
      </c>
      <c r="J2809" s="805">
        <v>920</v>
      </c>
      <c r="K2809" s="131">
        <f t="shared" si="625"/>
        <v>920</v>
      </c>
      <c r="L2809" s="335">
        <f t="shared" si="632"/>
        <v>0</v>
      </c>
      <c r="M2809" s="446"/>
      <c r="N2809" s="446"/>
      <c r="O2809" s="446"/>
      <c r="P2809" s="446"/>
      <c r="Q2809" s="130">
        <v>1</v>
      </c>
      <c r="R2809" s="111">
        <f t="shared" si="630"/>
        <v>230</v>
      </c>
      <c r="S2809" s="110"/>
      <c r="T2809" s="110"/>
      <c r="U2809" s="130">
        <v>1</v>
      </c>
      <c r="V2809" s="111">
        <f t="shared" si="631"/>
        <v>230</v>
      </c>
      <c r="W2809" s="110"/>
      <c r="X2809" s="110"/>
      <c r="Y2809" s="110"/>
      <c r="Z2809" s="110"/>
      <c r="AA2809" s="130">
        <v>0</v>
      </c>
      <c r="AB2809" s="111">
        <f t="shared" si="623"/>
        <v>230</v>
      </c>
      <c r="AC2809" s="110"/>
      <c r="AD2809" s="110"/>
      <c r="AE2809" s="130">
        <v>0</v>
      </c>
      <c r="AF2809" s="111">
        <f t="shared" si="624"/>
        <v>230</v>
      </c>
      <c r="AG2809" s="110"/>
      <c r="AH2809" s="110"/>
      <c r="AI2809" s="110"/>
      <c r="AJ2809" s="110"/>
      <c r="AK2809" s="111">
        <f t="shared" si="633"/>
        <v>920</v>
      </c>
      <c r="AL2809" s="446">
        <f t="shared" si="634"/>
        <v>0</v>
      </c>
      <c r="AM2809" s="110">
        <f t="shared" si="635"/>
        <v>2</v>
      </c>
      <c r="AN2809" s="447">
        <f t="shared" si="626"/>
        <v>0</v>
      </c>
      <c r="AO2809"/>
      <c r="AP2809"/>
    </row>
    <row r="2810" spans="1:42" ht="66" x14ac:dyDescent="0.25">
      <c r="A2810" s="9"/>
      <c r="B2810" s="146" t="s">
        <v>2398</v>
      </c>
      <c r="C2810" s="1024"/>
      <c r="D2810" s="922">
        <v>3</v>
      </c>
      <c r="E2810" s="258" t="s">
        <v>1722</v>
      </c>
      <c r="F2810" s="273" t="s">
        <v>3446</v>
      </c>
      <c r="G2810" s="1040" t="s">
        <v>3463</v>
      </c>
      <c r="H2810" s="273" t="s">
        <v>3462</v>
      </c>
      <c r="I2810" s="720">
        <f t="shared" si="622"/>
        <v>264.14999999999998</v>
      </c>
      <c r="J2810" s="805">
        <v>792.44999999999993</v>
      </c>
      <c r="K2810" s="131">
        <f t="shared" si="625"/>
        <v>792.44999999999993</v>
      </c>
      <c r="L2810" s="335">
        <f t="shared" si="632"/>
        <v>0</v>
      </c>
      <c r="M2810" s="446"/>
      <c r="N2810" s="446"/>
      <c r="O2810" s="446"/>
      <c r="P2810" s="446"/>
      <c r="Q2810" s="130">
        <v>1</v>
      </c>
      <c r="R2810" s="111">
        <f t="shared" si="630"/>
        <v>198.11249999999998</v>
      </c>
      <c r="S2810" s="110"/>
      <c r="T2810" s="110"/>
      <c r="U2810" s="130">
        <v>1</v>
      </c>
      <c r="V2810" s="111">
        <f t="shared" si="631"/>
        <v>198.11249999999998</v>
      </c>
      <c r="W2810" s="110"/>
      <c r="X2810" s="110"/>
      <c r="Y2810" s="110"/>
      <c r="Z2810" s="110"/>
      <c r="AA2810" s="130">
        <v>1</v>
      </c>
      <c r="AB2810" s="111">
        <f t="shared" si="623"/>
        <v>198.11249999999998</v>
      </c>
      <c r="AC2810" s="110"/>
      <c r="AD2810" s="110"/>
      <c r="AE2810" s="130">
        <v>0</v>
      </c>
      <c r="AF2810" s="111">
        <f t="shared" si="624"/>
        <v>198.11249999999998</v>
      </c>
      <c r="AG2810" s="110"/>
      <c r="AH2810" s="110"/>
      <c r="AI2810" s="110"/>
      <c r="AJ2810" s="110"/>
      <c r="AK2810" s="111">
        <f t="shared" si="633"/>
        <v>792.44999999999993</v>
      </c>
      <c r="AL2810" s="446">
        <f t="shared" si="634"/>
        <v>0</v>
      </c>
      <c r="AM2810" s="110">
        <f t="shared" si="635"/>
        <v>3</v>
      </c>
      <c r="AN2810" s="447">
        <f t="shared" si="626"/>
        <v>0</v>
      </c>
      <c r="AO2810"/>
      <c r="AP2810"/>
    </row>
    <row r="2811" spans="1:42" ht="66" x14ac:dyDescent="0.25">
      <c r="A2811" s="9"/>
      <c r="B2811" s="146" t="s">
        <v>2399</v>
      </c>
      <c r="C2811" s="1024"/>
      <c r="D2811" s="922">
        <v>1</v>
      </c>
      <c r="E2811" s="258" t="s">
        <v>1722</v>
      </c>
      <c r="F2811" s="273" t="s">
        <v>3446</v>
      </c>
      <c r="G2811" s="1040" t="s">
        <v>3463</v>
      </c>
      <c r="H2811" s="273" t="s">
        <v>3462</v>
      </c>
      <c r="I2811" s="720">
        <f t="shared" ref="I2811:I2874" si="636">+J2811/D2811</f>
        <v>200.48</v>
      </c>
      <c r="J2811" s="805">
        <v>200.48</v>
      </c>
      <c r="K2811" s="131">
        <f t="shared" si="625"/>
        <v>200.48</v>
      </c>
      <c r="L2811" s="335">
        <f t="shared" si="632"/>
        <v>0</v>
      </c>
      <c r="M2811" s="446"/>
      <c r="N2811" s="446"/>
      <c r="O2811" s="446"/>
      <c r="P2811" s="446"/>
      <c r="Q2811" s="110">
        <v>1</v>
      </c>
      <c r="R2811" s="111">
        <f t="shared" si="630"/>
        <v>50.12</v>
      </c>
      <c r="S2811" s="110"/>
      <c r="T2811" s="110"/>
      <c r="U2811" s="110">
        <v>0</v>
      </c>
      <c r="V2811" s="111">
        <f t="shared" si="631"/>
        <v>50.12</v>
      </c>
      <c r="W2811" s="110"/>
      <c r="X2811" s="110"/>
      <c r="Y2811" s="110"/>
      <c r="Z2811" s="110"/>
      <c r="AA2811" s="110">
        <v>0</v>
      </c>
      <c r="AB2811" s="111">
        <f t="shared" si="623"/>
        <v>50.12</v>
      </c>
      <c r="AC2811" s="110"/>
      <c r="AD2811" s="110"/>
      <c r="AE2811" s="110">
        <v>0</v>
      </c>
      <c r="AF2811" s="111">
        <f t="shared" si="624"/>
        <v>50.12</v>
      </c>
      <c r="AG2811" s="110"/>
      <c r="AH2811" s="110"/>
      <c r="AI2811" s="110"/>
      <c r="AJ2811" s="110"/>
      <c r="AK2811" s="111">
        <f t="shared" si="633"/>
        <v>200.48</v>
      </c>
      <c r="AL2811" s="446">
        <f t="shared" si="634"/>
        <v>0</v>
      </c>
      <c r="AM2811" s="110">
        <f t="shared" si="635"/>
        <v>1</v>
      </c>
      <c r="AN2811" s="447">
        <f t="shared" si="626"/>
        <v>0</v>
      </c>
      <c r="AO2811"/>
      <c r="AP2811"/>
    </row>
    <row r="2812" spans="1:42" ht="66" x14ac:dyDescent="0.25">
      <c r="A2812" s="9"/>
      <c r="B2812" s="146" t="s">
        <v>2400</v>
      </c>
      <c r="C2812" s="1024"/>
      <c r="D2812" s="922">
        <v>1</v>
      </c>
      <c r="E2812" s="258" t="s">
        <v>1722</v>
      </c>
      <c r="F2812" s="273" t="s">
        <v>3446</v>
      </c>
      <c r="G2812" s="1040" t="s">
        <v>3463</v>
      </c>
      <c r="H2812" s="273" t="s">
        <v>3462</v>
      </c>
      <c r="I2812" s="720">
        <f t="shared" si="636"/>
        <v>171.52</v>
      </c>
      <c r="J2812" s="805">
        <v>171.52</v>
      </c>
      <c r="K2812" s="131">
        <f t="shared" si="625"/>
        <v>171.52</v>
      </c>
      <c r="L2812" s="335">
        <f t="shared" si="632"/>
        <v>0</v>
      </c>
      <c r="M2812" s="446"/>
      <c r="N2812" s="446"/>
      <c r="O2812" s="446"/>
      <c r="P2812" s="446"/>
      <c r="Q2812" s="110">
        <v>1</v>
      </c>
      <c r="R2812" s="111">
        <f t="shared" si="630"/>
        <v>42.88</v>
      </c>
      <c r="S2812" s="110"/>
      <c r="T2812" s="110"/>
      <c r="U2812" s="110">
        <v>0</v>
      </c>
      <c r="V2812" s="111">
        <f t="shared" si="631"/>
        <v>42.88</v>
      </c>
      <c r="W2812" s="110"/>
      <c r="X2812" s="110"/>
      <c r="Y2812" s="110"/>
      <c r="Z2812" s="110"/>
      <c r="AA2812" s="110">
        <v>0</v>
      </c>
      <c r="AB2812" s="111">
        <f t="shared" si="623"/>
        <v>42.88</v>
      </c>
      <c r="AC2812" s="110"/>
      <c r="AD2812" s="110"/>
      <c r="AE2812" s="110">
        <v>0</v>
      </c>
      <c r="AF2812" s="111">
        <f t="shared" si="624"/>
        <v>42.88</v>
      </c>
      <c r="AG2812" s="110"/>
      <c r="AH2812" s="110"/>
      <c r="AI2812" s="110"/>
      <c r="AJ2812" s="110"/>
      <c r="AK2812" s="111">
        <f t="shared" si="633"/>
        <v>171.52</v>
      </c>
      <c r="AL2812" s="446">
        <f t="shared" si="634"/>
        <v>0</v>
      </c>
      <c r="AM2812" s="110">
        <f t="shared" si="635"/>
        <v>1</v>
      </c>
      <c r="AN2812" s="447">
        <f t="shared" si="626"/>
        <v>0</v>
      </c>
      <c r="AO2812"/>
      <c r="AP2812"/>
    </row>
    <row r="2813" spans="1:42" ht="66" x14ac:dyDescent="0.25">
      <c r="A2813" s="9"/>
      <c r="B2813" s="146" t="s">
        <v>2401</v>
      </c>
      <c r="C2813" s="1024"/>
      <c r="D2813" s="922">
        <v>1</v>
      </c>
      <c r="E2813" s="258" t="s">
        <v>1722</v>
      </c>
      <c r="F2813" s="273" t="s">
        <v>3446</v>
      </c>
      <c r="G2813" s="1040" t="s">
        <v>3463</v>
      </c>
      <c r="H2813" s="273" t="s">
        <v>3462</v>
      </c>
      <c r="I2813" s="720">
        <f t="shared" si="636"/>
        <v>185.55</v>
      </c>
      <c r="J2813" s="805">
        <v>185.55</v>
      </c>
      <c r="K2813" s="131">
        <f t="shared" si="625"/>
        <v>185.55</v>
      </c>
      <c r="L2813" s="335">
        <f t="shared" si="632"/>
        <v>0</v>
      </c>
      <c r="M2813" s="446"/>
      <c r="N2813" s="446"/>
      <c r="O2813" s="446"/>
      <c r="P2813" s="446"/>
      <c r="Q2813" s="110">
        <v>1</v>
      </c>
      <c r="R2813" s="111">
        <f t="shared" si="630"/>
        <v>46.387500000000003</v>
      </c>
      <c r="S2813" s="110"/>
      <c r="T2813" s="110"/>
      <c r="U2813" s="110">
        <v>0</v>
      </c>
      <c r="V2813" s="111">
        <f t="shared" si="631"/>
        <v>46.387500000000003</v>
      </c>
      <c r="W2813" s="110"/>
      <c r="X2813" s="110"/>
      <c r="Y2813" s="110"/>
      <c r="Z2813" s="110"/>
      <c r="AA2813" s="110">
        <v>0</v>
      </c>
      <c r="AB2813" s="111">
        <f t="shared" si="623"/>
        <v>46.387500000000003</v>
      </c>
      <c r="AC2813" s="110"/>
      <c r="AD2813" s="110"/>
      <c r="AE2813" s="110">
        <v>0</v>
      </c>
      <c r="AF2813" s="111">
        <f t="shared" si="624"/>
        <v>46.387500000000003</v>
      </c>
      <c r="AG2813" s="110"/>
      <c r="AH2813" s="110"/>
      <c r="AI2813" s="110"/>
      <c r="AJ2813" s="110"/>
      <c r="AK2813" s="111">
        <f t="shared" si="633"/>
        <v>185.55</v>
      </c>
      <c r="AL2813" s="446">
        <f t="shared" si="634"/>
        <v>0</v>
      </c>
      <c r="AM2813" s="110">
        <f t="shared" si="635"/>
        <v>1</v>
      </c>
      <c r="AN2813" s="447">
        <f t="shared" si="626"/>
        <v>0</v>
      </c>
      <c r="AO2813"/>
      <c r="AP2813"/>
    </row>
    <row r="2814" spans="1:42" ht="66" x14ac:dyDescent="0.25">
      <c r="A2814" s="9"/>
      <c r="B2814" s="146" t="s">
        <v>2402</v>
      </c>
      <c r="C2814" s="1024"/>
      <c r="D2814" s="922">
        <v>3</v>
      </c>
      <c r="E2814" s="258" t="s">
        <v>1722</v>
      </c>
      <c r="F2814" s="273" t="s">
        <v>3446</v>
      </c>
      <c r="G2814" s="1040" t="s">
        <v>3463</v>
      </c>
      <c r="H2814" s="273" t="s">
        <v>3462</v>
      </c>
      <c r="I2814" s="720">
        <f t="shared" si="636"/>
        <v>2000</v>
      </c>
      <c r="J2814" s="805">
        <v>6000</v>
      </c>
      <c r="K2814" s="131">
        <f t="shared" si="625"/>
        <v>6000</v>
      </c>
      <c r="L2814" s="335">
        <f t="shared" si="632"/>
        <v>0</v>
      </c>
      <c r="M2814" s="446"/>
      <c r="N2814" s="446"/>
      <c r="O2814" s="446"/>
      <c r="P2814" s="446"/>
      <c r="Q2814" s="130">
        <v>1</v>
      </c>
      <c r="R2814" s="111">
        <f t="shared" si="630"/>
        <v>1500</v>
      </c>
      <c r="S2814" s="110"/>
      <c r="T2814" s="110"/>
      <c r="U2814" s="130">
        <v>1</v>
      </c>
      <c r="V2814" s="111">
        <f t="shared" si="631"/>
        <v>1500</v>
      </c>
      <c r="W2814" s="110"/>
      <c r="X2814" s="110"/>
      <c r="Y2814" s="110"/>
      <c r="Z2814" s="110"/>
      <c r="AA2814" s="130">
        <v>1</v>
      </c>
      <c r="AB2814" s="111">
        <f t="shared" si="623"/>
        <v>1500</v>
      </c>
      <c r="AC2814" s="110"/>
      <c r="AD2814" s="110"/>
      <c r="AE2814" s="130">
        <v>0</v>
      </c>
      <c r="AF2814" s="111">
        <f t="shared" si="624"/>
        <v>1500</v>
      </c>
      <c r="AG2814" s="110"/>
      <c r="AH2814" s="110"/>
      <c r="AI2814" s="110"/>
      <c r="AJ2814" s="110"/>
      <c r="AK2814" s="111">
        <f t="shared" si="633"/>
        <v>6000</v>
      </c>
      <c r="AL2814" s="446">
        <f t="shared" si="634"/>
        <v>0</v>
      </c>
      <c r="AM2814" s="110">
        <f t="shared" si="635"/>
        <v>3</v>
      </c>
      <c r="AN2814" s="447">
        <f t="shared" si="626"/>
        <v>0</v>
      </c>
      <c r="AO2814"/>
      <c r="AP2814"/>
    </row>
    <row r="2815" spans="1:42" ht="66" x14ac:dyDescent="0.25">
      <c r="A2815" s="9"/>
      <c r="B2815" s="146" t="s">
        <v>2403</v>
      </c>
      <c r="C2815" s="1024"/>
      <c r="D2815" s="922">
        <v>3</v>
      </c>
      <c r="E2815" s="258" t="s">
        <v>1722</v>
      </c>
      <c r="F2815" s="273" t="s">
        <v>3446</v>
      </c>
      <c r="G2815" s="1040" t="s">
        <v>3463</v>
      </c>
      <c r="H2815" s="273" t="s">
        <v>3462</v>
      </c>
      <c r="I2815" s="720">
        <f t="shared" si="636"/>
        <v>1689.82</v>
      </c>
      <c r="J2815" s="805">
        <v>5069.46</v>
      </c>
      <c r="K2815" s="131">
        <f t="shared" si="625"/>
        <v>5069.46</v>
      </c>
      <c r="L2815" s="335">
        <f t="shared" si="632"/>
        <v>0</v>
      </c>
      <c r="M2815" s="446"/>
      <c r="N2815" s="446"/>
      <c r="O2815" s="446"/>
      <c r="P2815" s="446"/>
      <c r="Q2815" s="130">
        <v>1</v>
      </c>
      <c r="R2815" s="111">
        <f t="shared" si="630"/>
        <v>1267.365</v>
      </c>
      <c r="S2815" s="110"/>
      <c r="T2815" s="110"/>
      <c r="U2815" s="130">
        <v>1</v>
      </c>
      <c r="V2815" s="111">
        <f t="shared" si="631"/>
        <v>1267.365</v>
      </c>
      <c r="W2815" s="110"/>
      <c r="X2815" s="110"/>
      <c r="Y2815" s="110"/>
      <c r="Z2815" s="110"/>
      <c r="AA2815" s="130">
        <v>1</v>
      </c>
      <c r="AB2815" s="111">
        <f t="shared" si="623"/>
        <v>1267.365</v>
      </c>
      <c r="AC2815" s="110"/>
      <c r="AD2815" s="110"/>
      <c r="AE2815" s="130">
        <v>0</v>
      </c>
      <c r="AF2815" s="111">
        <f t="shared" si="624"/>
        <v>1267.365</v>
      </c>
      <c r="AG2815" s="110"/>
      <c r="AH2815" s="110"/>
      <c r="AI2815" s="110"/>
      <c r="AJ2815" s="110"/>
      <c r="AK2815" s="111">
        <f t="shared" si="633"/>
        <v>5069.46</v>
      </c>
      <c r="AL2815" s="446">
        <f t="shared" si="634"/>
        <v>0</v>
      </c>
      <c r="AM2815" s="110">
        <f t="shared" si="635"/>
        <v>3</v>
      </c>
      <c r="AN2815" s="447">
        <f t="shared" si="626"/>
        <v>0</v>
      </c>
      <c r="AO2815"/>
      <c r="AP2815"/>
    </row>
    <row r="2816" spans="1:42" ht="66" x14ac:dyDescent="0.25">
      <c r="A2816" s="9"/>
      <c r="B2816" s="146" t="s">
        <v>2404</v>
      </c>
      <c r="C2816" s="1024"/>
      <c r="D2816" s="922">
        <v>5</v>
      </c>
      <c r="E2816" s="258" t="s">
        <v>1722</v>
      </c>
      <c r="F2816" s="273" t="s">
        <v>3446</v>
      </c>
      <c r="G2816" s="1040" t="s">
        <v>3463</v>
      </c>
      <c r="H2816" s="273" t="s">
        <v>3462</v>
      </c>
      <c r="I2816" s="720">
        <f t="shared" si="636"/>
        <v>52.44</v>
      </c>
      <c r="J2816" s="805">
        <v>262.2</v>
      </c>
      <c r="K2816" s="131">
        <f t="shared" si="625"/>
        <v>262.2</v>
      </c>
      <c r="L2816" s="335">
        <f t="shared" si="632"/>
        <v>0</v>
      </c>
      <c r="M2816" s="446"/>
      <c r="N2816" s="446"/>
      <c r="O2816" s="446"/>
      <c r="P2816" s="446"/>
      <c r="Q2816" s="110">
        <v>2</v>
      </c>
      <c r="R2816" s="111">
        <f t="shared" si="630"/>
        <v>65.55</v>
      </c>
      <c r="S2816" s="110"/>
      <c r="T2816" s="110"/>
      <c r="U2816" s="110">
        <v>1</v>
      </c>
      <c r="V2816" s="111">
        <f t="shared" si="631"/>
        <v>65.55</v>
      </c>
      <c r="W2816" s="110"/>
      <c r="X2816" s="110"/>
      <c r="Y2816" s="110"/>
      <c r="Z2816" s="110"/>
      <c r="AA2816" s="110">
        <v>1</v>
      </c>
      <c r="AB2816" s="111">
        <f t="shared" si="623"/>
        <v>65.55</v>
      </c>
      <c r="AC2816" s="110"/>
      <c r="AD2816" s="110"/>
      <c r="AE2816" s="110">
        <v>1</v>
      </c>
      <c r="AF2816" s="111">
        <f t="shared" si="624"/>
        <v>65.55</v>
      </c>
      <c r="AG2816" s="110"/>
      <c r="AH2816" s="110"/>
      <c r="AI2816" s="110"/>
      <c r="AJ2816" s="110"/>
      <c r="AK2816" s="111">
        <f t="shared" si="633"/>
        <v>262.2</v>
      </c>
      <c r="AL2816" s="446">
        <f t="shared" si="634"/>
        <v>0</v>
      </c>
      <c r="AM2816" s="110">
        <f t="shared" si="635"/>
        <v>5</v>
      </c>
      <c r="AN2816" s="447">
        <f t="shared" si="626"/>
        <v>0</v>
      </c>
      <c r="AO2816"/>
      <c r="AP2816"/>
    </row>
    <row r="2817" spans="1:42" ht="66" x14ac:dyDescent="0.25">
      <c r="A2817" s="9"/>
      <c r="B2817" s="146" t="s">
        <v>2405</v>
      </c>
      <c r="C2817" s="1024"/>
      <c r="D2817" s="922">
        <v>5</v>
      </c>
      <c r="E2817" s="258" t="s">
        <v>1722</v>
      </c>
      <c r="F2817" s="273" t="s">
        <v>3446</v>
      </c>
      <c r="G2817" s="1040" t="s">
        <v>3463</v>
      </c>
      <c r="H2817" s="273" t="s">
        <v>3462</v>
      </c>
      <c r="I2817" s="720">
        <f t="shared" si="636"/>
        <v>45.06</v>
      </c>
      <c r="J2817" s="805">
        <v>225.3</v>
      </c>
      <c r="K2817" s="131">
        <f t="shared" si="625"/>
        <v>225.3</v>
      </c>
      <c r="L2817" s="335">
        <f t="shared" si="632"/>
        <v>0</v>
      </c>
      <c r="M2817" s="446"/>
      <c r="N2817" s="446"/>
      <c r="O2817" s="446"/>
      <c r="P2817" s="446"/>
      <c r="Q2817" s="110">
        <v>2</v>
      </c>
      <c r="R2817" s="111">
        <f t="shared" si="630"/>
        <v>56.325000000000003</v>
      </c>
      <c r="S2817" s="110"/>
      <c r="T2817" s="110"/>
      <c r="U2817" s="110">
        <v>1</v>
      </c>
      <c r="V2817" s="111">
        <f t="shared" si="631"/>
        <v>56.325000000000003</v>
      </c>
      <c r="W2817" s="110"/>
      <c r="X2817" s="110"/>
      <c r="Y2817" s="110"/>
      <c r="Z2817" s="110"/>
      <c r="AA2817" s="110">
        <v>1</v>
      </c>
      <c r="AB2817" s="111">
        <f t="shared" si="623"/>
        <v>56.325000000000003</v>
      </c>
      <c r="AC2817" s="110"/>
      <c r="AD2817" s="110"/>
      <c r="AE2817" s="110">
        <v>1</v>
      </c>
      <c r="AF2817" s="111">
        <f t="shared" si="624"/>
        <v>56.325000000000003</v>
      </c>
      <c r="AG2817" s="110"/>
      <c r="AH2817" s="110"/>
      <c r="AI2817" s="110"/>
      <c r="AJ2817" s="110"/>
      <c r="AK2817" s="111">
        <f t="shared" si="633"/>
        <v>225.3</v>
      </c>
      <c r="AL2817" s="446">
        <f t="shared" si="634"/>
        <v>0</v>
      </c>
      <c r="AM2817" s="110">
        <f t="shared" si="635"/>
        <v>5</v>
      </c>
      <c r="AN2817" s="447">
        <f t="shared" si="626"/>
        <v>0</v>
      </c>
      <c r="AO2817"/>
      <c r="AP2817"/>
    </row>
    <row r="2818" spans="1:42" ht="66" x14ac:dyDescent="0.25">
      <c r="A2818" s="9"/>
      <c r="B2818" s="146" t="s">
        <v>2406</v>
      </c>
      <c r="C2818" s="1024"/>
      <c r="D2818" s="922">
        <v>5</v>
      </c>
      <c r="E2818" s="258" t="s">
        <v>1873</v>
      </c>
      <c r="F2818" s="273" t="s">
        <v>3446</v>
      </c>
      <c r="G2818" s="1040" t="s">
        <v>3463</v>
      </c>
      <c r="H2818" s="273" t="s">
        <v>3462</v>
      </c>
      <c r="I2818" s="720">
        <f t="shared" si="636"/>
        <v>49.94</v>
      </c>
      <c r="J2818" s="805">
        <v>249.7</v>
      </c>
      <c r="K2818" s="131">
        <f t="shared" si="625"/>
        <v>249.7</v>
      </c>
      <c r="L2818" s="335">
        <f t="shared" si="632"/>
        <v>0</v>
      </c>
      <c r="M2818" s="446"/>
      <c r="N2818" s="446"/>
      <c r="O2818" s="446"/>
      <c r="P2818" s="446"/>
      <c r="Q2818" s="110">
        <v>2</v>
      </c>
      <c r="R2818" s="111">
        <f t="shared" si="630"/>
        <v>62.424999999999997</v>
      </c>
      <c r="S2818" s="110"/>
      <c r="T2818" s="110"/>
      <c r="U2818" s="110">
        <v>1</v>
      </c>
      <c r="V2818" s="111">
        <f t="shared" si="631"/>
        <v>62.424999999999997</v>
      </c>
      <c r="W2818" s="110"/>
      <c r="X2818" s="110"/>
      <c r="Y2818" s="110"/>
      <c r="Z2818" s="110"/>
      <c r="AA2818" s="110">
        <v>1</v>
      </c>
      <c r="AB2818" s="111">
        <f t="shared" si="623"/>
        <v>62.424999999999997</v>
      </c>
      <c r="AC2818" s="110"/>
      <c r="AD2818" s="110"/>
      <c r="AE2818" s="110">
        <v>1</v>
      </c>
      <c r="AF2818" s="111">
        <f t="shared" si="624"/>
        <v>62.424999999999997</v>
      </c>
      <c r="AG2818" s="110"/>
      <c r="AH2818" s="110"/>
      <c r="AI2818" s="110"/>
      <c r="AJ2818" s="110"/>
      <c r="AK2818" s="111">
        <f t="shared" si="633"/>
        <v>249.7</v>
      </c>
      <c r="AL2818" s="446">
        <f t="shared" si="634"/>
        <v>0</v>
      </c>
      <c r="AM2818" s="110">
        <f t="shared" si="635"/>
        <v>5</v>
      </c>
      <c r="AN2818" s="447">
        <f t="shared" si="626"/>
        <v>0</v>
      </c>
      <c r="AO2818"/>
      <c r="AP2818"/>
    </row>
    <row r="2819" spans="1:42" ht="66" x14ac:dyDescent="0.25">
      <c r="A2819" s="9"/>
      <c r="B2819" s="146" t="s">
        <v>2320</v>
      </c>
      <c r="C2819" s="1024"/>
      <c r="D2819" s="923">
        <v>2</v>
      </c>
      <c r="E2819" s="221" t="s">
        <v>1721</v>
      </c>
      <c r="F2819" s="273" t="s">
        <v>3446</v>
      </c>
      <c r="G2819" s="1040" t="s">
        <v>3463</v>
      </c>
      <c r="H2819" s="273" t="s">
        <v>3462</v>
      </c>
      <c r="I2819" s="720">
        <f t="shared" si="636"/>
        <v>83.13</v>
      </c>
      <c r="J2819" s="805">
        <v>166.26</v>
      </c>
      <c r="K2819" s="131">
        <f t="shared" si="625"/>
        <v>166.26</v>
      </c>
      <c r="L2819" s="335">
        <f t="shared" si="632"/>
        <v>0</v>
      </c>
      <c r="M2819" s="446"/>
      <c r="N2819" s="446"/>
      <c r="O2819" s="446"/>
      <c r="P2819" s="446"/>
      <c r="Q2819" s="130">
        <v>1</v>
      </c>
      <c r="R2819" s="111">
        <f t="shared" si="630"/>
        <v>41.564999999999998</v>
      </c>
      <c r="S2819" s="110"/>
      <c r="T2819" s="110"/>
      <c r="U2819" s="130">
        <v>1</v>
      </c>
      <c r="V2819" s="111">
        <f t="shared" si="631"/>
        <v>41.564999999999998</v>
      </c>
      <c r="W2819" s="110"/>
      <c r="X2819" s="110"/>
      <c r="Y2819" s="110"/>
      <c r="Z2819" s="110"/>
      <c r="AA2819" s="130">
        <v>0</v>
      </c>
      <c r="AB2819" s="111">
        <f t="shared" si="623"/>
        <v>41.564999999999998</v>
      </c>
      <c r="AC2819" s="110"/>
      <c r="AD2819" s="110"/>
      <c r="AE2819" s="130">
        <v>0</v>
      </c>
      <c r="AF2819" s="111">
        <f t="shared" si="624"/>
        <v>41.564999999999998</v>
      </c>
      <c r="AG2819" s="110"/>
      <c r="AH2819" s="110"/>
      <c r="AI2819" s="110"/>
      <c r="AJ2819" s="110"/>
      <c r="AK2819" s="111">
        <f t="shared" si="633"/>
        <v>166.26</v>
      </c>
      <c r="AL2819" s="446">
        <f t="shared" si="634"/>
        <v>0</v>
      </c>
      <c r="AM2819" s="110">
        <f t="shared" si="635"/>
        <v>2</v>
      </c>
      <c r="AN2819" s="447">
        <f t="shared" si="626"/>
        <v>0</v>
      </c>
      <c r="AO2819"/>
      <c r="AP2819"/>
    </row>
    <row r="2820" spans="1:42" ht="66" x14ac:dyDescent="0.25">
      <c r="A2820" s="9"/>
      <c r="B2820" s="146" t="s">
        <v>2407</v>
      </c>
      <c r="C2820" s="1024"/>
      <c r="D2820" s="922">
        <v>1</v>
      </c>
      <c r="E2820" s="258" t="s">
        <v>1721</v>
      </c>
      <c r="F2820" s="273" t="s">
        <v>3446</v>
      </c>
      <c r="G2820" s="1040" t="s">
        <v>3463</v>
      </c>
      <c r="H2820" s="273" t="s">
        <v>3462</v>
      </c>
      <c r="I2820" s="720">
        <f t="shared" si="636"/>
        <v>274.49</v>
      </c>
      <c r="J2820" s="805">
        <v>274.49</v>
      </c>
      <c r="K2820" s="131">
        <f t="shared" si="625"/>
        <v>274.49</v>
      </c>
      <c r="L2820" s="335">
        <f t="shared" si="632"/>
        <v>0</v>
      </c>
      <c r="M2820" s="446"/>
      <c r="N2820" s="446"/>
      <c r="O2820" s="446"/>
      <c r="P2820" s="446"/>
      <c r="Q2820" s="110">
        <v>1</v>
      </c>
      <c r="R2820" s="111">
        <f t="shared" si="630"/>
        <v>68.622500000000002</v>
      </c>
      <c r="S2820" s="110"/>
      <c r="T2820" s="110"/>
      <c r="U2820" s="110">
        <v>0</v>
      </c>
      <c r="V2820" s="111">
        <f t="shared" si="631"/>
        <v>68.622500000000002</v>
      </c>
      <c r="W2820" s="110"/>
      <c r="X2820" s="110"/>
      <c r="Y2820" s="110"/>
      <c r="Z2820" s="110"/>
      <c r="AA2820" s="110">
        <v>0</v>
      </c>
      <c r="AB2820" s="111">
        <f t="shared" si="623"/>
        <v>68.622500000000002</v>
      </c>
      <c r="AC2820" s="110"/>
      <c r="AD2820" s="110"/>
      <c r="AE2820" s="110">
        <v>0</v>
      </c>
      <c r="AF2820" s="111">
        <f t="shared" si="624"/>
        <v>68.622500000000002</v>
      </c>
      <c r="AG2820" s="110"/>
      <c r="AH2820" s="110"/>
      <c r="AI2820" s="110"/>
      <c r="AJ2820" s="110"/>
      <c r="AK2820" s="111">
        <f t="shared" si="633"/>
        <v>274.49</v>
      </c>
      <c r="AL2820" s="446">
        <f t="shared" si="634"/>
        <v>0</v>
      </c>
      <c r="AM2820" s="110">
        <f t="shared" si="635"/>
        <v>1</v>
      </c>
      <c r="AN2820" s="447">
        <f t="shared" si="626"/>
        <v>0</v>
      </c>
      <c r="AO2820"/>
      <c r="AP2820"/>
    </row>
    <row r="2821" spans="1:42" ht="66" x14ac:dyDescent="0.25">
      <c r="A2821" s="9"/>
      <c r="B2821" s="146" t="s">
        <v>2408</v>
      </c>
      <c r="C2821" s="1024"/>
      <c r="D2821" s="922">
        <v>1</v>
      </c>
      <c r="E2821" s="258" t="s">
        <v>1722</v>
      </c>
      <c r="F2821" s="273" t="s">
        <v>3446</v>
      </c>
      <c r="G2821" s="1040" t="s">
        <v>3463</v>
      </c>
      <c r="H2821" s="273" t="s">
        <v>3462</v>
      </c>
      <c r="I2821" s="720">
        <f t="shared" si="636"/>
        <v>120</v>
      </c>
      <c r="J2821" s="805">
        <v>120</v>
      </c>
      <c r="K2821" s="131">
        <f t="shared" si="625"/>
        <v>120</v>
      </c>
      <c r="L2821" s="335">
        <f t="shared" si="632"/>
        <v>0</v>
      </c>
      <c r="M2821" s="446"/>
      <c r="N2821" s="446"/>
      <c r="O2821" s="446"/>
      <c r="P2821" s="446"/>
      <c r="Q2821" s="110">
        <v>1</v>
      </c>
      <c r="R2821" s="111">
        <f t="shared" si="630"/>
        <v>30</v>
      </c>
      <c r="S2821" s="110"/>
      <c r="T2821" s="110"/>
      <c r="U2821" s="110">
        <v>0</v>
      </c>
      <c r="V2821" s="111">
        <f t="shared" si="631"/>
        <v>30</v>
      </c>
      <c r="W2821" s="110"/>
      <c r="X2821" s="110"/>
      <c r="Y2821" s="110"/>
      <c r="Z2821" s="110"/>
      <c r="AA2821" s="110">
        <v>0</v>
      </c>
      <c r="AB2821" s="111">
        <f t="shared" si="623"/>
        <v>30</v>
      </c>
      <c r="AC2821" s="110"/>
      <c r="AD2821" s="110"/>
      <c r="AE2821" s="110">
        <v>0</v>
      </c>
      <c r="AF2821" s="111">
        <f t="shared" si="624"/>
        <v>30</v>
      </c>
      <c r="AG2821" s="110"/>
      <c r="AH2821" s="110"/>
      <c r="AI2821" s="110"/>
      <c r="AJ2821" s="110"/>
      <c r="AK2821" s="111">
        <f t="shared" si="633"/>
        <v>120</v>
      </c>
      <c r="AL2821" s="446">
        <f t="shared" si="634"/>
        <v>0</v>
      </c>
      <c r="AM2821" s="110">
        <f t="shared" si="635"/>
        <v>1</v>
      </c>
      <c r="AN2821" s="447">
        <f t="shared" si="626"/>
        <v>0</v>
      </c>
      <c r="AO2821"/>
      <c r="AP2821"/>
    </row>
    <row r="2822" spans="1:42" ht="66" x14ac:dyDescent="0.25">
      <c r="A2822" s="9"/>
      <c r="B2822" s="146" t="s">
        <v>2409</v>
      </c>
      <c r="C2822" s="1024"/>
      <c r="D2822" s="922">
        <v>5</v>
      </c>
      <c r="E2822" s="258" t="s">
        <v>1721</v>
      </c>
      <c r="F2822" s="273" t="s">
        <v>3446</v>
      </c>
      <c r="G2822" s="1040" t="s">
        <v>3463</v>
      </c>
      <c r="H2822" s="273" t="s">
        <v>3462</v>
      </c>
      <c r="I2822" s="720">
        <f t="shared" si="636"/>
        <v>150</v>
      </c>
      <c r="J2822" s="805">
        <v>750</v>
      </c>
      <c r="K2822" s="131">
        <f t="shared" si="625"/>
        <v>750</v>
      </c>
      <c r="L2822" s="335">
        <f t="shared" si="632"/>
        <v>0</v>
      </c>
      <c r="M2822" s="446"/>
      <c r="N2822" s="446"/>
      <c r="O2822" s="446"/>
      <c r="P2822" s="446"/>
      <c r="Q2822" s="110">
        <v>2</v>
      </c>
      <c r="R2822" s="111">
        <f t="shared" si="630"/>
        <v>187.5</v>
      </c>
      <c r="S2822" s="110"/>
      <c r="T2822" s="110"/>
      <c r="U2822" s="110">
        <v>1</v>
      </c>
      <c r="V2822" s="111">
        <f t="shared" si="631"/>
        <v>187.5</v>
      </c>
      <c r="W2822" s="110"/>
      <c r="X2822" s="110"/>
      <c r="Y2822" s="110"/>
      <c r="Z2822" s="110"/>
      <c r="AA2822" s="110">
        <v>1</v>
      </c>
      <c r="AB2822" s="111">
        <f t="shared" si="623"/>
        <v>187.5</v>
      </c>
      <c r="AC2822" s="110"/>
      <c r="AD2822" s="110"/>
      <c r="AE2822" s="110">
        <v>1</v>
      </c>
      <c r="AF2822" s="111">
        <f t="shared" si="624"/>
        <v>187.5</v>
      </c>
      <c r="AG2822" s="110"/>
      <c r="AH2822" s="110"/>
      <c r="AI2822" s="110"/>
      <c r="AJ2822" s="110"/>
      <c r="AK2822" s="111">
        <f t="shared" si="633"/>
        <v>750</v>
      </c>
      <c r="AL2822" s="446">
        <f t="shared" si="634"/>
        <v>0</v>
      </c>
      <c r="AM2822" s="110">
        <f t="shared" si="635"/>
        <v>5</v>
      </c>
      <c r="AN2822" s="447">
        <f t="shared" si="626"/>
        <v>0</v>
      </c>
      <c r="AO2822"/>
      <c r="AP2822"/>
    </row>
    <row r="2823" spans="1:42" ht="66" x14ac:dyDescent="0.25">
      <c r="A2823" s="9"/>
      <c r="B2823" s="146" t="s">
        <v>2410</v>
      </c>
      <c r="C2823" s="1024"/>
      <c r="D2823" s="922">
        <v>20</v>
      </c>
      <c r="E2823" s="258" t="s">
        <v>1721</v>
      </c>
      <c r="F2823" s="273" t="s">
        <v>3446</v>
      </c>
      <c r="G2823" s="1040" t="s">
        <v>3463</v>
      </c>
      <c r="H2823" s="273" t="s">
        <v>3462</v>
      </c>
      <c r="I2823" s="720">
        <f t="shared" si="636"/>
        <v>57.83</v>
      </c>
      <c r="J2823" s="805">
        <v>1156.5999999999999</v>
      </c>
      <c r="K2823" s="131">
        <f t="shared" si="625"/>
        <v>1156.5999999999999</v>
      </c>
      <c r="L2823" s="335">
        <f t="shared" si="632"/>
        <v>0</v>
      </c>
      <c r="M2823" s="446"/>
      <c r="N2823" s="446"/>
      <c r="O2823" s="446"/>
      <c r="P2823" s="446"/>
      <c r="Q2823" s="110">
        <f t="shared" si="627"/>
        <v>5</v>
      </c>
      <c r="R2823" s="111">
        <f t="shared" si="630"/>
        <v>289.14999999999998</v>
      </c>
      <c r="S2823" s="110"/>
      <c r="T2823" s="110"/>
      <c r="U2823" s="110">
        <f t="shared" si="628"/>
        <v>5</v>
      </c>
      <c r="V2823" s="111">
        <f t="shared" si="631"/>
        <v>289.14999999999998</v>
      </c>
      <c r="W2823" s="110"/>
      <c r="X2823" s="110"/>
      <c r="Y2823" s="110"/>
      <c r="Z2823" s="110"/>
      <c r="AA2823" s="110">
        <f t="shared" si="629"/>
        <v>5</v>
      </c>
      <c r="AB2823" s="111">
        <f t="shared" ref="AB2823:AB2886" si="637">+J2823/4</f>
        <v>289.14999999999998</v>
      </c>
      <c r="AC2823" s="110"/>
      <c r="AD2823" s="110"/>
      <c r="AE2823" s="110">
        <f t="shared" si="629"/>
        <v>5</v>
      </c>
      <c r="AF2823" s="111">
        <f t="shared" ref="AF2823:AF2886" si="638">+J2823/4</f>
        <v>289.14999999999998</v>
      </c>
      <c r="AG2823" s="110"/>
      <c r="AH2823" s="110"/>
      <c r="AI2823" s="110"/>
      <c r="AJ2823" s="110"/>
      <c r="AK2823" s="111">
        <f t="shared" si="633"/>
        <v>1156.5999999999999</v>
      </c>
      <c r="AL2823" s="446">
        <f t="shared" si="634"/>
        <v>0</v>
      </c>
      <c r="AM2823" s="110">
        <f t="shared" si="635"/>
        <v>20</v>
      </c>
      <c r="AN2823" s="447">
        <f t="shared" si="626"/>
        <v>0</v>
      </c>
      <c r="AO2823"/>
      <c r="AP2823"/>
    </row>
    <row r="2824" spans="1:42" ht="66" x14ac:dyDescent="0.25">
      <c r="A2824" s="9"/>
      <c r="B2824" s="146" t="s">
        <v>2411</v>
      </c>
      <c r="C2824" s="1024"/>
      <c r="D2824" s="922">
        <v>5</v>
      </c>
      <c r="E2824" s="258" t="s">
        <v>1721</v>
      </c>
      <c r="F2824" s="273" t="s">
        <v>3446</v>
      </c>
      <c r="G2824" s="1040" t="s">
        <v>3463</v>
      </c>
      <c r="H2824" s="273" t="s">
        <v>3462</v>
      </c>
      <c r="I2824" s="720">
        <f t="shared" si="636"/>
        <v>176.1</v>
      </c>
      <c r="J2824" s="805">
        <v>880.5</v>
      </c>
      <c r="K2824" s="131">
        <f t="shared" si="625"/>
        <v>880.5</v>
      </c>
      <c r="L2824" s="335">
        <f t="shared" si="632"/>
        <v>0</v>
      </c>
      <c r="M2824" s="446"/>
      <c r="N2824" s="446"/>
      <c r="O2824" s="446"/>
      <c r="P2824" s="446"/>
      <c r="Q2824" s="110">
        <v>2</v>
      </c>
      <c r="R2824" s="111">
        <f t="shared" si="630"/>
        <v>220.125</v>
      </c>
      <c r="S2824" s="110"/>
      <c r="T2824" s="110"/>
      <c r="U2824" s="110">
        <v>1</v>
      </c>
      <c r="V2824" s="111">
        <f t="shared" si="631"/>
        <v>220.125</v>
      </c>
      <c r="W2824" s="110"/>
      <c r="X2824" s="110"/>
      <c r="Y2824" s="110"/>
      <c r="Z2824" s="110"/>
      <c r="AA2824" s="110">
        <v>1</v>
      </c>
      <c r="AB2824" s="111">
        <f t="shared" si="637"/>
        <v>220.125</v>
      </c>
      <c r="AC2824" s="110"/>
      <c r="AD2824" s="110"/>
      <c r="AE2824" s="110">
        <v>1</v>
      </c>
      <c r="AF2824" s="111">
        <f t="shared" si="638"/>
        <v>220.125</v>
      </c>
      <c r="AG2824" s="110"/>
      <c r="AH2824" s="110"/>
      <c r="AI2824" s="110"/>
      <c r="AJ2824" s="110"/>
      <c r="AK2824" s="111">
        <f t="shared" si="633"/>
        <v>880.5</v>
      </c>
      <c r="AL2824" s="446">
        <f t="shared" si="634"/>
        <v>0</v>
      </c>
      <c r="AM2824" s="110">
        <f t="shared" si="635"/>
        <v>5</v>
      </c>
      <c r="AN2824" s="447">
        <f t="shared" si="626"/>
        <v>0</v>
      </c>
      <c r="AO2824"/>
      <c r="AP2824"/>
    </row>
    <row r="2825" spans="1:42" ht="66" x14ac:dyDescent="0.25">
      <c r="A2825" s="9"/>
      <c r="B2825" s="146" t="s">
        <v>2412</v>
      </c>
      <c r="C2825" s="1024"/>
      <c r="D2825" s="922">
        <v>3</v>
      </c>
      <c r="E2825" s="258" t="s">
        <v>1721</v>
      </c>
      <c r="F2825" s="273" t="s">
        <v>3446</v>
      </c>
      <c r="G2825" s="1040" t="s">
        <v>3463</v>
      </c>
      <c r="H2825" s="273" t="s">
        <v>3462</v>
      </c>
      <c r="I2825" s="720">
        <f t="shared" si="636"/>
        <v>141.41</v>
      </c>
      <c r="J2825" s="805">
        <v>424.23</v>
      </c>
      <c r="K2825" s="131">
        <f t="shared" si="625"/>
        <v>424.23</v>
      </c>
      <c r="L2825" s="335">
        <f t="shared" si="632"/>
        <v>0</v>
      </c>
      <c r="M2825" s="446"/>
      <c r="N2825" s="446"/>
      <c r="O2825" s="446"/>
      <c r="P2825" s="446"/>
      <c r="Q2825" s="130">
        <v>1</v>
      </c>
      <c r="R2825" s="111">
        <f t="shared" si="630"/>
        <v>106.0575</v>
      </c>
      <c r="S2825" s="110"/>
      <c r="T2825" s="110"/>
      <c r="U2825" s="130">
        <v>1</v>
      </c>
      <c r="V2825" s="111">
        <f t="shared" si="631"/>
        <v>106.0575</v>
      </c>
      <c r="W2825" s="110"/>
      <c r="X2825" s="110"/>
      <c r="Y2825" s="110"/>
      <c r="Z2825" s="110"/>
      <c r="AA2825" s="130">
        <v>1</v>
      </c>
      <c r="AB2825" s="111">
        <f t="shared" si="637"/>
        <v>106.0575</v>
      </c>
      <c r="AC2825" s="110"/>
      <c r="AD2825" s="110"/>
      <c r="AE2825" s="130">
        <v>0</v>
      </c>
      <c r="AF2825" s="111">
        <f t="shared" si="638"/>
        <v>106.0575</v>
      </c>
      <c r="AG2825" s="110"/>
      <c r="AH2825" s="110"/>
      <c r="AI2825" s="110"/>
      <c r="AJ2825" s="110"/>
      <c r="AK2825" s="111">
        <f t="shared" si="633"/>
        <v>424.23</v>
      </c>
      <c r="AL2825" s="446">
        <f t="shared" si="634"/>
        <v>0</v>
      </c>
      <c r="AM2825" s="110">
        <f t="shared" si="635"/>
        <v>3</v>
      </c>
      <c r="AN2825" s="447">
        <f t="shared" si="626"/>
        <v>0</v>
      </c>
      <c r="AO2825"/>
      <c r="AP2825"/>
    </row>
    <row r="2826" spans="1:42" ht="66" x14ac:dyDescent="0.25">
      <c r="A2826" s="9"/>
      <c r="B2826" s="146" t="s">
        <v>2413</v>
      </c>
      <c r="C2826" s="1024"/>
      <c r="D2826" s="922">
        <v>4</v>
      </c>
      <c r="E2826" s="258" t="s">
        <v>1721</v>
      </c>
      <c r="F2826" s="273" t="s">
        <v>3446</v>
      </c>
      <c r="G2826" s="1040" t="s">
        <v>3463</v>
      </c>
      <c r="H2826" s="273" t="s">
        <v>3462</v>
      </c>
      <c r="I2826" s="720">
        <f t="shared" si="636"/>
        <v>215.6</v>
      </c>
      <c r="J2826" s="805">
        <v>862.4</v>
      </c>
      <c r="K2826" s="131">
        <f t="shared" si="625"/>
        <v>862.4</v>
      </c>
      <c r="L2826" s="335">
        <f t="shared" si="632"/>
        <v>0</v>
      </c>
      <c r="M2826" s="446"/>
      <c r="N2826" s="446"/>
      <c r="O2826" s="446"/>
      <c r="P2826" s="446"/>
      <c r="Q2826" s="110">
        <f t="shared" si="627"/>
        <v>1</v>
      </c>
      <c r="R2826" s="111">
        <f t="shared" si="630"/>
        <v>215.6</v>
      </c>
      <c r="S2826" s="110"/>
      <c r="T2826" s="110"/>
      <c r="U2826" s="110">
        <f t="shared" si="628"/>
        <v>1</v>
      </c>
      <c r="V2826" s="111">
        <f t="shared" si="631"/>
        <v>215.6</v>
      </c>
      <c r="W2826" s="110"/>
      <c r="X2826" s="110"/>
      <c r="Y2826" s="110"/>
      <c r="Z2826" s="110"/>
      <c r="AA2826" s="110">
        <f t="shared" si="629"/>
        <v>1</v>
      </c>
      <c r="AB2826" s="111">
        <f t="shared" si="637"/>
        <v>215.6</v>
      </c>
      <c r="AC2826" s="110"/>
      <c r="AD2826" s="110"/>
      <c r="AE2826" s="110">
        <f t="shared" si="629"/>
        <v>1</v>
      </c>
      <c r="AF2826" s="111">
        <f t="shared" si="638"/>
        <v>215.6</v>
      </c>
      <c r="AG2826" s="110"/>
      <c r="AH2826" s="110"/>
      <c r="AI2826" s="110"/>
      <c r="AJ2826" s="110"/>
      <c r="AK2826" s="111">
        <f t="shared" si="633"/>
        <v>862.4</v>
      </c>
      <c r="AL2826" s="446">
        <f t="shared" si="634"/>
        <v>0</v>
      </c>
      <c r="AM2826" s="110">
        <f t="shared" si="635"/>
        <v>4</v>
      </c>
      <c r="AN2826" s="447">
        <f t="shared" si="626"/>
        <v>0</v>
      </c>
      <c r="AO2826"/>
      <c r="AP2826"/>
    </row>
    <row r="2827" spans="1:42" ht="66" x14ac:dyDescent="0.25">
      <c r="A2827" s="9"/>
      <c r="B2827" s="146" t="s">
        <v>2414</v>
      </c>
      <c r="C2827" s="1024"/>
      <c r="D2827" s="922">
        <v>3</v>
      </c>
      <c r="E2827" s="258" t="s">
        <v>1721</v>
      </c>
      <c r="F2827" s="273" t="s">
        <v>3446</v>
      </c>
      <c r="G2827" s="1040" t="s">
        <v>3463</v>
      </c>
      <c r="H2827" s="273" t="s">
        <v>3462</v>
      </c>
      <c r="I2827" s="720">
        <f t="shared" si="636"/>
        <v>207.9</v>
      </c>
      <c r="J2827" s="805">
        <v>623.70000000000005</v>
      </c>
      <c r="K2827" s="131">
        <f t="shared" si="625"/>
        <v>623.70000000000005</v>
      </c>
      <c r="L2827" s="335">
        <f t="shared" si="632"/>
        <v>0</v>
      </c>
      <c r="M2827" s="446"/>
      <c r="N2827" s="446"/>
      <c r="O2827" s="446"/>
      <c r="P2827" s="446"/>
      <c r="Q2827" s="130">
        <v>1</v>
      </c>
      <c r="R2827" s="111">
        <f t="shared" si="630"/>
        <v>155.92500000000001</v>
      </c>
      <c r="S2827" s="110"/>
      <c r="T2827" s="110"/>
      <c r="U2827" s="130">
        <v>1</v>
      </c>
      <c r="V2827" s="111">
        <f t="shared" si="631"/>
        <v>155.92500000000001</v>
      </c>
      <c r="W2827" s="110"/>
      <c r="X2827" s="110"/>
      <c r="Y2827" s="110"/>
      <c r="Z2827" s="110"/>
      <c r="AA2827" s="130">
        <v>1</v>
      </c>
      <c r="AB2827" s="111">
        <f t="shared" si="637"/>
        <v>155.92500000000001</v>
      </c>
      <c r="AC2827" s="110"/>
      <c r="AD2827" s="110"/>
      <c r="AE2827" s="130">
        <v>0</v>
      </c>
      <c r="AF2827" s="111">
        <f t="shared" si="638"/>
        <v>155.92500000000001</v>
      </c>
      <c r="AG2827" s="110"/>
      <c r="AH2827" s="110"/>
      <c r="AI2827" s="110"/>
      <c r="AJ2827" s="110"/>
      <c r="AK2827" s="111">
        <f t="shared" si="633"/>
        <v>623.70000000000005</v>
      </c>
      <c r="AL2827" s="446">
        <f t="shared" si="634"/>
        <v>0</v>
      </c>
      <c r="AM2827" s="110">
        <f t="shared" si="635"/>
        <v>3</v>
      </c>
      <c r="AN2827" s="447">
        <f t="shared" si="626"/>
        <v>0</v>
      </c>
      <c r="AO2827"/>
      <c r="AP2827"/>
    </row>
    <row r="2828" spans="1:42" ht="66" x14ac:dyDescent="0.25">
      <c r="A2828" s="9"/>
      <c r="B2828" s="146" t="s">
        <v>2415</v>
      </c>
      <c r="C2828" s="1024"/>
      <c r="D2828" s="922">
        <v>6</v>
      </c>
      <c r="E2828" s="258" t="s">
        <v>1721</v>
      </c>
      <c r="F2828" s="273" t="s">
        <v>3446</v>
      </c>
      <c r="G2828" s="1040" t="s">
        <v>3463</v>
      </c>
      <c r="H2828" s="273" t="s">
        <v>3462</v>
      </c>
      <c r="I2828" s="720">
        <f t="shared" si="636"/>
        <v>91.2</v>
      </c>
      <c r="J2828" s="805">
        <v>547.20000000000005</v>
      </c>
      <c r="K2828" s="131">
        <f t="shared" si="625"/>
        <v>547.20000000000005</v>
      </c>
      <c r="L2828" s="335">
        <f t="shared" si="632"/>
        <v>0</v>
      </c>
      <c r="M2828" s="446"/>
      <c r="N2828" s="446"/>
      <c r="O2828" s="446"/>
      <c r="P2828" s="446"/>
      <c r="Q2828" s="130">
        <v>2</v>
      </c>
      <c r="R2828" s="111">
        <f t="shared" si="630"/>
        <v>136.80000000000001</v>
      </c>
      <c r="S2828" s="110"/>
      <c r="T2828" s="110"/>
      <c r="U2828" s="130">
        <v>2</v>
      </c>
      <c r="V2828" s="111">
        <f t="shared" si="631"/>
        <v>136.80000000000001</v>
      </c>
      <c r="W2828" s="110"/>
      <c r="X2828" s="110"/>
      <c r="Y2828" s="110"/>
      <c r="Z2828" s="110"/>
      <c r="AA2828" s="130">
        <v>1</v>
      </c>
      <c r="AB2828" s="111">
        <f t="shared" si="637"/>
        <v>136.80000000000001</v>
      </c>
      <c r="AC2828" s="110"/>
      <c r="AD2828" s="110"/>
      <c r="AE2828" s="130">
        <v>1</v>
      </c>
      <c r="AF2828" s="111">
        <f t="shared" si="638"/>
        <v>136.80000000000001</v>
      </c>
      <c r="AG2828" s="110"/>
      <c r="AH2828" s="110"/>
      <c r="AI2828" s="110"/>
      <c r="AJ2828" s="110"/>
      <c r="AK2828" s="111">
        <f t="shared" si="633"/>
        <v>547.20000000000005</v>
      </c>
      <c r="AL2828" s="446">
        <f t="shared" si="634"/>
        <v>0</v>
      </c>
      <c r="AM2828" s="110">
        <f t="shared" si="635"/>
        <v>6</v>
      </c>
      <c r="AN2828" s="447">
        <f t="shared" si="626"/>
        <v>0</v>
      </c>
      <c r="AO2828"/>
      <c r="AP2828"/>
    </row>
    <row r="2829" spans="1:42" ht="66" x14ac:dyDescent="0.25">
      <c r="A2829" s="9"/>
      <c r="B2829" s="146" t="s">
        <v>2416</v>
      </c>
      <c r="C2829" s="1024"/>
      <c r="D2829" s="922">
        <v>20</v>
      </c>
      <c r="E2829" s="258" t="s">
        <v>1721</v>
      </c>
      <c r="F2829" s="273" t="s">
        <v>3446</v>
      </c>
      <c r="G2829" s="1040" t="s">
        <v>3463</v>
      </c>
      <c r="H2829" s="273" t="s">
        <v>3462</v>
      </c>
      <c r="I2829" s="720">
        <f t="shared" si="636"/>
        <v>22.39</v>
      </c>
      <c r="J2829" s="805">
        <v>447.8</v>
      </c>
      <c r="K2829" s="131">
        <f t="shared" si="625"/>
        <v>447.8</v>
      </c>
      <c r="L2829" s="335">
        <f t="shared" si="632"/>
        <v>0</v>
      </c>
      <c r="M2829" s="446"/>
      <c r="N2829" s="446"/>
      <c r="O2829" s="446"/>
      <c r="P2829" s="446"/>
      <c r="Q2829" s="110">
        <f t="shared" si="627"/>
        <v>5</v>
      </c>
      <c r="R2829" s="111">
        <f t="shared" si="630"/>
        <v>111.95</v>
      </c>
      <c r="S2829" s="110"/>
      <c r="T2829" s="110"/>
      <c r="U2829" s="110">
        <f t="shared" si="628"/>
        <v>5</v>
      </c>
      <c r="V2829" s="111">
        <f t="shared" si="631"/>
        <v>111.95</v>
      </c>
      <c r="W2829" s="110"/>
      <c r="X2829" s="110"/>
      <c r="Y2829" s="110"/>
      <c r="Z2829" s="110"/>
      <c r="AA2829" s="110">
        <f t="shared" si="629"/>
        <v>5</v>
      </c>
      <c r="AB2829" s="111">
        <f t="shared" si="637"/>
        <v>111.95</v>
      </c>
      <c r="AC2829" s="110"/>
      <c r="AD2829" s="110"/>
      <c r="AE2829" s="110">
        <f t="shared" si="629"/>
        <v>5</v>
      </c>
      <c r="AF2829" s="111">
        <f t="shared" si="638"/>
        <v>111.95</v>
      </c>
      <c r="AG2829" s="110"/>
      <c r="AH2829" s="110"/>
      <c r="AI2829" s="110"/>
      <c r="AJ2829" s="110"/>
      <c r="AK2829" s="111">
        <f t="shared" si="633"/>
        <v>447.8</v>
      </c>
      <c r="AL2829" s="446">
        <f t="shared" si="634"/>
        <v>0</v>
      </c>
      <c r="AM2829" s="110">
        <f t="shared" si="635"/>
        <v>20</v>
      </c>
      <c r="AN2829" s="447">
        <f t="shared" si="626"/>
        <v>0</v>
      </c>
      <c r="AO2829"/>
      <c r="AP2829"/>
    </row>
    <row r="2830" spans="1:42" ht="66" x14ac:dyDescent="0.25">
      <c r="A2830" s="9"/>
      <c r="B2830" s="146" t="s">
        <v>2417</v>
      </c>
      <c r="C2830" s="1024"/>
      <c r="D2830" s="922">
        <v>20</v>
      </c>
      <c r="E2830" s="258" t="s">
        <v>1721</v>
      </c>
      <c r="F2830" s="273" t="s">
        <v>3446</v>
      </c>
      <c r="G2830" s="1040" t="s">
        <v>3463</v>
      </c>
      <c r="H2830" s="273" t="s">
        <v>3462</v>
      </c>
      <c r="I2830" s="720">
        <f t="shared" si="636"/>
        <v>22.39</v>
      </c>
      <c r="J2830" s="805">
        <v>447.8</v>
      </c>
      <c r="K2830" s="131">
        <f t="shared" si="625"/>
        <v>447.8</v>
      </c>
      <c r="L2830" s="335">
        <f t="shared" si="632"/>
        <v>0</v>
      </c>
      <c r="M2830" s="446"/>
      <c r="N2830" s="446"/>
      <c r="O2830" s="446"/>
      <c r="P2830" s="446"/>
      <c r="Q2830" s="110">
        <f t="shared" si="627"/>
        <v>5</v>
      </c>
      <c r="R2830" s="111">
        <f t="shared" si="630"/>
        <v>111.95</v>
      </c>
      <c r="S2830" s="110"/>
      <c r="T2830" s="110"/>
      <c r="U2830" s="110">
        <f t="shared" si="628"/>
        <v>5</v>
      </c>
      <c r="V2830" s="111">
        <f t="shared" si="631"/>
        <v>111.95</v>
      </c>
      <c r="W2830" s="110"/>
      <c r="X2830" s="110"/>
      <c r="Y2830" s="110"/>
      <c r="Z2830" s="110"/>
      <c r="AA2830" s="110">
        <f t="shared" si="629"/>
        <v>5</v>
      </c>
      <c r="AB2830" s="111">
        <f t="shared" si="637"/>
        <v>111.95</v>
      </c>
      <c r="AC2830" s="110"/>
      <c r="AD2830" s="110"/>
      <c r="AE2830" s="110">
        <f t="shared" si="629"/>
        <v>5</v>
      </c>
      <c r="AF2830" s="111">
        <f t="shared" si="638"/>
        <v>111.95</v>
      </c>
      <c r="AG2830" s="110"/>
      <c r="AH2830" s="110"/>
      <c r="AI2830" s="110"/>
      <c r="AJ2830" s="110"/>
      <c r="AK2830" s="111">
        <f t="shared" si="633"/>
        <v>447.8</v>
      </c>
      <c r="AL2830" s="446">
        <f t="shared" si="634"/>
        <v>0</v>
      </c>
      <c r="AM2830" s="110">
        <f t="shared" si="635"/>
        <v>20</v>
      </c>
      <c r="AN2830" s="447">
        <f t="shared" si="626"/>
        <v>0</v>
      </c>
      <c r="AO2830"/>
      <c r="AP2830"/>
    </row>
    <row r="2831" spans="1:42" ht="66" x14ac:dyDescent="0.25">
      <c r="A2831" s="9"/>
      <c r="B2831" s="146" t="s">
        <v>2418</v>
      </c>
      <c r="C2831" s="1024"/>
      <c r="D2831" s="922">
        <v>20</v>
      </c>
      <c r="E2831" s="258" t="s">
        <v>1721</v>
      </c>
      <c r="F2831" s="273" t="s">
        <v>3446</v>
      </c>
      <c r="G2831" s="1040" t="s">
        <v>3463</v>
      </c>
      <c r="H2831" s="273" t="s">
        <v>3462</v>
      </c>
      <c r="I2831" s="720">
        <f t="shared" si="636"/>
        <v>22.39</v>
      </c>
      <c r="J2831" s="805">
        <v>447.8</v>
      </c>
      <c r="K2831" s="131">
        <f t="shared" si="625"/>
        <v>447.8</v>
      </c>
      <c r="L2831" s="335">
        <f t="shared" si="632"/>
        <v>0</v>
      </c>
      <c r="M2831" s="446"/>
      <c r="N2831" s="446"/>
      <c r="O2831" s="446"/>
      <c r="P2831" s="446"/>
      <c r="Q2831" s="110">
        <f t="shared" si="627"/>
        <v>5</v>
      </c>
      <c r="R2831" s="111">
        <f t="shared" si="630"/>
        <v>111.95</v>
      </c>
      <c r="S2831" s="110"/>
      <c r="T2831" s="110"/>
      <c r="U2831" s="110">
        <f t="shared" si="628"/>
        <v>5</v>
      </c>
      <c r="V2831" s="111">
        <f t="shared" si="631"/>
        <v>111.95</v>
      </c>
      <c r="W2831" s="110"/>
      <c r="X2831" s="110"/>
      <c r="Y2831" s="110"/>
      <c r="Z2831" s="110"/>
      <c r="AA2831" s="110">
        <f t="shared" si="629"/>
        <v>5</v>
      </c>
      <c r="AB2831" s="111">
        <f t="shared" si="637"/>
        <v>111.95</v>
      </c>
      <c r="AC2831" s="110"/>
      <c r="AD2831" s="110"/>
      <c r="AE2831" s="110">
        <f t="shared" si="629"/>
        <v>5</v>
      </c>
      <c r="AF2831" s="111">
        <f t="shared" si="638"/>
        <v>111.95</v>
      </c>
      <c r="AG2831" s="110"/>
      <c r="AH2831" s="110"/>
      <c r="AI2831" s="110"/>
      <c r="AJ2831" s="110"/>
      <c r="AK2831" s="111">
        <f t="shared" si="633"/>
        <v>447.8</v>
      </c>
      <c r="AL2831" s="446">
        <f t="shared" si="634"/>
        <v>0</v>
      </c>
      <c r="AM2831" s="110">
        <f t="shared" si="635"/>
        <v>20</v>
      </c>
      <c r="AN2831" s="447">
        <f t="shared" si="626"/>
        <v>0</v>
      </c>
      <c r="AO2831"/>
      <c r="AP2831"/>
    </row>
    <row r="2832" spans="1:42" ht="66" x14ac:dyDescent="0.25">
      <c r="A2832" s="9"/>
      <c r="B2832" s="146" t="s">
        <v>2419</v>
      </c>
      <c r="C2832" s="1024"/>
      <c r="D2832" s="922">
        <v>24</v>
      </c>
      <c r="E2832" s="258" t="s">
        <v>1721</v>
      </c>
      <c r="F2832" s="273" t="s">
        <v>3446</v>
      </c>
      <c r="G2832" s="1040" t="s">
        <v>3463</v>
      </c>
      <c r="H2832" s="273" t="s">
        <v>3462</v>
      </c>
      <c r="I2832" s="720">
        <f t="shared" si="636"/>
        <v>3.11</v>
      </c>
      <c r="J2832" s="805">
        <v>74.64</v>
      </c>
      <c r="K2832" s="131">
        <f t="shared" si="625"/>
        <v>74.64</v>
      </c>
      <c r="L2832" s="335">
        <f t="shared" si="632"/>
        <v>0</v>
      </c>
      <c r="M2832" s="446"/>
      <c r="N2832" s="446"/>
      <c r="O2832" s="446"/>
      <c r="P2832" s="446"/>
      <c r="Q2832" s="110">
        <f t="shared" si="627"/>
        <v>6</v>
      </c>
      <c r="R2832" s="111">
        <f t="shared" si="630"/>
        <v>18.66</v>
      </c>
      <c r="S2832" s="110"/>
      <c r="T2832" s="110"/>
      <c r="U2832" s="110">
        <f t="shared" si="628"/>
        <v>6</v>
      </c>
      <c r="V2832" s="111">
        <f t="shared" si="631"/>
        <v>18.66</v>
      </c>
      <c r="W2832" s="110"/>
      <c r="X2832" s="110"/>
      <c r="Y2832" s="110"/>
      <c r="Z2832" s="110"/>
      <c r="AA2832" s="110">
        <f t="shared" si="629"/>
        <v>6</v>
      </c>
      <c r="AB2832" s="111">
        <f t="shared" si="637"/>
        <v>18.66</v>
      </c>
      <c r="AC2832" s="110"/>
      <c r="AD2832" s="110"/>
      <c r="AE2832" s="110">
        <f t="shared" si="629"/>
        <v>6</v>
      </c>
      <c r="AF2832" s="111">
        <f t="shared" si="638"/>
        <v>18.66</v>
      </c>
      <c r="AG2832" s="110"/>
      <c r="AH2832" s="110"/>
      <c r="AI2832" s="110"/>
      <c r="AJ2832" s="110"/>
      <c r="AK2832" s="111">
        <f t="shared" si="633"/>
        <v>74.64</v>
      </c>
      <c r="AL2832" s="446">
        <f t="shared" si="634"/>
        <v>0</v>
      </c>
      <c r="AM2832" s="110">
        <f t="shared" si="635"/>
        <v>24</v>
      </c>
      <c r="AN2832" s="447">
        <f t="shared" si="626"/>
        <v>0</v>
      </c>
      <c r="AO2832"/>
      <c r="AP2832"/>
    </row>
    <row r="2833" spans="1:42" ht="66" x14ac:dyDescent="0.25">
      <c r="A2833" s="9"/>
      <c r="B2833" s="146" t="s">
        <v>2420</v>
      </c>
      <c r="C2833" s="1024"/>
      <c r="D2833" s="922">
        <v>1</v>
      </c>
      <c r="E2833" s="258" t="s">
        <v>1721</v>
      </c>
      <c r="F2833" s="273" t="s">
        <v>3446</v>
      </c>
      <c r="G2833" s="1040" t="s">
        <v>3463</v>
      </c>
      <c r="H2833" s="273" t="s">
        <v>3462</v>
      </c>
      <c r="I2833" s="720">
        <f t="shared" si="636"/>
        <v>500</v>
      </c>
      <c r="J2833" s="805">
        <v>500</v>
      </c>
      <c r="K2833" s="131">
        <f t="shared" si="625"/>
        <v>500</v>
      </c>
      <c r="L2833" s="335">
        <f t="shared" si="632"/>
        <v>0</v>
      </c>
      <c r="M2833" s="446"/>
      <c r="N2833" s="446"/>
      <c r="O2833" s="446"/>
      <c r="P2833" s="446"/>
      <c r="Q2833" s="110">
        <v>1</v>
      </c>
      <c r="R2833" s="111">
        <f t="shared" si="630"/>
        <v>125</v>
      </c>
      <c r="S2833" s="110"/>
      <c r="T2833" s="110"/>
      <c r="U2833" s="110">
        <v>0</v>
      </c>
      <c r="V2833" s="111">
        <f t="shared" si="631"/>
        <v>125</v>
      </c>
      <c r="W2833" s="110"/>
      <c r="X2833" s="110"/>
      <c r="Y2833" s="110"/>
      <c r="Z2833" s="110"/>
      <c r="AA2833" s="110">
        <v>0</v>
      </c>
      <c r="AB2833" s="111">
        <f t="shared" si="637"/>
        <v>125</v>
      </c>
      <c r="AC2833" s="110"/>
      <c r="AD2833" s="110"/>
      <c r="AE2833" s="110">
        <v>0</v>
      </c>
      <c r="AF2833" s="111">
        <f t="shared" si="638"/>
        <v>125</v>
      </c>
      <c r="AG2833" s="110"/>
      <c r="AH2833" s="110"/>
      <c r="AI2833" s="110"/>
      <c r="AJ2833" s="110"/>
      <c r="AK2833" s="111">
        <f t="shared" si="633"/>
        <v>500</v>
      </c>
      <c r="AL2833" s="446">
        <f t="shared" si="634"/>
        <v>0</v>
      </c>
      <c r="AM2833" s="110">
        <f t="shared" si="635"/>
        <v>1</v>
      </c>
      <c r="AN2833" s="447">
        <f t="shared" si="626"/>
        <v>0</v>
      </c>
      <c r="AO2833"/>
      <c r="AP2833"/>
    </row>
    <row r="2834" spans="1:42" ht="66" x14ac:dyDescent="0.25">
      <c r="A2834" s="9"/>
      <c r="B2834" s="146" t="s">
        <v>2421</v>
      </c>
      <c r="C2834" s="1024"/>
      <c r="D2834" s="922">
        <v>3</v>
      </c>
      <c r="E2834" s="258" t="s">
        <v>1722</v>
      </c>
      <c r="F2834" s="273" t="s">
        <v>3446</v>
      </c>
      <c r="G2834" s="1040" t="s">
        <v>3463</v>
      </c>
      <c r="H2834" s="273" t="s">
        <v>3462</v>
      </c>
      <c r="I2834" s="720">
        <f t="shared" si="636"/>
        <v>150</v>
      </c>
      <c r="J2834" s="805">
        <v>450</v>
      </c>
      <c r="K2834" s="131">
        <f t="shared" si="625"/>
        <v>450</v>
      </c>
      <c r="L2834" s="335">
        <f t="shared" si="632"/>
        <v>0</v>
      </c>
      <c r="M2834" s="446"/>
      <c r="N2834" s="446"/>
      <c r="O2834" s="446"/>
      <c r="P2834" s="446"/>
      <c r="Q2834" s="130">
        <v>1</v>
      </c>
      <c r="R2834" s="111">
        <f t="shared" si="630"/>
        <v>112.5</v>
      </c>
      <c r="S2834" s="110"/>
      <c r="T2834" s="110"/>
      <c r="U2834" s="130">
        <v>1</v>
      </c>
      <c r="V2834" s="111">
        <f t="shared" si="631"/>
        <v>112.5</v>
      </c>
      <c r="W2834" s="110"/>
      <c r="X2834" s="110"/>
      <c r="Y2834" s="110"/>
      <c r="Z2834" s="110"/>
      <c r="AA2834" s="130">
        <v>1</v>
      </c>
      <c r="AB2834" s="111">
        <f t="shared" si="637"/>
        <v>112.5</v>
      </c>
      <c r="AC2834" s="110"/>
      <c r="AD2834" s="110"/>
      <c r="AE2834" s="130">
        <v>0</v>
      </c>
      <c r="AF2834" s="111">
        <f t="shared" si="638"/>
        <v>112.5</v>
      </c>
      <c r="AG2834" s="110"/>
      <c r="AH2834" s="110"/>
      <c r="AI2834" s="110"/>
      <c r="AJ2834" s="110"/>
      <c r="AK2834" s="111">
        <f t="shared" si="633"/>
        <v>450</v>
      </c>
      <c r="AL2834" s="446">
        <f t="shared" si="634"/>
        <v>0</v>
      </c>
      <c r="AM2834" s="110">
        <f t="shared" si="635"/>
        <v>3</v>
      </c>
      <c r="AN2834" s="447">
        <f t="shared" si="626"/>
        <v>0</v>
      </c>
      <c r="AO2834"/>
      <c r="AP2834"/>
    </row>
    <row r="2835" spans="1:42" ht="66" x14ac:dyDescent="0.25">
      <c r="A2835" s="9"/>
      <c r="B2835" s="146" t="s">
        <v>2422</v>
      </c>
      <c r="C2835" s="1024"/>
      <c r="D2835" s="922">
        <v>100</v>
      </c>
      <c r="E2835" s="258" t="s">
        <v>1722</v>
      </c>
      <c r="F2835" s="273" t="s">
        <v>3446</v>
      </c>
      <c r="G2835" s="1040" t="s">
        <v>3463</v>
      </c>
      <c r="H2835" s="273" t="s">
        <v>3462</v>
      </c>
      <c r="I2835" s="720">
        <f t="shared" si="636"/>
        <v>149.88</v>
      </c>
      <c r="J2835" s="805">
        <v>14988</v>
      </c>
      <c r="K2835" s="131">
        <f t="shared" si="625"/>
        <v>14988</v>
      </c>
      <c r="L2835" s="335">
        <f t="shared" si="632"/>
        <v>0</v>
      </c>
      <c r="M2835" s="446"/>
      <c r="N2835" s="446"/>
      <c r="O2835" s="446"/>
      <c r="P2835" s="446"/>
      <c r="Q2835" s="110">
        <v>30</v>
      </c>
      <c r="R2835" s="111">
        <f t="shared" si="630"/>
        <v>3747</v>
      </c>
      <c r="S2835" s="110"/>
      <c r="T2835" s="110"/>
      <c r="U2835" s="110">
        <v>30</v>
      </c>
      <c r="V2835" s="111">
        <f t="shared" si="631"/>
        <v>3747</v>
      </c>
      <c r="W2835" s="110"/>
      <c r="X2835" s="110"/>
      <c r="Y2835" s="110"/>
      <c r="Z2835" s="110"/>
      <c r="AA2835" s="110">
        <v>30</v>
      </c>
      <c r="AB2835" s="111">
        <f t="shared" si="637"/>
        <v>3747</v>
      </c>
      <c r="AC2835" s="110"/>
      <c r="AD2835" s="110"/>
      <c r="AE2835" s="110">
        <v>10</v>
      </c>
      <c r="AF2835" s="111">
        <f t="shared" si="638"/>
        <v>3747</v>
      </c>
      <c r="AG2835" s="110"/>
      <c r="AH2835" s="110"/>
      <c r="AI2835" s="110"/>
      <c r="AJ2835" s="110"/>
      <c r="AK2835" s="111">
        <f t="shared" si="633"/>
        <v>14988</v>
      </c>
      <c r="AL2835" s="446">
        <f t="shared" si="634"/>
        <v>0</v>
      </c>
      <c r="AM2835" s="110">
        <f t="shared" si="635"/>
        <v>100</v>
      </c>
      <c r="AN2835" s="447">
        <f t="shared" si="626"/>
        <v>0</v>
      </c>
      <c r="AO2835"/>
      <c r="AP2835"/>
    </row>
    <row r="2836" spans="1:42" ht="66" x14ac:dyDescent="0.25">
      <c r="A2836" s="9"/>
      <c r="B2836" s="146" t="s">
        <v>2423</v>
      </c>
      <c r="C2836" s="1024"/>
      <c r="D2836" s="922">
        <v>20</v>
      </c>
      <c r="E2836" s="258" t="s">
        <v>1722</v>
      </c>
      <c r="F2836" s="273" t="s">
        <v>3446</v>
      </c>
      <c r="G2836" s="1040" t="s">
        <v>3463</v>
      </c>
      <c r="H2836" s="273" t="s">
        <v>3462</v>
      </c>
      <c r="I2836" s="720">
        <f t="shared" si="636"/>
        <v>130.68</v>
      </c>
      <c r="J2836" s="805">
        <v>2613.6000000000004</v>
      </c>
      <c r="K2836" s="131">
        <f t="shared" si="625"/>
        <v>2613.6000000000004</v>
      </c>
      <c r="L2836" s="335">
        <f t="shared" si="632"/>
        <v>0</v>
      </c>
      <c r="M2836" s="446"/>
      <c r="N2836" s="446"/>
      <c r="O2836" s="446"/>
      <c r="P2836" s="446"/>
      <c r="Q2836" s="110">
        <f t="shared" si="627"/>
        <v>5</v>
      </c>
      <c r="R2836" s="111">
        <f t="shared" si="630"/>
        <v>653.40000000000009</v>
      </c>
      <c r="S2836" s="110"/>
      <c r="T2836" s="110"/>
      <c r="U2836" s="110">
        <f t="shared" si="628"/>
        <v>5</v>
      </c>
      <c r="V2836" s="111">
        <f t="shared" si="631"/>
        <v>653.40000000000009</v>
      </c>
      <c r="W2836" s="110"/>
      <c r="X2836" s="110"/>
      <c r="Y2836" s="110"/>
      <c r="Z2836" s="110"/>
      <c r="AA2836" s="110">
        <f t="shared" si="629"/>
        <v>5</v>
      </c>
      <c r="AB2836" s="111">
        <f t="shared" si="637"/>
        <v>653.40000000000009</v>
      </c>
      <c r="AC2836" s="110"/>
      <c r="AD2836" s="110"/>
      <c r="AE2836" s="110">
        <f t="shared" si="629"/>
        <v>5</v>
      </c>
      <c r="AF2836" s="111">
        <f t="shared" si="638"/>
        <v>653.40000000000009</v>
      </c>
      <c r="AG2836" s="110"/>
      <c r="AH2836" s="110"/>
      <c r="AI2836" s="110"/>
      <c r="AJ2836" s="110"/>
      <c r="AK2836" s="111">
        <f t="shared" si="633"/>
        <v>2613.6000000000004</v>
      </c>
      <c r="AL2836" s="446">
        <f t="shared" si="634"/>
        <v>0</v>
      </c>
      <c r="AM2836" s="110">
        <f t="shared" si="635"/>
        <v>20</v>
      </c>
      <c r="AN2836" s="447">
        <f t="shared" si="626"/>
        <v>0</v>
      </c>
      <c r="AO2836"/>
      <c r="AP2836"/>
    </row>
    <row r="2837" spans="1:42" ht="66" x14ac:dyDescent="0.25">
      <c r="A2837" s="9"/>
      <c r="B2837" s="146" t="s">
        <v>2424</v>
      </c>
      <c r="C2837" s="1024"/>
      <c r="D2837" s="922">
        <v>5</v>
      </c>
      <c r="E2837" s="258" t="s">
        <v>1722</v>
      </c>
      <c r="F2837" s="273" t="s">
        <v>3446</v>
      </c>
      <c r="G2837" s="1040" t="s">
        <v>3463</v>
      </c>
      <c r="H2837" s="273" t="s">
        <v>3462</v>
      </c>
      <c r="I2837" s="720">
        <f t="shared" si="636"/>
        <v>321.72000000000003</v>
      </c>
      <c r="J2837" s="805">
        <v>1608.6000000000001</v>
      </c>
      <c r="K2837" s="131">
        <f t="shared" si="625"/>
        <v>1608.6000000000001</v>
      </c>
      <c r="L2837" s="335">
        <f t="shared" si="632"/>
        <v>0</v>
      </c>
      <c r="M2837" s="446"/>
      <c r="N2837" s="446"/>
      <c r="O2837" s="446"/>
      <c r="P2837" s="446"/>
      <c r="Q2837" s="110">
        <v>2</v>
      </c>
      <c r="R2837" s="111">
        <f t="shared" si="630"/>
        <v>402.15000000000003</v>
      </c>
      <c r="S2837" s="110"/>
      <c r="T2837" s="110"/>
      <c r="U2837" s="110">
        <v>1</v>
      </c>
      <c r="V2837" s="111">
        <f t="shared" si="631"/>
        <v>402.15000000000003</v>
      </c>
      <c r="W2837" s="110"/>
      <c r="X2837" s="110"/>
      <c r="Y2837" s="110"/>
      <c r="Z2837" s="110"/>
      <c r="AA2837" s="110">
        <v>1</v>
      </c>
      <c r="AB2837" s="111">
        <f t="shared" si="637"/>
        <v>402.15000000000003</v>
      </c>
      <c r="AC2837" s="110"/>
      <c r="AD2837" s="110"/>
      <c r="AE2837" s="110">
        <v>1</v>
      </c>
      <c r="AF2837" s="111">
        <f t="shared" si="638"/>
        <v>402.15000000000003</v>
      </c>
      <c r="AG2837" s="110"/>
      <c r="AH2837" s="110"/>
      <c r="AI2837" s="110"/>
      <c r="AJ2837" s="110"/>
      <c r="AK2837" s="111">
        <f t="shared" si="633"/>
        <v>1608.6000000000001</v>
      </c>
      <c r="AL2837" s="446">
        <f t="shared" si="634"/>
        <v>0</v>
      </c>
      <c r="AM2837" s="110">
        <f t="shared" si="635"/>
        <v>5</v>
      </c>
      <c r="AN2837" s="447">
        <f t="shared" si="626"/>
        <v>0</v>
      </c>
      <c r="AO2837"/>
      <c r="AP2837"/>
    </row>
    <row r="2838" spans="1:42" ht="66" x14ac:dyDescent="0.25">
      <c r="A2838" s="9"/>
      <c r="B2838" s="146" t="s">
        <v>2425</v>
      </c>
      <c r="C2838" s="1024"/>
      <c r="D2838" s="922">
        <v>5</v>
      </c>
      <c r="E2838" s="258" t="s">
        <v>1721</v>
      </c>
      <c r="F2838" s="273" t="s">
        <v>3446</v>
      </c>
      <c r="G2838" s="1040" t="s">
        <v>3463</v>
      </c>
      <c r="H2838" s="273" t="s">
        <v>3462</v>
      </c>
      <c r="I2838" s="720">
        <f t="shared" si="636"/>
        <v>247.16</v>
      </c>
      <c r="J2838" s="805">
        <v>1235.8</v>
      </c>
      <c r="K2838" s="131">
        <f t="shared" si="625"/>
        <v>1235.8</v>
      </c>
      <c r="L2838" s="335">
        <f t="shared" si="632"/>
        <v>0</v>
      </c>
      <c r="M2838" s="446"/>
      <c r="N2838" s="446"/>
      <c r="O2838" s="446"/>
      <c r="P2838" s="446"/>
      <c r="Q2838" s="110">
        <v>2</v>
      </c>
      <c r="R2838" s="111">
        <f t="shared" si="630"/>
        <v>308.95</v>
      </c>
      <c r="S2838" s="110"/>
      <c r="T2838" s="110"/>
      <c r="U2838" s="110">
        <v>1</v>
      </c>
      <c r="V2838" s="111">
        <f t="shared" si="631"/>
        <v>308.95</v>
      </c>
      <c r="W2838" s="110"/>
      <c r="X2838" s="110"/>
      <c r="Y2838" s="110"/>
      <c r="Z2838" s="110"/>
      <c r="AA2838" s="110">
        <v>1</v>
      </c>
      <c r="AB2838" s="111">
        <f t="shared" si="637"/>
        <v>308.95</v>
      </c>
      <c r="AC2838" s="110"/>
      <c r="AD2838" s="110"/>
      <c r="AE2838" s="110">
        <v>1</v>
      </c>
      <c r="AF2838" s="111">
        <f t="shared" si="638"/>
        <v>308.95</v>
      </c>
      <c r="AG2838" s="110"/>
      <c r="AH2838" s="110"/>
      <c r="AI2838" s="110"/>
      <c r="AJ2838" s="110"/>
      <c r="AK2838" s="111">
        <f t="shared" si="633"/>
        <v>1235.8</v>
      </c>
      <c r="AL2838" s="446">
        <f t="shared" si="634"/>
        <v>0</v>
      </c>
      <c r="AM2838" s="110">
        <f t="shared" si="635"/>
        <v>5</v>
      </c>
      <c r="AN2838" s="447">
        <f t="shared" si="626"/>
        <v>0</v>
      </c>
      <c r="AO2838"/>
      <c r="AP2838"/>
    </row>
    <row r="2839" spans="1:42" ht="66" x14ac:dyDescent="0.25">
      <c r="A2839" s="9"/>
      <c r="B2839" s="146" t="s">
        <v>2426</v>
      </c>
      <c r="C2839" s="1024"/>
      <c r="D2839" s="922">
        <v>5</v>
      </c>
      <c r="E2839" s="258" t="s">
        <v>1722</v>
      </c>
      <c r="F2839" s="273" t="s">
        <v>3446</v>
      </c>
      <c r="G2839" s="1040" t="s">
        <v>3463</v>
      </c>
      <c r="H2839" s="273" t="s">
        <v>3462</v>
      </c>
      <c r="I2839" s="720">
        <f t="shared" si="636"/>
        <v>321.72000000000003</v>
      </c>
      <c r="J2839" s="805">
        <v>1608.6000000000001</v>
      </c>
      <c r="K2839" s="131">
        <f t="shared" si="625"/>
        <v>1608.6000000000001</v>
      </c>
      <c r="L2839" s="335">
        <f t="shared" si="632"/>
        <v>0</v>
      </c>
      <c r="M2839" s="446"/>
      <c r="N2839" s="446"/>
      <c r="O2839" s="446"/>
      <c r="P2839" s="446"/>
      <c r="Q2839" s="110">
        <v>2</v>
      </c>
      <c r="R2839" s="111">
        <f t="shared" si="630"/>
        <v>402.15000000000003</v>
      </c>
      <c r="S2839" s="110"/>
      <c r="T2839" s="110"/>
      <c r="U2839" s="110">
        <v>1</v>
      </c>
      <c r="V2839" s="111">
        <f t="shared" si="631"/>
        <v>402.15000000000003</v>
      </c>
      <c r="W2839" s="110"/>
      <c r="X2839" s="110"/>
      <c r="Y2839" s="110"/>
      <c r="Z2839" s="110"/>
      <c r="AA2839" s="110">
        <v>1</v>
      </c>
      <c r="AB2839" s="111">
        <f t="shared" si="637"/>
        <v>402.15000000000003</v>
      </c>
      <c r="AC2839" s="110"/>
      <c r="AD2839" s="110"/>
      <c r="AE2839" s="110">
        <v>1</v>
      </c>
      <c r="AF2839" s="111">
        <f t="shared" si="638"/>
        <v>402.15000000000003</v>
      </c>
      <c r="AG2839" s="110"/>
      <c r="AH2839" s="110"/>
      <c r="AI2839" s="110"/>
      <c r="AJ2839" s="110"/>
      <c r="AK2839" s="111">
        <f t="shared" si="633"/>
        <v>1608.6000000000001</v>
      </c>
      <c r="AL2839" s="446">
        <f t="shared" si="634"/>
        <v>0</v>
      </c>
      <c r="AM2839" s="110">
        <f t="shared" si="635"/>
        <v>5</v>
      </c>
      <c r="AN2839" s="447">
        <f t="shared" si="626"/>
        <v>0</v>
      </c>
      <c r="AO2839"/>
      <c r="AP2839"/>
    </row>
    <row r="2840" spans="1:42" ht="66" x14ac:dyDescent="0.25">
      <c r="A2840" s="9"/>
      <c r="B2840" s="146" t="s">
        <v>2427</v>
      </c>
      <c r="C2840" s="1024"/>
      <c r="D2840" s="922">
        <v>10</v>
      </c>
      <c r="E2840" s="258" t="s">
        <v>1721</v>
      </c>
      <c r="F2840" s="273" t="s">
        <v>3446</v>
      </c>
      <c r="G2840" s="1040" t="s">
        <v>3463</v>
      </c>
      <c r="H2840" s="273" t="s">
        <v>3462</v>
      </c>
      <c r="I2840" s="720">
        <f t="shared" si="636"/>
        <v>766.06</v>
      </c>
      <c r="J2840" s="805">
        <v>7660.5999999999995</v>
      </c>
      <c r="K2840" s="131">
        <f t="shared" si="625"/>
        <v>7660.5999999999995</v>
      </c>
      <c r="L2840" s="335">
        <f t="shared" si="632"/>
        <v>0</v>
      </c>
      <c r="M2840" s="446"/>
      <c r="N2840" s="446"/>
      <c r="O2840" s="446"/>
      <c r="P2840" s="446"/>
      <c r="Q2840" s="130">
        <v>3</v>
      </c>
      <c r="R2840" s="111">
        <f t="shared" si="630"/>
        <v>1915.1499999999999</v>
      </c>
      <c r="S2840" s="110"/>
      <c r="T2840" s="110"/>
      <c r="U2840" s="130">
        <v>3</v>
      </c>
      <c r="V2840" s="111">
        <f t="shared" si="631"/>
        <v>1915.1499999999999</v>
      </c>
      <c r="W2840" s="110"/>
      <c r="X2840" s="110"/>
      <c r="Y2840" s="110"/>
      <c r="Z2840" s="110"/>
      <c r="AA2840" s="130">
        <v>2</v>
      </c>
      <c r="AB2840" s="111">
        <f t="shared" si="637"/>
        <v>1915.1499999999999</v>
      </c>
      <c r="AC2840" s="110"/>
      <c r="AD2840" s="110"/>
      <c r="AE2840" s="130">
        <v>2</v>
      </c>
      <c r="AF2840" s="111">
        <f t="shared" si="638"/>
        <v>1915.1499999999999</v>
      </c>
      <c r="AG2840" s="110"/>
      <c r="AH2840" s="110"/>
      <c r="AI2840" s="110"/>
      <c r="AJ2840" s="110"/>
      <c r="AK2840" s="111">
        <f t="shared" si="633"/>
        <v>7660.5999999999995</v>
      </c>
      <c r="AL2840" s="446">
        <f t="shared" si="634"/>
        <v>0</v>
      </c>
      <c r="AM2840" s="110">
        <f t="shared" si="635"/>
        <v>10</v>
      </c>
      <c r="AN2840" s="447">
        <f t="shared" si="626"/>
        <v>0</v>
      </c>
      <c r="AO2840"/>
      <c r="AP2840"/>
    </row>
    <row r="2841" spans="1:42" ht="66" x14ac:dyDescent="0.25">
      <c r="A2841" s="9"/>
      <c r="B2841" s="146" t="s">
        <v>2428</v>
      </c>
      <c r="C2841" s="1024"/>
      <c r="D2841" s="922">
        <v>12</v>
      </c>
      <c r="E2841" s="258" t="s">
        <v>1722</v>
      </c>
      <c r="F2841" s="273" t="s">
        <v>3446</v>
      </c>
      <c r="G2841" s="1040" t="s">
        <v>3463</v>
      </c>
      <c r="H2841" s="273" t="s">
        <v>3462</v>
      </c>
      <c r="I2841" s="720">
        <f t="shared" si="636"/>
        <v>22.28</v>
      </c>
      <c r="J2841" s="805">
        <v>267.36</v>
      </c>
      <c r="K2841" s="131">
        <f t="shared" si="625"/>
        <v>267.36</v>
      </c>
      <c r="L2841" s="335">
        <f t="shared" si="632"/>
        <v>0</v>
      </c>
      <c r="M2841" s="446"/>
      <c r="N2841" s="446"/>
      <c r="O2841" s="446"/>
      <c r="P2841" s="446"/>
      <c r="Q2841" s="110">
        <f t="shared" si="627"/>
        <v>3</v>
      </c>
      <c r="R2841" s="111">
        <f t="shared" si="630"/>
        <v>66.84</v>
      </c>
      <c r="S2841" s="110"/>
      <c r="T2841" s="110"/>
      <c r="U2841" s="110">
        <f t="shared" si="628"/>
        <v>3</v>
      </c>
      <c r="V2841" s="111">
        <f t="shared" si="631"/>
        <v>66.84</v>
      </c>
      <c r="W2841" s="110"/>
      <c r="X2841" s="110"/>
      <c r="Y2841" s="110"/>
      <c r="Z2841" s="110"/>
      <c r="AA2841" s="110">
        <f t="shared" si="629"/>
        <v>3</v>
      </c>
      <c r="AB2841" s="111">
        <f t="shared" si="637"/>
        <v>66.84</v>
      </c>
      <c r="AC2841" s="110"/>
      <c r="AD2841" s="110"/>
      <c r="AE2841" s="110">
        <f t="shared" si="629"/>
        <v>3</v>
      </c>
      <c r="AF2841" s="111">
        <f t="shared" si="638"/>
        <v>66.84</v>
      </c>
      <c r="AG2841" s="110"/>
      <c r="AH2841" s="110"/>
      <c r="AI2841" s="110"/>
      <c r="AJ2841" s="110"/>
      <c r="AK2841" s="111">
        <f t="shared" si="633"/>
        <v>267.36</v>
      </c>
      <c r="AL2841" s="446">
        <f t="shared" si="634"/>
        <v>0</v>
      </c>
      <c r="AM2841" s="110">
        <f t="shared" si="635"/>
        <v>12</v>
      </c>
      <c r="AN2841" s="447">
        <f t="shared" si="626"/>
        <v>0</v>
      </c>
      <c r="AO2841"/>
      <c r="AP2841"/>
    </row>
    <row r="2842" spans="1:42" ht="66" x14ac:dyDescent="0.25">
      <c r="A2842" s="9"/>
      <c r="B2842" s="146" t="s">
        <v>2429</v>
      </c>
      <c r="C2842" s="1024"/>
      <c r="D2842" s="922">
        <v>3</v>
      </c>
      <c r="E2842" s="258" t="s">
        <v>1722</v>
      </c>
      <c r="F2842" s="273" t="s">
        <v>3446</v>
      </c>
      <c r="G2842" s="1040" t="s">
        <v>3463</v>
      </c>
      <c r="H2842" s="273" t="s">
        <v>3462</v>
      </c>
      <c r="I2842" s="720">
        <f t="shared" si="636"/>
        <v>86.38</v>
      </c>
      <c r="J2842" s="805">
        <v>259.14</v>
      </c>
      <c r="K2842" s="131">
        <f t="shared" ref="K2842:K2905" si="639">+D2842*I2842</f>
        <v>259.14</v>
      </c>
      <c r="L2842" s="335">
        <f t="shared" si="632"/>
        <v>0</v>
      </c>
      <c r="M2842" s="446"/>
      <c r="N2842" s="446"/>
      <c r="O2842" s="446"/>
      <c r="P2842" s="446"/>
      <c r="Q2842" s="130">
        <v>1</v>
      </c>
      <c r="R2842" s="111">
        <f t="shared" si="630"/>
        <v>64.784999999999997</v>
      </c>
      <c r="S2842" s="110"/>
      <c r="T2842" s="110"/>
      <c r="U2842" s="130">
        <v>1</v>
      </c>
      <c r="V2842" s="111">
        <f t="shared" si="631"/>
        <v>64.784999999999997</v>
      </c>
      <c r="W2842" s="110"/>
      <c r="X2842" s="110"/>
      <c r="Y2842" s="110"/>
      <c r="Z2842" s="110"/>
      <c r="AA2842" s="130">
        <v>1</v>
      </c>
      <c r="AB2842" s="111">
        <f t="shared" si="637"/>
        <v>64.784999999999997</v>
      </c>
      <c r="AC2842" s="110"/>
      <c r="AD2842" s="110"/>
      <c r="AE2842" s="130">
        <v>0</v>
      </c>
      <c r="AF2842" s="111">
        <f t="shared" si="638"/>
        <v>64.784999999999997</v>
      </c>
      <c r="AG2842" s="110"/>
      <c r="AH2842" s="110"/>
      <c r="AI2842" s="110"/>
      <c r="AJ2842" s="110"/>
      <c r="AK2842" s="111">
        <f t="shared" si="633"/>
        <v>259.14</v>
      </c>
      <c r="AL2842" s="446">
        <f t="shared" si="634"/>
        <v>0</v>
      </c>
      <c r="AM2842" s="110">
        <f t="shared" si="635"/>
        <v>3</v>
      </c>
      <c r="AN2842" s="447">
        <f t="shared" ref="AN2842:AN2905" si="640">+D2842-AM2842</f>
        <v>0</v>
      </c>
      <c r="AO2842"/>
      <c r="AP2842"/>
    </row>
    <row r="2843" spans="1:42" ht="66" x14ac:dyDescent="0.25">
      <c r="A2843" s="9"/>
      <c r="B2843" s="146" t="s">
        <v>2430</v>
      </c>
      <c r="C2843" s="1024"/>
      <c r="D2843" s="922">
        <v>5</v>
      </c>
      <c r="E2843" s="258" t="s">
        <v>2321</v>
      </c>
      <c r="F2843" s="273" t="s">
        <v>3446</v>
      </c>
      <c r="G2843" s="1040" t="s">
        <v>3463</v>
      </c>
      <c r="H2843" s="273" t="s">
        <v>3462</v>
      </c>
      <c r="I2843" s="720">
        <f t="shared" si="636"/>
        <v>93.96</v>
      </c>
      <c r="J2843" s="805">
        <v>469.79999999999995</v>
      </c>
      <c r="K2843" s="131">
        <f t="shared" si="639"/>
        <v>469.79999999999995</v>
      </c>
      <c r="L2843" s="335">
        <f t="shared" si="632"/>
        <v>0</v>
      </c>
      <c r="M2843" s="446"/>
      <c r="N2843" s="446"/>
      <c r="O2843" s="446"/>
      <c r="P2843" s="446"/>
      <c r="Q2843" s="110">
        <v>2</v>
      </c>
      <c r="R2843" s="111">
        <f t="shared" si="630"/>
        <v>117.44999999999999</v>
      </c>
      <c r="S2843" s="110"/>
      <c r="T2843" s="110"/>
      <c r="U2843" s="110">
        <v>1</v>
      </c>
      <c r="V2843" s="111">
        <f t="shared" si="631"/>
        <v>117.44999999999999</v>
      </c>
      <c r="W2843" s="110"/>
      <c r="X2843" s="110"/>
      <c r="Y2843" s="110"/>
      <c r="Z2843" s="110"/>
      <c r="AA2843" s="110">
        <v>1</v>
      </c>
      <c r="AB2843" s="111">
        <f t="shared" si="637"/>
        <v>117.44999999999999</v>
      </c>
      <c r="AC2843" s="110"/>
      <c r="AD2843" s="110"/>
      <c r="AE2843" s="110">
        <v>1</v>
      </c>
      <c r="AF2843" s="111">
        <f t="shared" si="638"/>
        <v>117.44999999999999</v>
      </c>
      <c r="AG2843" s="110"/>
      <c r="AH2843" s="110"/>
      <c r="AI2843" s="110"/>
      <c r="AJ2843" s="110"/>
      <c r="AK2843" s="111">
        <f t="shared" si="633"/>
        <v>469.79999999999995</v>
      </c>
      <c r="AL2843" s="446">
        <f t="shared" si="634"/>
        <v>0</v>
      </c>
      <c r="AM2843" s="110">
        <f t="shared" si="635"/>
        <v>5</v>
      </c>
      <c r="AN2843" s="447">
        <f t="shared" si="640"/>
        <v>0</v>
      </c>
      <c r="AO2843"/>
      <c r="AP2843"/>
    </row>
    <row r="2844" spans="1:42" ht="66" x14ac:dyDescent="0.25">
      <c r="A2844" s="9"/>
      <c r="B2844" s="146" t="s">
        <v>2431</v>
      </c>
      <c r="C2844" s="1024"/>
      <c r="D2844" s="922">
        <v>7</v>
      </c>
      <c r="E2844" s="258" t="s">
        <v>1873</v>
      </c>
      <c r="F2844" s="273" t="s">
        <v>3446</v>
      </c>
      <c r="G2844" s="1040" t="s">
        <v>3463</v>
      </c>
      <c r="H2844" s="273" t="s">
        <v>3462</v>
      </c>
      <c r="I2844" s="720">
        <f t="shared" si="636"/>
        <v>122.52</v>
      </c>
      <c r="J2844" s="805">
        <v>857.64</v>
      </c>
      <c r="K2844" s="131">
        <f t="shared" si="639"/>
        <v>857.64</v>
      </c>
      <c r="L2844" s="335">
        <f t="shared" si="632"/>
        <v>0</v>
      </c>
      <c r="M2844" s="446"/>
      <c r="N2844" s="446"/>
      <c r="O2844" s="446"/>
      <c r="P2844" s="446"/>
      <c r="Q2844" s="130">
        <v>2</v>
      </c>
      <c r="R2844" s="111">
        <f t="shared" si="630"/>
        <v>214.41</v>
      </c>
      <c r="S2844" s="110"/>
      <c r="T2844" s="110"/>
      <c r="U2844" s="130">
        <v>2</v>
      </c>
      <c r="V2844" s="111">
        <f t="shared" si="631"/>
        <v>214.41</v>
      </c>
      <c r="W2844" s="110"/>
      <c r="X2844" s="110"/>
      <c r="Y2844" s="110"/>
      <c r="Z2844" s="110"/>
      <c r="AA2844" s="130">
        <v>2</v>
      </c>
      <c r="AB2844" s="111">
        <f t="shared" si="637"/>
        <v>214.41</v>
      </c>
      <c r="AC2844" s="110"/>
      <c r="AD2844" s="110"/>
      <c r="AE2844" s="130">
        <v>1</v>
      </c>
      <c r="AF2844" s="111">
        <f t="shared" si="638"/>
        <v>214.41</v>
      </c>
      <c r="AG2844" s="110"/>
      <c r="AH2844" s="110"/>
      <c r="AI2844" s="110"/>
      <c r="AJ2844" s="110"/>
      <c r="AK2844" s="111">
        <f t="shared" si="633"/>
        <v>857.64</v>
      </c>
      <c r="AL2844" s="446">
        <f t="shared" si="634"/>
        <v>0</v>
      </c>
      <c r="AM2844" s="110">
        <f t="shared" si="635"/>
        <v>7</v>
      </c>
      <c r="AN2844" s="447">
        <f t="shared" si="640"/>
        <v>0</v>
      </c>
      <c r="AO2844"/>
      <c r="AP2844"/>
    </row>
    <row r="2845" spans="1:42" ht="66" x14ac:dyDescent="0.25">
      <c r="A2845" s="9"/>
      <c r="B2845" s="146" t="s">
        <v>2432</v>
      </c>
      <c r="C2845" s="1024"/>
      <c r="D2845" s="922">
        <v>2</v>
      </c>
      <c r="E2845" s="258" t="s">
        <v>1721</v>
      </c>
      <c r="F2845" s="273" t="s">
        <v>3446</v>
      </c>
      <c r="G2845" s="1040" t="s">
        <v>3463</v>
      </c>
      <c r="H2845" s="273" t="s">
        <v>3462</v>
      </c>
      <c r="I2845" s="720">
        <f t="shared" si="636"/>
        <v>550</v>
      </c>
      <c r="J2845" s="805">
        <v>1100</v>
      </c>
      <c r="K2845" s="131">
        <f t="shared" si="639"/>
        <v>1100</v>
      </c>
      <c r="L2845" s="335">
        <f t="shared" si="632"/>
        <v>0</v>
      </c>
      <c r="M2845" s="446"/>
      <c r="N2845" s="446"/>
      <c r="O2845" s="446"/>
      <c r="P2845" s="446"/>
      <c r="Q2845" s="130">
        <v>1</v>
      </c>
      <c r="R2845" s="111">
        <f t="shared" si="630"/>
        <v>275</v>
      </c>
      <c r="S2845" s="110"/>
      <c r="T2845" s="110"/>
      <c r="U2845" s="130">
        <v>1</v>
      </c>
      <c r="V2845" s="111">
        <f t="shared" si="631"/>
        <v>275</v>
      </c>
      <c r="W2845" s="110"/>
      <c r="X2845" s="110"/>
      <c r="Y2845" s="110"/>
      <c r="Z2845" s="110"/>
      <c r="AA2845" s="130">
        <v>0</v>
      </c>
      <c r="AB2845" s="111">
        <f t="shared" si="637"/>
        <v>275</v>
      </c>
      <c r="AC2845" s="110"/>
      <c r="AD2845" s="110"/>
      <c r="AE2845" s="130">
        <v>0</v>
      </c>
      <c r="AF2845" s="111">
        <f t="shared" si="638"/>
        <v>275</v>
      </c>
      <c r="AG2845" s="110"/>
      <c r="AH2845" s="110"/>
      <c r="AI2845" s="110"/>
      <c r="AJ2845" s="110"/>
      <c r="AK2845" s="111">
        <f t="shared" si="633"/>
        <v>1100</v>
      </c>
      <c r="AL2845" s="446">
        <f t="shared" si="634"/>
        <v>0</v>
      </c>
      <c r="AM2845" s="110">
        <f t="shared" si="635"/>
        <v>2</v>
      </c>
      <c r="AN2845" s="447">
        <f t="shared" si="640"/>
        <v>0</v>
      </c>
      <c r="AO2845"/>
      <c r="AP2845"/>
    </row>
    <row r="2846" spans="1:42" ht="66" x14ac:dyDescent="0.25">
      <c r="A2846" s="9"/>
      <c r="B2846" s="146" t="s">
        <v>2433</v>
      </c>
      <c r="C2846" s="1024"/>
      <c r="D2846" s="922">
        <v>55</v>
      </c>
      <c r="E2846" s="258" t="s">
        <v>1721</v>
      </c>
      <c r="F2846" s="273" t="s">
        <v>3446</v>
      </c>
      <c r="G2846" s="1040" t="s">
        <v>3463</v>
      </c>
      <c r="H2846" s="273" t="s">
        <v>3462</v>
      </c>
      <c r="I2846" s="720">
        <f t="shared" si="636"/>
        <v>10.73</v>
      </c>
      <c r="J2846" s="805">
        <v>590.15</v>
      </c>
      <c r="K2846" s="131">
        <f t="shared" si="639"/>
        <v>590.15</v>
      </c>
      <c r="L2846" s="335">
        <f t="shared" si="632"/>
        <v>0</v>
      </c>
      <c r="M2846" s="446"/>
      <c r="N2846" s="446"/>
      <c r="O2846" s="446"/>
      <c r="P2846" s="446"/>
      <c r="Q2846" s="110">
        <v>14</v>
      </c>
      <c r="R2846" s="111">
        <f t="shared" si="630"/>
        <v>147.53749999999999</v>
      </c>
      <c r="S2846" s="110"/>
      <c r="T2846" s="110"/>
      <c r="U2846" s="110">
        <v>14</v>
      </c>
      <c r="V2846" s="111">
        <f t="shared" si="631"/>
        <v>147.53749999999999</v>
      </c>
      <c r="W2846" s="110"/>
      <c r="X2846" s="110"/>
      <c r="Y2846" s="110"/>
      <c r="Z2846" s="110"/>
      <c r="AA2846" s="110">
        <v>14</v>
      </c>
      <c r="AB2846" s="111">
        <f t="shared" si="637"/>
        <v>147.53749999999999</v>
      </c>
      <c r="AC2846" s="110"/>
      <c r="AD2846" s="110"/>
      <c r="AE2846" s="110">
        <v>13</v>
      </c>
      <c r="AF2846" s="111">
        <f t="shared" si="638"/>
        <v>147.53749999999999</v>
      </c>
      <c r="AG2846" s="110"/>
      <c r="AH2846" s="110"/>
      <c r="AI2846" s="110"/>
      <c r="AJ2846" s="110"/>
      <c r="AK2846" s="111">
        <f t="shared" si="633"/>
        <v>590.15</v>
      </c>
      <c r="AL2846" s="446">
        <f t="shared" si="634"/>
        <v>0</v>
      </c>
      <c r="AM2846" s="110">
        <f t="shared" si="635"/>
        <v>55</v>
      </c>
      <c r="AN2846" s="447">
        <f t="shared" si="640"/>
        <v>0</v>
      </c>
      <c r="AO2846"/>
      <c r="AP2846"/>
    </row>
    <row r="2847" spans="1:42" ht="66" x14ac:dyDescent="0.25">
      <c r="A2847" s="9"/>
      <c r="B2847" s="146" t="s">
        <v>2434</v>
      </c>
      <c r="C2847" s="1024"/>
      <c r="D2847" s="922">
        <v>55</v>
      </c>
      <c r="E2847" s="258" t="s">
        <v>1721</v>
      </c>
      <c r="F2847" s="273" t="s">
        <v>3446</v>
      </c>
      <c r="G2847" s="1040" t="s">
        <v>3463</v>
      </c>
      <c r="H2847" s="273" t="s">
        <v>3462</v>
      </c>
      <c r="I2847" s="720">
        <f t="shared" si="636"/>
        <v>15.63</v>
      </c>
      <c r="J2847" s="805">
        <v>859.65000000000009</v>
      </c>
      <c r="K2847" s="131">
        <f t="shared" si="639"/>
        <v>859.65000000000009</v>
      </c>
      <c r="L2847" s="335">
        <f t="shared" si="632"/>
        <v>0</v>
      </c>
      <c r="M2847" s="446"/>
      <c r="N2847" s="446"/>
      <c r="O2847" s="446"/>
      <c r="P2847" s="446"/>
      <c r="Q2847" s="110">
        <v>14</v>
      </c>
      <c r="R2847" s="111">
        <f t="shared" si="630"/>
        <v>214.91250000000002</v>
      </c>
      <c r="S2847" s="110"/>
      <c r="T2847" s="110"/>
      <c r="U2847" s="110">
        <v>14</v>
      </c>
      <c r="V2847" s="111">
        <f t="shared" si="631"/>
        <v>214.91250000000002</v>
      </c>
      <c r="W2847" s="110"/>
      <c r="X2847" s="110"/>
      <c r="Y2847" s="110"/>
      <c r="Z2847" s="110"/>
      <c r="AA2847" s="110">
        <v>14</v>
      </c>
      <c r="AB2847" s="111">
        <f t="shared" si="637"/>
        <v>214.91250000000002</v>
      </c>
      <c r="AC2847" s="110"/>
      <c r="AD2847" s="110"/>
      <c r="AE2847" s="110">
        <v>13</v>
      </c>
      <c r="AF2847" s="111">
        <f t="shared" si="638"/>
        <v>214.91250000000002</v>
      </c>
      <c r="AG2847" s="110"/>
      <c r="AH2847" s="110"/>
      <c r="AI2847" s="110"/>
      <c r="AJ2847" s="110"/>
      <c r="AK2847" s="111">
        <f t="shared" si="633"/>
        <v>859.65000000000009</v>
      </c>
      <c r="AL2847" s="446">
        <f t="shared" si="634"/>
        <v>0</v>
      </c>
      <c r="AM2847" s="110">
        <f t="shared" si="635"/>
        <v>55</v>
      </c>
      <c r="AN2847" s="447">
        <f t="shared" si="640"/>
        <v>0</v>
      </c>
      <c r="AO2847"/>
      <c r="AP2847"/>
    </row>
    <row r="2848" spans="1:42" ht="66" x14ac:dyDescent="0.25">
      <c r="A2848" s="9"/>
      <c r="B2848" s="146" t="s">
        <v>2435</v>
      </c>
      <c r="C2848" s="1024"/>
      <c r="D2848" s="922">
        <v>55</v>
      </c>
      <c r="E2848" s="258" t="s">
        <v>1721</v>
      </c>
      <c r="F2848" s="273" t="s">
        <v>3446</v>
      </c>
      <c r="G2848" s="1040" t="s">
        <v>3463</v>
      </c>
      <c r="H2848" s="273" t="s">
        <v>3462</v>
      </c>
      <c r="I2848" s="720">
        <f t="shared" si="636"/>
        <v>25.35</v>
      </c>
      <c r="J2848" s="805">
        <v>1394.25</v>
      </c>
      <c r="K2848" s="131">
        <f t="shared" si="639"/>
        <v>1394.25</v>
      </c>
      <c r="L2848" s="335">
        <f t="shared" si="632"/>
        <v>0</v>
      </c>
      <c r="M2848" s="446"/>
      <c r="N2848" s="446"/>
      <c r="O2848" s="446"/>
      <c r="P2848" s="446"/>
      <c r="Q2848" s="110">
        <v>14</v>
      </c>
      <c r="R2848" s="111">
        <f t="shared" si="630"/>
        <v>348.5625</v>
      </c>
      <c r="S2848" s="110"/>
      <c r="T2848" s="110"/>
      <c r="U2848" s="110">
        <v>14</v>
      </c>
      <c r="V2848" s="111">
        <f t="shared" si="631"/>
        <v>348.5625</v>
      </c>
      <c r="W2848" s="110"/>
      <c r="X2848" s="110"/>
      <c r="Y2848" s="110"/>
      <c r="Z2848" s="110"/>
      <c r="AA2848" s="110">
        <v>14</v>
      </c>
      <c r="AB2848" s="111">
        <f t="shared" si="637"/>
        <v>348.5625</v>
      </c>
      <c r="AC2848" s="110"/>
      <c r="AD2848" s="110"/>
      <c r="AE2848" s="110">
        <v>13</v>
      </c>
      <c r="AF2848" s="111">
        <f t="shared" si="638"/>
        <v>348.5625</v>
      </c>
      <c r="AG2848" s="110"/>
      <c r="AH2848" s="110"/>
      <c r="AI2848" s="110"/>
      <c r="AJ2848" s="110"/>
      <c r="AK2848" s="111">
        <f t="shared" si="633"/>
        <v>1394.25</v>
      </c>
      <c r="AL2848" s="446">
        <f t="shared" si="634"/>
        <v>0</v>
      </c>
      <c r="AM2848" s="110">
        <f t="shared" si="635"/>
        <v>55</v>
      </c>
      <c r="AN2848" s="447">
        <f t="shared" si="640"/>
        <v>0</v>
      </c>
      <c r="AO2848"/>
      <c r="AP2848"/>
    </row>
    <row r="2849" spans="1:42" ht="66" x14ac:dyDescent="0.25">
      <c r="A2849" s="9"/>
      <c r="B2849" s="146" t="s">
        <v>2436</v>
      </c>
      <c r="C2849" s="1024"/>
      <c r="D2849" s="922">
        <v>55</v>
      </c>
      <c r="E2849" s="258" t="s">
        <v>1722</v>
      </c>
      <c r="F2849" s="273" t="s">
        <v>3446</v>
      </c>
      <c r="G2849" s="1040" t="s">
        <v>3463</v>
      </c>
      <c r="H2849" s="273" t="s">
        <v>3462</v>
      </c>
      <c r="I2849" s="720">
        <f t="shared" si="636"/>
        <v>4.34</v>
      </c>
      <c r="J2849" s="805">
        <v>238.7</v>
      </c>
      <c r="K2849" s="131">
        <f t="shared" si="639"/>
        <v>238.7</v>
      </c>
      <c r="L2849" s="335">
        <f t="shared" si="632"/>
        <v>0</v>
      </c>
      <c r="M2849" s="446"/>
      <c r="N2849" s="446"/>
      <c r="O2849" s="446"/>
      <c r="P2849" s="446"/>
      <c r="Q2849" s="110">
        <v>14</v>
      </c>
      <c r="R2849" s="111">
        <f t="shared" si="630"/>
        <v>59.674999999999997</v>
      </c>
      <c r="S2849" s="110"/>
      <c r="T2849" s="110"/>
      <c r="U2849" s="110">
        <v>14</v>
      </c>
      <c r="V2849" s="111">
        <f t="shared" si="631"/>
        <v>59.674999999999997</v>
      </c>
      <c r="W2849" s="110"/>
      <c r="X2849" s="110"/>
      <c r="Y2849" s="110"/>
      <c r="Z2849" s="110"/>
      <c r="AA2849" s="110">
        <v>14</v>
      </c>
      <c r="AB2849" s="111">
        <f t="shared" si="637"/>
        <v>59.674999999999997</v>
      </c>
      <c r="AC2849" s="110"/>
      <c r="AD2849" s="110"/>
      <c r="AE2849" s="110">
        <v>13</v>
      </c>
      <c r="AF2849" s="111">
        <f t="shared" si="638"/>
        <v>59.674999999999997</v>
      </c>
      <c r="AG2849" s="110"/>
      <c r="AH2849" s="110"/>
      <c r="AI2849" s="110"/>
      <c r="AJ2849" s="110"/>
      <c r="AK2849" s="111">
        <f t="shared" si="633"/>
        <v>238.7</v>
      </c>
      <c r="AL2849" s="446">
        <f t="shared" si="634"/>
        <v>0</v>
      </c>
      <c r="AM2849" s="110">
        <f t="shared" si="635"/>
        <v>55</v>
      </c>
      <c r="AN2849" s="447">
        <f t="shared" si="640"/>
        <v>0</v>
      </c>
      <c r="AO2849"/>
      <c r="AP2849"/>
    </row>
    <row r="2850" spans="1:42" ht="66" x14ac:dyDescent="0.25">
      <c r="A2850" s="9"/>
      <c r="B2850" s="146" t="s">
        <v>2437</v>
      </c>
      <c r="C2850" s="1024"/>
      <c r="D2850" s="922">
        <v>3</v>
      </c>
      <c r="E2850" s="258" t="s">
        <v>1721</v>
      </c>
      <c r="F2850" s="273" t="s">
        <v>3446</v>
      </c>
      <c r="G2850" s="1040" t="s">
        <v>3463</v>
      </c>
      <c r="H2850" s="273" t="s">
        <v>3462</v>
      </c>
      <c r="I2850" s="720">
        <f t="shared" si="636"/>
        <v>56</v>
      </c>
      <c r="J2850" s="805">
        <v>168</v>
      </c>
      <c r="K2850" s="131">
        <f t="shared" si="639"/>
        <v>168</v>
      </c>
      <c r="L2850" s="335">
        <f t="shared" si="632"/>
        <v>0</v>
      </c>
      <c r="M2850" s="446"/>
      <c r="N2850" s="446"/>
      <c r="O2850" s="446"/>
      <c r="P2850" s="446"/>
      <c r="Q2850" s="130">
        <v>1</v>
      </c>
      <c r="R2850" s="111">
        <f t="shared" si="630"/>
        <v>42</v>
      </c>
      <c r="S2850" s="110"/>
      <c r="T2850" s="110"/>
      <c r="U2850" s="130">
        <v>1</v>
      </c>
      <c r="V2850" s="111">
        <f t="shared" si="631"/>
        <v>42</v>
      </c>
      <c r="W2850" s="110"/>
      <c r="X2850" s="110"/>
      <c r="Y2850" s="110"/>
      <c r="Z2850" s="110"/>
      <c r="AA2850" s="130">
        <v>1</v>
      </c>
      <c r="AB2850" s="111">
        <f t="shared" si="637"/>
        <v>42</v>
      </c>
      <c r="AC2850" s="110"/>
      <c r="AD2850" s="110"/>
      <c r="AE2850" s="130">
        <v>0</v>
      </c>
      <c r="AF2850" s="111">
        <f t="shared" si="638"/>
        <v>42</v>
      </c>
      <c r="AG2850" s="110"/>
      <c r="AH2850" s="110"/>
      <c r="AI2850" s="110"/>
      <c r="AJ2850" s="110"/>
      <c r="AK2850" s="111">
        <f t="shared" si="633"/>
        <v>168</v>
      </c>
      <c r="AL2850" s="446">
        <f t="shared" si="634"/>
        <v>0</v>
      </c>
      <c r="AM2850" s="110">
        <f t="shared" si="635"/>
        <v>3</v>
      </c>
      <c r="AN2850" s="447">
        <f t="shared" si="640"/>
        <v>0</v>
      </c>
      <c r="AO2850"/>
      <c r="AP2850"/>
    </row>
    <row r="2851" spans="1:42" ht="66" x14ac:dyDescent="0.25">
      <c r="A2851" s="9"/>
      <c r="B2851" s="146" t="s">
        <v>2438</v>
      </c>
      <c r="C2851" s="1024"/>
      <c r="D2851" s="922">
        <v>1</v>
      </c>
      <c r="E2851" s="260" t="s">
        <v>1725</v>
      </c>
      <c r="F2851" s="273" t="s">
        <v>3446</v>
      </c>
      <c r="G2851" s="1040" t="s">
        <v>3463</v>
      </c>
      <c r="H2851" s="273" t="s">
        <v>3462</v>
      </c>
      <c r="I2851" s="720">
        <f t="shared" si="636"/>
        <v>556</v>
      </c>
      <c r="J2851" s="805">
        <v>556</v>
      </c>
      <c r="K2851" s="131">
        <f t="shared" si="639"/>
        <v>556</v>
      </c>
      <c r="L2851" s="335">
        <f t="shared" si="632"/>
        <v>0</v>
      </c>
      <c r="M2851" s="446"/>
      <c r="N2851" s="446"/>
      <c r="O2851" s="446"/>
      <c r="P2851" s="446"/>
      <c r="Q2851" s="110">
        <v>1</v>
      </c>
      <c r="R2851" s="111">
        <f t="shared" si="630"/>
        <v>139</v>
      </c>
      <c r="S2851" s="110"/>
      <c r="T2851" s="110"/>
      <c r="U2851" s="110">
        <v>0</v>
      </c>
      <c r="V2851" s="111">
        <f t="shared" si="631"/>
        <v>139</v>
      </c>
      <c r="W2851" s="110"/>
      <c r="X2851" s="110"/>
      <c r="Y2851" s="110"/>
      <c r="Z2851" s="110"/>
      <c r="AA2851" s="110">
        <v>0</v>
      </c>
      <c r="AB2851" s="111">
        <f t="shared" si="637"/>
        <v>139</v>
      </c>
      <c r="AC2851" s="110"/>
      <c r="AD2851" s="110"/>
      <c r="AE2851" s="110">
        <v>0</v>
      </c>
      <c r="AF2851" s="111">
        <f t="shared" si="638"/>
        <v>139</v>
      </c>
      <c r="AG2851" s="110"/>
      <c r="AH2851" s="110"/>
      <c r="AI2851" s="110"/>
      <c r="AJ2851" s="110"/>
      <c r="AK2851" s="111">
        <f t="shared" si="633"/>
        <v>556</v>
      </c>
      <c r="AL2851" s="446">
        <f t="shared" si="634"/>
        <v>0</v>
      </c>
      <c r="AM2851" s="110">
        <f t="shared" si="635"/>
        <v>1</v>
      </c>
      <c r="AN2851" s="447">
        <f t="shared" si="640"/>
        <v>0</v>
      </c>
      <c r="AO2851"/>
      <c r="AP2851"/>
    </row>
    <row r="2852" spans="1:42" ht="66" x14ac:dyDescent="0.25">
      <c r="A2852" s="9"/>
      <c r="B2852" s="146" t="s">
        <v>2439</v>
      </c>
      <c r="C2852" s="1024"/>
      <c r="D2852" s="922">
        <v>2</v>
      </c>
      <c r="E2852" s="260" t="s">
        <v>2321</v>
      </c>
      <c r="F2852" s="273" t="s">
        <v>3446</v>
      </c>
      <c r="G2852" s="1040" t="s">
        <v>3463</v>
      </c>
      <c r="H2852" s="273" t="s">
        <v>3462</v>
      </c>
      <c r="I2852" s="720">
        <f t="shared" si="636"/>
        <v>86.13</v>
      </c>
      <c r="J2852" s="805">
        <v>172.26</v>
      </c>
      <c r="K2852" s="131">
        <f t="shared" si="639"/>
        <v>172.26</v>
      </c>
      <c r="L2852" s="335">
        <f t="shared" si="632"/>
        <v>0</v>
      </c>
      <c r="M2852" s="446"/>
      <c r="N2852" s="446"/>
      <c r="O2852" s="446"/>
      <c r="P2852" s="446"/>
      <c r="Q2852" s="130">
        <v>1</v>
      </c>
      <c r="R2852" s="111">
        <f t="shared" si="630"/>
        <v>43.064999999999998</v>
      </c>
      <c r="S2852" s="110"/>
      <c r="T2852" s="110"/>
      <c r="U2852" s="130">
        <v>1</v>
      </c>
      <c r="V2852" s="111">
        <f t="shared" si="631"/>
        <v>43.064999999999998</v>
      </c>
      <c r="W2852" s="110"/>
      <c r="X2852" s="110"/>
      <c r="Y2852" s="110"/>
      <c r="Z2852" s="110"/>
      <c r="AA2852" s="130">
        <v>0</v>
      </c>
      <c r="AB2852" s="111">
        <f t="shared" si="637"/>
        <v>43.064999999999998</v>
      </c>
      <c r="AC2852" s="110"/>
      <c r="AD2852" s="110"/>
      <c r="AE2852" s="130">
        <v>0</v>
      </c>
      <c r="AF2852" s="111">
        <f t="shared" si="638"/>
        <v>43.064999999999998</v>
      </c>
      <c r="AG2852" s="110"/>
      <c r="AH2852" s="110"/>
      <c r="AI2852" s="110"/>
      <c r="AJ2852" s="110"/>
      <c r="AK2852" s="111">
        <f t="shared" si="633"/>
        <v>172.26</v>
      </c>
      <c r="AL2852" s="446">
        <f t="shared" si="634"/>
        <v>0</v>
      </c>
      <c r="AM2852" s="110">
        <f t="shared" si="635"/>
        <v>2</v>
      </c>
      <c r="AN2852" s="447">
        <f t="shared" si="640"/>
        <v>0</v>
      </c>
      <c r="AO2852"/>
      <c r="AP2852"/>
    </row>
    <row r="2853" spans="1:42" ht="66" x14ac:dyDescent="0.25">
      <c r="A2853" s="9"/>
      <c r="B2853" s="146" t="s">
        <v>2440</v>
      </c>
      <c r="C2853" s="1024"/>
      <c r="D2853" s="922">
        <v>5</v>
      </c>
      <c r="E2853" s="260" t="s">
        <v>1722</v>
      </c>
      <c r="F2853" s="273" t="s">
        <v>3446</v>
      </c>
      <c r="G2853" s="1040" t="s">
        <v>3463</v>
      </c>
      <c r="H2853" s="273" t="s">
        <v>3462</v>
      </c>
      <c r="I2853" s="720">
        <f t="shared" si="636"/>
        <v>75</v>
      </c>
      <c r="J2853" s="805">
        <v>375</v>
      </c>
      <c r="K2853" s="131">
        <f t="shared" si="639"/>
        <v>375</v>
      </c>
      <c r="L2853" s="335">
        <f t="shared" si="632"/>
        <v>0</v>
      </c>
      <c r="M2853" s="446"/>
      <c r="N2853" s="446"/>
      <c r="O2853" s="446"/>
      <c r="P2853" s="446"/>
      <c r="Q2853" s="110">
        <v>2</v>
      </c>
      <c r="R2853" s="111">
        <f t="shared" si="630"/>
        <v>93.75</v>
      </c>
      <c r="S2853" s="110"/>
      <c r="T2853" s="110"/>
      <c r="U2853" s="110">
        <v>1</v>
      </c>
      <c r="V2853" s="111">
        <f t="shared" si="631"/>
        <v>93.75</v>
      </c>
      <c r="W2853" s="110"/>
      <c r="X2853" s="110"/>
      <c r="Y2853" s="110"/>
      <c r="Z2853" s="110"/>
      <c r="AA2853" s="110">
        <v>1</v>
      </c>
      <c r="AB2853" s="111">
        <f t="shared" si="637"/>
        <v>93.75</v>
      </c>
      <c r="AC2853" s="110"/>
      <c r="AD2853" s="110"/>
      <c r="AE2853" s="110">
        <v>1</v>
      </c>
      <c r="AF2853" s="111">
        <f t="shared" si="638"/>
        <v>93.75</v>
      </c>
      <c r="AG2853" s="110"/>
      <c r="AH2853" s="110"/>
      <c r="AI2853" s="110"/>
      <c r="AJ2853" s="110"/>
      <c r="AK2853" s="111">
        <f t="shared" si="633"/>
        <v>375</v>
      </c>
      <c r="AL2853" s="446">
        <f t="shared" si="634"/>
        <v>0</v>
      </c>
      <c r="AM2853" s="110">
        <f t="shared" si="635"/>
        <v>5</v>
      </c>
      <c r="AN2853" s="447">
        <f t="shared" si="640"/>
        <v>0</v>
      </c>
      <c r="AO2853"/>
      <c r="AP2853"/>
    </row>
    <row r="2854" spans="1:42" ht="66" x14ac:dyDescent="0.25">
      <c r="A2854" s="9"/>
      <c r="B2854" s="146" t="s">
        <v>2441</v>
      </c>
      <c r="C2854" s="1024"/>
      <c r="D2854" s="922">
        <v>5</v>
      </c>
      <c r="E2854" s="260" t="s">
        <v>1722</v>
      </c>
      <c r="F2854" s="273" t="s">
        <v>3446</v>
      </c>
      <c r="G2854" s="1040" t="s">
        <v>3463</v>
      </c>
      <c r="H2854" s="273" t="s">
        <v>3462</v>
      </c>
      <c r="I2854" s="720">
        <f t="shared" si="636"/>
        <v>75</v>
      </c>
      <c r="J2854" s="805">
        <v>375</v>
      </c>
      <c r="K2854" s="131">
        <f t="shared" si="639"/>
        <v>375</v>
      </c>
      <c r="L2854" s="335">
        <f t="shared" si="632"/>
        <v>0</v>
      </c>
      <c r="M2854" s="446"/>
      <c r="N2854" s="446"/>
      <c r="O2854" s="446"/>
      <c r="P2854" s="446"/>
      <c r="Q2854" s="110">
        <v>2</v>
      </c>
      <c r="R2854" s="111">
        <f t="shared" si="630"/>
        <v>93.75</v>
      </c>
      <c r="S2854" s="110"/>
      <c r="T2854" s="110"/>
      <c r="U2854" s="110">
        <v>1</v>
      </c>
      <c r="V2854" s="111">
        <f t="shared" si="631"/>
        <v>93.75</v>
      </c>
      <c r="W2854" s="110"/>
      <c r="X2854" s="110"/>
      <c r="Y2854" s="110"/>
      <c r="Z2854" s="110"/>
      <c r="AA2854" s="110">
        <v>1</v>
      </c>
      <c r="AB2854" s="111">
        <f t="shared" si="637"/>
        <v>93.75</v>
      </c>
      <c r="AC2854" s="110"/>
      <c r="AD2854" s="110"/>
      <c r="AE2854" s="110">
        <v>1</v>
      </c>
      <c r="AF2854" s="111">
        <f t="shared" si="638"/>
        <v>93.75</v>
      </c>
      <c r="AG2854" s="110"/>
      <c r="AH2854" s="110"/>
      <c r="AI2854" s="110"/>
      <c r="AJ2854" s="110"/>
      <c r="AK2854" s="111">
        <f t="shared" si="633"/>
        <v>375</v>
      </c>
      <c r="AL2854" s="446">
        <f t="shared" si="634"/>
        <v>0</v>
      </c>
      <c r="AM2854" s="110">
        <f t="shared" si="635"/>
        <v>5</v>
      </c>
      <c r="AN2854" s="447">
        <f t="shared" si="640"/>
        <v>0</v>
      </c>
      <c r="AO2854"/>
      <c r="AP2854"/>
    </row>
    <row r="2855" spans="1:42" ht="66" x14ac:dyDescent="0.25">
      <c r="A2855" s="9"/>
      <c r="B2855" s="76" t="s">
        <v>2778</v>
      </c>
      <c r="C2855" s="1"/>
      <c r="D2855" s="880">
        <v>15</v>
      </c>
      <c r="E2855" s="261" t="s">
        <v>1722</v>
      </c>
      <c r="F2855" s="273" t="s">
        <v>3446</v>
      </c>
      <c r="G2855" s="1040" t="s">
        <v>3463</v>
      </c>
      <c r="H2855" s="273" t="s">
        <v>3462</v>
      </c>
      <c r="I2855" s="720">
        <f t="shared" si="636"/>
        <v>509.26319999999993</v>
      </c>
      <c r="J2855" s="802">
        <v>7638.9479999999985</v>
      </c>
      <c r="K2855" s="131">
        <f t="shared" si="639"/>
        <v>7638.9479999999985</v>
      </c>
      <c r="L2855" s="335">
        <f t="shared" si="632"/>
        <v>0</v>
      </c>
      <c r="M2855" s="446"/>
      <c r="N2855" s="446"/>
      <c r="O2855" s="446"/>
      <c r="P2855" s="446"/>
      <c r="Q2855" s="110">
        <v>4</v>
      </c>
      <c r="R2855" s="111">
        <f t="shared" si="630"/>
        <v>1909.7369999999996</v>
      </c>
      <c r="S2855" s="110"/>
      <c r="T2855" s="110"/>
      <c r="U2855" s="110">
        <v>4</v>
      </c>
      <c r="V2855" s="111">
        <f t="shared" si="631"/>
        <v>1909.7369999999996</v>
      </c>
      <c r="W2855" s="110"/>
      <c r="X2855" s="110"/>
      <c r="Y2855" s="110"/>
      <c r="Z2855" s="110"/>
      <c r="AA2855" s="110">
        <v>4</v>
      </c>
      <c r="AB2855" s="111">
        <f t="shared" si="637"/>
        <v>1909.7369999999996</v>
      </c>
      <c r="AC2855" s="110"/>
      <c r="AD2855" s="110"/>
      <c r="AE2855" s="110">
        <v>3</v>
      </c>
      <c r="AF2855" s="111">
        <f t="shared" si="638"/>
        <v>1909.7369999999996</v>
      </c>
      <c r="AG2855" s="110"/>
      <c r="AH2855" s="110"/>
      <c r="AI2855" s="110"/>
      <c r="AJ2855" s="110"/>
      <c r="AK2855" s="111">
        <f t="shared" si="633"/>
        <v>7638.9479999999985</v>
      </c>
      <c r="AL2855" s="446">
        <f t="shared" si="634"/>
        <v>0</v>
      </c>
      <c r="AM2855" s="110">
        <f t="shared" si="635"/>
        <v>15</v>
      </c>
      <c r="AN2855" s="447">
        <f t="shared" si="640"/>
        <v>0</v>
      </c>
      <c r="AO2855"/>
      <c r="AP2855"/>
    </row>
    <row r="2856" spans="1:42" ht="66" x14ac:dyDescent="0.25">
      <c r="A2856" s="9"/>
      <c r="B2856" s="76" t="s">
        <v>2779</v>
      </c>
      <c r="C2856" s="1024"/>
      <c r="D2856" s="880">
        <v>4</v>
      </c>
      <c r="E2856" s="249" t="s">
        <v>1722</v>
      </c>
      <c r="F2856" s="273" t="s">
        <v>3446</v>
      </c>
      <c r="G2856" s="1040" t="s">
        <v>3463</v>
      </c>
      <c r="H2856" s="273" t="s">
        <v>3462</v>
      </c>
      <c r="I2856" s="720">
        <f t="shared" si="636"/>
        <v>398.39039999999994</v>
      </c>
      <c r="J2856" s="805">
        <v>1593.5615999999998</v>
      </c>
      <c r="K2856" s="131">
        <f t="shared" si="639"/>
        <v>1593.5615999999998</v>
      </c>
      <c r="L2856" s="335">
        <f t="shared" si="632"/>
        <v>0</v>
      </c>
      <c r="M2856" s="446"/>
      <c r="N2856" s="446"/>
      <c r="O2856" s="446"/>
      <c r="P2856" s="446"/>
      <c r="Q2856" s="110">
        <f t="shared" si="627"/>
        <v>1</v>
      </c>
      <c r="R2856" s="111">
        <f t="shared" si="630"/>
        <v>398.39039999999994</v>
      </c>
      <c r="S2856" s="110"/>
      <c r="T2856" s="110"/>
      <c r="U2856" s="110">
        <f t="shared" si="628"/>
        <v>1</v>
      </c>
      <c r="V2856" s="111">
        <f t="shared" si="631"/>
        <v>398.39039999999994</v>
      </c>
      <c r="W2856" s="110"/>
      <c r="X2856" s="110"/>
      <c r="Y2856" s="110"/>
      <c r="Z2856" s="110"/>
      <c r="AA2856" s="110">
        <f t="shared" si="629"/>
        <v>1</v>
      </c>
      <c r="AB2856" s="111">
        <f t="shared" si="637"/>
        <v>398.39039999999994</v>
      </c>
      <c r="AC2856" s="110"/>
      <c r="AD2856" s="110"/>
      <c r="AE2856" s="110">
        <f t="shared" si="629"/>
        <v>1</v>
      </c>
      <c r="AF2856" s="111">
        <f t="shared" si="638"/>
        <v>398.39039999999994</v>
      </c>
      <c r="AG2856" s="110"/>
      <c r="AH2856" s="110"/>
      <c r="AI2856" s="110"/>
      <c r="AJ2856" s="110"/>
      <c r="AK2856" s="111">
        <f t="shared" si="633"/>
        <v>1593.5615999999998</v>
      </c>
      <c r="AL2856" s="446">
        <f t="shared" si="634"/>
        <v>0</v>
      </c>
      <c r="AM2856" s="110">
        <f t="shared" si="635"/>
        <v>4</v>
      </c>
      <c r="AN2856" s="447">
        <f t="shared" si="640"/>
        <v>0</v>
      </c>
      <c r="AO2856"/>
      <c r="AP2856"/>
    </row>
    <row r="2857" spans="1:42" ht="66" x14ac:dyDescent="0.25">
      <c r="A2857" s="9"/>
      <c r="B2857" s="552" t="s">
        <v>633</v>
      </c>
      <c r="C2857" s="1024"/>
      <c r="D2857" s="880">
        <v>1</v>
      </c>
      <c r="E2857" s="249" t="s">
        <v>1723</v>
      </c>
      <c r="F2857" s="273" t="s">
        <v>3446</v>
      </c>
      <c r="G2857" s="1040" t="s">
        <v>3463</v>
      </c>
      <c r="H2857" s="273" t="s">
        <v>3462</v>
      </c>
      <c r="I2857" s="720">
        <f t="shared" si="636"/>
        <v>250.55999999999997</v>
      </c>
      <c r="J2857" s="805">
        <v>250.55999999999997</v>
      </c>
      <c r="K2857" s="131">
        <f t="shared" si="639"/>
        <v>250.55999999999997</v>
      </c>
      <c r="L2857" s="335">
        <f t="shared" si="632"/>
        <v>0</v>
      </c>
      <c r="M2857" s="446"/>
      <c r="N2857" s="446"/>
      <c r="O2857" s="446"/>
      <c r="P2857" s="446"/>
      <c r="Q2857" s="110">
        <v>1</v>
      </c>
      <c r="R2857" s="111">
        <f t="shared" si="630"/>
        <v>62.639999999999993</v>
      </c>
      <c r="S2857" s="110"/>
      <c r="T2857" s="110"/>
      <c r="U2857" s="110">
        <v>0</v>
      </c>
      <c r="V2857" s="111">
        <f t="shared" si="631"/>
        <v>62.639999999999993</v>
      </c>
      <c r="W2857" s="110"/>
      <c r="X2857" s="110"/>
      <c r="Y2857" s="110"/>
      <c r="Z2857" s="110"/>
      <c r="AA2857" s="110">
        <v>0</v>
      </c>
      <c r="AB2857" s="111">
        <f t="shared" si="637"/>
        <v>62.639999999999993</v>
      </c>
      <c r="AC2857" s="110"/>
      <c r="AD2857" s="110"/>
      <c r="AE2857" s="110">
        <v>0</v>
      </c>
      <c r="AF2857" s="111">
        <f t="shared" si="638"/>
        <v>62.639999999999993</v>
      </c>
      <c r="AG2857" s="110"/>
      <c r="AH2857" s="110"/>
      <c r="AI2857" s="110"/>
      <c r="AJ2857" s="110"/>
      <c r="AK2857" s="111">
        <f t="shared" si="633"/>
        <v>250.55999999999997</v>
      </c>
      <c r="AL2857" s="446">
        <f t="shared" si="634"/>
        <v>0</v>
      </c>
      <c r="AM2857" s="110">
        <f t="shared" si="635"/>
        <v>1</v>
      </c>
      <c r="AN2857" s="447">
        <f t="shared" si="640"/>
        <v>0</v>
      </c>
      <c r="AO2857"/>
      <c r="AP2857"/>
    </row>
    <row r="2858" spans="1:42" ht="66" x14ac:dyDescent="0.25">
      <c r="A2858" s="9"/>
      <c r="B2858" s="76" t="s">
        <v>2780</v>
      </c>
      <c r="C2858" s="1024"/>
      <c r="D2858" s="880">
        <v>10</v>
      </c>
      <c r="E2858" s="249" t="s">
        <v>1722</v>
      </c>
      <c r="F2858" s="273" t="s">
        <v>3446</v>
      </c>
      <c r="G2858" s="1040" t="s">
        <v>3463</v>
      </c>
      <c r="H2858" s="273" t="s">
        <v>3462</v>
      </c>
      <c r="I2858" s="720">
        <f t="shared" si="636"/>
        <v>150.33599999999998</v>
      </c>
      <c r="J2858" s="805">
        <v>1503.36</v>
      </c>
      <c r="K2858" s="131">
        <f t="shared" si="639"/>
        <v>1503.36</v>
      </c>
      <c r="L2858" s="335">
        <f t="shared" si="632"/>
        <v>0</v>
      </c>
      <c r="M2858" s="446"/>
      <c r="N2858" s="446"/>
      <c r="O2858" s="446"/>
      <c r="P2858" s="446"/>
      <c r="Q2858" s="130">
        <v>3</v>
      </c>
      <c r="R2858" s="111">
        <f t="shared" si="630"/>
        <v>375.84</v>
      </c>
      <c r="S2858" s="110"/>
      <c r="T2858" s="110"/>
      <c r="U2858" s="130">
        <v>3</v>
      </c>
      <c r="V2858" s="111">
        <f t="shared" si="631"/>
        <v>375.84</v>
      </c>
      <c r="W2858" s="110"/>
      <c r="X2858" s="110"/>
      <c r="Y2858" s="110"/>
      <c r="Z2858" s="110"/>
      <c r="AA2858" s="130">
        <v>2</v>
      </c>
      <c r="AB2858" s="111">
        <f t="shared" si="637"/>
        <v>375.84</v>
      </c>
      <c r="AC2858" s="110"/>
      <c r="AD2858" s="110"/>
      <c r="AE2858" s="130">
        <v>2</v>
      </c>
      <c r="AF2858" s="111">
        <f t="shared" si="638"/>
        <v>375.84</v>
      </c>
      <c r="AG2858" s="110"/>
      <c r="AH2858" s="110"/>
      <c r="AI2858" s="110"/>
      <c r="AJ2858" s="110"/>
      <c r="AK2858" s="111">
        <f t="shared" si="633"/>
        <v>1503.36</v>
      </c>
      <c r="AL2858" s="446">
        <f t="shared" si="634"/>
        <v>0</v>
      </c>
      <c r="AM2858" s="110">
        <f t="shared" si="635"/>
        <v>10</v>
      </c>
      <c r="AN2858" s="447">
        <f t="shared" si="640"/>
        <v>0</v>
      </c>
      <c r="AO2858"/>
      <c r="AP2858"/>
    </row>
    <row r="2859" spans="1:42" ht="66" x14ac:dyDescent="0.25">
      <c r="A2859" s="9"/>
      <c r="B2859" s="552" t="s">
        <v>1615</v>
      </c>
      <c r="C2859" s="1024"/>
      <c r="D2859" s="880">
        <v>3</v>
      </c>
      <c r="E2859" s="249" t="s">
        <v>1722</v>
      </c>
      <c r="F2859" s="273" t="s">
        <v>3446</v>
      </c>
      <c r="G2859" s="1040" t="s">
        <v>3463</v>
      </c>
      <c r="H2859" s="273" t="s">
        <v>3462</v>
      </c>
      <c r="I2859" s="720">
        <f t="shared" si="636"/>
        <v>332.13119999999998</v>
      </c>
      <c r="J2859" s="805">
        <v>996.39359999999988</v>
      </c>
      <c r="K2859" s="131">
        <f t="shared" si="639"/>
        <v>996.39359999999988</v>
      </c>
      <c r="L2859" s="335">
        <f t="shared" si="632"/>
        <v>0</v>
      </c>
      <c r="M2859" s="446"/>
      <c r="N2859" s="446"/>
      <c r="O2859" s="446"/>
      <c r="P2859" s="446"/>
      <c r="Q2859" s="130">
        <v>1</v>
      </c>
      <c r="R2859" s="111">
        <f t="shared" si="630"/>
        <v>249.09839999999997</v>
      </c>
      <c r="S2859" s="110"/>
      <c r="T2859" s="110"/>
      <c r="U2859" s="130">
        <v>1</v>
      </c>
      <c r="V2859" s="111">
        <f t="shared" si="631"/>
        <v>249.09839999999997</v>
      </c>
      <c r="W2859" s="110"/>
      <c r="X2859" s="110"/>
      <c r="Y2859" s="110"/>
      <c r="Z2859" s="110"/>
      <c r="AA2859" s="130">
        <v>1</v>
      </c>
      <c r="AB2859" s="111">
        <f t="shared" si="637"/>
        <v>249.09839999999997</v>
      </c>
      <c r="AC2859" s="110"/>
      <c r="AD2859" s="110"/>
      <c r="AE2859" s="130">
        <v>0</v>
      </c>
      <c r="AF2859" s="111">
        <f t="shared" si="638"/>
        <v>249.09839999999997</v>
      </c>
      <c r="AG2859" s="110"/>
      <c r="AH2859" s="110"/>
      <c r="AI2859" s="110"/>
      <c r="AJ2859" s="110"/>
      <c r="AK2859" s="111">
        <f t="shared" si="633"/>
        <v>996.39359999999988</v>
      </c>
      <c r="AL2859" s="446">
        <f t="shared" si="634"/>
        <v>0</v>
      </c>
      <c r="AM2859" s="110">
        <f t="shared" si="635"/>
        <v>3</v>
      </c>
      <c r="AN2859" s="447">
        <f t="shared" si="640"/>
        <v>0</v>
      </c>
      <c r="AO2859"/>
      <c r="AP2859"/>
    </row>
    <row r="2860" spans="1:42" ht="66" x14ac:dyDescent="0.25">
      <c r="A2860" s="9"/>
      <c r="B2860" s="571" t="s">
        <v>2781</v>
      </c>
      <c r="C2860" s="1024"/>
      <c r="D2860" s="880">
        <v>3</v>
      </c>
      <c r="E2860" s="249" t="s">
        <v>1722</v>
      </c>
      <c r="F2860" s="273" t="s">
        <v>3446</v>
      </c>
      <c r="G2860" s="1040" t="s">
        <v>3463</v>
      </c>
      <c r="H2860" s="273" t="s">
        <v>3462</v>
      </c>
      <c r="I2860" s="720">
        <f t="shared" si="636"/>
        <v>45.077599999999997</v>
      </c>
      <c r="J2860" s="805">
        <v>135.2328</v>
      </c>
      <c r="K2860" s="131">
        <f t="shared" si="639"/>
        <v>135.2328</v>
      </c>
      <c r="L2860" s="335">
        <f t="shared" si="632"/>
        <v>0</v>
      </c>
      <c r="M2860" s="446"/>
      <c r="N2860" s="446"/>
      <c r="O2860" s="446"/>
      <c r="P2860" s="446"/>
      <c r="Q2860" s="130">
        <v>1</v>
      </c>
      <c r="R2860" s="111">
        <f t="shared" si="630"/>
        <v>33.808199999999999</v>
      </c>
      <c r="S2860" s="110"/>
      <c r="T2860" s="110"/>
      <c r="U2860" s="130">
        <v>1</v>
      </c>
      <c r="V2860" s="111">
        <f t="shared" si="631"/>
        <v>33.808199999999999</v>
      </c>
      <c r="W2860" s="110"/>
      <c r="X2860" s="110"/>
      <c r="Y2860" s="110"/>
      <c r="Z2860" s="110"/>
      <c r="AA2860" s="130">
        <v>1</v>
      </c>
      <c r="AB2860" s="111">
        <f t="shared" si="637"/>
        <v>33.808199999999999</v>
      </c>
      <c r="AC2860" s="110"/>
      <c r="AD2860" s="110"/>
      <c r="AE2860" s="130">
        <v>0</v>
      </c>
      <c r="AF2860" s="111">
        <f t="shared" si="638"/>
        <v>33.808199999999999</v>
      </c>
      <c r="AG2860" s="110"/>
      <c r="AH2860" s="110"/>
      <c r="AI2860" s="110"/>
      <c r="AJ2860" s="110"/>
      <c r="AK2860" s="111">
        <f t="shared" si="633"/>
        <v>135.2328</v>
      </c>
      <c r="AL2860" s="446">
        <f t="shared" si="634"/>
        <v>0</v>
      </c>
      <c r="AM2860" s="110">
        <f t="shared" si="635"/>
        <v>3</v>
      </c>
      <c r="AN2860" s="447">
        <f t="shared" si="640"/>
        <v>0</v>
      </c>
      <c r="AO2860"/>
      <c r="AP2860"/>
    </row>
    <row r="2861" spans="1:42" ht="66" x14ac:dyDescent="0.25">
      <c r="A2861" s="9"/>
      <c r="B2861" s="571" t="s">
        <v>2782</v>
      </c>
      <c r="C2861" s="1024"/>
      <c r="D2861" s="880">
        <v>3</v>
      </c>
      <c r="E2861" s="249" t="s">
        <v>2600</v>
      </c>
      <c r="F2861" s="273" t="s">
        <v>3446</v>
      </c>
      <c r="G2861" s="1040" t="s">
        <v>3463</v>
      </c>
      <c r="H2861" s="273" t="s">
        <v>3462</v>
      </c>
      <c r="I2861" s="720">
        <f t="shared" si="636"/>
        <v>144.072</v>
      </c>
      <c r="J2861" s="805">
        <v>432.21600000000001</v>
      </c>
      <c r="K2861" s="131">
        <f t="shared" si="639"/>
        <v>432.21600000000001</v>
      </c>
      <c r="L2861" s="335">
        <f t="shared" si="632"/>
        <v>0</v>
      </c>
      <c r="M2861" s="446"/>
      <c r="N2861" s="446"/>
      <c r="O2861" s="446"/>
      <c r="P2861" s="446"/>
      <c r="Q2861" s="130">
        <v>1</v>
      </c>
      <c r="R2861" s="111">
        <f t="shared" si="630"/>
        <v>108.054</v>
      </c>
      <c r="S2861" s="110"/>
      <c r="T2861" s="110"/>
      <c r="U2861" s="130">
        <v>1</v>
      </c>
      <c r="V2861" s="111">
        <f t="shared" si="631"/>
        <v>108.054</v>
      </c>
      <c r="W2861" s="110"/>
      <c r="X2861" s="110"/>
      <c r="Y2861" s="110"/>
      <c r="Z2861" s="110"/>
      <c r="AA2861" s="130">
        <v>1</v>
      </c>
      <c r="AB2861" s="111">
        <f t="shared" si="637"/>
        <v>108.054</v>
      </c>
      <c r="AC2861" s="110"/>
      <c r="AD2861" s="110"/>
      <c r="AE2861" s="130">
        <v>0</v>
      </c>
      <c r="AF2861" s="111">
        <f t="shared" si="638"/>
        <v>108.054</v>
      </c>
      <c r="AG2861" s="110"/>
      <c r="AH2861" s="110"/>
      <c r="AI2861" s="110"/>
      <c r="AJ2861" s="110"/>
      <c r="AK2861" s="111">
        <f t="shared" si="633"/>
        <v>432.21600000000001</v>
      </c>
      <c r="AL2861" s="446">
        <f t="shared" si="634"/>
        <v>0</v>
      </c>
      <c r="AM2861" s="110">
        <f t="shared" si="635"/>
        <v>3</v>
      </c>
      <c r="AN2861" s="447">
        <f t="shared" si="640"/>
        <v>0</v>
      </c>
      <c r="AO2861"/>
      <c r="AP2861"/>
    </row>
    <row r="2862" spans="1:42" ht="66" x14ac:dyDescent="0.25">
      <c r="A2862" s="9"/>
      <c r="B2862" s="76" t="s">
        <v>1634</v>
      </c>
      <c r="C2862" s="1024"/>
      <c r="D2862" s="880">
        <v>10</v>
      </c>
      <c r="E2862" s="249" t="s">
        <v>1873</v>
      </c>
      <c r="F2862" s="273" t="s">
        <v>3446</v>
      </c>
      <c r="G2862" s="1040" t="s">
        <v>3463</v>
      </c>
      <c r="H2862" s="273" t="s">
        <v>3462</v>
      </c>
      <c r="I2862" s="720">
        <f t="shared" si="636"/>
        <v>102.72959999999998</v>
      </c>
      <c r="J2862" s="805">
        <v>1027.2959999999998</v>
      </c>
      <c r="K2862" s="131">
        <f t="shared" si="639"/>
        <v>1027.2959999999998</v>
      </c>
      <c r="L2862" s="335">
        <f t="shared" si="632"/>
        <v>0</v>
      </c>
      <c r="M2862" s="446"/>
      <c r="N2862" s="446"/>
      <c r="O2862" s="446"/>
      <c r="P2862" s="446"/>
      <c r="Q2862" s="130">
        <v>3</v>
      </c>
      <c r="R2862" s="111">
        <f t="shared" si="630"/>
        <v>256.82399999999996</v>
      </c>
      <c r="S2862" s="110"/>
      <c r="T2862" s="110"/>
      <c r="U2862" s="130">
        <v>3</v>
      </c>
      <c r="V2862" s="111">
        <f t="shared" si="631"/>
        <v>256.82399999999996</v>
      </c>
      <c r="W2862" s="110"/>
      <c r="X2862" s="110"/>
      <c r="Y2862" s="110"/>
      <c r="Z2862" s="110"/>
      <c r="AA2862" s="130">
        <v>2</v>
      </c>
      <c r="AB2862" s="111">
        <f t="shared" si="637"/>
        <v>256.82399999999996</v>
      </c>
      <c r="AC2862" s="110"/>
      <c r="AD2862" s="110"/>
      <c r="AE2862" s="130">
        <v>2</v>
      </c>
      <c r="AF2862" s="111">
        <f t="shared" si="638"/>
        <v>256.82399999999996</v>
      </c>
      <c r="AG2862" s="110"/>
      <c r="AH2862" s="110"/>
      <c r="AI2862" s="110"/>
      <c r="AJ2862" s="110"/>
      <c r="AK2862" s="111">
        <f t="shared" si="633"/>
        <v>1027.2959999999998</v>
      </c>
      <c r="AL2862" s="446">
        <f t="shared" si="634"/>
        <v>0</v>
      </c>
      <c r="AM2862" s="110">
        <f t="shared" si="635"/>
        <v>10</v>
      </c>
      <c r="AN2862" s="447">
        <f t="shared" si="640"/>
        <v>0</v>
      </c>
      <c r="AO2862"/>
      <c r="AP2862"/>
    </row>
    <row r="2863" spans="1:42" ht="66" x14ac:dyDescent="0.25">
      <c r="A2863" s="9"/>
      <c r="B2863" s="571" t="s">
        <v>2783</v>
      </c>
      <c r="C2863" s="1024"/>
      <c r="D2863" s="880">
        <v>3</v>
      </c>
      <c r="E2863" s="249" t="s">
        <v>1736</v>
      </c>
      <c r="F2863" s="273" t="s">
        <v>3446</v>
      </c>
      <c r="G2863" s="1040" t="s">
        <v>3463</v>
      </c>
      <c r="H2863" s="273" t="s">
        <v>3462</v>
      </c>
      <c r="I2863" s="720">
        <f t="shared" si="636"/>
        <v>43.847999999999992</v>
      </c>
      <c r="J2863" s="805">
        <v>131.54399999999998</v>
      </c>
      <c r="K2863" s="131">
        <f t="shared" si="639"/>
        <v>131.54399999999998</v>
      </c>
      <c r="L2863" s="335">
        <f t="shared" si="632"/>
        <v>0</v>
      </c>
      <c r="M2863" s="446"/>
      <c r="N2863" s="446"/>
      <c r="O2863" s="446"/>
      <c r="P2863" s="446"/>
      <c r="Q2863" s="130">
        <v>1</v>
      </c>
      <c r="R2863" s="111">
        <f t="shared" ref="R2863:R2926" si="641">+J2863/4</f>
        <v>32.885999999999996</v>
      </c>
      <c r="S2863" s="110"/>
      <c r="T2863" s="110"/>
      <c r="U2863" s="130">
        <v>1</v>
      </c>
      <c r="V2863" s="111">
        <f t="shared" ref="V2863:V2926" si="642">+J2863/4</f>
        <v>32.885999999999996</v>
      </c>
      <c r="W2863" s="110"/>
      <c r="X2863" s="110"/>
      <c r="Y2863" s="110"/>
      <c r="Z2863" s="110"/>
      <c r="AA2863" s="130">
        <v>1</v>
      </c>
      <c r="AB2863" s="111">
        <f t="shared" si="637"/>
        <v>32.885999999999996</v>
      </c>
      <c r="AC2863" s="110"/>
      <c r="AD2863" s="110"/>
      <c r="AE2863" s="130">
        <v>0</v>
      </c>
      <c r="AF2863" s="111">
        <f t="shared" si="638"/>
        <v>32.885999999999996</v>
      </c>
      <c r="AG2863" s="110"/>
      <c r="AH2863" s="110"/>
      <c r="AI2863" s="110"/>
      <c r="AJ2863" s="110"/>
      <c r="AK2863" s="111">
        <f t="shared" si="633"/>
        <v>131.54399999999998</v>
      </c>
      <c r="AL2863" s="446">
        <f t="shared" si="634"/>
        <v>0</v>
      </c>
      <c r="AM2863" s="110">
        <f t="shared" si="635"/>
        <v>3</v>
      </c>
      <c r="AN2863" s="447">
        <f t="shared" si="640"/>
        <v>0</v>
      </c>
      <c r="AO2863"/>
      <c r="AP2863"/>
    </row>
    <row r="2864" spans="1:42" ht="66" x14ac:dyDescent="0.25">
      <c r="A2864" s="9"/>
      <c r="B2864" s="571" t="s">
        <v>2784</v>
      </c>
      <c r="C2864" s="1024"/>
      <c r="D2864" s="880">
        <v>3</v>
      </c>
      <c r="E2864" s="249" t="s">
        <v>2810</v>
      </c>
      <c r="F2864" s="273" t="s">
        <v>3446</v>
      </c>
      <c r="G2864" s="1040" t="s">
        <v>3463</v>
      </c>
      <c r="H2864" s="273" t="s">
        <v>3462</v>
      </c>
      <c r="I2864" s="720">
        <f t="shared" si="636"/>
        <v>219.23999999999998</v>
      </c>
      <c r="J2864" s="805">
        <v>657.71999999999991</v>
      </c>
      <c r="K2864" s="131">
        <f t="shared" si="639"/>
        <v>657.71999999999991</v>
      </c>
      <c r="L2864" s="335">
        <f t="shared" si="632"/>
        <v>0</v>
      </c>
      <c r="M2864" s="446"/>
      <c r="N2864" s="446"/>
      <c r="O2864" s="446"/>
      <c r="P2864" s="446"/>
      <c r="Q2864" s="130">
        <v>1</v>
      </c>
      <c r="R2864" s="111">
        <f t="shared" si="641"/>
        <v>164.42999999999998</v>
      </c>
      <c r="S2864" s="110"/>
      <c r="T2864" s="110"/>
      <c r="U2864" s="130">
        <v>1</v>
      </c>
      <c r="V2864" s="111">
        <f t="shared" si="642"/>
        <v>164.42999999999998</v>
      </c>
      <c r="W2864" s="110"/>
      <c r="X2864" s="110"/>
      <c r="Y2864" s="110"/>
      <c r="Z2864" s="110"/>
      <c r="AA2864" s="130">
        <v>1</v>
      </c>
      <c r="AB2864" s="111">
        <f t="shared" si="637"/>
        <v>164.42999999999998</v>
      </c>
      <c r="AC2864" s="110"/>
      <c r="AD2864" s="110"/>
      <c r="AE2864" s="130">
        <v>0</v>
      </c>
      <c r="AF2864" s="111">
        <f t="shared" si="638"/>
        <v>164.42999999999998</v>
      </c>
      <c r="AG2864" s="110"/>
      <c r="AH2864" s="110"/>
      <c r="AI2864" s="110"/>
      <c r="AJ2864" s="110"/>
      <c r="AK2864" s="111">
        <f t="shared" si="633"/>
        <v>657.71999999999991</v>
      </c>
      <c r="AL2864" s="446">
        <f t="shared" si="634"/>
        <v>0</v>
      </c>
      <c r="AM2864" s="110">
        <f t="shared" si="635"/>
        <v>3</v>
      </c>
      <c r="AN2864" s="447">
        <f t="shared" si="640"/>
        <v>0</v>
      </c>
      <c r="AO2864"/>
      <c r="AP2864"/>
    </row>
    <row r="2865" spans="1:42" ht="66" x14ac:dyDescent="0.25">
      <c r="A2865" s="9"/>
      <c r="B2865" s="76" t="s">
        <v>1471</v>
      </c>
      <c r="C2865" s="1024"/>
      <c r="D2865" s="880">
        <v>1</v>
      </c>
      <c r="E2865" s="249" t="s">
        <v>2810</v>
      </c>
      <c r="F2865" s="273" t="s">
        <v>3446</v>
      </c>
      <c r="G2865" s="1040" t="s">
        <v>3463</v>
      </c>
      <c r="H2865" s="273" t="s">
        <v>3462</v>
      </c>
      <c r="I2865" s="720">
        <f t="shared" si="636"/>
        <v>563.76</v>
      </c>
      <c r="J2865" s="805">
        <v>563.76</v>
      </c>
      <c r="K2865" s="131">
        <f t="shared" si="639"/>
        <v>563.76</v>
      </c>
      <c r="L2865" s="335">
        <f t="shared" si="632"/>
        <v>0</v>
      </c>
      <c r="M2865" s="446"/>
      <c r="N2865" s="446"/>
      <c r="O2865" s="446"/>
      <c r="P2865" s="446"/>
      <c r="Q2865" s="110">
        <v>1</v>
      </c>
      <c r="R2865" s="111">
        <f t="shared" si="641"/>
        <v>140.94</v>
      </c>
      <c r="S2865" s="110"/>
      <c r="T2865" s="110"/>
      <c r="U2865" s="110">
        <v>0</v>
      </c>
      <c r="V2865" s="111">
        <f t="shared" si="642"/>
        <v>140.94</v>
      </c>
      <c r="W2865" s="110"/>
      <c r="X2865" s="110"/>
      <c r="Y2865" s="110"/>
      <c r="Z2865" s="110"/>
      <c r="AA2865" s="110">
        <v>0</v>
      </c>
      <c r="AB2865" s="111">
        <f t="shared" si="637"/>
        <v>140.94</v>
      </c>
      <c r="AC2865" s="110"/>
      <c r="AD2865" s="110"/>
      <c r="AE2865" s="110">
        <v>0</v>
      </c>
      <c r="AF2865" s="111">
        <f t="shared" si="638"/>
        <v>140.94</v>
      </c>
      <c r="AG2865" s="110"/>
      <c r="AH2865" s="110"/>
      <c r="AI2865" s="110"/>
      <c r="AJ2865" s="110"/>
      <c r="AK2865" s="111">
        <f t="shared" si="633"/>
        <v>563.76</v>
      </c>
      <c r="AL2865" s="446">
        <f t="shared" si="634"/>
        <v>0</v>
      </c>
      <c r="AM2865" s="110">
        <f t="shared" si="635"/>
        <v>1</v>
      </c>
      <c r="AN2865" s="447">
        <f t="shared" si="640"/>
        <v>0</v>
      </c>
      <c r="AO2865"/>
      <c r="AP2865"/>
    </row>
    <row r="2866" spans="1:42" ht="66" x14ac:dyDescent="0.25">
      <c r="A2866" s="9"/>
      <c r="B2866" s="552" t="s">
        <v>1620</v>
      </c>
      <c r="C2866" s="1024"/>
      <c r="D2866" s="880">
        <v>5</v>
      </c>
      <c r="E2866" s="249" t="s">
        <v>1723</v>
      </c>
      <c r="F2866" s="273" t="s">
        <v>3446</v>
      </c>
      <c r="G2866" s="1040" t="s">
        <v>3463</v>
      </c>
      <c r="H2866" s="273" t="s">
        <v>3462</v>
      </c>
      <c r="I2866" s="720">
        <f t="shared" si="636"/>
        <v>114.00479999999997</v>
      </c>
      <c r="J2866" s="805">
        <v>570.02399999999989</v>
      </c>
      <c r="K2866" s="131">
        <f t="shared" si="639"/>
        <v>570.02399999999989</v>
      </c>
      <c r="L2866" s="335">
        <f t="shared" si="632"/>
        <v>0</v>
      </c>
      <c r="M2866" s="446"/>
      <c r="N2866" s="446"/>
      <c r="O2866" s="446"/>
      <c r="P2866" s="446"/>
      <c r="Q2866" s="110">
        <v>2</v>
      </c>
      <c r="R2866" s="111">
        <f t="shared" si="641"/>
        <v>142.50599999999997</v>
      </c>
      <c r="S2866" s="110"/>
      <c r="T2866" s="110"/>
      <c r="U2866" s="110">
        <v>1</v>
      </c>
      <c r="V2866" s="111">
        <f t="shared" si="642"/>
        <v>142.50599999999997</v>
      </c>
      <c r="W2866" s="110"/>
      <c r="X2866" s="110"/>
      <c r="Y2866" s="110"/>
      <c r="Z2866" s="110"/>
      <c r="AA2866" s="110">
        <v>1</v>
      </c>
      <c r="AB2866" s="111">
        <f t="shared" si="637"/>
        <v>142.50599999999997</v>
      </c>
      <c r="AC2866" s="110"/>
      <c r="AD2866" s="110"/>
      <c r="AE2866" s="110">
        <v>1</v>
      </c>
      <c r="AF2866" s="111">
        <f t="shared" si="638"/>
        <v>142.50599999999997</v>
      </c>
      <c r="AG2866" s="110"/>
      <c r="AH2866" s="110"/>
      <c r="AI2866" s="110"/>
      <c r="AJ2866" s="110"/>
      <c r="AK2866" s="111">
        <f t="shared" si="633"/>
        <v>570.02399999999989</v>
      </c>
      <c r="AL2866" s="446">
        <f t="shared" si="634"/>
        <v>0</v>
      </c>
      <c r="AM2866" s="110">
        <f t="shared" si="635"/>
        <v>5</v>
      </c>
      <c r="AN2866" s="447">
        <f t="shared" si="640"/>
        <v>0</v>
      </c>
      <c r="AO2866"/>
      <c r="AP2866"/>
    </row>
    <row r="2867" spans="1:42" ht="66" x14ac:dyDescent="0.25">
      <c r="A2867" s="9"/>
      <c r="B2867" s="552" t="s">
        <v>1621</v>
      </c>
      <c r="C2867" s="1024"/>
      <c r="D2867" s="880">
        <v>5</v>
      </c>
      <c r="E2867" s="249" t="s">
        <v>1723</v>
      </c>
      <c r="F2867" s="273" t="s">
        <v>3446</v>
      </c>
      <c r="G2867" s="1040" t="s">
        <v>3463</v>
      </c>
      <c r="H2867" s="273" t="s">
        <v>3462</v>
      </c>
      <c r="I2867" s="720">
        <f t="shared" si="636"/>
        <v>110.87279999999998</v>
      </c>
      <c r="J2867" s="805">
        <v>554.36399999999992</v>
      </c>
      <c r="K2867" s="131">
        <f t="shared" si="639"/>
        <v>554.36399999999992</v>
      </c>
      <c r="L2867" s="335">
        <f t="shared" si="632"/>
        <v>0</v>
      </c>
      <c r="M2867" s="446"/>
      <c r="N2867" s="446"/>
      <c r="O2867" s="446"/>
      <c r="P2867" s="446"/>
      <c r="Q2867" s="110">
        <v>2</v>
      </c>
      <c r="R2867" s="111">
        <f t="shared" si="641"/>
        <v>138.59099999999998</v>
      </c>
      <c r="S2867" s="110"/>
      <c r="T2867" s="110"/>
      <c r="U2867" s="110">
        <v>1</v>
      </c>
      <c r="V2867" s="111">
        <f t="shared" si="642"/>
        <v>138.59099999999998</v>
      </c>
      <c r="W2867" s="110"/>
      <c r="X2867" s="110"/>
      <c r="Y2867" s="110"/>
      <c r="Z2867" s="110"/>
      <c r="AA2867" s="110">
        <v>1</v>
      </c>
      <c r="AB2867" s="111">
        <f t="shared" si="637"/>
        <v>138.59099999999998</v>
      </c>
      <c r="AC2867" s="110"/>
      <c r="AD2867" s="110"/>
      <c r="AE2867" s="110">
        <v>1</v>
      </c>
      <c r="AF2867" s="111">
        <f t="shared" si="638"/>
        <v>138.59099999999998</v>
      </c>
      <c r="AG2867" s="110"/>
      <c r="AH2867" s="110"/>
      <c r="AI2867" s="110"/>
      <c r="AJ2867" s="110"/>
      <c r="AK2867" s="111">
        <f t="shared" si="633"/>
        <v>554.36399999999992</v>
      </c>
      <c r="AL2867" s="446">
        <f t="shared" si="634"/>
        <v>0</v>
      </c>
      <c r="AM2867" s="110">
        <f t="shared" si="635"/>
        <v>5</v>
      </c>
      <c r="AN2867" s="447">
        <f t="shared" si="640"/>
        <v>0</v>
      </c>
      <c r="AO2867"/>
      <c r="AP2867"/>
    </row>
    <row r="2868" spans="1:42" ht="66" x14ac:dyDescent="0.25">
      <c r="A2868" s="9"/>
      <c r="B2868" s="552" t="s">
        <v>1627</v>
      </c>
      <c r="C2868" s="1024"/>
      <c r="D2868" s="880">
        <v>5</v>
      </c>
      <c r="E2868" s="249" t="s">
        <v>1723</v>
      </c>
      <c r="F2868" s="273" t="s">
        <v>3446</v>
      </c>
      <c r="G2868" s="1040" t="s">
        <v>3463</v>
      </c>
      <c r="H2868" s="273" t="s">
        <v>3462</v>
      </c>
      <c r="I2868" s="720">
        <f t="shared" si="636"/>
        <v>587.56319999999994</v>
      </c>
      <c r="J2868" s="805">
        <v>2937.8159999999998</v>
      </c>
      <c r="K2868" s="131">
        <f t="shared" si="639"/>
        <v>2937.8159999999998</v>
      </c>
      <c r="L2868" s="335">
        <f t="shared" ref="L2868:L2931" si="643">+J2868-K2868</f>
        <v>0</v>
      </c>
      <c r="M2868" s="446"/>
      <c r="N2868" s="446"/>
      <c r="O2868" s="446"/>
      <c r="P2868" s="446"/>
      <c r="Q2868" s="110">
        <v>2</v>
      </c>
      <c r="R2868" s="111">
        <f t="shared" si="641"/>
        <v>734.45399999999995</v>
      </c>
      <c r="S2868" s="110"/>
      <c r="T2868" s="110"/>
      <c r="U2868" s="110">
        <v>1</v>
      </c>
      <c r="V2868" s="111">
        <f t="shared" si="642"/>
        <v>734.45399999999995</v>
      </c>
      <c r="W2868" s="110"/>
      <c r="X2868" s="110"/>
      <c r="Y2868" s="110"/>
      <c r="Z2868" s="110"/>
      <c r="AA2868" s="110">
        <v>1</v>
      </c>
      <c r="AB2868" s="111">
        <f t="shared" si="637"/>
        <v>734.45399999999995</v>
      </c>
      <c r="AC2868" s="110"/>
      <c r="AD2868" s="110"/>
      <c r="AE2868" s="110">
        <v>1</v>
      </c>
      <c r="AF2868" s="111">
        <f t="shared" si="638"/>
        <v>734.45399999999995</v>
      </c>
      <c r="AG2868" s="110"/>
      <c r="AH2868" s="110"/>
      <c r="AI2868" s="110"/>
      <c r="AJ2868" s="110"/>
      <c r="AK2868" s="111">
        <f t="shared" ref="AK2868:AK2931" si="644">+R2868+V2868+AB2868+AF2868</f>
        <v>2937.8159999999998</v>
      </c>
      <c r="AL2868" s="446">
        <f t="shared" ref="AL2868:AL2931" si="645">+J2868-AK2868</f>
        <v>0</v>
      </c>
      <c r="AM2868" s="110">
        <f t="shared" ref="AM2868:AM2931" si="646">+Q2868+U2868+AA2868+AE2868</f>
        <v>5</v>
      </c>
      <c r="AN2868" s="447">
        <f t="shared" si="640"/>
        <v>0</v>
      </c>
      <c r="AO2868"/>
      <c r="AP2868"/>
    </row>
    <row r="2869" spans="1:42" ht="66" x14ac:dyDescent="0.25">
      <c r="A2869" s="9"/>
      <c r="B2869" s="552" t="s">
        <v>1628</v>
      </c>
      <c r="C2869" s="1024"/>
      <c r="D2869" s="880">
        <v>5</v>
      </c>
      <c r="E2869" s="249" t="s">
        <v>1723</v>
      </c>
      <c r="F2869" s="273" t="s">
        <v>3446</v>
      </c>
      <c r="G2869" s="1040" t="s">
        <v>3463</v>
      </c>
      <c r="H2869" s="273" t="s">
        <v>3462</v>
      </c>
      <c r="I2869" s="720">
        <f t="shared" si="636"/>
        <v>236.15279999999998</v>
      </c>
      <c r="J2869" s="805">
        <v>1180.7639999999999</v>
      </c>
      <c r="K2869" s="131">
        <f t="shared" si="639"/>
        <v>1180.7639999999999</v>
      </c>
      <c r="L2869" s="335">
        <f t="shared" si="643"/>
        <v>0</v>
      </c>
      <c r="M2869" s="446"/>
      <c r="N2869" s="446"/>
      <c r="O2869" s="446"/>
      <c r="P2869" s="446"/>
      <c r="Q2869" s="110">
        <v>2</v>
      </c>
      <c r="R2869" s="111">
        <f t="shared" si="641"/>
        <v>295.19099999999997</v>
      </c>
      <c r="S2869" s="110"/>
      <c r="T2869" s="110"/>
      <c r="U2869" s="110">
        <v>1</v>
      </c>
      <c r="V2869" s="111">
        <f t="shared" si="642"/>
        <v>295.19099999999997</v>
      </c>
      <c r="W2869" s="110"/>
      <c r="X2869" s="110"/>
      <c r="Y2869" s="110"/>
      <c r="Z2869" s="110"/>
      <c r="AA2869" s="110">
        <v>1</v>
      </c>
      <c r="AB2869" s="111">
        <f t="shared" si="637"/>
        <v>295.19099999999997</v>
      </c>
      <c r="AC2869" s="110"/>
      <c r="AD2869" s="110"/>
      <c r="AE2869" s="110">
        <v>1</v>
      </c>
      <c r="AF2869" s="111">
        <f t="shared" si="638"/>
        <v>295.19099999999997</v>
      </c>
      <c r="AG2869" s="110"/>
      <c r="AH2869" s="110"/>
      <c r="AI2869" s="110"/>
      <c r="AJ2869" s="110"/>
      <c r="AK2869" s="111">
        <f t="shared" si="644"/>
        <v>1180.7639999999999</v>
      </c>
      <c r="AL2869" s="446">
        <f t="shared" si="645"/>
        <v>0</v>
      </c>
      <c r="AM2869" s="110">
        <f t="shared" si="646"/>
        <v>5</v>
      </c>
      <c r="AN2869" s="447">
        <f t="shared" si="640"/>
        <v>0</v>
      </c>
      <c r="AO2869"/>
      <c r="AP2869"/>
    </row>
    <row r="2870" spans="1:42" ht="66" x14ac:dyDescent="0.25">
      <c r="A2870" s="9"/>
      <c r="B2870" s="571" t="s">
        <v>634</v>
      </c>
      <c r="C2870" s="1024"/>
      <c r="D2870" s="880">
        <v>60</v>
      </c>
      <c r="E2870" s="249" t="s">
        <v>2599</v>
      </c>
      <c r="F2870" s="273" t="s">
        <v>3446</v>
      </c>
      <c r="G2870" s="1040" t="s">
        <v>3463</v>
      </c>
      <c r="H2870" s="273" t="s">
        <v>3462</v>
      </c>
      <c r="I2870" s="720">
        <f t="shared" si="636"/>
        <v>125.27999999999999</v>
      </c>
      <c r="J2870" s="805">
        <v>7516.7999999999993</v>
      </c>
      <c r="K2870" s="131">
        <f t="shared" si="639"/>
        <v>7516.7999999999993</v>
      </c>
      <c r="L2870" s="335">
        <f t="shared" si="643"/>
        <v>0</v>
      </c>
      <c r="M2870" s="446"/>
      <c r="N2870" s="446"/>
      <c r="O2870" s="446"/>
      <c r="P2870" s="446"/>
      <c r="Q2870" s="110">
        <f t="shared" ref="Q2870:Q2900" si="647">+$D2870/4</f>
        <v>15</v>
      </c>
      <c r="R2870" s="111">
        <f t="shared" si="641"/>
        <v>1879.1999999999998</v>
      </c>
      <c r="S2870" s="110"/>
      <c r="T2870" s="110"/>
      <c r="U2870" s="110">
        <f t="shared" ref="U2870:U2900" si="648">+$D2870/4</f>
        <v>15</v>
      </c>
      <c r="V2870" s="111">
        <f t="shared" si="642"/>
        <v>1879.1999999999998</v>
      </c>
      <c r="W2870" s="110"/>
      <c r="X2870" s="110"/>
      <c r="Y2870" s="110"/>
      <c r="Z2870" s="110"/>
      <c r="AA2870" s="110">
        <f t="shared" ref="AA2870:AE2900" si="649">+$D2870/4</f>
        <v>15</v>
      </c>
      <c r="AB2870" s="111">
        <f t="shared" si="637"/>
        <v>1879.1999999999998</v>
      </c>
      <c r="AC2870" s="110"/>
      <c r="AD2870" s="110"/>
      <c r="AE2870" s="110">
        <f t="shared" si="649"/>
        <v>15</v>
      </c>
      <c r="AF2870" s="111">
        <f t="shared" si="638"/>
        <v>1879.1999999999998</v>
      </c>
      <c r="AG2870" s="110"/>
      <c r="AH2870" s="110"/>
      <c r="AI2870" s="110"/>
      <c r="AJ2870" s="110"/>
      <c r="AK2870" s="111">
        <f t="shared" si="644"/>
        <v>7516.7999999999993</v>
      </c>
      <c r="AL2870" s="446">
        <f t="shared" si="645"/>
        <v>0</v>
      </c>
      <c r="AM2870" s="110">
        <f t="shared" si="646"/>
        <v>60</v>
      </c>
      <c r="AN2870" s="447">
        <f t="shared" si="640"/>
        <v>0</v>
      </c>
      <c r="AO2870"/>
      <c r="AP2870"/>
    </row>
    <row r="2871" spans="1:42" ht="66" x14ac:dyDescent="0.25">
      <c r="A2871" s="9"/>
      <c r="B2871" s="571" t="s">
        <v>2785</v>
      </c>
      <c r="C2871" s="1024"/>
      <c r="D2871" s="880">
        <v>3</v>
      </c>
      <c r="E2871" s="249" t="s">
        <v>2443</v>
      </c>
      <c r="F2871" s="273" t="s">
        <v>3446</v>
      </c>
      <c r="G2871" s="1040" t="s">
        <v>3463</v>
      </c>
      <c r="H2871" s="273" t="s">
        <v>3462</v>
      </c>
      <c r="I2871" s="720">
        <f t="shared" si="636"/>
        <v>871.94879999999978</v>
      </c>
      <c r="J2871" s="805">
        <v>2615.8463999999994</v>
      </c>
      <c r="K2871" s="131">
        <f t="shared" si="639"/>
        <v>2615.8463999999994</v>
      </c>
      <c r="L2871" s="335">
        <f t="shared" si="643"/>
        <v>0</v>
      </c>
      <c r="M2871" s="446"/>
      <c r="N2871" s="446"/>
      <c r="O2871" s="446"/>
      <c r="P2871" s="446"/>
      <c r="Q2871" s="130">
        <v>1</v>
      </c>
      <c r="R2871" s="111">
        <f t="shared" si="641"/>
        <v>653.96159999999986</v>
      </c>
      <c r="S2871" s="110"/>
      <c r="T2871" s="110"/>
      <c r="U2871" s="130">
        <v>1</v>
      </c>
      <c r="V2871" s="111">
        <f t="shared" si="642"/>
        <v>653.96159999999986</v>
      </c>
      <c r="W2871" s="110"/>
      <c r="X2871" s="110"/>
      <c r="Y2871" s="110"/>
      <c r="Z2871" s="110"/>
      <c r="AA2871" s="130">
        <v>1</v>
      </c>
      <c r="AB2871" s="111">
        <f t="shared" si="637"/>
        <v>653.96159999999986</v>
      </c>
      <c r="AC2871" s="110"/>
      <c r="AD2871" s="110"/>
      <c r="AE2871" s="130">
        <v>0</v>
      </c>
      <c r="AF2871" s="111">
        <f t="shared" si="638"/>
        <v>653.96159999999986</v>
      </c>
      <c r="AG2871" s="110"/>
      <c r="AH2871" s="110"/>
      <c r="AI2871" s="110"/>
      <c r="AJ2871" s="110"/>
      <c r="AK2871" s="111">
        <f t="shared" si="644"/>
        <v>2615.8463999999994</v>
      </c>
      <c r="AL2871" s="446">
        <f t="shared" si="645"/>
        <v>0</v>
      </c>
      <c r="AM2871" s="110">
        <f t="shared" si="646"/>
        <v>3</v>
      </c>
      <c r="AN2871" s="447">
        <f t="shared" si="640"/>
        <v>0</v>
      </c>
      <c r="AO2871"/>
      <c r="AP2871"/>
    </row>
    <row r="2872" spans="1:42" ht="66" x14ac:dyDescent="0.25">
      <c r="A2872" s="9"/>
      <c r="B2872" s="571" t="s">
        <v>1635</v>
      </c>
      <c r="C2872" s="1024"/>
      <c r="D2872" s="880">
        <v>3</v>
      </c>
      <c r="E2872" s="249" t="s">
        <v>1722</v>
      </c>
      <c r="F2872" s="273" t="s">
        <v>3446</v>
      </c>
      <c r="G2872" s="1040" t="s">
        <v>3463</v>
      </c>
      <c r="H2872" s="273" t="s">
        <v>3462</v>
      </c>
      <c r="I2872" s="720">
        <f t="shared" si="636"/>
        <v>87.695999999999984</v>
      </c>
      <c r="J2872" s="805">
        <v>263.08799999999997</v>
      </c>
      <c r="K2872" s="131">
        <f t="shared" si="639"/>
        <v>263.08799999999997</v>
      </c>
      <c r="L2872" s="335">
        <f t="shared" si="643"/>
        <v>0</v>
      </c>
      <c r="M2872" s="446"/>
      <c r="N2872" s="446"/>
      <c r="O2872" s="446"/>
      <c r="P2872" s="446"/>
      <c r="Q2872" s="130">
        <v>1</v>
      </c>
      <c r="R2872" s="111">
        <f t="shared" si="641"/>
        <v>65.771999999999991</v>
      </c>
      <c r="S2872" s="110"/>
      <c r="T2872" s="110"/>
      <c r="U2872" s="130">
        <v>1</v>
      </c>
      <c r="V2872" s="111">
        <f t="shared" si="642"/>
        <v>65.771999999999991</v>
      </c>
      <c r="W2872" s="110"/>
      <c r="X2872" s="110"/>
      <c r="Y2872" s="110"/>
      <c r="Z2872" s="110"/>
      <c r="AA2872" s="130">
        <v>1</v>
      </c>
      <c r="AB2872" s="111">
        <f t="shared" si="637"/>
        <v>65.771999999999991</v>
      </c>
      <c r="AC2872" s="110"/>
      <c r="AD2872" s="110"/>
      <c r="AE2872" s="130">
        <v>0</v>
      </c>
      <c r="AF2872" s="111">
        <f t="shared" si="638"/>
        <v>65.771999999999991</v>
      </c>
      <c r="AG2872" s="110"/>
      <c r="AH2872" s="110"/>
      <c r="AI2872" s="110"/>
      <c r="AJ2872" s="110"/>
      <c r="AK2872" s="111">
        <f t="shared" si="644"/>
        <v>263.08799999999997</v>
      </c>
      <c r="AL2872" s="446">
        <f t="shared" si="645"/>
        <v>0</v>
      </c>
      <c r="AM2872" s="110">
        <f t="shared" si="646"/>
        <v>3</v>
      </c>
      <c r="AN2872" s="447">
        <f t="shared" si="640"/>
        <v>0</v>
      </c>
      <c r="AO2872"/>
      <c r="AP2872"/>
    </row>
    <row r="2873" spans="1:42" ht="66" x14ac:dyDescent="0.25">
      <c r="A2873" s="9"/>
      <c r="B2873" s="571" t="s">
        <v>2786</v>
      </c>
      <c r="C2873" s="1024"/>
      <c r="D2873" s="880">
        <v>3</v>
      </c>
      <c r="E2873" s="249" t="s">
        <v>2247</v>
      </c>
      <c r="F2873" s="273" t="s">
        <v>3446</v>
      </c>
      <c r="G2873" s="1040" t="s">
        <v>3463</v>
      </c>
      <c r="H2873" s="273" t="s">
        <v>3462</v>
      </c>
      <c r="I2873" s="720">
        <f t="shared" si="636"/>
        <v>325.72800000000001</v>
      </c>
      <c r="J2873" s="805">
        <v>977.18399999999997</v>
      </c>
      <c r="K2873" s="131">
        <f t="shared" si="639"/>
        <v>977.18399999999997</v>
      </c>
      <c r="L2873" s="335">
        <f t="shared" si="643"/>
        <v>0</v>
      </c>
      <c r="M2873" s="446"/>
      <c r="N2873" s="446"/>
      <c r="O2873" s="446"/>
      <c r="P2873" s="446"/>
      <c r="Q2873" s="130">
        <v>1</v>
      </c>
      <c r="R2873" s="111">
        <f t="shared" si="641"/>
        <v>244.29599999999999</v>
      </c>
      <c r="S2873" s="110"/>
      <c r="T2873" s="110"/>
      <c r="U2873" s="130">
        <v>1</v>
      </c>
      <c r="V2873" s="111">
        <f t="shared" si="642"/>
        <v>244.29599999999999</v>
      </c>
      <c r="W2873" s="110"/>
      <c r="X2873" s="110"/>
      <c r="Y2873" s="110"/>
      <c r="Z2873" s="110"/>
      <c r="AA2873" s="130">
        <v>1</v>
      </c>
      <c r="AB2873" s="111">
        <f t="shared" si="637"/>
        <v>244.29599999999999</v>
      </c>
      <c r="AC2873" s="110"/>
      <c r="AD2873" s="110"/>
      <c r="AE2873" s="130">
        <v>0</v>
      </c>
      <c r="AF2873" s="111">
        <f t="shared" si="638"/>
        <v>244.29599999999999</v>
      </c>
      <c r="AG2873" s="110"/>
      <c r="AH2873" s="110"/>
      <c r="AI2873" s="110"/>
      <c r="AJ2873" s="110"/>
      <c r="AK2873" s="111">
        <f t="shared" si="644"/>
        <v>977.18399999999997</v>
      </c>
      <c r="AL2873" s="446">
        <f t="shared" si="645"/>
        <v>0</v>
      </c>
      <c r="AM2873" s="110">
        <f t="shared" si="646"/>
        <v>3</v>
      </c>
      <c r="AN2873" s="447">
        <f t="shared" si="640"/>
        <v>0</v>
      </c>
      <c r="AO2873"/>
      <c r="AP2873"/>
    </row>
    <row r="2874" spans="1:42" ht="66" x14ac:dyDescent="0.25">
      <c r="A2874" s="9"/>
      <c r="B2874" s="571" t="s">
        <v>2787</v>
      </c>
      <c r="C2874" s="1024"/>
      <c r="D2874" s="880">
        <v>1</v>
      </c>
      <c r="E2874" s="249" t="s">
        <v>1722</v>
      </c>
      <c r="F2874" s="273" t="s">
        <v>3446</v>
      </c>
      <c r="G2874" s="1040" t="s">
        <v>3463</v>
      </c>
      <c r="H2874" s="273" t="s">
        <v>3462</v>
      </c>
      <c r="I2874" s="720">
        <f t="shared" si="636"/>
        <v>168.2</v>
      </c>
      <c r="J2874" s="805">
        <v>168.2</v>
      </c>
      <c r="K2874" s="131">
        <f t="shared" si="639"/>
        <v>168.2</v>
      </c>
      <c r="L2874" s="335">
        <f t="shared" si="643"/>
        <v>0</v>
      </c>
      <c r="M2874" s="446"/>
      <c r="N2874" s="446"/>
      <c r="O2874" s="446"/>
      <c r="P2874" s="446"/>
      <c r="Q2874" s="110">
        <v>1</v>
      </c>
      <c r="R2874" s="111">
        <f t="shared" si="641"/>
        <v>42.05</v>
      </c>
      <c r="S2874" s="110"/>
      <c r="T2874" s="110"/>
      <c r="U2874" s="110">
        <v>0</v>
      </c>
      <c r="V2874" s="111">
        <f t="shared" si="642"/>
        <v>42.05</v>
      </c>
      <c r="W2874" s="110"/>
      <c r="X2874" s="110"/>
      <c r="Y2874" s="110"/>
      <c r="Z2874" s="110"/>
      <c r="AA2874" s="110">
        <v>0</v>
      </c>
      <c r="AB2874" s="111">
        <f t="shared" si="637"/>
        <v>42.05</v>
      </c>
      <c r="AC2874" s="110"/>
      <c r="AD2874" s="110"/>
      <c r="AE2874" s="110">
        <v>0</v>
      </c>
      <c r="AF2874" s="111">
        <f t="shared" si="638"/>
        <v>42.05</v>
      </c>
      <c r="AG2874" s="110"/>
      <c r="AH2874" s="110"/>
      <c r="AI2874" s="110"/>
      <c r="AJ2874" s="110"/>
      <c r="AK2874" s="111">
        <f t="shared" si="644"/>
        <v>168.2</v>
      </c>
      <c r="AL2874" s="446">
        <f t="shared" si="645"/>
        <v>0</v>
      </c>
      <c r="AM2874" s="110">
        <f t="shared" si="646"/>
        <v>1</v>
      </c>
      <c r="AN2874" s="447">
        <f t="shared" si="640"/>
        <v>0</v>
      </c>
      <c r="AO2874"/>
      <c r="AP2874"/>
    </row>
    <row r="2875" spans="1:42" ht="66" x14ac:dyDescent="0.25">
      <c r="A2875" s="9"/>
      <c r="B2875" s="571" t="s">
        <v>2788</v>
      </c>
      <c r="C2875" s="1024"/>
      <c r="D2875" s="880">
        <v>1</v>
      </c>
      <c r="E2875" s="249" t="s">
        <v>1722</v>
      </c>
      <c r="F2875" s="273" t="s">
        <v>3446</v>
      </c>
      <c r="G2875" s="1040" t="s">
        <v>3463</v>
      </c>
      <c r="H2875" s="273" t="s">
        <v>3462</v>
      </c>
      <c r="I2875" s="720">
        <f t="shared" ref="I2875:I2938" si="650">+J2875/D2875</f>
        <v>168.2</v>
      </c>
      <c r="J2875" s="805">
        <v>168.2</v>
      </c>
      <c r="K2875" s="131">
        <f t="shared" si="639"/>
        <v>168.2</v>
      </c>
      <c r="L2875" s="335">
        <f t="shared" si="643"/>
        <v>0</v>
      </c>
      <c r="M2875" s="446"/>
      <c r="N2875" s="446"/>
      <c r="O2875" s="446"/>
      <c r="P2875" s="446"/>
      <c r="Q2875" s="110">
        <v>1</v>
      </c>
      <c r="R2875" s="111">
        <f t="shared" si="641"/>
        <v>42.05</v>
      </c>
      <c r="S2875" s="110"/>
      <c r="T2875" s="110"/>
      <c r="U2875" s="110">
        <v>0</v>
      </c>
      <c r="V2875" s="111">
        <f t="shared" si="642"/>
        <v>42.05</v>
      </c>
      <c r="W2875" s="110"/>
      <c r="X2875" s="110"/>
      <c r="Y2875" s="110"/>
      <c r="Z2875" s="110"/>
      <c r="AA2875" s="110">
        <v>0</v>
      </c>
      <c r="AB2875" s="111">
        <f t="shared" si="637"/>
        <v>42.05</v>
      </c>
      <c r="AC2875" s="110"/>
      <c r="AD2875" s="110"/>
      <c r="AE2875" s="110">
        <v>0</v>
      </c>
      <c r="AF2875" s="111">
        <f t="shared" si="638"/>
        <v>42.05</v>
      </c>
      <c r="AG2875" s="110"/>
      <c r="AH2875" s="110"/>
      <c r="AI2875" s="110"/>
      <c r="AJ2875" s="110"/>
      <c r="AK2875" s="111">
        <f t="shared" si="644"/>
        <v>168.2</v>
      </c>
      <c r="AL2875" s="446">
        <f t="shared" si="645"/>
        <v>0</v>
      </c>
      <c r="AM2875" s="110">
        <f t="shared" si="646"/>
        <v>1</v>
      </c>
      <c r="AN2875" s="447">
        <f t="shared" si="640"/>
        <v>0</v>
      </c>
      <c r="AO2875"/>
      <c r="AP2875"/>
    </row>
    <row r="2876" spans="1:42" ht="66" x14ac:dyDescent="0.25">
      <c r="A2876" s="9"/>
      <c r="B2876" s="571" t="s">
        <v>2789</v>
      </c>
      <c r="C2876" s="1024"/>
      <c r="D2876" s="880">
        <v>1</v>
      </c>
      <c r="E2876" s="249" t="s">
        <v>1722</v>
      </c>
      <c r="F2876" s="273" t="s">
        <v>3446</v>
      </c>
      <c r="G2876" s="1040" t="s">
        <v>3463</v>
      </c>
      <c r="H2876" s="273" t="s">
        <v>3462</v>
      </c>
      <c r="I2876" s="720">
        <f t="shared" si="650"/>
        <v>168.2</v>
      </c>
      <c r="J2876" s="805">
        <v>168.2</v>
      </c>
      <c r="K2876" s="131">
        <f t="shared" si="639"/>
        <v>168.2</v>
      </c>
      <c r="L2876" s="335">
        <f t="shared" si="643"/>
        <v>0</v>
      </c>
      <c r="M2876" s="446"/>
      <c r="N2876" s="446"/>
      <c r="O2876" s="446"/>
      <c r="P2876" s="446"/>
      <c r="Q2876" s="110">
        <v>1</v>
      </c>
      <c r="R2876" s="111">
        <f t="shared" si="641"/>
        <v>42.05</v>
      </c>
      <c r="S2876" s="110"/>
      <c r="T2876" s="110"/>
      <c r="U2876" s="110">
        <v>0</v>
      </c>
      <c r="V2876" s="111">
        <f t="shared" si="642"/>
        <v>42.05</v>
      </c>
      <c r="W2876" s="110"/>
      <c r="X2876" s="110"/>
      <c r="Y2876" s="110"/>
      <c r="Z2876" s="110"/>
      <c r="AA2876" s="110">
        <v>0</v>
      </c>
      <c r="AB2876" s="111">
        <f t="shared" si="637"/>
        <v>42.05</v>
      </c>
      <c r="AC2876" s="110"/>
      <c r="AD2876" s="110"/>
      <c r="AE2876" s="110">
        <v>0</v>
      </c>
      <c r="AF2876" s="111">
        <f t="shared" si="638"/>
        <v>42.05</v>
      </c>
      <c r="AG2876" s="110"/>
      <c r="AH2876" s="110"/>
      <c r="AI2876" s="110"/>
      <c r="AJ2876" s="110"/>
      <c r="AK2876" s="111">
        <f t="shared" si="644"/>
        <v>168.2</v>
      </c>
      <c r="AL2876" s="446">
        <f t="shared" si="645"/>
        <v>0</v>
      </c>
      <c r="AM2876" s="110">
        <f t="shared" si="646"/>
        <v>1</v>
      </c>
      <c r="AN2876" s="447">
        <f t="shared" si="640"/>
        <v>0</v>
      </c>
      <c r="AO2876"/>
      <c r="AP2876"/>
    </row>
    <row r="2877" spans="1:42" ht="66" x14ac:dyDescent="0.25">
      <c r="A2877" s="9"/>
      <c r="B2877" s="571" t="s">
        <v>2790</v>
      </c>
      <c r="C2877" s="1024"/>
      <c r="D2877" s="880">
        <v>1</v>
      </c>
      <c r="E2877" s="249" t="s">
        <v>1722</v>
      </c>
      <c r="F2877" s="273" t="s">
        <v>3446</v>
      </c>
      <c r="G2877" s="1040" t="s">
        <v>3463</v>
      </c>
      <c r="H2877" s="273" t="s">
        <v>3462</v>
      </c>
      <c r="I2877" s="720">
        <f t="shared" si="650"/>
        <v>168.2</v>
      </c>
      <c r="J2877" s="805">
        <v>168.2</v>
      </c>
      <c r="K2877" s="131">
        <f t="shared" si="639"/>
        <v>168.2</v>
      </c>
      <c r="L2877" s="335">
        <f t="shared" si="643"/>
        <v>0</v>
      </c>
      <c r="M2877" s="446"/>
      <c r="N2877" s="446"/>
      <c r="O2877" s="446"/>
      <c r="P2877" s="446"/>
      <c r="Q2877" s="110">
        <v>1</v>
      </c>
      <c r="R2877" s="111">
        <f t="shared" si="641"/>
        <v>42.05</v>
      </c>
      <c r="S2877" s="110"/>
      <c r="T2877" s="110"/>
      <c r="U2877" s="110">
        <v>0</v>
      </c>
      <c r="V2877" s="111">
        <f t="shared" si="642"/>
        <v>42.05</v>
      </c>
      <c r="W2877" s="110"/>
      <c r="X2877" s="110"/>
      <c r="Y2877" s="110"/>
      <c r="Z2877" s="110"/>
      <c r="AA2877" s="110">
        <v>0</v>
      </c>
      <c r="AB2877" s="111">
        <f t="shared" si="637"/>
        <v>42.05</v>
      </c>
      <c r="AC2877" s="110"/>
      <c r="AD2877" s="110"/>
      <c r="AE2877" s="110">
        <v>0</v>
      </c>
      <c r="AF2877" s="111">
        <f t="shared" si="638"/>
        <v>42.05</v>
      </c>
      <c r="AG2877" s="110"/>
      <c r="AH2877" s="110"/>
      <c r="AI2877" s="110"/>
      <c r="AJ2877" s="110"/>
      <c r="AK2877" s="111">
        <f t="shared" si="644"/>
        <v>168.2</v>
      </c>
      <c r="AL2877" s="446">
        <f t="shared" si="645"/>
        <v>0</v>
      </c>
      <c r="AM2877" s="110">
        <f t="shared" si="646"/>
        <v>1</v>
      </c>
      <c r="AN2877" s="447">
        <f t="shared" si="640"/>
        <v>0</v>
      </c>
      <c r="AO2877"/>
      <c r="AP2877"/>
    </row>
    <row r="2878" spans="1:42" ht="66" x14ac:dyDescent="0.25">
      <c r="A2878" s="9"/>
      <c r="B2878" s="571" t="s">
        <v>2791</v>
      </c>
      <c r="C2878" s="1024"/>
      <c r="D2878" s="880">
        <v>1</v>
      </c>
      <c r="E2878" s="249" t="s">
        <v>1722</v>
      </c>
      <c r="F2878" s="273" t="s">
        <v>3446</v>
      </c>
      <c r="G2878" s="1040" t="s">
        <v>3463</v>
      </c>
      <c r="H2878" s="273" t="s">
        <v>3462</v>
      </c>
      <c r="I2878" s="720">
        <f t="shared" si="650"/>
        <v>353.79999999999995</v>
      </c>
      <c r="J2878" s="805">
        <v>353.79999999999995</v>
      </c>
      <c r="K2878" s="131">
        <f t="shared" si="639"/>
        <v>353.79999999999995</v>
      </c>
      <c r="L2878" s="335">
        <f t="shared" si="643"/>
        <v>0</v>
      </c>
      <c r="M2878" s="446"/>
      <c r="N2878" s="446"/>
      <c r="O2878" s="446"/>
      <c r="P2878" s="446"/>
      <c r="Q2878" s="110">
        <v>1</v>
      </c>
      <c r="R2878" s="111">
        <f t="shared" si="641"/>
        <v>88.449999999999989</v>
      </c>
      <c r="S2878" s="110"/>
      <c r="T2878" s="110"/>
      <c r="U2878" s="110">
        <v>0</v>
      </c>
      <c r="V2878" s="111">
        <f t="shared" si="642"/>
        <v>88.449999999999989</v>
      </c>
      <c r="W2878" s="110"/>
      <c r="X2878" s="110"/>
      <c r="Y2878" s="110"/>
      <c r="Z2878" s="110"/>
      <c r="AA2878" s="110">
        <v>0</v>
      </c>
      <c r="AB2878" s="111">
        <f t="shared" si="637"/>
        <v>88.449999999999989</v>
      </c>
      <c r="AC2878" s="110"/>
      <c r="AD2878" s="110"/>
      <c r="AE2878" s="110">
        <v>0</v>
      </c>
      <c r="AF2878" s="111">
        <f t="shared" si="638"/>
        <v>88.449999999999989</v>
      </c>
      <c r="AG2878" s="110"/>
      <c r="AH2878" s="110"/>
      <c r="AI2878" s="110"/>
      <c r="AJ2878" s="110"/>
      <c r="AK2878" s="111">
        <f t="shared" si="644"/>
        <v>353.79999999999995</v>
      </c>
      <c r="AL2878" s="446">
        <f t="shared" si="645"/>
        <v>0</v>
      </c>
      <c r="AM2878" s="110">
        <f t="shared" si="646"/>
        <v>1</v>
      </c>
      <c r="AN2878" s="447">
        <f t="shared" si="640"/>
        <v>0</v>
      </c>
      <c r="AO2878"/>
      <c r="AP2878"/>
    </row>
    <row r="2879" spans="1:42" ht="66" x14ac:dyDescent="0.25">
      <c r="A2879" s="9"/>
      <c r="B2879" s="571" t="s">
        <v>2792</v>
      </c>
      <c r="C2879" s="1024"/>
      <c r="D2879" s="880">
        <v>1</v>
      </c>
      <c r="E2879" s="249" t="s">
        <v>1722</v>
      </c>
      <c r="F2879" s="273" t="s">
        <v>3446</v>
      </c>
      <c r="G2879" s="1040" t="s">
        <v>3463</v>
      </c>
      <c r="H2879" s="273" t="s">
        <v>3462</v>
      </c>
      <c r="I2879" s="720">
        <f t="shared" si="650"/>
        <v>127.6</v>
      </c>
      <c r="J2879" s="805">
        <v>127.6</v>
      </c>
      <c r="K2879" s="131">
        <f t="shared" si="639"/>
        <v>127.6</v>
      </c>
      <c r="L2879" s="335">
        <f t="shared" si="643"/>
        <v>0</v>
      </c>
      <c r="M2879" s="446"/>
      <c r="N2879" s="446"/>
      <c r="O2879" s="446"/>
      <c r="P2879" s="446"/>
      <c r="Q2879" s="110">
        <v>1</v>
      </c>
      <c r="R2879" s="111">
        <f t="shared" si="641"/>
        <v>31.9</v>
      </c>
      <c r="S2879" s="110"/>
      <c r="T2879" s="110"/>
      <c r="U2879" s="110">
        <v>0</v>
      </c>
      <c r="V2879" s="111">
        <f t="shared" si="642"/>
        <v>31.9</v>
      </c>
      <c r="W2879" s="110"/>
      <c r="X2879" s="110"/>
      <c r="Y2879" s="110"/>
      <c r="Z2879" s="110"/>
      <c r="AA2879" s="110">
        <v>0</v>
      </c>
      <c r="AB2879" s="111">
        <f t="shared" si="637"/>
        <v>31.9</v>
      </c>
      <c r="AC2879" s="110"/>
      <c r="AD2879" s="110"/>
      <c r="AE2879" s="110">
        <v>0</v>
      </c>
      <c r="AF2879" s="111">
        <f t="shared" si="638"/>
        <v>31.9</v>
      </c>
      <c r="AG2879" s="110"/>
      <c r="AH2879" s="110"/>
      <c r="AI2879" s="110"/>
      <c r="AJ2879" s="110"/>
      <c r="AK2879" s="111">
        <f t="shared" si="644"/>
        <v>127.6</v>
      </c>
      <c r="AL2879" s="446">
        <f t="shared" si="645"/>
        <v>0</v>
      </c>
      <c r="AM2879" s="110">
        <f t="shared" si="646"/>
        <v>1</v>
      </c>
      <c r="AN2879" s="447">
        <f t="shared" si="640"/>
        <v>0</v>
      </c>
      <c r="AO2879"/>
      <c r="AP2879"/>
    </row>
    <row r="2880" spans="1:42" ht="66" x14ac:dyDescent="0.25">
      <c r="A2880" s="9"/>
      <c r="B2880" s="571" t="s">
        <v>2793</v>
      </c>
      <c r="C2880" s="1024"/>
      <c r="D2880" s="880">
        <v>1</v>
      </c>
      <c r="E2880" s="249" t="s">
        <v>1722</v>
      </c>
      <c r="F2880" s="273" t="s">
        <v>3446</v>
      </c>
      <c r="G2880" s="1040" t="s">
        <v>3463</v>
      </c>
      <c r="H2880" s="273" t="s">
        <v>3462</v>
      </c>
      <c r="I2880" s="720">
        <f t="shared" si="650"/>
        <v>92.8</v>
      </c>
      <c r="J2880" s="805">
        <v>92.8</v>
      </c>
      <c r="K2880" s="131">
        <f t="shared" si="639"/>
        <v>92.8</v>
      </c>
      <c r="L2880" s="335">
        <f t="shared" si="643"/>
        <v>0</v>
      </c>
      <c r="M2880" s="446"/>
      <c r="N2880" s="446"/>
      <c r="O2880" s="446"/>
      <c r="P2880" s="446"/>
      <c r="Q2880" s="110">
        <v>1</v>
      </c>
      <c r="R2880" s="111">
        <f t="shared" si="641"/>
        <v>23.2</v>
      </c>
      <c r="S2880" s="110"/>
      <c r="T2880" s="110"/>
      <c r="U2880" s="110">
        <v>0</v>
      </c>
      <c r="V2880" s="111">
        <f t="shared" si="642"/>
        <v>23.2</v>
      </c>
      <c r="W2880" s="110"/>
      <c r="X2880" s="110"/>
      <c r="Y2880" s="110"/>
      <c r="Z2880" s="110"/>
      <c r="AA2880" s="110">
        <v>0</v>
      </c>
      <c r="AB2880" s="111">
        <f t="shared" si="637"/>
        <v>23.2</v>
      </c>
      <c r="AC2880" s="110"/>
      <c r="AD2880" s="110"/>
      <c r="AE2880" s="110">
        <v>0</v>
      </c>
      <c r="AF2880" s="111">
        <f t="shared" si="638"/>
        <v>23.2</v>
      </c>
      <c r="AG2880" s="110"/>
      <c r="AH2880" s="110"/>
      <c r="AI2880" s="110"/>
      <c r="AJ2880" s="110"/>
      <c r="AK2880" s="111">
        <f t="shared" si="644"/>
        <v>92.8</v>
      </c>
      <c r="AL2880" s="446">
        <f t="shared" si="645"/>
        <v>0</v>
      </c>
      <c r="AM2880" s="110">
        <f t="shared" si="646"/>
        <v>1</v>
      </c>
      <c r="AN2880" s="447">
        <f t="shared" si="640"/>
        <v>0</v>
      </c>
      <c r="AO2880"/>
      <c r="AP2880"/>
    </row>
    <row r="2881" spans="1:42" ht="66" x14ac:dyDescent="0.25">
      <c r="A2881" s="9"/>
      <c r="B2881" s="571" t="s">
        <v>2794</v>
      </c>
      <c r="C2881" s="1024"/>
      <c r="D2881" s="880">
        <v>1</v>
      </c>
      <c r="E2881" s="249" t="s">
        <v>1722</v>
      </c>
      <c r="F2881" s="273" t="s">
        <v>3446</v>
      </c>
      <c r="G2881" s="1040" t="s">
        <v>3463</v>
      </c>
      <c r="H2881" s="273" t="s">
        <v>3462</v>
      </c>
      <c r="I2881" s="720">
        <f t="shared" si="650"/>
        <v>34.799999999999997</v>
      </c>
      <c r="J2881" s="805">
        <v>34.799999999999997</v>
      </c>
      <c r="K2881" s="131">
        <f t="shared" si="639"/>
        <v>34.799999999999997</v>
      </c>
      <c r="L2881" s="335">
        <f t="shared" si="643"/>
        <v>0</v>
      </c>
      <c r="M2881" s="446"/>
      <c r="N2881" s="446"/>
      <c r="O2881" s="446"/>
      <c r="P2881" s="446"/>
      <c r="Q2881" s="110">
        <v>1</v>
      </c>
      <c r="R2881" s="111">
        <f t="shared" si="641"/>
        <v>8.6999999999999993</v>
      </c>
      <c r="S2881" s="110"/>
      <c r="T2881" s="110"/>
      <c r="U2881" s="110">
        <v>0</v>
      </c>
      <c r="V2881" s="111">
        <f t="shared" si="642"/>
        <v>8.6999999999999993</v>
      </c>
      <c r="W2881" s="110"/>
      <c r="X2881" s="110"/>
      <c r="Y2881" s="110"/>
      <c r="Z2881" s="110"/>
      <c r="AA2881" s="110">
        <v>0</v>
      </c>
      <c r="AB2881" s="111">
        <f t="shared" si="637"/>
        <v>8.6999999999999993</v>
      </c>
      <c r="AC2881" s="110"/>
      <c r="AD2881" s="110"/>
      <c r="AE2881" s="110">
        <v>0</v>
      </c>
      <c r="AF2881" s="111">
        <f t="shared" si="638"/>
        <v>8.6999999999999993</v>
      </c>
      <c r="AG2881" s="110"/>
      <c r="AH2881" s="110"/>
      <c r="AI2881" s="110"/>
      <c r="AJ2881" s="110"/>
      <c r="AK2881" s="111">
        <f t="shared" si="644"/>
        <v>34.799999999999997</v>
      </c>
      <c r="AL2881" s="446">
        <f t="shared" si="645"/>
        <v>0</v>
      </c>
      <c r="AM2881" s="110">
        <f t="shared" si="646"/>
        <v>1</v>
      </c>
      <c r="AN2881" s="447">
        <f t="shared" si="640"/>
        <v>0</v>
      </c>
      <c r="AO2881"/>
      <c r="AP2881"/>
    </row>
    <row r="2882" spans="1:42" ht="66" x14ac:dyDescent="0.25">
      <c r="A2882" s="9"/>
      <c r="B2882" s="571" t="s">
        <v>2795</v>
      </c>
      <c r="C2882" s="1024"/>
      <c r="D2882" s="880">
        <v>1</v>
      </c>
      <c r="E2882" s="249" t="s">
        <v>1722</v>
      </c>
      <c r="F2882" s="273" t="s">
        <v>3446</v>
      </c>
      <c r="G2882" s="1040" t="s">
        <v>3463</v>
      </c>
      <c r="H2882" s="273" t="s">
        <v>3462</v>
      </c>
      <c r="I2882" s="720">
        <f t="shared" si="650"/>
        <v>40.599999999999994</v>
      </c>
      <c r="J2882" s="805">
        <v>40.599999999999994</v>
      </c>
      <c r="K2882" s="131">
        <f t="shared" si="639"/>
        <v>40.599999999999994</v>
      </c>
      <c r="L2882" s="335">
        <f t="shared" si="643"/>
        <v>0</v>
      </c>
      <c r="M2882" s="446"/>
      <c r="N2882" s="446"/>
      <c r="O2882" s="446"/>
      <c r="P2882" s="446"/>
      <c r="Q2882" s="110">
        <v>1</v>
      </c>
      <c r="R2882" s="111">
        <f t="shared" si="641"/>
        <v>10.149999999999999</v>
      </c>
      <c r="S2882" s="110"/>
      <c r="T2882" s="110"/>
      <c r="U2882" s="110">
        <v>0</v>
      </c>
      <c r="V2882" s="111">
        <f t="shared" si="642"/>
        <v>10.149999999999999</v>
      </c>
      <c r="W2882" s="110"/>
      <c r="X2882" s="110"/>
      <c r="Y2882" s="110"/>
      <c r="Z2882" s="110"/>
      <c r="AA2882" s="110">
        <v>0</v>
      </c>
      <c r="AB2882" s="111">
        <f t="shared" si="637"/>
        <v>10.149999999999999</v>
      </c>
      <c r="AC2882" s="110"/>
      <c r="AD2882" s="110"/>
      <c r="AE2882" s="110">
        <v>0</v>
      </c>
      <c r="AF2882" s="111">
        <f t="shared" si="638"/>
        <v>10.149999999999999</v>
      </c>
      <c r="AG2882" s="110"/>
      <c r="AH2882" s="110"/>
      <c r="AI2882" s="110"/>
      <c r="AJ2882" s="110"/>
      <c r="AK2882" s="111">
        <f t="shared" si="644"/>
        <v>40.599999999999994</v>
      </c>
      <c r="AL2882" s="446">
        <f t="shared" si="645"/>
        <v>0</v>
      </c>
      <c r="AM2882" s="110">
        <f t="shared" si="646"/>
        <v>1</v>
      </c>
      <c r="AN2882" s="447">
        <f t="shared" si="640"/>
        <v>0</v>
      </c>
      <c r="AO2882"/>
      <c r="AP2882"/>
    </row>
    <row r="2883" spans="1:42" ht="66" x14ac:dyDescent="0.25">
      <c r="A2883" s="9"/>
      <c r="B2883" s="571" t="s">
        <v>2796</v>
      </c>
      <c r="C2883" s="1024"/>
      <c r="D2883" s="880">
        <v>1</v>
      </c>
      <c r="E2883" s="249" t="s">
        <v>1722</v>
      </c>
      <c r="F2883" s="273" t="s">
        <v>3446</v>
      </c>
      <c r="G2883" s="1040" t="s">
        <v>3463</v>
      </c>
      <c r="H2883" s="273" t="s">
        <v>3462</v>
      </c>
      <c r="I2883" s="720">
        <f t="shared" si="650"/>
        <v>52.199999999999996</v>
      </c>
      <c r="J2883" s="805">
        <v>52.199999999999996</v>
      </c>
      <c r="K2883" s="131">
        <f t="shared" si="639"/>
        <v>52.199999999999996</v>
      </c>
      <c r="L2883" s="335">
        <f t="shared" si="643"/>
        <v>0</v>
      </c>
      <c r="M2883" s="446"/>
      <c r="N2883" s="446"/>
      <c r="O2883" s="446"/>
      <c r="P2883" s="446"/>
      <c r="Q2883" s="110">
        <v>1</v>
      </c>
      <c r="R2883" s="111">
        <f t="shared" si="641"/>
        <v>13.049999999999999</v>
      </c>
      <c r="S2883" s="110"/>
      <c r="T2883" s="110"/>
      <c r="U2883" s="110">
        <v>0</v>
      </c>
      <c r="V2883" s="111">
        <f t="shared" si="642"/>
        <v>13.049999999999999</v>
      </c>
      <c r="W2883" s="110"/>
      <c r="X2883" s="110"/>
      <c r="Y2883" s="110"/>
      <c r="Z2883" s="110"/>
      <c r="AA2883" s="110">
        <v>0</v>
      </c>
      <c r="AB2883" s="111">
        <f t="shared" si="637"/>
        <v>13.049999999999999</v>
      </c>
      <c r="AC2883" s="110"/>
      <c r="AD2883" s="110"/>
      <c r="AE2883" s="110">
        <v>0</v>
      </c>
      <c r="AF2883" s="111">
        <f t="shared" si="638"/>
        <v>13.049999999999999</v>
      </c>
      <c r="AG2883" s="110"/>
      <c r="AH2883" s="110"/>
      <c r="AI2883" s="110"/>
      <c r="AJ2883" s="110"/>
      <c r="AK2883" s="111">
        <f t="shared" si="644"/>
        <v>52.199999999999996</v>
      </c>
      <c r="AL2883" s="446">
        <f t="shared" si="645"/>
        <v>0</v>
      </c>
      <c r="AM2883" s="110">
        <f t="shared" si="646"/>
        <v>1</v>
      </c>
      <c r="AN2883" s="447">
        <f t="shared" si="640"/>
        <v>0</v>
      </c>
      <c r="AO2883"/>
      <c r="AP2883"/>
    </row>
    <row r="2884" spans="1:42" ht="66" x14ac:dyDescent="0.25">
      <c r="A2884" s="9"/>
      <c r="B2884" s="571" t="s">
        <v>2797</v>
      </c>
      <c r="C2884" s="1024"/>
      <c r="D2884" s="880">
        <v>1</v>
      </c>
      <c r="E2884" s="249" t="s">
        <v>1722</v>
      </c>
      <c r="F2884" s="273" t="s">
        <v>3446</v>
      </c>
      <c r="G2884" s="1040" t="s">
        <v>3463</v>
      </c>
      <c r="H2884" s="273" t="s">
        <v>3462</v>
      </c>
      <c r="I2884" s="720">
        <f t="shared" si="650"/>
        <v>57.999999999999993</v>
      </c>
      <c r="J2884" s="805">
        <v>57.999999999999993</v>
      </c>
      <c r="K2884" s="131">
        <f t="shared" si="639"/>
        <v>57.999999999999993</v>
      </c>
      <c r="L2884" s="335">
        <f t="shared" si="643"/>
        <v>0</v>
      </c>
      <c r="M2884" s="446"/>
      <c r="N2884" s="446"/>
      <c r="O2884" s="446"/>
      <c r="P2884" s="446"/>
      <c r="Q2884" s="110">
        <v>1</v>
      </c>
      <c r="R2884" s="111">
        <f t="shared" si="641"/>
        <v>14.499999999999998</v>
      </c>
      <c r="S2884" s="110"/>
      <c r="T2884" s="110"/>
      <c r="U2884" s="110">
        <v>0</v>
      </c>
      <c r="V2884" s="111">
        <f t="shared" si="642"/>
        <v>14.499999999999998</v>
      </c>
      <c r="W2884" s="110"/>
      <c r="X2884" s="110"/>
      <c r="Y2884" s="110"/>
      <c r="Z2884" s="110"/>
      <c r="AA2884" s="110">
        <v>0</v>
      </c>
      <c r="AB2884" s="111">
        <f t="shared" si="637"/>
        <v>14.499999999999998</v>
      </c>
      <c r="AC2884" s="110"/>
      <c r="AD2884" s="110"/>
      <c r="AE2884" s="110">
        <v>0</v>
      </c>
      <c r="AF2884" s="111">
        <f t="shared" si="638"/>
        <v>14.499999999999998</v>
      </c>
      <c r="AG2884" s="110"/>
      <c r="AH2884" s="110"/>
      <c r="AI2884" s="110"/>
      <c r="AJ2884" s="110"/>
      <c r="AK2884" s="111">
        <f t="shared" si="644"/>
        <v>57.999999999999993</v>
      </c>
      <c r="AL2884" s="446">
        <f t="shared" si="645"/>
        <v>0</v>
      </c>
      <c r="AM2884" s="110">
        <f t="shared" si="646"/>
        <v>1</v>
      </c>
      <c r="AN2884" s="447">
        <f t="shared" si="640"/>
        <v>0</v>
      </c>
      <c r="AO2884"/>
      <c r="AP2884"/>
    </row>
    <row r="2885" spans="1:42" ht="66" x14ac:dyDescent="0.25">
      <c r="A2885" s="9"/>
      <c r="B2885" s="571" t="s">
        <v>2798</v>
      </c>
      <c r="C2885" s="1024"/>
      <c r="D2885" s="880">
        <v>1</v>
      </c>
      <c r="E2885" s="249" t="s">
        <v>1722</v>
      </c>
      <c r="F2885" s="273" t="s">
        <v>3446</v>
      </c>
      <c r="G2885" s="1040" t="s">
        <v>3463</v>
      </c>
      <c r="H2885" s="273" t="s">
        <v>3462</v>
      </c>
      <c r="I2885" s="720">
        <f t="shared" si="650"/>
        <v>75.399999999999991</v>
      </c>
      <c r="J2885" s="805">
        <v>75.399999999999991</v>
      </c>
      <c r="K2885" s="131">
        <f t="shared" si="639"/>
        <v>75.399999999999991</v>
      </c>
      <c r="L2885" s="335">
        <f t="shared" si="643"/>
        <v>0</v>
      </c>
      <c r="M2885" s="446"/>
      <c r="N2885" s="446"/>
      <c r="O2885" s="446"/>
      <c r="P2885" s="446"/>
      <c r="Q2885" s="110">
        <v>1</v>
      </c>
      <c r="R2885" s="111">
        <f t="shared" si="641"/>
        <v>18.849999999999998</v>
      </c>
      <c r="S2885" s="110"/>
      <c r="T2885" s="110"/>
      <c r="U2885" s="110">
        <v>0</v>
      </c>
      <c r="V2885" s="111">
        <f t="shared" si="642"/>
        <v>18.849999999999998</v>
      </c>
      <c r="W2885" s="110"/>
      <c r="X2885" s="110"/>
      <c r="Y2885" s="110"/>
      <c r="Z2885" s="110"/>
      <c r="AA2885" s="110">
        <v>0</v>
      </c>
      <c r="AB2885" s="111">
        <f t="shared" si="637"/>
        <v>18.849999999999998</v>
      </c>
      <c r="AC2885" s="110"/>
      <c r="AD2885" s="110"/>
      <c r="AE2885" s="110">
        <v>0</v>
      </c>
      <c r="AF2885" s="111">
        <f t="shared" si="638"/>
        <v>18.849999999999998</v>
      </c>
      <c r="AG2885" s="110"/>
      <c r="AH2885" s="110"/>
      <c r="AI2885" s="110"/>
      <c r="AJ2885" s="110"/>
      <c r="AK2885" s="111">
        <f t="shared" si="644"/>
        <v>75.399999999999991</v>
      </c>
      <c r="AL2885" s="446">
        <f t="shared" si="645"/>
        <v>0</v>
      </c>
      <c r="AM2885" s="110">
        <f t="shared" si="646"/>
        <v>1</v>
      </c>
      <c r="AN2885" s="447">
        <f t="shared" si="640"/>
        <v>0</v>
      </c>
      <c r="AO2885"/>
      <c r="AP2885"/>
    </row>
    <row r="2886" spans="1:42" ht="66" x14ac:dyDescent="0.25">
      <c r="A2886" s="9"/>
      <c r="B2886" s="571" t="s">
        <v>2799</v>
      </c>
      <c r="C2886" s="1024"/>
      <c r="D2886" s="880">
        <v>1</v>
      </c>
      <c r="E2886" s="249" t="s">
        <v>1722</v>
      </c>
      <c r="F2886" s="273" t="s">
        <v>3446</v>
      </c>
      <c r="G2886" s="1040" t="s">
        <v>3463</v>
      </c>
      <c r="H2886" s="273" t="s">
        <v>3462</v>
      </c>
      <c r="I2886" s="720">
        <f t="shared" si="650"/>
        <v>75.399999999999991</v>
      </c>
      <c r="J2886" s="805">
        <v>75.399999999999991</v>
      </c>
      <c r="K2886" s="131">
        <f t="shared" si="639"/>
        <v>75.399999999999991</v>
      </c>
      <c r="L2886" s="335">
        <f t="shared" si="643"/>
        <v>0</v>
      </c>
      <c r="M2886" s="446"/>
      <c r="N2886" s="446"/>
      <c r="O2886" s="446"/>
      <c r="P2886" s="446"/>
      <c r="Q2886" s="110">
        <v>1</v>
      </c>
      <c r="R2886" s="111">
        <f t="shared" si="641"/>
        <v>18.849999999999998</v>
      </c>
      <c r="S2886" s="110"/>
      <c r="T2886" s="110"/>
      <c r="U2886" s="110">
        <v>0</v>
      </c>
      <c r="V2886" s="111">
        <f t="shared" si="642"/>
        <v>18.849999999999998</v>
      </c>
      <c r="W2886" s="110"/>
      <c r="X2886" s="110"/>
      <c r="Y2886" s="110"/>
      <c r="Z2886" s="110"/>
      <c r="AA2886" s="110">
        <v>0</v>
      </c>
      <c r="AB2886" s="111">
        <f t="shared" si="637"/>
        <v>18.849999999999998</v>
      </c>
      <c r="AC2886" s="110"/>
      <c r="AD2886" s="110"/>
      <c r="AE2886" s="110">
        <v>0</v>
      </c>
      <c r="AF2886" s="111">
        <f t="shared" si="638"/>
        <v>18.849999999999998</v>
      </c>
      <c r="AG2886" s="110"/>
      <c r="AH2886" s="110"/>
      <c r="AI2886" s="110"/>
      <c r="AJ2886" s="110"/>
      <c r="AK2886" s="111">
        <f t="shared" si="644"/>
        <v>75.399999999999991</v>
      </c>
      <c r="AL2886" s="446">
        <f t="shared" si="645"/>
        <v>0</v>
      </c>
      <c r="AM2886" s="110">
        <f t="shared" si="646"/>
        <v>1</v>
      </c>
      <c r="AN2886" s="447">
        <f t="shared" si="640"/>
        <v>0</v>
      </c>
      <c r="AO2886"/>
      <c r="AP2886"/>
    </row>
    <row r="2887" spans="1:42" ht="66" x14ac:dyDescent="0.25">
      <c r="A2887" s="9"/>
      <c r="B2887" s="571" t="s">
        <v>2800</v>
      </c>
      <c r="C2887" s="1024"/>
      <c r="D2887" s="880">
        <v>1</v>
      </c>
      <c r="E2887" s="249" t="s">
        <v>2811</v>
      </c>
      <c r="F2887" s="273" t="s">
        <v>3446</v>
      </c>
      <c r="G2887" s="1040" t="s">
        <v>3463</v>
      </c>
      <c r="H2887" s="273" t="s">
        <v>3462</v>
      </c>
      <c r="I2887" s="720">
        <f t="shared" si="650"/>
        <v>345.67999999999995</v>
      </c>
      <c r="J2887" s="805">
        <v>345.67999999999995</v>
      </c>
      <c r="K2887" s="131">
        <f t="shared" si="639"/>
        <v>345.67999999999995</v>
      </c>
      <c r="L2887" s="335">
        <f t="shared" si="643"/>
        <v>0</v>
      </c>
      <c r="M2887" s="446"/>
      <c r="N2887" s="446"/>
      <c r="O2887" s="446"/>
      <c r="P2887" s="446"/>
      <c r="Q2887" s="110">
        <v>1</v>
      </c>
      <c r="R2887" s="111">
        <f t="shared" si="641"/>
        <v>86.419999999999987</v>
      </c>
      <c r="S2887" s="110"/>
      <c r="T2887" s="110"/>
      <c r="U2887" s="110">
        <v>0</v>
      </c>
      <c r="V2887" s="111">
        <f t="shared" si="642"/>
        <v>86.419999999999987</v>
      </c>
      <c r="W2887" s="110"/>
      <c r="X2887" s="110"/>
      <c r="Y2887" s="110"/>
      <c r="Z2887" s="110"/>
      <c r="AA2887" s="110">
        <v>0</v>
      </c>
      <c r="AB2887" s="111">
        <f t="shared" ref="AB2887:AB2950" si="651">+J2887/4</f>
        <v>86.419999999999987</v>
      </c>
      <c r="AC2887" s="110"/>
      <c r="AD2887" s="110"/>
      <c r="AE2887" s="110">
        <v>0</v>
      </c>
      <c r="AF2887" s="111">
        <f t="shared" ref="AF2887:AF2950" si="652">+J2887/4</f>
        <v>86.419999999999987</v>
      </c>
      <c r="AG2887" s="110"/>
      <c r="AH2887" s="110"/>
      <c r="AI2887" s="110"/>
      <c r="AJ2887" s="110"/>
      <c r="AK2887" s="111">
        <f t="shared" si="644"/>
        <v>345.67999999999995</v>
      </c>
      <c r="AL2887" s="446">
        <f t="shared" si="645"/>
        <v>0</v>
      </c>
      <c r="AM2887" s="110">
        <f t="shared" si="646"/>
        <v>1</v>
      </c>
      <c r="AN2887" s="447">
        <f t="shared" si="640"/>
        <v>0</v>
      </c>
      <c r="AO2887"/>
      <c r="AP2887"/>
    </row>
    <row r="2888" spans="1:42" ht="66" x14ac:dyDescent="0.25">
      <c r="A2888" s="9"/>
      <c r="B2888" s="571" t="s">
        <v>2801</v>
      </c>
      <c r="C2888" s="1024"/>
      <c r="D2888" s="880">
        <v>3</v>
      </c>
      <c r="E2888" s="249" t="s">
        <v>1723</v>
      </c>
      <c r="F2888" s="273" t="s">
        <v>3446</v>
      </c>
      <c r="G2888" s="1040" t="s">
        <v>3463</v>
      </c>
      <c r="H2888" s="273" t="s">
        <v>3462</v>
      </c>
      <c r="I2888" s="720">
        <f t="shared" si="650"/>
        <v>542.88</v>
      </c>
      <c r="J2888" s="805">
        <v>1628.6399999999999</v>
      </c>
      <c r="K2888" s="131">
        <f t="shared" si="639"/>
        <v>1628.6399999999999</v>
      </c>
      <c r="L2888" s="335">
        <f t="shared" si="643"/>
        <v>0</v>
      </c>
      <c r="M2888" s="446"/>
      <c r="N2888" s="446"/>
      <c r="O2888" s="446"/>
      <c r="P2888" s="446"/>
      <c r="Q2888" s="130">
        <v>1</v>
      </c>
      <c r="R2888" s="111">
        <f t="shared" si="641"/>
        <v>407.15999999999997</v>
      </c>
      <c r="S2888" s="110"/>
      <c r="T2888" s="110"/>
      <c r="U2888" s="130">
        <v>1</v>
      </c>
      <c r="V2888" s="111">
        <f t="shared" si="642"/>
        <v>407.15999999999997</v>
      </c>
      <c r="W2888" s="110"/>
      <c r="X2888" s="110"/>
      <c r="Y2888" s="110"/>
      <c r="Z2888" s="110"/>
      <c r="AA2888" s="130">
        <v>1</v>
      </c>
      <c r="AB2888" s="111">
        <f t="shared" si="651"/>
        <v>407.15999999999997</v>
      </c>
      <c r="AC2888" s="110"/>
      <c r="AD2888" s="110"/>
      <c r="AE2888" s="130">
        <v>0</v>
      </c>
      <c r="AF2888" s="111">
        <f t="shared" si="652"/>
        <v>407.15999999999997</v>
      </c>
      <c r="AG2888" s="110"/>
      <c r="AH2888" s="110"/>
      <c r="AI2888" s="110"/>
      <c r="AJ2888" s="110"/>
      <c r="AK2888" s="111">
        <f t="shared" si="644"/>
        <v>1628.6399999999999</v>
      </c>
      <c r="AL2888" s="446">
        <f t="shared" si="645"/>
        <v>0</v>
      </c>
      <c r="AM2888" s="110">
        <f t="shared" si="646"/>
        <v>3</v>
      </c>
      <c r="AN2888" s="447">
        <f t="shared" si="640"/>
        <v>0</v>
      </c>
      <c r="AO2888"/>
      <c r="AP2888"/>
    </row>
    <row r="2889" spans="1:42" ht="66" x14ac:dyDescent="0.25">
      <c r="A2889" s="9"/>
      <c r="B2889" s="571" t="s">
        <v>2802</v>
      </c>
      <c r="C2889" s="1024"/>
      <c r="D2889" s="880">
        <v>2</v>
      </c>
      <c r="E2889" s="249" t="s">
        <v>1723</v>
      </c>
      <c r="F2889" s="273" t="s">
        <v>3446</v>
      </c>
      <c r="G2889" s="1040" t="s">
        <v>3463</v>
      </c>
      <c r="H2889" s="273" t="s">
        <v>3462</v>
      </c>
      <c r="I2889" s="720">
        <f t="shared" si="650"/>
        <v>67.28</v>
      </c>
      <c r="J2889" s="805">
        <v>134.56</v>
      </c>
      <c r="K2889" s="131">
        <f t="shared" si="639"/>
        <v>134.56</v>
      </c>
      <c r="L2889" s="335">
        <f t="shared" si="643"/>
        <v>0</v>
      </c>
      <c r="M2889" s="446"/>
      <c r="N2889" s="446"/>
      <c r="O2889" s="446"/>
      <c r="P2889" s="446"/>
      <c r="Q2889" s="130">
        <v>1</v>
      </c>
      <c r="R2889" s="111">
        <f t="shared" si="641"/>
        <v>33.64</v>
      </c>
      <c r="S2889" s="110"/>
      <c r="T2889" s="110"/>
      <c r="U2889" s="130">
        <v>1</v>
      </c>
      <c r="V2889" s="111">
        <f t="shared" si="642"/>
        <v>33.64</v>
      </c>
      <c r="W2889" s="110"/>
      <c r="X2889" s="110"/>
      <c r="Y2889" s="110"/>
      <c r="Z2889" s="110"/>
      <c r="AA2889" s="130">
        <v>0</v>
      </c>
      <c r="AB2889" s="111">
        <f t="shared" si="651"/>
        <v>33.64</v>
      </c>
      <c r="AC2889" s="110"/>
      <c r="AD2889" s="110"/>
      <c r="AE2889" s="130">
        <v>0</v>
      </c>
      <c r="AF2889" s="111">
        <f t="shared" si="652"/>
        <v>33.64</v>
      </c>
      <c r="AG2889" s="110"/>
      <c r="AH2889" s="110"/>
      <c r="AI2889" s="110"/>
      <c r="AJ2889" s="110"/>
      <c r="AK2889" s="111">
        <f t="shared" si="644"/>
        <v>134.56</v>
      </c>
      <c r="AL2889" s="446">
        <f t="shared" si="645"/>
        <v>0</v>
      </c>
      <c r="AM2889" s="110">
        <f t="shared" si="646"/>
        <v>2</v>
      </c>
      <c r="AN2889" s="447">
        <f t="shared" si="640"/>
        <v>0</v>
      </c>
      <c r="AO2889"/>
      <c r="AP2889"/>
    </row>
    <row r="2890" spans="1:42" ht="66" x14ac:dyDescent="0.25">
      <c r="A2890" s="9"/>
      <c r="B2890" s="571" t="s">
        <v>2803</v>
      </c>
      <c r="C2890" s="1024"/>
      <c r="D2890" s="880">
        <v>2</v>
      </c>
      <c r="E2890" s="249" t="s">
        <v>1723</v>
      </c>
      <c r="F2890" s="273" t="s">
        <v>3446</v>
      </c>
      <c r="G2890" s="1040" t="s">
        <v>3463</v>
      </c>
      <c r="H2890" s="273" t="s">
        <v>3462</v>
      </c>
      <c r="I2890" s="720">
        <f t="shared" si="650"/>
        <v>67.28</v>
      </c>
      <c r="J2890" s="805">
        <v>134.56</v>
      </c>
      <c r="K2890" s="131">
        <f t="shared" si="639"/>
        <v>134.56</v>
      </c>
      <c r="L2890" s="335">
        <f t="shared" si="643"/>
        <v>0</v>
      </c>
      <c r="M2890" s="446"/>
      <c r="N2890" s="446"/>
      <c r="O2890" s="446"/>
      <c r="P2890" s="446"/>
      <c r="Q2890" s="130">
        <v>1</v>
      </c>
      <c r="R2890" s="111">
        <f t="shared" si="641"/>
        <v>33.64</v>
      </c>
      <c r="S2890" s="110"/>
      <c r="T2890" s="110"/>
      <c r="U2890" s="130">
        <v>1</v>
      </c>
      <c r="V2890" s="111">
        <f t="shared" si="642"/>
        <v>33.64</v>
      </c>
      <c r="W2890" s="110"/>
      <c r="X2890" s="110"/>
      <c r="Y2890" s="110"/>
      <c r="Z2890" s="110"/>
      <c r="AA2890" s="130">
        <v>0</v>
      </c>
      <c r="AB2890" s="111">
        <f t="shared" si="651"/>
        <v>33.64</v>
      </c>
      <c r="AC2890" s="110"/>
      <c r="AD2890" s="110"/>
      <c r="AE2890" s="130">
        <v>0</v>
      </c>
      <c r="AF2890" s="111">
        <f t="shared" si="652"/>
        <v>33.64</v>
      </c>
      <c r="AG2890" s="110"/>
      <c r="AH2890" s="110"/>
      <c r="AI2890" s="110"/>
      <c r="AJ2890" s="110"/>
      <c r="AK2890" s="111">
        <f t="shared" si="644"/>
        <v>134.56</v>
      </c>
      <c r="AL2890" s="446">
        <f t="shared" si="645"/>
        <v>0</v>
      </c>
      <c r="AM2890" s="110">
        <f t="shared" si="646"/>
        <v>2</v>
      </c>
      <c r="AN2890" s="447">
        <f t="shared" si="640"/>
        <v>0</v>
      </c>
      <c r="AO2890"/>
      <c r="AP2890"/>
    </row>
    <row r="2891" spans="1:42" ht="66" x14ac:dyDescent="0.25">
      <c r="A2891" s="9"/>
      <c r="B2891" s="571" t="s">
        <v>2804</v>
      </c>
      <c r="C2891" s="1024"/>
      <c r="D2891" s="880">
        <v>2</v>
      </c>
      <c r="E2891" s="249" t="s">
        <v>1723</v>
      </c>
      <c r="F2891" s="273" t="s">
        <v>3446</v>
      </c>
      <c r="G2891" s="1040" t="s">
        <v>3463</v>
      </c>
      <c r="H2891" s="273" t="s">
        <v>3462</v>
      </c>
      <c r="I2891" s="720">
        <f t="shared" si="650"/>
        <v>67.28</v>
      </c>
      <c r="J2891" s="805">
        <v>134.56</v>
      </c>
      <c r="K2891" s="131">
        <f t="shared" si="639"/>
        <v>134.56</v>
      </c>
      <c r="L2891" s="335">
        <f t="shared" si="643"/>
        <v>0</v>
      </c>
      <c r="M2891" s="446"/>
      <c r="N2891" s="446"/>
      <c r="O2891" s="446"/>
      <c r="P2891" s="446"/>
      <c r="Q2891" s="130">
        <v>1</v>
      </c>
      <c r="R2891" s="111">
        <f t="shared" si="641"/>
        <v>33.64</v>
      </c>
      <c r="S2891" s="110"/>
      <c r="T2891" s="110"/>
      <c r="U2891" s="130">
        <v>1</v>
      </c>
      <c r="V2891" s="111">
        <f t="shared" si="642"/>
        <v>33.64</v>
      </c>
      <c r="W2891" s="110"/>
      <c r="X2891" s="110"/>
      <c r="Y2891" s="110"/>
      <c r="Z2891" s="110"/>
      <c r="AA2891" s="130">
        <v>0</v>
      </c>
      <c r="AB2891" s="111">
        <f t="shared" si="651"/>
        <v>33.64</v>
      </c>
      <c r="AC2891" s="110"/>
      <c r="AD2891" s="110"/>
      <c r="AE2891" s="130">
        <v>0</v>
      </c>
      <c r="AF2891" s="111">
        <f t="shared" si="652"/>
        <v>33.64</v>
      </c>
      <c r="AG2891" s="110"/>
      <c r="AH2891" s="110"/>
      <c r="AI2891" s="110"/>
      <c r="AJ2891" s="110"/>
      <c r="AK2891" s="111">
        <f t="shared" si="644"/>
        <v>134.56</v>
      </c>
      <c r="AL2891" s="446">
        <f t="shared" si="645"/>
        <v>0</v>
      </c>
      <c r="AM2891" s="110">
        <f t="shared" si="646"/>
        <v>2</v>
      </c>
      <c r="AN2891" s="447">
        <f t="shared" si="640"/>
        <v>0</v>
      </c>
      <c r="AO2891"/>
      <c r="AP2891"/>
    </row>
    <row r="2892" spans="1:42" ht="66" x14ac:dyDescent="0.25">
      <c r="A2892" s="9"/>
      <c r="B2892" s="571" t="s">
        <v>2805</v>
      </c>
      <c r="C2892" s="1024"/>
      <c r="D2892" s="880">
        <v>2</v>
      </c>
      <c r="E2892" s="249" t="s">
        <v>1723</v>
      </c>
      <c r="F2892" s="273" t="s">
        <v>3446</v>
      </c>
      <c r="G2892" s="1040" t="s">
        <v>3463</v>
      </c>
      <c r="H2892" s="273" t="s">
        <v>3462</v>
      </c>
      <c r="I2892" s="720">
        <f t="shared" si="650"/>
        <v>67.28</v>
      </c>
      <c r="J2892" s="805">
        <v>134.56</v>
      </c>
      <c r="K2892" s="131">
        <f t="shared" si="639"/>
        <v>134.56</v>
      </c>
      <c r="L2892" s="335">
        <f t="shared" si="643"/>
        <v>0</v>
      </c>
      <c r="M2892" s="446"/>
      <c r="N2892" s="446"/>
      <c r="O2892" s="446"/>
      <c r="P2892" s="446"/>
      <c r="Q2892" s="130">
        <v>1</v>
      </c>
      <c r="R2892" s="111">
        <f t="shared" si="641"/>
        <v>33.64</v>
      </c>
      <c r="S2892" s="110"/>
      <c r="T2892" s="110"/>
      <c r="U2892" s="130">
        <v>1</v>
      </c>
      <c r="V2892" s="111">
        <f t="shared" si="642"/>
        <v>33.64</v>
      </c>
      <c r="W2892" s="110"/>
      <c r="X2892" s="110"/>
      <c r="Y2892" s="110"/>
      <c r="Z2892" s="110"/>
      <c r="AA2892" s="130">
        <v>0</v>
      </c>
      <c r="AB2892" s="111">
        <f t="shared" si="651"/>
        <v>33.64</v>
      </c>
      <c r="AC2892" s="110"/>
      <c r="AD2892" s="110"/>
      <c r="AE2892" s="130">
        <v>0</v>
      </c>
      <c r="AF2892" s="111">
        <f t="shared" si="652"/>
        <v>33.64</v>
      </c>
      <c r="AG2892" s="110"/>
      <c r="AH2892" s="110"/>
      <c r="AI2892" s="110"/>
      <c r="AJ2892" s="110"/>
      <c r="AK2892" s="111">
        <f t="shared" si="644"/>
        <v>134.56</v>
      </c>
      <c r="AL2892" s="446">
        <f t="shared" si="645"/>
        <v>0</v>
      </c>
      <c r="AM2892" s="110">
        <f t="shared" si="646"/>
        <v>2</v>
      </c>
      <c r="AN2892" s="447">
        <f t="shared" si="640"/>
        <v>0</v>
      </c>
      <c r="AO2892"/>
      <c r="AP2892"/>
    </row>
    <row r="2893" spans="1:42" ht="66" x14ac:dyDescent="0.25">
      <c r="A2893" s="9"/>
      <c r="B2893" s="571" t="s">
        <v>2806</v>
      </c>
      <c r="C2893" s="1024"/>
      <c r="D2893" s="880">
        <v>2</v>
      </c>
      <c r="E2893" s="249" t="s">
        <v>1723</v>
      </c>
      <c r="F2893" s="273" t="s">
        <v>3446</v>
      </c>
      <c r="G2893" s="1040" t="s">
        <v>3463</v>
      </c>
      <c r="H2893" s="273" t="s">
        <v>3462</v>
      </c>
      <c r="I2893" s="720">
        <f t="shared" si="650"/>
        <v>67.28</v>
      </c>
      <c r="J2893" s="756">
        <v>134.56</v>
      </c>
      <c r="K2893" s="131">
        <f t="shared" si="639"/>
        <v>134.56</v>
      </c>
      <c r="L2893" s="335">
        <f t="shared" si="643"/>
        <v>0</v>
      </c>
      <c r="M2893" s="446"/>
      <c r="N2893" s="446"/>
      <c r="O2893" s="446"/>
      <c r="P2893" s="446"/>
      <c r="Q2893" s="130">
        <v>1</v>
      </c>
      <c r="R2893" s="111">
        <f t="shared" si="641"/>
        <v>33.64</v>
      </c>
      <c r="S2893" s="110"/>
      <c r="T2893" s="110"/>
      <c r="U2893" s="130">
        <v>1</v>
      </c>
      <c r="V2893" s="111">
        <f t="shared" si="642"/>
        <v>33.64</v>
      </c>
      <c r="W2893" s="110"/>
      <c r="X2893" s="110"/>
      <c r="Y2893" s="110"/>
      <c r="Z2893" s="110"/>
      <c r="AA2893" s="130">
        <v>0</v>
      </c>
      <c r="AB2893" s="111">
        <f t="shared" si="651"/>
        <v>33.64</v>
      </c>
      <c r="AC2893" s="110"/>
      <c r="AD2893" s="110"/>
      <c r="AE2893" s="130">
        <v>0</v>
      </c>
      <c r="AF2893" s="111">
        <f t="shared" si="652"/>
        <v>33.64</v>
      </c>
      <c r="AG2893" s="110"/>
      <c r="AH2893" s="110"/>
      <c r="AI2893" s="110"/>
      <c r="AJ2893" s="110"/>
      <c r="AK2893" s="111">
        <f t="shared" si="644"/>
        <v>134.56</v>
      </c>
      <c r="AL2893" s="446">
        <f t="shared" si="645"/>
        <v>0</v>
      </c>
      <c r="AM2893" s="110">
        <f t="shared" si="646"/>
        <v>2</v>
      </c>
      <c r="AN2893" s="447">
        <f t="shared" si="640"/>
        <v>0</v>
      </c>
      <c r="AO2893"/>
      <c r="AP2893"/>
    </row>
    <row r="2894" spans="1:42" ht="66" x14ac:dyDescent="0.25">
      <c r="A2894" s="9"/>
      <c r="B2894" s="571" t="s">
        <v>2807</v>
      </c>
      <c r="C2894" s="1024"/>
      <c r="D2894" s="880">
        <v>2</v>
      </c>
      <c r="E2894" s="249" t="s">
        <v>1723</v>
      </c>
      <c r="F2894" s="273" t="s">
        <v>3446</v>
      </c>
      <c r="G2894" s="1040" t="s">
        <v>3463</v>
      </c>
      <c r="H2894" s="273" t="s">
        <v>3462</v>
      </c>
      <c r="I2894" s="720">
        <f t="shared" si="650"/>
        <v>67.28</v>
      </c>
      <c r="J2894" s="756">
        <v>134.56</v>
      </c>
      <c r="K2894" s="131">
        <f t="shared" si="639"/>
        <v>134.56</v>
      </c>
      <c r="L2894" s="335">
        <f t="shared" si="643"/>
        <v>0</v>
      </c>
      <c r="M2894" s="446"/>
      <c r="N2894" s="446"/>
      <c r="O2894" s="446"/>
      <c r="P2894" s="446"/>
      <c r="Q2894" s="130">
        <v>1</v>
      </c>
      <c r="R2894" s="111">
        <f t="shared" si="641"/>
        <v>33.64</v>
      </c>
      <c r="S2894" s="110"/>
      <c r="T2894" s="110"/>
      <c r="U2894" s="130">
        <v>1</v>
      </c>
      <c r="V2894" s="111">
        <f t="shared" si="642"/>
        <v>33.64</v>
      </c>
      <c r="W2894" s="110"/>
      <c r="X2894" s="110"/>
      <c r="Y2894" s="110"/>
      <c r="Z2894" s="110"/>
      <c r="AA2894" s="130">
        <v>0</v>
      </c>
      <c r="AB2894" s="111">
        <f t="shared" si="651"/>
        <v>33.64</v>
      </c>
      <c r="AC2894" s="110"/>
      <c r="AD2894" s="110"/>
      <c r="AE2894" s="130">
        <v>0</v>
      </c>
      <c r="AF2894" s="111">
        <f t="shared" si="652"/>
        <v>33.64</v>
      </c>
      <c r="AG2894" s="110"/>
      <c r="AH2894" s="110"/>
      <c r="AI2894" s="110"/>
      <c r="AJ2894" s="110"/>
      <c r="AK2894" s="111">
        <f t="shared" si="644"/>
        <v>134.56</v>
      </c>
      <c r="AL2894" s="446">
        <f t="shared" si="645"/>
        <v>0</v>
      </c>
      <c r="AM2894" s="110">
        <f t="shared" si="646"/>
        <v>2</v>
      </c>
      <c r="AN2894" s="447">
        <f t="shared" si="640"/>
        <v>0</v>
      </c>
      <c r="AO2894"/>
      <c r="AP2894"/>
    </row>
    <row r="2895" spans="1:42" ht="66" x14ac:dyDescent="0.25">
      <c r="A2895" s="9"/>
      <c r="B2895" s="571" t="s">
        <v>2808</v>
      </c>
      <c r="C2895" s="1024"/>
      <c r="D2895" s="880">
        <v>2</v>
      </c>
      <c r="E2895" s="249" t="s">
        <v>1723</v>
      </c>
      <c r="F2895" s="273" t="s">
        <v>3446</v>
      </c>
      <c r="G2895" s="1040" t="s">
        <v>3463</v>
      </c>
      <c r="H2895" s="273" t="s">
        <v>3462</v>
      </c>
      <c r="I2895" s="720">
        <f t="shared" si="650"/>
        <v>758.64</v>
      </c>
      <c r="J2895" s="756">
        <v>1517.28</v>
      </c>
      <c r="K2895" s="131">
        <f t="shared" si="639"/>
        <v>1517.28</v>
      </c>
      <c r="L2895" s="335">
        <f t="shared" si="643"/>
        <v>0</v>
      </c>
      <c r="M2895" s="446"/>
      <c r="N2895" s="446"/>
      <c r="O2895" s="446"/>
      <c r="P2895" s="446"/>
      <c r="Q2895" s="130">
        <v>1</v>
      </c>
      <c r="R2895" s="111">
        <f t="shared" si="641"/>
        <v>379.32</v>
      </c>
      <c r="S2895" s="110"/>
      <c r="T2895" s="110"/>
      <c r="U2895" s="130">
        <v>1</v>
      </c>
      <c r="V2895" s="111">
        <f t="shared" si="642"/>
        <v>379.32</v>
      </c>
      <c r="W2895" s="110"/>
      <c r="X2895" s="110"/>
      <c r="Y2895" s="110"/>
      <c r="Z2895" s="110"/>
      <c r="AA2895" s="130">
        <v>0</v>
      </c>
      <c r="AB2895" s="111">
        <f t="shared" si="651"/>
        <v>379.32</v>
      </c>
      <c r="AC2895" s="110"/>
      <c r="AD2895" s="110"/>
      <c r="AE2895" s="130">
        <v>0</v>
      </c>
      <c r="AF2895" s="111">
        <f t="shared" si="652"/>
        <v>379.32</v>
      </c>
      <c r="AG2895" s="110"/>
      <c r="AH2895" s="110"/>
      <c r="AI2895" s="110"/>
      <c r="AJ2895" s="110"/>
      <c r="AK2895" s="111">
        <f t="shared" si="644"/>
        <v>1517.28</v>
      </c>
      <c r="AL2895" s="446">
        <f t="shared" si="645"/>
        <v>0</v>
      </c>
      <c r="AM2895" s="110">
        <f t="shared" si="646"/>
        <v>2</v>
      </c>
      <c r="AN2895" s="447">
        <f t="shared" si="640"/>
        <v>0</v>
      </c>
      <c r="AO2895"/>
      <c r="AP2895"/>
    </row>
    <row r="2896" spans="1:42" ht="66" x14ac:dyDescent="0.25">
      <c r="A2896" s="9"/>
      <c r="B2896" s="571" t="s">
        <v>2809</v>
      </c>
      <c r="C2896" s="1024"/>
      <c r="D2896" s="880">
        <v>1</v>
      </c>
      <c r="E2896" s="249" t="s">
        <v>1723</v>
      </c>
      <c r="F2896" s="273" t="s">
        <v>3446</v>
      </c>
      <c r="G2896" s="1040" t="s">
        <v>3463</v>
      </c>
      <c r="H2896" s="273" t="s">
        <v>3462</v>
      </c>
      <c r="I2896" s="720">
        <f t="shared" si="650"/>
        <v>1009.1999999999999</v>
      </c>
      <c r="J2896" s="756">
        <v>1009.1999999999999</v>
      </c>
      <c r="K2896" s="131">
        <f t="shared" si="639"/>
        <v>1009.1999999999999</v>
      </c>
      <c r="L2896" s="335">
        <f t="shared" si="643"/>
        <v>0</v>
      </c>
      <c r="M2896" s="446"/>
      <c r="N2896" s="446"/>
      <c r="O2896" s="446"/>
      <c r="P2896" s="446"/>
      <c r="Q2896" s="110">
        <v>1</v>
      </c>
      <c r="R2896" s="111">
        <f t="shared" si="641"/>
        <v>252.29999999999998</v>
      </c>
      <c r="S2896" s="110"/>
      <c r="T2896" s="110"/>
      <c r="U2896" s="110">
        <v>0</v>
      </c>
      <c r="V2896" s="111">
        <f t="shared" si="642"/>
        <v>252.29999999999998</v>
      </c>
      <c r="W2896" s="110"/>
      <c r="X2896" s="110"/>
      <c r="Y2896" s="110"/>
      <c r="Z2896" s="110"/>
      <c r="AA2896" s="110">
        <v>0</v>
      </c>
      <c r="AB2896" s="111">
        <f t="shared" si="651"/>
        <v>252.29999999999998</v>
      </c>
      <c r="AC2896" s="110"/>
      <c r="AD2896" s="110"/>
      <c r="AE2896" s="110">
        <v>0</v>
      </c>
      <c r="AF2896" s="111">
        <f t="shared" si="652"/>
        <v>252.29999999999998</v>
      </c>
      <c r="AG2896" s="110"/>
      <c r="AH2896" s="110"/>
      <c r="AI2896" s="110"/>
      <c r="AJ2896" s="110"/>
      <c r="AK2896" s="111">
        <f t="shared" si="644"/>
        <v>1009.1999999999999</v>
      </c>
      <c r="AL2896" s="446">
        <f t="shared" si="645"/>
        <v>0</v>
      </c>
      <c r="AM2896" s="110">
        <f t="shared" si="646"/>
        <v>1</v>
      </c>
      <c r="AN2896" s="447">
        <f t="shared" si="640"/>
        <v>0</v>
      </c>
      <c r="AO2896"/>
      <c r="AP2896"/>
    </row>
    <row r="2897" spans="1:42" ht="66" x14ac:dyDescent="0.25">
      <c r="A2897" s="9"/>
      <c r="B2897" s="528" t="s">
        <v>3068</v>
      </c>
      <c r="C2897" s="1024"/>
      <c r="D2897" s="882">
        <v>50</v>
      </c>
      <c r="E2897" s="251" t="s">
        <v>1766</v>
      </c>
      <c r="F2897" s="273" t="s">
        <v>3446</v>
      </c>
      <c r="G2897" s="1040" t="s">
        <v>3463</v>
      </c>
      <c r="H2897" s="273" t="s">
        <v>3462</v>
      </c>
      <c r="I2897" s="720">
        <f t="shared" si="650"/>
        <v>35.840000000000003</v>
      </c>
      <c r="J2897" s="756">
        <v>1792.0000000000002</v>
      </c>
      <c r="K2897" s="131">
        <f t="shared" si="639"/>
        <v>1792.0000000000002</v>
      </c>
      <c r="L2897" s="335">
        <f t="shared" si="643"/>
        <v>0</v>
      </c>
      <c r="M2897" s="446"/>
      <c r="N2897" s="446"/>
      <c r="O2897" s="446"/>
      <c r="P2897" s="446"/>
      <c r="Q2897" s="110">
        <v>13</v>
      </c>
      <c r="R2897" s="111">
        <f t="shared" si="641"/>
        <v>448.00000000000006</v>
      </c>
      <c r="S2897" s="110"/>
      <c r="T2897" s="110"/>
      <c r="U2897" s="110">
        <v>12</v>
      </c>
      <c r="V2897" s="111">
        <f t="shared" si="642"/>
        <v>448.00000000000006</v>
      </c>
      <c r="W2897" s="110"/>
      <c r="X2897" s="110"/>
      <c r="Y2897" s="110"/>
      <c r="Z2897" s="110"/>
      <c r="AA2897" s="110">
        <v>12</v>
      </c>
      <c r="AB2897" s="111">
        <f t="shared" si="651"/>
        <v>448.00000000000006</v>
      </c>
      <c r="AC2897" s="110"/>
      <c r="AD2897" s="110"/>
      <c r="AE2897" s="110">
        <v>13</v>
      </c>
      <c r="AF2897" s="111">
        <f t="shared" si="652"/>
        <v>448.00000000000006</v>
      </c>
      <c r="AG2897" s="110"/>
      <c r="AH2897" s="110"/>
      <c r="AI2897" s="110"/>
      <c r="AJ2897" s="110"/>
      <c r="AK2897" s="111">
        <f t="shared" si="644"/>
        <v>1792.0000000000002</v>
      </c>
      <c r="AL2897" s="446">
        <f t="shared" si="645"/>
        <v>0</v>
      </c>
      <c r="AM2897" s="110">
        <f t="shared" si="646"/>
        <v>50</v>
      </c>
      <c r="AN2897" s="447">
        <f t="shared" si="640"/>
        <v>0</v>
      </c>
      <c r="AO2897"/>
      <c r="AP2897"/>
    </row>
    <row r="2898" spans="1:42" ht="66" x14ac:dyDescent="0.25">
      <c r="A2898" s="9"/>
      <c r="B2898" s="528" t="s">
        <v>3069</v>
      </c>
      <c r="C2898" s="1024"/>
      <c r="D2898" s="882">
        <v>5</v>
      </c>
      <c r="E2898" s="251" t="s">
        <v>1767</v>
      </c>
      <c r="F2898" s="273" t="s">
        <v>3446</v>
      </c>
      <c r="G2898" s="1040" t="s">
        <v>3463</v>
      </c>
      <c r="H2898" s="273" t="s">
        <v>3462</v>
      </c>
      <c r="I2898" s="720">
        <f t="shared" si="650"/>
        <v>81</v>
      </c>
      <c r="J2898" s="756">
        <v>405</v>
      </c>
      <c r="K2898" s="131">
        <f t="shared" si="639"/>
        <v>405</v>
      </c>
      <c r="L2898" s="335">
        <f t="shared" si="643"/>
        <v>0</v>
      </c>
      <c r="M2898" s="446"/>
      <c r="N2898" s="446"/>
      <c r="O2898" s="446"/>
      <c r="P2898" s="446"/>
      <c r="Q2898" s="110">
        <v>2</v>
      </c>
      <c r="R2898" s="111">
        <f t="shared" si="641"/>
        <v>101.25</v>
      </c>
      <c r="S2898" s="110"/>
      <c r="T2898" s="110"/>
      <c r="U2898" s="110">
        <v>1</v>
      </c>
      <c r="V2898" s="111">
        <f t="shared" si="642"/>
        <v>101.25</v>
      </c>
      <c r="W2898" s="110"/>
      <c r="X2898" s="110"/>
      <c r="Y2898" s="110"/>
      <c r="Z2898" s="110"/>
      <c r="AA2898" s="110">
        <v>1</v>
      </c>
      <c r="AB2898" s="111">
        <f t="shared" si="651"/>
        <v>101.25</v>
      </c>
      <c r="AC2898" s="110"/>
      <c r="AD2898" s="110"/>
      <c r="AE2898" s="110">
        <v>1</v>
      </c>
      <c r="AF2898" s="111">
        <f t="shared" si="652"/>
        <v>101.25</v>
      </c>
      <c r="AG2898" s="110"/>
      <c r="AH2898" s="110"/>
      <c r="AI2898" s="110"/>
      <c r="AJ2898" s="110"/>
      <c r="AK2898" s="111">
        <f t="shared" si="644"/>
        <v>405</v>
      </c>
      <c r="AL2898" s="446">
        <f t="shared" si="645"/>
        <v>0</v>
      </c>
      <c r="AM2898" s="110">
        <f t="shared" si="646"/>
        <v>5</v>
      </c>
      <c r="AN2898" s="447">
        <f t="shared" si="640"/>
        <v>0</v>
      </c>
      <c r="AO2898"/>
      <c r="AP2898"/>
    </row>
    <row r="2899" spans="1:42" ht="66" x14ac:dyDescent="0.25">
      <c r="A2899" s="9"/>
      <c r="B2899" s="528" t="s">
        <v>3070</v>
      </c>
      <c r="C2899" s="1024"/>
      <c r="D2899" s="882">
        <v>500</v>
      </c>
      <c r="E2899" s="251" t="s">
        <v>1767</v>
      </c>
      <c r="F2899" s="273" t="s">
        <v>3446</v>
      </c>
      <c r="G2899" s="1040" t="s">
        <v>3463</v>
      </c>
      <c r="H2899" s="273" t="s">
        <v>3462</v>
      </c>
      <c r="I2899" s="720">
        <f t="shared" si="650"/>
        <v>4.6979999999999995</v>
      </c>
      <c r="J2899" s="756">
        <v>2348.9999999999995</v>
      </c>
      <c r="K2899" s="131">
        <f t="shared" si="639"/>
        <v>2348.9999999999995</v>
      </c>
      <c r="L2899" s="335">
        <f t="shared" si="643"/>
        <v>0</v>
      </c>
      <c r="M2899" s="446"/>
      <c r="N2899" s="446"/>
      <c r="O2899" s="446"/>
      <c r="P2899" s="446"/>
      <c r="Q2899" s="110">
        <f t="shared" si="647"/>
        <v>125</v>
      </c>
      <c r="R2899" s="111">
        <f t="shared" si="641"/>
        <v>587.24999999999989</v>
      </c>
      <c r="S2899" s="110"/>
      <c r="T2899" s="110"/>
      <c r="U2899" s="110">
        <f t="shared" si="648"/>
        <v>125</v>
      </c>
      <c r="V2899" s="111">
        <f t="shared" si="642"/>
        <v>587.24999999999989</v>
      </c>
      <c r="W2899" s="110"/>
      <c r="X2899" s="110"/>
      <c r="Y2899" s="110"/>
      <c r="Z2899" s="110"/>
      <c r="AA2899" s="110">
        <f t="shared" si="649"/>
        <v>125</v>
      </c>
      <c r="AB2899" s="111">
        <f t="shared" si="651"/>
        <v>587.24999999999989</v>
      </c>
      <c r="AC2899" s="110"/>
      <c r="AD2899" s="110"/>
      <c r="AE2899" s="110">
        <f t="shared" si="649"/>
        <v>125</v>
      </c>
      <c r="AF2899" s="111">
        <f t="shared" si="652"/>
        <v>587.24999999999989</v>
      </c>
      <c r="AG2899" s="110"/>
      <c r="AH2899" s="110"/>
      <c r="AI2899" s="110"/>
      <c r="AJ2899" s="110"/>
      <c r="AK2899" s="111">
        <f t="shared" si="644"/>
        <v>2348.9999999999995</v>
      </c>
      <c r="AL2899" s="446">
        <f t="shared" si="645"/>
        <v>0</v>
      </c>
      <c r="AM2899" s="110">
        <f t="shared" si="646"/>
        <v>500</v>
      </c>
      <c r="AN2899" s="447">
        <f t="shared" si="640"/>
        <v>0</v>
      </c>
      <c r="AO2899"/>
      <c r="AP2899"/>
    </row>
    <row r="2900" spans="1:42" ht="66" x14ac:dyDescent="0.25">
      <c r="A2900" s="9"/>
      <c r="B2900" s="528" t="s">
        <v>3071</v>
      </c>
      <c r="C2900" s="1024"/>
      <c r="D2900" s="882">
        <v>20</v>
      </c>
      <c r="E2900" s="251" t="s">
        <v>1767</v>
      </c>
      <c r="F2900" s="273" t="s">
        <v>3446</v>
      </c>
      <c r="G2900" s="1040" t="s">
        <v>3463</v>
      </c>
      <c r="H2900" s="273" t="s">
        <v>3462</v>
      </c>
      <c r="I2900" s="720">
        <f t="shared" si="650"/>
        <v>74.240927999999997</v>
      </c>
      <c r="J2900" s="756">
        <v>1484.8185599999999</v>
      </c>
      <c r="K2900" s="131">
        <f t="shared" si="639"/>
        <v>1484.8185599999999</v>
      </c>
      <c r="L2900" s="335">
        <f t="shared" si="643"/>
        <v>0</v>
      </c>
      <c r="M2900" s="446"/>
      <c r="N2900" s="446"/>
      <c r="O2900" s="446"/>
      <c r="P2900" s="446"/>
      <c r="Q2900" s="110">
        <f t="shared" si="647"/>
        <v>5</v>
      </c>
      <c r="R2900" s="111">
        <f t="shared" si="641"/>
        <v>371.20463999999998</v>
      </c>
      <c r="S2900" s="110"/>
      <c r="T2900" s="110"/>
      <c r="U2900" s="110">
        <f t="shared" si="648"/>
        <v>5</v>
      </c>
      <c r="V2900" s="111">
        <f t="shared" si="642"/>
        <v>371.20463999999998</v>
      </c>
      <c r="W2900" s="110"/>
      <c r="X2900" s="110"/>
      <c r="Y2900" s="110"/>
      <c r="Z2900" s="110"/>
      <c r="AA2900" s="110">
        <f t="shared" si="649"/>
        <v>5</v>
      </c>
      <c r="AB2900" s="111">
        <f t="shared" si="651"/>
        <v>371.20463999999998</v>
      </c>
      <c r="AC2900" s="110"/>
      <c r="AD2900" s="110"/>
      <c r="AE2900" s="110">
        <f t="shared" si="649"/>
        <v>5</v>
      </c>
      <c r="AF2900" s="111">
        <f t="shared" si="652"/>
        <v>371.20463999999998</v>
      </c>
      <c r="AG2900" s="110"/>
      <c r="AH2900" s="110"/>
      <c r="AI2900" s="110"/>
      <c r="AJ2900" s="110"/>
      <c r="AK2900" s="111">
        <f t="shared" si="644"/>
        <v>1484.8185599999999</v>
      </c>
      <c r="AL2900" s="446">
        <f t="shared" si="645"/>
        <v>0</v>
      </c>
      <c r="AM2900" s="110">
        <f t="shared" si="646"/>
        <v>20</v>
      </c>
      <c r="AN2900" s="447">
        <f t="shared" si="640"/>
        <v>0</v>
      </c>
      <c r="AO2900"/>
      <c r="AP2900"/>
    </row>
    <row r="2901" spans="1:42" ht="66" x14ac:dyDescent="0.25">
      <c r="A2901" s="9"/>
      <c r="B2901" s="528" t="s">
        <v>3072</v>
      </c>
      <c r="C2901" s="1024"/>
      <c r="D2901" s="882">
        <v>1</v>
      </c>
      <c r="E2901" s="251" t="s">
        <v>2941</v>
      </c>
      <c r="F2901" s="273" t="s">
        <v>3446</v>
      </c>
      <c r="G2901" s="1040" t="s">
        <v>3463</v>
      </c>
      <c r="H2901" s="273" t="s">
        <v>3462</v>
      </c>
      <c r="I2901" s="720">
        <f t="shared" si="650"/>
        <v>1152.74</v>
      </c>
      <c r="J2901" s="756">
        <v>1152.74</v>
      </c>
      <c r="K2901" s="131">
        <f t="shared" si="639"/>
        <v>1152.74</v>
      </c>
      <c r="L2901" s="335">
        <f t="shared" si="643"/>
        <v>0</v>
      </c>
      <c r="M2901" s="446"/>
      <c r="N2901" s="446"/>
      <c r="O2901" s="446"/>
      <c r="P2901" s="446"/>
      <c r="Q2901" s="110">
        <v>1</v>
      </c>
      <c r="R2901" s="111">
        <f t="shared" si="641"/>
        <v>288.185</v>
      </c>
      <c r="S2901" s="110"/>
      <c r="T2901" s="110"/>
      <c r="U2901" s="110">
        <v>0</v>
      </c>
      <c r="V2901" s="111">
        <f t="shared" si="642"/>
        <v>288.185</v>
      </c>
      <c r="W2901" s="110"/>
      <c r="X2901" s="110"/>
      <c r="Y2901" s="110"/>
      <c r="Z2901" s="110"/>
      <c r="AA2901" s="110">
        <v>0</v>
      </c>
      <c r="AB2901" s="111">
        <f t="shared" si="651"/>
        <v>288.185</v>
      </c>
      <c r="AC2901" s="110"/>
      <c r="AD2901" s="110"/>
      <c r="AE2901" s="110">
        <v>0</v>
      </c>
      <c r="AF2901" s="111">
        <f t="shared" si="652"/>
        <v>288.185</v>
      </c>
      <c r="AG2901" s="110"/>
      <c r="AH2901" s="110"/>
      <c r="AI2901" s="110"/>
      <c r="AJ2901" s="110"/>
      <c r="AK2901" s="111">
        <f t="shared" si="644"/>
        <v>1152.74</v>
      </c>
      <c r="AL2901" s="446">
        <f t="shared" si="645"/>
        <v>0</v>
      </c>
      <c r="AM2901" s="110">
        <f t="shared" si="646"/>
        <v>1</v>
      </c>
      <c r="AN2901" s="447">
        <f t="shared" si="640"/>
        <v>0</v>
      </c>
      <c r="AO2901"/>
      <c r="AP2901"/>
    </row>
    <row r="2902" spans="1:42" ht="66" x14ac:dyDescent="0.25">
      <c r="A2902" s="9"/>
      <c r="B2902" s="528" t="s">
        <v>3073</v>
      </c>
      <c r="C2902" s="1024"/>
      <c r="D2902" s="882">
        <v>1</v>
      </c>
      <c r="E2902" s="251" t="s">
        <v>1766</v>
      </c>
      <c r="F2902" s="273" t="s">
        <v>3446</v>
      </c>
      <c r="G2902" s="1040" t="s">
        <v>3463</v>
      </c>
      <c r="H2902" s="273" t="s">
        <v>3462</v>
      </c>
      <c r="I2902" s="720">
        <f t="shared" si="650"/>
        <v>506.52</v>
      </c>
      <c r="J2902" s="756">
        <v>506.52</v>
      </c>
      <c r="K2902" s="131">
        <f t="shared" si="639"/>
        <v>506.52</v>
      </c>
      <c r="L2902" s="335">
        <f t="shared" si="643"/>
        <v>0</v>
      </c>
      <c r="M2902" s="446"/>
      <c r="N2902" s="446"/>
      <c r="O2902" s="446"/>
      <c r="P2902" s="446"/>
      <c r="Q2902" s="110">
        <v>1</v>
      </c>
      <c r="R2902" s="111">
        <f t="shared" si="641"/>
        <v>126.63</v>
      </c>
      <c r="S2902" s="110"/>
      <c r="T2902" s="110"/>
      <c r="U2902" s="110">
        <v>0</v>
      </c>
      <c r="V2902" s="111">
        <f t="shared" si="642"/>
        <v>126.63</v>
      </c>
      <c r="W2902" s="110"/>
      <c r="X2902" s="110"/>
      <c r="Y2902" s="110"/>
      <c r="Z2902" s="110"/>
      <c r="AA2902" s="110">
        <v>0</v>
      </c>
      <c r="AB2902" s="111">
        <f t="shared" si="651"/>
        <v>126.63</v>
      </c>
      <c r="AC2902" s="110"/>
      <c r="AD2902" s="110"/>
      <c r="AE2902" s="110">
        <v>0</v>
      </c>
      <c r="AF2902" s="111">
        <f t="shared" si="652"/>
        <v>126.63</v>
      </c>
      <c r="AG2902" s="110"/>
      <c r="AH2902" s="110"/>
      <c r="AI2902" s="110"/>
      <c r="AJ2902" s="110"/>
      <c r="AK2902" s="111">
        <f t="shared" si="644"/>
        <v>506.52</v>
      </c>
      <c r="AL2902" s="446">
        <f t="shared" si="645"/>
        <v>0</v>
      </c>
      <c r="AM2902" s="110">
        <f t="shared" si="646"/>
        <v>1</v>
      </c>
      <c r="AN2902" s="447">
        <f t="shared" si="640"/>
        <v>0</v>
      </c>
      <c r="AO2902"/>
      <c r="AP2902"/>
    </row>
    <row r="2903" spans="1:42" ht="66" x14ac:dyDescent="0.25">
      <c r="A2903" s="9"/>
      <c r="B2903" s="528" t="s">
        <v>3074</v>
      </c>
      <c r="C2903" s="1024"/>
      <c r="D2903" s="882">
        <v>1</v>
      </c>
      <c r="E2903" s="251" t="s">
        <v>1766</v>
      </c>
      <c r="F2903" s="273" t="s">
        <v>3446</v>
      </c>
      <c r="G2903" s="1040" t="s">
        <v>3463</v>
      </c>
      <c r="H2903" s="273" t="s">
        <v>3462</v>
      </c>
      <c r="I2903" s="720">
        <f t="shared" si="650"/>
        <v>496.81036799999998</v>
      </c>
      <c r="J2903" s="756">
        <v>496.81036799999998</v>
      </c>
      <c r="K2903" s="131">
        <f t="shared" si="639"/>
        <v>496.81036799999998</v>
      </c>
      <c r="L2903" s="335">
        <f t="shared" si="643"/>
        <v>0</v>
      </c>
      <c r="M2903" s="446"/>
      <c r="N2903" s="446"/>
      <c r="O2903" s="446"/>
      <c r="P2903" s="446"/>
      <c r="Q2903" s="110">
        <v>1</v>
      </c>
      <c r="R2903" s="111">
        <f t="shared" si="641"/>
        <v>124.202592</v>
      </c>
      <c r="S2903" s="110"/>
      <c r="T2903" s="110"/>
      <c r="U2903" s="110">
        <v>0</v>
      </c>
      <c r="V2903" s="111">
        <f t="shared" si="642"/>
        <v>124.202592</v>
      </c>
      <c r="W2903" s="110"/>
      <c r="X2903" s="110"/>
      <c r="Y2903" s="110"/>
      <c r="Z2903" s="110"/>
      <c r="AA2903" s="110">
        <v>0</v>
      </c>
      <c r="AB2903" s="111">
        <f t="shared" si="651"/>
        <v>124.202592</v>
      </c>
      <c r="AC2903" s="110"/>
      <c r="AD2903" s="110"/>
      <c r="AE2903" s="110">
        <v>0</v>
      </c>
      <c r="AF2903" s="111">
        <f t="shared" si="652"/>
        <v>124.202592</v>
      </c>
      <c r="AG2903" s="110"/>
      <c r="AH2903" s="110"/>
      <c r="AI2903" s="110"/>
      <c r="AJ2903" s="110"/>
      <c r="AK2903" s="111">
        <f t="shared" si="644"/>
        <v>496.81036799999998</v>
      </c>
      <c r="AL2903" s="446">
        <f t="shared" si="645"/>
        <v>0</v>
      </c>
      <c r="AM2903" s="110">
        <f t="shared" si="646"/>
        <v>1</v>
      </c>
      <c r="AN2903" s="447">
        <f t="shared" si="640"/>
        <v>0</v>
      </c>
      <c r="AO2903"/>
      <c r="AP2903"/>
    </row>
    <row r="2904" spans="1:42" ht="66" x14ac:dyDescent="0.25">
      <c r="A2904" s="9"/>
      <c r="B2904" s="528" t="s">
        <v>3075</v>
      </c>
      <c r="C2904" s="1024"/>
      <c r="D2904" s="882">
        <v>1</v>
      </c>
      <c r="E2904" s="251" t="s">
        <v>1767</v>
      </c>
      <c r="F2904" s="273" t="s">
        <v>3446</v>
      </c>
      <c r="G2904" s="1040" t="s">
        <v>3463</v>
      </c>
      <c r="H2904" s="273" t="s">
        <v>3462</v>
      </c>
      <c r="I2904" s="720">
        <f t="shared" si="650"/>
        <v>302.40086400000001</v>
      </c>
      <c r="J2904" s="756">
        <v>302.40086400000001</v>
      </c>
      <c r="K2904" s="131">
        <f t="shared" si="639"/>
        <v>302.40086400000001</v>
      </c>
      <c r="L2904" s="335">
        <f t="shared" si="643"/>
        <v>0</v>
      </c>
      <c r="M2904" s="446"/>
      <c r="N2904" s="446"/>
      <c r="O2904" s="446"/>
      <c r="P2904" s="446"/>
      <c r="Q2904" s="110">
        <v>1</v>
      </c>
      <c r="R2904" s="111">
        <f t="shared" si="641"/>
        <v>75.600216000000003</v>
      </c>
      <c r="S2904" s="110"/>
      <c r="T2904" s="110"/>
      <c r="U2904" s="110">
        <v>0</v>
      </c>
      <c r="V2904" s="111">
        <f t="shared" si="642"/>
        <v>75.600216000000003</v>
      </c>
      <c r="W2904" s="110"/>
      <c r="X2904" s="110"/>
      <c r="Y2904" s="110"/>
      <c r="Z2904" s="110"/>
      <c r="AA2904" s="110">
        <v>0</v>
      </c>
      <c r="AB2904" s="111">
        <f t="shared" si="651"/>
        <v>75.600216000000003</v>
      </c>
      <c r="AC2904" s="110"/>
      <c r="AD2904" s="110"/>
      <c r="AE2904" s="110">
        <v>0</v>
      </c>
      <c r="AF2904" s="111">
        <f t="shared" si="652"/>
        <v>75.600216000000003</v>
      </c>
      <c r="AG2904" s="110"/>
      <c r="AH2904" s="110"/>
      <c r="AI2904" s="110"/>
      <c r="AJ2904" s="110"/>
      <c r="AK2904" s="111">
        <f t="shared" si="644"/>
        <v>302.40086400000001</v>
      </c>
      <c r="AL2904" s="446">
        <f t="shared" si="645"/>
        <v>0</v>
      </c>
      <c r="AM2904" s="110">
        <f t="shared" si="646"/>
        <v>1</v>
      </c>
      <c r="AN2904" s="447">
        <f t="shared" si="640"/>
        <v>0</v>
      </c>
      <c r="AO2904"/>
      <c r="AP2904"/>
    </row>
    <row r="2905" spans="1:42" ht="66" x14ac:dyDescent="0.25">
      <c r="A2905" s="9"/>
      <c r="B2905" s="528" t="s">
        <v>3076</v>
      </c>
      <c r="C2905" s="1024"/>
      <c r="D2905" s="882">
        <v>1</v>
      </c>
      <c r="E2905" s="251" t="s">
        <v>1766</v>
      </c>
      <c r="F2905" s="273" t="s">
        <v>3446</v>
      </c>
      <c r="G2905" s="1040" t="s">
        <v>3463</v>
      </c>
      <c r="H2905" s="273" t="s">
        <v>3462</v>
      </c>
      <c r="I2905" s="720">
        <f t="shared" si="650"/>
        <v>39.94</v>
      </c>
      <c r="J2905" s="756">
        <v>39.94</v>
      </c>
      <c r="K2905" s="131">
        <f t="shared" si="639"/>
        <v>39.94</v>
      </c>
      <c r="L2905" s="335">
        <f t="shared" si="643"/>
        <v>0</v>
      </c>
      <c r="M2905" s="446"/>
      <c r="N2905" s="446"/>
      <c r="O2905" s="446"/>
      <c r="P2905" s="446"/>
      <c r="Q2905" s="110">
        <v>1</v>
      </c>
      <c r="R2905" s="111">
        <f t="shared" si="641"/>
        <v>9.9849999999999994</v>
      </c>
      <c r="S2905" s="110"/>
      <c r="T2905" s="110"/>
      <c r="U2905" s="110">
        <v>0</v>
      </c>
      <c r="V2905" s="111">
        <f t="shared" si="642"/>
        <v>9.9849999999999994</v>
      </c>
      <c r="W2905" s="110"/>
      <c r="X2905" s="110"/>
      <c r="Y2905" s="110"/>
      <c r="Z2905" s="110"/>
      <c r="AA2905" s="110">
        <v>0</v>
      </c>
      <c r="AB2905" s="111">
        <f t="shared" si="651"/>
        <v>9.9849999999999994</v>
      </c>
      <c r="AC2905" s="110"/>
      <c r="AD2905" s="110"/>
      <c r="AE2905" s="110">
        <v>0</v>
      </c>
      <c r="AF2905" s="111">
        <f t="shared" si="652"/>
        <v>9.9849999999999994</v>
      </c>
      <c r="AG2905" s="110"/>
      <c r="AH2905" s="110"/>
      <c r="AI2905" s="110"/>
      <c r="AJ2905" s="110"/>
      <c r="AK2905" s="111">
        <f t="shared" si="644"/>
        <v>39.94</v>
      </c>
      <c r="AL2905" s="446">
        <f t="shared" si="645"/>
        <v>0</v>
      </c>
      <c r="AM2905" s="110">
        <f t="shared" si="646"/>
        <v>1</v>
      </c>
      <c r="AN2905" s="447">
        <f t="shared" si="640"/>
        <v>0</v>
      </c>
      <c r="AO2905"/>
      <c r="AP2905"/>
    </row>
    <row r="2906" spans="1:42" ht="66" x14ac:dyDescent="0.25">
      <c r="A2906" s="9"/>
      <c r="B2906" s="528" t="s">
        <v>3077</v>
      </c>
      <c r="C2906" s="1024"/>
      <c r="D2906" s="882">
        <v>1</v>
      </c>
      <c r="E2906" s="251" t="s">
        <v>1767</v>
      </c>
      <c r="F2906" s="273" t="s">
        <v>3446</v>
      </c>
      <c r="G2906" s="1040" t="s">
        <v>3463</v>
      </c>
      <c r="H2906" s="273" t="s">
        <v>3462</v>
      </c>
      <c r="I2906" s="720">
        <f t="shared" si="650"/>
        <v>1013.9</v>
      </c>
      <c r="J2906" s="756">
        <v>1013.9</v>
      </c>
      <c r="K2906" s="131">
        <f t="shared" ref="K2906:K2969" si="653">+D2906*I2906</f>
        <v>1013.9</v>
      </c>
      <c r="L2906" s="335">
        <f t="shared" si="643"/>
        <v>0</v>
      </c>
      <c r="M2906" s="446"/>
      <c r="N2906" s="446"/>
      <c r="O2906" s="446"/>
      <c r="P2906" s="446"/>
      <c r="Q2906" s="110">
        <v>1</v>
      </c>
      <c r="R2906" s="111">
        <f t="shared" si="641"/>
        <v>253.47499999999999</v>
      </c>
      <c r="S2906" s="110"/>
      <c r="T2906" s="110"/>
      <c r="U2906" s="110">
        <v>0</v>
      </c>
      <c r="V2906" s="111">
        <f t="shared" si="642"/>
        <v>253.47499999999999</v>
      </c>
      <c r="W2906" s="110"/>
      <c r="X2906" s="110"/>
      <c r="Y2906" s="110"/>
      <c r="Z2906" s="110"/>
      <c r="AA2906" s="110">
        <v>0</v>
      </c>
      <c r="AB2906" s="111">
        <f t="shared" si="651"/>
        <v>253.47499999999999</v>
      </c>
      <c r="AC2906" s="110"/>
      <c r="AD2906" s="110"/>
      <c r="AE2906" s="110">
        <v>0</v>
      </c>
      <c r="AF2906" s="111">
        <f t="shared" si="652"/>
        <v>253.47499999999999</v>
      </c>
      <c r="AG2906" s="110"/>
      <c r="AH2906" s="110"/>
      <c r="AI2906" s="110"/>
      <c r="AJ2906" s="110"/>
      <c r="AK2906" s="111">
        <f t="shared" si="644"/>
        <v>1013.9</v>
      </c>
      <c r="AL2906" s="446">
        <f t="shared" si="645"/>
        <v>0</v>
      </c>
      <c r="AM2906" s="110">
        <f t="shared" si="646"/>
        <v>1</v>
      </c>
      <c r="AN2906" s="447">
        <f t="shared" ref="AN2906:AN2969" si="654">+D2906-AM2906</f>
        <v>0</v>
      </c>
      <c r="AO2906"/>
      <c r="AP2906"/>
    </row>
    <row r="2907" spans="1:42" ht="66" x14ac:dyDescent="0.25">
      <c r="A2907" s="9"/>
      <c r="B2907" s="528" t="s">
        <v>3078</v>
      </c>
      <c r="C2907" s="1024"/>
      <c r="D2907" s="882">
        <v>1</v>
      </c>
      <c r="E2907" s="251" t="s">
        <v>1767</v>
      </c>
      <c r="F2907" s="273" t="s">
        <v>3446</v>
      </c>
      <c r="G2907" s="1040" t="s">
        <v>3463</v>
      </c>
      <c r="H2907" s="273" t="s">
        <v>3462</v>
      </c>
      <c r="I2907" s="720">
        <f t="shared" si="650"/>
        <v>226.79438400000001</v>
      </c>
      <c r="J2907" s="756">
        <v>226.79438400000001</v>
      </c>
      <c r="K2907" s="131">
        <f t="shared" si="653"/>
        <v>226.79438400000001</v>
      </c>
      <c r="L2907" s="335">
        <f t="shared" si="643"/>
        <v>0</v>
      </c>
      <c r="M2907" s="446"/>
      <c r="N2907" s="446"/>
      <c r="O2907" s="446"/>
      <c r="P2907" s="446"/>
      <c r="Q2907" s="110">
        <v>1</v>
      </c>
      <c r="R2907" s="111">
        <f t="shared" si="641"/>
        <v>56.698596000000002</v>
      </c>
      <c r="S2907" s="110"/>
      <c r="T2907" s="110"/>
      <c r="U2907" s="110">
        <v>0</v>
      </c>
      <c r="V2907" s="111">
        <f t="shared" si="642"/>
        <v>56.698596000000002</v>
      </c>
      <c r="W2907" s="110"/>
      <c r="X2907" s="110"/>
      <c r="Y2907" s="110"/>
      <c r="Z2907" s="110"/>
      <c r="AA2907" s="110">
        <v>0</v>
      </c>
      <c r="AB2907" s="111">
        <f t="shared" si="651"/>
        <v>56.698596000000002</v>
      </c>
      <c r="AC2907" s="110"/>
      <c r="AD2907" s="110"/>
      <c r="AE2907" s="110">
        <v>0</v>
      </c>
      <c r="AF2907" s="111">
        <f t="shared" si="652"/>
        <v>56.698596000000002</v>
      </c>
      <c r="AG2907" s="110"/>
      <c r="AH2907" s="110"/>
      <c r="AI2907" s="110"/>
      <c r="AJ2907" s="110"/>
      <c r="AK2907" s="111">
        <f t="shared" si="644"/>
        <v>226.79438400000001</v>
      </c>
      <c r="AL2907" s="446">
        <f t="shared" si="645"/>
        <v>0</v>
      </c>
      <c r="AM2907" s="110">
        <f t="shared" si="646"/>
        <v>1</v>
      </c>
      <c r="AN2907" s="447">
        <f t="shared" si="654"/>
        <v>0</v>
      </c>
      <c r="AO2907"/>
      <c r="AP2907"/>
    </row>
    <row r="2908" spans="1:42" ht="66" x14ac:dyDescent="0.25">
      <c r="A2908" s="9"/>
      <c r="B2908" s="528" t="s">
        <v>3079</v>
      </c>
      <c r="C2908" s="1024"/>
      <c r="D2908" s="882">
        <v>1</v>
      </c>
      <c r="E2908" s="251" t="s">
        <v>1767</v>
      </c>
      <c r="F2908" s="273" t="s">
        <v>3446</v>
      </c>
      <c r="G2908" s="1040" t="s">
        <v>3463</v>
      </c>
      <c r="H2908" s="273" t="s">
        <v>3462</v>
      </c>
      <c r="I2908" s="720">
        <f t="shared" si="650"/>
        <v>1021.05</v>
      </c>
      <c r="J2908" s="756">
        <v>1021.05</v>
      </c>
      <c r="K2908" s="131">
        <f t="shared" si="653"/>
        <v>1021.05</v>
      </c>
      <c r="L2908" s="335">
        <f t="shared" si="643"/>
        <v>0</v>
      </c>
      <c r="M2908" s="446"/>
      <c r="N2908" s="446"/>
      <c r="O2908" s="446"/>
      <c r="P2908" s="446"/>
      <c r="Q2908" s="110">
        <v>1</v>
      </c>
      <c r="R2908" s="111">
        <f t="shared" si="641"/>
        <v>255.26249999999999</v>
      </c>
      <c r="S2908" s="110"/>
      <c r="T2908" s="110"/>
      <c r="U2908" s="110">
        <v>0</v>
      </c>
      <c r="V2908" s="111">
        <f t="shared" si="642"/>
        <v>255.26249999999999</v>
      </c>
      <c r="W2908" s="110"/>
      <c r="X2908" s="110"/>
      <c r="Y2908" s="110"/>
      <c r="Z2908" s="110"/>
      <c r="AA2908" s="110">
        <v>0</v>
      </c>
      <c r="AB2908" s="111">
        <f t="shared" si="651"/>
        <v>255.26249999999999</v>
      </c>
      <c r="AC2908" s="110"/>
      <c r="AD2908" s="110"/>
      <c r="AE2908" s="110">
        <v>0</v>
      </c>
      <c r="AF2908" s="111">
        <f t="shared" si="652"/>
        <v>255.26249999999999</v>
      </c>
      <c r="AG2908" s="110"/>
      <c r="AH2908" s="110"/>
      <c r="AI2908" s="110"/>
      <c r="AJ2908" s="110"/>
      <c r="AK2908" s="111">
        <f t="shared" si="644"/>
        <v>1021.05</v>
      </c>
      <c r="AL2908" s="446">
        <f t="shared" si="645"/>
        <v>0</v>
      </c>
      <c r="AM2908" s="110">
        <f t="shared" si="646"/>
        <v>1</v>
      </c>
      <c r="AN2908" s="447">
        <f t="shared" si="654"/>
        <v>0</v>
      </c>
      <c r="AO2908"/>
      <c r="AP2908"/>
    </row>
    <row r="2909" spans="1:42" ht="66" x14ac:dyDescent="0.25">
      <c r="A2909" s="9"/>
      <c r="B2909" s="528" t="s">
        <v>3080</v>
      </c>
      <c r="C2909" s="1024"/>
      <c r="D2909" s="882">
        <v>1</v>
      </c>
      <c r="E2909" s="251" t="s">
        <v>2941</v>
      </c>
      <c r="F2909" s="273" t="s">
        <v>3446</v>
      </c>
      <c r="G2909" s="1040" t="s">
        <v>3463</v>
      </c>
      <c r="H2909" s="273" t="s">
        <v>3462</v>
      </c>
      <c r="I2909" s="720">
        <f t="shared" si="650"/>
        <v>92.858400000000017</v>
      </c>
      <c r="J2909" s="756">
        <v>92.858400000000017</v>
      </c>
      <c r="K2909" s="131">
        <f t="shared" si="653"/>
        <v>92.858400000000017</v>
      </c>
      <c r="L2909" s="335">
        <f t="shared" si="643"/>
        <v>0</v>
      </c>
      <c r="M2909" s="446"/>
      <c r="N2909" s="446"/>
      <c r="O2909" s="446"/>
      <c r="P2909" s="446"/>
      <c r="Q2909" s="110">
        <v>1</v>
      </c>
      <c r="R2909" s="111">
        <f t="shared" si="641"/>
        <v>23.214600000000004</v>
      </c>
      <c r="S2909" s="110"/>
      <c r="T2909" s="110"/>
      <c r="U2909" s="110">
        <v>0</v>
      </c>
      <c r="V2909" s="111">
        <f t="shared" si="642"/>
        <v>23.214600000000004</v>
      </c>
      <c r="W2909" s="110"/>
      <c r="X2909" s="110"/>
      <c r="Y2909" s="110"/>
      <c r="Z2909" s="110"/>
      <c r="AA2909" s="110">
        <v>0</v>
      </c>
      <c r="AB2909" s="111">
        <f t="shared" si="651"/>
        <v>23.214600000000004</v>
      </c>
      <c r="AC2909" s="110"/>
      <c r="AD2909" s="110"/>
      <c r="AE2909" s="110">
        <v>0</v>
      </c>
      <c r="AF2909" s="111">
        <f t="shared" si="652"/>
        <v>23.214600000000004</v>
      </c>
      <c r="AG2909" s="110"/>
      <c r="AH2909" s="110"/>
      <c r="AI2909" s="110"/>
      <c r="AJ2909" s="110"/>
      <c r="AK2909" s="111">
        <f t="shared" si="644"/>
        <v>92.858400000000017</v>
      </c>
      <c r="AL2909" s="446">
        <f t="shared" si="645"/>
        <v>0</v>
      </c>
      <c r="AM2909" s="110">
        <f t="shared" si="646"/>
        <v>1</v>
      </c>
      <c r="AN2909" s="447">
        <f t="shared" si="654"/>
        <v>0</v>
      </c>
      <c r="AO2909"/>
      <c r="AP2909"/>
    </row>
    <row r="2910" spans="1:42" ht="66" x14ac:dyDescent="0.25">
      <c r="A2910" s="9"/>
      <c r="B2910" s="528" t="s">
        <v>3081</v>
      </c>
      <c r="C2910" s="1024"/>
      <c r="D2910" s="882">
        <v>1</v>
      </c>
      <c r="E2910" s="251" t="s">
        <v>1767</v>
      </c>
      <c r="F2910" s="273" t="s">
        <v>3446</v>
      </c>
      <c r="G2910" s="1040" t="s">
        <v>3463</v>
      </c>
      <c r="H2910" s="273" t="s">
        <v>3462</v>
      </c>
      <c r="I2910" s="720">
        <f t="shared" si="650"/>
        <v>143.64000000000001</v>
      </c>
      <c r="J2910" s="756">
        <v>143.64000000000001</v>
      </c>
      <c r="K2910" s="131">
        <f t="shared" si="653"/>
        <v>143.64000000000001</v>
      </c>
      <c r="L2910" s="335">
        <f t="shared" si="643"/>
        <v>0</v>
      </c>
      <c r="M2910" s="446"/>
      <c r="N2910" s="446"/>
      <c r="O2910" s="446"/>
      <c r="P2910" s="446"/>
      <c r="Q2910" s="110">
        <v>1</v>
      </c>
      <c r="R2910" s="111">
        <f t="shared" si="641"/>
        <v>35.910000000000004</v>
      </c>
      <c r="S2910" s="110"/>
      <c r="T2910" s="110"/>
      <c r="U2910" s="110">
        <v>0</v>
      </c>
      <c r="V2910" s="111">
        <f t="shared" si="642"/>
        <v>35.910000000000004</v>
      </c>
      <c r="W2910" s="110"/>
      <c r="X2910" s="110"/>
      <c r="Y2910" s="110"/>
      <c r="Z2910" s="110"/>
      <c r="AA2910" s="110">
        <v>0</v>
      </c>
      <c r="AB2910" s="111">
        <f t="shared" si="651"/>
        <v>35.910000000000004</v>
      </c>
      <c r="AC2910" s="110"/>
      <c r="AD2910" s="110"/>
      <c r="AE2910" s="110">
        <v>0</v>
      </c>
      <c r="AF2910" s="111">
        <f t="shared" si="652"/>
        <v>35.910000000000004</v>
      </c>
      <c r="AG2910" s="110"/>
      <c r="AH2910" s="110"/>
      <c r="AI2910" s="110"/>
      <c r="AJ2910" s="110"/>
      <c r="AK2910" s="111">
        <f t="shared" si="644"/>
        <v>143.64000000000001</v>
      </c>
      <c r="AL2910" s="446">
        <f t="shared" si="645"/>
        <v>0</v>
      </c>
      <c r="AM2910" s="110">
        <f t="shared" si="646"/>
        <v>1</v>
      </c>
      <c r="AN2910" s="447">
        <f t="shared" si="654"/>
        <v>0</v>
      </c>
      <c r="AO2910"/>
      <c r="AP2910"/>
    </row>
    <row r="2911" spans="1:42" ht="66" x14ac:dyDescent="0.25">
      <c r="A2911" s="9"/>
      <c r="B2911" s="528" t="s">
        <v>3082</v>
      </c>
      <c r="C2911" s="1024"/>
      <c r="D2911" s="882">
        <v>1</v>
      </c>
      <c r="E2911" s="251" t="s">
        <v>1767</v>
      </c>
      <c r="F2911" s="273" t="s">
        <v>3446</v>
      </c>
      <c r="G2911" s="1040" t="s">
        <v>3463</v>
      </c>
      <c r="H2911" s="273" t="s">
        <v>3462</v>
      </c>
      <c r="I2911" s="720">
        <f t="shared" si="650"/>
        <v>250.92</v>
      </c>
      <c r="J2911" s="756">
        <v>250.92</v>
      </c>
      <c r="K2911" s="131">
        <f t="shared" si="653"/>
        <v>250.92</v>
      </c>
      <c r="L2911" s="335">
        <f t="shared" si="643"/>
        <v>0</v>
      </c>
      <c r="M2911" s="446"/>
      <c r="N2911" s="446"/>
      <c r="O2911" s="446"/>
      <c r="P2911" s="446"/>
      <c r="Q2911" s="110">
        <v>1</v>
      </c>
      <c r="R2911" s="111">
        <f t="shared" si="641"/>
        <v>62.73</v>
      </c>
      <c r="S2911" s="110"/>
      <c r="T2911" s="110"/>
      <c r="U2911" s="110">
        <v>0</v>
      </c>
      <c r="V2911" s="111">
        <f t="shared" si="642"/>
        <v>62.73</v>
      </c>
      <c r="W2911" s="110"/>
      <c r="X2911" s="110"/>
      <c r="Y2911" s="110"/>
      <c r="Z2911" s="110"/>
      <c r="AA2911" s="110">
        <v>0</v>
      </c>
      <c r="AB2911" s="111">
        <f t="shared" si="651"/>
        <v>62.73</v>
      </c>
      <c r="AC2911" s="110"/>
      <c r="AD2911" s="110"/>
      <c r="AE2911" s="110">
        <v>0</v>
      </c>
      <c r="AF2911" s="111">
        <f t="shared" si="652"/>
        <v>62.73</v>
      </c>
      <c r="AG2911" s="110"/>
      <c r="AH2911" s="110"/>
      <c r="AI2911" s="110"/>
      <c r="AJ2911" s="110"/>
      <c r="AK2911" s="111">
        <f t="shared" si="644"/>
        <v>250.92</v>
      </c>
      <c r="AL2911" s="446">
        <f t="shared" si="645"/>
        <v>0</v>
      </c>
      <c r="AM2911" s="110">
        <f t="shared" si="646"/>
        <v>1</v>
      </c>
      <c r="AN2911" s="447">
        <f t="shared" si="654"/>
        <v>0</v>
      </c>
      <c r="AO2911"/>
      <c r="AP2911"/>
    </row>
    <row r="2912" spans="1:42" ht="66" x14ac:dyDescent="0.25">
      <c r="A2912" s="9"/>
      <c r="B2912" s="528" t="s">
        <v>3083</v>
      </c>
      <c r="C2912" s="1024"/>
      <c r="D2912" s="882">
        <v>1</v>
      </c>
      <c r="E2912" s="251" t="s">
        <v>1767</v>
      </c>
      <c r="F2912" s="273" t="s">
        <v>3446</v>
      </c>
      <c r="G2912" s="1040" t="s">
        <v>3463</v>
      </c>
      <c r="H2912" s="273" t="s">
        <v>3462</v>
      </c>
      <c r="I2912" s="720">
        <f t="shared" si="650"/>
        <v>85.64</v>
      </c>
      <c r="J2912" s="756">
        <v>85.64</v>
      </c>
      <c r="K2912" s="131">
        <f t="shared" si="653"/>
        <v>85.64</v>
      </c>
      <c r="L2912" s="335">
        <f t="shared" si="643"/>
        <v>0</v>
      </c>
      <c r="M2912" s="446"/>
      <c r="N2912" s="446"/>
      <c r="O2912" s="446"/>
      <c r="P2912" s="446"/>
      <c r="Q2912" s="110">
        <v>1</v>
      </c>
      <c r="R2912" s="111">
        <f t="shared" si="641"/>
        <v>21.41</v>
      </c>
      <c r="S2912" s="110"/>
      <c r="T2912" s="110"/>
      <c r="U2912" s="110">
        <v>0</v>
      </c>
      <c r="V2912" s="111">
        <f t="shared" si="642"/>
        <v>21.41</v>
      </c>
      <c r="W2912" s="110"/>
      <c r="X2912" s="110"/>
      <c r="Y2912" s="110"/>
      <c r="Z2912" s="110"/>
      <c r="AA2912" s="110">
        <v>0</v>
      </c>
      <c r="AB2912" s="111">
        <f t="shared" si="651"/>
        <v>21.41</v>
      </c>
      <c r="AC2912" s="110"/>
      <c r="AD2912" s="110"/>
      <c r="AE2912" s="110">
        <v>0</v>
      </c>
      <c r="AF2912" s="111">
        <f t="shared" si="652"/>
        <v>21.41</v>
      </c>
      <c r="AG2912" s="110"/>
      <c r="AH2912" s="110"/>
      <c r="AI2912" s="110"/>
      <c r="AJ2912" s="110"/>
      <c r="AK2912" s="111">
        <f t="shared" si="644"/>
        <v>85.64</v>
      </c>
      <c r="AL2912" s="446">
        <f t="shared" si="645"/>
        <v>0</v>
      </c>
      <c r="AM2912" s="110">
        <f t="shared" si="646"/>
        <v>1</v>
      </c>
      <c r="AN2912" s="447">
        <f t="shared" si="654"/>
        <v>0</v>
      </c>
      <c r="AO2912"/>
      <c r="AP2912"/>
    </row>
    <row r="2913" spans="1:42" ht="66" x14ac:dyDescent="0.25">
      <c r="A2913" s="9"/>
      <c r="B2913" s="528" t="s">
        <v>3084</v>
      </c>
      <c r="C2913" s="1024"/>
      <c r="D2913" s="882">
        <v>1</v>
      </c>
      <c r="E2913" s="251" t="s">
        <v>2442</v>
      </c>
      <c r="F2913" s="273" t="s">
        <v>3446</v>
      </c>
      <c r="G2913" s="1040" t="s">
        <v>3463</v>
      </c>
      <c r="H2913" s="273" t="s">
        <v>3462</v>
      </c>
      <c r="I2913" s="720">
        <f t="shared" si="650"/>
        <v>122.52</v>
      </c>
      <c r="J2913" s="756">
        <v>122.52</v>
      </c>
      <c r="K2913" s="131">
        <f t="shared" si="653"/>
        <v>122.52</v>
      </c>
      <c r="L2913" s="335">
        <f t="shared" si="643"/>
        <v>0</v>
      </c>
      <c r="M2913" s="446"/>
      <c r="N2913" s="446"/>
      <c r="O2913" s="446"/>
      <c r="P2913" s="446"/>
      <c r="Q2913" s="110">
        <v>1</v>
      </c>
      <c r="R2913" s="111">
        <f t="shared" si="641"/>
        <v>30.63</v>
      </c>
      <c r="S2913" s="110"/>
      <c r="T2913" s="110"/>
      <c r="U2913" s="110">
        <v>0</v>
      </c>
      <c r="V2913" s="111">
        <f t="shared" si="642"/>
        <v>30.63</v>
      </c>
      <c r="W2913" s="110"/>
      <c r="X2913" s="110"/>
      <c r="Y2913" s="110"/>
      <c r="Z2913" s="110"/>
      <c r="AA2913" s="110">
        <v>0</v>
      </c>
      <c r="AB2913" s="111">
        <f t="shared" si="651"/>
        <v>30.63</v>
      </c>
      <c r="AC2913" s="110"/>
      <c r="AD2913" s="110"/>
      <c r="AE2913" s="110">
        <v>0</v>
      </c>
      <c r="AF2913" s="111">
        <f t="shared" si="652"/>
        <v>30.63</v>
      </c>
      <c r="AG2913" s="110"/>
      <c r="AH2913" s="110"/>
      <c r="AI2913" s="110"/>
      <c r="AJ2913" s="110"/>
      <c r="AK2913" s="111">
        <f t="shared" si="644"/>
        <v>122.52</v>
      </c>
      <c r="AL2913" s="446">
        <f t="shared" si="645"/>
        <v>0</v>
      </c>
      <c r="AM2913" s="110">
        <f t="shared" si="646"/>
        <v>1</v>
      </c>
      <c r="AN2913" s="447">
        <f t="shared" si="654"/>
        <v>0</v>
      </c>
      <c r="AO2913"/>
      <c r="AP2913"/>
    </row>
    <row r="2914" spans="1:42" ht="66" x14ac:dyDescent="0.25">
      <c r="A2914" s="9"/>
      <c r="B2914" s="528" t="s">
        <v>3085</v>
      </c>
      <c r="C2914" s="1024"/>
      <c r="D2914" s="882">
        <v>1</v>
      </c>
      <c r="E2914" s="251" t="s">
        <v>1772</v>
      </c>
      <c r="F2914" s="273" t="s">
        <v>3446</v>
      </c>
      <c r="G2914" s="1040" t="s">
        <v>3463</v>
      </c>
      <c r="H2914" s="273" t="s">
        <v>3462</v>
      </c>
      <c r="I2914" s="720">
        <f t="shared" si="650"/>
        <v>124.20259200000002</v>
      </c>
      <c r="J2914" s="756">
        <v>124.20259200000002</v>
      </c>
      <c r="K2914" s="131">
        <f t="shared" si="653"/>
        <v>124.20259200000002</v>
      </c>
      <c r="L2914" s="335">
        <f t="shared" si="643"/>
        <v>0</v>
      </c>
      <c r="M2914" s="446"/>
      <c r="N2914" s="446"/>
      <c r="O2914" s="446"/>
      <c r="P2914" s="446"/>
      <c r="Q2914" s="110">
        <v>1</v>
      </c>
      <c r="R2914" s="111">
        <f t="shared" si="641"/>
        <v>31.050648000000006</v>
      </c>
      <c r="S2914" s="110"/>
      <c r="T2914" s="110"/>
      <c r="U2914" s="110">
        <v>0</v>
      </c>
      <c r="V2914" s="111">
        <f t="shared" si="642"/>
        <v>31.050648000000006</v>
      </c>
      <c r="W2914" s="110"/>
      <c r="X2914" s="110"/>
      <c r="Y2914" s="110"/>
      <c r="Z2914" s="110"/>
      <c r="AA2914" s="110">
        <v>0</v>
      </c>
      <c r="AB2914" s="111">
        <f t="shared" si="651"/>
        <v>31.050648000000006</v>
      </c>
      <c r="AC2914" s="110"/>
      <c r="AD2914" s="110"/>
      <c r="AE2914" s="110">
        <v>0</v>
      </c>
      <c r="AF2914" s="111">
        <f t="shared" si="652"/>
        <v>31.050648000000006</v>
      </c>
      <c r="AG2914" s="110"/>
      <c r="AH2914" s="110"/>
      <c r="AI2914" s="110"/>
      <c r="AJ2914" s="110"/>
      <c r="AK2914" s="111">
        <f t="shared" si="644"/>
        <v>124.20259200000002</v>
      </c>
      <c r="AL2914" s="446">
        <f t="shared" si="645"/>
        <v>0</v>
      </c>
      <c r="AM2914" s="110">
        <f t="shared" si="646"/>
        <v>1</v>
      </c>
      <c r="AN2914" s="447">
        <f t="shared" si="654"/>
        <v>0</v>
      </c>
      <c r="AO2914"/>
      <c r="AP2914"/>
    </row>
    <row r="2915" spans="1:42" ht="66" x14ac:dyDescent="0.25">
      <c r="A2915" s="9"/>
      <c r="B2915" s="528" t="s">
        <v>3086</v>
      </c>
      <c r="C2915" s="1024"/>
      <c r="D2915" s="882">
        <v>1</v>
      </c>
      <c r="E2915" s="251" t="s">
        <v>1767</v>
      </c>
      <c r="F2915" s="273" t="s">
        <v>3446</v>
      </c>
      <c r="G2915" s="1040" t="s">
        <v>3463</v>
      </c>
      <c r="H2915" s="273" t="s">
        <v>3462</v>
      </c>
      <c r="I2915" s="720">
        <f t="shared" si="650"/>
        <v>717.22799999999995</v>
      </c>
      <c r="J2915" s="756">
        <v>717.22799999999995</v>
      </c>
      <c r="K2915" s="131">
        <f t="shared" si="653"/>
        <v>717.22799999999995</v>
      </c>
      <c r="L2915" s="335">
        <f t="shared" si="643"/>
        <v>0</v>
      </c>
      <c r="M2915" s="446"/>
      <c r="N2915" s="446"/>
      <c r="O2915" s="446"/>
      <c r="P2915" s="446"/>
      <c r="Q2915" s="110">
        <v>1</v>
      </c>
      <c r="R2915" s="111">
        <f t="shared" si="641"/>
        <v>179.30699999999999</v>
      </c>
      <c r="S2915" s="110"/>
      <c r="T2915" s="110"/>
      <c r="U2915" s="110">
        <v>0</v>
      </c>
      <c r="V2915" s="111">
        <f t="shared" si="642"/>
        <v>179.30699999999999</v>
      </c>
      <c r="W2915" s="110"/>
      <c r="X2915" s="110"/>
      <c r="Y2915" s="110"/>
      <c r="Z2915" s="110"/>
      <c r="AA2915" s="110">
        <v>0</v>
      </c>
      <c r="AB2915" s="111">
        <f t="shared" si="651"/>
        <v>179.30699999999999</v>
      </c>
      <c r="AC2915" s="110"/>
      <c r="AD2915" s="110"/>
      <c r="AE2915" s="110">
        <v>0</v>
      </c>
      <c r="AF2915" s="111">
        <f t="shared" si="652"/>
        <v>179.30699999999999</v>
      </c>
      <c r="AG2915" s="110"/>
      <c r="AH2915" s="110"/>
      <c r="AI2915" s="110"/>
      <c r="AJ2915" s="110"/>
      <c r="AK2915" s="111">
        <f t="shared" si="644"/>
        <v>717.22799999999995</v>
      </c>
      <c r="AL2915" s="446">
        <f t="shared" si="645"/>
        <v>0</v>
      </c>
      <c r="AM2915" s="110">
        <f t="shared" si="646"/>
        <v>1</v>
      </c>
      <c r="AN2915" s="447">
        <f t="shared" si="654"/>
        <v>0</v>
      </c>
      <c r="AO2915"/>
      <c r="AP2915"/>
    </row>
    <row r="2916" spans="1:42" ht="66" x14ac:dyDescent="0.25">
      <c r="A2916" s="9"/>
      <c r="B2916" s="528" t="s">
        <v>3087</v>
      </c>
      <c r="C2916" s="1024"/>
      <c r="D2916" s="882">
        <v>1</v>
      </c>
      <c r="E2916" s="251" t="s">
        <v>2442</v>
      </c>
      <c r="F2916" s="273" t="s">
        <v>3446</v>
      </c>
      <c r="G2916" s="1040" t="s">
        <v>3463</v>
      </c>
      <c r="H2916" s="273" t="s">
        <v>3462</v>
      </c>
      <c r="I2916" s="720">
        <f t="shared" si="650"/>
        <v>498.15000000000003</v>
      </c>
      <c r="J2916" s="756">
        <v>498.15000000000003</v>
      </c>
      <c r="K2916" s="131">
        <f t="shared" si="653"/>
        <v>498.15000000000003</v>
      </c>
      <c r="L2916" s="335">
        <f t="shared" si="643"/>
        <v>0</v>
      </c>
      <c r="M2916" s="446"/>
      <c r="N2916" s="446"/>
      <c r="O2916" s="446"/>
      <c r="P2916" s="446"/>
      <c r="Q2916" s="110">
        <v>1</v>
      </c>
      <c r="R2916" s="111">
        <f t="shared" si="641"/>
        <v>124.53750000000001</v>
      </c>
      <c r="S2916" s="110"/>
      <c r="T2916" s="110"/>
      <c r="U2916" s="110">
        <v>0</v>
      </c>
      <c r="V2916" s="111">
        <f t="shared" si="642"/>
        <v>124.53750000000001</v>
      </c>
      <c r="W2916" s="110"/>
      <c r="X2916" s="110"/>
      <c r="Y2916" s="110"/>
      <c r="Z2916" s="110"/>
      <c r="AA2916" s="110">
        <v>0</v>
      </c>
      <c r="AB2916" s="111">
        <f t="shared" si="651"/>
        <v>124.53750000000001</v>
      </c>
      <c r="AC2916" s="110"/>
      <c r="AD2916" s="110"/>
      <c r="AE2916" s="110">
        <v>0</v>
      </c>
      <c r="AF2916" s="111">
        <f t="shared" si="652"/>
        <v>124.53750000000001</v>
      </c>
      <c r="AG2916" s="110"/>
      <c r="AH2916" s="110"/>
      <c r="AI2916" s="110"/>
      <c r="AJ2916" s="110"/>
      <c r="AK2916" s="111">
        <f t="shared" si="644"/>
        <v>498.15000000000003</v>
      </c>
      <c r="AL2916" s="446">
        <f t="shared" si="645"/>
        <v>0</v>
      </c>
      <c r="AM2916" s="110">
        <f t="shared" si="646"/>
        <v>1</v>
      </c>
      <c r="AN2916" s="447">
        <f t="shared" si="654"/>
        <v>0</v>
      </c>
      <c r="AO2916"/>
      <c r="AP2916"/>
    </row>
    <row r="2917" spans="1:42" ht="66" x14ac:dyDescent="0.25">
      <c r="A2917" s="9"/>
      <c r="B2917" s="528" t="s">
        <v>3088</v>
      </c>
      <c r="C2917" s="1024"/>
      <c r="D2917" s="882">
        <v>1</v>
      </c>
      <c r="E2917" s="251" t="s">
        <v>1767</v>
      </c>
      <c r="F2917" s="273" t="s">
        <v>3446</v>
      </c>
      <c r="G2917" s="1040" t="s">
        <v>3463</v>
      </c>
      <c r="H2917" s="273" t="s">
        <v>3462</v>
      </c>
      <c r="I2917" s="720">
        <f t="shared" si="650"/>
        <v>809.23</v>
      </c>
      <c r="J2917" s="756">
        <v>809.23</v>
      </c>
      <c r="K2917" s="131">
        <f t="shared" si="653"/>
        <v>809.23</v>
      </c>
      <c r="L2917" s="335">
        <f t="shared" si="643"/>
        <v>0</v>
      </c>
      <c r="M2917" s="446"/>
      <c r="N2917" s="446"/>
      <c r="O2917" s="446"/>
      <c r="P2917" s="446"/>
      <c r="Q2917" s="110">
        <v>1</v>
      </c>
      <c r="R2917" s="111">
        <f t="shared" si="641"/>
        <v>202.3075</v>
      </c>
      <c r="S2917" s="110"/>
      <c r="T2917" s="110"/>
      <c r="U2917" s="110">
        <v>0</v>
      </c>
      <c r="V2917" s="111">
        <f t="shared" si="642"/>
        <v>202.3075</v>
      </c>
      <c r="W2917" s="110"/>
      <c r="X2917" s="110"/>
      <c r="Y2917" s="110"/>
      <c r="Z2917" s="110"/>
      <c r="AA2917" s="110">
        <v>0</v>
      </c>
      <c r="AB2917" s="111">
        <f t="shared" si="651"/>
        <v>202.3075</v>
      </c>
      <c r="AC2917" s="110"/>
      <c r="AD2917" s="110"/>
      <c r="AE2917" s="110">
        <v>0</v>
      </c>
      <c r="AF2917" s="111">
        <f t="shared" si="652"/>
        <v>202.3075</v>
      </c>
      <c r="AG2917" s="110"/>
      <c r="AH2917" s="110"/>
      <c r="AI2917" s="110"/>
      <c r="AJ2917" s="110"/>
      <c r="AK2917" s="111">
        <f t="shared" si="644"/>
        <v>809.23</v>
      </c>
      <c r="AL2917" s="446">
        <f t="shared" si="645"/>
        <v>0</v>
      </c>
      <c r="AM2917" s="110">
        <f t="shared" si="646"/>
        <v>1</v>
      </c>
      <c r="AN2917" s="447">
        <f t="shared" si="654"/>
        <v>0</v>
      </c>
      <c r="AO2917"/>
      <c r="AP2917"/>
    </row>
    <row r="2918" spans="1:42" ht="66" x14ac:dyDescent="0.25">
      <c r="A2918" s="9"/>
      <c r="B2918" s="528" t="s">
        <v>3089</v>
      </c>
      <c r="C2918" s="1024"/>
      <c r="D2918" s="882">
        <v>1</v>
      </c>
      <c r="E2918" s="251" t="s">
        <v>1767</v>
      </c>
      <c r="F2918" s="273" t="s">
        <v>3446</v>
      </c>
      <c r="G2918" s="1040" t="s">
        <v>3463</v>
      </c>
      <c r="H2918" s="273" t="s">
        <v>3462</v>
      </c>
      <c r="I2918" s="720">
        <f t="shared" si="650"/>
        <v>156.60000000000002</v>
      </c>
      <c r="J2918" s="756">
        <v>156.60000000000002</v>
      </c>
      <c r="K2918" s="131">
        <f t="shared" si="653"/>
        <v>156.60000000000002</v>
      </c>
      <c r="L2918" s="335">
        <f t="shared" si="643"/>
        <v>0</v>
      </c>
      <c r="M2918" s="446"/>
      <c r="N2918" s="446"/>
      <c r="O2918" s="446"/>
      <c r="P2918" s="446"/>
      <c r="Q2918" s="110">
        <v>1</v>
      </c>
      <c r="R2918" s="111">
        <f t="shared" si="641"/>
        <v>39.150000000000006</v>
      </c>
      <c r="S2918" s="110"/>
      <c r="T2918" s="110"/>
      <c r="U2918" s="110">
        <v>0</v>
      </c>
      <c r="V2918" s="111">
        <f t="shared" si="642"/>
        <v>39.150000000000006</v>
      </c>
      <c r="W2918" s="110"/>
      <c r="X2918" s="110"/>
      <c r="Y2918" s="110"/>
      <c r="Z2918" s="110"/>
      <c r="AA2918" s="110">
        <v>0</v>
      </c>
      <c r="AB2918" s="111">
        <f t="shared" si="651"/>
        <v>39.150000000000006</v>
      </c>
      <c r="AC2918" s="110"/>
      <c r="AD2918" s="110"/>
      <c r="AE2918" s="110">
        <v>0</v>
      </c>
      <c r="AF2918" s="111">
        <f t="shared" si="652"/>
        <v>39.150000000000006</v>
      </c>
      <c r="AG2918" s="110"/>
      <c r="AH2918" s="110"/>
      <c r="AI2918" s="110"/>
      <c r="AJ2918" s="110"/>
      <c r="AK2918" s="111">
        <f t="shared" si="644"/>
        <v>156.60000000000002</v>
      </c>
      <c r="AL2918" s="446">
        <f t="shared" si="645"/>
        <v>0</v>
      </c>
      <c r="AM2918" s="110">
        <f t="shared" si="646"/>
        <v>1</v>
      </c>
      <c r="AN2918" s="447">
        <f t="shared" si="654"/>
        <v>0</v>
      </c>
      <c r="AO2918"/>
      <c r="AP2918"/>
    </row>
    <row r="2919" spans="1:42" ht="66" x14ac:dyDescent="0.25">
      <c r="A2919" s="9"/>
      <c r="B2919" s="528" t="s">
        <v>3090</v>
      </c>
      <c r="C2919" s="1024"/>
      <c r="D2919" s="882">
        <v>1</v>
      </c>
      <c r="E2919" s="251" t="s">
        <v>1767</v>
      </c>
      <c r="F2919" s="273" t="s">
        <v>3446</v>
      </c>
      <c r="G2919" s="1040" t="s">
        <v>3463</v>
      </c>
      <c r="H2919" s="273" t="s">
        <v>3462</v>
      </c>
      <c r="I2919" s="720">
        <f t="shared" si="650"/>
        <v>52.531200000000005</v>
      </c>
      <c r="J2919" s="756">
        <v>52.531200000000005</v>
      </c>
      <c r="K2919" s="131">
        <f t="shared" si="653"/>
        <v>52.531200000000005</v>
      </c>
      <c r="L2919" s="335">
        <f t="shared" si="643"/>
        <v>0</v>
      </c>
      <c r="M2919" s="446"/>
      <c r="N2919" s="446"/>
      <c r="O2919" s="446"/>
      <c r="P2919" s="446"/>
      <c r="Q2919" s="110">
        <v>1</v>
      </c>
      <c r="R2919" s="111">
        <f t="shared" si="641"/>
        <v>13.132800000000001</v>
      </c>
      <c r="S2919" s="110"/>
      <c r="T2919" s="110"/>
      <c r="U2919" s="110">
        <v>0</v>
      </c>
      <c r="V2919" s="111">
        <f t="shared" si="642"/>
        <v>13.132800000000001</v>
      </c>
      <c r="W2919" s="110"/>
      <c r="X2919" s="110"/>
      <c r="Y2919" s="110"/>
      <c r="Z2919" s="110"/>
      <c r="AA2919" s="110">
        <v>0</v>
      </c>
      <c r="AB2919" s="111">
        <f t="shared" si="651"/>
        <v>13.132800000000001</v>
      </c>
      <c r="AC2919" s="110"/>
      <c r="AD2919" s="110"/>
      <c r="AE2919" s="110">
        <v>0</v>
      </c>
      <c r="AF2919" s="111">
        <f t="shared" si="652"/>
        <v>13.132800000000001</v>
      </c>
      <c r="AG2919" s="110"/>
      <c r="AH2919" s="110"/>
      <c r="AI2919" s="110"/>
      <c r="AJ2919" s="110"/>
      <c r="AK2919" s="111">
        <f t="shared" si="644"/>
        <v>52.531200000000005</v>
      </c>
      <c r="AL2919" s="446">
        <f t="shared" si="645"/>
        <v>0</v>
      </c>
      <c r="AM2919" s="110">
        <f t="shared" si="646"/>
        <v>1</v>
      </c>
      <c r="AN2919" s="447">
        <f t="shared" si="654"/>
        <v>0</v>
      </c>
      <c r="AO2919"/>
      <c r="AP2919"/>
    </row>
    <row r="2920" spans="1:42" ht="66" x14ac:dyDescent="0.25">
      <c r="A2920" s="9"/>
      <c r="B2920" s="528" t="s">
        <v>3091</v>
      </c>
      <c r="C2920" s="1024"/>
      <c r="D2920" s="882">
        <v>1</v>
      </c>
      <c r="E2920" s="251" t="s">
        <v>1767</v>
      </c>
      <c r="F2920" s="273" t="s">
        <v>3446</v>
      </c>
      <c r="G2920" s="1040" t="s">
        <v>3463</v>
      </c>
      <c r="H2920" s="273" t="s">
        <v>3462</v>
      </c>
      <c r="I2920" s="720">
        <f t="shared" si="650"/>
        <v>56.075327999999992</v>
      </c>
      <c r="J2920" s="756">
        <v>56.075327999999992</v>
      </c>
      <c r="K2920" s="131">
        <f t="shared" si="653"/>
        <v>56.075327999999992</v>
      </c>
      <c r="L2920" s="335">
        <f t="shared" si="643"/>
        <v>0</v>
      </c>
      <c r="M2920" s="446"/>
      <c r="N2920" s="446"/>
      <c r="O2920" s="446"/>
      <c r="P2920" s="446"/>
      <c r="Q2920" s="110">
        <v>1</v>
      </c>
      <c r="R2920" s="111">
        <f t="shared" si="641"/>
        <v>14.018831999999998</v>
      </c>
      <c r="S2920" s="110"/>
      <c r="T2920" s="110"/>
      <c r="U2920" s="110">
        <v>0</v>
      </c>
      <c r="V2920" s="111">
        <f t="shared" si="642"/>
        <v>14.018831999999998</v>
      </c>
      <c r="W2920" s="110"/>
      <c r="X2920" s="110"/>
      <c r="Y2920" s="110"/>
      <c r="Z2920" s="110"/>
      <c r="AA2920" s="110">
        <v>0</v>
      </c>
      <c r="AB2920" s="111">
        <f t="shared" si="651"/>
        <v>14.018831999999998</v>
      </c>
      <c r="AC2920" s="110"/>
      <c r="AD2920" s="110"/>
      <c r="AE2920" s="110">
        <v>0</v>
      </c>
      <c r="AF2920" s="111">
        <f t="shared" si="652"/>
        <v>14.018831999999998</v>
      </c>
      <c r="AG2920" s="110"/>
      <c r="AH2920" s="110"/>
      <c r="AI2920" s="110"/>
      <c r="AJ2920" s="110"/>
      <c r="AK2920" s="111">
        <f t="shared" si="644"/>
        <v>56.075327999999992</v>
      </c>
      <c r="AL2920" s="446">
        <f t="shared" si="645"/>
        <v>0</v>
      </c>
      <c r="AM2920" s="110">
        <f t="shared" si="646"/>
        <v>1</v>
      </c>
      <c r="AN2920" s="447">
        <f t="shared" si="654"/>
        <v>0</v>
      </c>
      <c r="AO2920"/>
      <c r="AP2920"/>
    </row>
    <row r="2921" spans="1:42" ht="66" x14ac:dyDescent="0.25">
      <c r="A2921" s="9"/>
      <c r="B2921" s="528" t="s">
        <v>3092</v>
      </c>
      <c r="C2921" s="1024"/>
      <c r="D2921" s="882">
        <v>1</v>
      </c>
      <c r="E2921" s="251" t="s">
        <v>1767</v>
      </c>
      <c r="F2921" s="273" t="s">
        <v>3446</v>
      </c>
      <c r="G2921" s="1040" t="s">
        <v>3463</v>
      </c>
      <c r="H2921" s="273" t="s">
        <v>3462</v>
      </c>
      <c r="I2921" s="720">
        <f t="shared" si="650"/>
        <v>71.121456000000009</v>
      </c>
      <c r="J2921" s="756">
        <v>71.121456000000009</v>
      </c>
      <c r="K2921" s="131">
        <f t="shared" si="653"/>
        <v>71.121456000000009</v>
      </c>
      <c r="L2921" s="335">
        <f t="shared" si="643"/>
        <v>0</v>
      </c>
      <c r="M2921" s="446"/>
      <c r="N2921" s="446"/>
      <c r="O2921" s="446"/>
      <c r="P2921" s="446"/>
      <c r="Q2921" s="110">
        <v>1</v>
      </c>
      <c r="R2921" s="111">
        <f t="shared" si="641"/>
        <v>17.780364000000002</v>
      </c>
      <c r="S2921" s="110"/>
      <c r="T2921" s="110"/>
      <c r="U2921" s="110">
        <v>0</v>
      </c>
      <c r="V2921" s="111">
        <f t="shared" si="642"/>
        <v>17.780364000000002</v>
      </c>
      <c r="W2921" s="110"/>
      <c r="X2921" s="110"/>
      <c r="Y2921" s="110"/>
      <c r="Z2921" s="110"/>
      <c r="AA2921" s="110">
        <v>0</v>
      </c>
      <c r="AB2921" s="111">
        <f t="shared" si="651"/>
        <v>17.780364000000002</v>
      </c>
      <c r="AC2921" s="110"/>
      <c r="AD2921" s="110"/>
      <c r="AE2921" s="110">
        <v>0</v>
      </c>
      <c r="AF2921" s="111">
        <f t="shared" si="652"/>
        <v>17.780364000000002</v>
      </c>
      <c r="AG2921" s="110"/>
      <c r="AH2921" s="110"/>
      <c r="AI2921" s="110"/>
      <c r="AJ2921" s="110"/>
      <c r="AK2921" s="111">
        <f t="shared" si="644"/>
        <v>71.121456000000009</v>
      </c>
      <c r="AL2921" s="446">
        <f t="shared" si="645"/>
        <v>0</v>
      </c>
      <c r="AM2921" s="110">
        <f t="shared" si="646"/>
        <v>1</v>
      </c>
      <c r="AN2921" s="447">
        <f t="shared" si="654"/>
        <v>0</v>
      </c>
      <c r="AO2921"/>
      <c r="AP2921"/>
    </row>
    <row r="2922" spans="1:42" ht="66" x14ac:dyDescent="0.25">
      <c r="A2922" s="9"/>
      <c r="B2922" s="528" t="s">
        <v>3093</v>
      </c>
      <c r="C2922" s="1024"/>
      <c r="D2922" s="882">
        <v>1</v>
      </c>
      <c r="E2922" s="251" t="s">
        <v>1767</v>
      </c>
      <c r="F2922" s="273" t="s">
        <v>3446</v>
      </c>
      <c r="G2922" s="1040" t="s">
        <v>3463</v>
      </c>
      <c r="H2922" s="273" t="s">
        <v>3462</v>
      </c>
      <c r="I2922" s="720">
        <f t="shared" si="650"/>
        <v>124.68</v>
      </c>
      <c r="J2922" s="756">
        <v>124.68</v>
      </c>
      <c r="K2922" s="131">
        <f t="shared" si="653"/>
        <v>124.68</v>
      </c>
      <c r="L2922" s="335">
        <f t="shared" si="643"/>
        <v>0</v>
      </c>
      <c r="M2922" s="446"/>
      <c r="N2922" s="446"/>
      <c r="O2922" s="446"/>
      <c r="P2922" s="446"/>
      <c r="Q2922" s="110">
        <v>1</v>
      </c>
      <c r="R2922" s="111">
        <f t="shared" si="641"/>
        <v>31.17</v>
      </c>
      <c r="S2922" s="110"/>
      <c r="T2922" s="110"/>
      <c r="U2922" s="110">
        <v>0</v>
      </c>
      <c r="V2922" s="111">
        <f t="shared" si="642"/>
        <v>31.17</v>
      </c>
      <c r="W2922" s="110"/>
      <c r="X2922" s="110"/>
      <c r="Y2922" s="110"/>
      <c r="Z2922" s="110"/>
      <c r="AA2922" s="110">
        <v>0</v>
      </c>
      <c r="AB2922" s="111">
        <f t="shared" si="651"/>
        <v>31.17</v>
      </c>
      <c r="AC2922" s="110"/>
      <c r="AD2922" s="110"/>
      <c r="AE2922" s="110">
        <v>0</v>
      </c>
      <c r="AF2922" s="111">
        <f t="shared" si="652"/>
        <v>31.17</v>
      </c>
      <c r="AG2922" s="110"/>
      <c r="AH2922" s="110"/>
      <c r="AI2922" s="110"/>
      <c r="AJ2922" s="110"/>
      <c r="AK2922" s="111">
        <f t="shared" si="644"/>
        <v>124.68</v>
      </c>
      <c r="AL2922" s="446">
        <f t="shared" si="645"/>
        <v>0</v>
      </c>
      <c r="AM2922" s="110">
        <f t="shared" si="646"/>
        <v>1</v>
      </c>
      <c r="AN2922" s="447">
        <f t="shared" si="654"/>
        <v>0</v>
      </c>
      <c r="AO2922"/>
      <c r="AP2922"/>
    </row>
    <row r="2923" spans="1:42" ht="66" x14ac:dyDescent="0.25">
      <c r="A2923" s="9"/>
      <c r="B2923" s="528" t="s">
        <v>3094</v>
      </c>
      <c r="C2923" s="1024"/>
      <c r="D2923" s="882">
        <v>1</v>
      </c>
      <c r="E2923" s="251" t="s">
        <v>1767</v>
      </c>
      <c r="F2923" s="273" t="s">
        <v>3446</v>
      </c>
      <c r="G2923" s="1040" t="s">
        <v>3463</v>
      </c>
      <c r="H2923" s="273" t="s">
        <v>3462</v>
      </c>
      <c r="I2923" s="720">
        <f t="shared" si="650"/>
        <v>132.21</v>
      </c>
      <c r="J2923" s="756">
        <v>132.21</v>
      </c>
      <c r="K2923" s="131">
        <f t="shared" si="653"/>
        <v>132.21</v>
      </c>
      <c r="L2923" s="335">
        <f t="shared" si="643"/>
        <v>0</v>
      </c>
      <c r="M2923" s="446"/>
      <c r="N2923" s="446"/>
      <c r="O2923" s="446"/>
      <c r="P2923" s="446"/>
      <c r="Q2923" s="110">
        <v>1</v>
      </c>
      <c r="R2923" s="111">
        <f t="shared" si="641"/>
        <v>33.052500000000002</v>
      </c>
      <c r="S2923" s="110"/>
      <c r="T2923" s="110"/>
      <c r="U2923" s="110">
        <v>0</v>
      </c>
      <c r="V2923" s="111">
        <f t="shared" si="642"/>
        <v>33.052500000000002</v>
      </c>
      <c r="W2923" s="110"/>
      <c r="X2923" s="110"/>
      <c r="Y2923" s="110"/>
      <c r="Z2923" s="110"/>
      <c r="AA2923" s="110">
        <v>0</v>
      </c>
      <c r="AB2923" s="111">
        <f t="shared" si="651"/>
        <v>33.052500000000002</v>
      </c>
      <c r="AC2923" s="110"/>
      <c r="AD2923" s="110"/>
      <c r="AE2923" s="110">
        <v>0</v>
      </c>
      <c r="AF2923" s="111">
        <f t="shared" si="652"/>
        <v>33.052500000000002</v>
      </c>
      <c r="AG2923" s="110"/>
      <c r="AH2923" s="110"/>
      <c r="AI2923" s="110"/>
      <c r="AJ2923" s="110"/>
      <c r="AK2923" s="111">
        <f t="shared" si="644"/>
        <v>132.21</v>
      </c>
      <c r="AL2923" s="446">
        <f t="shared" si="645"/>
        <v>0</v>
      </c>
      <c r="AM2923" s="110">
        <f t="shared" si="646"/>
        <v>1</v>
      </c>
      <c r="AN2923" s="447">
        <f t="shared" si="654"/>
        <v>0</v>
      </c>
      <c r="AO2923"/>
      <c r="AP2923"/>
    </row>
    <row r="2924" spans="1:42" ht="66" x14ac:dyDescent="0.25">
      <c r="A2924" s="9"/>
      <c r="B2924" s="528" t="s">
        <v>3095</v>
      </c>
      <c r="C2924" s="1024"/>
      <c r="D2924" s="882">
        <v>1</v>
      </c>
      <c r="E2924" s="251" t="s">
        <v>1767</v>
      </c>
      <c r="F2924" s="273" t="s">
        <v>3446</v>
      </c>
      <c r="G2924" s="1040" t="s">
        <v>3463</v>
      </c>
      <c r="H2924" s="273" t="s">
        <v>3462</v>
      </c>
      <c r="I2924" s="720">
        <f t="shared" si="650"/>
        <v>46.78</v>
      </c>
      <c r="J2924" s="756">
        <v>46.78</v>
      </c>
      <c r="K2924" s="131">
        <f t="shared" si="653"/>
        <v>46.78</v>
      </c>
      <c r="L2924" s="335">
        <f t="shared" si="643"/>
        <v>0</v>
      </c>
      <c r="M2924" s="446"/>
      <c r="N2924" s="446"/>
      <c r="O2924" s="446"/>
      <c r="P2924" s="446"/>
      <c r="Q2924" s="110">
        <v>1</v>
      </c>
      <c r="R2924" s="111">
        <f t="shared" si="641"/>
        <v>11.695</v>
      </c>
      <c r="S2924" s="110"/>
      <c r="T2924" s="110"/>
      <c r="U2924" s="110">
        <v>0</v>
      </c>
      <c r="V2924" s="111">
        <f t="shared" si="642"/>
        <v>11.695</v>
      </c>
      <c r="W2924" s="110"/>
      <c r="X2924" s="110"/>
      <c r="Y2924" s="110"/>
      <c r="Z2924" s="110"/>
      <c r="AA2924" s="110">
        <v>0</v>
      </c>
      <c r="AB2924" s="111">
        <f t="shared" si="651"/>
        <v>11.695</v>
      </c>
      <c r="AC2924" s="110"/>
      <c r="AD2924" s="110"/>
      <c r="AE2924" s="110">
        <v>0</v>
      </c>
      <c r="AF2924" s="111">
        <f t="shared" si="652"/>
        <v>11.695</v>
      </c>
      <c r="AG2924" s="110"/>
      <c r="AH2924" s="110"/>
      <c r="AI2924" s="110"/>
      <c r="AJ2924" s="110"/>
      <c r="AK2924" s="111">
        <f t="shared" si="644"/>
        <v>46.78</v>
      </c>
      <c r="AL2924" s="446">
        <f t="shared" si="645"/>
        <v>0</v>
      </c>
      <c r="AM2924" s="110">
        <f t="shared" si="646"/>
        <v>1</v>
      </c>
      <c r="AN2924" s="447">
        <f t="shared" si="654"/>
        <v>0</v>
      </c>
      <c r="AO2924"/>
      <c r="AP2924"/>
    </row>
    <row r="2925" spans="1:42" ht="66" x14ac:dyDescent="0.25">
      <c r="A2925" s="9"/>
      <c r="B2925" s="528" t="s">
        <v>3096</v>
      </c>
      <c r="C2925" s="1024"/>
      <c r="D2925" s="882">
        <v>1</v>
      </c>
      <c r="E2925" s="251" t="s">
        <v>1767</v>
      </c>
      <c r="F2925" s="273" t="s">
        <v>3446</v>
      </c>
      <c r="G2925" s="1040" t="s">
        <v>3463</v>
      </c>
      <c r="H2925" s="273" t="s">
        <v>3462</v>
      </c>
      <c r="I2925" s="720">
        <f t="shared" si="650"/>
        <v>611.99</v>
      </c>
      <c r="J2925" s="756">
        <v>611.99</v>
      </c>
      <c r="K2925" s="131">
        <f t="shared" si="653"/>
        <v>611.99</v>
      </c>
      <c r="L2925" s="335">
        <f t="shared" si="643"/>
        <v>0</v>
      </c>
      <c r="M2925" s="446"/>
      <c r="N2925" s="446"/>
      <c r="O2925" s="446"/>
      <c r="P2925" s="446"/>
      <c r="Q2925" s="110">
        <v>1</v>
      </c>
      <c r="R2925" s="111">
        <f t="shared" si="641"/>
        <v>152.9975</v>
      </c>
      <c r="S2925" s="110"/>
      <c r="T2925" s="110"/>
      <c r="U2925" s="110">
        <v>0</v>
      </c>
      <c r="V2925" s="111">
        <f t="shared" si="642"/>
        <v>152.9975</v>
      </c>
      <c r="W2925" s="110"/>
      <c r="X2925" s="110"/>
      <c r="Y2925" s="110"/>
      <c r="Z2925" s="110"/>
      <c r="AA2925" s="110">
        <v>0</v>
      </c>
      <c r="AB2925" s="111">
        <f t="shared" si="651"/>
        <v>152.9975</v>
      </c>
      <c r="AC2925" s="110"/>
      <c r="AD2925" s="110"/>
      <c r="AE2925" s="110">
        <v>0</v>
      </c>
      <c r="AF2925" s="111">
        <f t="shared" si="652"/>
        <v>152.9975</v>
      </c>
      <c r="AG2925" s="110"/>
      <c r="AH2925" s="110"/>
      <c r="AI2925" s="110"/>
      <c r="AJ2925" s="110"/>
      <c r="AK2925" s="111">
        <f t="shared" si="644"/>
        <v>611.99</v>
      </c>
      <c r="AL2925" s="446">
        <f t="shared" si="645"/>
        <v>0</v>
      </c>
      <c r="AM2925" s="110">
        <f t="shared" si="646"/>
        <v>1</v>
      </c>
      <c r="AN2925" s="447">
        <f t="shared" si="654"/>
        <v>0</v>
      </c>
      <c r="AO2925"/>
      <c r="AP2925"/>
    </row>
    <row r="2926" spans="1:42" ht="66" x14ac:dyDescent="0.25">
      <c r="A2926" s="9"/>
      <c r="B2926" s="528" t="s">
        <v>3097</v>
      </c>
      <c r="C2926" s="1024"/>
      <c r="D2926" s="882">
        <v>1</v>
      </c>
      <c r="E2926" s="251" t="s">
        <v>1767</v>
      </c>
      <c r="F2926" s="273" t="s">
        <v>3446</v>
      </c>
      <c r="G2926" s="1040" t="s">
        <v>3463</v>
      </c>
      <c r="H2926" s="273" t="s">
        <v>3462</v>
      </c>
      <c r="I2926" s="720">
        <f t="shared" si="650"/>
        <v>4061</v>
      </c>
      <c r="J2926" s="756">
        <v>4061</v>
      </c>
      <c r="K2926" s="131">
        <f t="shared" si="653"/>
        <v>4061</v>
      </c>
      <c r="L2926" s="335">
        <f t="shared" si="643"/>
        <v>0</v>
      </c>
      <c r="M2926" s="446"/>
      <c r="N2926" s="446"/>
      <c r="O2926" s="446"/>
      <c r="P2926" s="446"/>
      <c r="Q2926" s="110">
        <v>1</v>
      </c>
      <c r="R2926" s="111">
        <f t="shared" si="641"/>
        <v>1015.25</v>
      </c>
      <c r="S2926" s="110"/>
      <c r="T2926" s="110"/>
      <c r="U2926" s="110">
        <v>0</v>
      </c>
      <c r="V2926" s="111">
        <f t="shared" si="642"/>
        <v>1015.25</v>
      </c>
      <c r="W2926" s="110"/>
      <c r="X2926" s="110"/>
      <c r="Y2926" s="110"/>
      <c r="Z2926" s="110"/>
      <c r="AA2926" s="110">
        <v>0</v>
      </c>
      <c r="AB2926" s="111">
        <f t="shared" si="651"/>
        <v>1015.25</v>
      </c>
      <c r="AC2926" s="110"/>
      <c r="AD2926" s="110"/>
      <c r="AE2926" s="110">
        <v>0</v>
      </c>
      <c r="AF2926" s="111">
        <f t="shared" si="652"/>
        <v>1015.25</v>
      </c>
      <c r="AG2926" s="110"/>
      <c r="AH2926" s="110"/>
      <c r="AI2926" s="110"/>
      <c r="AJ2926" s="110"/>
      <c r="AK2926" s="111">
        <f t="shared" si="644"/>
        <v>4061</v>
      </c>
      <c r="AL2926" s="446">
        <f t="shared" si="645"/>
        <v>0</v>
      </c>
      <c r="AM2926" s="110">
        <f t="shared" si="646"/>
        <v>1</v>
      </c>
      <c r="AN2926" s="447">
        <f t="shared" si="654"/>
        <v>0</v>
      </c>
      <c r="AO2926"/>
      <c r="AP2926"/>
    </row>
    <row r="2927" spans="1:42" ht="66" x14ac:dyDescent="0.25">
      <c r="A2927" s="9"/>
      <c r="B2927" s="528" t="s">
        <v>3098</v>
      </c>
      <c r="C2927" s="1024"/>
      <c r="D2927" s="882">
        <v>1</v>
      </c>
      <c r="E2927" s="251" t="s">
        <v>1766</v>
      </c>
      <c r="F2927" s="273" t="s">
        <v>3446</v>
      </c>
      <c r="G2927" s="1040" t="s">
        <v>3463</v>
      </c>
      <c r="H2927" s="273" t="s">
        <v>3462</v>
      </c>
      <c r="I2927" s="720">
        <f t="shared" si="650"/>
        <v>49.75</v>
      </c>
      <c r="J2927" s="756">
        <v>49.75</v>
      </c>
      <c r="K2927" s="131">
        <f t="shared" si="653"/>
        <v>49.75</v>
      </c>
      <c r="L2927" s="335">
        <f t="shared" si="643"/>
        <v>0</v>
      </c>
      <c r="M2927" s="446"/>
      <c r="N2927" s="446"/>
      <c r="O2927" s="446"/>
      <c r="P2927" s="446"/>
      <c r="Q2927" s="110">
        <v>1</v>
      </c>
      <c r="R2927" s="111">
        <f t="shared" ref="R2927:R2990" si="655">+J2927/4</f>
        <v>12.4375</v>
      </c>
      <c r="S2927" s="110"/>
      <c r="T2927" s="110"/>
      <c r="U2927" s="110">
        <v>0</v>
      </c>
      <c r="V2927" s="111">
        <f t="shared" ref="V2927:V2990" si="656">+J2927/4</f>
        <v>12.4375</v>
      </c>
      <c r="W2927" s="110"/>
      <c r="X2927" s="110"/>
      <c r="Y2927" s="110"/>
      <c r="Z2927" s="110"/>
      <c r="AA2927" s="110">
        <v>0</v>
      </c>
      <c r="AB2927" s="111">
        <f t="shared" si="651"/>
        <v>12.4375</v>
      </c>
      <c r="AC2927" s="110"/>
      <c r="AD2927" s="110"/>
      <c r="AE2927" s="110">
        <v>0</v>
      </c>
      <c r="AF2927" s="111">
        <f t="shared" si="652"/>
        <v>12.4375</v>
      </c>
      <c r="AG2927" s="110"/>
      <c r="AH2927" s="110"/>
      <c r="AI2927" s="110"/>
      <c r="AJ2927" s="110"/>
      <c r="AK2927" s="111">
        <f t="shared" si="644"/>
        <v>49.75</v>
      </c>
      <c r="AL2927" s="446">
        <f t="shared" si="645"/>
        <v>0</v>
      </c>
      <c r="AM2927" s="110">
        <f t="shared" si="646"/>
        <v>1</v>
      </c>
      <c r="AN2927" s="447">
        <f t="shared" si="654"/>
        <v>0</v>
      </c>
      <c r="AO2927"/>
      <c r="AP2927"/>
    </row>
    <row r="2928" spans="1:42" ht="66" x14ac:dyDescent="0.25">
      <c r="A2928" s="9"/>
      <c r="B2928" s="528" t="s">
        <v>3099</v>
      </c>
      <c r="C2928" s="1024"/>
      <c r="D2928" s="882">
        <v>1</v>
      </c>
      <c r="E2928" s="251" t="s">
        <v>1767</v>
      </c>
      <c r="F2928" s="273" t="s">
        <v>3446</v>
      </c>
      <c r="G2928" s="1040" t="s">
        <v>3463</v>
      </c>
      <c r="H2928" s="273" t="s">
        <v>3462</v>
      </c>
      <c r="I2928" s="720">
        <f t="shared" si="650"/>
        <v>47.017800000000001</v>
      </c>
      <c r="J2928" s="756">
        <v>47.017800000000001</v>
      </c>
      <c r="K2928" s="131">
        <f t="shared" si="653"/>
        <v>47.017800000000001</v>
      </c>
      <c r="L2928" s="335">
        <f t="shared" si="643"/>
        <v>0</v>
      </c>
      <c r="M2928" s="446"/>
      <c r="N2928" s="446"/>
      <c r="O2928" s="446"/>
      <c r="P2928" s="446"/>
      <c r="Q2928" s="110">
        <v>1</v>
      </c>
      <c r="R2928" s="111">
        <f t="shared" si="655"/>
        <v>11.75445</v>
      </c>
      <c r="S2928" s="110"/>
      <c r="T2928" s="110"/>
      <c r="U2928" s="110">
        <v>0</v>
      </c>
      <c r="V2928" s="111">
        <f t="shared" si="656"/>
        <v>11.75445</v>
      </c>
      <c r="W2928" s="110"/>
      <c r="X2928" s="110"/>
      <c r="Y2928" s="110"/>
      <c r="Z2928" s="110"/>
      <c r="AA2928" s="110">
        <v>0</v>
      </c>
      <c r="AB2928" s="111">
        <f t="shared" si="651"/>
        <v>11.75445</v>
      </c>
      <c r="AC2928" s="110"/>
      <c r="AD2928" s="110"/>
      <c r="AE2928" s="110">
        <v>0</v>
      </c>
      <c r="AF2928" s="111">
        <f t="shared" si="652"/>
        <v>11.75445</v>
      </c>
      <c r="AG2928" s="110"/>
      <c r="AH2928" s="110"/>
      <c r="AI2928" s="110"/>
      <c r="AJ2928" s="110"/>
      <c r="AK2928" s="111">
        <f t="shared" si="644"/>
        <v>47.017800000000001</v>
      </c>
      <c r="AL2928" s="446">
        <f t="shared" si="645"/>
        <v>0</v>
      </c>
      <c r="AM2928" s="110">
        <f t="shared" si="646"/>
        <v>1</v>
      </c>
      <c r="AN2928" s="447">
        <f t="shared" si="654"/>
        <v>0</v>
      </c>
      <c r="AO2928"/>
      <c r="AP2928"/>
    </row>
    <row r="2929" spans="1:42" ht="66" x14ac:dyDescent="0.25">
      <c r="A2929" s="9"/>
      <c r="B2929" s="528" t="s">
        <v>3100</v>
      </c>
      <c r="C2929" s="1024"/>
      <c r="D2929" s="882">
        <v>1</v>
      </c>
      <c r="E2929" s="251" t="s">
        <v>1767</v>
      </c>
      <c r="F2929" s="273" t="s">
        <v>3446</v>
      </c>
      <c r="G2929" s="1040" t="s">
        <v>3463</v>
      </c>
      <c r="H2929" s="273" t="s">
        <v>3462</v>
      </c>
      <c r="I2929" s="720">
        <f t="shared" si="650"/>
        <v>215.57</v>
      </c>
      <c r="J2929" s="756">
        <v>215.57</v>
      </c>
      <c r="K2929" s="131">
        <f t="shared" si="653"/>
        <v>215.57</v>
      </c>
      <c r="L2929" s="335">
        <f t="shared" si="643"/>
        <v>0</v>
      </c>
      <c r="M2929" s="446"/>
      <c r="N2929" s="446"/>
      <c r="O2929" s="446"/>
      <c r="P2929" s="446"/>
      <c r="Q2929" s="110">
        <v>1</v>
      </c>
      <c r="R2929" s="111">
        <f t="shared" si="655"/>
        <v>53.892499999999998</v>
      </c>
      <c r="S2929" s="110"/>
      <c r="T2929" s="110"/>
      <c r="U2929" s="110">
        <v>0</v>
      </c>
      <c r="V2929" s="111">
        <f t="shared" si="656"/>
        <v>53.892499999999998</v>
      </c>
      <c r="W2929" s="110"/>
      <c r="X2929" s="110"/>
      <c r="Y2929" s="110"/>
      <c r="Z2929" s="110"/>
      <c r="AA2929" s="110">
        <v>0</v>
      </c>
      <c r="AB2929" s="111">
        <f t="shared" si="651"/>
        <v>53.892499999999998</v>
      </c>
      <c r="AC2929" s="110"/>
      <c r="AD2929" s="110"/>
      <c r="AE2929" s="110">
        <v>0</v>
      </c>
      <c r="AF2929" s="111">
        <f t="shared" si="652"/>
        <v>53.892499999999998</v>
      </c>
      <c r="AG2929" s="110"/>
      <c r="AH2929" s="110"/>
      <c r="AI2929" s="110"/>
      <c r="AJ2929" s="110"/>
      <c r="AK2929" s="111">
        <f t="shared" si="644"/>
        <v>215.57</v>
      </c>
      <c r="AL2929" s="446">
        <f t="shared" si="645"/>
        <v>0</v>
      </c>
      <c r="AM2929" s="110">
        <f t="shared" si="646"/>
        <v>1</v>
      </c>
      <c r="AN2929" s="447">
        <f t="shared" si="654"/>
        <v>0</v>
      </c>
      <c r="AO2929"/>
      <c r="AP2929"/>
    </row>
    <row r="2930" spans="1:42" ht="66" x14ac:dyDescent="0.25">
      <c r="A2930" s="9"/>
      <c r="B2930" s="528" t="s">
        <v>3101</v>
      </c>
      <c r="C2930" s="1024"/>
      <c r="D2930" s="882">
        <v>1</v>
      </c>
      <c r="E2930" s="251" t="s">
        <v>1767</v>
      </c>
      <c r="F2930" s="273" t="s">
        <v>3446</v>
      </c>
      <c r="G2930" s="1040" t="s">
        <v>3463</v>
      </c>
      <c r="H2930" s="273" t="s">
        <v>3462</v>
      </c>
      <c r="I2930" s="720">
        <f t="shared" si="650"/>
        <v>37.358496000000002</v>
      </c>
      <c r="J2930" s="756">
        <v>37.358496000000002</v>
      </c>
      <c r="K2930" s="131">
        <f t="shared" si="653"/>
        <v>37.358496000000002</v>
      </c>
      <c r="L2930" s="335">
        <f t="shared" si="643"/>
        <v>0</v>
      </c>
      <c r="M2930" s="446"/>
      <c r="N2930" s="446"/>
      <c r="O2930" s="446"/>
      <c r="P2930" s="446"/>
      <c r="Q2930" s="110">
        <v>1</v>
      </c>
      <c r="R2930" s="111">
        <f t="shared" si="655"/>
        <v>9.3396240000000006</v>
      </c>
      <c r="S2930" s="110"/>
      <c r="T2930" s="110"/>
      <c r="U2930" s="110">
        <v>0</v>
      </c>
      <c r="V2930" s="111">
        <f t="shared" si="656"/>
        <v>9.3396240000000006</v>
      </c>
      <c r="W2930" s="110"/>
      <c r="X2930" s="110"/>
      <c r="Y2930" s="110"/>
      <c r="Z2930" s="110"/>
      <c r="AA2930" s="110">
        <v>0</v>
      </c>
      <c r="AB2930" s="111">
        <f t="shared" si="651"/>
        <v>9.3396240000000006</v>
      </c>
      <c r="AC2930" s="110"/>
      <c r="AD2930" s="110"/>
      <c r="AE2930" s="110">
        <v>0</v>
      </c>
      <c r="AF2930" s="111">
        <f t="shared" si="652"/>
        <v>9.3396240000000006</v>
      </c>
      <c r="AG2930" s="110"/>
      <c r="AH2930" s="110"/>
      <c r="AI2930" s="110"/>
      <c r="AJ2930" s="110"/>
      <c r="AK2930" s="111">
        <f t="shared" si="644"/>
        <v>37.358496000000002</v>
      </c>
      <c r="AL2930" s="446">
        <f t="shared" si="645"/>
        <v>0</v>
      </c>
      <c r="AM2930" s="110">
        <f t="shared" si="646"/>
        <v>1</v>
      </c>
      <c r="AN2930" s="447">
        <f t="shared" si="654"/>
        <v>0</v>
      </c>
      <c r="AO2930"/>
      <c r="AP2930"/>
    </row>
    <row r="2931" spans="1:42" ht="66" x14ac:dyDescent="0.25">
      <c r="A2931" s="9"/>
      <c r="B2931" s="528" t="s">
        <v>3102</v>
      </c>
      <c r="C2931" s="1024"/>
      <c r="D2931" s="882">
        <v>1</v>
      </c>
      <c r="E2931" s="251" t="s">
        <v>1767</v>
      </c>
      <c r="F2931" s="273" t="s">
        <v>3446</v>
      </c>
      <c r="G2931" s="1040" t="s">
        <v>3463</v>
      </c>
      <c r="H2931" s="273" t="s">
        <v>3462</v>
      </c>
      <c r="I2931" s="720">
        <f t="shared" si="650"/>
        <v>28.68</v>
      </c>
      <c r="J2931" s="756">
        <v>28.68</v>
      </c>
      <c r="K2931" s="131">
        <f t="shared" si="653"/>
        <v>28.68</v>
      </c>
      <c r="L2931" s="335">
        <f t="shared" si="643"/>
        <v>0</v>
      </c>
      <c r="M2931" s="446"/>
      <c r="N2931" s="446"/>
      <c r="O2931" s="446"/>
      <c r="P2931" s="446"/>
      <c r="Q2931" s="110">
        <v>1</v>
      </c>
      <c r="R2931" s="111">
        <f t="shared" si="655"/>
        <v>7.17</v>
      </c>
      <c r="S2931" s="110"/>
      <c r="T2931" s="110"/>
      <c r="U2931" s="110">
        <v>0</v>
      </c>
      <c r="V2931" s="111">
        <f t="shared" si="656"/>
        <v>7.17</v>
      </c>
      <c r="W2931" s="110"/>
      <c r="X2931" s="110"/>
      <c r="Y2931" s="110"/>
      <c r="Z2931" s="110"/>
      <c r="AA2931" s="110">
        <v>0</v>
      </c>
      <c r="AB2931" s="111">
        <f t="shared" si="651"/>
        <v>7.17</v>
      </c>
      <c r="AC2931" s="110"/>
      <c r="AD2931" s="110"/>
      <c r="AE2931" s="110">
        <v>0</v>
      </c>
      <c r="AF2931" s="111">
        <f t="shared" si="652"/>
        <v>7.17</v>
      </c>
      <c r="AG2931" s="110"/>
      <c r="AH2931" s="110"/>
      <c r="AI2931" s="110"/>
      <c r="AJ2931" s="110"/>
      <c r="AK2931" s="111">
        <f t="shared" si="644"/>
        <v>28.68</v>
      </c>
      <c r="AL2931" s="446">
        <f t="shared" si="645"/>
        <v>0</v>
      </c>
      <c r="AM2931" s="110">
        <f t="shared" si="646"/>
        <v>1</v>
      </c>
      <c r="AN2931" s="447">
        <f t="shared" si="654"/>
        <v>0</v>
      </c>
      <c r="AO2931"/>
      <c r="AP2931"/>
    </row>
    <row r="2932" spans="1:42" ht="66" x14ac:dyDescent="0.25">
      <c r="A2932" s="9"/>
      <c r="B2932" s="528" t="s">
        <v>3103</v>
      </c>
      <c r="C2932" s="1024"/>
      <c r="D2932" s="882">
        <v>1</v>
      </c>
      <c r="E2932" s="251" t="s">
        <v>1767</v>
      </c>
      <c r="F2932" s="273" t="s">
        <v>3446</v>
      </c>
      <c r="G2932" s="1040" t="s">
        <v>3463</v>
      </c>
      <c r="H2932" s="273" t="s">
        <v>3462</v>
      </c>
      <c r="I2932" s="720">
        <f t="shared" si="650"/>
        <v>101.25</v>
      </c>
      <c r="J2932" s="756">
        <v>101.25</v>
      </c>
      <c r="K2932" s="131">
        <f t="shared" si="653"/>
        <v>101.25</v>
      </c>
      <c r="L2932" s="335">
        <f t="shared" ref="L2932:L2995" si="657">+J2932-K2932</f>
        <v>0</v>
      </c>
      <c r="M2932" s="446"/>
      <c r="N2932" s="446"/>
      <c r="O2932" s="446"/>
      <c r="P2932" s="446"/>
      <c r="Q2932" s="110">
        <v>1</v>
      </c>
      <c r="R2932" s="111">
        <f t="shared" si="655"/>
        <v>25.3125</v>
      </c>
      <c r="S2932" s="110"/>
      <c r="T2932" s="110"/>
      <c r="U2932" s="110">
        <v>0</v>
      </c>
      <c r="V2932" s="111">
        <f t="shared" si="656"/>
        <v>25.3125</v>
      </c>
      <c r="W2932" s="110"/>
      <c r="X2932" s="110"/>
      <c r="Y2932" s="110"/>
      <c r="Z2932" s="110"/>
      <c r="AA2932" s="110">
        <v>0</v>
      </c>
      <c r="AB2932" s="111">
        <f t="shared" si="651"/>
        <v>25.3125</v>
      </c>
      <c r="AC2932" s="110"/>
      <c r="AD2932" s="110"/>
      <c r="AE2932" s="110">
        <v>0</v>
      </c>
      <c r="AF2932" s="111">
        <f t="shared" si="652"/>
        <v>25.3125</v>
      </c>
      <c r="AG2932" s="110"/>
      <c r="AH2932" s="110"/>
      <c r="AI2932" s="110"/>
      <c r="AJ2932" s="110"/>
      <c r="AK2932" s="111">
        <f t="shared" ref="AK2932:AK2995" si="658">+R2932+V2932+AB2932+AF2932</f>
        <v>101.25</v>
      </c>
      <c r="AL2932" s="446">
        <f t="shared" ref="AL2932:AL2995" si="659">+J2932-AK2932</f>
        <v>0</v>
      </c>
      <c r="AM2932" s="110">
        <f t="shared" ref="AM2932:AM2995" si="660">+Q2932+U2932+AA2932+AE2932</f>
        <v>1</v>
      </c>
      <c r="AN2932" s="447">
        <f t="shared" si="654"/>
        <v>0</v>
      </c>
      <c r="AO2932"/>
      <c r="AP2932"/>
    </row>
    <row r="2933" spans="1:42" ht="66" x14ac:dyDescent="0.25">
      <c r="A2933" s="9"/>
      <c r="B2933" s="528" t="s">
        <v>3104</v>
      </c>
      <c r="C2933" s="1024"/>
      <c r="D2933" s="882">
        <v>1</v>
      </c>
      <c r="E2933" s="251" t="s">
        <v>1767</v>
      </c>
      <c r="F2933" s="273" t="s">
        <v>3446</v>
      </c>
      <c r="G2933" s="1040" t="s">
        <v>3463</v>
      </c>
      <c r="H2933" s="273" t="s">
        <v>3462</v>
      </c>
      <c r="I2933" s="720">
        <f t="shared" si="650"/>
        <v>74.099999999999994</v>
      </c>
      <c r="J2933" s="756">
        <v>74.099999999999994</v>
      </c>
      <c r="K2933" s="131">
        <f t="shared" si="653"/>
        <v>74.099999999999994</v>
      </c>
      <c r="L2933" s="335">
        <f t="shared" si="657"/>
        <v>0</v>
      </c>
      <c r="M2933" s="446"/>
      <c r="N2933" s="446"/>
      <c r="O2933" s="446"/>
      <c r="P2933" s="446"/>
      <c r="Q2933" s="110">
        <v>1</v>
      </c>
      <c r="R2933" s="111">
        <f t="shared" si="655"/>
        <v>18.524999999999999</v>
      </c>
      <c r="S2933" s="110"/>
      <c r="T2933" s="110"/>
      <c r="U2933" s="110">
        <v>0</v>
      </c>
      <c r="V2933" s="111">
        <f t="shared" si="656"/>
        <v>18.524999999999999</v>
      </c>
      <c r="W2933" s="110"/>
      <c r="X2933" s="110"/>
      <c r="Y2933" s="110"/>
      <c r="Z2933" s="110"/>
      <c r="AA2933" s="110">
        <v>0</v>
      </c>
      <c r="AB2933" s="111">
        <f t="shared" si="651"/>
        <v>18.524999999999999</v>
      </c>
      <c r="AC2933" s="110"/>
      <c r="AD2933" s="110"/>
      <c r="AE2933" s="110">
        <v>0</v>
      </c>
      <c r="AF2933" s="111">
        <f t="shared" si="652"/>
        <v>18.524999999999999</v>
      </c>
      <c r="AG2933" s="110"/>
      <c r="AH2933" s="110"/>
      <c r="AI2933" s="110"/>
      <c r="AJ2933" s="110"/>
      <c r="AK2933" s="111">
        <f t="shared" si="658"/>
        <v>74.099999999999994</v>
      </c>
      <c r="AL2933" s="446">
        <f t="shared" si="659"/>
        <v>0</v>
      </c>
      <c r="AM2933" s="110">
        <f t="shared" si="660"/>
        <v>1</v>
      </c>
      <c r="AN2933" s="447">
        <f t="shared" si="654"/>
        <v>0</v>
      </c>
      <c r="AO2933"/>
      <c r="AP2933"/>
    </row>
    <row r="2934" spans="1:42" ht="66" x14ac:dyDescent="0.25">
      <c r="A2934" s="9"/>
      <c r="B2934" s="528" t="s">
        <v>3105</v>
      </c>
      <c r="C2934" s="1024"/>
      <c r="D2934" s="882">
        <v>1</v>
      </c>
      <c r="E2934" s="251" t="s">
        <v>1767</v>
      </c>
      <c r="F2934" s="273" t="s">
        <v>3446</v>
      </c>
      <c r="G2934" s="1040" t="s">
        <v>3463</v>
      </c>
      <c r="H2934" s="273" t="s">
        <v>3462</v>
      </c>
      <c r="I2934" s="720">
        <f t="shared" si="650"/>
        <v>74.099999999999994</v>
      </c>
      <c r="J2934" s="756">
        <v>74.099999999999994</v>
      </c>
      <c r="K2934" s="131">
        <f t="shared" si="653"/>
        <v>74.099999999999994</v>
      </c>
      <c r="L2934" s="335">
        <f t="shared" si="657"/>
        <v>0</v>
      </c>
      <c r="M2934" s="446"/>
      <c r="N2934" s="446"/>
      <c r="O2934" s="446"/>
      <c r="P2934" s="446"/>
      <c r="Q2934" s="110">
        <v>1</v>
      </c>
      <c r="R2934" s="111">
        <f t="shared" si="655"/>
        <v>18.524999999999999</v>
      </c>
      <c r="S2934" s="110"/>
      <c r="T2934" s="110"/>
      <c r="U2934" s="110">
        <v>0</v>
      </c>
      <c r="V2934" s="111">
        <f t="shared" si="656"/>
        <v>18.524999999999999</v>
      </c>
      <c r="W2934" s="110"/>
      <c r="X2934" s="110"/>
      <c r="Y2934" s="110"/>
      <c r="Z2934" s="110"/>
      <c r="AA2934" s="110">
        <v>0</v>
      </c>
      <c r="AB2934" s="111">
        <f t="shared" si="651"/>
        <v>18.524999999999999</v>
      </c>
      <c r="AC2934" s="110"/>
      <c r="AD2934" s="110"/>
      <c r="AE2934" s="110">
        <v>0</v>
      </c>
      <c r="AF2934" s="111">
        <f t="shared" si="652"/>
        <v>18.524999999999999</v>
      </c>
      <c r="AG2934" s="110"/>
      <c r="AH2934" s="110"/>
      <c r="AI2934" s="110"/>
      <c r="AJ2934" s="110"/>
      <c r="AK2934" s="111">
        <f t="shared" si="658"/>
        <v>74.099999999999994</v>
      </c>
      <c r="AL2934" s="446">
        <f t="shared" si="659"/>
        <v>0</v>
      </c>
      <c r="AM2934" s="110">
        <f t="shared" si="660"/>
        <v>1</v>
      </c>
      <c r="AN2934" s="447">
        <f t="shared" si="654"/>
        <v>0</v>
      </c>
      <c r="AO2934"/>
      <c r="AP2934"/>
    </row>
    <row r="2935" spans="1:42" ht="66" x14ac:dyDescent="0.25">
      <c r="A2935" s="9"/>
      <c r="B2935" s="528" t="s">
        <v>3106</v>
      </c>
      <c r="C2935" s="1024"/>
      <c r="D2935" s="882">
        <v>1</v>
      </c>
      <c r="E2935" s="251" t="s">
        <v>2811</v>
      </c>
      <c r="F2935" s="273" t="s">
        <v>3446</v>
      </c>
      <c r="G2935" s="1040" t="s">
        <v>3463</v>
      </c>
      <c r="H2935" s="273" t="s">
        <v>3462</v>
      </c>
      <c r="I2935" s="720">
        <f t="shared" si="650"/>
        <v>74.099999999999994</v>
      </c>
      <c r="J2935" s="756">
        <v>74.099999999999994</v>
      </c>
      <c r="K2935" s="131">
        <f t="shared" si="653"/>
        <v>74.099999999999994</v>
      </c>
      <c r="L2935" s="335">
        <f t="shared" si="657"/>
        <v>0</v>
      </c>
      <c r="M2935" s="446"/>
      <c r="N2935" s="446"/>
      <c r="O2935" s="446"/>
      <c r="P2935" s="446"/>
      <c r="Q2935" s="110">
        <v>1</v>
      </c>
      <c r="R2935" s="111">
        <f t="shared" si="655"/>
        <v>18.524999999999999</v>
      </c>
      <c r="S2935" s="110"/>
      <c r="T2935" s="110"/>
      <c r="U2935" s="110">
        <v>0</v>
      </c>
      <c r="V2935" s="111">
        <f t="shared" si="656"/>
        <v>18.524999999999999</v>
      </c>
      <c r="W2935" s="110"/>
      <c r="X2935" s="110"/>
      <c r="Y2935" s="110"/>
      <c r="Z2935" s="110"/>
      <c r="AA2935" s="110">
        <v>0</v>
      </c>
      <c r="AB2935" s="111">
        <f t="shared" si="651"/>
        <v>18.524999999999999</v>
      </c>
      <c r="AC2935" s="110"/>
      <c r="AD2935" s="110"/>
      <c r="AE2935" s="110">
        <v>0</v>
      </c>
      <c r="AF2935" s="111">
        <f t="shared" si="652"/>
        <v>18.524999999999999</v>
      </c>
      <c r="AG2935" s="110"/>
      <c r="AH2935" s="110"/>
      <c r="AI2935" s="110"/>
      <c r="AJ2935" s="110"/>
      <c r="AK2935" s="111">
        <f t="shared" si="658"/>
        <v>74.099999999999994</v>
      </c>
      <c r="AL2935" s="446">
        <f t="shared" si="659"/>
        <v>0</v>
      </c>
      <c r="AM2935" s="110">
        <f t="shared" si="660"/>
        <v>1</v>
      </c>
      <c r="AN2935" s="447">
        <f t="shared" si="654"/>
        <v>0</v>
      </c>
      <c r="AO2935"/>
      <c r="AP2935"/>
    </row>
    <row r="2936" spans="1:42" ht="66" x14ac:dyDescent="0.25">
      <c r="A2936" s="9"/>
      <c r="B2936" s="528" t="s">
        <v>3107</v>
      </c>
      <c r="C2936" s="1024"/>
      <c r="D2936" s="882">
        <v>1</v>
      </c>
      <c r="E2936" s="251" t="s">
        <v>1767</v>
      </c>
      <c r="F2936" s="273" t="s">
        <v>3446</v>
      </c>
      <c r="G2936" s="1040" t="s">
        <v>3463</v>
      </c>
      <c r="H2936" s="273" t="s">
        <v>3462</v>
      </c>
      <c r="I2936" s="720">
        <f t="shared" si="650"/>
        <v>37.358496000000002</v>
      </c>
      <c r="J2936" s="756">
        <v>37.358496000000002</v>
      </c>
      <c r="K2936" s="131">
        <f t="shared" si="653"/>
        <v>37.358496000000002</v>
      </c>
      <c r="L2936" s="335">
        <f t="shared" si="657"/>
        <v>0</v>
      </c>
      <c r="M2936" s="446"/>
      <c r="N2936" s="446"/>
      <c r="O2936" s="446"/>
      <c r="P2936" s="446"/>
      <c r="Q2936" s="110">
        <v>1</v>
      </c>
      <c r="R2936" s="111">
        <f t="shared" si="655"/>
        <v>9.3396240000000006</v>
      </c>
      <c r="S2936" s="110"/>
      <c r="T2936" s="110"/>
      <c r="U2936" s="110">
        <v>0</v>
      </c>
      <c r="V2936" s="111">
        <f t="shared" si="656"/>
        <v>9.3396240000000006</v>
      </c>
      <c r="W2936" s="110"/>
      <c r="X2936" s="110"/>
      <c r="Y2936" s="110"/>
      <c r="Z2936" s="110"/>
      <c r="AA2936" s="110">
        <v>0</v>
      </c>
      <c r="AB2936" s="111">
        <f t="shared" si="651"/>
        <v>9.3396240000000006</v>
      </c>
      <c r="AC2936" s="110"/>
      <c r="AD2936" s="110"/>
      <c r="AE2936" s="110">
        <v>0</v>
      </c>
      <c r="AF2936" s="111">
        <f t="shared" si="652"/>
        <v>9.3396240000000006</v>
      </c>
      <c r="AG2936" s="110"/>
      <c r="AH2936" s="110"/>
      <c r="AI2936" s="110"/>
      <c r="AJ2936" s="110"/>
      <c r="AK2936" s="111">
        <f t="shared" si="658"/>
        <v>37.358496000000002</v>
      </c>
      <c r="AL2936" s="446">
        <f t="shared" si="659"/>
        <v>0</v>
      </c>
      <c r="AM2936" s="110">
        <f t="shared" si="660"/>
        <v>1</v>
      </c>
      <c r="AN2936" s="447">
        <f t="shared" si="654"/>
        <v>0</v>
      </c>
      <c r="AO2936"/>
      <c r="AP2936"/>
    </row>
    <row r="2937" spans="1:42" ht="66" x14ac:dyDescent="0.25">
      <c r="A2937" s="9"/>
      <c r="B2937" s="528" t="s">
        <v>3108</v>
      </c>
      <c r="C2937" s="1024"/>
      <c r="D2937" s="882">
        <v>1</v>
      </c>
      <c r="E2937" s="251" t="s">
        <v>1767</v>
      </c>
      <c r="F2937" s="273" t="s">
        <v>3446</v>
      </c>
      <c r="G2937" s="1040" t="s">
        <v>3463</v>
      </c>
      <c r="H2937" s="273" t="s">
        <v>3462</v>
      </c>
      <c r="I2937" s="720">
        <f t="shared" si="650"/>
        <v>37.521360000000001</v>
      </c>
      <c r="J2937" s="756">
        <v>37.521360000000001</v>
      </c>
      <c r="K2937" s="131">
        <f t="shared" si="653"/>
        <v>37.521360000000001</v>
      </c>
      <c r="L2937" s="335">
        <f t="shared" si="657"/>
        <v>0</v>
      </c>
      <c r="M2937" s="446"/>
      <c r="N2937" s="446"/>
      <c r="O2937" s="446"/>
      <c r="P2937" s="446"/>
      <c r="Q2937" s="110">
        <v>1</v>
      </c>
      <c r="R2937" s="111">
        <f t="shared" si="655"/>
        <v>9.3803400000000003</v>
      </c>
      <c r="S2937" s="110"/>
      <c r="T2937" s="110"/>
      <c r="U2937" s="110">
        <v>0</v>
      </c>
      <c r="V2937" s="111">
        <f t="shared" si="656"/>
        <v>9.3803400000000003</v>
      </c>
      <c r="W2937" s="110"/>
      <c r="X2937" s="110"/>
      <c r="Y2937" s="110"/>
      <c r="Z2937" s="110"/>
      <c r="AA2937" s="110">
        <v>0</v>
      </c>
      <c r="AB2937" s="111">
        <f t="shared" si="651"/>
        <v>9.3803400000000003</v>
      </c>
      <c r="AC2937" s="110"/>
      <c r="AD2937" s="110"/>
      <c r="AE2937" s="110">
        <v>0</v>
      </c>
      <c r="AF2937" s="111">
        <f t="shared" si="652"/>
        <v>9.3803400000000003</v>
      </c>
      <c r="AG2937" s="110"/>
      <c r="AH2937" s="110"/>
      <c r="AI2937" s="110"/>
      <c r="AJ2937" s="110"/>
      <c r="AK2937" s="111">
        <f t="shared" si="658"/>
        <v>37.521360000000001</v>
      </c>
      <c r="AL2937" s="446">
        <f t="shared" si="659"/>
        <v>0</v>
      </c>
      <c r="AM2937" s="110">
        <f t="shared" si="660"/>
        <v>1</v>
      </c>
      <c r="AN2937" s="447">
        <f t="shared" si="654"/>
        <v>0</v>
      </c>
      <c r="AO2937"/>
      <c r="AP2937"/>
    </row>
    <row r="2938" spans="1:42" ht="66" x14ac:dyDescent="0.25">
      <c r="A2938" s="9"/>
      <c r="B2938" s="528" t="s">
        <v>3109</v>
      </c>
      <c r="C2938" s="1024"/>
      <c r="D2938" s="882">
        <v>1</v>
      </c>
      <c r="E2938" s="251" t="s">
        <v>1767</v>
      </c>
      <c r="F2938" s="273" t="s">
        <v>3446</v>
      </c>
      <c r="G2938" s="1040" t="s">
        <v>3463</v>
      </c>
      <c r="H2938" s="273" t="s">
        <v>3462</v>
      </c>
      <c r="I2938" s="720">
        <f t="shared" si="650"/>
        <v>212.79</v>
      </c>
      <c r="J2938" s="756">
        <v>212.79</v>
      </c>
      <c r="K2938" s="131">
        <f t="shared" si="653"/>
        <v>212.79</v>
      </c>
      <c r="L2938" s="335">
        <f t="shared" si="657"/>
        <v>0</v>
      </c>
      <c r="M2938" s="446"/>
      <c r="N2938" s="446"/>
      <c r="O2938" s="446"/>
      <c r="P2938" s="446"/>
      <c r="Q2938" s="110">
        <v>1</v>
      </c>
      <c r="R2938" s="111">
        <f t="shared" si="655"/>
        <v>53.197499999999998</v>
      </c>
      <c r="S2938" s="110"/>
      <c r="T2938" s="110"/>
      <c r="U2938" s="110">
        <v>0</v>
      </c>
      <c r="V2938" s="111">
        <f t="shared" si="656"/>
        <v>53.197499999999998</v>
      </c>
      <c r="W2938" s="110"/>
      <c r="X2938" s="110"/>
      <c r="Y2938" s="110"/>
      <c r="Z2938" s="110"/>
      <c r="AA2938" s="110">
        <v>0</v>
      </c>
      <c r="AB2938" s="111">
        <f t="shared" si="651"/>
        <v>53.197499999999998</v>
      </c>
      <c r="AC2938" s="110"/>
      <c r="AD2938" s="110"/>
      <c r="AE2938" s="110">
        <v>0</v>
      </c>
      <c r="AF2938" s="111">
        <f t="shared" si="652"/>
        <v>53.197499999999998</v>
      </c>
      <c r="AG2938" s="110"/>
      <c r="AH2938" s="110"/>
      <c r="AI2938" s="110"/>
      <c r="AJ2938" s="110"/>
      <c r="AK2938" s="111">
        <f t="shared" si="658"/>
        <v>212.79</v>
      </c>
      <c r="AL2938" s="446">
        <f t="shared" si="659"/>
        <v>0</v>
      </c>
      <c r="AM2938" s="110">
        <f t="shared" si="660"/>
        <v>1</v>
      </c>
      <c r="AN2938" s="447">
        <f t="shared" si="654"/>
        <v>0</v>
      </c>
      <c r="AO2938"/>
      <c r="AP2938"/>
    </row>
    <row r="2939" spans="1:42" ht="66" x14ac:dyDescent="0.25">
      <c r="A2939" s="9"/>
      <c r="B2939" s="528" t="s">
        <v>3110</v>
      </c>
      <c r="C2939" s="1024"/>
      <c r="D2939" s="882">
        <v>1</v>
      </c>
      <c r="E2939" s="251" t="s">
        <v>1767</v>
      </c>
      <c r="F2939" s="273" t="s">
        <v>3446</v>
      </c>
      <c r="G2939" s="1040" t="s">
        <v>3463</v>
      </c>
      <c r="H2939" s="273" t="s">
        <v>3462</v>
      </c>
      <c r="I2939" s="720">
        <f t="shared" ref="I2939:I3002" si="661">+J2939/D2939</f>
        <v>561.70000000000005</v>
      </c>
      <c r="J2939" s="756">
        <v>561.70000000000005</v>
      </c>
      <c r="K2939" s="131">
        <f t="shared" si="653"/>
        <v>561.70000000000005</v>
      </c>
      <c r="L2939" s="335">
        <f t="shared" si="657"/>
        <v>0</v>
      </c>
      <c r="M2939" s="446"/>
      <c r="N2939" s="446"/>
      <c r="O2939" s="446"/>
      <c r="P2939" s="446"/>
      <c r="Q2939" s="110">
        <v>1</v>
      </c>
      <c r="R2939" s="111">
        <f t="shared" si="655"/>
        <v>140.42500000000001</v>
      </c>
      <c r="S2939" s="110"/>
      <c r="T2939" s="110"/>
      <c r="U2939" s="110">
        <v>0</v>
      </c>
      <c r="V2939" s="111">
        <f t="shared" si="656"/>
        <v>140.42500000000001</v>
      </c>
      <c r="W2939" s="110"/>
      <c r="X2939" s="110"/>
      <c r="Y2939" s="110"/>
      <c r="Z2939" s="110"/>
      <c r="AA2939" s="110">
        <v>0</v>
      </c>
      <c r="AB2939" s="111">
        <f t="shared" si="651"/>
        <v>140.42500000000001</v>
      </c>
      <c r="AC2939" s="110"/>
      <c r="AD2939" s="110"/>
      <c r="AE2939" s="110">
        <v>0</v>
      </c>
      <c r="AF2939" s="111">
        <f t="shared" si="652"/>
        <v>140.42500000000001</v>
      </c>
      <c r="AG2939" s="110"/>
      <c r="AH2939" s="110"/>
      <c r="AI2939" s="110"/>
      <c r="AJ2939" s="110"/>
      <c r="AK2939" s="111">
        <f t="shared" si="658"/>
        <v>561.70000000000005</v>
      </c>
      <c r="AL2939" s="446">
        <f t="shared" si="659"/>
        <v>0</v>
      </c>
      <c r="AM2939" s="110">
        <f t="shared" si="660"/>
        <v>1</v>
      </c>
      <c r="AN2939" s="447">
        <f t="shared" si="654"/>
        <v>0</v>
      </c>
      <c r="AO2939"/>
      <c r="AP2939"/>
    </row>
    <row r="2940" spans="1:42" ht="66" x14ac:dyDescent="0.25">
      <c r="A2940" s="9"/>
      <c r="B2940" s="528" t="s">
        <v>3111</v>
      </c>
      <c r="C2940" s="1024"/>
      <c r="D2940" s="882">
        <v>1</v>
      </c>
      <c r="E2940" s="251" t="s">
        <v>1767</v>
      </c>
      <c r="F2940" s="273" t="s">
        <v>3446</v>
      </c>
      <c r="G2940" s="1040" t="s">
        <v>3463</v>
      </c>
      <c r="H2940" s="273" t="s">
        <v>3462</v>
      </c>
      <c r="I2940" s="720">
        <f t="shared" si="661"/>
        <v>251.38079999999999</v>
      </c>
      <c r="J2940" s="756">
        <v>251.38079999999999</v>
      </c>
      <c r="K2940" s="131">
        <f t="shared" si="653"/>
        <v>251.38079999999999</v>
      </c>
      <c r="L2940" s="335">
        <f t="shared" si="657"/>
        <v>0</v>
      </c>
      <c r="M2940" s="446"/>
      <c r="N2940" s="446"/>
      <c r="O2940" s="446"/>
      <c r="P2940" s="446"/>
      <c r="Q2940" s="110">
        <v>1</v>
      </c>
      <c r="R2940" s="111">
        <f t="shared" si="655"/>
        <v>62.845199999999998</v>
      </c>
      <c r="S2940" s="110"/>
      <c r="T2940" s="110"/>
      <c r="U2940" s="110">
        <v>0</v>
      </c>
      <c r="V2940" s="111">
        <f t="shared" si="656"/>
        <v>62.845199999999998</v>
      </c>
      <c r="W2940" s="110"/>
      <c r="X2940" s="110"/>
      <c r="Y2940" s="110"/>
      <c r="Z2940" s="110"/>
      <c r="AA2940" s="110">
        <v>0</v>
      </c>
      <c r="AB2940" s="111">
        <f t="shared" si="651"/>
        <v>62.845199999999998</v>
      </c>
      <c r="AC2940" s="110"/>
      <c r="AD2940" s="110"/>
      <c r="AE2940" s="110">
        <v>0</v>
      </c>
      <c r="AF2940" s="111">
        <f t="shared" si="652"/>
        <v>62.845199999999998</v>
      </c>
      <c r="AG2940" s="110"/>
      <c r="AH2940" s="110"/>
      <c r="AI2940" s="110"/>
      <c r="AJ2940" s="110"/>
      <c r="AK2940" s="111">
        <f t="shared" si="658"/>
        <v>251.38079999999999</v>
      </c>
      <c r="AL2940" s="446">
        <f t="shared" si="659"/>
        <v>0</v>
      </c>
      <c r="AM2940" s="110">
        <f t="shared" si="660"/>
        <v>1</v>
      </c>
      <c r="AN2940" s="447">
        <f t="shared" si="654"/>
        <v>0</v>
      </c>
      <c r="AO2940"/>
      <c r="AP2940"/>
    </row>
    <row r="2941" spans="1:42" ht="66" x14ac:dyDescent="0.25">
      <c r="A2941" s="9"/>
      <c r="B2941" s="528" t="s">
        <v>3112</v>
      </c>
      <c r="C2941" s="1024"/>
      <c r="D2941" s="882">
        <v>1</v>
      </c>
      <c r="E2941" s="251" t="s">
        <v>1767</v>
      </c>
      <c r="F2941" s="273" t="s">
        <v>3446</v>
      </c>
      <c r="G2941" s="1040" t="s">
        <v>3463</v>
      </c>
      <c r="H2941" s="273" t="s">
        <v>3462</v>
      </c>
      <c r="I2941" s="720">
        <f t="shared" si="661"/>
        <v>287.76</v>
      </c>
      <c r="J2941" s="756">
        <v>287.76</v>
      </c>
      <c r="K2941" s="131">
        <f t="shared" si="653"/>
        <v>287.76</v>
      </c>
      <c r="L2941" s="335">
        <f t="shared" si="657"/>
        <v>0</v>
      </c>
      <c r="M2941" s="446"/>
      <c r="N2941" s="446"/>
      <c r="O2941" s="446"/>
      <c r="P2941" s="446"/>
      <c r="Q2941" s="110">
        <v>1</v>
      </c>
      <c r="R2941" s="111">
        <f t="shared" si="655"/>
        <v>71.94</v>
      </c>
      <c r="S2941" s="110"/>
      <c r="T2941" s="110"/>
      <c r="U2941" s="110">
        <v>0</v>
      </c>
      <c r="V2941" s="111">
        <f t="shared" si="656"/>
        <v>71.94</v>
      </c>
      <c r="W2941" s="110"/>
      <c r="X2941" s="110"/>
      <c r="Y2941" s="110"/>
      <c r="Z2941" s="110"/>
      <c r="AA2941" s="110">
        <v>0</v>
      </c>
      <c r="AB2941" s="111">
        <f t="shared" si="651"/>
        <v>71.94</v>
      </c>
      <c r="AC2941" s="110"/>
      <c r="AD2941" s="110"/>
      <c r="AE2941" s="110">
        <v>0</v>
      </c>
      <c r="AF2941" s="111">
        <f t="shared" si="652"/>
        <v>71.94</v>
      </c>
      <c r="AG2941" s="110"/>
      <c r="AH2941" s="110"/>
      <c r="AI2941" s="110"/>
      <c r="AJ2941" s="110"/>
      <c r="AK2941" s="111">
        <f t="shared" si="658"/>
        <v>287.76</v>
      </c>
      <c r="AL2941" s="446">
        <f t="shared" si="659"/>
        <v>0</v>
      </c>
      <c r="AM2941" s="110">
        <f t="shared" si="660"/>
        <v>1</v>
      </c>
      <c r="AN2941" s="447">
        <f t="shared" si="654"/>
        <v>0</v>
      </c>
      <c r="AO2941"/>
      <c r="AP2941"/>
    </row>
    <row r="2942" spans="1:42" ht="66" x14ac:dyDescent="0.25">
      <c r="A2942" s="9"/>
      <c r="B2942" s="528" t="s">
        <v>3113</v>
      </c>
      <c r="C2942" s="1024"/>
      <c r="D2942" s="882">
        <v>1</v>
      </c>
      <c r="E2942" s="251" t="s">
        <v>1767</v>
      </c>
      <c r="F2942" s="273" t="s">
        <v>3446</v>
      </c>
      <c r="G2942" s="1040" t="s">
        <v>3463</v>
      </c>
      <c r="H2942" s="273" t="s">
        <v>3462</v>
      </c>
      <c r="I2942" s="720">
        <f t="shared" si="661"/>
        <v>318.59956800000003</v>
      </c>
      <c r="J2942" s="756">
        <v>318.59956800000003</v>
      </c>
      <c r="K2942" s="131">
        <f t="shared" si="653"/>
        <v>318.59956800000003</v>
      </c>
      <c r="L2942" s="335">
        <f t="shared" si="657"/>
        <v>0</v>
      </c>
      <c r="M2942" s="446"/>
      <c r="N2942" s="446"/>
      <c r="O2942" s="446"/>
      <c r="P2942" s="446"/>
      <c r="Q2942" s="110">
        <v>1</v>
      </c>
      <c r="R2942" s="111">
        <f t="shared" si="655"/>
        <v>79.649892000000008</v>
      </c>
      <c r="S2942" s="110"/>
      <c r="T2942" s="110"/>
      <c r="U2942" s="110">
        <v>0</v>
      </c>
      <c r="V2942" s="111">
        <f t="shared" si="656"/>
        <v>79.649892000000008</v>
      </c>
      <c r="W2942" s="110"/>
      <c r="X2942" s="110"/>
      <c r="Y2942" s="110"/>
      <c r="Z2942" s="110"/>
      <c r="AA2942" s="110">
        <v>0</v>
      </c>
      <c r="AB2942" s="111">
        <f t="shared" si="651"/>
        <v>79.649892000000008</v>
      </c>
      <c r="AC2942" s="110"/>
      <c r="AD2942" s="110"/>
      <c r="AE2942" s="110">
        <v>0</v>
      </c>
      <c r="AF2942" s="111">
        <f t="shared" si="652"/>
        <v>79.649892000000008</v>
      </c>
      <c r="AG2942" s="110"/>
      <c r="AH2942" s="110"/>
      <c r="AI2942" s="110"/>
      <c r="AJ2942" s="110"/>
      <c r="AK2942" s="111">
        <f t="shared" si="658"/>
        <v>318.59956800000003</v>
      </c>
      <c r="AL2942" s="446">
        <f t="shared" si="659"/>
        <v>0</v>
      </c>
      <c r="AM2942" s="110">
        <f t="shared" si="660"/>
        <v>1</v>
      </c>
      <c r="AN2942" s="447">
        <f t="shared" si="654"/>
        <v>0</v>
      </c>
      <c r="AO2942"/>
      <c r="AP2942"/>
    </row>
    <row r="2943" spans="1:42" ht="66" x14ac:dyDescent="0.25">
      <c r="A2943" s="9"/>
      <c r="B2943" s="528" t="s">
        <v>3114</v>
      </c>
      <c r="C2943" s="1024"/>
      <c r="D2943" s="882">
        <v>1</v>
      </c>
      <c r="E2943" s="251" t="s">
        <v>1767</v>
      </c>
      <c r="F2943" s="273" t="s">
        <v>3446</v>
      </c>
      <c r="G2943" s="1040" t="s">
        <v>3463</v>
      </c>
      <c r="H2943" s="273" t="s">
        <v>3462</v>
      </c>
      <c r="I2943" s="720">
        <f t="shared" si="661"/>
        <v>74.099999999999994</v>
      </c>
      <c r="J2943" s="756">
        <v>74.099999999999994</v>
      </c>
      <c r="K2943" s="131">
        <f t="shared" si="653"/>
        <v>74.099999999999994</v>
      </c>
      <c r="L2943" s="335">
        <f t="shared" si="657"/>
        <v>0</v>
      </c>
      <c r="M2943" s="446"/>
      <c r="N2943" s="446"/>
      <c r="O2943" s="446"/>
      <c r="P2943" s="446"/>
      <c r="Q2943" s="110">
        <v>1</v>
      </c>
      <c r="R2943" s="111">
        <f t="shared" si="655"/>
        <v>18.524999999999999</v>
      </c>
      <c r="S2943" s="110"/>
      <c r="T2943" s="110"/>
      <c r="U2943" s="110">
        <v>0</v>
      </c>
      <c r="V2943" s="111">
        <f t="shared" si="656"/>
        <v>18.524999999999999</v>
      </c>
      <c r="W2943" s="110"/>
      <c r="X2943" s="110"/>
      <c r="Y2943" s="110"/>
      <c r="Z2943" s="110"/>
      <c r="AA2943" s="110">
        <v>0</v>
      </c>
      <c r="AB2943" s="111">
        <f t="shared" si="651"/>
        <v>18.524999999999999</v>
      </c>
      <c r="AC2943" s="110"/>
      <c r="AD2943" s="110"/>
      <c r="AE2943" s="110">
        <v>0</v>
      </c>
      <c r="AF2943" s="111">
        <f t="shared" si="652"/>
        <v>18.524999999999999</v>
      </c>
      <c r="AG2943" s="110"/>
      <c r="AH2943" s="110"/>
      <c r="AI2943" s="110"/>
      <c r="AJ2943" s="110"/>
      <c r="AK2943" s="111">
        <f t="shared" si="658"/>
        <v>74.099999999999994</v>
      </c>
      <c r="AL2943" s="446">
        <f t="shared" si="659"/>
        <v>0</v>
      </c>
      <c r="AM2943" s="110">
        <f t="shared" si="660"/>
        <v>1</v>
      </c>
      <c r="AN2943" s="447">
        <f t="shared" si="654"/>
        <v>0</v>
      </c>
      <c r="AO2943"/>
      <c r="AP2943"/>
    </row>
    <row r="2944" spans="1:42" ht="66" x14ac:dyDescent="0.25">
      <c r="A2944" s="9"/>
      <c r="B2944" s="528" t="s">
        <v>3115</v>
      </c>
      <c r="C2944" s="1024"/>
      <c r="D2944" s="882">
        <v>1</v>
      </c>
      <c r="E2944" s="251" t="s">
        <v>1767</v>
      </c>
      <c r="F2944" s="273" t="s">
        <v>3446</v>
      </c>
      <c r="G2944" s="1040" t="s">
        <v>3463</v>
      </c>
      <c r="H2944" s="273" t="s">
        <v>3462</v>
      </c>
      <c r="I2944" s="720">
        <f t="shared" si="661"/>
        <v>74.099999999999994</v>
      </c>
      <c r="J2944" s="756">
        <v>74.099999999999994</v>
      </c>
      <c r="K2944" s="131">
        <f t="shared" si="653"/>
        <v>74.099999999999994</v>
      </c>
      <c r="L2944" s="335">
        <f t="shared" si="657"/>
        <v>0</v>
      </c>
      <c r="M2944" s="446"/>
      <c r="N2944" s="446"/>
      <c r="O2944" s="446"/>
      <c r="P2944" s="446"/>
      <c r="Q2944" s="110">
        <v>1</v>
      </c>
      <c r="R2944" s="111">
        <f t="shared" si="655"/>
        <v>18.524999999999999</v>
      </c>
      <c r="S2944" s="110"/>
      <c r="T2944" s="110"/>
      <c r="U2944" s="110">
        <v>0</v>
      </c>
      <c r="V2944" s="111">
        <f t="shared" si="656"/>
        <v>18.524999999999999</v>
      </c>
      <c r="W2944" s="110"/>
      <c r="X2944" s="110"/>
      <c r="Y2944" s="110"/>
      <c r="Z2944" s="110"/>
      <c r="AA2944" s="110">
        <v>0</v>
      </c>
      <c r="AB2944" s="111">
        <f t="shared" si="651"/>
        <v>18.524999999999999</v>
      </c>
      <c r="AC2944" s="110"/>
      <c r="AD2944" s="110"/>
      <c r="AE2944" s="110">
        <v>0</v>
      </c>
      <c r="AF2944" s="111">
        <f t="shared" si="652"/>
        <v>18.524999999999999</v>
      </c>
      <c r="AG2944" s="110"/>
      <c r="AH2944" s="110"/>
      <c r="AI2944" s="110"/>
      <c r="AJ2944" s="110"/>
      <c r="AK2944" s="111">
        <f t="shared" si="658"/>
        <v>74.099999999999994</v>
      </c>
      <c r="AL2944" s="446">
        <f t="shared" si="659"/>
        <v>0</v>
      </c>
      <c r="AM2944" s="110">
        <f t="shared" si="660"/>
        <v>1</v>
      </c>
      <c r="AN2944" s="447">
        <f t="shared" si="654"/>
        <v>0</v>
      </c>
      <c r="AO2944"/>
      <c r="AP2944"/>
    </row>
    <row r="2945" spans="1:42" ht="66" x14ac:dyDescent="0.25">
      <c r="A2945" s="9"/>
      <c r="B2945" s="528" t="s">
        <v>3116</v>
      </c>
      <c r="C2945" s="1024"/>
      <c r="D2945" s="882">
        <v>1</v>
      </c>
      <c r="E2945" s="251" t="s">
        <v>1767</v>
      </c>
      <c r="F2945" s="273" t="s">
        <v>3446</v>
      </c>
      <c r="G2945" s="1040" t="s">
        <v>3463</v>
      </c>
      <c r="H2945" s="273" t="s">
        <v>3462</v>
      </c>
      <c r="I2945" s="720">
        <f t="shared" si="661"/>
        <v>452.02</v>
      </c>
      <c r="J2945" s="756">
        <v>452.02</v>
      </c>
      <c r="K2945" s="131">
        <f t="shared" si="653"/>
        <v>452.02</v>
      </c>
      <c r="L2945" s="335">
        <f t="shared" si="657"/>
        <v>0</v>
      </c>
      <c r="M2945" s="446"/>
      <c r="N2945" s="446"/>
      <c r="O2945" s="446"/>
      <c r="P2945" s="446"/>
      <c r="Q2945" s="110">
        <v>1</v>
      </c>
      <c r="R2945" s="111">
        <f t="shared" si="655"/>
        <v>113.005</v>
      </c>
      <c r="S2945" s="110"/>
      <c r="T2945" s="110"/>
      <c r="U2945" s="110">
        <v>0</v>
      </c>
      <c r="V2945" s="111">
        <f t="shared" si="656"/>
        <v>113.005</v>
      </c>
      <c r="W2945" s="110"/>
      <c r="X2945" s="110"/>
      <c r="Y2945" s="110"/>
      <c r="Z2945" s="110"/>
      <c r="AA2945" s="110">
        <v>0</v>
      </c>
      <c r="AB2945" s="111">
        <f t="shared" si="651"/>
        <v>113.005</v>
      </c>
      <c r="AC2945" s="110"/>
      <c r="AD2945" s="110"/>
      <c r="AE2945" s="110">
        <v>0</v>
      </c>
      <c r="AF2945" s="111">
        <f t="shared" si="652"/>
        <v>113.005</v>
      </c>
      <c r="AG2945" s="110"/>
      <c r="AH2945" s="110"/>
      <c r="AI2945" s="110"/>
      <c r="AJ2945" s="110"/>
      <c r="AK2945" s="111">
        <f t="shared" si="658"/>
        <v>452.02</v>
      </c>
      <c r="AL2945" s="446">
        <f t="shared" si="659"/>
        <v>0</v>
      </c>
      <c r="AM2945" s="110">
        <f t="shared" si="660"/>
        <v>1</v>
      </c>
      <c r="AN2945" s="447">
        <f t="shared" si="654"/>
        <v>0</v>
      </c>
      <c r="AO2945"/>
      <c r="AP2945"/>
    </row>
    <row r="2946" spans="1:42" ht="66" x14ac:dyDescent="0.25">
      <c r="A2946" s="9"/>
      <c r="B2946" s="528" t="s">
        <v>3117</v>
      </c>
      <c r="C2946" s="1024"/>
      <c r="D2946" s="882">
        <v>1</v>
      </c>
      <c r="E2946" s="251" t="s">
        <v>1767</v>
      </c>
      <c r="F2946" s="273" t="s">
        <v>3446</v>
      </c>
      <c r="G2946" s="1040" t="s">
        <v>3463</v>
      </c>
      <c r="H2946" s="273" t="s">
        <v>3462</v>
      </c>
      <c r="I2946" s="720">
        <f t="shared" si="661"/>
        <v>100.36</v>
      </c>
      <c r="J2946" s="756">
        <v>100.36</v>
      </c>
      <c r="K2946" s="131">
        <f t="shared" si="653"/>
        <v>100.36</v>
      </c>
      <c r="L2946" s="335">
        <f t="shared" si="657"/>
        <v>0</v>
      </c>
      <c r="M2946" s="446"/>
      <c r="N2946" s="446"/>
      <c r="O2946" s="446"/>
      <c r="P2946" s="446"/>
      <c r="Q2946" s="110">
        <v>1</v>
      </c>
      <c r="R2946" s="111">
        <f t="shared" si="655"/>
        <v>25.09</v>
      </c>
      <c r="S2946" s="110"/>
      <c r="T2946" s="110"/>
      <c r="U2946" s="110">
        <v>0</v>
      </c>
      <c r="V2946" s="111">
        <f t="shared" si="656"/>
        <v>25.09</v>
      </c>
      <c r="W2946" s="110"/>
      <c r="X2946" s="110"/>
      <c r="Y2946" s="110"/>
      <c r="Z2946" s="110"/>
      <c r="AA2946" s="110">
        <v>0</v>
      </c>
      <c r="AB2946" s="111">
        <f t="shared" si="651"/>
        <v>25.09</v>
      </c>
      <c r="AC2946" s="110"/>
      <c r="AD2946" s="110"/>
      <c r="AE2946" s="110">
        <v>0</v>
      </c>
      <c r="AF2946" s="111">
        <f t="shared" si="652"/>
        <v>25.09</v>
      </c>
      <c r="AG2946" s="110"/>
      <c r="AH2946" s="110"/>
      <c r="AI2946" s="110"/>
      <c r="AJ2946" s="110"/>
      <c r="AK2946" s="111">
        <f t="shared" si="658"/>
        <v>100.36</v>
      </c>
      <c r="AL2946" s="446">
        <f t="shared" si="659"/>
        <v>0</v>
      </c>
      <c r="AM2946" s="110">
        <f t="shared" si="660"/>
        <v>1</v>
      </c>
      <c r="AN2946" s="447">
        <f t="shared" si="654"/>
        <v>0</v>
      </c>
      <c r="AO2946"/>
      <c r="AP2946"/>
    </row>
    <row r="2947" spans="1:42" ht="66" x14ac:dyDescent="0.25">
      <c r="A2947" s="9"/>
      <c r="B2947" s="528" t="s">
        <v>3118</v>
      </c>
      <c r="C2947" s="1024"/>
      <c r="D2947" s="882">
        <v>1</v>
      </c>
      <c r="E2947" s="251" t="s">
        <v>1767</v>
      </c>
      <c r="F2947" s="273" t="s">
        <v>3446</v>
      </c>
      <c r="G2947" s="1040" t="s">
        <v>3463</v>
      </c>
      <c r="H2947" s="273" t="s">
        <v>3462</v>
      </c>
      <c r="I2947" s="720">
        <f t="shared" si="661"/>
        <v>1677.18</v>
      </c>
      <c r="J2947" s="756">
        <v>1677.18</v>
      </c>
      <c r="K2947" s="131">
        <f t="shared" si="653"/>
        <v>1677.18</v>
      </c>
      <c r="L2947" s="335">
        <f t="shared" si="657"/>
        <v>0</v>
      </c>
      <c r="M2947" s="446"/>
      <c r="N2947" s="446"/>
      <c r="O2947" s="446"/>
      <c r="P2947" s="446"/>
      <c r="Q2947" s="110">
        <v>1</v>
      </c>
      <c r="R2947" s="111">
        <f t="shared" si="655"/>
        <v>419.29500000000002</v>
      </c>
      <c r="S2947" s="110"/>
      <c r="T2947" s="110"/>
      <c r="U2947" s="110">
        <v>0</v>
      </c>
      <c r="V2947" s="111">
        <f t="shared" si="656"/>
        <v>419.29500000000002</v>
      </c>
      <c r="W2947" s="110"/>
      <c r="X2947" s="110"/>
      <c r="Y2947" s="110"/>
      <c r="Z2947" s="110"/>
      <c r="AA2947" s="110">
        <v>0</v>
      </c>
      <c r="AB2947" s="111">
        <f t="shared" si="651"/>
        <v>419.29500000000002</v>
      </c>
      <c r="AC2947" s="110"/>
      <c r="AD2947" s="110"/>
      <c r="AE2947" s="110">
        <v>0</v>
      </c>
      <c r="AF2947" s="111">
        <f t="shared" si="652"/>
        <v>419.29500000000002</v>
      </c>
      <c r="AG2947" s="110"/>
      <c r="AH2947" s="110"/>
      <c r="AI2947" s="110"/>
      <c r="AJ2947" s="110"/>
      <c r="AK2947" s="111">
        <f t="shared" si="658"/>
        <v>1677.18</v>
      </c>
      <c r="AL2947" s="446">
        <f t="shared" si="659"/>
        <v>0</v>
      </c>
      <c r="AM2947" s="110">
        <f t="shared" si="660"/>
        <v>1</v>
      </c>
      <c r="AN2947" s="447">
        <f t="shared" si="654"/>
        <v>0</v>
      </c>
      <c r="AO2947"/>
      <c r="AP2947"/>
    </row>
    <row r="2948" spans="1:42" ht="66" x14ac:dyDescent="0.25">
      <c r="A2948" s="9"/>
      <c r="B2948" s="528" t="s">
        <v>3119</v>
      </c>
      <c r="C2948" s="1024"/>
      <c r="D2948" s="882">
        <v>1</v>
      </c>
      <c r="E2948" s="251" t="s">
        <v>1767</v>
      </c>
      <c r="F2948" s="273" t="s">
        <v>3446</v>
      </c>
      <c r="G2948" s="1040" t="s">
        <v>3463</v>
      </c>
      <c r="H2948" s="273" t="s">
        <v>3462</v>
      </c>
      <c r="I2948" s="720">
        <f t="shared" si="661"/>
        <v>320.05</v>
      </c>
      <c r="J2948" s="756">
        <v>320.05</v>
      </c>
      <c r="K2948" s="131">
        <f t="shared" si="653"/>
        <v>320.05</v>
      </c>
      <c r="L2948" s="335">
        <f t="shared" si="657"/>
        <v>0</v>
      </c>
      <c r="M2948" s="446"/>
      <c r="N2948" s="446"/>
      <c r="O2948" s="446"/>
      <c r="P2948" s="446"/>
      <c r="Q2948" s="110">
        <v>1</v>
      </c>
      <c r="R2948" s="111">
        <f t="shared" si="655"/>
        <v>80.012500000000003</v>
      </c>
      <c r="S2948" s="110"/>
      <c r="T2948" s="110"/>
      <c r="U2948" s="110">
        <v>0</v>
      </c>
      <c r="V2948" s="111">
        <f t="shared" si="656"/>
        <v>80.012500000000003</v>
      </c>
      <c r="W2948" s="110"/>
      <c r="X2948" s="110"/>
      <c r="Y2948" s="110"/>
      <c r="Z2948" s="110"/>
      <c r="AA2948" s="110">
        <v>0</v>
      </c>
      <c r="AB2948" s="111">
        <f t="shared" si="651"/>
        <v>80.012500000000003</v>
      </c>
      <c r="AC2948" s="110"/>
      <c r="AD2948" s="110"/>
      <c r="AE2948" s="110">
        <v>0</v>
      </c>
      <c r="AF2948" s="111">
        <f t="shared" si="652"/>
        <v>80.012500000000003</v>
      </c>
      <c r="AG2948" s="110"/>
      <c r="AH2948" s="110"/>
      <c r="AI2948" s="110"/>
      <c r="AJ2948" s="110"/>
      <c r="AK2948" s="111">
        <f t="shared" si="658"/>
        <v>320.05</v>
      </c>
      <c r="AL2948" s="446">
        <f t="shared" si="659"/>
        <v>0</v>
      </c>
      <c r="AM2948" s="110">
        <f t="shared" si="660"/>
        <v>1</v>
      </c>
      <c r="AN2948" s="447">
        <f t="shared" si="654"/>
        <v>0</v>
      </c>
      <c r="AO2948"/>
      <c r="AP2948"/>
    </row>
    <row r="2949" spans="1:42" ht="66" x14ac:dyDescent="0.25">
      <c r="A2949" s="9"/>
      <c r="B2949" s="528" t="s">
        <v>3120</v>
      </c>
      <c r="C2949" s="1024"/>
      <c r="D2949" s="882">
        <v>1</v>
      </c>
      <c r="E2949" s="251" t="s">
        <v>1767</v>
      </c>
      <c r="F2949" s="273" t="s">
        <v>3446</v>
      </c>
      <c r="G2949" s="1040" t="s">
        <v>3463</v>
      </c>
      <c r="H2949" s="273" t="s">
        <v>3462</v>
      </c>
      <c r="I2949" s="720">
        <f t="shared" si="661"/>
        <v>37.33</v>
      </c>
      <c r="J2949" s="756">
        <v>37.33</v>
      </c>
      <c r="K2949" s="131">
        <f t="shared" si="653"/>
        <v>37.33</v>
      </c>
      <c r="L2949" s="335">
        <f t="shared" si="657"/>
        <v>0</v>
      </c>
      <c r="M2949" s="446"/>
      <c r="N2949" s="446"/>
      <c r="O2949" s="446"/>
      <c r="P2949" s="446"/>
      <c r="Q2949" s="110">
        <v>1</v>
      </c>
      <c r="R2949" s="111">
        <f t="shared" si="655"/>
        <v>9.3324999999999996</v>
      </c>
      <c r="S2949" s="110"/>
      <c r="T2949" s="110"/>
      <c r="U2949" s="110">
        <v>0</v>
      </c>
      <c r="V2949" s="111">
        <f t="shared" si="656"/>
        <v>9.3324999999999996</v>
      </c>
      <c r="W2949" s="110"/>
      <c r="X2949" s="110"/>
      <c r="Y2949" s="110"/>
      <c r="Z2949" s="110"/>
      <c r="AA2949" s="110">
        <v>0</v>
      </c>
      <c r="AB2949" s="111">
        <f t="shared" si="651"/>
        <v>9.3324999999999996</v>
      </c>
      <c r="AC2949" s="110"/>
      <c r="AD2949" s="110"/>
      <c r="AE2949" s="110">
        <v>0</v>
      </c>
      <c r="AF2949" s="111">
        <f t="shared" si="652"/>
        <v>9.3324999999999996</v>
      </c>
      <c r="AG2949" s="110"/>
      <c r="AH2949" s="110"/>
      <c r="AI2949" s="110"/>
      <c r="AJ2949" s="110"/>
      <c r="AK2949" s="111">
        <f t="shared" si="658"/>
        <v>37.33</v>
      </c>
      <c r="AL2949" s="446">
        <f t="shared" si="659"/>
        <v>0</v>
      </c>
      <c r="AM2949" s="110">
        <f t="shared" si="660"/>
        <v>1</v>
      </c>
      <c r="AN2949" s="447">
        <f t="shared" si="654"/>
        <v>0</v>
      </c>
      <c r="AO2949"/>
      <c r="AP2949"/>
    </row>
    <row r="2950" spans="1:42" ht="66" x14ac:dyDescent="0.25">
      <c r="A2950" s="9"/>
      <c r="B2950" s="528" t="s">
        <v>3121</v>
      </c>
      <c r="C2950" s="1024"/>
      <c r="D2950" s="882">
        <v>1</v>
      </c>
      <c r="E2950" s="251" t="s">
        <v>1766</v>
      </c>
      <c r="F2950" s="273" t="s">
        <v>3446</v>
      </c>
      <c r="G2950" s="1040" t="s">
        <v>3463</v>
      </c>
      <c r="H2950" s="273" t="s">
        <v>3462</v>
      </c>
      <c r="I2950" s="720">
        <f t="shared" si="661"/>
        <v>90.59</v>
      </c>
      <c r="J2950" s="756">
        <v>90.59</v>
      </c>
      <c r="K2950" s="131">
        <f t="shared" si="653"/>
        <v>90.59</v>
      </c>
      <c r="L2950" s="335">
        <f t="shared" si="657"/>
        <v>0</v>
      </c>
      <c r="M2950" s="446"/>
      <c r="N2950" s="446"/>
      <c r="O2950" s="446"/>
      <c r="P2950" s="446"/>
      <c r="Q2950" s="110">
        <v>1</v>
      </c>
      <c r="R2950" s="111">
        <f t="shared" si="655"/>
        <v>22.647500000000001</v>
      </c>
      <c r="S2950" s="110"/>
      <c r="T2950" s="110"/>
      <c r="U2950" s="110">
        <v>0</v>
      </c>
      <c r="V2950" s="111">
        <f t="shared" si="656"/>
        <v>22.647500000000001</v>
      </c>
      <c r="W2950" s="110"/>
      <c r="X2950" s="110"/>
      <c r="Y2950" s="110"/>
      <c r="Z2950" s="110"/>
      <c r="AA2950" s="110">
        <v>0</v>
      </c>
      <c r="AB2950" s="111">
        <f t="shared" si="651"/>
        <v>22.647500000000001</v>
      </c>
      <c r="AC2950" s="110"/>
      <c r="AD2950" s="110"/>
      <c r="AE2950" s="110">
        <v>0</v>
      </c>
      <c r="AF2950" s="111">
        <f t="shared" si="652"/>
        <v>22.647500000000001</v>
      </c>
      <c r="AG2950" s="110"/>
      <c r="AH2950" s="110"/>
      <c r="AI2950" s="110"/>
      <c r="AJ2950" s="110"/>
      <c r="AK2950" s="111">
        <f t="shared" si="658"/>
        <v>90.59</v>
      </c>
      <c r="AL2950" s="446">
        <f t="shared" si="659"/>
        <v>0</v>
      </c>
      <c r="AM2950" s="110">
        <f t="shared" si="660"/>
        <v>1</v>
      </c>
      <c r="AN2950" s="447">
        <f t="shared" si="654"/>
        <v>0</v>
      </c>
      <c r="AO2950"/>
      <c r="AP2950"/>
    </row>
    <row r="2951" spans="1:42" ht="66" x14ac:dyDescent="0.25">
      <c r="A2951" s="9"/>
      <c r="B2951" s="528" t="s">
        <v>3122</v>
      </c>
      <c r="C2951" s="1024"/>
      <c r="D2951" s="882">
        <v>1</v>
      </c>
      <c r="E2951" s="251" t="s">
        <v>1767</v>
      </c>
      <c r="F2951" s="273" t="s">
        <v>3446</v>
      </c>
      <c r="G2951" s="1040" t="s">
        <v>3463</v>
      </c>
      <c r="H2951" s="273" t="s">
        <v>3462</v>
      </c>
      <c r="I2951" s="720">
        <f t="shared" si="661"/>
        <v>113.45400000000001</v>
      </c>
      <c r="J2951" s="756">
        <v>113.45400000000001</v>
      </c>
      <c r="K2951" s="131">
        <f t="shared" si="653"/>
        <v>113.45400000000001</v>
      </c>
      <c r="L2951" s="335">
        <f t="shared" si="657"/>
        <v>0</v>
      </c>
      <c r="M2951" s="446"/>
      <c r="N2951" s="446"/>
      <c r="O2951" s="446"/>
      <c r="P2951" s="446"/>
      <c r="Q2951" s="110">
        <v>1</v>
      </c>
      <c r="R2951" s="111">
        <f t="shared" si="655"/>
        <v>28.363500000000002</v>
      </c>
      <c r="S2951" s="110"/>
      <c r="T2951" s="110"/>
      <c r="U2951" s="110">
        <v>0</v>
      </c>
      <c r="V2951" s="111">
        <f t="shared" si="656"/>
        <v>28.363500000000002</v>
      </c>
      <c r="W2951" s="110"/>
      <c r="X2951" s="110"/>
      <c r="Y2951" s="110"/>
      <c r="Z2951" s="110"/>
      <c r="AA2951" s="110">
        <v>0</v>
      </c>
      <c r="AB2951" s="111">
        <f t="shared" ref="AB2951:AB3014" si="662">+J2951/4</f>
        <v>28.363500000000002</v>
      </c>
      <c r="AC2951" s="110"/>
      <c r="AD2951" s="110"/>
      <c r="AE2951" s="110">
        <v>0</v>
      </c>
      <c r="AF2951" s="111">
        <f t="shared" ref="AF2951:AF3014" si="663">+J2951/4</f>
        <v>28.363500000000002</v>
      </c>
      <c r="AG2951" s="110"/>
      <c r="AH2951" s="110"/>
      <c r="AI2951" s="110"/>
      <c r="AJ2951" s="110"/>
      <c r="AK2951" s="111">
        <f t="shared" si="658"/>
        <v>113.45400000000001</v>
      </c>
      <c r="AL2951" s="446">
        <f t="shared" si="659"/>
        <v>0</v>
      </c>
      <c r="AM2951" s="110">
        <f t="shared" si="660"/>
        <v>1</v>
      </c>
      <c r="AN2951" s="447">
        <f t="shared" si="654"/>
        <v>0</v>
      </c>
      <c r="AO2951"/>
      <c r="AP2951"/>
    </row>
    <row r="2952" spans="1:42" ht="66" x14ac:dyDescent="0.25">
      <c r="A2952" s="9"/>
      <c r="B2952" s="528" t="s">
        <v>3123</v>
      </c>
      <c r="C2952" s="1024"/>
      <c r="D2952" s="882">
        <v>1</v>
      </c>
      <c r="E2952" s="251" t="s">
        <v>2442</v>
      </c>
      <c r="F2952" s="273" t="s">
        <v>3446</v>
      </c>
      <c r="G2952" s="1040" t="s">
        <v>3463</v>
      </c>
      <c r="H2952" s="273" t="s">
        <v>3462</v>
      </c>
      <c r="I2952" s="720">
        <f t="shared" si="661"/>
        <v>193.05</v>
      </c>
      <c r="J2952" s="756">
        <v>193.05</v>
      </c>
      <c r="K2952" s="131">
        <f t="shared" si="653"/>
        <v>193.05</v>
      </c>
      <c r="L2952" s="335">
        <f t="shared" si="657"/>
        <v>0</v>
      </c>
      <c r="M2952" s="446"/>
      <c r="N2952" s="446"/>
      <c r="O2952" s="446"/>
      <c r="P2952" s="446"/>
      <c r="Q2952" s="110">
        <v>1</v>
      </c>
      <c r="R2952" s="111">
        <f t="shared" si="655"/>
        <v>48.262500000000003</v>
      </c>
      <c r="S2952" s="110"/>
      <c r="T2952" s="110"/>
      <c r="U2952" s="110">
        <v>0</v>
      </c>
      <c r="V2952" s="111">
        <f t="shared" si="656"/>
        <v>48.262500000000003</v>
      </c>
      <c r="W2952" s="110"/>
      <c r="X2952" s="110"/>
      <c r="Y2952" s="110"/>
      <c r="Z2952" s="110"/>
      <c r="AA2952" s="110">
        <v>0</v>
      </c>
      <c r="AB2952" s="111">
        <f t="shared" si="662"/>
        <v>48.262500000000003</v>
      </c>
      <c r="AC2952" s="110"/>
      <c r="AD2952" s="110"/>
      <c r="AE2952" s="110">
        <v>0</v>
      </c>
      <c r="AF2952" s="111">
        <f t="shared" si="663"/>
        <v>48.262500000000003</v>
      </c>
      <c r="AG2952" s="110"/>
      <c r="AH2952" s="110"/>
      <c r="AI2952" s="110"/>
      <c r="AJ2952" s="110"/>
      <c r="AK2952" s="111">
        <f t="shared" si="658"/>
        <v>193.05</v>
      </c>
      <c r="AL2952" s="446">
        <f t="shared" si="659"/>
        <v>0</v>
      </c>
      <c r="AM2952" s="110">
        <f t="shared" si="660"/>
        <v>1</v>
      </c>
      <c r="AN2952" s="447">
        <f t="shared" si="654"/>
        <v>0</v>
      </c>
      <c r="AO2952"/>
      <c r="AP2952"/>
    </row>
    <row r="2953" spans="1:42" ht="66" x14ac:dyDescent="0.25">
      <c r="A2953" s="9"/>
      <c r="B2953" s="528" t="s">
        <v>3124</v>
      </c>
      <c r="C2953" s="1024"/>
      <c r="D2953" s="882">
        <v>1</v>
      </c>
      <c r="E2953" s="251" t="s">
        <v>1767</v>
      </c>
      <c r="F2953" s="273" t="s">
        <v>3446</v>
      </c>
      <c r="G2953" s="1040" t="s">
        <v>3463</v>
      </c>
      <c r="H2953" s="273" t="s">
        <v>3462</v>
      </c>
      <c r="I2953" s="720">
        <f t="shared" si="661"/>
        <v>37.521360000000001</v>
      </c>
      <c r="J2953" s="756">
        <v>37.521360000000001</v>
      </c>
      <c r="K2953" s="131">
        <f t="shared" si="653"/>
        <v>37.521360000000001</v>
      </c>
      <c r="L2953" s="335">
        <f t="shared" si="657"/>
        <v>0</v>
      </c>
      <c r="M2953" s="446"/>
      <c r="N2953" s="446"/>
      <c r="O2953" s="446"/>
      <c r="P2953" s="446"/>
      <c r="Q2953" s="110">
        <v>1</v>
      </c>
      <c r="R2953" s="111">
        <f t="shared" si="655"/>
        <v>9.3803400000000003</v>
      </c>
      <c r="S2953" s="110"/>
      <c r="T2953" s="110"/>
      <c r="U2953" s="110">
        <v>0</v>
      </c>
      <c r="V2953" s="111">
        <f t="shared" si="656"/>
        <v>9.3803400000000003</v>
      </c>
      <c r="W2953" s="110"/>
      <c r="X2953" s="110"/>
      <c r="Y2953" s="110"/>
      <c r="Z2953" s="110"/>
      <c r="AA2953" s="110">
        <v>0</v>
      </c>
      <c r="AB2953" s="111">
        <f t="shared" si="662"/>
        <v>9.3803400000000003</v>
      </c>
      <c r="AC2953" s="110"/>
      <c r="AD2953" s="110"/>
      <c r="AE2953" s="110">
        <v>0</v>
      </c>
      <c r="AF2953" s="111">
        <f t="shared" si="663"/>
        <v>9.3803400000000003</v>
      </c>
      <c r="AG2953" s="110"/>
      <c r="AH2953" s="110"/>
      <c r="AI2953" s="110"/>
      <c r="AJ2953" s="110"/>
      <c r="AK2953" s="111">
        <f t="shared" si="658"/>
        <v>37.521360000000001</v>
      </c>
      <c r="AL2953" s="446">
        <f t="shared" si="659"/>
        <v>0</v>
      </c>
      <c r="AM2953" s="110">
        <f t="shared" si="660"/>
        <v>1</v>
      </c>
      <c r="AN2953" s="447">
        <f t="shared" si="654"/>
        <v>0</v>
      </c>
      <c r="AO2953"/>
      <c r="AP2953"/>
    </row>
    <row r="2954" spans="1:42" ht="66" x14ac:dyDescent="0.25">
      <c r="A2954" s="9"/>
      <c r="B2954" s="528" t="s">
        <v>3125</v>
      </c>
      <c r="C2954" s="1024"/>
      <c r="D2954" s="882">
        <v>1</v>
      </c>
      <c r="E2954" s="251" t="s">
        <v>1767</v>
      </c>
      <c r="F2954" s="273" t="s">
        <v>3446</v>
      </c>
      <c r="G2954" s="1040" t="s">
        <v>3463</v>
      </c>
      <c r="H2954" s="273" t="s">
        <v>3462</v>
      </c>
      <c r="I2954" s="720">
        <f t="shared" si="661"/>
        <v>33.813071999999998</v>
      </c>
      <c r="J2954" s="756">
        <v>33.813071999999998</v>
      </c>
      <c r="K2954" s="131">
        <f t="shared" si="653"/>
        <v>33.813071999999998</v>
      </c>
      <c r="L2954" s="335">
        <f t="shared" si="657"/>
        <v>0</v>
      </c>
      <c r="M2954" s="446"/>
      <c r="N2954" s="446"/>
      <c r="O2954" s="446"/>
      <c r="P2954" s="446"/>
      <c r="Q2954" s="110">
        <v>1</v>
      </c>
      <c r="R2954" s="111">
        <f t="shared" si="655"/>
        <v>8.4532679999999996</v>
      </c>
      <c r="S2954" s="110"/>
      <c r="T2954" s="110"/>
      <c r="U2954" s="110">
        <v>0</v>
      </c>
      <c r="V2954" s="111">
        <f t="shared" si="656"/>
        <v>8.4532679999999996</v>
      </c>
      <c r="W2954" s="110"/>
      <c r="X2954" s="110"/>
      <c r="Y2954" s="110"/>
      <c r="Z2954" s="110"/>
      <c r="AA2954" s="110">
        <v>0</v>
      </c>
      <c r="AB2954" s="111">
        <f t="shared" si="662"/>
        <v>8.4532679999999996</v>
      </c>
      <c r="AC2954" s="110"/>
      <c r="AD2954" s="110"/>
      <c r="AE2954" s="110">
        <v>0</v>
      </c>
      <c r="AF2954" s="111">
        <f t="shared" si="663"/>
        <v>8.4532679999999996</v>
      </c>
      <c r="AG2954" s="110"/>
      <c r="AH2954" s="110"/>
      <c r="AI2954" s="110"/>
      <c r="AJ2954" s="110"/>
      <c r="AK2954" s="111">
        <f t="shared" si="658"/>
        <v>33.813071999999998</v>
      </c>
      <c r="AL2954" s="446">
        <f t="shared" si="659"/>
        <v>0</v>
      </c>
      <c r="AM2954" s="110">
        <f t="shared" si="660"/>
        <v>1</v>
      </c>
      <c r="AN2954" s="447">
        <f t="shared" si="654"/>
        <v>0</v>
      </c>
      <c r="AO2954"/>
      <c r="AP2954"/>
    </row>
    <row r="2955" spans="1:42" ht="66" x14ac:dyDescent="0.25">
      <c r="A2955" s="9"/>
      <c r="B2955" s="528" t="s">
        <v>3126</v>
      </c>
      <c r="C2955" s="1024"/>
      <c r="D2955" s="882">
        <v>1</v>
      </c>
      <c r="E2955" s="251" t="s">
        <v>1767</v>
      </c>
      <c r="F2955" s="273" t="s">
        <v>3446</v>
      </c>
      <c r="G2955" s="1040" t="s">
        <v>3463</v>
      </c>
      <c r="H2955" s="273" t="s">
        <v>3462</v>
      </c>
      <c r="I2955" s="720">
        <f t="shared" si="661"/>
        <v>430.32427200000001</v>
      </c>
      <c r="J2955" s="756">
        <v>430.32427200000001</v>
      </c>
      <c r="K2955" s="131">
        <f t="shared" si="653"/>
        <v>430.32427200000001</v>
      </c>
      <c r="L2955" s="335">
        <f t="shared" si="657"/>
        <v>0</v>
      </c>
      <c r="M2955" s="446"/>
      <c r="N2955" s="446"/>
      <c r="O2955" s="446"/>
      <c r="P2955" s="446"/>
      <c r="Q2955" s="110">
        <v>1</v>
      </c>
      <c r="R2955" s="111">
        <f t="shared" si="655"/>
        <v>107.581068</v>
      </c>
      <c r="S2955" s="110"/>
      <c r="T2955" s="110"/>
      <c r="U2955" s="110">
        <v>0</v>
      </c>
      <c r="V2955" s="111">
        <f t="shared" si="656"/>
        <v>107.581068</v>
      </c>
      <c r="W2955" s="110"/>
      <c r="X2955" s="110"/>
      <c r="Y2955" s="110"/>
      <c r="Z2955" s="110"/>
      <c r="AA2955" s="110">
        <v>0</v>
      </c>
      <c r="AB2955" s="111">
        <f t="shared" si="662"/>
        <v>107.581068</v>
      </c>
      <c r="AC2955" s="110"/>
      <c r="AD2955" s="110"/>
      <c r="AE2955" s="110">
        <v>0</v>
      </c>
      <c r="AF2955" s="111">
        <f t="shared" si="663"/>
        <v>107.581068</v>
      </c>
      <c r="AG2955" s="110"/>
      <c r="AH2955" s="110"/>
      <c r="AI2955" s="110"/>
      <c r="AJ2955" s="110"/>
      <c r="AK2955" s="111">
        <f t="shared" si="658"/>
        <v>430.32427200000001</v>
      </c>
      <c r="AL2955" s="446">
        <f t="shared" si="659"/>
        <v>0</v>
      </c>
      <c r="AM2955" s="110">
        <f t="shared" si="660"/>
        <v>1</v>
      </c>
      <c r="AN2955" s="447">
        <f t="shared" si="654"/>
        <v>0</v>
      </c>
      <c r="AO2955"/>
      <c r="AP2955"/>
    </row>
    <row r="2956" spans="1:42" ht="66" x14ac:dyDescent="0.25">
      <c r="A2956" s="9"/>
      <c r="B2956" s="528" t="s">
        <v>3127</v>
      </c>
      <c r="C2956" s="1024"/>
      <c r="D2956" s="882">
        <v>1</v>
      </c>
      <c r="E2956" s="251" t="s">
        <v>1949</v>
      </c>
      <c r="F2956" s="273" t="s">
        <v>3446</v>
      </c>
      <c r="G2956" s="1040" t="s">
        <v>3463</v>
      </c>
      <c r="H2956" s="273" t="s">
        <v>3462</v>
      </c>
      <c r="I2956" s="720">
        <f t="shared" si="661"/>
        <v>81.94</v>
      </c>
      <c r="J2956" s="756">
        <v>81.94</v>
      </c>
      <c r="K2956" s="131">
        <f t="shared" si="653"/>
        <v>81.94</v>
      </c>
      <c r="L2956" s="335">
        <f t="shared" si="657"/>
        <v>0</v>
      </c>
      <c r="M2956" s="446"/>
      <c r="N2956" s="446"/>
      <c r="O2956" s="446"/>
      <c r="P2956" s="446"/>
      <c r="Q2956" s="110">
        <v>1</v>
      </c>
      <c r="R2956" s="111">
        <f t="shared" si="655"/>
        <v>20.484999999999999</v>
      </c>
      <c r="S2956" s="110"/>
      <c r="T2956" s="110"/>
      <c r="U2956" s="110">
        <v>0</v>
      </c>
      <c r="V2956" s="111">
        <f t="shared" si="656"/>
        <v>20.484999999999999</v>
      </c>
      <c r="W2956" s="110"/>
      <c r="X2956" s="110"/>
      <c r="Y2956" s="110"/>
      <c r="Z2956" s="110"/>
      <c r="AA2956" s="110">
        <v>0</v>
      </c>
      <c r="AB2956" s="111">
        <f t="shared" si="662"/>
        <v>20.484999999999999</v>
      </c>
      <c r="AC2956" s="110"/>
      <c r="AD2956" s="110"/>
      <c r="AE2956" s="110">
        <v>0</v>
      </c>
      <c r="AF2956" s="111">
        <f t="shared" si="663"/>
        <v>20.484999999999999</v>
      </c>
      <c r="AG2956" s="110"/>
      <c r="AH2956" s="110"/>
      <c r="AI2956" s="110"/>
      <c r="AJ2956" s="110"/>
      <c r="AK2956" s="111">
        <f t="shared" si="658"/>
        <v>81.94</v>
      </c>
      <c r="AL2956" s="446">
        <f t="shared" si="659"/>
        <v>0</v>
      </c>
      <c r="AM2956" s="110">
        <f t="shared" si="660"/>
        <v>1</v>
      </c>
      <c r="AN2956" s="447">
        <f t="shared" si="654"/>
        <v>0</v>
      </c>
      <c r="AO2956"/>
      <c r="AP2956"/>
    </row>
    <row r="2957" spans="1:42" ht="66" x14ac:dyDescent="0.25">
      <c r="A2957" s="9"/>
      <c r="B2957" s="528" t="s">
        <v>3128</v>
      </c>
      <c r="C2957" s="1024"/>
      <c r="D2957" s="882">
        <v>1</v>
      </c>
      <c r="E2957" s="251" t="s">
        <v>1767</v>
      </c>
      <c r="F2957" s="273" t="s">
        <v>3446</v>
      </c>
      <c r="G2957" s="1040" t="s">
        <v>3463</v>
      </c>
      <c r="H2957" s="273" t="s">
        <v>3462</v>
      </c>
      <c r="I2957" s="720">
        <f t="shared" si="661"/>
        <v>273.24</v>
      </c>
      <c r="J2957" s="756">
        <v>273.24</v>
      </c>
      <c r="K2957" s="131">
        <f t="shared" si="653"/>
        <v>273.24</v>
      </c>
      <c r="L2957" s="335">
        <f t="shared" si="657"/>
        <v>0</v>
      </c>
      <c r="M2957" s="446"/>
      <c r="N2957" s="446"/>
      <c r="O2957" s="446"/>
      <c r="P2957" s="446"/>
      <c r="Q2957" s="110">
        <v>1</v>
      </c>
      <c r="R2957" s="111">
        <f t="shared" si="655"/>
        <v>68.31</v>
      </c>
      <c r="S2957" s="110"/>
      <c r="T2957" s="110"/>
      <c r="U2957" s="110">
        <v>0</v>
      </c>
      <c r="V2957" s="111">
        <f t="shared" si="656"/>
        <v>68.31</v>
      </c>
      <c r="W2957" s="110"/>
      <c r="X2957" s="110"/>
      <c r="Y2957" s="110"/>
      <c r="Z2957" s="110"/>
      <c r="AA2957" s="110">
        <v>0</v>
      </c>
      <c r="AB2957" s="111">
        <f t="shared" si="662"/>
        <v>68.31</v>
      </c>
      <c r="AC2957" s="110"/>
      <c r="AD2957" s="110"/>
      <c r="AE2957" s="110">
        <v>0</v>
      </c>
      <c r="AF2957" s="111">
        <f t="shared" si="663"/>
        <v>68.31</v>
      </c>
      <c r="AG2957" s="110"/>
      <c r="AH2957" s="110"/>
      <c r="AI2957" s="110"/>
      <c r="AJ2957" s="110"/>
      <c r="AK2957" s="111">
        <f t="shared" si="658"/>
        <v>273.24</v>
      </c>
      <c r="AL2957" s="446">
        <f t="shared" si="659"/>
        <v>0</v>
      </c>
      <c r="AM2957" s="110">
        <f t="shared" si="660"/>
        <v>1</v>
      </c>
      <c r="AN2957" s="447">
        <f t="shared" si="654"/>
        <v>0</v>
      </c>
      <c r="AO2957"/>
      <c r="AP2957"/>
    </row>
    <row r="2958" spans="1:42" ht="66" x14ac:dyDescent="0.25">
      <c r="A2958" s="9"/>
      <c r="B2958" s="528" t="s">
        <v>3129</v>
      </c>
      <c r="C2958" s="1024"/>
      <c r="D2958" s="882">
        <v>1</v>
      </c>
      <c r="E2958" s="251" t="s">
        <v>1767</v>
      </c>
      <c r="F2958" s="273" t="s">
        <v>3446</v>
      </c>
      <c r="G2958" s="1040" t="s">
        <v>3463</v>
      </c>
      <c r="H2958" s="273" t="s">
        <v>3462</v>
      </c>
      <c r="I2958" s="720">
        <f t="shared" si="661"/>
        <v>1702.3392000000001</v>
      </c>
      <c r="J2958" s="756">
        <v>1702.3392000000001</v>
      </c>
      <c r="K2958" s="131">
        <f t="shared" si="653"/>
        <v>1702.3392000000001</v>
      </c>
      <c r="L2958" s="335">
        <f t="shared" si="657"/>
        <v>0</v>
      </c>
      <c r="M2958" s="446"/>
      <c r="N2958" s="446"/>
      <c r="O2958" s="446"/>
      <c r="P2958" s="446"/>
      <c r="Q2958" s="110">
        <v>1</v>
      </c>
      <c r="R2958" s="111">
        <f t="shared" si="655"/>
        <v>425.58480000000003</v>
      </c>
      <c r="S2958" s="110"/>
      <c r="T2958" s="110"/>
      <c r="U2958" s="110">
        <v>0</v>
      </c>
      <c r="V2958" s="111">
        <f t="shared" si="656"/>
        <v>425.58480000000003</v>
      </c>
      <c r="W2958" s="110"/>
      <c r="X2958" s="110"/>
      <c r="Y2958" s="110"/>
      <c r="Z2958" s="110"/>
      <c r="AA2958" s="110">
        <v>0</v>
      </c>
      <c r="AB2958" s="111">
        <f t="shared" si="662"/>
        <v>425.58480000000003</v>
      </c>
      <c r="AC2958" s="110"/>
      <c r="AD2958" s="110"/>
      <c r="AE2958" s="110">
        <v>0</v>
      </c>
      <c r="AF2958" s="111">
        <f t="shared" si="663"/>
        <v>425.58480000000003</v>
      </c>
      <c r="AG2958" s="110"/>
      <c r="AH2958" s="110"/>
      <c r="AI2958" s="110"/>
      <c r="AJ2958" s="110"/>
      <c r="AK2958" s="111">
        <f t="shared" si="658"/>
        <v>1702.3392000000001</v>
      </c>
      <c r="AL2958" s="446">
        <f t="shared" si="659"/>
        <v>0</v>
      </c>
      <c r="AM2958" s="110">
        <f t="shared" si="660"/>
        <v>1</v>
      </c>
      <c r="AN2958" s="447">
        <f t="shared" si="654"/>
        <v>0</v>
      </c>
      <c r="AO2958"/>
      <c r="AP2958"/>
    </row>
    <row r="2959" spans="1:42" ht="66" x14ac:dyDescent="0.25">
      <c r="A2959" s="9"/>
      <c r="B2959" s="528" t="s">
        <v>3130</v>
      </c>
      <c r="C2959" s="1024"/>
      <c r="D2959" s="882">
        <v>1</v>
      </c>
      <c r="E2959" s="251" t="s">
        <v>2442</v>
      </c>
      <c r="F2959" s="273" t="s">
        <v>3446</v>
      </c>
      <c r="G2959" s="1040" t="s">
        <v>3463</v>
      </c>
      <c r="H2959" s="273" t="s">
        <v>3462</v>
      </c>
      <c r="I2959" s="720">
        <f t="shared" si="661"/>
        <v>176.1</v>
      </c>
      <c r="J2959" s="756">
        <v>176.1</v>
      </c>
      <c r="K2959" s="131">
        <f t="shared" si="653"/>
        <v>176.1</v>
      </c>
      <c r="L2959" s="335">
        <f t="shared" si="657"/>
        <v>0</v>
      </c>
      <c r="M2959" s="446"/>
      <c r="N2959" s="446"/>
      <c r="O2959" s="446"/>
      <c r="P2959" s="446"/>
      <c r="Q2959" s="110">
        <v>1</v>
      </c>
      <c r="R2959" s="111">
        <f t="shared" si="655"/>
        <v>44.024999999999999</v>
      </c>
      <c r="S2959" s="110"/>
      <c r="T2959" s="110"/>
      <c r="U2959" s="110">
        <v>0</v>
      </c>
      <c r="V2959" s="111">
        <f t="shared" si="656"/>
        <v>44.024999999999999</v>
      </c>
      <c r="W2959" s="110"/>
      <c r="X2959" s="110"/>
      <c r="Y2959" s="110"/>
      <c r="Z2959" s="110"/>
      <c r="AA2959" s="110">
        <v>0</v>
      </c>
      <c r="AB2959" s="111">
        <f t="shared" si="662"/>
        <v>44.024999999999999</v>
      </c>
      <c r="AC2959" s="110"/>
      <c r="AD2959" s="110"/>
      <c r="AE2959" s="110">
        <v>0</v>
      </c>
      <c r="AF2959" s="111">
        <f t="shared" si="663"/>
        <v>44.024999999999999</v>
      </c>
      <c r="AG2959" s="110"/>
      <c r="AH2959" s="110"/>
      <c r="AI2959" s="110"/>
      <c r="AJ2959" s="110"/>
      <c r="AK2959" s="111">
        <f t="shared" si="658"/>
        <v>176.1</v>
      </c>
      <c r="AL2959" s="446">
        <f t="shared" si="659"/>
        <v>0</v>
      </c>
      <c r="AM2959" s="110">
        <f t="shared" si="660"/>
        <v>1</v>
      </c>
      <c r="AN2959" s="447">
        <f t="shared" si="654"/>
        <v>0</v>
      </c>
      <c r="AO2959"/>
      <c r="AP2959"/>
    </row>
    <row r="2960" spans="1:42" ht="66" x14ac:dyDescent="0.25">
      <c r="A2960" s="9"/>
      <c r="B2960" s="528" t="s">
        <v>3131</v>
      </c>
      <c r="C2960" s="1024"/>
      <c r="D2960" s="882">
        <v>1</v>
      </c>
      <c r="E2960" s="251" t="s">
        <v>1767</v>
      </c>
      <c r="F2960" s="273" t="s">
        <v>3446</v>
      </c>
      <c r="G2960" s="1040" t="s">
        <v>3463</v>
      </c>
      <c r="H2960" s="273" t="s">
        <v>3462</v>
      </c>
      <c r="I2960" s="720">
        <f t="shared" si="661"/>
        <v>50.18</v>
      </c>
      <c r="J2960" s="756">
        <v>50.18</v>
      </c>
      <c r="K2960" s="131">
        <f t="shared" si="653"/>
        <v>50.18</v>
      </c>
      <c r="L2960" s="335">
        <f t="shared" si="657"/>
        <v>0</v>
      </c>
      <c r="M2960" s="446"/>
      <c r="N2960" s="446"/>
      <c r="O2960" s="446"/>
      <c r="P2960" s="446"/>
      <c r="Q2960" s="110">
        <v>1</v>
      </c>
      <c r="R2960" s="111">
        <f t="shared" si="655"/>
        <v>12.545</v>
      </c>
      <c r="S2960" s="110"/>
      <c r="T2960" s="110"/>
      <c r="U2960" s="110">
        <v>0</v>
      </c>
      <c r="V2960" s="111">
        <f t="shared" si="656"/>
        <v>12.545</v>
      </c>
      <c r="W2960" s="110"/>
      <c r="X2960" s="110"/>
      <c r="Y2960" s="110"/>
      <c r="Z2960" s="110"/>
      <c r="AA2960" s="110">
        <v>0</v>
      </c>
      <c r="AB2960" s="111">
        <f t="shared" si="662"/>
        <v>12.545</v>
      </c>
      <c r="AC2960" s="110"/>
      <c r="AD2960" s="110"/>
      <c r="AE2960" s="110">
        <v>0</v>
      </c>
      <c r="AF2960" s="111">
        <f t="shared" si="663"/>
        <v>12.545</v>
      </c>
      <c r="AG2960" s="110"/>
      <c r="AH2960" s="110"/>
      <c r="AI2960" s="110"/>
      <c r="AJ2960" s="110"/>
      <c r="AK2960" s="111">
        <f t="shared" si="658"/>
        <v>50.18</v>
      </c>
      <c r="AL2960" s="446">
        <f t="shared" si="659"/>
        <v>0</v>
      </c>
      <c r="AM2960" s="110">
        <f t="shared" si="660"/>
        <v>1</v>
      </c>
      <c r="AN2960" s="447">
        <f t="shared" si="654"/>
        <v>0</v>
      </c>
      <c r="AO2960"/>
      <c r="AP2960"/>
    </row>
    <row r="2961" spans="1:42" ht="66" x14ac:dyDescent="0.25">
      <c r="A2961" s="9"/>
      <c r="B2961" s="528" t="s">
        <v>3132</v>
      </c>
      <c r="C2961" s="1024"/>
      <c r="D2961" s="882">
        <v>1</v>
      </c>
      <c r="E2961" s="251" t="s">
        <v>1767</v>
      </c>
      <c r="F2961" s="273" t="s">
        <v>3446</v>
      </c>
      <c r="G2961" s="1040" t="s">
        <v>3463</v>
      </c>
      <c r="H2961" s="273" t="s">
        <v>3462</v>
      </c>
      <c r="I2961" s="720">
        <f t="shared" si="661"/>
        <v>50.18</v>
      </c>
      <c r="J2961" s="756">
        <v>50.18</v>
      </c>
      <c r="K2961" s="131">
        <f t="shared" si="653"/>
        <v>50.18</v>
      </c>
      <c r="L2961" s="335">
        <f t="shared" si="657"/>
        <v>0</v>
      </c>
      <c r="M2961" s="446"/>
      <c r="N2961" s="446"/>
      <c r="O2961" s="446"/>
      <c r="P2961" s="446"/>
      <c r="Q2961" s="110">
        <v>1</v>
      </c>
      <c r="R2961" s="111">
        <f t="shared" si="655"/>
        <v>12.545</v>
      </c>
      <c r="S2961" s="110"/>
      <c r="T2961" s="110"/>
      <c r="U2961" s="110">
        <v>0</v>
      </c>
      <c r="V2961" s="111">
        <f t="shared" si="656"/>
        <v>12.545</v>
      </c>
      <c r="W2961" s="110"/>
      <c r="X2961" s="110"/>
      <c r="Y2961" s="110"/>
      <c r="Z2961" s="110"/>
      <c r="AA2961" s="110">
        <v>0</v>
      </c>
      <c r="AB2961" s="111">
        <f t="shared" si="662"/>
        <v>12.545</v>
      </c>
      <c r="AC2961" s="110"/>
      <c r="AD2961" s="110"/>
      <c r="AE2961" s="110">
        <v>0</v>
      </c>
      <c r="AF2961" s="111">
        <f t="shared" si="663"/>
        <v>12.545</v>
      </c>
      <c r="AG2961" s="110"/>
      <c r="AH2961" s="110"/>
      <c r="AI2961" s="110"/>
      <c r="AJ2961" s="110"/>
      <c r="AK2961" s="111">
        <f t="shared" si="658"/>
        <v>50.18</v>
      </c>
      <c r="AL2961" s="446">
        <f t="shared" si="659"/>
        <v>0</v>
      </c>
      <c r="AM2961" s="110">
        <f t="shared" si="660"/>
        <v>1</v>
      </c>
      <c r="AN2961" s="447">
        <f t="shared" si="654"/>
        <v>0</v>
      </c>
      <c r="AO2961"/>
      <c r="AP2961"/>
    </row>
    <row r="2962" spans="1:42" ht="66" x14ac:dyDescent="0.25">
      <c r="A2962" s="9"/>
      <c r="B2962" s="528" t="s">
        <v>3133</v>
      </c>
      <c r="C2962" s="1024"/>
      <c r="D2962" s="882">
        <v>1</v>
      </c>
      <c r="E2962" s="251" t="s">
        <v>1767</v>
      </c>
      <c r="F2962" s="273" t="s">
        <v>3446</v>
      </c>
      <c r="G2962" s="1040" t="s">
        <v>3463</v>
      </c>
      <c r="H2962" s="273" t="s">
        <v>3462</v>
      </c>
      <c r="I2962" s="720">
        <f t="shared" si="661"/>
        <v>50.18</v>
      </c>
      <c r="J2962" s="756">
        <v>50.18</v>
      </c>
      <c r="K2962" s="131">
        <f t="shared" si="653"/>
        <v>50.18</v>
      </c>
      <c r="L2962" s="335">
        <f t="shared" si="657"/>
        <v>0</v>
      </c>
      <c r="M2962" s="446"/>
      <c r="N2962" s="446"/>
      <c r="O2962" s="446"/>
      <c r="P2962" s="446"/>
      <c r="Q2962" s="110">
        <v>1</v>
      </c>
      <c r="R2962" s="111">
        <f t="shared" si="655"/>
        <v>12.545</v>
      </c>
      <c r="S2962" s="110"/>
      <c r="T2962" s="110"/>
      <c r="U2962" s="110">
        <v>0</v>
      </c>
      <c r="V2962" s="111">
        <f t="shared" si="656"/>
        <v>12.545</v>
      </c>
      <c r="W2962" s="110"/>
      <c r="X2962" s="110"/>
      <c r="Y2962" s="110"/>
      <c r="Z2962" s="110"/>
      <c r="AA2962" s="110">
        <v>0</v>
      </c>
      <c r="AB2962" s="111">
        <f t="shared" si="662"/>
        <v>12.545</v>
      </c>
      <c r="AC2962" s="110"/>
      <c r="AD2962" s="110"/>
      <c r="AE2962" s="110">
        <v>0</v>
      </c>
      <c r="AF2962" s="111">
        <f t="shared" si="663"/>
        <v>12.545</v>
      </c>
      <c r="AG2962" s="110"/>
      <c r="AH2962" s="110"/>
      <c r="AI2962" s="110"/>
      <c r="AJ2962" s="110"/>
      <c r="AK2962" s="111">
        <f t="shared" si="658"/>
        <v>50.18</v>
      </c>
      <c r="AL2962" s="446">
        <f t="shared" si="659"/>
        <v>0</v>
      </c>
      <c r="AM2962" s="110">
        <f t="shared" si="660"/>
        <v>1</v>
      </c>
      <c r="AN2962" s="447">
        <f t="shared" si="654"/>
        <v>0</v>
      </c>
      <c r="AO2962"/>
      <c r="AP2962"/>
    </row>
    <row r="2963" spans="1:42" ht="66" x14ac:dyDescent="0.25">
      <c r="A2963" s="9"/>
      <c r="B2963" s="528" t="s">
        <v>3134</v>
      </c>
      <c r="C2963" s="1024"/>
      <c r="D2963" s="882">
        <v>1</v>
      </c>
      <c r="E2963" s="251" t="s">
        <v>1767</v>
      </c>
      <c r="F2963" s="273" t="s">
        <v>3446</v>
      </c>
      <c r="G2963" s="1040" t="s">
        <v>3463</v>
      </c>
      <c r="H2963" s="273" t="s">
        <v>3462</v>
      </c>
      <c r="I2963" s="720">
        <f t="shared" si="661"/>
        <v>50.18</v>
      </c>
      <c r="J2963" s="756">
        <v>50.18</v>
      </c>
      <c r="K2963" s="131">
        <f t="shared" si="653"/>
        <v>50.18</v>
      </c>
      <c r="L2963" s="335">
        <f t="shared" si="657"/>
        <v>0</v>
      </c>
      <c r="M2963" s="446"/>
      <c r="N2963" s="446"/>
      <c r="O2963" s="446"/>
      <c r="P2963" s="446"/>
      <c r="Q2963" s="110">
        <v>1</v>
      </c>
      <c r="R2963" s="111">
        <f t="shared" si="655"/>
        <v>12.545</v>
      </c>
      <c r="S2963" s="110"/>
      <c r="T2963" s="110"/>
      <c r="U2963" s="110">
        <v>0</v>
      </c>
      <c r="V2963" s="111">
        <f t="shared" si="656"/>
        <v>12.545</v>
      </c>
      <c r="W2963" s="110"/>
      <c r="X2963" s="110"/>
      <c r="Y2963" s="110"/>
      <c r="Z2963" s="110"/>
      <c r="AA2963" s="110">
        <v>0</v>
      </c>
      <c r="AB2963" s="111">
        <f t="shared" si="662"/>
        <v>12.545</v>
      </c>
      <c r="AC2963" s="110"/>
      <c r="AD2963" s="110"/>
      <c r="AE2963" s="110">
        <v>0</v>
      </c>
      <c r="AF2963" s="111">
        <f t="shared" si="663"/>
        <v>12.545</v>
      </c>
      <c r="AG2963" s="110"/>
      <c r="AH2963" s="110"/>
      <c r="AI2963" s="110"/>
      <c r="AJ2963" s="110"/>
      <c r="AK2963" s="111">
        <f t="shared" si="658"/>
        <v>50.18</v>
      </c>
      <c r="AL2963" s="446">
        <f t="shared" si="659"/>
        <v>0</v>
      </c>
      <c r="AM2963" s="110">
        <f t="shared" si="660"/>
        <v>1</v>
      </c>
      <c r="AN2963" s="447">
        <f t="shared" si="654"/>
        <v>0</v>
      </c>
      <c r="AO2963"/>
      <c r="AP2963"/>
    </row>
    <row r="2964" spans="1:42" ht="66" x14ac:dyDescent="0.25">
      <c r="A2964" s="9"/>
      <c r="B2964" s="528" t="s">
        <v>3135</v>
      </c>
      <c r="C2964" s="1024"/>
      <c r="D2964" s="882">
        <v>1</v>
      </c>
      <c r="E2964" s="251" t="s">
        <v>1767</v>
      </c>
      <c r="F2964" s="273" t="s">
        <v>3446</v>
      </c>
      <c r="G2964" s="1040" t="s">
        <v>3463</v>
      </c>
      <c r="H2964" s="273" t="s">
        <v>3462</v>
      </c>
      <c r="I2964" s="720">
        <f t="shared" si="661"/>
        <v>50.18</v>
      </c>
      <c r="J2964" s="756">
        <v>50.18</v>
      </c>
      <c r="K2964" s="131">
        <f t="shared" si="653"/>
        <v>50.18</v>
      </c>
      <c r="L2964" s="335">
        <f t="shared" si="657"/>
        <v>0</v>
      </c>
      <c r="M2964" s="446"/>
      <c r="N2964" s="446"/>
      <c r="O2964" s="446"/>
      <c r="P2964" s="446"/>
      <c r="Q2964" s="110">
        <v>1</v>
      </c>
      <c r="R2964" s="111">
        <f t="shared" si="655"/>
        <v>12.545</v>
      </c>
      <c r="S2964" s="110"/>
      <c r="T2964" s="110"/>
      <c r="U2964" s="110">
        <v>0</v>
      </c>
      <c r="V2964" s="111">
        <f t="shared" si="656"/>
        <v>12.545</v>
      </c>
      <c r="W2964" s="110"/>
      <c r="X2964" s="110"/>
      <c r="Y2964" s="110"/>
      <c r="Z2964" s="110"/>
      <c r="AA2964" s="110">
        <v>0</v>
      </c>
      <c r="AB2964" s="111">
        <f t="shared" si="662"/>
        <v>12.545</v>
      </c>
      <c r="AC2964" s="110"/>
      <c r="AD2964" s="110"/>
      <c r="AE2964" s="110">
        <v>0</v>
      </c>
      <c r="AF2964" s="111">
        <f t="shared" si="663"/>
        <v>12.545</v>
      </c>
      <c r="AG2964" s="110"/>
      <c r="AH2964" s="110"/>
      <c r="AI2964" s="110"/>
      <c r="AJ2964" s="110"/>
      <c r="AK2964" s="111">
        <f t="shared" si="658"/>
        <v>50.18</v>
      </c>
      <c r="AL2964" s="446">
        <f t="shared" si="659"/>
        <v>0</v>
      </c>
      <c r="AM2964" s="110">
        <f t="shared" si="660"/>
        <v>1</v>
      </c>
      <c r="AN2964" s="447">
        <f t="shared" si="654"/>
        <v>0</v>
      </c>
      <c r="AO2964"/>
      <c r="AP2964"/>
    </row>
    <row r="2965" spans="1:42" ht="66" x14ac:dyDescent="0.25">
      <c r="A2965" s="9"/>
      <c r="B2965" s="528" t="s">
        <v>3136</v>
      </c>
      <c r="C2965" s="1024"/>
      <c r="D2965" s="882">
        <v>1</v>
      </c>
      <c r="E2965" s="251" t="s">
        <v>1766</v>
      </c>
      <c r="F2965" s="273" t="s">
        <v>3446</v>
      </c>
      <c r="G2965" s="1040" t="s">
        <v>3463</v>
      </c>
      <c r="H2965" s="273" t="s">
        <v>3462</v>
      </c>
      <c r="I2965" s="720">
        <f t="shared" si="661"/>
        <v>124.25</v>
      </c>
      <c r="J2965" s="756">
        <v>124.25</v>
      </c>
      <c r="K2965" s="131">
        <f t="shared" si="653"/>
        <v>124.25</v>
      </c>
      <c r="L2965" s="335">
        <f t="shared" si="657"/>
        <v>0</v>
      </c>
      <c r="M2965" s="446"/>
      <c r="N2965" s="446"/>
      <c r="O2965" s="446"/>
      <c r="P2965" s="446"/>
      <c r="Q2965" s="110">
        <v>1</v>
      </c>
      <c r="R2965" s="111">
        <f t="shared" si="655"/>
        <v>31.0625</v>
      </c>
      <c r="S2965" s="110"/>
      <c r="T2965" s="110"/>
      <c r="U2965" s="110">
        <v>0</v>
      </c>
      <c r="V2965" s="111">
        <f t="shared" si="656"/>
        <v>31.0625</v>
      </c>
      <c r="W2965" s="110"/>
      <c r="X2965" s="110"/>
      <c r="Y2965" s="110"/>
      <c r="Z2965" s="110"/>
      <c r="AA2965" s="110">
        <v>0</v>
      </c>
      <c r="AB2965" s="111">
        <f t="shared" si="662"/>
        <v>31.0625</v>
      </c>
      <c r="AC2965" s="110"/>
      <c r="AD2965" s="110"/>
      <c r="AE2965" s="110">
        <v>0</v>
      </c>
      <c r="AF2965" s="111">
        <f t="shared" si="663"/>
        <v>31.0625</v>
      </c>
      <c r="AG2965" s="110"/>
      <c r="AH2965" s="110"/>
      <c r="AI2965" s="110"/>
      <c r="AJ2965" s="110"/>
      <c r="AK2965" s="111">
        <f t="shared" si="658"/>
        <v>124.25</v>
      </c>
      <c r="AL2965" s="446">
        <f t="shared" si="659"/>
        <v>0</v>
      </c>
      <c r="AM2965" s="110">
        <f t="shared" si="660"/>
        <v>1</v>
      </c>
      <c r="AN2965" s="447">
        <f t="shared" si="654"/>
        <v>0</v>
      </c>
      <c r="AO2965"/>
      <c r="AP2965"/>
    </row>
    <row r="2966" spans="1:42" ht="66" x14ac:dyDescent="0.25">
      <c r="A2966" s="9"/>
      <c r="B2966" s="528" t="s">
        <v>3137</v>
      </c>
      <c r="C2966" s="1024"/>
      <c r="D2966" s="882">
        <v>1</v>
      </c>
      <c r="E2966" s="251" t="s">
        <v>1766</v>
      </c>
      <c r="F2966" s="273" t="s">
        <v>3446</v>
      </c>
      <c r="G2966" s="1040" t="s">
        <v>3463</v>
      </c>
      <c r="H2966" s="273" t="s">
        <v>3462</v>
      </c>
      <c r="I2966" s="720">
        <f t="shared" si="661"/>
        <v>30.618432000000002</v>
      </c>
      <c r="J2966" s="756">
        <v>30.618432000000002</v>
      </c>
      <c r="K2966" s="131">
        <f t="shared" si="653"/>
        <v>30.618432000000002</v>
      </c>
      <c r="L2966" s="335">
        <f t="shared" si="657"/>
        <v>0</v>
      </c>
      <c r="M2966" s="446"/>
      <c r="N2966" s="446"/>
      <c r="O2966" s="446"/>
      <c r="P2966" s="446"/>
      <c r="Q2966" s="110">
        <v>1</v>
      </c>
      <c r="R2966" s="111">
        <f t="shared" si="655"/>
        <v>7.6546080000000005</v>
      </c>
      <c r="S2966" s="110"/>
      <c r="T2966" s="110"/>
      <c r="U2966" s="110">
        <v>0</v>
      </c>
      <c r="V2966" s="111">
        <f t="shared" si="656"/>
        <v>7.6546080000000005</v>
      </c>
      <c r="W2966" s="110"/>
      <c r="X2966" s="110"/>
      <c r="Y2966" s="110"/>
      <c r="Z2966" s="110"/>
      <c r="AA2966" s="110">
        <v>0</v>
      </c>
      <c r="AB2966" s="111">
        <f t="shared" si="662"/>
        <v>7.6546080000000005</v>
      </c>
      <c r="AC2966" s="110"/>
      <c r="AD2966" s="110"/>
      <c r="AE2966" s="110">
        <v>0</v>
      </c>
      <c r="AF2966" s="111">
        <f t="shared" si="663"/>
        <v>7.6546080000000005</v>
      </c>
      <c r="AG2966" s="110"/>
      <c r="AH2966" s="110"/>
      <c r="AI2966" s="110"/>
      <c r="AJ2966" s="110"/>
      <c r="AK2966" s="111">
        <f t="shared" si="658"/>
        <v>30.618432000000002</v>
      </c>
      <c r="AL2966" s="446">
        <f t="shared" si="659"/>
        <v>0</v>
      </c>
      <c r="AM2966" s="110">
        <f t="shared" si="660"/>
        <v>1</v>
      </c>
      <c r="AN2966" s="447">
        <f t="shared" si="654"/>
        <v>0</v>
      </c>
      <c r="AO2966"/>
      <c r="AP2966"/>
    </row>
    <row r="2967" spans="1:42" ht="66" x14ac:dyDescent="0.25">
      <c r="A2967" s="9"/>
      <c r="B2967" s="528" t="s">
        <v>3138</v>
      </c>
      <c r="C2967" s="1024"/>
      <c r="D2967" s="882">
        <v>1</v>
      </c>
      <c r="E2967" s="251" t="s">
        <v>1766</v>
      </c>
      <c r="F2967" s="273" t="s">
        <v>3446</v>
      </c>
      <c r="G2967" s="1040" t="s">
        <v>3463</v>
      </c>
      <c r="H2967" s="273" t="s">
        <v>3462</v>
      </c>
      <c r="I2967" s="720">
        <f t="shared" si="661"/>
        <v>131.99</v>
      </c>
      <c r="J2967" s="756">
        <v>131.99</v>
      </c>
      <c r="K2967" s="131">
        <f t="shared" si="653"/>
        <v>131.99</v>
      </c>
      <c r="L2967" s="335">
        <f t="shared" si="657"/>
        <v>0</v>
      </c>
      <c r="M2967" s="446"/>
      <c r="N2967" s="446"/>
      <c r="O2967" s="446"/>
      <c r="P2967" s="446"/>
      <c r="Q2967" s="110">
        <v>1</v>
      </c>
      <c r="R2967" s="111">
        <f t="shared" si="655"/>
        <v>32.997500000000002</v>
      </c>
      <c r="S2967" s="110"/>
      <c r="T2967" s="110"/>
      <c r="U2967" s="110">
        <v>0</v>
      </c>
      <c r="V2967" s="111">
        <f t="shared" si="656"/>
        <v>32.997500000000002</v>
      </c>
      <c r="W2967" s="110"/>
      <c r="X2967" s="110"/>
      <c r="Y2967" s="110"/>
      <c r="Z2967" s="110"/>
      <c r="AA2967" s="110">
        <v>0</v>
      </c>
      <c r="AB2967" s="111">
        <f t="shared" si="662"/>
        <v>32.997500000000002</v>
      </c>
      <c r="AC2967" s="110"/>
      <c r="AD2967" s="110"/>
      <c r="AE2967" s="110">
        <v>0</v>
      </c>
      <c r="AF2967" s="111">
        <f t="shared" si="663"/>
        <v>32.997500000000002</v>
      </c>
      <c r="AG2967" s="110"/>
      <c r="AH2967" s="110"/>
      <c r="AI2967" s="110"/>
      <c r="AJ2967" s="110"/>
      <c r="AK2967" s="111">
        <f t="shared" si="658"/>
        <v>131.99</v>
      </c>
      <c r="AL2967" s="446">
        <f t="shared" si="659"/>
        <v>0</v>
      </c>
      <c r="AM2967" s="110">
        <f t="shared" si="660"/>
        <v>1</v>
      </c>
      <c r="AN2967" s="447">
        <f t="shared" si="654"/>
        <v>0</v>
      </c>
      <c r="AO2967"/>
      <c r="AP2967"/>
    </row>
    <row r="2968" spans="1:42" ht="66" x14ac:dyDescent="0.25">
      <c r="A2968" s="9"/>
      <c r="B2968" s="528" t="s">
        <v>3139</v>
      </c>
      <c r="C2968" s="1024"/>
      <c r="D2968" s="882">
        <v>1</v>
      </c>
      <c r="E2968" s="251" t="s">
        <v>1772</v>
      </c>
      <c r="F2968" s="273" t="s">
        <v>3446</v>
      </c>
      <c r="G2968" s="1040" t="s">
        <v>3463</v>
      </c>
      <c r="H2968" s="273" t="s">
        <v>3462</v>
      </c>
      <c r="I2968" s="720">
        <f t="shared" si="661"/>
        <v>35.553600000000003</v>
      </c>
      <c r="J2968" s="756">
        <v>35.553600000000003</v>
      </c>
      <c r="K2968" s="131">
        <f t="shared" si="653"/>
        <v>35.553600000000003</v>
      </c>
      <c r="L2968" s="335">
        <f t="shared" si="657"/>
        <v>0</v>
      </c>
      <c r="M2968" s="446"/>
      <c r="N2968" s="446"/>
      <c r="O2968" s="446"/>
      <c r="P2968" s="446"/>
      <c r="Q2968" s="110">
        <v>1</v>
      </c>
      <c r="R2968" s="111">
        <f t="shared" si="655"/>
        <v>8.8884000000000007</v>
      </c>
      <c r="S2968" s="110"/>
      <c r="T2968" s="110"/>
      <c r="U2968" s="110">
        <v>0</v>
      </c>
      <c r="V2968" s="111">
        <f t="shared" si="656"/>
        <v>8.8884000000000007</v>
      </c>
      <c r="W2968" s="110"/>
      <c r="X2968" s="110"/>
      <c r="Y2968" s="110"/>
      <c r="Z2968" s="110"/>
      <c r="AA2968" s="110">
        <v>0</v>
      </c>
      <c r="AB2968" s="111">
        <f t="shared" si="662"/>
        <v>8.8884000000000007</v>
      </c>
      <c r="AC2968" s="110"/>
      <c r="AD2968" s="110"/>
      <c r="AE2968" s="110">
        <v>0</v>
      </c>
      <c r="AF2968" s="111">
        <f t="shared" si="663"/>
        <v>8.8884000000000007</v>
      </c>
      <c r="AG2968" s="110"/>
      <c r="AH2968" s="110"/>
      <c r="AI2968" s="110"/>
      <c r="AJ2968" s="110"/>
      <c r="AK2968" s="111">
        <f t="shared" si="658"/>
        <v>35.553600000000003</v>
      </c>
      <c r="AL2968" s="446">
        <f t="shared" si="659"/>
        <v>0</v>
      </c>
      <c r="AM2968" s="110">
        <f t="shared" si="660"/>
        <v>1</v>
      </c>
      <c r="AN2968" s="447">
        <f t="shared" si="654"/>
        <v>0</v>
      </c>
      <c r="AO2968"/>
      <c r="AP2968"/>
    </row>
    <row r="2969" spans="1:42" ht="66" x14ac:dyDescent="0.25">
      <c r="A2969" s="9"/>
      <c r="B2969" s="528" t="s">
        <v>3140</v>
      </c>
      <c r="C2969" s="1024"/>
      <c r="D2969" s="882">
        <v>1</v>
      </c>
      <c r="E2969" s="251" t="s">
        <v>1767</v>
      </c>
      <c r="F2969" s="273" t="s">
        <v>3446</v>
      </c>
      <c r="G2969" s="1040" t="s">
        <v>3463</v>
      </c>
      <c r="H2969" s="273" t="s">
        <v>3462</v>
      </c>
      <c r="I2969" s="720">
        <f t="shared" si="661"/>
        <v>562.29422399999999</v>
      </c>
      <c r="J2969" s="756">
        <v>562.29422399999999</v>
      </c>
      <c r="K2969" s="131">
        <f t="shared" si="653"/>
        <v>562.29422399999999</v>
      </c>
      <c r="L2969" s="335">
        <f t="shared" si="657"/>
        <v>0</v>
      </c>
      <c r="M2969" s="446"/>
      <c r="N2969" s="446"/>
      <c r="O2969" s="446"/>
      <c r="P2969" s="446"/>
      <c r="Q2969" s="110">
        <v>1</v>
      </c>
      <c r="R2969" s="111">
        <f t="shared" si="655"/>
        <v>140.573556</v>
      </c>
      <c r="S2969" s="110"/>
      <c r="T2969" s="110"/>
      <c r="U2969" s="110">
        <v>0</v>
      </c>
      <c r="V2969" s="111">
        <f t="shared" si="656"/>
        <v>140.573556</v>
      </c>
      <c r="W2969" s="110"/>
      <c r="X2969" s="110"/>
      <c r="Y2969" s="110"/>
      <c r="Z2969" s="110"/>
      <c r="AA2969" s="110">
        <v>0</v>
      </c>
      <c r="AB2969" s="111">
        <f t="shared" si="662"/>
        <v>140.573556</v>
      </c>
      <c r="AC2969" s="110"/>
      <c r="AD2969" s="110"/>
      <c r="AE2969" s="110">
        <v>0</v>
      </c>
      <c r="AF2969" s="111">
        <f t="shared" si="663"/>
        <v>140.573556</v>
      </c>
      <c r="AG2969" s="110"/>
      <c r="AH2969" s="110"/>
      <c r="AI2969" s="110"/>
      <c r="AJ2969" s="110"/>
      <c r="AK2969" s="111">
        <f t="shared" si="658"/>
        <v>562.29422399999999</v>
      </c>
      <c r="AL2969" s="446">
        <f t="shared" si="659"/>
        <v>0</v>
      </c>
      <c r="AM2969" s="110">
        <f t="shared" si="660"/>
        <v>1</v>
      </c>
      <c r="AN2969" s="447">
        <f t="shared" si="654"/>
        <v>0</v>
      </c>
      <c r="AO2969"/>
      <c r="AP2969"/>
    </row>
    <row r="2970" spans="1:42" ht="66" x14ac:dyDescent="0.25">
      <c r="A2970" s="9"/>
      <c r="B2970" s="528" t="s">
        <v>3141</v>
      </c>
      <c r="C2970" s="1024"/>
      <c r="D2970" s="882">
        <v>1</v>
      </c>
      <c r="E2970" s="251" t="s">
        <v>1766</v>
      </c>
      <c r="F2970" s="273" t="s">
        <v>3446</v>
      </c>
      <c r="G2970" s="1040" t="s">
        <v>3463</v>
      </c>
      <c r="H2970" s="273" t="s">
        <v>3462</v>
      </c>
      <c r="I2970" s="720">
        <f t="shared" si="661"/>
        <v>230.88</v>
      </c>
      <c r="J2970" s="756">
        <v>230.88</v>
      </c>
      <c r="K2970" s="131">
        <f t="shared" ref="K2970:K3033" si="664">+D2970*I2970</f>
        <v>230.88</v>
      </c>
      <c r="L2970" s="335">
        <f t="shared" si="657"/>
        <v>0</v>
      </c>
      <c r="M2970" s="446"/>
      <c r="N2970" s="446"/>
      <c r="O2970" s="446"/>
      <c r="P2970" s="446"/>
      <c r="Q2970" s="110">
        <v>1</v>
      </c>
      <c r="R2970" s="111">
        <f t="shared" si="655"/>
        <v>57.72</v>
      </c>
      <c r="S2970" s="110"/>
      <c r="T2970" s="110"/>
      <c r="U2970" s="110">
        <v>0</v>
      </c>
      <c r="V2970" s="111">
        <f t="shared" si="656"/>
        <v>57.72</v>
      </c>
      <c r="W2970" s="110"/>
      <c r="X2970" s="110"/>
      <c r="Y2970" s="110"/>
      <c r="Z2970" s="110"/>
      <c r="AA2970" s="110">
        <v>0</v>
      </c>
      <c r="AB2970" s="111">
        <f t="shared" si="662"/>
        <v>57.72</v>
      </c>
      <c r="AC2970" s="110"/>
      <c r="AD2970" s="110"/>
      <c r="AE2970" s="110">
        <v>0</v>
      </c>
      <c r="AF2970" s="111">
        <f t="shared" si="663"/>
        <v>57.72</v>
      </c>
      <c r="AG2970" s="110"/>
      <c r="AH2970" s="110"/>
      <c r="AI2970" s="110"/>
      <c r="AJ2970" s="110"/>
      <c r="AK2970" s="111">
        <f t="shared" si="658"/>
        <v>230.88</v>
      </c>
      <c r="AL2970" s="446">
        <f t="shared" si="659"/>
        <v>0</v>
      </c>
      <c r="AM2970" s="110">
        <f t="shared" si="660"/>
        <v>1</v>
      </c>
      <c r="AN2970" s="447">
        <f t="shared" ref="AN2970:AN3033" si="665">+D2970-AM2970</f>
        <v>0</v>
      </c>
      <c r="AO2970"/>
      <c r="AP2970"/>
    </row>
    <row r="2971" spans="1:42" ht="66" x14ac:dyDescent="0.25">
      <c r="A2971" s="9"/>
      <c r="B2971" s="528" t="s">
        <v>3142</v>
      </c>
      <c r="C2971" s="1024"/>
      <c r="D2971" s="882">
        <v>1</v>
      </c>
      <c r="E2971" s="251" t="s">
        <v>1766</v>
      </c>
      <c r="F2971" s="273" t="s">
        <v>3446</v>
      </c>
      <c r="G2971" s="1040" t="s">
        <v>3463</v>
      </c>
      <c r="H2971" s="273" t="s">
        <v>3462</v>
      </c>
      <c r="I2971" s="720">
        <f t="shared" si="661"/>
        <v>118.8</v>
      </c>
      <c r="J2971" s="756">
        <v>118.8</v>
      </c>
      <c r="K2971" s="131">
        <f t="shared" si="664"/>
        <v>118.8</v>
      </c>
      <c r="L2971" s="335">
        <f t="shared" si="657"/>
        <v>0</v>
      </c>
      <c r="M2971" s="446"/>
      <c r="N2971" s="446"/>
      <c r="O2971" s="446"/>
      <c r="P2971" s="446"/>
      <c r="Q2971" s="110">
        <v>1</v>
      </c>
      <c r="R2971" s="111">
        <f t="shared" si="655"/>
        <v>29.7</v>
      </c>
      <c r="S2971" s="110"/>
      <c r="T2971" s="110"/>
      <c r="U2971" s="110">
        <v>0</v>
      </c>
      <c r="V2971" s="111">
        <f t="shared" si="656"/>
        <v>29.7</v>
      </c>
      <c r="W2971" s="110"/>
      <c r="X2971" s="110"/>
      <c r="Y2971" s="110"/>
      <c r="Z2971" s="110"/>
      <c r="AA2971" s="110">
        <v>0</v>
      </c>
      <c r="AB2971" s="111">
        <f t="shared" si="662"/>
        <v>29.7</v>
      </c>
      <c r="AC2971" s="110"/>
      <c r="AD2971" s="110"/>
      <c r="AE2971" s="110">
        <v>0</v>
      </c>
      <c r="AF2971" s="111">
        <f t="shared" si="663"/>
        <v>29.7</v>
      </c>
      <c r="AG2971" s="110"/>
      <c r="AH2971" s="110"/>
      <c r="AI2971" s="110"/>
      <c r="AJ2971" s="110"/>
      <c r="AK2971" s="111">
        <f t="shared" si="658"/>
        <v>118.8</v>
      </c>
      <c r="AL2971" s="446">
        <f t="shared" si="659"/>
        <v>0</v>
      </c>
      <c r="AM2971" s="110">
        <f t="shared" si="660"/>
        <v>1</v>
      </c>
      <c r="AN2971" s="447">
        <f t="shared" si="665"/>
        <v>0</v>
      </c>
      <c r="AO2971"/>
      <c r="AP2971"/>
    </row>
    <row r="2972" spans="1:42" ht="66" x14ac:dyDescent="0.25">
      <c r="A2972" s="9"/>
      <c r="B2972" s="528" t="s">
        <v>3143</v>
      </c>
      <c r="C2972" s="1024"/>
      <c r="D2972" s="882">
        <v>1</v>
      </c>
      <c r="E2972" s="251" t="s">
        <v>1766</v>
      </c>
      <c r="F2972" s="273" t="s">
        <v>3446</v>
      </c>
      <c r="G2972" s="1040" t="s">
        <v>3463</v>
      </c>
      <c r="H2972" s="273" t="s">
        <v>3462</v>
      </c>
      <c r="I2972" s="720">
        <f t="shared" si="661"/>
        <v>118.8</v>
      </c>
      <c r="J2972" s="756">
        <v>118.8</v>
      </c>
      <c r="K2972" s="131">
        <f t="shared" si="664"/>
        <v>118.8</v>
      </c>
      <c r="L2972" s="335">
        <f t="shared" si="657"/>
        <v>0</v>
      </c>
      <c r="M2972" s="446"/>
      <c r="N2972" s="446"/>
      <c r="O2972" s="446"/>
      <c r="P2972" s="446"/>
      <c r="Q2972" s="110">
        <v>1</v>
      </c>
      <c r="R2972" s="111">
        <f t="shared" si="655"/>
        <v>29.7</v>
      </c>
      <c r="S2972" s="110"/>
      <c r="T2972" s="110"/>
      <c r="U2972" s="110">
        <v>0</v>
      </c>
      <c r="V2972" s="111">
        <f t="shared" si="656"/>
        <v>29.7</v>
      </c>
      <c r="W2972" s="110"/>
      <c r="X2972" s="110"/>
      <c r="Y2972" s="110"/>
      <c r="Z2972" s="110"/>
      <c r="AA2972" s="110">
        <v>0</v>
      </c>
      <c r="AB2972" s="111">
        <f t="shared" si="662"/>
        <v>29.7</v>
      </c>
      <c r="AC2972" s="110"/>
      <c r="AD2972" s="110"/>
      <c r="AE2972" s="110">
        <v>0</v>
      </c>
      <c r="AF2972" s="111">
        <f t="shared" si="663"/>
        <v>29.7</v>
      </c>
      <c r="AG2972" s="110"/>
      <c r="AH2972" s="110"/>
      <c r="AI2972" s="110"/>
      <c r="AJ2972" s="110"/>
      <c r="AK2972" s="111">
        <f t="shared" si="658"/>
        <v>118.8</v>
      </c>
      <c r="AL2972" s="446">
        <f t="shared" si="659"/>
        <v>0</v>
      </c>
      <c r="AM2972" s="110">
        <f t="shared" si="660"/>
        <v>1</v>
      </c>
      <c r="AN2972" s="447">
        <f t="shared" si="665"/>
        <v>0</v>
      </c>
      <c r="AO2972"/>
      <c r="AP2972"/>
    </row>
    <row r="2973" spans="1:42" ht="66" x14ac:dyDescent="0.25">
      <c r="A2973" s="9"/>
      <c r="B2973" s="528" t="s">
        <v>3144</v>
      </c>
      <c r="C2973" s="1024"/>
      <c r="D2973" s="882">
        <v>1</v>
      </c>
      <c r="E2973" s="251" t="s">
        <v>1766</v>
      </c>
      <c r="F2973" s="273" t="s">
        <v>3446</v>
      </c>
      <c r="G2973" s="1040" t="s">
        <v>3463</v>
      </c>
      <c r="H2973" s="273" t="s">
        <v>3462</v>
      </c>
      <c r="I2973" s="720">
        <f t="shared" si="661"/>
        <v>118.8</v>
      </c>
      <c r="J2973" s="756">
        <v>118.8</v>
      </c>
      <c r="K2973" s="131">
        <f t="shared" si="664"/>
        <v>118.8</v>
      </c>
      <c r="L2973" s="335">
        <f t="shared" si="657"/>
        <v>0</v>
      </c>
      <c r="M2973" s="446"/>
      <c r="N2973" s="446"/>
      <c r="O2973" s="446"/>
      <c r="P2973" s="446"/>
      <c r="Q2973" s="110">
        <v>1</v>
      </c>
      <c r="R2973" s="111">
        <f t="shared" si="655"/>
        <v>29.7</v>
      </c>
      <c r="S2973" s="110"/>
      <c r="T2973" s="110"/>
      <c r="U2973" s="110">
        <v>0</v>
      </c>
      <c r="V2973" s="111">
        <f t="shared" si="656"/>
        <v>29.7</v>
      </c>
      <c r="W2973" s="110"/>
      <c r="X2973" s="110"/>
      <c r="Y2973" s="110"/>
      <c r="Z2973" s="110"/>
      <c r="AA2973" s="110">
        <v>0</v>
      </c>
      <c r="AB2973" s="111">
        <f t="shared" si="662"/>
        <v>29.7</v>
      </c>
      <c r="AC2973" s="110"/>
      <c r="AD2973" s="110"/>
      <c r="AE2973" s="110">
        <v>0</v>
      </c>
      <c r="AF2973" s="111">
        <f t="shared" si="663"/>
        <v>29.7</v>
      </c>
      <c r="AG2973" s="110"/>
      <c r="AH2973" s="110"/>
      <c r="AI2973" s="110"/>
      <c r="AJ2973" s="110"/>
      <c r="AK2973" s="111">
        <f t="shared" si="658"/>
        <v>118.8</v>
      </c>
      <c r="AL2973" s="446">
        <f t="shared" si="659"/>
        <v>0</v>
      </c>
      <c r="AM2973" s="110">
        <f t="shared" si="660"/>
        <v>1</v>
      </c>
      <c r="AN2973" s="447">
        <f t="shared" si="665"/>
        <v>0</v>
      </c>
      <c r="AO2973"/>
      <c r="AP2973"/>
    </row>
    <row r="2974" spans="1:42" ht="66" x14ac:dyDescent="0.25">
      <c r="A2974" s="9"/>
      <c r="B2974" s="528" t="s">
        <v>3145</v>
      </c>
      <c r="C2974" s="1024"/>
      <c r="D2974" s="882">
        <v>1</v>
      </c>
      <c r="E2974" s="251" t="s">
        <v>1766</v>
      </c>
      <c r="F2974" s="273" t="s">
        <v>3446</v>
      </c>
      <c r="G2974" s="1040" t="s">
        <v>3463</v>
      </c>
      <c r="H2974" s="273" t="s">
        <v>3462</v>
      </c>
      <c r="I2974" s="720">
        <f t="shared" si="661"/>
        <v>118.8</v>
      </c>
      <c r="J2974" s="756">
        <v>118.8</v>
      </c>
      <c r="K2974" s="131">
        <f t="shared" si="664"/>
        <v>118.8</v>
      </c>
      <c r="L2974" s="335">
        <f t="shared" si="657"/>
        <v>0</v>
      </c>
      <c r="M2974" s="446"/>
      <c r="N2974" s="446"/>
      <c r="O2974" s="446"/>
      <c r="P2974" s="446"/>
      <c r="Q2974" s="110">
        <v>1</v>
      </c>
      <c r="R2974" s="111">
        <f t="shared" si="655"/>
        <v>29.7</v>
      </c>
      <c r="S2974" s="110"/>
      <c r="T2974" s="110"/>
      <c r="U2974" s="110">
        <v>0</v>
      </c>
      <c r="V2974" s="111">
        <f t="shared" si="656"/>
        <v>29.7</v>
      </c>
      <c r="W2974" s="110"/>
      <c r="X2974" s="110"/>
      <c r="Y2974" s="110"/>
      <c r="Z2974" s="110"/>
      <c r="AA2974" s="110">
        <v>0</v>
      </c>
      <c r="AB2974" s="111">
        <f t="shared" si="662"/>
        <v>29.7</v>
      </c>
      <c r="AC2974" s="110"/>
      <c r="AD2974" s="110"/>
      <c r="AE2974" s="110">
        <v>0</v>
      </c>
      <c r="AF2974" s="111">
        <f t="shared" si="663"/>
        <v>29.7</v>
      </c>
      <c r="AG2974" s="110"/>
      <c r="AH2974" s="110"/>
      <c r="AI2974" s="110"/>
      <c r="AJ2974" s="110"/>
      <c r="AK2974" s="111">
        <f t="shared" si="658"/>
        <v>118.8</v>
      </c>
      <c r="AL2974" s="446">
        <f t="shared" si="659"/>
        <v>0</v>
      </c>
      <c r="AM2974" s="110">
        <f t="shared" si="660"/>
        <v>1</v>
      </c>
      <c r="AN2974" s="447">
        <f t="shared" si="665"/>
        <v>0</v>
      </c>
      <c r="AO2974"/>
      <c r="AP2974"/>
    </row>
    <row r="2975" spans="1:42" ht="66" x14ac:dyDescent="0.25">
      <c r="A2975" s="9"/>
      <c r="B2975" s="528" t="s">
        <v>3146</v>
      </c>
      <c r="C2975" s="1024"/>
      <c r="D2975" s="882">
        <v>1</v>
      </c>
      <c r="E2975" s="251" t="s">
        <v>1766</v>
      </c>
      <c r="F2975" s="273" t="s">
        <v>3446</v>
      </c>
      <c r="G2975" s="1040" t="s">
        <v>3463</v>
      </c>
      <c r="H2975" s="273" t="s">
        <v>3462</v>
      </c>
      <c r="I2975" s="720">
        <f t="shared" si="661"/>
        <v>126.23</v>
      </c>
      <c r="J2975" s="756">
        <v>126.23</v>
      </c>
      <c r="K2975" s="131">
        <f t="shared" si="664"/>
        <v>126.23</v>
      </c>
      <c r="L2975" s="335">
        <f t="shared" si="657"/>
        <v>0</v>
      </c>
      <c r="M2975" s="446"/>
      <c r="N2975" s="446"/>
      <c r="O2975" s="446"/>
      <c r="P2975" s="446"/>
      <c r="Q2975" s="110">
        <v>1</v>
      </c>
      <c r="R2975" s="111">
        <f t="shared" si="655"/>
        <v>31.557500000000001</v>
      </c>
      <c r="S2975" s="110"/>
      <c r="T2975" s="110"/>
      <c r="U2975" s="110">
        <v>0</v>
      </c>
      <c r="V2975" s="111">
        <f t="shared" si="656"/>
        <v>31.557500000000001</v>
      </c>
      <c r="W2975" s="110"/>
      <c r="X2975" s="110"/>
      <c r="Y2975" s="110"/>
      <c r="Z2975" s="110"/>
      <c r="AA2975" s="110">
        <v>0</v>
      </c>
      <c r="AB2975" s="111">
        <f t="shared" si="662"/>
        <v>31.557500000000001</v>
      </c>
      <c r="AC2975" s="110"/>
      <c r="AD2975" s="110"/>
      <c r="AE2975" s="110">
        <v>0</v>
      </c>
      <c r="AF2975" s="111">
        <f t="shared" si="663"/>
        <v>31.557500000000001</v>
      </c>
      <c r="AG2975" s="110"/>
      <c r="AH2975" s="110"/>
      <c r="AI2975" s="110"/>
      <c r="AJ2975" s="110"/>
      <c r="AK2975" s="111">
        <f t="shared" si="658"/>
        <v>126.23</v>
      </c>
      <c r="AL2975" s="446">
        <f t="shared" si="659"/>
        <v>0</v>
      </c>
      <c r="AM2975" s="110">
        <f t="shared" si="660"/>
        <v>1</v>
      </c>
      <c r="AN2975" s="447">
        <f t="shared" si="665"/>
        <v>0</v>
      </c>
      <c r="AO2975"/>
      <c r="AP2975"/>
    </row>
    <row r="2976" spans="1:42" ht="66" x14ac:dyDescent="0.25">
      <c r="A2976" s="9"/>
      <c r="B2976" s="528" t="s">
        <v>3147</v>
      </c>
      <c r="C2976" s="1024"/>
      <c r="D2976" s="882">
        <v>1</v>
      </c>
      <c r="E2976" s="251" t="s">
        <v>1766</v>
      </c>
      <c r="F2976" s="273" t="s">
        <v>3446</v>
      </c>
      <c r="G2976" s="1040" t="s">
        <v>3463</v>
      </c>
      <c r="H2976" s="273" t="s">
        <v>3462</v>
      </c>
      <c r="I2976" s="720">
        <f t="shared" si="661"/>
        <v>118.8</v>
      </c>
      <c r="J2976" s="756">
        <v>118.8</v>
      </c>
      <c r="K2976" s="131">
        <f t="shared" si="664"/>
        <v>118.8</v>
      </c>
      <c r="L2976" s="335">
        <f t="shared" si="657"/>
        <v>0</v>
      </c>
      <c r="M2976" s="446"/>
      <c r="N2976" s="446"/>
      <c r="O2976" s="446"/>
      <c r="P2976" s="446"/>
      <c r="Q2976" s="110">
        <v>1</v>
      </c>
      <c r="R2976" s="111">
        <f t="shared" si="655"/>
        <v>29.7</v>
      </c>
      <c r="S2976" s="110"/>
      <c r="T2976" s="110"/>
      <c r="U2976" s="110">
        <v>0</v>
      </c>
      <c r="V2976" s="111">
        <f t="shared" si="656"/>
        <v>29.7</v>
      </c>
      <c r="W2976" s="110"/>
      <c r="X2976" s="110"/>
      <c r="Y2976" s="110"/>
      <c r="Z2976" s="110"/>
      <c r="AA2976" s="110">
        <v>0</v>
      </c>
      <c r="AB2976" s="111">
        <f t="shared" si="662"/>
        <v>29.7</v>
      </c>
      <c r="AC2976" s="110"/>
      <c r="AD2976" s="110"/>
      <c r="AE2976" s="110">
        <v>0</v>
      </c>
      <c r="AF2976" s="111">
        <f t="shared" si="663"/>
        <v>29.7</v>
      </c>
      <c r="AG2976" s="110"/>
      <c r="AH2976" s="110"/>
      <c r="AI2976" s="110"/>
      <c r="AJ2976" s="110"/>
      <c r="AK2976" s="111">
        <f t="shared" si="658"/>
        <v>118.8</v>
      </c>
      <c r="AL2976" s="446">
        <f t="shared" si="659"/>
        <v>0</v>
      </c>
      <c r="AM2976" s="110">
        <f t="shared" si="660"/>
        <v>1</v>
      </c>
      <c r="AN2976" s="447">
        <f t="shared" si="665"/>
        <v>0</v>
      </c>
      <c r="AO2976"/>
      <c r="AP2976"/>
    </row>
    <row r="2977" spans="1:42" ht="66" x14ac:dyDescent="0.25">
      <c r="A2977" s="9"/>
      <c r="B2977" s="528" t="s">
        <v>3148</v>
      </c>
      <c r="C2977" s="1024"/>
      <c r="D2977" s="882">
        <v>1</v>
      </c>
      <c r="E2977" s="251" t="s">
        <v>1767</v>
      </c>
      <c r="F2977" s="273" t="s">
        <v>3446</v>
      </c>
      <c r="G2977" s="1040" t="s">
        <v>3463</v>
      </c>
      <c r="H2977" s="273" t="s">
        <v>3462</v>
      </c>
      <c r="I2977" s="720">
        <f t="shared" si="661"/>
        <v>60.43</v>
      </c>
      <c r="J2977" s="756">
        <v>60.43</v>
      </c>
      <c r="K2977" s="131">
        <f t="shared" si="664"/>
        <v>60.43</v>
      </c>
      <c r="L2977" s="335">
        <f t="shared" si="657"/>
        <v>0</v>
      </c>
      <c r="M2977" s="446"/>
      <c r="N2977" s="446"/>
      <c r="O2977" s="446"/>
      <c r="P2977" s="446"/>
      <c r="Q2977" s="110">
        <v>1</v>
      </c>
      <c r="R2977" s="111">
        <f t="shared" si="655"/>
        <v>15.1075</v>
      </c>
      <c r="S2977" s="110"/>
      <c r="T2977" s="110"/>
      <c r="U2977" s="110">
        <v>0</v>
      </c>
      <c r="V2977" s="111">
        <f t="shared" si="656"/>
        <v>15.1075</v>
      </c>
      <c r="W2977" s="110"/>
      <c r="X2977" s="110"/>
      <c r="Y2977" s="110"/>
      <c r="Z2977" s="110"/>
      <c r="AA2977" s="110">
        <v>0</v>
      </c>
      <c r="AB2977" s="111">
        <f t="shared" si="662"/>
        <v>15.1075</v>
      </c>
      <c r="AC2977" s="110"/>
      <c r="AD2977" s="110"/>
      <c r="AE2977" s="110">
        <v>0</v>
      </c>
      <c r="AF2977" s="111">
        <f t="shared" si="663"/>
        <v>15.1075</v>
      </c>
      <c r="AG2977" s="110"/>
      <c r="AH2977" s="110"/>
      <c r="AI2977" s="110"/>
      <c r="AJ2977" s="110"/>
      <c r="AK2977" s="111">
        <f t="shared" si="658"/>
        <v>60.43</v>
      </c>
      <c r="AL2977" s="446">
        <f t="shared" si="659"/>
        <v>0</v>
      </c>
      <c r="AM2977" s="110">
        <f t="shared" si="660"/>
        <v>1</v>
      </c>
      <c r="AN2977" s="447">
        <f t="shared" si="665"/>
        <v>0</v>
      </c>
      <c r="AO2977"/>
      <c r="AP2977"/>
    </row>
    <row r="2978" spans="1:42" ht="66" x14ac:dyDescent="0.25">
      <c r="A2978" s="9"/>
      <c r="B2978" s="528" t="s">
        <v>3149</v>
      </c>
      <c r="C2978" s="1024"/>
      <c r="D2978" s="882">
        <v>1</v>
      </c>
      <c r="E2978" s="251" t="s">
        <v>1767</v>
      </c>
      <c r="F2978" s="273" t="s">
        <v>3446</v>
      </c>
      <c r="G2978" s="1040" t="s">
        <v>3463</v>
      </c>
      <c r="H2978" s="273" t="s">
        <v>3462</v>
      </c>
      <c r="I2978" s="720">
        <f t="shared" si="661"/>
        <v>334.13</v>
      </c>
      <c r="J2978" s="756">
        <v>334.13</v>
      </c>
      <c r="K2978" s="131">
        <f t="shared" si="664"/>
        <v>334.13</v>
      </c>
      <c r="L2978" s="335">
        <f t="shared" si="657"/>
        <v>0</v>
      </c>
      <c r="M2978" s="446"/>
      <c r="N2978" s="446"/>
      <c r="O2978" s="446"/>
      <c r="P2978" s="446"/>
      <c r="Q2978" s="110">
        <v>1</v>
      </c>
      <c r="R2978" s="111">
        <f t="shared" si="655"/>
        <v>83.532499999999999</v>
      </c>
      <c r="S2978" s="110"/>
      <c r="T2978" s="110"/>
      <c r="U2978" s="110">
        <v>0</v>
      </c>
      <c r="V2978" s="111">
        <f t="shared" si="656"/>
        <v>83.532499999999999</v>
      </c>
      <c r="W2978" s="110"/>
      <c r="X2978" s="110"/>
      <c r="Y2978" s="110"/>
      <c r="Z2978" s="110"/>
      <c r="AA2978" s="110">
        <v>0</v>
      </c>
      <c r="AB2978" s="111">
        <f t="shared" si="662"/>
        <v>83.532499999999999</v>
      </c>
      <c r="AC2978" s="110"/>
      <c r="AD2978" s="110"/>
      <c r="AE2978" s="110">
        <v>0</v>
      </c>
      <c r="AF2978" s="111">
        <f t="shared" si="663"/>
        <v>83.532499999999999</v>
      </c>
      <c r="AG2978" s="110"/>
      <c r="AH2978" s="110"/>
      <c r="AI2978" s="110"/>
      <c r="AJ2978" s="110"/>
      <c r="AK2978" s="111">
        <f t="shared" si="658"/>
        <v>334.13</v>
      </c>
      <c r="AL2978" s="446">
        <f t="shared" si="659"/>
        <v>0</v>
      </c>
      <c r="AM2978" s="110">
        <f t="shared" si="660"/>
        <v>1</v>
      </c>
      <c r="AN2978" s="447">
        <f t="shared" si="665"/>
        <v>0</v>
      </c>
      <c r="AO2978"/>
      <c r="AP2978"/>
    </row>
    <row r="2979" spans="1:42" ht="66" x14ac:dyDescent="0.25">
      <c r="A2979" s="9"/>
      <c r="B2979" s="528" t="s">
        <v>3150</v>
      </c>
      <c r="C2979" s="1024"/>
      <c r="D2979" s="882">
        <v>1</v>
      </c>
      <c r="E2979" s="251" t="s">
        <v>1767</v>
      </c>
      <c r="F2979" s="273" t="s">
        <v>3446</v>
      </c>
      <c r="G2979" s="1040" t="s">
        <v>3463</v>
      </c>
      <c r="H2979" s="273" t="s">
        <v>3462</v>
      </c>
      <c r="I2979" s="720">
        <f t="shared" si="661"/>
        <v>675.68</v>
      </c>
      <c r="J2979" s="756">
        <v>675.68</v>
      </c>
      <c r="K2979" s="131">
        <f t="shared" si="664"/>
        <v>675.68</v>
      </c>
      <c r="L2979" s="335">
        <f t="shared" si="657"/>
        <v>0</v>
      </c>
      <c r="M2979" s="446"/>
      <c r="N2979" s="446"/>
      <c r="O2979" s="446"/>
      <c r="P2979" s="446"/>
      <c r="Q2979" s="110">
        <v>1</v>
      </c>
      <c r="R2979" s="111">
        <f t="shared" si="655"/>
        <v>168.92</v>
      </c>
      <c r="S2979" s="110"/>
      <c r="T2979" s="110"/>
      <c r="U2979" s="110">
        <v>0</v>
      </c>
      <c r="V2979" s="111">
        <f t="shared" si="656"/>
        <v>168.92</v>
      </c>
      <c r="W2979" s="110"/>
      <c r="X2979" s="110"/>
      <c r="Y2979" s="110"/>
      <c r="Z2979" s="110"/>
      <c r="AA2979" s="110">
        <v>0</v>
      </c>
      <c r="AB2979" s="111">
        <f t="shared" si="662"/>
        <v>168.92</v>
      </c>
      <c r="AC2979" s="110"/>
      <c r="AD2979" s="110"/>
      <c r="AE2979" s="110">
        <v>0</v>
      </c>
      <c r="AF2979" s="111">
        <f t="shared" si="663"/>
        <v>168.92</v>
      </c>
      <c r="AG2979" s="110"/>
      <c r="AH2979" s="110"/>
      <c r="AI2979" s="110"/>
      <c r="AJ2979" s="110"/>
      <c r="AK2979" s="111">
        <f t="shared" si="658"/>
        <v>675.68</v>
      </c>
      <c r="AL2979" s="446">
        <f t="shared" si="659"/>
        <v>0</v>
      </c>
      <c r="AM2979" s="110">
        <f t="shared" si="660"/>
        <v>1</v>
      </c>
      <c r="AN2979" s="447">
        <f t="shared" si="665"/>
        <v>0</v>
      </c>
      <c r="AO2979"/>
      <c r="AP2979"/>
    </row>
    <row r="2980" spans="1:42" ht="66" x14ac:dyDescent="0.25">
      <c r="A2980" s="9"/>
      <c r="B2980" s="528" t="s">
        <v>3151</v>
      </c>
      <c r="C2980" s="1024"/>
      <c r="D2980" s="882">
        <v>1</v>
      </c>
      <c r="E2980" s="251" t="s">
        <v>1767</v>
      </c>
      <c r="F2980" s="273" t="s">
        <v>3446</v>
      </c>
      <c r="G2980" s="1040" t="s">
        <v>3463</v>
      </c>
      <c r="H2980" s="273" t="s">
        <v>3462</v>
      </c>
      <c r="I2980" s="720">
        <f t="shared" si="661"/>
        <v>1142.0148960000001</v>
      </c>
      <c r="J2980" s="756">
        <v>1142.0148960000001</v>
      </c>
      <c r="K2980" s="131">
        <f t="shared" si="664"/>
        <v>1142.0148960000001</v>
      </c>
      <c r="L2980" s="335">
        <f t="shared" si="657"/>
        <v>0</v>
      </c>
      <c r="M2980" s="446"/>
      <c r="N2980" s="446"/>
      <c r="O2980" s="446"/>
      <c r="P2980" s="446"/>
      <c r="Q2980" s="110">
        <v>1</v>
      </c>
      <c r="R2980" s="111">
        <f t="shared" si="655"/>
        <v>285.50372400000003</v>
      </c>
      <c r="S2980" s="110"/>
      <c r="T2980" s="110"/>
      <c r="U2980" s="110">
        <v>0</v>
      </c>
      <c r="V2980" s="111">
        <f t="shared" si="656"/>
        <v>285.50372400000003</v>
      </c>
      <c r="W2980" s="110"/>
      <c r="X2980" s="110"/>
      <c r="Y2980" s="110"/>
      <c r="Z2980" s="110"/>
      <c r="AA2980" s="110">
        <v>0</v>
      </c>
      <c r="AB2980" s="111">
        <f t="shared" si="662"/>
        <v>285.50372400000003</v>
      </c>
      <c r="AC2980" s="110"/>
      <c r="AD2980" s="110"/>
      <c r="AE2980" s="110">
        <v>0</v>
      </c>
      <c r="AF2980" s="111">
        <f t="shared" si="663"/>
        <v>285.50372400000003</v>
      </c>
      <c r="AG2980" s="110"/>
      <c r="AH2980" s="110"/>
      <c r="AI2980" s="110"/>
      <c r="AJ2980" s="110"/>
      <c r="AK2980" s="111">
        <f t="shared" si="658"/>
        <v>1142.0148960000001</v>
      </c>
      <c r="AL2980" s="446">
        <f t="shared" si="659"/>
        <v>0</v>
      </c>
      <c r="AM2980" s="110">
        <f t="shared" si="660"/>
        <v>1</v>
      </c>
      <c r="AN2980" s="447">
        <f t="shared" si="665"/>
        <v>0</v>
      </c>
      <c r="AO2980"/>
      <c r="AP2980"/>
    </row>
    <row r="2981" spans="1:42" ht="66" x14ac:dyDescent="0.25">
      <c r="A2981" s="9"/>
      <c r="B2981" s="528" t="s">
        <v>3152</v>
      </c>
      <c r="C2981" s="1024"/>
      <c r="D2981" s="882">
        <v>1</v>
      </c>
      <c r="E2981" s="251" t="s">
        <v>1767</v>
      </c>
      <c r="F2981" s="273" t="s">
        <v>3446</v>
      </c>
      <c r="G2981" s="1040" t="s">
        <v>3463</v>
      </c>
      <c r="H2981" s="273" t="s">
        <v>3462</v>
      </c>
      <c r="I2981" s="720">
        <f t="shared" si="661"/>
        <v>605.19960000000003</v>
      </c>
      <c r="J2981" s="756">
        <v>605.19960000000003</v>
      </c>
      <c r="K2981" s="131">
        <f t="shared" si="664"/>
        <v>605.19960000000003</v>
      </c>
      <c r="L2981" s="335">
        <f t="shared" si="657"/>
        <v>0</v>
      </c>
      <c r="M2981" s="446"/>
      <c r="N2981" s="446"/>
      <c r="O2981" s="446"/>
      <c r="P2981" s="446"/>
      <c r="Q2981" s="110">
        <v>1</v>
      </c>
      <c r="R2981" s="111">
        <f t="shared" si="655"/>
        <v>151.29990000000001</v>
      </c>
      <c r="S2981" s="110"/>
      <c r="T2981" s="110"/>
      <c r="U2981" s="110">
        <v>0</v>
      </c>
      <c r="V2981" s="111">
        <f t="shared" si="656"/>
        <v>151.29990000000001</v>
      </c>
      <c r="W2981" s="110"/>
      <c r="X2981" s="110"/>
      <c r="Y2981" s="110"/>
      <c r="Z2981" s="110"/>
      <c r="AA2981" s="110">
        <v>0</v>
      </c>
      <c r="AB2981" s="111">
        <f t="shared" si="662"/>
        <v>151.29990000000001</v>
      </c>
      <c r="AC2981" s="110"/>
      <c r="AD2981" s="110"/>
      <c r="AE2981" s="110">
        <v>0</v>
      </c>
      <c r="AF2981" s="111">
        <f t="shared" si="663"/>
        <v>151.29990000000001</v>
      </c>
      <c r="AG2981" s="110"/>
      <c r="AH2981" s="110"/>
      <c r="AI2981" s="110"/>
      <c r="AJ2981" s="110"/>
      <c r="AK2981" s="111">
        <f t="shared" si="658"/>
        <v>605.19960000000003</v>
      </c>
      <c r="AL2981" s="446">
        <f t="shared" si="659"/>
        <v>0</v>
      </c>
      <c r="AM2981" s="110">
        <f t="shared" si="660"/>
        <v>1</v>
      </c>
      <c r="AN2981" s="447">
        <f t="shared" si="665"/>
        <v>0</v>
      </c>
      <c r="AO2981"/>
      <c r="AP2981"/>
    </row>
    <row r="2982" spans="1:42" ht="66" x14ac:dyDescent="0.25">
      <c r="A2982" s="9"/>
      <c r="B2982" s="528" t="s">
        <v>3153</v>
      </c>
      <c r="C2982" s="1024"/>
      <c r="D2982" s="882">
        <v>1</v>
      </c>
      <c r="E2982" s="251" t="s">
        <v>1767</v>
      </c>
      <c r="F2982" s="273" t="s">
        <v>3446</v>
      </c>
      <c r="G2982" s="1040" t="s">
        <v>3463</v>
      </c>
      <c r="H2982" s="273" t="s">
        <v>3462</v>
      </c>
      <c r="I2982" s="720">
        <f t="shared" si="661"/>
        <v>68.104800000000012</v>
      </c>
      <c r="J2982" s="756">
        <v>68.104800000000012</v>
      </c>
      <c r="K2982" s="131">
        <f t="shared" si="664"/>
        <v>68.104800000000012</v>
      </c>
      <c r="L2982" s="335">
        <f t="shared" si="657"/>
        <v>0</v>
      </c>
      <c r="M2982" s="446"/>
      <c r="N2982" s="446"/>
      <c r="O2982" s="446"/>
      <c r="P2982" s="446"/>
      <c r="Q2982" s="110">
        <v>1</v>
      </c>
      <c r="R2982" s="111">
        <f t="shared" si="655"/>
        <v>17.026200000000003</v>
      </c>
      <c r="S2982" s="110"/>
      <c r="T2982" s="110"/>
      <c r="U2982" s="110">
        <v>0</v>
      </c>
      <c r="V2982" s="111">
        <f t="shared" si="656"/>
        <v>17.026200000000003</v>
      </c>
      <c r="W2982" s="110"/>
      <c r="X2982" s="110"/>
      <c r="Y2982" s="110"/>
      <c r="Z2982" s="110"/>
      <c r="AA2982" s="110">
        <v>0</v>
      </c>
      <c r="AB2982" s="111">
        <f t="shared" si="662"/>
        <v>17.026200000000003</v>
      </c>
      <c r="AC2982" s="110"/>
      <c r="AD2982" s="110"/>
      <c r="AE2982" s="110">
        <v>0</v>
      </c>
      <c r="AF2982" s="111">
        <f t="shared" si="663"/>
        <v>17.026200000000003</v>
      </c>
      <c r="AG2982" s="110"/>
      <c r="AH2982" s="110"/>
      <c r="AI2982" s="110"/>
      <c r="AJ2982" s="110"/>
      <c r="AK2982" s="111">
        <f t="shared" si="658"/>
        <v>68.104800000000012</v>
      </c>
      <c r="AL2982" s="446">
        <f t="shared" si="659"/>
        <v>0</v>
      </c>
      <c r="AM2982" s="110">
        <f t="shared" si="660"/>
        <v>1</v>
      </c>
      <c r="AN2982" s="447">
        <f t="shared" si="665"/>
        <v>0</v>
      </c>
      <c r="AO2982"/>
      <c r="AP2982"/>
    </row>
    <row r="2983" spans="1:42" ht="66" x14ac:dyDescent="0.25">
      <c r="A2983" s="9"/>
      <c r="B2983" s="528" t="s">
        <v>3154</v>
      </c>
      <c r="C2983" s="1024"/>
      <c r="D2983" s="882">
        <v>1</v>
      </c>
      <c r="E2983" s="251" t="s">
        <v>1766</v>
      </c>
      <c r="F2983" s="273" t="s">
        <v>3446</v>
      </c>
      <c r="G2983" s="1040" t="s">
        <v>3463</v>
      </c>
      <c r="H2983" s="273" t="s">
        <v>3462</v>
      </c>
      <c r="I2983" s="720">
        <f t="shared" si="661"/>
        <v>264.14999999999998</v>
      </c>
      <c r="J2983" s="756">
        <v>264.14999999999998</v>
      </c>
      <c r="K2983" s="131">
        <f t="shared" si="664"/>
        <v>264.14999999999998</v>
      </c>
      <c r="L2983" s="335">
        <f t="shared" si="657"/>
        <v>0</v>
      </c>
      <c r="M2983" s="446"/>
      <c r="N2983" s="446"/>
      <c r="O2983" s="446"/>
      <c r="P2983" s="446"/>
      <c r="Q2983" s="110">
        <v>1</v>
      </c>
      <c r="R2983" s="111">
        <f t="shared" si="655"/>
        <v>66.037499999999994</v>
      </c>
      <c r="S2983" s="110"/>
      <c r="T2983" s="110"/>
      <c r="U2983" s="110">
        <v>0</v>
      </c>
      <c r="V2983" s="111">
        <f t="shared" si="656"/>
        <v>66.037499999999994</v>
      </c>
      <c r="W2983" s="110"/>
      <c r="X2983" s="110"/>
      <c r="Y2983" s="110"/>
      <c r="Z2983" s="110"/>
      <c r="AA2983" s="110">
        <v>0</v>
      </c>
      <c r="AB2983" s="111">
        <f t="shared" si="662"/>
        <v>66.037499999999994</v>
      </c>
      <c r="AC2983" s="110"/>
      <c r="AD2983" s="110"/>
      <c r="AE2983" s="110">
        <v>0</v>
      </c>
      <c r="AF2983" s="111">
        <f t="shared" si="663"/>
        <v>66.037499999999994</v>
      </c>
      <c r="AG2983" s="110"/>
      <c r="AH2983" s="110"/>
      <c r="AI2983" s="110"/>
      <c r="AJ2983" s="110"/>
      <c r="AK2983" s="111">
        <f t="shared" si="658"/>
        <v>264.14999999999998</v>
      </c>
      <c r="AL2983" s="446">
        <f t="shared" si="659"/>
        <v>0</v>
      </c>
      <c r="AM2983" s="110">
        <f t="shared" si="660"/>
        <v>1</v>
      </c>
      <c r="AN2983" s="447">
        <f t="shared" si="665"/>
        <v>0</v>
      </c>
      <c r="AO2983"/>
      <c r="AP2983"/>
    </row>
    <row r="2984" spans="1:42" ht="66" x14ac:dyDescent="0.25">
      <c r="A2984" s="9"/>
      <c r="B2984" s="528" t="s">
        <v>3155</v>
      </c>
      <c r="C2984" s="1024"/>
      <c r="D2984" s="882">
        <v>1</v>
      </c>
      <c r="E2984" s="251" t="s">
        <v>1767</v>
      </c>
      <c r="F2984" s="273" t="s">
        <v>3446</v>
      </c>
      <c r="G2984" s="1040" t="s">
        <v>3463</v>
      </c>
      <c r="H2984" s="273" t="s">
        <v>3462</v>
      </c>
      <c r="I2984" s="720">
        <f t="shared" si="661"/>
        <v>258.49022400000001</v>
      </c>
      <c r="J2984" s="756">
        <v>258.49022400000001</v>
      </c>
      <c r="K2984" s="131">
        <f t="shared" si="664"/>
        <v>258.49022400000001</v>
      </c>
      <c r="L2984" s="335">
        <f t="shared" si="657"/>
        <v>0</v>
      </c>
      <c r="M2984" s="446"/>
      <c r="N2984" s="446"/>
      <c r="O2984" s="446"/>
      <c r="P2984" s="446"/>
      <c r="Q2984" s="110">
        <v>1</v>
      </c>
      <c r="R2984" s="111">
        <f t="shared" si="655"/>
        <v>64.622556000000003</v>
      </c>
      <c r="S2984" s="110"/>
      <c r="T2984" s="110"/>
      <c r="U2984" s="110">
        <v>0</v>
      </c>
      <c r="V2984" s="111">
        <f t="shared" si="656"/>
        <v>64.622556000000003</v>
      </c>
      <c r="W2984" s="110"/>
      <c r="X2984" s="110"/>
      <c r="Y2984" s="110"/>
      <c r="Z2984" s="110"/>
      <c r="AA2984" s="110">
        <v>0</v>
      </c>
      <c r="AB2984" s="111">
        <f t="shared" si="662"/>
        <v>64.622556000000003</v>
      </c>
      <c r="AC2984" s="110"/>
      <c r="AD2984" s="110"/>
      <c r="AE2984" s="110">
        <v>0</v>
      </c>
      <c r="AF2984" s="111">
        <f t="shared" si="663"/>
        <v>64.622556000000003</v>
      </c>
      <c r="AG2984" s="110"/>
      <c r="AH2984" s="110"/>
      <c r="AI2984" s="110"/>
      <c r="AJ2984" s="110"/>
      <c r="AK2984" s="111">
        <f t="shared" si="658"/>
        <v>258.49022400000001</v>
      </c>
      <c r="AL2984" s="446">
        <f t="shared" si="659"/>
        <v>0</v>
      </c>
      <c r="AM2984" s="110">
        <f t="shared" si="660"/>
        <v>1</v>
      </c>
      <c r="AN2984" s="447">
        <f t="shared" si="665"/>
        <v>0</v>
      </c>
      <c r="AO2984"/>
      <c r="AP2984"/>
    </row>
    <row r="2985" spans="1:42" ht="66" x14ac:dyDescent="0.25">
      <c r="A2985" s="9"/>
      <c r="B2985" s="528" t="s">
        <v>3156</v>
      </c>
      <c r="C2985" s="1024"/>
      <c r="D2985" s="882">
        <v>1</v>
      </c>
      <c r="E2985" s="251" t="s">
        <v>1767</v>
      </c>
      <c r="F2985" s="273" t="s">
        <v>3446</v>
      </c>
      <c r="G2985" s="1040" t="s">
        <v>3463</v>
      </c>
      <c r="H2985" s="273" t="s">
        <v>3462</v>
      </c>
      <c r="I2985" s="720">
        <f t="shared" si="661"/>
        <v>265.30200000000002</v>
      </c>
      <c r="J2985" s="756">
        <v>265.30200000000002</v>
      </c>
      <c r="K2985" s="131">
        <f t="shared" si="664"/>
        <v>265.30200000000002</v>
      </c>
      <c r="L2985" s="335">
        <f t="shared" si="657"/>
        <v>0</v>
      </c>
      <c r="M2985" s="446"/>
      <c r="N2985" s="446"/>
      <c r="O2985" s="446"/>
      <c r="P2985" s="446"/>
      <c r="Q2985" s="110">
        <v>1</v>
      </c>
      <c r="R2985" s="111">
        <f t="shared" si="655"/>
        <v>66.325500000000005</v>
      </c>
      <c r="S2985" s="110"/>
      <c r="T2985" s="110"/>
      <c r="U2985" s="110">
        <v>0</v>
      </c>
      <c r="V2985" s="111">
        <f t="shared" si="656"/>
        <v>66.325500000000005</v>
      </c>
      <c r="W2985" s="110"/>
      <c r="X2985" s="110"/>
      <c r="Y2985" s="110"/>
      <c r="Z2985" s="110"/>
      <c r="AA2985" s="110">
        <v>0</v>
      </c>
      <c r="AB2985" s="111">
        <f t="shared" si="662"/>
        <v>66.325500000000005</v>
      </c>
      <c r="AC2985" s="110"/>
      <c r="AD2985" s="110"/>
      <c r="AE2985" s="110">
        <v>0</v>
      </c>
      <c r="AF2985" s="111">
        <f t="shared" si="663"/>
        <v>66.325500000000005</v>
      </c>
      <c r="AG2985" s="110"/>
      <c r="AH2985" s="110"/>
      <c r="AI2985" s="110"/>
      <c r="AJ2985" s="110"/>
      <c r="AK2985" s="111">
        <f t="shared" si="658"/>
        <v>265.30200000000002</v>
      </c>
      <c r="AL2985" s="446">
        <f t="shared" si="659"/>
        <v>0</v>
      </c>
      <c r="AM2985" s="110">
        <f t="shared" si="660"/>
        <v>1</v>
      </c>
      <c r="AN2985" s="447">
        <f t="shared" si="665"/>
        <v>0</v>
      </c>
      <c r="AO2985"/>
      <c r="AP2985"/>
    </row>
    <row r="2986" spans="1:42" ht="66" x14ac:dyDescent="0.25">
      <c r="A2986" s="9"/>
      <c r="B2986" s="528" t="s">
        <v>3157</v>
      </c>
      <c r="C2986" s="1024"/>
      <c r="D2986" s="882">
        <v>1</v>
      </c>
      <c r="E2986" s="251" t="s">
        <v>1767</v>
      </c>
      <c r="F2986" s="273" t="s">
        <v>3446</v>
      </c>
      <c r="G2986" s="1040" t="s">
        <v>3463</v>
      </c>
      <c r="H2986" s="273" t="s">
        <v>3462</v>
      </c>
      <c r="I2986" s="720">
        <f t="shared" si="661"/>
        <v>446.70960000000002</v>
      </c>
      <c r="J2986" s="756">
        <v>446.70960000000002</v>
      </c>
      <c r="K2986" s="131">
        <f t="shared" si="664"/>
        <v>446.70960000000002</v>
      </c>
      <c r="L2986" s="335">
        <f t="shared" si="657"/>
        <v>0</v>
      </c>
      <c r="M2986" s="446"/>
      <c r="N2986" s="446"/>
      <c r="O2986" s="446"/>
      <c r="P2986" s="446"/>
      <c r="Q2986" s="110">
        <v>1</v>
      </c>
      <c r="R2986" s="111">
        <f t="shared" si="655"/>
        <v>111.67740000000001</v>
      </c>
      <c r="S2986" s="110"/>
      <c r="T2986" s="110"/>
      <c r="U2986" s="110">
        <v>0</v>
      </c>
      <c r="V2986" s="111">
        <f t="shared" si="656"/>
        <v>111.67740000000001</v>
      </c>
      <c r="W2986" s="110"/>
      <c r="X2986" s="110"/>
      <c r="Y2986" s="110"/>
      <c r="Z2986" s="110"/>
      <c r="AA2986" s="110">
        <v>0</v>
      </c>
      <c r="AB2986" s="111">
        <f t="shared" si="662"/>
        <v>111.67740000000001</v>
      </c>
      <c r="AC2986" s="110"/>
      <c r="AD2986" s="110"/>
      <c r="AE2986" s="110">
        <v>0</v>
      </c>
      <c r="AF2986" s="111">
        <f t="shared" si="663"/>
        <v>111.67740000000001</v>
      </c>
      <c r="AG2986" s="110"/>
      <c r="AH2986" s="110"/>
      <c r="AI2986" s="110"/>
      <c r="AJ2986" s="110"/>
      <c r="AK2986" s="111">
        <f t="shared" si="658"/>
        <v>446.70960000000002</v>
      </c>
      <c r="AL2986" s="446">
        <f t="shared" si="659"/>
        <v>0</v>
      </c>
      <c r="AM2986" s="110">
        <f t="shared" si="660"/>
        <v>1</v>
      </c>
      <c r="AN2986" s="447">
        <f t="shared" si="665"/>
        <v>0</v>
      </c>
      <c r="AO2986"/>
      <c r="AP2986"/>
    </row>
    <row r="2987" spans="1:42" ht="66" x14ac:dyDescent="0.25">
      <c r="A2987" s="9"/>
      <c r="B2987" s="528" t="s">
        <v>3158</v>
      </c>
      <c r="C2987" s="1024"/>
      <c r="D2987" s="882">
        <v>1</v>
      </c>
      <c r="E2987" s="251" t="s">
        <v>2442</v>
      </c>
      <c r="F2987" s="273" t="s">
        <v>3446</v>
      </c>
      <c r="G2987" s="1040" t="s">
        <v>3463</v>
      </c>
      <c r="H2987" s="273" t="s">
        <v>3462</v>
      </c>
      <c r="I2987" s="720">
        <f t="shared" si="661"/>
        <v>52.83</v>
      </c>
      <c r="J2987" s="756">
        <v>52.83</v>
      </c>
      <c r="K2987" s="131">
        <f t="shared" si="664"/>
        <v>52.83</v>
      </c>
      <c r="L2987" s="335">
        <f t="shared" si="657"/>
        <v>0</v>
      </c>
      <c r="M2987" s="446"/>
      <c r="N2987" s="446"/>
      <c r="O2987" s="446"/>
      <c r="P2987" s="446"/>
      <c r="Q2987" s="110">
        <v>1</v>
      </c>
      <c r="R2987" s="111">
        <f t="shared" si="655"/>
        <v>13.2075</v>
      </c>
      <c r="S2987" s="110"/>
      <c r="T2987" s="110"/>
      <c r="U2987" s="110">
        <v>0</v>
      </c>
      <c r="V2987" s="111">
        <f t="shared" si="656"/>
        <v>13.2075</v>
      </c>
      <c r="W2987" s="110"/>
      <c r="X2987" s="110"/>
      <c r="Y2987" s="110"/>
      <c r="Z2987" s="110"/>
      <c r="AA2987" s="110">
        <v>0</v>
      </c>
      <c r="AB2987" s="111">
        <f t="shared" si="662"/>
        <v>13.2075</v>
      </c>
      <c r="AC2987" s="110"/>
      <c r="AD2987" s="110"/>
      <c r="AE2987" s="110">
        <v>0</v>
      </c>
      <c r="AF2987" s="111">
        <f t="shared" si="663"/>
        <v>13.2075</v>
      </c>
      <c r="AG2987" s="110"/>
      <c r="AH2987" s="110"/>
      <c r="AI2987" s="110"/>
      <c r="AJ2987" s="110"/>
      <c r="AK2987" s="111">
        <f t="shared" si="658"/>
        <v>52.83</v>
      </c>
      <c r="AL2987" s="446">
        <f t="shared" si="659"/>
        <v>0</v>
      </c>
      <c r="AM2987" s="110">
        <f t="shared" si="660"/>
        <v>1</v>
      </c>
      <c r="AN2987" s="447">
        <f t="shared" si="665"/>
        <v>0</v>
      </c>
      <c r="AO2987"/>
      <c r="AP2987"/>
    </row>
    <row r="2988" spans="1:42" ht="66" x14ac:dyDescent="0.25">
      <c r="A2988" s="9"/>
      <c r="B2988" s="528" t="s">
        <v>3159</v>
      </c>
      <c r="C2988" s="1024"/>
      <c r="D2988" s="882">
        <v>1</v>
      </c>
      <c r="E2988" s="251" t="s">
        <v>1767</v>
      </c>
      <c r="F2988" s="273" t="s">
        <v>3446</v>
      </c>
      <c r="G2988" s="1040" t="s">
        <v>3463</v>
      </c>
      <c r="H2988" s="273" t="s">
        <v>3462</v>
      </c>
      <c r="I2988" s="720">
        <f t="shared" si="661"/>
        <v>2267.9939519999998</v>
      </c>
      <c r="J2988" s="756">
        <v>2267.9939519999998</v>
      </c>
      <c r="K2988" s="131">
        <f t="shared" si="664"/>
        <v>2267.9939519999998</v>
      </c>
      <c r="L2988" s="335">
        <f t="shared" si="657"/>
        <v>0</v>
      </c>
      <c r="M2988" s="446"/>
      <c r="N2988" s="446"/>
      <c r="O2988" s="446"/>
      <c r="P2988" s="446"/>
      <c r="Q2988" s="110">
        <v>1</v>
      </c>
      <c r="R2988" s="111">
        <f t="shared" si="655"/>
        <v>566.99848799999995</v>
      </c>
      <c r="S2988" s="110"/>
      <c r="T2988" s="110"/>
      <c r="U2988" s="110">
        <v>0</v>
      </c>
      <c r="V2988" s="111">
        <f t="shared" si="656"/>
        <v>566.99848799999995</v>
      </c>
      <c r="W2988" s="110"/>
      <c r="X2988" s="110"/>
      <c r="Y2988" s="110"/>
      <c r="Z2988" s="110"/>
      <c r="AA2988" s="110">
        <v>0</v>
      </c>
      <c r="AB2988" s="111">
        <f t="shared" si="662"/>
        <v>566.99848799999995</v>
      </c>
      <c r="AC2988" s="110"/>
      <c r="AD2988" s="110"/>
      <c r="AE2988" s="110">
        <v>0</v>
      </c>
      <c r="AF2988" s="111">
        <f t="shared" si="663"/>
        <v>566.99848799999995</v>
      </c>
      <c r="AG2988" s="110"/>
      <c r="AH2988" s="110"/>
      <c r="AI2988" s="110"/>
      <c r="AJ2988" s="110"/>
      <c r="AK2988" s="111">
        <f t="shared" si="658"/>
        <v>2267.9939519999998</v>
      </c>
      <c r="AL2988" s="446">
        <f t="shared" si="659"/>
        <v>0</v>
      </c>
      <c r="AM2988" s="110">
        <f t="shared" si="660"/>
        <v>1</v>
      </c>
      <c r="AN2988" s="447">
        <f t="shared" si="665"/>
        <v>0</v>
      </c>
      <c r="AO2988"/>
      <c r="AP2988"/>
    </row>
    <row r="2989" spans="1:42" ht="66" x14ac:dyDescent="0.25">
      <c r="A2989" s="9"/>
      <c r="B2989" s="528" t="s">
        <v>3160</v>
      </c>
      <c r="C2989" s="1024"/>
      <c r="D2989" s="882">
        <v>1</v>
      </c>
      <c r="E2989" s="251" t="s">
        <v>1767</v>
      </c>
      <c r="F2989" s="273" t="s">
        <v>3446</v>
      </c>
      <c r="G2989" s="1040" t="s">
        <v>3463</v>
      </c>
      <c r="H2989" s="273" t="s">
        <v>3462</v>
      </c>
      <c r="I2989" s="720">
        <f t="shared" si="661"/>
        <v>16.449264000000003</v>
      </c>
      <c r="J2989" s="756">
        <v>16.449264000000003</v>
      </c>
      <c r="K2989" s="131">
        <f t="shared" si="664"/>
        <v>16.449264000000003</v>
      </c>
      <c r="L2989" s="335">
        <f t="shared" si="657"/>
        <v>0</v>
      </c>
      <c r="M2989" s="446"/>
      <c r="N2989" s="446"/>
      <c r="O2989" s="446"/>
      <c r="P2989" s="446"/>
      <c r="Q2989" s="110">
        <v>1</v>
      </c>
      <c r="R2989" s="111">
        <f t="shared" si="655"/>
        <v>4.1123160000000007</v>
      </c>
      <c r="S2989" s="110"/>
      <c r="T2989" s="110"/>
      <c r="U2989" s="110">
        <v>0</v>
      </c>
      <c r="V2989" s="111">
        <f t="shared" si="656"/>
        <v>4.1123160000000007</v>
      </c>
      <c r="W2989" s="110"/>
      <c r="X2989" s="110"/>
      <c r="Y2989" s="110"/>
      <c r="Z2989" s="110"/>
      <c r="AA2989" s="110">
        <v>0</v>
      </c>
      <c r="AB2989" s="111">
        <f t="shared" si="662"/>
        <v>4.1123160000000007</v>
      </c>
      <c r="AC2989" s="110"/>
      <c r="AD2989" s="110"/>
      <c r="AE2989" s="110">
        <v>0</v>
      </c>
      <c r="AF2989" s="111">
        <f t="shared" si="663"/>
        <v>4.1123160000000007</v>
      </c>
      <c r="AG2989" s="110"/>
      <c r="AH2989" s="110"/>
      <c r="AI2989" s="110"/>
      <c r="AJ2989" s="110"/>
      <c r="AK2989" s="111">
        <f t="shared" si="658"/>
        <v>16.449264000000003</v>
      </c>
      <c r="AL2989" s="446">
        <f t="shared" si="659"/>
        <v>0</v>
      </c>
      <c r="AM2989" s="110">
        <f t="shared" si="660"/>
        <v>1</v>
      </c>
      <c r="AN2989" s="447">
        <f t="shared" si="665"/>
        <v>0</v>
      </c>
      <c r="AO2989"/>
      <c r="AP2989"/>
    </row>
    <row r="2990" spans="1:42" ht="66" x14ac:dyDescent="0.25">
      <c r="A2990" s="9"/>
      <c r="B2990" s="528" t="s">
        <v>3161</v>
      </c>
      <c r="C2990" s="1024"/>
      <c r="D2990" s="882">
        <v>1</v>
      </c>
      <c r="E2990" s="251" t="s">
        <v>1767</v>
      </c>
      <c r="F2990" s="273" t="s">
        <v>3446</v>
      </c>
      <c r="G2990" s="1040" t="s">
        <v>3463</v>
      </c>
      <c r="H2990" s="273" t="s">
        <v>3462</v>
      </c>
      <c r="I2990" s="720">
        <f t="shared" si="661"/>
        <v>25.619759999999999</v>
      </c>
      <c r="J2990" s="756">
        <v>25.619759999999999</v>
      </c>
      <c r="K2990" s="131">
        <f t="shared" si="664"/>
        <v>25.619759999999999</v>
      </c>
      <c r="L2990" s="335">
        <f t="shared" si="657"/>
        <v>0</v>
      </c>
      <c r="M2990" s="446"/>
      <c r="N2990" s="446"/>
      <c r="O2990" s="446"/>
      <c r="P2990" s="446"/>
      <c r="Q2990" s="110">
        <v>1</v>
      </c>
      <c r="R2990" s="111">
        <f t="shared" si="655"/>
        <v>6.4049399999999999</v>
      </c>
      <c r="S2990" s="110"/>
      <c r="T2990" s="110"/>
      <c r="U2990" s="110">
        <v>0</v>
      </c>
      <c r="V2990" s="111">
        <f t="shared" si="656"/>
        <v>6.4049399999999999</v>
      </c>
      <c r="W2990" s="110"/>
      <c r="X2990" s="110"/>
      <c r="Y2990" s="110"/>
      <c r="Z2990" s="110"/>
      <c r="AA2990" s="110">
        <v>0</v>
      </c>
      <c r="AB2990" s="111">
        <f t="shared" si="662"/>
        <v>6.4049399999999999</v>
      </c>
      <c r="AC2990" s="110"/>
      <c r="AD2990" s="110"/>
      <c r="AE2990" s="110">
        <v>0</v>
      </c>
      <c r="AF2990" s="111">
        <f t="shared" si="663"/>
        <v>6.4049399999999999</v>
      </c>
      <c r="AG2990" s="110"/>
      <c r="AH2990" s="110"/>
      <c r="AI2990" s="110"/>
      <c r="AJ2990" s="110"/>
      <c r="AK2990" s="111">
        <f t="shared" si="658"/>
        <v>25.619759999999999</v>
      </c>
      <c r="AL2990" s="446">
        <f t="shared" si="659"/>
        <v>0</v>
      </c>
      <c r="AM2990" s="110">
        <f t="shared" si="660"/>
        <v>1</v>
      </c>
      <c r="AN2990" s="447">
        <f t="shared" si="665"/>
        <v>0</v>
      </c>
      <c r="AO2990"/>
      <c r="AP2990"/>
    </row>
    <row r="2991" spans="1:42" ht="66" x14ac:dyDescent="0.25">
      <c r="A2991" s="9"/>
      <c r="B2991" s="528" t="s">
        <v>3162</v>
      </c>
      <c r="C2991" s="1024"/>
      <c r="D2991" s="882">
        <v>1</v>
      </c>
      <c r="E2991" s="251" t="s">
        <v>2442</v>
      </c>
      <c r="F2991" s="273" t="s">
        <v>3446</v>
      </c>
      <c r="G2991" s="1040" t="s">
        <v>3463</v>
      </c>
      <c r="H2991" s="273" t="s">
        <v>3462</v>
      </c>
      <c r="I2991" s="720">
        <f t="shared" si="661"/>
        <v>475.2</v>
      </c>
      <c r="J2991" s="756">
        <v>475.2</v>
      </c>
      <c r="K2991" s="131">
        <f t="shared" si="664"/>
        <v>475.2</v>
      </c>
      <c r="L2991" s="335">
        <f t="shared" si="657"/>
        <v>0</v>
      </c>
      <c r="M2991" s="446"/>
      <c r="N2991" s="446"/>
      <c r="O2991" s="446"/>
      <c r="P2991" s="446"/>
      <c r="Q2991" s="110">
        <v>1</v>
      </c>
      <c r="R2991" s="111">
        <f t="shared" ref="R2991:R3054" si="666">+J2991/4</f>
        <v>118.8</v>
      </c>
      <c r="S2991" s="110"/>
      <c r="T2991" s="110"/>
      <c r="U2991" s="110">
        <v>0</v>
      </c>
      <c r="V2991" s="111">
        <f t="shared" ref="V2991:V3054" si="667">+J2991/4</f>
        <v>118.8</v>
      </c>
      <c r="W2991" s="110"/>
      <c r="X2991" s="110"/>
      <c r="Y2991" s="110"/>
      <c r="Z2991" s="110"/>
      <c r="AA2991" s="110">
        <v>0</v>
      </c>
      <c r="AB2991" s="111">
        <f t="shared" si="662"/>
        <v>118.8</v>
      </c>
      <c r="AC2991" s="110"/>
      <c r="AD2991" s="110"/>
      <c r="AE2991" s="110">
        <v>0</v>
      </c>
      <c r="AF2991" s="111">
        <f t="shared" si="663"/>
        <v>118.8</v>
      </c>
      <c r="AG2991" s="110"/>
      <c r="AH2991" s="110"/>
      <c r="AI2991" s="110"/>
      <c r="AJ2991" s="110"/>
      <c r="AK2991" s="111">
        <f t="shared" si="658"/>
        <v>475.2</v>
      </c>
      <c r="AL2991" s="446">
        <f t="shared" si="659"/>
        <v>0</v>
      </c>
      <c r="AM2991" s="110">
        <f t="shared" si="660"/>
        <v>1</v>
      </c>
      <c r="AN2991" s="447">
        <f t="shared" si="665"/>
        <v>0</v>
      </c>
      <c r="AO2991"/>
      <c r="AP2991"/>
    </row>
    <row r="2992" spans="1:42" ht="66" x14ac:dyDescent="0.25">
      <c r="A2992" s="9"/>
      <c r="B2992" s="528" t="s">
        <v>3163</v>
      </c>
      <c r="C2992" s="1024"/>
      <c r="D2992" s="882">
        <v>1</v>
      </c>
      <c r="E2992" s="251" t="s">
        <v>1767</v>
      </c>
      <c r="F2992" s="273" t="s">
        <v>3446</v>
      </c>
      <c r="G2992" s="1040" t="s">
        <v>3463</v>
      </c>
      <c r="H2992" s="273" t="s">
        <v>3462</v>
      </c>
      <c r="I2992" s="720">
        <f t="shared" si="661"/>
        <v>57.83</v>
      </c>
      <c r="J2992" s="756">
        <v>57.83</v>
      </c>
      <c r="K2992" s="131">
        <f t="shared" si="664"/>
        <v>57.83</v>
      </c>
      <c r="L2992" s="335">
        <f t="shared" si="657"/>
        <v>0</v>
      </c>
      <c r="M2992" s="446"/>
      <c r="N2992" s="446"/>
      <c r="O2992" s="446"/>
      <c r="P2992" s="446"/>
      <c r="Q2992" s="110">
        <v>1</v>
      </c>
      <c r="R2992" s="111">
        <f t="shared" si="666"/>
        <v>14.4575</v>
      </c>
      <c r="S2992" s="110"/>
      <c r="T2992" s="110"/>
      <c r="U2992" s="110">
        <v>0</v>
      </c>
      <c r="V2992" s="111">
        <f t="shared" si="667"/>
        <v>14.4575</v>
      </c>
      <c r="W2992" s="110"/>
      <c r="X2992" s="110"/>
      <c r="Y2992" s="110"/>
      <c r="Z2992" s="110"/>
      <c r="AA2992" s="110">
        <v>0</v>
      </c>
      <c r="AB2992" s="111">
        <f t="shared" si="662"/>
        <v>14.4575</v>
      </c>
      <c r="AC2992" s="110"/>
      <c r="AD2992" s="110"/>
      <c r="AE2992" s="110">
        <v>0</v>
      </c>
      <c r="AF2992" s="111">
        <f t="shared" si="663"/>
        <v>14.4575</v>
      </c>
      <c r="AG2992" s="110"/>
      <c r="AH2992" s="110"/>
      <c r="AI2992" s="110"/>
      <c r="AJ2992" s="110"/>
      <c r="AK2992" s="111">
        <f t="shared" si="658"/>
        <v>57.83</v>
      </c>
      <c r="AL2992" s="446">
        <f t="shared" si="659"/>
        <v>0</v>
      </c>
      <c r="AM2992" s="110">
        <f t="shared" si="660"/>
        <v>1</v>
      </c>
      <c r="AN2992" s="447">
        <f t="shared" si="665"/>
        <v>0</v>
      </c>
      <c r="AO2992"/>
      <c r="AP2992"/>
    </row>
    <row r="2993" spans="1:42" ht="66" x14ac:dyDescent="0.25">
      <c r="A2993" s="9"/>
      <c r="B2993" s="528" t="s">
        <v>3164</v>
      </c>
      <c r="C2993" s="1024"/>
      <c r="D2993" s="882">
        <v>1</v>
      </c>
      <c r="E2993" s="251" t="s">
        <v>1767</v>
      </c>
      <c r="F2993" s="273" t="s">
        <v>3446</v>
      </c>
      <c r="G2993" s="1040" t="s">
        <v>3463</v>
      </c>
      <c r="H2993" s="273" t="s">
        <v>3462</v>
      </c>
      <c r="I2993" s="720">
        <f t="shared" si="661"/>
        <v>57.83</v>
      </c>
      <c r="J2993" s="756">
        <v>57.83</v>
      </c>
      <c r="K2993" s="131">
        <f t="shared" si="664"/>
        <v>57.83</v>
      </c>
      <c r="L2993" s="335">
        <f t="shared" si="657"/>
        <v>0</v>
      </c>
      <c r="M2993" s="446"/>
      <c r="N2993" s="446"/>
      <c r="O2993" s="446"/>
      <c r="P2993" s="446"/>
      <c r="Q2993" s="110">
        <v>1</v>
      </c>
      <c r="R2993" s="111">
        <f t="shared" si="666"/>
        <v>14.4575</v>
      </c>
      <c r="S2993" s="110"/>
      <c r="T2993" s="110"/>
      <c r="U2993" s="110">
        <v>0</v>
      </c>
      <c r="V2993" s="111">
        <f t="shared" si="667"/>
        <v>14.4575</v>
      </c>
      <c r="W2993" s="110"/>
      <c r="X2993" s="110"/>
      <c r="Y2993" s="110"/>
      <c r="Z2993" s="110"/>
      <c r="AA2993" s="110">
        <v>0</v>
      </c>
      <c r="AB2993" s="111">
        <f t="shared" si="662"/>
        <v>14.4575</v>
      </c>
      <c r="AC2993" s="110"/>
      <c r="AD2993" s="110"/>
      <c r="AE2993" s="110">
        <v>0</v>
      </c>
      <c r="AF2993" s="111">
        <f t="shared" si="663"/>
        <v>14.4575</v>
      </c>
      <c r="AG2993" s="110"/>
      <c r="AH2993" s="110"/>
      <c r="AI2993" s="110"/>
      <c r="AJ2993" s="110"/>
      <c r="AK2993" s="111">
        <f t="shared" si="658"/>
        <v>57.83</v>
      </c>
      <c r="AL2993" s="446">
        <f t="shared" si="659"/>
        <v>0</v>
      </c>
      <c r="AM2993" s="110">
        <f t="shared" si="660"/>
        <v>1</v>
      </c>
      <c r="AN2993" s="447">
        <f t="shared" si="665"/>
        <v>0</v>
      </c>
      <c r="AO2993"/>
      <c r="AP2993"/>
    </row>
    <row r="2994" spans="1:42" ht="66" x14ac:dyDescent="0.25">
      <c r="A2994" s="9"/>
      <c r="B2994" s="528" t="s">
        <v>3165</v>
      </c>
      <c r="C2994" s="1024"/>
      <c r="D2994" s="882">
        <v>1</v>
      </c>
      <c r="E2994" s="251" t="s">
        <v>1767</v>
      </c>
      <c r="F2994" s="273" t="s">
        <v>3446</v>
      </c>
      <c r="G2994" s="1040" t="s">
        <v>3463</v>
      </c>
      <c r="H2994" s="273" t="s">
        <v>3462</v>
      </c>
      <c r="I2994" s="720">
        <f t="shared" si="661"/>
        <v>101.41</v>
      </c>
      <c r="J2994" s="756">
        <v>101.41</v>
      </c>
      <c r="K2994" s="131">
        <f t="shared" si="664"/>
        <v>101.41</v>
      </c>
      <c r="L2994" s="335">
        <f t="shared" si="657"/>
        <v>0</v>
      </c>
      <c r="M2994" s="446"/>
      <c r="N2994" s="446"/>
      <c r="O2994" s="446"/>
      <c r="P2994" s="446"/>
      <c r="Q2994" s="110">
        <v>1</v>
      </c>
      <c r="R2994" s="111">
        <f t="shared" si="666"/>
        <v>25.352499999999999</v>
      </c>
      <c r="S2994" s="110"/>
      <c r="T2994" s="110"/>
      <c r="U2994" s="110">
        <v>0</v>
      </c>
      <c r="V2994" s="111">
        <f t="shared" si="667"/>
        <v>25.352499999999999</v>
      </c>
      <c r="W2994" s="110"/>
      <c r="X2994" s="110"/>
      <c r="Y2994" s="110"/>
      <c r="Z2994" s="110"/>
      <c r="AA2994" s="110">
        <v>0</v>
      </c>
      <c r="AB2994" s="111">
        <f t="shared" si="662"/>
        <v>25.352499999999999</v>
      </c>
      <c r="AC2994" s="110"/>
      <c r="AD2994" s="110"/>
      <c r="AE2994" s="110">
        <v>0</v>
      </c>
      <c r="AF2994" s="111">
        <f t="shared" si="663"/>
        <v>25.352499999999999</v>
      </c>
      <c r="AG2994" s="110"/>
      <c r="AH2994" s="110"/>
      <c r="AI2994" s="110"/>
      <c r="AJ2994" s="110"/>
      <c r="AK2994" s="111">
        <f t="shared" si="658"/>
        <v>101.41</v>
      </c>
      <c r="AL2994" s="446">
        <f t="shared" si="659"/>
        <v>0</v>
      </c>
      <c r="AM2994" s="110">
        <f t="shared" si="660"/>
        <v>1</v>
      </c>
      <c r="AN2994" s="447">
        <f t="shared" si="665"/>
        <v>0</v>
      </c>
      <c r="AO2994"/>
      <c r="AP2994"/>
    </row>
    <row r="2995" spans="1:42" ht="66" x14ac:dyDescent="0.25">
      <c r="A2995" s="9"/>
      <c r="B2995" s="528" t="s">
        <v>3166</v>
      </c>
      <c r="C2995" s="1024"/>
      <c r="D2995" s="882">
        <v>1</v>
      </c>
      <c r="E2995" s="251" t="s">
        <v>1767</v>
      </c>
      <c r="F2995" s="273" t="s">
        <v>3446</v>
      </c>
      <c r="G2995" s="1040" t="s">
        <v>3463</v>
      </c>
      <c r="H2995" s="273" t="s">
        <v>3462</v>
      </c>
      <c r="I2995" s="720">
        <f t="shared" si="661"/>
        <v>36.53</v>
      </c>
      <c r="J2995" s="756">
        <v>36.53</v>
      </c>
      <c r="K2995" s="131">
        <f t="shared" si="664"/>
        <v>36.53</v>
      </c>
      <c r="L2995" s="335">
        <f t="shared" si="657"/>
        <v>0</v>
      </c>
      <c r="M2995" s="446"/>
      <c r="N2995" s="446"/>
      <c r="O2995" s="446"/>
      <c r="P2995" s="446"/>
      <c r="Q2995" s="110">
        <v>1</v>
      </c>
      <c r="R2995" s="111">
        <f t="shared" si="666"/>
        <v>9.1325000000000003</v>
      </c>
      <c r="S2995" s="110"/>
      <c r="T2995" s="110"/>
      <c r="U2995" s="110">
        <v>0</v>
      </c>
      <c r="V2995" s="111">
        <f t="shared" si="667"/>
        <v>9.1325000000000003</v>
      </c>
      <c r="W2995" s="110"/>
      <c r="X2995" s="110"/>
      <c r="Y2995" s="110"/>
      <c r="Z2995" s="110"/>
      <c r="AA2995" s="110">
        <v>0</v>
      </c>
      <c r="AB2995" s="111">
        <f t="shared" si="662"/>
        <v>9.1325000000000003</v>
      </c>
      <c r="AC2995" s="110"/>
      <c r="AD2995" s="110"/>
      <c r="AE2995" s="110">
        <v>0</v>
      </c>
      <c r="AF2995" s="111">
        <f t="shared" si="663"/>
        <v>9.1325000000000003</v>
      </c>
      <c r="AG2995" s="110"/>
      <c r="AH2995" s="110"/>
      <c r="AI2995" s="110"/>
      <c r="AJ2995" s="110"/>
      <c r="AK2995" s="111">
        <f t="shared" si="658"/>
        <v>36.53</v>
      </c>
      <c r="AL2995" s="446">
        <f t="shared" si="659"/>
        <v>0</v>
      </c>
      <c r="AM2995" s="110">
        <f t="shared" si="660"/>
        <v>1</v>
      </c>
      <c r="AN2995" s="447">
        <f t="shared" si="665"/>
        <v>0</v>
      </c>
      <c r="AO2995"/>
      <c r="AP2995"/>
    </row>
    <row r="2996" spans="1:42" ht="66" x14ac:dyDescent="0.25">
      <c r="A2996" s="9"/>
      <c r="B2996" s="528" t="s">
        <v>3167</v>
      </c>
      <c r="C2996" s="1024"/>
      <c r="D2996" s="882">
        <v>1</v>
      </c>
      <c r="E2996" s="251" t="s">
        <v>1772</v>
      </c>
      <c r="F2996" s="273" t="s">
        <v>3446</v>
      </c>
      <c r="G2996" s="1040" t="s">
        <v>3463</v>
      </c>
      <c r="H2996" s="273" t="s">
        <v>3462</v>
      </c>
      <c r="I2996" s="720">
        <f t="shared" si="661"/>
        <v>215.6</v>
      </c>
      <c r="J2996" s="756">
        <v>215.6</v>
      </c>
      <c r="K2996" s="131">
        <f t="shared" si="664"/>
        <v>215.6</v>
      </c>
      <c r="L2996" s="335">
        <f t="shared" ref="L2996:L3059" si="668">+J2996-K2996</f>
        <v>0</v>
      </c>
      <c r="M2996" s="446"/>
      <c r="N2996" s="446"/>
      <c r="O2996" s="446"/>
      <c r="P2996" s="446"/>
      <c r="Q2996" s="110">
        <v>1</v>
      </c>
      <c r="R2996" s="111">
        <f t="shared" si="666"/>
        <v>53.9</v>
      </c>
      <c r="S2996" s="110"/>
      <c r="T2996" s="110"/>
      <c r="U2996" s="110">
        <v>0</v>
      </c>
      <c r="V2996" s="111">
        <f t="shared" si="667"/>
        <v>53.9</v>
      </c>
      <c r="W2996" s="110"/>
      <c r="X2996" s="110"/>
      <c r="Y2996" s="110"/>
      <c r="Z2996" s="110"/>
      <c r="AA2996" s="110">
        <v>0</v>
      </c>
      <c r="AB2996" s="111">
        <f t="shared" si="662"/>
        <v>53.9</v>
      </c>
      <c r="AC2996" s="110"/>
      <c r="AD2996" s="110"/>
      <c r="AE2996" s="110">
        <v>0</v>
      </c>
      <c r="AF2996" s="111">
        <f t="shared" si="663"/>
        <v>53.9</v>
      </c>
      <c r="AG2996" s="110"/>
      <c r="AH2996" s="110"/>
      <c r="AI2996" s="110"/>
      <c r="AJ2996" s="110"/>
      <c r="AK2996" s="111">
        <f t="shared" ref="AK2996:AK3059" si="669">+R2996+V2996+AB2996+AF2996</f>
        <v>215.6</v>
      </c>
      <c r="AL2996" s="446">
        <f t="shared" ref="AL2996:AL3059" si="670">+J2996-AK2996</f>
        <v>0</v>
      </c>
      <c r="AM2996" s="110">
        <f t="shared" ref="AM2996:AM3059" si="671">+Q2996+U2996+AA2996+AE2996</f>
        <v>1</v>
      </c>
      <c r="AN2996" s="447">
        <f t="shared" si="665"/>
        <v>0</v>
      </c>
      <c r="AO2996"/>
      <c r="AP2996"/>
    </row>
    <row r="2997" spans="1:42" ht="66" x14ac:dyDescent="0.25">
      <c r="A2997" s="9"/>
      <c r="B2997" s="528" t="s">
        <v>3168</v>
      </c>
      <c r="C2997" s="1024"/>
      <c r="D2997" s="882">
        <v>1</v>
      </c>
      <c r="E2997" s="251" t="s">
        <v>1772</v>
      </c>
      <c r="F2997" s="273" t="s">
        <v>3446</v>
      </c>
      <c r="G2997" s="1040" t="s">
        <v>3463</v>
      </c>
      <c r="H2997" s="273" t="s">
        <v>3462</v>
      </c>
      <c r="I2997" s="720">
        <f t="shared" si="661"/>
        <v>91.2</v>
      </c>
      <c r="J2997" s="756">
        <v>91.2</v>
      </c>
      <c r="K2997" s="131">
        <f t="shared" si="664"/>
        <v>91.2</v>
      </c>
      <c r="L2997" s="335">
        <f t="shared" si="668"/>
        <v>0</v>
      </c>
      <c r="M2997" s="446"/>
      <c r="N2997" s="446"/>
      <c r="O2997" s="446"/>
      <c r="P2997" s="446"/>
      <c r="Q2997" s="110">
        <v>1</v>
      </c>
      <c r="R2997" s="111">
        <f t="shared" si="666"/>
        <v>22.8</v>
      </c>
      <c r="S2997" s="110"/>
      <c r="T2997" s="110"/>
      <c r="U2997" s="110">
        <v>0</v>
      </c>
      <c r="V2997" s="111">
        <f t="shared" si="667"/>
        <v>22.8</v>
      </c>
      <c r="W2997" s="110"/>
      <c r="X2997" s="110"/>
      <c r="Y2997" s="110"/>
      <c r="Z2997" s="110"/>
      <c r="AA2997" s="110">
        <v>0</v>
      </c>
      <c r="AB2997" s="111">
        <f t="shared" si="662"/>
        <v>22.8</v>
      </c>
      <c r="AC2997" s="110"/>
      <c r="AD2997" s="110"/>
      <c r="AE2997" s="110">
        <v>0</v>
      </c>
      <c r="AF2997" s="111">
        <f t="shared" si="663"/>
        <v>22.8</v>
      </c>
      <c r="AG2997" s="110"/>
      <c r="AH2997" s="110"/>
      <c r="AI2997" s="110"/>
      <c r="AJ2997" s="110"/>
      <c r="AK2997" s="111">
        <f t="shared" si="669"/>
        <v>91.2</v>
      </c>
      <c r="AL2997" s="446">
        <f t="shared" si="670"/>
        <v>0</v>
      </c>
      <c r="AM2997" s="110">
        <f t="shared" si="671"/>
        <v>1</v>
      </c>
      <c r="AN2997" s="447">
        <f t="shared" si="665"/>
        <v>0</v>
      </c>
      <c r="AO2997"/>
      <c r="AP2997"/>
    </row>
    <row r="2998" spans="1:42" ht="66" x14ac:dyDescent="0.25">
      <c r="A2998" s="9"/>
      <c r="B2998" s="528" t="s">
        <v>3169</v>
      </c>
      <c r="C2998" s="1024"/>
      <c r="D2998" s="882">
        <v>1</v>
      </c>
      <c r="E2998" s="251" t="s">
        <v>1767</v>
      </c>
      <c r="F2998" s="273" t="s">
        <v>3446</v>
      </c>
      <c r="G2998" s="1040" t="s">
        <v>3463</v>
      </c>
      <c r="H2998" s="273" t="s">
        <v>3462</v>
      </c>
      <c r="I2998" s="720">
        <f t="shared" si="661"/>
        <v>216.00777600000001</v>
      </c>
      <c r="J2998" s="756">
        <v>216.00777600000001</v>
      </c>
      <c r="K2998" s="131">
        <f t="shared" si="664"/>
        <v>216.00777600000001</v>
      </c>
      <c r="L2998" s="335">
        <f t="shared" si="668"/>
        <v>0</v>
      </c>
      <c r="M2998" s="446"/>
      <c r="N2998" s="446"/>
      <c r="O2998" s="446"/>
      <c r="P2998" s="446"/>
      <c r="Q2998" s="110">
        <v>1</v>
      </c>
      <c r="R2998" s="111">
        <f t="shared" si="666"/>
        <v>54.001944000000002</v>
      </c>
      <c r="S2998" s="110"/>
      <c r="T2998" s="110"/>
      <c r="U2998" s="110">
        <v>0</v>
      </c>
      <c r="V2998" s="111">
        <f t="shared" si="667"/>
        <v>54.001944000000002</v>
      </c>
      <c r="W2998" s="110"/>
      <c r="X2998" s="110"/>
      <c r="Y2998" s="110"/>
      <c r="Z2998" s="110"/>
      <c r="AA2998" s="110">
        <v>0</v>
      </c>
      <c r="AB2998" s="111">
        <f t="shared" si="662"/>
        <v>54.001944000000002</v>
      </c>
      <c r="AC2998" s="110"/>
      <c r="AD2998" s="110"/>
      <c r="AE2998" s="110">
        <v>0</v>
      </c>
      <c r="AF2998" s="111">
        <f t="shared" si="663"/>
        <v>54.001944000000002</v>
      </c>
      <c r="AG2998" s="110"/>
      <c r="AH2998" s="110"/>
      <c r="AI2998" s="110"/>
      <c r="AJ2998" s="110"/>
      <c r="AK2998" s="111">
        <f t="shared" si="669"/>
        <v>216.00777600000001</v>
      </c>
      <c r="AL2998" s="446">
        <f t="shared" si="670"/>
        <v>0</v>
      </c>
      <c r="AM2998" s="110">
        <f t="shared" si="671"/>
        <v>1</v>
      </c>
      <c r="AN2998" s="447">
        <f t="shared" si="665"/>
        <v>0</v>
      </c>
      <c r="AO2998"/>
      <c r="AP2998"/>
    </row>
    <row r="2999" spans="1:42" ht="66" x14ac:dyDescent="0.25">
      <c r="A2999" s="9"/>
      <c r="B2999" s="528" t="s">
        <v>3170</v>
      </c>
      <c r="C2999" s="1024"/>
      <c r="D2999" s="882">
        <v>1</v>
      </c>
      <c r="E2999" s="251" t="s">
        <v>1766</v>
      </c>
      <c r="F2999" s="273" t="s">
        <v>3446</v>
      </c>
      <c r="G2999" s="1040" t="s">
        <v>3463</v>
      </c>
      <c r="H2999" s="273" t="s">
        <v>3462</v>
      </c>
      <c r="I2999" s="720">
        <f t="shared" si="661"/>
        <v>1013.9</v>
      </c>
      <c r="J2999" s="756">
        <v>1013.9</v>
      </c>
      <c r="K2999" s="131">
        <f t="shared" si="664"/>
        <v>1013.9</v>
      </c>
      <c r="L2999" s="335">
        <f t="shared" si="668"/>
        <v>0</v>
      </c>
      <c r="M2999" s="446"/>
      <c r="N2999" s="446"/>
      <c r="O2999" s="446"/>
      <c r="P2999" s="446"/>
      <c r="Q2999" s="110">
        <v>1</v>
      </c>
      <c r="R2999" s="111">
        <f t="shared" si="666"/>
        <v>253.47499999999999</v>
      </c>
      <c r="S2999" s="110"/>
      <c r="T2999" s="110"/>
      <c r="U2999" s="110">
        <v>0</v>
      </c>
      <c r="V2999" s="111">
        <f t="shared" si="667"/>
        <v>253.47499999999999</v>
      </c>
      <c r="W2999" s="110"/>
      <c r="X2999" s="110"/>
      <c r="Y2999" s="110"/>
      <c r="Z2999" s="110"/>
      <c r="AA2999" s="110">
        <v>0</v>
      </c>
      <c r="AB2999" s="111">
        <f t="shared" si="662"/>
        <v>253.47499999999999</v>
      </c>
      <c r="AC2999" s="110"/>
      <c r="AD2999" s="110"/>
      <c r="AE2999" s="110">
        <v>0</v>
      </c>
      <c r="AF2999" s="111">
        <f t="shared" si="663"/>
        <v>253.47499999999999</v>
      </c>
      <c r="AG2999" s="110"/>
      <c r="AH2999" s="110"/>
      <c r="AI2999" s="110"/>
      <c r="AJ2999" s="110"/>
      <c r="AK2999" s="111">
        <f t="shared" si="669"/>
        <v>1013.9</v>
      </c>
      <c r="AL2999" s="446">
        <f t="shared" si="670"/>
        <v>0</v>
      </c>
      <c r="AM2999" s="110">
        <f t="shared" si="671"/>
        <v>1</v>
      </c>
      <c r="AN2999" s="447">
        <f t="shared" si="665"/>
        <v>0</v>
      </c>
      <c r="AO2999"/>
      <c r="AP2999"/>
    </row>
    <row r="3000" spans="1:42" ht="66" x14ac:dyDescent="0.25">
      <c r="A3000" s="9"/>
      <c r="B3000" s="528" t="s">
        <v>3171</v>
      </c>
      <c r="C3000" s="1024"/>
      <c r="D3000" s="882">
        <v>1</v>
      </c>
      <c r="E3000" s="251" t="s">
        <v>1772</v>
      </c>
      <c r="F3000" s="273" t="s">
        <v>3446</v>
      </c>
      <c r="G3000" s="1040" t="s">
        <v>3463</v>
      </c>
      <c r="H3000" s="273" t="s">
        <v>3462</v>
      </c>
      <c r="I3000" s="720">
        <f t="shared" si="661"/>
        <v>283.48358400000001</v>
      </c>
      <c r="J3000" s="756">
        <v>283.48358400000001</v>
      </c>
      <c r="K3000" s="131">
        <f t="shared" si="664"/>
        <v>283.48358400000001</v>
      </c>
      <c r="L3000" s="335">
        <f t="shared" si="668"/>
        <v>0</v>
      </c>
      <c r="M3000" s="446"/>
      <c r="N3000" s="446"/>
      <c r="O3000" s="446"/>
      <c r="P3000" s="446"/>
      <c r="Q3000" s="110">
        <v>1</v>
      </c>
      <c r="R3000" s="111">
        <f t="shared" si="666"/>
        <v>70.870896000000002</v>
      </c>
      <c r="S3000" s="110"/>
      <c r="T3000" s="110"/>
      <c r="U3000" s="110">
        <v>0</v>
      </c>
      <c r="V3000" s="111">
        <f t="shared" si="667"/>
        <v>70.870896000000002</v>
      </c>
      <c r="W3000" s="110"/>
      <c r="X3000" s="110"/>
      <c r="Y3000" s="110"/>
      <c r="Z3000" s="110"/>
      <c r="AA3000" s="110">
        <v>0</v>
      </c>
      <c r="AB3000" s="111">
        <f t="shared" si="662"/>
        <v>70.870896000000002</v>
      </c>
      <c r="AC3000" s="110"/>
      <c r="AD3000" s="110"/>
      <c r="AE3000" s="110">
        <v>0</v>
      </c>
      <c r="AF3000" s="111">
        <f t="shared" si="663"/>
        <v>70.870896000000002</v>
      </c>
      <c r="AG3000" s="110"/>
      <c r="AH3000" s="110"/>
      <c r="AI3000" s="110"/>
      <c r="AJ3000" s="110"/>
      <c r="AK3000" s="111">
        <f t="shared" si="669"/>
        <v>283.48358400000001</v>
      </c>
      <c r="AL3000" s="446">
        <f t="shared" si="670"/>
        <v>0</v>
      </c>
      <c r="AM3000" s="110">
        <f t="shared" si="671"/>
        <v>1</v>
      </c>
      <c r="AN3000" s="447">
        <f t="shared" si="665"/>
        <v>0</v>
      </c>
      <c r="AO3000"/>
      <c r="AP3000"/>
    </row>
    <row r="3001" spans="1:42" ht="66" x14ac:dyDescent="0.25">
      <c r="A3001" s="9"/>
      <c r="B3001" s="528" t="s">
        <v>3172</v>
      </c>
      <c r="C3001" s="1024"/>
      <c r="D3001" s="882">
        <v>1</v>
      </c>
      <c r="E3001" s="251" t="s">
        <v>1767</v>
      </c>
      <c r="F3001" s="273" t="s">
        <v>3446</v>
      </c>
      <c r="G3001" s="1040" t="s">
        <v>3463</v>
      </c>
      <c r="H3001" s="273" t="s">
        <v>3462</v>
      </c>
      <c r="I3001" s="720">
        <f t="shared" si="661"/>
        <v>22.39</v>
      </c>
      <c r="J3001" s="756">
        <v>22.39</v>
      </c>
      <c r="K3001" s="131">
        <f t="shared" si="664"/>
        <v>22.39</v>
      </c>
      <c r="L3001" s="335">
        <f t="shared" si="668"/>
        <v>0</v>
      </c>
      <c r="M3001" s="446"/>
      <c r="N3001" s="446"/>
      <c r="O3001" s="446"/>
      <c r="P3001" s="446"/>
      <c r="Q3001" s="110">
        <v>1</v>
      </c>
      <c r="R3001" s="111">
        <f t="shared" si="666"/>
        <v>5.5975000000000001</v>
      </c>
      <c r="S3001" s="110"/>
      <c r="T3001" s="110"/>
      <c r="U3001" s="110">
        <v>0</v>
      </c>
      <c r="V3001" s="111">
        <f t="shared" si="667"/>
        <v>5.5975000000000001</v>
      </c>
      <c r="W3001" s="110"/>
      <c r="X3001" s="110"/>
      <c r="Y3001" s="110"/>
      <c r="Z3001" s="110"/>
      <c r="AA3001" s="110">
        <v>0</v>
      </c>
      <c r="AB3001" s="111">
        <f t="shared" si="662"/>
        <v>5.5975000000000001</v>
      </c>
      <c r="AC3001" s="110"/>
      <c r="AD3001" s="110"/>
      <c r="AE3001" s="110">
        <v>0</v>
      </c>
      <c r="AF3001" s="111">
        <f t="shared" si="663"/>
        <v>5.5975000000000001</v>
      </c>
      <c r="AG3001" s="110"/>
      <c r="AH3001" s="110"/>
      <c r="AI3001" s="110"/>
      <c r="AJ3001" s="110"/>
      <c r="AK3001" s="111">
        <f t="shared" si="669"/>
        <v>22.39</v>
      </c>
      <c r="AL3001" s="446">
        <f t="shared" si="670"/>
        <v>0</v>
      </c>
      <c r="AM3001" s="110">
        <f t="shared" si="671"/>
        <v>1</v>
      </c>
      <c r="AN3001" s="447">
        <f t="shared" si="665"/>
        <v>0</v>
      </c>
      <c r="AO3001"/>
      <c r="AP3001"/>
    </row>
    <row r="3002" spans="1:42" ht="66" x14ac:dyDescent="0.25">
      <c r="A3002" s="9"/>
      <c r="B3002" s="528" t="s">
        <v>3173</v>
      </c>
      <c r="C3002" s="1024"/>
      <c r="D3002" s="882">
        <v>1</v>
      </c>
      <c r="E3002" s="251" t="s">
        <v>1767</v>
      </c>
      <c r="F3002" s="273" t="s">
        <v>3446</v>
      </c>
      <c r="G3002" s="1040" t="s">
        <v>3463</v>
      </c>
      <c r="H3002" s="273" t="s">
        <v>3462</v>
      </c>
      <c r="I3002" s="720">
        <f t="shared" si="661"/>
        <v>881.08</v>
      </c>
      <c r="J3002" s="756">
        <v>881.08</v>
      </c>
      <c r="K3002" s="131">
        <f t="shared" si="664"/>
        <v>881.08</v>
      </c>
      <c r="L3002" s="335">
        <f t="shared" si="668"/>
        <v>0</v>
      </c>
      <c r="M3002" s="446"/>
      <c r="N3002" s="446"/>
      <c r="O3002" s="446"/>
      <c r="P3002" s="446"/>
      <c r="Q3002" s="110">
        <v>1</v>
      </c>
      <c r="R3002" s="111">
        <f t="shared" si="666"/>
        <v>220.27</v>
      </c>
      <c r="S3002" s="110"/>
      <c r="T3002" s="110"/>
      <c r="U3002" s="110">
        <v>0</v>
      </c>
      <c r="V3002" s="111">
        <f t="shared" si="667"/>
        <v>220.27</v>
      </c>
      <c r="W3002" s="110"/>
      <c r="X3002" s="110"/>
      <c r="Y3002" s="110"/>
      <c r="Z3002" s="110"/>
      <c r="AA3002" s="110">
        <v>0</v>
      </c>
      <c r="AB3002" s="111">
        <f t="shared" si="662"/>
        <v>220.27</v>
      </c>
      <c r="AC3002" s="110"/>
      <c r="AD3002" s="110"/>
      <c r="AE3002" s="110">
        <v>0</v>
      </c>
      <c r="AF3002" s="111">
        <f t="shared" si="663"/>
        <v>220.27</v>
      </c>
      <c r="AG3002" s="110"/>
      <c r="AH3002" s="110"/>
      <c r="AI3002" s="110"/>
      <c r="AJ3002" s="110"/>
      <c r="AK3002" s="111">
        <f t="shared" si="669"/>
        <v>881.08</v>
      </c>
      <c r="AL3002" s="446">
        <f t="shared" si="670"/>
        <v>0</v>
      </c>
      <c r="AM3002" s="110">
        <f t="shared" si="671"/>
        <v>1</v>
      </c>
      <c r="AN3002" s="447">
        <f t="shared" si="665"/>
        <v>0</v>
      </c>
      <c r="AO3002"/>
      <c r="AP3002"/>
    </row>
    <row r="3003" spans="1:42" ht="66" x14ac:dyDescent="0.25">
      <c r="A3003" s="9"/>
      <c r="B3003" s="528" t="s">
        <v>3174</v>
      </c>
      <c r="C3003" s="1024"/>
      <c r="D3003" s="882">
        <v>1</v>
      </c>
      <c r="E3003" s="251" t="s">
        <v>1767</v>
      </c>
      <c r="F3003" s="273" t="s">
        <v>3446</v>
      </c>
      <c r="G3003" s="1040" t="s">
        <v>3463</v>
      </c>
      <c r="H3003" s="273" t="s">
        <v>3462</v>
      </c>
      <c r="I3003" s="720">
        <f t="shared" ref="I3003:I3066" si="672">+J3003/D3003</f>
        <v>2484.0017280000002</v>
      </c>
      <c r="J3003" s="756">
        <v>2484.0017280000002</v>
      </c>
      <c r="K3003" s="131">
        <f t="shared" si="664"/>
        <v>2484.0017280000002</v>
      </c>
      <c r="L3003" s="335">
        <f t="shared" si="668"/>
        <v>0</v>
      </c>
      <c r="M3003" s="446"/>
      <c r="N3003" s="446"/>
      <c r="O3003" s="446"/>
      <c r="P3003" s="446"/>
      <c r="Q3003" s="110">
        <v>1</v>
      </c>
      <c r="R3003" s="111">
        <f t="shared" si="666"/>
        <v>621.00043200000005</v>
      </c>
      <c r="S3003" s="110"/>
      <c r="T3003" s="110"/>
      <c r="U3003" s="110">
        <v>0</v>
      </c>
      <c r="V3003" s="111">
        <f t="shared" si="667"/>
        <v>621.00043200000005</v>
      </c>
      <c r="W3003" s="110"/>
      <c r="X3003" s="110"/>
      <c r="Y3003" s="110"/>
      <c r="Z3003" s="110"/>
      <c r="AA3003" s="110">
        <v>0</v>
      </c>
      <c r="AB3003" s="111">
        <f t="shared" si="662"/>
        <v>621.00043200000005</v>
      </c>
      <c r="AC3003" s="110"/>
      <c r="AD3003" s="110"/>
      <c r="AE3003" s="110">
        <v>0</v>
      </c>
      <c r="AF3003" s="111">
        <f t="shared" si="663"/>
        <v>621.00043200000005</v>
      </c>
      <c r="AG3003" s="110"/>
      <c r="AH3003" s="110"/>
      <c r="AI3003" s="110"/>
      <c r="AJ3003" s="110"/>
      <c r="AK3003" s="111">
        <f t="shared" si="669"/>
        <v>2484.0017280000002</v>
      </c>
      <c r="AL3003" s="446">
        <f t="shared" si="670"/>
        <v>0</v>
      </c>
      <c r="AM3003" s="110">
        <f t="shared" si="671"/>
        <v>1</v>
      </c>
      <c r="AN3003" s="447">
        <f t="shared" si="665"/>
        <v>0</v>
      </c>
      <c r="AO3003"/>
      <c r="AP3003"/>
    </row>
    <row r="3004" spans="1:42" ht="66" x14ac:dyDescent="0.25">
      <c r="A3004" s="9"/>
      <c r="B3004" s="528" t="s">
        <v>3175</v>
      </c>
      <c r="C3004" s="1024"/>
      <c r="D3004" s="882">
        <v>1</v>
      </c>
      <c r="E3004" s="251" t="s">
        <v>1767</v>
      </c>
      <c r="F3004" s="273" t="s">
        <v>3446</v>
      </c>
      <c r="G3004" s="1040" t="s">
        <v>3463</v>
      </c>
      <c r="H3004" s="273" t="s">
        <v>3462</v>
      </c>
      <c r="I3004" s="720">
        <f t="shared" si="672"/>
        <v>41.116895999999997</v>
      </c>
      <c r="J3004" s="756">
        <v>41.116895999999997</v>
      </c>
      <c r="K3004" s="131">
        <f t="shared" si="664"/>
        <v>41.116895999999997</v>
      </c>
      <c r="L3004" s="335">
        <f t="shared" si="668"/>
        <v>0</v>
      </c>
      <c r="M3004" s="446"/>
      <c r="N3004" s="446"/>
      <c r="O3004" s="446"/>
      <c r="P3004" s="446"/>
      <c r="Q3004" s="110">
        <v>1</v>
      </c>
      <c r="R3004" s="111">
        <f t="shared" si="666"/>
        <v>10.279223999999999</v>
      </c>
      <c r="S3004" s="110"/>
      <c r="T3004" s="110"/>
      <c r="U3004" s="110">
        <v>0</v>
      </c>
      <c r="V3004" s="111">
        <f t="shared" si="667"/>
        <v>10.279223999999999</v>
      </c>
      <c r="W3004" s="110"/>
      <c r="X3004" s="110"/>
      <c r="Y3004" s="110"/>
      <c r="Z3004" s="110"/>
      <c r="AA3004" s="110">
        <v>0</v>
      </c>
      <c r="AB3004" s="111">
        <f t="shared" si="662"/>
        <v>10.279223999999999</v>
      </c>
      <c r="AC3004" s="110"/>
      <c r="AD3004" s="110"/>
      <c r="AE3004" s="110">
        <v>0</v>
      </c>
      <c r="AF3004" s="111">
        <f t="shared" si="663"/>
        <v>10.279223999999999</v>
      </c>
      <c r="AG3004" s="110"/>
      <c r="AH3004" s="110"/>
      <c r="AI3004" s="110"/>
      <c r="AJ3004" s="110"/>
      <c r="AK3004" s="111">
        <f t="shared" si="669"/>
        <v>41.116895999999997</v>
      </c>
      <c r="AL3004" s="446">
        <f t="shared" si="670"/>
        <v>0</v>
      </c>
      <c r="AM3004" s="110">
        <f t="shared" si="671"/>
        <v>1</v>
      </c>
      <c r="AN3004" s="447">
        <f t="shared" si="665"/>
        <v>0</v>
      </c>
      <c r="AO3004"/>
      <c r="AP3004"/>
    </row>
    <row r="3005" spans="1:42" ht="66" x14ac:dyDescent="0.25">
      <c r="A3005" s="9"/>
      <c r="B3005" s="528" t="s">
        <v>3176</v>
      </c>
      <c r="C3005" s="1024"/>
      <c r="D3005" s="882">
        <v>1</v>
      </c>
      <c r="E3005" s="251" t="s">
        <v>1767</v>
      </c>
      <c r="F3005" s="273" t="s">
        <v>3446</v>
      </c>
      <c r="G3005" s="1040" t="s">
        <v>3463</v>
      </c>
      <c r="H3005" s="273" t="s">
        <v>3462</v>
      </c>
      <c r="I3005" s="720">
        <f t="shared" si="672"/>
        <v>21.6</v>
      </c>
      <c r="J3005" s="756">
        <v>21.6</v>
      </c>
      <c r="K3005" s="131">
        <f t="shared" si="664"/>
        <v>21.6</v>
      </c>
      <c r="L3005" s="335">
        <f t="shared" si="668"/>
        <v>0</v>
      </c>
      <c r="M3005" s="446"/>
      <c r="N3005" s="446"/>
      <c r="O3005" s="446"/>
      <c r="P3005" s="446"/>
      <c r="Q3005" s="110">
        <v>1</v>
      </c>
      <c r="R3005" s="111">
        <f t="shared" si="666"/>
        <v>5.4</v>
      </c>
      <c r="S3005" s="110"/>
      <c r="T3005" s="110"/>
      <c r="U3005" s="110">
        <v>0</v>
      </c>
      <c r="V3005" s="111">
        <f t="shared" si="667"/>
        <v>5.4</v>
      </c>
      <c r="W3005" s="110"/>
      <c r="X3005" s="110"/>
      <c r="Y3005" s="110"/>
      <c r="Z3005" s="110"/>
      <c r="AA3005" s="110">
        <v>0</v>
      </c>
      <c r="AB3005" s="111">
        <f t="shared" si="662"/>
        <v>5.4</v>
      </c>
      <c r="AC3005" s="110"/>
      <c r="AD3005" s="110"/>
      <c r="AE3005" s="110">
        <v>0</v>
      </c>
      <c r="AF3005" s="111">
        <f t="shared" si="663"/>
        <v>5.4</v>
      </c>
      <c r="AG3005" s="110"/>
      <c r="AH3005" s="110"/>
      <c r="AI3005" s="110"/>
      <c r="AJ3005" s="110"/>
      <c r="AK3005" s="111">
        <f t="shared" si="669"/>
        <v>21.6</v>
      </c>
      <c r="AL3005" s="446">
        <f t="shared" si="670"/>
        <v>0</v>
      </c>
      <c r="AM3005" s="110">
        <f t="shared" si="671"/>
        <v>1</v>
      </c>
      <c r="AN3005" s="447">
        <f t="shared" si="665"/>
        <v>0</v>
      </c>
      <c r="AO3005"/>
      <c r="AP3005"/>
    </row>
    <row r="3006" spans="1:42" ht="66" x14ac:dyDescent="0.25">
      <c r="A3006" s="9"/>
      <c r="B3006" s="528" t="s">
        <v>3177</v>
      </c>
      <c r="C3006" s="1024"/>
      <c r="D3006" s="882">
        <v>1</v>
      </c>
      <c r="E3006" s="251" t="s">
        <v>1767</v>
      </c>
      <c r="F3006" s="273" t="s">
        <v>3446</v>
      </c>
      <c r="G3006" s="1040" t="s">
        <v>3463</v>
      </c>
      <c r="H3006" s="273" t="s">
        <v>3462</v>
      </c>
      <c r="I3006" s="720">
        <f t="shared" si="672"/>
        <v>80.216784000000004</v>
      </c>
      <c r="J3006" s="756">
        <v>80.216784000000004</v>
      </c>
      <c r="K3006" s="131">
        <f t="shared" si="664"/>
        <v>80.216784000000004</v>
      </c>
      <c r="L3006" s="335">
        <f t="shared" si="668"/>
        <v>0</v>
      </c>
      <c r="M3006" s="446"/>
      <c r="N3006" s="446"/>
      <c r="O3006" s="446"/>
      <c r="P3006" s="446"/>
      <c r="Q3006" s="110">
        <v>1</v>
      </c>
      <c r="R3006" s="111">
        <f t="shared" si="666"/>
        <v>20.054196000000001</v>
      </c>
      <c r="S3006" s="110"/>
      <c r="T3006" s="110"/>
      <c r="U3006" s="110">
        <v>0</v>
      </c>
      <c r="V3006" s="111">
        <f t="shared" si="667"/>
        <v>20.054196000000001</v>
      </c>
      <c r="W3006" s="110"/>
      <c r="X3006" s="110"/>
      <c r="Y3006" s="110"/>
      <c r="Z3006" s="110"/>
      <c r="AA3006" s="110">
        <v>0</v>
      </c>
      <c r="AB3006" s="111">
        <f t="shared" si="662"/>
        <v>20.054196000000001</v>
      </c>
      <c r="AC3006" s="110"/>
      <c r="AD3006" s="110"/>
      <c r="AE3006" s="110">
        <v>0</v>
      </c>
      <c r="AF3006" s="111">
        <f t="shared" si="663"/>
        <v>20.054196000000001</v>
      </c>
      <c r="AG3006" s="110"/>
      <c r="AH3006" s="110"/>
      <c r="AI3006" s="110"/>
      <c r="AJ3006" s="110"/>
      <c r="AK3006" s="111">
        <f t="shared" si="669"/>
        <v>80.216784000000004</v>
      </c>
      <c r="AL3006" s="446">
        <f t="shared" si="670"/>
        <v>0</v>
      </c>
      <c r="AM3006" s="110">
        <f t="shared" si="671"/>
        <v>1</v>
      </c>
      <c r="AN3006" s="447">
        <f t="shared" si="665"/>
        <v>0</v>
      </c>
      <c r="AO3006"/>
      <c r="AP3006"/>
    </row>
    <row r="3007" spans="1:42" ht="66" x14ac:dyDescent="0.25">
      <c r="A3007" s="9"/>
      <c r="B3007" s="528" t="s">
        <v>3178</v>
      </c>
      <c r="C3007" s="1024"/>
      <c r="D3007" s="882">
        <v>1</v>
      </c>
      <c r="E3007" s="251" t="s">
        <v>1767</v>
      </c>
      <c r="F3007" s="273" t="s">
        <v>3446</v>
      </c>
      <c r="G3007" s="1040" t="s">
        <v>3463</v>
      </c>
      <c r="H3007" s="273" t="s">
        <v>3462</v>
      </c>
      <c r="I3007" s="720">
        <f t="shared" si="672"/>
        <v>172.48550400000002</v>
      </c>
      <c r="J3007" s="756">
        <v>172.48550400000002</v>
      </c>
      <c r="K3007" s="131">
        <f t="shared" si="664"/>
        <v>172.48550400000002</v>
      </c>
      <c r="L3007" s="335">
        <f t="shared" si="668"/>
        <v>0</v>
      </c>
      <c r="M3007" s="446"/>
      <c r="N3007" s="446"/>
      <c r="O3007" s="446"/>
      <c r="P3007" s="446"/>
      <c r="Q3007" s="110">
        <v>1</v>
      </c>
      <c r="R3007" s="111">
        <f t="shared" si="666"/>
        <v>43.121376000000005</v>
      </c>
      <c r="S3007" s="110"/>
      <c r="T3007" s="110"/>
      <c r="U3007" s="110">
        <v>0</v>
      </c>
      <c r="V3007" s="111">
        <f t="shared" si="667"/>
        <v>43.121376000000005</v>
      </c>
      <c r="W3007" s="110"/>
      <c r="X3007" s="110"/>
      <c r="Y3007" s="110"/>
      <c r="Z3007" s="110"/>
      <c r="AA3007" s="110">
        <v>0</v>
      </c>
      <c r="AB3007" s="111">
        <f t="shared" si="662"/>
        <v>43.121376000000005</v>
      </c>
      <c r="AC3007" s="110"/>
      <c r="AD3007" s="110"/>
      <c r="AE3007" s="110">
        <v>0</v>
      </c>
      <c r="AF3007" s="111">
        <f t="shared" si="663"/>
        <v>43.121376000000005</v>
      </c>
      <c r="AG3007" s="110"/>
      <c r="AH3007" s="110"/>
      <c r="AI3007" s="110"/>
      <c r="AJ3007" s="110"/>
      <c r="AK3007" s="111">
        <f t="shared" si="669"/>
        <v>172.48550400000002</v>
      </c>
      <c r="AL3007" s="446">
        <f t="shared" si="670"/>
        <v>0</v>
      </c>
      <c r="AM3007" s="110">
        <f t="shared" si="671"/>
        <v>1</v>
      </c>
      <c r="AN3007" s="447">
        <f t="shared" si="665"/>
        <v>0</v>
      </c>
      <c r="AO3007"/>
      <c r="AP3007"/>
    </row>
    <row r="3008" spans="1:42" ht="66" x14ac:dyDescent="0.25">
      <c r="A3008" s="9"/>
      <c r="B3008" s="528" t="s">
        <v>3179</v>
      </c>
      <c r="C3008" s="1024"/>
      <c r="D3008" s="882">
        <v>1</v>
      </c>
      <c r="E3008" s="251" t="s">
        <v>1767</v>
      </c>
      <c r="F3008" s="273" t="s">
        <v>3446</v>
      </c>
      <c r="G3008" s="1040" t="s">
        <v>3463</v>
      </c>
      <c r="H3008" s="273" t="s">
        <v>3462</v>
      </c>
      <c r="I3008" s="720">
        <f t="shared" si="672"/>
        <v>80.542512000000016</v>
      </c>
      <c r="J3008" s="756">
        <v>80.542512000000016</v>
      </c>
      <c r="K3008" s="131">
        <f t="shared" si="664"/>
        <v>80.542512000000016</v>
      </c>
      <c r="L3008" s="335">
        <f t="shared" si="668"/>
        <v>0</v>
      </c>
      <c r="M3008" s="446"/>
      <c r="N3008" s="446"/>
      <c r="O3008" s="446"/>
      <c r="P3008" s="446"/>
      <c r="Q3008" s="110">
        <v>1</v>
      </c>
      <c r="R3008" s="111">
        <f t="shared" si="666"/>
        <v>20.135628000000004</v>
      </c>
      <c r="S3008" s="110"/>
      <c r="T3008" s="110"/>
      <c r="U3008" s="110">
        <v>0</v>
      </c>
      <c r="V3008" s="111">
        <f t="shared" si="667"/>
        <v>20.135628000000004</v>
      </c>
      <c r="W3008" s="110"/>
      <c r="X3008" s="110"/>
      <c r="Y3008" s="110"/>
      <c r="Z3008" s="110"/>
      <c r="AA3008" s="110">
        <v>0</v>
      </c>
      <c r="AB3008" s="111">
        <f t="shared" si="662"/>
        <v>20.135628000000004</v>
      </c>
      <c r="AC3008" s="110"/>
      <c r="AD3008" s="110"/>
      <c r="AE3008" s="110">
        <v>0</v>
      </c>
      <c r="AF3008" s="111">
        <f t="shared" si="663"/>
        <v>20.135628000000004</v>
      </c>
      <c r="AG3008" s="110"/>
      <c r="AH3008" s="110"/>
      <c r="AI3008" s="110"/>
      <c r="AJ3008" s="110"/>
      <c r="AK3008" s="111">
        <f t="shared" si="669"/>
        <v>80.542512000000016</v>
      </c>
      <c r="AL3008" s="446">
        <f t="shared" si="670"/>
        <v>0</v>
      </c>
      <c r="AM3008" s="110">
        <f t="shared" si="671"/>
        <v>1</v>
      </c>
      <c r="AN3008" s="447">
        <f t="shared" si="665"/>
        <v>0</v>
      </c>
      <c r="AO3008"/>
      <c r="AP3008"/>
    </row>
    <row r="3009" spans="1:42" ht="66" x14ac:dyDescent="0.25">
      <c r="A3009" s="9"/>
      <c r="B3009" s="528" t="s">
        <v>3180</v>
      </c>
      <c r="C3009" s="1024"/>
      <c r="D3009" s="882">
        <v>1</v>
      </c>
      <c r="E3009" s="251" t="s">
        <v>1767</v>
      </c>
      <c r="F3009" s="273" t="s">
        <v>3446</v>
      </c>
      <c r="G3009" s="1040" t="s">
        <v>3463</v>
      </c>
      <c r="H3009" s="273" t="s">
        <v>3462</v>
      </c>
      <c r="I3009" s="720">
        <f t="shared" si="672"/>
        <v>17.739647999999999</v>
      </c>
      <c r="J3009" s="756">
        <v>17.739647999999999</v>
      </c>
      <c r="K3009" s="131">
        <f t="shared" si="664"/>
        <v>17.739647999999999</v>
      </c>
      <c r="L3009" s="335">
        <f t="shared" si="668"/>
        <v>0</v>
      </c>
      <c r="M3009" s="446"/>
      <c r="N3009" s="446"/>
      <c r="O3009" s="446"/>
      <c r="P3009" s="446"/>
      <c r="Q3009" s="110">
        <v>1</v>
      </c>
      <c r="R3009" s="111">
        <f t="shared" si="666"/>
        <v>4.4349119999999997</v>
      </c>
      <c r="S3009" s="110"/>
      <c r="T3009" s="110"/>
      <c r="U3009" s="110">
        <v>0</v>
      </c>
      <c r="V3009" s="111">
        <f t="shared" si="667"/>
        <v>4.4349119999999997</v>
      </c>
      <c r="W3009" s="110"/>
      <c r="X3009" s="110"/>
      <c r="Y3009" s="110"/>
      <c r="Z3009" s="110"/>
      <c r="AA3009" s="110">
        <v>0</v>
      </c>
      <c r="AB3009" s="111">
        <f t="shared" si="662"/>
        <v>4.4349119999999997</v>
      </c>
      <c r="AC3009" s="110"/>
      <c r="AD3009" s="110"/>
      <c r="AE3009" s="110">
        <v>0</v>
      </c>
      <c r="AF3009" s="111">
        <f t="shared" si="663"/>
        <v>4.4349119999999997</v>
      </c>
      <c r="AG3009" s="110"/>
      <c r="AH3009" s="110"/>
      <c r="AI3009" s="110"/>
      <c r="AJ3009" s="110"/>
      <c r="AK3009" s="111">
        <f t="shared" si="669"/>
        <v>17.739647999999999</v>
      </c>
      <c r="AL3009" s="446">
        <f t="shared" si="670"/>
        <v>0</v>
      </c>
      <c r="AM3009" s="110">
        <f t="shared" si="671"/>
        <v>1</v>
      </c>
      <c r="AN3009" s="447">
        <f t="shared" si="665"/>
        <v>0</v>
      </c>
      <c r="AO3009"/>
      <c r="AP3009"/>
    </row>
    <row r="3010" spans="1:42" ht="66" x14ac:dyDescent="0.25">
      <c r="A3010" s="9"/>
      <c r="B3010" s="528" t="s">
        <v>3181</v>
      </c>
      <c r="C3010" s="1024"/>
      <c r="D3010" s="882">
        <v>1</v>
      </c>
      <c r="E3010" s="251" t="s">
        <v>1767</v>
      </c>
      <c r="F3010" s="273" t="s">
        <v>3446</v>
      </c>
      <c r="G3010" s="1040" t="s">
        <v>3463</v>
      </c>
      <c r="H3010" s="273" t="s">
        <v>3462</v>
      </c>
      <c r="I3010" s="720">
        <f t="shared" si="672"/>
        <v>174.1</v>
      </c>
      <c r="J3010" s="756">
        <v>174.1</v>
      </c>
      <c r="K3010" s="131">
        <f t="shared" si="664"/>
        <v>174.1</v>
      </c>
      <c r="L3010" s="335">
        <f t="shared" si="668"/>
        <v>0</v>
      </c>
      <c r="M3010" s="446"/>
      <c r="N3010" s="446"/>
      <c r="O3010" s="446"/>
      <c r="P3010" s="446"/>
      <c r="Q3010" s="110">
        <v>1</v>
      </c>
      <c r="R3010" s="111">
        <f t="shared" si="666"/>
        <v>43.524999999999999</v>
      </c>
      <c r="S3010" s="110"/>
      <c r="T3010" s="110"/>
      <c r="U3010" s="110">
        <v>0</v>
      </c>
      <c r="V3010" s="111">
        <f t="shared" si="667"/>
        <v>43.524999999999999</v>
      </c>
      <c r="W3010" s="110"/>
      <c r="X3010" s="110"/>
      <c r="Y3010" s="110"/>
      <c r="Z3010" s="110"/>
      <c r="AA3010" s="110">
        <v>0</v>
      </c>
      <c r="AB3010" s="111">
        <f t="shared" si="662"/>
        <v>43.524999999999999</v>
      </c>
      <c r="AC3010" s="110"/>
      <c r="AD3010" s="110"/>
      <c r="AE3010" s="110">
        <v>0</v>
      </c>
      <c r="AF3010" s="111">
        <f t="shared" si="663"/>
        <v>43.524999999999999</v>
      </c>
      <c r="AG3010" s="110"/>
      <c r="AH3010" s="110"/>
      <c r="AI3010" s="110"/>
      <c r="AJ3010" s="110"/>
      <c r="AK3010" s="111">
        <f t="shared" si="669"/>
        <v>174.1</v>
      </c>
      <c r="AL3010" s="446">
        <f t="shared" si="670"/>
        <v>0</v>
      </c>
      <c r="AM3010" s="110">
        <f t="shared" si="671"/>
        <v>1</v>
      </c>
      <c r="AN3010" s="447">
        <f t="shared" si="665"/>
        <v>0</v>
      </c>
      <c r="AO3010"/>
      <c r="AP3010"/>
    </row>
    <row r="3011" spans="1:42" ht="66" x14ac:dyDescent="0.25">
      <c r="A3011" s="9"/>
      <c r="B3011" s="528" t="s">
        <v>3182</v>
      </c>
      <c r="C3011" s="1024"/>
      <c r="D3011" s="882">
        <v>1</v>
      </c>
      <c r="E3011" s="251" t="s">
        <v>1767</v>
      </c>
      <c r="F3011" s="273" t="s">
        <v>3446</v>
      </c>
      <c r="G3011" s="1040" t="s">
        <v>3463</v>
      </c>
      <c r="H3011" s="273" t="s">
        <v>3462</v>
      </c>
      <c r="I3011" s="720">
        <f t="shared" si="672"/>
        <v>170.06</v>
      </c>
      <c r="J3011" s="756">
        <v>170.06</v>
      </c>
      <c r="K3011" s="131">
        <f t="shared" si="664"/>
        <v>170.06</v>
      </c>
      <c r="L3011" s="335">
        <f t="shared" si="668"/>
        <v>0</v>
      </c>
      <c r="M3011" s="446"/>
      <c r="N3011" s="446"/>
      <c r="O3011" s="446"/>
      <c r="P3011" s="446"/>
      <c r="Q3011" s="110">
        <v>1</v>
      </c>
      <c r="R3011" s="111">
        <f t="shared" si="666"/>
        <v>42.515000000000001</v>
      </c>
      <c r="S3011" s="110"/>
      <c r="T3011" s="110"/>
      <c r="U3011" s="110">
        <v>0</v>
      </c>
      <c r="V3011" s="111">
        <f t="shared" si="667"/>
        <v>42.515000000000001</v>
      </c>
      <c r="W3011" s="110"/>
      <c r="X3011" s="110"/>
      <c r="Y3011" s="110"/>
      <c r="Z3011" s="110"/>
      <c r="AA3011" s="110">
        <v>0</v>
      </c>
      <c r="AB3011" s="111">
        <f t="shared" si="662"/>
        <v>42.515000000000001</v>
      </c>
      <c r="AC3011" s="110"/>
      <c r="AD3011" s="110"/>
      <c r="AE3011" s="110">
        <v>0</v>
      </c>
      <c r="AF3011" s="111">
        <f t="shared" si="663"/>
        <v>42.515000000000001</v>
      </c>
      <c r="AG3011" s="110"/>
      <c r="AH3011" s="110"/>
      <c r="AI3011" s="110"/>
      <c r="AJ3011" s="110"/>
      <c r="AK3011" s="111">
        <f t="shared" si="669"/>
        <v>170.06</v>
      </c>
      <c r="AL3011" s="446">
        <f t="shared" si="670"/>
        <v>0</v>
      </c>
      <c r="AM3011" s="110">
        <f t="shared" si="671"/>
        <v>1</v>
      </c>
      <c r="AN3011" s="447">
        <f t="shared" si="665"/>
        <v>0</v>
      </c>
      <c r="AO3011"/>
      <c r="AP3011"/>
    </row>
    <row r="3012" spans="1:42" ht="66" x14ac:dyDescent="0.25">
      <c r="A3012" s="9"/>
      <c r="B3012" s="528" t="s">
        <v>3183</v>
      </c>
      <c r="C3012" s="1024"/>
      <c r="D3012" s="882">
        <v>1</v>
      </c>
      <c r="E3012" s="251" t="s">
        <v>1767</v>
      </c>
      <c r="F3012" s="273" t="s">
        <v>3446</v>
      </c>
      <c r="G3012" s="1040" t="s">
        <v>3463</v>
      </c>
      <c r="H3012" s="273" t="s">
        <v>3462</v>
      </c>
      <c r="I3012" s="720">
        <f t="shared" si="672"/>
        <v>74.099999999999994</v>
      </c>
      <c r="J3012" s="756">
        <v>74.099999999999994</v>
      </c>
      <c r="K3012" s="131">
        <f t="shared" si="664"/>
        <v>74.099999999999994</v>
      </c>
      <c r="L3012" s="335">
        <f t="shared" si="668"/>
        <v>0</v>
      </c>
      <c r="M3012" s="446"/>
      <c r="N3012" s="446"/>
      <c r="O3012" s="446"/>
      <c r="P3012" s="446"/>
      <c r="Q3012" s="110">
        <v>1</v>
      </c>
      <c r="R3012" s="111">
        <f t="shared" si="666"/>
        <v>18.524999999999999</v>
      </c>
      <c r="S3012" s="110"/>
      <c r="T3012" s="110"/>
      <c r="U3012" s="110">
        <v>0</v>
      </c>
      <c r="V3012" s="111">
        <f t="shared" si="667"/>
        <v>18.524999999999999</v>
      </c>
      <c r="W3012" s="110"/>
      <c r="X3012" s="110"/>
      <c r="Y3012" s="110"/>
      <c r="Z3012" s="110"/>
      <c r="AA3012" s="110">
        <v>0</v>
      </c>
      <c r="AB3012" s="111">
        <f t="shared" si="662"/>
        <v>18.524999999999999</v>
      </c>
      <c r="AC3012" s="110"/>
      <c r="AD3012" s="110"/>
      <c r="AE3012" s="110">
        <v>0</v>
      </c>
      <c r="AF3012" s="111">
        <f t="shared" si="663"/>
        <v>18.524999999999999</v>
      </c>
      <c r="AG3012" s="110"/>
      <c r="AH3012" s="110"/>
      <c r="AI3012" s="110"/>
      <c r="AJ3012" s="110"/>
      <c r="AK3012" s="111">
        <f t="shared" si="669"/>
        <v>74.099999999999994</v>
      </c>
      <c r="AL3012" s="446">
        <f t="shared" si="670"/>
        <v>0</v>
      </c>
      <c r="AM3012" s="110">
        <f t="shared" si="671"/>
        <v>1</v>
      </c>
      <c r="AN3012" s="447">
        <f t="shared" si="665"/>
        <v>0</v>
      </c>
      <c r="AO3012"/>
      <c r="AP3012"/>
    </row>
    <row r="3013" spans="1:42" ht="66" x14ac:dyDescent="0.25">
      <c r="A3013" s="9"/>
      <c r="B3013" s="528" t="s">
        <v>3184</v>
      </c>
      <c r="C3013" s="1024"/>
      <c r="D3013" s="882">
        <v>1</v>
      </c>
      <c r="E3013" s="251" t="s">
        <v>1767</v>
      </c>
      <c r="F3013" s="273" t="s">
        <v>3446</v>
      </c>
      <c r="G3013" s="1040" t="s">
        <v>3463</v>
      </c>
      <c r="H3013" s="273" t="s">
        <v>3462</v>
      </c>
      <c r="I3013" s="720">
        <f t="shared" si="672"/>
        <v>74.099999999999994</v>
      </c>
      <c r="J3013" s="756">
        <v>74.099999999999994</v>
      </c>
      <c r="K3013" s="131">
        <f t="shared" si="664"/>
        <v>74.099999999999994</v>
      </c>
      <c r="L3013" s="335">
        <f t="shared" si="668"/>
        <v>0</v>
      </c>
      <c r="M3013" s="446"/>
      <c r="N3013" s="446"/>
      <c r="O3013" s="446"/>
      <c r="P3013" s="446"/>
      <c r="Q3013" s="110">
        <v>1</v>
      </c>
      <c r="R3013" s="111">
        <f t="shared" si="666"/>
        <v>18.524999999999999</v>
      </c>
      <c r="S3013" s="110"/>
      <c r="T3013" s="110"/>
      <c r="U3013" s="110">
        <v>0</v>
      </c>
      <c r="V3013" s="111">
        <f t="shared" si="667"/>
        <v>18.524999999999999</v>
      </c>
      <c r="W3013" s="110"/>
      <c r="X3013" s="110"/>
      <c r="Y3013" s="110"/>
      <c r="Z3013" s="110"/>
      <c r="AA3013" s="110">
        <v>0</v>
      </c>
      <c r="AB3013" s="111">
        <f t="shared" si="662"/>
        <v>18.524999999999999</v>
      </c>
      <c r="AC3013" s="110"/>
      <c r="AD3013" s="110"/>
      <c r="AE3013" s="110">
        <v>0</v>
      </c>
      <c r="AF3013" s="111">
        <f t="shared" si="663"/>
        <v>18.524999999999999</v>
      </c>
      <c r="AG3013" s="110"/>
      <c r="AH3013" s="110"/>
      <c r="AI3013" s="110"/>
      <c r="AJ3013" s="110"/>
      <c r="AK3013" s="111">
        <f t="shared" si="669"/>
        <v>74.099999999999994</v>
      </c>
      <c r="AL3013" s="446">
        <f t="shared" si="670"/>
        <v>0</v>
      </c>
      <c r="AM3013" s="110">
        <f t="shared" si="671"/>
        <v>1</v>
      </c>
      <c r="AN3013" s="447">
        <f t="shared" si="665"/>
        <v>0</v>
      </c>
      <c r="AO3013"/>
      <c r="AP3013"/>
    </row>
    <row r="3014" spans="1:42" ht="66" x14ac:dyDescent="0.25">
      <c r="A3014" s="9"/>
      <c r="B3014" s="528" t="s">
        <v>3185</v>
      </c>
      <c r="C3014" s="1024"/>
      <c r="D3014" s="882">
        <v>1</v>
      </c>
      <c r="E3014" s="251" t="s">
        <v>1767</v>
      </c>
      <c r="F3014" s="273" t="s">
        <v>3446</v>
      </c>
      <c r="G3014" s="1040" t="s">
        <v>3463</v>
      </c>
      <c r="H3014" s="273" t="s">
        <v>3462</v>
      </c>
      <c r="I3014" s="720">
        <f t="shared" si="672"/>
        <v>74.099999999999994</v>
      </c>
      <c r="J3014" s="756">
        <v>74.099999999999994</v>
      </c>
      <c r="K3014" s="131">
        <f t="shared" si="664"/>
        <v>74.099999999999994</v>
      </c>
      <c r="L3014" s="335">
        <f t="shared" si="668"/>
        <v>0</v>
      </c>
      <c r="M3014" s="446"/>
      <c r="N3014" s="446"/>
      <c r="O3014" s="446"/>
      <c r="P3014" s="446"/>
      <c r="Q3014" s="110">
        <v>1</v>
      </c>
      <c r="R3014" s="111">
        <f t="shared" si="666"/>
        <v>18.524999999999999</v>
      </c>
      <c r="S3014" s="110"/>
      <c r="T3014" s="110"/>
      <c r="U3014" s="110">
        <v>0</v>
      </c>
      <c r="V3014" s="111">
        <f t="shared" si="667"/>
        <v>18.524999999999999</v>
      </c>
      <c r="W3014" s="110"/>
      <c r="X3014" s="110"/>
      <c r="Y3014" s="110"/>
      <c r="Z3014" s="110"/>
      <c r="AA3014" s="110">
        <v>0</v>
      </c>
      <c r="AB3014" s="111">
        <f t="shared" si="662"/>
        <v>18.524999999999999</v>
      </c>
      <c r="AC3014" s="110"/>
      <c r="AD3014" s="110"/>
      <c r="AE3014" s="110">
        <v>0</v>
      </c>
      <c r="AF3014" s="111">
        <f t="shared" si="663"/>
        <v>18.524999999999999</v>
      </c>
      <c r="AG3014" s="110"/>
      <c r="AH3014" s="110"/>
      <c r="AI3014" s="110"/>
      <c r="AJ3014" s="110"/>
      <c r="AK3014" s="111">
        <f t="shared" si="669"/>
        <v>74.099999999999994</v>
      </c>
      <c r="AL3014" s="446">
        <f t="shared" si="670"/>
        <v>0</v>
      </c>
      <c r="AM3014" s="110">
        <f t="shared" si="671"/>
        <v>1</v>
      </c>
      <c r="AN3014" s="447">
        <f t="shared" si="665"/>
        <v>0</v>
      </c>
      <c r="AO3014"/>
      <c r="AP3014"/>
    </row>
    <row r="3015" spans="1:42" ht="66" x14ac:dyDescent="0.25">
      <c r="A3015" s="9"/>
      <c r="B3015" s="528" t="s">
        <v>3186</v>
      </c>
      <c r="C3015" s="1024"/>
      <c r="D3015" s="882">
        <v>1</v>
      </c>
      <c r="E3015" s="251" t="s">
        <v>1767</v>
      </c>
      <c r="F3015" s="273" t="s">
        <v>3446</v>
      </c>
      <c r="G3015" s="1040" t="s">
        <v>3463</v>
      </c>
      <c r="H3015" s="273" t="s">
        <v>3462</v>
      </c>
      <c r="I3015" s="720">
        <f t="shared" si="672"/>
        <v>74.099999999999994</v>
      </c>
      <c r="J3015" s="756">
        <v>74.099999999999994</v>
      </c>
      <c r="K3015" s="131">
        <f t="shared" si="664"/>
        <v>74.099999999999994</v>
      </c>
      <c r="L3015" s="335">
        <f t="shared" si="668"/>
        <v>0</v>
      </c>
      <c r="M3015" s="446"/>
      <c r="N3015" s="446"/>
      <c r="O3015" s="446"/>
      <c r="P3015" s="446"/>
      <c r="Q3015" s="110">
        <v>1</v>
      </c>
      <c r="R3015" s="111">
        <f t="shared" si="666"/>
        <v>18.524999999999999</v>
      </c>
      <c r="S3015" s="110"/>
      <c r="T3015" s="110"/>
      <c r="U3015" s="110">
        <v>0</v>
      </c>
      <c r="V3015" s="111">
        <f t="shared" si="667"/>
        <v>18.524999999999999</v>
      </c>
      <c r="W3015" s="110"/>
      <c r="X3015" s="110"/>
      <c r="Y3015" s="110"/>
      <c r="Z3015" s="110"/>
      <c r="AA3015" s="110">
        <v>0</v>
      </c>
      <c r="AB3015" s="111">
        <f t="shared" ref="AB3015:AB3078" si="673">+J3015/4</f>
        <v>18.524999999999999</v>
      </c>
      <c r="AC3015" s="110"/>
      <c r="AD3015" s="110"/>
      <c r="AE3015" s="110">
        <v>0</v>
      </c>
      <c r="AF3015" s="111">
        <f t="shared" ref="AF3015:AF3078" si="674">+J3015/4</f>
        <v>18.524999999999999</v>
      </c>
      <c r="AG3015" s="110"/>
      <c r="AH3015" s="110"/>
      <c r="AI3015" s="110"/>
      <c r="AJ3015" s="110"/>
      <c r="AK3015" s="111">
        <f t="shared" si="669"/>
        <v>74.099999999999994</v>
      </c>
      <c r="AL3015" s="446">
        <f t="shared" si="670"/>
        <v>0</v>
      </c>
      <c r="AM3015" s="110">
        <f t="shared" si="671"/>
        <v>1</v>
      </c>
      <c r="AN3015" s="447">
        <f t="shared" si="665"/>
        <v>0</v>
      </c>
      <c r="AO3015"/>
      <c r="AP3015"/>
    </row>
    <row r="3016" spans="1:42" ht="66" x14ac:dyDescent="0.25">
      <c r="A3016" s="9"/>
      <c r="B3016" s="528" t="s">
        <v>3187</v>
      </c>
      <c r="C3016" s="1024"/>
      <c r="D3016" s="882">
        <v>1</v>
      </c>
      <c r="E3016" s="251" t="s">
        <v>1767</v>
      </c>
      <c r="F3016" s="273" t="s">
        <v>3446</v>
      </c>
      <c r="G3016" s="1040" t="s">
        <v>3463</v>
      </c>
      <c r="H3016" s="273" t="s">
        <v>3462</v>
      </c>
      <c r="I3016" s="720">
        <f t="shared" si="672"/>
        <v>74.099999999999994</v>
      </c>
      <c r="J3016" s="756">
        <v>74.099999999999994</v>
      </c>
      <c r="K3016" s="131">
        <f t="shared" si="664"/>
        <v>74.099999999999994</v>
      </c>
      <c r="L3016" s="335">
        <f t="shared" si="668"/>
        <v>0</v>
      </c>
      <c r="M3016" s="446"/>
      <c r="N3016" s="446"/>
      <c r="O3016" s="446"/>
      <c r="P3016" s="446"/>
      <c r="Q3016" s="110">
        <v>1</v>
      </c>
      <c r="R3016" s="111">
        <f t="shared" si="666"/>
        <v>18.524999999999999</v>
      </c>
      <c r="S3016" s="110"/>
      <c r="T3016" s="110"/>
      <c r="U3016" s="110">
        <v>0</v>
      </c>
      <c r="V3016" s="111">
        <f t="shared" si="667"/>
        <v>18.524999999999999</v>
      </c>
      <c r="W3016" s="110"/>
      <c r="X3016" s="110"/>
      <c r="Y3016" s="110"/>
      <c r="Z3016" s="110"/>
      <c r="AA3016" s="110">
        <v>0</v>
      </c>
      <c r="AB3016" s="111">
        <f t="shared" si="673"/>
        <v>18.524999999999999</v>
      </c>
      <c r="AC3016" s="110"/>
      <c r="AD3016" s="110"/>
      <c r="AE3016" s="110">
        <v>0</v>
      </c>
      <c r="AF3016" s="111">
        <f t="shared" si="674"/>
        <v>18.524999999999999</v>
      </c>
      <c r="AG3016" s="110"/>
      <c r="AH3016" s="110"/>
      <c r="AI3016" s="110"/>
      <c r="AJ3016" s="110"/>
      <c r="AK3016" s="111">
        <f t="shared" si="669"/>
        <v>74.099999999999994</v>
      </c>
      <c r="AL3016" s="446">
        <f t="shared" si="670"/>
        <v>0</v>
      </c>
      <c r="AM3016" s="110">
        <f t="shared" si="671"/>
        <v>1</v>
      </c>
      <c r="AN3016" s="447">
        <f t="shared" si="665"/>
        <v>0</v>
      </c>
      <c r="AO3016"/>
      <c r="AP3016"/>
    </row>
    <row r="3017" spans="1:42" ht="66" x14ac:dyDescent="0.25">
      <c r="A3017" s="9"/>
      <c r="B3017" s="528" t="s">
        <v>3188</v>
      </c>
      <c r="C3017" s="1024"/>
      <c r="D3017" s="882">
        <v>1</v>
      </c>
      <c r="E3017" s="251" t="s">
        <v>1767</v>
      </c>
      <c r="F3017" s="273" t="s">
        <v>3446</v>
      </c>
      <c r="G3017" s="1040" t="s">
        <v>3463</v>
      </c>
      <c r="H3017" s="273" t="s">
        <v>3462</v>
      </c>
      <c r="I3017" s="720">
        <f t="shared" si="672"/>
        <v>74.099999999999994</v>
      </c>
      <c r="J3017" s="756">
        <v>74.099999999999994</v>
      </c>
      <c r="K3017" s="131">
        <f t="shared" si="664"/>
        <v>74.099999999999994</v>
      </c>
      <c r="L3017" s="335">
        <f t="shared" si="668"/>
        <v>0</v>
      </c>
      <c r="M3017" s="446"/>
      <c r="N3017" s="446"/>
      <c r="O3017" s="446"/>
      <c r="P3017" s="446"/>
      <c r="Q3017" s="110">
        <v>1</v>
      </c>
      <c r="R3017" s="111">
        <f t="shared" si="666"/>
        <v>18.524999999999999</v>
      </c>
      <c r="S3017" s="110"/>
      <c r="T3017" s="110"/>
      <c r="U3017" s="110">
        <v>0</v>
      </c>
      <c r="V3017" s="111">
        <f t="shared" si="667"/>
        <v>18.524999999999999</v>
      </c>
      <c r="W3017" s="110"/>
      <c r="X3017" s="110"/>
      <c r="Y3017" s="110"/>
      <c r="Z3017" s="110"/>
      <c r="AA3017" s="110">
        <v>0</v>
      </c>
      <c r="AB3017" s="111">
        <f t="shared" si="673"/>
        <v>18.524999999999999</v>
      </c>
      <c r="AC3017" s="110"/>
      <c r="AD3017" s="110"/>
      <c r="AE3017" s="110">
        <v>0</v>
      </c>
      <c r="AF3017" s="111">
        <f t="shared" si="674"/>
        <v>18.524999999999999</v>
      </c>
      <c r="AG3017" s="110"/>
      <c r="AH3017" s="110"/>
      <c r="AI3017" s="110"/>
      <c r="AJ3017" s="110"/>
      <c r="AK3017" s="111">
        <f t="shared" si="669"/>
        <v>74.099999999999994</v>
      </c>
      <c r="AL3017" s="446">
        <f t="shared" si="670"/>
        <v>0</v>
      </c>
      <c r="AM3017" s="110">
        <f t="shared" si="671"/>
        <v>1</v>
      </c>
      <c r="AN3017" s="447">
        <f t="shared" si="665"/>
        <v>0</v>
      </c>
      <c r="AO3017"/>
      <c r="AP3017"/>
    </row>
    <row r="3018" spans="1:42" ht="66" x14ac:dyDescent="0.25">
      <c r="A3018" s="9"/>
      <c r="B3018" s="528" t="s">
        <v>3189</v>
      </c>
      <c r="C3018" s="1024"/>
      <c r="D3018" s="882">
        <v>1</v>
      </c>
      <c r="E3018" s="251" t="s">
        <v>1767</v>
      </c>
      <c r="F3018" s="273" t="s">
        <v>3446</v>
      </c>
      <c r="G3018" s="1040" t="s">
        <v>3463</v>
      </c>
      <c r="H3018" s="273" t="s">
        <v>3462</v>
      </c>
      <c r="I3018" s="720">
        <f t="shared" si="672"/>
        <v>74.099999999999994</v>
      </c>
      <c r="J3018" s="756">
        <v>74.099999999999994</v>
      </c>
      <c r="K3018" s="131">
        <f t="shared" si="664"/>
        <v>74.099999999999994</v>
      </c>
      <c r="L3018" s="335">
        <f t="shared" si="668"/>
        <v>0</v>
      </c>
      <c r="M3018" s="446"/>
      <c r="N3018" s="446"/>
      <c r="O3018" s="446"/>
      <c r="P3018" s="446"/>
      <c r="Q3018" s="110">
        <v>1</v>
      </c>
      <c r="R3018" s="111">
        <f t="shared" si="666"/>
        <v>18.524999999999999</v>
      </c>
      <c r="S3018" s="110"/>
      <c r="T3018" s="110"/>
      <c r="U3018" s="110">
        <v>0</v>
      </c>
      <c r="V3018" s="111">
        <f t="shared" si="667"/>
        <v>18.524999999999999</v>
      </c>
      <c r="W3018" s="110"/>
      <c r="X3018" s="110"/>
      <c r="Y3018" s="110"/>
      <c r="Z3018" s="110"/>
      <c r="AA3018" s="110">
        <v>0</v>
      </c>
      <c r="AB3018" s="111">
        <f t="shared" si="673"/>
        <v>18.524999999999999</v>
      </c>
      <c r="AC3018" s="110"/>
      <c r="AD3018" s="110"/>
      <c r="AE3018" s="110">
        <v>0</v>
      </c>
      <c r="AF3018" s="111">
        <f t="shared" si="674"/>
        <v>18.524999999999999</v>
      </c>
      <c r="AG3018" s="110"/>
      <c r="AH3018" s="110"/>
      <c r="AI3018" s="110"/>
      <c r="AJ3018" s="110"/>
      <c r="AK3018" s="111">
        <f t="shared" si="669"/>
        <v>74.099999999999994</v>
      </c>
      <c r="AL3018" s="446">
        <f t="shared" si="670"/>
        <v>0</v>
      </c>
      <c r="AM3018" s="110">
        <f t="shared" si="671"/>
        <v>1</v>
      </c>
      <c r="AN3018" s="447">
        <f t="shared" si="665"/>
        <v>0</v>
      </c>
      <c r="AO3018"/>
      <c r="AP3018"/>
    </row>
    <row r="3019" spans="1:42" ht="66" x14ac:dyDescent="0.25">
      <c r="A3019" s="9"/>
      <c r="B3019" s="528" t="s">
        <v>3190</v>
      </c>
      <c r="C3019" s="1024"/>
      <c r="D3019" s="882">
        <v>1</v>
      </c>
      <c r="E3019" s="251" t="s">
        <v>1767</v>
      </c>
      <c r="F3019" s="273" t="s">
        <v>3446</v>
      </c>
      <c r="G3019" s="1040" t="s">
        <v>3463</v>
      </c>
      <c r="H3019" s="273" t="s">
        <v>3462</v>
      </c>
      <c r="I3019" s="720">
        <f t="shared" si="672"/>
        <v>74.099999999999994</v>
      </c>
      <c r="J3019" s="756">
        <v>74.099999999999994</v>
      </c>
      <c r="K3019" s="131">
        <f t="shared" si="664"/>
        <v>74.099999999999994</v>
      </c>
      <c r="L3019" s="335">
        <f t="shared" si="668"/>
        <v>0</v>
      </c>
      <c r="M3019" s="446"/>
      <c r="N3019" s="446"/>
      <c r="O3019" s="446"/>
      <c r="P3019" s="446"/>
      <c r="Q3019" s="110">
        <v>1</v>
      </c>
      <c r="R3019" s="111">
        <f t="shared" si="666"/>
        <v>18.524999999999999</v>
      </c>
      <c r="S3019" s="110"/>
      <c r="T3019" s="110"/>
      <c r="U3019" s="110">
        <v>0</v>
      </c>
      <c r="V3019" s="111">
        <f t="shared" si="667"/>
        <v>18.524999999999999</v>
      </c>
      <c r="W3019" s="110"/>
      <c r="X3019" s="110"/>
      <c r="Y3019" s="110"/>
      <c r="Z3019" s="110"/>
      <c r="AA3019" s="110">
        <v>0</v>
      </c>
      <c r="AB3019" s="111">
        <f t="shared" si="673"/>
        <v>18.524999999999999</v>
      </c>
      <c r="AC3019" s="110"/>
      <c r="AD3019" s="110"/>
      <c r="AE3019" s="110">
        <v>0</v>
      </c>
      <c r="AF3019" s="111">
        <f t="shared" si="674"/>
        <v>18.524999999999999</v>
      </c>
      <c r="AG3019" s="110"/>
      <c r="AH3019" s="110"/>
      <c r="AI3019" s="110"/>
      <c r="AJ3019" s="110"/>
      <c r="AK3019" s="111">
        <f t="shared" si="669"/>
        <v>74.099999999999994</v>
      </c>
      <c r="AL3019" s="446">
        <f t="shared" si="670"/>
        <v>0</v>
      </c>
      <c r="AM3019" s="110">
        <f t="shared" si="671"/>
        <v>1</v>
      </c>
      <c r="AN3019" s="447">
        <f t="shared" si="665"/>
        <v>0</v>
      </c>
      <c r="AO3019"/>
      <c r="AP3019"/>
    </row>
    <row r="3020" spans="1:42" ht="66" x14ac:dyDescent="0.25">
      <c r="A3020" s="9"/>
      <c r="B3020" s="528" t="s">
        <v>3191</v>
      </c>
      <c r="C3020" s="1024"/>
      <c r="D3020" s="882">
        <v>1</v>
      </c>
      <c r="E3020" s="251" t="s">
        <v>1767</v>
      </c>
      <c r="F3020" s="273" t="s">
        <v>3446</v>
      </c>
      <c r="G3020" s="1040" t="s">
        <v>3463</v>
      </c>
      <c r="H3020" s="273" t="s">
        <v>3462</v>
      </c>
      <c r="I3020" s="720">
        <f t="shared" si="672"/>
        <v>74.099999999999994</v>
      </c>
      <c r="J3020" s="756">
        <v>74.099999999999994</v>
      </c>
      <c r="K3020" s="131">
        <f t="shared" si="664"/>
        <v>74.099999999999994</v>
      </c>
      <c r="L3020" s="335">
        <f t="shared" si="668"/>
        <v>0</v>
      </c>
      <c r="M3020" s="446"/>
      <c r="N3020" s="446"/>
      <c r="O3020" s="446"/>
      <c r="P3020" s="446"/>
      <c r="Q3020" s="110">
        <v>1</v>
      </c>
      <c r="R3020" s="111">
        <f t="shared" si="666"/>
        <v>18.524999999999999</v>
      </c>
      <c r="S3020" s="110"/>
      <c r="T3020" s="110"/>
      <c r="U3020" s="110">
        <v>0</v>
      </c>
      <c r="V3020" s="111">
        <f t="shared" si="667"/>
        <v>18.524999999999999</v>
      </c>
      <c r="W3020" s="110"/>
      <c r="X3020" s="110"/>
      <c r="Y3020" s="110"/>
      <c r="Z3020" s="110"/>
      <c r="AA3020" s="110">
        <v>0</v>
      </c>
      <c r="AB3020" s="111">
        <f t="shared" si="673"/>
        <v>18.524999999999999</v>
      </c>
      <c r="AC3020" s="110"/>
      <c r="AD3020" s="110"/>
      <c r="AE3020" s="110">
        <v>0</v>
      </c>
      <c r="AF3020" s="111">
        <f t="shared" si="674"/>
        <v>18.524999999999999</v>
      </c>
      <c r="AG3020" s="110"/>
      <c r="AH3020" s="110"/>
      <c r="AI3020" s="110"/>
      <c r="AJ3020" s="110"/>
      <c r="AK3020" s="111">
        <f t="shared" si="669"/>
        <v>74.099999999999994</v>
      </c>
      <c r="AL3020" s="446">
        <f t="shared" si="670"/>
        <v>0</v>
      </c>
      <c r="AM3020" s="110">
        <f t="shared" si="671"/>
        <v>1</v>
      </c>
      <c r="AN3020" s="447">
        <f t="shared" si="665"/>
        <v>0</v>
      </c>
      <c r="AO3020"/>
      <c r="AP3020"/>
    </row>
    <row r="3021" spans="1:42" ht="66" x14ac:dyDescent="0.25">
      <c r="A3021" s="9"/>
      <c r="B3021" s="528" t="s">
        <v>3192</v>
      </c>
      <c r="C3021" s="1024"/>
      <c r="D3021" s="882">
        <v>1</v>
      </c>
      <c r="E3021" s="251" t="s">
        <v>1767</v>
      </c>
      <c r="F3021" s="273" t="s">
        <v>3446</v>
      </c>
      <c r="G3021" s="1040" t="s">
        <v>3463</v>
      </c>
      <c r="H3021" s="273" t="s">
        <v>3462</v>
      </c>
      <c r="I3021" s="720">
        <f t="shared" si="672"/>
        <v>74.099999999999994</v>
      </c>
      <c r="J3021" s="756">
        <v>74.099999999999994</v>
      </c>
      <c r="K3021" s="131">
        <f t="shared" si="664"/>
        <v>74.099999999999994</v>
      </c>
      <c r="L3021" s="335">
        <f t="shared" si="668"/>
        <v>0</v>
      </c>
      <c r="M3021" s="446"/>
      <c r="N3021" s="446"/>
      <c r="O3021" s="446"/>
      <c r="P3021" s="446"/>
      <c r="Q3021" s="110">
        <v>1</v>
      </c>
      <c r="R3021" s="111">
        <f t="shared" si="666"/>
        <v>18.524999999999999</v>
      </c>
      <c r="S3021" s="110"/>
      <c r="T3021" s="110"/>
      <c r="U3021" s="110">
        <v>0</v>
      </c>
      <c r="V3021" s="111">
        <f t="shared" si="667"/>
        <v>18.524999999999999</v>
      </c>
      <c r="W3021" s="110"/>
      <c r="X3021" s="110"/>
      <c r="Y3021" s="110"/>
      <c r="Z3021" s="110"/>
      <c r="AA3021" s="110">
        <v>0</v>
      </c>
      <c r="AB3021" s="111">
        <f t="shared" si="673"/>
        <v>18.524999999999999</v>
      </c>
      <c r="AC3021" s="110"/>
      <c r="AD3021" s="110"/>
      <c r="AE3021" s="110">
        <v>0</v>
      </c>
      <c r="AF3021" s="111">
        <f t="shared" si="674"/>
        <v>18.524999999999999</v>
      </c>
      <c r="AG3021" s="110"/>
      <c r="AH3021" s="110"/>
      <c r="AI3021" s="110"/>
      <c r="AJ3021" s="110"/>
      <c r="AK3021" s="111">
        <f t="shared" si="669"/>
        <v>74.099999999999994</v>
      </c>
      <c r="AL3021" s="446">
        <f t="shared" si="670"/>
        <v>0</v>
      </c>
      <c r="AM3021" s="110">
        <f t="shared" si="671"/>
        <v>1</v>
      </c>
      <c r="AN3021" s="447">
        <f t="shared" si="665"/>
        <v>0</v>
      </c>
      <c r="AO3021"/>
      <c r="AP3021"/>
    </row>
    <row r="3022" spans="1:42" ht="66" x14ac:dyDescent="0.25">
      <c r="A3022" s="9"/>
      <c r="B3022" s="528" t="s">
        <v>3193</v>
      </c>
      <c r="C3022" s="1024"/>
      <c r="D3022" s="882">
        <v>1</v>
      </c>
      <c r="E3022" s="251" t="s">
        <v>1767</v>
      </c>
      <c r="F3022" s="273" t="s">
        <v>3446</v>
      </c>
      <c r="G3022" s="1040" t="s">
        <v>3463</v>
      </c>
      <c r="H3022" s="273" t="s">
        <v>3462</v>
      </c>
      <c r="I3022" s="720">
        <f t="shared" si="672"/>
        <v>74.099999999999994</v>
      </c>
      <c r="J3022" s="756">
        <v>74.099999999999994</v>
      </c>
      <c r="K3022" s="131">
        <f t="shared" si="664"/>
        <v>74.099999999999994</v>
      </c>
      <c r="L3022" s="335">
        <f t="shared" si="668"/>
        <v>0</v>
      </c>
      <c r="M3022" s="446"/>
      <c r="N3022" s="446"/>
      <c r="O3022" s="446"/>
      <c r="P3022" s="446"/>
      <c r="Q3022" s="110">
        <v>1</v>
      </c>
      <c r="R3022" s="111">
        <f t="shared" si="666"/>
        <v>18.524999999999999</v>
      </c>
      <c r="S3022" s="110"/>
      <c r="T3022" s="110"/>
      <c r="U3022" s="110">
        <v>0</v>
      </c>
      <c r="V3022" s="111">
        <f t="shared" si="667"/>
        <v>18.524999999999999</v>
      </c>
      <c r="W3022" s="110"/>
      <c r="X3022" s="110"/>
      <c r="Y3022" s="110"/>
      <c r="Z3022" s="110"/>
      <c r="AA3022" s="110">
        <v>0</v>
      </c>
      <c r="AB3022" s="111">
        <f t="shared" si="673"/>
        <v>18.524999999999999</v>
      </c>
      <c r="AC3022" s="110"/>
      <c r="AD3022" s="110"/>
      <c r="AE3022" s="110">
        <v>0</v>
      </c>
      <c r="AF3022" s="111">
        <f t="shared" si="674"/>
        <v>18.524999999999999</v>
      </c>
      <c r="AG3022" s="110"/>
      <c r="AH3022" s="110"/>
      <c r="AI3022" s="110"/>
      <c r="AJ3022" s="110"/>
      <c r="AK3022" s="111">
        <f t="shared" si="669"/>
        <v>74.099999999999994</v>
      </c>
      <c r="AL3022" s="446">
        <f t="shared" si="670"/>
        <v>0</v>
      </c>
      <c r="AM3022" s="110">
        <f t="shared" si="671"/>
        <v>1</v>
      </c>
      <c r="AN3022" s="447">
        <f t="shared" si="665"/>
        <v>0</v>
      </c>
      <c r="AO3022"/>
      <c r="AP3022"/>
    </row>
    <row r="3023" spans="1:42" ht="66" x14ac:dyDescent="0.25">
      <c r="A3023" s="9"/>
      <c r="B3023" s="528" t="s">
        <v>3194</v>
      </c>
      <c r="C3023" s="1024"/>
      <c r="D3023" s="882">
        <v>1</v>
      </c>
      <c r="E3023" s="251" t="s">
        <v>1767</v>
      </c>
      <c r="F3023" s="273" t="s">
        <v>3446</v>
      </c>
      <c r="G3023" s="1040" t="s">
        <v>3463</v>
      </c>
      <c r="H3023" s="273" t="s">
        <v>3462</v>
      </c>
      <c r="I3023" s="720">
        <f t="shared" si="672"/>
        <v>74.099999999999994</v>
      </c>
      <c r="J3023" s="756">
        <v>74.099999999999994</v>
      </c>
      <c r="K3023" s="131">
        <f t="shared" si="664"/>
        <v>74.099999999999994</v>
      </c>
      <c r="L3023" s="335">
        <f t="shared" si="668"/>
        <v>0</v>
      </c>
      <c r="M3023" s="446"/>
      <c r="N3023" s="446"/>
      <c r="O3023" s="446"/>
      <c r="P3023" s="446"/>
      <c r="Q3023" s="110">
        <v>1</v>
      </c>
      <c r="R3023" s="111">
        <f t="shared" si="666"/>
        <v>18.524999999999999</v>
      </c>
      <c r="S3023" s="110"/>
      <c r="T3023" s="110"/>
      <c r="U3023" s="110">
        <v>0</v>
      </c>
      <c r="V3023" s="111">
        <f t="shared" si="667"/>
        <v>18.524999999999999</v>
      </c>
      <c r="W3023" s="110"/>
      <c r="X3023" s="110"/>
      <c r="Y3023" s="110"/>
      <c r="Z3023" s="110"/>
      <c r="AA3023" s="110">
        <v>0</v>
      </c>
      <c r="AB3023" s="111">
        <f t="shared" si="673"/>
        <v>18.524999999999999</v>
      </c>
      <c r="AC3023" s="110"/>
      <c r="AD3023" s="110"/>
      <c r="AE3023" s="110">
        <v>0</v>
      </c>
      <c r="AF3023" s="111">
        <f t="shared" si="674"/>
        <v>18.524999999999999</v>
      </c>
      <c r="AG3023" s="110"/>
      <c r="AH3023" s="110"/>
      <c r="AI3023" s="110"/>
      <c r="AJ3023" s="110"/>
      <c r="AK3023" s="111">
        <f t="shared" si="669"/>
        <v>74.099999999999994</v>
      </c>
      <c r="AL3023" s="446">
        <f t="shared" si="670"/>
        <v>0</v>
      </c>
      <c r="AM3023" s="110">
        <f t="shared" si="671"/>
        <v>1</v>
      </c>
      <c r="AN3023" s="447">
        <f t="shared" si="665"/>
        <v>0</v>
      </c>
      <c r="AO3023"/>
      <c r="AP3023"/>
    </row>
    <row r="3024" spans="1:42" ht="66" x14ac:dyDescent="0.25">
      <c r="A3024" s="9"/>
      <c r="B3024" s="528" t="s">
        <v>3195</v>
      </c>
      <c r="C3024" s="1024"/>
      <c r="D3024" s="882">
        <v>1</v>
      </c>
      <c r="E3024" s="251" t="s">
        <v>1767</v>
      </c>
      <c r="F3024" s="273" t="s">
        <v>3446</v>
      </c>
      <c r="G3024" s="1040" t="s">
        <v>3463</v>
      </c>
      <c r="H3024" s="273" t="s">
        <v>3462</v>
      </c>
      <c r="I3024" s="720">
        <f t="shared" si="672"/>
        <v>74.099999999999994</v>
      </c>
      <c r="J3024" s="756">
        <v>74.099999999999994</v>
      </c>
      <c r="K3024" s="131">
        <f t="shared" si="664"/>
        <v>74.099999999999994</v>
      </c>
      <c r="L3024" s="335">
        <f t="shared" si="668"/>
        <v>0</v>
      </c>
      <c r="M3024" s="446"/>
      <c r="N3024" s="446"/>
      <c r="O3024" s="446"/>
      <c r="P3024" s="446"/>
      <c r="Q3024" s="110">
        <v>1</v>
      </c>
      <c r="R3024" s="111">
        <f t="shared" si="666"/>
        <v>18.524999999999999</v>
      </c>
      <c r="S3024" s="110"/>
      <c r="T3024" s="110"/>
      <c r="U3024" s="110">
        <v>0</v>
      </c>
      <c r="V3024" s="111">
        <f t="shared" si="667"/>
        <v>18.524999999999999</v>
      </c>
      <c r="W3024" s="110"/>
      <c r="X3024" s="110"/>
      <c r="Y3024" s="110"/>
      <c r="Z3024" s="110"/>
      <c r="AA3024" s="110">
        <v>0</v>
      </c>
      <c r="AB3024" s="111">
        <f t="shared" si="673"/>
        <v>18.524999999999999</v>
      </c>
      <c r="AC3024" s="110"/>
      <c r="AD3024" s="110"/>
      <c r="AE3024" s="110">
        <v>0</v>
      </c>
      <c r="AF3024" s="111">
        <f t="shared" si="674"/>
        <v>18.524999999999999</v>
      </c>
      <c r="AG3024" s="110"/>
      <c r="AH3024" s="110"/>
      <c r="AI3024" s="110"/>
      <c r="AJ3024" s="110"/>
      <c r="AK3024" s="111">
        <f t="shared" si="669"/>
        <v>74.099999999999994</v>
      </c>
      <c r="AL3024" s="446">
        <f t="shared" si="670"/>
        <v>0</v>
      </c>
      <c r="AM3024" s="110">
        <f t="shared" si="671"/>
        <v>1</v>
      </c>
      <c r="AN3024" s="447">
        <f t="shared" si="665"/>
        <v>0</v>
      </c>
      <c r="AO3024"/>
      <c r="AP3024"/>
    </row>
    <row r="3025" spans="1:42" ht="66" x14ac:dyDescent="0.25">
      <c r="A3025" s="9"/>
      <c r="B3025" s="528" t="s">
        <v>3196</v>
      </c>
      <c r="C3025" s="1024"/>
      <c r="D3025" s="882">
        <v>1</v>
      </c>
      <c r="E3025" s="251" t="s">
        <v>1767</v>
      </c>
      <c r="F3025" s="273" t="s">
        <v>3446</v>
      </c>
      <c r="G3025" s="1040" t="s">
        <v>3463</v>
      </c>
      <c r="H3025" s="273" t="s">
        <v>3462</v>
      </c>
      <c r="I3025" s="720">
        <f t="shared" si="672"/>
        <v>74.099999999999994</v>
      </c>
      <c r="J3025" s="756">
        <v>74.099999999999994</v>
      </c>
      <c r="K3025" s="131">
        <f t="shared" si="664"/>
        <v>74.099999999999994</v>
      </c>
      <c r="L3025" s="335">
        <f t="shared" si="668"/>
        <v>0</v>
      </c>
      <c r="M3025" s="446"/>
      <c r="N3025" s="446"/>
      <c r="O3025" s="446"/>
      <c r="P3025" s="446"/>
      <c r="Q3025" s="110">
        <v>1</v>
      </c>
      <c r="R3025" s="111">
        <f t="shared" si="666"/>
        <v>18.524999999999999</v>
      </c>
      <c r="S3025" s="110"/>
      <c r="T3025" s="110"/>
      <c r="U3025" s="110">
        <v>0</v>
      </c>
      <c r="V3025" s="111">
        <f t="shared" si="667"/>
        <v>18.524999999999999</v>
      </c>
      <c r="W3025" s="110"/>
      <c r="X3025" s="110"/>
      <c r="Y3025" s="110"/>
      <c r="Z3025" s="110"/>
      <c r="AA3025" s="110">
        <v>0</v>
      </c>
      <c r="AB3025" s="111">
        <f t="shared" si="673"/>
        <v>18.524999999999999</v>
      </c>
      <c r="AC3025" s="110"/>
      <c r="AD3025" s="110"/>
      <c r="AE3025" s="110">
        <v>0</v>
      </c>
      <c r="AF3025" s="111">
        <f t="shared" si="674"/>
        <v>18.524999999999999</v>
      </c>
      <c r="AG3025" s="110"/>
      <c r="AH3025" s="110"/>
      <c r="AI3025" s="110"/>
      <c r="AJ3025" s="110"/>
      <c r="AK3025" s="111">
        <f t="shared" si="669"/>
        <v>74.099999999999994</v>
      </c>
      <c r="AL3025" s="446">
        <f t="shared" si="670"/>
        <v>0</v>
      </c>
      <c r="AM3025" s="110">
        <f t="shared" si="671"/>
        <v>1</v>
      </c>
      <c r="AN3025" s="447">
        <f t="shared" si="665"/>
        <v>0</v>
      </c>
      <c r="AO3025"/>
      <c r="AP3025"/>
    </row>
    <row r="3026" spans="1:42" ht="66" x14ac:dyDescent="0.25">
      <c r="A3026" s="9"/>
      <c r="B3026" s="528" t="s">
        <v>3197</v>
      </c>
      <c r="C3026" s="1024"/>
      <c r="D3026" s="882">
        <v>1</v>
      </c>
      <c r="E3026" s="251" t="s">
        <v>1766</v>
      </c>
      <c r="F3026" s="273" t="s">
        <v>3446</v>
      </c>
      <c r="G3026" s="1040" t="s">
        <v>3463</v>
      </c>
      <c r="H3026" s="273" t="s">
        <v>3462</v>
      </c>
      <c r="I3026" s="720">
        <f t="shared" si="672"/>
        <v>87.06</v>
      </c>
      <c r="J3026" s="756">
        <v>87.06</v>
      </c>
      <c r="K3026" s="131">
        <f t="shared" si="664"/>
        <v>87.06</v>
      </c>
      <c r="L3026" s="335">
        <f t="shared" si="668"/>
        <v>0</v>
      </c>
      <c r="M3026" s="446"/>
      <c r="N3026" s="446"/>
      <c r="O3026" s="446"/>
      <c r="P3026" s="446"/>
      <c r="Q3026" s="110">
        <v>1</v>
      </c>
      <c r="R3026" s="111">
        <f t="shared" si="666"/>
        <v>21.765000000000001</v>
      </c>
      <c r="S3026" s="110"/>
      <c r="T3026" s="110"/>
      <c r="U3026" s="110">
        <v>0</v>
      </c>
      <c r="V3026" s="111">
        <f t="shared" si="667"/>
        <v>21.765000000000001</v>
      </c>
      <c r="W3026" s="110"/>
      <c r="X3026" s="110"/>
      <c r="Y3026" s="110"/>
      <c r="Z3026" s="110"/>
      <c r="AA3026" s="110">
        <v>0</v>
      </c>
      <c r="AB3026" s="111">
        <f t="shared" si="673"/>
        <v>21.765000000000001</v>
      </c>
      <c r="AC3026" s="110"/>
      <c r="AD3026" s="110"/>
      <c r="AE3026" s="110">
        <v>0</v>
      </c>
      <c r="AF3026" s="111">
        <f t="shared" si="674"/>
        <v>21.765000000000001</v>
      </c>
      <c r="AG3026" s="110"/>
      <c r="AH3026" s="110"/>
      <c r="AI3026" s="110"/>
      <c r="AJ3026" s="110"/>
      <c r="AK3026" s="111">
        <f t="shared" si="669"/>
        <v>87.06</v>
      </c>
      <c r="AL3026" s="446">
        <f t="shared" si="670"/>
        <v>0</v>
      </c>
      <c r="AM3026" s="110">
        <f t="shared" si="671"/>
        <v>1</v>
      </c>
      <c r="AN3026" s="447">
        <f t="shared" si="665"/>
        <v>0</v>
      </c>
      <c r="AO3026"/>
      <c r="AP3026"/>
    </row>
    <row r="3027" spans="1:42" ht="66" x14ac:dyDescent="0.25">
      <c r="A3027" s="9"/>
      <c r="B3027" s="528" t="s">
        <v>3198</v>
      </c>
      <c r="C3027" s="1024"/>
      <c r="D3027" s="882">
        <v>1</v>
      </c>
      <c r="E3027" s="251" t="s">
        <v>1767</v>
      </c>
      <c r="F3027" s="273" t="s">
        <v>3446</v>
      </c>
      <c r="G3027" s="1040" t="s">
        <v>3463</v>
      </c>
      <c r="H3027" s="273" t="s">
        <v>3462</v>
      </c>
      <c r="I3027" s="720">
        <f t="shared" si="672"/>
        <v>75.91968</v>
      </c>
      <c r="J3027" s="756">
        <v>75.91968</v>
      </c>
      <c r="K3027" s="131">
        <f t="shared" si="664"/>
        <v>75.91968</v>
      </c>
      <c r="L3027" s="335">
        <f t="shared" si="668"/>
        <v>0</v>
      </c>
      <c r="M3027" s="446"/>
      <c r="N3027" s="446"/>
      <c r="O3027" s="446"/>
      <c r="P3027" s="446"/>
      <c r="Q3027" s="110">
        <v>1</v>
      </c>
      <c r="R3027" s="111">
        <f t="shared" si="666"/>
        <v>18.97992</v>
      </c>
      <c r="S3027" s="110"/>
      <c r="T3027" s="110"/>
      <c r="U3027" s="110">
        <v>0</v>
      </c>
      <c r="V3027" s="111">
        <f t="shared" si="667"/>
        <v>18.97992</v>
      </c>
      <c r="W3027" s="110"/>
      <c r="X3027" s="110"/>
      <c r="Y3027" s="110"/>
      <c r="Z3027" s="110"/>
      <c r="AA3027" s="110">
        <v>0</v>
      </c>
      <c r="AB3027" s="111">
        <f t="shared" si="673"/>
        <v>18.97992</v>
      </c>
      <c r="AC3027" s="110"/>
      <c r="AD3027" s="110"/>
      <c r="AE3027" s="110">
        <v>0</v>
      </c>
      <c r="AF3027" s="111">
        <f t="shared" si="674"/>
        <v>18.97992</v>
      </c>
      <c r="AG3027" s="110"/>
      <c r="AH3027" s="110"/>
      <c r="AI3027" s="110"/>
      <c r="AJ3027" s="110"/>
      <c r="AK3027" s="111">
        <f t="shared" si="669"/>
        <v>75.91968</v>
      </c>
      <c r="AL3027" s="446">
        <f t="shared" si="670"/>
        <v>0</v>
      </c>
      <c r="AM3027" s="110">
        <f t="shared" si="671"/>
        <v>1</v>
      </c>
      <c r="AN3027" s="447">
        <f t="shared" si="665"/>
        <v>0</v>
      </c>
      <c r="AO3027"/>
      <c r="AP3027"/>
    </row>
    <row r="3028" spans="1:42" ht="66" x14ac:dyDescent="0.25">
      <c r="A3028" s="9"/>
      <c r="B3028" s="528" t="s">
        <v>3199</v>
      </c>
      <c r="C3028" s="1024"/>
      <c r="D3028" s="882">
        <v>1</v>
      </c>
      <c r="E3028" s="251" t="s">
        <v>1767</v>
      </c>
      <c r="F3028" s="273" t="s">
        <v>3446</v>
      </c>
      <c r="G3028" s="1040" t="s">
        <v>3463</v>
      </c>
      <c r="H3028" s="273" t="s">
        <v>3462</v>
      </c>
      <c r="I3028" s="720">
        <f t="shared" si="672"/>
        <v>149.88</v>
      </c>
      <c r="J3028" s="756">
        <v>149.88</v>
      </c>
      <c r="K3028" s="131">
        <f t="shared" si="664"/>
        <v>149.88</v>
      </c>
      <c r="L3028" s="335">
        <f t="shared" si="668"/>
        <v>0</v>
      </c>
      <c r="M3028" s="446"/>
      <c r="N3028" s="446"/>
      <c r="O3028" s="446"/>
      <c r="P3028" s="446"/>
      <c r="Q3028" s="110">
        <v>1</v>
      </c>
      <c r="R3028" s="111">
        <f t="shared" si="666"/>
        <v>37.47</v>
      </c>
      <c r="S3028" s="110"/>
      <c r="T3028" s="110"/>
      <c r="U3028" s="110">
        <v>0</v>
      </c>
      <c r="V3028" s="111">
        <f t="shared" si="667"/>
        <v>37.47</v>
      </c>
      <c r="W3028" s="110"/>
      <c r="X3028" s="110"/>
      <c r="Y3028" s="110"/>
      <c r="Z3028" s="110"/>
      <c r="AA3028" s="110">
        <v>0</v>
      </c>
      <c r="AB3028" s="111">
        <f t="shared" si="673"/>
        <v>37.47</v>
      </c>
      <c r="AC3028" s="110"/>
      <c r="AD3028" s="110"/>
      <c r="AE3028" s="110">
        <v>0</v>
      </c>
      <c r="AF3028" s="111">
        <f t="shared" si="674"/>
        <v>37.47</v>
      </c>
      <c r="AG3028" s="110"/>
      <c r="AH3028" s="110"/>
      <c r="AI3028" s="110"/>
      <c r="AJ3028" s="110"/>
      <c r="AK3028" s="111">
        <f t="shared" si="669"/>
        <v>149.88</v>
      </c>
      <c r="AL3028" s="446">
        <f t="shared" si="670"/>
        <v>0</v>
      </c>
      <c r="AM3028" s="110">
        <f t="shared" si="671"/>
        <v>1</v>
      </c>
      <c r="AN3028" s="447">
        <f t="shared" si="665"/>
        <v>0</v>
      </c>
      <c r="AO3028"/>
      <c r="AP3028"/>
    </row>
    <row r="3029" spans="1:42" ht="66" x14ac:dyDescent="0.25">
      <c r="A3029" s="9"/>
      <c r="B3029" s="528" t="s">
        <v>3200</v>
      </c>
      <c r="C3029" s="1024"/>
      <c r="D3029" s="882">
        <v>1</v>
      </c>
      <c r="E3029" s="251" t="s">
        <v>1767</v>
      </c>
      <c r="F3029" s="273" t="s">
        <v>3446</v>
      </c>
      <c r="G3029" s="1040" t="s">
        <v>3463</v>
      </c>
      <c r="H3029" s="273" t="s">
        <v>3462</v>
      </c>
      <c r="I3029" s="720">
        <f t="shared" si="672"/>
        <v>144.59</v>
      </c>
      <c r="J3029" s="756">
        <v>144.59</v>
      </c>
      <c r="K3029" s="131">
        <f t="shared" si="664"/>
        <v>144.59</v>
      </c>
      <c r="L3029" s="335">
        <f t="shared" si="668"/>
        <v>0</v>
      </c>
      <c r="M3029" s="446"/>
      <c r="N3029" s="446"/>
      <c r="O3029" s="446"/>
      <c r="P3029" s="446"/>
      <c r="Q3029" s="110">
        <v>1</v>
      </c>
      <c r="R3029" s="111">
        <f t="shared" si="666"/>
        <v>36.147500000000001</v>
      </c>
      <c r="S3029" s="110"/>
      <c r="T3029" s="110"/>
      <c r="U3029" s="110">
        <v>0</v>
      </c>
      <c r="V3029" s="111">
        <f t="shared" si="667"/>
        <v>36.147500000000001</v>
      </c>
      <c r="W3029" s="110"/>
      <c r="X3029" s="110"/>
      <c r="Y3029" s="110"/>
      <c r="Z3029" s="110"/>
      <c r="AA3029" s="110">
        <v>0</v>
      </c>
      <c r="AB3029" s="111">
        <f t="shared" si="673"/>
        <v>36.147500000000001</v>
      </c>
      <c r="AC3029" s="110"/>
      <c r="AD3029" s="110"/>
      <c r="AE3029" s="110">
        <v>0</v>
      </c>
      <c r="AF3029" s="111">
        <f t="shared" si="674"/>
        <v>36.147500000000001</v>
      </c>
      <c r="AG3029" s="110"/>
      <c r="AH3029" s="110"/>
      <c r="AI3029" s="110"/>
      <c r="AJ3029" s="110"/>
      <c r="AK3029" s="111">
        <f t="shared" si="669"/>
        <v>144.59</v>
      </c>
      <c r="AL3029" s="446">
        <f t="shared" si="670"/>
        <v>0</v>
      </c>
      <c r="AM3029" s="110">
        <f t="shared" si="671"/>
        <v>1</v>
      </c>
      <c r="AN3029" s="447">
        <f t="shared" si="665"/>
        <v>0</v>
      </c>
      <c r="AO3029"/>
      <c r="AP3029"/>
    </row>
    <row r="3030" spans="1:42" ht="66" x14ac:dyDescent="0.25">
      <c r="A3030" s="9"/>
      <c r="B3030" s="528" t="s">
        <v>3201</v>
      </c>
      <c r="C3030" s="1024"/>
      <c r="D3030" s="882">
        <v>1</v>
      </c>
      <c r="E3030" s="251" t="s">
        <v>1767</v>
      </c>
      <c r="F3030" s="273" t="s">
        <v>3446</v>
      </c>
      <c r="G3030" s="1040" t="s">
        <v>3463</v>
      </c>
      <c r="H3030" s="273" t="s">
        <v>3462</v>
      </c>
      <c r="I3030" s="720">
        <f t="shared" si="672"/>
        <v>149.88</v>
      </c>
      <c r="J3030" s="756">
        <v>149.88</v>
      </c>
      <c r="K3030" s="131">
        <f t="shared" si="664"/>
        <v>149.88</v>
      </c>
      <c r="L3030" s="335">
        <f t="shared" si="668"/>
        <v>0</v>
      </c>
      <c r="M3030" s="446"/>
      <c r="N3030" s="446"/>
      <c r="O3030" s="446"/>
      <c r="P3030" s="446"/>
      <c r="Q3030" s="110">
        <v>1</v>
      </c>
      <c r="R3030" s="111">
        <f t="shared" si="666"/>
        <v>37.47</v>
      </c>
      <c r="S3030" s="110"/>
      <c r="T3030" s="110"/>
      <c r="U3030" s="110">
        <v>0</v>
      </c>
      <c r="V3030" s="111">
        <f t="shared" si="667"/>
        <v>37.47</v>
      </c>
      <c r="W3030" s="110"/>
      <c r="X3030" s="110"/>
      <c r="Y3030" s="110"/>
      <c r="Z3030" s="110"/>
      <c r="AA3030" s="110">
        <v>0</v>
      </c>
      <c r="AB3030" s="111">
        <f t="shared" si="673"/>
        <v>37.47</v>
      </c>
      <c r="AC3030" s="110"/>
      <c r="AD3030" s="110"/>
      <c r="AE3030" s="110">
        <v>0</v>
      </c>
      <c r="AF3030" s="111">
        <f t="shared" si="674"/>
        <v>37.47</v>
      </c>
      <c r="AG3030" s="110"/>
      <c r="AH3030" s="110"/>
      <c r="AI3030" s="110"/>
      <c r="AJ3030" s="110"/>
      <c r="AK3030" s="111">
        <f t="shared" si="669"/>
        <v>149.88</v>
      </c>
      <c r="AL3030" s="446">
        <f t="shared" si="670"/>
        <v>0</v>
      </c>
      <c r="AM3030" s="110">
        <f t="shared" si="671"/>
        <v>1</v>
      </c>
      <c r="AN3030" s="447">
        <f t="shared" si="665"/>
        <v>0</v>
      </c>
      <c r="AO3030"/>
      <c r="AP3030"/>
    </row>
    <row r="3031" spans="1:42" ht="66" x14ac:dyDescent="0.25">
      <c r="A3031" s="9"/>
      <c r="B3031" s="528" t="s">
        <v>3202</v>
      </c>
      <c r="C3031" s="1024"/>
      <c r="D3031" s="882">
        <v>1</v>
      </c>
      <c r="E3031" s="251" t="s">
        <v>1767</v>
      </c>
      <c r="F3031" s="273" t="s">
        <v>3446</v>
      </c>
      <c r="G3031" s="1040" t="s">
        <v>3463</v>
      </c>
      <c r="H3031" s="273" t="s">
        <v>3462</v>
      </c>
      <c r="I3031" s="720">
        <f t="shared" si="672"/>
        <v>149.88</v>
      </c>
      <c r="J3031" s="756">
        <v>149.88</v>
      </c>
      <c r="K3031" s="131">
        <f t="shared" si="664"/>
        <v>149.88</v>
      </c>
      <c r="L3031" s="335">
        <f t="shared" si="668"/>
        <v>0</v>
      </c>
      <c r="M3031" s="446"/>
      <c r="N3031" s="446"/>
      <c r="O3031" s="446"/>
      <c r="P3031" s="446"/>
      <c r="Q3031" s="110">
        <v>1</v>
      </c>
      <c r="R3031" s="111">
        <f t="shared" si="666"/>
        <v>37.47</v>
      </c>
      <c r="S3031" s="110"/>
      <c r="T3031" s="110"/>
      <c r="U3031" s="110">
        <v>0</v>
      </c>
      <c r="V3031" s="111">
        <f t="shared" si="667"/>
        <v>37.47</v>
      </c>
      <c r="W3031" s="110"/>
      <c r="X3031" s="110"/>
      <c r="Y3031" s="110"/>
      <c r="Z3031" s="110"/>
      <c r="AA3031" s="110">
        <v>0</v>
      </c>
      <c r="AB3031" s="111">
        <f t="shared" si="673"/>
        <v>37.47</v>
      </c>
      <c r="AC3031" s="110"/>
      <c r="AD3031" s="110"/>
      <c r="AE3031" s="110">
        <v>0</v>
      </c>
      <c r="AF3031" s="111">
        <f t="shared" si="674"/>
        <v>37.47</v>
      </c>
      <c r="AG3031" s="110"/>
      <c r="AH3031" s="110"/>
      <c r="AI3031" s="110"/>
      <c r="AJ3031" s="110"/>
      <c r="AK3031" s="111">
        <f t="shared" si="669"/>
        <v>149.88</v>
      </c>
      <c r="AL3031" s="446">
        <f t="shared" si="670"/>
        <v>0</v>
      </c>
      <c r="AM3031" s="110">
        <f t="shared" si="671"/>
        <v>1</v>
      </c>
      <c r="AN3031" s="447">
        <f t="shared" si="665"/>
        <v>0</v>
      </c>
      <c r="AO3031"/>
      <c r="AP3031"/>
    </row>
    <row r="3032" spans="1:42" ht="66" x14ac:dyDescent="0.25">
      <c r="A3032" s="9"/>
      <c r="B3032" s="528" t="s">
        <v>3203</v>
      </c>
      <c r="C3032" s="1024"/>
      <c r="D3032" s="882">
        <v>1</v>
      </c>
      <c r="E3032" s="251" t="s">
        <v>1767</v>
      </c>
      <c r="F3032" s="273" t="s">
        <v>3446</v>
      </c>
      <c r="G3032" s="1040" t="s">
        <v>3463</v>
      </c>
      <c r="H3032" s="273" t="s">
        <v>3462</v>
      </c>
      <c r="I3032" s="720">
        <f t="shared" si="672"/>
        <v>177.14</v>
      </c>
      <c r="J3032" s="756">
        <v>177.14</v>
      </c>
      <c r="K3032" s="131">
        <f t="shared" si="664"/>
        <v>177.14</v>
      </c>
      <c r="L3032" s="335">
        <f t="shared" si="668"/>
        <v>0</v>
      </c>
      <c r="M3032" s="446"/>
      <c r="N3032" s="446"/>
      <c r="O3032" s="446"/>
      <c r="P3032" s="446"/>
      <c r="Q3032" s="110">
        <v>1</v>
      </c>
      <c r="R3032" s="111">
        <f t="shared" si="666"/>
        <v>44.284999999999997</v>
      </c>
      <c r="S3032" s="110"/>
      <c r="T3032" s="110"/>
      <c r="U3032" s="110">
        <v>0</v>
      </c>
      <c r="V3032" s="111">
        <f t="shared" si="667"/>
        <v>44.284999999999997</v>
      </c>
      <c r="W3032" s="110"/>
      <c r="X3032" s="110"/>
      <c r="Y3032" s="110"/>
      <c r="Z3032" s="110"/>
      <c r="AA3032" s="110">
        <v>0</v>
      </c>
      <c r="AB3032" s="111">
        <f t="shared" si="673"/>
        <v>44.284999999999997</v>
      </c>
      <c r="AC3032" s="110"/>
      <c r="AD3032" s="110"/>
      <c r="AE3032" s="110">
        <v>0</v>
      </c>
      <c r="AF3032" s="111">
        <f t="shared" si="674"/>
        <v>44.284999999999997</v>
      </c>
      <c r="AG3032" s="110"/>
      <c r="AH3032" s="110"/>
      <c r="AI3032" s="110"/>
      <c r="AJ3032" s="110"/>
      <c r="AK3032" s="111">
        <f t="shared" si="669"/>
        <v>177.14</v>
      </c>
      <c r="AL3032" s="446">
        <f t="shared" si="670"/>
        <v>0</v>
      </c>
      <c r="AM3032" s="110">
        <f t="shared" si="671"/>
        <v>1</v>
      </c>
      <c r="AN3032" s="447">
        <f t="shared" si="665"/>
        <v>0</v>
      </c>
      <c r="AO3032"/>
      <c r="AP3032"/>
    </row>
    <row r="3033" spans="1:42" ht="66" x14ac:dyDescent="0.25">
      <c r="A3033" s="9"/>
      <c r="B3033" s="528" t="s">
        <v>3204</v>
      </c>
      <c r="C3033" s="1024"/>
      <c r="D3033" s="882">
        <v>1</v>
      </c>
      <c r="E3033" s="251" t="s">
        <v>1766</v>
      </c>
      <c r="F3033" s="273" t="s">
        <v>3446</v>
      </c>
      <c r="G3033" s="1040" t="s">
        <v>3463</v>
      </c>
      <c r="H3033" s="273" t="s">
        <v>3462</v>
      </c>
      <c r="I3033" s="720">
        <f t="shared" si="672"/>
        <v>251.44</v>
      </c>
      <c r="J3033" s="756">
        <v>251.44</v>
      </c>
      <c r="K3033" s="131">
        <f t="shared" si="664"/>
        <v>251.44</v>
      </c>
      <c r="L3033" s="335">
        <f t="shared" si="668"/>
        <v>0</v>
      </c>
      <c r="M3033" s="446"/>
      <c r="N3033" s="446"/>
      <c r="O3033" s="446"/>
      <c r="P3033" s="446"/>
      <c r="Q3033" s="110">
        <v>1</v>
      </c>
      <c r="R3033" s="111">
        <f t="shared" si="666"/>
        <v>62.86</v>
      </c>
      <c r="S3033" s="110"/>
      <c r="T3033" s="110"/>
      <c r="U3033" s="110">
        <v>0</v>
      </c>
      <c r="V3033" s="111">
        <f t="shared" si="667"/>
        <v>62.86</v>
      </c>
      <c r="W3033" s="110"/>
      <c r="X3033" s="110"/>
      <c r="Y3033" s="110"/>
      <c r="Z3033" s="110"/>
      <c r="AA3033" s="110">
        <v>0</v>
      </c>
      <c r="AB3033" s="111">
        <f t="shared" si="673"/>
        <v>62.86</v>
      </c>
      <c r="AC3033" s="110"/>
      <c r="AD3033" s="110"/>
      <c r="AE3033" s="110">
        <v>0</v>
      </c>
      <c r="AF3033" s="111">
        <f t="shared" si="674"/>
        <v>62.86</v>
      </c>
      <c r="AG3033" s="110"/>
      <c r="AH3033" s="110"/>
      <c r="AI3033" s="110"/>
      <c r="AJ3033" s="110"/>
      <c r="AK3033" s="111">
        <f t="shared" si="669"/>
        <v>251.44</v>
      </c>
      <c r="AL3033" s="446">
        <f t="shared" si="670"/>
        <v>0</v>
      </c>
      <c r="AM3033" s="110">
        <f t="shared" si="671"/>
        <v>1</v>
      </c>
      <c r="AN3033" s="447">
        <f t="shared" si="665"/>
        <v>0</v>
      </c>
      <c r="AO3033"/>
      <c r="AP3033"/>
    </row>
    <row r="3034" spans="1:42" ht="66" x14ac:dyDescent="0.25">
      <c r="A3034" s="9"/>
      <c r="B3034" s="528" t="s">
        <v>3205</v>
      </c>
      <c r="C3034" s="1024"/>
      <c r="D3034" s="882">
        <v>1</v>
      </c>
      <c r="E3034" s="251" t="s">
        <v>1767</v>
      </c>
      <c r="F3034" s="273" t="s">
        <v>3446</v>
      </c>
      <c r="G3034" s="1040" t="s">
        <v>3463</v>
      </c>
      <c r="H3034" s="273" t="s">
        <v>3462</v>
      </c>
      <c r="I3034" s="720">
        <f t="shared" si="672"/>
        <v>1468.01</v>
      </c>
      <c r="J3034" s="756">
        <v>1468.01</v>
      </c>
      <c r="K3034" s="131">
        <f t="shared" ref="K3034:K3097" si="675">+D3034*I3034</f>
        <v>1468.01</v>
      </c>
      <c r="L3034" s="335">
        <f t="shared" si="668"/>
        <v>0</v>
      </c>
      <c r="M3034" s="446"/>
      <c r="N3034" s="446"/>
      <c r="O3034" s="446"/>
      <c r="P3034" s="446"/>
      <c r="Q3034" s="110">
        <v>1</v>
      </c>
      <c r="R3034" s="111">
        <f t="shared" si="666"/>
        <v>367.0025</v>
      </c>
      <c r="S3034" s="110"/>
      <c r="T3034" s="110"/>
      <c r="U3034" s="110">
        <v>0</v>
      </c>
      <c r="V3034" s="111">
        <f t="shared" si="667"/>
        <v>367.0025</v>
      </c>
      <c r="W3034" s="110"/>
      <c r="X3034" s="110"/>
      <c r="Y3034" s="110"/>
      <c r="Z3034" s="110"/>
      <c r="AA3034" s="110">
        <v>0</v>
      </c>
      <c r="AB3034" s="111">
        <f t="shared" si="673"/>
        <v>367.0025</v>
      </c>
      <c r="AC3034" s="110"/>
      <c r="AD3034" s="110"/>
      <c r="AE3034" s="110">
        <v>0</v>
      </c>
      <c r="AF3034" s="111">
        <f t="shared" si="674"/>
        <v>367.0025</v>
      </c>
      <c r="AG3034" s="110"/>
      <c r="AH3034" s="110"/>
      <c r="AI3034" s="110"/>
      <c r="AJ3034" s="110"/>
      <c r="AK3034" s="111">
        <f t="shared" si="669"/>
        <v>1468.01</v>
      </c>
      <c r="AL3034" s="446">
        <f t="shared" si="670"/>
        <v>0</v>
      </c>
      <c r="AM3034" s="110">
        <f t="shared" si="671"/>
        <v>1</v>
      </c>
      <c r="AN3034" s="447">
        <f t="shared" ref="AN3034:AN3097" si="676">+D3034-AM3034</f>
        <v>0</v>
      </c>
      <c r="AO3034"/>
      <c r="AP3034"/>
    </row>
    <row r="3035" spans="1:42" ht="66" x14ac:dyDescent="0.25">
      <c r="A3035" s="9"/>
      <c r="B3035" s="528" t="s">
        <v>3206</v>
      </c>
      <c r="C3035" s="1024"/>
      <c r="D3035" s="882">
        <v>1</v>
      </c>
      <c r="E3035" s="251" t="s">
        <v>1767</v>
      </c>
      <c r="F3035" s="273" t="s">
        <v>3446</v>
      </c>
      <c r="G3035" s="1040" t="s">
        <v>3463</v>
      </c>
      <c r="H3035" s="273" t="s">
        <v>3462</v>
      </c>
      <c r="I3035" s="720">
        <f t="shared" si="672"/>
        <v>421.20388799999995</v>
      </c>
      <c r="J3035" s="756">
        <v>421.20388799999995</v>
      </c>
      <c r="K3035" s="131">
        <f t="shared" si="675"/>
        <v>421.20388799999995</v>
      </c>
      <c r="L3035" s="335">
        <f t="shared" si="668"/>
        <v>0</v>
      </c>
      <c r="M3035" s="446"/>
      <c r="N3035" s="446"/>
      <c r="O3035" s="446"/>
      <c r="P3035" s="446"/>
      <c r="Q3035" s="110">
        <v>1</v>
      </c>
      <c r="R3035" s="111">
        <f t="shared" si="666"/>
        <v>105.30097199999999</v>
      </c>
      <c r="S3035" s="110"/>
      <c r="T3035" s="110"/>
      <c r="U3035" s="110">
        <v>0</v>
      </c>
      <c r="V3035" s="111">
        <f t="shared" si="667"/>
        <v>105.30097199999999</v>
      </c>
      <c r="W3035" s="110"/>
      <c r="X3035" s="110"/>
      <c r="Y3035" s="110"/>
      <c r="Z3035" s="110"/>
      <c r="AA3035" s="110">
        <v>0</v>
      </c>
      <c r="AB3035" s="111">
        <f t="shared" si="673"/>
        <v>105.30097199999999</v>
      </c>
      <c r="AC3035" s="110"/>
      <c r="AD3035" s="110"/>
      <c r="AE3035" s="110">
        <v>0</v>
      </c>
      <c r="AF3035" s="111">
        <f t="shared" si="674"/>
        <v>105.30097199999999</v>
      </c>
      <c r="AG3035" s="110"/>
      <c r="AH3035" s="110"/>
      <c r="AI3035" s="110"/>
      <c r="AJ3035" s="110"/>
      <c r="AK3035" s="111">
        <f t="shared" si="669"/>
        <v>421.20388799999995</v>
      </c>
      <c r="AL3035" s="446">
        <f t="shared" si="670"/>
        <v>0</v>
      </c>
      <c r="AM3035" s="110">
        <f t="shared" si="671"/>
        <v>1</v>
      </c>
      <c r="AN3035" s="447">
        <f t="shared" si="676"/>
        <v>0</v>
      </c>
      <c r="AO3035"/>
      <c r="AP3035"/>
    </row>
    <row r="3036" spans="1:42" ht="66" x14ac:dyDescent="0.25">
      <c r="A3036" s="9"/>
      <c r="B3036" s="528" t="s">
        <v>3207</v>
      </c>
      <c r="C3036" s="1024"/>
      <c r="D3036" s="882">
        <v>1</v>
      </c>
      <c r="E3036" s="251" t="s">
        <v>1767</v>
      </c>
      <c r="F3036" s="273" t="s">
        <v>3446</v>
      </c>
      <c r="G3036" s="1040" t="s">
        <v>3463</v>
      </c>
      <c r="H3036" s="273" t="s">
        <v>3462</v>
      </c>
      <c r="I3036" s="720">
        <f t="shared" si="672"/>
        <v>177.14</v>
      </c>
      <c r="J3036" s="756">
        <v>177.14</v>
      </c>
      <c r="K3036" s="131">
        <f t="shared" si="675"/>
        <v>177.14</v>
      </c>
      <c r="L3036" s="335">
        <f t="shared" si="668"/>
        <v>0</v>
      </c>
      <c r="M3036" s="446"/>
      <c r="N3036" s="446"/>
      <c r="O3036" s="446"/>
      <c r="P3036" s="446"/>
      <c r="Q3036" s="110">
        <v>1</v>
      </c>
      <c r="R3036" s="111">
        <f t="shared" si="666"/>
        <v>44.284999999999997</v>
      </c>
      <c r="S3036" s="110"/>
      <c r="T3036" s="110"/>
      <c r="U3036" s="110">
        <v>0</v>
      </c>
      <c r="V3036" s="111">
        <f t="shared" si="667"/>
        <v>44.284999999999997</v>
      </c>
      <c r="W3036" s="110"/>
      <c r="X3036" s="110"/>
      <c r="Y3036" s="110"/>
      <c r="Z3036" s="110"/>
      <c r="AA3036" s="110">
        <v>0</v>
      </c>
      <c r="AB3036" s="111">
        <f t="shared" si="673"/>
        <v>44.284999999999997</v>
      </c>
      <c r="AC3036" s="110"/>
      <c r="AD3036" s="110"/>
      <c r="AE3036" s="110">
        <v>0</v>
      </c>
      <c r="AF3036" s="111">
        <f t="shared" si="674"/>
        <v>44.284999999999997</v>
      </c>
      <c r="AG3036" s="110"/>
      <c r="AH3036" s="110"/>
      <c r="AI3036" s="110"/>
      <c r="AJ3036" s="110"/>
      <c r="AK3036" s="111">
        <f t="shared" si="669"/>
        <v>177.14</v>
      </c>
      <c r="AL3036" s="446">
        <f t="shared" si="670"/>
        <v>0</v>
      </c>
      <c r="AM3036" s="110">
        <f t="shared" si="671"/>
        <v>1</v>
      </c>
      <c r="AN3036" s="447">
        <f t="shared" si="676"/>
        <v>0</v>
      </c>
      <c r="AO3036"/>
      <c r="AP3036"/>
    </row>
    <row r="3037" spans="1:42" ht="66" x14ac:dyDescent="0.25">
      <c r="A3037" s="9"/>
      <c r="B3037" s="528" t="s">
        <v>3208</v>
      </c>
      <c r="C3037" s="1024"/>
      <c r="D3037" s="882">
        <v>1</v>
      </c>
      <c r="E3037" s="251" t="s">
        <v>1767</v>
      </c>
      <c r="F3037" s="273" t="s">
        <v>3446</v>
      </c>
      <c r="G3037" s="1040" t="s">
        <v>3463</v>
      </c>
      <c r="H3037" s="273" t="s">
        <v>3462</v>
      </c>
      <c r="I3037" s="720">
        <f t="shared" si="672"/>
        <v>177.44</v>
      </c>
      <c r="J3037" s="756">
        <v>177.44</v>
      </c>
      <c r="K3037" s="131">
        <f t="shared" si="675"/>
        <v>177.44</v>
      </c>
      <c r="L3037" s="335">
        <f t="shared" si="668"/>
        <v>0</v>
      </c>
      <c r="M3037" s="446"/>
      <c r="N3037" s="446"/>
      <c r="O3037" s="446"/>
      <c r="P3037" s="446"/>
      <c r="Q3037" s="110">
        <v>1</v>
      </c>
      <c r="R3037" s="111">
        <f t="shared" si="666"/>
        <v>44.36</v>
      </c>
      <c r="S3037" s="110"/>
      <c r="T3037" s="110"/>
      <c r="U3037" s="110">
        <v>0</v>
      </c>
      <c r="V3037" s="111">
        <f t="shared" si="667"/>
        <v>44.36</v>
      </c>
      <c r="W3037" s="110"/>
      <c r="X3037" s="110"/>
      <c r="Y3037" s="110"/>
      <c r="Z3037" s="110"/>
      <c r="AA3037" s="110">
        <v>0</v>
      </c>
      <c r="AB3037" s="111">
        <f t="shared" si="673"/>
        <v>44.36</v>
      </c>
      <c r="AC3037" s="110"/>
      <c r="AD3037" s="110"/>
      <c r="AE3037" s="110">
        <v>0</v>
      </c>
      <c r="AF3037" s="111">
        <f t="shared" si="674"/>
        <v>44.36</v>
      </c>
      <c r="AG3037" s="110"/>
      <c r="AH3037" s="110"/>
      <c r="AI3037" s="110"/>
      <c r="AJ3037" s="110"/>
      <c r="AK3037" s="111">
        <f t="shared" si="669"/>
        <v>177.44</v>
      </c>
      <c r="AL3037" s="446">
        <f t="shared" si="670"/>
        <v>0</v>
      </c>
      <c r="AM3037" s="110">
        <f t="shared" si="671"/>
        <v>1</v>
      </c>
      <c r="AN3037" s="447">
        <f t="shared" si="676"/>
        <v>0</v>
      </c>
      <c r="AO3037"/>
      <c r="AP3037"/>
    </row>
    <row r="3038" spans="1:42" ht="66" x14ac:dyDescent="0.25">
      <c r="A3038" s="9"/>
      <c r="B3038" s="528" t="s">
        <v>3209</v>
      </c>
      <c r="C3038" s="1024"/>
      <c r="D3038" s="882">
        <v>1</v>
      </c>
      <c r="E3038" s="251" t="s">
        <v>1767</v>
      </c>
      <c r="F3038" s="273" t="s">
        <v>3446</v>
      </c>
      <c r="G3038" s="1040" t="s">
        <v>3463</v>
      </c>
      <c r="H3038" s="273" t="s">
        <v>3462</v>
      </c>
      <c r="I3038" s="720">
        <f t="shared" si="672"/>
        <v>321.72000000000003</v>
      </c>
      <c r="J3038" s="756">
        <v>321.72000000000003</v>
      </c>
      <c r="K3038" s="131">
        <f t="shared" si="675"/>
        <v>321.72000000000003</v>
      </c>
      <c r="L3038" s="335">
        <f t="shared" si="668"/>
        <v>0</v>
      </c>
      <c r="M3038" s="446"/>
      <c r="N3038" s="446"/>
      <c r="O3038" s="446"/>
      <c r="P3038" s="446"/>
      <c r="Q3038" s="110">
        <v>1</v>
      </c>
      <c r="R3038" s="111">
        <f t="shared" si="666"/>
        <v>80.430000000000007</v>
      </c>
      <c r="S3038" s="110"/>
      <c r="T3038" s="110"/>
      <c r="U3038" s="110">
        <v>0</v>
      </c>
      <c r="V3038" s="111">
        <f t="shared" si="667"/>
        <v>80.430000000000007</v>
      </c>
      <c r="W3038" s="110"/>
      <c r="X3038" s="110"/>
      <c r="Y3038" s="110"/>
      <c r="Z3038" s="110"/>
      <c r="AA3038" s="110">
        <v>0</v>
      </c>
      <c r="AB3038" s="111">
        <f t="shared" si="673"/>
        <v>80.430000000000007</v>
      </c>
      <c r="AC3038" s="110"/>
      <c r="AD3038" s="110"/>
      <c r="AE3038" s="110">
        <v>0</v>
      </c>
      <c r="AF3038" s="111">
        <f t="shared" si="674"/>
        <v>80.430000000000007</v>
      </c>
      <c r="AG3038" s="110"/>
      <c r="AH3038" s="110"/>
      <c r="AI3038" s="110"/>
      <c r="AJ3038" s="110"/>
      <c r="AK3038" s="111">
        <f t="shared" si="669"/>
        <v>321.72000000000003</v>
      </c>
      <c r="AL3038" s="446">
        <f t="shared" si="670"/>
        <v>0</v>
      </c>
      <c r="AM3038" s="110">
        <f t="shared" si="671"/>
        <v>1</v>
      </c>
      <c r="AN3038" s="447">
        <f t="shared" si="676"/>
        <v>0</v>
      </c>
      <c r="AO3038"/>
      <c r="AP3038"/>
    </row>
    <row r="3039" spans="1:42" ht="66" x14ac:dyDescent="0.25">
      <c r="A3039" s="9"/>
      <c r="B3039" s="528" t="s">
        <v>3210</v>
      </c>
      <c r="C3039" s="1024"/>
      <c r="D3039" s="882">
        <v>1</v>
      </c>
      <c r="E3039" s="251" t="s">
        <v>1766</v>
      </c>
      <c r="F3039" s="273" t="s">
        <v>3446</v>
      </c>
      <c r="G3039" s="1040" t="s">
        <v>3463</v>
      </c>
      <c r="H3039" s="273" t="s">
        <v>3462</v>
      </c>
      <c r="I3039" s="720">
        <f t="shared" si="672"/>
        <v>321.72000000000003</v>
      </c>
      <c r="J3039" s="756">
        <v>321.72000000000003</v>
      </c>
      <c r="K3039" s="131">
        <f t="shared" si="675"/>
        <v>321.72000000000003</v>
      </c>
      <c r="L3039" s="335">
        <f t="shared" si="668"/>
        <v>0</v>
      </c>
      <c r="M3039" s="446"/>
      <c r="N3039" s="446"/>
      <c r="O3039" s="446"/>
      <c r="P3039" s="446"/>
      <c r="Q3039" s="110">
        <v>1</v>
      </c>
      <c r="R3039" s="111">
        <f t="shared" si="666"/>
        <v>80.430000000000007</v>
      </c>
      <c r="S3039" s="110"/>
      <c r="T3039" s="110"/>
      <c r="U3039" s="110">
        <v>0</v>
      </c>
      <c r="V3039" s="111">
        <f t="shared" si="667"/>
        <v>80.430000000000007</v>
      </c>
      <c r="W3039" s="110"/>
      <c r="X3039" s="110"/>
      <c r="Y3039" s="110"/>
      <c r="Z3039" s="110"/>
      <c r="AA3039" s="110">
        <v>0</v>
      </c>
      <c r="AB3039" s="111">
        <f t="shared" si="673"/>
        <v>80.430000000000007</v>
      </c>
      <c r="AC3039" s="110"/>
      <c r="AD3039" s="110"/>
      <c r="AE3039" s="110">
        <v>0</v>
      </c>
      <c r="AF3039" s="111">
        <f t="shared" si="674"/>
        <v>80.430000000000007</v>
      </c>
      <c r="AG3039" s="110"/>
      <c r="AH3039" s="110"/>
      <c r="AI3039" s="110"/>
      <c r="AJ3039" s="110"/>
      <c r="AK3039" s="111">
        <f t="shared" si="669"/>
        <v>321.72000000000003</v>
      </c>
      <c r="AL3039" s="446">
        <f t="shared" si="670"/>
        <v>0</v>
      </c>
      <c r="AM3039" s="110">
        <f t="shared" si="671"/>
        <v>1</v>
      </c>
      <c r="AN3039" s="447">
        <f t="shared" si="676"/>
        <v>0</v>
      </c>
      <c r="AO3039"/>
      <c r="AP3039"/>
    </row>
    <row r="3040" spans="1:42" ht="66" x14ac:dyDescent="0.25">
      <c r="A3040" s="9"/>
      <c r="B3040" s="528" t="s">
        <v>3211</v>
      </c>
      <c r="C3040" s="1024"/>
      <c r="D3040" s="882">
        <v>1</v>
      </c>
      <c r="E3040" s="251" t="s">
        <v>1767</v>
      </c>
      <c r="F3040" s="273" t="s">
        <v>3446</v>
      </c>
      <c r="G3040" s="1040" t="s">
        <v>3463</v>
      </c>
      <c r="H3040" s="273" t="s">
        <v>3462</v>
      </c>
      <c r="I3040" s="720">
        <f t="shared" si="672"/>
        <v>74.325599999999994</v>
      </c>
      <c r="J3040" s="756">
        <v>74.325599999999994</v>
      </c>
      <c r="K3040" s="131">
        <f t="shared" si="675"/>
        <v>74.325599999999994</v>
      </c>
      <c r="L3040" s="335">
        <f t="shared" si="668"/>
        <v>0</v>
      </c>
      <c r="M3040" s="446"/>
      <c r="N3040" s="446"/>
      <c r="O3040" s="446"/>
      <c r="P3040" s="446"/>
      <c r="Q3040" s="110">
        <v>1</v>
      </c>
      <c r="R3040" s="111">
        <f t="shared" si="666"/>
        <v>18.581399999999999</v>
      </c>
      <c r="S3040" s="110"/>
      <c r="T3040" s="110"/>
      <c r="U3040" s="110">
        <v>0</v>
      </c>
      <c r="V3040" s="111">
        <f t="shared" si="667"/>
        <v>18.581399999999999</v>
      </c>
      <c r="W3040" s="110"/>
      <c r="X3040" s="110"/>
      <c r="Y3040" s="110"/>
      <c r="Z3040" s="110"/>
      <c r="AA3040" s="110">
        <v>0</v>
      </c>
      <c r="AB3040" s="111">
        <f t="shared" si="673"/>
        <v>18.581399999999999</v>
      </c>
      <c r="AC3040" s="110"/>
      <c r="AD3040" s="110"/>
      <c r="AE3040" s="110">
        <v>0</v>
      </c>
      <c r="AF3040" s="111">
        <f t="shared" si="674"/>
        <v>18.581399999999999</v>
      </c>
      <c r="AG3040" s="110"/>
      <c r="AH3040" s="110"/>
      <c r="AI3040" s="110"/>
      <c r="AJ3040" s="110"/>
      <c r="AK3040" s="111">
        <f t="shared" si="669"/>
        <v>74.325599999999994</v>
      </c>
      <c r="AL3040" s="446">
        <f t="shared" si="670"/>
        <v>0</v>
      </c>
      <c r="AM3040" s="110">
        <f t="shared" si="671"/>
        <v>1</v>
      </c>
      <c r="AN3040" s="447">
        <f t="shared" si="676"/>
        <v>0</v>
      </c>
      <c r="AO3040"/>
      <c r="AP3040"/>
    </row>
    <row r="3041" spans="1:42" ht="66" x14ac:dyDescent="0.25">
      <c r="A3041" s="9"/>
      <c r="B3041" s="528" t="s">
        <v>3212</v>
      </c>
      <c r="C3041" s="1024"/>
      <c r="D3041" s="882">
        <v>1</v>
      </c>
      <c r="E3041" s="251" t="s">
        <v>1767</v>
      </c>
      <c r="F3041" s="273" t="s">
        <v>3446</v>
      </c>
      <c r="G3041" s="1040" t="s">
        <v>3463</v>
      </c>
      <c r="H3041" s="273" t="s">
        <v>3462</v>
      </c>
      <c r="I3041" s="720">
        <f t="shared" si="672"/>
        <v>101.38</v>
      </c>
      <c r="J3041" s="756">
        <v>101.38</v>
      </c>
      <c r="K3041" s="131">
        <f t="shared" si="675"/>
        <v>101.38</v>
      </c>
      <c r="L3041" s="335">
        <f t="shared" si="668"/>
        <v>0</v>
      </c>
      <c r="M3041" s="446"/>
      <c r="N3041" s="446"/>
      <c r="O3041" s="446"/>
      <c r="P3041" s="446"/>
      <c r="Q3041" s="110">
        <v>1</v>
      </c>
      <c r="R3041" s="111">
        <f t="shared" si="666"/>
        <v>25.344999999999999</v>
      </c>
      <c r="S3041" s="110"/>
      <c r="T3041" s="110"/>
      <c r="U3041" s="110">
        <v>0</v>
      </c>
      <c r="V3041" s="111">
        <f t="shared" si="667"/>
        <v>25.344999999999999</v>
      </c>
      <c r="W3041" s="110"/>
      <c r="X3041" s="110"/>
      <c r="Y3041" s="110"/>
      <c r="Z3041" s="110"/>
      <c r="AA3041" s="110">
        <v>0</v>
      </c>
      <c r="AB3041" s="111">
        <f t="shared" si="673"/>
        <v>25.344999999999999</v>
      </c>
      <c r="AC3041" s="110"/>
      <c r="AD3041" s="110"/>
      <c r="AE3041" s="110">
        <v>0</v>
      </c>
      <c r="AF3041" s="111">
        <f t="shared" si="674"/>
        <v>25.344999999999999</v>
      </c>
      <c r="AG3041" s="110"/>
      <c r="AH3041" s="110"/>
      <c r="AI3041" s="110"/>
      <c r="AJ3041" s="110"/>
      <c r="AK3041" s="111">
        <f t="shared" si="669"/>
        <v>101.38</v>
      </c>
      <c r="AL3041" s="446">
        <f t="shared" si="670"/>
        <v>0</v>
      </c>
      <c r="AM3041" s="110">
        <f t="shared" si="671"/>
        <v>1</v>
      </c>
      <c r="AN3041" s="447">
        <f t="shared" si="676"/>
        <v>0</v>
      </c>
      <c r="AO3041"/>
      <c r="AP3041"/>
    </row>
    <row r="3042" spans="1:42" ht="66" x14ac:dyDescent="0.25">
      <c r="A3042" s="9"/>
      <c r="B3042" s="528" t="s">
        <v>3213</v>
      </c>
      <c r="C3042" s="1024"/>
      <c r="D3042" s="882">
        <v>1</v>
      </c>
      <c r="E3042" s="251" t="s">
        <v>1767</v>
      </c>
      <c r="F3042" s="273" t="s">
        <v>3446</v>
      </c>
      <c r="G3042" s="1040" t="s">
        <v>3463</v>
      </c>
      <c r="H3042" s="273" t="s">
        <v>3462</v>
      </c>
      <c r="I3042" s="720">
        <f t="shared" si="672"/>
        <v>18.366047999999999</v>
      </c>
      <c r="J3042" s="756">
        <v>18.366047999999999</v>
      </c>
      <c r="K3042" s="131">
        <f t="shared" si="675"/>
        <v>18.366047999999999</v>
      </c>
      <c r="L3042" s="335">
        <f t="shared" si="668"/>
        <v>0</v>
      </c>
      <c r="M3042" s="446"/>
      <c r="N3042" s="446"/>
      <c r="O3042" s="446"/>
      <c r="P3042" s="446"/>
      <c r="Q3042" s="110">
        <v>1</v>
      </c>
      <c r="R3042" s="111">
        <f t="shared" si="666"/>
        <v>4.5915119999999998</v>
      </c>
      <c r="S3042" s="110"/>
      <c r="T3042" s="110"/>
      <c r="U3042" s="110">
        <v>0</v>
      </c>
      <c r="V3042" s="111">
        <f t="shared" si="667"/>
        <v>4.5915119999999998</v>
      </c>
      <c r="W3042" s="110"/>
      <c r="X3042" s="110"/>
      <c r="Y3042" s="110"/>
      <c r="Z3042" s="110"/>
      <c r="AA3042" s="110">
        <v>0</v>
      </c>
      <c r="AB3042" s="111">
        <f t="shared" si="673"/>
        <v>4.5915119999999998</v>
      </c>
      <c r="AC3042" s="110"/>
      <c r="AD3042" s="110"/>
      <c r="AE3042" s="110">
        <v>0</v>
      </c>
      <c r="AF3042" s="111">
        <f t="shared" si="674"/>
        <v>4.5915119999999998</v>
      </c>
      <c r="AG3042" s="110"/>
      <c r="AH3042" s="110"/>
      <c r="AI3042" s="110"/>
      <c r="AJ3042" s="110"/>
      <c r="AK3042" s="111">
        <f t="shared" si="669"/>
        <v>18.366047999999999</v>
      </c>
      <c r="AL3042" s="446">
        <f t="shared" si="670"/>
        <v>0</v>
      </c>
      <c r="AM3042" s="110">
        <f t="shared" si="671"/>
        <v>1</v>
      </c>
      <c r="AN3042" s="447">
        <f t="shared" si="676"/>
        <v>0</v>
      </c>
      <c r="AO3042"/>
      <c r="AP3042"/>
    </row>
    <row r="3043" spans="1:42" ht="66" x14ac:dyDescent="0.25">
      <c r="A3043" s="9"/>
      <c r="B3043" s="528" t="s">
        <v>3214</v>
      </c>
      <c r="C3043" s="1024"/>
      <c r="D3043" s="882">
        <v>1</v>
      </c>
      <c r="E3043" s="251" t="s">
        <v>1767</v>
      </c>
      <c r="F3043" s="273" t="s">
        <v>3446</v>
      </c>
      <c r="G3043" s="1040" t="s">
        <v>3463</v>
      </c>
      <c r="H3043" s="273" t="s">
        <v>3462</v>
      </c>
      <c r="I3043" s="720">
        <f t="shared" si="672"/>
        <v>602.91000000000008</v>
      </c>
      <c r="J3043" s="756">
        <v>602.91000000000008</v>
      </c>
      <c r="K3043" s="131">
        <f t="shared" si="675"/>
        <v>602.91000000000008</v>
      </c>
      <c r="L3043" s="335">
        <f t="shared" si="668"/>
        <v>0</v>
      </c>
      <c r="M3043" s="446"/>
      <c r="N3043" s="446"/>
      <c r="O3043" s="446"/>
      <c r="P3043" s="446"/>
      <c r="Q3043" s="110">
        <v>1</v>
      </c>
      <c r="R3043" s="111">
        <f t="shared" si="666"/>
        <v>150.72750000000002</v>
      </c>
      <c r="S3043" s="110"/>
      <c r="T3043" s="110"/>
      <c r="U3043" s="110">
        <v>0</v>
      </c>
      <c r="V3043" s="111">
        <f t="shared" si="667"/>
        <v>150.72750000000002</v>
      </c>
      <c r="W3043" s="110"/>
      <c r="X3043" s="110"/>
      <c r="Y3043" s="110"/>
      <c r="Z3043" s="110"/>
      <c r="AA3043" s="110">
        <v>0</v>
      </c>
      <c r="AB3043" s="111">
        <f t="shared" si="673"/>
        <v>150.72750000000002</v>
      </c>
      <c r="AC3043" s="110"/>
      <c r="AD3043" s="110"/>
      <c r="AE3043" s="110">
        <v>0</v>
      </c>
      <c r="AF3043" s="111">
        <f t="shared" si="674"/>
        <v>150.72750000000002</v>
      </c>
      <c r="AG3043" s="110"/>
      <c r="AH3043" s="110"/>
      <c r="AI3043" s="110"/>
      <c r="AJ3043" s="110"/>
      <c r="AK3043" s="111">
        <f t="shared" si="669"/>
        <v>602.91000000000008</v>
      </c>
      <c r="AL3043" s="446">
        <f t="shared" si="670"/>
        <v>0</v>
      </c>
      <c r="AM3043" s="110">
        <f t="shared" si="671"/>
        <v>1</v>
      </c>
      <c r="AN3043" s="447">
        <f t="shared" si="676"/>
        <v>0</v>
      </c>
      <c r="AO3043"/>
      <c r="AP3043"/>
    </row>
    <row r="3044" spans="1:42" ht="66" x14ac:dyDescent="0.25">
      <c r="A3044" s="9"/>
      <c r="B3044" s="528" t="s">
        <v>3215</v>
      </c>
      <c r="C3044" s="1024"/>
      <c r="D3044" s="882">
        <v>1</v>
      </c>
      <c r="E3044" s="251" t="s">
        <v>1767</v>
      </c>
      <c r="F3044" s="273" t="s">
        <v>3446</v>
      </c>
      <c r="G3044" s="1040" t="s">
        <v>3463</v>
      </c>
      <c r="H3044" s="273" t="s">
        <v>3462</v>
      </c>
      <c r="I3044" s="720">
        <f t="shared" si="672"/>
        <v>1002.2399999999999</v>
      </c>
      <c r="J3044" s="756">
        <v>1002.2399999999999</v>
      </c>
      <c r="K3044" s="131">
        <f t="shared" si="675"/>
        <v>1002.2399999999999</v>
      </c>
      <c r="L3044" s="335">
        <f t="shared" si="668"/>
        <v>0</v>
      </c>
      <c r="M3044" s="446"/>
      <c r="N3044" s="446"/>
      <c r="O3044" s="446"/>
      <c r="P3044" s="446"/>
      <c r="Q3044" s="110">
        <v>1</v>
      </c>
      <c r="R3044" s="111">
        <f t="shared" si="666"/>
        <v>250.55999999999997</v>
      </c>
      <c r="S3044" s="110"/>
      <c r="T3044" s="110"/>
      <c r="U3044" s="110">
        <v>0</v>
      </c>
      <c r="V3044" s="111">
        <f t="shared" si="667"/>
        <v>250.55999999999997</v>
      </c>
      <c r="W3044" s="110"/>
      <c r="X3044" s="110"/>
      <c r="Y3044" s="110"/>
      <c r="Z3044" s="110"/>
      <c r="AA3044" s="110">
        <v>0</v>
      </c>
      <c r="AB3044" s="111">
        <f t="shared" si="673"/>
        <v>250.55999999999997</v>
      </c>
      <c r="AC3044" s="110"/>
      <c r="AD3044" s="110"/>
      <c r="AE3044" s="110">
        <v>0</v>
      </c>
      <c r="AF3044" s="111">
        <f t="shared" si="674"/>
        <v>250.55999999999997</v>
      </c>
      <c r="AG3044" s="110"/>
      <c r="AH3044" s="110"/>
      <c r="AI3044" s="110"/>
      <c r="AJ3044" s="110"/>
      <c r="AK3044" s="111">
        <f t="shared" si="669"/>
        <v>1002.2399999999999</v>
      </c>
      <c r="AL3044" s="446">
        <f t="shared" si="670"/>
        <v>0</v>
      </c>
      <c r="AM3044" s="110">
        <f t="shared" si="671"/>
        <v>1</v>
      </c>
      <c r="AN3044" s="447">
        <f t="shared" si="676"/>
        <v>0</v>
      </c>
      <c r="AO3044"/>
      <c r="AP3044"/>
    </row>
    <row r="3045" spans="1:42" ht="66" x14ac:dyDescent="0.25">
      <c r="A3045" s="9"/>
      <c r="B3045" s="528" t="s">
        <v>3216</v>
      </c>
      <c r="C3045" s="1024"/>
      <c r="D3045" s="882">
        <v>1</v>
      </c>
      <c r="E3045" s="251" t="s">
        <v>1767</v>
      </c>
      <c r="F3045" s="273" t="s">
        <v>3446</v>
      </c>
      <c r="G3045" s="1040" t="s">
        <v>3463</v>
      </c>
      <c r="H3045" s="273" t="s">
        <v>3462</v>
      </c>
      <c r="I3045" s="720">
        <f t="shared" si="672"/>
        <v>49.686048</v>
      </c>
      <c r="J3045" s="756">
        <v>49.686048</v>
      </c>
      <c r="K3045" s="131">
        <f t="shared" si="675"/>
        <v>49.686048</v>
      </c>
      <c r="L3045" s="335">
        <f t="shared" si="668"/>
        <v>0</v>
      </c>
      <c r="M3045" s="446"/>
      <c r="N3045" s="446"/>
      <c r="O3045" s="446"/>
      <c r="P3045" s="446"/>
      <c r="Q3045" s="110">
        <v>1</v>
      </c>
      <c r="R3045" s="111">
        <f t="shared" si="666"/>
        <v>12.421512</v>
      </c>
      <c r="S3045" s="110"/>
      <c r="T3045" s="110"/>
      <c r="U3045" s="110">
        <v>0</v>
      </c>
      <c r="V3045" s="111">
        <f t="shared" si="667"/>
        <v>12.421512</v>
      </c>
      <c r="W3045" s="110"/>
      <c r="X3045" s="110"/>
      <c r="Y3045" s="110"/>
      <c r="Z3045" s="110"/>
      <c r="AA3045" s="110">
        <v>0</v>
      </c>
      <c r="AB3045" s="111">
        <f t="shared" si="673"/>
        <v>12.421512</v>
      </c>
      <c r="AC3045" s="110"/>
      <c r="AD3045" s="110"/>
      <c r="AE3045" s="110">
        <v>0</v>
      </c>
      <c r="AF3045" s="111">
        <f t="shared" si="674"/>
        <v>12.421512</v>
      </c>
      <c r="AG3045" s="110"/>
      <c r="AH3045" s="110"/>
      <c r="AI3045" s="110"/>
      <c r="AJ3045" s="110"/>
      <c r="AK3045" s="111">
        <f t="shared" si="669"/>
        <v>49.686048</v>
      </c>
      <c r="AL3045" s="446">
        <f t="shared" si="670"/>
        <v>0</v>
      </c>
      <c r="AM3045" s="110">
        <f t="shared" si="671"/>
        <v>1</v>
      </c>
      <c r="AN3045" s="447">
        <f t="shared" si="676"/>
        <v>0</v>
      </c>
      <c r="AO3045"/>
      <c r="AP3045"/>
    </row>
    <row r="3046" spans="1:42" ht="66" x14ac:dyDescent="0.25">
      <c r="A3046" s="9"/>
      <c r="B3046" s="528" t="s">
        <v>3217</v>
      </c>
      <c r="C3046" s="1024"/>
      <c r="D3046" s="882">
        <v>1</v>
      </c>
      <c r="E3046" s="251" t="s">
        <v>1767</v>
      </c>
      <c r="F3046" s="273" t="s">
        <v>3446</v>
      </c>
      <c r="G3046" s="1040" t="s">
        <v>3463</v>
      </c>
      <c r="H3046" s="273" t="s">
        <v>3462</v>
      </c>
      <c r="I3046" s="720">
        <f t="shared" si="672"/>
        <v>4.34</v>
      </c>
      <c r="J3046" s="756">
        <v>4.34</v>
      </c>
      <c r="K3046" s="131">
        <f t="shared" si="675"/>
        <v>4.34</v>
      </c>
      <c r="L3046" s="335">
        <f t="shared" si="668"/>
        <v>0</v>
      </c>
      <c r="M3046" s="446"/>
      <c r="N3046" s="446"/>
      <c r="O3046" s="446"/>
      <c r="P3046" s="446"/>
      <c r="Q3046" s="110">
        <v>1</v>
      </c>
      <c r="R3046" s="111">
        <f t="shared" si="666"/>
        <v>1.085</v>
      </c>
      <c r="S3046" s="110"/>
      <c r="T3046" s="110"/>
      <c r="U3046" s="110">
        <v>0</v>
      </c>
      <c r="V3046" s="111">
        <f t="shared" si="667"/>
        <v>1.085</v>
      </c>
      <c r="W3046" s="110"/>
      <c r="X3046" s="110"/>
      <c r="Y3046" s="110"/>
      <c r="Z3046" s="110"/>
      <c r="AA3046" s="110">
        <v>0</v>
      </c>
      <c r="AB3046" s="111">
        <f t="shared" si="673"/>
        <v>1.085</v>
      </c>
      <c r="AC3046" s="110"/>
      <c r="AD3046" s="110"/>
      <c r="AE3046" s="110">
        <v>0</v>
      </c>
      <c r="AF3046" s="111">
        <f t="shared" si="674"/>
        <v>1.085</v>
      </c>
      <c r="AG3046" s="110"/>
      <c r="AH3046" s="110"/>
      <c r="AI3046" s="110"/>
      <c r="AJ3046" s="110"/>
      <c r="AK3046" s="111">
        <f t="shared" si="669"/>
        <v>4.34</v>
      </c>
      <c r="AL3046" s="446">
        <f t="shared" si="670"/>
        <v>0</v>
      </c>
      <c r="AM3046" s="110">
        <f t="shared" si="671"/>
        <v>1</v>
      </c>
      <c r="AN3046" s="447">
        <f t="shared" si="676"/>
        <v>0</v>
      </c>
      <c r="AO3046"/>
      <c r="AP3046"/>
    </row>
    <row r="3047" spans="1:42" ht="66" x14ac:dyDescent="0.25">
      <c r="A3047" s="9"/>
      <c r="B3047" s="528" t="s">
        <v>3218</v>
      </c>
      <c r="C3047" s="1024"/>
      <c r="D3047" s="882">
        <v>1</v>
      </c>
      <c r="E3047" s="251" t="s">
        <v>1723</v>
      </c>
      <c r="F3047" s="273" t="s">
        <v>3446</v>
      </c>
      <c r="G3047" s="1040" t="s">
        <v>3463</v>
      </c>
      <c r="H3047" s="273" t="s">
        <v>3462</v>
      </c>
      <c r="I3047" s="720">
        <f t="shared" si="672"/>
        <v>254.88000000000002</v>
      </c>
      <c r="J3047" s="756">
        <v>254.88000000000002</v>
      </c>
      <c r="K3047" s="131">
        <f t="shared" si="675"/>
        <v>254.88000000000002</v>
      </c>
      <c r="L3047" s="335">
        <f t="shared" si="668"/>
        <v>0</v>
      </c>
      <c r="M3047" s="446"/>
      <c r="N3047" s="446"/>
      <c r="O3047" s="446"/>
      <c r="P3047" s="446"/>
      <c r="Q3047" s="110">
        <v>1</v>
      </c>
      <c r="R3047" s="111">
        <f t="shared" si="666"/>
        <v>63.720000000000006</v>
      </c>
      <c r="S3047" s="110"/>
      <c r="T3047" s="110"/>
      <c r="U3047" s="110">
        <v>0</v>
      </c>
      <c r="V3047" s="111">
        <f t="shared" si="667"/>
        <v>63.720000000000006</v>
      </c>
      <c r="W3047" s="110"/>
      <c r="X3047" s="110"/>
      <c r="Y3047" s="110"/>
      <c r="Z3047" s="110"/>
      <c r="AA3047" s="110">
        <v>0</v>
      </c>
      <c r="AB3047" s="111">
        <f t="shared" si="673"/>
        <v>63.720000000000006</v>
      </c>
      <c r="AC3047" s="110"/>
      <c r="AD3047" s="110"/>
      <c r="AE3047" s="110">
        <v>0</v>
      </c>
      <c r="AF3047" s="111">
        <f t="shared" si="674"/>
        <v>63.720000000000006</v>
      </c>
      <c r="AG3047" s="110"/>
      <c r="AH3047" s="110"/>
      <c r="AI3047" s="110"/>
      <c r="AJ3047" s="110"/>
      <c r="AK3047" s="111">
        <f t="shared" si="669"/>
        <v>254.88000000000002</v>
      </c>
      <c r="AL3047" s="446">
        <f t="shared" si="670"/>
        <v>0</v>
      </c>
      <c r="AM3047" s="110">
        <f t="shared" si="671"/>
        <v>1</v>
      </c>
      <c r="AN3047" s="447">
        <f t="shared" si="676"/>
        <v>0</v>
      </c>
      <c r="AO3047"/>
      <c r="AP3047"/>
    </row>
    <row r="3048" spans="1:42" ht="66" x14ac:dyDescent="0.25">
      <c r="A3048" s="9"/>
      <c r="B3048" s="528" t="s">
        <v>3219</v>
      </c>
      <c r="C3048" s="1024"/>
      <c r="D3048" s="882">
        <v>1</v>
      </c>
      <c r="E3048" s="251" t="s">
        <v>1767</v>
      </c>
      <c r="F3048" s="273" t="s">
        <v>3446</v>
      </c>
      <c r="G3048" s="1040" t="s">
        <v>3463</v>
      </c>
      <c r="H3048" s="273" t="s">
        <v>3462</v>
      </c>
      <c r="I3048" s="720">
        <f t="shared" si="672"/>
        <v>124.2</v>
      </c>
      <c r="J3048" s="756">
        <v>124.2</v>
      </c>
      <c r="K3048" s="131">
        <f t="shared" si="675"/>
        <v>124.2</v>
      </c>
      <c r="L3048" s="335">
        <f t="shared" si="668"/>
        <v>0</v>
      </c>
      <c r="M3048" s="446"/>
      <c r="N3048" s="446"/>
      <c r="O3048" s="446"/>
      <c r="P3048" s="446"/>
      <c r="Q3048" s="110">
        <v>1</v>
      </c>
      <c r="R3048" s="111">
        <f t="shared" si="666"/>
        <v>31.05</v>
      </c>
      <c r="S3048" s="110"/>
      <c r="T3048" s="110"/>
      <c r="U3048" s="110">
        <v>0</v>
      </c>
      <c r="V3048" s="111">
        <f t="shared" si="667"/>
        <v>31.05</v>
      </c>
      <c r="W3048" s="110"/>
      <c r="X3048" s="110"/>
      <c r="Y3048" s="110"/>
      <c r="Z3048" s="110"/>
      <c r="AA3048" s="110">
        <v>0</v>
      </c>
      <c r="AB3048" s="111">
        <f t="shared" si="673"/>
        <v>31.05</v>
      </c>
      <c r="AC3048" s="110"/>
      <c r="AD3048" s="110"/>
      <c r="AE3048" s="110">
        <v>0</v>
      </c>
      <c r="AF3048" s="111">
        <f t="shared" si="674"/>
        <v>31.05</v>
      </c>
      <c r="AG3048" s="110"/>
      <c r="AH3048" s="110"/>
      <c r="AI3048" s="110"/>
      <c r="AJ3048" s="110"/>
      <c r="AK3048" s="111">
        <f t="shared" si="669"/>
        <v>124.2</v>
      </c>
      <c r="AL3048" s="446">
        <f t="shared" si="670"/>
        <v>0</v>
      </c>
      <c r="AM3048" s="110">
        <f t="shared" si="671"/>
        <v>1</v>
      </c>
      <c r="AN3048" s="447">
        <f t="shared" si="676"/>
        <v>0</v>
      </c>
      <c r="AO3048"/>
      <c r="AP3048"/>
    </row>
    <row r="3049" spans="1:42" ht="66" x14ac:dyDescent="0.25">
      <c r="A3049" s="9"/>
      <c r="B3049" s="528" t="s">
        <v>3220</v>
      </c>
      <c r="C3049" s="1024"/>
      <c r="D3049" s="882">
        <v>1</v>
      </c>
      <c r="E3049" s="251" t="s">
        <v>1767</v>
      </c>
      <c r="F3049" s="273" t="s">
        <v>3446</v>
      </c>
      <c r="G3049" s="1040" t="s">
        <v>3463</v>
      </c>
      <c r="H3049" s="273" t="s">
        <v>3462</v>
      </c>
      <c r="I3049" s="720">
        <f t="shared" si="672"/>
        <v>10.73</v>
      </c>
      <c r="J3049" s="756">
        <v>10.73</v>
      </c>
      <c r="K3049" s="131">
        <f t="shared" si="675"/>
        <v>10.73</v>
      </c>
      <c r="L3049" s="335">
        <f t="shared" si="668"/>
        <v>0</v>
      </c>
      <c r="M3049" s="446"/>
      <c r="N3049" s="446"/>
      <c r="O3049" s="446"/>
      <c r="P3049" s="446"/>
      <c r="Q3049" s="110">
        <v>1</v>
      </c>
      <c r="R3049" s="111">
        <f t="shared" si="666"/>
        <v>2.6825000000000001</v>
      </c>
      <c r="S3049" s="110"/>
      <c r="T3049" s="110"/>
      <c r="U3049" s="110">
        <v>0</v>
      </c>
      <c r="V3049" s="111">
        <f t="shared" si="667"/>
        <v>2.6825000000000001</v>
      </c>
      <c r="W3049" s="110"/>
      <c r="X3049" s="110"/>
      <c r="Y3049" s="110"/>
      <c r="Z3049" s="110"/>
      <c r="AA3049" s="110">
        <v>0</v>
      </c>
      <c r="AB3049" s="111">
        <f t="shared" si="673"/>
        <v>2.6825000000000001</v>
      </c>
      <c r="AC3049" s="110"/>
      <c r="AD3049" s="110"/>
      <c r="AE3049" s="110">
        <v>0</v>
      </c>
      <c r="AF3049" s="111">
        <f t="shared" si="674"/>
        <v>2.6825000000000001</v>
      </c>
      <c r="AG3049" s="110"/>
      <c r="AH3049" s="110"/>
      <c r="AI3049" s="110"/>
      <c r="AJ3049" s="110"/>
      <c r="AK3049" s="111">
        <f t="shared" si="669"/>
        <v>10.73</v>
      </c>
      <c r="AL3049" s="446">
        <f t="shared" si="670"/>
        <v>0</v>
      </c>
      <c r="AM3049" s="110">
        <f t="shared" si="671"/>
        <v>1</v>
      </c>
      <c r="AN3049" s="447">
        <f t="shared" si="676"/>
        <v>0</v>
      </c>
      <c r="AO3049"/>
      <c r="AP3049"/>
    </row>
    <row r="3050" spans="1:42" ht="66" x14ac:dyDescent="0.25">
      <c r="A3050" s="9"/>
      <c r="B3050" s="528" t="s">
        <v>3221</v>
      </c>
      <c r="C3050" s="1024"/>
      <c r="D3050" s="882">
        <v>1</v>
      </c>
      <c r="E3050" s="251" t="s">
        <v>1767</v>
      </c>
      <c r="F3050" s="273" t="s">
        <v>3446</v>
      </c>
      <c r="G3050" s="1040" t="s">
        <v>3463</v>
      </c>
      <c r="H3050" s="273" t="s">
        <v>3462</v>
      </c>
      <c r="I3050" s="720">
        <f t="shared" si="672"/>
        <v>236.52237599999998</v>
      </c>
      <c r="J3050" s="756">
        <v>236.52237599999998</v>
      </c>
      <c r="K3050" s="131">
        <f t="shared" si="675"/>
        <v>236.52237599999998</v>
      </c>
      <c r="L3050" s="335">
        <f t="shared" si="668"/>
        <v>0</v>
      </c>
      <c r="M3050" s="446"/>
      <c r="N3050" s="446"/>
      <c r="O3050" s="446"/>
      <c r="P3050" s="446"/>
      <c r="Q3050" s="110">
        <v>1</v>
      </c>
      <c r="R3050" s="111">
        <f t="shared" si="666"/>
        <v>59.130593999999995</v>
      </c>
      <c r="S3050" s="110"/>
      <c r="T3050" s="110"/>
      <c r="U3050" s="110">
        <v>0</v>
      </c>
      <c r="V3050" s="111">
        <f t="shared" si="667"/>
        <v>59.130593999999995</v>
      </c>
      <c r="W3050" s="110"/>
      <c r="X3050" s="110"/>
      <c r="Y3050" s="110"/>
      <c r="Z3050" s="110"/>
      <c r="AA3050" s="110">
        <v>0</v>
      </c>
      <c r="AB3050" s="111">
        <f t="shared" si="673"/>
        <v>59.130593999999995</v>
      </c>
      <c r="AC3050" s="110"/>
      <c r="AD3050" s="110"/>
      <c r="AE3050" s="110">
        <v>0</v>
      </c>
      <c r="AF3050" s="111">
        <f t="shared" si="674"/>
        <v>59.130593999999995</v>
      </c>
      <c r="AG3050" s="110"/>
      <c r="AH3050" s="110"/>
      <c r="AI3050" s="110"/>
      <c r="AJ3050" s="110"/>
      <c r="AK3050" s="111">
        <f t="shared" si="669"/>
        <v>236.52237599999998</v>
      </c>
      <c r="AL3050" s="446">
        <f t="shared" si="670"/>
        <v>0</v>
      </c>
      <c r="AM3050" s="110">
        <f t="shared" si="671"/>
        <v>1</v>
      </c>
      <c r="AN3050" s="447">
        <f t="shared" si="676"/>
        <v>0</v>
      </c>
      <c r="AO3050"/>
      <c r="AP3050"/>
    </row>
    <row r="3051" spans="1:42" ht="66" x14ac:dyDescent="0.25">
      <c r="A3051" s="9"/>
      <c r="B3051" s="528" t="s">
        <v>3222</v>
      </c>
      <c r="C3051" s="1024"/>
      <c r="D3051" s="882">
        <v>1</v>
      </c>
      <c r="E3051" s="251" t="s">
        <v>3284</v>
      </c>
      <c r="F3051" s="273" t="s">
        <v>3446</v>
      </c>
      <c r="G3051" s="1040" t="s">
        <v>3463</v>
      </c>
      <c r="H3051" s="273" t="s">
        <v>3462</v>
      </c>
      <c r="I3051" s="720">
        <f t="shared" si="672"/>
        <v>21.836303999999998</v>
      </c>
      <c r="J3051" s="756">
        <v>21.836303999999998</v>
      </c>
      <c r="K3051" s="131">
        <f t="shared" si="675"/>
        <v>21.836303999999998</v>
      </c>
      <c r="L3051" s="335">
        <f t="shared" si="668"/>
        <v>0</v>
      </c>
      <c r="M3051" s="446"/>
      <c r="N3051" s="446"/>
      <c r="O3051" s="446"/>
      <c r="P3051" s="446"/>
      <c r="Q3051" s="110">
        <v>1</v>
      </c>
      <c r="R3051" s="111">
        <f t="shared" si="666"/>
        <v>5.4590759999999996</v>
      </c>
      <c r="S3051" s="110"/>
      <c r="T3051" s="110"/>
      <c r="U3051" s="110">
        <v>0</v>
      </c>
      <c r="V3051" s="111">
        <f t="shared" si="667"/>
        <v>5.4590759999999996</v>
      </c>
      <c r="W3051" s="110"/>
      <c r="X3051" s="110"/>
      <c r="Y3051" s="110"/>
      <c r="Z3051" s="110"/>
      <c r="AA3051" s="110">
        <v>0</v>
      </c>
      <c r="AB3051" s="111">
        <f t="shared" si="673"/>
        <v>5.4590759999999996</v>
      </c>
      <c r="AC3051" s="110"/>
      <c r="AD3051" s="110"/>
      <c r="AE3051" s="110">
        <v>0</v>
      </c>
      <c r="AF3051" s="111">
        <f t="shared" si="674"/>
        <v>5.4590759999999996</v>
      </c>
      <c r="AG3051" s="110"/>
      <c r="AH3051" s="110"/>
      <c r="AI3051" s="110"/>
      <c r="AJ3051" s="110"/>
      <c r="AK3051" s="111">
        <f t="shared" si="669"/>
        <v>21.836303999999998</v>
      </c>
      <c r="AL3051" s="446">
        <f t="shared" si="670"/>
        <v>0</v>
      </c>
      <c r="AM3051" s="110">
        <f t="shared" si="671"/>
        <v>1</v>
      </c>
      <c r="AN3051" s="447">
        <f t="shared" si="676"/>
        <v>0</v>
      </c>
      <c r="AO3051"/>
      <c r="AP3051"/>
    </row>
    <row r="3052" spans="1:42" ht="66" x14ac:dyDescent="0.25">
      <c r="A3052" s="9"/>
      <c r="B3052" s="528" t="s">
        <v>3223</v>
      </c>
      <c r="C3052" s="1024"/>
      <c r="D3052" s="882">
        <v>1</v>
      </c>
      <c r="E3052" s="251" t="s">
        <v>3284</v>
      </c>
      <c r="F3052" s="273" t="s">
        <v>3446</v>
      </c>
      <c r="G3052" s="1040" t="s">
        <v>3463</v>
      </c>
      <c r="H3052" s="273" t="s">
        <v>3462</v>
      </c>
      <c r="I3052" s="720">
        <f t="shared" si="672"/>
        <v>64.406447999999997</v>
      </c>
      <c r="J3052" s="756">
        <v>64.406447999999997</v>
      </c>
      <c r="K3052" s="131">
        <f t="shared" si="675"/>
        <v>64.406447999999997</v>
      </c>
      <c r="L3052" s="335">
        <f t="shared" si="668"/>
        <v>0</v>
      </c>
      <c r="M3052" s="446"/>
      <c r="N3052" s="446"/>
      <c r="O3052" s="446"/>
      <c r="P3052" s="446"/>
      <c r="Q3052" s="110">
        <v>1</v>
      </c>
      <c r="R3052" s="111">
        <f t="shared" si="666"/>
        <v>16.101611999999999</v>
      </c>
      <c r="S3052" s="110"/>
      <c r="T3052" s="110"/>
      <c r="U3052" s="110">
        <v>0</v>
      </c>
      <c r="V3052" s="111">
        <f t="shared" si="667"/>
        <v>16.101611999999999</v>
      </c>
      <c r="W3052" s="110"/>
      <c r="X3052" s="110"/>
      <c r="Y3052" s="110"/>
      <c r="Z3052" s="110"/>
      <c r="AA3052" s="110">
        <v>0</v>
      </c>
      <c r="AB3052" s="111">
        <f t="shared" si="673"/>
        <v>16.101611999999999</v>
      </c>
      <c r="AC3052" s="110"/>
      <c r="AD3052" s="110"/>
      <c r="AE3052" s="110">
        <v>0</v>
      </c>
      <c r="AF3052" s="111">
        <f t="shared" si="674"/>
        <v>16.101611999999999</v>
      </c>
      <c r="AG3052" s="110"/>
      <c r="AH3052" s="110"/>
      <c r="AI3052" s="110"/>
      <c r="AJ3052" s="110"/>
      <c r="AK3052" s="111">
        <f t="shared" si="669"/>
        <v>64.406447999999997</v>
      </c>
      <c r="AL3052" s="446">
        <f t="shared" si="670"/>
        <v>0</v>
      </c>
      <c r="AM3052" s="110">
        <f t="shared" si="671"/>
        <v>1</v>
      </c>
      <c r="AN3052" s="447">
        <f t="shared" si="676"/>
        <v>0</v>
      </c>
      <c r="AO3052"/>
      <c r="AP3052"/>
    </row>
    <row r="3053" spans="1:42" ht="66" x14ac:dyDescent="0.25">
      <c r="A3053" s="9"/>
      <c r="B3053" s="528" t="s">
        <v>3224</v>
      </c>
      <c r="C3053" s="1024"/>
      <c r="D3053" s="882">
        <v>1</v>
      </c>
      <c r="E3053" s="251" t="s">
        <v>2442</v>
      </c>
      <c r="F3053" s="273" t="s">
        <v>3446</v>
      </c>
      <c r="G3053" s="1040" t="s">
        <v>3463</v>
      </c>
      <c r="H3053" s="273" t="s">
        <v>3462</v>
      </c>
      <c r="I3053" s="720">
        <f t="shared" si="672"/>
        <v>60.510239999999996</v>
      </c>
      <c r="J3053" s="756">
        <v>60.510239999999996</v>
      </c>
      <c r="K3053" s="131">
        <f t="shared" si="675"/>
        <v>60.510239999999996</v>
      </c>
      <c r="L3053" s="335">
        <f t="shared" si="668"/>
        <v>0</v>
      </c>
      <c r="M3053" s="446"/>
      <c r="N3053" s="446"/>
      <c r="O3053" s="446"/>
      <c r="P3053" s="446"/>
      <c r="Q3053" s="110">
        <v>1</v>
      </c>
      <c r="R3053" s="111">
        <f t="shared" si="666"/>
        <v>15.127559999999999</v>
      </c>
      <c r="S3053" s="110"/>
      <c r="T3053" s="110"/>
      <c r="U3053" s="110">
        <v>0</v>
      </c>
      <c r="V3053" s="111">
        <f t="shared" si="667"/>
        <v>15.127559999999999</v>
      </c>
      <c r="W3053" s="110"/>
      <c r="X3053" s="110"/>
      <c r="Y3053" s="110"/>
      <c r="Z3053" s="110"/>
      <c r="AA3053" s="110">
        <v>0</v>
      </c>
      <c r="AB3053" s="111">
        <f t="shared" si="673"/>
        <v>15.127559999999999</v>
      </c>
      <c r="AC3053" s="110"/>
      <c r="AD3053" s="110"/>
      <c r="AE3053" s="110">
        <v>0</v>
      </c>
      <c r="AF3053" s="111">
        <f t="shared" si="674"/>
        <v>15.127559999999999</v>
      </c>
      <c r="AG3053" s="110"/>
      <c r="AH3053" s="110"/>
      <c r="AI3053" s="110"/>
      <c r="AJ3053" s="110"/>
      <c r="AK3053" s="111">
        <f t="shared" si="669"/>
        <v>60.510239999999996</v>
      </c>
      <c r="AL3053" s="446">
        <f t="shared" si="670"/>
        <v>0</v>
      </c>
      <c r="AM3053" s="110">
        <f t="shared" si="671"/>
        <v>1</v>
      </c>
      <c r="AN3053" s="447">
        <f t="shared" si="676"/>
        <v>0</v>
      </c>
      <c r="AO3053"/>
      <c r="AP3053"/>
    </row>
    <row r="3054" spans="1:42" ht="66" x14ac:dyDescent="0.25">
      <c r="A3054" s="9"/>
      <c r="B3054" s="528" t="s">
        <v>3225</v>
      </c>
      <c r="C3054" s="1024"/>
      <c r="D3054" s="882">
        <v>1</v>
      </c>
      <c r="E3054" s="251" t="s">
        <v>2442</v>
      </c>
      <c r="F3054" s="273" t="s">
        <v>3446</v>
      </c>
      <c r="G3054" s="1040" t="s">
        <v>3463</v>
      </c>
      <c r="H3054" s="273" t="s">
        <v>3462</v>
      </c>
      <c r="I3054" s="720">
        <f t="shared" si="672"/>
        <v>118.3896</v>
      </c>
      <c r="J3054" s="756">
        <v>118.3896</v>
      </c>
      <c r="K3054" s="131">
        <f t="shared" si="675"/>
        <v>118.3896</v>
      </c>
      <c r="L3054" s="335">
        <f t="shared" si="668"/>
        <v>0</v>
      </c>
      <c r="M3054" s="446"/>
      <c r="N3054" s="446"/>
      <c r="O3054" s="446"/>
      <c r="P3054" s="446"/>
      <c r="Q3054" s="110">
        <v>1</v>
      </c>
      <c r="R3054" s="111">
        <f t="shared" si="666"/>
        <v>29.5974</v>
      </c>
      <c r="S3054" s="110"/>
      <c r="T3054" s="110"/>
      <c r="U3054" s="110">
        <v>0</v>
      </c>
      <c r="V3054" s="111">
        <f t="shared" si="667"/>
        <v>29.5974</v>
      </c>
      <c r="W3054" s="110"/>
      <c r="X3054" s="110"/>
      <c r="Y3054" s="110"/>
      <c r="Z3054" s="110"/>
      <c r="AA3054" s="110">
        <v>0</v>
      </c>
      <c r="AB3054" s="111">
        <f t="shared" si="673"/>
        <v>29.5974</v>
      </c>
      <c r="AC3054" s="110"/>
      <c r="AD3054" s="110"/>
      <c r="AE3054" s="110">
        <v>0</v>
      </c>
      <c r="AF3054" s="111">
        <f t="shared" si="674"/>
        <v>29.5974</v>
      </c>
      <c r="AG3054" s="110"/>
      <c r="AH3054" s="110"/>
      <c r="AI3054" s="110"/>
      <c r="AJ3054" s="110"/>
      <c r="AK3054" s="111">
        <f t="shared" si="669"/>
        <v>118.3896</v>
      </c>
      <c r="AL3054" s="446">
        <f t="shared" si="670"/>
        <v>0</v>
      </c>
      <c r="AM3054" s="110">
        <f t="shared" si="671"/>
        <v>1</v>
      </c>
      <c r="AN3054" s="447">
        <f t="shared" si="676"/>
        <v>0</v>
      </c>
      <c r="AO3054"/>
      <c r="AP3054"/>
    </row>
    <row r="3055" spans="1:42" ht="66" x14ac:dyDescent="0.25">
      <c r="A3055" s="9"/>
      <c r="B3055" s="528" t="s">
        <v>3226</v>
      </c>
      <c r="C3055" s="1024"/>
      <c r="D3055" s="882">
        <v>1</v>
      </c>
      <c r="E3055" s="251" t="s">
        <v>2442</v>
      </c>
      <c r="F3055" s="273" t="s">
        <v>3446</v>
      </c>
      <c r="G3055" s="1040" t="s">
        <v>3463</v>
      </c>
      <c r="H3055" s="273" t="s">
        <v>3462</v>
      </c>
      <c r="I3055" s="720">
        <f t="shared" si="672"/>
        <v>342.01439999999997</v>
      </c>
      <c r="J3055" s="756">
        <v>342.01439999999997</v>
      </c>
      <c r="K3055" s="131">
        <f t="shared" si="675"/>
        <v>342.01439999999997</v>
      </c>
      <c r="L3055" s="335">
        <f t="shared" si="668"/>
        <v>0</v>
      </c>
      <c r="M3055" s="446"/>
      <c r="N3055" s="446"/>
      <c r="O3055" s="446"/>
      <c r="P3055" s="446"/>
      <c r="Q3055" s="110">
        <v>1</v>
      </c>
      <c r="R3055" s="111">
        <f t="shared" ref="R3055:R3118" si="677">+J3055/4</f>
        <v>85.503599999999992</v>
      </c>
      <c r="S3055" s="110"/>
      <c r="T3055" s="110"/>
      <c r="U3055" s="110">
        <v>0</v>
      </c>
      <c r="V3055" s="111">
        <f t="shared" ref="V3055:V3118" si="678">+J3055/4</f>
        <v>85.503599999999992</v>
      </c>
      <c r="W3055" s="110"/>
      <c r="X3055" s="110"/>
      <c r="Y3055" s="110"/>
      <c r="Z3055" s="110"/>
      <c r="AA3055" s="110">
        <v>0</v>
      </c>
      <c r="AB3055" s="111">
        <f t="shared" si="673"/>
        <v>85.503599999999992</v>
      </c>
      <c r="AC3055" s="110"/>
      <c r="AD3055" s="110"/>
      <c r="AE3055" s="110">
        <v>0</v>
      </c>
      <c r="AF3055" s="111">
        <f t="shared" si="674"/>
        <v>85.503599999999992</v>
      </c>
      <c r="AG3055" s="110"/>
      <c r="AH3055" s="110"/>
      <c r="AI3055" s="110"/>
      <c r="AJ3055" s="110"/>
      <c r="AK3055" s="111">
        <f t="shared" si="669"/>
        <v>342.01439999999997</v>
      </c>
      <c r="AL3055" s="446">
        <f t="shared" si="670"/>
        <v>0</v>
      </c>
      <c r="AM3055" s="110">
        <f t="shared" si="671"/>
        <v>1</v>
      </c>
      <c r="AN3055" s="447">
        <f t="shared" si="676"/>
        <v>0</v>
      </c>
      <c r="AO3055"/>
      <c r="AP3055"/>
    </row>
    <row r="3056" spans="1:42" ht="66" x14ac:dyDescent="0.25">
      <c r="A3056" s="9"/>
      <c r="B3056" s="528" t="s">
        <v>3227</v>
      </c>
      <c r="C3056" s="1024"/>
      <c r="D3056" s="882">
        <v>1</v>
      </c>
      <c r="E3056" s="251" t="s">
        <v>2442</v>
      </c>
      <c r="F3056" s="273" t="s">
        <v>3446</v>
      </c>
      <c r="G3056" s="1040" t="s">
        <v>3463</v>
      </c>
      <c r="H3056" s="273" t="s">
        <v>3462</v>
      </c>
      <c r="I3056" s="720">
        <f t="shared" si="672"/>
        <v>1841.616</v>
      </c>
      <c r="J3056" s="756">
        <v>1841.616</v>
      </c>
      <c r="K3056" s="131">
        <f t="shared" si="675"/>
        <v>1841.616</v>
      </c>
      <c r="L3056" s="335">
        <f t="shared" si="668"/>
        <v>0</v>
      </c>
      <c r="M3056" s="446"/>
      <c r="N3056" s="446"/>
      <c r="O3056" s="446"/>
      <c r="P3056" s="446"/>
      <c r="Q3056" s="110">
        <v>1</v>
      </c>
      <c r="R3056" s="111">
        <f t="shared" si="677"/>
        <v>460.404</v>
      </c>
      <c r="S3056" s="110"/>
      <c r="T3056" s="110"/>
      <c r="U3056" s="110">
        <v>0</v>
      </c>
      <c r="V3056" s="111">
        <f t="shared" si="678"/>
        <v>460.404</v>
      </c>
      <c r="W3056" s="110"/>
      <c r="X3056" s="110"/>
      <c r="Y3056" s="110"/>
      <c r="Z3056" s="110"/>
      <c r="AA3056" s="110">
        <v>0</v>
      </c>
      <c r="AB3056" s="111">
        <f t="shared" si="673"/>
        <v>460.404</v>
      </c>
      <c r="AC3056" s="110"/>
      <c r="AD3056" s="110"/>
      <c r="AE3056" s="110">
        <v>0</v>
      </c>
      <c r="AF3056" s="111">
        <f t="shared" si="674"/>
        <v>460.404</v>
      </c>
      <c r="AG3056" s="110"/>
      <c r="AH3056" s="110"/>
      <c r="AI3056" s="110"/>
      <c r="AJ3056" s="110"/>
      <c r="AK3056" s="111">
        <f t="shared" si="669"/>
        <v>1841.616</v>
      </c>
      <c r="AL3056" s="446">
        <f t="shared" si="670"/>
        <v>0</v>
      </c>
      <c r="AM3056" s="110">
        <f t="shared" si="671"/>
        <v>1</v>
      </c>
      <c r="AN3056" s="447">
        <f t="shared" si="676"/>
        <v>0</v>
      </c>
      <c r="AO3056"/>
      <c r="AP3056"/>
    </row>
    <row r="3057" spans="1:42" ht="66" x14ac:dyDescent="0.25">
      <c r="A3057" s="9"/>
      <c r="B3057" s="528" t="s">
        <v>3228</v>
      </c>
      <c r="C3057" s="1024"/>
      <c r="D3057" s="882">
        <v>1</v>
      </c>
      <c r="E3057" s="251" t="s">
        <v>2442</v>
      </c>
      <c r="F3057" s="273" t="s">
        <v>3446</v>
      </c>
      <c r="G3057" s="1040" t="s">
        <v>3463</v>
      </c>
      <c r="H3057" s="273" t="s">
        <v>3462</v>
      </c>
      <c r="I3057" s="720">
        <f t="shared" si="672"/>
        <v>223.62479999999999</v>
      </c>
      <c r="J3057" s="756">
        <v>223.62479999999999</v>
      </c>
      <c r="K3057" s="131">
        <f t="shared" si="675"/>
        <v>223.62479999999999</v>
      </c>
      <c r="L3057" s="335">
        <f t="shared" si="668"/>
        <v>0</v>
      </c>
      <c r="M3057" s="446"/>
      <c r="N3057" s="446"/>
      <c r="O3057" s="446"/>
      <c r="P3057" s="446"/>
      <c r="Q3057" s="110">
        <v>1</v>
      </c>
      <c r="R3057" s="111">
        <f t="shared" si="677"/>
        <v>55.906199999999998</v>
      </c>
      <c r="S3057" s="110"/>
      <c r="T3057" s="110"/>
      <c r="U3057" s="110">
        <v>0</v>
      </c>
      <c r="V3057" s="111">
        <f t="shared" si="678"/>
        <v>55.906199999999998</v>
      </c>
      <c r="W3057" s="110"/>
      <c r="X3057" s="110"/>
      <c r="Y3057" s="110"/>
      <c r="Z3057" s="110"/>
      <c r="AA3057" s="110">
        <v>0</v>
      </c>
      <c r="AB3057" s="111">
        <f t="shared" si="673"/>
        <v>55.906199999999998</v>
      </c>
      <c r="AC3057" s="110"/>
      <c r="AD3057" s="110"/>
      <c r="AE3057" s="110">
        <v>0</v>
      </c>
      <c r="AF3057" s="111">
        <f t="shared" si="674"/>
        <v>55.906199999999998</v>
      </c>
      <c r="AG3057" s="110"/>
      <c r="AH3057" s="110"/>
      <c r="AI3057" s="110"/>
      <c r="AJ3057" s="110"/>
      <c r="AK3057" s="111">
        <f t="shared" si="669"/>
        <v>223.62479999999999</v>
      </c>
      <c r="AL3057" s="446">
        <f t="shared" si="670"/>
        <v>0</v>
      </c>
      <c r="AM3057" s="110">
        <f t="shared" si="671"/>
        <v>1</v>
      </c>
      <c r="AN3057" s="447">
        <f t="shared" si="676"/>
        <v>0</v>
      </c>
      <c r="AO3057"/>
      <c r="AP3057"/>
    </row>
    <row r="3058" spans="1:42" ht="66" x14ac:dyDescent="0.25">
      <c r="A3058" s="9"/>
      <c r="B3058" s="528" t="s">
        <v>3229</v>
      </c>
      <c r="C3058" s="1024"/>
      <c r="D3058" s="882">
        <v>1</v>
      </c>
      <c r="E3058" s="251" t="s">
        <v>1767</v>
      </c>
      <c r="F3058" s="273" t="s">
        <v>3446</v>
      </c>
      <c r="G3058" s="1040" t="s">
        <v>3463</v>
      </c>
      <c r="H3058" s="273" t="s">
        <v>3462</v>
      </c>
      <c r="I3058" s="720">
        <f t="shared" si="672"/>
        <v>1067.523408</v>
      </c>
      <c r="J3058" s="756">
        <v>1067.523408</v>
      </c>
      <c r="K3058" s="131">
        <f t="shared" si="675"/>
        <v>1067.523408</v>
      </c>
      <c r="L3058" s="335">
        <f t="shared" si="668"/>
        <v>0</v>
      </c>
      <c r="M3058" s="446"/>
      <c r="N3058" s="446"/>
      <c r="O3058" s="446"/>
      <c r="P3058" s="446"/>
      <c r="Q3058" s="110">
        <v>1</v>
      </c>
      <c r="R3058" s="111">
        <f t="shared" si="677"/>
        <v>266.880852</v>
      </c>
      <c r="S3058" s="110"/>
      <c r="T3058" s="110"/>
      <c r="U3058" s="110">
        <v>0</v>
      </c>
      <c r="V3058" s="111">
        <f t="shared" si="678"/>
        <v>266.880852</v>
      </c>
      <c r="W3058" s="110"/>
      <c r="X3058" s="110"/>
      <c r="Y3058" s="110"/>
      <c r="Z3058" s="110"/>
      <c r="AA3058" s="110">
        <v>0</v>
      </c>
      <c r="AB3058" s="111">
        <f t="shared" si="673"/>
        <v>266.880852</v>
      </c>
      <c r="AC3058" s="110"/>
      <c r="AD3058" s="110"/>
      <c r="AE3058" s="110">
        <v>0</v>
      </c>
      <c r="AF3058" s="111">
        <f t="shared" si="674"/>
        <v>266.880852</v>
      </c>
      <c r="AG3058" s="110"/>
      <c r="AH3058" s="110"/>
      <c r="AI3058" s="110"/>
      <c r="AJ3058" s="110"/>
      <c r="AK3058" s="111">
        <f t="shared" si="669"/>
        <v>1067.523408</v>
      </c>
      <c r="AL3058" s="446">
        <f t="shared" si="670"/>
        <v>0</v>
      </c>
      <c r="AM3058" s="110">
        <f t="shared" si="671"/>
        <v>1</v>
      </c>
      <c r="AN3058" s="447">
        <f t="shared" si="676"/>
        <v>0</v>
      </c>
      <c r="AO3058"/>
      <c r="AP3058"/>
    </row>
    <row r="3059" spans="1:42" ht="66" x14ac:dyDescent="0.25">
      <c r="A3059" s="9"/>
      <c r="B3059" s="528" t="s">
        <v>3230</v>
      </c>
      <c r="C3059" s="1024"/>
      <c r="D3059" s="882">
        <v>1</v>
      </c>
      <c r="E3059" s="251" t="s">
        <v>1767</v>
      </c>
      <c r="F3059" s="273" t="s">
        <v>3446</v>
      </c>
      <c r="G3059" s="1040" t="s">
        <v>3463</v>
      </c>
      <c r="H3059" s="273" t="s">
        <v>3462</v>
      </c>
      <c r="I3059" s="720">
        <f t="shared" si="672"/>
        <v>1251.1337759999999</v>
      </c>
      <c r="J3059" s="756">
        <v>1251.1337759999999</v>
      </c>
      <c r="K3059" s="131">
        <f t="shared" si="675"/>
        <v>1251.1337759999999</v>
      </c>
      <c r="L3059" s="335">
        <f t="shared" si="668"/>
        <v>0</v>
      </c>
      <c r="M3059" s="446"/>
      <c r="N3059" s="446"/>
      <c r="O3059" s="446"/>
      <c r="P3059" s="446"/>
      <c r="Q3059" s="110">
        <v>1</v>
      </c>
      <c r="R3059" s="111">
        <f t="shared" si="677"/>
        <v>312.78344399999997</v>
      </c>
      <c r="S3059" s="110"/>
      <c r="T3059" s="110"/>
      <c r="U3059" s="110">
        <v>0</v>
      </c>
      <c r="V3059" s="111">
        <f t="shared" si="678"/>
        <v>312.78344399999997</v>
      </c>
      <c r="W3059" s="110"/>
      <c r="X3059" s="110"/>
      <c r="Y3059" s="110"/>
      <c r="Z3059" s="110"/>
      <c r="AA3059" s="110">
        <v>0</v>
      </c>
      <c r="AB3059" s="111">
        <f t="shared" si="673"/>
        <v>312.78344399999997</v>
      </c>
      <c r="AC3059" s="110"/>
      <c r="AD3059" s="110"/>
      <c r="AE3059" s="110">
        <v>0</v>
      </c>
      <c r="AF3059" s="111">
        <f t="shared" si="674"/>
        <v>312.78344399999997</v>
      </c>
      <c r="AG3059" s="110"/>
      <c r="AH3059" s="110"/>
      <c r="AI3059" s="110"/>
      <c r="AJ3059" s="110"/>
      <c r="AK3059" s="111">
        <f t="shared" si="669"/>
        <v>1251.1337759999999</v>
      </c>
      <c r="AL3059" s="446">
        <f t="shared" si="670"/>
        <v>0</v>
      </c>
      <c r="AM3059" s="110">
        <f t="shared" si="671"/>
        <v>1</v>
      </c>
      <c r="AN3059" s="447">
        <f t="shared" si="676"/>
        <v>0</v>
      </c>
      <c r="AO3059"/>
      <c r="AP3059"/>
    </row>
    <row r="3060" spans="1:42" ht="66" x14ac:dyDescent="0.25">
      <c r="A3060" s="9"/>
      <c r="B3060" s="528" t="s">
        <v>3231</v>
      </c>
      <c r="C3060" s="1024"/>
      <c r="D3060" s="882">
        <v>1</v>
      </c>
      <c r="E3060" s="251" t="s">
        <v>3285</v>
      </c>
      <c r="F3060" s="273" t="s">
        <v>3446</v>
      </c>
      <c r="G3060" s="1040" t="s">
        <v>3463</v>
      </c>
      <c r="H3060" s="273" t="s">
        <v>3462</v>
      </c>
      <c r="I3060" s="720">
        <f t="shared" si="672"/>
        <v>128.51848799999999</v>
      </c>
      <c r="J3060" s="756">
        <v>128.51848799999999</v>
      </c>
      <c r="K3060" s="131">
        <f t="shared" si="675"/>
        <v>128.51848799999999</v>
      </c>
      <c r="L3060" s="335">
        <f t="shared" ref="L3060:L3123" si="679">+J3060-K3060</f>
        <v>0</v>
      </c>
      <c r="M3060" s="446"/>
      <c r="N3060" s="446"/>
      <c r="O3060" s="446"/>
      <c r="P3060" s="446"/>
      <c r="Q3060" s="110">
        <v>1</v>
      </c>
      <c r="R3060" s="111">
        <f t="shared" si="677"/>
        <v>32.129621999999998</v>
      </c>
      <c r="S3060" s="110"/>
      <c r="T3060" s="110"/>
      <c r="U3060" s="110">
        <v>0</v>
      </c>
      <c r="V3060" s="111">
        <f t="shared" si="678"/>
        <v>32.129621999999998</v>
      </c>
      <c r="W3060" s="110"/>
      <c r="X3060" s="110"/>
      <c r="Y3060" s="110"/>
      <c r="Z3060" s="110"/>
      <c r="AA3060" s="110">
        <v>0</v>
      </c>
      <c r="AB3060" s="111">
        <f t="shared" si="673"/>
        <v>32.129621999999998</v>
      </c>
      <c r="AC3060" s="110"/>
      <c r="AD3060" s="110"/>
      <c r="AE3060" s="110">
        <v>0</v>
      </c>
      <c r="AF3060" s="111">
        <f t="shared" si="674"/>
        <v>32.129621999999998</v>
      </c>
      <c r="AG3060" s="110"/>
      <c r="AH3060" s="110"/>
      <c r="AI3060" s="110"/>
      <c r="AJ3060" s="110"/>
      <c r="AK3060" s="111">
        <f t="shared" ref="AK3060:AK3123" si="680">+R3060+V3060+AB3060+AF3060</f>
        <v>128.51848799999999</v>
      </c>
      <c r="AL3060" s="446">
        <f t="shared" ref="AL3060:AL3123" si="681">+J3060-AK3060</f>
        <v>0</v>
      </c>
      <c r="AM3060" s="110">
        <f t="shared" ref="AM3060:AM3123" si="682">+Q3060+U3060+AA3060+AE3060</f>
        <v>1</v>
      </c>
      <c r="AN3060" s="447">
        <f t="shared" si="676"/>
        <v>0</v>
      </c>
      <c r="AO3060"/>
      <c r="AP3060"/>
    </row>
    <row r="3061" spans="1:42" ht="66" x14ac:dyDescent="0.25">
      <c r="A3061" s="9"/>
      <c r="B3061" s="528" t="s">
        <v>3232</v>
      </c>
      <c r="C3061" s="1024"/>
      <c r="D3061" s="882">
        <v>1</v>
      </c>
      <c r="E3061" s="251" t="s">
        <v>1767</v>
      </c>
      <c r="F3061" s="273" t="s">
        <v>3446</v>
      </c>
      <c r="G3061" s="1040" t="s">
        <v>3463</v>
      </c>
      <c r="H3061" s="273" t="s">
        <v>3462</v>
      </c>
      <c r="I3061" s="720">
        <f t="shared" si="672"/>
        <v>3672.0108000000005</v>
      </c>
      <c r="J3061" s="756">
        <v>3672.0108000000005</v>
      </c>
      <c r="K3061" s="131">
        <f t="shared" si="675"/>
        <v>3672.0108000000005</v>
      </c>
      <c r="L3061" s="335">
        <f t="shared" si="679"/>
        <v>0</v>
      </c>
      <c r="M3061" s="446"/>
      <c r="N3061" s="446"/>
      <c r="O3061" s="446"/>
      <c r="P3061" s="446"/>
      <c r="Q3061" s="110">
        <v>1</v>
      </c>
      <c r="R3061" s="111">
        <f t="shared" si="677"/>
        <v>918.00270000000012</v>
      </c>
      <c r="S3061" s="110"/>
      <c r="T3061" s="110"/>
      <c r="U3061" s="110">
        <v>0</v>
      </c>
      <c r="V3061" s="111">
        <f t="shared" si="678"/>
        <v>918.00270000000012</v>
      </c>
      <c r="W3061" s="110"/>
      <c r="X3061" s="110"/>
      <c r="Y3061" s="110"/>
      <c r="Z3061" s="110"/>
      <c r="AA3061" s="110">
        <v>0</v>
      </c>
      <c r="AB3061" s="111">
        <f t="shared" si="673"/>
        <v>918.00270000000012</v>
      </c>
      <c r="AC3061" s="110"/>
      <c r="AD3061" s="110"/>
      <c r="AE3061" s="110">
        <v>0</v>
      </c>
      <c r="AF3061" s="111">
        <f t="shared" si="674"/>
        <v>918.00270000000012</v>
      </c>
      <c r="AG3061" s="110"/>
      <c r="AH3061" s="110"/>
      <c r="AI3061" s="110"/>
      <c r="AJ3061" s="110"/>
      <c r="AK3061" s="111">
        <f t="shared" si="680"/>
        <v>3672.0108000000005</v>
      </c>
      <c r="AL3061" s="446">
        <f t="shared" si="681"/>
        <v>0</v>
      </c>
      <c r="AM3061" s="110">
        <f t="shared" si="682"/>
        <v>1</v>
      </c>
      <c r="AN3061" s="447">
        <f t="shared" si="676"/>
        <v>0</v>
      </c>
      <c r="AO3061"/>
      <c r="AP3061"/>
    </row>
    <row r="3062" spans="1:42" ht="66" x14ac:dyDescent="0.25">
      <c r="A3062" s="9"/>
      <c r="B3062" s="528" t="s">
        <v>3233</v>
      </c>
      <c r="C3062" s="1024"/>
      <c r="D3062" s="882">
        <v>1</v>
      </c>
      <c r="E3062" s="251" t="s">
        <v>1767</v>
      </c>
      <c r="F3062" s="273" t="s">
        <v>3446</v>
      </c>
      <c r="G3062" s="1040" t="s">
        <v>3463</v>
      </c>
      <c r="H3062" s="273" t="s">
        <v>3462</v>
      </c>
      <c r="I3062" s="720">
        <f t="shared" si="672"/>
        <v>21.598271999999998</v>
      </c>
      <c r="J3062" s="756">
        <v>21.598271999999998</v>
      </c>
      <c r="K3062" s="131">
        <f t="shared" si="675"/>
        <v>21.598271999999998</v>
      </c>
      <c r="L3062" s="335">
        <f t="shared" si="679"/>
        <v>0</v>
      </c>
      <c r="M3062" s="446"/>
      <c r="N3062" s="446"/>
      <c r="O3062" s="446"/>
      <c r="P3062" s="446"/>
      <c r="Q3062" s="110">
        <v>1</v>
      </c>
      <c r="R3062" s="111">
        <f t="shared" si="677"/>
        <v>5.3995679999999995</v>
      </c>
      <c r="S3062" s="110"/>
      <c r="T3062" s="110"/>
      <c r="U3062" s="110">
        <v>0</v>
      </c>
      <c r="V3062" s="111">
        <f t="shared" si="678"/>
        <v>5.3995679999999995</v>
      </c>
      <c r="W3062" s="110"/>
      <c r="X3062" s="110"/>
      <c r="Y3062" s="110"/>
      <c r="Z3062" s="110"/>
      <c r="AA3062" s="110">
        <v>0</v>
      </c>
      <c r="AB3062" s="111">
        <f t="shared" si="673"/>
        <v>5.3995679999999995</v>
      </c>
      <c r="AC3062" s="110"/>
      <c r="AD3062" s="110"/>
      <c r="AE3062" s="110">
        <v>0</v>
      </c>
      <c r="AF3062" s="111">
        <f t="shared" si="674"/>
        <v>5.3995679999999995</v>
      </c>
      <c r="AG3062" s="110"/>
      <c r="AH3062" s="110"/>
      <c r="AI3062" s="110"/>
      <c r="AJ3062" s="110"/>
      <c r="AK3062" s="111">
        <f t="shared" si="680"/>
        <v>21.598271999999998</v>
      </c>
      <c r="AL3062" s="446">
        <f t="shared" si="681"/>
        <v>0</v>
      </c>
      <c r="AM3062" s="110">
        <f t="shared" si="682"/>
        <v>1</v>
      </c>
      <c r="AN3062" s="447">
        <f t="shared" si="676"/>
        <v>0</v>
      </c>
      <c r="AO3062"/>
      <c r="AP3062"/>
    </row>
    <row r="3063" spans="1:42" ht="66" x14ac:dyDescent="0.25">
      <c r="A3063" s="9"/>
      <c r="B3063" s="528" t="s">
        <v>3234</v>
      </c>
      <c r="C3063" s="1024"/>
      <c r="D3063" s="882">
        <v>1</v>
      </c>
      <c r="E3063" s="251" t="s">
        <v>2959</v>
      </c>
      <c r="F3063" s="273" t="s">
        <v>3446</v>
      </c>
      <c r="G3063" s="1040" t="s">
        <v>3463</v>
      </c>
      <c r="H3063" s="273" t="s">
        <v>3462</v>
      </c>
      <c r="I3063" s="720">
        <f t="shared" si="672"/>
        <v>75.578399999999988</v>
      </c>
      <c r="J3063" s="756">
        <v>75.578399999999988</v>
      </c>
      <c r="K3063" s="131">
        <f t="shared" si="675"/>
        <v>75.578399999999988</v>
      </c>
      <c r="L3063" s="335">
        <f t="shared" si="679"/>
        <v>0</v>
      </c>
      <c r="M3063" s="446"/>
      <c r="N3063" s="446"/>
      <c r="O3063" s="446"/>
      <c r="P3063" s="446"/>
      <c r="Q3063" s="110">
        <v>1</v>
      </c>
      <c r="R3063" s="111">
        <f t="shared" si="677"/>
        <v>18.894599999999997</v>
      </c>
      <c r="S3063" s="110"/>
      <c r="T3063" s="110"/>
      <c r="U3063" s="110">
        <v>0</v>
      </c>
      <c r="V3063" s="111">
        <f t="shared" si="678"/>
        <v>18.894599999999997</v>
      </c>
      <c r="W3063" s="110"/>
      <c r="X3063" s="110"/>
      <c r="Y3063" s="110"/>
      <c r="Z3063" s="110"/>
      <c r="AA3063" s="110">
        <v>0</v>
      </c>
      <c r="AB3063" s="111">
        <f t="shared" si="673"/>
        <v>18.894599999999997</v>
      </c>
      <c r="AC3063" s="110"/>
      <c r="AD3063" s="110"/>
      <c r="AE3063" s="110">
        <v>0</v>
      </c>
      <c r="AF3063" s="111">
        <f t="shared" si="674"/>
        <v>18.894599999999997</v>
      </c>
      <c r="AG3063" s="110"/>
      <c r="AH3063" s="110"/>
      <c r="AI3063" s="110"/>
      <c r="AJ3063" s="110"/>
      <c r="AK3063" s="111">
        <f t="shared" si="680"/>
        <v>75.578399999999988</v>
      </c>
      <c r="AL3063" s="446">
        <f t="shared" si="681"/>
        <v>0</v>
      </c>
      <c r="AM3063" s="110">
        <f t="shared" si="682"/>
        <v>1</v>
      </c>
      <c r="AN3063" s="447">
        <f t="shared" si="676"/>
        <v>0</v>
      </c>
      <c r="AO3063"/>
      <c r="AP3063"/>
    </row>
    <row r="3064" spans="1:42" ht="66" x14ac:dyDescent="0.25">
      <c r="A3064" s="9"/>
      <c r="B3064" s="528" t="s">
        <v>3235</v>
      </c>
      <c r="C3064" s="1024"/>
      <c r="D3064" s="882">
        <v>1</v>
      </c>
      <c r="E3064" s="251" t="s">
        <v>1767</v>
      </c>
      <c r="F3064" s="273" t="s">
        <v>3446</v>
      </c>
      <c r="G3064" s="1040" t="s">
        <v>3463</v>
      </c>
      <c r="H3064" s="273" t="s">
        <v>3462</v>
      </c>
      <c r="I3064" s="720">
        <f t="shared" si="672"/>
        <v>630.15839999999992</v>
      </c>
      <c r="J3064" s="756">
        <v>630.15839999999992</v>
      </c>
      <c r="K3064" s="131">
        <f t="shared" si="675"/>
        <v>630.15839999999992</v>
      </c>
      <c r="L3064" s="335">
        <f t="shared" si="679"/>
        <v>0</v>
      </c>
      <c r="M3064" s="446"/>
      <c r="N3064" s="446"/>
      <c r="O3064" s="446"/>
      <c r="P3064" s="446"/>
      <c r="Q3064" s="110">
        <v>1</v>
      </c>
      <c r="R3064" s="111">
        <f t="shared" si="677"/>
        <v>157.53959999999998</v>
      </c>
      <c r="S3064" s="110"/>
      <c r="T3064" s="110"/>
      <c r="U3064" s="110">
        <v>0</v>
      </c>
      <c r="V3064" s="111">
        <f t="shared" si="678"/>
        <v>157.53959999999998</v>
      </c>
      <c r="W3064" s="110"/>
      <c r="X3064" s="110"/>
      <c r="Y3064" s="110"/>
      <c r="Z3064" s="110"/>
      <c r="AA3064" s="110">
        <v>0</v>
      </c>
      <c r="AB3064" s="111">
        <f t="shared" si="673"/>
        <v>157.53959999999998</v>
      </c>
      <c r="AC3064" s="110"/>
      <c r="AD3064" s="110"/>
      <c r="AE3064" s="110">
        <v>0</v>
      </c>
      <c r="AF3064" s="111">
        <f t="shared" si="674"/>
        <v>157.53959999999998</v>
      </c>
      <c r="AG3064" s="110"/>
      <c r="AH3064" s="110"/>
      <c r="AI3064" s="110"/>
      <c r="AJ3064" s="110"/>
      <c r="AK3064" s="111">
        <f t="shared" si="680"/>
        <v>630.15839999999992</v>
      </c>
      <c r="AL3064" s="446">
        <f t="shared" si="681"/>
        <v>0</v>
      </c>
      <c r="AM3064" s="110">
        <f t="shared" si="682"/>
        <v>1</v>
      </c>
      <c r="AN3064" s="447">
        <f t="shared" si="676"/>
        <v>0</v>
      </c>
      <c r="AO3064"/>
      <c r="AP3064"/>
    </row>
    <row r="3065" spans="1:42" ht="66" x14ac:dyDescent="0.25">
      <c r="A3065" s="9"/>
      <c r="B3065" s="528" t="s">
        <v>3236</v>
      </c>
      <c r="C3065" s="1024"/>
      <c r="D3065" s="882">
        <v>1</v>
      </c>
      <c r="E3065" s="251" t="s">
        <v>1767</v>
      </c>
      <c r="F3065" s="273" t="s">
        <v>3446</v>
      </c>
      <c r="G3065" s="1040" t="s">
        <v>3463</v>
      </c>
      <c r="H3065" s="273" t="s">
        <v>3462</v>
      </c>
      <c r="I3065" s="720">
        <f t="shared" si="672"/>
        <v>395.88480000000004</v>
      </c>
      <c r="J3065" s="756">
        <v>395.88480000000004</v>
      </c>
      <c r="K3065" s="131">
        <f t="shared" si="675"/>
        <v>395.88480000000004</v>
      </c>
      <c r="L3065" s="335">
        <f t="shared" si="679"/>
        <v>0</v>
      </c>
      <c r="M3065" s="446"/>
      <c r="N3065" s="446"/>
      <c r="O3065" s="446"/>
      <c r="P3065" s="446"/>
      <c r="Q3065" s="110">
        <v>1</v>
      </c>
      <c r="R3065" s="111">
        <f t="shared" si="677"/>
        <v>98.97120000000001</v>
      </c>
      <c r="S3065" s="110"/>
      <c r="T3065" s="110"/>
      <c r="U3065" s="110">
        <v>0</v>
      </c>
      <c r="V3065" s="111">
        <f t="shared" si="678"/>
        <v>98.97120000000001</v>
      </c>
      <c r="W3065" s="110"/>
      <c r="X3065" s="110"/>
      <c r="Y3065" s="110"/>
      <c r="Z3065" s="110"/>
      <c r="AA3065" s="110">
        <v>0</v>
      </c>
      <c r="AB3065" s="111">
        <f t="shared" si="673"/>
        <v>98.97120000000001</v>
      </c>
      <c r="AC3065" s="110"/>
      <c r="AD3065" s="110"/>
      <c r="AE3065" s="110">
        <v>0</v>
      </c>
      <c r="AF3065" s="111">
        <f t="shared" si="674"/>
        <v>98.97120000000001</v>
      </c>
      <c r="AG3065" s="110"/>
      <c r="AH3065" s="110"/>
      <c r="AI3065" s="110"/>
      <c r="AJ3065" s="110"/>
      <c r="AK3065" s="111">
        <f t="shared" si="680"/>
        <v>395.88480000000004</v>
      </c>
      <c r="AL3065" s="446">
        <f t="shared" si="681"/>
        <v>0</v>
      </c>
      <c r="AM3065" s="110">
        <f t="shared" si="682"/>
        <v>1</v>
      </c>
      <c r="AN3065" s="447">
        <f t="shared" si="676"/>
        <v>0</v>
      </c>
      <c r="AO3065"/>
      <c r="AP3065"/>
    </row>
    <row r="3066" spans="1:42" ht="66" x14ac:dyDescent="0.25">
      <c r="A3066" s="9"/>
      <c r="B3066" s="528" t="s">
        <v>3237</v>
      </c>
      <c r="C3066" s="1024"/>
      <c r="D3066" s="882">
        <v>1</v>
      </c>
      <c r="E3066" s="251" t="s">
        <v>3011</v>
      </c>
      <c r="F3066" s="273" t="s">
        <v>3446</v>
      </c>
      <c r="G3066" s="1040" t="s">
        <v>3463</v>
      </c>
      <c r="H3066" s="273" t="s">
        <v>3462</v>
      </c>
      <c r="I3066" s="720">
        <f t="shared" si="672"/>
        <v>36.72</v>
      </c>
      <c r="J3066" s="756">
        <v>36.72</v>
      </c>
      <c r="K3066" s="131">
        <f t="shared" si="675"/>
        <v>36.72</v>
      </c>
      <c r="L3066" s="335">
        <f t="shared" si="679"/>
        <v>0</v>
      </c>
      <c r="M3066" s="446"/>
      <c r="N3066" s="446"/>
      <c r="O3066" s="446"/>
      <c r="P3066" s="446"/>
      <c r="Q3066" s="110">
        <v>1</v>
      </c>
      <c r="R3066" s="111">
        <f t="shared" si="677"/>
        <v>9.18</v>
      </c>
      <c r="S3066" s="110"/>
      <c r="T3066" s="110"/>
      <c r="U3066" s="110">
        <v>0</v>
      </c>
      <c r="V3066" s="111">
        <f t="shared" si="678"/>
        <v>9.18</v>
      </c>
      <c r="W3066" s="110"/>
      <c r="X3066" s="110"/>
      <c r="Y3066" s="110"/>
      <c r="Z3066" s="110"/>
      <c r="AA3066" s="110">
        <v>0</v>
      </c>
      <c r="AB3066" s="111">
        <f t="shared" si="673"/>
        <v>9.18</v>
      </c>
      <c r="AC3066" s="110"/>
      <c r="AD3066" s="110"/>
      <c r="AE3066" s="110">
        <v>0</v>
      </c>
      <c r="AF3066" s="111">
        <f t="shared" si="674"/>
        <v>9.18</v>
      </c>
      <c r="AG3066" s="110"/>
      <c r="AH3066" s="110"/>
      <c r="AI3066" s="110"/>
      <c r="AJ3066" s="110"/>
      <c r="AK3066" s="111">
        <f t="shared" si="680"/>
        <v>36.72</v>
      </c>
      <c r="AL3066" s="446">
        <f t="shared" si="681"/>
        <v>0</v>
      </c>
      <c r="AM3066" s="110">
        <f t="shared" si="682"/>
        <v>1</v>
      </c>
      <c r="AN3066" s="447">
        <f t="shared" si="676"/>
        <v>0</v>
      </c>
      <c r="AO3066"/>
      <c r="AP3066"/>
    </row>
    <row r="3067" spans="1:42" ht="66" x14ac:dyDescent="0.25">
      <c r="A3067" s="9"/>
      <c r="B3067" s="528" t="s">
        <v>3238</v>
      </c>
      <c r="C3067" s="1024"/>
      <c r="D3067" s="882">
        <v>1</v>
      </c>
      <c r="E3067" s="251" t="s">
        <v>3286</v>
      </c>
      <c r="F3067" s="273" t="s">
        <v>3446</v>
      </c>
      <c r="G3067" s="1040" t="s">
        <v>3463</v>
      </c>
      <c r="H3067" s="273" t="s">
        <v>3462</v>
      </c>
      <c r="I3067" s="720">
        <f t="shared" ref="I3067:I3112" si="683">+J3067/D3067</f>
        <v>810</v>
      </c>
      <c r="J3067" s="756">
        <v>810</v>
      </c>
      <c r="K3067" s="131">
        <f t="shared" si="675"/>
        <v>810</v>
      </c>
      <c r="L3067" s="335">
        <f t="shared" si="679"/>
        <v>0</v>
      </c>
      <c r="M3067" s="446"/>
      <c r="N3067" s="446"/>
      <c r="O3067" s="446"/>
      <c r="P3067" s="446"/>
      <c r="Q3067" s="110">
        <v>1</v>
      </c>
      <c r="R3067" s="111">
        <f t="shared" si="677"/>
        <v>202.5</v>
      </c>
      <c r="S3067" s="110"/>
      <c r="T3067" s="110"/>
      <c r="U3067" s="110">
        <v>0</v>
      </c>
      <c r="V3067" s="111">
        <f t="shared" si="678"/>
        <v>202.5</v>
      </c>
      <c r="W3067" s="110"/>
      <c r="X3067" s="110"/>
      <c r="Y3067" s="110"/>
      <c r="Z3067" s="110"/>
      <c r="AA3067" s="110">
        <v>0</v>
      </c>
      <c r="AB3067" s="111">
        <f t="shared" si="673"/>
        <v>202.5</v>
      </c>
      <c r="AC3067" s="110"/>
      <c r="AD3067" s="110"/>
      <c r="AE3067" s="110">
        <v>0</v>
      </c>
      <c r="AF3067" s="111">
        <f t="shared" si="674"/>
        <v>202.5</v>
      </c>
      <c r="AG3067" s="110"/>
      <c r="AH3067" s="110"/>
      <c r="AI3067" s="110"/>
      <c r="AJ3067" s="110"/>
      <c r="AK3067" s="111">
        <f t="shared" si="680"/>
        <v>810</v>
      </c>
      <c r="AL3067" s="446">
        <f t="shared" si="681"/>
        <v>0</v>
      </c>
      <c r="AM3067" s="110">
        <f t="shared" si="682"/>
        <v>1</v>
      </c>
      <c r="AN3067" s="447">
        <f t="shared" si="676"/>
        <v>0</v>
      </c>
      <c r="AO3067"/>
      <c r="AP3067"/>
    </row>
    <row r="3068" spans="1:42" ht="66" x14ac:dyDescent="0.25">
      <c r="A3068" s="9"/>
      <c r="B3068" s="528" t="s">
        <v>3239</v>
      </c>
      <c r="C3068" s="1024"/>
      <c r="D3068" s="882">
        <v>1</v>
      </c>
      <c r="E3068" s="251" t="s">
        <v>3287</v>
      </c>
      <c r="F3068" s="273" t="s">
        <v>3446</v>
      </c>
      <c r="G3068" s="1040" t="s">
        <v>3463</v>
      </c>
      <c r="H3068" s="273" t="s">
        <v>3462</v>
      </c>
      <c r="I3068" s="720">
        <f t="shared" si="683"/>
        <v>318.59956800000003</v>
      </c>
      <c r="J3068" s="756">
        <v>318.59956800000003</v>
      </c>
      <c r="K3068" s="131">
        <f t="shared" si="675"/>
        <v>318.59956800000003</v>
      </c>
      <c r="L3068" s="335">
        <f t="shared" si="679"/>
        <v>0</v>
      </c>
      <c r="M3068" s="446"/>
      <c r="N3068" s="446"/>
      <c r="O3068" s="446"/>
      <c r="P3068" s="446"/>
      <c r="Q3068" s="110">
        <v>1</v>
      </c>
      <c r="R3068" s="111">
        <f t="shared" si="677"/>
        <v>79.649892000000008</v>
      </c>
      <c r="S3068" s="110"/>
      <c r="T3068" s="110"/>
      <c r="U3068" s="110">
        <v>0</v>
      </c>
      <c r="V3068" s="111">
        <f t="shared" si="678"/>
        <v>79.649892000000008</v>
      </c>
      <c r="W3068" s="110"/>
      <c r="X3068" s="110"/>
      <c r="Y3068" s="110"/>
      <c r="Z3068" s="110"/>
      <c r="AA3068" s="110">
        <v>0</v>
      </c>
      <c r="AB3068" s="111">
        <f t="shared" si="673"/>
        <v>79.649892000000008</v>
      </c>
      <c r="AC3068" s="110"/>
      <c r="AD3068" s="110"/>
      <c r="AE3068" s="110">
        <v>0</v>
      </c>
      <c r="AF3068" s="111">
        <f t="shared" si="674"/>
        <v>79.649892000000008</v>
      </c>
      <c r="AG3068" s="110"/>
      <c r="AH3068" s="110"/>
      <c r="AI3068" s="110"/>
      <c r="AJ3068" s="110"/>
      <c r="AK3068" s="111">
        <f t="shared" si="680"/>
        <v>318.59956800000003</v>
      </c>
      <c r="AL3068" s="446">
        <f t="shared" si="681"/>
        <v>0</v>
      </c>
      <c r="AM3068" s="110">
        <f t="shared" si="682"/>
        <v>1</v>
      </c>
      <c r="AN3068" s="447">
        <f t="shared" si="676"/>
        <v>0</v>
      </c>
      <c r="AO3068"/>
      <c r="AP3068"/>
    </row>
    <row r="3069" spans="1:42" ht="66" x14ac:dyDescent="0.25">
      <c r="A3069" s="9"/>
      <c r="B3069" s="528" t="s">
        <v>3240</v>
      </c>
      <c r="C3069" s="1024"/>
      <c r="D3069" s="882">
        <v>1</v>
      </c>
      <c r="E3069" s="251" t="s">
        <v>3287</v>
      </c>
      <c r="F3069" s="273" t="s">
        <v>3446</v>
      </c>
      <c r="G3069" s="1040" t="s">
        <v>3463</v>
      </c>
      <c r="H3069" s="273" t="s">
        <v>3462</v>
      </c>
      <c r="I3069" s="720">
        <f t="shared" si="683"/>
        <v>669.6</v>
      </c>
      <c r="J3069" s="756">
        <v>669.6</v>
      </c>
      <c r="K3069" s="131">
        <f t="shared" si="675"/>
        <v>669.6</v>
      </c>
      <c r="L3069" s="335">
        <f t="shared" si="679"/>
        <v>0</v>
      </c>
      <c r="M3069" s="446"/>
      <c r="N3069" s="446"/>
      <c r="O3069" s="446"/>
      <c r="P3069" s="446"/>
      <c r="Q3069" s="110">
        <v>1</v>
      </c>
      <c r="R3069" s="111">
        <f t="shared" si="677"/>
        <v>167.4</v>
      </c>
      <c r="S3069" s="110"/>
      <c r="T3069" s="110"/>
      <c r="U3069" s="110">
        <v>0</v>
      </c>
      <c r="V3069" s="111">
        <f t="shared" si="678"/>
        <v>167.4</v>
      </c>
      <c r="W3069" s="110"/>
      <c r="X3069" s="110"/>
      <c r="Y3069" s="110"/>
      <c r="Z3069" s="110"/>
      <c r="AA3069" s="110">
        <v>0</v>
      </c>
      <c r="AB3069" s="111">
        <f t="shared" si="673"/>
        <v>167.4</v>
      </c>
      <c r="AC3069" s="110"/>
      <c r="AD3069" s="110"/>
      <c r="AE3069" s="110">
        <v>0</v>
      </c>
      <c r="AF3069" s="111">
        <f t="shared" si="674"/>
        <v>167.4</v>
      </c>
      <c r="AG3069" s="110"/>
      <c r="AH3069" s="110"/>
      <c r="AI3069" s="110"/>
      <c r="AJ3069" s="110"/>
      <c r="AK3069" s="111">
        <f t="shared" si="680"/>
        <v>669.6</v>
      </c>
      <c r="AL3069" s="446">
        <f t="shared" si="681"/>
        <v>0</v>
      </c>
      <c r="AM3069" s="110">
        <f t="shared" si="682"/>
        <v>1</v>
      </c>
      <c r="AN3069" s="447">
        <f t="shared" si="676"/>
        <v>0</v>
      </c>
      <c r="AO3069"/>
      <c r="AP3069"/>
    </row>
    <row r="3070" spans="1:42" ht="66" x14ac:dyDescent="0.25">
      <c r="A3070" s="9"/>
      <c r="B3070" s="528" t="s">
        <v>3241</v>
      </c>
      <c r="C3070" s="1024"/>
      <c r="D3070" s="882">
        <v>1</v>
      </c>
      <c r="E3070" s="251" t="s">
        <v>3288</v>
      </c>
      <c r="F3070" s="273" t="s">
        <v>3446</v>
      </c>
      <c r="G3070" s="1040" t="s">
        <v>3463</v>
      </c>
      <c r="H3070" s="273" t="s">
        <v>3462</v>
      </c>
      <c r="I3070" s="720">
        <f t="shared" si="683"/>
        <v>734.40000000000009</v>
      </c>
      <c r="J3070" s="756">
        <v>734.40000000000009</v>
      </c>
      <c r="K3070" s="131">
        <f t="shared" si="675"/>
        <v>734.40000000000009</v>
      </c>
      <c r="L3070" s="335">
        <f t="shared" si="679"/>
        <v>0</v>
      </c>
      <c r="M3070" s="446"/>
      <c r="N3070" s="446"/>
      <c r="O3070" s="446"/>
      <c r="P3070" s="446"/>
      <c r="Q3070" s="110">
        <v>1</v>
      </c>
      <c r="R3070" s="111">
        <f t="shared" si="677"/>
        <v>183.60000000000002</v>
      </c>
      <c r="S3070" s="110"/>
      <c r="T3070" s="110"/>
      <c r="U3070" s="110">
        <v>0</v>
      </c>
      <c r="V3070" s="111">
        <f t="shared" si="678"/>
        <v>183.60000000000002</v>
      </c>
      <c r="W3070" s="110"/>
      <c r="X3070" s="110"/>
      <c r="Y3070" s="110"/>
      <c r="Z3070" s="110"/>
      <c r="AA3070" s="110">
        <v>0</v>
      </c>
      <c r="AB3070" s="111">
        <f t="shared" si="673"/>
        <v>183.60000000000002</v>
      </c>
      <c r="AC3070" s="110"/>
      <c r="AD3070" s="110"/>
      <c r="AE3070" s="110">
        <v>0</v>
      </c>
      <c r="AF3070" s="111">
        <f t="shared" si="674"/>
        <v>183.60000000000002</v>
      </c>
      <c r="AG3070" s="110"/>
      <c r="AH3070" s="110"/>
      <c r="AI3070" s="110"/>
      <c r="AJ3070" s="110"/>
      <c r="AK3070" s="111">
        <f t="shared" si="680"/>
        <v>734.40000000000009</v>
      </c>
      <c r="AL3070" s="446">
        <f t="shared" si="681"/>
        <v>0</v>
      </c>
      <c r="AM3070" s="110">
        <f t="shared" si="682"/>
        <v>1</v>
      </c>
      <c r="AN3070" s="447">
        <f t="shared" si="676"/>
        <v>0</v>
      </c>
      <c r="AO3070"/>
      <c r="AP3070"/>
    </row>
    <row r="3071" spans="1:42" ht="66" x14ac:dyDescent="0.25">
      <c r="A3071" s="9"/>
      <c r="B3071" s="528" t="s">
        <v>3242</v>
      </c>
      <c r="C3071" s="1024"/>
      <c r="D3071" s="882">
        <v>1</v>
      </c>
      <c r="E3071" s="251" t="s">
        <v>3287</v>
      </c>
      <c r="F3071" s="273" t="s">
        <v>3446</v>
      </c>
      <c r="G3071" s="1040" t="s">
        <v>3463</v>
      </c>
      <c r="H3071" s="273" t="s">
        <v>3462</v>
      </c>
      <c r="I3071" s="720">
        <f t="shared" si="683"/>
        <v>551.23199999999997</v>
      </c>
      <c r="J3071" s="756">
        <v>551.23199999999997</v>
      </c>
      <c r="K3071" s="131">
        <f t="shared" si="675"/>
        <v>551.23199999999997</v>
      </c>
      <c r="L3071" s="335">
        <f t="shared" si="679"/>
        <v>0</v>
      </c>
      <c r="M3071" s="446"/>
      <c r="N3071" s="446"/>
      <c r="O3071" s="446"/>
      <c r="P3071" s="446"/>
      <c r="Q3071" s="110">
        <v>1</v>
      </c>
      <c r="R3071" s="111">
        <f t="shared" si="677"/>
        <v>137.80799999999999</v>
      </c>
      <c r="S3071" s="110"/>
      <c r="T3071" s="110"/>
      <c r="U3071" s="110">
        <v>0</v>
      </c>
      <c r="V3071" s="111">
        <f t="shared" si="678"/>
        <v>137.80799999999999</v>
      </c>
      <c r="W3071" s="110"/>
      <c r="X3071" s="110"/>
      <c r="Y3071" s="110"/>
      <c r="Z3071" s="110"/>
      <c r="AA3071" s="110">
        <v>0</v>
      </c>
      <c r="AB3071" s="111">
        <f t="shared" si="673"/>
        <v>137.80799999999999</v>
      </c>
      <c r="AC3071" s="110"/>
      <c r="AD3071" s="110"/>
      <c r="AE3071" s="110">
        <v>0</v>
      </c>
      <c r="AF3071" s="111">
        <f t="shared" si="674"/>
        <v>137.80799999999999</v>
      </c>
      <c r="AG3071" s="110"/>
      <c r="AH3071" s="110"/>
      <c r="AI3071" s="110"/>
      <c r="AJ3071" s="110"/>
      <c r="AK3071" s="111">
        <f t="shared" si="680"/>
        <v>551.23199999999997</v>
      </c>
      <c r="AL3071" s="446">
        <f t="shared" si="681"/>
        <v>0</v>
      </c>
      <c r="AM3071" s="110">
        <f t="shared" si="682"/>
        <v>1</v>
      </c>
      <c r="AN3071" s="447">
        <f t="shared" si="676"/>
        <v>0</v>
      </c>
      <c r="AO3071"/>
      <c r="AP3071"/>
    </row>
    <row r="3072" spans="1:42" ht="66" x14ac:dyDescent="0.25">
      <c r="A3072" s="9"/>
      <c r="B3072" s="528" t="s">
        <v>3243</v>
      </c>
      <c r="C3072" s="1024"/>
      <c r="D3072" s="882">
        <v>1</v>
      </c>
      <c r="E3072" s="251" t="s">
        <v>3288</v>
      </c>
      <c r="F3072" s="273" t="s">
        <v>3446</v>
      </c>
      <c r="G3072" s="1040" t="s">
        <v>3463</v>
      </c>
      <c r="H3072" s="273" t="s">
        <v>3462</v>
      </c>
      <c r="I3072" s="720">
        <f t="shared" si="683"/>
        <v>918.00000000000011</v>
      </c>
      <c r="J3072" s="756">
        <v>918.00000000000011</v>
      </c>
      <c r="K3072" s="131">
        <f t="shared" si="675"/>
        <v>918.00000000000011</v>
      </c>
      <c r="L3072" s="335">
        <f t="shared" si="679"/>
        <v>0</v>
      </c>
      <c r="M3072" s="446"/>
      <c r="N3072" s="446"/>
      <c r="O3072" s="446"/>
      <c r="P3072" s="446"/>
      <c r="Q3072" s="110">
        <v>1</v>
      </c>
      <c r="R3072" s="111">
        <f t="shared" si="677"/>
        <v>229.50000000000003</v>
      </c>
      <c r="S3072" s="110"/>
      <c r="T3072" s="110"/>
      <c r="U3072" s="110">
        <v>0</v>
      </c>
      <c r="V3072" s="111">
        <f t="shared" si="678"/>
        <v>229.50000000000003</v>
      </c>
      <c r="W3072" s="110"/>
      <c r="X3072" s="110"/>
      <c r="Y3072" s="110"/>
      <c r="Z3072" s="110"/>
      <c r="AA3072" s="110">
        <v>0</v>
      </c>
      <c r="AB3072" s="111">
        <f t="shared" si="673"/>
        <v>229.50000000000003</v>
      </c>
      <c r="AC3072" s="110"/>
      <c r="AD3072" s="110"/>
      <c r="AE3072" s="110">
        <v>0</v>
      </c>
      <c r="AF3072" s="111">
        <f t="shared" si="674"/>
        <v>229.50000000000003</v>
      </c>
      <c r="AG3072" s="110"/>
      <c r="AH3072" s="110"/>
      <c r="AI3072" s="110"/>
      <c r="AJ3072" s="110"/>
      <c r="AK3072" s="111">
        <f t="shared" si="680"/>
        <v>918.00000000000011</v>
      </c>
      <c r="AL3072" s="446">
        <f t="shared" si="681"/>
        <v>0</v>
      </c>
      <c r="AM3072" s="110">
        <f t="shared" si="682"/>
        <v>1</v>
      </c>
      <c r="AN3072" s="447">
        <f t="shared" si="676"/>
        <v>0</v>
      </c>
      <c r="AO3072"/>
      <c r="AP3072"/>
    </row>
    <row r="3073" spans="1:42" ht="66" x14ac:dyDescent="0.25">
      <c r="A3073" s="9"/>
      <c r="B3073" s="528" t="s">
        <v>3244</v>
      </c>
      <c r="C3073" s="1024"/>
      <c r="D3073" s="882">
        <v>1</v>
      </c>
      <c r="E3073" s="251" t="s">
        <v>3288</v>
      </c>
      <c r="F3073" s="273" t="s">
        <v>3446</v>
      </c>
      <c r="G3073" s="1040" t="s">
        <v>3463</v>
      </c>
      <c r="H3073" s="273" t="s">
        <v>3462</v>
      </c>
      <c r="I3073" s="720">
        <f t="shared" si="683"/>
        <v>1512</v>
      </c>
      <c r="J3073" s="756">
        <v>1512</v>
      </c>
      <c r="K3073" s="131">
        <f t="shared" si="675"/>
        <v>1512</v>
      </c>
      <c r="L3073" s="335">
        <f t="shared" si="679"/>
        <v>0</v>
      </c>
      <c r="M3073" s="446"/>
      <c r="N3073" s="446"/>
      <c r="O3073" s="446"/>
      <c r="P3073" s="446"/>
      <c r="Q3073" s="110">
        <v>1</v>
      </c>
      <c r="R3073" s="111">
        <f t="shared" si="677"/>
        <v>378</v>
      </c>
      <c r="S3073" s="110"/>
      <c r="T3073" s="110"/>
      <c r="U3073" s="110">
        <v>0</v>
      </c>
      <c r="V3073" s="111">
        <f t="shared" si="678"/>
        <v>378</v>
      </c>
      <c r="W3073" s="110"/>
      <c r="X3073" s="110"/>
      <c r="Y3073" s="110"/>
      <c r="Z3073" s="110"/>
      <c r="AA3073" s="110">
        <v>0</v>
      </c>
      <c r="AB3073" s="111">
        <f t="shared" si="673"/>
        <v>378</v>
      </c>
      <c r="AC3073" s="110"/>
      <c r="AD3073" s="110"/>
      <c r="AE3073" s="110">
        <v>0</v>
      </c>
      <c r="AF3073" s="111">
        <f t="shared" si="674"/>
        <v>378</v>
      </c>
      <c r="AG3073" s="110"/>
      <c r="AH3073" s="110"/>
      <c r="AI3073" s="110"/>
      <c r="AJ3073" s="110"/>
      <c r="AK3073" s="111">
        <f t="shared" si="680"/>
        <v>1512</v>
      </c>
      <c r="AL3073" s="446">
        <f t="shared" si="681"/>
        <v>0</v>
      </c>
      <c r="AM3073" s="110">
        <f t="shared" si="682"/>
        <v>1</v>
      </c>
      <c r="AN3073" s="447">
        <f t="shared" si="676"/>
        <v>0</v>
      </c>
      <c r="AO3073"/>
      <c r="AP3073"/>
    </row>
    <row r="3074" spans="1:42" ht="66" x14ac:dyDescent="0.25">
      <c r="A3074" s="9"/>
      <c r="B3074" s="528" t="s">
        <v>3245</v>
      </c>
      <c r="C3074" s="1024"/>
      <c r="D3074" s="882">
        <v>1</v>
      </c>
      <c r="E3074" s="251" t="s">
        <v>3288</v>
      </c>
      <c r="F3074" s="273" t="s">
        <v>3446</v>
      </c>
      <c r="G3074" s="1040" t="s">
        <v>3463</v>
      </c>
      <c r="H3074" s="273" t="s">
        <v>3462</v>
      </c>
      <c r="I3074" s="720">
        <f t="shared" si="683"/>
        <v>1728</v>
      </c>
      <c r="J3074" s="756">
        <v>1728</v>
      </c>
      <c r="K3074" s="131">
        <f t="shared" si="675"/>
        <v>1728</v>
      </c>
      <c r="L3074" s="335">
        <f t="shared" si="679"/>
        <v>0</v>
      </c>
      <c r="M3074" s="446"/>
      <c r="N3074" s="446"/>
      <c r="O3074" s="446"/>
      <c r="P3074" s="446"/>
      <c r="Q3074" s="110">
        <v>1</v>
      </c>
      <c r="R3074" s="111">
        <f t="shared" si="677"/>
        <v>432</v>
      </c>
      <c r="S3074" s="110"/>
      <c r="T3074" s="110"/>
      <c r="U3074" s="110">
        <v>0</v>
      </c>
      <c r="V3074" s="111">
        <f t="shared" si="678"/>
        <v>432</v>
      </c>
      <c r="W3074" s="110"/>
      <c r="X3074" s="110"/>
      <c r="Y3074" s="110"/>
      <c r="Z3074" s="110"/>
      <c r="AA3074" s="110">
        <v>0</v>
      </c>
      <c r="AB3074" s="111">
        <f t="shared" si="673"/>
        <v>432</v>
      </c>
      <c r="AC3074" s="110"/>
      <c r="AD3074" s="110"/>
      <c r="AE3074" s="110">
        <v>0</v>
      </c>
      <c r="AF3074" s="111">
        <f t="shared" si="674"/>
        <v>432</v>
      </c>
      <c r="AG3074" s="110"/>
      <c r="AH3074" s="110"/>
      <c r="AI3074" s="110"/>
      <c r="AJ3074" s="110"/>
      <c r="AK3074" s="111">
        <f t="shared" si="680"/>
        <v>1728</v>
      </c>
      <c r="AL3074" s="446">
        <f t="shared" si="681"/>
        <v>0</v>
      </c>
      <c r="AM3074" s="110">
        <f t="shared" si="682"/>
        <v>1</v>
      </c>
      <c r="AN3074" s="447">
        <f t="shared" si="676"/>
        <v>0</v>
      </c>
      <c r="AO3074"/>
      <c r="AP3074"/>
    </row>
    <row r="3075" spans="1:42" ht="66" x14ac:dyDescent="0.25">
      <c r="A3075" s="9"/>
      <c r="B3075" s="528" t="s">
        <v>3246</v>
      </c>
      <c r="C3075" s="1024"/>
      <c r="D3075" s="882">
        <v>1</v>
      </c>
      <c r="E3075" s="251" t="s">
        <v>3288</v>
      </c>
      <c r="F3075" s="273" t="s">
        <v>3446</v>
      </c>
      <c r="G3075" s="1040" t="s">
        <v>3463</v>
      </c>
      <c r="H3075" s="273" t="s">
        <v>3462</v>
      </c>
      <c r="I3075" s="720">
        <f t="shared" si="683"/>
        <v>2052</v>
      </c>
      <c r="J3075" s="756">
        <v>2052</v>
      </c>
      <c r="K3075" s="131">
        <f t="shared" si="675"/>
        <v>2052</v>
      </c>
      <c r="L3075" s="335">
        <f t="shared" si="679"/>
        <v>0</v>
      </c>
      <c r="M3075" s="446"/>
      <c r="N3075" s="446"/>
      <c r="O3075" s="446"/>
      <c r="P3075" s="446"/>
      <c r="Q3075" s="110">
        <v>1</v>
      </c>
      <c r="R3075" s="111">
        <f t="shared" si="677"/>
        <v>513</v>
      </c>
      <c r="S3075" s="110"/>
      <c r="T3075" s="110"/>
      <c r="U3075" s="110">
        <v>0</v>
      </c>
      <c r="V3075" s="111">
        <f t="shared" si="678"/>
        <v>513</v>
      </c>
      <c r="W3075" s="110"/>
      <c r="X3075" s="110"/>
      <c r="Y3075" s="110"/>
      <c r="Z3075" s="110"/>
      <c r="AA3075" s="110">
        <v>0</v>
      </c>
      <c r="AB3075" s="111">
        <f t="shared" si="673"/>
        <v>513</v>
      </c>
      <c r="AC3075" s="110"/>
      <c r="AD3075" s="110"/>
      <c r="AE3075" s="110">
        <v>0</v>
      </c>
      <c r="AF3075" s="111">
        <f t="shared" si="674"/>
        <v>513</v>
      </c>
      <c r="AG3075" s="110"/>
      <c r="AH3075" s="110"/>
      <c r="AI3075" s="110"/>
      <c r="AJ3075" s="110"/>
      <c r="AK3075" s="111">
        <f t="shared" si="680"/>
        <v>2052</v>
      </c>
      <c r="AL3075" s="446">
        <f t="shared" si="681"/>
        <v>0</v>
      </c>
      <c r="AM3075" s="110">
        <f t="shared" si="682"/>
        <v>1</v>
      </c>
      <c r="AN3075" s="447">
        <f t="shared" si="676"/>
        <v>0</v>
      </c>
      <c r="AO3075"/>
      <c r="AP3075"/>
    </row>
    <row r="3076" spans="1:42" ht="66" x14ac:dyDescent="0.25">
      <c r="A3076" s="9"/>
      <c r="B3076" s="528" t="s">
        <v>3247</v>
      </c>
      <c r="C3076" s="1024"/>
      <c r="D3076" s="882">
        <v>1</v>
      </c>
      <c r="E3076" s="251" t="s">
        <v>3287</v>
      </c>
      <c r="F3076" s="273" t="s">
        <v>3446</v>
      </c>
      <c r="G3076" s="1040" t="s">
        <v>3463</v>
      </c>
      <c r="H3076" s="273" t="s">
        <v>3462</v>
      </c>
      <c r="I3076" s="720">
        <f t="shared" si="683"/>
        <v>551.23199999999997</v>
      </c>
      <c r="J3076" s="756">
        <v>551.23199999999997</v>
      </c>
      <c r="K3076" s="131">
        <f t="shared" si="675"/>
        <v>551.23199999999997</v>
      </c>
      <c r="L3076" s="335">
        <f t="shared" si="679"/>
        <v>0</v>
      </c>
      <c r="M3076" s="446"/>
      <c r="N3076" s="446"/>
      <c r="O3076" s="446"/>
      <c r="P3076" s="446"/>
      <c r="Q3076" s="110">
        <v>1</v>
      </c>
      <c r="R3076" s="111">
        <f t="shared" si="677"/>
        <v>137.80799999999999</v>
      </c>
      <c r="S3076" s="110"/>
      <c r="T3076" s="110"/>
      <c r="U3076" s="110">
        <v>0</v>
      </c>
      <c r="V3076" s="111">
        <f t="shared" si="678"/>
        <v>137.80799999999999</v>
      </c>
      <c r="W3076" s="110"/>
      <c r="X3076" s="110"/>
      <c r="Y3076" s="110"/>
      <c r="Z3076" s="110"/>
      <c r="AA3076" s="110">
        <v>0</v>
      </c>
      <c r="AB3076" s="111">
        <f t="shared" si="673"/>
        <v>137.80799999999999</v>
      </c>
      <c r="AC3076" s="110"/>
      <c r="AD3076" s="110"/>
      <c r="AE3076" s="110">
        <v>0</v>
      </c>
      <c r="AF3076" s="111">
        <f t="shared" si="674"/>
        <v>137.80799999999999</v>
      </c>
      <c r="AG3076" s="110"/>
      <c r="AH3076" s="110"/>
      <c r="AI3076" s="110"/>
      <c r="AJ3076" s="110"/>
      <c r="AK3076" s="111">
        <f t="shared" si="680"/>
        <v>551.23199999999997</v>
      </c>
      <c r="AL3076" s="446">
        <f t="shared" si="681"/>
        <v>0</v>
      </c>
      <c r="AM3076" s="110">
        <f t="shared" si="682"/>
        <v>1</v>
      </c>
      <c r="AN3076" s="447">
        <f t="shared" si="676"/>
        <v>0</v>
      </c>
      <c r="AO3076"/>
      <c r="AP3076"/>
    </row>
    <row r="3077" spans="1:42" ht="66" x14ac:dyDescent="0.25">
      <c r="A3077" s="9"/>
      <c r="B3077" s="528" t="s">
        <v>3248</v>
      </c>
      <c r="C3077" s="1024"/>
      <c r="D3077" s="882">
        <v>1</v>
      </c>
      <c r="E3077" s="251" t="s">
        <v>3287</v>
      </c>
      <c r="F3077" s="273" t="s">
        <v>3446</v>
      </c>
      <c r="G3077" s="1040" t="s">
        <v>3463</v>
      </c>
      <c r="H3077" s="273" t="s">
        <v>3462</v>
      </c>
      <c r="I3077" s="720">
        <f t="shared" si="683"/>
        <v>651.45600000000002</v>
      </c>
      <c r="J3077" s="756">
        <v>651.45600000000002</v>
      </c>
      <c r="K3077" s="131">
        <f t="shared" si="675"/>
        <v>651.45600000000002</v>
      </c>
      <c r="L3077" s="335">
        <f t="shared" si="679"/>
        <v>0</v>
      </c>
      <c r="M3077" s="446"/>
      <c r="N3077" s="446"/>
      <c r="O3077" s="446"/>
      <c r="P3077" s="446"/>
      <c r="Q3077" s="110">
        <v>1</v>
      </c>
      <c r="R3077" s="111">
        <f t="shared" si="677"/>
        <v>162.864</v>
      </c>
      <c r="S3077" s="110"/>
      <c r="T3077" s="110"/>
      <c r="U3077" s="110">
        <v>0</v>
      </c>
      <c r="V3077" s="111">
        <f t="shared" si="678"/>
        <v>162.864</v>
      </c>
      <c r="W3077" s="110"/>
      <c r="X3077" s="110"/>
      <c r="Y3077" s="110"/>
      <c r="Z3077" s="110"/>
      <c r="AA3077" s="110">
        <v>0</v>
      </c>
      <c r="AB3077" s="111">
        <f t="shared" si="673"/>
        <v>162.864</v>
      </c>
      <c r="AC3077" s="110"/>
      <c r="AD3077" s="110"/>
      <c r="AE3077" s="110">
        <v>0</v>
      </c>
      <c r="AF3077" s="111">
        <f t="shared" si="674"/>
        <v>162.864</v>
      </c>
      <c r="AG3077" s="110"/>
      <c r="AH3077" s="110"/>
      <c r="AI3077" s="110"/>
      <c r="AJ3077" s="110"/>
      <c r="AK3077" s="111">
        <f t="shared" si="680"/>
        <v>651.45600000000002</v>
      </c>
      <c r="AL3077" s="446">
        <f t="shared" si="681"/>
        <v>0</v>
      </c>
      <c r="AM3077" s="110">
        <f t="shared" si="682"/>
        <v>1</v>
      </c>
      <c r="AN3077" s="447">
        <f t="shared" si="676"/>
        <v>0</v>
      </c>
      <c r="AO3077"/>
      <c r="AP3077"/>
    </row>
    <row r="3078" spans="1:42" ht="66" x14ac:dyDescent="0.25">
      <c r="A3078" s="9"/>
      <c r="B3078" s="528" t="s">
        <v>3249</v>
      </c>
      <c r="C3078" s="1024"/>
      <c r="D3078" s="882">
        <v>1</v>
      </c>
      <c r="E3078" s="251" t="s">
        <v>1767</v>
      </c>
      <c r="F3078" s="273" t="s">
        <v>3446</v>
      </c>
      <c r="G3078" s="1040" t="s">
        <v>3463</v>
      </c>
      <c r="H3078" s="273" t="s">
        <v>3462</v>
      </c>
      <c r="I3078" s="720">
        <f t="shared" si="683"/>
        <v>270</v>
      </c>
      <c r="J3078" s="756">
        <v>270</v>
      </c>
      <c r="K3078" s="131">
        <f t="shared" si="675"/>
        <v>270</v>
      </c>
      <c r="L3078" s="335">
        <f t="shared" si="679"/>
        <v>0</v>
      </c>
      <c r="M3078" s="446"/>
      <c r="N3078" s="446"/>
      <c r="O3078" s="446"/>
      <c r="P3078" s="446"/>
      <c r="Q3078" s="110">
        <v>1</v>
      </c>
      <c r="R3078" s="111">
        <f t="shared" si="677"/>
        <v>67.5</v>
      </c>
      <c r="S3078" s="110"/>
      <c r="T3078" s="110"/>
      <c r="U3078" s="110">
        <v>0</v>
      </c>
      <c r="V3078" s="111">
        <f t="shared" si="678"/>
        <v>67.5</v>
      </c>
      <c r="W3078" s="110"/>
      <c r="X3078" s="110"/>
      <c r="Y3078" s="110"/>
      <c r="Z3078" s="110"/>
      <c r="AA3078" s="110">
        <v>0</v>
      </c>
      <c r="AB3078" s="111">
        <f t="shared" si="673"/>
        <v>67.5</v>
      </c>
      <c r="AC3078" s="110"/>
      <c r="AD3078" s="110"/>
      <c r="AE3078" s="110">
        <v>0</v>
      </c>
      <c r="AF3078" s="111">
        <f t="shared" si="674"/>
        <v>67.5</v>
      </c>
      <c r="AG3078" s="110"/>
      <c r="AH3078" s="110"/>
      <c r="AI3078" s="110"/>
      <c r="AJ3078" s="110"/>
      <c r="AK3078" s="111">
        <f t="shared" si="680"/>
        <v>270</v>
      </c>
      <c r="AL3078" s="446">
        <f t="shared" si="681"/>
        <v>0</v>
      </c>
      <c r="AM3078" s="110">
        <f t="shared" si="682"/>
        <v>1</v>
      </c>
      <c r="AN3078" s="447">
        <f t="shared" si="676"/>
        <v>0</v>
      </c>
      <c r="AO3078"/>
      <c r="AP3078"/>
    </row>
    <row r="3079" spans="1:42" ht="66" x14ac:dyDescent="0.25">
      <c r="A3079" s="9"/>
      <c r="B3079" s="528" t="s">
        <v>3250</v>
      </c>
      <c r="C3079" s="1024"/>
      <c r="D3079" s="882">
        <v>1</v>
      </c>
      <c r="E3079" s="251" t="s">
        <v>3031</v>
      </c>
      <c r="F3079" s="273" t="s">
        <v>3446</v>
      </c>
      <c r="G3079" s="1040" t="s">
        <v>3463</v>
      </c>
      <c r="H3079" s="273" t="s">
        <v>3462</v>
      </c>
      <c r="I3079" s="720">
        <f t="shared" si="683"/>
        <v>1296</v>
      </c>
      <c r="J3079" s="756">
        <v>1296</v>
      </c>
      <c r="K3079" s="131">
        <f t="shared" si="675"/>
        <v>1296</v>
      </c>
      <c r="L3079" s="335">
        <f t="shared" si="679"/>
        <v>0</v>
      </c>
      <c r="M3079" s="446"/>
      <c r="N3079" s="446"/>
      <c r="O3079" s="446"/>
      <c r="P3079" s="446"/>
      <c r="Q3079" s="110">
        <v>1</v>
      </c>
      <c r="R3079" s="111">
        <f t="shared" si="677"/>
        <v>324</v>
      </c>
      <c r="S3079" s="110"/>
      <c r="T3079" s="110"/>
      <c r="U3079" s="110">
        <v>0</v>
      </c>
      <c r="V3079" s="111">
        <f t="shared" si="678"/>
        <v>324</v>
      </c>
      <c r="W3079" s="110"/>
      <c r="X3079" s="110"/>
      <c r="Y3079" s="110"/>
      <c r="Z3079" s="110"/>
      <c r="AA3079" s="110">
        <v>0</v>
      </c>
      <c r="AB3079" s="111">
        <f t="shared" ref="AB3079:AB3142" si="684">+J3079/4</f>
        <v>324</v>
      </c>
      <c r="AC3079" s="110"/>
      <c r="AD3079" s="110"/>
      <c r="AE3079" s="110">
        <v>0</v>
      </c>
      <c r="AF3079" s="111">
        <f t="shared" ref="AF3079:AF3142" si="685">+J3079/4</f>
        <v>324</v>
      </c>
      <c r="AG3079" s="110"/>
      <c r="AH3079" s="110"/>
      <c r="AI3079" s="110"/>
      <c r="AJ3079" s="110"/>
      <c r="AK3079" s="111">
        <f t="shared" si="680"/>
        <v>1296</v>
      </c>
      <c r="AL3079" s="446">
        <f t="shared" si="681"/>
        <v>0</v>
      </c>
      <c r="AM3079" s="110">
        <f t="shared" si="682"/>
        <v>1</v>
      </c>
      <c r="AN3079" s="447">
        <f t="shared" si="676"/>
        <v>0</v>
      </c>
      <c r="AO3079"/>
      <c r="AP3079"/>
    </row>
    <row r="3080" spans="1:42" ht="66" x14ac:dyDescent="0.25">
      <c r="A3080" s="9"/>
      <c r="B3080" s="528" t="s">
        <v>3251</v>
      </c>
      <c r="C3080" s="1024"/>
      <c r="D3080" s="882">
        <v>1</v>
      </c>
      <c r="E3080" s="251" t="s">
        <v>3287</v>
      </c>
      <c r="F3080" s="273" t="s">
        <v>3446</v>
      </c>
      <c r="G3080" s="1040" t="s">
        <v>3463</v>
      </c>
      <c r="H3080" s="273" t="s">
        <v>3462</v>
      </c>
      <c r="I3080" s="720">
        <f t="shared" si="683"/>
        <v>1483.9165439999999</v>
      </c>
      <c r="J3080" s="756">
        <v>1483.9165439999999</v>
      </c>
      <c r="K3080" s="131">
        <f t="shared" si="675"/>
        <v>1483.9165439999999</v>
      </c>
      <c r="L3080" s="335">
        <f t="shared" si="679"/>
        <v>0</v>
      </c>
      <c r="M3080" s="446"/>
      <c r="N3080" s="446"/>
      <c r="O3080" s="446"/>
      <c r="P3080" s="446"/>
      <c r="Q3080" s="110">
        <v>1</v>
      </c>
      <c r="R3080" s="111">
        <f t="shared" si="677"/>
        <v>370.97913599999998</v>
      </c>
      <c r="S3080" s="110"/>
      <c r="T3080" s="110"/>
      <c r="U3080" s="110">
        <v>0</v>
      </c>
      <c r="V3080" s="111">
        <f t="shared" si="678"/>
        <v>370.97913599999998</v>
      </c>
      <c r="W3080" s="110"/>
      <c r="X3080" s="110"/>
      <c r="Y3080" s="110"/>
      <c r="Z3080" s="110"/>
      <c r="AA3080" s="110">
        <v>0</v>
      </c>
      <c r="AB3080" s="111">
        <f t="shared" si="684"/>
        <v>370.97913599999998</v>
      </c>
      <c r="AC3080" s="110"/>
      <c r="AD3080" s="110"/>
      <c r="AE3080" s="110">
        <v>0</v>
      </c>
      <c r="AF3080" s="111">
        <f t="shared" si="685"/>
        <v>370.97913599999998</v>
      </c>
      <c r="AG3080" s="110"/>
      <c r="AH3080" s="110"/>
      <c r="AI3080" s="110"/>
      <c r="AJ3080" s="110"/>
      <c r="AK3080" s="111">
        <f t="shared" si="680"/>
        <v>1483.9165439999999</v>
      </c>
      <c r="AL3080" s="446">
        <f t="shared" si="681"/>
        <v>0</v>
      </c>
      <c r="AM3080" s="110">
        <f t="shared" si="682"/>
        <v>1</v>
      </c>
      <c r="AN3080" s="447">
        <f t="shared" si="676"/>
        <v>0</v>
      </c>
      <c r="AO3080"/>
      <c r="AP3080"/>
    </row>
    <row r="3081" spans="1:42" ht="66" x14ac:dyDescent="0.25">
      <c r="A3081" s="9"/>
      <c r="B3081" s="528" t="s">
        <v>3252</v>
      </c>
      <c r="C3081" s="1024"/>
      <c r="D3081" s="882">
        <v>1</v>
      </c>
      <c r="E3081" s="251" t="s">
        <v>3287</v>
      </c>
      <c r="F3081" s="273" t="s">
        <v>3446</v>
      </c>
      <c r="G3081" s="1040" t="s">
        <v>3463</v>
      </c>
      <c r="H3081" s="273" t="s">
        <v>3462</v>
      </c>
      <c r="I3081" s="720">
        <f t="shared" si="683"/>
        <v>3194.6400000000003</v>
      </c>
      <c r="J3081" s="756">
        <v>3194.6400000000003</v>
      </c>
      <c r="K3081" s="131">
        <f t="shared" si="675"/>
        <v>3194.6400000000003</v>
      </c>
      <c r="L3081" s="335">
        <f t="shared" si="679"/>
        <v>0</v>
      </c>
      <c r="M3081" s="446"/>
      <c r="N3081" s="446"/>
      <c r="O3081" s="446"/>
      <c r="P3081" s="446"/>
      <c r="Q3081" s="110">
        <v>1</v>
      </c>
      <c r="R3081" s="111">
        <f t="shared" si="677"/>
        <v>798.66000000000008</v>
      </c>
      <c r="S3081" s="110"/>
      <c r="T3081" s="110"/>
      <c r="U3081" s="110">
        <v>0</v>
      </c>
      <c r="V3081" s="111">
        <f t="shared" si="678"/>
        <v>798.66000000000008</v>
      </c>
      <c r="W3081" s="110"/>
      <c r="X3081" s="110"/>
      <c r="Y3081" s="110"/>
      <c r="Z3081" s="110"/>
      <c r="AA3081" s="110">
        <v>0</v>
      </c>
      <c r="AB3081" s="111">
        <f t="shared" si="684"/>
        <v>798.66000000000008</v>
      </c>
      <c r="AC3081" s="110"/>
      <c r="AD3081" s="110"/>
      <c r="AE3081" s="110">
        <v>0</v>
      </c>
      <c r="AF3081" s="111">
        <f t="shared" si="685"/>
        <v>798.66000000000008</v>
      </c>
      <c r="AG3081" s="110"/>
      <c r="AH3081" s="110"/>
      <c r="AI3081" s="110"/>
      <c r="AJ3081" s="110"/>
      <c r="AK3081" s="111">
        <f t="shared" si="680"/>
        <v>3194.6400000000003</v>
      </c>
      <c r="AL3081" s="446">
        <f t="shared" si="681"/>
        <v>0</v>
      </c>
      <c r="AM3081" s="110">
        <f t="shared" si="682"/>
        <v>1</v>
      </c>
      <c r="AN3081" s="447">
        <f t="shared" si="676"/>
        <v>0</v>
      </c>
      <c r="AO3081"/>
      <c r="AP3081"/>
    </row>
    <row r="3082" spans="1:42" ht="66" x14ac:dyDescent="0.25">
      <c r="A3082" s="9"/>
      <c r="B3082" s="528" t="s">
        <v>3253</v>
      </c>
      <c r="C3082" s="1024"/>
      <c r="D3082" s="882">
        <v>1</v>
      </c>
      <c r="E3082" s="251" t="s">
        <v>3287</v>
      </c>
      <c r="F3082" s="273" t="s">
        <v>3446</v>
      </c>
      <c r="G3082" s="1040" t="s">
        <v>3463</v>
      </c>
      <c r="H3082" s="273" t="s">
        <v>3462</v>
      </c>
      <c r="I3082" s="720">
        <f t="shared" si="683"/>
        <v>572.40431999999998</v>
      </c>
      <c r="J3082" s="756">
        <v>572.40431999999998</v>
      </c>
      <c r="K3082" s="131">
        <f t="shared" si="675"/>
        <v>572.40431999999998</v>
      </c>
      <c r="L3082" s="335">
        <f t="shared" si="679"/>
        <v>0</v>
      </c>
      <c r="M3082" s="446"/>
      <c r="N3082" s="446"/>
      <c r="O3082" s="446"/>
      <c r="P3082" s="446"/>
      <c r="Q3082" s="110">
        <v>1</v>
      </c>
      <c r="R3082" s="111">
        <f t="shared" si="677"/>
        <v>143.10108</v>
      </c>
      <c r="S3082" s="110"/>
      <c r="T3082" s="110"/>
      <c r="U3082" s="110">
        <v>0</v>
      </c>
      <c r="V3082" s="111">
        <f t="shared" si="678"/>
        <v>143.10108</v>
      </c>
      <c r="W3082" s="110"/>
      <c r="X3082" s="110"/>
      <c r="Y3082" s="110"/>
      <c r="Z3082" s="110"/>
      <c r="AA3082" s="110">
        <v>0</v>
      </c>
      <c r="AB3082" s="111">
        <f t="shared" si="684"/>
        <v>143.10108</v>
      </c>
      <c r="AC3082" s="110"/>
      <c r="AD3082" s="110"/>
      <c r="AE3082" s="110">
        <v>0</v>
      </c>
      <c r="AF3082" s="111">
        <f t="shared" si="685"/>
        <v>143.10108</v>
      </c>
      <c r="AG3082" s="110"/>
      <c r="AH3082" s="110"/>
      <c r="AI3082" s="110"/>
      <c r="AJ3082" s="110"/>
      <c r="AK3082" s="111">
        <f t="shared" si="680"/>
        <v>572.40431999999998</v>
      </c>
      <c r="AL3082" s="446">
        <f t="shared" si="681"/>
        <v>0</v>
      </c>
      <c r="AM3082" s="110">
        <f t="shared" si="682"/>
        <v>1</v>
      </c>
      <c r="AN3082" s="447">
        <f t="shared" si="676"/>
        <v>0</v>
      </c>
      <c r="AO3082"/>
      <c r="AP3082"/>
    </row>
    <row r="3083" spans="1:42" ht="66" x14ac:dyDescent="0.25">
      <c r="A3083" s="9"/>
      <c r="B3083" s="528" t="s">
        <v>3254</v>
      </c>
      <c r="C3083" s="1024"/>
      <c r="D3083" s="882">
        <v>1</v>
      </c>
      <c r="E3083" s="251" t="s">
        <v>3287</v>
      </c>
      <c r="F3083" s="273" t="s">
        <v>3446</v>
      </c>
      <c r="G3083" s="1040" t="s">
        <v>3463</v>
      </c>
      <c r="H3083" s="273" t="s">
        <v>3462</v>
      </c>
      <c r="I3083" s="720">
        <f t="shared" si="683"/>
        <v>725.75956799999994</v>
      </c>
      <c r="J3083" s="756">
        <v>725.75956799999994</v>
      </c>
      <c r="K3083" s="131">
        <f t="shared" si="675"/>
        <v>725.75956799999994</v>
      </c>
      <c r="L3083" s="335">
        <f t="shared" si="679"/>
        <v>0</v>
      </c>
      <c r="M3083" s="446"/>
      <c r="N3083" s="446"/>
      <c r="O3083" s="446"/>
      <c r="P3083" s="446"/>
      <c r="Q3083" s="110">
        <v>1</v>
      </c>
      <c r="R3083" s="111">
        <f t="shared" si="677"/>
        <v>181.43989199999999</v>
      </c>
      <c r="S3083" s="110"/>
      <c r="T3083" s="110"/>
      <c r="U3083" s="110">
        <v>0</v>
      </c>
      <c r="V3083" s="111">
        <f t="shared" si="678"/>
        <v>181.43989199999999</v>
      </c>
      <c r="W3083" s="110"/>
      <c r="X3083" s="110"/>
      <c r="Y3083" s="110"/>
      <c r="Z3083" s="110"/>
      <c r="AA3083" s="110">
        <v>0</v>
      </c>
      <c r="AB3083" s="111">
        <f t="shared" si="684"/>
        <v>181.43989199999999</v>
      </c>
      <c r="AC3083" s="110"/>
      <c r="AD3083" s="110"/>
      <c r="AE3083" s="110">
        <v>0</v>
      </c>
      <c r="AF3083" s="111">
        <f t="shared" si="685"/>
        <v>181.43989199999999</v>
      </c>
      <c r="AG3083" s="110"/>
      <c r="AH3083" s="110"/>
      <c r="AI3083" s="110"/>
      <c r="AJ3083" s="110"/>
      <c r="AK3083" s="111">
        <f t="shared" si="680"/>
        <v>725.75956799999994</v>
      </c>
      <c r="AL3083" s="446">
        <f t="shared" si="681"/>
        <v>0</v>
      </c>
      <c r="AM3083" s="110">
        <f t="shared" si="682"/>
        <v>1</v>
      </c>
      <c r="AN3083" s="447">
        <f t="shared" si="676"/>
        <v>0</v>
      </c>
      <c r="AO3083"/>
      <c r="AP3083"/>
    </row>
    <row r="3084" spans="1:42" ht="66" x14ac:dyDescent="0.25">
      <c r="A3084" s="9"/>
      <c r="B3084" s="528" t="s">
        <v>3255</v>
      </c>
      <c r="C3084" s="1024"/>
      <c r="D3084" s="882">
        <v>1</v>
      </c>
      <c r="E3084" s="251" t="s">
        <v>3287</v>
      </c>
      <c r="F3084" s="273" t="s">
        <v>3446</v>
      </c>
      <c r="G3084" s="1040" t="s">
        <v>3463</v>
      </c>
      <c r="H3084" s="273" t="s">
        <v>3462</v>
      </c>
      <c r="I3084" s="720">
        <f t="shared" si="683"/>
        <v>4492.8038880000004</v>
      </c>
      <c r="J3084" s="756">
        <v>4492.8038880000004</v>
      </c>
      <c r="K3084" s="131">
        <f t="shared" si="675"/>
        <v>4492.8038880000004</v>
      </c>
      <c r="L3084" s="335">
        <f t="shared" si="679"/>
        <v>0</v>
      </c>
      <c r="M3084" s="446"/>
      <c r="N3084" s="446"/>
      <c r="O3084" s="446"/>
      <c r="P3084" s="446"/>
      <c r="Q3084" s="110">
        <v>1</v>
      </c>
      <c r="R3084" s="111">
        <f t="shared" si="677"/>
        <v>1123.2009720000001</v>
      </c>
      <c r="S3084" s="110"/>
      <c r="T3084" s="110"/>
      <c r="U3084" s="110">
        <v>0</v>
      </c>
      <c r="V3084" s="111">
        <f t="shared" si="678"/>
        <v>1123.2009720000001</v>
      </c>
      <c r="W3084" s="110"/>
      <c r="X3084" s="110"/>
      <c r="Y3084" s="110"/>
      <c r="Z3084" s="110"/>
      <c r="AA3084" s="110">
        <v>0</v>
      </c>
      <c r="AB3084" s="111">
        <f t="shared" si="684"/>
        <v>1123.2009720000001</v>
      </c>
      <c r="AC3084" s="110"/>
      <c r="AD3084" s="110"/>
      <c r="AE3084" s="110">
        <v>0</v>
      </c>
      <c r="AF3084" s="111">
        <f t="shared" si="685"/>
        <v>1123.2009720000001</v>
      </c>
      <c r="AG3084" s="110"/>
      <c r="AH3084" s="110"/>
      <c r="AI3084" s="110"/>
      <c r="AJ3084" s="110"/>
      <c r="AK3084" s="111">
        <f t="shared" si="680"/>
        <v>4492.8038880000004</v>
      </c>
      <c r="AL3084" s="446">
        <f t="shared" si="681"/>
        <v>0</v>
      </c>
      <c r="AM3084" s="110">
        <f t="shared" si="682"/>
        <v>1</v>
      </c>
      <c r="AN3084" s="447">
        <f t="shared" si="676"/>
        <v>0</v>
      </c>
      <c r="AO3084"/>
      <c r="AP3084"/>
    </row>
    <row r="3085" spans="1:42" ht="66" x14ac:dyDescent="0.25">
      <c r="A3085" s="9"/>
      <c r="B3085" s="528" t="s">
        <v>3256</v>
      </c>
      <c r="C3085" s="1024"/>
      <c r="D3085" s="882">
        <v>1</v>
      </c>
      <c r="E3085" s="251" t="s">
        <v>3287</v>
      </c>
      <c r="F3085" s="273" t="s">
        <v>3446</v>
      </c>
      <c r="G3085" s="1040" t="s">
        <v>3463</v>
      </c>
      <c r="H3085" s="273" t="s">
        <v>3462</v>
      </c>
      <c r="I3085" s="720">
        <f t="shared" si="683"/>
        <v>5454.00216</v>
      </c>
      <c r="J3085" s="756">
        <v>5454.00216</v>
      </c>
      <c r="K3085" s="131">
        <f t="shared" si="675"/>
        <v>5454.00216</v>
      </c>
      <c r="L3085" s="335">
        <f t="shared" si="679"/>
        <v>0</v>
      </c>
      <c r="M3085" s="446"/>
      <c r="N3085" s="446"/>
      <c r="O3085" s="446"/>
      <c r="P3085" s="446"/>
      <c r="Q3085" s="110">
        <v>1</v>
      </c>
      <c r="R3085" s="111">
        <f t="shared" si="677"/>
        <v>1363.50054</v>
      </c>
      <c r="S3085" s="110"/>
      <c r="T3085" s="110"/>
      <c r="U3085" s="110">
        <v>0</v>
      </c>
      <c r="V3085" s="111">
        <f t="shared" si="678"/>
        <v>1363.50054</v>
      </c>
      <c r="W3085" s="110"/>
      <c r="X3085" s="110"/>
      <c r="Y3085" s="110"/>
      <c r="Z3085" s="110"/>
      <c r="AA3085" s="110">
        <v>0</v>
      </c>
      <c r="AB3085" s="111">
        <f t="shared" si="684"/>
        <v>1363.50054</v>
      </c>
      <c r="AC3085" s="110"/>
      <c r="AD3085" s="110"/>
      <c r="AE3085" s="110">
        <v>0</v>
      </c>
      <c r="AF3085" s="111">
        <f t="shared" si="685"/>
        <v>1363.50054</v>
      </c>
      <c r="AG3085" s="110"/>
      <c r="AH3085" s="110"/>
      <c r="AI3085" s="110"/>
      <c r="AJ3085" s="110"/>
      <c r="AK3085" s="111">
        <f t="shared" si="680"/>
        <v>5454.00216</v>
      </c>
      <c r="AL3085" s="446">
        <f t="shared" si="681"/>
        <v>0</v>
      </c>
      <c r="AM3085" s="110">
        <f t="shared" si="682"/>
        <v>1</v>
      </c>
      <c r="AN3085" s="447">
        <f t="shared" si="676"/>
        <v>0</v>
      </c>
      <c r="AO3085"/>
      <c r="AP3085"/>
    </row>
    <row r="3086" spans="1:42" ht="66" x14ac:dyDescent="0.25">
      <c r="A3086" s="9"/>
      <c r="B3086" s="528" t="s">
        <v>3257</v>
      </c>
      <c r="C3086" s="1024"/>
      <c r="D3086" s="882">
        <v>1</v>
      </c>
      <c r="E3086" s="251" t="s">
        <v>1767</v>
      </c>
      <c r="F3086" s="273" t="s">
        <v>3446</v>
      </c>
      <c r="G3086" s="1040" t="s">
        <v>3463</v>
      </c>
      <c r="H3086" s="273" t="s">
        <v>3462</v>
      </c>
      <c r="I3086" s="720">
        <f t="shared" si="683"/>
        <v>289.45943999999997</v>
      </c>
      <c r="J3086" s="756">
        <v>289.45943999999997</v>
      </c>
      <c r="K3086" s="131">
        <f t="shared" si="675"/>
        <v>289.45943999999997</v>
      </c>
      <c r="L3086" s="335">
        <f t="shared" si="679"/>
        <v>0</v>
      </c>
      <c r="M3086" s="446"/>
      <c r="N3086" s="446"/>
      <c r="O3086" s="446"/>
      <c r="P3086" s="446"/>
      <c r="Q3086" s="110">
        <v>1</v>
      </c>
      <c r="R3086" s="111">
        <f t="shared" si="677"/>
        <v>72.364859999999993</v>
      </c>
      <c r="S3086" s="110"/>
      <c r="T3086" s="110"/>
      <c r="U3086" s="110">
        <v>0</v>
      </c>
      <c r="V3086" s="111">
        <f t="shared" si="678"/>
        <v>72.364859999999993</v>
      </c>
      <c r="W3086" s="110"/>
      <c r="X3086" s="110"/>
      <c r="Y3086" s="110"/>
      <c r="Z3086" s="110"/>
      <c r="AA3086" s="110">
        <v>0</v>
      </c>
      <c r="AB3086" s="111">
        <f t="shared" si="684"/>
        <v>72.364859999999993</v>
      </c>
      <c r="AC3086" s="110"/>
      <c r="AD3086" s="110"/>
      <c r="AE3086" s="110">
        <v>0</v>
      </c>
      <c r="AF3086" s="111">
        <f t="shared" si="685"/>
        <v>72.364859999999993</v>
      </c>
      <c r="AG3086" s="110"/>
      <c r="AH3086" s="110"/>
      <c r="AI3086" s="110"/>
      <c r="AJ3086" s="110"/>
      <c r="AK3086" s="111">
        <f t="shared" si="680"/>
        <v>289.45943999999997</v>
      </c>
      <c r="AL3086" s="446">
        <f t="shared" si="681"/>
        <v>0</v>
      </c>
      <c r="AM3086" s="110">
        <f t="shared" si="682"/>
        <v>1</v>
      </c>
      <c r="AN3086" s="447">
        <f t="shared" si="676"/>
        <v>0</v>
      </c>
      <c r="AO3086"/>
      <c r="AP3086"/>
    </row>
    <row r="3087" spans="1:42" ht="66" x14ac:dyDescent="0.25">
      <c r="A3087" s="9"/>
      <c r="B3087" s="528" t="s">
        <v>3258</v>
      </c>
      <c r="C3087" s="1024"/>
      <c r="D3087" s="882">
        <v>1</v>
      </c>
      <c r="E3087" s="251" t="s">
        <v>1767</v>
      </c>
      <c r="F3087" s="273" t="s">
        <v>3446</v>
      </c>
      <c r="G3087" s="1040" t="s">
        <v>3463</v>
      </c>
      <c r="H3087" s="273" t="s">
        <v>3462</v>
      </c>
      <c r="I3087" s="720">
        <f t="shared" si="683"/>
        <v>626.40000000000009</v>
      </c>
      <c r="J3087" s="756">
        <v>626.40000000000009</v>
      </c>
      <c r="K3087" s="131">
        <f t="shared" si="675"/>
        <v>626.40000000000009</v>
      </c>
      <c r="L3087" s="335">
        <f t="shared" si="679"/>
        <v>0</v>
      </c>
      <c r="M3087" s="446"/>
      <c r="N3087" s="446"/>
      <c r="O3087" s="446"/>
      <c r="P3087" s="446"/>
      <c r="Q3087" s="110">
        <v>1</v>
      </c>
      <c r="R3087" s="111">
        <f t="shared" si="677"/>
        <v>156.60000000000002</v>
      </c>
      <c r="S3087" s="110"/>
      <c r="T3087" s="110"/>
      <c r="U3087" s="110">
        <v>0</v>
      </c>
      <c r="V3087" s="111">
        <f t="shared" si="678"/>
        <v>156.60000000000002</v>
      </c>
      <c r="W3087" s="110"/>
      <c r="X3087" s="110"/>
      <c r="Y3087" s="110"/>
      <c r="Z3087" s="110"/>
      <c r="AA3087" s="110">
        <v>0</v>
      </c>
      <c r="AB3087" s="111">
        <f t="shared" si="684"/>
        <v>156.60000000000002</v>
      </c>
      <c r="AC3087" s="110"/>
      <c r="AD3087" s="110"/>
      <c r="AE3087" s="110">
        <v>0</v>
      </c>
      <c r="AF3087" s="111">
        <f t="shared" si="685"/>
        <v>156.60000000000002</v>
      </c>
      <c r="AG3087" s="110"/>
      <c r="AH3087" s="110"/>
      <c r="AI3087" s="110"/>
      <c r="AJ3087" s="110"/>
      <c r="AK3087" s="111">
        <f t="shared" si="680"/>
        <v>626.40000000000009</v>
      </c>
      <c r="AL3087" s="446">
        <f t="shared" si="681"/>
        <v>0</v>
      </c>
      <c r="AM3087" s="110">
        <f t="shared" si="682"/>
        <v>1</v>
      </c>
      <c r="AN3087" s="447">
        <f t="shared" si="676"/>
        <v>0</v>
      </c>
      <c r="AO3087"/>
      <c r="AP3087"/>
    </row>
    <row r="3088" spans="1:42" ht="66" x14ac:dyDescent="0.25">
      <c r="A3088" s="9"/>
      <c r="B3088" s="528" t="s">
        <v>3259</v>
      </c>
      <c r="C3088" s="1024"/>
      <c r="D3088" s="882">
        <v>1</v>
      </c>
      <c r="E3088" s="251" t="s">
        <v>3041</v>
      </c>
      <c r="F3088" s="273" t="s">
        <v>3446</v>
      </c>
      <c r="G3088" s="1040" t="s">
        <v>3463</v>
      </c>
      <c r="H3088" s="273" t="s">
        <v>3462</v>
      </c>
      <c r="I3088" s="720">
        <f t="shared" si="683"/>
        <v>21.6</v>
      </c>
      <c r="J3088" s="756">
        <v>21.6</v>
      </c>
      <c r="K3088" s="131">
        <f t="shared" si="675"/>
        <v>21.6</v>
      </c>
      <c r="L3088" s="335">
        <f t="shared" si="679"/>
        <v>0</v>
      </c>
      <c r="M3088" s="446"/>
      <c r="N3088" s="446"/>
      <c r="O3088" s="446"/>
      <c r="P3088" s="446"/>
      <c r="Q3088" s="110">
        <v>1</v>
      </c>
      <c r="R3088" s="111">
        <f t="shared" si="677"/>
        <v>5.4</v>
      </c>
      <c r="S3088" s="110"/>
      <c r="T3088" s="110"/>
      <c r="U3088" s="110">
        <v>0</v>
      </c>
      <c r="V3088" s="111">
        <f t="shared" si="678"/>
        <v>5.4</v>
      </c>
      <c r="W3088" s="110"/>
      <c r="X3088" s="110"/>
      <c r="Y3088" s="110"/>
      <c r="Z3088" s="110"/>
      <c r="AA3088" s="110">
        <v>0</v>
      </c>
      <c r="AB3088" s="111">
        <f t="shared" si="684"/>
        <v>5.4</v>
      </c>
      <c r="AC3088" s="110"/>
      <c r="AD3088" s="110"/>
      <c r="AE3088" s="110">
        <v>0</v>
      </c>
      <c r="AF3088" s="111">
        <f t="shared" si="685"/>
        <v>5.4</v>
      </c>
      <c r="AG3088" s="110"/>
      <c r="AH3088" s="110"/>
      <c r="AI3088" s="110"/>
      <c r="AJ3088" s="110"/>
      <c r="AK3088" s="111">
        <f t="shared" si="680"/>
        <v>21.6</v>
      </c>
      <c r="AL3088" s="446">
        <f t="shared" si="681"/>
        <v>0</v>
      </c>
      <c r="AM3088" s="110">
        <f t="shared" si="682"/>
        <v>1</v>
      </c>
      <c r="AN3088" s="447">
        <f t="shared" si="676"/>
        <v>0</v>
      </c>
      <c r="AO3088"/>
      <c r="AP3088"/>
    </row>
    <row r="3089" spans="1:42" ht="66" x14ac:dyDescent="0.25">
      <c r="A3089" s="9"/>
      <c r="B3089" s="528" t="s">
        <v>3260</v>
      </c>
      <c r="C3089" s="1024"/>
      <c r="D3089" s="882">
        <v>1</v>
      </c>
      <c r="E3089" s="251" t="s">
        <v>3287</v>
      </c>
      <c r="F3089" s="273" t="s">
        <v>3446</v>
      </c>
      <c r="G3089" s="1040" t="s">
        <v>3463</v>
      </c>
      <c r="H3089" s="273" t="s">
        <v>3462</v>
      </c>
      <c r="I3089" s="720">
        <f t="shared" si="683"/>
        <v>350.78399999999999</v>
      </c>
      <c r="J3089" s="756">
        <v>350.78399999999999</v>
      </c>
      <c r="K3089" s="131">
        <f t="shared" si="675"/>
        <v>350.78399999999999</v>
      </c>
      <c r="L3089" s="335">
        <f t="shared" si="679"/>
        <v>0</v>
      </c>
      <c r="M3089" s="446"/>
      <c r="N3089" s="446"/>
      <c r="O3089" s="446"/>
      <c r="P3089" s="446"/>
      <c r="Q3089" s="110">
        <v>1</v>
      </c>
      <c r="R3089" s="111">
        <f t="shared" si="677"/>
        <v>87.695999999999998</v>
      </c>
      <c r="S3089" s="110"/>
      <c r="T3089" s="110"/>
      <c r="U3089" s="110">
        <v>0</v>
      </c>
      <c r="V3089" s="111">
        <f t="shared" si="678"/>
        <v>87.695999999999998</v>
      </c>
      <c r="W3089" s="110"/>
      <c r="X3089" s="110"/>
      <c r="Y3089" s="110"/>
      <c r="Z3089" s="110"/>
      <c r="AA3089" s="110">
        <v>0</v>
      </c>
      <c r="AB3089" s="111">
        <f t="shared" si="684"/>
        <v>87.695999999999998</v>
      </c>
      <c r="AC3089" s="110"/>
      <c r="AD3089" s="110"/>
      <c r="AE3089" s="110">
        <v>0</v>
      </c>
      <c r="AF3089" s="111">
        <f t="shared" si="685"/>
        <v>87.695999999999998</v>
      </c>
      <c r="AG3089" s="110"/>
      <c r="AH3089" s="110"/>
      <c r="AI3089" s="110"/>
      <c r="AJ3089" s="110"/>
      <c r="AK3089" s="111">
        <f t="shared" si="680"/>
        <v>350.78399999999999</v>
      </c>
      <c r="AL3089" s="446">
        <f t="shared" si="681"/>
        <v>0</v>
      </c>
      <c r="AM3089" s="110">
        <f t="shared" si="682"/>
        <v>1</v>
      </c>
      <c r="AN3089" s="447">
        <f t="shared" si="676"/>
        <v>0</v>
      </c>
      <c r="AO3089"/>
      <c r="AP3089"/>
    </row>
    <row r="3090" spans="1:42" ht="66" x14ac:dyDescent="0.25">
      <c r="A3090" s="9"/>
      <c r="B3090" s="528" t="s">
        <v>3261</v>
      </c>
      <c r="C3090" s="1024"/>
      <c r="D3090" s="882">
        <v>1</v>
      </c>
      <c r="E3090" s="251" t="s">
        <v>3287</v>
      </c>
      <c r="F3090" s="273" t="s">
        <v>3446</v>
      </c>
      <c r="G3090" s="1040" t="s">
        <v>3463</v>
      </c>
      <c r="H3090" s="273" t="s">
        <v>3462</v>
      </c>
      <c r="I3090" s="720">
        <f t="shared" si="683"/>
        <v>595.08000000000004</v>
      </c>
      <c r="J3090" s="756">
        <v>595.08000000000004</v>
      </c>
      <c r="K3090" s="131">
        <f t="shared" si="675"/>
        <v>595.08000000000004</v>
      </c>
      <c r="L3090" s="335">
        <f t="shared" si="679"/>
        <v>0</v>
      </c>
      <c r="M3090" s="446"/>
      <c r="N3090" s="446"/>
      <c r="O3090" s="446"/>
      <c r="P3090" s="446"/>
      <c r="Q3090" s="110">
        <v>1</v>
      </c>
      <c r="R3090" s="111">
        <f t="shared" si="677"/>
        <v>148.77000000000001</v>
      </c>
      <c r="S3090" s="110"/>
      <c r="T3090" s="110"/>
      <c r="U3090" s="110">
        <v>0</v>
      </c>
      <c r="V3090" s="111">
        <f t="shared" si="678"/>
        <v>148.77000000000001</v>
      </c>
      <c r="W3090" s="110"/>
      <c r="X3090" s="110"/>
      <c r="Y3090" s="110"/>
      <c r="Z3090" s="110"/>
      <c r="AA3090" s="110">
        <v>0</v>
      </c>
      <c r="AB3090" s="111">
        <f t="shared" si="684"/>
        <v>148.77000000000001</v>
      </c>
      <c r="AC3090" s="110"/>
      <c r="AD3090" s="110"/>
      <c r="AE3090" s="110">
        <v>0</v>
      </c>
      <c r="AF3090" s="111">
        <f t="shared" si="685"/>
        <v>148.77000000000001</v>
      </c>
      <c r="AG3090" s="110"/>
      <c r="AH3090" s="110"/>
      <c r="AI3090" s="110"/>
      <c r="AJ3090" s="110"/>
      <c r="AK3090" s="111">
        <f t="shared" si="680"/>
        <v>595.08000000000004</v>
      </c>
      <c r="AL3090" s="446">
        <f t="shared" si="681"/>
        <v>0</v>
      </c>
      <c r="AM3090" s="110">
        <f t="shared" si="682"/>
        <v>1</v>
      </c>
      <c r="AN3090" s="447">
        <f t="shared" si="676"/>
        <v>0</v>
      </c>
      <c r="AO3090"/>
      <c r="AP3090"/>
    </row>
    <row r="3091" spans="1:42" ht="66" x14ac:dyDescent="0.25">
      <c r="A3091" s="9"/>
      <c r="B3091" s="528" t="s">
        <v>3262</v>
      </c>
      <c r="C3091" s="1024"/>
      <c r="D3091" s="882">
        <v>1</v>
      </c>
      <c r="E3091" s="251" t="s">
        <v>3287</v>
      </c>
      <c r="F3091" s="273" t="s">
        <v>3446</v>
      </c>
      <c r="G3091" s="1040" t="s">
        <v>3463</v>
      </c>
      <c r="H3091" s="273" t="s">
        <v>3462</v>
      </c>
      <c r="I3091" s="720">
        <f t="shared" si="683"/>
        <v>425.95199999999994</v>
      </c>
      <c r="J3091" s="756">
        <v>425.95199999999994</v>
      </c>
      <c r="K3091" s="131">
        <f t="shared" si="675"/>
        <v>425.95199999999994</v>
      </c>
      <c r="L3091" s="335">
        <f t="shared" si="679"/>
        <v>0</v>
      </c>
      <c r="M3091" s="446"/>
      <c r="N3091" s="446"/>
      <c r="O3091" s="446"/>
      <c r="P3091" s="446"/>
      <c r="Q3091" s="110">
        <v>1</v>
      </c>
      <c r="R3091" s="111">
        <f t="shared" si="677"/>
        <v>106.48799999999999</v>
      </c>
      <c r="S3091" s="110"/>
      <c r="T3091" s="110"/>
      <c r="U3091" s="110">
        <v>0</v>
      </c>
      <c r="V3091" s="111">
        <f t="shared" si="678"/>
        <v>106.48799999999999</v>
      </c>
      <c r="W3091" s="110"/>
      <c r="X3091" s="110"/>
      <c r="Y3091" s="110"/>
      <c r="Z3091" s="110"/>
      <c r="AA3091" s="110">
        <v>0</v>
      </c>
      <c r="AB3091" s="111">
        <f t="shared" si="684"/>
        <v>106.48799999999999</v>
      </c>
      <c r="AC3091" s="110"/>
      <c r="AD3091" s="110"/>
      <c r="AE3091" s="110">
        <v>0</v>
      </c>
      <c r="AF3091" s="111">
        <f t="shared" si="685"/>
        <v>106.48799999999999</v>
      </c>
      <c r="AG3091" s="110"/>
      <c r="AH3091" s="110"/>
      <c r="AI3091" s="110"/>
      <c r="AJ3091" s="110"/>
      <c r="AK3091" s="111">
        <f t="shared" si="680"/>
        <v>425.95199999999994</v>
      </c>
      <c r="AL3091" s="446">
        <f t="shared" si="681"/>
        <v>0</v>
      </c>
      <c r="AM3091" s="110">
        <f t="shared" si="682"/>
        <v>1</v>
      </c>
      <c r="AN3091" s="447">
        <f t="shared" si="676"/>
        <v>0</v>
      </c>
      <c r="AO3091"/>
      <c r="AP3091"/>
    </row>
    <row r="3092" spans="1:42" ht="66" x14ac:dyDescent="0.25">
      <c r="A3092" s="9"/>
      <c r="B3092" s="528" t="s">
        <v>3263</v>
      </c>
      <c r="C3092" s="1024"/>
      <c r="D3092" s="882">
        <v>1</v>
      </c>
      <c r="E3092" s="251" t="s">
        <v>3287</v>
      </c>
      <c r="F3092" s="273" t="s">
        <v>3446</v>
      </c>
      <c r="G3092" s="1040" t="s">
        <v>3463</v>
      </c>
      <c r="H3092" s="273" t="s">
        <v>3462</v>
      </c>
      <c r="I3092" s="720">
        <f t="shared" si="683"/>
        <v>2876.8932</v>
      </c>
      <c r="J3092" s="756">
        <v>2876.8932</v>
      </c>
      <c r="K3092" s="131">
        <f t="shared" si="675"/>
        <v>2876.8932</v>
      </c>
      <c r="L3092" s="335">
        <f t="shared" si="679"/>
        <v>0</v>
      </c>
      <c r="M3092" s="446"/>
      <c r="N3092" s="446"/>
      <c r="O3092" s="446"/>
      <c r="P3092" s="446"/>
      <c r="Q3092" s="110">
        <v>1</v>
      </c>
      <c r="R3092" s="111">
        <f t="shared" si="677"/>
        <v>719.22329999999999</v>
      </c>
      <c r="S3092" s="110"/>
      <c r="T3092" s="110"/>
      <c r="U3092" s="110">
        <v>0</v>
      </c>
      <c r="V3092" s="111">
        <f t="shared" si="678"/>
        <v>719.22329999999999</v>
      </c>
      <c r="W3092" s="110"/>
      <c r="X3092" s="110"/>
      <c r="Y3092" s="110"/>
      <c r="Z3092" s="110"/>
      <c r="AA3092" s="110">
        <v>0</v>
      </c>
      <c r="AB3092" s="111">
        <f t="shared" si="684"/>
        <v>719.22329999999999</v>
      </c>
      <c r="AC3092" s="110"/>
      <c r="AD3092" s="110"/>
      <c r="AE3092" s="110">
        <v>0</v>
      </c>
      <c r="AF3092" s="111">
        <f t="shared" si="685"/>
        <v>719.22329999999999</v>
      </c>
      <c r="AG3092" s="110"/>
      <c r="AH3092" s="110"/>
      <c r="AI3092" s="110"/>
      <c r="AJ3092" s="110"/>
      <c r="AK3092" s="111">
        <f t="shared" si="680"/>
        <v>2876.8932</v>
      </c>
      <c r="AL3092" s="446">
        <f t="shared" si="681"/>
        <v>0</v>
      </c>
      <c r="AM3092" s="110">
        <f t="shared" si="682"/>
        <v>1</v>
      </c>
      <c r="AN3092" s="447">
        <f t="shared" si="676"/>
        <v>0</v>
      </c>
      <c r="AO3092"/>
      <c r="AP3092"/>
    </row>
    <row r="3093" spans="1:42" ht="66" x14ac:dyDescent="0.25">
      <c r="A3093" s="9"/>
      <c r="B3093" s="528" t="s">
        <v>3264</v>
      </c>
      <c r="C3093" s="1024"/>
      <c r="D3093" s="882">
        <v>1</v>
      </c>
      <c r="E3093" s="251" t="s">
        <v>3287</v>
      </c>
      <c r="F3093" s="273" t="s">
        <v>3446</v>
      </c>
      <c r="G3093" s="1040" t="s">
        <v>3463</v>
      </c>
      <c r="H3093" s="273" t="s">
        <v>3462</v>
      </c>
      <c r="I3093" s="720">
        <f t="shared" si="683"/>
        <v>4101.2028</v>
      </c>
      <c r="J3093" s="756">
        <v>4101.2028</v>
      </c>
      <c r="K3093" s="131">
        <f t="shared" si="675"/>
        <v>4101.2028</v>
      </c>
      <c r="L3093" s="335">
        <f t="shared" si="679"/>
        <v>0</v>
      </c>
      <c r="M3093" s="446"/>
      <c r="N3093" s="446"/>
      <c r="O3093" s="446"/>
      <c r="P3093" s="446"/>
      <c r="Q3093" s="110">
        <v>1</v>
      </c>
      <c r="R3093" s="111">
        <f t="shared" si="677"/>
        <v>1025.3007</v>
      </c>
      <c r="S3093" s="110"/>
      <c r="T3093" s="110"/>
      <c r="U3093" s="110">
        <v>0</v>
      </c>
      <c r="V3093" s="111">
        <f t="shared" si="678"/>
        <v>1025.3007</v>
      </c>
      <c r="W3093" s="110"/>
      <c r="X3093" s="110"/>
      <c r="Y3093" s="110"/>
      <c r="Z3093" s="110"/>
      <c r="AA3093" s="110">
        <v>0</v>
      </c>
      <c r="AB3093" s="111">
        <f t="shared" si="684"/>
        <v>1025.3007</v>
      </c>
      <c r="AC3093" s="110"/>
      <c r="AD3093" s="110"/>
      <c r="AE3093" s="110">
        <v>0</v>
      </c>
      <c r="AF3093" s="111">
        <f t="shared" si="685"/>
        <v>1025.3007</v>
      </c>
      <c r="AG3093" s="110"/>
      <c r="AH3093" s="110"/>
      <c r="AI3093" s="110"/>
      <c r="AJ3093" s="110"/>
      <c r="AK3093" s="111">
        <f t="shared" si="680"/>
        <v>4101.2028</v>
      </c>
      <c r="AL3093" s="446">
        <f t="shared" si="681"/>
        <v>0</v>
      </c>
      <c r="AM3093" s="110">
        <f t="shared" si="682"/>
        <v>1</v>
      </c>
      <c r="AN3093" s="447">
        <f t="shared" si="676"/>
        <v>0</v>
      </c>
      <c r="AO3093"/>
      <c r="AP3093"/>
    </row>
    <row r="3094" spans="1:42" ht="66" x14ac:dyDescent="0.25">
      <c r="A3094" s="9"/>
      <c r="B3094" s="528" t="s">
        <v>3265</v>
      </c>
      <c r="C3094" s="1024"/>
      <c r="D3094" s="882">
        <v>1</v>
      </c>
      <c r="E3094" s="251" t="s">
        <v>1767</v>
      </c>
      <c r="F3094" s="273" t="s">
        <v>3446</v>
      </c>
      <c r="G3094" s="1040" t="s">
        <v>3463</v>
      </c>
      <c r="H3094" s="273" t="s">
        <v>3462</v>
      </c>
      <c r="I3094" s="720">
        <f t="shared" si="683"/>
        <v>165.36959999999999</v>
      </c>
      <c r="J3094" s="756">
        <v>165.36959999999999</v>
      </c>
      <c r="K3094" s="131">
        <f t="shared" si="675"/>
        <v>165.36959999999999</v>
      </c>
      <c r="L3094" s="335">
        <f t="shared" si="679"/>
        <v>0</v>
      </c>
      <c r="M3094" s="446"/>
      <c r="N3094" s="446"/>
      <c r="O3094" s="446"/>
      <c r="P3094" s="446"/>
      <c r="Q3094" s="110">
        <v>1</v>
      </c>
      <c r="R3094" s="111">
        <f t="shared" si="677"/>
        <v>41.342399999999998</v>
      </c>
      <c r="S3094" s="110"/>
      <c r="T3094" s="110"/>
      <c r="U3094" s="110">
        <v>0</v>
      </c>
      <c r="V3094" s="111">
        <f t="shared" si="678"/>
        <v>41.342399999999998</v>
      </c>
      <c r="W3094" s="110"/>
      <c r="X3094" s="110"/>
      <c r="Y3094" s="110"/>
      <c r="Z3094" s="110"/>
      <c r="AA3094" s="110">
        <v>0</v>
      </c>
      <c r="AB3094" s="111">
        <f t="shared" si="684"/>
        <v>41.342399999999998</v>
      </c>
      <c r="AC3094" s="110"/>
      <c r="AD3094" s="110"/>
      <c r="AE3094" s="110">
        <v>0</v>
      </c>
      <c r="AF3094" s="111">
        <f t="shared" si="685"/>
        <v>41.342399999999998</v>
      </c>
      <c r="AG3094" s="110"/>
      <c r="AH3094" s="110"/>
      <c r="AI3094" s="110"/>
      <c r="AJ3094" s="110"/>
      <c r="AK3094" s="111">
        <f t="shared" si="680"/>
        <v>165.36959999999999</v>
      </c>
      <c r="AL3094" s="446">
        <f t="shared" si="681"/>
        <v>0</v>
      </c>
      <c r="AM3094" s="110">
        <f t="shared" si="682"/>
        <v>1</v>
      </c>
      <c r="AN3094" s="447">
        <f t="shared" si="676"/>
        <v>0</v>
      </c>
      <c r="AO3094"/>
      <c r="AP3094"/>
    </row>
    <row r="3095" spans="1:42" ht="66" x14ac:dyDescent="0.25">
      <c r="A3095" s="9"/>
      <c r="B3095" s="528" t="s">
        <v>3266</v>
      </c>
      <c r="C3095" s="1024"/>
      <c r="D3095" s="882">
        <v>1</v>
      </c>
      <c r="E3095" s="251" t="s">
        <v>1767</v>
      </c>
      <c r="F3095" s="273" t="s">
        <v>3446</v>
      </c>
      <c r="G3095" s="1040" t="s">
        <v>3463</v>
      </c>
      <c r="H3095" s="273" t="s">
        <v>3462</v>
      </c>
      <c r="I3095" s="720">
        <f t="shared" si="683"/>
        <v>77.673600000000008</v>
      </c>
      <c r="J3095" s="756">
        <v>77.673600000000008</v>
      </c>
      <c r="K3095" s="131">
        <f t="shared" si="675"/>
        <v>77.673600000000008</v>
      </c>
      <c r="L3095" s="335">
        <f t="shared" si="679"/>
        <v>0</v>
      </c>
      <c r="M3095" s="446"/>
      <c r="N3095" s="446"/>
      <c r="O3095" s="446"/>
      <c r="P3095" s="446"/>
      <c r="Q3095" s="110">
        <v>1</v>
      </c>
      <c r="R3095" s="111">
        <f t="shared" si="677"/>
        <v>19.418400000000002</v>
      </c>
      <c r="S3095" s="110"/>
      <c r="T3095" s="110"/>
      <c r="U3095" s="110">
        <v>0</v>
      </c>
      <c r="V3095" s="111">
        <f t="shared" si="678"/>
        <v>19.418400000000002</v>
      </c>
      <c r="W3095" s="110"/>
      <c r="X3095" s="110"/>
      <c r="Y3095" s="110"/>
      <c r="Z3095" s="110"/>
      <c r="AA3095" s="110">
        <v>0</v>
      </c>
      <c r="AB3095" s="111">
        <f t="shared" si="684"/>
        <v>19.418400000000002</v>
      </c>
      <c r="AC3095" s="110"/>
      <c r="AD3095" s="110"/>
      <c r="AE3095" s="110">
        <v>0</v>
      </c>
      <c r="AF3095" s="111">
        <f t="shared" si="685"/>
        <v>19.418400000000002</v>
      </c>
      <c r="AG3095" s="110"/>
      <c r="AH3095" s="110"/>
      <c r="AI3095" s="110"/>
      <c r="AJ3095" s="110"/>
      <c r="AK3095" s="111">
        <f t="shared" si="680"/>
        <v>77.673600000000008</v>
      </c>
      <c r="AL3095" s="446">
        <f t="shared" si="681"/>
        <v>0</v>
      </c>
      <c r="AM3095" s="110">
        <f t="shared" si="682"/>
        <v>1</v>
      </c>
      <c r="AN3095" s="447">
        <f t="shared" si="676"/>
        <v>0</v>
      </c>
      <c r="AO3095"/>
      <c r="AP3095"/>
    </row>
    <row r="3096" spans="1:42" ht="66" x14ac:dyDescent="0.25">
      <c r="A3096" s="9"/>
      <c r="B3096" s="528" t="s">
        <v>3267</v>
      </c>
      <c r="C3096" s="1024"/>
      <c r="D3096" s="882">
        <v>1</v>
      </c>
      <c r="E3096" s="251" t="s">
        <v>2959</v>
      </c>
      <c r="F3096" s="273" t="s">
        <v>3446</v>
      </c>
      <c r="G3096" s="1040" t="s">
        <v>3463</v>
      </c>
      <c r="H3096" s="273" t="s">
        <v>3462</v>
      </c>
      <c r="I3096" s="720">
        <f t="shared" si="683"/>
        <v>939.59999999999991</v>
      </c>
      <c r="J3096" s="756">
        <v>939.59999999999991</v>
      </c>
      <c r="K3096" s="131">
        <f t="shared" si="675"/>
        <v>939.59999999999991</v>
      </c>
      <c r="L3096" s="335">
        <f t="shared" si="679"/>
        <v>0</v>
      </c>
      <c r="M3096" s="446"/>
      <c r="N3096" s="446"/>
      <c r="O3096" s="446"/>
      <c r="P3096" s="446"/>
      <c r="Q3096" s="110">
        <v>1</v>
      </c>
      <c r="R3096" s="111">
        <f t="shared" si="677"/>
        <v>234.89999999999998</v>
      </c>
      <c r="S3096" s="110"/>
      <c r="T3096" s="110"/>
      <c r="U3096" s="110">
        <v>0</v>
      </c>
      <c r="V3096" s="111">
        <f t="shared" si="678"/>
        <v>234.89999999999998</v>
      </c>
      <c r="W3096" s="110"/>
      <c r="X3096" s="110"/>
      <c r="Y3096" s="110"/>
      <c r="Z3096" s="110"/>
      <c r="AA3096" s="110">
        <v>0</v>
      </c>
      <c r="AB3096" s="111">
        <f t="shared" si="684"/>
        <v>234.89999999999998</v>
      </c>
      <c r="AC3096" s="110"/>
      <c r="AD3096" s="110"/>
      <c r="AE3096" s="110">
        <v>0</v>
      </c>
      <c r="AF3096" s="111">
        <f t="shared" si="685"/>
        <v>234.89999999999998</v>
      </c>
      <c r="AG3096" s="110"/>
      <c r="AH3096" s="110"/>
      <c r="AI3096" s="110"/>
      <c r="AJ3096" s="110"/>
      <c r="AK3096" s="111">
        <f t="shared" si="680"/>
        <v>939.59999999999991</v>
      </c>
      <c r="AL3096" s="446">
        <f t="shared" si="681"/>
        <v>0</v>
      </c>
      <c r="AM3096" s="110">
        <f t="shared" si="682"/>
        <v>1</v>
      </c>
      <c r="AN3096" s="447">
        <f t="shared" si="676"/>
        <v>0</v>
      </c>
      <c r="AO3096"/>
      <c r="AP3096"/>
    </row>
    <row r="3097" spans="1:42" ht="66" x14ac:dyDescent="0.25">
      <c r="A3097" s="9"/>
      <c r="B3097" s="528" t="s">
        <v>3268</v>
      </c>
      <c r="C3097" s="1024"/>
      <c r="D3097" s="882">
        <v>1</v>
      </c>
      <c r="E3097" s="251" t="s">
        <v>2959</v>
      </c>
      <c r="F3097" s="273" t="s">
        <v>3446</v>
      </c>
      <c r="G3097" s="1040" t="s">
        <v>3463</v>
      </c>
      <c r="H3097" s="273" t="s">
        <v>3462</v>
      </c>
      <c r="I3097" s="720">
        <f t="shared" si="683"/>
        <v>426.59969760000001</v>
      </c>
      <c r="J3097" s="756">
        <v>426.59969760000001</v>
      </c>
      <c r="K3097" s="131">
        <f t="shared" si="675"/>
        <v>426.59969760000001</v>
      </c>
      <c r="L3097" s="335">
        <f t="shared" si="679"/>
        <v>0</v>
      </c>
      <c r="M3097" s="446"/>
      <c r="N3097" s="446"/>
      <c r="O3097" s="446"/>
      <c r="P3097" s="446"/>
      <c r="Q3097" s="110">
        <v>1</v>
      </c>
      <c r="R3097" s="111">
        <f t="shared" si="677"/>
        <v>106.6499244</v>
      </c>
      <c r="S3097" s="110"/>
      <c r="T3097" s="110"/>
      <c r="U3097" s="110">
        <v>0</v>
      </c>
      <c r="V3097" s="111">
        <f t="shared" si="678"/>
        <v>106.6499244</v>
      </c>
      <c r="W3097" s="110"/>
      <c r="X3097" s="110"/>
      <c r="Y3097" s="110"/>
      <c r="Z3097" s="110"/>
      <c r="AA3097" s="110">
        <v>0</v>
      </c>
      <c r="AB3097" s="111">
        <f t="shared" si="684"/>
        <v>106.6499244</v>
      </c>
      <c r="AC3097" s="110"/>
      <c r="AD3097" s="110"/>
      <c r="AE3097" s="110">
        <v>0</v>
      </c>
      <c r="AF3097" s="111">
        <f t="shared" si="685"/>
        <v>106.6499244</v>
      </c>
      <c r="AG3097" s="110"/>
      <c r="AH3097" s="110"/>
      <c r="AI3097" s="110"/>
      <c r="AJ3097" s="110"/>
      <c r="AK3097" s="111">
        <f t="shared" si="680"/>
        <v>426.59969760000001</v>
      </c>
      <c r="AL3097" s="446">
        <f t="shared" si="681"/>
        <v>0</v>
      </c>
      <c r="AM3097" s="110">
        <f t="shared" si="682"/>
        <v>1</v>
      </c>
      <c r="AN3097" s="447">
        <f t="shared" si="676"/>
        <v>0</v>
      </c>
      <c r="AO3097"/>
      <c r="AP3097"/>
    </row>
    <row r="3098" spans="1:42" ht="66" x14ac:dyDescent="0.25">
      <c r="A3098" s="9"/>
      <c r="B3098" s="528" t="s">
        <v>3269</v>
      </c>
      <c r="C3098" s="1024"/>
      <c r="D3098" s="882">
        <v>1</v>
      </c>
      <c r="E3098" s="251" t="s">
        <v>3287</v>
      </c>
      <c r="F3098" s="273" t="s">
        <v>3446</v>
      </c>
      <c r="G3098" s="1040" t="s">
        <v>3463</v>
      </c>
      <c r="H3098" s="273" t="s">
        <v>3462</v>
      </c>
      <c r="I3098" s="720">
        <f t="shared" si="683"/>
        <v>463.536</v>
      </c>
      <c r="J3098" s="756">
        <v>463.536</v>
      </c>
      <c r="K3098" s="131">
        <f t="shared" ref="K3098:K3161" si="686">+D3098*I3098</f>
        <v>463.536</v>
      </c>
      <c r="L3098" s="335">
        <f t="shared" si="679"/>
        <v>0</v>
      </c>
      <c r="M3098" s="446"/>
      <c r="N3098" s="446"/>
      <c r="O3098" s="446"/>
      <c r="P3098" s="446"/>
      <c r="Q3098" s="110">
        <v>1</v>
      </c>
      <c r="R3098" s="111">
        <f t="shared" si="677"/>
        <v>115.884</v>
      </c>
      <c r="S3098" s="110"/>
      <c r="T3098" s="110"/>
      <c r="U3098" s="110">
        <v>0</v>
      </c>
      <c r="V3098" s="111">
        <f t="shared" si="678"/>
        <v>115.884</v>
      </c>
      <c r="W3098" s="110"/>
      <c r="X3098" s="110"/>
      <c r="Y3098" s="110"/>
      <c r="Z3098" s="110"/>
      <c r="AA3098" s="110">
        <v>0</v>
      </c>
      <c r="AB3098" s="111">
        <f t="shared" si="684"/>
        <v>115.884</v>
      </c>
      <c r="AC3098" s="110"/>
      <c r="AD3098" s="110"/>
      <c r="AE3098" s="110">
        <v>0</v>
      </c>
      <c r="AF3098" s="111">
        <f t="shared" si="685"/>
        <v>115.884</v>
      </c>
      <c r="AG3098" s="110"/>
      <c r="AH3098" s="110"/>
      <c r="AI3098" s="110"/>
      <c r="AJ3098" s="110"/>
      <c r="AK3098" s="111">
        <f t="shared" si="680"/>
        <v>463.536</v>
      </c>
      <c r="AL3098" s="446">
        <f t="shared" si="681"/>
        <v>0</v>
      </c>
      <c r="AM3098" s="110">
        <f t="shared" si="682"/>
        <v>1</v>
      </c>
      <c r="AN3098" s="447">
        <f t="shared" ref="AN3098:AN3161" si="687">+D3098-AM3098</f>
        <v>0</v>
      </c>
      <c r="AO3098"/>
      <c r="AP3098"/>
    </row>
    <row r="3099" spans="1:42" ht="66" x14ac:dyDescent="0.25">
      <c r="A3099" s="9"/>
      <c r="B3099" s="528" t="s">
        <v>3270</v>
      </c>
      <c r="C3099" s="1024"/>
      <c r="D3099" s="882">
        <v>1</v>
      </c>
      <c r="E3099" s="251" t="s">
        <v>3287</v>
      </c>
      <c r="F3099" s="273" t="s">
        <v>3446</v>
      </c>
      <c r="G3099" s="1040" t="s">
        <v>3463</v>
      </c>
      <c r="H3099" s="273" t="s">
        <v>3462</v>
      </c>
      <c r="I3099" s="720">
        <f t="shared" si="683"/>
        <v>977.18399999999997</v>
      </c>
      <c r="J3099" s="756">
        <v>977.18399999999997</v>
      </c>
      <c r="K3099" s="131">
        <f t="shared" si="686"/>
        <v>977.18399999999997</v>
      </c>
      <c r="L3099" s="335">
        <f t="shared" si="679"/>
        <v>0</v>
      </c>
      <c r="M3099" s="446"/>
      <c r="N3099" s="446"/>
      <c r="O3099" s="446"/>
      <c r="P3099" s="446"/>
      <c r="Q3099" s="110">
        <v>1</v>
      </c>
      <c r="R3099" s="111">
        <f t="shared" si="677"/>
        <v>244.29599999999999</v>
      </c>
      <c r="S3099" s="110"/>
      <c r="T3099" s="110"/>
      <c r="U3099" s="110">
        <v>0</v>
      </c>
      <c r="V3099" s="111">
        <f t="shared" si="678"/>
        <v>244.29599999999999</v>
      </c>
      <c r="W3099" s="110"/>
      <c r="X3099" s="110"/>
      <c r="Y3099" s="110"/>
      <c r="Z3099" s="110"/>
      <c r="AA3099" s="110">
        <v>0</v>
      </c>
      <c r="AB3099" s="111">
        <f t="shared" si="684"/>
        <v>244.29599999999999</v>
      </c>
      <c r="AC3099" s="110"/>
      <c r="AD3099" s="110"/>
      <c r="AE3099" s="110">
        <v>0</v>
      </c>
      <c r="AF3099" s="111">
        <f t="shared" si="685"/>
        <v>244.29599999999999</v>
      </c>
      <c r="AG3099" s="110"/>
      <c r="AH3099" s="110"/>
      <c r="AI3099" s="110"/>
      <c r="AJ3099" s="110"/>
      <c r="AK3099" s="111">
        <f t="shared" si="680"/>
        <v>977.18399999999997</v>
      </c>
      <c r="AL3099" s="446">
        <f t="shared" si="681"/>
        <v>0</v>
      </c>
      <c r="AM3099" s="110">
        <f t="shared" si="682"/>
        <v>1</v>
      </c>
      <c r="AN3099" s="447">
        <f t="shared" si="687"/>
        <v>0</v>
      </c>
      <c r="AO3099"/>
      <c r="AP3099"/>
    </row>
    <row r="3100" spans="1:42" ht="66" x14ac:dyDescent="0.25">
      <c r="A3100" s="9"/>
      <c r="B3100" s="528" t="s">
        <v>3271</v>
      </c>
      <c r="C3100" s="1024"/>
      <c r="D3100" s="882">
        <v>1</v>
      </c>
      <c r="E3100" s="251" t="s">
        <v>3287</v>
      </c>
      <c r="F3100" s="273" t="s">
        <v>3446</v>
      </c>
      <c r="G3100" s="1040" t="s">
        <v>3463</v>
      </c>
      <c r="H3100" s="273" t="s">
        <v>3462</v>
      </c>
      <c r="I3100" s="720">
        <f t="shared" si="683"/>
        <v>1240.2719999999999</v>
      </c>
      <c r="J3100" s="756">
        <v>1240.2719999999999</v>
      </c>
      <c r="K3100" s="131">
        <f t="shared" si="686"/>
        <v>1240.2719999999999</v>
      </c>
      <c r="L3100" s="335">
        <f t="shared" si="679"/>
        <v>0</v>
      </c>
      <c r="M3100" s="446"/>
      <c r="N3100" s="446"/>
      <c r="O3100" s="446"/>
      <c r="P3100" s="446"/>
      <c r="Q3100" s="110">
        <v>1</v>
      </c>
      <c r="R3100" s="111">
        <f t="shared" si="677"/>
        <v>310.06799999999998</v>
      </c>
      <c r="S3100" s="110"/>
      <c r="T3100" s="110"/>
      <c r="U3100" s="110">
        <v>0</v>
      </c>
      <c r="V3100" s="111">
        <f t="shared" si="678"/>
        <v>310.06799999999998</v>
      </c>
      <c r="W3100" s="110"/>
      <c r="X3100" s="110"/>
      <c r="Y3100" s="110"/>
      <c r="Z3100" s="110"/>
      <c r="AA3100" s="110">
        <v>0</v>
      </c>
      <c r="AB3100" s="111">
        <f t="shared" si="684"/>
        <v>310.06799999999998</v>
      </c>
      <c r="AC3100" s="110"/>
      <c r="AD3100" s="110"/>
      <c r="AE3100" s="110">
        <v>0</v>
      </c>
      <c r="AF3100" s="111">
        <f t="shared" si="685"/>
        <v>310.06799999999998</v>
      </c>
      <c r="AG3100" s="110"/>
      <c r="AH3100" s="110"/>
      <c r="AI3100" s="110"/>
      <c r="AJ3100" s="110"/>
      <c r="AK3100" s="111">
        <f t="shared" si="680"/>
        <v>1240.2719999999999</v>
      </c>
      <c r="AL3100" s="446">
        <f t="shared" si="681"/>
        <v>0</v>
      </c>
      <c r="AM3100" s="110">
        <f t="shared" si="682"/>
        <v>1</v>
      </c>
      <c r="AN3100" s="447">
        <f t="shared" si="687"/>
        <v>0</v>
      </c>
      <c r="AO3100"/>
      <c r="AP3100"/>
    </row>
    <row r="3101" spans="1:42" ht="66" x14ac:dyDescent="0.25">
      <c r="A3101" s="9"/>
      <c r="B3101" s="528" t="s">
        <v>3272</v>
      </c>
      <c r="C3101" s="1024"/>
      <c r="D3101" s="882">
        <v>1</v>
      </c>
      <c r="E3101" s="251" t="s">
        <v>3287</v>
      </c>
      <c r="F3101" s="273" t="s">
        <v>3446</v>
      </c>
      <c r="G3101" s="1040" t="s">
        <v>3463</v>
      </c>
      <c r="H3101" s="273" t="s">
        <v>3462</v>
      </c>
      <c r="I3101" s="720">
        <f t="shared" si="683"/>
        <v>269.35199999999998</v>
      </c>
      <c r="J3101" s="756">
        <v>269.35199999999998</v>
      </c>
      <c r="K3101" s="131">
        <f t="shared" si="686"/>
        <v>269.35199999999998</v>
      </c>
      <c r="L3101" s="335">
        <f t="shared" si="679"/>
        <v>0</v>
      </c>
      <c r="M3101" s="446"/>
      <c r="N3101" s="446"/>
      <c r="O3101" s="446"/>
      <c r="P3101" s="446"/>
      <c r="Q3101" s="110">
        <v>1</v>
      </c>
      <c r="R3101" s="111">
        <f t="shared" si="677"/>
        <v>67.337999999999994</v>
      </c>
      <c r="S3101" s="110"/>
      <c r="T3101" s="110"/>
      <c r="U3101" s="110">
        <v>0</v>
      </c>
      <c r="V3101" s="111">
        <f t="shared" si="678"/>
        <v>67.337999999999994</v>
      </c>
      <c r="W3101" s="110"/>
      <c r="X3101" s="110"/>
      <c r="Y3101" s="110"/>
      <c r="Z3101" s="110"/>
      <c r="AA3101" s="110">
        <v>0</v>
      </c>
      <c r="AB3101" s="111">
        <f t="shared" si="684"/>
        <v>67.337999999999994</v>
      </c>
      <c r="AC3101" s="110"/>
      <c r="AD3101" s="110"/>
      <c r="AE3101" s="110">
        <v>0</v>
      </c>
      <c r="AF3101" s="111">
        <f t="shared" si="685"/>
        <v>67.337999999999994</v>
      </c>
      <c r="AG3101" s="110"/>
      <c r="AH3101" s="110"/>
      <c r="AI3101" s="110"/>
      <c r="AJ3101" s="110"/>
      <c r="AK3101" s="111">
        <f t="shared" si="680"/>
        <v>269.35199999999998</v>
      </c>
      <c r="AL3101" s="446">
        <f t="shared" si="681"/>
        <v>0</v>
      </c>
      <c r="AM3101" s="110">
        <f t="shared" si="682"/>
        <v>1</v>
      </c>
      <c r="AN3101" s="447">
        <f t="shared" si="687"/>
        <v>0</v>
      </c>
      <c r="AO3101"/>
      <c r="AP3101"/>
    </row>
    <row r="3102" spans="1:42" ht="66" x14ac:dyDescent="0.25">
      <c r="A3102" s="9"/>
      <c r="B3102" s="528" t="s">
        <v>3273</v>
      </c>
      <c r="C3102" s="1024"/>
      <c r="D3102" s="882">
        <v>1</v>
      </c>
      <c r="E3102" s="251" t="s">
        <v>1767</v>
      </c>
      <c r="F3102" s="273" t="s">
        <v>3446</v>
      </c>
      <c r="G3102" s="1040" t="s">
        <v>3463</v>
      </c>
      <c r="H3102" s="273" t="s">
        <v>3462</v>
      </c>
      <c r="I3102" s="720">
        <f t="shared" si="683"/>
        <v>324</v>
      </c>
      <c r="J3102" s="756">
        <v>324</v>
      </c>
      <c r="K3102" s="131">
        <f t="shared" si="686"/>
        <v>324</v>
      </c>
      <c r="L3102" s="335">
        <f t="shared" si="679"/>
        <v>0</v>
      </c>
      <c r="M3102" s="446"/>
      <c r="N3102" s="446"/>
      <c r="O3102" s="446"/>
      <c r="P3102" s="446"/>
      <c r="Q3102" s="110">
        <v>1</v>
      </c>
      <c r="R3102" s="111">
        <f t="shared" si="677"/>
        <v>81</v>
      </c>
      <c r="S3102" s="110"/>
      <c r="T3102" s="110"/>
      <c r="U3102" s="110">
        <v>0</v>
      </c>
      <c r="V3102" s="111">
        <f t="shared" si="678"/>
        <v>81</v>
      </c>
      <c r="W3102" s="110"/>
      <c r="X3102" s="110"/>
      <c r="Y3102" s="110"/>
      <c r="Z3102" s="110"/>
      <c r="AA3102" s="110">
        <v>0</v>
      </c>
      <c r="AB3102" s="111">
        <f t="shared" si="684"/>
        <v>81</v>
      </c>
      <c r="AC3102" s="110"/>
      <c r="AD3102" s="110"/>
      <c r="AE3102" s="110">
        <v>0</v>
      </c>
      <c r="AF3102" s="111">
        <f t="shared" si="685"/>
        <v>81</v>
      </c>
      <c r="AG3102" s="110"/>
      <c r="AH3102" s="110"/>
      <c r="AI3102" s="110"/>
      <c r="AJ3102" s="110"/>
      <c r="AK3102" s="111">
        <f t="shared" si="680"/>
        <v>324</v>
      </c>
      <c r="AL3102" s="446">
        <f t="shared" si="681"/>
        <v>0</v>
      </c>
      <c r="AM3102" s="110">
        <f t="shared" si="682"/>
        <v>1</v>
      </c>
      <c r="AN3102" s="447">
        <f t="shared" si="687"/>
        <v>0</v>
      </c>
      <c r="AO3102"/>
      <c r="AP3102"/>
    </row>
    <row r="3103" spans="1:42" ht="66" x14ac:dyDescent="0.25">
      <c r="A3103" s="9"/>
      <c r="B3103" s="528" t="s">
        <v>3274</v>
      </c>
      <c r="C3103" s="1024"/>
      <c r="D3103" s="882">
        <v>1</v>
      </c>
      <c r="E3103" s="251" t="s">
        <v>1767</v>
      </c>
      <c r="F3103" s="273" t="s">
        <v>3446</v>
      </c>
      <c r="G3103" s="1040" t="s">
        <v>3463</v>
      </c>
      <c r="H3103" s="273" t="s">
        <v>3462</v>
      </c>
      <c r="I3103" s="720">
        <f t="shared" si="683"/>
        <v>702</v>
      </c>
      <c r="J3103" s="756">
        <v>702</v>
      </c>
      <c r="K3103" s="131">
        <f t="shared" si="686"/>
        <v>702</v>
      </c>
      <c r="L3103" s="335">
        <f t="shared" si="679"/>
        <v>0</v>
      </c>
      <c r="M3103" s="446"/>
      <c r="N3103" s="446"/>
      <c r="O3103" s="446"/>
      <c r="P3103" s="446"/>
      <c r="Q3103" s="110">
        <v>1</v>
      </c>
      <c r="R3103" s="111">
        <f t="shared" si="677"/>
        <v>175.5</v>
      </c>
      <c r="S3103" s="110"/>
      <c r="T3103" s="110"/>
      <c r="U3103" s="110">
        <v>0</v>
      </c>
      <c r="V3103" s="111">
        <f t="shared" si="678"/>
        <v>175.5</v>
      </c>
      <c r="W3103" s="110"/>
      <c r="X3103" s="110"/>
      <c r="Y3103" s="110"/>
      <c r="Z3103" s="110"/>
      <c r="AA3103" s="110">
        <v>0</v>
      </c>
      <c r="AB3103" s="111">
        <f t="shared" si="684"/>
        <v>175.5</v>
      </c>
      <c r="AC3103" s="110"/>
      <c r="AD3103" s="110"/>
      <c r="AE3103" s="110">
        <v>0</v>
      </c>
      <c r="AF3103" s="111">
        <f t="shared" si="685"/>
        <v>175.5</v>
      </c>
      <c r="AG3103" s="110"/>
      <c r="AH3103" s="110"/>
      <c r="AI3103" s="110"/>
      <c r="AJ3103" s="110"/>
      <c r="AK3103" s="111">
        <f t="shared" si="680"/>
        <v>702</v>
      </c>
      <c r="AL3103" s="446">
        <f t="shared" si="681"/>
        <v>0</v>
      </c>
      <c r="AM3103" s="110">
        <f t="shared" si="682"/>
        <v>1</v>
      </c>
      <c r="AN3103" s="447">
        <f t="shared" si="687"/>
        <v>0</v>
      </c>
      <c r="AO3103"/>
      <c r="AP3103"/>
    </row>
    <row r="3104" spans="1:42" ht="66" x14ac:dyDescent="0.25">
      <c r="A3104" s="9"/>
      <c r="B3104" s="528" t="s">
        <v>3275</v>
      </c>
      <c r="C3104" s="1024"/>
      <c r="D3104" s="882">
        <v>1</v>
      </c>
      <c r="E3104" s="251" t="s">
        <v>1767</v>
      </c>
      <c r="F3104" s="273" t="s">
        <v>3446</v>
      </c>
      <c r="G3104" s="1040" t="s">
        <v>3463</v>
      </c>
      <c r="H3104" s="273" t="s">
        <v>3462</v>
      </c>
      <c r="I3104" s="720">
        <f t="shared" si="683"/>
        <v>918.00000000000011</v>
      </c>
      <c r="J3104" s="756">
        <v>918.00000000000011</v>
      </c>
      <c r="K3104" s="131">
        <f t="shared" si="686"/>
        <v>918.00000000000011</v>
      </c>
      <c r="L3104" s="335">
        <f t="shared" si="679"/>
        <v>0</v>
      </c>
      <c r="M3104" s="446"/>
      <c r="N3104" s="446"/>
      <c r="O3104" s="446"/>
      <c r="P3104" s="446"/>
      <c r="Q3104" s="110">
        <v>1</v>
      </c>
      <c r="R3104" s="111">
        <f t="shared" si="677"/>
        <v>229.50000000000003</v>
      </c>
      <c r="S3104" s="110"/>
      <c r="T3104" s="110"/>
      <c r="U3104" s="110">
        <v>0</v>
      </c>
      <c r="V3104" s="111">
        <f t="shared" si="678"/>
        <v>229.50000000000003</v>
      </c>
      <c r="W3104" s="110"/>
      <c r="X3104" s="110"/>
      <c r="Y3104" s="110"/>
      <c r="Z3104" s="110"/>
      <c r="AA3104" s="110">
        <v>0</v>
      </c>
      <c r="AB3104" s="111">
        <f t="shared" si="684"/>
        <v>229.50000000000003</v>
      </c>
      <c r="AC3104" s="110"/>
      <c r="AD3104" s="110"/>
      <c r="AE3104" s="110">
        <v>0</v>
      </c>
      <c r="AF3104" s="111">
        <f t="shared" si="685"/>
        <v>229.50000000000003</v>
      </c>
      <c r="AG3104" s="110"/>
      <c r="AH3104" s="110"/>
      <c r="AI3104" s="110"/>
      <c r="AJ3104" s="110"/>
      <c r="AK3104" s="111">
        <f t="shared" si="680"/>
        <v>918.00000000000011</v>
      </c>
      <c r="AL3104" s="446">
        <f t="shared" si="681"/>
        <v>0</v>
      </c>
      <c r="AM3104" s="110">
        <f t="shared" si="682"/>
        <v>1</v>
      </c>
      <c r="AN3104" s="447">
        <f t="shared" si="687"/>
        <v>0</v>
      </c>
      <c r="AO3104"/>
      <c r="AP3104"/>
    </row>
    <row r="3105" spans="1:42" ht="66" x14ac:dyDescent="0.25">
      <c r="A3105" s="9"/>
      <c r="B3105" s="528" t="s">
        <v>3276</v>
      </c>
      <c r="C3105" s="1024"/>
      <c r="D3105" s="882">
        <v>1</v>
      </c>
      <c r="E3105" s="251" t="s">
        <v>1767</v>
      </c>
      <c r="F3105" s="273" t="s">
        <v>3446</v>
      </c>
      <c r="G3105" s="1040" t="s">
        <v>3463</v>
      </c>
      <c r="H3105" s="273" t="s">
        <v>3462</v>
      </c>
      <c r="I3105" s="720">
        <f t="shared" si="683"/>
        <v>72.36</v>
      </c>
      <c r="J3105" s="756">
        <v>72.36</v>
      </c>
      <c r="K3105" s="131">
        <f t="shared" si="686"/>
        <v>72.36</v>
      </c>
      <c r="L3105" s="335">
        <f t="shared" si="679"/>
        <v>0</v>
      </c>
      <c r="M3105" s="446"/>
      <c r="N3105" s="446"/>
      <c r="O3105" s="446"/>
      <c r="P3105" s="446"/>
      <c r="Q3105" s="110">
        <v>1</v>
      </c>
      <c r="R3105" s="111">
        <f t="shared" si="677"/>
        <v>18.09</v>
      </c>
      <c r="S3105" s="110"/>
      <c r="T3105" s="110"/>
      <c r="U3105" s="110">
        <v>0</v>
      </c>
      <c r="V3105" s="111">
        <f t="shared" si="678"/>
        <v>18.09</v>
      </c>
      <c r="W3105" s="110"/>
      <c r="X3105" s="110"/>
      <c r="Y3105" s="110"/>
      <c r="Z3105" s="110"/>
      <c r="AA3105" s="110">
        <v>0</v>
      </c>
      <c r="AB3105" s="111">
        <f t="shared" si="684"/>
        <v>18.09</v>
      </c>
      <c r="AC3105" s="110"/>
      <c r="AD3105" s="110"/>
      <c r="AE3105" s="110">
        <v>0</v>
      </c>
      <c r="AF3105" s="111">
        <f t="shared" si="685"/>
        <v>18.09</v>
      </c>
      <c r="AG3105" s="110"/>
      <c r="AH3105" s="110"/>
      <c r="AI3105" s="110"/>
      <c r="AJ3105" s="110"/>
      <c r="AK3105" s="111">
        <f t="shared" si="680"/>
        <v>72.36</v>
      </c>
      <c r="AL3105" s="446">
        <f t="shared" si="681"/>
        <v>0</v>
      </c>
      <c r="AM3105" s="110">
        <f t="shared" si="682"/>
        <v>1</v>
      </c>
      <c r="AN3105" s="447">
        <f t="shared" si="687"/>
        <v>0</v>
      </c>
      <c r="AO3105"/>
      <c r="AP3105"/>
    </row>
    <row r="3106" spans="1:42" ht="66" x14ac:dyDescent="0.25">
      <c r="A3106" s="9"/>
      <c r="B3106" s="528" t="s">
        <v>3277</v>
      </c>
      <c r="C3106" s="1024"/>
      <c r="D3106" s="882">
        <v>3</v>
      </c>
      <c r="E3106" s="251" t="s">
        <v>1767</v>
      </c>
      <c r="F3106" s="273" t="s">
        <v>3446</v>
      </c>
      <c r="G3106" s="1040" t="s">
        <v>3463</v>
      </c>
      <c r="H3106" s="273" t="s">
        <v>3462</v>
      </c>
      <c r="I3106" s="720">
        <f t="shared" si="683"/>
        <v>35.095679999999994</v>
      </c>
      <c r="J3106" s="756">
        <v>105.28703999999999</v>
      </c>
      <c r="K3106" s="131">
        <f t="shared" si="686"/>
        <v>105.28703999999999</v>
      </c>
      <c r="L3106" s="335">
        <f t="shared" si="679"/>
        <v>0</v>
      </c>
      <c r="M3106" s="446"/>
      <c r="N3106" s="446"/>
      <c r="O3106" s="446"/>
      <c r="P3106" s="446"/>
      <c r="Q3106" s="130">
        <v>1</v>
      </c>
      <c r="R3106" s="111">
        <f t="shared" si="677"/>
        <v>26.321759999999998</v>
      </c>
      <c r="S3106" s="110"/>
      <c r="T3106" s="110"/>
      <c r="U3106" s="130">
        <v>1</v>
      </c>
      <c r="V3106" s="111">
        <f t="shared" si="678"/>
        <v>26.321759999999998</v>
      </c>
      <c r="W3106" s="110"/>
      <c r="X3106" s="110"/>
      <c r="Y3106" s="110"/>
      <c r="Z3106" s="110"/>
      <c r="AA3106" s="130">
        <v>1</v>
      </c>
      <c r="AB3106" s="111">
        <f t="shared" si="684"/>
        <v>26.321759999999998</v>
      </c>
      <c r="AC3106" s="110"/>
      <c r="AD3106" s="110"/>
      <c r="AE3106" s="130">
        <v>0</v>
      </c>
      <c r="AF3106" s="111">
        <f t="shared" si="685"/>
        <v>26.321759999999998</v>
      </c>
      <c r="AG3106" s="110"/>
      <c r="AH3106" s="110"/>
      <c r="AI3106" s="110"/>
      <c r="AJ3106" s="110"/>
      <c r="AK3106" s="111">
        <f t="shared" si="680"/>
        <v>105.28703999999999</v>
      </c>
      <c r="AL3106" s="446">
        <f t="shared" si="681"/>
        <v>0</v>
      </c>
      <c r="AM3106" s="110">
        <f t="shared" si="682"/>
        <v>3</v>
      </c>
      <c r="AN3106" s="447">
        <f t="shared" si="687"/>
        <v>0</v>
      </c>
      <c r="AO3106"/>
      <c r="AP3106"/>
    </row>
    <row r="3107" spans="1:42" ht="66" x14ac:dyDescent="0.25">
      <c r="A3107" s="9"/>
      <c r="B3107" s="528" t="s">
        <v>3278</v>
      </c>
      <c r="C3107" s="1024"/>
      <c r="D3107" s="882">
        <v>1</v>
      </c>
      <c r="E3107" s="251" t="s">
        <v>3289</v>
      </c>
      <c r="F3107" s="273" t="s">
        <v>3446</v>
      </c>
      <c r="G3107" s="1040" t="s">
        <v>3463</v>
      </c>
      <c r="H3107" s="273" t="s">
        <v>3462</v>
      </c>
      <c r="I3107" s="720">
        <f t="shared" si="683"/>
        <v>270</v>
      </c>
      <c r="J3107" s="756">
        <v>270</v>
      </c>
      <c r="K3107" s="131">
        <f t="shared" si="686"/>
        <v>270</v>
      </c>
      <c r="L3107" s="335">
        <f t="shared" si="679"/>
        <v>0</v>
      </c>
      <c r="M3107" s="446"/>
      <c r="N3107" s="446"/>
      <c r="O3107" s="446"/>
      <c r="P3107" s="446"/>
      <c r="Q3107" s="110">
        <v>1</v>
      </c>
      <c r="R3107" s="111">
        <f t="shared" si="677"/>
        <v>67.5</v>
      </c>
      <c r="S3107" s="110"/>
      <c r="T3107" s="110"/>
      <c r="U3107" s="110">
        <v>0</v>
      </c>
      <c r="V3107" s="111">
        <f t="shared" si="678"/>
        <v>67.5</v>
      </c>
      <c r="W3107" s="110"/>
      <c r="X3107" s="110"/>
      <c r="Y3107" s="110"/>
      <c r="Z3107" s="110"/>
      <c r="AA3107" s="110">
        <v>0</v>
      </c>
      <c r="AB3107" s="111">
        <f t="shared" si="684"/>
        <v>67.5</v>
      </c>
      <c r="AC3107" s="110"/>
      <c r="AD3107" s="110"/>
      <c r="AE3107" s="110">
        <v>0</v>
      </c>
      <c r="AF3107" s="111">
        <f t="shared" si="685"/>
        <v>67.5</v>
      </c>
      <c r="AG3107" s="110"/>
      <c r="AH3107" s="110"/>
      <c r="AI3107" s="110"/>
      <c r="AJ3107" s="110"/>
      <c r="AK3107" s="111">
        <f t="shared" si="680"/>
        <v>270</v>
      </c>
      <c r="AL3107" s="446">
        <f t="shared" si="681"/>
        <v>0</v>
      </c>
      <c r="AM3107" s="110">
        <f t="shared" si="682"/>
        <v>1</v>
      </c>
      <c r="AN3107" s="447">
        <f t="shared" si="687"/>
        <v>0</v>
      </c>
      <c r="AO3107"/>
      <c r="AP3107"/>
    </row>
    <row r="3108" spans="1:42" ht="66" x14ac:dyDescent="0.25">
      <c r="A3108" s="9"/>
      <c r="B3108" s="528" t="s">
        <v>3279</v>
      </c>
      <c r="C3108" s="1024"/>
      <c r="D3108" s="882">
        <v>1</v>
      </c>
      <c r="E3108" s="84" t="s">
        <v>1721</v>
      </c>
      <c r="F3108" s="273" t="s">
        <v>3446</v>
      </c>
      <c r="G3108" s="1040" t="s">
        <v>3463</v>
      </c>
      <c r="H3108" s="273" t="s">
        <v>3462</v>
      </c>
      <c r="I3108" s="720">
        <f t="shared" si="683"/>
        <v>734.14080000000001</v>
      </c>
      <c r="J3108" s="756">
        <v>734.14080000000001</v>
      </c>
      <c r="K3108" s="131">
        <f t="shared" si="686"/>
        <v>734.14080000000001</v>
      </c>
      <c r="L3108" s="335">
        <f t="shared" si="679"/>
        <v>0</v>
      </c>
      <c r="M3108" s="446"/>
      <c r="N3108" s="446"/>
      <c r="O3108" s="446"/>
      <c r="P3108" s="446"/>
      <c r="Q3108" s="110">
        <v>1</v>
      </c>
      <c r="R3108" s="111">
        <f t="shared" si="677"/>
        <v>183.5352</v>
      </c>
      <c r="S3108" s="110"/>
      <c r="T3108" s="110"/>
      <c r="U3108" s="110">
        <v>0</v>
      </c>
      <c r="V3108" s="111">
        <f t="shared" si="678"/>
        <v>183.5352</v>
      </c>
      <c r="W3108" s="110"/>
      <c r="X3108" s="110"/>
      <c r="Y3108" s="110"/>
      <c r="Z3108" s="110"/>
      <c r="AA3108" s="110">
        <v>0</v>
      </c>
      <c r="AB3108" s="111">
        <f t="shared" si="684"/>
        <v>183.5352</v>
      </c>
      <c r="AC3108" s="110"/>
      <c r="AD3108" s="110"/>
      <c r="AE3108" s="110">
        <v>0</v>
      </c>
      <c r="AF3108" s="111">
        <f t="shared" si="685"/>
        <v>183.5352</v>
      </c>
      <c r="AG3108" s="110"/>
      <c r="AH3108" s="110"/>
      <c r="AI3108" s="110"/>
      <c r="AJ3108" s="110"/>
      <c r="AK3108" s="111">
        <f t="shared" si="680"/>
        <v>734.14080000000001</v>
      </c>
      <c r="AL3108" s="446">
        <f t="shared" si="681"/>
        <v>0</v>
      </c>
      <c r="AM3108" s="110">
        <f t="shared" si="682"/>
        <v>1</v>
      </c>
      <c r="AN3108" s="447">
        <f t="shared" si="687"/>
        <v>0</v>
      </c>
      <c r="AO3108"/>
      <c r="AP3108"/>
    </row>
    <row r="3109" spans="1:42" ht="66" x14ac:dyDescent="0.25">
      <c r="A3109" s="9"/>
      <c r="B3109" s="528" t="s">
        <v>3280</v>
      </c>
      <c r="C3109" s="1024"/>
      <c r="D3109" s="882">
        <v>1</v>
      </c>
      <c r="E3109" s="251" t="s">
        <v>1766</v>
      </c>
      <c r="F3109" s="273" t="s">
        <v>3446</v>
      </c>
      <c r="G3109" s="1040" t="s">
        <v>3463</v>
      </c>
      <c r="H3109" s="273" t="s">
        <v>3462</v>
      </c>
      <c r="I3109" s="720">
        <f t="shared" si="683"/>
        <v>686.88017279999997</v>
      </c>
      <c r="J3109" s="756">
        <v>686.88017279999997</v>
      </c>
      <c r="K3109" s="131">
        <f t="shared" si="686"/>
        <v>686.88017279999997</v>
      </c>
      <c r="L3109" s="335">
        <f t="shared" si="679"/>
        <v>0</v>
      </c>
      <c r="M3109" s="446"/>
      <c r="N3109" s="446"/>
      <c r="O3109" s="446"/>
      <c r="P3109" s="446"/>
      <c r="Q3109" s="110">
        <v>1</v>
      </c>
      <c r="R3109" s="111">
        <f t="shared" si="677"/>
        <v>171.72004319999999</v>
      </c>
      <c r="S3109" s="110"/>
      <c r="T3109" s="110"/>
      <c r="U3109" s="110">
        <v>0</v>
      </c>
      <c r="V3109" s="111">
        <f t="shared" si="678"/>
        <v>171.72004319999999</v>
      </c>
      <c r="W3109" s="110"/>
      <c r="X3109" s="110"/>
      <c r="Y3109" s="110"/>
      <c r="Z3109" s="110"/>
      <c r="AA3109" s="110">
        <v>0</v>
      </c>
      <c r="AB3109" s="111">
        <f t="shared" si="684"/>
        <v>171.72004319999999</v>
      </c>
      <c r="AC3109" s="110"/>
      <c r="AD3109" s="110"/>
      <c r="AE3109" s="110">
        <v>0</v>
      </c>
      <c r="AF3109" s="111">
        <f t="shared" si="685"/>
        <v>171.72004319999999</v>
      </c>
      <c r="AG3109" s="110"/>
      <c r="AH3109" s="110"/>
      <c r="AI3109" s="110"/>
      <c r="AJ3109" s="110"/>
      <c r="AK3109" s="111">
        <f t="shared" si="680"/>
        <v>686.88017279999997</v>
      </c>
      <c r="AL3109" s="446">
        <f t="shared" si="681"/>
        <v>0</v>
      </c>
      <c r="AM3109" s="110">
        <f t="shared" si="682"/>
        <v>1</v>
      </c>
      <c r="AN3109" s="447">
        <f t="shared" si="687"/>
        <v>0</v>
      </c>
      <c r="AO3109"/>
      <c r="AP3109"/>
    </row>
    <row r="3110" spans="1:42" ht="66" x14ac:dyDescent="0.25">
      <c r="A3110" s="9"/>
      <c r="B3110" s="528" t="s">
        <v>3281</v>
      </c>
      <c r="C3110" s="1024"/>
      <c r="D3110" s="882">
        <v>1</v>
      </c>
      <c r="E3110" s="251" t="s">
        <v>1767</v>
      </c>
      <c r="F3110" s="273" t="s">
        <v>3446</v>
      </c>
      <c r="G3110" s="1040" t="s">
        <v>3463</v>
      </c>
      <c r="H3110" s="273" t="s">
        <v>3462</v>
      </c>
      <c r="I3110" s="720">
        <f t="shared" si="683"/>
        <v>64.539099999999991</v>
      </c>
      <c r="J3110" s="756">
        <v>64.539099999999991</v>
      </c>
      <c r="K3110" s="131">
        <f t="shared" si="686"/>
        <v>64.539099999999991</v>
      </c>
      <c r="L3110" s="335">
        <f t="shared" si="679"/>
        <v>0</v>
      </c>
      <c r="M3110" s="446"/>
      <c r="N3110" s="446"/>
      <c r="O3110" s="446"/>
      <c r="P3110" s="446"/>
      <c r="Q3110" s="110">
        <v>1</v>
      </c>
      <c r="R3110" s="111">
        <f t="shared" si="677"/>
        <v>16.134774999999998</v>
      </c>
      <c r="S3110" s="110"/>
      <c r="T3110" s="110"/>
      <c r="U3110" s="110">
        <v>0</v>
      </c>
      <c r="V3110" s="111">
        <f t="shared" si="678"/>
        <v>16.134774999999998</v>
      </c>
      <c r="W3110" s="110"/>
      <c r="X3110" s="110"/>
      <c r="Y3110" s="110"/>
      <c r="Z3110" s="110"/>
      <c r="AA3110" s="110">
        <v>0</v>
      </c>
      <c r="AB3110" s="111">
        <f t="shared" si="684"/>
        <v>16.134774999999998</v>
      </c>
      <c r="AC3110" s="110"/>
      <c r="AD3110" s="110"/>
      <c r="AE3110" s="110">
        <v>0</v>
      </c>
      <c r="AF3110" s="111">
        <f t="shared" si="685"/>
        <v>16.134774999999998</v>
      </c>
      <c r="AG3110" s="110"/>
      <c r="AH3110" s="110"/>
      <c r="AI3110" s="110"/>
      <c r="AJ3110" s="110"/>
      <c r="AK3110" s="111">
        <f t="shared" si="680"/>
        <v>64.539099999999991</v>
      </c>
      <c r="AL3110" s="446">
        <f t="shared" si="681"/>
        <v>0</v>
      </c>
      <c r="AM3110" s="110">
        <f t="shared" si="682"/>
        <v>1</v>
      </c>
      <c r="AN3110" s="447">
        <f t="shared" si="687"/>
        <v>0</v>
      </c>
      <c r="AO3110"/>
      <c r="AP3110"/>
    </row>
    <row r="3111" spans="1:42" ht="66" x14ac:dyDescent="0.25">
      <c r="A3111" s="9"/>
      <c r="B3111" s="528" t="s">
        <v>3282</v>
      </c>
      <c r="C3111" s="1024"/>
      <c r="D3111" s="882">
        <v>1</v>
      </c>
      <c r="E3111" s="251" t="s">
        <v>1766</v>
      </c>
      <c r="F3111" s="273" t="s">
        <v>3446</v>
      </c>
      <c r="G3111" s="1040" t="s">
        <v>3463</v>
      </c>
      <c r="H3111" s="273" t="s">
        <v>3462</v>
      </c>
      <c r="I3111" s="720">
        <f t="shared" si="683"/>
        <v>539.54000000000815</v>
      </c>
      <c r="J3111" s="756">
        <v>539.54000000000815</v>
      </c>
      <c r="K3111" s="131">
        <f t="shared" si="686"/>
        <v>539.54000000000815</v>
      </c>
      <c r="L3111" s="335">
        <f t="shared" si="679"/>
        <v>0</v>
      </c>
      <c r="M3111" s="446"/>
      <c r="N3111" s="446"/>
      <c r="O3111" s="446"/>
      <c r="P3111" s="446"/>
      <c r="Q3111" s="110">
        <v>1</v>
      </c>
      <c r="R3111" s="111">
        <f t="shared" si="677"/>
        <v>134.88500000000204</v>
      </c>
      <c r="S3111" s="110"/>
      <c r="T3111" s="110"/>
      <c r="U3111" s="110">
        <v>0</v>
      </c>
      <c r="V3111" s="111">
        <f t="shared" si="678"/>
        <v>134.88500000000204</v>
      </c>
      <c r="W3111" s="110"/>
      <c r="X3111" s="110"/>
      <c r="Y3111" s="110"/>
      <c r="Z3111" s="110"/>
      <c r="AA3111" s="110">
        <v>0</v>
      </c>
      <c r="AB3111" s="111">
        <f t="shared" si="684"/>
        <v>134.88500000000204</v>
      </c>
      <c r="AC3111" s="110"/>
      <c r="AD3111" s="110"/>
      <c r="AE3111" s="110">
        <v>0</v>
      </c>
      <c r="AF3111" s="111">
        <f t="shared" si="685"/>
        <v>134.88500000000204</v>
      </c>
      <c r="AG3111" s="110"/>
      <c r="AH3111" s="110"/>
      <c r="AI3111" s="110"/>
      <c r="AJ3111" s="110"/>
      <c r="AK3111" s="111">
        <f t="shared" si="680"/>
        <v>539.54000000000815</v>
      </c>
      <c r="AL3111" s="446">
        <f t="shared" si="681"/>
        <v>0</v>
      </c>
      <c r="AM3111" s="110">
        <f t="shared" si="682"/>
        <v>1</v>
      </c>
      <c r="AN3111" s="447">
        <f t="shared" si="687"/>
        <v>0</v>
      </c>
      <c r="AO3111"/>
      <c r="AP3111"/>
    </row>
    <row r="3112" spans="1:42" ht="66" x14ac:dyDescent="0.25">
      <c r="A3112" s="9"/>
      <c r="B3112" s="528" t="s">
        <v>3283</v>
      </c>
      <c r="C3112" s="1024"/>
      <c r="D3112" s="882">
        <v>120</v>
      </c>
      <c r="E3112" s="251" t="s">
        <v>1767</v>
      </c>
      <c r="F3112" s="273" t="s">
        <v>3446</v>
      </c>
      <c r="G3112" s="1040" t="s">
        <v>3463</v>
      </c>
      <c r="H3112" s="273" t="s">
        <v>3462</v>
      </c>
      <c r="I3112" s="720">
        <f t="shared" si="683"/>
        <v>151.09236000000004</v>
      </c>
      <c r="J3112" s="756">
        <v>18131.083200000005</v>
      </c>
      <c r="K3112" s="131">
        <f t="shared" si="686"/>
        <v>18131.083200000005</v>
      </c>
      <c r="L3112" s="335">
        <f t="shared" si="679"/>
        <v>0</v>
      </c>
      <c r="M3112" s="446"/>
      <c r="N3112" s="446"/>
      <c r="O3112" s="446"/>
      <c r="P3112" s="446"/>
      <c r="Q3112" s="110">
        <v>50</v>
      </c>
      <c r="R3112" s="111">
        <f t="shared" si="677"/>
        <v>4532.7708000000011</v>
      </c>
      <c r="S3112" s="110"/>
      <c r="T3112" s="110"/>
      <c r="U3112" s="110">
        <v>50</v>
      </c>
      <c r="V3112" s="111">
        <f t="shared" si="678"/>
        <v>4532.7708000000011</v>
      </c>
      <c r="W3112" s="110"/>
      <c r="X3112" s="110"/>
      <c r="Y3112" s="110"/>
      <c r="Z3112" s="110"/>
      <c r="AA3112" s="110">
        <v>10</v>
      </c>
      <c r="AB3112" s="111">
        <f t="shared" si="684"/>
        <v>4532.7708000000011</v>
      </c>
      <c r="AC3112" s="110"/>
      <c r="AD3112" s="110"/>
      <c r="AE3112" s="110">
        <v>10</v>
      </c>
      <c r="AF3112" s="111">
        <f t="shared" si="685"/>
        <v>4532.7708000000011</v>
      </c>
      <c r="AG3112" s="110"/>
      <c r="AH3112" s="110"/>
      <c r="AI3112" s="110"/>
      <c r="AJ3112" s="110"/>
      <c r="AK3112" s="111">
        <f t="shared" si="680"/>
        <v>18131.083200000005</v>
      </c>
      <c r="AL3112" s="446">
        <f t="shared" si="681"/>
        <v>0</v>
      </c>
      <c r="AM3112" s="110">
        <f t="shared" si="682"/>
        <v>120</v>
      </c>
      <c r="AN3112" s="447">
        <f t="shared" si="687"/>
        <v>0</v>
      </c>
      <c r="AO3112"/>
      <c r="AP3112"/>
    </row>
    <row r="3113" spans="1:42" x14ac:dyDescent="0.25">
      <c r="A3113" s="310">
        <v>25403</v>
      </c>
      <c r="B3113" s="375" t="s">
        <v>637</v>
      </c>
      <c r="C3113" s="311"/>
      <c r="D3113" s="902"/>
      <c r="E3113" s="312"/>
      <c r="F3113" s="313"/>
      <c r="G3113" s="313"/>
      <c r="H3113" s="313"/>
      <c r="I3113" s="729"/>
      <c r="J3113" s="800"/>
      <c r="K3113" s="131">
        <f t="shared" si="686"/>
        <v>0</v>
      </c>
      <c r="L3113" s="335">
        <f t="shared" si="679"/>
        <v>0</v>
      </c>
      <c r="M3113" s="446"/>
      <c r="N3113" s="446"/>
      <c r="O3113" s="446"/>
      <c r="P3113" s="446"/>
      <c r="Q3113" s="110">
        <f t="shared" ref="Q3113:Q3154" si="688">+$D3113/4</f>
        <v>0</v>
      </c>
      <c r="R3113" s="111">
        <f t="shared" si="677"/>
        <v>0</v>
      </c>
      <c r="S3113" s="110"/>
      <c r="T3113" s="110"/>
      <c r="U3113" s="110">
        <f t="shared" ref="U3113:U3154" si="689">+$D3113/4</f>
        <v>0</v>
      </c>
      <c r="V3113" s="111">
        <f t="shared" si="678"/>
        <v>0</v>
      </c>
      <c r="W3113" s="110"/>
      <c r="X3113" s="110"/>
      <c r="Y3113" s="110"/>
      <c r="Z3113" s="110"/>
      <c r="AA3113" s="110">
        <f t="shared" ref="AA3113:AE3154" si="690">+$D3113/4</f>
        <v>0</v>
      </c>
      <c r="AB3113" s="111">
        <f t="shared" si="684"/>
        <v>0</v>
      </c>
      <c r="AC3113" s="110"/>
      <c r="AD3113" s="110"/>
      <c r="AE3113" s="110">
        <f t="shared" si="690"/>
        <v>0</v>
      </c>
      <c r="AF3113" s="111">
        <f t="shared" si="685"/>
        <v>0</v>
      </c>
      <c r="AG3113" s="110"/>
      <c r="AH3113" s="110"/>
      <c r="AI3113" s="110"/>
      <c r="AJ3113" s="110"/>
      <c r="AK3113" s="111">
        <f t="shared" si="680"/>
        <v>0</v>
      </c>
      <c r="AL3113" s="446">
        <f t="shared" si="681"/>
        <v>0</v>
      </c>
      <c r="AM3113" s="110">
        <f t="shared" si="682"/>
        <v>0</v>
      </c>
      <c r="AN3113" s="447">
        <f t="shared" si="687"/>
        <v>0</v>
      </c>
      <c r="AO3113" s="108"/>
      <c r="AP3113"/>
    </row>
    <row r="3114" spans="1:42" x14ac:dyDescent="0.25">
      <c r="A3114" s="60"/>
      <c r="B3114" s="57"/>
      <c r="C3114" s="9"/>
      <c r="D3114" s="869"/>
      <c r="E3114" s="1027"/>
      <c r="F3114" s="272"/>
      <c r="G3114" s="272"/>
      <c r="H3114" s="272"/>
      <c r="I3114" s="720"/>
      <c r="J3114" s="763"/>
      <c r="K3114" s="131">
        <f t="shared" si="686"/>
        <v>0</v>
      </c>
      <c r="L3114" s="335">
        <f t="shared" si="679"/>
        <v>0</v>
      </c>
      <c r="M3114" s="446"/>
      <c r="N3114" s="446"/>
      <c r="O3114" s="446"/>
      <c r="P3114" s="446"/>
      <c r="Q3114" s="110">
        <f t="shared" si="688"/>
        <v>0</v>
      </c>
      <c r="R3114" s="111">
        <f t="shared" si="677"/>
        <v>0</v>
      </c>
      <c r="S3114" s="110"/>
      <c r="T3114" s="110"/>
      <c r="U3114" s="110">
        <f t="shared" si="689"/>
        <v>0</v>
      </c>
      <c r="V3114" s="111">
        <f t="shared" si="678"/>
        <v>0</v>
      </c>
      <c r="W3114" s="110"/>
      <c r="X3114" s="110"/>
      <c r="Y3114" s="110"/>
      <c r="Z3114" s="110"/>
      <c r="AA3114" s="110">
        <f t="shared" si="690"/>
        <v>0</v>
      </c>
      <c r="AB3114" s="111">
        <f t="shared" si="684"/>
        <v>0</v>
      </c>
      <c r="AC3114" s="110"/>
      <c r="AD3114" s="110"/>
      <c r="AE3114" s="110">
        <f t="shared" si="690"/>
        <v>0</v>
      </c>
      <c r="AF3114" s="111">
        <f t="shared" si="685"/>
        <v>0</v>
      </c>
      <c r="AG3114" s="110"/>
      <c r="AH3114" s="110"/>
      <c r="AI3114" s="110"/>
      <c r="AJ3114" s="110"/>
      <c r="AK3114" s="111">
        <f t="shared" si="680"/>
        <v>0</v>
      </c>
      <c r="AL3114" s="446">
        <f t="shared" si="681"/>
        <v>0</v>
      </c>
      <c r="AM3114" s="110">
        <f t="shared" si="682"/>
        <v>0</v>
      </c>
      <c r="AN3114" s="447">
        <f t="shared" si="687"/>
        <v>0</v>
      </c>
      <c r="AO3114"/>
      <c r="AP3114"/>
    </row>
    <row r="3115" spans="1:42" ht="22.5" x14ac:dyDescent="0.25">
      <c r="A3115" s="310">
        <v>25404</v>
      </c>
      <c r="B3115" s="375" t="s">
        <v>638</v>
      </c>
      <c r="C3115" s="311"/>
      <c r="D3115" s="902"/>
      <c r="E3115" s="312"/>
      <c r="F3115" s="313"/>
      <c r="G3115" s="313"/>
      <c r="H3115" s="313"/>
      <c r="I3115" s="729"/>
      <c r="J3115" s="800"/>
      <c r="K3115" s="131">
        <f t="shared" si="686"/>
        <v>0</v>
      </c>
      <c r="L3115" s="335">
        <f t="shared" si="679"/>
        <v>0</v>
      </c>
      <c r="M3115" s="446"/>
      <c r="N3115" s="446"/>
      <c r="O3115" s="446"/>
      <c r="P3115" s="446"/>
      <c r="Q3115" s="110">
        <f t="shared" si="688"/>
        <v>0</v>
      </c>
      <c r="R3115" s="111">
        <f t="shared" si="677"/>
        <v>0</v>
      </c>
      <c r="S3115" s="110"/>
      <c r="T3115" s="110"/>
      <c r="U3115" s="110">
        <f t="shared" si="689"/>
        <v>0</v>
      </c>
      <c r="V3115" s="111">
        <f t="shared" si="678"/>
        <v>0</v>
      </c>
      <c r="W3115" s="110"/>
      <c r="X3115" s="110"/>
      <c r="Y3115" s="110"/>
      <c r="Z3115" s="110"/>
      <c r="AA3115" s="110">
        <f t="shared" si="690"/>
        <v>0</v>
      </c>
      <c r="AB3115" s="111">
        <f t="shared" si="684"/>
        <v>0</v>
      </c>
      <c r="AC3115" s="110"/>
      <c r="AD3115" s="110"/>
      <c r="AE3115" s="110">
        <f t="shared" si="690"/>
        <v>0</v>
      </c>
      <c r="AF3115" s="111">
        <f t="shared" si="685"/>
        <v>0</v>
      </c>
      <c r="AG3115" s="110"/>
      <c r="AH3115" s="110"/>
      <c r="AI3115" s="110"/>
      <c r="AJ3115" s="110"/>
      <c r="AK3115" s="111">
        <f t="shared" si="680"/>
        <v>0</v>
      </c>
      <c r="AL3115" s="446">
        <f t="shared" si="681"/>
        <v>0</v>
      </c>
      <c r="AM3115" s="110">
        <f t="shared" si="682"/>
        <v>0</v>
      </c>
      <c r="AN3115" s="447">
        <f t="shared" si="687"/>
        <v>0</v>
      </c>
      <c r="AO3115" s="108"/>
      <c r="AP3115"/>
    </row>
    <row r="3116" spans="1:42" x14ac:dyDescent="0.25">
      <c r="A3116" s="9"/>
      <c r="B3116" s="57"/>
      <c r="C3116" s="9"/>
      <c r="D3116" s="913"/>
      <c r="E3116" s="1027"/>
      <c r="F3116" s="272"/>
      <c r="G3116" s="272"/>
      <c r="H3116" s="272"/>
      <c r="I3116" s="720"/>
      <c r="J3116" s="763"/>
      <c r="K3116" s="131">
        <f t="shared" si="686"/>
        <v>0</v>
      </c>
      <c r="L3116" s="335">
        <f t="shared" si="679"/>
        <v>0</v>
      </c>
      <c r="M3116" s="446"/>
      <c r="N3116" s="446"/>
      <c r="O3116" s="446"/>
      <c r="P3116" s="446"/>
      <c r="Q3116" s="110">
        <f t="shared" si="688"/>
        <v>0</v>
      </c>
      <c r="R3116" s="111">
        <f t="shared" si="677"/>
        <v>0</v>
      </c>
      <c r="S3116" s="110"/>
      <c r="T3116" s="110"/>
      <c r="U3116" s="110">
        <f t="shared" si="689"/>
        <v>0</v>
      </c>
      <c r="V3116" s="111">
        <f t="shared" si="678"/>
        <v>0</v>
      </c>
      <c r="W3116" s="110"/>
      <c r="X3116" s="110"/>
      <c r="Y3116" s="110"/>
      <c r="Z3116" s="110"/>
      <c r="AA3116" s="110">
        <f t="shared" si="690"/>
        <v>0</v>
      </c>
      <c r="AB3116" s="111">
        <f t="shared" si="684"/>
        <v>0</v>
      </c>
      <c r="AC3116" s="110"/>
      <c r="AD3116" s="110"/>
      <c r="AE3116" s="110">
        <f t="shared" si="690"/>
        <v>0</v>
      </c>
      <c r="AF3116" s="111">
        <f t="shared" si="685"/>
        <v>0</v>
      </c>
      <c r="AG3116" s="110"/>
      <c r="AH3116" s="110"/>
      <c r="AI3116" s="110"/>
      <c r="AJ3116" s="110"/>
      <c r="AK3116" s="111">
        <f t="shared" si="680"/>
        <v>0</v>
      </c>
      <c r="AL3116" s="446">
        <f t="shared" si="681"/>
        <v>0</v>
      </c>
      <c r="AM3116" s="110">
        <f t="shared" si="682"/>
        <v>0</v>
      </c>
      <c r="AN3116" s="447">
        <f t="shared" si="687"/>
        <v>0</v>
      </c>
      <c r="AO3116"/>
      <c r="AP3116"/>
    </row>
    <row r="3117" spans="1:42" x14ac:dyDescent="0.25">
      <c r="A3117" s="315">
        <v>255</v>
      </c>
      <c r="B3117" s="517" t="s">
        <v>639</v>
      </c>
      <c r="C3117" s="315"/>
      <c r="D3117" s="886"/>
      <c r="E3117" s="318"/>
      <c r="F3117" s="319"/>
      <c r="G3117" s="319"/>
      <c r="H3117" s="319"/>
      <c r="I3117" s="724"/>
      <c r="J3117" s="762"/>
      <c r="K3117" s="131">
        <f t="shared" si="686"/>
        <v>0</v>
      </c>
      <c r="L3117" s="335">
        <f t="shared" si="679"/>
        <v>0</v>
      </c>
      <c r="M3117" s="446"/>
      <c r="N3117" s="446"/>
      <c r="O3117" s="446"/>
      <c r="P3117" s="446"/>
      <c r="Q3117" s="110">
        <f t="shared" si="688"/>
        <v>0</v>
      </c>
      <c r="R3117" s="111">
        <f t="shared" si="677"/>
        <v>0</v>
      </c>
      <c r="S3117" s="110"/>
      <c r="T3117" s="110"/>
      <c r="U3117" s="110">
        <f t="shared" si="689"/>
        <v>0</v>
      </c>
      <c r="V3117" s="111">
        <f t="shared" si="678"/>
        <v>0</v>
      </c>
      <c r="W3117" s="110"/>
      <c r="X3117" s="110"/>
      <c r="Y3117" s="110"/>
      <c r="Z3117" s="110"/>
      <c r="AA3117" s="110">
        <f t="shared" si="690"/>
        <v>0</v>
      </c>
      <c r="AB3117" s="111">
        <f t="shared" si="684"/>
        <v>0</v>
      </c>
      <c r="AC3117" s="110"/>
      <c r="AD3117" s="110"/>
      <c r="AE3117" s="110">
        <f t="shared" si="690"/>
        <v>0</v>
      </c>
      <c r="AF3117" s="111">
        <f t="shared" si="685"/>
        <v>0</v>
      </c>
      <c r="AG3117" s="110"/>
      <c r="AH3117" s="110"/>
      <c r="AI3117" s="110"/>
      <c r="AJ3117" s="110"/>
      <c r="AK3117" s="111">
        <f t="shared" si="680"/>
        <v>0</v>
      </c>
      <c r="AL3117" s="446">
        <f t="shared" si="681"/>
        <v>0</v>
      </c>
      <c r="AM3117" s="110">
        <f t="shared" si="682"/>
        <v>0</v>
      </c>
      <c r="AN3117" s="447">
        <f t="shared" si="687"/>
        <v>0</v>
      </c>
      <c r="AO3117" s="436">
        <f>SUM(J3118:J3120)</f>
        <v>23842.080000000002</v>
      </c>
      <c r="AP3117" s="111"/>
    </row>
    <row r="3118" spans="1:42" x14ac:dyDescent="0.25">
      <c r="A3118" s="310">
        <v>25501</v>
      </c>
      <c r="B3118" s="375" t="s">
        <v>640</v>
      </c>
      <c r="C3118" s="311"/>
      <c r="D3118" s="902"/>
      <c r="E3118" s="312"/>
      <c r="F3118" s="313"/>
      <c r="G3118" s="313"/>
      <c r="H3118" s="313"/>
      <c r="I3118" s="729"/>
      <c r="J3118" s="800"/>
      <c r="K3118" s="131">
        <f t="shared" si="686"/>
        <v>0</v>
      </c>
      <c r="L3118" s="335">
        <f t="shared" si="679"/>
        <v>0</v>
      </c>
      <c r="M3118" s="446"/>
      <c r="N3118" s="446"/>
      <c r="O3118" s="446"/>
      <c r="P3118" s="446"/>
      <c r="Q3118" s="110">
        <f t="shared" si="688"/>
        <v>0</v>
      </c>
      <c r="R3118" s="111">
        <f t="shared" si="677"/>
        <v>0</v>
      </c>
      <c r="S3118" s="110"/>
      <c r="T3118" s="110"/>
      <c r="U3118" s="110">
        <f t="shared" si="689"/>
        <v>0</v>
      </c>
      <c r="V3118" s="111">
        <f t="shared" si="678"/>
        <v>0</v>
      </c>
      <c r="W3118" s="110"/>
      <c r="X3118" s="110"/>
      <c r="Y3118" s="110"/>
      <c r="Z3118" s="110"/>
      <c r="AA3118" s="110">
        <f t="shared" si="690"/>
        <v>0</v>
      </c>
      <c r="AB3118" s="111">
        <f t="shared" si="684"/>
        <v>0</v>
      </c>
      <c r="AC3118" s="110"/>
      <c r="AD3118" s="110"/>
      <c r="AE3118" s="110">
        <f t="shared" si="690"/>
        <v>0</v>
      </c>
      <c r="AF3118" s="111">
        <f t="shared" si="685"/>
        <v>0</v>
      </c>
      <c r="AG3118" s="110"/>
      <c r="AH3118" s="110"/>
      <c r="AI3118" s="110"/>
      <c r="AJ3118" s="110"/>
      <c r="AK3118" s="111">
        <f t="shared" si="680"/>
        <v>0</v>
      </c>
      <c r="AL3118" s="446">
        <f t="shared" si="681"/>
        <v>0</v>
      </c>
      <c r="AM3118" s="110">
        <f t="shared" si="682"/>
        <v>0</v>
      </c>
      <c r="AN3118" s="447">
        <f t="shared" si="687"/>
        <v>0</v>
      </c>
      <c r="AO3118" s="108"/>
      <c r="AP3118"/>
    </row>
    <row r="3119" spans="1:42" ht="66" x14ac:dyDescent="0.25">
      <c r="A3119" s="61"/>
      <c r="B3119" s="572" t="s">
        <v>2444</v>
      </c>
      <c r="C3119" s="9"/>
      <c r="D3119" s="882">
        <v>12</v>
      </c>
      <c r="E3119" s="1025" t="s">
        <v>1722</v>
      </c>
      <c r="F3119" s="273" t="s">
        <v>3446</v>
      </c>
      <c r="G3119" s="1040" t="s">
        <v>3463</v>
      </c>
      <c r="H3119" s="273" t="s">
        <v>3462</v>
      </c>
      <c r="I3119" s="720">
        <f>+J3119/D3119</f>
        <v>1013.9</v>
      </c>
      <c r="J3119" s="756">
        <v>12166.8</v>
      </c>
      <c r="K3119" s="131">
        <f t="shared" si="686"/>
        <v>12166.8</v>
      </c>
      <c r="L3119" s="335">
        <f t="shared" si="679"/>
        <v>0</v>
      </c>
      <c r="M3119" s="446"/>
      <c r="N3119" s="446"/>
      <c r="O3119" s="446"/>
      <c r="P3119" s="446"/>
      <c r="Q3119" s="110">
        <f t="shared" si="688"/>
        <v>3</v>
      </c>
      <c r="R3119" s="111">
        <f t="shared" ref="R3119:R3182" si="691">+J3119/4</f>
        <v>3041.7</v>
      </c>
      <c r="S3119" s="110"/>
      <c r="T3119" s="110"/>
      <c r="U3119" s="110">
        <f t="shared" si="689"/>
        <v>3</v>
      </c>
      <c r="V3119" s="111">
        <f t="shared" ref="V3119:V3182" si="692">+J3119/4</f>
        <v>3041.7</v>
      </c>
      <c r="W3119" s="110"/>
      <c r="X3119" s="110"/>
      <c r="Y3119" s="110"/>
      <c r="Z3119" s="110"/>
      <c r="AA3119" s="110">
        <f t="shared" si="690"/>
        <v>3</v>
      </c>
      <c r="AB3119" s="111">
        <f t="shared" si="684"/>
        <v>3041.7</v>
      </c>
      <c r="AC3119" s="110"/>
      <c r="AD3119" s="110"/>
      <c r="AE3119" s="110">
        <f t="shared" si="690"/>
        <v>3</v>
      </c>
      <c r="AF3119" s="111">
        <f t="shared" si="685"/>
        <v>3041.7</v>
      </c>
      <c r="AG3119" s="110"/>
      <c r="AH3119" s="110"/>
      <c r="AI3119" s="110"/>
      <c r="AJ3119" s="110"/>
      <c r="AK3119" s="111">
        <f t="shared" si="680"/>
        <v>12166.8</v>
      </c>
      <c r="AL3119" s="446">
        <f t="shared" si="681"/>
        <v>0</v>
      </c>
      <c r="AM3119" s="110">
        <f t="shared" si="682"/>
        <v>12</v>
      </c>
      <c r="AN3119" s="447">
        <f t="shared" si="687"/>
        <v>0</v>
      </c>
      <c r="AO3119"/>
      <c r="AP3119"/>
    </row>
    <row r="3120" spans="1:42" ht="66" x14ac:dyDescent="0.25">
      <c r="A3120" s="61"/>
      <c r="B3120" s="572" t="s">
        <v>2445</v>
      </c>
      <c r="C3120" s="9"/>
      <c r="D3120" s="882">
        <v>12</v>
      </c>
      <c r="E3120" s="1025" t="s">
        <v>1722</v>
      </c>
      <c r="F3120" s="273" t="s">
        <v>3446</v>
      </c>
      <c r="G3120" s="1040" t="s">
        <v>3463</v>
      </c>
      <c r="H3120" s="273" t="s">
        <v>3462</v>
      </c>
      <c r="I3120" s="720">
        <f>+J3120/D3120</f>
        <v>972.94</v>
      </c>
      <c r="J3120" s="756">
        <v>11675.28</v>
      </c>
      <c r="K3120" s="131">
        <f t="shared" si="686"/>
        <v>11675.28</v>
      </c>
      <c r="L3120" s="335">
        <f t="shared" si="679"/>
        <v>0</v>
      </c>
      <c r="M3120" s="446"/>
      <c r="N3120" s="446"/>
      <c r="O3120" s="446"/>
      <c r="P3120" s="446"/>
      <c r="Q3120" s="110">
        <f t="shared" si="688"/>
        <v>3</v>
      </c>
      <c r="R3120" s="111">
        <f t="shared" si="691"/>
        <v>2918.82</v>
      </c>
      <c r="S3120" s="110"/>
      <c r="T3120" s="110"/>
      <c r="U3120" s="110">
        <f t="shared" si="689"/>
        <v>3</v>
      </c>
      <c r="V3120" s="111">
        <f t="shared" si="692"/>
        <v>2918.82</v>
      </c>
      <c r="W3120" s="110"/>
      <c r="X3120" s="110"/>
      <c r="Y3120" s="110"/>
      <c r="Z3120" s="110"/>
      <c r="AA3120" s="110">
        <f t="shared" si="690"/>
        <v>3</v>
      </c>
      <c r="AB3120" s="111">
        <f t="shared" si="684"/>
        <v>2918.82</v>
      </c>
      <c r="AC3120" s="110"/>
      <c r="AD3120" s="110"/>
      <c r="AE3120" s="110">
        <f t="shared" si="690"/>
        <v>3</v>
      </c>
      <c r="AF3120" s="111">
        <f t="shared" si="685"/>
        <v>2918.82</v>
      </c>
      <c r="AG3120" s="110"/>
      <c r="AH3120" s="110"/>
      <c r="AI3120" s="110"/>
      <c r="AJ3120" s="110"/>
      <c r="AK3120" s="111">
        <f t="shared" si="680"/>
        <v>11675.28</v>
      </c>
      <c r="AL3120" s="446">
        <f t="shared" si="681"/>
        <v>0</v>
      </c>
      <c r="AM3120" s="110">
        <f t="shared" si="682"/>
        <v>12</v>
      </c>
      <c r="AN3120" s="447">
        <f t="shared" si="687"/>
        <v>0</v>
      </c>
      <c r="AO3120"/>
      <c r="AP3120"/>
    </row>
    <row r="3121" spans="1:42" x14ac:dyDescent="0.25">
      <c r="A3121" s="310">
        <v>25502</v>
      </c>
      <c r="B3121" s="375" t="s">
        <v>641</v>
      </c>
      <c r="C3121" s="311"/>
      <c r="D3121" s="902"/>
      <c r="E3121" s="312"/>
      <c r="F3121" s="313"/>
      <c r="G3121" s="313"/>
      <c r="H3121" s="313"/>
      <c r="I3121" s="729"/>
      <c r="J3121" s="800"/>
      <c r="K3121" s="131">
        <f t="shared" si="686"/>
        <v>0</v>
      </c>
      <c r="L3121" s="335">
        <f t="shared" si="679"/>
        <v>0</v>
      </c>
      <c r="M3121" s="446"/>
      <c r="N3121" s="446"/>
      <c r="O3121" s="446"/>
      <c r="P3121" s="446"/>
      <c r="Q3121" s="110">
        <f t="shared" si="688"/>
        <v>0</v>
      </c>
      <c r="R3121" s="111">
        <f t="shared" si="691"/>
        <v>0</v>
      </c>
      <c r="S3121" s="110"/>
      <c r="T3121" s="110"/>
      <c r="U3121" s="110">
        <f t="shared" si="689"/>
        <v>0</v>
      </c>
      <c r="V3121" s="111">
        <f t="shared" si="692"/>
        <v>0</v>
      </c>
      <c r="W3121" s="110"/>
      <c r="X3121" s="110"/>
      <c r="Y3121" s="110"/>
      <c r="Z3121" s="110"/>
      <c r="AA3121" s="110">
        <f t="shared" si="690"/>
        <v>0</v>
      </c>
      <c r="AB3121" s="111">
        <f t="shared" si="684"/>
        <v>0</v>
      </c>
      <c r="AC3121" s="110"/>
      <c r="AD3121" s="110"/>
      <c r="AE3121" s="110">
        <f t="shared" si="690"/>
        <v>0</v>
      </c>
      <c r="AF3121" s="111">
        <f t="shared" si="685"/>
        <v>0</v>
      </c>
      <c r="AG3121" s="110"/>
      <c r="AH3121" s="110"/>
      <c r="AI3121" s="110"/>
      <c r="AJ3121" s="110"/>
      <c r="AK3121" s="111">
        <f t="shared" si="680"/>
        <v>0</v>
      </c>
      <c r="AL3121" s="446">
        <f t="shared" si="681"/>
        <v>0</v>
      </c>
      <c r="AM3121" s="110">
        <f t="shared" si="682"/>
        <v>0</v>
      </c>
      <c r="AN3121" s="447">
        <f t="shared" si="687"/>
        <v>0</v>
      </c>
      <c r="AO3121" s="108"/>
      <c r="AP3121"/>
    </row>
    <row r="3122" spans="1:42" x14ac:dyDescent="0.25">
      <c r="A3122" s="1029"/>
      <c r="B3122" s="573"/>
      <c r="C3122" s="9"/>
      <c r="D3122" s="913"/>
      <c r="E3122" s="1027"/>
      <c r="F3122" s="272"/>
      <c r="G3122" s="272"/>
      <c r="H3122" s="272"/>
      <c r="I3122" s="720"/>
      <c r="J3122" s="763"/>
      <c r="K3122" s="131">
        <f t="shared" si="686"/>
        <v>0</v>
      </c>
      <c r="L3122" s="335">
        <f t="shared" si="679"/>
        <v>0</v>
      </c>
      <c r="M3122" s="446"/>
      <c r="N3122" s="446"/>
      <c r="O3122" s="446"/>
      <c r="P3122" s="446"/>
      <c r="Q3122" s="110">
        <f t="shared" si="688"/>
        <v>0</v>
      </c>
      <c r="R3122" s="111">
        <f t="shared" si="691"/>
        <v>0</v>
      </c>
      <c r="S3122" s="110"/>
      <c r="T3122" s="110"/>
      <c r="U3122" s="110">
        <f t="shared" si="689"/>
        <v>0</v>
      </c>
      <c r="V3122" s="111">
        <f t="shared" si="692"/>
        <v>0</v>
      </c>
      <c r="W3122" s="110"/>
      <c r="X3122" s="110"/>
      <c r="Y3122" s="110"/>
      <c r="Z3122" s="110"/>
      <c r="AA3122" s="110">
        <f t="shared" si="690"/>
        <v>0</v>
      </c>
      <c r="AB3122" s="111">
        <f t="shared" si="684"/>
        <v>0</v>
      </c>
      <c r="AC3122" s="110"/>
      <c r="AD3122" s="110"/>
      <c r="AE3122" s="110">
        <f t="shared" si="690"/>
        <v>0</v>
      </c>
      <c r="AF3122" s="111">
        <f t="shared" si="685"/>
        <v>0</v>
      </c>
      <c r="AG3122" s="110"/>
      <c r="AH3122" s="110"/>
      <c r="AI3122" s="110"/>
      <c r="AJ3122" s="110"/>
      <c r="AK3122" s="111">
        <f t="shared" si="680"/>
        <v>0</v>
      </c>
      <c r="AL3122" s="446">
        <f t="shared" si="681"/>
        <v>0</v>
      </c>
      <c r="AM3122" s="110">
        <f t="shared" si="682"/>
        <v>0</v>
      </c>
      <c r="AN3122" s="447">
        <f t="shared" si="687"/>
        <v>0</v>
      </c>
      <c r="AO3122"/>
      <c r="AP3122"/>
    </row>
    <row r="3123" spans="1:42" x14ac:dyDescent="0.25">
      <c r="A3123" s="6">
        <v>256</v>
      </c>
      <c r="B3123" s="553" t="s">
        <v>642</v>
      </c>
      <c r="C3123" s="7"/>
      <c r="D3123" s="894"/>
      <c r="E3123" s="138"/>
      <c r="F3123" s="279"/>
      <c r="G3123" s="279"/>
      <c r="H3123" s="279"/>
      <c r="I3123" s="720"/>
      <c r="J3123" s="773"/>
      <c r="K3123" s="131">
        <f t="shared" si="686"/>
        <v>0</v>
      </c>
      <c r="L3123" s="335">
        <f t="shared" si="679"/>
        <v>0</v>
      </c>
      <c r="M3123" s="446"/>
      <c r="N3123" s="446"/>
      <c r="O3123" s="446"/>
      <c r="P3123" s="446"/>
      <c r="Q3123" s="110">
        <f t="shared" si="688"/>
        <v>0</v>
      </c>
      <c r="R3123" s="111">
        <f t="shared" si="691"/>
        <v>0</v>
      </c>
      <c r="S3123" s="110"/>
      <c r="T3123" s="110"/>
      <c r="U3123" s="110">
        <f t="shared" si="689"/>
        <v>0</v>
      </c>
      <c r="V3123" s="111">
        <f t="shared" si="692"/>
        <v>0</v>
      </c>
      <c r="W3123" s="110"/>
      <c r="X3123" s="110"/>
      <c r="Y3123" s="110"/>
      <c r="Z3123" s="110"/>
      <c r="AA3123" s="110">
        <f t="shared" si="690"/>
        <v>0</v>
      </c>
      <c r="AB3123" s="111">
        <f t="shared" si="684"/>
        <v>0</v>
      </c>
      <c r="AC3123" s="110"/>
      <c r="AD3123" s="110"/>
      <c r="AE3123" s="110">
        <f t="shared" si="690"/>
        <v>0</v>
      </c>
      <c r="AF3123" s="111">
        <f t="shared" si="685"/>
        <v>0</v>
      </c>
      <c r="AG3123" s="110"/>
      <c r="AH3123" s="110"/>
      <c r="AI3123" s="110"/>
      <c r="AJ3123" s="110"/>
      <c r="AK3123" s="111">
        <f t="shared" si="680"/>
        <v>0</v>
      </c>
      <c r="AL3123" s="446">
        <f t="shared" si="681"/>
        <v>0</v>
      </c>
      <c r="AM3123" s="110">
        <f t="shared" si="682"/>
        <v>0</v>
      </c>
      <c r="AN3123" s="447">
        <f t="shared" si="687"/>
        <v>0</v>
      </c>
      <c r="AO3123" s="108"/>
      <c r="AP3123"/>
    </row>
    <row r="3124" spans="1:42" x14ac:dyDescent="0.25">
      <c r="A3124" s="310">
        <v>25601</v>
      </c>
      <c r="B3124" s="375" t="s">
        <v>642</v>
      </c>
      <c r="C3124" s="311"/>
      <c r="D3124" s="902"/>
      <c r="E3124" s="312"/>
      <c r="F3124" s="313"/>
      <c r="G3124" s="313"/>
      <c r="H3124" s="313"/>
      <c r="I3124" s="729"/>
      <c r="J3124" s="800"/>
      <c r="K3124" s="131">
        <f t="shared" si="686"/>
        <v>0</v>
      </c>
      <c r="L3124" s="335">
        <f t="shared" ref="L3124:L3187" si="693">+J3124-K3124</f>
        <v>0</v>
      </c>
      <c r="M3124" s="446"/>
      <c r="N3124" s="446"/>
      <c r="O3124" s="446"/>
      <c r="P3124" s="446"/>
      <c r="Q3124" s="110">
        <f t="shared" si="688"/>
        <v>0</v>
      </c>
      <c r="R3124" s="111">
        <f t="shared" si="691"/>
        <v>0</v>
      </c>
      <c r="S3124" s="110"/>
      <c r="T3124" s="110"/>
      <c r="U3124" s="110">
        <f t="shared" si="689"/>
        <v>0</v>
      </c>
      <c r="V3124" s="111">
        <f t="shared" si="692"/>
        <v>0</v>
      </c>
      <c r="W3124" s="110"/>
      <c r="X3124" s="110"/>
      <c r="Y3124" s="110"/>
      <c r="Z3124" s="110"/>
      <c r="AA3124" s="110">
        <f t="shared" si="690"/>
        <v>0</v>
      </c>
      <c r="AB3124" s="111">
        <f t="shared" si="684"/>
        <v>0</v>
      </c>
      <c r="AC3124" s="110"/>
      <c r="AD3124" s="110"/>
      <c r="AE3124" s="110">
        <f t="shared" si="690"/>
        <v>0</v>
      </c>
      <c r="AF3124" s="111">
        <f t="shared" si="685"/>
        <v>0</v>
      </c>
      <c r="AG3124" s="110"/>
      <c r="AH3124" s="110"/>
      <c r="AI3124" s="110"/>
      <c r="AJ3124" s="110"/>
      <c r="AK3124" s="111">
        <f t="shared" ref="AK3124:AK3187" si="694">+R3124+V3124+AB3124+AF3124</f>
        <v>0</v>
      </c>
      <c r="AL3124" s="446">
        <f t="shared" ref="AL3124:AL3187" si="695">+J3124-AK3124</f>
        <v>0</v>
      </c>
      <c r="AM3124" s="110">
        <f t="shared" ref="AM3124:AM3187" si="696">+Q3124+U3124+AA3124+AE3124</f>
        <v>0</v>
      </c>
      <c r="AN3124" s="447">
        <f t="shared" si="687"/>
        <v>0</v>
      </c>
      <c r="AO3124" s="436">
        <f>SUM(J3125:J3148)</f>
        <v>174543.83168000003</v>
      </c>
      <c r="AP3124" s="111"/>
    </row>
    <row r="3125" spans="1:42" s="108" customFormat="1" ht="66" x14ac:dyDescent="0.25">
      <c r="A3125" s="60"/>
      <c r="B3125" s="34" t="s">
        <v>643</v>
      </c>
      <c r="C3125" s="9"/>
      <c r="D3125" s="912">
        <v>20</v>
      </c>
      <c r="E3125" s="1027" t="s">
        <v>1721</v>
      </c>
      <c r="F3125" s="278" t="s">
        <v>3446</v>
      </c>
      <c r="G3125" s="1040" t="s">
        <v>3463</v>
      </c>
      <c r="H3125" s="273" t="s">
        <v>3462</v>
      </c>
      <c r="I3125" s="722">
        <f t="shared" ref="I3125:I3148" si="697">+J3125/D3125</f>
        <v>7.85</v>
      </c>
      <c r="J3125" s="763">
        <v>157</v>
      </c>
      <c r="K3125" s="131">
        <f t="shared" si="686"/>
        <v>157</v>
      </c>
      <c r="L3125" s="335">
        <f t="shared" si="693"/>
        <v>0</v>
      </c>
      <c r="M3125" s="335"/>
      <c r="N3125" s="335"/>
      <c r="O3125" s="335"/>
      <c r="P3125" s="335"/>
      <c r="Q3125" s="130">
        <f t="shared" si="688"/>
        <v>5</v>
      </c>
      <c r="R3125" s="131">
        <f t="shared" si="691"/>
        <v>39.25</v>
      </c>
      <c r="S3125" s="130"/>
      <c r="T3125" s="130"/>
      <c r="U3125" s="130">
        <f t="shared" si="689"/>
        <v>5</v>
      </c>
      <c r="V3125" s="131">
        <f t="shared" si="692"/>
        <v>39.25</v>
      </c>
      <c r="W3125" s="130"/>
      <c r="X3125" s="130"/>
      <c r="Y3125" s="130"/>
      <c r="Z3125" s="130"/>
      <c r="AA3125" s="130">
        <f t="shared" si="690"/>
        <v>5</v>
      </c>
      <c r="AB3125" s="131">
        <f t="shared" si="684"/>
        <v>39.25</v>
      </c>
      <c r="AC3125" s="130"/>
      <c r="AD3125" s="130"/>
      <c r="AE3125" s="130">
        <f t="shared" si="690"/>
        <v>5</v>
      </c>
      <c r="AF3125" s="131">
        <f t="shared" si="685"/>
        <v>39.25</v>
      </c>
      <c r="AG3125" s="130"/>
      <c r="AH3125" s="130"/>
      <c r="AI3125" s="130"/>
      <c r="AJ3125" s="130"/>
      <c r="AK3125" s="131">
        <f t="shared" si="694"/>
        <v>157</v>
      </c>
      <c r="AL3125" s="335">
        <f t="shared" si="695"/>
        <v>0</v>
      </c>
      <c r="AM3125" s="130">
        <f t="shared" si="696"/>
        <v>20</v>
      </c>
      <c r="AN3125" s="336">
        <f t="shared" si="687"/>
        <v>0</v>
      </c>
    </row>
    <row r="3126" spans="1:42" s="108" customFormat="1" ht="66" x14ac:dyDescent="0.25">
      <c r="A3126" s="60"/>
      <c r="B3126" s="34" t="s">
        <v>644</v>
      </c>
      <c r="C3126" s="9"/>
      <c r="D3126" s="912">
        <v>20</v>
      </c>
      <c r="E3126" s="1027" t="s">
        <v>1721</v>
      </c>
      <c r="F3126" s="278" t="s">
        <v>3446</v>
      </c>
      <c r="G3126" s="1040" t="s">
        <v>3463</v>
      </c>
      <c r="H3126" s="273" t="s">
        <v>3462</v>
      </c>
      <c r="I3126" s="722">
        <f t="shared" si="697"/>
        <v>11.2</v>
      </c>
      <c r="J3126" s="756">
        <v>224</v>
      </c>
      <c r="K3126" s="131">
        <f t="shared" si="686"/>
        <v>224</v>
      </c>
      <c r="L3126" s="335">
        <f t="shared" si="693"/>
        <v>0</v>
      </c>
      <c r="M3126" s="335"/>
      <c r="N3126" s="335"/>
      <c r="O3126" s="335"/>
      <c r="P3126" s="335"/>
      <c r="Q3126" s="130">
        <f t="shared" si="688"/>
        <v>5</v>
      </c>
      <c r="R3126" s="131">
        <f t="shared" si="691"/>
        <v>56</v>
      </c>
      <c r="S3126" s="130"/>
      <c r="T3126" s="130"/>
      <c r="U3126" s="130">
        <f t="shared" si="689"/>
        <v>5</v>
      </c>
      <c r="V3126" s="131">
        <f t="shared" si="692"/>
        <v>56</v>
      </c>
      <c r="W3126" s="130"/>
      <c r="X3126" s="130"/>
      <c r="Y3126" s="130"/>
      <c r="Z3126" s="130"/>
      <c r="AA3126" s="130">
        <f t="shared" si="690"/>
        <v>5</v>
      </c>
      <c r="AB3126" s="131">
        <f t="shared" si="684"/>
        <v>56</v>
      </c>
      <c r="AC3126" s="130"/>
      <c r="AD3126" s="130"/>
      <c r="AE3126" s="130">
        <f t="shared" si="690"/>
        <v>5</v>
      </c>
      <c r="AF3126" s="131">
        <f t="shared" si="685"/>
        <v>56</v>
      </c>
      <c r="AG3126" s="130"/>
      <c r="AH3126" s="130"/>
      <c r="AI3126" s="130"/>
      <c r="AJ3126" s="130"/>
      <c r="AK3126" s="131">
        <f t="shared" si="694"/>
        <v>224</v>
      </c>
      <c r="AL3126" s="335">
        <f t="shared" si="695"/>
        <v>0</v>
      </c>
      <c r="AM3126" s="130">
        <f t="shared" si="696"/>
        <v>20</v>
      </c>
      <c r="AN3126" s="336">
        <f t="shared" si="687"/>
        <v>0</v>
      </c>
    </row>
    <row r="3127" spans="1:42" s="108" customFormat="1" ht="66" x14ac:dyDescent="0.25">
      <c r="A3127" s="60"/>
      <c r="B3127" s="124" t="s">
        <v>645</v>
      </c>
      <c r="C3127" s="9"/>
      <c r="D3127" s="912">
        <f>1550+20+40</f>
        <v>1610</v>
      </c>
      <c r="E3127" s="1027" t="s">
        <v>1827</v>
      </c>
      <c r="F3127" s="278" t="s">
        <v>3446</v>
      </c>
      <c r="G3127" s="1040" t="s">
        <v>3463</v>
      </c>
      <c r="H3127" s="273" t="s">
        <v>3462</v>
      </c>
      <c r="I3127" s="722">
        <f t="shared" si="697"/>
        <v>56.909838509316771</v>
      </c>
      <c r="J3127" s="756">
        <f>88317.76+1139.58+2167.5</f>
        <v>91624.84</v>
      </c>
      <c r="K3127" s="131">
        <f t="shared" si="686"/>
        <v>91624.84</v>
      </c>
      <c r="L3127" s="335">
        <f t="shared" si="693"/>
        <v>0</v>
      </c>
      <c r="M3127" s="335"/>
      <c r="N3127" s="335"/>
      <c r="O3127" s="335"/>
      <c r="P3127" s="335"/>
      <c r="Q3127" s="130">
        <f t="shared" si="688"/>
        <v>402.5</v>
      </c>
      <c r="R3127" s="131">
        <f t="shared" si="691"/>
        <v>22906.21</v>
      </c>
      <c r="S3127" s="130"/>
      <c r="T3127" s="130"/>
      <c r="U3127" s="130">
        <f t="shared" si="689"/>
        <v>402.5</v>
      </c>
      <c r="V3127" s="131">
        <f t="shared" si="692"/>
        <v>22906.21</v>
      </c>
      <c r="W3127" s="130"/>
      <c r="X3127" s="130"/>
      <c r="Y3127" s="130"/>
      <c r="Z3127" s="130"/>
      <c r="AA3127" s="130">
        <f t="shared" si="690"/>
        <v>402.5</v>
      </c>
      <c r="AB3127" s="131">
        <f t="shared" si="684"/>
        <v>22906.21</v>
      </c>
      <c r="AC3127" s="130"/>
      <c r="AD3127" s="130"/>
      <c r="AE3127" s="130">
        <f t="shared" si="690"/>
        <v>402.5</v>
      </c>
      <c r="AF3127" s="131">
        <f t="shared" si="685"/>
        <v>22906.21</v>
      </c>
      <c r="AG3127" s="130"/>
      <c r="AH3127" s="130"/>
      <c r="AI3127" s="130"/>
      <c r="AJ3127" s="130"/>
      <c r="AK3127" s="131">
        <f t="shared" si="694"/>
        <v>91624.84</v>
      </c>
      <c r="AL3127" s="335">
        <f t="shared" si="695"/>
        <v>0</v>
      </c>
      <c r="AM3127" s="130">
        <f t="shared" si="696"/>
        <v>1610</v>
      </c>
      <c r="AN3127" s="336">
        <f t="shared" si="687"/>
        <v>0</v>
      </c>
    </row>
    <row r="3128" spans="1:42" s="108" customFormat="1" ht="66" x14ac:dyDescent="0.25">
      <c r="A3128" s="60"/>
      <c r="B3128" s="124" t="s">
        <v>646</v>
      </c>
      <c r="C3128" s="9"/>
      <c r="D3128" s="912">
        <f>20+20</f>
        <v>40</v>
      </c>
      <c r="E3128" s="1027" t="s">
        <v>1827</v>
      </c>
      <c r="F3128" s="278" t="s">
        <v>3446</v>
      </c>
      <c r="G3128" s="1040" t="s">
        <v>3463</v>
      </c>
      <c r="H3128" s="273" t="s">
        <v>3462</v>
      </c>
      <c r="I3128" s="722">
        <f t="shared" si="697"/>
        <v>64.861500000000007</v>
      </c>
      <c r="J3128" s="756">
        <f>1620.06+974.4</f>
        <v>2594.46</v>
      </c>
      <c r="K3128" s="131">
        <f t="shared" si="686"/>
        <v>2594.46</v>
      </c>
      <c r="L3128" s="335">
        <f t="shared" si="693"/>
        <v>0</v>
      </c>
      <c r="M3128" s="335"/>
      <c r="N3128" s="335"/>
      <c r="O3128" s="335"/>
      <c r="P3128" s="335"/>
      <c r="Q3128" s="130">
        <f t="shared" si="688"/>
        <v>10</v>
      </c>
      <c r="R3128" s="131">
        <f t="shared" si="691"/>
        <v>648.61500000000001</v>
      </c>
      <c r="S3128" s="130"/>
      <c r="T3128" s="130"/>
      <c r="U3128" s="130">
        <f t="shared" si="689"/>
        <v>10</v>
      </c>
      <c r="V3128" s="131">
        <f t="shared" si="692"/>
        <v>648.61500000000001</v>
      </c>
      <c r="W3128" s="130"/>
      <c r="X3128" s="130"/>
      <c r="Y3128" s="130"/>
      <c r="Z3128" s="130"/>
      <c r="AA3128" s="130">
        <f t="shared" si="690"/>
        <v>10</v>
      </c>
      <c r="AB3128" s="131">
        <f t="shared" si="684"/>
        <v>648.61500000000001</v>
      </c>
      <c r="AC3128" s="130"/>
      <c r="AD3128" s="130"/>
      <c r="AE3128" s="130">
        <f t="shared" si="690"/>
        <v>10</v>
      </c>
      <c r="AF3128" s="131">
        <f t="shared" si="685"/>
        <v>648.61500000000001</v>
      </c>
      <c r="AG3128" s="130"/>
      <c r="AH3128" s="130"/>
      <c r="AI3128" s="130"/>
      <c r="AJ3128" s="130"/>
      <c r="AK3128" s="131">
        <f t="shared" si="694"/>
        <v>2594.46</v>
      </c>
      <c r="AL3128" s="335">
        <f t="shared" si="695"/>
        <v>0</v>
      </c>
      <c r="AM3128" s="130">
        <f t="shared" si="696"/>
        <v>40</v>
      </c>
      <c r="AN3128" s="336">
        <f t="shared" si="687"/>
        <v>0</v>
      </c>
    </row>
    <row r="3129" spans="1:42" s="108" customFormat="1" ht="66" x14ac:dyDescent="0.25">
      <c r="A3129" s="60"/>
      <c r="B3129" s="124" t="s">
        <v>647</v>
      </c>
      <c r="C3129" s="9"/>
      <c r="D3129" s="912">
        <f>11</f>
        <v>11</v>
      </c>
      <c r="E3129" s="1027" t="s">
        <v>1827</v>
      </c>
      <c r="F3129" s="278" t="s">
        <v>3446</v>
      </c>
      <c r="G3129" s="1040" t="s">
        <v>3463</v>
      </c>
      <c r="H3129" s="273" t="s">
        <v>3462</v>
      </c>
      <c r="I3129" s="722">
        <f t="shared" si="697"/>
        <v>465.74</v>
      </c>
      <c r="J3129" s="756">
        <f>5123.14</f>
        <v>5123.1400000000003</v>
      </c>
      <c r="K3129" s="131">
        <f t="shared" si="686"/>
        <v>5123.1400000000003</v>
      </c>
      <c r="L3129" s="335">
        <f t="shared" si="693"/>
        <v>0</v>
      </c>
      <c r="M3129" s="335"/>
      <c r="N3129" s="335"/>
      <c r="O3129" s="335"/>
      <c r="P3129" s="335"/>
      <c r="Q3129" s="130">
        <v>3</v>
      </c>
      <c r="R3129" s="131">
        <f t="shared" si="691"/>
        <v>1280.7850000000001</v>
      </c>
      <c r="S3129" s="130"/>
      <c r="T3129" s="130"/>
      <c r="U3129" s="130">
        <v>3</v>
      </c>
      <c r="V3129" s="131">
        <f t="shared" si="692"/>
        <v>1280.7850000000001</v>
      </c>
      <c r="W3129" s="130"/>
      <c r="X3129" s="130"/>
      <c r="Y3129" s="130"/>
      <c r="Z3129" s="130"/>
      <c r="AA3129" s="130">
        <v>3</v>
      </c>
      <c r="AB3129" s="131">
        <f t="shared" si="684"/>
        <v>1280.7850000000001</v>
      </c>
      <c r="AC3129" s="130"/>
      <c r="AD3129" s="130"/>
      <c r="AE3129" s="130">
        <v>2</v>
      </c>
      <c r="AF3129" s="131">
        <f t="shared" si="685"/>
        <v>1280.7850000000001</v>
      </c>
      <c r="AG3129" s="130"/>
      <c r="AH3129" s="130"/>
      <c r="AI3129" s="130"/>
      <c r="AJ3129" s="130"/>
      <c r="AK3129" s="131">
        <f t="shared" si="694"/>
        <v>5123.1400000000003</v>
      </c>
      <c r="AL3129" s="335">
        <f t="shared" si="695"/>
        <v>0</v>
      </c>
      <c r="AM3129" s="130">
        <f t="shared" si="696"/>
        <v>11</v>
      </c>
      <c r="AN3129" s="336">
        <f t="shared" si="687"/>
        <v>0</v>
      </c>
    </row>
    <row r="3130" spans="1:42" s="108" customFormat="1" ht="66" x14ac:dyDescent="0.25">
      <c r="A3130" s="60"/>
      <c r="B3130" s="574" t="s">
        <v>648</v>
      </c>
      <c r="C3130" s="9"/>
      <c r="D3130" s="912">
        <f>6+48+2</f>
        <v>56</v>
      </c>
      <c r="E3130" s="1027" t="s">
        <v>1827</v>
      </c>
      <c r="F3130" s="278" t="s">
        <v>3446</v>
      </c>
      <c r="G3130" s="1040" t="s">
        <v>3463</v>
      </c>
      <c r="H3130" s="273" t="s">
        <v>3462</v>
      </c>
      <c r="I3130" s="722">
        <f t="shared" si="697"/>
        <v>85.554464285714289</v>
      </c>
      <c r="J3130" s="756">
        <f>624.38+3987.24+179.43</f>
        <v>4791.05</v>
      </c>
      <c r="K3130" s="131">
        <f t="shared" si="686"/>
        <v>4791.05</v>
      </c>
      <c r="L3130" s="335">
        <f t="shared" si="693"/>
        <v>0</v>
      </c>
      <c r="M3130" s="335"/>
      <c r="N3130" s="335"/>
      <c r="O3130" s="335"/>
      <c r="P3130" s="335"/>
      <c r="Q3130" s="130">
        <f t="shared" si="688"/>
        <v>14</v>
      </c>
      <c r="R3130" s="131">
        <f t="shared" si="691"/>
        <v>1197.7625</v>
      </c>
      <c r="S3130" s="130"/>
      <c r="T3130" s="130"/>
      <c r="U3130" s="130">
        <f t="shared" si="689"/>
        <v>14</v>
      </c>
      <c r="V3130" s="131">
        <f t="shared" si="692"/>
        <v>1197.7625</v>
      </c>
      <c r="W3130" s="130"/>
      <c r="X3130" s="130"/>
      <c r="Y3130" s="130"/>
      <c r="Z3130" s="130"/>
      <c r="AA3130" s="130">
        <f t="shared" si="690"/>
        <v>14</v>
      </c>
      <c r="AB3130" s="131">
        <f t="shared" si="684"/>
        <v>1197.7625</v>
      </c>
      <c r="AC3130" s="130"/>
      <c r="AD3130" s="130"/>
      <c r="AE3130" s="130">
        <f t="shared" si="690"/>
        <v>14</v>
      </c>
      <c r="AF3130" s="131">
        <f t="shared" si="685"/>
        <v>1197.7625</v>
      </c>
      <c r="AG3130" s="130"/>
      <c r="AH3130" s="130"/>
      <c r="AI3130" s="130"/>
      <c r="AJ3130" s="130"/>
      <c r="AK3130" s="131">
        <f t="shared" si="694"/>
        <v>4791.05</v>
      </c>
      <c r="AL3130" s="335">
        <f t="shared" si="695"/>
        <v>0</v>
      </c>
      <c r="AM3130" s="130">
        <f t="shared" si="696"/>
        <v>56</v>
      </c>
      <c r="AN3130" s="336">
        <f t="shared" si="687"/>
        <v>0</v>
      </c>
    </row>
    <row r="3131" spans="1:42" s="108" customFormat="1" ht="66" x14ac:dyDescent="0.25">
      <c r="A3131" s="60"/>
      <c r="B3131" s="574" t="s">
        <v>649</v>
      </c>
      <c r="C3131" s="9"/>
      <c r="D3131" s="912">
        <v>48</v>
      </c>
      <c r="E3131" s="1027" t="s">
        <v>1827</v>
      </c>
      <c r="F3131" s="278" t="s">
        <v>3446</v>
      </c>
      <c r="G3131" s="1040" t="s">
        <v>3463</v>
      </c>
      <c r="H3131" s="273" t="s">
        <v>3462</v>
      </c>
      <c r="I3131" s="722">
        <f t="shared" si="697"/>
        <v>83.067599999999999</v>
      </c>
      <c r="J3131" s="756">
        <v>3987.2447999999999</v>
      </c>
      <c r="K3131" s="131">
        <f t="shared" si="686"/>
        <v>3987.2447999999999</v>
      </c>
      <c r="L3131" s="335">
        <f t="shared" si="693"/>
        <v>0</v>
      </c>
      <c r="M3131" s="335"/>
      <c r="N3131" s="335"/>
      <c r="O3131" s="335"/>
      <c r="P3131" s="335"/>
      <c r="Q3131" s="130">
        <f t="shared" si="688"/>
        <v>12</v>
      </c>
      <c r="R3131" s="131">
        <f t="shared" si="691"/>
        <v>996.81119999999999</v>
      </c>
      <c r="S3131" s="130"/>
      <c r="T3131" s="130"/>
      <c r="U3131" s="130">
        <f t="shared" si="689"/>
        <v>12</v>
      </c>
      <c r="V3131" s="131">
        <f t="shared" si="692"/>
        <v>996.81119999999999</v>
      </c>
      <c r="W3131" s="130"/>
      <c r="X3131" s="130"/>
      <c r="Y3131" s="130"/>
      <c r="Z3131" s="130"/>
      <c r="AA3131" s="130">
        <f t="shared" si="690"/>
        <v>12</v>
      </c>
      <c r="AB3131" s="131">
        <f t="shared" si="684"/>
        <v>996.81119999999999</v>
      </c>
      <c r="AC3131" s="130"/>
      <c r="AD3131" s="130"/>
      <c r="AE3131" s="130">
        <f t="shared" si="690"/>
        <v>12</v>
      </c>
      <c r="AF3131" s="131">
        <f t="shared" si="685"/>
        <v>996.81119999999999</v>
      </c>
      <c r="AG3131" s="130"/>
      <c r="AH3131" s="130"/>
      <c r="AI3131" s="130"/>
      <c r="AJ3131" s="130"/>
      <c r="AK3131" s="131">
        <f t="shared" si="694"/>
        <v>3987.2447999999999</v>
      </c>
      <c r="AL3131" s="335">
        <f t="shared" si="695"/>
        <v>0</v>
      </c>
      <c r="AM3131" s="130">
        <f t="shared" si="696"/>
        <v>48</v>
      </c>
      <c r="AN3131" s="336">
        <f t="shared" si="687"/>
        <v>0</v>
      </c>
    </row>
    <row r="3132" spans="1:42" s="108" customFormat="1" ht="66" x14ac:dyDescent="0.25">
      <c r="A3132" s="60"/>
      <c r="B3132" s="574" t="s">
        <v>650</v>
      </c>
      <c r="C3132" s="9"/>
      <c r="D3132" s="912">
        <v>48</v>
      </c>
      <c r="E3132" s="1027" t="s">
        <v>1827</v>
      </c>
      <c r="F3132" s="278" t="s">
        <v>3446</v>
      </c>
      <c r="G3132" s="1040" t="s">
        <v>3463</v>
      </c>
      <c r="H3132" s="273" t="s">
        <v>3462</v>
      </c>
      <c r="I3132" s="722">
        <f t="shared" si="697"/>
        <v>83.067599999999999</v>
      </c>
      <c r="J3132" s="756">
        <v>3987.2447999999999</v>
      </c>
      <c r="K3132" s="131">
        <f t="shared" si="686"/>
        <v>3987.2447999999999</v>
      </c>
      <c r="L3132" s="335">
        <f t="shared" si="693"/>
        <v>0</v>
      </c>
      <c r="M3132" s="335"/>
      <c r="N3132" s="335"/>
      <c r="O3132" s="335"/>
      <c r="P3132" s="335"/>
      <c r="Q3132" s="130">
        <f t="shared" si="688"/>
        <v>12</v>
      </c>
      <c r="R3132" s="131">
        <f t="shared" si="691"/>
        <v>996.81119999999999</v>
      </c>
      <c r="S3132" s="130"/>
      <c r="T3132" s="130"/>
      <c r="U3132" s="130">
        <f t="shared" si="689"/>
        <v>12</v>
      </c>
      <c r="V3132" s="131">
        <f t="shared" si="692"/>
        <v>996.81119999999999</v>
      </c>
      <c r="W3132" s="130"/>
      <c r="X3132" s="130"/>
      <c r="Y3132" s="130"/>
      <c r="Z3132" s="130"/>
      <c r="AA3132" s="130">
        <f t="shared" si="690"/>
        <v>12</v>
      </c>
      <c r="AB3132" s="131">
        <f t="shared" si="684"/>
        <v>996.81119999999999</v>
      </c>
      <c r="AC3132" s="130"/>
      <c r="AD3132" s="130"/>
      <c r="AE3132" s="130">
        <f t="shared" si="690"/>
        <v>12</v>
      </c>
      <c r="AF3132" s="131">
        <f t="shared" si="685"/>
        <v>996.81119999999999</v>
      </c>
      <c r="AG3132" s="130"/>
      <c r="AH3132" s="130"/>
      <c r="AI3132" s="130"/>
      <c r="AJ3132" s="130"/>
      <c r="AK3132" s="131">
        <f t="shared" si="694"/>
        <v>3987.2447999999999</v>
      </c>
      <c r="AL3132" s="335">
        <f t="shared" si="695"/>
        <v>0</v>
      </c>
      <c r="AM3132" s="130">
        <f t="shared" si="696"/>
        <v>48</v>
      </c>
      <c r="AN3132" s="336">
        <f t="shared" si="687"/>
        <v>0</v>
      </c>
    </row>
    <row r="3133" spans="1:42" s="108" customFormat="1" ht="66" x14ac:dyDescent="0.25">
      <c r="A3133" s="60"/>
      <c r="B3133" s="574" t="s">
        <v>651</v>
      </c>
      <c r="C3133" s="9"/>
      <c r="D3133" s="912">
        <f>15+120+11+3+60+20</f>
        <v>229</v>
      </c>
      <c r="E3133" s="1027" t="s">
        <v>1827</v>
      </c>
      <c r="F3133" s="278" t="s">
        <v>3446</v>
      </c>
      <c r="G3133" s="1040" t="s">
        <v>3463</v>
      </c>
      <c r="H3133" s="273" t="s">
        <v>3462</v>
      </c>
      <c r="I3133" s="722">
        <f t="shared" si="697"/>
        <v>46.30506550218341</v>
      </c>
      <c r="J3133" s="756">
        <f>695.83+5566.61+510.29+119.96+2783.4+927.77</f>
        <v>10603.86</v>
      </c>
      <c r="K3133" s="131">
        <f t="shared" si="686"/>
        <v>10603.86</v>
      </c>
      <c r="L3133" s="335">
        <f t="shared" si="693"/>
        <v>0</v>
      </c>
      <c r="M3133" s="335"/>
      <c r="N3133" s="335"/>
      <c r="O3133" s="335"/>
      <c r="P3133" s="335"/>
      <c r="Q3133" s="130">
        <v>58</v>
      </c>
      <c r="R3133" s="131">
        <f t="shared" si="691"/>
        <v>2650.9650000000001</v>
      </c>
      <c r="S3133" s="130"/>
      <c r="T3133" s="130"/>
      <c r="U3133" s="130">
        <v>58</v>
      </c>
      <c r="V3133" s="131">
        <f t="shared" si="692"/>
        <v>2650.9650000000001</v>
      </c>
      <c r="W3133" s="130"/>
      <c r="X3133" s="130"/>
      <c r="Y3133" s="130"/>
      <c r="Z3133" s="130"/>
      <c r="AA3133" s="130">
        <v>98</v>
      </c>
      <c r="AB3133" s="131">
        <f t="shared" si="684"/>
        <v>2650.9650000000001</v>
      </c>
      <c r="AC3133" s="130"/>
      <c r="AD3133" s="130"/>
      <c r="AE3133" s="130">
        <v>15</v>
      </c>
      <c r="AF3133" s="131">
        <f t="shared" si="685"/>
        <v>2650.9650000000001</v>
      </c>
      <c r="AG3133" s="130"/>
      <c r="AH3133" s="130"/>
      <c r="AI3133" s="130"/>
      <c r="AJ3133" s="130"/>
      <c r="AK3133" s="131">
        <f t="shared" si="694"/>
        <v>10603.86</v>
      </c>
      <c r="AL3133" s="335">
        <f t="shared" si="695"/>
        <v>0</v>
      </c>
      <c r="AM3133" s="130">
        <f t="shared" si="696"/>
        <v>229</v>
      </c>
      <c r="AN3133" s="336">
        <f t="shared" si="687"/>
        <v>0</v>
      </c>
    </row>
    <row r="3134" spans="1:42" s="108" customFormat="1" ht="66" x14ac:dyDescent="0.25">
      <c r="A3134" s="60"/>
      <c r="B3134" s="574" t="s">
        <v>652</v>
      </c>
      <c r="C3134" s="9"/>
      <c r="D3134" s="912">
        <f>320+20+5+60+10</f>
        <v>415</v>
      </c>
      <c r="E3134" s="1027" t="s">
        <v>1827</v>
      </c>
      <c r="F3134" s="278" t="s">
        <v>3446</v>
      </c>
      <c r="G3134" s="1040" t="s">
        <v>3463</v>
      </c>
      <c r="H3134" s="273" t="s">
        <v>3462</v>
      </c>
      <c r="I3134" s="722">
        <f t="shared" si="697"/>
        <v>57.418650602409642</v>
      </c>
      <c r="J3134" s="756">
        <f>18233.34+1321.91+284.9+3418.8+569.79</f>
        <v>23828.74</v>
      </c>
      <c r="K3134" s="131">
        <f t="shared" si="686"/>
        <v>23828.74</v>
      </c>
      <c r="L3134" s="335">
        <f t="shared" si="693"/>
        <v>0</v>
      </c>
      <c r="M3134" s="335"/>
      <c r="N3134" s="335"/>
      <c r="O3134" s="335"/>
      <c r="P3134" s="335"/>
      <c r="Q3134" s="130">
        <v>104</v>
      </c>
      <c r="R3134" s="131">
        <f t="shared" si="691"/>
        <v>5957.1850000000004</v>
      </c>
      <c r="S3134" s="130"/>
      <c r="T3134" s="130"/>
      <c r="U3134" s="130">
        <v>104</v>
      </c>
      <c r="V3134" s="131">
        <f t="shared" si="692"/>
        <v>5957.1850000000004</v>
      </c>
      <c r="W3134" s="130"/>
      <c r="X3134" s="130"/>
      <c r="Y3134" s="130"/>
      <c r="Z3134" s="130"/>
      <c r="AA3134" s="130">
        <v>104</v>
      </c>
      <c r="AB3134" s="131">
        <f t="shared" si="684"/>
        <v>5957.1850000000004</v>
      </c>
      <c r="AC3134" s="130"/>
      <c r="AD3134" s="130"/>
      <c r="AE3134" s="130">
        <v>103</v>
      </c>
      <c r="AF3134" s="131">
        <f t="shared" si="685"/>
        <v>5957.1850000000004</v>
      </c>
      <c r="AG3134" s="130"/>
      <c r="AH3134" s="130"/>
      <c r="AI3134" s="130"/>
      <c r="AJ3134" s="130"/>
      <c r="AK3134" s="131">
        <f t="shared" si="694"/>
        <v>23828.74</v>
      </c>
      <c r="AL3134" s="335">
        <f t="shared" si="695"/>
        <v>0</v>
      </c>
      <c r="AM3134" s="130">
        <f t="shared" si="696"/>
        <v>415</v>
      </c>
      <c r="AN3134" s="336">
        <f t="shared" si="687"/>
        <v>0</v>
      </c>
    </row>
    <row r="3135" spans="1:42" s="108" customFormat="1" ht="66" x14ac:dyDescent="0.25">
      <c r="A3135" s="60"/>
      <c r="B3135" s="574" t="s">
        <v>653</v>
      </c>
      <c r="C3135" s="9"/>
      <c r="D3135" s="912">
        <f>24</f>
        <v>24</v>
      </c>
      <c r="E3135" s="1027" t="s">
        <v>1827</v>
      </c>
      <c r="F3135" s="278" t="s">
        <v>3446</v>
      </c>
      <c r="G3135" s="1040" t="s">
        <v>3463</v>
      </c>
      <c r="H3135" s="273" t="s">
        <v>3462</v>
      </c>
      <c r="I3135" s="722">
        <f t="shared" si="697"/>
        <v>56.979166666666664</v>
      </c>
      <c r="J3135" s="756">
        <f>1367.5</f>
        <v>1367.5</v>
      </c>
      <c r="K3135" s="131">
        <f t="shared" si="686"/>
        <v>1367.5</v>
      </c>
      <c r="L3135" s="335">
        <f t="shared" si="693"/>
        <v>0</v>
      </c>
      <c r="M3135" s="335"/>
      <c r="N3135" s="335"/>
      <c r="O3135" s="335"/>
      <c r="P3135" s="335"/>
      <c r="Q3135" s="130">
        <f t="shared" si="688"/>
        <v>6</v>
      </c>
      <c r="R3135" s="131">
        <f t="shared" si="691"/>
        <v>341.875</v>
      </c>
      <c r="S3135" s="130"/>
      <c r="T3135" s="130"/>
      <c r="U3135" s="130">
        <f t="shared" si="689"/>
        <v>6</v>
      </c>
      <c r="V3135" s="131">
        <f t="shared" si="692"/>
        <v>341.875</v>
      </c>
      <c r="W3135" s="130"/>
      <c r="X3135" s="130"/>
      <c r="Y3135" s="130"/>
      <c r="Z3135" s="130"/>
      <c r="AA3135" s="130">
        <f t="shared" si="690"/>
        <v>6</v>
      </c>
      <c r="AB3135" s="131">
        <f t="shared" si="684"/>
        <v>341.875</v>
      </c>
      <c r="AC3135" s="130"/>
      <c r="AD3135" s="130"/>
      <c r="AE3135" s="130">
        <f t="shared" si="690"/>
        <v>6</v>
      </c>
      <c r="AF3135" s="131">
        <f t="shared" si="685"/>
        <v>341.875</v>
      </c>
      <c r="AG3135" s="130"/>
      <c r="AH3135" s="130"/>
      <c r="AI3135" s="130"/>
      <c r="AJ3135" s="130"/>
      <c r="AK3135" s="131">
        <f t="shared" si="694"/>
        <v>1367.5</v>
      </c>
      <c r="AL3135" s="335">
        <f t="shared" si="695"/>
        <v>0</v>
      </c>
      <c r="AM3135" s="130">
        <f t="shared" si="696"/>
        <v>24</v>
      </c>
      <c r="AN3135" s="336">
        <f t="shared" si="687"/>
        <v>0</v>
      </c>
    </row>
    <row r="3136" spans="1:42" s="108" customFormat="1" ht="66" x14ac:dyDescent="0.25">
      <c r="A3136" s="60"/>
      <c r="B3136" s="46" t="s">
        <v>1472</v>
      </c>
      <c r="C3136" s="9"/>
      <c r="D3136" s="905">
        <v>1</v>
      </c>
      <c r="E3136" s="1027" t="s">
        <v>1827</v>
      </c>
      <c r="F3136" s="278" t="s">
        <v>3446</v>
      </c>
      <c r="G3136" s="1040" t="s">
        <v>3463</v>
      </c>
      <c r="H3136" s="273" t="s">
        <v>3462</v>
      </c>
      <c r="I3136" s="722">
        <f t="shared" si="697"/>
        <v>11600</v>
      </c>
      <c r="J3136" s="756">
        <v>11600</v>
      </c>
      <c r="K3136" s="131">
        <f t="shared" si="686"/>
        <v>11600</v>
      </c>
      <c r="L3136" s="335">
        <f t="shared" si="693"/>
        <v>0</v>
      </c>
      <c r="M3136" s="335"/>
      <c r="N3136" s="335"/>
      <c r="O3136" s="335"/>
      <c r="P3136" s="335"/>
      <c r="Q3136" s="130">
        <v>1</v>
      </c>
      <c r="R3136" s="131">
        <f t="shared" si="691"/>
        <v>2900</v>
      </c>
      <c r="S3136" s="130"/>
      <c r="T3136" s="130"/>
      <c r="U3136" s="130">
        <v>0</v>
      </c>
      <c r="V3136" s="131">
        <f t="shared" si="692"/>
        <v>2900</v>
      </c>
      <c r="W3136" s="130"/>
      <c r="X3136" s="130"/>
      <c r="Y3136" s="130"/>
      <c r="Z3136" s="130"/>
      <c r="AA3136" s="130">
        <v>0</v>
      </c>
      <c r="AB3136" s="131">
        <f t="shared" si="684"/>
        <v>2900</v>
      </c>
      <c r="AC3136" s="130"/>
      <c r="AD3136" s="130"/>
      <c r="AE3136" s="130">
        <v>0</v>
      </c>
      <c r="AF3136" s="131">
        <f t="shared" si="685"/>
        <v>2900</v>
      </c>
      <c r="AG3136" s="130"/>
      <c r="AH3136" s="130"/>
      <c r="AI3136" s="130"/>
      <c r="AJ3136" s="130"/>
      <c r="AK3136" s="131">
        <f t="shared" si="694"/>
        <v>11600</v>
      </c>
      <c r="AL3136" s="335">
        <f t="shared" si="695"/>
        <v>0</v>
      </c>
      <c r="AM3136" s="130">
        <f t="shared" si="696"/>
        <v>1</v>
      </c>
      <c r="AN3136" s="336">
        <f t="shared" si="687"/>
        <v>0</v>
      </c>
    </row>
    <row r="3137" spans="1:42" s="108" customFormat="1" ht="66" x14ac:dyDescent="0.25">
      <c r="A3137" s="60"/>
      <c r="B3137" s="137" t="s">
        <v>1473</v>
      </c>
      <c r="C3137" s="9"/>
      <c r="D3137" s="912">
        <v>20</v>
      </c>
      <c r="E3137" s="1027" t="s">
        <v>1827</v>
      </c>
      <c r="F3137" s="278" t="s">
        <v>3446</v>
      </c>
      <c r="G3137" s="1040" t="s">
        <v>3463</v>
      </c>
      <c r="H3137" s="273" t="s">
        <v>3462</v>
      </c>
      <c r="I3137" s="722">
        <f t="shared" si="697"/>
        <v>81.002799999999993</v>
      </c>
      <c r="J3137" s="756">
        <v>1620.0559999999998</v>
      </c>
      <c r="K3137" s="131">
        <f t="shared" si="686"/>
        <v>1620.0559999999998</v>
      </c>
      <c r="L3137" s="335">
        <f t="shared" si="693"/>
        <v>0</v>
      </c>
      <c r="M3137" s="335"/>
      <c r="N3137" s="335"/>
      <c r="O3137" s="335"/>
      <c r="P3137" s="335"/>
      <c r="Q3137" s="130">
        <f t="shared" si="688"/>
        <v>5</v>
      </c>
      <c r="R3137" s="131">
        <f t="shared" si="691"/>
        <v>405.01399999999995</v>
      </c>
      <c r="S3137" s="130"/>
      <c r="T3137" s="130"/>
      <c r="U3137" s="130">
        <f t="shared" si="689"/>
        <v>5</v>
      </c>
      <c r="V3137" s="131">
        <f t="shared" si="692"/>
        <v>405.01399999999995</v>
      </c>
      <c r="W3137" s="130"/>
      <c r="X3137" s="130"/>
      <c r="Y3137" s="130"/>
      <c r="Z3137" s="130"/>
      <c r="AA3137" s="130">
        <f t="shared" si="690"/>
        <v>5</v>
      </c>
      <c r="AB3137" s="131">
        <f t="shared" si="684"/>
        <v>405.01399999999995</v>
      </c>
      <c r="AC3137" s="130"/>
      <c r="AD3137" s="130"/>
      <c r="AE3137" s="130">
        <f t="shared" si="690"/>
        <v>5</v>
      </c>
      <c r="AF3137" s="131">
        <f t="shared" si="685"/>
        <v>405.01399999999995</v>
      </c>
      <c r="AG3137" s="130"/>
      <c r="AH3137" s="130"/>
      <c r="AI3137" s="130"/>
      <c r="AJ3137" s="130"/>
      <c r="AK3137" s="131">
        <f t="shared" si="694"/>
        <v>1620.0559999999998</v>
      </c>
      <c r="AL3137" s="335">
        <f t="shared" si="695"/>
        <v>0</v>
      </c>
      <c r="AM3137" s="130">
        <f t="shared" si="696"/>
        <v>20</v>
      </c>
      <c r="AN3137" s="336">
        <f t="shared" si="687"/>
        <v>0</v>
      </c>
    </row>
    <row r="3138" spans="1:42" s="108" customFormat="1" ht="66" x14ac:dyDescent="0.25">
      <c r="A3138" s="60"/>
      <c r="B3138" s="137" t="s">
        <v>1474</v>
      </c>
      <c r="C3138" s="9"/>
      <c r="D3138" s="912">
        <v>20</v>
      </c>
      <c r="E3138" s="1027" t="s">
        <v>1827</v>
      </c>
      <c r="F3138" s="278" t="s">
        <v>3446</v>
      </c>
      <c r="G3138" s="1040" t="s">
        <v>3463</v>
      </c>
      <c r="H3138" s="273" t="s">
        <v>3462</v>
      </c>
      <c r="I3138" s="722">
        <f t="shared" si="697"/>
        <v>244.58600000000001</v>
      </c>
      <c r="J3138" s="756">
        <v>4891.72</v>
      </c>
      <c r="K3138" s="131">
        <f t="shared" si="686"/>
        <v>4891.72</v>
      </c>
      <c r="L3138" s="335">
        <f t="shared" si="693"/>
        <v>0</v>
      </c>
      <c r="M3138" s="335"/>
      <c r="N3138" s="335"/>
      <c r="O3138" s="335"/>
      <c r="P3138" s="335"/>
      <c r="Q3138" s="130">
        <f t="shared" si="688"/>
        <v>5</v>
      </c>
      <c r="R3138" s="131">
        <f t="shared" si="691"/>
        <v>1222.93</v>
      </c>
      <c r="S3138" s="130"/>
      <c r="T3138" s="130"/>
      <c r="U3138" s="130">
        <f t="shared" si="689"/>
        <v>5</v>
      </c>
      <c r="V3138" s="131">
        <f t="shared" si="692"/>
        <v>1222.93</v>
      </c>
      <c r="W3138" s="130"/>
      <c r="X3138" s="130"/>
      <c r="Y3138" s="130"/>
      <c r="Z3138" s="130"/>
      <c r="AA3138" s="130">
        <f t="shared" si="690"/>
        <v>5</v>
      </c>
      <c r="AB3138" s="131">
        <f t="shared" si="684"/>
        <v>1222.93</v>
      </c>
      <c r="AC3138" s="130"/>
      <c r="AD3138" s="130"/>
      <c r="AE3138" s="130">
        <f t="shared" si="690"/>
        <v>5</v>
      </c>
      <c r="AF3138" s="131">
        <f t="shared" si="685"/>
        <v>1222.93</v>
      </c>
      <c r="AG3138" s="130"/>
      <c r="AH3138" s="130"/>
      <c r="AI3138" s="130"/>
      <c r="AJ3138" s="130"/>
      <c r="AK3138" s="131">
        <f t="shared" si="694"/>
        <v>4891.72</v>
      </c>
      <c r="AL3138" s="335">
        <f t="shared" si="695"/>
        <v>0</v>
      </c>
      <c r="AM3138" s="130">
        <f t="shared" si="696"/>
        <v>20</v>
      </c>
      <c r="AN3138" s="336">
        <f t="shared" si="687"/>
        <v>0</v>
      </c>
    </row>
    <row r="3139" spans="1:42" s="108" customFormat="1" ht="66" x14ac:dyDescent="0.25">
      <c r="A3139" s="60"/>
      <c r="B3139" s="137" t="s">
        <v>1475</v>
      </c>
      <c r="C3139" s="9"/>
      <c r="D3139" s="912">
        <v>7</v>
      </c>
      <c r="E3139" s="1027" t="s">
        <v>1826</v>
      </c>
      <c r="F3139" s="278" t="s">
        <v>3446</v>
      </c>
      <c r="G3139" s="1040" t="s">
        <v>3463</v>
      </c>
      <c r="H3139" s="273" t="s">
        <v>3462</v>
      </c>
      <c r="I3139" s="722">
        <f t="shared" si="697"/>
        <v>165.36960000000002</v>
      </c>
      <c r="J3139" s="756">
        <v>1157.5872000000002</v>
      </c>
      <c r="K3139" s="131">
        <f t="shared" si="686"/>
        <v>1157.5872000000002</v>
      </c>
      <c r="L3139" s="335">
        <f t="shared" si="693"/>
        <v>0</v>
      </c>
      <c r="M3139" s="335"/>
      <c r="N3139" s="335"/>
      <c r="O3139" s="335"/>
      <c r="P3139" s="335"/>
      <c r="Q3139" s="130">
        <v>2</v>
      </c>
      <c r="R3139" s="131">
        <f t="shared" si="691"/>
        <v>289.39680000000004</v>
      </c>
      <c r="S3139" s="130"/>
      <c r="T3139" s="130"/>
      <c r="U3139" s="130">
        <v>2</v>
      </c>
      <c r="V3139" s="131">
        <f t="shared" si="692"/>
        <v>289.39680000000004</v>
      </c>
      <c r="W3139" s="130"/>
      <c r="X3139" s="130"/>
      <c r="Y3139" s="130"/>
      <c r="Z3139" s="130"/>
      <c r="AA3139" s="130">
        <v>2</v>
      </c>
      <c r="AB3139" s="131">
        <f t="shared" si="684"/>
        <v>289.39680000000004</v>
      </c>
      <c r="AC3139" s="130"/>
      <c r="AD3139" s="130"/>
      <c r="AE3139" s="130">
        <v>1</v>
      </c>
      <c r="AF3139" s="131">
        <f t="shared" si="685"/>
        <v>289.39680000000004</v>
      </c>
      <c r="AG3139" s="130"/>
      <c r="AH3139" s="130"/>
      <c r="AI3139" s="130"/>
      <c r="AJ3139" s="130"/>
      <c r="AK3139" s="131">
        <f t="shared" si="694"/>
        <v>1157.5872000000002</v>
      </c>
      <c r="AL3139" s="335">
        <f t="shared" si="695"/>
        <v>0</v>
      </c>
      <c r="AM3139" s="130">
        <f t="shared" si="696"/>
        <v>7</v>
      </c>
      <c r="AN3139" s="336">
        <f t="shared" si="687"/>
        <v>0</v>
      </c>
    </row>
    <row r="3140" spans="1:42" s="108" customFormat="1" ht="66" x14ac:dyDescent="0.25">
      <c r="A3140" s="60"/>
      <c r="B3140" s="476" t="s">
        <v>1876</v>
      </c>
      <c r="C3140" s="9"/>
      <c r="D3140" s="912">
        <f>100</f>
        <v>100</v>
      </c>
      <c r="E3140" s="1027" t="s">
        <v>1721</v>
      </c>
      <c r="F3140" s="278" t="s">
        <v>3446</v>
      </c>
      <c r="G3140" s="1040" t="s">
        <v>3463</v>
      </c>
      <c r="H3140" s="273" t="s">
        <v>3462</v>
      </c>
      <c r="I3140" s="722">
        <f t="shared" si="697"/>
        <v>0.51</v>
      </c>
      <c r="J3140" s="756">
        <v>51</v>
      </c>
      <c r="K3140" s="131">
        <f t="shared" si="686"/>
        <v>51</v>
      </c>
      <c r="L3140" s="335">
        <f t="shared" si="693"/>
        <v>0</v>
      </c>
      <c r="M3140" s="335"/>
      <c r="N3140" s="335"/>
      <c r="O3140" s="335"/>
      <c r="P3140" s="335"/>
      <c r="Q3140" s="130">
        <v>30</v>
      </c>
      <c r="R3140" s="131">
        <f t="shared" si="691"/>
        <v>12.75</v>
      </c>
      <c r="S3140" s="130"/>
      <c r="T3140" s="130"/>
      <c r="U3140" s="130">
        <v>30</v>
      </c>
      <c r="V3140" s="131">
        <f t="shared" si="692"/>
        <v>12.75</v>
      </c>
      <c r="W3140" s="130"/>
      <c r="X3140" s="130"/>
      <c r="Y3140" s="130"/>
      <c r="Z3140" s="130"/>
      <c r="AA3140" s="130">
        <v>30</v>
      </c>
      <c r="AB3140" s="131">
        <f t="shared" si="684"/>
        <v>12.75</v>
      </c>
      <c r="AC3140" s="130"/>
      <c r="AD3140" s="130"/>
      <c r="AE3140" s="130">
        <v>10</v>
      </c>
      <c r="AF3140" s="131">
        <f t="shared" si="685"/>
        <v>12.75</v>
      </c>
      <c r="AG3140" s="130"/>
      <c r="AH3140" s="130"/>
      <c r="AI3140" s="130"/>
      <c r="AJ3140" s="130"/>
      <c r="AK3140" s="131">
        <f t="shared" si="694"/>
        <v>51</v>
      </c>
      <c r="AL3140" s="335">
        <f t="shared" si="695"/>
        <v>0</v>
      </c>
      <c r="AM3140" s="130">
        <f t="shared" si="696"/>
        <v>100</v>
      </c>
      <c r="AN3140" s="336">
        <f t="shared" si="687"/>
        <v>0</v>
      </c>
    </row>
    <row r="3141" spans="1:42" s="108" customFormat="1" ht="66" x14ac:dyDescent="0.25">
      <c r="A3141" s="60"/>
      <c r="B3141" s="476" t="s">
        <v>1877</v>
      </c>
      <c r="C3141" s="9"/>
      <c r="D3141" s="912">
        <v>100</v>
      </c>
      <c r="E3141" s="1027" t="s">
        <v>1721</v>
      </c>
      <c r="F3141" s="278" t="s">
        <v>3446</v>
      </c>
      <c r="G3141" s="1040" t="s">
        <v>3463</v>
      </c>
      <c r="H3141" s="273" t="s">
        <v>3462</v>
      </c>
      <c r="I3141" s="722">
        <f t="shared" si="697"/>
        <v>0.59</v>
      </c>
      <c r="J3141" s="756">
        <v>59</v>
      </c>
      <c r="K3141" s="131">
        <f t="shared" si="686"/>
        <v>59</v>
      </c>
      <c r="L3141" s="335">
        <f t="shared" si="693"/>
        <v>0</v>
      </c>
      <c r="M3141" s="335"/>
      <c r="N3141" s="335"/>
      <c r="O3141" s="335"/>
      <c r="P3141" s="335"/>
      <c r="Q3141" s="130">
        <v>30</v>
      </c>
      <c r="R3141" s="131">
        <f t="shared" si="691"/>
        <v>14.75</v>
      </c>
      <c r="S3141" s="130"/>
      <c r="T3141" s="130"/>
      <c r="U3141" s="130">
        <v>30</v>
      </c>
      <c r="V3141" s="131">
        <f t="shared" si="692"/>
        <v>14.75</v>
      </c>
      <c r="W3141" s="130"/>
      <c r="X3141" s="130"/>
      <c r="Y3141" s="130"/>
      <c r="Z3141" s="130"/>
      <c r="AA3141" s="130">
        <v>30</v>
      </c>
      <c r="AB3141" s="131">
        <f t="shared" si="684"/>
        <v>14.75</v>
      </c>
      <c r="AC3141" s="130"/>
      <c r="AD3141" s="130"/>
      <c r="AE3141" s="130">
        <v>10</v>
      </c>
      <c r="AF3141" s="131">
        <f t="shared" si="685"/>
        <v>14.75</v>
      </c>
      <c r="AG3141" s="130"/>
      <c r="AH3141" s="130"/>
      <c r="AI3141" s="130"/>
      <c r="AJ3141" s="130"/>
      <c r="AK3141" s="131">
        <f t="shared" si="694"/>
        <v>59</v>
      </c>
      <c r="AL3141" s="335">
        <f t="shared" si="695"/>
        <v>0</v>
      </c>
      <c r="AM3141" s="130">
        <f t="shared" si="696"/>
        <v>100</v>
      </c>
      <c r="AN3141" s="336">
        <f t="shared" si="687"/>
        <v>0</v>
      </c>
    </row>
    <row r="3142" spans="1:42" s="108" customFormat="1" ht="66" x14ac:dyDescent="0.25">
      <c r="A3142" s="60"/>
      <c r="B3142" s="476" t="s">
        <v>1878</v>
      </c>
      <c r="C3142" s="9"/>
      <c r="D3142" s="912">
        <v>100</v>
      </c>
      <c r="E3142" s="1027" t="s">
        <v>1721</v>
      </c>
      <c r="F3142" s="278" t="s">
        <v>3446</v>
      </c>
      <c r="G3142" s="1040" t="s">
        <v>3463</v>
      </c>
      <c r="H3142" s="273" t="s">
        <v>3462</v>
      </c>
      <c r="I3142" s="722">
        <f t="shared" si="697"/>
        <v>1.02</v>
      </c>
      <c r="J3142" s="756">
        <v>102</v>
      </c>
      <c r="K3142" s="131">
        <f t="shared" si="686"/>
        <v>102</v>
      </c>
      <c r="L3142" s="335">
        <f t="shared" si="693"/>
        <v>0</v>
      </c>
      <c r="M3142" s="335"/>
      <c r="N3142" s="335"/>
      <c r="O3142" s="335"/>
      <c r="P3142" s="335"/>
      <c r="Q3142" s="130">
        <v>30</v>
      </c>
      <c r="R3142" s="131">
        <f t="shared" si="691"/>
        <v>25.5</v>
      </c>
      <c r="S3142" s="130"/>
      <c r="T3142" s="130"/>
      <c r="U3142" s="130">
        <v>30</v>
      </c>
      <c r="V3142" s="131">
        <f t="shared" si="692"/>
        <v>25.5</v>
      </c>
      <c r="W3142" s="130"/>
      <c r="X3142" s="130"/>
      <c r="Y3142" s="130"/>
      <c r="Z3142" s="130"/>
      <c r="AA3142" s="130">
        <v>30</v>
      </c>
      <c r="AB3142" s="131">
        <f t="shared" si="684"/>
        <v>25.5</v>
      </c>
      <c r="AC3142" s="130"/>
      <c r="AD3142" s="130"/>
      <c r="AE3142" s="130">
        <v>10</v>
      </c>
      <c r="AF3142" s="131">
        <f t="shared" si="685"/>
        <v>25.5</v>
      </c>
      <c r="AG3142" s="130"/>
      <c r="AH3142" s="130"/>
      <c r="AI3142" s="130"/>
      <c r="AJ3142" s="130"/>
      <c r="AK3142" s="131">
        <f t="shared" si="694"/>
        <v>102</v>
      </c>
      <c r="AL3142" s="335">
        <f t="shared" si="695"/>
        <v>0</v>
      </c>
      <c r="AM3142" s="130">
        <f t="shared" si="696"/>
        <v>100</v>
      </c>
      <c r="AN3142" s="336">
        <f t="shared" si="687"/>
        <v>0</v>
      </c>
    </row>
    <row r="3143" spans="1:42" s="108" customFormat="1" ht="66" x14ac:dyDescent="0.25">
      <c r="A3143" s="60"/>
      <c r="B3143" s="124" t="s">
        <v>2162</v>
      </c>
      <c r="C3143" s="9"/>
      <c r="D3143" s="912">
        <v>10</v>
      </c>
      <c r="E3143" s="1027" t="s">
        <v>1827</v>
      </c>
      <c r="F3143" s="278" t="s">
        <v>3446</v>
      </c>
      <c r="G3143" s="1040" t="s">
        <v>3463</v>
      </c>
      <c r="H3143" s="273" t="s">
        <v>3462</v>
      </c>
      <c r="I3143" s="722">
        <f t="shared" si="697"/>
        <v>77.338999999999999</v>
      </c>
      <c r="J3143" s="756">
        <v>773.39</v>
      </c>
      <c r="K3143" s="131">
        <f t="shared" si="686"/>
        <v>773.39</v>
      </c>
      <c r="L3143" s="335">
        <f t="shared" si="693"/>
        <v>0</v>
      </c>
      <c r="M3143" s="335"/>
      <c r="N3143" s="335"/>
      <c r="O3143" s="335"/>
      <c r="P3143" s="335"/>
      <c r="Q3143" s="130">
        <v>3</v>
      </c>
      <c r="R3143" s="131">
        <f t="shared" si="691"/>
        <v>193.3475</v>
      </c>
      <c r="S3143" s="130"/>
      <c r="T3143" s="130"/>
      <c r="U3143" s="130">
        <v>3</v>
      </c>
      <c r="V3143" s="131">
        <f t="shared" si="692"/>
        <v>193.3475</v>
      </c>
      <c r="W3143" s="130"/>
      <c r="X3143" s="130"/>
      <c r="Y3143" s="130"/>
      <c r="Z3143" s="130"/>
      <c r="AA3143" s="130">
        <v>2</v>
      </c>
      <c r="AB3143" s="131">
        <f t="shared" ref="AB3143:AB3206" si="698">+J3143/4</f>
        <v>193.3475</v>
      </c>
      <c r="AC3143" s="130"/>
      <c r="AD3143" s="130"/>
      <c r="AE3143" s="130">
        <v>2</v>
      </c>
      <c r="AF3143" s="131">
        <f t="shared" ref="AF3143:AF3206" si="699">+J3143/4</f>
        <v>193.3475</v>
      </c>
      <c r="AG3143" s="130"/>
      <c r="AH3143" s="130"/>
      <c r="AI3143" s="130"/>
      <c r="AJ3143" s="130"/>
      <c r="AK3143" s="131">
        <f t="shared" si="694"/>
        <v>773.39</v>
      </c>
      <c r="AL3143" s="335">
        <f t="shared" si="695"/>
        <v>0</v>
      </c>
      <c r="AM3143" s="130">
        <f t="shared" si="696"/>
        <v>10</v>
      </c>
      <c r="AN3143" s="336">
        <f t="shared" si="687"/>
        <v>0</v>
      </c>
    </row>
    <row r="3144" spans="1:42" s="108" customFormat="1" ht="66" x14ac:dyDescent="0.25">
      <c r="A3144" s="60"/>
      <c r="B3144" s="684" t="s">
        <v>3290</v>
      </c>
      <c r="C3144" s="9"/>
      <c r="D3144" s="869">
        <v>3</v>
      </c>
      <c r="E3144" s="329" t="s">
        <v>2940</v>
      </c>
      <c r="F3144" s="278" t="s">
        <v>3446</v>
      </c>
      <c r="G3144" s="1040" t="s">
        <v>3463</v>
      </c>
      <c r="H3144" s="273" t="s">
        <v>3462</v>
      </c>
      <c r="I3144" s="722">
        <f t="shared" si="697"/>
        <v>77.34</v>
      </c>
      <c r="J3144" s="756">
        <v>232.02</v>
      </c>
      <c r="K3144" s="131">
        <f t="shared" si="686"/>
        <v>232.02</v>
      </c>
      <c r="L3144" s="335">
        <f t="shared" si="693"/>
        <v>0</v>
      </c>
      <c r="M3144" s="335"/>
      <c r="N3144" s="335"/>
      <c r="O3144" s="335"/>
      <c r="P3144" s="335"/>
      <c r="Q3144" s="130">
        <v>1</v>
      </c>
      <c r="R3144" s="131">
        <f t="shared" si="691"/>
        <v>58.005000000000003</v>
      </c>
      <c r="S3144" s="130"/>
      <c r="T3144" s="130"/>
      <c r="U3144" s="130">
        <v>1</v>
      </c>
      <c r="V3144" s="131">
        <f t="shared" si="692"/>
        <v>58.005000000000003</v>
      </c>
      <c r="W3144" s="130"/>
      <c r="X3144" s="130"/>
      <c r="Y3144" s="130"/>
      <c r="Z3144" s="130"/>
      <c r="AA3144" s="130">
        <v>1</v>
      </c>
      <c r="AB3144" s="131">
        <f t="shared" si="698"/>
        <v>58.005000000000003</v>
      </c>
      <c r="AC3144" s="130"/>
      <c r="AD3144" s="130"/>
      <c r="AE3144" s="130">
        <v>0</v>
      </c>
      <c r="AF3144" s="131">
        <f t="shared" si="699"/>
        <v>58.005000000000003</v>
      </c>
      <c r="AG3144" s="130"/>
      <c r="AH3144" s="130"/>
      <c r="AI3144" s="130"/>
      <c r="AJ3144" s="130"/>
      <c r="AK3144" s="131">
        <f t="shared" si="694"/>
        <v>232.02</v>
      </c>
      <c r="AL3144" s="335">
        <f t="shared" si="695"/>
        <v>0</v>
      </c>
      <c r="AM3144" s="130">
        <f t="shared" si="696"/>
        <v>3</v>
      </c>
      <c r="AN3144" s="336">
        <f t="shared" si="687"/>
        <v>0</v>
      </c>
    </row>
    <row r="3145" spans="1:42" s="108" customFormat="1" ht="66" x14ac:dyDescent="0.25">
      <c r="A3145" s="60"/>
      <c r="B3145" s="684" t="s">
        <v>3291</v>
      </c>
      <c r="C3145" s="9"/>
      <c r="D3145" s="869">
        <v>3</v>
      </c>
      <c r="E3145" s="329" t="s">
        <v>2940</v>
      </c>
      <c r="F3145" s="278" t="s">
        <v>3446</v>
      </c>
      <c r="G3145" s="1040" t="s">
        <v>3463</v>
      </c>
      <c r="H3145" s="273" t="s">
        <v>3462</v>
      </c>
      <c r="I3145" s="722">
        <f t="shared" si="697"/>
        <v>70.209999999999994</v>
      </c>
      <c r="J3145" s="756">
        <v>210.63</v>
      </c>
      <c r="K3145" s="131">
        <f t="shared" si="686"/>
        <v>210.63</v>
      </c>
      <c r="L3145" s="335">
        <f t="shared" si="693"/>
        <v>0</v>
      </c>
      <c r="M3145" s="335"/>
      <c r="N3145" s="335"/>
      <c r="O3145" s="335"/>
      <c r="P3145" s="335"/>
      <c r="Q3145" s="130">
        <v>1</v>
      </c>
      <c r="R3145" s="131">
        <f t="shared" si="691"/>
        <v>52.657499999999999</v>
      </c>
      <c r="S3145" s="130"/>
      <c r="T3145" s="130"/>
      <c r="U3145" s="130">
        <v>1</v>
      </c>
      <c r="V3145" s="131">
        <f t="shared" si="692"/>
        <v>52.657499999999999</v>
      </c>
      <c r="W3145" s="130"/>
      <c r="X3145" s="130"/>
      <c r="Y3145" s="130"/>
      <c r="Z3145" s="130"/>
      <c r="AA3145" s="130">
        <v>1</v>
      </c>
      <c r="AB3145" s="131">
        <f t="shared" si="698"/>
        <v>52.657499999999999</v>
      </c>
      <c r="AC3145" s="130"/>
      <c r="AD3145" s="130"/>
      <c r="AE3145" s="130">
        <v>0</v>
      </c>
      <c r="AF3145" s="131">
        <f t="shared" si="699"/>
        <v>52.657499999999999</v>
      </c>
      <c r="AG3145" s="130"/>
      <c r="AH3145" s="130"/>
      <c r="AI3145" s="130"/>
      <c r="AJ3145" s="130"/>
      <c r="AK3145" s="131">
        <f t="shared" si="694"/>
        <v>210.63</v>
      </c>
      <c r="AL3145" s="335">
        <f t="shared" si="695"/>
        <v>0</v>
      </c>
      <c r="AM3145" s="130">
        <f t="shared" si="696"/>
        <v>3</v>
      </c>
      <c r="AN3145" s="336">
        <f t="shared" si="687"/>
        <v>0</v>
      </c>
    </row>
    <row r="3146" spans="1:42" s="108" customFormat="1" ht="66" x14ac:dyDescent="0.25">
      <c r="A3146" s="60"/>
      <c r="B3146" s="684" t="s">
        <v>3292</v>
      </c>
      <c r="C3146" s="9"/>
      <c r="D3146" s="869">
        <v>29</v>
      </c>
      <c r="E3146" s="329" t="s">
        <v>2940</v>
      </c>
      <c r="F3146" s="278" t="s">
        <v>3446</v>
      </c>
      <c r="G3146" s="1040" t="s">
        <v>3463</v>
      </c>
      <c r="H3146" s="273" t="s">
        <v>3462</v>
      </c>
      <c r="I3146" s="722">
        <f t="shared" si="697"/>
        <v>46.39</v>
      </c>
      <c r="J3146" s="756">
        <v>1345.31</v>
      </c>
      <c r="K3146" s="131">
        <f t="shared" si="686"/>
        <v>1345.31</v>
      </c>
      <c r="L3146" s="335">
        <f t="shared" si="693"/>
        <v>0</v>
      </c>
      <c r="M3146" s="335"/>
      <c r="N3146" s="335"/>
      <c r="O3146" s="335"/>
      <c r="P3146" s="335"/>
      <c r="Q3146" s="130">
        <v>8</v>
      </c>
      <c r="R3146" s="131">
        <f t="shared" si="691"/>
        <v>336.32749999999999</v>
      </c>
      <c r="S3146" s="130"/>
      <c r="T3146" s="130"/>
      <c r="U3146" s="130">
        <v>7</v>
      </c>
      <c r="V3146" s="131">
        <f t="shared" si="692"/>
        <v>336.32749999999999</v>
      </c>
      <c r="W3146" s="130"/>
      <c r="X3146" s="130"/>
      <c r="Y3146" s="130"/>
      <c r="Z3146" s="130"/>
      <c r="AA3146" s="130">
        <v>7</v>
      </c>
      <c r="AB3146" s="131">
        <f t="shared" si="698"/>
        <v>336.32749999999999</v>
      </c>
      <c r="AC3146" s="130"/>
      <c r="AD3146" s="130"/>
      <c r="AE3146" s="130">
        <v>7</v>
      </c>
      <c r="AF3146" s="131">
        <f t="shared" si="699"/>
        <v>336.32749999999999</v>
      </c>
      <c r="AG3146" s="130"/>
      <c r="AH3146" s="130"/>
      <c r="AI3146" s="130"/>
      <c r="AJ3146" s="130"/>
      <c r="AK3146" s="131">
        <f t="shared" si="694"/>
        <v>1345.31</v>
      </c>
      <c r="AL3146" s="335">
        <f t="shared" si="695"/>
        <v>0</v>
      </c>
      <c r="AM3146" s="130">
        <f t="shared" si="696"/>
        <v>29</v>
      </c>
      <c r="AN3146" s="336">
        <f t="shared" si="687"/>
        <v>0</v>
      </c>
    </row>
    <row r="3147" spans="1:42" s="108" customFormat="1" ht="66" x14ac:dyDescent="0.25">
      <c r="A3147" s="60"/>
      <c r="B3147" s="684" t="s">
        <v>3293</v>
      </c>
      <c r="C3147" s="9"/>
      <c r="D3147" s="869">
        <v>35</v>
      </c>
      <c r="E3147" s="329" t="s">
        <v>2940</v>
      </c>
      <c r="F3147" s="278" t="s">
        <v>3446</v>
      </c>
      <c r="G3147" s="1040" t="s">
        <v>3463</v>
      </c>
      <c r="H3147" s="273" t="s">
        <v>3462</v>
      </c>
      <c r="I3147" s="722">
        <f t="shared" si="697"/>
        <v>60.171984000000016</v>
      </c>
      <c r="J3147" s="756">
        <v>2106.0194400000005</v>
      </c>
      <c r="K3147" s="131">
        <f t="shared" si="686"/>
        <v>2106.0194400000005</v>
      </c>
      <c r="L3147" s="335">
        <f t="shared" si="693"/>
        <v>0</v>
      </c>
      <c r="M3147" s="335"/>
      <c r="N3147" s="335"/>
      <c r="O3147" s="335"/>
      <c r="P3147" s="335"/>
      <c r="Q3147" s="130">
        <v>9</v>
      </c>
      <c r="R3147" s="131">
        <f t="shared" si="691"/>
        <v>526.50486000000012</v>
      </c>
      <c r="S3147" s="130"/>
      <c r="T3147" s="130"/>
      <c r="U3147" s="130">
        <v>9</v>
      </c>
      <c r="V3147" s="131">
        <f t="shared" si="692"/>
        <v>526.50486000000012</v>
      </c>
      <c r="W3147" s="130"/>
      <c r="X3147" s="130"/>
      <c r="Y3147" s="130"/>
      <c r="Z3147" s="130"/>
      <c r="AA3147" s="130">
        <v>9</v>
      </c>
      <c r="AB3147" s="131">
        <f t="shared" si="698"/>
        <v>526.50486000000012</v>
      </c>
      <c r="AC3147" s="130"/>
      <c r="AD3147" s="130"/>
      <c r="AE3147" s="130">
        <v>8</v>
      </c>
      <c r="AF3147" s="131">
        <f t="shared" si="699"/>
        <v>526.50486000000012</v>
      </c>
      <c r="AG3147" s="130"/>
      <c r="AH3147" s="130"/>
      <c r="AI3147" s="130"/>
      <c r="AJ3147" s="130"/>
      <c r="AK3147" s="131">
        <f t="shared" si="694"/>
        <v>2106.0194400000005</v>
      </c>
      <c r="AL3147" s="335">
        <f t="shared" si="695"/>
        <v>0</v>
      </c>
      <c r="AM3147" s="130">
        <f t="shared" si="696"/>
        <v>35</v>
      </c>
      <c r="AN3147" s="336">
        <f t="shared" si="687"/>
        <v>0</v>
      </c>
    </row>
    <row r="3148" spans="1:42" s="108" customFormat="1" ht="66" x14ac:dyDescent="0.25">
      <c r="A3148" s="60"/>
      <c r="B3148" s="684" t="s">
        <v>3294</v>
      </c>
      <c r="C3148" s="9"/>
      <c r="D3148" s="869">
        <v>35</v>
      </c>
      <c r="E3148" s="329" t="s">
        <v>2940</v>
      </c>
      <c r="F3148" s="278" t="s">
        <v>3446</v>
      </c>
      <c r="G3148" s="1040" t="s">
        <v>3463</v>
      </c>
      <c r="H3148" s="273" t="s">
        <v>3462</v>
      </c>
      <c r="I3148" s="722">
        <f t="shared" si="697"/>
        <v>60.171984000000002</v>
      </c>
      <c r="J3148" s="756">
        <v>2106.01944</v>
      </c>
      <c r="K3148" s="131">
        <f t="shared" si="686"/>
        <v>2106.01944</v>
      </c>
      <c r="L3148" s="335">
        <f t="shared" si="693"/>
        <v>0</v>
      </c>
      <c r="M3148" s="335"/>
      <c r="N3148" s="335"/>
      <c r="O3148" s="335"/>
      <c r="P3148" s="335"/>
      <c r="Q3148" s="130">
        <v>9</v>
      </c>
      <c r="R3148" s="131">
        <f t="shared" si="691"/>
        <v>526.50486000000001</v>
      </c>
      <c r="S3148" s="130"/>
      <c r="T3148" s="130"/>
      <c r="U3148" s="130">
        <v>9</v>
      </c>
      <c r="V3148" s="131">
        <f t="shared" si="692"/>
        <v>526.50486000000001</v>
      </c>
      <c r="W3148" s="130"/>
      <c r="X3148" s="130"/>
      <c r="Y3148" s="130"/>
      <c r="Z3148" s="130"/>
      <c r="AA3148" s="130">
        <v>9</v>
      </c>
      <c r="AB3148" s="131">
        <f t="shared" si="698"/>
        <v>526.50486000000001</v>
      </c>
      <c r="AC3148" s="130"/>
      <c r="AD3148" s="130"/>
      <c r="AE3148" s="130">
        <v>8</v>
      </c>
      <c r="AF3148" s="131">
        <f t="shared" si="699"/>
        <v>526.50486000000001</v>
      </c>
      <c r="AG3148" s="130"/>
      <c r="AH3148" s="130"/>
      <c r="AI3148" s="130"/>
      <c r="AJ3148" s="130"/>
      <c r="AK3148" s="131">
        <f t="shared" si="694"/>
        <v>2106.01944</v>
      </c>
      <c r="AL3148" s="335">
        <f t="shared" si="695"/>
        <v>0</v>
      </c>
      <c r="AM3148" s="130">
        <f t="shared" si="696"/>
        <v>35</v>
      </c>
      <c r="AN3148" s="336">
        <f t="shared" si="687"/>
        <v>0</v>
      </c>
    </row>
    <row r="3149" spans="1:42" x14ac:dyDescent="0.25">
      <c r="A3149" s="6">
        <v>259</v>
      </c>
      <c r="B3149" s="553" t="s">
        <v>654</v>
      </c>
      <c r="C3149" s="7"/>
      <c r="D3149" s="924"/>
      <c r="E3149" s="262"/>
      <c r="F3149" s="283"/>
      <c r="G3149" s="283"/>
      <c r="H3149" s="283"/>
      <c r="I3149" s="720"/>
      <c r="J3149" s="801"/>
      <c r="K3149" s="131">
        <f t="shared" si="686"/>
        <v>0</v>
      </c>
      <c r="L3149" s="335">
        <f t="shared" si="693"/>
        <v>0</v>
      </c>
      <c r="M3149" s="446"/>
      <c r="N3149" s="446"/>
      <c r="O3149" s="446"/>
      <c r="P3149" s="446"/>
      <c r="Q3149" s="110">
        <f t="shared" si="688"/>
        <v>0</v>
      </c>
      <c r="R3149" s="111">
        <f t="shared" si="691"/>
        <v>0</v>
      </c>
      <c r="S3149" s="110"/>
      <c r="T3149" s="110"/>
      <c r="U3149" s="110">
        <f t="shared" si="689"/>
        <v>0</v>
      </c>
      <c r="V3149" s="111">
        <f t="shared" si="692"/>
        <v>0</v>
      </c>
      <c r="W3149" s="110"/>
      <c r="X3149" s="110"/>
      <c r="Y3149" s="110"/>
      <c r="Z3149" s="110"/>
      <c r="AA3149" s="110">
        <f t="shared" si="690"/>
        <v>0</v>
      </c>
      <c r="AB3149" s="111">
        <f t="shared" si="698"/>
        <v>0</v>
      </c>
      <c r="AC3149" s="110"/>
      <c r="AD3149" s="110"/>
      <c r="AE3149" s="110">
        <f t="shared" si="690"/>
        <v>0</v>
      </c>
      <c r="AF3149" s="111">
        <f t="shared" si="699"/>
        <v>0</v>
      </c>
      <c r="AG3149" s="110"/>
      <c r="AH3149" s="110"/>
      <c r="AI3149" s="110"/>
      <c r="AJ3149" s="110"/>
      <c r="AK3149" s="111">
        <f t="shared" si="694"/>
        <v>0</v>
      </c>
      <c r="AL3149" s="446">
        <f t="shared" si="695"/>
        <v>0</v>
      </c>
      <c r="AM3149" s="110">
        <f t="shared" si="696"/>
        <v>0</v>
      </c>
      <c r="AN3149" s="447">
        <f t="shared" si="687"/>
        <v>0</v>
      </c>
      <c r="AO3149" s="108"/>
      <c r="AP3149"/>
    </row>
    <row r="3150" spans="1:42" x14ac:dyDescent="0.25">
      <c r="A3150" s="310">
        <v>25901</v>
      </c>
      <c r="B3150" s="375" t="s">
        <v>655</v>
      </c>
      <c r="C3150" s="311"/>
      <c r="D3150" s="902"/>
      <c r="E3150" s="312"/>
      <c r="F3150" s="313"/>
      <c r="G3150" s="313"/>
      <c r="H3150" s="313"/>
      <c r="I3150" s="729"/>
      <c r="J3150" s="800"/>
      <c r="K3150" s="131">
        <f t="shared" si="686"/>
        <v>0</v>
      </c>
      <c r="L3150" s="335">
        <f t="shared" si="693"/>
        <v>0</v>
      </c>
      <c r="M3150" s="446"/>
      <c r="N3150" s="446"/>
      <c r="O3150" s="446"/>
      <c r="P3150" s="446"/>
      <c r="Q3150" s="110">
        <f t="shared" si="688"/>
        <v>0</v>
      </c>
      <c r="R3150" s="111">
        <f t="shared" si="691"/>
        <v>0</v>
      </c>
      <c r="S3150" s="110"/>
      <c r="T3150" s="110"/>
      <c r="U3150" s="110">
        <f t="shared" si="689"/>
        <v>0</v>
      </c>
      <c r="V3150" s="111">
        <f t="shared" si="692"/>
        <v>0</v>
      </c>
      <c r="W3150" s="110"/>
      <c r="X3150" s="110"/>
      <c r="Y3150" s="110"/>
      <c r="Z3150" s="110"/>
      <c r="AA3150" s="110">
        <f t="shared" si="690"/>
        <v>0</v>
      </c>
      <c r="AB3150" s="111">
        <f t="shared" si="698"/>
        <v>0</v>
      </c>
      <c r="AC3150" s="110"/>
      <c r="AD3150" s="110"/>
      <c r="AE3150" s="110">
        <f t="shared" si="690"/>
        <v>0</v>
      </c>
      <c r="AF3150" s="111">
        <f t="shared" si="699"/>
        <v>0</v>
      </c>
      <c r="AG3150" s="110"/>
      <c r="AH3150" s="110"/>
      <c r="AI3150" s="110"/>
      <c r="AJ3150" s="110"/>
      <c r="AK3150" s="111">
        <f t="shared" si="694"/>
        <v>0</v>
      </c>
      <c r="AL3150" s="446">
        <f t="shared" si="695"/>
        <v>0</v>
      </c>
      <c r="AM3150" s="110">
        <f t="shared" si="696"/>
        <v>0</v>
      </c>
      <c r="AN3150" s="447">
        <f t="shared" si="687"/>
        <v>0</v>
      </c>
      <c r="AO3150" s="436">
        <f>SUM(J3151)</f>
        <v>11136</v>
      </c>
      <c r="AP3150" s="111"/>
    </row>
    <row r="3151" spans="1:42" x14ac:dyDescent="0.25">
      <c r="A3151" s="9"/>
      <c r="B3151" s="127" t="s">
        <v>1285</v>
      </c>
      <c r="C3151" s="1024"/>
      <c r="D3151" s="869">
        <v>2</v>
      </c>
      <c r="E3151" s="1027"/>
      <c r="F3151" s="272"/>
      <c r="G3151" s="272"/>
      <c r="H3151" s="272"/>
      <c r="I3151" s="720">
        <f>+J3151/D3151</f>
        <v>5568</v>
      </c>
      <c r="J3151" s="763">
        <f>11136</f>
        <v>11136</v>
      </c>
      <c r="K3151" s="131">
        <f t="shared" si="686"/>
        <v>11136</v>
      </c>
      <c r="L3151" s="335">
        <f t="shared" si="693"/>
        <v>0</v>
      </c>
      <c r="M3151" s="446"/>
      <c r="N3151" s="446"/>
      <c r="O3151" s="446"/>
      <c r="P3151" s="446"/>
      <c r="Q3151" s="130">
        <v>1</v>
      </c>
      <c r="R3151" s="111">
        <f t="shared" si="691"/>
        <v>2784</v>
      </c>
      <c r="S3151" s="110"/>
      <c r="T3151" s="110"/>
      <c r="U3151" s="130">
        <v>1</v>
      </c>
      <c r="V3151" s="111">
        <f t="shared" si="692"/>
        <v>2784</v>
      </c>
      <c r="W3151" s="110"/>
      <c r="X3151" s="110"/>
      <c r="Y3151" s="110"/>
      <c r="Z3151" s="110"/>
      <c r="AA3151" s="130">
        <v>0</v>
      </c>
      <c r="AB3151" s="111">
        <f t="shared" si="698"/>
        <v>2784</v>
      </c>
      <c r="AC3151" s="110"/>
      <c r="AD3151" s="110"/>
      <c r="AE3151" s="130">
        <v>0</v>
      </c>
      <c r="AF3151" s="111">
        <f t="shared" si="699"/>
        <v>2784</v>
      </c>
      <c r="AG3151" s="110"/>
      <c r="AH3151" s="110"/>
      <c r="AI3151" s="110"/>
      <c r="AJ3151" s="110"/>
      <c r="AK3151" s="111">
        <f t="shared" si="694"/>
        <v>11136</v>
      </c>
      <c r="AL3151" s="446">
        <f t="shared" si="695"/>
        <v>0</v>
      </c>
      <c r="AM3151" s="110">
        <f t="shared" si="696"/>
        <v>2</v>
      </c>
      <c r="AN3151" s="447">
        <f t="shared" si="687"/>
        <v>0</v>
      </c>
      <c r="AO3151"/>
      <c r="AP3151"/>
    </row>
    <row r="3152" spans="1:42" x14ac:dyDescent="0.25">
      <c r="A3152" s="299">
        <v>2600</v>
      </c>
      <c r="B3152" s="469" t="s">
        <v>656</v>
      </c>
      <c r="C3152" s="299"/>
      <c r="D3152" s="909"/>
      <c r="E3152" s="301"/>
      <c r="F3152" s="302"/>
      <c r="G3152" s="302"/>
      <c r="H3152" s="302"/>
      <c r="I3152" s="715"/>
      <c r="J3152" s="751"/>
      <c r="K3152" s="131">
        <f t="shared" si="686"/>
        <v>0</v>
      </c>
      <c r="L3152" s="335">
        <f t="shared" si="693"/>
        <v>0</v>
      </c>
      <c r="M3152" s="453"/>
      <c r="N3152" s="453"/>
      <c r="O3152" s="453"/>
      <c r="P3152" s="453"/>
      <c r="Q3152" s="385">
        <f t="shared" si="688"/>
        <v>0</v>
      </c>
      <c r="R3152" s="303">
        <f t="shared" si="691"/>
        <v>0</v>
      </c>
      <c r="S3152" s="385"/>
      <c r="T3152" s="385"/>
      <c r="U3152" s="385">
        <f t="shared" si="689"/>
        <v>0</v>
      </c>
      <c r="V3152" s="303">
        <f t="shared" si="692"/>
        <v>0</v>
      </c>
      <c r="W3152" s="385"/>
      <c r="X3152" s="385"/>
      <c r="Y3152" s="385"/>
      <c r="Z3152" s="385"/>
      <c r="AA3152" s="385">
        <f t="shared" si="690"/>
        <v>0</v>
      </c>
      <c r="AB3152" s="303">
        <f t="shared" si="698"/>
        <v>0</v>
      </c>
      <c r="AC3152" s="385"/>
      <c r="AD3152" s="385"/>
      <c r="AE3152" s="385">
        <f t="shared" si="690"/>
        <v>0</v>
      </c>
      <c r="AF3152" s="303">
        <f t="shared" si="699"/>
        <v>0</v>
      </c>
      <c r="AG3152" s="385"/>
      <c r="AH3152" s="385"/>
      <c r="AI3152" s="385"/>
      <c r="AJ3152" s="385"/>
      <c r="AK3152" s="303">
        <f t="shared" si="694"/>
        <v>0</v>
      </c>
      <c r="AL3152" s="453">
        <f t="shared" si="695"/>
        <v>0</v>
      </c>
      <c r="AM3152" s="385">
        <f t="shared" si="696"/>
        <v>0</v>
      </c>
      <c r="AN3152" s="454">
        <f t="shared" si="687"/>
        <v>0</v>
      </c>
      <c r="AO3152" s="304"/>
      <c r="AP3152"/>
    </row>
    <row r="3153" spans="1:42" x14ac:dyDescent="0.25">
      <c r="A3153" s="6">
        <v>261</v>
      </c>
      <c r="B3153" s="553" t="s">
        <v>656</v>
      </c>
      <c r="C3153" s="7"/>
      <c r="D3153" s="924"/>
      <c r="E3153" s="262"/>
      <c r="F3153" s="283"/>
      <c r="G3153" s="283"/>
      <c r="H3153" s="283"/>
      <c r="I3153" s="720"/>
      <c r="J3153" s="801"/>
      <c r="K3153" s="131">
        <f t="shared" si="686"/>
        <v>0</v>
      </c>
      <c r="L3153" s="335">
        <f t="shared" si="693"/>
        <v>0</v>
      </c>
      <c r="M3153" s="446"/>
      <c r="N3153" s="446"/>
      <c r="O3153" s="446"/>
      <c r="P3153" s="446"/>
      <c r="Q3153" s="110">
        <f t="shared" si="688"/>
        <v>0</v>
      </c>
      <c r="R3153" s="111">
        <f t="shared" si="691"/>
        <v>0</v>
      </c>
      <c r="S3153" s="110"/>
      <c r="T3153" s="110"/>
      <c r="U3153" s="110">
        <f t="shared" si="689"/>
        <v>0</v>
      </c>
      <c r="V3153" s="111">
        <f t="shared" si="692"/>
        <v>0</v>
      </c>
      <c r="W3153" s="110"/>
      <c r="X3153" s="110"/>
      <c r="Y3153" s="110"/>
      <c r="Z3153" s="110"/>
      <c r="AA3153" s="110">
        <f t="shared" si="690"/>
        <v>0</v>
      </c>
      <c r="AB3153" s="111">
        <f t="shared" si="698"/>
        <v>0</v>
      </c>
      <c r="AC3153" s="110"/>
      <c r="AD3153" s="110"/>
      <c r="AE3153" s="110">
        <f t="shared" si="690"/>
        <v>0</v>
      </c>
      <c r="AF3153" s="111">
        <f t="shared" si="699"/>
        <v>0</v>
      </c>
      <c r="AG3153" s="110"/>
      <c r="AH3153" s="110"/>
      <c r="AI3153" s="110"/>
      <c r="AJ3153" s="110"/>
      <c r="AK3153" s="111">
        <f t="shared" si="694"/>
        <v>0</v>
      </c>
      <c r="AL3153" s="446">
        <f t="shared" si="695"/>
        <v>0</v>
      </c>
      <c r="AM3153" s="110">
        <f t="shared" si="696"/>
        <v>0</v>
      </c>
      <c r="AN3153" s="447">
        <f t="shared" si="687"/>
        <v>0</v>
      </c>
      <c r="AO3153" s="108"/>
      <c r="AP3153"/>
    </row>
    <row r="3154" spans="1:42" x14ac:dyDescent="0.25">
      <c r="A3154" s="310">
        <v>26101</v>
      </c>
      <c r="B3154" s="375" t="s">
        <v>656</v>
      </c>
      <c r="C3154" s="311"/>
      <c r="D3154" s="902"/>
      <c r="E3154" s="312"/>
      <c r="F3154" s="313"/>
      <c r="G3154" s="313"/>
      <c r="H3154" s="313"/>
      <c r="I3154" s="729"/>
      <c r="J3154" s="793"/>
      <c r="K3154" s="131">
        <f t="shared" si="686"/>
        <v>0</v>
      </c>
      <c r="L3154" s="335">
        <f t="shared" si="693"/>
        <v>0</v>
      </c>
      <c r="M3154" s="446"/>
      <c r="N3154" s="446"/>
      <c r="O3154" s="446"/>
      <c r="P3154" s="446"/>
      <c r="Q3154" s="110">
        <f t="shared" si="688"/>
        <v>0</v>
      </c>
      <c r="R3154" s="111">
        <f t="shared" si="691"/>
        <v>0</v>
      </c>
      <c r="S3154" s="110"/>
      <c r="T3154" s="110"/>
      <c r="U3154" s="110">
        <f t="shared" si="689"/>
        <v>0</v>
      </c>
      <c r="V3154" s="111">
        <f t="shared" si="692"/>
        <v>0</v>
      </c>
      <c r="W3154" s="110"/>
      <c r="X3154" s="110"/>
      <c r="Y3154" s="110"/>
      <c r="Z3154" s="110"/>
      <c r="AA3154" s="110">
        <f t="shared" si="690"/>
        <v>0</v>
      </c>
      <c r="AB3154" s="111">
        <f t="shared" si="698"/>
        <v>0</v>
      </c>
      <c r="AC3154" s="110"/>
      <c r="AD3154" s="110"/>
      <c r="AE3154" s="110">
        <f t="shared" si="690"/>
        <v>0</v>
      </c>
      <c r="AF3154" s="111">
        <f t="shared" si="699"/>
        <v>0</v>
      </c>
      <c r="AG3154" s="110"/>
      <c r="AH3154" s="110"/>
      <c r="AI3154" s="110"/>
      <c r="AJ3154" s="110"/>
      <c r="AK3154" s="111">
        <f t="shared" si="694"/>
        <v>0</v>
      </c>
      <c r="AL3154" s="446">
        <f t="shared" si="695"/>
        <v>0</v>
      </c>
      <c r="AM3154" s="110">
        <f t="shared" si="696"/>
        <v>0</v>
      </c>
      <c r="AN3154" s="447">
        <f t="shared" si="687"/>
        <v>0</v>
      </c>
      <c r="AO3154" s="436">
        <f>SUM(J3155:J3166)</f>
        <v>1962915.6620720001</v>
      </c>
      <c r="AP3154" s="111"/>
    </row>
    <row r="3155" spans="1:42" ht="66" x14ac:dyDescent="0.25">
      <c r="A3155" s="9"/>
      <c r="B3155" s="34" t="s">
        <v>657</v>
      </c>
      <c r="C3155" s="1024"/>
      <c r="D3155" s="916">
        <f>14+3</f>
        <v>17</v>
      </c>
      <c r="E3155" s="1027" t="s">
        <v>1736</v>
      </c>
      <c r="F3155" s="273" t="s">
        <v>3446</v>
      </c>
      <c r="G3155" s="1040" t="s">
        <v>3463</v>
      </c>
      <c r="H3155" s="273" t="s">
        <v>3462</v>
      </c>
      <c r="I3155" s="720">
        <f t="shared" ref="I3155:I3165" si="700">+J3155/D3155</f>
        <v>482.32941176470592</v>
      </c>
      <c r="J3155" s="756">
        <f>6752.62+1446.98</f>
        <v>8199.6</v>
      </c>
      <c r="K3155" s="131">
        <f t="shared" si="686"/>
        <v>8199.6</v>
      </c>
      <c r="L3155" s="335">
        <f t="shared" si="693"/>
        <v>0</v>
      </c>
      <c r="M3155" s="446"/>
      <c r="N3155" s="446"/>
      <c r="O3155" s="446"/>
      <c r="P3155" s="446"/>
      <c r="Q3155" s="110">
        <v>5</v>
      </c>
      <c r="R3155" s="111">
        <f t="shared" si="691"/>
        <v>2049.9</v>
      </c>
      <c r="S3155" s="110"/>
      <c r="T3155" s="110"/>
      <c r="U3155" s="110">
        <v>4</v>
      </c>
      <c r="V3155" s="111">
        <f t="shared" si="692"/>
        <v>2049.9</v>
      </c>
      <c r="W3155" s="110"/>
      <c r="X3155" s="110"/>
      <c r="Y3155" s="110"/>
      <c r="Z3155" s="110"/>
      <c r="AA3155" s="110">
        <v>4</v>
      </c>
      <c r="AB3155" s="111">
        <f t="shared" si="698"/>
        <v>2049.9</v>
      </c>
      <c r="AC3155" s="110"/>
      <c r="AD3155" s="110"/>
      <c r="AE3155" s="110">
        <v>4</v>
      </c>
      <c r="AF3155" s="111">
        <f t="shared" si="699"/>
        <v>2049.9</v>
      </c>
      <c r="AG3155" s="110"/>
      <c r="AH3155" s="110"/>
      <c r="AI3155" s="110"/>
      <c r="AJ3155" s="110"/>
      <c r="AK3155" s="111">
        <f t="shared" si="694"/>
        <v>8199.6</v>
      </c>
      <c r="AL3155" s="446">
        <f t="shared" si="695"/>
        <v>0</v>
      </c>
      <c r="AM3155" s="110">
        <f t="shared" si="696"/>
        <v>17</v>
      </c>
      <c r="AN3155" s="447">
        <f t="shared" si="687"/>
        <v>0</v>
      </c>
      <c r="AO3155"/>
      <c r="AP3155"/>
    </row>
    <row r="3156" spans="1:42" ht="66" x14ac:dyDescent="0.25">
      <c r="A3156" s="9"/>
      <c r="B3156" s="561" t="s">
        <v>658</v>
      </c>
      <c r="C3156" s="1024"/>
      <c r="D3156" s="916">
        <f>5+2</f>
        <v>7</v>
      </c>
      <c r="E3156" s="1027" t="s">
        <v>1736</v>
      </c>
      <c r="F3156" s="273" t="s">
        <v>3446</v>
      </c>
      <c r="G3156" s="1040" t="s">
        <v>3463</v>
      </c>
      <c r="H3156" s="273" t="s">
        <v>3462</v>
      </c>
      <c r="I3156" s="720">
        <f t="shared" si="700"/>
        <v>112.38857142857144</v>
      </c>
      <c r="J3156" s="756">
        <f>580+206.72</f>
        <v>786.72</v>
      </c>
      <c r="K3156" s="131">
        <f t="shared" si="686"/>
        <v>786.72</v>
      </c>
      <c r="L3156" s="335">
        <f t="shared" si="693"/>
        <v>0</v>
      </c>
      <c r="M3156" s="446"/>
      <c r="N3156" s="446"/>
      <c r="O3156" s="446"/>
      <c r="P3156" s="446"/>
      <c r="Q3156" s="130">
        <v>2</v>
      </c>
      <c r="R3156" s="111">
        <f t="shared" si="691"/>
        <v>196.68</v>
      </c>
      <c r="S3156" s="110"/>
      <c r="T3156" s="110"/>
      <c r="U3156" s="130">
        <v>2</v>
      </c>
      <c r="V3156" s="111">
        <f t="shared" si="692"/>
        <v>196.68</v>
      </c>
      <c r="W3156" s="110"/>
      <c r="X3156" s="110"/>
      <c r="Y3156" s="110"/>
      <c r="Z3156" s="110"/>
      <c r="AA3156" s="130">
        <v>2</v>
      </c>
      <c r="AB3156" s="111">
        <f t="shared" si="698"/>
        <v>196.68</v>
      </c>
      <c r="AC3156" s="110"/>
      <c r="AD3156" s="110"/>
      <c r="AE3156" s="130">
        <v>1</v>
      </c>
      <c r="AF3156" s="111">
        <f t="shared" si="699"/>
        <v>196.68</v>
      </c>
      <c r="AG3156" s="110"/>
      <c r="AH3156" s="110"/>
      <c r="AI3156" s="110"/>
      <c r="AJ3156" s="110"/>
      <c r="AK3156" s="111">
        <f t="shared" si="694"/>
        <v>786.72</v>
      </c>
      <c r="AL3156" s="446">
        <f t="shared" si="695"/>
        <v>0</v>
      </c>
      <c r="AM3156" s="110">
        <f t="shared" si="696"/>
        <v>7</v>
      </c>
      <c r="AN3156" s="447">
        <f t="shared" si="687"/>
        <v>0</v>
      </c>
      <c r="AO3156"/>
      <c r="AP3156"/>
    </row>
    <row r="3157" spans="1:42" ht="66" x14ac:dyDescent="0.25">
      <c r="A3157" s="9"/>
      <c r="B3157" s="59" t="s">
        <v>1094</v>
      </c>
      <c r="C3157" s="1024"/>
      <c r="D3157" s="916">
        <v>75000</v>
      </c>
      <c r="E3157" s="1027" t="s">
        <v>1736</v>
      </c>
      <c r="F3157" s="273" t="s">
        <v>3446</v>
      </c>
      <c r="G3157" s="1040" t="s">
        <v>3463</v>
      </c>
      <c r="H3157" s="273" t="s">
        <v>3462</v>
      </c>
      <c r="I3157" s="720">
        <f t="shared" si="700"/>
        <v>24.486668666666667</v>
      </c>
      <c r="J3157" s="756">
        <f>79872.15+22100-79872+1814400</f>
        <v>1836500.15</v>
      </c>
      <c r="K3157" s="131">
        <f t="shared" si="686"/>
        <v>1836500.15</v>
      </c>
      <c r="L3157" s="335">
        <f t="shared" si="693"/>
        <v>0</v>
      </c>
      <c r="M3157" s="446"/>
      <c r="N3157" s="446"/>
      <c r="O3157" s="446"/>
      <c r="P3157" s="446"/>
      <c r="Q3157" s="110">
        <f t="shared" ref="Q3157:Q3218" si="701">+$D3157/4</f>
        <v>18750</v>
      </c>
      <c r="R3157" s="111">
        <f t="shared" si="691"/>
        <v>459125.03749999998</v>
      </c>
      <c r="S3157" s="110"/>
      <c r="T3157" s="110"/>
      <c r="U3157" s="110">
        <f t="shared" ref="U3157:U3218" si="702">+$D3157/4</f>
        <v>18750</v>
      </c>
      <c r="V3157" s="111">
        <f t="shared" si="692"/>
        <v>459125.03749999998</v>
      </c>
      <c r="W3157" s="110"/>
      <c r="X3157" s="110"/>
      <c r="Y3157" s="110"/>
      <c r="Z3157" s="110"/>
      <c r="AA3157" s="110">
        <f t="shared" ref="AA3157:AE3213" si="703">+$D3157/4</f>
        <v>18750</v>
      </c>
      <c r="AB3157" s="111">
        <f t="shared" si="698"/>
        <v>459125.03749999998</v>
      </c>
      <c r="AC3157" s="110"/>
      <c r="AD3157" s="110"/>
      <c r="AE3157" s="110">
        <f t="shared" si="703"/>
        <v>18750</v>
      </c>
      <c r="AF3157" s="111">
        <f t="shared" si="699"/>
        <v>459125.03749999998</v>
      </c>
      <c r="AG3157" s="110"/>
      <c r="AH3157" s="110"/>
      <c r="AI3157" s="110"/>
      <c r="AJ3157" s="110"/>
      <c r="AK3157" s="111">
        <f t="shared" si="694"/>
        <v>1836500.15</v>
      </c>
      <c r="AL3157" s="446">
        <f t="shared" si="695"/>
        <v>0</v>
      </c>
      <c r="AM3157" s="110">
        <f t="shared" si="696"/>
        <v>75000</v>
      </c>
      <c r="AN3157" s="447">
        <f t="shared" si="687"/>
        <v>0</v>
      </c>
      <c r="AO3157"/>
      <c r="AP3157"/>
    </row>
    <row r="3158" spans="1:42" ht="66" x14ac:dyDescent="0.25">
      <c r="A3158" s="9"/>
      <c r="B3158" s="59" t="s">
        <v>1286</v>
      </c>
      <c r="C3158" s="1024"/>
      <c r="D3158" s="916">
        <v>3</v>
      </c>
      <c r="E3158" s="1027" t="s">
        <v>1736</v>
      </c>
      <c r="F3158" s="273" t="s">
        <v>3446</v>
      </c>
      <c r="G3158" s="1040" t="s">
        <v>3463</v>
      </c>
      <c r="H3158" s="273" t="s">
        <v>3462</v>
      </c>
      <c r="I3158" s="720">
        <f t="shared" si="700"/>
        <v>399.64000000000004</v>
      </c>
      <c r="J3158" s="756">
        <f>1198.92</f>
        <v>1198.92</v>
      </c>
      <c r="K3158" s="131">
        <f t="shared" si="686"/>
        <v>1198.92</v>
      </c>
      <c r="L3158" s="335">
        <f t="shared" si="693"/>
        <v>0</v>
      </c>
      <c r="M3158" s="446"/>
      <c r="N3158" s="446"/>
      <c r="O3158" s="446"/>
      <c r="P3158" s="446"/>
      <c r="Q3158" s="130">
        <v>1</v>
      </c>
      <c r="R3158" s="111">
        <f t="shared" si="691"/>
        <v>299.73</v>
      </c>
      <c r="S3158" s="110"/>
      <c r="T3158" s="110"/>
      <c r="U3158" s="130">
        <v>1</v>
      </c>
      <c r="V3158" s="111">
        <f t="shared" si="692"/>
        <v>299.73</v>
      </c>
      <c r="W3158" s="110"/>
      <c r="X3158" s="110"/>
      <c r="Y3158" s="110"/>
      <c r="Z3158" s="110"/>
      <c r="AA3158" s="130">
        <v>1</v>
      </c>
      <c r="AB3158" s="111">
        <f t="shared" si="698"/>
        <v>299.73</v>
      </c>
      <c r="AC3158" s="110"/>
      <c r="AD3158" s="110"/>
      <c r="AE3158" s="130">
        <v>0</v>
      </c>
      <c r="AF3158" s="111">
        <f t="shared" si="699"/>
        <v>299.73</v>
      </c>
      <c r="AG3158" s="110"/>
      <c r="AH3158" s="110"/>
      <c r="AI3158" s="110"/>
      <c r="AJ3158" s="110"/>
      <c r="AK3158" s="111">
        <f t="shared" si="694"/>
        <v>1198.92</v>
      </c>
      <c r="AL3158" s="446">
        <f t="shared" si="695"/>
        <v>0</v>
      </c>
      <c r="AM3158" s="110">
        <f t="shared" si="696"/>
        <v>3</v>
      </c>
      <c r="AN3158" s="447">
        <f t="shared" si="687"/>
        <v>0</v>
      </c>
      <c r="AO3158"/>
      <c r="AP3158"/>
    </row>
    <row r="3159" spans="1:42" ht="66" x14ac:dyDescent="0.25">
      <c r="A3159" s="9"/>
      <c r="B3159" s="59" t="s">
        <v>1828</v>
      </c>
      <c r="C3159" s="1024"/>
      <c r="D3159" s="916">
        <v>2</v>
      </c>
      <c r="E3159" s="1027" t="s">
        <v>1736</v>
      </c>
      <c r="F3159" s="273" t="s">
        <v>3446</v>
      </c>
      <c r="G3159" s="1040" t="s">
        <v>3463</v>
      </c>
      <c r="H3159" s="273" t="s">
        <v>3462</v>
      </c>
      <c r="I3159" s="720">
        <f t="shared" si="700"/>
        <v>171</v>
      </c>
      <c r="J3159" s="763">
        <v>342</v>
      </c>
      <c r="K3159" s="131">
        <f t="shared" si="686"/>
        <v>342</v>
      </c>
      <c r="L3159" s="335">
        <f t="shared" si="693"/>
        <v>0</v>
      </c>
      <c r="M3159" s="446"/>
      <c r="N3159" s="446"/>
      <c r="O3159" s="446"/>
      <c r="P3159" s="446"/>
      <c r="Q3159" s="130">
        <v>1</v>
      </c>
      <c r="R3159" s="111">
        <f t="shared" si="691"/>
        <v>85.5</v>
      </c>
      <c r="S3159" s="110"/>
      <c r="T3159" s="110"/>
      <c r="U3159" s="130">
        <v>1</v>
      </c>
      <c r="V3159" s="111">
        <f t="shared" si="692"/>
        <v>85.5</v>
      </c>
      <c r="W3159" s="110"/>
      <c r="X3159" s="110"/>
      <c r="Y3159" s="110"/>
      <c r="Z3159" s="110"/>
      <c r="AA3159" s="130">
        <v>0</v>
      </c>
      <c r="AB3159" s="111">
        <f t="shared" si="698"/>
        <v>85.5</v>
      </c>
      <c r="AC3159" s="110"/>
      <c r="AD3159" s="110"/>
      <c r="AE3159" s="130">
        <v>0</v>
      </c>
      <c r="AF3159" s="111">
        <f t="shared" si="699"/>
        <v>85.5</v>
      </c>
      <c r="AG3159" s="110"/>
      <c r="AH3159" s="110"/>
      <c r="AI3159" s="110"/>
      <c r="AJ3159" s="110"/>
      <c r="AK3159" s="111">
        <f t="shared" si="694"/>
        <v>342</v>
      </c>
      <c r="AL3159" s="446">
        <f t="shared" si="695"/>
        <v>0</v>
      </c>
      <c r="AM3159" s="110">
        <f t="shared" si="696"/>
        <v>2</v>
      </c>
      <c r="AN3159" s="447">
        <f t="shared" si="687"/>
        <v>0</v>
      </c>
      <c r="AO3159"/>
      <c r="AP3159"/>
    </row>
    <row r="3160" spans="1:42" ht="66" x14ac:dyDescent="0.25">
      <c r="A3160" s="9"/>
      <c r="B3160" s="528" t="s">
        <v>3295</v>
      </c>
      <c r="C3160" s="1024"/>
      <c r="D3160" s="882">
        <v>4450</v>
      </c>
      <c r="E3160" s="251" t="s">
        <v>1932</v>
      </c>
      <c r="F3160" s="273" t="s">
        <v>3446</v>
      </c>
      <c r="G3160" s="1040" t="s">
        <v>3463</v>
      </c>
      <c r="H3160" s="273" t="s">
        <v>3462</v>
      </c>
      <c r="I3160" s="720">
        <f t="shared" si="700"/>
        <v>24.9573</v>
      </c>
      <c r="J3160" s="756">
        <v>111059.985</v>
      </c>
      <c r="K3160" s="131">
        <f t="shared" si="686"/>
        <v>111059.985</v>
      </c>
      <c r="L3160" s="335">
        <f t="shared" si="693"/>
        <v>0</v>
      </c>
      <c r="M3160" s="446"/>
      <c r="N3160" s="446"/>
      <c r="O3160" s="446"/>
      <c r="P3160" s="446"/>
      <c r="Q3160" s="110">
        <v>1200</v>
      </c>
      <c r="R3160" s="111">
        <f t="shared" si="691"/>
        <v>27764.99625</v>
      </c>
      <c r="S3160" s="110"/>
      <c r="T3160" s="110"/>
      <c r="U3160" s="110">
        <v>1200</v>
      </c>
      <c r="V3160" s="111">
        <f t="shared" si="692"/>
        <v>27764.99625</v>
      </c>
      <c r="W3160" s="110"/>
      <c r="X3160" s="110"/>
      <c r="Y3160" s="110"/>
      <c r="Z3160" s="110"/>
      <c r="AA3160" s="110">
        <v>1200</v>
      </c>
      <c r="AB3160" s="111">
        <f t="shared" si="698"/>
        <v>27764.99625</v>
      </c>
      <c r="AC3160" s="110"/>
      <c r="AD3160" s="110"/>
      <c r="AE3160" s="110">
        <v>850</v>
      </c>
      <c r="AF3160" s="111">
        <f t="shared" si="699"/>
        <v>27764.99625</v>
      </c>
      <c r="AG3160" s="110"/>
      <c r="AH3160" s="110"/>
      <c r="AI3160" s="110"/>
      <c r="AJ3160" s="110"/>
      <c r="AK3160" s="111">
        <f t="shared" si="694"/>
        <v>111059.985</v>
      </c>
      <c r="AL3160" s="446">
        <f t="shared" si="695"/>
        <v>0</v>
      </c>
      <c r="AM3160" s="110">
        <f t="shared" si="696"/>
        <v>4450</v>
      </c>
      <c r="AN3160" s="447">
        <f t="shared" si="687"/>
        <v>0</v>
      </c>
      <c r="AO3160"/>
      <c r="AP3160"/>
    </row>
    <row r="3161" spans="1:42" ht="66" x14ac:dyDescent="0.25">
      <c r="A3161" s="9"/>
      <c r="B3161" s="554" t="s">
        <v>3296</v>
      </c>
      <c r="C3161" s="1024"/>
      <c r="D3161" s="882">
        <v>12</v>
      </c>
      <c r="E3161" s="251" t="s">
        <v>1767</v>
      </c>
      <c r="F3161" s="273" t="s">
        <v>3446</v>
      </c>
      <c r="G3161" s="1040" t="s">
        <v>3463</v>
      </c>
      <c r="H3161" s="273" t="s">
        <v>3462</v>
      </c>
      <c r="I3161" s="720">
        <f t="shared" si="700"/>
        <v>64.798200000000008</v>
      </c>
      <c r="J3161" s="756">
        <v>777.5784000000001</v>
      </c>
      <c r="K3161" s="131">
        <f t="shared" si="686"/>
        <v>777.5784000000001</v>
      </c>
      <c r="L3161" s="335">
        <f t="shared" si="693"/>
        <v>0</v>
      </c>
      <c r="M3161" s="446"/>
      <c r="N3161" s="446"/>
      <c r="O3161" s="446"/>
      <c r="P3161" s="446"/>
      <c r="Q3161" s="110">
        <f t="shared" si="701"/>
        <v>3</v>
      </c>
      <c r="R3161" s="111">
        <f t="shared" si="691"/>
        <v>194.39460000000003</v>
      </c>
      <c r="S3161" s="110"/>
      <c r="T3161" s="110"/>
      <c r="U3161" s="110">
        <f t="shared" si="702"/>
        <v>3</v>
      </c>
      <c r="V3161" s="111">
        <f t="shared" si="692"/>
        <v>194.39460000000003</v>
      </c>
      <c r="W3161" s="110"/>
      <c r="X3161" s="110"/>
      <c r="Y3161" s="110"/>
      <c r="Z3161" s="110"/>
      <c r="AA3161" s="110">
        <f t="shared" si="703"/>
        <v>3</v>
      </c>
      <c r="AB3161" s="111">
        <f t="shared" si="698"/>
        <v>194.39460000000003</v>
      </c>
      <c r="AC3161" s="110"/>
      <c r="AD3161" s="110"/>
      <c r="AE3161" s="110">
        <f t="shared" si="703"/>
        <v>3</v>
      </c>
      <c r="AF3161" s="111">
        <f t="shared" si="699"/>
        <v>194.39460000000003</v>
      </c>
      <c r="AG3161" s="110"/>
      <c r="AH3161" s="110"/>
      <c r="AI3161" s="110"/>
      <c r="AJ3161" s="110"/>
      <c r="AK3161" s="111">
        <f t="shared" si="694"/>
        <v>777.5784000000001</v>
      </c>
      <c r="AL3161" s="446">
        <f t="shared" si="695"/>
        <v>0</v>
      </c>
      <c r="AM3161" s="110">
        <f t="shared" si="696"/>
        <v>12</v>
      </c>
      <c r="AN3161" s="447">
        <f t="shared" si="687"/>
        <v>0</v>
      </c>
      <c r="AO3161"/>
      <c r="AP3161"/>
    </row>
    <row r="3162" spans="1:42" ht="66" x14ac:dyDescent="0.25">
      <c r="A3162" s="9"/>
      <c r="B3162" s="554" t="s">
        <v>3297</v>
      </c>
      <c r="C3162" s="1024"/>
      <c r="D3162" s="882">
        <v>1</v>
      </c>
      <c r="E3162" s="251" t="s">
        <v>1767</v>
      </c>
      <c r="F3162" s="273" t="s">
        <v>3446</v>
      </c>
      <c r="G3162" s="1040" t="s">
        <v>3463</v>
      </c>
      <c r="H3162" s="273" t="s">
        <v>3462</v>
      </c>
      <c r="I3162" s="720">
        <f t="shared" si="700"/>
        <v>21.598271999999998</v>
      </c>
      <c r="J3162" s="756">
        <v>21.598271999999998</v>
      </c>
      <c r="K3162" s="131">
        <f t="shared" ref="K3162:K3225" si="704">+D3162*I3162</f>
        <v>21.598271999999998</v>
      </c>
      <c r="L3162" s="335">
        <f t="shared" si="693"/>
        <v>0</v>
      </c>
      <c r="M3162" s="446"/>
      <c r="N3162" s="446"/>
      <c r="O3162" s="446"/>
      <c r="P3162" s="446"/>
      <c r="Q3162" s="110">
        <v>1</v>
      </c>
      <c r="R3162" s="111">
        <f t="shared" si="691"/>
        <v>5.3995679999999995</v>
      </c>
      <c r="S3162" s="110"/>
      <c r="T3162" s="110"/>
      <c r="U3162" s="110">
        <v>0</v>
      </c>
      <c r="V3162" s="111">
        <f t="shared" si="692"/>
        <v>5.3995679999999995</v>
      </c>
      <c r="W3162" s="110"/>
      <c r="X3162" s="110"/>
      <c r="Y3162" s="110"/>
      <c r="Z3162" s="110"/>
      <c r="AA3162" s="110">
        <v>0</v>
      </c>
      <c r="AB3162" s="111">
        <f t="shared" si="698"/>
        <v>5.3995679999999995</v>
      </c>
      <c r="AC3162" s="110"/>
      <c r="AD3162" s="110"/>
      <c r="AE3162" s="110">
        <v>0</v>
      </c>
      <c r="AF3162" s="111">
        <f t="shared" si="699"/>
        <v>5.3995679999999995</v>
      </c>
      <c r="AG3162" s="110"/>
      <c r="AH3162" s="110"/>
      <c r="AI3162" s="110"/>
      <c r="AJ3162" s="110"/>
      <c r="AK3162" s="111">
        <f t="shared" si="694"/>
        <v>21.598271999999998</v>
      </c>
      <c r="AL3162" s="446">
        <f t="shared" si="695"/>
        <v>0</v>
      </c>
      <c r="AM3162" s="110">
        <f t="shared" si="696"/>
        <v>1</v>
      </c>
      <c r="AN3162" s="447">
        <f t="shared" ref="AN3162:AN3225" si="705">+D3162-AM3162</f>
        <v>0</v>
      </c>
      <c r="AO3162"/>
      <c r="AP3162"/>
    </row>
    <row r="3163" spans="1:42" ht="66" x14ac:dyDescent="0.25">
      <c r="A3163" s="9"/>
      <c r="B3163" s="554" t="s">
        <v>3298</v>
      </c>
      <c r="C3163" s="1024"/>
      <c r="D3163" s="882">
        <v>1</v>
      </c>
      <c r="E3163" s="251" t="s">
        <v>1767</v>
      </c>
      <c r="F3163" s="273" t="s">
        <v>3446</v>
      </c>
      <c r="G3163" s="1040" t="s">
        <v>3463</v>
      </c>
      <c r="H3163" s="273" t="s">
        <v>3462</v>
      </c>
      <c r="I3163" s="720">
        <f t="shared" si="700"/>
        <v>89.1</v>
      </c>
      <c r="J3163" s="756">
        <v>89.1</v>
      </c>
      <c r="K3163" s="131">
        <f t="shared" si="704"/>
        <v>89.1</v>
      </c>
      <c r="L3163" s="335">
        <f t="shared" si="693"/>
        <v>0</v>
      </c>
      <c r="M3163" s="446"/>
      <c r="N3163" s="446"/>
      <c r="O3163" s="446"/>
      <c r="P3163" s="446"/>
      <c r="Q3163" s="110">
        <v>1</v>
      </c>
      <c r="R3163" s="111">
        <f t="shared" si="691"/>
        <v>22.274999999999999</v>
      </c>
      <c r="S3163" s="110"/>
      <c r="T3163" s="110"/>
      <c r="U3163" s="110">
        <v>0</v>
      </c>
      <c r="V3163" s="111">
        <f t="shared" si="692"/>
        <v>22.274999999999999</v>
      </c>
      <c r="W3163" s="110"/>
      <c r="X3163" s="110"/>
      <c r="Y3163" s="110"/>
      <c r="Z3163" s="110"/>
      <c r="AA3163" s="110">
        <v>0</v>
      </c>
      <c r="AB3163" s="111">
        <f t="shared" si="698"/>
        <v>22.274999999999999</v>
      </c>
      <c r="AC3163" s="110"/>
      <c r="AD3163" s="110"/>
      <c r="AE3163" s="110">
        <v>0</v>
      </c>
      <c r="AF3163" s="111">
        <f t="shared" si="699"/>
        <v>22.274999999999999</v>
      </c>
      <c r="AG3163" s="110"/>
      <c r="AH3163" s="110"/>
      <c r="AI3163" s="110"/>
      <c r="AJ3163" s="110"/>
      <c r="AK3163" s="111">
        <f t="shared" si="694"/>
        <v>89.1</v>
      </c>
      <c r="AL3163" s="446">
        <f t="shared" si="695"/>
        <v>0</v>
      </c>
      <c r="AM3163" s="110">
        <f t="shared" si="696"/>
        <v>1</v>
      </c>
      <c r="AN3163" s="447">
        <f t="shared" si="705"/>
        <v>0</v>
      </c>
      <c r="AO3163"/>
      <c r="AP3163"/>
    </row>
    <row r="3164" spans="1:42" ht="66" x14ac:dyDescent="0.25">
      <c r="A3164" s="9"/>
      <c r="B3164" s="528" t="s">
        <v>3299</v>
      </c>
      <c r="C3164" s="1024"/>
      <c r="D3164" s="882">
        <v>28</v>
      </c>
      <c r="E3164" s="251" t="s">
        <v>1932</v>
      </c>
      <c r="F3164" s="273" t="s">
        <v>3446</v>
      </c>
      <c r="G3164" s="1040" t="s">
        <v>3463</v>
      </c>
      <c r="H3164" s="273" t="s">
        <v>3462</v>
      </c>
      <c r="I3164" s="720">
        <f t="shared" si="700"/>
        <v>25.444800000000004</v>
      </c>
      <c r="J3164" s="756">
        <v>712.45440000000008</v>
      </c>
      <c r="K3164" s="131">
        <f t="shared" si="704"/>
        <v>712.45440000000008</v>
      </c>
      <c r="L3164" s="335">
        <f t="shared" si="693"/>
        <v>0</v>
      </c>
      <c r="M3164" s="446"/>
      <c r="N3164" s="446"/>
      <c r="O3164" s="446"/>
      <c r="P3164" s="446"/>
      <c r="Q3164" s="110">
        <f t="shared" si="701"/>
        <v>7</v>
      </c>
      <c r="R3164" s="111">
        <f t="shared" si="691"/>
        <v>178.11360000000002</v>
      </c>
      <c r="S3164" s="110"/>
      <c r="T3164" s="110"/>
      <c r="U3164" s="110">
        <f t="shared" si="702"/>
        <v>7</v>
      </c>
      <c r="V3164" s="111">
        <f t="shared" si="692"/>
        <v>178.11360000000002</v>
      </c>
      <c r="W3164" s="110"/>
      <c r="X3164" s="110"/>
      <c r="Y3164" s="110"/>
      <c r="Z3164" s="110"/>
      <c r="AA3164" s="110">
        <f t="shared" si="703"/>
        <v>7</v>
      </c>
      <c r="AB3164" s="111">
        <f t="shared" si="698"/>
        <v>178.11360000000002</v>
      </c>
      <c r="AC3164" s="110"/>
      <c r="AD3164" s="110"/>
      <c r="AE3164" s="110">
        <f t="shared" si="703"/>
        <v>7</v>
      </c>
      <c r="AF3164" s="111">
        <f t="shared" si="699"/>
        <v>178.11360000000002</v>
      </c>
      <c r="AG3164" s="110"/>
      <c r="AH3164" s="110"/>
      <c r="AI3164" s="110"/>
      <c r="AJ3164" s="110"/>
      <c r="AK3164" s="111">
        <f t="shared" si="694"/>
        <v>712.45440000000008</v>
      </c>
      <c r="AL3164" s="446">
        <f t="shared" si="695"/>
        <v>0</v>
      </c>
      <c r="AM3164" s="110">
        <f t="shared" si="696"/>
        <v>28</v>
      </c>
      <c r="AN3164" s="447">
        <f t="shared" si="705"/>
        <v>0</v>
      </c>
      <c r="AO3164"/>
      <c r="AP3164"/>
    </row>
    <row r="3165" spans="1:42" ht="66" x14ac:dyDescent="0.25">
      <c r="A3165" s="60"/>
      <c r="B3165" s="234" t="s">
        <v>3300</v>
      </c>
      <c r="C3165" s="9"/>
      <c r="D3165" s="882">
        <v>12</v>
      </c>
      <c r="E3165" s="251" t="s">
        <v>3301</v>
      </c>
      <c r="F3165" s="273" t="s">
        <v>3446</v>
      </c>
      <c r="G3165" s="1040" t="s">
        <v>3463</v>
      </c>
      <c r="H3165" s="273" t="s">
        <v>3462</v>
      </c>
      <c r="I3165" s="720">
        <f t="shared" si="700"/>
        <v>268.96300000000002</v>
      </c>
      <c r="J3165" s="756">
        <v>3227.5560000000005</v>
      </c>
      <c r="K3165" s="131">
        <f t="shared" si="704"/>
        <v>3227.5560000000005</v>
      </c>
      <c r="L3165" s="335">
        <f t="shared" si="693"/>
        <v>0</v>
      </c>
      <c r="M3165" s="446"/>
      <c r="N3165" s="446"/>
      <c r="O3165" s="446"/>
      <c r="P3165" s="446"/>
      <c r="Q3165" s="110">
        <f t="shared" si="701"/>
        <v>3</v>
      </c>
      <c r="R3165" s="111">
        <f t="shared" si="691"/>
        <v>806.88900000000012</v>
      </c>
      <c r="S3165" s="110"/>
      <c r="T3165" s="110"/>
      <c r="U3165" s="110">
        <f t="shared" si="702"/>
        <v>3</v>
      </c>
      <c r="V3165" s="111">
        <f t="shared" si="692"/>
        <v>806.88900000000012</v>
      </c>
      <c r="W3165" s="110"/>
      <c r="X3165" s="110"/>
      <c r="Y3165" s="110"/>
      <c r="Z3165" s="110"/>
      <c r="AA3165" s="110">
        <f t="shared" si="703"/>
        <v>3</v>
      </c>
      <c r="AB3165" s="111">
        <f t="shared" si="698"/>
        <v>806.88900000000012</v>
      </c>
      <c r="AC3165" s="110"/>
      <c r="AD3165" s="110"/>
      <c r="AE3165" s="110">
        <f t="shared" si="703"/>
        <v>3</v>
      </c>
      <c r="AF3165" s="111">
        <f t="shared" si="699"/>
        <v>806.88900000000012</v>
      </c>
      <c r="AG3165" s="110"/>
      <c r="AH3165" s="110"/>
      <c r="AI3165" s="110"/>
      <c r="AJ3165" s="110"/>
      <c r="AK3165" s="111">
        <f t="shared" si="694"/>
        <v>3227.5560000000005</v>
      </c>
      <c r="AL3165" s="446">
        <f t="shared" si="695"/>
        <v>0</v>
      </c>
      <c r="AM3165" s="110">
        <f t="shared" si="696"/>
        <v>12</v>
      </c>
      <c r="AN3165" s="447">
        <f t="shared" si="705"/>
        <v>0</v>
      </c>
      <c r="AO3165"/>
      <c r="AP3165"/>
    </row>
    <row r="3166" spans="1:42" x14ac:dyDescent="0.25">
      <c r="A3166" s="6">
        <v>262</v>
      </c>
      <c r="B3166" s="553" t="s">
        <v>659</v>
      </c>
      <c r="C3166" s="7"/>
      <c r="D3166" s="911"/>
      <c r="E3166" s="256"/>
      <c r="F3166" s="282"/>
      <c r="G3166" s="282"/>
      <c r="H3166" s="282"/>
      <c r="I3166" s="720"/>
      <c r="J3166" s="803"/>
      <c r="K3166" s="131">
        <f t="shared" si="704"/>
        <v>0</v>
      </c>
      <c r="L3166" s="335">
        <f t="shared" si="693"/>
        <v>0</v>
      </c>
      <c r="M3166" s="446"/>
      <c r="N3166" s="446"/>
      <c r="O3166" s="446"/>
      <c r="P3166" s="446"/>
      <c r="Q3166" s="110">
        <f t="shared" si="701"/>
        <v>0</v>
      </c>
      <c r="R3166" s="111">
        <f t="shared" si="691"/>
        <v>0</v>
      </c>
      <c r="S3166" s="110"/>
      <c r="T3166" s="110"/>
      <c r="U3166" s="110">
        <f t="shared" si="702"/>
        <v>0</v>
      </c>
      <c r="V3166" s="111">
        <f t="shared" si="692"/>
        <v>0</v>
      </c>
      <c r="W3166" s="110"/>
      <c r="X3166" s="110"/>
      <c r="Y3166" s="110"/>
      <c r="Z3166" s="110"/>
      <c r="AA3166" s="110">
        <f t="shared" si="703"/>
        <v>0</v>
      </c>
      <c r="AB3166" s="111">
        <f t="shared" si="698"/>
        <v>0</v>
      </c>
      <c r="AC3166" s="110"/>
      <c r="AD3166" s="110"/>
      <c r="AE3166" s="110">
        <f t="shared" si="703"/>
        <v>0</v>
      </c>
      <c r="AF3166" s="111">
        <f t="shared" si="699"/>
        <v>0</v>
      </c>
      <c r="AG3166" s="110"/>
      <c r="AH3166" s="110"/>
      <c r="AI3166" s="110"/>
      <c r="AJ3166" s="110"/>
      <c r="AK3166" s="111">
        <f t="shared" si="694"/>
        <v>0</v>
      </c>
      <c r="AL3166" s="446">
        <f t="shared" si="695"/>
        <v>0</v>
      </c>
      <c r="AM3166" s="110">
        <f t="shared" si="696"/>
        <v>0</v>
      </c>
      <c r="AN3166" s="447">
        <f t="shared" si="705"/>
        <v>0</v>
      </c>
      <c r="AO3166" s="108"/>
      <c r="AP3166"/>
    </row>
    <row r="3167" spans="1:42" x14ac:dyDescent="0.25">
      <c r="A3167" s="7">
        <v>26201</v>
      </c>
      <c r="B3167" s="56" t="s">
        <v>659</v>
      </c>
      <c r="C3167" s="1024"/>
      <c r="D3167" s="910"/>
      <c r="E3167" s="1019"/>
      <c r="F3167" s="269"/>
      <c r="G3167" s="269"/>
      <c r="H3167" s="269"/>
      <c r="I3167" s="720"/>
      <c r="J3167" s="798"/>
      <c r="K3167" s="131">
        <f t="shared" si="704"/>
        <v>0</v>
      </c>
      <c r="L3167" s="335">
        <f t="shared" si="693"/>
        <v>0</v>
      </c>
      <c r="M3167" s="446"/>
      <c r="N3167" s="446"/>
      <c r="O3167" s="446"/>
      <c r="P3167" s="446"/>
      <c r="Q3167" s="110">
        <f t="shared" si="701"/>
        <v>0</v>
      </c>
      <c r="R3167" s="111">
        <f t="shared" si="691"/>
        <v>0</v>
      </c>
      <c r="S3167" s="110"/>
      <c r="T3167" s="110"/>
      <c r="U3167" s="110">
        <f t="shared" si="702"/>
        <v>0</v>
      </c>
      <c r="V3167" s="111">
        <f t="shared" si="692"/>
        <v>0</v>
      </c>
      <c r="W3167" s="110"/>
      <c r="X3167" s="110"/>
      <c r="Y3167" s="110"/>
      <c r="Z3167" s="110"/>
      <c r="AA3167" s="110">
        <f t="shared" si="703"/>
        <v>0</v>
      </c>
      <c r="AB3167" s="111">
        <f t="shared" si="698"/>
        <v>0</v>
      </c>
      <c r="AC3167" s="110"/>
      <c r="AD3167" s="110"/>
      <c r="AE3167" s="110">
        <f t="shared" si="703"/>
        <v>0</v>
      </c>
      <c r="AF3167" s="111">
        <f t="shared" si="699"/>
        <v>0</v>
      </c>
      <c r="AG3167" s="110"/>
      <c r="AH3167" s="110"/>
      <c r="AI3167" s="110"/>
      <c r="AJ3167" s="110"/>
      <c r="AK3167" s="111">
        <f t="shared" si="694"/>
        <v>0</v>
      </c>
      <c r="AL3167" s="446">
        <f t="shared" si="695"/>
        <v>0</v>
      </c>
      <c r="AM3167" s="110">
        <f t="shared" si="696"/>
        <v>0</v>
      </c>
      <c r="AN3167" s="447">
        <f t="shared" si="705"/>
        <v>0</v>
      </c>
      <c r="AO3167" s="108"/>
      <c r="AP3167"/>
    </row>
    <row r="3168" spans="1:42" x14ac:dyDescent="0.25">
      <c r="A3168" s="58"/>
      <c r="B3168" s="482"/>
      <c r="C3168" s="9"/>
      <c r="D3168" s="869"/>
      <c r="E3168" s="1027"/>
      <c r="F3168" s="272"/>
      <c r="G3168" s="272"/>
      <c r="H3168" s="272"/>
      <c r="I3168" s="720"/>
      <c r="J3168" s="763"/>
      <c r="K3168" s="131">
        <f t="shared" si="704"/>
        <v>0</v>
      </c>
      <c r="L3168" s="335">
        <f t="shared" si="693"/>
        <v>0</v>
      </c>
      <c r="M3168" s="446"/>
      <c r="N3168" s="446"/>
      <c r="O3168" s="446"/>
      <c r="P3168" s="446"/>
      <c r="Q3168" s="110">
        <f t="shared" si="701"/>
        <v>0</v>
      </c>
      <c r="R3168" s="111">
        <f t="shared" si="691"/>
        <v>0</v>
      </c>
      <c r="S3168" s="110"/>
      <c r="T3168" s="110"/>
      <c r="U3168" s="110">
        <f t="shared" si="702"/>
        <v>0</v>
      </c>
      <c r="V3168" s="111">
        <f t="shared" si="692"/>
        <v>0</v>
      </c>
      <c r="W3168" s="110"/>
      <c r="X3168" s="110"/>
      <c r="Y3168" s="110"/>
      <c r="Z3168" s="110"/>
      <c r="AA3168" s="110">
        <f t="shared" si="703"/>
        <v>0</v>
      </c>
      <c r="AB3168" s="111">
        <f t="shared" si="698"/>
        <v>0</v>
      </c>
      <c r="AC3168" s="110"/>
      <c r="AD3168" s="110"/>
      <c r="AE3168" s="110">
        <f t="shared" si="703"/>
        <v>0</v>
      </c>
      <c r="AF3168" s="111">
        <f t="shared" si="699"/>
        <v>0</v>
      </c>
      <c r="AG3168" s="110"/>
      <c r="AH3168" s="110"/>
      <c r="AI3168" s="110"/>
      <c r="AJ3168" s="110"/>
      <c r="AK3168" s="111">
        <f t="shared" si="694"/>
        <v>0</v>
      </c>
      <c r="AL3168" s="446">
        <f t="shared" si="695"/>
        <v>0</v>
      </c>
      <c r="AM3168" s="110">
        <f t="shared" si="696"/>
        <v>0</v>
      </c>
      <c r="AN3168" s="447">
        <f t="shared" si="705"/>
        <v>0</v>
      </c>
      <c r="AO3168"/>
      <c r="AP3168"/>
    </row>
    <row r="3169" spans="1:42" ht="22.5" x14ac:dyDescent="0.25">
      <c r="A3169" s="299">
        <v>2700</v>
      </c>
      <c r="B3169" s="469" t="s">
        <v>660</v>
      </c>
      <c r="C3169" s="299"/>
      <c r="D3169" s="925"/>
      <c r="E3169" s="301"/>
      <c r="F3169" s="302"/>
      <c r="G3169" s="302"/>
      <c r="H3169" s="302"/>
      <c r="I3169" s="715"/>
      <c r="J3169" s="751"/>
      <c r="K3169" s="131">
        <f t="shared" si="704"/>
        <v>0</v>
      </c>
      <c r="L3169" s="335">
        <f t="shared" si="693"/>
        <v>0</v>
      </c>
      <c r="M3169" s="453"/>
      <c r="N3169" s="453"/>
      <c r="O3169" s="453"/>
      <c r="P3169" s="453"/>
      <c r="Q3169" s="385">
        <f t="shared" si="701"/>
        <v>0</v>
      </c>
      <c r="R3169" s="303">
        <f t="shared" si="691"/>
        <v>0</v>
      </c>
      <c r="S3169" s="385"/>
      <c r="T3169" s="385"/>
      <c r="U3169" s="385">
        <f t="shared" si="702"/>
        <v>0</v>
      </c>
      <c r="V3169" s="303">
        <f t="shared" si="692"/>
        <v>0</v>
      </c>
      <c r="W3169" s="385"/>
      <c r="X3169" s="385"/>
      <c r="Y3169" s="385"/>
      <c r="Z3169" s="385"/>
      <c r="AA3169" s="385">
        <f t="shared" si="703"/>
        <v>0</v>
      </c>
      <c r="AB3169" s="303">
        <f t="shared" si="698"/>
        <v>0</v>
      </c>
      <c r="AC3169" s="385"/>
      <c r="AD3169" s="385"/>
      <c r="AE3169" s="385">
        <f t="shared" si="703"/>
        <v>0</v>
      </c>
      <c r="AF3169" s="303">
        <f t="shared" si="699"/>
        <v>0</v>
      </c>
      <c r="AG3169" s="385"/>
      <c r="AH3169" s="385"/>
      <c r="AI3169" s="385"/>
      <c r="AJ3169" s="385"/>
      <c r="AK3169" s="303">
        <f t="shared" si="694"/>
        <v>0</v>
      </c>
      <c r="AL3169" s="453">
        <f t="shared" si="695"/>
        <v>0</v>
      </c>
      <c r="AM3169" s="385">
        <f t="shared" si="696"/>
        <v>0</v>
      </c>
      <c r="AN3169" s="454">
        <f t="shared" si="705"/>
        <v>0</v>
      </c>
      <c r="AO3169" s="304"/>
      <c r="AP3169"/>
    </row>
    <row r="3170" spans="1:42" x14ac:dyDescent="0.25">
      <c r="A3170" s="6">
        <v>271</v>
      </c>
      <c r="B3170" s="553" t="s">
        <v>661</v>
      </c>
      <c r="C3170" s="7"/>
      <c r="D3170" s="910"/>
      <c r="E3170" s="1019"/>
      <c r="F3170" s="269"/>
      <c r="G3170" s="269"/>
      <c r="H3170" s="269"/>
      <c r="I3170" s="720"/>
      <c r="J3170" s="798"/>
      <c r="K3170" s="131">
        <f t="shared" si="704"/>
        <v>0</v>
      </c>
      <c r="L3170" s="335">
        <f t="shared" si="693"/>
        <v>0</v>
      </c>
      <c r="M3170" s="446"/>
      <c r="N3170" s="446"/>
      <c r="O3170" s="446"/>
      <c r="P3170" s="446"/>
      <c r="Q3170" s="110">
        <f t="shared" si="701"/>
        <v>0</v>
      </c>
      <c r="R3170" s="111">
        <f t="shared" si="691"/>
        <v>0</v>
      </c>
      <c r="S3170" s="110"/>
      <c r="T3170" s="110"/>
      <c r="U3170" s="110">
        <f t="shared" si="702"/>
        <v>0</v>
      </c>
      <c r="V3170" s="111">
        <f t="shared" si="692"/>
        <v>0</v>
      </c>
      <c r="W3170" s="110"/>
      <c r="X3170" s="110"/>
      <c r="Y3170" s="110"/>
      <c r="Z3170" s="110"/>
      <c r="AA3170" s="110">
        <f t="shared" si="703"/>
        <v>0</v>
      </c>
      <c r="AB3170" s="111">
        <f t="shared" si="698"/>
        <v>0</v>
      </c>
      <c r="AC3170" s="110"/>
      <c r="AD3170" s="110"/>
      <c r="AE3170" s="110">
        <f t="shared" si="703"/>
        <v>0</v>
      </c>
      <c r="AF3170" s="111">
        <f t="shared" si="699"/>
        <v>0</v>
      </c>
      <c r="AG3170" s="110"/>
      <c r="AH3170" s="110"/>
      <c r="AI3170" s="110"/>
      <c r="AJ3170" s="110"/>
      <c r="AK3170" s="111">
        <f t="shared" si="694"/>
        <v>0</v>
      </c>
      <c r="AL3170" s="446">
        <f t="shared" si="695"/>
        <v>0</v>
      </c>
      <c r="AM3170" s="110">
        <f t="shared" si="696"/>
        <v>0</v>
      </c>
      <c r="AN3170" s="447">
        <f t="shared" si="705"/>
        <v>0</v>
      </c>
      <c r="AO3170" s="108"/>
      <c r="AP3170"/>
    </row>
    <row r="3171" spans="1:42" x14ac:dyDescent="0.25">
      <c r="A3171" s="7">
        <v>27101</v>
      </c>
      <c r="B3171" s="56" t="s">
        <v>152</v>
      </c>
      <c r="C3171" s="1024"/>
      <c r="D3171" s="869"/>
      <c r="E3171" s="1027"/>
      <c r="F3171" s="272"/>
      <c r="G3171" s="272"/>
      <c r="H3171" s="272"/>
      <c r="I3171" s="720"/>
      <c r="J3171" s="763"/>
      <c r="K3171" s="131">
        <f t="shared" si="704"/>
        <v>0</v>
      </c>
      <c r="L3171" s="335">
        <f t="shared" si="693"/>
        <v>0</v>
      </c>
      <c r="M3171" s="446"/>
      <c r="N3171" s="446"/>
      <c r="O3171" s="446"/>
      <c r="P3171" s="446"/>
      <c r="Q3171" s="110">
        <f t="shared" si="701"/>
        <v>0</v>
      </c>
      <c r="R3171" s="111">
        <f t="shared" si="691"/>
        <v>0</v>
      </c>
      <c r="S3171" s="110"/>
      <c r="T3171" s="110"/>
      <c r="U3171" s="110">
        <f t="shared" si="702"/>
        <v>0</v>
      </c>
      <c r="V3171" s="111">
        <f t="shared" si="692"/>
        <v>0</v>
      </c>
      <c r="W3171" s="110"/>
      <c r="X3171" s="110"/>
      <c r="Y3171" s="110"/>
      <c r="Z3171" s="110"/>
      <c r="AA3171" s="110">
        <f t="shared" si="703"/>
        <v>0</v>
      </c>
      <c r="AB3171" s="111">
        <f t="shared" si="698"/>
        <v>0</v>
      </c>
      <c r="AC3171" s="110"/>
      <c r="AD3171" s="110"/>
      <c r="AE3171" s="110">
        <f t="shared" si="703"/>
        <v>0</v>
      </c>
      <c r="AF3171" s="111">
        <f t="shared" si="699"/>
        <v>0</v>
      </c>
      <c r="AG3171" s="110"/>
      <c r="AH3171" s="110"/>
      <c r="AI3171" s="110"/>
      <c r="AJ3171" s="110"/>
      <c r="AK3171" s="111">
        <f t="shared" si="694"/>
        <v>0</v>
      </c>
      <c r="AL3171" s="446">
        <f t="shared" si="695"/>
        <v>0</v>
      </c>
      <c r="AM3171" s="110">
        <f t="shared" si="696"/>
        <v>0</v>
      </c>
      <c r="AN3171" s="447">
        <f t="shared" si="705"/>
        <v>0</v>
      </c>
      <c r="AO3171" s="108"/>
      <c r="AP3171"/>
    </row>
    <row r="3172" spans="1:42" x14ac:dyDescent="0.25">
      <c r="A3172" s="61"/>
      <c r="B3172" s="482"/>
      <c r="C3172" s="9"/>
      <c r="D3172" s="869"/>
      <c r="E3172" s="1027"/>
      <c r="F3172" s="272"/>
      <c r="G3172" s="272"/>
      <c r="H3172" s="272"/>
      <c r="I3172" s="720"/>
      <c r="J3172" s="763"/>
      <c r="K3172" s="131">
        <f t="shared" si="704"/>
        <v>0</v>
      </c>
      <c r="L3172" s="335">
        <f t="shared" si="693"/>
        <v>0</v>
      </c>
      <c r="M3172" s="446"/>
      <c r="N3172" s="446"/>
      <c r="O3172" s="446"/>
      <c r="P3172" s="446"/>
      <c r="Q3172" s="110">
        <f t="shared" si="701"/>
        <v>0</v>
      </c>
      <c r="R3172" s="111">
        <f t="shared" si="691"/>
        <v>0</v>
      </c>
      <c r="S3172" s="110"/>
      <c r="T3172" s="110"/>
      <c r="U3172" s="110">
        <f t="shared" si="702"/>
        <v>0</v>
      </c>
      <c r="V3172" s="111">
        <f t="shared" si="692"/>
        <v>0</v>
      </c>
      <c r="W3172" s="110"/>
      <c r="X3172" s="110"/>
      <c r="Y3172" s="110"/>
      <c r="Z3172" s="110"/>
      <c r="AA3172" s="110">
        <f t="shared" si="703"/>
        <v>0</v>
      </c>
      <c r="AB3172" s="111">
        <f t="shared" si="698"/>
        <v>0</v>
      </c>
      <c r="AC3172" s="110"/>
      <c r="AD3172" s="110"/>
      <c r="AE3172" s="110">
        <f t="shared" si="703"/>
        <v>0</v>
      </c>
      <c r="AF3172" s="111">
        <f t="shared" si="699"/>
        <v>0</v>
      </c>
      <c r="AG3172" s="110"/>
      <c r="AH3172" s="110"/>
      <c r="AI3172" s="110"/>
      <c r="AJ3172" s="110"/>
      <c r="AK3172" s="111">
        <f t="shared" si="694"/>
        <v>0</v>
      </c>
      <c r="AL3172" s="446">
        <f t="shared" si="695"/>
        <v>0</v>
      </c>
      <c r="AM3172" s="110">
        <f t="shared" si="696"/>
        <v>0</v>
      </c>
      <c r="AN3172" s="447">
        <f t="shared" si="705"/>
        <v>0</v>
      </c>
      <c r="AO3172"/>
      <c r="AP3172"/>
    </row>
    <row r="3173" spans="1:42" ht="22.5" x14ac:dyDescent="0.25">
      <c r="A3173" s="310">
        <v>27102</v>
      </c>
      <c r="B3173" s="375" t="s">
        <v>662</v>
      </c>
      <c r="C3173" s="311"/>
      <c r="D3173" s="902"/>
      <c r="E3173" s="312"/>
      <c r="F3173" s="313"/>
      <c r="G3173" s="313"/>
      <c r="H3173" s="313"/>
      <c r="I3173" s="729"/>
      <c r="J3173" s="800"/>
      <c r="K3173" s="131">
        <f t="shared" si="704"/>
        <v>0</v>
      </c>
      <c r="L3173" s="335">
        <f t="shared" si="693"/>
        <v>0</v>
      </c>
      <c r="M3173" s="421"/>
      <c r="N3173" s="421"/>
      <c r="O3173" s="421"/>
      <c r="P3173" s="421"/>
      <c r="Q3173" s="387">
        <f t="shared" si="701"/>
        <v>0</v>
      </c>
      <c r="R3173" s="314">
        <f t="shared" si="691"/>
        <v>0</v>
      </c>
      <c r="S3173" s="387"/>
      <c r="T3173" s="387"/>
      <c r="U3173" s="387">
        <f t="shared" si="702"/>
        <v>0</v>
      </c>
      <c r="V3173" s="314">
        <f t="shared" si="692"/>
        <v>0</v>
      </c>
      <c r="W3173" s="387"/>
      <c r="X3173" s="387"/>
      <c r="Y3173" s="387"/>
      <c r="Z3173" s="387"/>
      <c r="AA3173" s="387">
        <f t="shared" si="703"/>
        <v>0</v>
      </c>
      <c r="AB3173" s="314">
        <f t="shared" si="698"/>
        <v>0</v>
      </c>
      <c r="AC3173" s="387"/>
      <c r="AD3173" s="387"/>
      <c r="AE3173" s="387">
        <f t="shared" si="703"/>
        <v>0</v>
      </c>
      <c r="AF3173" s="314">
        <f t="shared" si="699"/>
        <v>0</v>
      </c>
      <c r="AG3173" s="387"/>
      <c r="AH3173" s="387"/>
      <c r="AI3173" s="387"/>
      <c r="AJ3173" s="387"/>
      <c r="AK3173" s="314">
        <f t="shared" si="694"/>
        <v>0</v>
      </c>
      <c r="AL3173" s="421">
        <f t="shared" si="695"/>
        <v>0</v>
      </c>
      <c r="AM3173" s="387">
        <f t="shared" si="696"/>
        <v>0</v>
      </c>
      <c r="AN3173" s="422">
        <f t="shared" si="705"/>
        <v>0</v>
      </c>
      <c r="AO3173" s="436">
        <f>SUM(J3174)</f>
        <v>540</v>
      </c>
      <c r="AP3173" s="111"/>
    </row>
    <row r="3174" spans="1:42" ht="66" x14ac:dyDescent="0.25">
      <c r="A3174" s="9"/>
      <c r="B3174" s="59" t="s">
        <v>663</v>
      </c>
      <c r="C3174" s="1024"/>
      <c r="D3174" s="869">
        <v>2</v>
      </c>
      <c r="E3174" s="1027" t="s">
        <v>1721</v>
      </c>
      <c r="F3174" s="273" t="s">
        <v>3446</v>
      </c>
      <c r="G3174" s="1040" t="s">
        <v>3463</v>
      </c>
      <c r="H3174" s="273" t="s">
        <v>3462</v>
      </c>
      <c r="I3174" s="720">
        <f>+J3174/D3174</f>
        <v>270</v>
      </c>
      <c r="J3174" s="763">
        <v>540</v>
      </c>
      <c r="K3174" s="131">
        <f t="shared" si="704"/>
        <v>540</v>
      </c>
      <c r="L3174" s="335">
        <f t="shared" si="693"/>
        <v>0</v>
      </c>
      <c r="M3174" s="446"/>
      <c r="N3174" s="446"/>
      <c r="O3174" s="446"/>
      <c r="P3174" s="446"/>
      <c r="Q3174" s="130">
        <v>1</v>
      </c>
      <c r="R3174" s="111">
        <f t="shared" si="691"/>
        <v>135</v>
      </c>
      <c r="S3174" s="110"/>
      <c r="T3174" s="110"/>
      <c r="U3174" s="130">
        <v>1</v>
      </c>
      <c r="V3174" s="111">
        <f t="shared" si="692"/>
        <v>135</v>
      </c>
      <c r="W3174" s="110"/>
      <c r="X3174" s="110"/>
      <c r="Y3174" s="110"/>
      <c r="Z3174" s="110"/>
      <c r="AA3174" s="130">
        <v>0</v>
      </c>
      <c r="AB3174" s="111">
        <f t="shared" si="698"/>
        <v>135</v>
      </c>
      <c r="AC3174" s="110"/>
      <c r="AD3174" s="110"/>
      <c r="AE3174" s="130">
        <v>0</v>
      </c>
      <c r="AF3174" s="111">
        <f t="shared" si="699"/>
        <v>135</v>
      </c>
      <c r="AG3174" s="110"/>
      <c r="AH3174" s="110"/>
      <c r="AI3174" s="110"/>
      <c r="AJ3174" s="110"/>
      <c r="AK3174" s="111">
        <f t="shared" si="694"/>
        <v>540</v>
      </c>
      <c r="AL3174" s="446">
        <f t="shared" si="695"/>
        <v>0</v>
      </c>
      <c r="AM3174" s="110">
        <f t="shared" si="696"/>
        <v>2</v>
      </c>
      <c r="AN3174" s="447">
        <f t="shared" si="705"/>
        <v>0</v>
      </c>
      <c r="AO3174"/>
      <c r="AP3174"/>
    </row>
    <row r="3175" spans="1:42" ht="22.5" x14ac:dyDescent="0.25">
      <c r="A3175" s="310">
        <v>27103</v>
      </c>
      <c r="B3175" s="375" t="s">
        <v>664</v>
      </c>
      <c r="C3175" s="311"/>
      <c r="D3175" s="902"/>
      <c r="E3175" s="312"/>
      <c r="F3175" s="313"/>
      <c r="G3175" s="313"/>
      <c r="H3175" s="313"/>
      <c r="I3175" s="729"/>
      <c r="J3175" s="800"/>
      <c r="K3175" s="131">
        <f t="shared" si="704"/>
        <v>0</v>
      </c>
      <c r="L3175" s="335">
        <f t="shared" si="693"/>
        <v>0</v>
      </c>
      <c r="M3175" s="421"/>
      <c r="N3175" s="421"/>
      <c r="O3175" s="421"/>
      <c r="P3175" s="421"/>
      <c r="Q3175" s="387">
        <f t="shared" si="701"/>
        <v>0</v>
      </c>
      <c r="R3175" s="314">
        <f t="shared" si="691"/>
        <v>0</v>
      </c>
      <c r="S3175" s="387"/>
      <c r="T3175" s="387"/>
      <c r="U3175" s="387">
        <f t="shared" si="702"/>
        <v>0</v>
      </c>
      <c r="V3175" s="314">
        <f t="shared" si="692"/>
        <v>0</v>
      </c>
      <c r="W3175" s="387"/>
      <c r="X3175" s="387"/>
      <c r="Y3175" s="387"/>
      <c r="Z3175" s="387"/>
      <c r="AA3175" s="387">
        <f t="shared" si="703"/>
        <v>0</v>
      </c>
      <c r="AB3175" s="314">
        <f t="shared" si="698"/>
        <v>0</v>
      </c>
      <c r="AC3175" s="387"/>
      <c r="AD3175" s="387"/>
      <c r="AE3175" s="387">
        <f t="shared" si="703"/>
        <v>0</v>
      </c>
      <c r="AF3175" s="314">
        <f t="shared" si="699"/>
        <v>0</v>
      </c>
      <c r="AG3175" s="387"/>
      <c r="AH3175" s="387"/>
      <c r="AI3175" s="387"/>
      <c r="AJ3175" s="387"/>
      <c r="AK3175" s="314">
        <f t="shared" si="694"/>
        <v>0</v>
      </c>
      <c r="AL3175" s="421">
        <f t="shared" si="695"/>
        <v>0</v>
      </c>
      <c r="AM3175" s="387">
        <f t="shared" si="696"/>
        <v>0</v>
      </c>
      <c r="AN3175" s="422">
        <f t="shared" si="705"/>
        <v>0</v>
      </c>
      <c r="AO3175" s="108"/>
      <c r="AP3175"/>
    </row>
    <row r="3176" spans="1:42" x14ac:dyDescent="0.25">
      <c r="A3176" s="61"/>
      <c r="B3176" s="482"/>
      <c r="C3176" s="9"/>
      <c r="D3176" s="869"/>
      <c r="E3176" s="1027"/>
      <c r="F3176" s="272"/>
      <c r="G3176" s="272"/>
      <c r="H3176" s="272"/>
      <c r="I3176" s="720"/>
      <c r="J3176" s="763"/>
      <c r="K3176" s="131">
        <f t="shared" si="704"/>
        <v>0</v>
      </c>
      <c r="L3176" s="335">
        <f t="shared" si="693"/>
        <v>0</v>
      </c>
      <c r="M3176" s="446"/>
      <c r="N3176" s="446"/>
      <c r="O3176" s="446"/>
      <c r="P3176" s="446"/>
      <c r="Q3176" s="110">
        <f t="shared" si="701"/>
        <v>0</v>
      </c>
      <c r="R3176" s="111">
        <f t="shared" si="691"/>
        <v>0</v>
      </c>
      <c r="S3176" s="110"/>
      <c r="T3176" s="110"/>
      <c r="U3176" s="110">
        <f t="shared" si="702"/>
        <v>0</v>
      </c>
      <c r="V3176" s="111">
        <f t="shared" si="692"/>
        <v>0</v>
      </c>
      <c r="W3176" s="110"/>
      <c r="X3176" s="110"/>
      <c r="Y3176" s="110"/>
      <c r="Z3176" s="110"/>
      <c r="AA3176" s="110">
        <f t="shared" si="703"/>
        <v>0</v>
      </c>
      <c r="AB3176" s="111">
        <f t="shared" si="698"/>
        <v>0</v>
      </c>
      <c r="AC3176" s="110"/>
      <c r="AD3176" s="110"/>
      <c r="AE3176" s="110">
        <f t="shared" si="703"/>
        <v>0</v>
      </c>
      <c r="AF3176" s="111">
        <f t="shared" si="699"/>
        <v>0</v>
      </c>
      <c r="AG3176" s="110"/>
      <c r="AH3176" s="110"/>
      <c r="AI3176" s="110"/>
      <c r="AJ3176" s="110"/>
      <c r="AK3176" s="111">
        <f t="shared" si="694"/>
        <v>0</v>
      </c>
      <c r="AL3176" s="446">
        <f t="shared" si="695"/>
        <v>0</v>
      </c>
      <c r="AM3176" s="110">
        <f t="shared" si="696"/>
        <v>0</v>
      </c>
      <c r="AN3176" s="447">
        <f t="shared" si="705"/>
        <v>0</v>
      </c>
      <c r="AO3176"/>
      <c r="AP3176"/>
    </row>
    <row r="3177" spans="1:42" ht="22.5" x14ac:dyDescent="0.25">
      <c r="A3177" s="310">
        <v>27104</v>
      </c>
      <c r="B3177" s="375" t="s">
        <v>665</v>
      </c>
      <c r="C3177" s="311"/>
      <c r="D3177" s="902"/>
      <c r="E3177" s="312"/>
      <c r="F3177" s="313"/>
      <c r="G3177" s="313"/>
      <c r="H3177" s="313"/>
      <c r="I3177" s="729"/>
      <c r="J3177" s="800"/>
      <c r="K3177" s="131">
        <f t="shared" si="704"/>
        <v>0</v>
      </c>
      <c r="L3177" s="335">
        <f t="shared" si="693"/>
        <v>0</v>
      </c>
      <c r="M3177" s="421"/>
      <c r="N3177" s="421"/>
      <c r="O3177" s="421"/>
      <c r="P3177" s="421"/>
      <c r="Q3177" s="387">
        <f t="shared" si="701"/>
        <v>0</v>
      </c>
      <c r="R3177" s="314">
        <f t="shared" si="691"/>
        <v>0</v>
      </c>
      <c r="S3177" s="387"/>
      <c r="T3177" s="387"/>
      <c r="U3177" s="387">
        <f t="shared" si="702"/>
        <v>0</v>
      </c>
      <c r="V3177" s="314">
        <f t="shared" si="692"/>
        <v>0</v>
      </c>
      <c r="W3177" s="387"/>
      <c r="X3177" s="387"/>
      <c r="Y3177" s="387"/>
      <c r="Z3177" s="387"/>
      <c r="AA3177" s="387">
        <f t="shared" si="703"/>
        <v>0</v>
      </c>
      <c r="AB3177" s="314">
        <f t="shared" si="698"/>
        <v>0</v>
      </c>
      <c r="AC3177" s="387"/>
      <c r="AD3177" s="387"/>
      <c r="AE3177" s="387">
        <f t="shared" si="703"/>
        <v>0</v>
      </c>
      <c r="AF3177" s="314">
        <f t="shared" si="699"/>
        <v>0</v>
      </c>
      <c r="AG3177" s="387"/>
      <c r="AH3177" s="387"/>
      <c r="AI3177" s="387"/>
      <c r="AJ3177" s="387"/>
      <c r="AK3177" s="314">
        <f t="shared" si="694"/>
        <v>0</v>
      </c>
      <c r="AL3177" s="421">
        <f t="shared" si="695"/>
        <v>0</v>
      </c>
      <c r="AM3177" s="387">
        <f t="shared" si="696"/>
        <v>0</v>
      </c>
      <c r="AN3177" s="422">
        <f t="shared" si="705"/>
        <v>0</v>
      </c>
      <c r="AO3177" s="108"/>
      <c r="AP3177"/>
    </row>
    <row r="3178" spans="1:42" x14ac:dyDescent="0.25">
      <c r="A3178" s="61"/>
      <c r="B3178" s="482"/>
      <c r="C3178" s="9"/>
      <c r="D3178" s="869"/>
      <c r="E3178" s="1027"/>
      <c r="F3178" s="272"/>
      <c r="G3178" s="272"/>
      <c r="H3178" s="272"/>
      <c r="I3178" s="720"/>
      <c r="J3178" s="763"/>
      <c r="K3178" s="131">
        <f t="shared" si="704"/>
        <v>0</v>
      </c>
      <c r="L3178" s="335">
        <f t="shared" si="693"/>
        <v>0</v>
      </c>
      <c r="M3178" s="446"/>
      <c r="N3178" s="446"/>
      <c r="O3178" s="446"/>
      <c r="P3178" s="446"/>
      <c r="Q3178" s="110">
        <f t="shared" si="701"/>
        <v>0</v>
      </c>
      <c r="R3178" s="111">
        <f t="shared" si="691"/>
        <v>0</v>
      </c>
      <c r="S3178" s="110"/>
      <c r="T3178" s="110"/>
      <c r="U3178" s="110">
        <f t="shared" si="702"/>
        <v>0</v>
      </c>
      <c r="V3178" s="111">
        <f t="shared" si="692"/>
        <v>0</v>
      </c>
      <c r="W3178" s="110"/>
      <c r="X3178" s="110"/>
      <c r="Y3178" s="110"/>
      <c r="Z3178" s="110"/>
      <c r="AA3178" s="110">
        <f t="shared" si="703"/>
        <v>0</v>
      </c>
      <c r="AB3178" s="111">
        <f t="shared" si="698"/>
        <v>0</v>
      </c>
      <c r="AC3178" s="110"/>
      <c r="AD3178" s="110"/>
      <c r="AE3178" s="110">
        <f t="shared" si="703"/>
        <v>0</v>
      </c>
      <c r="AF3178" s="111">
        <f t="shared" si="699"/>
        <v>0</v>
      </c>
      <c r="AG3178" s="110"/>
      <c r="AH3178" s="110"/>
      <c r="AI3178" s="110"/>
      <c r="AJ3178" s="110"/>
      <c r="AK3178" s="111">
        <f t="shared" si="694"/>
        <v>0</v>
      </c>
      <c r="AL3178" s="446">
        <f t="shared" si="695"/>
        <v>0</v>
      </c>
      <c r="AM3178" s="110">
        <f t="shared" si="696"/>
        <v>0</v>
      </c>
      <c r="AN3178" s="447">
        <f t="shared" si="705"/>
        <v>0</v>
      </c>
      <c r="AO3178"/>
      <c r="AP3178"/>
    </row>
    <row r="3179" spans="1:42" ht="22.5" x14ac:dyDescent="0.25">
      <c r="A3179" s="310">
        <v>27105</v>
      </c>
      <c r="B3179" s="375" t="s">
        <v>666</v>
      </c>
      <c r="C3179" s="311"/>
      <c r="D3179" s="902"/>
      <c r="E3179" s="312"/>
      <c r="F3179" s="313"/>
      <c r="G3179" s="313"/>
      <c r="H3179" s="313"/>
      <c r="I3179" s="729"/>
      <c r="J3179" s="800"/>
      <c r="K3179" s="131">
        <f t="shared" si="704"/>
        <v>0</v>
      </c>
      <c r="L3179" s="335">
        <f t="shared" si="693"/>
        <v>0</v>
      </c>
      <c r="M3179" s="421"/>
      <c r="N3179" s="421"/>
      <c r="O3179" s="421"/>
      <c r="P3179" s="421"/>
      <c r="Q3179" s="387">
        <f t="shared" si="701"/>
        <v>0</v>
      </c>
      <c r="R3179" s="314">
        <f t="shared" si="691"/>
        <v>0</v>
      </c>
      <c r="S3179" s="387"/>
      <c r="T3179" s="387"/>
      <c r="U3179" s="387">
        <f t="shared" si="702"/>
        <v>0</v>
      </c>
      <c r="V3179" s="314">
        <f t="shared" si="692"/>
        <v>0</v>
      </c>
      <c r="W3179" s="387"/>
      <c r="X3179" s="387"/>
      <c r="Y3179" s="387"/>
      <c r="Z3179" s="387"/>
      <c r="AA3179" s="387">
        <f t="shared" si="703"/>
        <v>0</v>
      </c>
      <c r="AB3179" s="314">
        <f t="shared" si="698"/>
        <v>0</v>
      </c>
      <c r="AC3179" s="387"/>
      <c r="AD3179" s="387"/>
      <c r="AE3179" s="387">
        <f t="shared" si="703"/>
        <v>0</v>
      </c>
      <c r="AF3179" s="314">
        <f t="shared" si="699"/>
        <v>0</v>
      </c>
      <c r="AG3179" s="387"/>
      <c r="AH3179" s="387"/>
      <c r="AI3179" s="387"/>
      <c r="AJ3179" s="387"/>
      <c r="AK3179" s="314">
        <f t="shared" si="694"/>
        <v>0</v>
      </c>
      <c r="AL3179" s="421">
        <f t="shared" si="695"/>
        <v>0</v>
      </c>
      <c r="AM3179" s="387">
        <f t="shared" si="696"/>
        <v>0</v>
      </c>
      <c r="AN3179" s="422">
        <f t="shared" si="705"/>
        <v>0</v>
      </c>
      <c r="AO3179" s="436">
        <f>SUM(J3180)</f>
        <v>18438.2</v>
      </c>
      <c r="AP3179" s="111"/>
    </row>
    <row r="3180" spans="1:42" ht="66" x14ac:dyDescent="0.25">
      <c r="A3180" s="63"/>
      <c r="B3180" s="145" t="s">
        <v>1476</v>
      </c>
      <c r="C3180" s="1024"/>
      <c r="D3180" s="869">
        <v>55</v>
      </c>
      <c r="E3180" s="1027" t="s">
        <v>2248</v>
      </c>
      <c r="F3180" s="273" t="s">
        <v>3446</v>
      </c>
      <c r="G3180" s="1040" t="s">
        <v>3463</v>
      </c>
      <c r="H3180" s="273" t="s">
        <v>3462</v>
      </c>
      <c r="I3180" s="720">
        <f>+J3180/D3180</f>
        <v>335.24</v>
      </c>
      <c r="J3180" s="756">
        <v>18438.2</v>
      </c>
      <c r="K3180" s="131">
        <f t="shared" si="704"/>
        <v>18438.2</v>
      </c>
      <c r="L3180" s="335">
        <f t="shared" si="693"/>
        <v>0</v>
      </c>
      <c r="M3180" s="446"/>
      <c r="N3180" s="446"/>
      <c r="O3180" s="446"/>
      <c r="P3180" s="446"/>
      <c r="Q3180" s="110">
        <v>14</v>
      </c>
      <c r="R3180" s="111">
        <f t="shared" si="691"/>
        <v>4609.55</v>
      </c>
      <c r="S3180" s="110"/>
      <c r="T3180" s="110"/>
      <c r="U3180" s="110">
        <v>14</v>
      </c>
      <c r="V3180" s="111">
        <f t="shared" si="692"/>
        <v>4609.55</v>
      </c>
      <c r="W3180" s="110"/>
      <c r="X3180" s="110"/>
      <c r="Y3180" s="110"/>
      <c r="Z3180" s="110"/>
      <c r="AA3180" s="110">
        <v>14</v>
      </c>
      <c r="AB3180" s="111">
        <f t="shared" si="698"/>
        <v>4609.55</v>
      </c>
      <c r="AC3180" s="110"/>
      <c r="AD3180" s="110"/>
      <c r="AE3180" s="110">
        <v>13</v>
      </c>
      <c r="AF3180" s="111">
        <f t="shared" si="699"/>
        <v>4609.55</v>
      </c>
      <c r="AG3180" s="110"/>
      <c r="AH3180" s="110"/>
      <c r="AI3180" s="110"/>
      <c r="AJ3180" s="110"/>
      <c r="AK3180" s="111">
        <f t="shared" si="694"/>
        <v>18438.2</v>
      </c>
      <c r="AL3180" s="446">
        <f t="shared" si="695"/>
        <v>0</v>
      </c>
      <c r="AM3180" s="110">
        <f t="shared" si="696"/>
        <v>55</v>
      </c>
      <c r="AN3180" s="447">
        <f t="shared" si="705"/>
        <v>0</v>
      </c>
      <c r="AO3180"/>
      <c r="AP3180"/>
    </row>
    <row r="3181" spans="1:42" ht="22.5" x14ac:dyDescent="0.25">
      <c r="A3181" s="310">
        <v>27106</v>
      </c>
      <c r="B3181" s="375" t="s">
        <v>667</v>
      </c>
      <c r="C3181" s="311"/>
      <c r="D3181" s="902"/>
      <c r="E3181" s="312"/>
      <c r="F3181" s="313"/>
      <c r="G3181" s="313"/>
      <c r="H3181" s="313"/>
      <c r="I3181" s="729"/>
      <c r="J3181" s="800"/>
      <c r="K3181" s="131">
        <f t="shared" si="704"/>
        <v>0</v>
      </c>
      <c r="L3181" s="335">
        <f t="shared" si="693"/>
        <v>0</v>
      </c>
      <c r="M3181" s="421"/>
      <c r="N3181" s="421"/>
      <c r="O3181" s="421"/>
      <c r="P3181" s="421"/>
      <c r="Q3181" s="387">
        <f t="shared" si="701"/>
        <v>0</v>
      </c>
      <c r="R3181" s="314">
        <f t="shared" si="691"/>
        <v>0</v>
      </c>
      <c r="S3181" s="387"/>
      <c r="T3181" s="387"/>
      <c r="U3181" s="387">
        <f t="shared" si="702"/>
        <v>0</v>
      </c>
      <c r="V3181" s="314">
        <f t="shared" si="692"/>
        <v>0</v>
      </c>
      <c r="W3181" s="387"/>
      <c r="X3181" s="387"/>
      <c r="Y3181" s="387"/>
      <c r="Z3181" s="387"/>
      <c r="AA3181" s="387">
        <f t="shared" si="703"/>
        <v>0</v>
      </c>
      <c r="AB3181" s="314">
        <f t="shared" si="698"/>
        <v>0</v>
      </c>
      <c r="AC3181" s="387"/>
      <c r="AD3181" s="387"/>
      <c r="AE3181" s="387">
        <f t="shared" si="703"/>
        <v>0</v>
      </c>
      <c r="AF3181" s="314">
        <f t="shared" si="699"/>
        <v>0</v>
      </c>
      <c r="AG3181" s="387"/>
      <c r="AH3181" s="387"/>
      <c r="AI3181" s="387"/>
      <c r="AJ3181" s="387"/>
      <c r="AK3181" s="314">
        <f t="shared" si="694"/>
        <v>0</v>
      </c>
      <c r="AL3181" s="421">
        <f t="shared" si="695"/>
        <v>0</v>
      </c>
      <c r="AM3181" s="387">
        <f t="shared" si="696"/>
        <v>0</v>
      </c>
      <c r="AN3181" s="422">
        <f t="shared" si="705"/>
        <v>0</v>
      </c>
      <c r="AO3181" s="436">
        <f>SUM(J3182:J3212)</f>
        <v>254872.07927200006</v>
      </c>
      <c r="AP3181" s="111"/>
    </row>
    <row r="3182" spans="1:42" ht="66" x14ac:dyDescent="0.25">
      <c r="A3182" s="9"/>
      <c r="B3182" s="481" t="s">
        <v>668</v>
      </c>
      <c r="C3182" s="1024"/>
      <c r="D3182" s="869">
        <v>10</v>
      </c>
      <c r="E3182" s="1027" t="s">
        <v>1725</v>
      </c>
      <c r="F3182" s="273" t="s">
        <v>3446</v>
      </c>
      <c r="G3182" s="1040" t="s">
        <v>3463</v>
      </c>
      <c r="H3182" s="273" t="s">
        <v>3462</v>
      </c>
      <c r="I3182" s="720">
        <f>+J3182/D3182</f>
        <v>236.7792</v>
      </c>
      <c r="J3182" s="756">
        <v>2367.7919999999999</v>
      </c>
      <c r="K3182" s="131">
        <f t="shared" si="704"/>
        <v>2367.7919999999999</v>
      </c>
      <c r="L3182" s="335">
        <f t="shared" si="693"/>
        <v>0</v>
      </c>
      <c r="M3182" s="446"/>
      <c r="N3182" s="446"/>
      <c r="O3182" s="446"/>
      <c r="P3182" s="446"/>
      <c r="Q3182" s="130">
        <v>3</v>
      </c>
      <c r="R3182" s="111">
        <f t="shared" si="691"/>
        <v>591.94799999999998</v>
      </c>
      <c r="S3182" s="110"/>
      <c r="T3182" s="110"/>
      <c r="U3182" s="130">
        <v>3</v>
      </c>
      <c r="V3182" s="111">
        <f t="shared" si="692"/>
        <v>591.94799999999998</v>
      </c>
      <c r="W3182" s="110"/>
      <c r="X3182" s="110"/>
      <c r="Y3182" s="110"/>
      <c r="Z3182" s="110"/>
      <c r="AA3182" s="130">
        <v>2</v>
      </c>
      <c r="AB3182" s="111">
        <f t="shared" si="698"/>
        <v>591.94799999999998</v>
      </c>
      <c r="AC3182" s="110"/>
      <c r="AD3182" s="110"/>
      <c r="AE3182" s="130">
        <v>2</v>
      </c>
      <c r="AF3182" s="111">
        <f t="shared" si="699"/>
        <v>591.94799999999998</v>
      </c>
      <c r="AG3182" s="110"/>
      <c r="AH3182" s="110"/>
      <c r="AI3182" s="110"/>
      <c r="AJ3182" s="110"/>
      <c r="AK3182" s="111">
        <f t="shared" si="694"/>
        <v>2367.7919999999999</v>
      </c>
      <c r="AL3182" s="446">
        <f t="shared" si="695"/>
        <v>0</v>
      </c>
      <c r="AM3182" s="110">
        <f t="shared" si="696"/>
        <v>10</v>
      </c>
      <c r="AN3182" s="447">
        <f t="shared" si="705"/>
        <v>0</v>
      </c>
      <c r="AO3182"/>
      <c r="AP3182"/>
    </row>
    <row r="3183" spans="1:42" ht="66" x14ac:dyDescent="0.25">
      <c r="A3183" s="9"/>
      <c r="B3183" s="481" t="s">
        <v>669</v>
      </c>
      <c r="C3183" s="1024"/>
      <c r="D3183" s="869">
        <v>10</v>
      </c>
      <c r="E3183" s="1027" t="s">
        <v>1725</v>
      </c>
      <c r="F3183" s="273" t="s">
        <v>3446</v>
      </c>
      <c r="G3183" s="1040" t="s">
        <v>3463</v>
      </c>
      <c r="H3183" s="273" t="s">
        <v>3462</v>
      </c>
      <c r="I3183" s="720">
        <f>+J3183/D3183</f>
        <v>137.44839999999999</v>
      </c>
      <c r="J3183" s="756">
        <v>1374.4839999999999</v>
      </c>
      <c r="K3183" s="131">
        <f t="shared" si="704"/>
        <v>1374.4839999999999</v>
      </c>
      <c r="L3183" s="335">
        <f t="shared" si="693"/>
        <v>0</v>
      </c>
      <c r="M3183" s="446"/>
      <c r="N3183" s="446"/>
      <c r="O3183" s="446"/>
      <c r="P3183" s="446"/>
      <c r="Q3183" s="130">
        <v>3</v>
      </c>
      <c r="R3183" s="111">
        <f t="shared" ref="R3183:R3246" si="706">+J3183/4</f>
        <v>343.62099999999998</v>
      </c>
      <c r="S3183" s="110"/>
      <c r="T3183" s="110"/>
      <c r="U3183" s="130">
        <v>3</v>
      </c>
      <c r="V3183" s="111">
        <f t="shared" ref="V3183:V3246" si="707">+J3183/4</f>
        <v>343.62099999999998</v>
      </c>
      <c r="W3183" s="110"/>
      <c r="X3183" s="110"/>
      <c r="Y3183" s="110"/>
      <c r="Z3183" s="110"/>
      <c r="AA3183" s="130">
        <v>2</v>
      </c>
      <c r="AB3183" s="111">
        <f t="shared" si="698"/>
        <v>343.62099999999998</v>
      </c>
      <c r="AC3183" s="110"/>
      <c r="AD3183" s="110"/>
      <c r="AE3183" s="130">
        <v>2</v>
      </c>
      <c r="AF3183" s="111">
        <f t="shared" si="699"/>
        <v>343.62099999999998</v>
      </c>
      <c r="AG3183" s="110"/>
      <c r="AH3183" s="110"/>
      <c r="AI3183" s="110"/>
      <c r="AJ3183" s="110"/>
      <c r="AK3183" s="111">
        <f t="shared" si="694"/>
        <v>1374.4839999999999</v>
      </c>
      <c r="AL3183" s="446">
        <f t="shared" si="695"/>
        <v>0</v>
      </c>
      <c r="AM3183" s="110">
        <f t="shared" si="696"/>
        <v>10</v>
      </c>
      <c r="AN3183" s="447">
        <f t="shared" si="705"/>
        <v>0</v>
      </c>
      <c r="AO3183"/>
      <c r="AP3183"/>
    </row>
    <row r="3184" spans="1:42" ht="66" x14ac:dyDescent="0.25">
      <c r="A3184" s="9"/>
      <c r="B3184" s="481" t="s">
        <v>670</v>
      </c>
      <c r="C3184" s="1024"/>
      <c r="D3184" s="869">
        <v>336</v>
      </c>
      <c r="E3184" s="1027" t="s">
        <v>1725</v>
      </c>
      <c r="F3184" s="273" t="s">
        <v>3446</v>
      </c>
      <c r="G3184" s="1040" t="s">
        <v>3463</v>
      </c>
      <c r="H3184" s="273" t="s">
        <v>3462</v>
      </c>
      <c r="I3184" s="720">
        <f>+J3184/D3184</f>
        <v>155.904</v>
      </c>
      <c r="J3184" s="756">
        <v>52383.743999999999</v>
      </c>
      <c r="K3184" s="131">
        <f t="shared" si="704"/>
        <v>52383.743999999999</v>
      </c>
      <c r="L3184" s="335">
        <f t="shared" si="693"/>
        <v>0</v>
      </c>
      <c r="M3184" s="446"/>
      <c r="N3184" s="446"/>
      <c r="O3184" s="446"/>
      <c r="P3184" s="446"/>
      <c r="Q3184" s="110">
        <f t="shared" si="701"/>
        <v>84</v>
      </c>
      <c r="R3184" s="111">
        <f t="shared" si="706"/>
        <v>13095.936</v>
      </c>
      <c r="S3184" s="110"/>
      <c r="T3184" s="110"/>
      <c r="U3184" s="110">
        <f t="shared" si="702"/>
        <v>84</v>
      </c>
      <c r="V3184" s="111">
        <f t="shared" si="707"/>
        <v>13095.936</v>
      </c>
      <c r="W3184" s="110"/>
      <c r="X3184" s="110"/>
      <c r="Y3184" s="110"/>
      <c r="Z3184" s="110"/>
      <c r="AA3184" s="110">
        <f t="shared" si="703"/>
        <v>84</v>
      </c>
      <c r="AB3184" s="111">
        <f t="shared" si="698"/>
        <v>13095.936</v>
      </c>
      <c r="AC3184" s="110"/>
      <c r="AD3184" s="110"/>
      <c r="AE3184" s="110">
        <f t="shared" si="703"/>
        <v>84</v>
      </c>
      <c r="AF3184" s="111">
        <f t="shared" si="699"/>
        <v>13095.936</v>
      </c>
      <c r="AG3184" s="110"/>
      <c r="AH3184" s="110"/>
      <c r="AI3184" s="110"/>
      <c r="AJ3184" s="110"/>
      <c r="AK3184" s="111">
        <f t="shared" si="694"/>
        <v>52383.743999999999</v>
      </c>
      <c r="AL3184" s="446">
        <f t="shared" si="695"/>
        <v>0</v>
      </c>
      <c r="AM3184" s="110">
        <f t="shared" si="696"/>
        <v>336</v>
      </c>
      <c r="AN3184" s="447">
        <f t="shared" si="705"/>
        <v>0</v>
      </c>
      <c r="AO3184"/>
      <c r="AP3184"/>
    </row>
    <row r="3185" spans="1:42" ht="66" x14ac:dyDescent="0.25">
      <c r="A3185" s="9"/>
      <c r="B3185" s="481" t="s">
        <v>671</v>
      </c>
      <c r="C3185" s="1024"/>
      <c r="D3185" s="869">
        <v>384</v>
      </c>
      <c r="E3185" s="1027" t="s">
        <v>1725</v>
      </c>
      <c r="F3185" s="273" t="s">
        <v>3446</v>
      </c>
      <c r="G3185" s="1040" t="s">
        <v>3463</v>
      </c>
      <c r="H3185" s="273" t="s">
        <v>3462</v>
      </c>
      <c r="I3185" s="720">
        <f>+J3185/D3185</f>
        <v>168.9888</v>
      </c>
      <c r="J3185" s="756">
        <v>64891.699200000003</v>
      </c>
      <c r="K3185" s="131">
        <f t="shared" si="704"/>
        <v>64891.699200000003</v>
      </c>
      <c r="L3185" s="335">
        <f t="shared" si="693"/>
        <v>0</v>
      </c>
      <c r="M3185" s="446"/>
      <c r="N3185" s="446"/>
      <c r="O3185" s="446"/>
      <c r="P3185" s="446"/>
      <c r="Q3185" s="110">
        <f t="shared" si="701"/>
        <v>96</v>
      </c>
      <c r="R3185" s="111">
        <f t="shared" si="706"/>
        <v>16222.924800000001</v>
      </c>
      <c r="S3185" s="110"/>
      <c r="T3185" s="110"/>
      <c r="U3185" s="110">
        <f t="shared" si="702"/>
        <v>96</v>
      </c>
      <c r="V3185" s="111">
        <f t="shared" si="707"/>
        <v>16222.924800000001</v>
      </c>
      <c r="W3185" s="110"/>
      <c r="X3185" s="110"/>
      <c r="Y3185" s="110"/>
      <c r="Z3185" s="110"/>
      <c r="AA3185" s="110">
        <f t="shared" si="703"/>
        <v>96</v>
      </c>
      <c r="AB3185" s="111">
        <f t="shared" si="698"/>
        <v>16222.924800000001</v>
      </c>
      <c r="AC3185" s="110"/>
      <c r="AD3185" s="110"/>
      <c r="AE3185" s="110">
        <f t="shared" si="703"/>
        <v>96</v>
      </c>
      <c r="AF3185" s="111">
        <f t="shared" si="699"/>
        <v>16222.924800000001</v>
      </c>
      <c r="AG3185" s="110"/>
      <c r="AH3185" s="110"/>
      <c r="AI3185" s="110"/>
      <c r="AJ3185" s="110"/>
      <c r="AK3185" s="111">
        <f t="shared" si="694"/>
        <v>64891.699200000003</v>
      </c>
      <c r="AL3185" s="446">
        <f t="shared" si="695"/>
        <v>0</v>
      </c>
      <c r="AM3185" s="110">
        <f t="shared" si="696"/>
        <v>384</v>
      </c>
      <c r="AN3185" s="447">
        <f t="shared" si="705"/>
        <v>0</v>
      </c>
      <c r="AO3185"/>
      <c r="AP3185"/>
    </row>
    <row r="3186" spans="1:42" ht="66" x14ac:dyDescent="0.25">
      <c r="A3186" s="9"/>
      <c r="B3186" s="575" t="s">
        <v>672</v>
      </c>
      <c r="C3186" s="1024"/>
      <c r="D3186" s="869">
        <v>240</v>
      </c>
      <c r="E3186" s="1027" t="s">
        <v>1725</v>
      </c>
      <c r="F3186" s="273" t="s">
        <v>3446</v>
      </c>
      <c r="G3186" s="1040" t="s">
        <v>3463</v>
      </c>
      <c r="H3186" s="273" t="s">
        <v>3462</v>
      </c>
      <c r="I3186" s="720">
        <f>+J3186/D3186</f>
        <v>215.29599999999999</v>
      </c>
      <c r="J3186" s="756">
        <v>51671.040000000001</v>
      </c>
      <c r="K3186" s="131">
        <f t="shared" si="704"/>
        <v>51671.040000000001</v>
      </c>
      <c r="L3186" s="335">
        <f t="shared" si="693"/>
        <v>0</v>
      </c>
      <c r="M3186" s="446"/>
      <c r="N3186" s="446"/>
      <c r="O3186" s="446"/>
      <c r="P3186" s="446"/>
      <c r="Q3186" s="110">
        <f t="shared" si="701"/>
        <v>60</v>
      </c>
      <c r="R3186" s="111">
        <f t="shared" si="706"/>
        <v>12917.76</v>
      </c>
      <c r="S3186" s="110"/>
      <c r="T3186" s="110"/>
      <c r="U3186" s="110">
        <f t="shared" si="702"/>
        <v>60</v>
      </c>
      <c r="V3186" s="111">
        <f t="shared" si="707"/>
        <v>12917.76</v>
      </c>
      <c r="W3186" s="110"/>
      <c r="X3186" s="110"/>
      <c r="Y3186" s="110"/>
      <c r="Z3186" s="110"/>
      <c r="AA3186" s="110">
        <f t="shared" si="703"/>
        <v>60</v>
      </c>
      <c r="AB3186" s="111">
        <f t="shared" si="698"/>
        <v>12917.76</v>
      </c>
      <c r="AC3186" s="110"/>
      <c r="AD3186" s="110"/>
      <c r="AE3186" s="110">
        <f t="shared" si="703"/>
        <v>60</v>
      </c>
      <c r="AF3186" s="111">
        <f t="shared" si="699"/>
        <v>12917.76</v>
      </c>
      <c r="AG3186" s="110"/>
      <c r="AH3186" s="110"/>
      <c r="AI3186" s="110"/>
      <c r="AJ3186" s="110"/>
      <c r="AK3186" s="111">
        <f t="shared" si="694"/>
        <v>51671.040000000001</v>
      </c>
      <c r="AL3186" s="446">
        <f t="shared" si="695"/>
        <v>0</v>
      </c>
      <c r="AM3186" s="110">
        <f t="shared" si="696"/>
        <v>240</v>
      </c>
      <c r="AN3186" s="447">
        <f t="shared" si="705"/>
        <v>0</v>
      </c>
      <c r="AO3186"/>
      <c r="AP3186"/>
    </row>
    <row r="3187" spans="1:42" ht="66" x14ac:dyDescent="0.25">
      <c r="A3187" s="9"/>
      <c r="B3187" s="485" t="s">
        <v>1287</v>
      </c>
      <c r="C3187" s="1024"/>
      <c r="D3187" s="916">
        <v>4</v>
      </c>
      <c r="E3187" s="1027" t="s">
        <v>1721</v>
      </c>
      <c r="F3187" s="273" t="s">
        <v>3446</v>
      </c>
      <c r="G3187" s="1040" t="s">
        <v>3463</v>
      </c>
      <c r="H3187" s="273" t="s">
        <v>3462</v>
      </c>
      <c r="I3187" s="720">
        <f t="shared" ref="I3187:I3212" si="708">+J3187/D3187</f>
        <v>434.99999999999994</v>
      </c>
      <c r="J3187" s="756">
        <v>1739.9999999999998</v>
      </c>
      <c r="K3187" s="131">
        <f t="shared" si="704"/>
        <v>1739.9999999999998</v>
      </c>
      <c r="L3187" s="335">
        <f t="shared" si="693"/>
        <v>0</v>
      </c>
      <c r="M3187" s="446"/>
      <c r="N3187" s="446"/>
      <c r="O3187" s="446"/>
      <c r="P3187" s="446"/>
      <c r="Q3187" s="110">
        <f t="shared" si="701"/>
        <v>1</v>
      </c>
      <c r="R3187" s="111">
        <f t="shared" si="706"/>
        <v>434.99999999999994</v>
      </c>
      <c r="S3187" s="110"/>
      <c r="T3187" s="110"/>
      <c r="U3187" s="110">
        <f t="shared" si="702"/>
        <v>1</v>
      </c>
      <c r="V3187" s="111">
        <f t="shared" si="707"/>
        <v>434.99999999999994</v>
      </c>
      <c r="W3187" s="110"/>
      <c r="X3187" s="110"/>
      <c r="Y3187" s="110"/>
      <c r="Z3187" s="110"/>
      <c r="AA3187" s="110">
        <f t="shared" si="703"/>
        <v>1</v>
      </c>
      <c r="AB3187" s="111">
        <f t="shared" si="698"/>
        <v>434.99999999999994</v>
      </c>
      <c r="AC3187" s="110"/>
      <c r="AD3187" s="110"/>
      <c r="AE3187" s="110">
        <f t="shared" si="703"/>
        <v>1</v>
      </c>
      <c r="AF3187" s="111">
        <f t="shared" si="699"/>
        <v>434.99999999999994</v>
      </c>
      <c r="AG3187" s="110"/>
      <c r="AH3187" s="110"/>
      <c r="AI3187" s="110"/>
      <c r="AJ3187" s="110"/>
      <c r="AK3187" s="111">
        <f t="shared" si="694"/>
        <v>1739.9999999999998</v>
      </c>
      <c r="AL3187" s="446">
        <f t="shared" si="695"/>
        <v>0</v>
      </c>
      <c r="AM3187" s="110">
        <f t="shared" si="696"/>
        <v>4</v>
      </c>
      <c r="AN3187" s="447">
        <f t="shared" si="705"/>
        <v>0</v>
      </c>
      <c r="AO3187"/>
      <c r="AP3187"/>
    </row>
    <row r="3188" spans="1:42" ht="66" x14ac:dyDescent="0.25">
      <c r="A3188" s="9"/>
      <c r="B3188" s="482" t="s">
        <v>1288</v>
      </c>
      <c r="C3188" s="1024"/>
      <c r="D3188" s="916">
        <v>5</v>
      </c>
      <c r="E3188" s="1027" t="s">
        <v>1721</v>
      </c>
      <c r="F3188" s="273" t="s">
        <v>3446</v>
      </c>
      <c r="G3188" s="1040" t="s">
        <v>3463</v>
      </c>
      <c r="H3188" s="273" t="s">
        <v>3462</v>
      </c>
      <c r="I3188" s="720">
        <f t="shared" si="708"/>
        <v>452.4</v>
      </c>
      <c r="J3188" s="756">
        <v>2262</v>
      </c>
      <c r="K3188" s="131">
        <f t="shared" si="704"/>
        <v>2262</v>
      </c>
      <c r="L3188" s="335">
        <f t="shared" ref="L3188:L3251" si="709">+J3188-K3188</f>
        <v>0</v>
      </c>
      <c r="M3188" s="446"/>
      <c r="N3188" s="446"/>
      <c r="O3188" s="446"/>
      <c r="P3188" s="446"/>
      <c r="Q3188" s="110">
        <v>2</v>
      </c>
      <c r="R3188" s="111">
        <f t="shared" si="706"/>
        <v>565.5</v>
      </c>
      <c r="S3188" s="110"/>
      <c r="T3188" s="110"/>
      <c r="U3188" s="110">
        <v>1</v>
      </c>
      <c r="V3188" s="111">
        <f t="shared" si="707"/>
        <v>565.5</v>
      </c>
      <c r="W3188" s="110"/>
      <c r="X3188" s="110"/>
      <c r="Y3188" s="110"/>
      <c r="Z3188" s="110"/>
      <c r="AA3188" s="110">
        <v>1</v>
      </c>
      <c r="AB3188" s="111">
        <f t="shared" si="698"/>
        <v>565.5</v>
      </c>
      <c r="AC3188" s="110"/>
      <c r="AD3188" s="110"/>
      <c r="AE3188" s="110">
        <v>1</v>
      </c>
      <c r="AF3188" s="111">
        <f t="shared" si="699"/>
        <v>565.5</v>
      </c>
      <c r="AG3188" s="110"/>
      <c r="AH3188" s="110"/>
      <c r="AI3188" s="110"/>
      <c r="AJ3188" s="110"/>
      <c r="AK3188" s="111">
        <f t="shared" ref="AK3188:AK3251" si="710">+R3188+V3188+AB3188+AF3188</f>
        <v>2262</v>
      </c>
      <c r="AL3188" s="446">
        <f t="shared" ref="AL3188:AL3251" si="711">+J3188-AK3188</f>
        <v>0</v>
      </c>
      <c r="AM3188" s="110">
        <f t="shared" ref="AM3188:AM3251" si="712">+Q3188+U3188+AA3188+AE3188</f>
        <v>5</v>
      </c>
      <c r="AN3188" s="447">
        <f t="shared" si="705"/>
        <v>0</v>
      </c>
      <c r="AO3188"/>
      <c r="AP3188"/>
    </row>
    <row r="3189" spans="1:42" ht="66" x14ac:dyDescent="0.25">
      <c r="A3189" s="9"/>
      <c r="B3189" s="482" t="s">
        <v>1289</v>
      </c>
      <c r="C3189" s="1024"/>
      <c r="D3189" s="916">
        <v>10</v>
      </c>
      <c r="E3189" s="1027" t="s">
        <v>1721</v>
      </c>
      <c r="F3189" s="273" t="s">
        <v>3446</v>
      </c>
      <c r="G3189" s="1040" t="s">
        <v>3463</v>
      </c>
      <c r="H3189" s="273" t="s">
        <v>3462</v>
      </c>
      <c r="I3189" s="720">
        <f t="shared" si="708"/>
        <v>243.6</v>
      </c>
      <c r="J3189" s="756">
        <v>2436</v>
      </c>
      <c r="K3189" s="131">
        <f t="shared" si="704"/>
        <v>2436</v>
      </c>
      <c r="L3189" s="335">
        <f t="shared" si="709"/>
        <v>0</v>
      </c>
      <c r="M3189" s="446"/>
      <c r="N3189" s="446"/>
      <c r="O3189" s="446"/>
      <c r="P3189" s="446"/>
      <c r="Q3189" s="130">
        <v>3</v>
      </c>
      <c r="R3189" s="111">
        <f t="shared" si="706"/>
        <v>609</v>
      </c>
      <c r="S3189" s="110"/>
      <c r="T3189" s="110"/>
      <c r="U3189" s="130">
        <v>3</v>
      </c>
      <c r="V3189" s="111">
        <f t="shared" si="707"/>
        <v>609</v>
      </c>
      <c r="W3189" s="110"/>
      <c r="X3189" s="110"/>
      <c r="Y3189" s="110"/>
      <c r="Z3189" s="110"/>
      <c r="AA3189" s="130">
        <v>2</v>
      </c>
      <c r="AB3189" s="111">
        <f t="shared" si="698"/>
        <v>609</v>
      </c>
      <c r="AC3189" s="110"/>
      <c r="AD3189" s="110"/>
      <c r="AE3189" s="130">
        <v>2</v>
      </c>
      <c r="AF3189" s="111">
        <f t="shared" si="699"/>
        <v>609</v>
      </c>
      <c r="AG3189" s="110"/>
      <c r="AH3189" s="110"/>
      <c r="AI3189" s="110"/>
      <c r="AJ3189" s="110"/>
      <c r="AK3189" s="111">
        <f t="shared" si="710"/>
        <v>2436</v>
      </c>
      <c r="AL3189" s="446">
        <f t="shared" si="711"/>
        <v>0</v>
      </c>
      <c r="AM3189" s="110">
        <f t="shared" si="712"/>
        <v>10</v>
      </c>
      <c r="AN3189" s="447">
        <f t="shared" si="705"/>
        <v>0</v>
      </c>
      <c r="AO3189"/>
      <c r="AP3189"/>
    </row>
    <row r="3190" spans="1:42" ht="66" x14ac:dyDescent="0.25">
      <c r="A3190" s="9"/>
      <c r="B3190" s="481" t="s">
        <v>1290</v>
      </c>
      <c r="C3190" s="1024"/>
      <c r="D3190" s="916">
        <v>10</v>
      </c>
      <c r="E3190" s="1027" t="s">
        <v>1721</v>
      </c>
      <c r="F3190" s="273" t="s">
        <v>3446</v>
      </c>
      <c r="G3190" s="1040" t="s">
        <v>3463</v>
      </c>
      <c r="H3190" s="273" t="s">
        <v>3462</v>
      </c>
      <c r="I3190" s="720">
        <f t="shared" si="708"/>
        <v>139.19999999999999</v>
      </c>
      <c r="J3190" s="756">
        <v>1392</v>
      </c>
      <c r="K3190" s="131">
        <f t="shared" si="704"/>
        <v>1392</v>
      </c>
      <c r="L3190" s="335">
        <f t="shared" si="709"/>
        <v>0</v>
      </c>
      <c r="M3190" s="446"/>
      <c r="N3190" s="446"/>
      <c r="O3190" s="446"/>
      <c r="P3190" s="446"/>
      <c r="Q3190" s="130">
        <v>3</v>
      </c>
      <c r="R3190" s="111">
        <f t="shared" si="706"/>
        <v>348</v>
      </c>
      <c r="S3190" s="110"/>
      <c r="T3190" s="110"/>
      <c r="U3190" s="130">
        <v>3</v>
      </c>
      <c r="V3190" s="111">
        <f t="shared" si="707"/>
        <v>348</v>
      </c>
      <c r="W3190" s="110"/>
      <c r="X3190" s="110"/>
      <c r="Y3190" s="110"/>
      <c r="Z3190" s="110"/>
      <c r="AA3190" s="130">
        <v>2</v>
      </c>
      <c r="AB3190" s="111">
        <f t="shared" si="698"/>
        <v>348</v>
      </c>
      <c r="AC3190" s="110"/>
      <c r="AD3190" s="110"/>
      <c r="AE3190" s="130">
        <v>2</v>
      </c>
      <c r="AF3190" s="111">
        <f t="shared" si="699"/>
        <v>348</v>
      </c>
      <c r="AG3190" s="110"/>
      <c r="AH3190" s="110"/>
      <c r="AI3190" s="110"/>
      <c r="AJ3190" s="110"/>
      <c r="AK3190" s="111">
        <f t="shared" si="710"/>
        <v>1392</v>
      </c>
      <c r="AL3190" s="446">
        <f t="shared" si="711"/>
        <v>0</v>
      </c>
      <c r="AM3190" s="110">
        <f t="shared" si="712"/>
        <v>10</v>
      </c>
      <c r="AN3190" s="447">
        <f t="shared" si="705"/>
        <v>0</v>
      </c>
      <c r="AO3190"/>
      <c r="AP3190"/>
    </row>
    <row r="3191" spans="1:42" ht="66" x14ac:dyDescent="0.25">
      <c r="A3191" s="9"/>
      <c r="B3191" s="576" t="s">
        <v>1291</v>
      </c>
      <c r="C3191" s="1024"/>
      <c r="D3191" s="916">
        <v>6</v>
      </c>
      <c r="E3191" s="1027" t="s">
        <v>1721</v>
      </c>
      <c r="F3191" s="273" t="s">
        <v>3446</v>
      </c>
      <c r="G3191" s="1040" t="s">
        <v>3463</v>
      </c>
      <c r="H3191" s="273" t="s">
        <v>3462</v>
      </c>
      <c r="I3191" s="720">
        <f t="shared" si="708"/>
        <v>487.2</v>
      </c>
      <c r="J3191" s="756">
        <v>2923.2</v>
      </c>
      <c r="K3191" s="131">
        <f t="shared" si="704"/>
        <v>2923.2</v>
      </c>
      <c r="L3191" s="335">
        <f t="shared" si="709"/>
        <v>0</v>
      </c>
      <c r="M3191" s="446"/>
      <c r="N3191" s="446"/>
      <c r="O3191" s="446"/>
      <c r="P3191" s="446"/>
      <c r="Q3191" s="130">
        <v>2</v>
      </c>
      <c r="R3191" s="111">
        <f t="shared" si="706"/>
        <v>730.8</v>
      </c>
      <c r="S3191" s="110"/>
      <c r="T3191" s="110"/>
      <c r="U3191" s="130">
        <v>2</v>
      </c>
      <c r="V3191" s="111">
        <f t="shared" si="707"/>
        <v>730.8</v>
      </c>
      <c r="W3191" s="110"/>
      <c r="X3191" s="110"/>
      <c r="Y3191" s="110"/>
      <c r="Z3191" s="110"/>
      <c r="AA3191" s="130">
        <v>1</v>
      </c>
      <c r="AB3191" s="111">
        <f t="shared" si="698"/>
        <v>730.8</v>
      </c>
      <c r="AC3191" s="110"/>
      <c r="AD3191" s="110"/>
      <c r="AE3191" s="130">
        <v>1</v>
      </c>
      <c r="AF3191" s="111">
        <f t="shared" si="699"/>
        <v>730.8</v>
      </c>
      <c r="AG3191" s="110"/>
      <c r="AH3191" s="110"/>
      <c r="AI3191" s="110"/>
      <c r="AJ3191" s="110"/>
      <c r="AK3191" s="111">
        <f t="shared" si="710"/>
        <v>2923.2</v>
      </c>
      <c r="AL3191" s="446">
        <f t="shared" si="711"/>
        <v>0</v>
      </c>
      <c r="AM3191" s="110">
        <f t="shared" si="712"/>
        <v>6</v>
      </c>
      <c r="AN3191" s="447">
        <f t="shared" si="705"/>
        <v>0</v>
      </c>
      <c r="AO3191"/>
      <c r="AP3191"/>
    </row>
    <row r="3192" spans="1:42" ht="66" x14ac:dyDescent="0.25">
      <c r="A3192" s="9"/>
      <c r="B3192" s="57" t="s">
        <v>2577</v>
      </c>
      <c r="C3192" s="1024"/>
      <c r="D3192" s="916">
        <v>2</v>
      </c>
      <c r="E3192" s="1027" t="s">
        <v>1721</v>
      </c>
      <c r="F3192" s="273" t="s">
        <v>3446</v>
      </c>
      <c r="G3192" s="1040" t="s">
        <v>3463</v>
      </c>
      <c r="H3192" s="273" t="s">
        <v>3462</v>
      </c>
      <c r="I3192" s="720">
        <f t="shared" si="708"/>
        <v>530</v>
      </c>
      <c r="J3192" s="756">
        <v>1060</v>
      </c>
      <c r="K3192" s="131">
        <f t="shared" si="704"/>
        <v>1060</v>
      </c>
      <c r="L3192" s="335">
        <f t="shared" si="709"/>
        <v>0</v>
      </c>
      <c r="M3192" s="446"/>
      <c r="N3192" s="446"/>
      <c r="O3192" s="446"/>
      <c r="P3192" s="446"/>
      <c r="Q3192" s="130">
        <v>1</v>
      </c>
      <c r="R3192" s="111">
        <f t="shared" si="706"/>
        <v>265</v>
      </c>
      <c r="S3192" s="110"/>
      <c r="T3192" s="110"/>
      <c r="U3192" s="130">
        <v>1</v>
      </c>
      <c r="V3192" s="111">
        <f t="shared" si="707"/>
        <v>265</v>
      </c>
      <c r="W3192" s="110"/>
      <c r="X3192" s="110"/>
      <c r="Y3192" s="110"/>
      <c r="Z3192" s="110"/>
      <c r="AA3192" s="130">
        <v>0</v>
      </c>
      <c r="AB3192" s="111">
        <f t="shared" si="698"/>
        <v>265</v>
      </c>
      <c r="AC3192" s="110"/>
      <c r="AD3192" s="110"/>
      <c r="AE3192" s="130">
        <v>0</v>
      </c>
      <c r="AF3192" s="111">
        <f t="shared" si="699"/>
        <v>265</v>
      </c>
      <c r="AG3192" s="110"/>
      <c r="AH3192" s="110"/>
      <c r="AI3192" s="110"/>
      <c r="AJ3192" s="110"/>
      <c r="AK3192" s="111">
        <f t="shared" si="710"/>
        <v>1060</v>
      </c>
      <c r="AL3192" s="446">
        <f t="shared" si="711"/>
        <v>0</v>
      </c>
      <c r="AM3192" s="110">
        <f t="shared" si="712"/>
        <v>2</v>
      </c>
      <c r="AN3192" s="447">
        <f t="shared" si="705"/>
        <v>0</v>
      </c>
      <c r="AO3192"/>
      <c r="AP3192"/>
    </row>
    <row r="3193" spans="1:42" ht="66" x14ac:dyDescent="0.25">
      <c r="A3193" s="9"/>
      <c r="B3193" s="146" t="s">
        <v>1289</v>
      </c>
      <c r="C3193" s="1024"/>
      <c r="D3193" s="916">
        <v>50</v>
      </c>
      <c r="E3193" s="1027" t="s">
        <v>1721</v>
      </c>
      <c r="F3193" s="273" t="s">
        <v>3446</v>
      </c>
      <c r="G3193" s="1040" t="s">
        <v>3463</v>
      </c>
      <c r="H3193" s="273" t="s">
        <v>3462</v>
      </c>
      <c r="I3193" s="720">
        <f t="shared" si="708"/>
        <v>342.2</v>
      </c>
      <c r="J3193" s="756">
        <v>17110</v>
      </c>
      <c r="K3193" s="131">
        <f t="shared" si="704"/>
        <v>17110</v>
      </c>
      <c r="L3193" s="335">
        <f t="shared" si="709"/>
        <v>0</v>
      </c>
      <c r="M3193" s="446"/>
      <c r="N3193" s="446"/>
      <c r="O3193" s="446"/>
      <c r="P3193" s="446"/>
      <c r="Q3193" s="110">
        <v>13</v>
      </c>
      <c r="R3193" s="111">
        <f t="shared" si="706"/>
        <v>4277.5</v>
      </c>
      <c r="S3193" s="110"/>
      <c r="T3193" s="110"/>
      <c r="U3193" s="110">
        <v>12</v>
      </c>
      <c r="V3193" s="111">
        <f t="shared" si="707"/>
        <v>4277.5</v>
      </c>
      <c r="W3193" s="110"/>
      <c r="X3193" s="110"/>
      <c r="Y3193" s="110"/>
      <c r="Z3193" s="110"/>
      <c r="AA3193" s="110">
        <v>12</v>
      </c>
      <c r="AB3193" s="111">
        <f t="shared" si="698"/>
        <v>4277.5</v>
      </c>
      <c r="AC3193" s="110"/>
      <c r="AD3193" s="110"/>
      <c r="AE3193" s="110">
        <v>13</v>
      </c>
      <c r="AF3193" s="111">
        <f t="shared" si="699"/>
        <v>4277.5</v>
      </c>
      <c r="AG3193" s="110"/>
      <c r="AH3193" s="110"/>
      <c r="AI3193" s="110"/>
      <c r="AJ3193" s="110"/>
      <c r="AK3193" s="111">
        <f t="shared" si="710"/>
        <v>17110</v>
      </c>
      <c r="AL3193" s="446">
        <f t="shared" si="711"/>
        <v>0</v>
      </c>
      <c r="AM3193" s="110">
        <f t="shared" si="712"/>
        <v>50</v>
      </c>
      <c r="AN3193" s="447">
        <f t="shared" si="705"/>
        <v>0</v>
      </c>
      <c r="AO3193"/>
      <c r="AP3193"/>
    </row>
    <row r="3194" spans="1:42" ht="66" x14ac:dyDescent="0.25">
      <c r="A3194" s="9"/>
      <c r="B3194" s="145" t="s">
        <v>1477</v>
      </c>
      <c r="C3194" s="1024"/>
      <c r="D3194" s="916">
        <v>21</v>
      </c>
      <c r="E3194" s="1027" t="s">
        <v>1721</v>
      </c>
      <c r="F3194" s="273" t="s">
        <v>3446</v>
      </c>
      <c r="G3194" s="1040" t="s">
        <v>3463</v>
      </c>
      <c r="H3194" s="273" t="s">
        <v>3462</v>
      </c>
      <c r="I3194" s="720">
        <f t="shared" si="708"/>
        <v>96.86</v>
      </c>
      <c r="J3194" s="756">
        <v>2034.06</v>
      </c>
      <c r="K3194" s="131">
        <f t="shared" si="704"/>
        <v>2034.06</v>
      </c>
      <c r="L3194" s="335">
        <f t="shared" si="709"/>
        <v>0</v>
      </c>
      <c r="M3194" s="446"/>
      <c r="N3194" s="446"/>
      <c r="O3194" s="446"/>
      <c r="P3194" s="446"/>
      <c r="Q3194" s="110">
        <v>6</v>
      </c>
      <c r="R3194" s="111">
        <f t="shared" si="706"/>
        <v>508.51499999999999</v>
      </c>
      <c r="S3194" s="110"/>
      <c r="T3194" s="110"/>
      <c r="U3194" s="110">
        <v>5</v>
      </c>
      <c r="V3194" s="111">
        <f t="shared" si="707"/>
        <v>508.51499999999999</v>
      </c>
      <c r="W3194" s="110"/>
      <c r="X3194" s="110"/>
      <c r="Y3194" s="110"/>
      <c r="Z3194" s="110"/>
      <c r="AA3194" s="110">
        <v>5</v>
      </c>
      <c r="AB3194" s="111">
        <f t="shared" si="698"/>
        <v>508.51499999999999</v>
      </c>
      <c r="AC3194" s="110"/>
      <c r="AD3194" s="110"/>
      <c r="AE3194" s="110">
        <v>5</v>
      </c>
      <c r="AF3194" s="111">
        <f t="shared" si="699"/>
        <v>508.51499999999999</v>
      </c>
      <c r="AG3194" s="110"/>
      <c r="AH3194" s="110"/>
      <c r="AI3194" s="110"/>
      <c r="AJ3194" s="110"/>
      <c r="AK3194" s="111">
        <f t="shared" si="710"/>
        <v>2034.06</v>
      </c>
      <c r="AL3194" s="446">
        <f t="shared" si="711"/>
        <v>0</v>
      </c>
      <c r="AM3194" s="110">
        <f t="shared" si="712"/>
        <v>21</v>
      </c>
      <c r="AN3194" s="447">
        <f t="shared" si="705"/>
        <v>0</v>
      </c>
      <c r="AO3194"/>
      <c r="AP3194"/>
    </row>
    <row r="3195" spans="1:42" ht="66" x14ac:dyDescent="0.25">
      <c r="A3195" s="9"/>
      <c r="B3195" s="145" t="s">
        <v>1478</v>
      </c>
      <c r="C3195" s="1024"/>
      <c r="D3195" s="916">
        <v>21</v>
      </c>
      <c r="E3195" s="1027" t="s">
        <v>1721</v>
      </c>
      <c r="F3195" s="273" t="s">
        <v>3446</v>
      </c>
      <c r="G3195" s="1040" t="s">
        <v>3463</v>
      </c>
      <c r="H3195" s="273" t="s">
        <v>3462</v>
      </c>
      <c r="I3195" s="720">
        <f t="shared" si="708"/>
        <v>96.86</v>
      </c>
      <c r="J3195" s="756">
        <v>2034.06</v>
      </c>
      <c r="K3195" s="131">
        <f t="shared" si="704"/>
        <v>2034.06</v>
      </c>
      <c r="L3195" s="335">
        <f t="shared" si="709"/>
        <v>0</v>
      </c>
      <c r="M3195" s="446"/>
      <c r="N3195" s="446"/>
      <c r="O3195" s="446"/>
      <c r="P3195" s="446"/>
      <c r="Q3195" s="110">
        <v>6</v>
      </c>
      <c r="R3195" s="111">
        <f t="shared" si="706"/>
        <v>508.51499999999999</v>
      </c>
      <c r="S3195" s="110"/>
      <c r="T3195" s="110"/>
      <c r="U3195" s="110">
        <v>5</v>
      </c>
      <c r="V3195" s="111">
        <f t="shared" si="707"/>
        <v>508.51499999999999</v>
      </c>
      <c r="W3195" s="110"/>
      <c r="X3195" s="110"/>
      <c r="Y3195" s="110"/>
      <c r="Z3195" s="110"/>
      <c r="AA3195" s="110">
        <v>5</v>
      </c>
      <c r="AB3195" s="111">
        <f t="shared" si="698"/>
        <v>508.51499999999999</v>
      </c>
      <c r="AC3195" s="110"/>
      <c r="AD3195" s="110"/>
      <c r="AE3195" s="110">
        <v>5</v>
      </c>
      <c r="AF3195" s="111">
        <f t="shared" si="699"/>
        <v>508.51499999999999</v>
      </c>
      <c r="AG3195" s="110"/>
      <c r="AH3195" s="110"/>
      <c r="AI3195" s="110"/>
      <c r="AJ3195" s="110"/>
      <c r="AK3195" s="111">
        <f t="shared" si="710"/>
        <v>2034.06</v>
      </c>
      <c r="AL3195" s="446">
        <f t="shared" si="711"/>
        <v>0</v>
      </c>
      <c r="AM3195" s="110">
        <f t="shared" si="712"/>
        <v>21</v>
      </c>
      <c r="AN3195" s="447">
        <f t="shared" si="705"/>
        <v>0</v>
      </c>
      <c r="AO3195"/>
      <c r="AP3195"/>
    </row>
    <row r="3196" spans="1:42" ht="66" x14ac:dyDescent="0.25">
      <c r="A3196" s="9"/>
      <c r="B3196" s="135" t="s">
        <v>1479</v>
      </c>
      <c r="C3196" s="1024"/>
      <c r="D3196" s="916">
        <v>5</v>
      </c>
      <c r="E3196" s="1027" t="s">
        <v>1721</v>
      </c>
      <c r="F3196" s="273" t="s">
        <v>3446</v>
      </c>
      <c r="G3196" s="1040" t="s">
        <v>3463</v>
      </c>
      <c r="H3196" s="273" t="s">
        <v>3462</v>
      </c>
      <c r="I3196" s="720">
        <f t="shared" si="708"/>
        <v>335.23999999999995</v>
      </c>
      <c r="J3196" s="756">
        <v>1676.1999999999998</v>
      </c>
      <c r="K3196" s="131">
        <f t="shared" si="704"/>
        <v>1676.1999999999998</v>
      </c>
      <c r="L3196" s="335">
        <f t="shared" si="709"/>
        <v>0</v>
      </c>
      <c r="M3196" s="446"/>
      <c r="N3196" s="446"/>
      <c r="O3196" s="446"/>
      <c r="P3196" s="446"/>
      <c r="Q3196" s="110">
        <v>2</v>
      </c>
      <c r="R3196" s="111">
        <f t="shared" si="706"/>
        <v>419.04999999999995</v>
      </c>
      <c r="S3196" s="110"/>
      <c r="T3196" s="110"/>
      <c r="U3196" s="110">
        <v>1</v>
      </c>
      <c r="V3196" s="111">
        <f t="shared" si="707"/>
        <v>419.04999999999995</v>
      </c>
      <c r="W3196" s="110"/>
      <c r="X3196" s="110"/>
      <c r="Y3196" s="110"/>
      <c r="Z3196" s="110"/>
      <c r="AA3196" s="110">
        <v>1</v>
      </c>
      <c r="AB3196" s="111">
        <f t="shared" si="698"/>
        <v>419.04999999999995</v>
      </c>
      <c r="AC3196" s="110"/>
      <c r="AD3196" s="110"/>
      <c r="AE3196" s="110">
        <v>1</v>
      </c>
      <c r="AF3196" s="111">
        <f t="shared" si="699"/>
        <v>419.04999999999995</v>
      </c>
      <c r="AG3196" s="110"/>
      <c r="AH3196" s="110"/>
      <c r="AI3196" s="110"/>
      <c r="AJ3196" s="110"/>
      <c r="AK3196" s="111">
        <f t="shared" si="710"/>
        <v>1676.1999999999998</v>
      </c>
      <c r="AL3196" s="446">
        <f t="shared" si="711"/>
        <v>0</v>
      </c>
      <c r="AM3196" s="110">
        <f t="shared" si="712"/>
        <v>5</v>
      </c>
      <c r="AN3196" s="447">
        <f t="shared" si="705"/>
        <v>0</v>
      </c>
      <c r="AO3196"/>
      <c r="AP3196"/>
    </row>
    <row r="3197" spans="1:42" ht="66" x14ac:dyDescent="0.25">
      <c r="A3197" s="9"/>
      <c r="B3197" s="146" t="s">
        <v>1480</v>
      </c>
      <c r="C3197" s="1024"/>
      <c r="D3197" s="916">
        <v>42</v>
      </c>
      <c r="E3197" s="1027" t="s">
        <v>1721</v>
      </c>
      <c r="F3197" s="273" t="s">
        <v>3446</v>
      </c>
      <c r="G3197" s="1040" t="s">
        <v>3463</v>
      </c>
      <c r="H3197" s="273" t="s">
        <v>3462</v>
      </c>
      <c r="I3197" s="720">
        <f t="shared" si="708"/>
        <v>40.599999999999994</v>
      </c>
      <c r="J3197" s="756">
        <v>1705.1999999999998</v>
      </c>
      <c r="K3197" s="131">
        <f t="shared" si="704"/>
        <v>1705.1999999999998</v>
      </c>
      <c r="L3197" s="335">
        <f t="shared" si="709"/>
        <v>0</v>
      </c>
      <c r="M3197" s="446"/>
      <c r="N3197" s="446"/>
      <c r="O3197" s="446"/>
      <c r="P3197" s="446"/>
      <c r="Q3197" s="110">
        <v>11</v>
      </c>
      <c r="R3197" s="111">
        <f t="shared" si="706"/>
        <v>426.29999999999995</v>
      </c>
      <c r="S3197" s="110"/>
      <c r="T3197" s="110"/>
      <c r="U3197" s="110">
        <v>11</v>
      </c>
      <c r="V3197" s="111">
        <f t="shared" si="707"/>
        <v>426.29999999999995</v>
      </c>
      <c r="W3197" s="110"/>
      <c r="X3197" s="110"/>
      <c r="Y3197" s="110"/>
      <c r="Z3197" s="110"/>
      <c r="AA3197" s="110">
        <v>10</v>
      </c>
      <c r="AB3197" s="111">
        <f t="shared" si="698"/>
        <v>426.29999999999995</v>
      </c>
      <c r="AC3197" s="110"/>
      <c r="AD3197" s="110"/>
      <c r="AE3197" s="110">
        <v>10</v>
      </c>
      <c r="AF3197" s="111">
        <f t="shared" si="699"/>
        <v>426.29999999999995</v>
      </c>
      <c r="AG3197" s="110"/>
      <c r="AH3197" s="110"/>
      <c r="AI3197" s="110"/>
      <c r="AJ3197" s="110"/>
      <c r="AK3197" s="111">
        <f t="shared" si="710"/>
        <v>1705.1999999999998</v>
      </c>
      <c r="AL3197" s="446">
        <f t="shared" si="711"/>
        <v>0</v>
      </c>
      <c r="AM3197" s="110">
        <f t="shared" si="712"/>
        <v>42</v>
      </c>
      <c r="AN3197" s="447">
        <f t="shared" si="705"/>
        <v>0</v>
      </c>
      <c r="AO3197"/>
      <c r="AP3197"/>
    </row>
    <row r="3198" spans="1:42" ht="66" x14ac:dyDescent="0.25">
      <c r="A3198" s="9"/>
      <c r="B3198" s="145" t="s">
        <v>1481</v>
      </c>
      <c r="C3198" s="1024"/>
      <c r="D3198" s="916">
        <v>24</v>
      </c>
      <c r="E3198" s="1027" t="s">
        <v>1721</v>
      </c>
      <c r="F3198" s="273" t="s">
        <v>3446</v>
      </c>
      <c r="G3198" s="1040" t="s">
        <v>3463</v>
      </c>
      <c r="H3198" s="273" t="s">
        <v>3462</v>
      </c>
      <c r="I3198" s="720">
        <f t="shared" si="708"/>
        <v>92.219999999999985</v>
      </c>
      <c r="J3198" s="756">
        <v>2213.2799999999997</v>
      </c>
      <c r="K3198" s="131">
        <f t="shared" si="704"/>
        <v>2213.2799999999997</v>
      </c>
      <c r="L3198" s="335">
        <f t="shared" si="709"/>
        <v>0</v>
      </c>
      <c r="M3198" s="446"/>
      <c r="N3198" s="446"/>
      <c r="O3198" s="446"/>
      <c r="P3198" s="446"/>
      <c r="Q3198" s="110">
        <f t="shared" si="701"/>
        <v>6</v>
      </c>
      <c r="R3198" s="111">
        <f t="shared" si="706"/>
        <v>553.31999999999994</v>
      </c>
      <c r="S3198" s="110"/>
      <c r="T3198" s="110"/>
      <c r="U3198" s="110">
        <f t="shared" si="702"/>
        <v>6</v>
      </c>
      <c r="V3198" s="111">
        <f t="shared" si="707"/>
        <v>553.31999999999994</v>
      </c>
      <c r="W3198" s="110"/>
      <c r="X3198" s="110"/>
      <c r="Y3198" s="110"/>
      <c r="Z3198" s="110"/>
      <c r="AA3198" s="110">
        <f t="shared" si="703"/>
        <v>6</v>
      </c>
      <c r="AB3198" s="111">
        <f t="shared" si="698"/>
        <v>553.31999999999994</v>
      </c>
      <c r="AC3198" s="110"/>
      <c r="AD3198" s="110"/>
      <c r="AE3198" s="110">
        <f t="shared" si="703"/>
        <v>6</v>
      </c>
      <c r="AF3198" s="111">
        <f t="shared" si="699"/>
        <v>553.31999999999994</v>
      </c>
      <c r="AG3198" s="110"/>
      <c r="AH3198" s="110"/>
      <c r="AI3198" s="110"/>
      <c r="AJ3198" s="110"/>
      <c r="AK3198" s="111">
        <f t="shared" si="710"/>
        <v>2213.2799999999997</v>
      </c>
      <c r="AL3198" s="446">
        <f t="shared" si="711"/>
        <v>0</v>
      </c>
      <c r="AM3198" s="110">
        <f t="shared" si="712"/>
        <v>24</v>
      </c>
      <c r="AN3198" s="447">
        <f t="shared" si="705"/>
        <v>0</v>
      </c>
      <c r="AO3198"/>
      <c r="AP3198"/>
    </row>
    <row r="3199" spans="1:42" ht="66" x14ac:dyDescent="0.25">
      <c r="A3199" s="9"/>
      <c r="B3199" s="145" t="s">
        <v>1482</v>
      </c>
      <c r="C3199" s="1024"/>
      <c r="D3199" s="916">
        <v>40</v>
      </c>
      <c r="E3199" s="1027" t="s">
        <v>1721</v>
      </c>
      <c r="F3199" s="273" t="s">
        <v>3446</v>
      </c>
      <c r="G3199" s="1040" t="s">
        <v>3463</v>
      </c>
      <c r="H3199" s="273" t="s">
        <v>3462</v>
      </c>
      <c r="I3199" s="720">
        <f t="shared" si="708"/>
        <v>198.93</v>
      </c>
      <c r="J3199" s="756">
        <v>7957.2</v>
      </c>
      <c r="K3199" s="131">
        <f t="shared" si="704"/>
        <v>7957.2000000000007</v>
      </c>
      <c r="L3199" s="335">
        <f t="shared" si="709"/>
        <v>0</v>
      </c>
      <c r="M3199" s="446"/>
      <c r="N3199" s="446"/>
      <c r="O3199" s="446"/>
      <c r="P3199" s="446"/>
      <c r="Q3199" s="110">
        <f t="shared" si="701"/>
        <v>10</v>
      </c>
      <c r="R3199" s="111">
        <f t="shared" si="706"/>
        <v>1989.3</v>
      </c>
      <c r="S3199" s="110"/>
      <c r="T3199" s="110"/>
      <c r="U3199" s="110">
        <f t="shared" si="702"/>
        <v>10</v>
      </c>
      <c r="V3199" s="111">
        <f t="shared" si="707"/>
        <v>1989.3</v>
      </c>
      <c r="W3199" s="110"/>
      <c r="X3199" s="110"/>
      <c r="Y3199" s="110"/>
      <c r="Z3199" s="110"/>
      <c r="AA3199" s="110">
        <f t="shared" si="703"/>
        <v>10</v>
      </c>
      <c r="AB3199" s="111">
        <f t="shared" si="698"/>
        <v>1989.3</v>
      </c>
      <c r="AC3199" s="110"/>
      <c r="AD3199" s="110"/>
      <c r="AE3199" s="110">
        <f t="shared" si="703"/>
        <v>10</v>
      </c>
      <c r="AF3199" s="111">
        <f t="shared" si="699"/>
        <v>1989.3</v>
      </c>
      <c r="AG3199" s="110"/>
      <c r="AH3199" s="110"/>
      <c r="AI3199" s="110"/>
      <c r="AJ3199" s="110"/>
      <c r="AK3199" s="111">
        <f t="shared" si="710"/>
        <v>7957.2</v>
      </c>
      <c r="AL3199" s="446">
        <f t="shared" si="711"/>
        <v>0</v>
      </c>
      <c r="AM3199" s="110">
        <f t="shared" si="712"/>
        <v>40</v>
      </c>
      <c r="AN3199" s="447">
        <f t="shared" si="705"/>
        <v>0</v>
      </c>
      <c r="AO3199"/>
      <c r="AP3199"/>
    </row>
    <row r="3200" spans="1:42" ht="66" x14ac:dyDescent="0.25">
      <c r="A3200" s="9"/>
      <c r="B3200" s="147" t="s">
        <v>1483</v>
      </c>
      <c r="C3200" s="1024"/>
      <c r="D3200" s="916">
        <v>100</v>
      </c>
      <c r="E3200" s="1027" t="s">
        <v>1721</v>
      </c>
      <c r="F3200" s="273" t="s">
        <v>3446</v>
      </c>
      <c r="G3200" s="1040" t="s">
        <v>3463</v>
      </c>
      <c r="H3200" s="273" t="s">
        <v>3462</v>
      </c>
      <c r="I3200" s="720">
        <f t="shared" si="708"/>
        <v>168.2</v>
      </c>
      <c r="J3200" s="756">
        <v>16820</v>
      </c>
      <c r="K3200" s="131">
        <f t="shared" si="704"/>
        <v>16820</v>
      </c>
      <c r="L3200" s="335">
        <f t="shared" si="709"/>
        <v>0</v>
      </c>
      <c r="M3200" s="446"/>
      <c r="N3200" s="446"/>
      <c r="O3200" s="446"/>
      <c r="P3200" s="446"/>
      <c r="Q3200" s="110">
        <v>30</v>
      </c>
      <c r="R3200" s="111">
        <f t="shared" si="706"/>
        <v>4205</v>
      </c>
      <c r="S3200" s="110"/>
      <c r="T3200" s="110"/>
      <c r="U3200" s="110">
        <v>30</v>
      </c>
      <c r="V3200" s="111">
        <f t="shared" si="707"/>
        <v>4205</v>
      </c>
      <c r="W3200" s="110"/>
      <c r="X3200" s="110"/>
      <c r="Y3200" s="110"/>
      <c r="Z3200" s="110"/>
      <c r="AA3200" s="110">
        <v>30</v>
      </c>
      <c r="AB3200" s="111">
        <f t="shared" si="698"/>
        <v>4205</v>
      </c>
      <c r="AC3200" s="110"/>
      <c r="AD3200" s="110"/>
      <c r="AE3200" s="110">
        <v>10</v>
      </c>
      <c r="AF3200" s="111">
        <f t="shared" si="699"/>
        <v>4205</v>
      </c>
      <c r="AG3200" s="110"/>
      <c r="AH3200" s="110"/>
      <c r="AI3200" s="110"/>
      <c r="AJ3200" s="110"/>
      <c r="AK3200" s="111">
        <f t="shared" si="710"/>
        <v>16820</v>
      </c>
      <c r="AL3200" s="446">
        <f t="shared" si="711"/>
        <v>0</v>
      </c>
      <c r="AM3200" s="110">
        <f t="shared" si="712"/>
        <v>100</v>
      </c>
      <c r="AN3200" s="447">
        <f t="shared" si="705"/>
        <v>0</v>
      </c>
      <c r="AO3200"/>
      <c r="AP3200"/>
    </row>
    <row r="3201" spans="1:42" ht="66" x14ac:dyDescent="0.25">
      <c r="A3201" s="9"/>
      <c r="B3201" s="214" t="s">
        <v>2119</v>
      </c>
      <c r="C3201" s="1024"/>
      <c r="D3201" s="916">
        <v>4</v>
      </c>
      <c r="E3201" s="1027" t="s">
        <v>1721</v>
      </c>
      <c r="F3201" s="273" t="s">
        <v>3446</v>
      </c>
      <c r="G3201" s="1040" t="s">
        <v>3463</v>
      </c>
      <c r="H3201" s="273" t="s">
        <v>3462</v>
      </c>
      <c r="I3201" s="720">
        <f t="shared" si="708"/>
        <v>500</v>
      </c>
      <c r="J3201" s="756">
        <v>2000</v>
      </c>
      <c r="K3201" s="131">
        <f t="shared" si="704"/>
        <v>2000</v>
      </c>
      <c r="L3201" s="335">
        <f t="shared" si="709"/>
        <v>0</v>
      </c>
      <c r="M3201" s="446"/>
      <c r="N3201" s="446"/>
      <c r="O3201" s="446"/>
      <c r="P3201" s="446"/>
      <c r="Q3201" s="110">
        <f t="shared" si="701"/>
        <v>1</v>
      </c>
      <c r="R3201" s="111">
        <f t="shared" si="706"/>
        <v>500</v>
      </c>
      <c r="S3201" s="110"/>
      <c r="T3201" s="110"/>
      <c r="U3201" s="110">
        <f t="shared" si="702"/>
        <v>1</v>
      </c>
      <c r="V3201" s="111">
        <f t="shared" si="707"/>
        <v>500</v>
      </c>
      <c r="W3201" s="110"/>
      <c r="X3201" s="110"/>
      <c r="Y3201" s="110"/>
      <c r="Z3201" s="110"/>
      <c r="AA3201" s="110">
        <f t="shared" si="703"/>
        <v>1</v>
      </c>
      <c r="AB3201" s="111">
        <f t="shared" si="698"/>
        <v>500</v>
      </c>
      <c r="AC3201" s="110"/>
      <c r="AD3201" s="110"/>
      <c r="AE3201" s="110">
        <f t="shared" si="703"/>
        <v>1</v>
      </c>
      <c r="AF3201" s="111">
        <f t="shared" si="699"/>
        <v>500</v>
      </c>
      <c r="AG3201" s="110"/>
      <c r="AH3201" s="110"/>
      <c r="AI3201" s="110"/>
      <c r="AJ3201" s="110"/>
      <c r="AK3201" s="111">
        <f t="shared" si="710"/>
        <v>2000</v>
      </c>
      <c r="AL3201" s="446">
        <f t="shared" si="711"/>
        <v>0</v>
      </c>
      <c r="AM3201" s="110">
        <f t="shared" si="712"/>
        <v>4</v>
      </c>
      <c r="AN3201" s="447">
        <f t="shared" si="705"/>
        <v>0</v>
      </c>
      <c r="AO3201"/>
      <c r="AP3201"/>
    </row>
    <row r="3202" spans="1:42" ht="66" x14ac:dyDescent="0.25">
      <c r="A3202" s="9"/>
      <c r="B3202" s="228" t="s">
        <v>2812</v>
      </c>
      <c r="C3202" s="1024"/>
      <c r="D3202" s="880">
        <v>6</v>
      </c>
      <c r="E3202" s="1025" t="s">
        <v>1723</v>
      </c>
      <c r="F3202" s="273" t="s">
        <v>3446</v>
      </c>
      <c r="G3202" s="1040" t="s">
        <v>3463</v>
      </c>
      <c r="H3202" s="273" t="s">
        <v>3462</v>
      </c>
      <c r="I3202" s="720">
        <f t="shared" si="708"/>
        <v>440.21999999999997</v>
      </c>
      <c r="J3202" s="756">
        <v>2641.3199999999997</v>
      </c>
      <c r="K3202" s="131">
        <f t="shared" si="704"/>
        <v>2641.3199999999997</v>
      </c>
      <c r="L3202" s="335">
        <f t="shared" si="709"/>
        <v>0</v>
      </c>
      <c r="M3202" s="446"/>
      <c r="N3202" s="446"/>
      <c r="O3202" s="446"/>
      <c r="P3202" s="446"/>
      <c r="Q3202" s="130">
        <v>2</v>
      </c>
      <c r="R3202" s="111">
        <f t="shared" si="706"/>
        <v>660.32999999999993</v>
      </c>
      <c r="S3202" s="110"/>
      <c r="T3202" s="110"/>
      <c r="U3202" s="130">
        <v>2</v>
      </c>
      <c r="V3202" s="111">
        <f t="shared" si="707"/>
        <v>660.32999999999993</v>
      </c>
      <c r="W3202" s="110"/>
      <c r="X3202" s="110"/>
      <c r="Y3202" s="110"/>
      <c r="Z3202" s="110"/>
      <c r="AA3202" s="130">
        <v>1</v>
      </c>
      <c r="AB3202" s="111">
        <f t="shared" si="698"/>
        <v>660.32999999999993</v>
      </c>
      <c r="AC3202" s="110"/>
      <c r="AD3202" s="110"/>
      <c r="AE3202" s="130">
        <v>1</v>
      </c>
      <c r="AF3202" s="111">
        <f t="shared" si="699"/>
        <v>660.32999999999993</v>
      </c>
      <c r="AG3202" s="110"/>
      <c r="AH3202" s="110"/>
      <c r="AI3202" s="110"/>
      <c r="AJ3202" s="110"/>
      <c r="AK3202" s="111">
        <f t="shared" si="710"/>
        <v>2641.3199999999997</v>
      </c>
      <c r="AL3202" s="446">
        <f t="shared" si="711"/>
        <v>0</v>
      </c>
      <c r="AM3202" s="110">
        <f t="shared" si="712"/>
        <v>6</v>
      </c>
      <c r="AN3202" s="447">
        <f t="shared" si="705"/>
        <v>0</v>
      </c>
      <c r="AO3202"/>
      <c r="AP3202"/>
    </row>
    <row r="3203" spans="1:42" ht="66" x14ac:dyDescent="0.25">
      <c r="A3203" s="9"/>
      <c r="B3203" s="231" t="s">
        <v>2813</v>
      </c>
      <c r="C3203" s="1024"/>
      <c r="D3203" s="880">
        <v>6</v>
      </c>
      <c r="E3203" s="1025" t="s">
        <v>1723</v>
      </c>
      <c r="F3203" s="273" t="s">
        <v>3446</v>
      </c>
      <c r="G3203" s="1040" t="s">
        <v>3463</v>
      </c>
      <c r="H3203" s="273" t="s">
        <v>3462</v>
      </c>
      <c r="I3203" s="720">
        <f t="shared" si="708"/>
        <v>440.21999999999997</v>
      </c>
      <c r="J3203" s="756">
        <v>2641.3199999999997</v>
      </c>
      <c r="K3203" s="131">
        <f t="shared" si="704"/>
        <v>2641.3199999999997</v>
      </c>
      <c r="L3203" s="335">
        <f t="shared" si="709"/>
        <v>0</v>
      </c>
      <c r="M3203" s="446"/>
      <c r="N3203" s="446"/>
      <c r="O3203" s="446"/>
      <c r="P3203" s="446"/>
      <c r="Q3203" s="130">
        <v>2</v>
      </c>
      <c r="R3203" s="111">
        <f t="shared" si="706"/>
        <v>660.32999999999993</v>
      </c>
      <c r="S3203" s="110"/>
      <c r="T3203" s="110"/>
      <c r="U3203" s="130">
        <v>2</v>
      </c>
      <c r="V3203" s="111">
        <f t="shared" si="707"/>
        <v>660.32999999999993</v>
      </c>
      <c r="W3203" s="110"/>
      <c r="X3203" s="110"/>
      <c r="Y3203" s="110"/>
      <c r="Z3203" s="110"/>
      <c r="AA3203" s="130">
        <v>1</v>
      </c>
      <c r="AB3203" s="111">
        <f t="shared" si="698"/>
        <v>660.32999999999993</v>
      </c>
      <c r="AC3203" s="110"/>
      <c r="AD3203" s="110"/>
      <c r="AE3203" s="130">
        <v>1</v>
      </c>
      <c r="AF3203" s="111">
        <f t="shared" si="699"/>
        <v>660.32999999999993</v>
      </c>
      <c r="AG3203" s="110"/>
      <c r="AH3203" s="110"/>
      <c r="AI3203" s="110"/>
      <c r="AJ3203" s="110"/>
      <c r="AK3203" s="111">
        <f t="shared" si="710"/>
        <v>2641.3199999999997</v>
      </c>
      <c r="AL3203" s="446">
        <f t="shared" si="711"/>
        <v>0</v>
      </c>
      <c r="AM3203" s="110">
        <f t="shared" si="712"/>
        <v>6</v>
      </c>
      <c r="AN3203" s="447">
        <f t="shared" si="705"/>
        <v>0</v>
      </c>
      <c r="AO3203"/>
      <c r="AP3203"/>
    </row>
    <row r="3204" spans="1:42" ht="66" x14ac:dyDescent="0.25">
      <c r="A3204" s="9"/>
      <c r="B3204" s="231" t="s">
        <v>2814</v>
      </c>
      <c r="C3204" s="1024"/>
      <c r="D3204" s="880">
        <v>4</v>
      </c>
      <c r="E3204" s="1025" t="s">
        <v>1723</v>
      </c>
      <c r="F3204" s="273" t="s">
        <v>3446</v>
      </c>
      <c r="G3204" s="1040" t="s">
        <v>3463</v>
      </c>
      <c r="H3204" s="273" t="s">
        <v>3462</v>
      </c>
      <c r="I3204" s="720">
        <f t="shared" si="708"/>
        <v>440.21999999999997</v>
      </c>
      <c r="J3204" s="756">
        <v>1760.8799999999999</v>
      </c>
      <c r="K3204" s="131">
        <f t="shared" si="704"/>
        <v>1760.8799999999999</v>
      </c>
      <c r="L3204" s="335">
        <f t="shared" si="709"/>
        <v>0</v>
      </c>
      <c r="M3204" s="446"/>
      <c r="N3204" s="446"/>
      <c r="O3204" s="446"/>
      <c r="P3204" s="446"/>
      <c r="Q3204" s="110">
        <f t="shared" si="701"/>
        <v>1</v>
      </c>
      <c r="R3204" s="111">
        <f t="shared" si="706"/>
        <v>440.21999999999997</v>
      </c>
      <c r="S3204" s="110"/>
      <c r="T3204" s="110"/>
      <c r="U3204" s="110">
        <f t="shared" si="702"/>
        <v>1</v>
      </c>
      <c r="V3204" s="111">
        <f t="shared" si="707"/>
        <v>440.21999999999997</v>
      </c>
      <c r="W3204" s="110"/>
      <c r="X3204" s="110"/>
      <c r="Y3204" s="110"/>
      <c r="Z3204" s="110"/>
      <c r="AA3204" s="110">
        <f t="shared" si="703"/>
        <v>1</v>
      </c>
      <c r="AB3204" s="111">
        <f t="shared" si="698"/>
        <v>440.21999999999997</v>
      </c>
      <c r="AC3204" s="110"/>
      <c r="AD3204" s="110"/>
      <c r="AE3204" s="110">
        <f t="shared" si="703"/>
        <v>1</v>
      </c>
      <c r="AF3204" s="111">
        <f t="shared" si="699"/>
        <v>440.21999999999997</v>
      </c>
      <c r="AG3204" s="110"/>
      <c r="AH3204" s="110"/>
      <c r="AI3204" s="110"/>
      <c r="AJ3204" s="110"/>
      <c r="AK3204" s="111">
        <f t="shared" si="710"/>
        <v>1760.8799999999999</v>
      </c>
      <c r="AL3204" s="446">
        <f t="shared" si="711"/>
        <v>0</v>
      </c>
      <c r="AM3204" s="110">
        <f t="shared" si="712"/>
        <v>4</v>
      </c>
      <c r="AN3204" s="447">
        <f t="shared" si="705"/>
        <v>0</v>
      </c>
      <c r="AO3204"/>
      <c r="AP3204"/>
    </row>
    <row r="3205" spans="1:42" ht="66" x14ac:dyDescent="0.25">
      <c r="A3205" s="9"/>
      <c r="B3205" s="219" t="s">
        <v>2815</v>
      </c>
      <c r="C3205" s="1024"/>
      <c r="D3205" s="880">
        <v>4</v>
      </c>
      <c r="E3205" s="1025" t="s">
        <v>1723</v>
      </c>
      <c r="F3205" s="273" t="s">
        <v>3446</v>
      </c>
      <c r="G3205" s="1040" t="s">
        <v>3463</v>
      </c>
      <c r="H3205" s="273" t="s">
        <v>3462</v>
      </c>
      <c r="I3205" s="720">
        <f t="shared" si="708"/>
        <v>440.21999999999997</v>
      </c>
      <c r="J3205" s="756">
        <v>1760.8799999999999</v>
      </c>
      <c r="K3205" s="131">
        <f t="shared" si="704"/>
        <v>1760.8799999999999</v>
      </c>
      <c r="L3205" s="335">
        <f t="shared" si="709"/>
        <v>0</v>
      </c>
      <c r="M3205" s="446"/>
      <c r="N3205" s="446"/>
      <c r="O3205" s="446"/>
      <c r="P3205" s="446"/>
      <c r="Q3205" s="110">
        <f t="shared" si="701"/>
        <v>1</v>
      </c>
      <c r="R3205" s="111">
        <f t="shared" si="706"/>
        <v>440.21999999999997</v>
      </c>
      <c r="S3205" s="110"/>
      <c r="T3205" s="110"/>
      <c r="U3205" s="110">
        <f t="shared" si="702"/>
        <v>1</v>
      </c>
      <c r="V3205" s="111">
        <f t="shared" si="707"/>
        <v>440.21999999999997</v>
      </c>
      <c r="W3205" s="110"/>
      <c r="X3205" s="110"/>
      <c r="Y3205" s="110"/>
      <c r="Z3205" s="110"/>
      <c r="AA3205" s="110">
        <f t="shared" si="703"/>
        <v>1</v>
      </c>
      <c r="AB3205" s="111">
        <f t="shared" si="698"/>
        <v>440.21999999999997</v>
      </c>
      <c r="AC3205" s="110"/>
      <c r="AD3205" s="110"/>
      <c r="AE3205" s="110">
        <f t="shared" si="703"/>
        <v>1</v>
      </c>
      <c r="AF3205" s="111">
        <f t="shared" si="699"/>
        <v>440.21999999999997</v>
      </c>
      <c r="AG3205" s="110"/>
      <c r="AH3205" s="110"/>
      <c r="AI3205" s="110"/>
      <c r="AJ3205" s="110"/>
      <c r="AK3205" s="111">
        <f t="shared" si="710"/>
        <v>1760.8799999999999</v>
      </c>
      <c r="AL3205" s="446">
        <f t="shared" si="711"/>
        <v>0</v>
      </c>
      <c r="AM3205" s="110">
        <f t="shared" si="712"/>
        <v>4</v>
      </c>
      <c r="AN3205" s="447">
        <f t="shared" si="705"/>
        <v>0</v>
      </c>
      <c r="AO3205"/>
      <c r="AP3205"/>
    </row>
    <row r="3206" spans="1:42" ht="66" x14ac:dyDescent="0.25">
      <c r="A3206" s="9"/>
      <c r="B3206" s="219" t="s">
        <v>2816</v>
      </c>
      <c r="C3206" s="1024"/>
      <c r="D3206" s="880">
        <v>2</v>
      </c>
      <c r="E3206" s="1025" t="s">
        <v>1723</v>
      </c>
      <c r="F3206" s="273" t="s">
        <v>3446</v>
      </c>
      <c r="G3206" s="1040" t="s">
        <v>3463</v>
      </c>
      <c r="H3206" s="273" t="s">
        <v>3462</v>
      </c>
      <c r="I3206" s="720">
        <f t="shared" si="708"/>
        <v>440.21999999999997</v>
      </c>
      <c r="J3206" s="756">
        <v>880.43999999999994</v>
      </c>
      <c r="K3206" s="131">
        <f t="shared" si="704"/>
        <v>880.43999999999994</v>
      </c>
      <c r="L3206" s="335">
        <f t="shared" si="709"/>
        <v>0</v>
      </c>
      <c r="M3206" s="446"/>
      <c r="N3206" s="446"/>
      <c r="O3206" s="446"/>
      <c r="P3206" s="446"/>
      <c r="Q3206" s="130">
        <v>1</v>
      </c>
      <c r="R3206" s="111">
        <f t="shared" si="706"/>
        <v>220.10999999999999</v>
      </c>
      <c r="S3206" s="110"/>
      <c r="T3206" s="110"/>
      <c r="U3206" s="130">
        <v>1</v>
      </c>
      <c r="V3206" s="111">
        <f t="shared" si="707"/>
        <v>220.10999999999999</v>
      </c>
      <c r="W3206" s="110"/>
      <c r="X3206" s="110"/>
      <c r="Y3206" s="110"/>
      <c r="Z3206" s="110"/>
      <c r="AA3206" s="130">
        <v>0</v>
      </c>
      <c r="AB3206" s="111">
        <f t="shared" si="698"/>
        <v>220.10999999999999</v>
      </c>
      <c r="AC3206" s="110"/>
      <c r="AD3206" s="110"/>
      <c r="AE3206" s="130">
        <v>0</v>
      </c>
      <c r="AF3206" s="111">
        <f t="shared" si="699"/>
        <v>220.10999999999999</v>
      </c>
      <c r="AG3206" s="110"/>
      <c r="AH3206" s="110"/>
      <c r="AI3206" s="110"/>
      <c r="AJ3206" s="110"/>
      <c r="AK3206" s="111">
        <f t="shared" si="710"/>
        <v>880.43999999999994</v>
      </c>
      <c r="AL3206" s="446">
        <f t="shared" si="711"/>
        <v>0</v>
      </c>
      <c r="AM3206" s="110">
        <f t="shared" si="712"/>
        <v>2</v>
      </c>
      <c r="AN3206" s="447">
        <f t="shared" si="705"/>
        <v>0</v>
      </c>
      <c r="AO3206"/>
      <c r="AP3206"/>
    </row>
    <row r="3207" spans="1:42" ht="66" x14ac:dyDescent="0.25">
      <c r="A3207" s="9"/>
      <c r="B3207" s="219" t="s">
        <v>2817</v>
      </c>
      <c r="C3207" s="1024"/>
      <c r="D3207" s="880">
        <v>4</v>
      </c>
      <c r="E3207" s="1025" t="s">
        <v>1723</v>
      </c>
      <c r="F3207" s="273" t="s">
        <v>3446</v>
      </c>
      <c r="G3207" s="1040" t="s">
        <v>3463</v>
      </c>
      <c r="H3207" s="273" t="s">
        <v>3462</v>
      </c>
      <c r="I3207" s="720">
        <f t="shared" si="708"/>
        <v>701.8</v>
      </c>
      <c r="J3207" s="756">
        <v>2807.2</v>
      </c>
      <c r="K3207" s="131">
        <f t="shared" si="704"/>
        <v>2807.2</v>
      </c>
      <c r="L3207" s="335">
        <f t="shared" si="709"/>
        <v>0</v>
      </c>
      <c r="M3207" s="446"/>
      <c r="N3207" s="446"/>
      <c r="O3207" s="446"/>
      <c r="P3207" s="446"/>
      <c r="Q3207" s="110">
        <f t="shared" si="701"/>
        <v>1</v>
      </c>
      <c r="R3207" s="111">
        <f t="shared" si="706"/>
        <v>701.8</v>
      </c>
      <c r="S3207" s="110"/>
      <c r="T3207" s="110"/>
      <c r="U3207" s="110">
        <f t="shared" si="702"/>
        <v>1</v>
      </c>
      <c r="V3207" s="111">
        <f t="shared" si="707"/>
        <v>701.8</v>
      </c>
      <c r="W3207" s="110"/>
      <c r="X3207" s="110"/>
      <c r="Y3207" s="110"/>
      <c r="Z3207" s="110"/>
      <c r="AA3207" s="110">
        <f t="shared" si="703"/>
        <v>1</v>
      </c>
      <c r="AB3207" s="111">
        <f t="shared" ref="AB3207:AB3270" si="713">+J3207/4</f>
        <v>701.8</v>
      </c>
      <c r="AC3207" s="110"/>
      <c r="AD3207" s="110"/>
      <c r="AE3207" s="110">
        <f t="shared" si="703"/>
        <v>1</v>
      </c>
      <c r="AF3207" s="111">
        <f t="shared" ref="AF3207:AF3270" si="714">+J3207/4</f>
        <v>701.8</v>
      </c>
      <c r="AG3207" s="110"/>
      <c r="AH3207" s="110"/>
      <c r="AI3207" s="110"/>
      <c r="AJ3207" s="110"/>
      <c r="AK3207" s="111">
        <f t="shared" si="710"/>
        <v>2807.2</v>
      </c>
      <c r="AL3207" s="446">
        <f t="shared" si="711"/>
        <v>0</v>
      </c>
      <c r="AM3207" s="110">
        <f t="shared" si="712"/>
        <v>4</v>
      </c>
      <c r="AN3207" s="447">
        <f t="shared" si="705"/>
        <v>0</v>
      </c>
      <c r="AO3207"/>
      <c r="AP3207"/>
    </row>
    <row r="3208" spans="1:42" ht="66" x14ac:dyDescent="0.25">
      <c r="A3208" s="9"/>
      <c r="B3208" s="219" t="s">
        <v>2818</v>
      </c>
      <c r="C3208" s="1024"/>
      <c r="D3208" s="880">
        <v>4</v>
      </c>
      <c r="E3208" s="1025" t="s">
        <v>1723</v>
      </c>
      <c r="F3208" s="273" t="s">
        <v>3446</v>
      </c>
      <c r="G3208" s="1040" t="s">
        <v>3463</v>
      </c>
      <c r="H3208" s="273" t="s">
        <v>3462</v>
      </c>
      <c r="I3208" s="720">
        <f t="shared" si="708"/>
        <v>185.01999999999998</v>
      </c>
      <c r="J3208" s="756">
        <v>740.07999999999993</v>
      </c>
      <c r="K3208" s="131">
        <f t="shared" si="704"/>
        <v>740.07999999999993</v>
      </c>
      <c r="L3208" s="335">
        <f t="shared" si="709"/>
        <v>0</v>
      </c>
      <c r="M3208" s="446"/>
      <c r="N3208" s="446"/>
      <c r="O3208" s="446"/>
      <c r="P3208" s="446"/>
      <c r="Q3208" s="110">
        <f t="shared" si="701"/>
        <v>1</v>
      </c>
      <c r="R3208" s="111">
        <f t="shared" si="706"/>
        <v>185.01999999999998</v>
      </c>
      <c r="S3208" s="110"/>
      <c r="T3208" s="110"/>
      <c r="U3208" s="110">
        <f t="shared" si="702"/>
        <v>1</v>
      </c>
      <c r="V3208" s="111">
        <f t="shared" si="707"/>
        <v>185.01999999999998</v>
      </c>
      <c r="W3208" s="110"/>
      <c r="X3208" s="110"/>
      <c r="Y3208" s="110"/>
      <c r="Z3208" s="110"/>
      <c r="AA3208" s="110">
        <f t="shared" si="703"/>
        <v>1</v>
      </c>
      <c r="AB3208" s="111">
        <f t="shared" si="713"/>
        <v>185.01999999999998</v>
      </c>
      <c r="AC3208" s="110"/>
      <c r="AD3208" s="110"/>
      <c r="AE3208" s="110">
        <f t="shared" si="703"/>
        <v>1</v>
      </c>
      <c r="AF3208" s="111">
        <f t="shared" si="714"/>
        <v>185.01999999999998</v>
      </c>
      <c r="AG3208" s="110"/>
      <c r="AH3208" s="110"/>
      <c r="AI3208" s="110"/>
      <c r="AJ3208" s="110"/>
      <c r="AK3208" s="111">
        <f t="shared" si="710"/>
        <v>740.07999999999993</v>
      </c>
      <c r="AL3208" s="446">
        <f t="shared" si="711"/>
        <v>0</v>
      </c>
      <c r="AM3208" s="110">
        <f t="shared" si="712"/>
        <v>4</v>
      </c>
      <c r="AN3208" s="447">
        <f t="shared" si="705"/>
        <v>0</v>
      </c>
      <c r="AO3208"/>
      <c r="AP3208"/>
    </row>
    <row r="3209" spans="1:42" ht="66" x14ac:dyDescent="0.25">
      <c r="A3209" s="9"/>
      <c r="B3209" s="219" t="s">
        <v>2819</v>
      </c>
      <c r="C3209" s="1024"/>
      <c r="D3209" s="880">
        <v>4</v>
      </c>
      <c r="E3209" s="1025" t="s">
        <v>1723</v>
      </c>
      <c r="F3209" s="273" t="s">
        <v>3446</v>
      </c>
      <c r="G3209" s="1040" t="s">
        <v>3463</v>
      </c>
      <c r="H3209" s="273" t="s">
        <v>3462</v>
      </c>
      <c r="I3209" s="720">
        <f t="shared" si="708"/>
        <v>522</v>
      </c>
      <c r="J3209" s="756">
        <v>2088</v>
      </c>
      <c r="K3209" s="131">
        <f t="shared" si="704"/>
        <v>2088</v>
      </c>
      <c r="L3209" s="335">
        <f t="shared" si="709"/>
        <v>0</v>
      </c>
      <c r="M3209" s="446"/>
      <c r="N3209" s="446"/>
      <c r="O3209" s="446"/>
      <c r="P3209" s="446"/>
      <c r="Q3209" s="110">
        <f t="shared" si="701"/>
        <v>1</v>
      </c>
      <c r="R3209" s="111">
        <f t="shared" si="706"/>
        <v>522</v>
      </c>
      <c r="S3209" s="110"/>
      <c r="T3209" s="110"/>
      <c r="U3209" s="110">
        <f t="shared" si="702"/>
        <v>1</v>
      </c>
      <c r="V3209" s="111">
        <f t="shared" si="707"/>
        <v>522</v>
      </c>
      <c r="W3209" s="110"/>
      <c r="X3209" s="110"/>
      <c r="Y3209" s="110"/>
      <c r="Z3209" s="110"/>
      <c r="AA3209" s="110">
        <f t="shared" si="703"/>
        <v>1</v>
      </c>
      <c r="AB3209" s="111">
        <f t="shared" si="713"/>
        <v>522</v>
      </c>
      <c r="AC3209" s="110"/>
      <c r="AD3209" s="110"/>
      <c r="AE3209" s="110">
        <f t="shared" si="703"/>
        <v>1</v>
      </c>
      <c r="AF3209" s="111">
        <f t="shared" si="714"/>
        <v>522</v>
      </c>
      <c r="AG3209" s="110"/>
      <c r="AH3209" s="110"/>
      <c r="AI3209" s="110"/>
      <c r="AJ3209" s="110"/>
      <c r="AK3209" s="111">
        <f t="shared" si="710"/>
        <v>2088</v>
      </c>
      <c r="AL3209" s="446">
        <f t="shared" si="711"/>
        <v>0</v>
      </c>
      <c r="AM3209" s="110">
        <f t="shared" si="712"/>
        <v>4</v>
      </c>
      <c r="AN3209" s="447">
        <f t="shared" si="705"/>
        <v>0</v>
      </c>
      <c r="AO3209"/>
      <c r="AP3209"/>
    </row>
    <row r="3210" spans="1:42" ht="66" x14ac:dyDescent="0.25">
      <c r="A3210" s="9"/>
      <c r="B3210" s="528" t="s">
        <v>3302</v>
      </c>
      <c r="C3210" s="1024"/>
      <c r="D3210" s="882">
        <v>1</v>
      </c>
      <c r="E3210" s="251" t="s">
        <v>1767</v>
      </c>
      <c r="F3210" s="273" t="s">
        <v>3446</v>
      </c>
      <c r="G3210" s="1040" t="s">
        <v>3463</v>
      </c>
      <c r="H3210" s="273" t="s">
        <v>3462</v>
      </c>
      <c r="I3210" s="720">
        <f t="shared" si="708"/>
        <v>394.19978399999997</v>
      </c>
      <c r="J3210" s="756">
        <v>394.19978399999997</v>
      </c>
      <c r="K3210" s="131">
        <f t="shared" si="704"/>
        <v>394.19978399999997</v>
      </c>
      <c r="L3210" s="335">
        <f t="shared" si="709"/>
        <v>0</v>
      </c>
      <c r="M3210" s="446"/>
      <c r="N3210" s="446"/>
      <c r="O3210" s="446"/>
      <c r="P3210" s="446"/>
      <c r="Q3210" s="110">
        <v>1</v>
      </c>
      <c r="R3210" s="111">
        <f t="shared" si="706"/>
        <v>98.549945999999991</v>
      </c>
      <c r="S3210" s="110"/>
      <c r="T3210" s="110"/>
      <c r="U3210" s="110">
        <v>0</v>
      </c>
      <c r="V3210" s="111">
        <f t="shared" si="707"/>
        <v>98.549945999999991</v>
      </c>
      <c r="W3210" s="110"/>
      <c r="X3210" s="110"/>
      <c r="Y3210" s="110"/>
      <c r="Z3210" s="110"/>
      <c r="AA3210" s="110">
        <v>0</v>
      </c>
      <c r="AB3210" s="111">
        <f t="shared" si="713"/>
        <v>98.549945999999991</v>
      </c>
      <c r="AC3210" s="110"/>
      <c r="AD3210" s="110"/>
      <c r="AE3210" s="110">
        <v>0</v>
      </c>
      <c r="AF3210" s="111">
        <f t="shared" si="714"/>
        <v>98.549945999999991</v>
      </c>
      <c r="AG3210" s="110"/>
      <c r="AH3210" s="110"/>
      <c r="AI3210" s="110"/>
      <c r="AJ3210" s="110"/>
      <c r="AK3210" s="111">
        <f t="shared" si="710"/>
        <v>394.19978399999997</v>
      </c>
      <c r="AL3210" s="446">
        <f t="shared" si="711"/>
        <v>0</v>
      </c>
      <c r="AM3210" s="110">
        <f t="shared" si="712"/>
        <v>1</v>
      </c>
      <c r="AN3210" s="447">
        <f t="shared" si="705"/>
        <v>0</v>
      </c>
      <c r="AO3210"/>
      <c r="AP3210"/>
    </row>
    <row r="3211" spans="1:42" ht="66" x14ac:dyDescent="0.25">
      <c r="A3211" s="9"/>
      <c r="B3211" s="528" t="s">
        <v>3303</v>
      </c>
      <c r="C3211" s="1024"/>
      <c r="D3211" s="882">
        <v>1</v>
      </c>
      <c r="E3211" s="251" t="s">
        <v>1767</v>
      </c>
      <c r="F3211" s="273" t="s">
        <v>3446</v>
      </c>
      <c r="G3211" s="1040" t="s">
        <v>3463</v>
      </c>
      <c r="H3211" s="273" t="s">
        <v>3462</v>
      </c>
      <c r="I3211" s="720">
        <f t="shared" si="708"/>
        <v>205.200288</v>
      </c>
      <c r="J3211" s="756">
        <v>205.200288</v>
      </c>
      <c r="K3211" s="131">
        <f t="shared" si="704"/>
        <v>205.200288</v>
      </c>
      <c r="L3211" s="335">
        <f t="shared" si="709"/>
        <v>0</v>
      </c>
      <c r="M3211" s="446"/>
      <c r="N3211" s="446"/>
      <c r="O3211" s="446"/>
      <c r="P3211" s="446"/>
      <c r="Q3211" s="110">
        <v>1</v>
      </c>
      <c r="R3211" s="111">
        <f t="shared" si="706"/>
        <v>51.300072</v>
      </c>
      <c r="S3211" s="110"/>
      <c r="T3211" s="110"/>
      <c r="U3211" s="110">
        <v>0</v>
      </c>
      <c r="V3211" s="111">
        <f t="shared" si="707"/>
        <v>51.300072</v>
      </c>
      <c r="W3211" s="110"/>
      <c r="X3211" s="110"/>
      <c r="Y3211" s="110"/>
      <c r="Z3211" s="110"/>
      <c r="AA3211" s="110">
        <v>0</v>
      </c>
      <c r="AB3211" s="111">
        <f t="shared" si="713"/>
        <v>51.300072</v>
      </c>
      <c r="AC3211" s="110"/>
      <c r="AD3211" s="110"/>
      <c r="AE3211" s="110">
        <v>0</v>
      </c>
      <c r="AF3211" s="111">
        <f t="shared" si="714"/>
        <v>51.300072</v>
      </c>
      <c r="AG3211" s="110"/>
      <c r="AH3211" s="110"/>
      <c r="AI3211" s="110"/>
      <c r="AJ3211" s="110"/>
      <c r="AK3211" s="111">
        <f t="shared" si="710"/>
        <v>205.200288</v>
      </c>
      <c r="AL3211" s="446">
        <f t="shared" si="711"/>
        <v>0</v>
      </c>
      <c r="AM3211" s="110">
        <f t="shared" si="712"/>
        <v>1</v>
      </c>
      <c r="AN3211" s="447">
        <f t="shared" si="705"/>
        <v>0</v>
      </c>
      <c r="AO3211"/>
      <c r="AP3211"/>
    </row>
    <row r="3212" spans="1:42" ht="66" x14ac:dyDescent="0.25">
      <c r="A3212" s="9"/>
      <c r="B3212" s="528" t="s">
        <v>3304</v>
      </c>
      <c r="C3212" s="1024"/>
      <c r="D3212" s="882">
        <v>1</v>
      </c>
      <c r="E3212" s="251" t="s">
        <v>1767</v>
      </c>
      <c r="F3212" s="273" t="s">
        <v>3446</v>
      </c>
      <c r="G3212" s="1040" t="s">
        <v>3463</v>
      </c>
      <c r="H3212" s="273" t="s">
        <v>3462</v>
      </c>
      <c r="I3212" s="720">
        <f t="shared" si="708"/>
        <v>900.6</v>
      </c>
      <c r="J3212" s="756">
        <v>900.6</v>
      </c>
      <c r="K3212" s="131">
        <f t="shared" si="704"/>
        <v>900.6</v>
      </c>
      <c r="L3212" s="335">
        <f t="shared" si="709"/>
        <v>0</v>
      </c>
      <c r="M3212" s="446"/>
      <c r="N3212" s="446"/>
      <c r="O3212" s="446"/>
      <c r="P3212" s="446"/>
      <c r="Q3212" s="110">
        <v>1</v>
      </c>
      <c r="R3212" s="111">
        <f t="shared" si="706"/>
        <v>225.15</v>
      </c>
      <c r="S3212" s="110"/>
      <c r="T3212" s="110"/>
      <c r="U3212" s="110">
        <v>0</v>
      </c>
      <c r="V3212" s="111">
        <f t="shared" si="707"/>
        <v>225.15</v>
      </c>
      <c r="W3212" s="110"/>
      <c r="X3212" s="110"/>
      <c r="Y3212" s="110"/>
      <c r="Z3212" s="110"/>
      <c r="AA3212" s="110">
        <v>0</v>
      </c>
      <c r="AB3212" s="111">
        <f t="shared" si="713"/>
        <v>225.15</v>
      </c>
      <c r="AC3212" s="110"/>
      <c r="AD3212" s="110"/>
      <c r="AE3212" s="110">
        <v>0</v>
      </c>
      <c r="AF3212" s="111">
        <f t="shared" si="714"/>
        <v>225.15</v>
      </c>
      <c r="AG3212" s="110"/>
      <c r="AH3212" s="110"/>
      <c r="AI3212" s="110"/>
      <c r="AJ3212" s="110"/>
      <c r="AK3212" s="111">
        <f t="shared" si="710"/>
        <v>900.6</v>
      </c>
      <c r="AL3212" s="446">
        <f t="shared" si="711"/>
        <v>0</v>
      </c>
      <c r="AM3212" s="110">
        <f t="shared" si="712"/>
        <v>1</v>
      </c>
      <c r="AN3212" s="447">
        <f t="shared" si="705"/>
        <v>0</v>
      </c>
      <c r="AO3212"/>
      <c r="AP3212"/>
    </row>
    <row r="3213" spans="1:42" x14ac:dyDescent="0.25">
      <c r="A3213" s="6">
        <v>272</v>
      </c>
      <c r="B3213" s="553" t="s">
        <v>673</v>
      </c>
      <c r="C3213" s="7"/>
      <c r="D3213" s="894"/>
      <c r="E3213" s="138"/>
      <c r="F3213" s="279"/>
      <c r="G3213" s="279"/>
      <c r="H3213" s="279"/>
      <c r="I3213" s="720"/>
      <c r="J3213" s="773"/>
      <c r="K3213" s="131">
        <f t="shared" si="704"/>
        <v>0</v>
      </c>
      <c r="L3213" s="335">
        <f t="shared" si="709"/>
        <v>0</v>
      </c>
      <c r="M3213" s="446"/>
      <c r="N3213" s="446"/>
      <c r="O3213" s="446"/>
      <c r="P3213" s="446"/>
      <c r="Q3213" s="110">
        <f t="shared" si="701"/>
        <v>0</v>
      </c>
      <c r="R3213" s="111">
        <f t="shared" si="706"/>
        <v>0</v>
      </c>
      <c r="S3213" s="110"/>
      <c r="T3213" s="110"/>
      <c r="U3213" s="110">
        <f t="shared" si="702"/>
        <v>0</v>
      </c>
      <c r="V3213" s="111">
        <f t="shared" si="707"/>
        <v>0</v>
      </c>
      <c r="W3213" s="110"/>
      <c r="X3213" s="110"/>
      <c r="Y3213" s="110"/>
      <c r="Z3213" s="110"/>
      <c r="AA3213" s="110">
        <f t="shared" si="703"/>
        <v>0</v>
      </c>
      <c r="AB3213" s="111">
        <f t="shared" si="713"/>
        <v>0</v>
      </c>
      <c r="AC3213" s="110"/>
      <c r="AD3213" s="110"/>
      <c r="AE3213" s="110">
        <f t="shared" si="703"/>
        <v>0</v>
      </c>
      <c r="AF3213" s="111">
        <f t="shared" si="714"/>
        <v>0</v>
      </c>
      <c r="AG3213" s="110"/>
      <c r="AH3213" s="110"/>
      <c r="AI3213" s="110"/>
      <c r="AJ3213" s="110"/>
      <c r="AK3213" s="111">
        <f t="shared" si="710"/>
        <v>0</v>
      </c>
      <c r="AL3213" s="446">
        <f t="shared" si="711"/>
        <v>0</v>
      </c>
      <c r="AM3213" s="110">
        <f t="shared" si="712"/>
        <v>0</v>
      </c>
      <c r="AN3213" s="447">
        <f t="shared" si="705"/>
        <v>0</v>
      </c>
      <c r="AO3213" s="108"/>
      <c r="AP3213"/>
    </row>
    <row r="3214" spans="1:42" ht="22.5" x14ac:dyDescent="0.25">
      <c r="A3214" s="310">
        <v>27201</v>
      </c>
      <c r="B3214" s="375" t="s">
        <v>674</v>
      </c>
      <c r="C3214" s="311"/>
      <c r="D3214" s="902"/>
      <c r="E3214" s="312"/>
      <c r="F3214" s="313"/>
      <c r="G3214" s="313"/>
      <c r="H3214" s="313"/>
      <c r="I3214" s="729"/>
      <c r="J3214" s="800"/>
      <c r="K3214" s="131">
        <f t="shared" si="704"/>
        <v>0</v>
      </c>
      <c r="L3214" s="335">
        <f t="shared" si="709"/>
        <v>0</v>
      </c>
      <c r="M3214" s="446"/>
      <c r="N3214" s="446"/>
      <c r="O3214" s="446"/>
      <c r="P3214" s="446"/>
      <c r="Q3214" s="110">
        <f t="shared" si="701"/>
        <v>0</v>
      </c>
      <c r="R3214" s="111">
        <f t="shared" si="706"/>
        <v>0</v>
      </c>
      <c r="S3214" s="110"/>
      <c r="T3214" s="110"/>
      <c r="U3214" s="110">
        <f t="shared" si="702"/>
        <v>0</v>
      </c>
      <c r="V3214" s="111">
        <f t="shared" si="707"/>
        <v>0</v>
      </c>
      <c r="W3214" s="110"/>
      <c r="X3214" s="110"/>
      <c r="Y3214" s="110"/>
      <c r="Z3214" s="110"/>
      <c r="AA3214" s="110">
        <f t="shared" ref="AA3214:AE3256" si="715">+$D3214/4</f>
        <v>0</v>
      </c>
      <c r="AB3214" s="111">
        <f t="shared" si="713"/>
        <v>0</v>
      </c>
      <c r="AC3214" s="110"/>
      <c r="AD3214" s="110"/>
      <c r="AE3214" s="110">
        <f t="shared" si="715"/>
        <v>0</v>
      </c>
      <c r="AF3214" s="111">
        <f t="shared" si="714"/>
        <v>0</v>
      </c>
      <c r="AG3214" s="110"/>
      <c r="AH3214" s="110"/>
      <c r="AI3214" s="110"/>
      <c r="AJ3214" s="110"/>
      <c r="AK3214" s="111">
        <f t="shared" si="710"/>
        <v>0</v>
      </c>
      <c r="AL3214" s="446">
        <f t="shared" si="711"/>
        <v>0</v>
      </c>
      <c r="AM3214" s="110">
        <f t="shared" si="712"/>
        <v>0</v>
      </c>
      <c r="AN3214" s="447">
        <f t="shared" si="705"/>
        <v>0</v>
      </c>
      <c r="AO3214" s="436">
        <f>SUM(J3215)</f>
        <v>596.1</v>
      </c>
      <c r="AP3214" s="111"/>
    </row>
    <row r="3215" spans="1:42" ht="66" x14ac:dyDescent="0.25">
      <c r="A3215" s="1024"/>
      <c r="B3215" s="152" t="s">
        <v>1829</v>
      </c>
      <c r="C3215" s="1024"/>
      <c r="D3215" s="926">
        <v>6</v>
      </c>
      <c r="E3215" s="254" t="s">
        <v>1721</v>
      </c>
      <c r="F3215" s="273" t="s">
        <v>3446</v>
      </c>
      <c r="G3215" s="273"/>
      <c r="H3215" s="273" t="s">
        <v>3462</v>
      </c>
      <c r="I3215" s="720">
        <f>+J3215/D3215</f>
        <v>99.350000000000009</v>
      </c>
      <c r="J3215" s="780">
        <v>596.1</v>
      </c>
      <c r="K3215" s="131">
        <f t="shared" si="704"/>
        <v>596.1</v>
      </c>
      <c r="L3215" s="335">
        <f t="shared" si="709"/>
        <v>0</v>
      </c>
      <c r="M3215" s="446"/>
      <c r="N3215" s="446"/>
      <c r="O3215" s="446"/>
      <c r="P3215" s="446"/>
      <c r="Q3215" s="130">
        <v>2</v>
      </c>
      <c r="R3215" s="111">
        <f t="shared" si="706"/>
        <v>149.02500000000001</v>
      </c>
      <c r="S3215" s="110"/>
      <c r="T3215" s="110"/>
      <c r="U3215" s="130">
        <v>2</v>
      </c>
      <c r="V3215" s="111">
        <f t="shared" si="707"/>
        <v>149.02500000000001</v>
      </c>
      <c r="W3215" s="110"/>
      <c r="X3215" s="110"/>
      <c r="Y3215" s="110"/>
      <c r="Z3215" s="110"/>
      <c r="AA3215" s="130">
        <v>1</v>
      </c>
      <c r="AB3215" s="111">
        <f t="shared" si="713"/>
        <v>149.02500000000001</v>
      </c>
      <c r="AC3215" s="110"/>
      <c r="AD3215" s="110"/>
      <c r="AE3215" s="130">
        <v>1</v>
      </c>
      <c r="AF3215" s="111">
        <f t="shared" si="714"/>
        <v>149.02500000000001</v>
      </c>
      <c r="AG3215" s="110"/>
      <c r="AH3215" s="110"/>
      <c r="AI3215" s="110"/>
      <c r="AJ3215" s="110"/>
      <c r="AK3215" s="111">
        <f t="shared" si="710"/>
        <v>596.1</v>
      </c>
      <c r="AL3215" s="446">
        <f t="shared" si="711"/>
        <v>0</v>
      </c>
      <c r="AM3215" s="110">
        <f t="shared" si="712"/>
        <v>6</v>
      </c>
      <c r="AN3215" s="447">
        <f t="shared" si="705"/>
        <v>0</v>
      </c>
      <c r="AO3215"/>
      <c r="AP3215"/>
    </row>
    <row r="3216" spans="1:42" x14ac:dyDescent="0.25">
      <c r="A3216" s="310">
        <v>27202</v>
      </c>
      <c r="B3216" s="375" t="s">
        <v>675</v>
      </c>
      <c r="C3216" s="311"/>
      <c r="D3216" s="902"/>
      <c r="E3216" s="312"/>
      <c r="F3216" s="313"/>
      <c r="G3216" s="313"/>
      <c r="H3216" s="313"/>
      <c r="I3216" s="729"/>
      <c r="J3216" s="800"/>
      <c r="K3216" s="131">
        <f t="shared" si="704"/>
        <v>0</v>
      </c>
      <c r="L3216" s="335">
        <f t="shared" si="709"/>
        <v>0</v>
      </c>
      <c r="M3216" s="446"/>
      <c r="N3216" s="446"/>
      <c r="O3216" s="446"/>
      <c r="P3216" s="446"/>
      <c r="Q3216" s="387">
        <f t="shared" si="701"/>
        <v>0</v>
      </c>
      <c r="R3216" s="314">
        <f t="shared" si="706"/>
        <v>0</v>
      </c>
      <c r="S3216" s="387"/>
      <c r="T3216" s="387"/>
      <c r="U3216" s="387">
        <f t="shared" si="702"/>
        <v>0</v>
      </c>
      <c r="V3216" s="314">
        <f t="shared" si="707"/>
        <v>0</v>
      </c>
      <c r="W3216" s="387"/>
      <c r="X3216" s="387"/>
      <c r="Y3216" s="387"/>
      <c r="Z3216" s="387"/>
      <c r="AA3216" s="387">
        <f t="shared" si="715"/>
        <v>0</v>
      </c>
      <c r="AB3216" s="314">
        <f t="shared" si="713"/>
        <v>0</v>
      </c>
      <c r="AC3216" s="387"/>
      <c r="AD3216" s="387"/>
      <c r="AE3216" s="387">
        <f t="shared" si="715"/>
        <v>0</v>
      </c>
      <c r="AF3216" s="314">
        <f t="shared" si="714"/>
        <v>0</v>
      </c>
      <c r="AG3216" s="387"/>
      <c r="AH3216" s="387"/>
      <c r="AI3216" s="387"/>
      <c r="AJ3216" s="387"/>
      <c r="AK3216" s="314">
        <f t="shared" si="710"/>
        <v>0</v>
      </c>
      <c r="AL3216" s="421">
        <f t="shared" si="711"/>
        <v>0</v>
      </c>
      <c r="AM3216" s="387">
        <f t="shared" si="712"/>
        <v>0</v>
      </c>
      <c r="AN3216" s="422">
        <f t="shared" si="705"/>
        <v>0</v>
      </c>
      <c r="AO3216" s="108"/>
      <c r="AP3216"/>
    </row>
    <row r="3217" spans="1:42" x14ac:dyDescent="0.25">
      <c r="A3217" s="60"/>
      <c r="B3217" s="478"/>
      <c r="C3217" s="7"/>
      <c r="D3217" s="894"/>
      <c r="E3217" s="138"/>
      <c r="F3217" s="279"/>
      <c r="G3217" s="279"/>
      <c r="H3217" s="279"/>
      <c r="I3217" s="720"/>
      <c r="J3217" s="773"/>
      <c r="K3217" s="131">
        <f t="shared" si="704"/>
        <v>0</v>
      </c>
      <c r="L3217" s="335">
        <f t="shared" si="709"/>
        <v>0</v>
      </c>
      <c r="M3217" s="446"/>
      <c r="N3217" s="446"/>
      <c r="O3217" s="446"/>
      <c r="P3217" s="446"/>
      <c r="Q3217" s="110">
        <f t="shared" si="701"/>
        <v>0</v>
      </c>
      <c r="R3217" s="111">
        <f t="shared" si="706"/>
        <v>0</v>
      </c>
      <c r="S3217" s="110"/>
      <c r="T3217" s="110"/>
      <c r="U3217" s="110">
        <f t="shared" si="702"/>
        <v>0</v>
      </c>
      <c r="V3217" s="111">
        <f t="shared" si="707"/>
        <v>0</v>
      </c>
      <c r="W3217" s="110"/>
      <c r="X3217" s="110"/>
      <c r="Y3217" s="110"/>
      <c r="Z3217" s="110"/>
      <c r="AA3217" s="110">
        <f t="shared" si="715"/>
        <v>0</v>
      </c>
      <c r="AB3217" s="111">
        <f t="shared" si="713"/>
        <v>0</v>
      </c>
      <c r="AC3217" s="110"/>
      <c r="AD3217" s="110"/>
      <c r="AE3217" s="110">
        <f t="shared" si="715"/>
        <v>0</v>
      </c>
      <c r="AF3217" s="111">
        <f t="shared" si="714"/>
        <v>0</v>
      </c>
      <c r="AG3217" s="110"/>
      <c r="AH3217" s="110"/>
      <c r="AI3217" s="110"/>
      <c r="AJ3217" s="110"/>
      <c r="AK3217" s="111">
        <f t="shared" si="710"/>
        <v>0</v>
      </c>
      <c r="AL3217" s="446">
        <f t="shared" si="711"/>
        <v>0</v>
      </c>
      <c r="AM3217" s="110">
        <f t="shared" si="712"/>
        <v>0</v>
      </c>
      <c r="AN3217" s="447">
        <f t="shared" si="705"/>
        <v>0</v>
      </c>
      <c r="AO3217"/>
      <c r="AP3217"/>
    </row>
    <row r="3218" spans="1:42" ht="22.5" x14ac:dyDescent="0.25">
      <c r="A3218" s="310">
        <v>27203</v>
      </c>
      <c r="B3218" s="375" t="s">
        <v>676</v>
      </c>
      <c r="C3218" s="311"/>
      <c r="D3218" s="902"/>
      <c r="E3218" s="312"/>
      <c r="F3218" s="313"/>
      <c r="G3218" s="313"/>
      <c r="H3218" s="313"/>
      <c r="I3218" s="729"/>
      <c r="J3218" s="800"/>
      <c r="K3218" s="131">
        <f t="shared" si="704"/>
        <v>0</v>
      </c>
      <c r="L3218" s="335">
        <f t="shared" si="709"/>
        <v>0</v>
      </c>
      <c r="M3218" s="446"/>
      <c r="N3218" s="446"/>
      <c r="O3218" s="446"/>
      <c r="P3218" s="446"/>
      <c r="Q3218" s="387">
        <f t="shared" si="701"/>
        <v>0</v>
      </c>
      <c r="R3218" s="314">
        <f t="shared" si="706"/>
        <v>0</v>
      </c>
      <c r="S3218" s="387"/>
      <c r="T3218" s="387"/>
      <c r="U3218" s="387">
        <f t="shared" si="702"/>
        <v>0</v>
      </c>
      <c r="V3218" s="314">
        <f t="shared" si="707"/>
        <v>0</v>
      </c>
      <c r="W3218" s="387"/>
      <c r="X3218" s="387"/>
      <c r="Y3218" s="387"/>
      <c r="Z3218" s="387"/>
      <c r="AA3218" s="387">
        <f t="shared" si="715"/>
        <v>0</v>
      </c>
      <c r="AB3218" s="314">
        <f t="shared" si="713"/>
        <v>0</v>
      </c>
      <c r="AC3218" s="387"/>
      <c r="AD3218" s="387"/>
      <c r="AE3218" s="387">
        <f t="shared" si="715"/>
        <v>0</v>
      </c>
      <c r="AF3218" s="314">
        <f t="shared" si="714"/>
        <v>0</v>
      </c>
      <c r="AG3218" s="387"/>
      <c r="AH3218" s="387"/>
      <c r="AI3218" s="387"/>
      <c r="AJ3218" s="387"/>
      <c r="AK3218" s="314">
        <f t="shared" si="710"/>
        <v>0</v>
      </c>
      <c r="AL3218" s="421">
        <f t="shared" si="711"/>
        <v>0</v>
      </c>
      <c r="AM3218" s="387">
        <f t="shared" si="712"/>
        <v>0</v>
      </c>
      <c r="AN3218" s="422">
        <f t="shared" si="705"/>
        <v>0</v>
      </c>
      <c r="AO3218" s="436">
        <f>SUM(J3219:J3228)</f>
        <v>589204.80999999994</v>
      </c>
      <c r="AP3218" s="111"/>
    </row>
    <row r="3219" spans="1:42" ht="66" x14ac:dyDescent="0.25">
      <c r="A3219" s="9"/>
      <c r="B3219" s="45" t="s">
        <v>1292</v>
      </c>
      <c r="C3219" s="1024"/>
      <c r="D3219" s="869">
        <v>478</v>
      </c>
      <c r="E3219" s="254" t="s">
        <v>1721</v>
      </c>
      <c r="F3219" s="273" t="s">
        <v>3446</v>
      </c>
      <c r="G3219" s="1040" t="s">
        <v>3463</v>
      </c>
      <c r="H3219" s="273" t="s">
        <v>3462</v>
      </c>
      <c r="I3219" s="720">
        <f t="shared" ref="I3219:I3228" si="716">+J3219/D3219</f>
        <v>486</v>
      </c>
      <c r="J3219" s="756">
        <v>232308</v>
      </c>
      <c r="K3219" s="131">
        <f t="shared" si="704"/>
        <v>232308</v>
      </c>
      <c r="L3219" s="335">
        <f t="shared" si="709"/>
        <v>0</v>
      </c>
      <c r="M3219" s="446"/>
      <c r="N3219" s="446"/>
      <c r="O3219" s="446"/>
      <c r="P3219" s="446"/>
      <c r="Q3219" s="110">
        <v>478</v>
      </c>
      <c r="R3219" s="111">
        <f t="shared" si="706"/>
        <v>58077</v>
      </c>
      <c r="S3219" s="110"/>
      <c r="T3219" s="110"/>
      <c r="U3219" s="110">
        <v>0</v>
      </c>
      <c r="V3219" s="111">
        <f t="shared" si="707"/>
        <v>58077</v>
      </c>
      <c r="W3219" s="110"/>
      <c r="X3219" s="110"/>
      <c r="Y3219" s="110"/>
      <c r="Z3219" s="110"/>
      <c r="AA3219" s="110">
        <v>0</v>
      </c>
      <c r="AB3219" s="111">
        <f t="shared" si="713"/>
        <v>58077</v>
      </c>
      <c r="AC3219" s="110"/>
      <c r="AD3219" s="110"/>
      <c r="AE3219" s="110">
        <v>0</v>
      </c>
      <c r="AF3219" s="111">
        <f t="shared" si="714"/>
        <v>58077</v>
      </c>
      <c r="AG3219" s="110"/>
      <c r="AH3219" s="110"/>
      <c r="AI3219" s="110"/>
      <c r="AJ3219" s="110"/>
      <c r="AK3219" s="111">
        <f t="shared" si="710"/>
        <v>232308</v>
      </c>
      <c r="AL3219" s="446">
        <f t="shared" si="711"/>
        <v>0</v>
      </c>
      <c r="AM3219" s="110">
        <f t="shared" si="712"/>
        <v>478</v>
      </c>
      <c r="AN3219" s="447">
        <f t="shared" si="705"/>
        <v>0</v>
      </c>
      <c r="AO3219"/>
      <c r="AP3219"/>
    </row>
    <row r="3220" spans="1:42" ht="66" x14ac:dyDescent="0.25">
      <c r="A3220" s="9"/>
      <c r="B3220" s="45" t="s">
        <v>1293</v>
      </c>
      <c r="C3220" s="1024"/>
      <c r="D3220" s="869">
        <v>307</v>
      </c>
      <c r="E3220" s="81" t="s">
        <v>1721</v>
      </c>
      <c r="F3220" s="273" t="s">
        <v>3446</v>
      </c>
      <c r="G3220" s="1040" t="s">
        <v>3463</v>
      </c>
      <c r="H3220" s="273" t="s">
        <v>3462</v>
      </c>
      <c r="I3220" s="735">
        <f t="shared" si="716"/>
        <v>459</v>
      </c>
      <c r="J3220" s="756">
        <v>140913</v>
      </c>
      <c r="K3220" s="131">
        <f t="shared" si="704"/>
        <v>140913</v>
      </c>
      <c r="L3220" s="335">
        <f t="shared" si="709"/>
        <v>0</v>
      </c>
      <c r="M3220" s="446"/>
      <c r="N3220" s="446"/>
      <c r="O3220" s="446"/>
      <c r="P3220" s="446"/>
      <c r="Q3220" s="110">
        <v>307</v>
      </c>
      <c r="R3220" s="111">
        <f t="shared" si="706"/>
        <v>35228.25</v>
      </c>
      <c r="S3220" s="110"/>
      <c r="T3220" s="110"/>
      <c r="U3220" s="110">
        <v>0</v>
      </c>
      <c r="V3220" s="111">
        <f t="shared" si="707"/>
        <v>35228.25</v>
      </c>
      <c r="W3220" s="110"/>
      <c r="X3220" s="110"/>
      <c r="Y3220" s="110"/>
      <c r="Z3220" s="110"/>
      <c r="AA3220" s="110">
        <v>0</v>
      </c>
      <c r="AB3220" s="111">
        <f t="shared" si="713"/>
        <v>35228.25</v>
      </c>
      <c r="AC3220" s="110"/>
      <c r="AD3220" s="110"/>
      <c r="AE3220" s="110">
        <v>0</v>
      </c>
      <c r="AF3220" s="111">
        <f t="shared" si="714"/>
        <v>35228.25</v>
      </c>
      <c r="AG3220" s="110"/>
      <c r="AH3220" s="110"/>
      <c r="AI3220" s="110"/>
      <c r="AJ3220" s="110"/>
      <c r="AK3220" s="111">
        <f t="shared" si="710"/>
        <v>140913</v>
      </c>
      <c r="AL3220" s="446">
        <f t="shared" si="711"/>
        <v>0</v>
      </c>
      <c r="AM3220" s="110">
        <f t="shared" si="712"/>
        <v>307</v>
      </c>
      <c r="AN3220" s="447">
        <f t="shared" si="705"/>
        <v>0</v>
      </c>
      <c r="AO3220"/>
      <c r="AP3220"/>
    </row>
    <row r="3221" spans="1:42" ht="66" x14ac:dyDescent="0.25">
      <c r="A3221" s="9"/>
      <c r="B3221" s="45" t="s">
        <v>1294</v>
      </c>
      <c r="C3221" s="1024"/>
      <c r="D3221" s="869">
        <v>182</v>
      </c>
      <c r="E3221" s="254" t="s">
        <v>1721</v>
      </c>
      <c r="F3221" s="273" t="s">
        <v>3446</v>
      </c>
      <c r="G3221" s="1040" t="s">
        <v>3463</v>
      </c>
      <c r="H3221" s="273" t="s">
        <v>3462</v>
      </c>
      <c r="I3221" s="720">
        <f t="shared" si="716"/>
        <v>314</v>
      </c>
      <c r="J3221" s="756">
        <v>57148</v>
      </c>
      <c r="K3221" s="131">
        <f t="shared" si="704"/>
        <v>57148</v>
      </c>
      <c r="L3221" s="335">
        <f t="shared" si="709"/>
        <v>0</v>
      </c>
      <c r="M3221" s="446"/>
      <c r="N3221" s="446"/>
      <c r="O3221" s="446"/>
      <c r="P3221" s="446"/>
      <c r="Q3221" s="110">
        <v>46</v>
      </c>
      <c r="R3221" s="111">
        <f t="shared" si="706"/>
        <v>14287</v>
      </c>
      <c r="S3221" s="110"/>
      <c r="T3221" s="110"/>
      <c r="U3221" s="110">
        <v>46</v>
      </c>
      <c r="V3221" s="111">
        <f t="shared" si="707"/>
        <v>14287</v>
      </c>
      <c r="W3221" s="110"/>
      <c r="X3221" s="110"/>
      <c r="Y3221" s="110"/>
      <c r="Z3221" s="110"/>
      <c r="AA3221" s="110">
        <v>45</v>
      </c>
      <c r="AB3221" s="111">
        <f t="shared" si="713"/>
        <v>14287</v>
      </c>
      <c r="AC3221" s="110"/>
      <c r="AD3221" s="110"/>
      <c r="AE3221" s="110">
        <v>45</v>
      </c>
      <c r="AF3221" s="111">
        <f t="shared" si="714"/>
        <v>14287</v>
      </c>
      <c r="AG3221" s="110"/>
      <c r="AH3221" s="110"/>
      <c r="AI3221" s="110"/>
      <c r="AJ3221" s="110"/>
      <c r="AK3221" s="111">
        <f t="shared" si="710"/>
        <v>57148</v>
      </c>
      <c r="AL3221" s="446">
        <f t="shared" si="711"/>
        <v>0</v>
      </c>
      <c r="AM3221" s="110">
        <f t="shared" si="712"/>
        <v>182</v>
      </c>
      <c r="AN3221" s="447">
        <f t="shared" si="705"/>
        <v>0</v>
      </c>
      <c r="AO3221"/>
      <c r="AP3221"/>
    </row>
    <row r="3222" spans="1:42" ht="66" x14ac:dyDescent="0.25">
      <c r="A3222" s="9"/>
      <c r="B3222" s="45" t="s">
        <v>1295</v>
      </c>
      <c r="C3222" s="1024"/>
      <c r="D3222" s="869">
        <v>22</v>
      </c>
      <c r="E3222" s="254" t="s">
        <v>1721</v>
      </c>
      <c r="F3222" s="273" t="s">
        <v>3446</v>
      </c>
      <c r="G3222" s="1040" t="s">
        <v>3463</v>
      </c>
      <c r="H3222" s="273" t="s">
        <v>3462</v>
      </c>
      <c r="I3222" s="720">
        <f t="shared" si="716"/>
        <v>190</v>
      </c>
      <c r="J3222" s="756">
        <v>4180</v>
      </c>
      <c r="K3222" s="131">
        <f t="shared" si="704"/>
        <v>4180</v>
      </c>
      <c r="L3222" s="335">
        <f t="shared" si="709"/>
        <v>0</v>
      </c>
      <c r="M3222" s="446"/>
      <c r="N3222" s="446"/>
      <c r="O3222" s="446"/>
      <c r="P3222" s="446"/>
      <c r="Q3222" s="110">
        <v>6</v>
      </c>
      <c r="R3222" s="111">
        <f t="shared" si="706"/>
        <v>1045</v>
      </c>
      <c r="S3222" s="110"/>
      <c r="T3222" s="110"/>
      <c r="U3222" s="110">
        <v>6</v>
      </c>
      <c r="V3222" s="111">
        <f t="shared" si="707"/>
        <v>1045</v>
      </c>
      <c r="W3222" s="110"/>
      <c r="X3222" s="110"/>
      <c r="Y3222" s="110"/>
      <c r="Z3222" s="110"/>
      <c r="AA3222" s="110">
        <v>5</v>
      </c>
      <c r="AB3222" s="111">
        <f t="shared" si="713"/>
        <v>1045</v>
      </c>
      <c r="AC3222" s="110"/>
      <c r="AD3222" s="110"/>
      <c r="AE3222" s="110">
        <v>5</v>
      </c>
      <c r="AF3222" s="111">
        <f t="shared" si="714"/>
        <v>1045</v>
      </c>
      <c r="AG3222" s="110"/>
      <c r="AH3222" s="110"/>
      <c r="AI3222" s="110"/>
      <c r="AJ3222" s="110"/>
      <c r="AK3222" s="111">
        <f t="shared" si="710"/>
        <v>4180</v>
      </c>
      <c r="AL3222" s="446">
        <f t="shared" si="711"/>
        <v>0</v>
      </c>
      <c r="AM3222" s="110">
        <f t="shared" si="712"/>
        <v>22</v>
      </c>
      <c r="AN3222" s="447">
        <f t="shared" si="705"/>
        <v>0</v>
      </c>
      <c r="AO3222"/>
      <c r="AP3222"/>
    </row>
    <row r="3223" spans="1:42" ht="66" x14ac:dyDescent="0.25">
      <c r="A3223" s="9"/>
      <c r="B3223" s="45" t="s">
        <v>1290</v>
      </c>
      <c r="C3223" s="1024"/>
      <c r="D3223" s="869">
        <v>29</v>
      </c>
      <c r="E3223" s="254" t="s">
        <v>1721</v>
      </c>
      <c r="F3223" s="273" t="s">
        <v>3446</v>
      </c>
      <c r="G3223" s="1040" t="s">
        <v>3463</v>
      </c>
      <c r="H3223" s="273" t="s">
        <v>3462</v>
      </c>
      <c r="I3223" s="720">
        <f t="shared" si="716"/>
        <v>110</v>
      </c>
      <c r="J3223" s="756">
        <v>3190</v>
      </c>
      <c r="K3223" s="131">
        <f t="shared" si="704"/>
        <v>3190</v>
      </c>
      <c r="L3223" s="335">
        <f t="shared" si="709"/>
        <v>0</v>
      </c>
      <c r="M3223" s="446"/>
      <c r="N3223" s="446"/>
      <c r="O3223" s="446"/>
      <c r="P3223" s="446"/>
      <c r="Q3223" s="110">
        <v>29</v>
      </c>
      <c r="R3223" s="111">
        <f t="shared" si="706"/>
        <v>797.5</v>
      </c>
      <c r="S3223" s="110"/>
      <c r="T3223" s="110"/>
      <c r="U3223" s="110">
        <v>0</v>
      </c>
      <c r="V3223" s="111">
        <f t="shared" si="707"/>
        <v>797.5</v>
      </c>
      <c r="W3223" s="110"/>
      <c r="X3223" s="110"/>
      <c r="Y3223" s="110"/>
      <c r="Z3223" s="110"/>
      <c r="AA3223" s="110">
        <v>0</v>
      </c>
      <c r="AB3223" s="111">
        <f t="shared" si="713"/>
        <v>797.5</v>
      </c>
      <c r="AC3223" s="110"/>
      <c r="AD3223" s="110"/>
      <c r="AE3223" s="110">
        <v>0</v>
      </c>
      <c r="AF3223" s="111">
        <f t="shared" si="714"/>
        <v>797.5</v>
      </c>
      <c r="AG3223" s="110"/>
      <c r="AH3223" s="110"/>
      <c r="AI3223" s="110"/>
      <c r="AJ3223" s="110"/>
      <c r="AK3223" s="111">
        <f t="shared" si="710"/>
        <v>3190</v>
      </c>
      <c r="AL3223" s="446">
        <f t="shared" si="711"/>
        <v>0</v>
      </c>
      <c r="AM3223" s="110">
        <f t="shared" si="712"/>
        <v>29</v>
      </c>
      <c r="AN3223" s="447">
        <f t="shared" si="705"/>
        <v>0</v>
      </c>
      <c r="AO3223"/>
      <c r="AP3223"/>
    </row>
    <row r="3224" spans="1:42" ht="66" x14ac:dyDescent="0.25">
      <c r="A3224" s="9"/>
      <c r="B3224" s="45" t="s">
        <v>1296</v>
      </c>
      <c r="C3224" s="1024"/>
      <c r="D3224" s="869">
        <v>131</v>
      </c>
      <c r="E3224" s="254" t="s">
        <v>1721</v>
      </c>
      <c r="F3224" s="273" t="s">
        <v>3446</v>
      </c>
      <c r="G3224" s="1040" t="s">
        <v>3463</v>
      </c>
      <c r="H3224" s="273" t="s">
        <v>3462</v>
      </c>
      <c r="I3224" s="720">
        <f t="shared" si="716"/>
        <v>715</v>
      </c>
      <c r="J3224" s="756">
        <v>93665</v>
      </c>
      <c r="K3224" s="131">
        <f t="shared" si="704"/>
        <v>93665</v>
      </c>
      <c r="L3224" s="335">
        <f t="shared" si="709"/>
        <v>0</v>
      </c>
      <c r="M3224" s="446"/>
      <c r="N3224" s="446"/>
      <c r="O3224" s="446"/>
      <c r="P3224" s="446"/>
      <c r="Q3224" s="110">
        <v>60</v>
      </c>
      <c r="R3224" s="111">
        <f t="shared" si="706"/>
        <v>23416.25</v>
      </c>
      <c r="S3224" s="110"/>
      <c r="T3224" s="110"/>
      <c r="U3224" s="110">
        <v>60</v>
      </c>
      <c r="V3224" s="111">
        <f t="shared" si="707"/>
        <v>23416.25</v>
      </c>
      <c r="W3224" s="110"/>
      <c r="X3224" s="110"/>
      <c r="Y3224" s="110"/>
      <c r="Z3224" s="110"/>
      <c r="AA3224" s="110">
        <v>11</v>
      </c>
      <c r="AB3224" s="111">
        <f t="shared" si="713"/>
        <v>23416.25</v>
      </c>
      <c r="AC3224" s="110"/>
      <c r="AD3224" s="110"/>
      <c r="AE3224" s="110"/>
      <c r="AF3224" s="111">
        <f t="shared" si="714"/>
        <v>23416.25</v>
      </c>
      <c r="AG3224" s="110"/>
      <c r="AH3224" s="110"/>
      <c r="AI3224" s="110"/>
      <c r="AJ3224" s="110"/>
      <c r="AK3224" s="111">
        <f t="shared" si="710"/>
        <v>93665</v>
      </c>
      <c r="AL3224" s="446">
        <f t="shared" si="711"/>
        <v>0</v>
      </c>
      <c r="AM3224" s="110">
        <f t="shared" si="712"/>
        <v>131</v>
      </c>
      <c r="AN3224" s="447">
        <f t="shared" si="705"/>
        <v>0</v>
      </c>
      <c r="AO3224"/>
      <c r="AP3224"/>
    </row>
    <row r="3225" spans="1:42" ht="66" x14ac:dyDescent="0.25">
      <c r="A3225" s="9"/>
      <c r="B3225" s="45" t="s">
        <v>1297</v>
      </c>
      <c r="C3225" s="1024"/>
      <c r="D3225" s="869">
        <v>101</v>
      </c>
      <c r="E3225" s="254" t="s">
        <v>1721</v>
      </c>
      <c r="F3225" s="273" t="s">
        <v>3446</v>
      </c>
      <c r="G3225" s="1040" t="s">
        <v>3463</v>
      </c>
      <c r="H3225" s="273" t="s">
        <v>3462</v>
      </c>
      <c r="I3225" s="720">
        <f t="shared" si="716"/>
        <v>550</v>
      </c>
      <c r="J3225" s="756">
        <v>55550</v>
      </c>
      <c r="K3225" s="131">
        <f t="shared" si="704"/>
        <v>55550</v>
      </c>
      <c r="L3225" s="335">
        <f t="shared" si="709"/>
        <v>0</v>
      </c>
      <c r="M3225" s="446"/>
      <c r="N3225" s="446"/>
      <c r="O3225" s="446"/>
      <c r="P3225" s="446"/>
      <c r="Q3225" s="110">
        <v>50</v>
      </c>
      <c r="R3225" s="111">
        <f t="shared" si="706"/>
        <v>13887.5</v>
      </c>
      <c r="S3225" s="110"/>
      <c r="T3225" s="110"/>
      <c r="U3225" s="110">
        <v>51</v>
      </c>
      <c r="V3225" s="111">
        <f t="shared" si="707"/>
        <v>13887.5</v>
      </c>
      <c r="W3225" s="110"/>
      <c r="X3225" s="110"/>
      <c r="Y3225" s="110"/>
      <c r="Z3225" s="110"/>
      <c r="AA3225" s="110"/>
      <c r="AB3225" s="111">
        <f t="shared" si="713"/>
        <v>13887.5</v>
      </c>
      <c r="AC3225" s="110"/>
      <c r="AD3225" s="110"/>
      <c r="AE3225" s="110"/>
      <c r="AF3225" s="111">
        <f t="shared" si="714"/>
        <v>13887.5</v>
      </c>
      <c r="AG3225" s="110"/>
      <c r="AH3225" s="110"/>
      <c r="AI3225" s="110"/>
      <c r="AJ3225" s="110"/>
      <c r="AK3225" s="111">
        <f t="shared" si="710"/>
        <v>55550</v>
      </c>
      <c r="AL3225" s="446">
        <f t="shared" si="711"/>
        <v>0</v>
      </c>
      <c r="AM3225" s="110">
        <f t="shared" si="712"/>
        <v>101</v>
      </c>
      <c r="AN3225" s="447">
        <f t="shared" si="705"/>
        <v>0</v>
      </c>
      <c r="AO3225"/>
      <c r="AP3225"/>
    </row>
    <row r="3226" spans="1:42" ht="66" x14ac:dyDescent="0.25">
      <c r="A3226" s="9"/>
      <c r="B3226" s="152" t="s">
        <v>1298</v>
      </c>
      <c r="C3226" s="1024"/>
      <c r="D3226" s="869">
        <f>1+2</f>
        <v>3</v>
      </c>
      <c r="E3226" s="254" t="s">
        <v>1721</v>
      </c>
      <c r="F3226" s="273" t="s">
        <v>3446</v>
      </c>
      <c r="G3226" s="1040" t="s">
        <v>3463</v>
      </c>
      <c r="H3226" s="273" t="s">
        <v>3462</v>
      </c>
      <c r="I3226" s="720">
        <f t="shared" si="716"/>
        <v>68.903333333333336</v>
      </c>
      <c r="J3226" s="756">
        <f>68.9+137.81</f>
        <v>206.71</v>
      </c>
      <c r="K3226" s="131">
        <f t="shared" ref="K3226:K3289" si="717">+D3226*I3226</f>
        <v>206.71</v>
      </c>
      <c r="L3226" s="335">
        <f t="shared" si="709"/>
        <v>0</v>
      </c>
      <c r="M3226" s="446"/>
      <c r="N3226" s="446"/>
      <c r="O3226" s="446"/>
      <c r="P3226" s="446"/>
      <c r="Q3226" s="130">
        <v>1</v>
      </c>
      <c r="R3226" s="111">
        <f t="shared" si="706"/>
        <v>51.677500000000002</v>
      </c>
      <c r="S3226" s="110"/>
      <c r="T3226" s="110"/>
      <c r="U3226" s="130">
        <v>1</v>
      </c>
      <c r="V3226" s="111">
        <f t="shared" si="707"/>
        <v>51.677500000000002</v>
      </c>
      <c r="W3226" s="110"/>
      <c r="X3226" s="110"/>
      <c r="Y3226" s="110"/>
      <c r="Z3226" s="110"/>
      <c r="AA3226" s="130">
        <v>1</v>
      </c>
      <c r="AB3226" s="111">
        <f t="shared" si="713"/>
        <v>51.677500000000002</v>
      </c>
      <c r="AC3226" s="110"/>
      <c r="AD3226" s="110"/>
      <c r="AE3226" s="130">
        <v>0</v>
      </c>
      <c r="AF3226" s="111">
        <f t="shared" si="714"/>
        <v>51.677500000000002</v>
      </c>
      <c r="AG3226" s="110"/>
      <c r="AH3226" s="110"/>
      <c r="AI3226" s="110"/>
      <c r="AJ3226" s="110"/>
      <c r="AK3226" s="111">
        <f t="shared" si="710"/>
        <v>206.71</v>
      </c>
      <c r="AL3226" s="446">
        <f t="shared" si="711"/>
        <v>0</v>
      </c>
      <c r="AM3226" s="110">
        <f t="shared" si="712"/>
        <v>3</v>
      </c>
      <c r="AN3226" s="447">
        <f t="shared" ref="AN3226:AN3289" si="718">+D3226-AM3226</f>
        <v>0</v>
      </c>
      <c r="AO3226"/>
      <c r="AP3226"/>
    </row>
    <row r="3227" spans="1:42" ht="66" x14ac:dyDescent="0.25">
      <c r="A3227" s="9"/>
      <c r="B3227" s="152" t="s">
        <v>1299</v>
      </c>
      <c r="C3227" s="1024"/>
      <c r="D3227" s="869">
        <f>1+1</f>
        <v>2</v>
      </c>
      <c r="E3227" s="1027" t="s">
        <v>2248</v>
      </c>
      <c r="F3227" s="273" t="s">
        <v>3446</v>
      </c>
      <c r="G3227" s="1040" t="s">
        <v>3463</v>
      </c>
      <c r="H3227" s="273" t="s">
        <v>3462</v>
      </c>
      <c r="I3227" s="720">
        <f t="shared" si="716"/>
        <v>296.29000000000002</v>
      </c>
      <c r="J3227" s="756">
        <f>296.29+296.29</f>
        <v>592.58000000000004</v>
      </c>
      <c r="K3227" s="131">
        <f t="shared" si="717"/>
        <v>592.58000000000004</v>
      </c>
      <c r="L3227" s="335">
        <f t="shared" si="709"/>
        <v>0</v>
      </c>
      <c r="M3227" s="446"/>
      <c r="N3227" s="446"/>
      <c r="O3227" s="446"/>
      <c r="P3227" s="446"/>
      <c r="Q3227" s="130">
        <v>1</v>
      </c>
      <c r="R3227" s="111">
        <f t="shared" si="706"/>
        <v>148.14500000000001</v>
      </c>
      <c r="S3227" s="110"/>
      <c r="T3227" s="110"/>
      <c r="U3227" s="130">
        <v>1</v>
      </c>
      <c r="V3227" s="111">
        <f t="shared" si="707"/>
        <v>148.14500000000001</v>
      </c>
      <c r="W3227" s="110"/>
      <c r="X3227" s="110"/>
      <c r="Y3227" s="110"/>
      <c r="Z3227" s="110"/>
      <c r="AA3227" s="130">
        <v>0</v>
      </c>
      <c r="AB3227" s="111">
        <f t="shared" si="713"/>
        <v>148.14500000000001</v>
      </c>
      <c r="AC3227" s="110"/>
      <c r="AD3227" s="110"/>
      <c r="AE3227" s="130">
        <v>0</v>
      </c>
      <c r="AF3227" s="111">
        <f t="shared" si="714"/>
        <v>148.14500000000001</v>
      </c>
      <c r="AG3227" s="110"/>
      <c r="AH3227" s="110"/>
      <c r="AI3227" s="110"/>
      <c r="AJ3227" s="110"/>
      <c r="AK3227" s="111">
        <f t="shared" si="710"/>
        <v>592.58000000000004</v>
      </c>
      <c r="AL3227" s="446">
        <f t="shared" si="711"/>
        <v>0</v>
      </c>
      <c r="AM3227" s="110">
        <f t="shared" si="712"/>
        <v>2</v>
      </c>
      <c r="AN3227" s="447">
        <f t="shared" si="718"/>
        <v>0</v>
      </c>
      <c r="AO3227"/>
      <c r="AP3227"/>
    </row>
    <row r="3228" spans="1:42" ht="66" x14ac:dyDescent="0.25">
      <c r="A3228" s="9"/>
      <c r="B3228" s="45" t="s">
        <v>1830</v>
      </c>
      <c r="C3228" s="1024"/>
      <c r="D3228" s="869">
        <v>6</v>
      </c>
      <c r="E3228" s="1027" t="s">
        <v>1721</v>
      </c>
      <c r="F3228" s="273" t="s">
        <v>3446</v>
      </c>
      <c r="G3228" s="1040" t="s">
        <v>3463</v>
      </c>
      <c r="H3228" s="273" t="s">
        <v>3462</v>
      </c>
      <c r="I3228" s="720">
        <f t="shared" si="716"/>
        <v>241.92</v>
      </c>
      <c r="J3228" s="763">
        <v>1451.52</v>
      </c>
      <c r="K3228" s="131">
        <f t="shared" si="717"/>
        <v>1451.52</v>
      </c>
      <c r="L3228" s="335">
        <f t="shared" si="709"/>
        <v>0</v>
      </c>
      <c r="M3228" s="446"/>
      <c r="N3228" s="446"/>
      <c r="O3228" s="446"/>
      <c r="P3228" s="446"/>
      <c r="Q3228" s="130">
        <v>2</v>
      </c>
      <c r="R3228" s="111">
        <f t="shared" si="706"/>
        <v>362.88</v>
      </c>
      <c r="S3228" s="110"/>
      <c r="T3228" s="110"/>
      <c r="U3228" s="130">
        <v>2</v>
      </c>
      <c r="V3228" s="111">
        <f t="shared" si="707"/>
        <v>362.88</v>
      </c>
      <c r="W3228" s="110"/>
      <c r="X3228" s="110"/>
      <c r="Y3228" s="110"/>
      <c r="Z3228" s="110"/>
      <c r="AA3228" s="130">
        <v>1</v>
      </c>
      <c r="AB3228" s="111">
        <f t="shared" si="713"/>
        <v>362.88</v>
      </c>
      <c r="AC3228" s="110"/>
      <c r="AD3228" s="110"/>
      <c r="AE3228" s="130">
        <v>1</v>
      </c>
      <c r="AF3228" s="111">
        <f t="shared" si="714"/>
        <v>362.88</v>
      </c>
      <c r="AG3228" s="110"/>
      <c r="AH3228" s="110"/>
      <c r="AI3228" s="110"/>
      <c r="AJ3228" s="110"/>
      <c r="AK3228" s="111">
        <f t="shared" si="710"/>
        <v>1451.52</v>
      </c>
      <c r="AL3228" s="446">
        <f t="shared" si="711"/>
        <v>0</v>
      </c>
      <c r="AM3228" s="110">
        <f t="shared" si="712"/>
        <v>6</v>
      </c>
      <c r="AN3228" s="447">
        <f t="shared" si="718"/>
        <v>0</v>
      </c>
      <c r="AO3228"/>
      <c r="AP3228"/>
    </row>
    <row r="3229" spans="1:42" ht="22.5" x14ac:dyDescent="0.25">
      <c r="A3229" s="310">
        <v>27204</v>
      </c>
      <c r="B3229" s="375" t="s">
        <v>677</v>
      </c>
      <c r="C3229" s="311"/>
      <c r="D3229" s="902"/>
      <c r="E3229" s="312"/>
      <c r="F3229" s="313"/>
      <c r="G3229" s="313"/>
      <c r="H3229" s="313"/>
      <c r="I3229" s="729"/>
      <c r="J3229" s="800"/>
      <c r="K3229" s="131">
        <f t="shared" si="717"/>
        <v>0</v>
      </c>
      <c r="L3229" s="335">
        <f t="shared" si="709"/>
        <v>0</v>
      </c>
      <c r="M3229" s="446"/>
      <c r="N3229" s="446"/>
      <c r="O3229" s="446"/>
      <c r="P3229" s="446"/>
      <c r="Q3229" s="387">
        <f t="shared" ref="Q3229:Q3292" si="719">+$D3229/4</f>
        <v>0</v>
      </c>
      <c r="R3229" s="314">
        <f t="shared" si="706"/>
        <v>0</v>
      </c>
      <c r="S3229" s="387"/>
      <c r="T3229" s="387"/>
      <c r="U3229" s="387">
        <f t="shared" ref="U3229:U3292" si="720">+$D3229/4</f>
        <v>0</v>
      </c>
      <c r="V3229" s="314">
        <f t="shared" si="707"/>
        <v>0</v>
      </c>
      <c r="W3229" s="387"/>
      <c r="X3229" s="387"/>
      <c r="Y3229" s="387"/>
      <c r="Z3229" s="387"/>
      <c r="AA3229" s="387">
        <f t="shared" si="715"/>
        <v>0</v>
      </c>
      <c r="AB3229" s="314">
        <f t="shared" si="713"/>
        <v>0</v>
      </c>
      <c r="AC3229" s="387"/>
      <c r="AD3229" s="387"/>
      <c r="AE3229" s="387">
        <f t="shared" si="715"/>
        <v>0</v>
      </c>
      <c r="AF3229" s="314">
        <f t="shared" si="714"/>
        <v>0</v>
      </c>
      <c r="AG3229" s="387"/>
      <c r="AH3229" s="387"/>
      <c r="AI3229" s="387"/>
      <c r="AJ3229" s="387"/>
      <c r="AK3229" s="314">
        <f t="shared" si="710"/>
        <v>0</v>
      </c>
      <c r="AL3229" s="421">
        <f t="shared" si="711"/>
        <v>0</v>
      </c>
      <c r="AM3229" s="387">
        <f t="shared" si="712"/>
        <v>0</v>
      </c>
      <c r="AN3229" s="422">
        <f t="shared" si="718"/>
        <v>0</v>
      </c>
      <c r="AO3229" s="108"/>
      <c r="AP3229"/>
    </row>
    <row r="3230" spans="1:42" x14ac:dyDescent="0.25">
      <c r="A3230" s="60"/>
      <c r="B3230" s="478"/>
      <c r="C3230" s="7"/>
      <c r="D3230" s="869"/>
      <c r="E3230" s="1027"/>
      <c r="F3230" s="272"/>
      <c r="G3230" s="272"/>
      <c r="H3230" s="272"/>
      <c r="I3230" s="720"/>
      <c r="J3230" s="763"/>
      <c r="K3230" s="131">
        <f t="shared" si="717"/>
        <v>0</v>
      </c>
      <c r="L3230" s="335">
        <f t="shared" si="709"/>
        <v>0</v>
      </c>
      <c r="M3230" s="446"/>
      <c r="N3230" s="446"/>
      <c r="O3230" s="446"/>
      <c r="P3230" s="446"/>
      <c r="Q3230" s="110">
        <f t="shared" si="719"/>
        <v>0</v>
      </c>
      <c r="R3230" s="111">
        <f t="shared" si="706"/>
        <v>0</v>
      </c>
      <c r="S3230" s="110"/>
      <c r="T3230" s="110"/>
      <c r="U3230" s="110">
        <f t="shared" si="720"/>
        <v>0</v>
      </c>
      <c r="V3230" s="111">
        <f t="shared" si="707"/>
        <v>0</v>
      </c>
      <c r="W3230" s="110"/>
      <c r="X3230" s="110"/>
      <c r="Y3230" s="110"/>
      <c r="Z3230" s="110"/>
      <c r="AA3230" s="110">
        <f t="shared" si="715"/>
        <v>0</v>
      </c>
      <c r="AB3230" s="111">
        <f t="shared" si="713"/>
        <v>0</v>
      </c>
      <c r="AC3230" s="110"/>
      <c r="AD3230" s="110"/>
      <c r="AE3230" s="110">
        <f t="shared" si="715"/>
        <v>0</v>
      </c>
      <c r="AF3230" s="111">
        <f t="shared" si="714"/>
        <v>0</v>
      </c>
      <c r="AG3230" s="110"/>
      <c r="AH3230" s="110"/>
      <c r="AI3230" s="110"/>
      <c r="AJ3230" s="110"/>
      <c r="AK3230" s="111">
        <f t="shared" si="710"/>
        <v>0</v>
      </c>
      <c r="AL3230" s="446">
        <f t="shared" si="711"/>
        <v>0</v>
      </c>
      <c r="AM3230" s="110">
        <f t="shared" si="712"/>
        <v>0</v>
      </c>
      <c r="AN3230" s="447">
        <f t="shared" si="718"/>
        <v>0</v>
      </c>
      <c r="AO3230"/>
      <c r="AP3230"/>
    </row>
    <row r="3231" spans="1:42" ht="22.5" x14ac:dyDescent="0.25">
      <c r="A3231" s="310">
        <v>27205</v>
      </c>
      <c r="B3231" s="375" t="s">
        <v>678</v>
      </c>
      <c r="C3231" s="311"/>
      <c r="D3231" s="902"/>
      <c r="E3231" s="312"/>
      <c r="F3231" s="313"/>
      <c r="G3231" s="313"/>
      <c r="H3231" s="313"/>
      <c r="I3231" s="729"/>
      <c r="J3231" s="800"/>
      <c r="K3231" s="131">
        <f t="shared" si="717"/>
        <v>0</v>
      </c>
      <c r="L3231" s="335">
        <f t="shared" si="709"/>
        <v>0</v>
      </c>
      <c r="M3231" s="446"/>
      <c r="N3231" s="446"/>
      <c r="O3231" s="446"/>
      <c r="P3231" s="446"/>
      <c r="Q3231" s="387">
        <f t="shared" si="719"/>
        <v>0</v>
      </c>
      <c r="R3231" s="314">
        <f t="shared" si="706"/>
        <v>0</v>
      </c>
      <c r="S3231" s="387"/>
      <c r="T3231" s="387"/>
      <c r="U3231" s="387">
        <f t="shared" si="720"/>
        <v>0</v>
      </c>
      <c r="V3231" s="314">
        <f t="shared" si="707"/>
        <v>0</v>
      </c>
      <c r="W3231" s="387"/>
      <c r="X3231" s="387"/>
      <c r="Y3231" s="387"/>
      <c r="Z3231" s="387"/>
      <c r="AA3231" s="387">
        <f t="shared" si="715"/>
        <v>0</v>
      </c>
      <c r="AB3231" s="314">
        <f t="shared" si="713"/>
        <v>0</v>
      </c>
      <c r="AC3231" s="387"/>
      <c r="AD3231" s="387"/>
      <c r="AE3231" s="387">
        <f t="shared" si="715"/>
        <v>0</v>
      </c>
      <c r="AF3231" s="314">
        <f t="shared" si="714"/>
        <v>0</v>
      </c>
      <c r="AG3231" s="387"/>
      <c r="AH3231" s="387"/>
      <c r="AI3231" s="387"/>
      <c r="AJ3231" s="387"/>
      <c r="AK3231" s="314">
        <f t="shared" si="710"/>
        <v>0</v>
      </c>
      <c r="AL3231" s="421">
        <f t="shared" si="711"/>
        <v>0</v>
      </c>
      <c r="AM3231" s="387">
        <f t="shared" si="712"/>
        <v>0</v>
      </c>
      <c r="AN3231" s="422">
        <f t="shared" si="718"/>
        <v>0</v>
      </c>
      <c r="AO3231" s="436">
        <f>SUM(J3232)</f>
        <v>1009.57</v>
      </c>
      <c r="AP3231" s="111"/>
    </row>
    <row r="3232" spans="1:42" ht="66" x14ac:dyDescent="0.25">
      <c r="A3232" s="9"/>
      <c r="B3232" s="128" t="s">
        <v>1484</v>
      </c>
      <c r="C3232" s="1024"/>
      <c r="D3232" s="869">
        <v>44</v>
      </c>
      <c r="E3232" s="1027" t="s">
        <v>2248</v>
      </c>
      <c r="F3232" s="273" t="s">
        <v>3446</v>
      </c>
      <c r="G3232" s="1040" t="s">
        <v>3463</v>
      </c>
      <c r="H3232" s="273" t="s">
        <v>3462</v>
      </c>
      <c r="I3232" s="720">
        <f>+J3232/D3232</f>
        <v>22.944772727272728</v>
      </c>
      <c r="J3232" s="756">
        <v>1009.57</v>
      </c>
      <c r="K3232" s="131">
        <f t="shared" si="717"/>
        <v>1009.57</v>
      </c>
      <c r="L3232" s="335">
        <f t="shared" si="709"/>
        <v>0</v>
      </c>
      <c r="M3232" s="446"/>
      <c r="N3232" s="446"/>
      <c r="O3232" s="446"/>
      <c r="P3232" s="446"/>
      <c r="Q3232" s="110">
        <f t="shared" si="719"/>
        <v>11</v>
      </c>
      <c r="R3232" s="111">
        <f t="shared" si="706"/>
        <v>252.39250000000001</v>
      </c>
      <c r="S3232" s="110"/>
      <c r="T3232" s="110"/>
      <c r="U3232" s="110">
        <f t="shared" si="720"/>
        <v>11</v>
      </c>
      <c r="V3232" s="111">
        <f t="shared" si="707"/>
        <v>252.39250000000001</v>
      </c>
      <c r="W3232" s="110"/>
      <c r="X3232" s="110"/>
      <c r="Y3232" s="110"/>
      <c r="Z3232" s="110"/>
      <c r="AA3232" s="110">
        <f t="shared" si="715"/>
        <v>11</v>
      </c>
      <c r="AB3232" s="111">
        <f t="shared" si="713"/>
        <v>252.39250000000001</v>
      </c>
      <c r="AC3232" s="110"/>
      <c r="AD3232" s="110"/>
      <c r="AE3232" s="110">
        <f t="shared" si="715"/>
        <v>11</v>
      </c>
      <c r="AF3232" s="111">
        <f t="shared" si="714"/>
        <v>252.39250000000001</v>
      </c>
      <c r="AG3232" s="110"/>
      <c r="AH3232" s="110"/>
      <c r="AI3232" s="110"/>
      <c r="AJ3232" s="110"/>
      <c r="AK3232" s="111">
        <f t="shared" si="710"/>
        <v>1009.57</v>
      </c>
      <c r="AL3232" s="446">
        <f t="shared" si="711"/>
        <v>0</v>
      </c>
      <c r="AM3232" s="110">
        <f t="shared" si="712"/>
        <v>44</v>
      </c>
      <c r="AN3232" s="447">
        <f t="shared" si="718"/>
        <v>0</v>
      </c>
      <c r="AO3232"/>
      <c r="AP3232"/>
    </row>
    <row r="3233" spans="1:42" ht="22.5" x14ac:dyDescent="0.25">
      <c r="A3233" s="310">
        <v>27206</v>
      </c>
      <c r="B3233" s="375" t="s">
        <v>679</v>
      </c>
      <c r="C3233" s="311"/>
      <c r="D3233" s="902"/>
      <c r="E3233" s="312"/>
      <c r="F3233" s="313"/>
      <c r="G3233" s="313"/>
      <c r="H3233" s="313"/>
      <c r="I3233" s="729"/>
      <c r="J3233" s="800"/>
      <c r="K3233" s="131">
        <f t="shared" si="717"/>
        <v>0</v>
      </c>
      <c r="L3233" s="335">
        <f t="shared" si="709"/>
        <v>0</v>
      </c>
      <c r="M3233" s="446"/>
      <c r="N3233" s="446"/>
      <c r="O3233" s="446"/>
      <c r="P3233" s="446"/>
      <c r="Q3233" s="387">
        <f t="shared" si="719"/>
        <v>0</v>
      </c>
      <c r="R3233" s="314">
        <f t="shared" si="706"/>
        <v>0</v>
      </c>
      <c r="S3233" s="387"/>
      <c r="T3233" s="387"/>
      <c r="U3233" s="387">
        <f t="shared" si="720"/>
        <v>0</v>
      </c>
      <c r="V3233" s="314">
        <f t="shared" si="707"/>
        <v>0</v>
      </c>
      <c r="W3233" s="387"/>
      <c r="X3233" s="387"/>
      <c r="Y3233" s="387"/>
      <c r="Z3233" s="387"/>
      <c r="AA3233" s="387">
        <f t="shared" si="715"/>
        <v>0</v>
      </c>
      <c r="AB3233" s="314">
        <f t="shared" si="713"/>
        <v>0</v>
      </c>
      <c r="AC3233" s="387"/>
      <c r="AD3233" s="387"/>
      <c r="AE3233" s="387">
        <f t="shared" si="715"/>
        <v>0</v>
      </c>
      <c r="AF3233" s="314">
        <f t="shared" si="714"/>
        <v>0</v>
      </c>
      <c r="AG3233" s="387"/>
      <c r="AH3233" s="387"/>
      <c r="AI3233" s="387"/>
      <c r="AJ3233" s="387"/>
      <c r="AK3233" s="314">
        <f t="shared" si="710"/>
        <v>0</v>
      </c>
      <c r="AL3233" s="421">
        <f t="shared" si="711"/>
        <v>0</v>
      </c>
      <c r="AM3233" s="387">
        <f t="shared" si="712"/>
        <v>0</v>
      </c>
      <c r="AN3233" s="422">
        <f t="shared" si="718"/>
        <v>0</v>
      </c>
      <c r="AO3233" s="436">
        <f>SUM(J3234)</f>
        <v>1620</v>
      </c>
      <c r="AP3233" s="111"/>
    </row>
    <row r="3234" spans="1:42" ht="66" x14ac:dyDescent="0.25">
      <c r="A3234" s="9"/>
      <c r="B3234" s="59" t="s">
        <v>1831</v>
      </c>
      <c r="C3234" s="1024"/>
      <c r="D3234" s="916">
        <v>6</v>
      </c>
      <c r="E3234" s="1027" t="s">
        <v>1721</v>
      </c>
      <c r="F3234" s="273" t="s">
        <v>3446</v>
      </c>
      <c r="G3234" s="1040" t="s">
        <v>3463</v>
      </c>
      <c r="H3234" s="273" t="s">
        <v>3462</v>
      </c>
      <c r="I3234" s="720">
        <f>+J3234/D3234</f>
        <v>270</v>
      </c>
      <c r="J3234" s="763">
        <v>1620</v>
      </c>
      <c r="K3234" s="131">
        <f t="shared" si="717"/>
        <v>1620</v>
      </c>
      <c r="L3234" s="335">
        <f t="shared" si="709"/>
        <v>0</v>
      </c>
      <c r="M3234" s="446"/>
      <c r="N3234" s="446"/>
      <c r="O3234" s="446"/>
      <c r="P3234" s="446"/>
      <c r="Q3234" s="130">
        <v>2</v>
      </c>
      <c r="R3234" s="111">
        <f t="shared" si="706"/>
        <v>405</v>
      </c>
      <c r="S3234" s="110"/>
      <c r="T3234" s="110"/>
      <c r="U3234" s="130">
        <v>2</v>
      </c>
      <c r="V3234" s="111">
        <f t="shared" si="707"/>
        <v>405</v>
      </c>
      <c r="W3234" s="110"/>
      <c r="X3234" s="110"/>
      <c r="Y3234" s="110"/>
      <c r="Z3234" s="110"/>
      <c r="AA3234" s="130">
        <v>1</v>
      </c>
      <c r="AB3234" s="111">
        <f t="shared" si="713"/>
        <v>405</v>
      </c>
      <c r="AC3234" s="110"/>
      <c r="AD3234" s="110"/>
      <c r="AE3234" s="130">
        <v>1</v>
      </c>
      <c r="AF3234" s="111">
        <f t="shared" si="714"/>
        <v>405</v>
      </c>
      <c r="AG3234" s="110"/>
      <c r="AH3234" s="110"/>
      <c r="AI3234" s="110"/>
      <c r="AJ3234" s="110"/>
      <c r="AK3234" s="111">
        <f t="shared" si="710"/>
        <v>1620</v>
      </c>
      <c r="AL3234" s="446">
        <f t="shared" si="711"/>
        <v>0</v>
      </c>
      <c r="AM3234" s="110">
        <f t="shared" si="712"/>
        <v>6</v>
      </c>
      <c r="AN3234" s="447">
        <f t="shared" si="718"/>
        <v>0</v>
      </c>
      <c r="AO3234"/>
      <c r="AP3234"/>
    </row>
    <row r="3235" spans="1:42" x14ac:dyDescent="0.25">
      <c r="A3235" s="376">
        <v>273</v>
      </c>
      <c r="B3235" s="565" t="s">
        <v>680</v>
      </c>
      <c r="C3235" s="376"/>
      <c r="D3235" s="921"/>
      <c r="E3235" s="377"/>
      <c r="F3235" s="378"/>
      <c r="G3235" s="378"/>
      <c r="H3235" s="378"/>
      <c r="I3235" s="734"/>
      <c r="J3235" s="806"/>
      <c r="K3235" s="131">
        <f t="shared" si="717"/>
        <v>0</v>
      </c>
      <c r="L3235" s="335">
        <f t="shared" si="709"/>
        <v>0</v>
      </c>
      <c r="M3235" s="446"/>
      <c r="N3235" s="446"/>
      <c r="O3235" s="446"/>
      <c r="P3235" s="446"/>
      <c r="Q3235" s="418">
        <f t="shared" si="719"/>
        <v>0</v>
      </c>
      <c r="R3235" s="379">
        <f t="shared" si="706"/>
        <v>0</v>
      </c>
      <c r="S3235" s="418"/>
      <c r="T3235" s="418"/>
      <c r="U3235" s="418">
        <f t="shared" si="720"/>
        <v>0</v>
      </c>
      <c r="V3235" s="379">
        <f t="shared" si="707"/>
        <v>0</v>
      </c>
      <c r="W3235" s="418"/>
      <c r="X3235" s="418"/>
      <c r="Y3235" s="418"/>
      <c r="Z3235" s="418"/>
      <c r="AA3235" s="418">
        <f t="shared" si="715"/>
        <v>0</v>
      </c>
      <c r="AB3235" s="379">
        <f t="shared" si="713"/>
        <v>0</v>
      </c>
      <c r="AC3235" s="418"/>
      <c r="AD3235" s="418"/>
      <c r="AE3235" s="418">
        <f t="shared" si="715"/>
        <v>0</v>
      </c>
      <c r="AF3235" s="379">
        <f t="shared" si="714"/>
        <v>0</v>
      </c>
      <c r="AG3235" s="418"/>
      <c r="AH3235" s="418"/>
      <c r="AI3235" s="418"/>
      <c r="AJ3235" s="418"/>
      <c r="AK3235" s="379">
        <f t="shared" si="710"/>
        <v>0</v>
      </c>
      <c r="AL3235" s="419">
        <f t="shared" si="711"/>
        <v>0</v>
      </c>
      <c r="AM3235" s="418">
        <f t="shared" si="712"/>
        <v>0</v>
      </c>
      <c r="AN3235" s="420">
        <f t="shared" si="718"/>
        <v>0</v>
      </c>
      <c r="AO3235" s="108"/>
      <c r="AP3235"/>
    </row>
    <row r="3236" spans="1:42" x14ac:dyDescent="0.25">
      <c r="A3236" s="310">
        <v>27301</v>
      </c>
      <c r="B3236" s="375" t="s">
        <v>681</v>
      </c>
      <c r="C3236" s="311"/>
      <c r="D3236" s="902"/>
      <c r="E3236" s="312"/>
      <c r="F3236" s="313"/>
      <c r="G3236" s="313"/>
      <c r="H3236" s="313"/>
      <c r="I3236" s="729"/>
      <c r="J3236" s="800"/>
      <c r="K3236" s="131">
        <f t="shared" si="717"/>
        <v>0</v>
      </c>
      <c r="L3236" s="335">
        <f t="shared" si="709"/>
        <v>0</v>
      </c>
      <c r="M3236" s="446"/>
      <c r="N3236" s="446"/>
      <c r="O3236" s="446"/>
      <c r="P3236" s="446"/>
      <c r="Q3236" s="387">
        <f t="shared" si="719"/>
        <v>0</v>
      </c>
      <c r="R3236" s="314">
        <f t="shared" si="706"/>
        <v>0</v>
      </c>
      <c r="S3236" s="387"/>
      <c r="T3236" s="387"/>
      <c r="U3236" s="387">
        <f t="shared" si="720"/>
        <v>0</v>
      </c>
      <c r="V3236" s="314">
        <f t="shared" si="707"/>
        <v>0</v>
      </c>
      <c r="W3236" s="387"/>
      <c r="X3236" s="387"/>
      <c r="Y3236" s="387"/>
      <c r="Z3236" s="387"/>
      <c r="AA3236" s="387">
        <f t="shared" si="715"/>
        <v>0</v>
      </c>
      <c r="AB3236" s="314">
        <f t="shared" si="713"/>
        <v>0</v>
      </c>
      <c r="AC3236" s="387"/>
      <c r="AD3236" s="387"/>
      <c r="AE3236" s="387">
        <f t="shared" si="715"/>
        <v>0</v>
      </c>
      <c r="AF3236" s="314">
        <f t="shared" si="714"/>
        <v>0</v>
      </c>
      <c r="AG3236" s="387"/>
      <c r="AH3236" s="387"/>
      <c r="AI3236" s="387"/>
      <c r="AJ3236" s="387"/>
      <c r="AK3236" s="314">
        <f t="shared" si="710"/>
        <v>0</v>
      </c>
      <c r="AL3236" s="421">
        <f t="shared" si="711"/>
        <v>0</v>
      </c>
      <c r="AM3236" s="387">
        <f t="shared" si="712"/>
        <v>0</v>
      </c>
      <c r="AN3236" s="422">
        <f t="shared" si="718"/>
        <v>0</v>
      </c>
      <c r="AO3236" s="108"/>
      <c r="AP3236"/>
    </row>
    <row r="3237" spans="1:42" x14ac:dyDescent="0.25">
      <c r="A3237" s="60"/>
      <c r="B3237" s="478"/>
      <c r="C3237" s="7"/>
      <c r="D3237" s="869"/>
      <c r="E3237" s="1027"/>
      <c r="F3237" s="272"/>
      <c r="G3237" s="272"/>
      <c r="H3237" s="272"/>
      <c r="I3237" s="720"/>
      <c r="J3237" s="763"/>
      <c r="K3237" s="131">
        <f t="shared" si="717"/>
        <v>0</v>
      </c>
      <c r="L3237" s="335">
        <f t="shared" si="709"/>
        <v>0</v>
      </c>
      <c r="M3237" s="446"/>
      <c r="N3237" s="446"/>
      <c r="O3237" s="446"/>
      <c r="P3237" s="446"/>
      <c r="Q3237" s="110">
        <f t="shared" si="719"/>
        <v>0</v>
      </c>
      <c r="R3237" s="111">
        <f t="shared" si="706"/>
        <v>0</v>
      </c>
      <c r="S3237" s="110"/>
      <c r="T3237" s="110"/>
      <c r="U3237" s="110">
        <f t="shared" si="720"/>
        <v>0</v>
      </c>
      <c r="V3237" s="111">
        <f t="shared" si="707"/>
        <v>0</v>
      </c>
      <c r="W3237" s="110"/>
      <c r="X3237" s="110"/>
      <c r="Y3237" s="110"/>
      <c r="Z3237" s="110"/>
      <c r="AA3237" s="110">
        <f t="shared" si="715"/>
        <v>0</v>
      </c>
      <c r="AB3237" s="111">
        <f t="shared" si="713"/>
        <v>0</v>
      </c>
      <c r="AC3237" s="110"/>
      <c r="AD3237" s="110"/>
      <c r="AE3237" s="110">
        <f t="shared" si="715"/>
        <v>0</v>
      </c>
      <c r="AF3237" s="111">
        <f t="shared" si="714"/>
        <v>0</v>
      </c>
      <c r="AG3237" s="110"/>
      <c r="AH3237" s="110"/>
      <c r="AI3237" s="110"/>
      <c r="AJ3237" s="110"/>
      <c r="AK3237" s="111">
        <f t="shared" si="710"/>
        <v>0</v>
      </c>
      <c r="AL3237" s="446">
        <f t="shared" si="711"/>
        <v>0</v>
      </c>
      <c r="AM3237" s="110">
        <f t="shared" si="712"/>
        <v>0</v>
      </c>
      <c r="AN3237" s="447">
        <f t="shared" si="718"/>
        <v>0</v>
      </c>
      <c r="AO3237"/>
      <c r="AP3237"/>
    </row>
    <row r="3238" spans="1:42" ht="22.5" x14ac:dyDescent="0.25">
      <c r="A3238" s="310">
        <v>27302</v>
      </c>
      <c r="B3238" s="375" t="s">
        <v>682</v>
      </c>
      <c r="C3238" s="311"/>
      <c r="D3238" s="902"/>
      <c r="E3238" s="312"/>
      <c r="F3238" s="313"/>
      <c r="G3238" s="313"/>
      <c r="H3238" s="313"/>
      <c r="I3238" s="729"/>
      <c r="J3238" s="800"/>
      <c r="K3238" s="131">
        <f t="shared" si="717"/>
        <v>0</v>
      </c>
      <c r="L3238" s="335">
        <f t="shared" si="709"/>
        <v>0</v>
      </c>
      <c r="M3238" s="446"/>
      <c r="N3238" s="446"/>
      <c r="O3238" s="446"/>
      <c r="P3238" s="446"/>
      <c r="Q3238" s="387">
        <f t="shared" si="719"/>
        <v>0</v>
      </c>
      <c r="R3238" s="314">
        <f t="shared" si="706"/>
        <v>0</v>
      </c>
      <c r="S3238" s="387"/>
      <c r="T3238" s="387"/>
      <c r="U3238" s="387">
        <f t="shared" si="720"/>
        <v>0</v>
      </c>
      <c r="V3238" s="314">
        <f t="shared" si="707"/>
        <v>0</v>
      </c>
      <c r="W3238" s="387"/>
      <c r="X3238" s="387"/>
      <c r="Y3238" s="387"/>
      <c r="Z3238" s="387"/>
      <c r="AA3238" s="387">
        <f t="shared" si="715"/>
        <v>0</v>
      </c>
      <c r="AB3238" s="314">
        <f t="shared" si="713"/>
        <v>0</v>
      </c>
      <c r="AC3238" s="387"/>
      <c r="AD3238" s="387"/>
      <c r="AE3238" s="387">
        <f t="shared" si="715"/>
        <v>0</v>
      </c>
      <c r="AF3238" s="314">
        <f t="shared" si="714"/>
        <v>0</v>
      </c>
      <c r="AG3238" s="387"/>
      <c r="AH3238" s="387"/>
      <c r="AI3238" s="387"/>
      <c r="AJ3238" s="387"/>
      <c r="AK3238" s="314">
        <f t="shared" si="710"/>
        <v>0</v>
      </c>
      <c r="AL3238" s="421">
        <f t="shared" si="711"/>
        <v>0</v>
      </c>
      <c r="AM3238" s="387">
        <f t="shared" si="712"/>
        <v>0</v>
      </c>
      <c r="AN3238" s="422">
        <f t="shared" si="718"/>
        <v>0</v>
      </c>
      <c r="AO3238" s="108"/>
      <c r="AP3238"/>
    </row>
    <row r="3239" spans="1:42" x14ac:dyDescent="0.25">
      <c r="A3239" s="60"/>
      <c r="B3239" s="478"/>
      <c r="C3239" s="7"/>
      <c r="D3239" s="869"/>
      <c r="E3239" s="1027"/>
      <c r="F3239" s="272"/>
      <c r="G3239" s="272"/>
      <c r="H3239" s="272"/>
      <c r="I3239" s="720"/>
      <c r="J3239" s="763"/>
      <c r="K3239" s="131">
        <f t="shared" si="717"/>
        <v>0</v>
      </c>
      <c r="L3239" s="335">
        <f t="shared" si="709"/>
        <v>0</v>
      </c>
      <c r="M3239" s="446"/>
      <c r="N3239" s="446"/>
      <c r="O3239" s="446"/>
      <c r="P3239" s="446"/>
      <c r="Q3239" s="110">
        <f t="shared" si="719"/>
        <v>0</v>
      </c>
      <c r="R3239" s="111">
        <f t="shared" si="706"/>
        <v>0</v>
      </c>
      <c r="S3239" s="110"/>
      <c r="T3239" s="110"/>
      <c r="U3239" s="110">
        <f t="shared" si="720"/>
        <v>0</v>
      </c>
      <c r="V3239" s="111">
        <f t="shared" si="707"/>
        <v>0</v>
      </c>
      <c r="W3239" s="110"/>
      <c r="X3239" s="110"/>
      <c r="Y3239" s="110"/>
      <c r="Z3239" s="110"/>
      <c r="AA3239" s="110">
        <f t="shared" si="715"/>
        <v>0</v>
      </c>
      <c r="AB3239" s="111">
        <f t="shared" si="713"/>
        <v>0</v>
      </c>
      <c r="AC3239" s="110"/>
      <c r="AD3239" s="110"/>
      <c r="AE3239" s="110">
        <f t="shared" si="715"/>
        <v>0</v>
      </c>
      <c r="AF3239" s="111">
        <f t="shared" si="714"/>
        <v>0</v>
      </c>
      <c r="AG3239" s="110"/>
      <c r="AH3239" s="110"/>
      <c r="AI3239" s="110"/>
      <c r="AJ3239" s="110"/>
      <c r="AK3239" s="111">
        <f t="shared" si="710"/>
        <v>0</v>
      </c>
      <c r="AL3239" s="446">
        <f t="shared" si="711"/>
        <v>0</v>
      </c>
      <c r="AM3239" s="110">
        <f t="shared" si="712"/>
        <v>0</v>
      </c>
      <c r="AN3239" s="447">
        <f t="shared" si="718"/>
        <v>0</v>
      </c>
      <c r="AO3239"/>
      <c r="AP3239"/>
    </row>
    <row r="3240" spans="1:42" ht="22.5" x14ac:dyDescent="0.25">
      <c r="A3240" s="310">
        <v>27303</v>
      </c>
      <c r="B3240" s="375" t="s">
        <v>683</v>
      </c>
      <c r="C3240" s="311"/>
      <c r="D3240" s="902"/>
      <c r="E3240" s="312"/>
      <c r="F3240" s="313"/>
      <c r="G3240" s="313"/>
      <c r="H3240" s="313"/>
      <c r="I3240" s="729"/>
      <c r="J3240" s="800"/>
      <c r="K3240" s="131">
        <f t="shared" si="717"/>
        <v>0</v>
      </c>
      <c r="L3240" s="335">
        <f t="shared" si="709"/>
        <v>0</v>
      </c>
      <c r="M3240" s="446"/>
      <c r="N3240" s="446"/>
      <c r="O3240" s="446"/>
      <c r="P3240" s="446"/>
      <c r="Q3240" s="387">
        <f t="shared" si="719"/>
        <v>0</v>
      </c>
      <c r="R3240" s="314">
        <f t="shared" si="706"/>
        <v>0</v>
      </c>
      <c r="S3240" s="387"/>
      <c r="T3240" s="387"/>
      <c r="U3240" s="387">
        <f t="shared" si="720"/>
        <v>0</v>
      </c>
      <c r="V3240" s="314">
        <f t="shared" si="707"/>
        <v>0</v>
      </c>
      <c r="W3240" s="387"/>
      <c r="X3240" s="387"/>
      <c r="Y3240" s="387"/>
      <c r="Z3240" s="387"/>
      <c r="AA3240" s="387">
        <f t="shared" si="715"/>
        <v>0</v>
      </c>
      <c r="AB3240" s="314">
        <f t="shared" si="713"/>
        <v>0</v>
      </c>
      <c r="AC3240" s="387"/>
      <c r="AD3240" s="387"/>
      <c r="AE3240" s="387">
        <f t="shared" si="715"/>
        <v>0</v>
      </c>
      <c r="AF3240" s="314">
        <f t="shared" si="714"/>
        <v>0</v>
      </c>
      <c r="AG3240" s="387"/>
      <c r="AH3240" s="387"/>
      <c r="AI3240" s="387"/>
      <c r="AJ3240" s="387"/>
      <c r="AK3240" s="314">
        <f t="shared" si="710"/>
        <v>0</v>
      </c>
      <c r="AL3240" s="421">
        <f t="shared" si="711"/>
        <v>0</v>
      </c>
      <c r="AM3240" s="387">
        <f t="shared" si="712"/>
        <v>0</v>
      </c>
      <c r="AN3240" s="422">
        <f t="shared" si="718"/>
        <v>0</v>
      </c>
      <c r="AO3240" s="108"/>
      <c r="AP3240"/>
    </row>
    <row r="3241" spans="1:42" x14ac:dyDescent="0.25">
      <c r="A3241" s="60"/>
      <c r="B3241" s="478"/>
      <c r="C3241" s="7"/>
      <c r="D3241" s="894"/>
      <c r="E3241" s="138"/>
      <c r="F3241" s="279"/>
      <c r="G3241" s="279"/>
      <c r="H3241" s="279"/>
      <c r="I3241" s="720"/>
      <c r="J3241" s="773"/>
      <c r="K3241" s="131">
        <f t="shared" si="717"/>
        <v>0</v>
      </c>
      <c r="L3241" s="335">
        <f t="shared" si="709"/>
        <v>0</v>
      </c>
      <c r="M3241" s="446"/>
      <c r="N3241" s="446"/>
      <c r="O3241" s="446"/>
      <c r="P3241" s="446"/>
      <c r="Q3241" s="110">
        <f t="shared" si="719"/>
        <v>0</v>
      </c>
      <c r="R3241" s="111">
        <f t="shared" si="706"/>
        <v>0</v>
      </c>
      <c r="S3241" s="110"/>
      <c r="T3241" s="110"/>
      <c r="U3241" s="110">
        <f t="shared" si="720"/>
        <v>0</v>
      </c>
      <c r="V3241" s="111">
        <f t="shared" si="707"/>
        <v>0</v>
      </c>
      <c r="W3241" s="110"/>
      <c r="X3241" s="110"/>
      <c r="Y3241" s="110"/>
      <c r="Z3241" s="110"/>
      <c r="AA3241" s="110">
        <f t="shared" si="715"/>
        <v>0</v>
      </c>
      <c r="AB3241" s="111">
        <f t="shared" si="713"/>
        <v>0</v>
      </c>
      <c r="AC3241" s="110"/>
      <c r="AD3241" s="110"/>
      <c r="AE3241" s="110">
        <f t="shared" si="715"/>
        <v>0</v>
      </c>
      <c r="AF3241" s="111">
        <f t="shared" si="714"/>
        <v>0</v>
      </c>
      <c r="AG3241" s="110"/>
      <c r="AH3241" s="110"/>
      <c r="AI3241" s="110"/>
      <c r="AJ3241" s="110"/>
      <c r="AK3241" s="111">
        <f t="shared" si="710"/>
        <v>0</v>
      </c>
      <c r="AL3241" s="446">
        <f t="shared" si="711"/>
        <v>0</v>
      </c>
      <c r="AM3241" s="110">
        <f t="shared" si="712"/>
        <v>0</v>
      </c>
      <c r="AN3241" s="447">
        <f t="shared" si="718"/>
        <v>0</v>
      </c>
      <c r="AO3241"/>
      <c r="AP3241"/>
    </row>
    <row r="3242" spans="1:42" ht="22.5" x14ac:dyDescent="0.25">
      <c r="A3242" s="310">
        <v>27304</v>
      </c>
      <c r="B3242" s="375" t="s">
        <v>684</v>
      </c>
      <c r="C3242" s="311"/>
      <c r="D3242" s="902"/>
      <c r="E3242" s="312"/>
      <c r="F3242" s="313"/>
      <c r="G3242" s="313"/>
      <c r="H3242" s="313"/>
      <c r="I3242" s="729"/>
      <c r="J3242" s="800"/>
      <c r="K3242" s="131">
        <f t="shared" si="717"/>
        <v>0</v>
      </c>
      <c r="L3242" s="335">
        <f t="shared" si="709"/>
        <v>0</v>
      </c>
      <c r="M3242" s="446"/>
      <c r="N3242" s="446"/>
      <c r="O3242" s="446"/>
      <c r="P3242" s="446"/>
      <c r="Q3242" s="387">
        <f t="shared" si="719"/>
        <v>0</v>
      </c>
      <c r="R3242" s="314">
        <f t="shared" si="706"/>
        <v>0</v>
      </c>
      <c r="S3242" s="387"/>
      <c r="T3242" s="387"/>
      <c r="U3242" s="387">
        <f t="shared" si="720"/>
        <v>0</v>
      </c>
      <c r="V3242" s="314">
        <f t="shared" si="707"/>
        <v>0</v>
      </c>
      <c r="W3242" s="387"/>
      <c r="X3242" s="387"/>
      <c r="Y3242" s="387"/>
      <c r="Z3242" s="387"/>
      <c r="AA3242" s="387">
        <f t="shared" si="715"/>
        <v>0</v>
      </c>
      <c r="AB3242" s="314">
        <f t="shared" si="713"/>
        <v>0</v>
      </c>
      <c r="AC3242" s="387"/>
      <c r="AD3242" s="387"/>
      <c r="AE3242" s="387">
        <f t="shared" si="715"/>
        <v>0</v>
      </c>
      <c r="AF3242" s="314">
        <f t="shared" si="714"/>
        <v>0</v>
      </c>
      <c r="AG3242" s="387"/>
      <c r="AH3242" s="387"/>
      <c r="AI3242" s="387"/>
      <c r="AJ3242" s="387"/>
      <c r="AK3242" s="314">
        <f t="shared" si="710"/>
        <v>0</v>
      </c>
      <c r="AL3242" s="421">
        <f t="shared" si="711"/>
        <v>0</v>
      </c>
      <c r="AM3242" s="387">
        <f t="shared" si="712"/>
        <v>0</v>
      </c>
      <c r="AN3242" s="422">
        <f t="shared" si="718"/>
        <v>0</v>
      </c>
      <c r="AO3242" s="108"/>
      <c r="AP3242"/>
    </row>
    <row r="3243" spans="1:42" x14ac:dyDescent="0.25">
      <c r="A3243" s="9"/>
      <c r="B3243" s="57"/>
      <c r="C3243" s="9"/>
      <c r="D3243" s="913"/>
      <c r="E3243" s="1027"/>
      <c r="F3243" s="272"/>
      <c r="G3243" s="272"/>
      <c r="H3243" s="272"/>
      <c r="I3243" s="720"/>
      <c r="J3243" s="763"/>
      <c r="K3243" s="131">
        <f t="shared" si="717"/>
        <v>0</v>
      </c>
      <c r="L3243" s="335">
        <f t="shared" si="709"/>
        <v>0</v>
      </c>
      <c r="M3243" s="446"/>
      <c r="N3243" s="446"/>
      <c r="O3243" s="446"/>
      <c r="P3243" s="446"/>
      <c r="Q3243" s="110">
        <f t="shared" si="719"/>
        <v>0</v>
      </c>
      <c r="R3243" s="111">
        <f t="shared" si="706"/>
        <v>0</v>
      </c>
      <c r="S3243" s="110"/>
      <c r="T3243" s="110"/>
      <c r="U3243" s="110">
        <f t="shared" si="720"/>
        <v>0</v>
      </c>
      <c r="V3243" s="111">
        <f t="shared" si="707"/>
        <v>0</v>
      </c>
      <c r="W3243" s="110"/>
      <c r="X3243" s="110"/>
      <c r="Y3243" s="110"/>
      <c r="Z3243" s="110"/>
      <c r="AA3243" s="110">
        <f t="shared" si="715"/>
        <v>0</v>
      </c>
      <c r="AB3243" s="111">
        <f t="shared" si="713"/>
        <v>0</v>
      </c>
      <c r="AC3243" s="110"/>
      <c r="AD3243" s="110"/>
      <c r="AE3243" s="110">
        <f t="shared" si="715"/>
        <v>0</v>
      </c>
      <c r="AF3243" s="111">
        <f t="shared" si="714"/>
        <v>0</v>
      </c>
      <c r="AG3243" s="110"/>
      <c r="AH3243" s="110"/>
      <c r="AI3243" s="110"/>
      <c r="AJ3243" s="110"/>
      <c r="AK3243" s="111">
        <f t="shared" si="710"/>
        <v>0</v>
      </c>
      <c r="AL3243" s="446">
        <f t="shared" si="711"/>
        <v>0</v>
      </c>
      <c r="AM3243" s="110">
        <f t="shared" si="712"/>
        <v>0</v>
      </c>
      <c r="AN3243" s="447">
        <f t="shared" si="718"/>
        <v>0</v>
      </c>
      <c r="AO3243"/>
      <c r="AP3243"/>
    </row>
    <row r="3244" spans="1:42" x14ac:dyDescent="0.25">
      <c r="A3244" s="376">
        <v>274</v>
      </c>
      <c r="B3244" s="565" t="s">
        <v>685</v>
      </c>
      <c r="C3244" s="376"/>
      <c r="D3244" s="1006"/>
      <c r="E3244" s="1011"/>
      <c r="F3244" s="1012"/>
      <c r="G3244" s="1012"/>
      <c r="H3244" s="1012"/>
      <c r="I3244" s="734"/>
      <c r="J3244" s="804"/>
      <c r="K3244" s="131">
        <f t="shared" si="717"/>
        <v>0</v>
      </c>
      <c r="L3244" s="335">
        <f t="shared" si="709"/>
        <v>0</v>
      </c>
      <c r="M3244" s="446"/>
      <c r="N3244" s="446"/>
      <c r="O3244" s="446"/>
      <c r="P3244" s="446"/>
      <c r="Q3244" s="418">
        <f t="shared" si="719"/>
        <v>0</v>
      </c>
      <c r="R3244" s="379">
        <f t="shared" si="706"/>
        <v>0</v>
      </c>
      <c r="S3244" s="418"/>
      <c r="T3244" s="418"/>
      <c r="U3244" s="418">
        <f t="shared" si="720"/>
        <v>0</v>
      </c>
      <c r="V3244" s="379">
        <f t="shared" si="707"/>
        <v>0</v>
      </c>
      <c r="W3244" s="418"/>
      <c r="X3244" s="418"/>
      <c r="Y3244" s="418"/>
      <c r="Z3244" s="418"/>
      <c r="AA3244" s="418">
        <f t="shared" si="715"/>
        <v>0</v>
      </c>
      <c r="AB3244" s="379">
        <f t="shared" si="713"/>
        <v>0</v>
      </c>
      <c r="AC3244" s="418"/>
      <c r="AD3244" s="418"/>
      <c r="AE3244" s="418">
        <f t="shared" si="715"/>
        <v>0</v>
      </c>
      <c r="AF3244" s="379">
        <f t="shared" si="714"/>
        <v>0</v>
      </c>
      <c r="AG3244" s="418"/>
      <c r="AH3244" s="418"/>
      <c r="AI3244" s="418"/>
      <c r="AJ3244" s="418"/>
      <c r="AK3244" s="379">
        <f t="shared" si="710"/>
        <v>0</v>
      </c>
      <c r="AL3244" s="419">
        <f t="shared" si="711"/>
        <v>0</v>
      </c>
      <c r="AM3244" s="418">
        <f t="shared" si="712"/>
        <v>0</v>
      </c>
      <c r="AN3244" s="420">
        <f t="shared" si="718"/>
        <v>0</v>
      </c>
      <c r="AO3244" s="108"/>
      <c r="AP3244"/>
    </row>
    <row r="3245" spans="1:42" x14ac:dyDescent="0.25">
      <c r="A3245" s="310">
        <v>27401</v>
      </c>
      <c r="B3245" s="375" t="s">
        <v>685</v>
      </c>
      <c r="C3245" s="311"/>
      <c r="D3245" s="902"/>
      <c r="E3245" s="312"/>
      <c r="F3245" s="313"/>
      <c r="G3245" s="313"/>
      <c r="H3245" s="313"/>
      <c r="I3245" s="729"/>
      <c r="J3245" s="800"/>
      <c r="K3245" s="131">
        <f t="shared" si="717"/>
        <v>0</v>
      </c>
      <c r="L3245" s="335">
        <f t="shared" si="709"/>
        <v>0</v>
      </c>
      <c r="M3245" s="446"/>
      <c r="N3245" s="446"/>
      <c r="O3245" s="446"/>
      <c r="P3245" s="446"/>
      <c r="Q3245" s="387">
        <f t="shared" si="719"/>
        <v>0</v>
      </c>
      <c r="R3245" s="314">
        <f t="shared" si="706"/>
        <v>0</v>
      </c>
      <c r="S3245" s="387"/>
      <c r="T3245" s="387"/>
      <c r="U3245" s="387">
        <f t="shared" si="720"/>
        <v>0</v>
      </c>
      <c r="V3245" s="314">
        <f t="shared" si="707"/>
        <v>0</v>
      </c>
      <c r="W3245" s="387"/>
      <c r="X3245" s="387"/>
      <c r="Y3245" s="387"/>
      <c r="Z3245" s="387"/>
      <c r="AA3245" s="387">
        <f t="shared" si="715"/>
        <v>0</v>
      </c>
      <c r="AB3245" s="314">
        <f t="shared" si="713"/>
        <v>0</v>
      </c>
      <c r="AC3245" s="387"/>
      <c r="AD3245" s="387"/>
      <c r="AE3245" s="387">
        <f t="shared" si="715"/>
        <v>0</v>
      </c>
      <c r="AF3245" s="314">
        <f t="shared" si="714"/>
        <v>0</v>
      </c>
      <c r="AG3245" s="387"/>
      <c r="AH3245" s="387"/>
      <c r="AI3245" s="387"/>
      <c r="AJ3245" s="387"/>
      <c r="AK3245" s="314">
        <f t="shared" si="710"/>
        <v>0</v>
      </c>
      <c r="AL3245" s="421">
        <f t="shared" si="711"/>
        <v>0</v>
      </c>
      <c r="AM3245" s="387">
        <f t="shared" si="712"/>
        <v>0</v>
      </c>
      <c r="AN3245" s="422">
        <f t="shared" si="718"/>
        <v>0</v>
      </c>
      <c r="AO3245" s="436">
        <f>SUM(J3247:J3252)</f>
        <v>45276.7</v>
      </c>
      <c r="AP3245" s="111"/>
    </row>
    <row r="3246" spans="1:42" x14ac:dyDescent="0.25">
      <c r="A3246" s="40"/>
      <c r="B3246" s="43" t="s">
        <v>686</v>
      </c>
      <c r="C3246" s="54"/>
      <c r="D3246" s="905"/>
      <c r="E3246" s="10"/>
      <c r="F3246" s="270"/>
      <c r="G3246" s="270"/>
      <c r="H3246" s="270"/>
      <c r="I3246" s="720"/>
      <c r="J3246" s="763"/>
      <c r="K3246" s="131">
        <f t="shared" si="717"/>
        <v>0</v>
      </c>
      <c r="L3246" s="335">
        <f t="shared" si="709"/>
        <v>0</v>
      </c>
      <c r="M3246" s="446"/>
      <c r="N3246" s="446"/>
      <c r="O3246" s="446"/>
      <c r="P3246" s="446"/>
      <c r="Q3246" s="110">
        <f t="shared" si="719"/>
        <v>0</v>
      </c>
      <c r="R3246" s="111">
        <f t="shared" si="706"/>
        <v>0</v>
      </c>
      <c r="S3246" s="110"/>
      <c r="T3246" s="110"/>
      <c r="U3246" s="110">
        <f t="shared" si="720"/>
        <v>0</v>
      </c>
      <c r="V3246" s="111">
        <f t="shared" si="707"/>
        <v>0</v>
      </c>
      <c r="W3246" s="110"/>
      <c r="X3246" s="110"/>
      <c r="Y3246" s="110"/>
      <c r="Z3246" s="110"/>
      <c r="AA3246" s="110">
        <f t="shared" si="715"/>
        <v>0</v>
      </c>
      <c r="AB3246" s="111">
        <f t="shared" si="713"/>
        <v>0</v>
      </c>
      <c r="AC3246" s="110"/>
      <c r="AD3246" s="110"/>
      <c r="AE3246" s="110">
        <f t="shared" si="715"/>
        <v>0</v>
      </c>
      <c r="AF3246" s="111">
        <f t="shared" si="714"/>
        <v>0</v>
      </c>
      <c r="AG3246" s="110"/>
      <c r="AH3246" s="110"/>
      <c r="AI3246" s="110"/>
      <c r="AJ3246" s="110"/>
      <c r="AK3246" s="111">
        <f t="shared" si="710"/>
        <v>0</v>
      </c>
      <c r="AL3246" s="446">
        <f t="shared" si="711"/>
        <v>0</v>
      </c>
      <c r="AM3246" s="110">
        <f t="shared" si="712"/>
        <v>0</v>
      </c>
      <c r="AN3246" s="447">
        <f t="shared" si="718"/>
        <v>0</v>
      </c>
      <c r="AO3246"/>
      <c r="AP3246"/>
    </row>
    <row r="3247" spans="1:42" ht="66" x14ac:dyDescent="0.25">
      <c r="A3247" s="40"/>
      <c r="B3247" s="34" t="s">
        <v>687</v>
      </c>
      <c r="C3247" s="54"/>
      <c r="D3247" s="913">
        <v>10</v>
      </c>
      <c r="E3247" s="1027" t="s">
        <v>1826</v>
      </c>
      <c r="F3247" s="273" t="s">
        <v>3446</v>
      </c>
      <c r="G3247" s="1040" t="s">
        <v>3463</v>
      </c>
      <c r="H3247" s="273" t="s">
        <v>3462</v>
      </c>
      <c r="I3247" s="720">
        <f t="shared" ref="I3247:I3252" si="721">+J3247/D3247</f>
        <v>1044</v>
      </c>
      <c r="J3247" s="756">
        <v>10440</v>
      </c>
      <c r="K3247" s="131">
        <f t="shared" si="717"/>
        <v>10440</v>
      </c>
      <c r="L3247" s="335">
        <f t="shared" si="709"/>
        <v>0</v>
      </c>
      <c r="M3247" s="446"/>
      <c r="N3247" s="446"/>
      <c r="O3247" s="446"/>
      <c r="P3247" s="446"/>
      <c r="Q3247" s="130">
        <v>3</v>
      </c>
      <c r="R3247" s="111">
        <f t="shared" ref="R3247:R3310" si="722">+J3247/4</f>
        <v>2610</v>
      </c>
      <c r="S3247" s="110"/>
      <c r="T3247" s="110"/>
      <c r="U3247" s="130">
        <v>3</v>
      </c>
      <c r="V3247" s="111">
        <f t="shared" ref="V3247:V3310" si="723">+J3247/4</f>
        <v>2610</v>
      </c>
      <c r="W3247" s="110"/>
      <c r="X3247" s="110"/>
      <c r="Y3247" s="110"/>
      <c r="Z3247" s="110"/>
      <c r="AA3247" s="130">
        <v>2</v>
      </c>
      <c r="AB3247" s="111">
        <f t="shared" si="713"/>
        <v>2610</v>
      </c>
      <c r="AC3247" s="110"/>
      <c r="AD3247" s="110"/>
      <c r="AE3247" s="130">
        <v>2</v>
      </c>
      <c r="AF3247" s="111">
        <f t="shared" si="714"/>
        <v>2610</v>
      </c>
      <c r="AG3247" s="110"/>
      <c r="AH3247" s="110"/>
      <c r="AI3247" s="110"/>
      <c r="AJ3247" s="110"/>
      <c r="AK3247" s="111">
        <f t="shared" si="710"/>
        <v>10440</v>
      </c>
      <c r="AL3247" s="446">
        <f t="shared" si="711"/>
        <v>0</v>
      </c>
      <c r="AM3247" s="110">
        <f t="shared" si="712"/>
        <v>10</v>
      </c>
      <c r="AN3247" s="447">
        <f t="shared" si="718"/>
        <v>0</v>
      </c>
      <c r="AO3247"/>
      <c r="AP3247"/>
    </row>
    <row r="3248" spans="1:42" ht="66" x14ac:dyDescent="0.25">
      <c r="A3248" s="40"/>
      <c r="B3248" s="34" t="s">
        <v>688</v>
      </c>
      <c r="C3248" s="54"/>
      <c r="D3248" s="913">
        <v>10</v>
      </c>
      <c r="E3248" s="1027" t="s">
        <v>1826</v>
      </c>
      <c r="F3248" s="273" t="s">
        <v>3446</v>
      </c>
      <c r="G3248" s="1040" t="s">
        <v>3463</v>
      </c>
      <c r="H3248" s="273" t="s">
        <v>3462</v>
      </c>
      <c r="I3248" s="720">
        <f t="shared" si="721"/>
        <v>1305</v>
      </c>
      <c r="J3248" s="756">
        <v>13050</v>
      </c>
      <c r="K3248" s="131">
        <f t="shared" si="717"/>
        <v>13050</v>
      </c>
      <c r="L3248" s="335">
        <f t="shared" si="709"/>
        <v>0</v>
      </c>
      <c r="M3248" s="446"/>
      <c r="N3248" s="446"/>
      <c r="O3248" s="446"/>
      <c r="P3248" s="446"/>
      <c r="Q3248" s="130">
        <v>3</v>
      </c>
      <c r="R3248" s="111">
        <f t="shared" si="722"/>
        <v>3262.5</v>
      </c>
      <c r="S3248" s="110"/>
      <c r="T3248" s="110"/>
      <c r="U3248" s="130">
        <v>3</v>
      </c>
      <c r="V3248" s="111">
        <f t="shared" si="723"/>
        <v>3262.5</v>
      </c>
      <c r="W3248" s="110"/>
      <c r="X3248" s="110"/>
      <c r="Y3248" s="110"/>
      <c r="Z3248" s="110"/>
      <c r="AA3248" s="130">
        <v>2</v>
      </c>
      <c r="AB3248" s="111">
        <f t="shared" si="713"/>
        <v>3262.5</v>
      </c>
      <c r="AC3248" s="110"/>
      <c r="AD3248" s="110"/>
      <c r="AE3248" s="130">
        <v>2</v>
      </c>
      <c r="AF3248" s="111">
        <f t="shared" si="714"/>
        <v>3262.5</v>
      </c>
      <c r="AG3248" s="110"/>
      <c r="AH3248" s="110"/>
      <c r="AI3248" s="110"/>
      <c r="AJ3248" s="110"/>
      <c r="AK3248" s="111">
        <f t="shared" si="710"/>
        <v>13050</v>
      </c>
      <c r="AL3248" s="446">
        <f t="shared" si="711"/>
        <v>0</v>
      </c>
      <c r="AM3248" s="110">
        <f t="shared" si="712"/>
        <v>10</v>
      </c>
      <c r="AN3248" s="447">
        <f t="shared" si="718"/>
        <v>0</v>
      </c>
      <c r="AO3248"/>
      <c r="AP3248"/>
    </row>
    <row r="3249" spans="1:42" ht="66" x14ac:dyDescent="0.25">
      <c r="A3249" s="40"/>
      <c r="B3249" s="34" t="s">
        <v>689</v>
      </c>
      <c r="C3249" s="54"/>
      <c r="D3249" s="913">
        <v>10</v>
      </c>
      <c r="E3249" s="1027" t="s">
        <v>1826</v>
      </c>
      <c r="F3249" s="273" t="s">
        <v>3446</v>
      </c>
      <c r="G3249" s="1040" t="s">
        <v>3463</v>
      </c>
      <c r="H3249" s="273" t="s">
        <v>3462</v>
      </c>
      <c r="I3249" s="720">
        <f t="shared" si="721"/>
        <v>1044</v>
      </c>
      <c r="J3249" s="756">
        <v>10440</v>
      </c>
      <c r="K3249" s="131">
        <f t="shared" si="717"/>
        <v>10440</v>
      </c>
      <c r="L3249" s="335">
        <f t="shared" si="709"/>
        <v>0</v>
      </c>
      <c r="M3249" s="446"/>
      <c r="N3249" s="446"/>
      <c r="O3249" s="446"/>
      <c r="P3249" s="446"/>
      <c r="Q3249" s="130">
        <v>3</v>
      </c>
      <c r="R3249" s="111">
        <f t="shared" si="722"/>
        <v>2610</v>
      </c>
      <c r="S3249" s="110"/>
      <c r="T3249" s="110"/>
      <c r="U3249" s="130">
        <v>3</v>
      </c>
      <c r="V3249" s="111">
        <f t="shared" si="723"/>
        <v>2610</v>
      </c>
      <c r="W3249" s="110"/>
      <c r="X3249" s="110"/>
      <c r="Y3249" s="110"/>
      <c r="Z3249" s="110"/>
      <c r="AA3249" s="130">
        <v>2</v>
      </c>
      <c r="AB3249" s="111">
        <f t="shared" si="713"/>
        <v>2610</v>
      </c>
      <c r="AC3249" s="110"/>
      <c r="AD3249" s="110"/>
      <c r="AE3249" s="130">
        <v>2</v>
      </c>
      <c r="AF3249" s="111">
        <f t="shared" si="714"/>
        <v>2610</v>
      </c>
      <c r="AG3249" s="110"/>
      <c r="AH3249" s="110"/>
      <c r="AI3249" s="110"/>
      <c r="AJ3249" s="110"/>
      <c r="AK3249" s="111">
        <f t="shared" si="710"/>
        <v>10440</v>
      </c>
      <c r="AL3249" s="446">
        <f t="shared" si="711"/>
        <v>0</v>
      </c>
      <c r="AM3249" s="110">
        <f t="shared" si="712"/>
        <v>10</v>
      </c>
      <c r="AN3249" s="447">
        <f t="shared" si="718"/>
        <v>0</v>
      </c>
      <c r="AO3249"/>
      <c r="AP3249"/>
    </row>
    <row r="3250" spans="1:42" ht="66" x14ac:dyDescent="0.25">
      <c r="A3250" s="40"/>
      <c r="B3250" s="34" t="s">
        <v>690</v>
      </c>
      <c r="C3250" s="54"/>
      <c r="D3250" s="913">
        <v>100</v>
      </c>
      <c r="E3250" s="1027" t="s">
        <v>1826</v>
      </c>
      <c r="F3250" s="273" t="s">
        <v>3446</v>
      </c>
      <c r="G3250" s="1040" t="s">
        <v>3463</v>
      </c>
      <c r="H3250" s="273" t="s">
        <v>3462</v>
      </c>
      <c r="I3250" s="720">
        <f t="shared" si="721"/>
        <v>34.799999999999997</v>
      </c>
      <c r="J3250" s="756">
        <v>3479.9999999999995</v>
      </c>
      <c r="K3250" s="131">
        <f t="shared" si="717"/>
        <v>3479.9999999999995</v>
      </c>
      <c r="L3250" s="335">
        <f t="shared" si="709"/>
        <v>0</v>
      </c>
      <c r="M3250" s="446"/>
      <c r="N3250" s="446"/>
      <c r="O3250" s="446"/>
      <c r="P3250" s="446"/>
      <c r="Q3250" s="110">
        <v>30</v>
      </c>
      <c r="R3250" s="111">
        <f t="shared" si="722"/>
        <v>869.99999999999989</v>
      </c>
      <c r="S3250" s="110"/>
      <c r="T3250" s="110"/>
      <c r="U3250" s="110">
        <v>30</v>
      </c>
      <c r="V3250" s="111">
        <f t="shared" si="723"/>
        <v>869.99999999999989</v>
      </c>
      <c r="W3250" s="110"/>
      <c r="X3250" s="110"/>
      <c r="Y3250" s="110"/>
      <c r="Z3250" s="110"/>
      <c r="AA3250" s="110">
        <v>30</v>
      </c>
      <c r="AB3250" s="111">
        <f t="shared" si="713"/>
        <v>869.99999999999989</v>
      </c>
      <c r="AC3250" s="110"/>
      <c r="AD3250" s="110"/>
      <c r="AE3250" s="110">
        <v>10</v>
      </c>
      <c r="AF3250" s="111">
        <f t="shared" si="714"/>
        <v>869.99999999999989</v>
      </c>
      <c r="AG3250" s="110"/>
      <c r="AH3250" s="110"/>
      <c r="AI3250" s="110"/>
      <c r="AJ3250" s="110"/>
      <c r="AK3250" s="111">
        <f t="shared" si="710"/>
        <v>3479.9999999999995</v>
      </c>
      <c r="AL3250" s="446">
        <f t="shared" si="711"/>
        <v>0</v>
      </c>
      <c r="AM3250" s="110">
        <f t="shared" si="712"/>
        <v>100</v>
      </c>
      <c r="AN3250" s="447">
        <f t="shared" si="718"/>
        <v>0</v>
      </c>
      <c r="AO3250"/>
      <c r="AP3250"/>
    </row>
    <row r="3251" spans="1:42" ht="66" x14ac:dyDescent="0.25">
      <c r="A3251" s="9"/>
      <c r="B3251" s="577" t="s">
        <v>686</v>
      </c>
      <c r="C3251" s="9"/>
      <c r="D3251" s="913">
        <v>120</v>
      </c>
      <c r="E3251" s="1027" t="s">
        <v>1826</v>
      </c>
      <c r="F3251" s="273" t="s">
        <v>3446</v>
      </c>
      <c r="G3251" s="1040" t="s">
        <v>3463</v>
      </c>
      <c r="H3251" s="273" t="s">
        <v>3462</v>
      </c>
      <c r="I3251" s="720">
        <f t="shared" si="721"/>
        <v>50</v>
      </c>
      <c r="J3251" s="763">
        <v>6000</v>
      </c>
      <c r="K3251" s="131">
        <f t="shared" si="717"/>
        <v>6000</v>
      </c>
      <c r="L3251" s="335">
        <f t="shared" si="709"/>
        <v>0</v>
      </c>
      <c r="M3251" s="446"/>
      <c r="N3251" s="446"/>
      <c r="O3251" s="446"/>
      <c r="P3251" s="446"/>
      <c r="Q3251" s="110">
        <v>50</v>
      </c>
      <c r="R3251" s="111">
        <f t="shared" si="722"/>
        <v>1500</v>
      </c>
      <c r="S3251" s="110"/>
      <c r="T3251" s="110"/>
      <c r="U3251" s="110">
        <v>50</v>
      </c>
      <c r="V3251" s="111">
        <f t="shared" si="723"/>
        <v>1500</v>
      </c>
      <c r="W3251" s="110"/>
      <c r="X3251" s="110"/>
      <c r="Y3251" s="110"/>
      <c r="Z3251" s="110"/>
      <c r="AA3251" s="110">
        <v>10</v>
      </c>
      <c r="AB3251" s="111">
        <f t="shared" si="713"/>
        <v>1500</v>
      </c>
      <c r="AC3251" s="110"/>
      <c r="AD3251" s="110"/>
      <c r="AE3251" s="110">
        <v>10</v>
      </c>
      <c r="AF3251" s="111">
        <f t="shared" si="714"/>
        <v>1500</v>
      </c>
      <c r="AG3251" s="110"/>
      <c r="AH3251" s="110"/>
      <c r="AI3251" s="110"/>
      <c r="AJ3251" s="110"/>
      <c r="AK3251" s="111">
        <f t="shared" si="710"/>
        <v>6000</v>
      </c>
      <c r="AL3251" s="446">
        <f t="shared" si="711"/>
        <v>0</v>
      </c>
      <c r="AM3251" s="110">
        <f t="shared" si="712"/>
        <v>120</v>
      </c>
      <c r="AN3251" s="447">
        <f t="shared" si="718"/>
        <v>0</v>
      </c>
      <c r="AO3251"/>
      <c r="AP3251"/>
    </row>
    <row r="3252" spans="1:42" ht="66" x14ac:dyDescent="0.25">
      <c r="A3252" s="9"/>
      <c r="B3252" s="222" t="s">
        <v>2446</v>
      </c>
      <c r="C3252" s="9"/>
      <c r="D3252" s="913">
        <v>10</v>
      </c>
      <c r="E3252" s="1027" t="s">
        <v>1721</v>
      </c>
      <c r="F3252" s="273" t="s">
        <v>3446</v>
      </c>
      <c r="G3252" s="1040" t="s">
        <v>3463</v>
      </c>
      <c r="H3252" s="273" t="s">
        <v>3462</v>
      </c>
      <c r="I3252" s="720">
        <f t="shared" si="721"/>
        <v>186.67000000000002</v>
      </c>
      <c r="J3252" s="763">
        <v>1866.7</v>
      </c>
      <c r="K3252" s="131">
        <f t="shared" si="717"/>
        <v>1866.7000000000003</v>
      </c>
      <c r="L3252" s="335">
        <f t="shared" ref="L3252:L3315" si="724">+J3252-K3252</f>
        <v>0</v>
      </c>
      <c r="M3252" s="446"/>
      <c r="N3252" s="446"/>
      <c r="O3252" s="446"/>
      <c r="P3252" s="446"/>
      <c r="Q3252" s="130">
        <v>3</v>
      </c>
      <c r="R3252" s="111">
        <f t="shared" si="722"/>
        <v>466.67500000000001</v>
      </c>
      <c r="S3252" s="110"/>
      <c r="T3252" s="110"/>
      <c r="U3252" s="130">
        <v>3</v>
      </c>
      <c r="V3252" s="111">
        <f t="shared" si="723"/>
        <v>466.67500000000001</v>
      </c>
      <c r="W3252" s="110"/>
      <c r="X3252" s="110"/>
      <c r="Y3252" s="110"/>
      <c r="Z3252" s="110"/>
      <c r="AA3252" s="130">
        <v>2</v>
      </c>
      <c r="AB3252" s="111">
        <f t="shared" si="713"/>
        <v>466.67500000000001</v>
      </c>
      <c r="AC3252" s="110"/>
      <c r="AD3252" s="110"/>
      <c r="AE3252" s="130">
        <v>2</v>
      </c>
      <c r="AF3252" s="111">
        <f t="shared" si="714"/>
        <v>466.67500000000001</v>
      </c>
      <c r="AG3252" s="110"/>
      <c r="AH3252" s="110"/>
      <c r="AI3252" s="110"/>
      <c r="AJ3252" s="110"/>
      <c r="AK3252" s="111">
        <f t="shared" ref="AK3252:AK3315" si="725">+R3252+V3252+AB3252+AF3252</f>
        <v>1866.7</v>
      </c>
      <c r="AL3252" s="446">
        <f t="shared" ref="AL3252:AL3315" si="726">+J3252-AK3252</f>
        <v>0</v>
      </c>
      <c r="AM3252" s="110">
        <f t="shared" ref="AM3252:AM3315" si="727">+Q3252+U3252+AA3252+AE3252</f>
        <v>10</v>
      </c>
      <c r="AN3252" s="447">
        <f t="shared" si="718"/>
        <v>0</v>
      </c>
      <c r="AO3252"/>
      <c r="AP3252"/>
    </row>
    <row r="3253" spans="1:42" ht="22.5" x14ac:dyDescent="0.25">
      <c r="A3253" s="376">
        <v>275</v>
      </c>
      <c r="B3253" s="565" t="s">
        <v>691</v>
      </c>
      <c r="C3253" s="416"/>
      <c r="D3253" s="927"/>
      <c r="E3253" s="377"/>
      <c r="F3253" s="378"/>
      <c r="G3253" s="378"/>
      <c r="H3253" s="378"/>
      <c r="I3253" s="734"/>
      <c r="J3253" s="806"/>
      <c r="K3253" s="131">
        <f t="shared" si="717"/>
        <v>0</v>
      </c>
      <c r="L3253" s="335">
        <f t="shared" si="724"/>
        <v>0</v>
      </c>
      <c r="M3253" s="419"/>
      <c r="N3253" s="419"/>
      <c r="O3253" s="419"/>
      <c r="P3253" s="419"/>
      <c r="Q3253" s="418">
        <f t="shared" si="719"/>
        <v>0</v>
      </c>
      <c r="R3253" s="379">
        <f t="shared" si="722"/>
        <v>0</v>
      </c>
      <c r="S3253" s="418"/>
      <c r="T3253" s="418"/>
      <c r="U3253" s="418">
        <f t="shared" si="720"/>
        <v>0</v>
      </c>
      <c r="V3253" s="379">
        <f t="shared" si="723"/>
        <v>0</v>
      </c>
      <c r="W3253" s="418"/>
      <c r="X3253" s="418"/>
      <c r="Y3253" s="418"/>
      <c r="Z3253" s="418"/>
      <c r="AA3253" s="418">
        <f t="shared" si="715"/>
        <v>0</v>
      </c>
      <c r="AB3253" s="379">
        <f t="shared" si="713"/>
        <v>0</v>
      </c>
      <c r="AC3253" s="418"/>
      <c r="AD3253" s="418"/>
      <c r="AE3253" s="418">
        <f t="shared" si="715"/>
        <v>0</v>
      </c>
      <c r="AF3253" s="379">
        <f t="shared" si="714"/>
        <v>0</v>
      </c>
      <c r="AG3253" s="418"/>
      <c r="AH3253" s="418"/>
      <c r="AI3253" s="418"/>
      <c r="AJ3253" s="418"/>
      <c r="AK3253" s="379">
        <f t="shared" si="725"/>
        <v>0</v>
      </c>
      <c r="AL3253" s="419">
        <f t="shared" si="726"/>
        <v>0</v>
      </c>
      <c r="AM3253" s="418">
        <f t="shared" si="727"/>
        <v>0</v>
      </c>
      <c r="AN3253" s="420">
        <f t="shared" si="718"/>
        <v>0</v>
      </c>
      <c r="AO3253" s="108"/>
      <c r="AP3253"/>
    </row>
    <row r="3254" spans="1:42" x14ac:dyDescent="0.25">
      <c r="A3254" s="310">
        <v>27501</v>
      </c>
      <c r="B3254" s="375" t="s">
        <v>692</v>
      </c>
      <c r="C3254" s="311"/>
      <c r="D3254" s="902"/>
      <c r="E3254" s="312"/>
      <c r="F3254" s="313"/>
      <c r="G3254" s="313"/>
      <c r="H3254" s="313"/>
      <c r="I3254" s="729"/>
      <c r="J3254" s="800"/>
      <c r="K3254" s="131">
        <f t="shared" si="717"/>
        <v>0</v>
      </c>
      <c r="L3254" s="335">
        <f t="shared" si="724"/>
        <v>0</v>
      </c>
      <c r="M3254" s="446"/>
      <c r="N3254" s="446"/>
      <c r="O3254" s="446"/>
      <c r="P3254" s="446"/>
      <c r="Q3254" s="387">
        <f t="shared" si="719"/>
        <v>0</v>
      </c>
      <c r="R3254" s="314">
        <f t="shared" si="722"/>
        <v>0</v>
      </c>
      <c r="S3254" s="387"/>
      <c r="T3254" s="387"/>
      <c r="U3254" s="387">
        <f t="shared" si="720"/>
        <v>0</v>
      </c>
      <c r="V3254" s="314">
        <f t="shared" si="723"/>
        <v>0</v>
      </c>
      <c r="W3254" s="387"/>
      <c r="X3254" s="387"/>
      <c r="Y3254" s="387"/>
      <c r="Z3254" s="387"/>
      <c r="AA3254" s="387">
        <f t="shared" si="715"/>
        <v>0</v>
      </c>
      <c r="AB3254" s="314">
        <f t="shared" si="713"/>
        <v>0</v>
      </c>
      <c r="AC3254" s="387"/>
      <c r="AD3254" s="387"/>
      <c r="AE3254" s="387">
        <f t="shared" si="715"/>
        <v>0</v>
      </c>
      <c r="AF3254" s="314">
        <f t="shared" si="714"/>
        <v>0</v>
      </c>
      <c r="AG3254" s="387"/>
      <c r="AH3254" s="387"/>
      <c r="AI3254" s="387"/>
      <c r="AJ3254" s="387"/>
      <c r="AK3254" s="314">
        <f t="shared" si="725"/>
        <v>0</v>
      </c>
      <c r="AL3254" s="421">
        <f t="shared" si="726"/>
        <v>0</v>
      </c>
      <c r="AM3254" s="387">
        <f t="shared" si="727"/>
        <v>0</v>
      </c>
      <c r="AN3254" s="422">
        <f t="shared" si="718"/>
        <v>0</v>
      </c>
      <c r="AO3254" s="108"/>
      <c r="AP3254"/>
    </row>
    <row r="3255" spans="1:42" s="108" customFormat="1" x14ac:dyDescent="0.25">
      <c r="A3255" s="63"/>
      <c r="B3255" s="57"/>
      <c r="C3255" s="9"/>
      <c r="D3255" s="869"/>
      <c r="E3255" s="1027"/>
      <c r="F3255" s="272"/>
      <c r="G3255" s="272"/>
      <c r="H3255" s="272"/>
      <c r="I3255" s="722"/>
      <c r="J3255" s="763"/>
      <c r="K3255" s="131">
        <f t="shared" si="717"/>
        <v>0</v>
      </c>
      <c r="L3255" s="335">
        <f t="shared" si="724"/>
        <v>0</v>
      </c>
      <c r="M3255" s="335"/>
      <c r="N3255" s="335"/>
      <c r="O3255" s="335"/>
      <c r="P3255" s="335"/>
      <c r="Q3255" s="130">
        <f t="shared" si="719"/>
        <v>0</v>
      </c>
      <c r="R3255" s="131">
        <f t="shared" si="722"/>
        <v>0</v>
      </c>
      <c r="S3255" s="130"/>
      <c r="T3255" s="130"/>
      <c r="U3255" s="130">
        <f t="shared" si="720"/>
        <v>0</v>
      </c>
      <c r="V3255" s="131">
        <f t="shared" si="723"/>
        <v>0</v>
      </c>
      <c r="W3255" s="130"/>
      <c r="X3255" s="130"/>
      <c r="Y3255" s="130"/>
      <c r="Z3255" s="130"/>
      <c r="AA3255" s="130">
        <f t="shared" si="715"/>
        <v>0</v>
      </c>
      <c r="AB3255" s="131">
        <f t="shared" si="713"/>
        <v>0</v>
      </c>
      <c r="AC3255" s="130"/>
      <c r="AD3255" s="130"/>
      <c r="AE3255" s="130">
        <f t="shared" si="715"/>
        <v>0</v>
      </c>
      <c r="AF3255" s="131">
        <f t="shared" si="714"/>
        <v>0</v>
      </c>
      <c r="AG3255" s="130"/>
      <c r="AH3255" s="130"/>
      <c r="AI3255" s="130"/>
      <c r="AJ3255" s="130"/>
      <c r="AK3255" s="131">
        <f t="shared" si="725"/>
        <v>0</v>
      </c>
      <c r="AL3255" s="446">
        <f t="shared" si="726"/>
        <v>0</v>
      </c>
      <c r="AM3255" s="110">
        <f t="shared" si="727"/>
        <v>0</v>
      </c>
      <c r="AN3255" s="447">
        <f t="shared" si="718"/>
        <v>0</v>
      </c>
      <c r="AO3255"/>
      <c r="AP3255"/>
    </row>
    <row r="3256" spans="1:42" x14ac:dyDescent="0.25">
      <c r="A3256" s="310">
        <v>27502</v>
      </c>
      <c r="B3256" s="375" t="s">
        <v>693</v>
      </c>
      <c r="C3256" s="311"/>
      <c r="D3256" s="902"/>
      <c r="E3256" s="312"/>
      <c r="F3256" s="313"/>
      <c r="G3256" s="313"/>
      <c r="H3256" s="313"/>
      <c r="I3256" s="729"/>
      <c r="J3256" s="800"/>
      <c r="K3256" s="131">
        <f t="shared" si="717"/>
        <v>0</v>
      </c>
      <c r="L3256" s="335">
        <f t="shared" si="724"/>
        <v>0</v>
      </c>
      <c r="M3256" s="446"/>
      <c r="N3256" s="446"/>
      <c r="O3256" s="446"/>
      <c r="P3256" s="446"/>
      <c r="Q3256" s="387">
        <f t="shared" si="719"/>
        <v>0</v>
      </c>
      <c r="R3256" s="314">
        <f t="shared" si="722"/>
        <v>0</v>
      </c>
      <c r="S3256" s="387"/>
      <c r="T3256" s="387"/>
      <c r="U3256" s="387">
        <f t="shared" si="720"/>
        <v>0</v>
      </c>
      <c r="V3256" s="314">
        <f t="shared" si="723"/>
        <v>0</v>
      </c>
      <c r="W3256" s="387"/>
      <c r="X3256" s="387"/>
      <c r="Y3256" s="387"/>
      <c r="Z3256" s="387"/>
      <c r="AA3256" s="387">
        <f t="shared" si="715"/>
        <v>0</v>
      </c>
      <c r="AB3256" s="314">
        <f t="shared" si="713"/>
        <v>0</v>
      </c>
      <c r="AC3256" s="387"/>
      <c r="AD3256" s="387"/>
      <c r="AE3256" s="387">
        <f t="shared" si="715"/>
        <v>0</v>
      </c>
      <c r="AF3256" s="314">
        <f t="shared" si="714"/>
        <v>0</v>
      </c>
      <c r="AG3256" s="387"/>
      <c r="AH3256" s="387"/>
      <c r="AI3256" s="387"/>
      <c r="AJ3256" s="387"/>
      <c r="AK3256" s="314">
        <f t="shared" si="725"/>
        <v>0</v>
      </c>
      <c r="AL3256" s="421">
        <f t="shared" si="726"/>
        <v>0</v>
      </c>
      <c r="AM3256" s="387">
        <f t="shared" si="727"/>
        <v>0</v>
      </c>
      <c r="AN3256" s="422">
        <f t="shared" si="718"/>
        <v>0</v>
      </c>
      <c r="AO3256" s="108"/>
      <c r="AP3256"/>
    </row>
    <row r="3257" spans="1:42" x14ac:dyDescent="0.25">
      <c r="A3257" s="61"/>
      <c r="B3257" s="482"/>
      <c r="C3257" s="9"/>
      <c r="D3257" s="894"/>
      <c r="E3257" s="138"/>
      <c r="F3257" s="279"/>
      <c r="G3257" s="279"/>
      <c r="H3257" s="279"/>
      <c r="I3257" s="720"/>
      <c r="J3257" s="763"/>
      <c r="K3257" s="131">
        <f t="shared" si="717"/>
        <v>0</v>
      </c>
      <c r="L3257" s="335">
        <f t="shared" si="724"/>
        <v>0</v>
      </c>
      <c r="M3257" s="446"/>
      <c r="N3257" s="446"/>
      <c r="O3257" s="446"/>
      <c r="P3257" s="446"/>
      <c r="Q3257" s="110">
        <f t="shared" si="719"/>
        <v>0</v>
      </c>
      <c r="R3257" s="111">
        <f t="shared" si="722"/>
        <v>0</v>
      </c>
      <c r="S3257" s="110"/>
      <c r="T3257" s="110"/>
      <c r="U3257" s="110">
        <f t="shared" si="720"/>
        <v>0</v>
      </c>
      <c r="V3257" s="111">
        <f t="shared" si="723"/>
        <v>0</v>
      </c>
      <c r="W3257" s="110"/>
      <c r="X3257" s="110"/>
      <c r="Y3257" s="110"/>
      <c r="Z3257" s="110"/>
      <c r="AA3257" s="110">
        <f t="shared" ref="AA3257:AE3293" si="728">+$D3257/4</f>
        <v>0</v>
      </c>
      <c r="AB3257" s="111">
        <f t="shared" si="713"/>
        <v>0</v>
      </c>
      <c r="AC3257" s="110"/>
      <c r="AD3257" s="110"/>
      <c r="AE3257" s="110">
        <f t="shared" si="728"/>
        <v>0</v>
      </c>
      <c r="AF3257" s="111">
        <f t="shared" si="714"/>
        <v>0</v>
      </c>
      <c r="AG3257" s="110"/>
      <c r="AH3257" s="110"/>
      <c r="AI3257" s="110"/>
      <c r="AJ3257" s="110"/>
      <c r="AK3257" s="111">
        <f t="shared" si="725"/>
        <v>0</v>
      </c>
      <c r="AL3257" s="446">
        <f t="shared" si="726"/>
        <v>0</v>
      </c>
      <c r="AM3257" s="110">
        <f t="shared" si="727"/>
        <v>0</v>
      </c>
      <c r="AN3257" s="447">
        <f t="shared" si="718"/>
        <v>0</v>
      </c>
      <c r="AO3257"/>
      <c r="AP3257"/>
    </row>
    <row r="3258" spans="1:42" x14ac:dyDescent="0.25">
      <c r="A3258" s="310">
        <v>27503</v>
      </c>
      <c r="B3258" s="375" t="s">
        <v>694</v>
      </c>
      <c r="C3258" s="311"/>
      <c r="D3258" s="902"/>
      <c r="E3258" s="312"/>
      <c r="F3258" s="313"/>
      <c r="G3258" s="313"/>
      <c r="H3258" s="313"/>
      <c r="I3258" s="729"/>
      <c r="J3258" s="800"/>
      <c r="K3258" s="131">
        <f t="shared" si="717"/>
        <v>0</v>
      </c>
      <c r="L3258" s="335">
        <f t="shared" si="724"/>
        <v>0</v>
      </c>
      <c r="M3258" s="446"/>
      <c r="N3258" s="446"/>
      <c r="O3258" s="446"/>
      <c r="P3258" s="446"/>
      <c r="Q3258" s="387">
        <f t="shared" si="719"/>
        <v>0</v>
      </c>
      <c r="R3258" s="314">
        <f t="shared" si="722"/>
        <v>0</v>
      </c>
      <c r="S3258" s="387"/>
      <c r="T3258" s="387"/>
      <c r="U3258" s="387">
        <f t="shared" si="720"/>
        <v>0</v>
      </c>
      <c r="V3258" s="314">
        <f t="shared" si="723"/>
        <v>0</v>
      </c>
      <c r="W3258" s="387"/>
      <c r="X3258" s="387"/>
      <c r="Y3258" s="387"/>
      <c r="Z3258" s="387"/>
      <c r="AA3258" s="387">
        <f t="shared" si="728"/>
        <v>0</v>
      </c>
      <c r="AB3258" s="314">
        <f t="shared" si="713"/>
        <v>0</v>
      </c>
      <c r="AC3258" s="387"/>
      <c r="AD3258" s="387"/>
      <c r="AE3258" s="387">
        <f t="shared" si="728"/>
        <v>0</v>
      </c>
      <c r="AF3258" s="314">
        <f t="shared" si="714"/>
        <v>0</v>
      </c>
      <c r="AG3258" s="387"/>
      <c r="AH3258" s="387"/>
      <c r="AI3258" s="387"/>
      <c r="AJ3258" s="387"/>
      <c r="AK3258" s="314">
        <f t="shared" si="725"/>
        <v>0</v>
      </c>
      <c r="AL3258" s="421">
        <f t="shared" si="726"/>
        <v>0</v>
      </c>
      <c r="AM3258" s="387">
        <f t="shared" si="727"/>
        <v>0</v>
      </c>
      <c r="AN3258" s="422">
        <f t="shared" si="718"/>
        <v>0</v>
      </c>
      <c r="AO3258" s="436">
        <f>SUM(J3259:J3278)</f>
        <v>125249.63360000003</v>
      </c>
      <c r="AP3258" s="111"/>
    </row>
    <row r="3259" spans="1:42" s="108" customFormat="1" ht="66" x14ac:dyDescent="0.25">
      <c r="A3259" s="9"/>
      <c r="B3259" s="152" t="s">
        <v>695</v>
      </c>
      <c r="C3259" s="9"/>
      <c r="D3259" s="869">
        <v>48</v>
      </c>
      <c r="E3259" s="1027" t="s">
        <v>1721</v>
      </c>
      <c r="F3259" s="278" t="s">
        <v>3446</v>
      </c>
      <c r="G3259" s="1040" t="s">
        <v>3463</v>
      </c>
      <c r="H3259" s="273" t="s">
        <v>3462</v>
      </c>
      <c r="I3259" s="722">
        <f t="shared" ref="I3259:I3278" si="729">+J3259/D3259</f>
        <v>15.973199999999999</v>
      </c>
      <c r="J3259" s="756">
        <v>766.71359999999993</v>
      </c>
      <c r="K3259" s="131">
        <f t="shared" si="717"/>
        <v>766.71359999999993</v>
      </c>
      <c r="L3259" s="335">
        <f t="shared" si="724"/>
        <v>0</v>
      </c>
      <c r="M3259" s="335"/>
      <c r="N3259" s="335"/>
      <c r="O3259" s="335"/>
      <c r="P3259" s="335"/>
      <c r="Q3259" s="130">
        <f t="shared" si="719"/>
        <v>12</v>
      </c>
      <c r="R3259" s="131">
        <f t="shared" si="722"/>
        <v>191.67839999999998</v>
      </c>
      <c r="S3259" s="130"/>
      <c r="T3259" s="130"/>
      <c r="U3259" s="130">
        <f t="shared" si="720"/>
        <v>12</v>
      </c>
      <c r="V3259" s="131">
        <f t="shared" si="723"/>
        <v>191.67839999999998</v>
      </c>
      <c r="W3259" s="130"/>
      <c r="X3259" s="130"/>
      <c r="Y3259" s="130"/>
      <c r="Z3259" s="130"/>
      <c r="AA3259" s="130">
        <f t="shared" si="728"/>
        <v>12</v>
      </c>
      <c r="AB3259" s="131">
        <f t="shared" si="713"/>
        <v>191.67839999999998</v>
      </c>
      <c r="AC3259" s="130"/>
      <c r="AD3259" s="130"/>
      <c r="AE3259" s="130">
        <f t="shared" si="728"/>
        <v>12</v>
      </c>
      <c r="AF3259" s="131">
        <f t="shared" si="714"/>
        <v>191.67839999999998</v>
      </c>
      <c r="AG3259" s="130"/>
      <c r="AH3259" s="130"/>
      <c r="AI3259" s="130"/>
      <c r="AJ3259" s="130"/>
      <c r="AK3259" s="131">
        <f t="shared" si="725"/>
        <v>766.71359999999993</v>
      </c>
      <c r="AL3259" s="446">
        <f t="shared" si="726"/>
        <v>0</v>
      </c>
      <c r="AM3259" s="110">
        <f t="shared" si="727"/>
        <v>48</v>
      </c>
      <c r="AN3259" s="447">
        <f t="shared" si="718"/>
        <v>0</v>
      </c>
      <c r="AO3259"/>
      <c r="AP3259"/>
    </row>
    <row r="3260" spans="1:42" s="108" customFormat="1" ht="66" x14ac:dyDescent="0.25">
      <c r="A3260" s="9"/>
      <c r="B3260" s="578" t="s">
        <v>696</v>
      </c>
      <c r="C3260" s="9"/>
      <c r="D3260" s="869">
        <v>40</v>
      </c>
      <c r="E3260" s="1027" t="s">
        <v>1721</v>
      </c>
      <c r="F3260" s="278" t="s">
        <v>3446</v>
      </c>
      <c r="G3260" s="1040" t="s">
        <v>3463</v>
      </c>
      <c r="H3260" s="273" t="s">
        <v>3462</v>
      </c>
      <c r="I3260" s="722">
        <f t="shared" si="729"/>
        <v>75.167999999999992</v>
      </c>
      <c r="J3260" s="756">
        <v>3006.72</v>
      </c>
      <c r="K3260" s="131">
        <f t="shared" si="717"/>
        <v>3006.72</v>
      </c>
      <c r="L3260" s="335">
        <f t="shared" si="724"/>
        <v>0</v>
      </c>
      <c r="M3260" s="335"/>
      <c r="N3260" s="335"/>
      <c r="O3260" s="335"/>
      <c r="P3260" s="335"/>
      <c r="Q3260" s="130">
        <f t="shared" si="719"/>
        <v>10</v>
      </c>
      <c r="R3260" s="131">
        <f t="shared" si="722"/>
        <v>751.68</v>
      </c>
      <c r="S3260" s="130"/>
      <c r="T3260" s="130"/>
      <c r="U3260" s="130">
        <f t="shared" si="720"/>
        <v>10</v>
      </c>
      <c r="V3260" s="131">
        <f t="shared" si="723"/>
        <v>751.68</v>
      </c>
      <c r="W3260" s="130"/>
      <c r="X3260" s="130"/>
      <c r="Y3260" s="130"/>
      <c r="Z3260" s="130"/>
      <c r="AA3260" s="130">
        <f t="shared" si="728"/>
        <v>10</v>
      </c>
      <c r="AB3260" s="131">
        <f t="shared" si="713"/>
        <v>751.68</v>
      </c>
      <c r="AC3260" s="130"/>
      <c r="AD3260" s="130"/>
      <c r="AE3260" s="130">
        <f t="shared" si="728"/>
        <v>10</v>
      </c>
      <c r="AF3260" s="131">
        <f t="shared" si="714"/>
        <v>751.68</v>
      </c>
      <c r="AG3260" s="130"/>
      <c r="AH3260" s="130"/>
      <c r="AI3260" s="130"/>
      <c r="AJ3260" s="130"/>
      <c r="AK3260" s="131">
        <f t="shared" si="725"/>
        <v>3006.72</v>
      </c>
      <c r="AL3260" s="446">
        <f t="shared" si="726"/>
        <v>0</v>
      </c>
      <c r="AM3260" s="110">
        <f t="shared" si="727"/>
        <v>40</v>
      </c>
      <c r="AN3260" s="447">
        <f t="shared" si="718"/>
        <v>0</v>
      </c>
      <c r="AO3260"/>
      <c r="AP3260"/>
    </row>
    <row r="3261" spans="1:42" s="108" customFormat="1" ht="66" x14ac:dyDescent="0.25">
      <c r="A3261" s="9"/>
      <c r="B3261" s="578" t="s">
        <v>697</v>
      </c>
      <c r="C3261" s="9"/>
      <c r="D3261" s="869">
        <v>20</v>
      </c>
      <c r="E3261" s="1027" t="s">
        <v>1721</v>
      </c>
      <c r="F3261" s="278" t="s">
        <v>3446</v>
      </c>
      <c r="G3261" s="1040" t="s">
        <v>3463</v>
      </c>
      <c r="H3261" s="273" t="s">
        <v>3462</v>
      </c>
      <c r="I3261" s="722">
        <f t="shared" si="729"/>
        <v>37.583999999999996</v>
      </c>
      <c r="J3261" s="756">
        <v>751.68</v>
      </c>
      <c r="K3261" s="131">
        <f t="shared" si="717"/>
        <v>751.68</v>
      </c>
      <c r="L3261" s="335">
        <f t="shared" si="724"/>
        <v>0</v>
      </c>
      <c r="M3261" s="335"/>
      <c r="N3261" s="335"/>
      <c r="O3261" s="335"/>
      <c r="P3261" s="335"/>
      <c r="Q3261" s="130">
        <f t="shared" si="719"/>
        <v>5</v>
      </c>
      <c r="R3261" s="131">
        <f t="shared" si="722"/>
        <v>187.92</v>
      </c>
      <c r="S3261" s="130"/>
      <c r="T3261" s="130"/>
      <c r="U3261" s="130">
        <f t="shared" si="720"/>
        <v>5</v>
      </c>
      <c r="V3261" s="131">
        <f t="shared" si="723"/>
        <v>187.92</v>
      </c>
      <c r="W3261" s="130"/>
      <c r="X3261" s="130"/>
      <c r="Y3261" s="130"/>
      <c r="Z3261" s="130"/>
      <c r="AA3261" s="130">
        <f t="shared" si="728"/>
        <v>5</v>
      </c>
      <c r="AB3261" s="131">
        <f t="shared" si="713"/>
        <v>187.92</v>
      </c>
      <c r="AC3261" s="130"/>
      <c r="AD3261" s="130"/>
      <c r="AE3261" s="130">
        <f t="shared" si="728"/>
        <v>5</v>
      </c>
      <c r="AF3261" s="131">
        <f t="shared" si="714"/>
        <v>187.92</v>
      </c>
      <c r="AG3261" s="130"/>
      <c r="AH3261" s="130"/>
      <c r="AI3261" s="130"/>
      <c r="AJ3261" s="130"/>
      <c r="AK3261" s="131">
        <f t="shared" si="725"/>
        <v>751.68</v>
      </c>
      <c r="AL3261" s="446">
        <f t="shared" si="726"/>
        <v>0</v>
      </c>
      <c r="AM3261" s="110">
        <f t="shared" si="727"/>
        <v>20</v>
      </c>
      <c r="AN3261" s="447">
        <f t="shared" si="718"/>
        <v>0</v>
      </c>
      <c r="AO3261"/>
      <c r="AP3261"/>
    </row>
    <row r="3262" spans="1:42" s="108" customFormat="1" ht="66" x14ac:dyDescent="0.25">
      <c r="A3262" s="9"/>
      <c r="B3262" s="578" t="s">
        <v>698</v>
      </c>
      <c r="C3262" s="9"/>
      <c r="D3262" s="869">
        <v>20</v>
      </c>
      <c r="E3262" s="1027" t="s">
        <v>1721</v>
      </c>
      <c r="F3262" s="278" t="s">
        <v>3446</v>
      </c>
      <c r="G3262" s="1040" t="s">
        <v>3463</v>
      </c>
      <c r="H3262" s="273" t="s">
        <v>3462</v>
      </c>
      <c r="I3262" s="722">
        <f t="shared" si="729"/>
        <v>37.583999999999996</v>
      </c>
      <c r="J3262" s="756">
        <v>751.68</v>
      </c>
      <c r="K3262" s="131">
        <f t="shared" si="717"/>
        <v>751.68</v>
      </c>
      <c r="L3262" s="335">
        <f t="shared" si="724"/>
        <v>0</v>
      </c>
      <c r="M3262" s="335"/>
      <c r="N3262" s="335"/>
      <c r="O3262" s="335"/>
      <c r="P3262" s="335"/>
      <c r="Q3262" s="130">
        <f t="shared" si="719"/>
        <v>5</v>
      </c>
      <c r="R3262" s="131">
        <f t="shared" si="722"/>
        <v>187.92</v>
      </c>
      <c r="S3262" s="130"/>
      <c r="T3262" s="130"/>
      <c r="U3262" s="130">
        <f t="shared" si="720"/>
        <v>5</v>
      </c>
      <c r="V3262" s="131">
        <f t="shared" si="723"/>
        <v>187.92</v>
      </c>
      <c r="W3262" s="130"/>
      <c r="X3262" s="130"/>
      <c r="Y3262" s="130"/>
      <c r="Z3262" s="130"/>
      <c r="AA3262" s="130">
        <f t="shared" si="728"/>
        <v>5</v>
      </c>
      <c r="AB3262" s="131">
        <f t="shared" si="713"/>
        <v>187.92</v>
      </c>
      <c r="AC3262" s="130"/>
      <c r="AD3262" s="130"/>
      <c r="AE3262" s="130">
        <f t="shared" si="728"/>
        <v>5</v>
      </c>
      <c r="AF3262" s="131">
        <f t="shared" si="714"/>
        <v>187.92</v>
      </c>
      <c r="AG3262" s="130"/>
      <c r="AH3262" s="130"/>
      <c r="AI3262" s="130"/>
      <c r="AJ3262" s="130"/>
      <c r="AK3262" s="131">
        <f t="shared" si="725"/>
        <v>751.68</v>
      </c>
      <c r="AL3262" s="446">
        <f t="shared" si="726"/>
        <v>0</v>
      </c>
      <c r="AM3262" s="110">
        <f t="shared" si="727"/>
        <v>20</v>
      </c>
      <c r="AN3262" s="447">
        <f t="shared" si="718"/>
        <v>0</v>
      </c>
      <c r="AO3262"/>
      <c r="AP3262"/>
    </row>
    <row r="3263" spans="1:42" s="108" customFormat="1" ht="66" x14ac:dyDescent="0.25">
      <c r="A3263" s="9"/>
      <c r="B3263" s="578" t="s">
        <v>699</v>
      </c>
      <c r="C3263" s="9"/>
      <c r="D3263" s="869">
        <v>70</v>
      </c>
      <c r="E3263" s="1027" t="s">
        <v>1721</v>
      </c>
      <c r="F3263" s="278" t="s">
        <v>3446</v>
      </c>
      <c r="G3263" s="1040" t="s">
        <v>3463</v>
      </c>
      <c r="H3263" s="273" t="s">
        <v>3462</v>
      </c>
      <c r="I3263" s="722">
        <f t="shared" si="729"/>
        <v>250.56</v>
      </c>
      <c r="J3263" s="756">
        <v>17539.2</v>
      </c>
      <c r="K3263" s="131">
        <f t="shared" si="717"/>
        <v>17539.2</v>
      </c>
      <c r="L3263" s="335">
        <f t="shared" si="724"/>
        <v>0</v>
      </c>
      <c r="M3263" s="335"/>
      <c r="N3263" s="335"/>
      <c r="O3263" s="335"/>
      <c r="P3263" s="335"/>
      <c r="Q3263" s="130">
        <v>18</v>
      </c>
      <c r="R3263" s="131">
        <f t="shared" si="722"/>
        <v>4384.8</v>
      </c>
      <c r="S3263" s="130"/>
      <c r="T3263" s="130"/>
      <c r="U3263" s="130">
        <v>18</v>
      </c>
      <c r="V3263" s="131">
        <f t="shared" si="723"/>
        <v>4384.8</v>
      </c>
      <c r="W3263" s="130"/>
      <c r="X3263" s="130"/>
      <c r="Y3263" s="130"/>
      <c r="Z3263" s="130"/>
      <c r="AA3263" s="130">
        <v>17</v>
      </c>
      <c r="AB3263" s="131">
        <f t="shared" si="713"/>
        <v>4384.8</v>
      </c>
      <c r="AC3263" s="130"/>
      <c r="AD3263" s="130"/>
      <c r="AE3263" s="130">
        <v>17</v>
      </c>
      <c r="AF3263" s="131">
        <f t="shared" si="714"/>
        <v>4384.8</v>
      </c>
      <c r="AG3263" s="130"/>
      <c r="AH3263" s="130"/>
      <c r="AI3263" s="130"/>
      <c r="AJ3263" s="130"/>
      <c r="AK3263" s="131">
        <f t="shared" si="725"/>
        <v>17539.2</v>
      </c>
      <c r="AL3263" s="446">
        <f t="shared" si="726"/>
        <v>0</v>
      </c>
      <c r="AM3263" s="110">
        <f t="shared" si="727"/>
        <v>70</v>
      </c>
      <c r="AN3263" s="447">
        <f t="shared" si="718"/>
        <v>0</v>
      </c>
      <c r="AO3263"/>
      <c r="AP3263"/>
    </row>
    <row r="3264" spans="1:42" s="108" customFormat="1" ht="66" x14ac:dyDescent="0.25">
      <c r="A3264" s="9"/>
      <c r="B3264" s="578" t="s">
        <v>700</v>
      </c>
      <c r="C3264" s="9"/>
      <c r="D3264" s="869">
        <v>25</v>
      </c>
      <c r="E3264" s="1027" t="s">
        <v>1721</v>
      </c>
      <c r="F3264" s="278" t="s">
        <v>3446</v>
      </c>
      <c r="G3264" s="1040" t="s">
        <v>3463</v>
      </c>
      <c r="H3264" s="273" t="s">
        <v>3462</v>
      </c>
      <c r="I3264" s="722">
        <f t="shared" si="729"/>
        <v>612.61919999999998</v>
      </c>
      <c r="J3264" s="756">
        <v>15315.48</v>
      </c>
      <c r="K3264" s="131">
        <f t="shared" si="717"/>
        <v>15315.48</v>
      </c>
      <c r="L3264" s="335">
        <f t="shared" si="724"/>
        <v>0</v>
      </c>
      <c r="M3264" s="335"/>
      <c r="N3264" s="335"/>
      <c r="O3264" s="335"/>
      <c r="P3264" s="335"/>
      <c r="Q3264" s="130">
        <v>7</v>
      </c>
      <c r="R3264" s="131">
        <f t="shared" si="722"/>
        <v>3828.87</v>
      </c>
      <c r="S3264" s="130"/>
      <c r="T3264" s="130"/>
      <c r="U3264" s="130">
        <v>6</v>
      </c>
      <c r="V3264" s="131">
        <f t="shared" si="723"/>
        <v>3828.87</v>
      </c>
      <c r="W3264" s="130"/>
      <c r="X3264" s="130"/>
      <c r="Y3264" s="130"/>
      <c r="Z3264" s="130"/>
      <c r="AA3264" s="130">
        <v>6</v>
      </c>
      <c r="AB3264" s="131">
        <f t="shared" si="713"/>
        <v>3828.87</v>
      </c>
      <c r="AC3264" s="130"/>
      <c r="AD3264" s="130"/>
      <c r="AE3264" s="130">
        <v>6</v>
      </c>
      <c r="AF3264" s="131">
        <f t="shared" si="714"/>
        <v>3828.87</v>
      </c>
      <c r="AG3264" s="130"/>
      <c r="AH3264" s="130"/>
      <c r="AI3264" s="130"/>
      <c r="AJ3264" s="130"/>
      <c r="AK3264" s="131">
        <f t="shared" si="725"/>
        <v>15315.48</v>
      </c>
      <c r="AL3264" s="446">
        <f t="shared" si="726"/>
        <v>0</v>
      </c>
      <c r="AM3264" s="110">
        <f t="shared" si="727"/>
        <v>25</v>
      </c>
      <c r="AN3264" s="447">
        <f t="shared" si="718"/>
        <v>0</v>
      </c>
      <c r="AO3264"/>
      <c r="AP3264"/>
    </row>
    <row r="3265" spans="1:42" s="108" customFormat="1" ht="66" x14ac:dyDescent="0.25">
      <c r="A3265" s="9"/>
      <c r="B3265" s="578" t="s">
        <v>701</v>
      </c>
      <c r="C3265" s="9"/>
      <c r="D3265" s="869">
        <v>15</v>
      </c>
      <c r="E3265" s="1027" t="s">
        <v>1721</v>
      </c>
      <c r="F3265" s="278" t="s">
        <v>3446</v>
      </c>
      <c r="G3265" s="1040" t="s">
        <v>3463</v>
      </c>
      <c r="H3265" s="273" t="s">
        <v>3462</v>
      </c>
      <c r="I3265" s="722">
        <f t="shared" si="729"/>
        <v>2630.88</v>
      </c>
      <c r="J3265" s="756">
        <v>39463.200000000004</v>
      </c>
      <c r="K3265" s="131">
        <f t="shared" si="717"/>
        <v>39463.200000000004</v>
      </c>
      <c r="L3265" s="335">
        <f t="shared" si="724"/>
        <v>0</v>
      </c>
      <c r="M3265" s="335"/>
      <c r="N3265" s="335"/>
      <c r="O3265" s="335"/>
      <c r="P3265" s="335"/>
      <c r="Q3265" s="130">
        <v>4</v>
      </c>
      <c r="R3265" s="131">
        <f t="shared" si="722"/>
        <v>9865.8000000000011</v>
      </c>
      <c r="S3265" s="130"/>
      <c r="T3265" s="130"/>
      <c r="U3265" s="130">
        <v>4</v>
      </c>
      <c r="V3265" s="131">
        <f t="shared" si="723"/>
        <v>9865.8000000000011</v>
      </c>
      <c r="W3265" s="130"/>
      <c r="X3265" s="130"/>
      <c r="Y3265" s="130"/>
      <c r="Z3265" s="130"/>
      <c r="AA3265" s="130">
        <v>4</v>
      </c>
      <c r="AB3265" s="131">
        <f t="shared" si="713"/>
        <v>9865.8000000000011</v>
      </c>
      <c r="AC3265" s="130"/>
      <c r="AD3265" s="130"/>
      <c r="AE3265" s="130">
        <v>3</v>
      </c>
      <c r="AF3265" s="131">
        <f t="shared" si="714"/>
        <v>9865.8000000000011</v>
      </c>
      <c r="AG3265" s="130"/>
      <c r="AH3265" s="130"/>
      <c r="AI3265" s="130"/>
      <c r="AJ3265" s="130"/>
      <c r="AK3265" s="131">
        <f t="shared" si="725"/>
        <v>39463.200000000004</v>
      </c>
      <c r="AL3265" s="446">
        <f t="shared" si="726"/>
        <v>0</v>
      </c>
      <c r="AM3265" s="110">
        <f t="shared" si="727"/>
        <v>15</v>
      </c>
      <c r="AN3265" s="447">
        <f t="shared" si="718"/>
        <v>0</v>
      </c>
      <c r="AO3265"/>
      <c r="AP3265"/>
    </row>
    <row r="3266" spans="1:42" s="108" customFormat="1" ht="66" x14ac:dyDescent="0.25">
      <c r="A3266" s="9"/>
      <c r="B3266" s="578" t="s">
        <v>702</v>
      </c>
      <c r="C3266" s="9"/>
      <c r="D3266" s="869">
        <v>15</v>
      </c>
      <c r="E3266" s="1027" t="s">
        <v>1721</v>
      </c>
      <c r="F3266" s="278" t="s">
        <v>3446</v>
      </c>
      <c r="G3266" s="1040" t="s">
        <v>3463</v>
      </c>
      <c r="H3266" s="273" t="s">
        <v>3462</v>
      </c>
      <c r="I3266" s="722">
        <f t="shared" si="729"/>
        <v>375.84000000000003</v>
      </c>
      <c r="J3266" s="756">
        <v>5637.6</v>
      </c>
      <c r="K3266" s="131">
        <f t="shared" si="717"/>
        <v>5637.6</v>
      </c>
      <c r="L3266" s="335">
        <f t="shared" si="724"/>
        <v>0</v>
      </c>
      <c r="M3266" s="335"/>
      <c r="N3266" s="335"/>
      <c r="O3266" s="335"/>
      <c r="P3266" s="335"/>
      <c r="Q3266" s="130">
        <v>4</v>
      </c>
      <c r="R3266" s="131">
        <f t="shared" si="722"/>
        <v>1409.4</v>
      </c>
      <c r="S3266" s="130"/>
      <c r="T3266" s="130"/>
      <c r="U3266" s="130">
        <v>4</v>
      </c>
      <c r="V3266" s="131">
        <f t="shared" si="723"/>
        <v>1409.4</v>
      </c>
      <c r="W3266" s="130"/>
      <c r="X3266" s="130"/>
      <c r="Y3266" s="130"/>
      <c r="Z3266" s="130"/>
      <c r="AA3266" s="130">
        <v>4</v>
      </c>
      <c r="AB3266" s="131">
        <f t="shared" si="713"/>
        <v>1409.4</v>
      </c>
      <c r="AC3266" s="130"/>
      <c r="AD3266" s="130"/>
      <c r="AE3266" s="130">
        <v>3</v>
      </c>
      <c r="AF3266" s="131">
        <f t="shared" si="714"/>
        <v>1409.4</v>
      </c>
      <c r="AG3266" s="130"/>
      <c r="AH3266" s="130"/>
      <c r="AI3266" s="130"/>
      <c r="AJ3266" s="130"/>
      <c r="AK3266" s="131">
        <f t="shared" si="725"/>
        <v>5637.6</v>
      </c>
      <c r="AL3266" s="446">
        <f t="shared" si="726"/>
        <v>0</v>
      </c>
      <c r="AM3266" s="110">
        <f t="shared" si="727"/>
        <v>15</v>
      </c>
      <c r="AN3266" s="447">
        <f t="shared" si="718"/>
        <v>0</v>
      </c>
      <c r="AO3266"/>
      <c r="AP3266"/>
    </row>
    <row r="3267" spans="1:42" s="108" customFormat="1" ht="66" x14ac:dyDescent="0.25">
      <c r="A3267" s="9"/>
      <c r="B3267" s="578" t="s">
        <v>703</v>
      </c>
      <c r="C3267" s="9"/>
      <c r="D3267" s="869">
        <v>15</v>
      </c>
      <c r="E3267" s="1027" t="s">
        <v>1721</v>
      </c>
      <c r="F3267" s="278" t="s">
        <v>3446</v>
      </c>
      <c r="G3267" s="1040" t="s">
        <v>3463</v>
      </c>
      <c r="H3267" s="273" t="s">
        <v>3462</v>
      </c>
      <c r="I3267" s="722">
        <f t="shared" si="729"/>
        <v>375.84000000000003</v>
      </c>
      <c r="J3267" s="756">
        <v>5637.6</v>
      </c>
      <c r="K3267" s="131">
        <f t="shared" si="717"/>
        <v>5637.6</v>
      </c>
      <c r="L3267" s="335">
        <f t="shared" si="724"/>
        <v>0</v>
      </c>
      <c r="M3267" s="335"/>
      <c r="N3267" s="335"/>
      <c r="O3267" s="335"/>
      <c r="P3267" s="335"/>
      <c r="Q3267" s="130">
        <v>4</v>
      </c>
      <c r="R3267" s="131">
        <f t="shared" si="722"/>
        <v>1409.4</v>
      </c>
      <c r="S3267" s="130"/>
      <c r="T3267" s="130"/>
      <c r="U3267" s="130">
        <v>4</v>
      </c>
      <c r="V3267" s="131">
        <f t="shared" si="723"/>
        <v>1409.4</v>
      </c>
      <c r="W3267" s="130"/>
      <c r="X3267" s="130"/>
      <c r="Y3267" s="130"/>
      <c r="Z3267" s="130"/>
      <c r="AA3267" s="130">
        <v>4</v>
      </c>
      <c r="AB3267" s="131">
        <f t="shared" si="713"/>
        <v>1409.4</v>
      </c>
      <c r="AC3267" s="130"/>
      <c r="AD3267" s="130"/>
      <c r="AE3267" s="130">
        <v>3</v>
      </c>
      <c r="AF3267" s="131">
        <f t="shared" si="714"/>
        <v>1409.4</v>
      </c>
      <c r="AG3267" s="130"/>
      <c r="AH3267" s="130"/>
      <c r="AI3267" s="130"/>
      <c r="AJ3267" s="130"/>
      <c r="AK3267" s="131">
        <f t="shared" si="725"/>
        <v>5637.6</v>
      </c>
      <c r="AL3267" s="446">
        <f t="shared" si="726"/>
        <v>0</v>
      </c>
      <c r="AM3267" s="110">
        <f t="shared" si="727"/>
        <v>15</v>
      </c>
      <c r="AN3267" s="447">
        <f t="shared" si="718"/>
        <v>0</v>
      </c>
      <c r="AO3267"/>
      <c r="AP3267"/>
    </row>
    <row r="3268" spans="1:42" s="108" customFormat="1" ht="66" x14ac:dyDescent="0.25">
      <c r="A3268" s="9"/>
      <c r="B3268" s="578" t="s">
        <v>704</v>
      </c>
      <c r="C3268" s="9"/>
      <c r="D3268" s="869">
        <v>15</v>
      </c>
      <c r="E3268" s="1027" t="s">
        <v>1721</v>
      </c>
      <c r="F3268" s="278" t="s">
        <v>3446</v>
      </c>
      <c r="G3268" s="1040" t="s">
        <v>3463</v>
      </c>
      <c r="H3268" s="273" t="s">
        <v>3462</v>
      </c>
      <c r="I3268" s="722">
        <f t="shared" si="729"/>
        <v>375.84000000000003</v>
      </c>
      <c r="J3268" s="756">
        <v>5637.6</v>
      </c>
      <c r="K3268" s="131">
        <f t="shared" si="717"/>
        <v>5637.6</v>
      </c>
      <c r="L3268" s="335">
        <f t="shared" si="724"/>
        <v>0</v>
      </c>
      <c r="M3268" s="335"/>
      <c r="N3268" s="335"/>
      <c r="O3268" s="335"/>
      <c r="P3268" s="335"/>
      <c r="Q3268" s="130">
        <v>4</v>
      </c>
      <c r="R3268" s="131">
        <f t="shared" si="722"/>
        <v>1409.4</v>
      </c>
      <c r="S3268" s="130"/>
      <c r="T3268" s="130"/>
      <c r="U3268" s="130">
        <v>4</v>
      </c>
      <c r="V3268" s="131">
        <f t="shared" si="723"/>
        <v>1409.4</v>
      </c>
      <c r="W3268" s="130"/>
      <c r="X3268" s="130"/>
      <c r="Y3268" s="130"/>
      <c r="Z3268" s="130"/>
      <c r="AA3268" s="130">
        <v>4</v>
      </c>
      <c r="AB3268" s="131">
        <f t="shared" si="713"/>
        <v>1409.4</v>
      </c>
      <c r="AC3268" s="130"/>
      <c r="AD3268" s="130"/>
      <c r="AE3268" s="130">
        <v>3</v>
      </c>
      <c r="AF3268" s="131">
        <f t="shared" si="714"/>
        <v>1409.4</v>
      </c>
      <c r="AG3268" s="130"/>
      <c r="AH3268" s="130"/>
      <c r="AI3268" s="130"/>
      <c r="AJ3268" s="130"/>
      <c r="AK3268" s="131">
        <f t="shared" si="725"/>
        <v>5637.6</v>
      </c>
      <c r="AL3268" s="446">
        <f t="shared" si="726"/>
        <v>0</v>
      </c>
      <c r="AM3268" s="110">
        <f t="shared" si="727"/>
        <v>15</v>
      </c>
      <c r="AN3268" s="447">
        <f t="shared" si="718"/>
        <v>0</v>
      </c>
      <c r="AO3268"/>
      <c r="AP3268"/>
    </row>
    <row r="3269" spans="1:42" s="108" customFormat="1" ht="66" x14ac:dyDescent="0.25">
      <c r="A3269" s="9"/>
      <c r="B3269" s="578" t="s">
        <v>705</v>
      </c>
      <c r="C3269" s="9"/>
      <c r="D3269" s="869">
        <v>30</v>
      </c>
      <c r="E3269" s="1027" t="s">
        <v>1721</v>
      </c>
      <c r="F3269" s="278" t="s">
        <v>3446</v>
      </c>
      <c r="G3269" s="1040" t="s">
        <v>3463</v>
      </c>
      <c r="H3269" s="273" t="s">
        <v>3462</v>
      </c>
      <c r="I3269" s="722">
        <f t="shared" si="729"/>
        <v>144.072</v>
      </c>
      <c r="J3269" s="756">
        <v>4322.16</v>
      </c>
      <c r="K3269" s="131">
        <f t="shared" si="717"/>
        <v>4322.16</v>
      </c>
      <c r="L3269" s="335">
        <f t="shared" si="724"/>
        <v>0</v>
      </c>
      <c r="M3269" s="335"/>
      <c r="N3269" s="335"/>
      <c r="O3269" s="335"/>
      <c r="P3269" s="335"/>
      <c r="Q3269" s="130">
        <v>8</v>
      </c>
      <c r="R3269" s="131">
        <f t="shared" si="722"/>
        <v>1080.54</v>
      </c>
      <c r="S3269" s="130"/>
      <c r="T3269" s="130"/>
      <c r="U3269" s="130">
        <v>8</v>
      </c>
      <c r="V3269" s="131">
        <f t="shared" si="723"/>
        <v>1080.54</v>
      </c>
      <c r="W3269" s="130"/>
      <c r="X3269" s="130"/>
      <c r="Y3269" s="130"/>
      <c r="Z3269" s="130"/>
      <c r="AA3269" s="130">
        <v>7</v>
      </c>
      <c r="AB3269" s="131">
        <f t="shared" si="713"/>
        <v>1080.54</v>
      </c>
      <c r="AC3269" s="130"/>
      <c r="AD3269" s="130"/>
      <c r="AE3269" s="130">
        <v>7</v>
      </c>
      <c r="AF3269" s="131">
        <f t="shared" si="714"/>
        <v>1080.54</v>
      </c>
      <c r="AG3269" s="130"/>
      <c r="AH3269" s="130"/>
      <c r="AI3269" s="130"/>
      <c r="AJ3269" s="130"/>
      <c r="AK3269" s="131">
        <f t="shared" si="725"/>
        <v>4322.16</v>
      </c>
      <c r="AL3269" s="446">
        <f t="shared" si="726"/>
        <v>0</v>
      </c>
      <c r="AM3269" s="110">
        <f t="shared" si="727"/>
        <v>30</v>
      </c>
      <c r="AN3269" s="447">
        <f t="shared" si="718"/>
        <v>0</v>
      </c>
      <c r="AO3269"/>
      <c r="AP3269"/>
    </row>
    <row r="3270" spans="1:42" s="108" customFormat="1" ht="66" x14ac:dyDescent="0.25">
      <c r="A3270" s="9"/>
      <c r="B3270" s="578" t="s">
        <v>2019</v>
      </c>
      <c r="C3270" s="9"/>
      <c r="D3270" s="916">
        <v>2</v>
      </c>
      <c r="E3270" s="1027" t="s">
        <v>1721</v>
      </c>
      <c r="F3270" s="278" t="s">
        <v>3446</v>
      </c>
      <c r="G3270" s="1040" t="s">
        <v>3463</v>
      </c>
      <c r="H3270" s="273" t="s">
        <v>3462</v>
      </c>
      <c r="I3270" s="722">
        <f t="shared" si="729"/>
        <v>300</v>
      </c>
      <c r="J3270" s="756">
        <v>600</v>
      </c>
      <c r="K3270" s="131">
        <f t="shared" si="717"/>
        <v>600</v>
      </c>
      <c r="L3270" s="335">
        <f t="shared" si="724"/>
        <v>0</v>
      </c>
      <c r="M3270" s="335"/>
      <c r="N3270" s="335"/>
      <c r="O3270" s="335"/>
      <c r="P3270" s="335"/>
      <c r="Q3270" s="130">
        <v>1</v>
      </c>
      <c r="R3270" s="131">
        <f t="shared" si="722"/>
        <v>150</v>
      </c>
      <c r="S3270" s="130"/>
      <c r="T3270" s="130"/>
      <c r="U3270" s="130">
        <v>1</v>
      </c>
      <c r="V3270" s="131">
        <f t="shared" si="723"/>
        <v>150</v>
      </c>
      <c r="W3270" s="130"/>
      <c r="X3270" s="130"/>
      <c r="Y3270" s="130"/>
      <c r="Z3270" s="130"/>
      <c r="AA3270" s="130">
        <v>0</v>
      </c>
      <c r="AB3270" s="131">
        <f t="shared" si="713"/>
        <v>150</v>
      </c>
      <c r="AC3270" s="130"/>
      <c r="AD3270" s="130"/>
      <c r="AE3270" s="130">
        <v>0</v>
      </c>
      <c r="AF3270" s="131">
        <f t="shared" si="714"/>
        <v>150</v>
      </c>
      <c r="AG3270" s="130"/>
      <c r="AH3270" s="130"/>
      <c r="AI3270" s="130"/>
      <c r="AJ3270" s="130"/>
      <c r="AK3270" s="131">
        <f t="shared" si="725"/>
        <v>600</v>
      </c>
      <c r="AL3270" s="446">
        <f t="shared" si="726"/>
        <v>0</v>
      </c>
      <c r="AM3270" s="110">
        <f t="shared" si="727"/>
        <v>2</v>
      </c>
      <c r="AN3270" s="447">
        <f t="shared" si="718"/>
        <v>0</v>
      </c>
      <c r="AO3270"/>
      <c r="AP3270"/>
    </row>
    <row r="3271" spans="1:42" s="108" customFormat="1" ht="66" x14ac:dyDescent="0.25">
      <c r="A3271" s="9"/>
      <c r="B3271" s="45" t="s">
        <v>2120</v>
      </c>
      <c r="C3271" s="9"/>
      <c r="D3271" s="916">
        <v>4</v>
      </c>
      <c r="E3271" s="1027" t="s">
        <v>1721</v>
      </c>
      <c r="F3271" s="278" t="s">
        <v>3446</v>
      </c>
      <c r="G3271" s="1040" t="s">
        <v>3463</v>
      </c>
      <c r="H3271" s="273" t="s">
        <v>3462</v>
      </c>
      <c r="I3271" s="722">
        <f t="shared" si="729"/>
        <v>100</v>
      </c>
      <c r="J3271" s="756">
        <v>400</v>
      </c>
      <c r="K3271" s="131">
        <f t="shared" si="717"/>
        <v>400</v>
      </c>
      <c r="L3271" s="335">
        <f t="shared" si="724"/>
        <v>0</v>
      </c>
      <c r="M3271" s="335"/>
      <c r="N3271" s="335"/>
      <c r="O3271" s="335"/>
      <c r="P3271" s="335"/>
      <c r="Q3271" s="130">
        <f t="shared" si="719"/>
        <v>1</v>
      </c>
      <c r="R3271" s="131">
        <f t="shared" si="722"/>
        <v>100</v>
      </c>
      <c r="S3271" s="130"/>
      <c r="T3271" s="130"/>
      <c r="U3271" s="130">
        <f t="shared" si="720"/>
        <v>1</v>
      </c>
      <c r="V3271" s="131">
        <f t="shared" si="723"/>
        <v>100</v>
      </c>
      <c r="W3271" s="130"/>
      <c r="X3271" s="130"/>
      <c r="Y3271" s="130"/>
      <c r="Z3271" s="130"/>
      <c r="AA3271" s="130">
        <f t="shared" si="728"/>
        <v>1</v>
      </c>
      <c r="AB3271" s="131">
        <f t="shared" ref="AB3271:AB3334" si="730">+J3271/4</f>
        <v>100</v>
      </c>
      <c r="AC3271" s="130"/>
      <c r="AD3271" s="130"/>
      <c r="AE3271" s="130">
        <f t="shared" si="728"/>
        <v>1</v>
      </c>
      <c r="AF3271" s="131">
        <f t="shared" ref="AF3271:AF3334" si="731">+J3271/4</f>
        <v>100</v>
      </c>
      <c r="AG3271" s="130"/>
      <c r="AH3271" s="130"/>
      <c r="AI3271" s="130"/>
      <c r="AJ3271" s="130"/>
      <c r="AK3271" s="131">
        <f t="shared" si="725"/>
        <v>400</v>
      </c>
      <c r="AL3271" s="446">
        <f t="shared" si="726"/>
        <v>0</v>
      </c>
      <c r="AM3271" s="110">
        <f t="shared" si="727"/>
        <v>4</v>
      </c>
      <c r="AN3271" s="447">
        <f t="shared" si="718"/>
        <v>0</v>
      </c>
      <c r="AO3271"/>
      <c r="AP3271"/>
    </row>
    <row r="3272" spans="1:42" s="108" customFormat="1" ht="66" x14ac:dyDescent="0.25">
      <c r="A3272" s="9"/>
      <c r="B3272" s="34" t="s">
        <v>2121</v>
      </c>
      <c r="C3272" s="9"/>
      <c r="D3272" s="916">
        <v>22</v>
      </c>
      <c r="E3272" s="1027" t="s">
        <v>1722</v>
      </c>
      <c r="F3272" s="278" t="s">
        <v>3446</v>
      </c>
      <c r="G3272" s="1040" t="s">
        <v>3463</v>
      </c>
      <c r="H3272" s="273" t="s">
        <v>3462</v>
      </c>
      <c r="I3272" s="722">
        <f t="shared" si="729"/>
        <v>78</v>
      </c>
      <c r="J3272" s="756">
        <v>1716</v>
      </c>
      <c r="K3272" s="131">
        <f t="shared" si="717"/>
        <v>1716</v>
      </c>
      <c r="L3272" s="335">
        <f t="shared" si="724"/>
        <v>0</v>
      </c>
      <c r="M3272" s="335"/>
      <c r="N3272" s="335"/>
      <c r="O3272" s="335"/>
      <c r="P3272" s="335"/>
      <c r="Q3272" s="130">
        <v>6</v>
      </c>
      <c r="R3272" s="131">
        <f t="shared" si="722"/>
        <v>429</v>
      </c>
      <c r="S3272" s="130"/>
      <c r="T3272" s="130"/>
      <c r="U3272" s="130">
        <v>6</v>
      </c>
      <c r="V3272" s="131">
        <f t="shared" si="723"/>
        <v>429</v>
      </c>
      <c r="W3272" s="130"/>
      <c r="X3272" s="130"/>
      <c r="Y3272" s="130"/>
      <c r="Z3272" s="130"/>
      <c r="AA3272" s="130">
        <v>5</v>
      </c>
      <c r="AB3272" s="131">
        <f t="shared" si="730"/>
        <v>429</v>
      </c>
      <c r="AC3272" s="130"/>
      <c r="AD3272" s="130"/>
      <c r="AE3272" s="130">
        <v>5</v>
      </c>
      <c r="AF3272" s="131">
        <f t="shared" si="731"/>
        <v>429</v>
      </c>
      <c r="AG3272" s="130"/>
      <c r="AH3272" s="130"/>
      <c r="AI3272" s="130"/>
      <c r="AJ3272" s="130"/>
      <c r="AK3272" s="131">
        <f t="shared" si="725"/>
        <v>1716</v>
      </c>
      <c r="AL3272" s="446">
        <f t="shared" si="726"/>
        <v>0</v>
      </c>
      <c r="AM3272" s="110">
        <f t="shared" si="727"/>
        <v>22</v>
      </c>
      <c r="AN3272" s="447">
        <f t="shared" si="718"/>
        <v>0</v>
      </c>
      <c r="AO3272"/>
      <c r="AP3272"/>
    </row>
    <row r="3273" spans="1:42" s="108" customFormat="1" ht="66" x14ac:dyDescent="0.25">
      <c r="A3273" s="9"/>
      <c r="B3273" s="124" t="s">
        <v>2122</v>
      </c>
      <c r="C3273" s="9"/>
      <c r="D3273" s="916">
        <v>1</v>
      </c>
      <c r="E3273" s="1027" t="s">
        <v>1721</v>
      </c>
      <c r="F3273" s="278" t="s">
        <v>3446</v>
      </c>
      <c r="G3273" s="1040" t="s">
        <v>3463</v>
      </c>
      <c r="H3273" s="273" t="s">
        <v>3462</v>
      </c>
      <c r="I3273" s="722">
        <f t="shared" si="729"/>
        <v>364</v>
      </c>
      <c r="J3273" s="756">
        <v>364</v>
      </c>
      <c r="K3273" s="131">
        <f t="shared" si="717"/>
        <v>364</v>
      </c>
      <c r="L3273" s="335">
        <f t="shared" si="724"/>
        <v>0</v>
      </c>
      <c r="M3273" s="335"/>
      <c r="N3273" s="335"/>
      <c r="O3273" s="335"/>
      <c r="P3273" s="335"/>
      <c r="Q3273" s="130">
        <v>1</v>
      </c>
      <c r="R3273" s="131">
        <f t="shared" si="722"/>
        <v>91</v>
      </c>
      <c r="S3273" s="130"/>
      <c r="T3273" s="130"/>
      <c r="U3273" s="130">
        <v>0</v>
      </c>
      <c r="V3273" s="131">
        <f t="shared" si="723"/>
        <v>91</v>
      </c>
      <c r="W3273" s="130"/>
      <c r="X3273" s="130"/>
      <c r="Y3273" s="130"/>
      <c r="Z3273" s="130"/>
      <c r="AA3273" s="130">
        <v>0</v>
      </c>
      <c r="AB3273" s="131">
        <f t="shared" si="730"/>
        <v>91</v>
      </c>
      <c r="AC3273" s="130"/>
      <c r="AD3273" s="130"/>
      <c r="AE3273" s="130">
        <v>0</v>
      </c>
      <c r="AF3273" s="131">
        <f t="shared" si="731"/>
        <v>91</v>
      </c>
      <c r="AG3273" s="130"/>
      <c r="AH3273" s="130"/>
      <c r="AI3273" s="130"/>
      <c r="AJ3273" s="130"/>
      <c r="AK3273" s="131">
        <f t="shared" si="725"/>
        <v>364</v>
      </c>
      <c r="AL3273" s="446">
        <f t="shared" si="726"/>
        <v>0</v>
      </c>
      <c r="AM3273" s="110">
        <f t="shared" si="727"/>
        <v>1</v>
      </c>
      <c r="AN3273" s="447">
        <f t="shared" si="718"/>
        <v>0</v>
      </c>
      <c r="AO3273"/>
      <c r="AP3273"/>
    </row>
    <row r="3274" spans="1:42" s="108" customFormat="1" ht="66" x14ac:dyDescent="0.25">
      <c r="A3274" s="9"/>
      <c r="B3274" s="124" t="s">
        <v>2123</v>
      </c>
      <c r="C3274" s="9"/>
      <c r="D3274" s="916">
        <v>1</v>
      </c>
      <c r="E3274" s="1027" t="s">
        <v>1721</v>
      </c>
      <c r="F3274" s="278" t="s">
        <v>3446</v>
      </c>
      <c r="G3274" s="1040" t="s">
        <v>3463</v>
      </c>
      <c r="H3274" s="273" t="s">
        <v>3462</v>
      </c>
      <c r="I3274" s="722">
        <f t="shared" si="729"/>
        <v>364</v>
      </c>
      <c r="J3274" s="756">
        <v>364</v>
      </c>
      <c r="K3274" s="131">
        <f t="shared" si="717"/>
        <v>364</v>
      </c>
      <c r="L3274" s="335">
        <f t="shared" si="724"/>
        <v>0</v>
      </c>
      <c r="M3274" s="335"/>
      <c r="N3274" s="335"/>
      <c r="O3274" s="335"/>
      <c r="P3274" s="335"/>
      <c r="Q3274" s="130">
        <v>1</v>
      </c>
      <c r="R3274" s="131">
        <f t="shared" si="722"/>
        <v>91</v>
      </c>
      <c r="S3274" s="130"/>
      <c r="T3274" s="130"/>
      <c r="U3274" s="130">
        <v>0</v>
      </c>
      <c r="V3274" s="131">
        <f t="shared" si="723"/>
        <v>91</v>
      </c>
      <c r="W3274" s="130"/>
      <c r="X3274" s="130"/>
      <c r="Y3274" s="130"/>
      <c r="Z3274" s="130"/>
      <c r="AA3274" s="130">
        <v>0</v>
      </c>
      <c r="AB3274" s="131">
        <f t="shared" si="730"/>
        <v>91</v>
      </c>
      <c r="AC3274" s="130"/>
      <c r="AD3274" s="130"/>
      <c r="AE3274" s="130">
        <v>0</v>
      </c>
      <c r="AF3274" s="131">
        <f t="shared" si="731"/>
        <v>91</v>
      </c>
      <c r="AG3274" s="130"/>
      <c r="AH3274" s="130"/>
      <c r="AI3274" s="130"/>
      <c r="AJ3274" s="130"/>
      <c r="AK3274" s="131">
        <f t="shared" si="725"/>
        <v>364</v>
      </c>
      <c r="AL3274" s="446">
        <f t="shared" si="726"/>
        <v>0</v>
      </c>
      <c r="AM3274" s="110">
        <f t="shared" si="727"/>
        <v>1</v>
      </c>
      <c r="AN3274" s="447">
        <f t="shared" si="718"/>
        <v>0</v>
      </c>
      <c r="AO3274"/>
      <c r="AP3274"/>
    </row>
    <row r="3275" spans="1:42" s="108" customFormat="1" ht="66" x14ac:dyDescent="0.25">
      <c r="A3275" s="9"/>
      <c r="B3275" s="124" t="s">
        <v>2124</v>
      </c>
      <c r="C3275" s="9"/>
      <c r="D3275" s="916">
        <v>1</v>
      </c>
      <c r="E3275" s="1027" t="s">
        <v>1721</v>
      </c>
      <c r="F3275" s="278" t="s">
        <v>3446</v>
      </c>
      <c r="G3275" s="1040" t="s">
        <v>3463</v>
      </c>
      <c r="H3275" s="273" t="s">
        <v>3462</v>
      </c>
      <c r="I3275" s="722">
        <f t="shared" si="729"/>
        <v>364</v>
      </c>
      <c r="J3275" s="756">
        <v>364</v>
      </c>
      <c r="K3275" s="131">
        <f t="shared" si="717"/>
        <v>364</v>
      </c>
      <c r="L3275" s="335">
        <f t="shared" si="724"/>
        <v>0</v>
      </c>
      <c r="M3275" s="335"/>
      <c r="N3275" s="335"/>
      <c r="O3275" s="335"/>
      <c r="P3275" s="335"/>
      <c r="Q3275" s="130">
        <v>1</v>
      </c>
      <c r="R3275" s="131">
        <f t="shared" si="722"/>
        <v>91</v>
      </c>
      <c r="S3275" s="130"/>
      <c r="T3275" s="130"/>
      <c r="U3275" s="130">
        <v>0</v>
      </c>
      <c r="V3275" s="131">
        <f t="shared" si="723"/>
        <v>91</v>
      </c>
      <c r="W3275" s="130"/>
      <c r="X3275" s="130"/>
      <c r="Y3275" s="130"/>
      <c r="Z3275" s="130"/>
      <c r="AA3275" s="130">
        <v>0</v>
      </c>
      <c r="AB3275" s="131">
        <f t="shared" si="730"/>
        <v>91</v>
      </c>
      <c r="AC3275" s="130"/>
      <c r="AD3275" s="130"/>
      <c r="AE3275" s="130">
        <v>0</v>
      </c>
      <c r="AF3275" s="131">
        <f t="shared" si="731"/>
        <v>91</v>
      </c>
      <c r="AG3275" s="130"/>
      <c r="AH3275" s="130"/>
      <c r="AI3275" s="130"/>
      <c r="AJ3275" s="130"/>
      <c r="AK3275" s="131">
        <f t="shared" si="725"/>
        <v>364</v>
      </c>
      <c r="AL3275" s="446">
        <f t="shared" si="726"/>
        <v>0</v>
      </c>
      <c r="AM3275" s="110">
        <f t="shared" si="727"/>
        <v>1</v>
      </c>
      <c r="AN3275" s="447">
        <f t="shared" si="718"/>
        <v>0</v>
      </c>
      <c r="AO3275"/>
      <c r="AP3275"/>
    </row>
    <row r="3276" spans="1:42" s="108" customFormat="1" ht="66" x14ac:dyDescent="0.25">
      <c r="A3276" s="9"/>
      <c r="B3276" s="45" t="s">
        <v>2820</v>
      </c>
      <c r="C3276" s="9"/>
      <c r="D3276" s="916">
        <v>70</v>
      </c>
      <c r="E3276" s="1027" t="s">
        <v>1721</v>
      </c>
      <c r="F3276" s="278" t="s">
        <v>3446</v>
      </c>
      <c r="G3276" s="1040" t="s">
        <v>3463</v>
      </c>
      <c r="H3276" s="273" t="s">
        <v>3462</v>
      </c>
      <c r="I3276" s="722">
        <f t="shared" si="729"/>
        <v>301.60000000000002</v>
      </c>
      <c r="J3276" s="756">
        <v>21112</v>
      </c>
      <c r="K3276" s="131">
        <f t="shared" si="717"/>
        <v>21112</v>
      </c>
      <c r="L3276" s="335">
        <f t="shared" si="724"/>
        <v>0</v>
      </c>
      <c r="M3276" s="335"/>
      <c r="N3276" s="335"/>
      <c r="O3276" s="335"/>
      <c r="P3276" s="335"/>
      <c r="Q3276" s="130">
        <v>18</v>
      </c>
      <c r="R3276" s="131">
        <f t="shared" si="722"/>
        <v>5278</v>
      </c>
      <c r="S3276" s="130"/>
      <c r="T3276" s="130"/>
      <c r="U3276" s="130">
        <v>18</v>
      </c>
      <c r="V3276" s="131">
        <f t="shared" si="723"/>
        <v>5278</v>
      </c>
      <c r="W3276" s="130"/>
      <c r="X3276" s="130"/>
      <c r="Y3276" s="130"/>
      <c r="Z3276" s="130"/>
      <c r="AA3276" s="130">
        <v>17</v>
      </c>
      <c r="AB3276" s="131">
        <f t="shared" si="730"/>
        <v>5278</v>
      </c>
      <c r="AC3276" s="130"/>
      <c r="AD3276" s="130"/>
      <c r="AE3276" s="130">
        <v>17</v>
      </c>
      <c r="AF3276" s="131">
        <f t="shared" si="731"/>
        <v>5278</v>
      </c>
      <c r="AG3276" s="130"/>
      <c r="AH3276" s="130"/>
      <c r="AI3276" s="130"/>
      <c r="AJ3276" s="130"/>
      <c r="AK3276" s="131">
        <f t="shared" si="725"/>
        <v>21112</v>
      </c>
      <c r="AL3276" s="446">
        <f t="shared" si="726"/>
        <v>0</v>
      </c>
      <c r="AM3276" s="110">
        <f t="shared" si="727"/>
        <v>70</v>
      </c>
      <c r="AN3276" s="447">
        <f t="shared" si="718"/>
        <v>0</v>
      </c>
      <c r="AO3276"/>
      <c r="AP3276"/>
    </row>
    <row r="3277" spans="1:42" s="108" customFormat="1" ht="66" x14ac:dyDescent="0.25">
      <c r="A3277" s="9"/>
      <c r="B3277" s="684" t="s">
        <v>3305</v>
      </c>
      <c r="C3277" s="9"/>
      <c r="D3277" s="869">
        <v>1</v>
      </c>
      <c r="E3277" s="1027" t="s">
        <v>1721</v>
      </c>
      <c r="F3277" s="278" t="s">
        <v>3446</v>
      </c>
      <c r="G3277" s="1040" t="s">
        <v>3463</v>
      </c>
      <c r="H3277" s="273" t="s">
        <v>3462</v>
      </c>
      <c r="I3277" s="722">
        <f t="shared" si="729"/>
        <v>258</v>
      </c>
      <c r="J3277" s="756">
        <v>258</v>
      </c>
      <c r="K3277" s="131">
        <f t="shared" si="717"/>
        <v>258</v>
      </c>
      <c r="L3277" s="335">
        <f t="shared" si="724"/>
        <v>0</v>
      </c>
      <c r="M3277" s="335"/>
      <c r="N3277" s="335"/>
      <c r="O3277" s="335"/>
      <c r="P3277" s="335"/>
      <c r="Q3277" s="130">
        <v>1</v>
      </c>
      <c r="R3277" s="131">
        <f t="shared" si="722"/>
        <v>64.5</v>
      </c>
      <c r="S3277" s="130"/>
      <c r="T3277" s="130"/>
      <c r="U3277" s="130">
        <v>0</v>
      </c>
      <c r="V3277" s="131">
        <f t="shared" si="723"/>
        <v>64.5</v>
      </c>
      <c r="W3277" s="130"/>
      <c r="X3277" s="130"/>
      <c r="Y3277" s="130"/>
      <c r="Z3277" s="130"/>
      <c r="AA3277" s="130">
        <v>0</v>
      </c>
      <c r="AB3277" s="131">
        <f t="shared" si="730"/>
        <v>64.5</v>
      </c>
      <c r="AC3277" s="130"/>
      <c r="AD3277" s="130"/>
      <c r="AE3277" s="130">
        <v>0</v>
      </c>
      <c r="AF3277" s="131">
        <f t="shared" si="731"/>
        <v>64.5</v>
      </c>
      <c r="AG3277" s="130"/>
      <c r="AH3277" s="130"/>
      <c r="AI3277" s="130"/>
      <c r="AJ3277" s="130"/>
      <c r="AK3277" s="131">
        <f t="shared" si="725"/>
        <v>258</v>
      </c>
      <c r="AL3277" s="446">
        <f t="shared" si="726"/>
        <v>0</v>
      </c>
      <c r="AM3277" s="110">
        <f t="shared" si="727"/>
        <v>1</v>
      </c>
      <c r="AN3277" s="447">
        <f t="shared" si="718"/>
        <v>0</v>
      </c>
      <c r="AO3277"/>
      <c r="AP3277"/>
    </row>
    <row r="3278" spans="1:42" s="108" customFormat="1" ht="66" x14ac:dyDescent="0.25">
      <c r="A3278" s="9"/>
      <c r="B3278" s="684" t="s">
        <v>3306</v>
      </c>
      <c r="C3278" s="9"/>
      <c r="D3278" s="869">
        <v>5</v>
      </c>
      <c r="E3278" s="1027" t="s">
        <v>1721</v>
      </c>
      <c r="F3278" s="278" t="s">
        <v>3446</v>
      </c>
      <c r="G3278" s="1040" t="s">
        <v>3463</v>
      </c>
      <c r="H3278" s="273" t="s">
        <v>3462</v>
      </c>
      <c r="I3278" s="722">
        <f t="shared" si="729"/>
        <v>248.4</v>
      </c>
      <c r="J3278" s="756">
        <v>1242</v>
      </c>
      <c r="K3278" s="131">
        <f t="shared" si="717"/>
        <v>1242</v>
      </c>
      <c r="L3278" s="335">
        <f t="shared" si="724"/>
        <v>0</v>
      </c>
      <c r="M3278" s="335"/>
      <c r="N3278" s="335"/>
      <c r="O3278" s="335"/>
      <c r="P3278" s="335"/>
      <c r="Q3278" s="130">
        <v>2</v>
      </c>
      <c r="R3278" s="131">
        <f t="shared" si="722"/>
        <v>310.5</v>
      </c>
      <c r="S3278" s="130"/>
      <c r="T3278" s="130"/>
      <c r="U3278" s="130">
        <v>1</v>
      </c>
      <c r="V3278" s="131">
        <f t="shared" si="723"/>
        <v>310.5</v>
      </c>
      <c r="W3278" s="130"/>
      <c r="X3278" s="130"/>
      <c r="Y3278" s="130"/>
      <c r="Z3278" s="130"/>
      <c r="AA3278" s="130">
        <v>1</v>
      </c>
      <c r="AB3278" s="131">
        <f t="shared" si="730"/>
        <v>310.5</v>
      </c>
      <c r="AC3278" s="130"/>
      <c r="AD3278" s="130"/>
      <c r="AE3278" s="130">
        <v>1</v>
      </c>
      <c r="AF3278" s="131">
        <f t="shared" si="731"/>
        <v>310.5</v>
      </c>
      <c r="AG3278" s="130"/>
      <c r="AH3278" s="130"/>
      <c r="AI3278" s="130"/>
      <c r="AJ3278" s="130"/>
      <c r="AK3278" s="131">
        <f t="shared" si="725"/>
        <v>1242</v>
      </c>
      <c r="AL3278" s="446">
        <f t="shared" si="726"/>
        <v>0</v>
      </c>
      <c r="AM3278" s="110">
        <f t="shared" si="727"/>
        <v>5</v>
      </c>
      <c r="AN3278" s="447">
        <f t="shared" si="718"/>
        <v>0</v>
      </c>
      <c r="AO3278"/>
      <c r="AP3278"/>
    </row>
    <row r="3279" spans="1:42" x14ac:dyDescent="0.25">
      <c r="A3279" s="299">
        <v>28000</v>
      </c>
      <c r="B3279" s="469" t="s">
        <v>706</v>
      </c>
      <c r="C3279" s="299"/>
      <c r="D3279" s="909"/>
      <c r="E3279" s="301"/>
      <c r="F3279" s="302"/>
      <c r="G3279" s="302"/>
      <c r="H3279" s="302"/>
      <c r="I3279" s="715"/>
      <c r="J3279" s="751"/>
      <c r="K3279" s="131">
        <f t="shared" si="717"/>
        <v>0</v>
      </c>
      <c r="L3279" s="335">
        <f t="shared" si="724"/>
        <v>0</v>
      </c>
      <c r="M3279" s="453"/>
      <c r="N3279" s="453"/>
      <c r="O3279" s="453"/>
      <c r="P3279" s="453"/>
      <c r="Q3279" s="385">
        <f t="shared" si="719"/>
        <v>0</v>
      </c>
      <c r="R3279" s="303">
        <f t="shared" si="722"/>
        <v>0</v>
      </c>
      <c r="S3279" s="385"/>
      <c r="T3279" s="385"/>
      <c r="U3279" s="385">
        <f t="shared" si="720"/>
        <v>0</v>
      </c>
      <c r="V3279" s="303">
        <f t="shared" si="723"/>
        <v>0</v>
      </c>
      <c r="W3279" s="385"/>
      <c r="X3279" s="385"/>
      <c r="Y3279" s="385"/>
      <c r="Z3279" s="385"/>
      <c r="AA3279" s="385">
        <f t="shared" si="728"/>
        <v>0</v>
      </c>
      <c r="AB3279" s="303">
        <f t="shared" si="730"/>
        <v>0</v>
      </c>
      <c r="AC3279" s="385"/>
      <c r="AD3279" s="385"/>
      <c r="AE3279" s="385">
        <f t="shared" si="728"/>
        <v>0</v>
      </c>
      <c r="AF3279" s="303">
        <f t="shared" si="731"/>
        <v>0</v>
      </c>
      <c r="AG3279" s="385"/>
      <c r="AH3279" s="385"/>
      <c r="AI3279" s="385"/>
      <c r="AJ3279" s="385"/>
      <c r="AK3279" s="303">
        <f t="shared" si="725"/>
        <v>0</v>
      </c>
      <c r="AL3279" s="453">
        <f t="shared" si="726"/>
        <v>0</v>
      </c>
      <c r="AM3279" s="385">
        <f t="shared" si="727"/>
        <v>0</v>
      </c>
      <c r="AN3279" s="454">
        <f t="shared" si="718"/>
        <v>0</v>
      </c>
      <c r="AO3279" s="304"/>
      <c r="AP3279"/>
    </row>
    <row r="3280" spans="1:42" x14ac:dyDescent="0.25">
      <c r="A3280" s="376">
        <v>281</v>
      </c>
      <c r="B3280" s="565" t="s">
        <v>707</v>
      </c>
      <c r="C3280" s="376"/>
      <c r="D3280" s="927"/>
      <c r="E3280" s="377"/>
      <c r="F3280" s="378"/>
      <c r="G3280" s="378"/>
      <c r="H3280" s="378"/>
      <c r="I3280" s="734"/>
      <c r="J3280" s="806"/>
      <c r="K3280" s="131">
        <f t="shared" si="717"/>
        <v>0</v>
      </c>
      <c r="L3280" s="335">
        <f t="shared" si="724"/>
        <v>0</v>
      </c>
      <c r="M3280" s="419"/>
      <c r="N3280" s="419"/>
      <c r="O3280" s="419"/>
      <c r="P3280" s="419"/>
      <c r="Q3280" s="418">
        <f t="shared" si="719"/>
        <v>0</v>
      </c>
      <c r="R3280" s="379">
        <f t="shared" si="722"/>
        <v>0</v>
      </c>
      <c r="S3280" s="418"/>
      <c r="T3280" s="418"/>
      <c r="U3280" s="418">
        <f t="shared" si="720"/>
        <v>0</v>
      </c>
      <c r="V3280" s="379">
        <f t="shared" si="723"/>
        <v>0</v>
      </c>
      <c r="W3280" s="418"/>
      <c r="X3280" s="418"/>
      <c r="Y3280" s="418"/>
      <c r="Z3280" s="418"/>
      <c r="AA3280" s="418">
        <f t="shared" si="728"/>
        <v>0</v>
      </c>
      <c r="AB3280" s="379">
        <f t="shared" si="730"/>
        <v>0</v>
      </c>
      <c r="AC3280" s="418"/>
      <c r="AD3280" s="418"/>
      <c r="AE3280" s="418">
        <f t="shared" si="728"/>
        <v>0</v>
      </c>
      <c r="AF3280" s="379">
        <f t="shared" si="731"/>
        <v>0</v>
      </c>
      <c r="AG3280" s="418"/>
      <c r="AH3280" s="418"/>
      <c r="AI3280" s="418"/>
      <c r="AJ3280" s="418"/>
      <c r="AK3280" s="379">
        <f t="shared" si="725"/>
        <v>0</v>
      </c>
      <c r="AL3280" s="446">
        <f t="shared" si="726"/>
        <v>0</v>
      </c>
      <c r="AM3280" s="110">
        <f t="shared" si="727"/>
        <v>0</v>
      </c>
      <c r="AN3280" s="447">
        <f t="shared" si="718"/>
        <v>0</v>
      </c>
      <c r="AO3280" s="108"/>
      <c r="AP3280"/>
    </row>
    <row r="3281" spans="1:42" x14ac:dyDescent="0.25">
      <c r="A3281" s="310">
        <v>28101</v>
      </c>
      <c r="B3281" s="375" t="s">
        <v>707</v>
      </c>
      <c r="C3281" s="311"/>
      <c r="D3281" s="902"/>
      <c r="E3281" s="312"/>
      <c r="F3281" s="313"/>
      <c r="G3281" s="313"/>
      <c r="H3281" s="313"/>
      <c r="I3281" s="729"/>
      <c r="J3281" s="800"/>
      <c r="K3281" s="131">
        <f t="shared" si="717"/>
        <v>0</v>
      </c>
      <c r="L3281" s="335">
        <f t="shared" si="724"/>
        <v>0</v>
      </c>
      <c r="M3281" s="446"/>
      <c r="N3281" s="446"/>
      <c r="O3281" s="446"/>
      <c r="P3281" s="446"/>
      <c r="Q3281" s="110">
        <f t="shared" si="719"/>
        <v>0</v>
      </c>
      <c r="R3281" s="111">
        <f t="shared" si="722"/>
        <v>0</v>
      </c>
      <c r="S3281" s="110"/>
      <c r="T3281" s="110"/>
      <c r="U3281" s="110">
        <f t="shared" si="720"/>
        <v>0</v>
      </c>
      <c r="V3281" s="111">
        <f t="shared" si="723"/>
        <v>0</v>
      </c>
      <c r="W3281" s="110"/>
      <c r="X3281" s="110"/>
      <c r="Y3281" s="110"/>
      <c r="Z3281" s="110"/>
      <c r="AA3281" s="110">
        <f t="shared" si="728"/>
        <v>0</v>
      </c>
      <c r="AB3281" s="111">
        <f t="shared" si="730"/>
        <v>0</v>
      </c>
      <c r="AC3281" s="110"/>
      <c r="AD3281" s="110"/>
      <c r="AE3281" s="110">
        <f t="shared" si="728"/>
        <v>0</v>
      </c>
      <c r="AF3281" s="111">
        <f t="shared" si="731"/>
        <v>0</v>
      </c>
      <c r="AG3281" s="110"/>
      <c r="AH3281" s="110"/>
      <c r="AI3281" s="110"/>
      <c r="AJ3281" s="110"/>
      <c r="AK3281" s="111">
        <f t="shared" si="725"/>
        <v>0</v>
      </c>
      <c r="AL3281" s="446">
        <f t="shared" si="726"/>
        <v>0</v>
      </c>
      <c r="AM3281" s="110">
        <f t="shared" si="727"/>
        <v>0</v>
      </c>
      <c r="AN3281" s="447">
        <f t="shared" si="718"/>
        <v>0</v>
      </c>
      <c r="AO3281" s="108"/>
      <c r="AP3281"/>
    </row>
    <row r="3282" spans="1:42" s="108" customFormat="1" x14ac:dyDescent="0.25">
      <c r="A3282" s="9"/>
      <c r="B3282" s="57"/>
      <c r="C3282" s="9"/>
      <c r="D3282" s="869"/>
      <c r="E3282" s="1027"/>
      <c r="F3282" s="272"/>
      <c r="G3282" s="272"/>
      <c r="H3282" s="272"/>
      <c r="I3282" s="722"/>
      <c r="J3282" s="763"/>
      <c r="K3282" s="131">
        <f t="shared" si="717"/>
        <v>0</v>
      </c>
      <c r="L3282" s="335">
        <f t="shared" si="724"/>
        <v>0</v>
      </c>
      <c r="M3282" s="335"/>
      <c r="N3282" s="335"/>
      <c r="O3282" s="335"/>
      <c r="P3282" s="335"/>
      <c r="Q3282" s="130">
        <f t="shared" si="719"/>
        <v>0</v>
      </c>
      <c r="R3282" s="131">
        <f t="shared" si="722"/>
        <v>0</v>
      </c>
      <c r="S3282" s="130"/>
      <c r="T3282" s="130"/>
      <c r="U3282" s="130">
        <f t="shared" si="720"/>
        <v>0</v>
      </c>
      <c r="V3282" s="131">
        <f t="shared" si="723"/>
        <v>0</v>
      </c>
      <c r="W3282" s="130"/>
      <c r="X3282" s="130"/>
      <c r="Y3282" s="130"/>
      <c r="Z3282" s="130"/>
      <c r="AA3282" s="130">
        <f t="shared" si="728"/>
        <v>0</v>
      </c>
      <c r="AB3282" s="131">
        <f t="shared" si="730"/>
        <v>0</v>
      </c>
      <c r="AC3282" s="130"/>
      <c r="AD3282" s="130"/>
      <c r="AE3282" s="130">
        <f t="shared" si="728"/>
        <v>0</v>
      </c>
      <c r="AF3282" s="131">
        <f t="shared" si="731"/>
        <v>0</v>
      </c>
      <c r="AG3282" s="130"/>
      <c r="AH3282" s="130"/>
      <c r="AI3282" s="130"/>
      <c r="AJ3282" s="130"/>
      <c r="AK3282" s="131">
        <f t="shared" si="725"/>
        <v>0</v>
      </c>
      <c r="AL3282" s="446">
        <f t="shared" si="726"/>
        <v>0</v>
      </c>
      <c r="AM3282" s="110">
        <f t="shared" si="727"/>
        <v>0</v>
      </c>
      <c r="AN3282" s="447">
        <f t="shared" si="718"/>
        <v>0</v>
      </c>
      <c r="AO3282"/>
      <c r="AP3282"/>
    </row>
    <row r="3283" spans="1:42" x14ac:dyDescent="0.25">
      <c r="A3283" s="376">
        <v>282</v>
      </c>
      <c r="B3283" s="565" t="s">
        <v>708</v>
      </c>
      <c r="C3283" s="376"/>
      <c r="D3283" s="927"/>
      <c r="E3283" s="377"/>
      <c r="F3283" s="378"/>
      <c r="G3283" s="378"/>
      <c r="H3283" s="378"/>
      <c r="I3283" s="734"/>
      <c r="J3283" s="806"/>
      <c r="K3283" s="131">
        <f t="shared" si="717"/>
        <v>0</v>
      </c>
      <c r="L3283" s="335">
        <f t="shared" si="724"/>
        <v>0</v>
      </c>
      <c r="M3283" s="419"/>
      <c r="N3283" s="419"/>
      <c r="O3283" s="419"/>
      <c r="P3283" s="419"/>
      <c r="Q3283" s="418">
        <f t="shared" si="719"/>
        <v>0</v>
      </c>
      <c r="R3283" s="379">
        <f t="shared" si="722"/>
        <v>0</v>
      </c>
      <c r="S3283" s="418"/>
      <c r="T3283" s="418"/>
      <c r="U3283" s="418">
        <f t="shared" si="720"/>
        <v>0</v>
      </c>
      <c r="V3283" s="379">
        <f t="shared" si="723"/>
        <v>0</v>
      </c>
      <c r="W3283" s="418"/>
      <c r="X3283" s="418"/>
      <c r="Y3283" s="418"/>
      <c r="Z3283" s="418"/>
      <c r="AA3283" s="418">
        <f t="shared" si="728"/>
        <v>0</v>
      </c>
      <c r="AB3283" s="379">
        <f t="shared" si="730"/>
        <v>0</v>
      </c>
      <c r="AC3283" s="418"/>
      <c r="AD3283" s="418"/>
      <c r="AE3283" s="418">
        <f t="shared" si="728"/>
        <v>0</v>
      </c>
      <c r="AF3283" s="379">
        <f t="shared" si="731"/>
        <v>0</v>
      </c>
      <c r="AG3283" s="418"/>
      <c r="AH3283" s="418"/>
      <c r="AI3283" s="418"/>
      <c r="AJ3283" s="418"/>
      <c r="AK3283" s="379">
        <f t="shared" si="725"/>
        <v>0</v>
      </c>
      <c r="AL3283" s="446">
        <f t="shared" si="726"/>
        <v>0</v>
      </c>
      <c r="AM3283" s="110">
        <f t="shared" si="727"/>
        <v>0</v>
      </c>
      <c r="AN3283" s="447">
        <f t="shared" si="718"/>
        <v>0</v>
      </c>
      <c r="AO3283" s="108"/>
      <c r="AP3283"/>
    </row>
    <row r="3284" spans="1:42" x14ac:dyDescent="0.25">
      <c r="A3284" s="310">
        <v>28201</v>
      </c>
      <c r="B3284" s="375" t="s">
        <v>709</v>
      </c>
      <c r="C3284" s="311"/>
      <c r="D3284" s="902"/>
      <c r="E3284" s="312"/>
      <c r="F3284" s="313"/>
      <c r="G3284" s="313"/>
      <c r="H3284" s="313"/>
      <c r="I3284" s="729"/>
      <c r="J3284" s="800"/>
      <c r="K3284" s="131">
        <f t="shared" si="717"/>
        <v>0</v>
      </c>
      <c r="L3284" s="335">
        <f t="shared" si="724"/>
        <v>0</v>
      </c>
      <c r="M3284" s="446"/>
      <c r="N3284" s="446"/>
      <c r="O3284" s="446"/>
      <c r="P3284" s="446"/>
      <c r="Q3284" s="387">
        <f t="shared" si="719"/>
        <v>0</v>
      </c>
      <c r="R3284" s="314">
        <f t="shared" si="722"/>
        <v>0</v>
      </c>
      <c r="S3284" s="387"/>
      <c r="T3284" s="387"/>
      <c r="U3284" s="387">
        <f t="shared" si="720"/>
        <v>0</v>
      </c>
      <c r="V3284" s="314">
        <f t="shared" si="723"/>
        <v>0</v>
      </c>
      <c r="W3284" s="387"/>
      <c r="X3284" s="387"/>
      <c r="Y3284" s="387"/>
      <c r="Z3284" s="387"/>
      <c r="AA3284" s="387">
        <f t="shared" si="728"/>
        <v>0</v>
      </c>
      <c r="AB3284" s="314">
        <f t="shared" si="730"/>
        <v>0</v>
      </c>
      <c r="AC3284" s="387"/>
      <c r="AD3284" s="387"/>
      <c r="AE3284" s="387">
        <f t="shared" si="728"/>
        <v>0</v>
      </c>
      <c r="AF3284" s="314">
        <f t="shared" si="731"/>
        <v>0</v>
      </c>
      <c r="AG3284" s="387"/>
      <c r="AH3284" s="387"/>
      <c r="AI3284" s="387"/>
      <c r="AJ3284" s="387"/>
      <c r="AK3284" s="314">
        <f t="shared" si="725"/>
        <v>0</v>
      </c>
      <c r="AL3284" s="421">
        <f t="shared" si="726"/>
        <v>0</v>
      </c>
      <c r="AM3284" s="387">
        <f t="shared" si="727"/>
        <v>0</v>
      </c>
      <c r="AN3284" s="422">
        <f t="shared" si="718"/>
        <v>0</v>
      </c>
      <c r="AO3284" s="108"/>
      <c r="AP3284"/>
    </row>
    <row r="3285" spans="1:42" s="108" customFormat="1" x14ac:dyDescent="0.25">
      <c r="A3285" s="60"/>
      <c r="B3285" s="482"/>
      <c r="C3285" s="9"/>
      <c r="D3285" s="869"/>
      <c r="E3285" s="1027"/>
      <c r="F3285" s="272"/>
      <c r="G3285" s="272"/>
      <c r="H3285" s="272"/>
      <c r="I3285" s="722"/>
      <c r="J3285" s="763"/>
      <c r="K3285" s="131">
        <f t="shared" si="717"/>
        <v>0</v>
      </c>
      <c r="L3285" s="335">
        <f t="shared" si="724"/>
        <v>0</v>
      </c>
      <c r="M3285" s="335"/>
      <c r="N3285" s="335"/>
      <c r="O3285" s="335"/>
      <c r="P3285" s="335"/>
      <c r="Q3285" s="130">
        <f t="shared" si="719"/>
        <v>0</v>
      </c>
      <c r="R3285" s="131">
        <f t="shared" si="722"/>
        <v>0</v>
      </c>
      <c r="S3285" s="130"/>
      <c r="T3285" s="130"/>
      <c r="U3285" s="130">
        <f t="shared" si="720"/>
        <v>0</v>
      </c>
      <c r="V3285" s="131">
        <f t="shared" si="723"/>
        <v>0</v>
      </c>
      <c r="W3285" s="130"/>
      <c r="X3285" s="130"/>
      <c r="Y3285" s="130"/>
      <c r="Z3285" s="130"/>
      <c r="AA3285" s="130">
        <f t="shared" si="728"/>
        <v>0</v>
      </c>
      <c r="AB3285" s="131">
        <f t="shared" si="730"/>
        <v>0</v>
      </c>
      <c r="AC3285" s="130"/>
      <c r="AD3285" s="130"/>
      <c r="AE3285" s="130">
        <f t="shared" si="728"/>
        <v>0</v>
      </c>
      <c r="AF3285" s="131">
        <f t="shared" si="731"/>
        <v>0</v>
      </c>
      <c r="AG3285" s="130"/>
      <c r="AH3285" s="130"/>
      <c r="AI3285" s="130"/>
      <c r="AJ3285" s="130"/>
      <c r="AK3285" s="131">
        <f t="shared" si="725"/>
        <v>0</v>
      </c>
      <c r="AL3285" s="446">
        <f t="shared" si="726"/>
        <v>0</v>
      </c>
      <c r="AM3285" s="110">
        <f t="shared" si="727"/>
        <v>0</v>
      </c>
      <c r="AN3285" s="447">
        <f t="shared" si="718"/>
        <v>0</v>
      </c>
      <c r="AO3285"/>
      <c r="AP3285"/>
    </row>
    <row r="3286" spans="1:42" x14ac:dyDescent="0.25">
      <c r="A3286" s="310">
        <v>28202</v>
      </c>
      <c r="B3286" s="375" t="s">
        <v>710</v>
      </c>
      <c r="C3286" s="311"/>
      <c r="D3286" s="902"/>
      <c r="E3286" s="312"/>
      <c r="F3286" s="313"/>
      <c r="G3286" s="313"/>
      <c r="H3286" s="313"/>
      <c r="I3286" s="729"/>
      <c r="J3286" s="800"/>
      <c r="K3286" s="131">
        <f t="shared" si="717"/>
        <v>0</v>
      </c>
      <c r="L3286" s="335">
        <f t="shared" si="724"/>
        <v>0</v>
      </c>
      <c r="M3286" s="446"/>
      <c r="N3286" s="446"/>
      <c r="O3286" s="446"/>
      <c r="P3286" s="446"/>
      <c r="Q3286" s="110">
        <f t="shared" si="719"/>
        <v>0</v>
      </c>
      <c r="R3286" s="111">
        <f t="shared" si="722"/>
        <v>0</v>
      </c>
      <c r="S3286" s="110"/>
      <c r="T3286" s="110"/>
      <c r="U3286" s="110">
        <f t="shared" si="720"/>
        <v>0</v>
      </c>
      <c r="V3286" s="111">
        <f t="shared" si="723"/>
        <v>0</v>
      </c>
      <c r="W3286" s="110"/>
      <c r="X3286" s="110"/>
      <c r="Y3286" s="110"/>
      <c r="Z3286" s="110"/>
      <c r="AA3286" s="110">
        <f t="shared" si="728"/>
        <v>0</v>
      </c>
      <c r="AB3286" s="111">
        <f t="shared" si="730"/>
        <v>0</v>
      </c>
      <c r="AC3286" s="110"/>
      <c r="AD3286" s="110"/>
      <c r="AE3286" s="110">
        <f t="shared" si="728"/>
        <v>0</v>
      </c>
      <c r="AF3286" s="111">
        <f t="shared" si="731"/>
        <v>0</v>
      </c>
      <c r="AG3286" s="110"/>
      <c r="AH3286" s="110"/>
      <c r="AI3286" s="110"/>
      <c r="AJ3286" s="110"/>
      <c r="AK3286" s="111">
        <f t="shared" si="725"/>
        <v>0</v>
      </c>
      <c r="AL3286" s="446">
        <f t="shared" si="726"/>
        <v>0</v>
      </c>
      <c r="AM3286" s="110">
        <f t="shared" si="727"/>
        <v>0</v>
      </c>
      <c r="AN3286" s="447">
        <f t="shared" si="718"/>
        <v>0</v>
      </c>
      <c r="AO3286" s="108"/>
      <c r="AP3286"/>
    </row>
    <row r="3287" spans="1:42" s="108" customFormat="1" x14ac:dyDescent="0.25">
      <c r="A3287" s="60"/>
      <c r="B3287" s="482"/>
      <c r="C3287" s="9"/>
      <c r="D3287" s="894"/>
      <c r="E3287" s="138"/>
      <c r="F3287" s="279"/>
      <c r="G3287" s="279"/>
      <c r="H3287" s="279"/>
      <c r="I3287" s="722"/>
      <c r="J3287" s="773"/>
      <c r="K3287" s="131">
        <f t="shared" si="717"/>
        <v>0</v>
      </c>
      <c r="L3287" s="335">
        <f t="shared" si="724"/>
        <v>0</v>
      </c>
      <c r="M3287" s="335"/>
      <c r="N3287" s="335"/>
      <c r="O3287" s="335"/>
      <c r="P3287" s="335"/>
      <c r="Q3287" s="130">
        <f t="shared" si="719"/>
        <v>0</v>
      </c>
      <c r="R3287" s="131">
        <f t="shared" si="722"/>
        <v>0</v>
      </c>
      <c r="S3287" s="130"/>
      <c r="T3287" s="130"/>
      <c r="U3287" s="130">
        <f t="shared" si="720"/>
        <v>0</v>
      </c>
      <c r="V3287" s="131">
        <f t="shared" si="723"/>
        <v>0</v>
      </c>
      <c r="W3287" s="130"/>
      <c r="X3287" s="130"/>
      <c r="Y3287" s="130"/>
      <c r="Z3287" s="130"/>
      <c r="AA3287" s="130">
        <f t="shared" si="728"/>
        <v>0</v>
      </c>
      <c r="AB3287" s="131">
        <f t="shared" si="730"/>
        <v>0</v>
      </c>
      <c r="AC3287" s="130"/>
      <c r="AD3287" s="130"/>
      <c r="AE3287" s="130">
        <f t="shared" si="728"/>
        <v>0</v>
      </c>
      <c r="AF3287" s="131">
        <f t="shared" si="731"/>
        <v>0</v>
      </c>
      <c r="AG3287" s="130"/>
      <c r="AH3287" s="130"/>
      <c r="AI3287" s="130"/>
      <c r="AJ3287" s="130"/>
      <c r="AK3287" s="131">
        <f t="shared" si="725"/>
        <v>0</v>
      </c>
      <c r="AL3287" s="446">
        <f t="shared" si="726"/>
        <v>0</v>
      </c>
      <c r="AM3287" s="110">
        <f t="shared" si="727"/>
        <v>0</v>
      </c>
      <c r="AN3287" s="447">
        <f t="shared" si="718"/>
        <v>0</v>
      </c>
      <c r="AO3287"/>
      <c r="AP3287"/>
    </row>
    <row r="3288" spans="1:42" x14ac:dyDescent="0.25">
      <c r="A3288" s="376">
        <v>283</v>
      </c>
      <c r="B3288" s="565" t="s">
        <v>711</v>
      </c>
      <c r="C3288" s="376"/>
      <c r="D3288" s="927"/>
      <c r="E3288" s="377"/>
      <c r="F3288" s="378"/>
      <c r="G3288" s="378"/>
      <c r="H3288" s="378"/>
      <c r="I3288" s="734"/>
      <c r="J3288" s="806"/>
      <c r="K3288" s="131">
        <f t="shared" si="717"/>
        <v>0</v>
      </c>
      <c r="L3288" s="335">
        <f t="shared" si="724"/>
        <v>0</v>
      </c>
      <c r="M3288" s="419"/>
      <c r="N3288" s="419"/>
      <c r="O3288" s="419"/>
      <c r="P3288" s="419"/>
      <c r="Q3288" s="418">
        <f t="shared" si="719"/>
        <v>0</v>
      </c>
      <c r="R3288" s="379">
        <f t="shared" si="722"/>
        <v>0</v>
      </c>
      <c r="S3288" s="418"/>
      <c r="T3288" s="418"/>
      <c r="U3288" s="418">
        <f t="shared" si="720"/>
        <v>0</v>
      </c>
      <c r="V3288" s="379">
        <f t="shared" si="723"/>
        <v>0</v>
      </c>
      <c r="W3288" s="418"/>
      <c r="X3288" s="418"/>
      <c r="Y3288" s="418"/>
      <c r="Z3288" s="418"/>
      <c r="AA3288" s="418">
        <f t="shared" si="728"/>
        <v>0</v>
      </c>
      <c r="AB3288" s="379">
        <f t="shared" si="730"/>
        <v>0</v>
      </c>
      <c r="AC3288" s="418"/>
      <c r="AD3288" s="418"/>
      <c r="AE3288" s="418">
        <f t="shared" si="728"/>
        <v>0</v>
      </c>
      <c r="AF3288" s="379">
        <f t="shared" si="731"/>
        <v>0</v>
      </c>
      <c r="AG3288" s="418"/>
      <c r="AH3288" s="418"/>
      <c r="AI3288" s="418"/>
      <c r="AJ3288" s="418"/>
      <c r="AK3288" s="379">
        <f t="shared" si="725"/>
        <v>0</v>
      </c>
      <c r="AL3288" s="446">
        <f t="shared" si="726"/>
        <v>0</v>
      </c>
      <c r="AM3288" s="110">
        <f t="shared" si="727"/>
        <v>0</v>
      </c>
      <c r="AN3288" s="447">
        <f t="shared" si="718"/>
        <v>0</v>
      </c>
      <c r="AO3288" s="108"/>
      <c r="AP3288"/>
    </row>
    <row r="3289" spans="1:42" x14ac:dyDescent="0.25">
      <c r="A3289" s="310">
        <v>28301</v>
      </c>
      <c r="B3289" s="375" t="s">
        <v>712</v>
      </c>
      <c r="C3289" s="311"/>
      <c r="D3289" s="902"/>
      <c r="E3289" s="312"/>
      <c r="F3289" s="313"/>
      <c r="G3289" s="313"/>
      <c r="H3289" s="313"/>
      <c r="I3289" s="729"/>
      <c r="J3289" s="800"/>
      <c r="K3289" s="131">
        <f t="shared" si="717"/>
        <v>0</v>
      </c>
      <c r="L3289" s="335">
        <f t="shared" si="724"/>
        <v>0</v>
      </c>
      <c r="M3289" s="446"/>
      <c r="N3289" s="446"/>
      <c r="O3289" s="446"/>
      <c r="P3289" s="446"/>
      <c r="Q3289" s="387">
        <f t="shared" si="719"/>
        <v>0</v>
      </c>
      <c r="R3289" s="314">
        <f t="shared" si="722"/>
        <v>0</v>
      </c>
      <c r="S3289" s="387"/>
      <c r="T3289" s="387"/>
      <c r="U3289" s="387">
        <f t="shared" si="720"/>
        <v>0</v>
      </c>
      <c r="V3289" s="314">
        <f t="shared" si="723"/>
        <v>0</v>
      </c>
      <c r="W3289" s="387"/>
      <c r="X3289" s="387"/>
      <c r="Y3289" s="387"/>
      <c r="Z3289" s="387"/>
      <c r="AA3289" s="387">
        <f t="shared" si="728"/>
        <v>0</v>
      </c>
      <c r="AB3289" s="314">
        <f t="shared" si="730"/>
        <v>0</v>
      </c>
      <c r="AC3289" s="387"/>
      <c r="AD3289" s="387"/>
      <c r="AE3289" s="387">
        <f t="shared" si="728"/>
        <v>0</v>
      </c>
      <c r="AF3289" s="314">
        <f t="shared" si="731"/>
        <v>0</v>
      </c>
      <c r="AG3289" s="387"/>
      <c r="AH3289" s="387"/>
      <c r="AI3289" s="387"/>
      <c r="AJ3289" s="387"/>
      <c r="AK3289" s="314">
        <f t="shared" si="725"/>
        <v>0</v>
      </c>
      <c r="AL3289" s="446">
        <f t="shared" si="726"/>
        <v>0</v>
      </c>
      <c r="AM3289" s="110">
        <f t="shared" si="727"/>
        <v>0</v>
      </c>
      <c r="AN3289" s="447">
        <f t="shared" si="718"/>
        <v>0</v>
      </c>
      <c r="AO3289" s="108"/>
      <c r="AP3289"/>
    </row>
    <row r="3290" spans="1:42" s="108" customFormat="1" x14ac:dyDescent="0.25">
      <c r="A3290" s="61"/>
      <c r="B3290" s="482"/>
      <c r="C3290" s="9"/>
      <c r="D3290" s="894"/>
      <c r="E3290" s="138"/>
      <c r="F3290" s="279"/>
      <c r="G3290" s="279"/>
      <c r="H3290" s="279"/>
      <c r="I3290" s="722"/>
      <c r="J3290" s="773"/>
      <c r="K3290" s="131">
        <f t="shared" ref="K3290:K3356" si="732">+D3290*I3290</f>
        <v>0</v>
      </c>
      <c r="L3290" s="335">
        <f t="shared" si="724"/>
        <v>0</v>
      </c>
      <c r="M3290" s="335"/>
      <c r="N3290" s="335"/>
      <c r="O3290" s="335"/>
      <c r="P3290" s="335"/>
      <c r="Q3290" s="130">
        <f t="shared" si="719"/>
        <v>0</v>
      </c>
      <c r="R3290" s="131">
        <f t="shared" si="722"/>
        <v>0</v>
      </c>
      <c r="S3290" s="130"/>
      <c r="T3290" s="130"/>
      <c r="U3290" s="130">
        <f t="shared" si="720"/>
        <v>0</v>
      </c>
      <c r="V3290" s="131">
        <f t="shared" si="723"/>
        <v>0</v>
      </c>
      <c r="W3290" s="130"/>
      <c r="X3290" s="130"/>
      <c r="Y3290" s="130"/>
      <c r="Z3290" s="130"/>
      <c r="AA3290" s="130">
        <f t="shared" si="728"/>
        <v>0</v>
      </c>
      <c r="AB3290" s="131">
        <f t="shared" si="730"/>
        <v>0</v>
      </c>
      <c r="AC3290" s="130"/>
      <c r="AD3290" s="130"/>
      <c r="AE3290" s="130">
        <f t="shared" si="728"/>
        <v>0</v>
      </c>
      <c r="AF3290" s="131">
        <f t="shared" si="731"/>
        <v>0</v>
      </c>
      <c r="AG3290" s="130"/>
      <c r="AH3290" s="130"/>
      <c r="AI3290" s="130"/>
      <c r="AJ3290" s="130"/>
      <c r="AK3290" s="131">
        <f t="shared" si="725"/>
        <v>0</v>
      </c>
      <c r="AL3290" s="446">
        <f t="shared" si="726"/>
        <v>0</v>
      </c>
      <c r="AM3290" s="110">
        <f t="shared" si="727"/>
        <v>0</v>
      </c>
      <c r="AN3290" s="447">
        <f t="shared" ref="AN3290:AN3353" si="733">+D3290-AM3290</f>
        <v>0</v>
      </c>
      <c r="AO3290"/>
      <c r="AP3290"/>
    </row>
    <row r="3291" spans="1:42" x14ac:dyDescent="0.25">
      <c r="A3291" s="299">
        <v>29000</v>
      </c>
      <c r="B3291" s="469" t="s">
        <v>713</v>
      </c>
      <c r="C3291" s="299"/>
      <c r="D3291" s="909"/>
      <c r="E3291" s="301"/>
      <c r="F3291" s="302"/>
      <c r="G3291" s="302"/>
      <c r="H3291" s="302"/>
      <c r="I3291" s="715"/>
      <c r="J3291" s="751"/>
      <c r="K3291" s="131">
        <f t="shared" si="732"/>
        <v>0</v>
      </c>
      <c r="L3291" s="335">
        <f t="shared" si="724"/>
        <v>0</v>
      </c>
      <c r="M3291" s="453"/>
      <c r="N3291" s="453"/>
      <c r="O3291" s="453"/>
      <c r="P3291" s="453"/>
      <c r="Q3291" s="385">
        <f t="shared" si="719"/>
        <v>0</v>
      </c>
      <c r="R3291" s="303">
        <f t="shared" si="722"/>
        <v>0</v>
      </c>
      <c r="S3291" s="385"/>
      <c r="T3291" s="385"/>
      <c r="U3291" s="385">
        <f t="shared" si="720"/>
        <v>0</v>
      </c>
      <c r="V3291" s="303">
        <f t="shared" si="723"/>
        <v>0</v>
      </c>
      <c r="W3291" s="385"/>
      <c r="X3291" s="385"/>
      <c r="Y3291" s="385"/>
      <c r="Z3291" s="385"/>
      <c r="AA3291" s="385">
        <f t="shared" si="728"/>
        <v>0</v>
      </c>
      <c r="AB3291" s="303">
        <f t="shared" si="730"/>
        <v>0</v>
      </c>
      <c r="AC3291" s="385"/>
      <c r="AD3291" s="385"/>
      <c r="AE3291" s="385">
        <f t="shared" si="728"/>
        <v>0</v>
      </c>
      <c r="AF3291" s="303">
        <f t="shared" si="731"/>
        <v>0</v>
      </c>
      <c r="AG3291" s="385"/>
      <c r="AH3291" s="385"/>
      <c r="AI3291" s="385"/>
      <c r="AJ3291" s="385"/>
      <c r="AK3291" s="303">
        <f t="shared" si="725"/>
        <v>0</v>
      </c>
      <c r="AL3291" s="453">
        <f t="shared" si="726"/>
        <v>0</v>
      </c>
      <c r="AM3291" s="385">
        <f t="shared" si="727"/>
        <v>0</v>
      </c>
      <c r="AN3291" s="454">
        <f t="shared" si="733"/>
        <v>0</v>
      </c>
      <c r="AO3291" s="304"/>
      <c r="AP3291"/>
    </row>
    <row r="3292" spans="1:42" x14ac:dyDescent="0.25">
      <c r="A3292" s="376">
        <v>291</v>
      </c>
      <c r="B3292" s="565" t="s">
        <v>714</v>
      </c>
      <c r="C3292" s="376"/>
      <c r="D3292" s="927"/>
      <c r="E3292" s="377"/>
      <c r="F3292" s="378"/>
      <c r="G3292" s="378"/>
      <c r="H3292" s="378"/>
      <c r="I3292" s="734"/>
      <c r="J3292" s="806"/>
      <c r="K3292" s="131">
        <f t="shared" si="732"/>
        <v>0</v>
      </c>
      <c r="L3292" s="335">
        <f t="shared" si="724"/>
        <v>0</v>
      </c>
      <c r="M3292" s="419"/>
      <c r="N3292" s="419"/>
      <c r="O3292" s="419"/>
      <c r="P3292" s="419"/>
      <c r="Q3292" s="418">
        <f t="shared" si="719"/>
        <v>0</v>
      </c>
      <c r="R3292" s="379">
        <f t="shared" si="722"/>
        <v>0</v>
      </c>
      <c r="S3292" s="418"/>
      <c r="T3292" s="418"/>
      <c r="U3292" s="418">
        <f t="shared" si="720"/>
        <v>0</v>
      </c>
      <c r="V3292" s="379">
        <f t="shared" si="723"/>
        <v>0</v>
      </c>
      <c r="W3292" s="418"/>
      <c r="X3292" s="418"/>
      <c r="Y3292" s="418"/>
      <c r="Z3292" s="418"/>
      <c r="AA3292" s="418">
        <f t="shared" si="728"/>
        <v>0</v>
      </c>
      <c r="AB3292" s="379">
        <f t="shared" si="730"/>
        <v>0</v>
      </c>
      <c r="AC3292" s="418"/>
      <c r="AD3292" s="418"/>
      <c r="AE3292" s="418">
        <f t="shared" si="728"/>
        <v>0</v>
      </c>
      <c r="AF3292" s="379">
        <f t="shared" si="731"/>
        <v>0</v>
      </c>
      <c r="AG3292" s="418"/>
      <c r="AH3292" s="418"/>
      <c r="AI3292" s="418"/>
      <c r="AJ3292" s="418"/>
      <c r="AK3292" s="379">
        <f t="shared" si="725"/>
        <v>0</v>
      </c>
      <c r="AL3292" s="446">
        <f t="shared" si="726"/>
        <v>0</v>
      </c>
      <c r="AM3292" s="110">
        <f t="shared" si="727"/>
        <v>0</v>
      </c>
      <c r="AN3292" s="447">
        <f t="shared" si="733"/>
        <v>0</v>
      </c>
      <c r="AO3292" s="108"/>
      <c r="AP3292"/>
    </row>
    <row r="3293" spans="1:42" x14ac:dyDescent="0.25">
      <c r="A3293" s="310">
        <v>29101</v>
      </c>
      <c r="B3293" s="375" t="s">
        <v>715</v>
      </c>
      <c r="C3293" s="311"/>
      <c r="D3293" s="902"/>
      <c r="E3293" s="312"/>
      <c r="F3293" s="313"/>
      <c r="G3293" s="313"/>
      <c r="H3293" s="313"/>
      <c r="I3293" s="729"/>
      <c r="J3293" s="792"/>
      <c r="K3293" s="131">
        <f t="shared" si="732"/>
        <v>0</v>
      </c>
      <c r="L3293" s="335">
        <f t="shared" si="724"/>
        <v>0</v>
      </c>
      <c r="M3293" s="446"/>
      <c r="N3293" s="446"/>
      <c r="O3293" s="446"/>
      <c r="P3293" s="446"/>
      <c r="Q3293" s="387">
        <f t="shared" ref="Q3293" si="734">+$D3293/4</f>
        <v>0</v>
      </c>
      <c r="R3293" s="314">
        <f t="shared" si="722"/>
        <v>0</v>
      </c>
      <c r="S3293" s="387"/>
      <c r="T3293" s="387"/>
      <c r="U3293" s="387">
        <f t="shared" ref="U3293" si="735">+$D3293/4</f>
        <v>0</v>
      </c>
      <c r="V3293" s="314">
        <f t="shared" si="723"/>
        <v>0</v>
      </c>
      <c r="W3293" s="387"/>
      <c r="X3293" s="387"/>
      <c r="Y3293" s="387"/>
      <c r="Z3293" s="387"/>
      <c r="AA3293" s="387">
        <f t="shared" si="728"/>
        <v>0</v>
      </c>
      <c r="AB3293" s="314">
        <f t="shared" si="730"/>
        <v>0</v>
      </c>
      <c r="AC3293" s="387"/>
      <c r="AD3293" s="387"/>
      <c r="AE3293" s="387">
        <f t="shared" si="728"/>
        <v>0</v>
      </c>
      <c r="AF3293" s="314">
        <f t="shared" si="731"/>
        <v>0</v>
      </c>
      <c r="AG3293" s="387"/>
      <c r="AH3293" s="387"/>
      <c r="AI3293" s="387"/>
      <c r="AJ3293" s="387"/>
      <c r="AK3293" s="314">
        <f t="shared" si="725"/>
        <v>0</v>
      </c>
      <c r="AL3293" s="446">
        <f t="shared" si="726"/>
        <v>0</v>
      </c>
      <c r="AM3293" s="110">
        <f t="shared" si="727"/>
        <v>0</v>
      </c>
      <c r="AN3293" s="447">
        <f t="shared" si="733"/>
        <v>0</v>
      </c>
      <c r="AO3293" s="436">
        <f>SUM(J3294:J3347)</f>
        <v>37428.132960000003</v>
      </c>
      <c r="AP3293" s="111"/>
    </row>
    <row r="3294" spans="1:42" ht="66" x14ac:dyDescent="0.25">
      <c r="A3294" s="9"/>
      <c r="B3294" s="579" t="s">
        <v>1095</v>
      </c>
      <c r="C3294" s="1024"/>
      <c r="D3294" s="869">
        <f>1</f>
        <v>1</v>
      </c>
      <c r="E3294" s="84" t="s">
        <v>1721</v>
      </c>
      <c r="F3294" s="273" t="s">
        <v>3446</v>
      </c>
      <c r="G3294" s="1040" t="s">
        <v>3463</v>
      </c>
      <c r="H3294" s="273" t="s">
        <v>3462</v>
      </c>
      <c r="I3294" s="720">
        <f t="shared" ref="I3294:I3343" si="736">+J3294/D3294</f>
        <v>1500</v>
      </c>
      <c r="J3294" s="756">
        <f>1500</f>
        <v>1500</v>
      </c>
      <c r="K3294" s="131">
        <f t="shared" si="732"/>
        <v>1500</v>
      </c>
      <c r="L3294" s="335">
        <f t="shared" si="724"/>
        <v>0</v>
      </c>
      <c r="M3294" s="446"/>
      <c r="N3294" s="446"/>
      <c r="O3294" s="446"/>
      <c r="P3294" s="446"/>
      <c r="Q3294" s="110">
        <v>1</v>
      </c>
      <c r="R3294" s="111">
        <f t="shared" si="722"/>
        <v>375</v>
      </c>
      <c r="S3294" s="110"/>
      <c r="T3294" s="110"/>
      <c r="U3294" s="110">
        <v>0</v>
      </c>
      <c r="V3294" s="111">
        <f t="shared" si="723"/>
        <v>375</v>
      </c>
      <c r="W3294" s="110"/>
      <c r="X3294" s="110"/>
      <c r="Y3294" s="110"/>
      <c r="Z3294" s="110"/>
      <c r="AA3294" s="110">
        <v>0</v>
      </c>
      <c r="AB3294" s="111">
        <f t="shared" si="730"/>
        <v>375</v>
      </c>
      <c r="AC3294" s="110"/>
      <c r="AD3294" s="110"/>
      <c r="AE3294" s="110">
        <v>0</v>
      </c>
      <c r="AF3294" s="111">
        <f t="shared" si="731"/>
        <v>375</v>
      </c>
      <c r="AG3294" s="110"/>
      <c r="AH3294" s="110"/>
      <c r="AI3294" s="110"/>
      <c r="AJ3294" s="110"/>
      <c r="AK3294" s="111">
        <f t="shared" si="725"/>
        <v>1500</v>
      </c>
      <c r="AL3294" s="446">
        <f t="shared" si="726"/>
        <v>0</v>
      </c>
      <c r="AM3294" s="110">
        <f t="shared" si="727"/>
        <v>1</v>
      </c>
      <c r="AN3294" s="447">
        <f t="shared" si="733"/>
        <v>0</v>
      </c>
      <c r="AO3294"/>
      <c r="AP3294"/>
    </row>
    <row r="3295" spans="1:42" ht="66" x14ac:dyDescent="0.25">
      <c r="A3295" s="9"/>
      <c r="B3295" s="59" t="s">
        <v>1096</v>
      </c>
      <c r="C3295" s="1024"/>
      <c r="D3295" s="869">
        <f>1</f>
        <v>1</v>
      </c>
      <c r="E3295" s="1027" t="s">
        <v>1721</v>
      </c>
      <c r="F3295" s="273" t="s">
        <v>3446</v>
      </c>
      <c r="G3295" s="1040" t="s">
        <v>3463</v>
      </c>
      <c r="H3295" s="273" t="s">
        <v>3462</v>
      </c>
      <c r="I3295" s="720">
        <f t="shared" si="736"/>
        <v>1000</v>
      </c>
      <c r="J3295" s="756">
        <f>1000</f>
        <v>1000</v>
      </c>
      <c r="K3295" s="131">
        <f t="shared" si="732"/>
        <v>1000</v>
      </c>
      <c r="L3295" s="335">
        <f t="shared" si="724"/>
        <v>0</v>
      </c>
      <c r="M3295" s="446"/>
      <c r="N3295" s="446"/>
      <c r="O3295" s="446"/>
      <c r="P3295" s="446"/>
      <c r="Q3295" s="110">
        <v>1</v>
      </c>
      <c r="R3295" s="111">
        <f t="shared" si="722"/>
        <v>250</v>
      </c>
      <c r="S3295" s="110"/>
      <c r="T3295" s="110"/>
      <c r="U3295" s="110">
        <v>0</v>
      </c>
      <c r="V3295" s="111">
        <f t="shared" si="723"/>
        <v>250</v>
      </c>
      <c r="W3295" s="110"/>
      <c r="X3295" s="110"/>
      <c r="Y3295" s="110"/>
      <c r="Z3295" s="110"/>
      <c r="AA3295" s="110">
        <v>0</v>
      </c>
      <c r="AB3295" s="111">
        <f t="shared" si="730"/>
        <v>250</v>
      </c>
      <c r="AC3295" s="110"/>
      <c r="AD3295" s="110"/>
      <c r="AE3295" s="110">
        <v>0</v>
      </c>
      <c r="AF3295" s="111">
        <f t="shared" si="731"/>
        <v>250</v>
      </c>
      <c r="AG3295" s="110"/>
      <c r="AH3295" s="110"/>
      <c r="AI3295" s="110"/>
      <c r="AJ3295" s="110"/>
      <c r="AK3295" s="111">
        <f t="shared" si="725"/>
        <v>1000</v>
      </c>
      <c r="AL3295" s="446">
        <f t="shared" si="726"/>
        <v>0</v>
      </c>
      <c r="AM3295" s="110">
        <f t="shared" si="727"/>
        <v>1</v>
      </c>
      <c r="AN3295" s="447">
        <f t="shared" si="733"/>
        <v>0</v>
      </c>
      <c r="AO3295"/>
      <c r="AP3295"/>
    </row>
    <row r="3296" spans="1:42" ht="66" x14ac:dyDescent="0.25">
      <c r="A3296" s="9"/>
      <c r="B3296" s="152" t="s">
        <v>1300</v>
      </c>
      <c r="C3296" s="1024"/>
      <c r="D3296" s="869">
        <v>1</v>
      </c>
      <c r="E3296" s="1027"/>
      <c r="F3296" s="273" t="s">
        <v>3446</v>
      </c>
      <c r="G3296" s="1040" t="s">
        <v>3463</v>
      </c>
      <c r="H3296" s="273" t="s">
        <v>3462</v>
      </c>
      <c r="I3296" s="720">
        <f t="shared" si="736"/>
        <v>1446.9839999999999</v>
      </c>
      <c r="J3296" s="756">
        <v>1446.9839999999999</v>
      </c>
      <c r="K3296" s="131">
        <f t="shared" si="732"/>
        <v>1446.9839999999999</v>
      </c>
      <c r="L3296" s="335">
        <f t="shared" si="724"/>
        <v>0</v>
      </c>
      <c r="M3296" s="446"/>
      <c r="N3296" s="446"/>
      <c r="O3296" s="446"/>
      <c r="P3296" s="446"/>
      <c r="Q3296" s="110">
        <v>1</v>
      </c>
      <c r="R3296" s="111">
        <f t="shared" si="722"/>
        <v>361.74599999999998</v>
      </c>
      <c r="S3296" s="110"/>
      <c r="T3296" s="110"/>
      <c r="U3296" s="110">
        <v>0</v>
      </c>
      <c r="V3296" s="111">
        <f t="shared" si="723"/>
        <v>361.74599999999998</v>
      </c>
      <c r="W3296" s="110"/>
      <c r="X3296" s="110"/>
      <c r="Y3296" s="110"/>
      <c r="Z3296" s="110"/>
      <c r="AA3296" s="110">
        <v>0</v>
      </c>
      <c r="AB3296" s="111">
        <f t="shared" si="730"/>
        <v>361.74599999999998</v>
      </c>
      <c r="AC3296" s="110"/>
      <c r="AD3296" s="110"/>
      <c r="AE3296" s="110">
        <v>0</v>
      </c>
      <c r="AF3296" s="111">
        <f t="shared" si="731"/>
        <v>361.74599999999998</v>
      </c>
      <c r="AG3296" s="110"/>
      <c r="AH3296" s="110"/>
      <c r="AI3296" s="110"/>
      <c r="AJ3296" s="110"/>
      <c r="AK3296" s="111">
        <f t="shared" si="725"/>
        <v>1446.9839999999999</v>
      </c>
      <c r="AL3296" s="446">
        <f t="shared" si="726"/>
        <v>0</v>
      </c>
      <c r="AM3296" s="110">
        <f t="shared" si="727"/>
        <v>1</v>
      </c>
      <c r="AN3296" s="447">
        <f t="shared" si="733"/>
        <v>0</v>
      </c>
      <c r="AO3296"/>
      <c r="AP3296"/>
    </row>
    <row r="3297" spans="1:42" ht="66" x14ac:dyDescent="0.25">
      <c r="A3297" s="9"/>
      <c r="B3297" s="152" t="s">
        <v>723</v>
      </c>
      <c r="C3297" s="1024"/>
      <c r="D3297" s="869">
        <v>2</v>
      </c>
      <c r="E3297" s="1027"/>
      <c r="F3297" s="273" t="s">
        <v>3446</v>
      </c>
      <c r="G3297" s="1040" t="s">
        <v>3463</v>
      </c>
      <c r="H3297" s="273" t="s">
        <v>3462</v>
      </c>
      <c r="I3297" s="720">
        <f t="shared" si="736"/>
        <v>316.95839999999998</v>
      </c>
      <c r="J3297" s="756">
        <v>633.91679999999997</v>
      </c>
      <c r="K3297" s="131">
        <f t="shared" si="732"/>
        <v>633.91679999999997</v>
      </c>
      <c r="L3297" s="335">
        <f t="shared" si="724"/>
        <v>0</v>
      </c>
      <c r="M3297" s="446"/>
      <c r="N3297" s="446"/>
      <c r="O3297" s="446"/>
      <c r="P3297" s="446"/>
      <c r="Q3297" s="130">
        <v>1</v>
      </c>
      <c r="R3297" s="111">
        <f t="shared" si="722"/>
        <v>158.47919999999999</v>
      </c>
      <c r="S3297" s="110"/>
      <c r="T3297" s="110"/>
      <c r="U3297" s="130">
        <v>1</v>
      </c>
      <c r="V3297" s="111">
        <f t="shared" si="723"/>
        <v>158.47919999999999</v>
      </c>
      <c r="W3297" s="110"/>
      <c r="X3297" s="110"/>
      <c r="Y3297" s="110"/>
      <c r="Z3297" s="110"/>
      <c r="AA3297" s="130">
        <v>0</v>
      </c>
      <c r="AB3297" s="111">
        <f t="shared" si="730"/>
        <v>158.47919999999999</v>
      </c>
      <c r="AC3297" s="110"/>
      <c r="AD3297" s="110"/>
      <c r="AE3297" s="130">
        <v>0</v>
      </c>
      <c r="AF3297" s="111">
        <f t="shared" si="731"/>
        <v>158.47919999999999</v>
      </c>
      <c r="AG3297" s="110"/>
      <c r="AH3297" s="110"/>
      <c r="AI3297" s="110"/>
      <c r="AJ3297" s="110"/>
      <c r="AK3297" s="111">
        <f t="shared" si="725"/>
        <v>633.91679999999997</v>
      </c>
      <c r="AL3297" s="446">
        <f t="shared" si="726"/>
        <v>0</v>
      </c>
      <c r="AM3297" s="110">
        <f t="shared" si="727"/>
        <v>2</v>
      </c>
      <c r="AN3297" s="447">
        <f t="shared" si="733"/>
        <v>0</v>
      </c>
      <c r="AO3297"/>
      <c r="AP3297"/>
    </row>
    <row r="3298" spans="1:42" ht="66" x14ac:dyDescent="0.25">
      <c r="A3298" s="9"/>
      <c r="B3298" s="152" t="s">
        <v>724</v>
      </c>
      <c r="C3298" s="1024"/>
      <c r="D3298" s="869">
        <v>2</v>
      </c>
      <c r="E3298" s="1027"/>
      <c r="F3298" s="273" t="s">
        <v>3446</v>
      </c>
      <c r="G3298" s="1040" t="s">
        <v>3463</v>
      </c>
      <c r="H3298" s="273" t="s">
        <v>3462</v>
      </c>
      <c r="I3298" s="720">
        <f t="shared" si="736"/>
        <v>806.17679999999996</v>
      </c>
      <c r="J3298" s="756">
        <v>1612.3535999999999</v>
      </c>
      <c r="K3298" s="131">
        <f t="shared" si="732"/>
        <v>1612.3535999999999</v>
      </c>
      <c r="L3298" s="335">
        <f t="shared" si="724"/>
        <v>0</v>
      </c>
      <c r="M3298" s="446"/>
      <c r="N3298" s="446"/>
      <c r="O3298" s="446"/>
      <c r="P3298" s="446"/>
      <c r="Q3298" s="130">
        <v>1</v>
      </c>
      <c r="R3298" s="111">
        <f t="shared" si="722"/>
        <v>403.08839999999998</v>
      </c>
      <c r="S3298" s="110"/>
      <c r="T3298" s="110"/>
      <c r="U3298" s="130">
        <v>1</v>
      </c>
      <c r="V3298" s="111">
        <f t="shared" si="723"/>
        <v>403.08839999999998</v>
      </c>
      <c r="W3298" s="110"/>
      <c r="X3298" s="110"/>
      <c r="Y3298" s="110"/>
      <c r="Z3298" s="110"/>
      <c r="AA3298" s="130">
        <v>0</v>
      </c>
      <c r="AB3298" s="111">
        <f t="shared" si="730"/>
        <v>403.08839999999998</v>
      </c>
      <c r="AC3298" s="110"/>
      <c r="AD3298" s="110"/>
      <c r="AE3298" s="130">
        <v>0</v>
      </c>
      <c r="AF3298" s="111">
        <f t="shared" si="731"/>
        <v>403.08839999999998</v>
      </c>
      <c r="AG3298" s="110"/>
      <c r="AH3298" s="110"/>
      <c r="AI3298" s="110"/>
      <c r="AJ3298" s="110"/>
      <c r="AK3298" s="111">
        <f t="shared" si="725"/>
        <v>1612.3535999999999</v>
      </c>
      <c r="AL3298" s="446">
        <f t="shared" si="726"/>
        <v>0</v>
      </c>
      <c r="AM3298" s="110">
        <f t="shared" si="727"/>
        <v>2</v>
      </c>
      <c r="AN3298" s="447">
        <f t="shared" si="733"/>
        <v>0</v>
      </c>
      <c r="AO3298"/>
      <c r="AP3298"/>
    </row>
    <row r="3299" spans="1:42" ht="66" x14ac:dyDescent="0.25">
      <c r="A3299" s="9"/>
      <c r="B3299" s="152" t="s">
        <v>721</v>
      </c>
      <c r="C3299" s="1024"/>
      <c r="D3299" s="869">
        <v>1</v>
      </c>
      <c r="E3299" s="1027"/>
      <c r="F3299" s="273" t="s">
        <v>3446</v>
      </c>
      <c r="G3299" s="1040" t="s">
        <v>3463</v>
      </c>
      <c r="H3299" s="273" t="s">
        <v>3462</v>
      </c>
      <c r="I3299" s="720">
        <f t="shared" si="736"/>
        <v>316.95839999999998</v>
      </c>
      <c r="J3299" s="756">
        <v>316.95839999999998</v>
      </c>
      <c r="K3299" s="131">
        <f t="shared" si="732"/>
        <v>316.95839999999998</v>
      </c>
      <c r="L3299" s="335">
        <f t="shared" si="724"/>
        <v>0</v>
      </c>
      <c r="M3299" s="446"/>
      <c r="N3299" s="446"/>
      <c r="O3299" s="446"/>
      <c r="P3299" s="446"/>
      <c r="Q3299" s="110">
        <v>1</v>
      </c>
      <c r="R3299" s="111">
        <f t="shared" si="722"/>
        <v>79.239599999999996</v>
      </c>
      <c r="S3299" s="110"/>
      <c r="T3299" s="110"/>
      <c r="U3299" s="110">
        <v>0</v>
      </c>
      <c r="V3299" s="111">
        <f t="shared" si="723"/>
        <v>79.239599999999996</v>
      </c>
      <c r="W3299" s="110"/>
      <c r="X3299" s="110"/>
      <c r="Y3299" s="110"/>
      <c r="Z3299" s="110"/>
      <c r="AA3299" s="110">
        <v>0</v>
      </c>
      <c r="AB3299" s="111">
        <f t="shared" si="730"/>
        <v>79.239599999999996</v>
      </c>
      <c r="AC3299" s="110"/>
      <c r="AD3299" s="110"/>
      <c r="AE3299" s="110">
        <v>0</v>
      </c>
      <c r="AF3299" s="111">
        <f t="shared" si="731"/>
        <v>79.239599999999996</v>
      </c>
      <c r="AG3299" s="110"/>
      <c r="AH3299" s="110"/>
      <c r="AI3299" s="110"/>
      <c r="AJ3299" s="110"/>
      <c r="AK3299" s="111">
        <f t="shared" si="725"/>
        <v>316.95839999999998</v>
      </c>
      <c r="AL3299" s="446">
        <f t="shared" si="726"/>
        <v>0</v>
      </c>
      <c r="AM3299" s="110">
        <f t="shared" si="727"/>
        <v>1</v>
      </c>
      <c r="AN3299" s="447">
        <f t="shared" si="733"/>
        <v>0</v>
      </c>
      <c r="AO3299"/>
      <c r="AP3299"/>
    </row>
    <row r="3300" spans="1:42" ht="66" x14ac:dyDescent="0.25">
      <c r="A3300" s="9"/>
      <c r="B3300" s="152" t="s">
        <v>722</v>
      </c>
      <c r="C3300" s="1024"/>
      <c r="D3300" s="869">
        <v>2</v>
      </c>
      <c r="E3300" s="1027"/>
      <c r="F3300" s="273" t="s">
        <v>3446</v>
      </c>
      <c r="G3300" s="1040" t="s">
        <v>3463</v>
      </c>
      <c r="H3300" s="273" t="s">
        <v>3462</v>
      </c>
      <c r="I3300" s="720">
        <f t="shared" si="736"/>
        <v>392.75279999999998</v>
      </c>
      <c r="J3300" s="756">
        <v>785.50559999999996</v>
      </c>
      <c r="K3300" s="131">
        <f t="shared" si="732"/>
        <v>785.50559999999996</v>
      </c>
      <c r="L3300" s="335">
        <f t="shared" si="724"/>
        <v>0</v>
      </c>
      <c r="M3300" s="446"/>
      <c r="N3300" s="446"/>
      <c r="O3300" s="446"/>
      <c r="P3300" s="446"/>
      <c r="Q3300" s="130">
        <v>1</v>
      </c>
      <c r="R3300" s="111">
        <f t="shared" si="722"/>
        <v>196.37639999999999</v>
      </c>
      <c r="S3300" s="110"/>
      <c r="T3300" s="110"/>
      <c r="U3300" s="130">
        <v>1</v>
      </c>
      <c r="V3300" s="111">
        <f t="shared" si="723"/>
        <v>196.37639999999999</v>
      </c>
      <c r="W3300" s="110"/>
      <c r="X3300" s="110"/>
      <c r="Y3300" s="110"/>
      <c r="Z3300" s="110"/>
      <c r="AA3300" s="130">
        <v>0</v>
      </c>
      <c r="AB3300" s="111">
        <f t="shared" si="730"/>
        <v>196.37639999999999</v>
      </c>
      <c r="AC3300" s="110"/>
      <c r="AD3300" s="110"/>
      <c r="AE3300" s="130">
        <v>0</v>
      </c>
      <c r="AF3300" s="111">
        <f t="shared" si="731"/>
        <v>196.37639999999999</v>
      </c>
      <c r="AG3300" s="110"/>
      <c r="AH3300" s="110"/>
      <c r="AI3300" s="110"/>
      <c r="AJ3300" s="110"/>
      <c r="AK3300" s="111">
        <f t="shared" si="725"/>
        <v>785.50559999999996</v>
      </c>
      <c r="AL3300" s="446">
        <f t="shared" si="726"/>
        <v>0</v>
      </c>
      <c r="AM3300" s="110">
        <f t="shared" si="727"/>
        <v>2</v>
      </c>
      <c r="AN3300" s="447">
        <f t="shared" si="733"/>
        <v>0</v>
      </c>
      <c r="AO3300"/>
      <c r="AP3300"/>
    </row>
    <row r="3301" spans="1:42" ht="66" x14ac:dyDescent="0.25">
      <c r="A3301" s="9"/>
      <c r="B3301" s="152" t="s">
        <v>1301</v>
      </c>
      <c r="C3301" s="1024"/>
      <c r="D3301" s="869">
        <v>2</v>
      </c>
      <c r="E3301" s="1027"/>
      <c r="F3301" s="273" t="s">
        <v>3446</v>
      </c>
      <c r="G3301" s="1040" t="s">
        <v>3463</v>
      </c>
      <c r="H3301" s="273" t="s">
        <v>3462</v>
      </c>
      <c r="I3301" s="720">
        <f t="shared" si="736"/>
        <v>378.97199999999998</v>
      </c>
      <c r="J3301" s="756">
        <v>757.94399999999996</v>
      </c>
      <c r="K3301" s="131">
        <f t="shared" si="732"/>
        <v>757.94399999999996</v>
      </c>
      <c r="L3301" s="335">
        <f t="shared" si="724"/>
        <v>0</v>
      </c>
      <c r="M3301" s="446"/>
      <c r="N3301" s="446"/>
      <c r="O3301" s="446"/>
      <c r="P3301" s="446"/>
      <c r="Q3301" s="130">
        <v>1</v>
      </c>
      <c r="R3301" s="111">
        <f t="shared" si="722"/>
        <v>189.48599999999999</v>
      </c>
      <c r="S3301" s="110"/>
      <c r="T3301" s="110"/>
      <c r="U3301" s="130">
        <v>1</v>
      </c>
      <c r="V3301" s="111">
        <f t="shared" si="723"/>
        <v>189.48599999999999</v>
      </c>
      <c r="W3301" s="110"/>
      <c r="X3301" s="110"/>
      <c r="Y3301" s="110"/>
      <c r="Z3301" s="110"/>
      <c r="AA3301" s="130">
        <v>0</v>
      </c>
      <c r="AB3301" s="111">
        <f t="shared" si="730"/>
        <v>189.48599999999999</v>
      </c>
      <c r="AC3301" s="110"/>
      <c r="AD3301" s="110"/>
      <c r="AE3301" s="130">
        <v>0</v>
      </c>
      <c r="AF3301" s="111">
        <f t="shared" si="731"/>
        <v>189.48599999999999</v>
      </c>
      <c r="AG3301" s="110"/>
      <c r="AH3301" s="110"/>
      <c r="AI3301" s="110"/>
      <c r="AJ3301" s="110"/>
      <c r="AK3301" s="111">
        <f t="shared" si="725"/>
        <v>757.94399999999996</v>
      </c>
      <c r="AL3301" s="446">
        <f t="shared" si="726"/>
        <v>0</v>
      </c>
      <c r="AM3301" s="110">
        <f t="shared" si="727"/>
        <v>2</v>
      </c>
      <c r="AN3301" s="447">
        <f t="shared" si="733"/>
        <v>0</v>
      </c>
      <c r="AO3301"/>
      <c r="AP3301"/>
    </row>
    <row r="3302" spans="1:42" ht="66" x14ac:dyDescent="0.25">
      <c r="A3302" s="9"/>
      <c r="B3302" s="152" t="s">
        <v>719</v>
      </c>
      <c r="C3302" s="1024"/>
      <c r="D3302" s="869">
        <v>2</v>
      </c>
      <c r="E3302" s="84" t="s">
        <v>1721</v>
      </c>
      <c r="F3302" s="273" t="s">
        <v>3446</v>
      </c>
      <c r="G3302" s="1040" t="s">
        <v>3463</v>
      </c>
      <c r="H3302" s="273" t="s">
        <v>3462</v>
      </c>
      <c r="I3302" s="720">
        <f t="shared" si="736"/>
        <v>268.72559999999999</v>
      </c>
      <c r="J3302" s="756">
        <v>537.45119999999997</v>
      </c>
      <c r="K3302" s="131">
        <f t="shared" si="732"/>
        <v>537.45119999999997</v>
      </c>
      <c r="L3302" s="335">
        <f t="shared" si="724"/>
        <v>0</v>
      </c>
      <c r="M3302" s="446"/>
      <c r="N3302" s="446"/>
      <c r="O3302" s="446"/>
      <c r="P3302" s="446"/>
      <c r="Q3302" s="130">
        <v>1</v>
      </c>
      <c r="R3302" s="111">
        <f t="shared" si="722"/>
        <v>134.36279999999999</v>
      </c>
      <c r="S3302" s="110"/>
      <c r="T3302" s="110"/>
      <c r="U3302" s="130">
        <v>1</v>
      </c>
      <c r="V3302" s="111">
        <f t="shared" si="723"/>
        <v>134.36279999999999</v>
      </c>
      <c r="W3302" s="110"/>
      <c r="X3302" s="110"/>
      <c r="Y3302" s="110"/>
      <c r="Z3302" s="110"/>
      <c r="AA3302" s="130">
        <v>0</v>
      </c>
      <c r="AB3302" s="111">
        <f t="shared" si="730"/>
        <v>134.36279999999999</v>
      </c>
      <c r="AC3302" s="110"/>
      <c r="AD3302" s="110"/>
      <c r="AE3302" s="130">
        <v>0</v>
      </c>
      <c r="AF3302" s="111">
        <f t="shared" si="731"/>
        <v>134.36279999999999</v>
      </c>
      <c r="AG3302" s="110"/>
      <c r="AH3302" s="110"/>
      <c r="AI3302" s="110"/>
      <c r="AJ3302" s="110"/>
      <c r="AK3302" s="111">
        <f t="shared" si="725"/>
        <v>537.45119999999997</v>
      </c>
      <c r="AL3302" s="446">
        <f t="shared" si="726"/>
        <v>0</v>
      </c>
      <c r="AM3302" s="110">
        <f t="shared" si="727"/>
        <v>2</v>
      </c>
      <c r="AN3302" s="447">
        <f t="shared" si="733"/>
        <v>0</v>
      </c>
      <c r="AO3302"/>
      <c r="AP3302"/>
    </row>
    <row r="3303" spans="1:42" ht="66" x14ac:dyDescent="0.25">
      <c r="A3303" s="9"/>
      <c r="B3303" s="152" t="s">
        <v>720</v>
      </c>
      <c r="C3303" s="1024"/>
      <c r="D3303" s="869">
        <v>2</v>
      </c>
      <c r="E3303" s="1027"/>
      <c r="F3303" s="273" t="s">
        <v>3446</v>
      </c>
      <c r="G3303" s="1040" t="s">
        <v>3463</v>
      </c>
      <c r="H3303" s="273" t="s">
        <v>3462</v>
      </c>
      <c r="I3303" s="720">
        <f t="shared" si="736"/>
        <v>150.20840000000001</v>
      </c>
      <c r="J3303" s="756">
        <v>300.41680000000002</v>
      </c>
      <c r="K3303" s="131">
        <f t="shared" si="732"/>
        <v>300.41680000000002</v>
      </c>
      <c r="L3303" s="335">
        <f t="shared" si="724"/>
        <v>0</v>
      </c>
      <c r="M3303" s="446"/>
      <c r="N3303" s="446"/>
      <c r="O3303" s="446"/>
      <c r="P3303" s="446"/>
      <c r="Q3303" s="130">
        <v>1</v>
      </c>
      <c r="R3303" s="111">
        <f t="shared" si="722"/>
        <v>75.104200000000006</v>
      </c>
      <c r="S3303" s="110"/>
      <c r="T3303" s="110"/>
      <c r="U3303" s="130">
        <v>1</v>
      </c>
      <c r="V3303" s="111">
        <f t="shared" si="723"/>
        <v>75.104200000000006</v>
      </c>
      <c r="W3303" s="110"/>
      <c r="X3303" s="110"/>
      <c r="Y3303" s="110"/>
      <c r="Z3303" s="110"/>
      <c r="AA3303" s="130">
        <v>0</v>
      </c>
      <c r="AB3303" s="111">
        <f t="shared" si="730"/>
        <v>75.104200000000006</v>
      </c>
      <c r="AC3303" s="110"/>
      <c r="AD3303" s="110"/>
      <c r="AE3303" s="130">
        <v>0</v>
      </c>
      <c r="AF3303" s="111">
        <f t="shared" si="731"/>
        <v>75.104200000000006</v>
      </c>
      <c r="AG3303" s="110"/>
      <c r="AH3303" s="110"/>
      <c r="AI3303" s="110"/>
      <c r="AJ3303" s="110"/>
      <c r="AK3303" s="111">
        <f t="shared" si="725"/>
        <v>300.41680000000002</v>
      </c>
      <c r="AL3303" s="446">
        <f t="shared" si="726"/>
        <v>0</v>
      </c>
      <c r="AM3303" s="110">
        <f t="shared" si="727"/>
        <v>2</v>
      </c>
      <c r="AN3303" s="447">
        <f t="shared" si="733"/>
        <v>0</v>
      </c>
      <c r="AO3303"/>
      <c r="AP3303"/>
    </row>
    <row r="3304" spans="1:42" ht="66" x14ac:dyDescent="0.25">
      <c r="A3304" s="9"/>
      <c r="B3304" s="152" t="s">
        <v>1302</v>
      </c>
      <c r="C3304" s="1024"/>
      <c r="D3304" s="869">
        <v>3</v>
      </c>
      <c r="E3304" s="1027"/>
      <c r="F3304" s="273" t="s">
        <v>3446</v>
      </c>
      <c r="G3304" s="1040" t="s">
        <v>3463</v>
      </c>
      <c r="H3304" s="273" t="s">
        <v>3462</v>
      </c>
      <c r="I3304" s="720">
        <f t="shared" si="736"/>
        <v>34.451999999999998</v>
      </c>
      <c r="J3304" s="756">
        <v>103.35599999999999</v>
      </c>
      <c r="K3304" s="131">
        <f t="shared" si="732"/>
        <v>103.35599999999999</v>
      </c>
      <c r="L3304" s="335">
        <f t="shared" si="724"/>
        <v>0</v>
      </c>
      <c r="M3304" s="446"/>
      <c r="N3304" s="446"/>
      <c r="O3304" s="446"/>
      <c r="P3304" s="446"/>
      <c r="Q3304" s="130">
        <v>1</v>
      </c>
      <c r="R3304" s="111">
        <f t="shared" si="722"/>
        <v>25.838999999999999</v>
      </c>
      <c r="S3304" s="110"/>
      <c r="T3304" s="110"/>
      <c r="U3304" s="130">
        <v>1</v>
      </c>
      <c r="V3304" s="111">
        <f t="shared" si="723"/>
        <v>25.838999999999999</v>
      </c>
      <c r="W3304" s="110"/>
      <c r="X3304" s="110"/>
      <c r="Y3304" s="110"/>
      <c r="Z3304" s="110"/>
      <c r="AA3304" s="130">
        <v>1</v>
      </c>
      <c r="AB3304" s="111">
        <f t="shared" si="730"/>
        <v>25.838999999999999</v>
      </c>
      <c r="AC3304" s="110"/>
      <c r="AD3304" s="110"/>
      <c r="AE3304" s="130">
        <v>0</v>
      </c>
      <c r="AF3304" s="111">
        <f t="shared" si="731"/>
        <v>25.838999999999999</v>
      </c>
      <c r="AG3304" s="110"/>
      <c r="AH3304" s="110"/>
      <c r="AI3304" s="110"/>
      <c r="AJ3304" s="110"/>
      <c r="AK3304" s="111">
        <f t="shared" si="725"/>
        <v>103.35599999999999</v>
      </c>
      <c r="AL3304" s="446">
        <f t="shared" si="726"/>
        <v>0</v>
      </c>
      <c r="AM3304" s="110">
        <f t="shared" si="727"/>
        <v>3</v>
      </c>
      <c r="AN3304" s="447">
        <f t="shared" si="733"/>
        <v>0</v>
      </c>
      <c r="AO3304"/>
      <c r="AP3304"/>
    </row>
    <row r="3305" spans="1:42" ht="66" x14ac:dyDescent="0.25">
      <c r="A3305" s="9"/>
      <c r="B3305" s="152" t="s">
        <v>1303</v>
      </c>
      <c r="C3305" s="1024"/>
      <c r="D3305" s="869">
        <v>5</v>
      </c>
      <c r="E3305" s="1027"/>
      <c r="F3305" s="273" t="s">
        <v>3446</v>
      </c>
      <c r="G3305" s="1040" t="s">
        <v>3463</v>
      </c>
      <c r="H3305" s="273" t="s">
        <v>3462</v>
      </c>
      <c r="I3305" s="720">
        <f t="shared" si="736"/>
        <v>682.14959999999985</v>
      </c>
      <c r="J3305" s="756">
        <v>3410.7479999999991</v>
      </c>
      <c r="K3305" s="131">
        <f t="shared" si="732"/>
        <v>3410.7479999999991</v>
      </c>
      <c r="L3305" s="335">
        <f t="shared" si="724"/>
        <v>0</v>
      </c>
      <c r="M3305" s="446"/>
      <c r="N3305" s="446"/>
      <c r="O3305" s="446"/>
      <c r="P3305" s="446"/>
      <c r="Q3305" s="110">
        <v>2</v>
      </c>
      <c r="R3305" s="111">
        <f t="shared" si="722"/>
        <v>852.68699999999978</v>
      </c>
      <c r="S3305" s="110"/>
      <c r="T3305" s="110"/>
      <c r="U3305" s="110">
        <v>1</v>
      </c>
      <c r="V3305" s="111">
        <f t="shared" si="723"/>
        <v>852.68699999999978</v>
      </c>
      <c r="W3305" s="110"/>
      <c r="X3305" s="110"/>
      <c r="Y3305" s="110"/>
      <c r="Z3305" s="110"/>
      <c r="AA3305" s="110">
        <v>1</v>
      </c>
      <c r="AB3305" s="111">
        <f t="shared" si="730"/>
        <v>852.68699999999978</v>
      </c>
      <c r="AC3305" s="110"/>
      <c r="AD3305" s="110"/>
      <c r="AE3305" s="110">
        <v>1</v>
      </c>
      <c r="AF3305" s="111">
        <f t="shared" si="731"/>
        <v>852.68699999999978</v>
      </c>
      <c r="AG3305" s="110"/>
      <c r="AH3305" s="110"/>
      <c r="AI3305" s="110"/>
      <c r="AJ3305" s="110"/>
      <c r="AK3305" s="111">
        <f t="shared" si="725"/>
        <v>3410.7479999999991</v>
      </c>
      <c r="AL3305" s="446">
        <f t="shared" si="726"/>
        <v>0</v>
      </c>
      <c r="AM3305" s="110">
        <f t="shared" si="727"/>
        <v>5</v>
      </c>
      <c r="AN3305" s="447">
        <f t="shared" si="733"/>
        <v>0</v>
      </c>
      <c r="AO3305"/>
      <c r="AP3305"/>
    </row>
    <row r="3306" spans="1:42" ht="66" x14ac:dyDescent="0.25">
      <c r="A3306" s="9"/>
      <c r="B3306" s="152" t="s">
        <v>1304</v>
      </c>
      <c r="C3306" s="1024"/>
      <c r="D3306" s="869">
        <v>2</v>
      </c>
      <c r="E3306" s="1027"/>
      <c r="F3306" s="273" t="s">
        <v>3446</v>
      </c>
      <c r="G3306" s="1040" t="s">
        <v>3463</v>
      </c>
      <c r="H3306" s="273" t="s">
        <v>3462</v>
      </c>
      <c r="I3306" s="720">
        <f t="shared" si="736"/>
        <v>234.27359999999999</v>
      </c>
      <c r="J3306" s="756">
        <v>468.54719999999998</v>
      </c>
      <c r="K3306" s="131">
        <f t="shared" si="732"/>
        <v>468.54719999999998</v>
      </c>
      <c r="L3306" s="335">
        <f t="shared" si="724"/>
        <v>0</v>
      </c>
      <c r="M3306" s="446"/>
      <c r="N3306" s="446"/>
      <c r="O3306" s="446"/>
      <c r="P3306" s="446"/>
      <c r="Q3306" s="130">
        <v>1</v>
      </c>
      <c r="R3306" s="111">
        <f t="shared" si="722"/>
        <v>117.13679999999999</v>
      </c>
      <c r="S3306" s="110"/>
      <c r="T3306" s="110"/>
      <c r="U3306" s="130">
        <v>1</v>
      </c>
      <c r="V3306" s="111">
        <f t="shared" si="723"/>
        <v>117.13679999999999</v>
      </c>
      <c r="W3306" s="110"/>
      <c r="X3306" s="110"/>
      <c r="Y3306" s="110"/>
      <c r="Z3306" s="110"/>
      <c r="AA3306" s="130">
        <v>0</v>
      </c>
      <c r="AB3306" s="111">
        <f t="shared" si="730"/>
        <v>117.13679999999999</v>
      </c>
      <c r="AC3306" s="110"/>
      <c r="AD3306" s="110"/>
      <c r="AE3306" s="130">
        <v>0</v>
      </c>
      <c r="AF3306" s="111">
        <f t="shared" si="731"/>
        <v>117.13679999999999</v>
      </c>
      <c r="AG3306" s="110"/>
      <c r="AH3306" s="110"/>
      <c r="AI3306" s="110"/>
      <c r="AJ3306" s="110"/>
      <c r="AK3306" s="111">
        <f t="shared" si="725"/>
        <v>468.54719999999998</v>
      </c>
      <c r="AL3306" s="446">
        <f t="shared" si="726"/>
        <v>0</v>
      </c>
      <c r="AM3306" s="110">
        <f t="shared" si="727"/>
        <v>2</v>
      </c>
      <c r="AN3306" s="447">
        <f t="shared" si="733"/>
        <v>0</v>
      </c>
      <c r="AO3306"/>
      <c r="AP3306"/>
    </row>
    <row r="3307" spans="1:42" ht="66" x14ac:dyDescent="0.25">
      <c r="A3307" s="9"/>
      <c r="B3307" s="152" t="s">
        <v>1305</v>
      </c>
      <c r="C3307" s="1024"/>
      <c r="D3307" s="869">
        <v>2</v>
      </c>
      <c r="E3307" s="1027"/>
      <c r="F3307" s="273" t="s">
        <v>3446</v>
      </c>
      <c r="G3307" s="1040" t="s">
        <v>3463</v>
      </c>
      <c r="H3307" s="273" t="s">
        <v>3462</v>
      </c>
      <c r="I3307" s="720">
        <f t="shared" si="736"/>
        <v>268.72559999999999</v>
      </c>
      <c r="J3307" s="756">
        <v>537.45119999999997</v>
      </c>
      <c r="K3307" s="131">
        <f t="shared" si="732"/>
        <v>537.45119999999997</v>
      </c>
      <c r="L3307" s="335">
        <f t="shared" si="724"/>
        <v>0</v>
      </c>
      <c r="M3307" s="446"/>
      <c r="N3307" s="446"/>
      <c r="O3307" s="446"/>
      <c r="P3307" s="446"/>
      <c r="Q3307" s="130">
        <v>1</v>
      </c>
      <c r="R3307" s="111">
        <f t="shared" si="722"/>
        <v>134.36279999999999</v>
      </c>
      <c r="S3307" s="110"/>
      <c r="T3307" s="110"/>
      <c r="U3307" s="130">
        <v>1</v>
      </c>
      <c r="V3307" s="111">
        <f t="shared" si="723"/>
        <v>134.36279999999999</v>
      </c>
      <c r="W3307" s="110"/>
      <c r="X3307" s="110"/>
      <c r="Y3307" s="110"/>
      <c r="Z3307" s="110"/>
      <c r="AA3307" s="130">
        <v>0</v>
      </c>
      <c r="AB3307" s="111">
        <f t="shared" si="730"/>
        <v>134.36279999999999</v>
      </c>
      <c r="AC3307" s="110"/>
      <c r="AD3307" s="110"/>
      <c r="AE3307" s="130">
        <v>0</v>
      </c>
      <c r="AF3307" s="111">
        <f t="shared" si="731"/>
        <v>134.36279999999999</v>
      </c>
      <c r="AG3307" s="110"/>
      <c r="AH3307" s="110"/>
      <c r="AI3307" s="110"/>
      <c r="AJ3307" s="110"/>
      <c r="AK3307" s="111">
        <f t="shared" si="725"/>
        <v>537.45119999999997</v>
      </c>
      <c r="AL3307" s="446">
        <f t="shared" si="726"/>
        <v>0</v>
      </c>
      <c r="AM3307" s="110">
        <f t="shared" si="727"/>
        <v>2</v>
      </c>
      <c r="AN3307" s="447">
        <f t="shared" si="733"/>
        <v>0</v>
      </c>
      <c r="AO3307"/>
      <c r="AP3307"/>
    </row>
    <row r="3308" spans="1:42" ht="66" x14ac:dyDescent="0.25">
      <c r="A3308" s="9"/>
      <c r="B3308" s="152" t="s">
        <v>718</v>
      </c>
      <c r="C3308" s="1024"/>
      <c r="D3308" s="869">
        <v>1</v>
      </c>
      <c r="E3308" s="1027"/>
      <c r="F3308" s="273" t="s">
        <v>3446</v>
      </c>
      <c r="G3308" s="1040" t="s">
        <v>3463</v>
      </c>
      <c r="H3308" s="273" t="s">
        <v>3462</v>
      </c>
      <c r="I3308" s="720">
        <f t="shared" si="736"/>
        <v>461.65679999999998</v>
      </c>
      <c r="J3308" s="756">
        <v>461.65679999999998</v>
      </c>
      <c r="K3308" s="131">
        <f t="shared" si="732"/>
        <v>461.65679999999998</v>
      </c>
      <c r="L3308" s="335">
        <f t="shared" si="724"/>
        <v>0</v>
      </c>
      <c r="M3308" s="446"/>
      <c r="N3308" s="446"/>
      <c r="O3308" s="446"/>
      <c r="P3308" s="446"/>
      <c r="Q3308" s="110">
        <v>1</v>
      </c>
      <c r="R3308" s="111">
        <f t="shared" si="722"/>
        <v>115.41419999999999</v>
      </c>
      <c r="S3308" s="110"/>
      <c r="T3308" s="110"/>
      <c r="U3308" s="110">
        <v>0</v>
      </c>
      <c r="V3308" s="111">
        <f t="shared" si="723"/>
        <v>115.41419999999999</v>
      </c>
      <c r="W3308" s="110"/>
      <c r="X3308" s="110"/>
      <c r="Y3308" s="110"/>
      <c r="Z3308" s="110"/>
      <c r="AA3308" s="110">
        <v>0</v>
      </c>
      <c r="AB3308" s="111">
        <f t="shared" si="730"/>
        <v>115.41419999999999</v>
      </c>
      <c r="AC3308" s="110"/>
      <c r="AD3308" s="110"/>
      <c r="AE3308" s="110">
        <v>0</v>
      </c>
      <c r="AF3308" s="111">
        <f t="shared" si="731"/>
        <v>115.41419999999999</v>
      </c>
      <c r="AG3308" s="110"/>
      <c r="AH3308" s="110"/>
      <c r="AI3308" s="110"/>
      <c r="AJ3308" s="110"/>
      <c r="AK3308" s="111">
        <f t="shared" si="725"/>
        <v>461.65679999999998</v>
      </c>
      <c r="AL3308" s="446">
        <f t="shared" si="726"/>
        <v>0</v>
      </c>
      <c r="AM3308" s="110">
        <f t="shared" si="727"/>
        <v>1</v>
      </c>
      <c r="AN3308" s="447">
        <f t="shared" si="733"/>
        <v>0</v>
      </c>
      <c r="AO3308"/>
      <c r="AP3308"/>
    </row>
    <row r="3309" spans="1:42" ht="66" x14ac:dyDescent="0.25">
      <c r="A3309" s="9"/>
      <c r="B3309" s="152" t="s">
        <v>1306</v>
      </c>
      <c r="C3309" s="1024"/>
      <c r="D3309" s="869">
        <v>1</v>
      </c>
      <c r="E3309" s="84" t="s">
        <v>1721</v>
      </c>
      <c r="F3309" s="273" t="s">
        <v>3446</v>
      </c>
      <c r="G3309" s="1040" t="s">
        <v>3463</v>
      </c>
      <c r="H3309" s="273" t="s">
        <v>3462</v>
      </c>
      <c r="I3309" s="720">
        <f t="shared" si="736"/>
        <v>406.53359999999992</v>
      </c>
      <c r="J3309" s="756">
        <v>406.53359999999992</v>
      </c>
      <c r="K3309" s="131">
        <f t="shared" si="732"/>
        <v>406.53359999999992</v>
      </c>
      <c r="L3309" s="335">
        <f t="shared" si="724"/>
        <v>0</v>
      </c>
      <c r="M3309" s="446"/>
      <c r="N3309" s="446"/>
      <c r="O3309" s="446"/>
      <c r="P3309" s="446"/>
      <c r="Q3309" s="110">
        <v>1</v>
      </c>
      <c r="R3309" s="111">
        <f t="shared" si="722"/>
        <v>101.63339999999998</v>
      </c>
      <c r="S3309" s="110"/>
      <c r="T3309" s="110"/>
      <c r="U3309" s="110">
        <v>0</v>
      </c>
      <c r="V3309" s="111">
        <f t="shared" si="723"/>
        <v>101.63339999999998</v>
      </c>
      <c r="W3309" s="110"/>
      <c r="X3309" s="110"/>
      <c r="Y3309" s="110"/>
      <c r="Z3309" s="110"/>
      <c r="AA3309" s="110">
        <v>0</v>
      </c>
      <c r="AB3309" s="111">
        <f t="shared" si="730"/>
        <v>101.63339999999998</v>
      </c>
      <c r="AC3309" s="110"/>
      <c r="AD3309" s="110"/>
      <c r="AE3309" s="110">
        <v>0</v>
      </c>
      <c r="AF3309" s="111">
        <f t="shared" si="731"/>
        <v>101.63339999999998</v>
      </c>
      <c r="AG3309" s="110"/>
      <c r="AH3309" s="110"/>
      <c r="AI3309" s="110"/>
      <c r="AJ3309" s="110"/>
      <c r="AK3309" s="111">
        <f t="shared" si="725"/>
        <v>406.53359999999992</v>
      </c>
      <c r="AL3309" s="446">
        <f t="shared" si="726"/>
        <v>0</v>
      </c>
      <c r="AM3309" s="110">
        <f t="shared" si="727"/>
        <v>1</v>
      </c>
      <c r="AN3309" s="447">
        <f t="shared" si="733"/>
        <v>0</v>
      </c>
      <c r="AO3309"/>
      <c r="AP3309"/>
    </row>
    <row r="3310" spans="1:42" ht="66" x14ac:dyDescent="0.25">
      <c r="A3310" s="9"/>
      <c r="B3310" s="152" t="s">
        <v>1307</v>
      </c>
      <c r="C3310" s="1024"/>
      <c r="D3310" s="869">
        <v>1</v>
      </c>
      <c r="E3310" s="1027"/>
      <c r="F3310" s="273" t="s">
        <v>3446</v>
      </c>
      <c r="G3310" s="1040" t="s">
        <v>3463</v>
      </c>
      <c r="H3310" s="273" t="s">
        <v>3462</v>
      </c>
      <c r="I3310" s="720">
        <f t="shared" si="736"/>
        <v>475.43759999999997</v>
      </c>
      <c r="J3310" s="756">
        <v>475.43759999999997</v>
      </c>
      <c r="K3310" s="131">
        <f t="shared" si="732"/>
        <v>475.43759999999997</v>
      </c>
      <c r="L3310" s="335">
        <f t="shared" si="724"/>
        <v>0</v>
      </c>
      <c r="M3310" s="446"/>
      <c r="N3310" s="446"/>
      <c r="O3310" s="446"/>
      <c r="P3310" s="446"/>
      <c r="Q3310" s="110">
        <v>1</v>
      </c>
      <c r="R3310" s="111">
        <f t="shared" si="722"/>
        <v>118.85939999999999</v>
      </c>
      <c r="S3310" s="110"/>
      <c r="T3310" s="110"/>
      <c r="U3310" s="110">
        <v>0</v>
      </c>
      <c r="V3310" s="111">
        <f t="shared" si="723"/>
        <v>118.85939999999999</v>
      </c>
      <c r="W3310" s="110"/>
      <c r="X3310" s="110"/>
      <c r="Y3310" s="110"/>
      <c r="Z3310" s="110"/>
      <c r="AA3310" s="110">
        <v>0</v>
      </c>
      <c r="AB3310" s="111">
        <f t="shared" si="730"/>
        <v>118.85939999999999</v>
      </c>
      <c r="AC3310" s="110"/>
      <c r="AD3310" s="110"/>
      <c r="AE3310" s="110">
        <v>0</v>
      </c>
      <c r="AF3310" s="111">
        <f t="shared" si="731"/>
        <v>118.85939999999999</v>
      </c>
      <c r="AG3310" s="110"/>
      <c r="AH3310" s="110"/>
      <c r="AI3310" s="110"/>
      <c r="AJ3310" s="110"/>
      <c r="AK3310" s="111">
        <f t="shared" si="725"/>
        <v>475.43759999999997</v>
      </c>
      <c r="AL3310" s="446">
        <f t="shared" si="726"/>
        <v>0</v>
      </c>
      <c r="AM3310" s="110">
        <f t="shared" si="727"/>
        <v>1</v>
      </c>
      <c r="AN3310" s="447">
        <f t="shared" si="733"/>
        <v>0</v>
      </c>
      <c r="AO3310"/>
      <c r="AP3310"/>
    </row>
    <row r="3311" spans="1:42" ht="66" x14ac:dyDescent="0.25">
      <c r="A3311" s="9"/>
      <c r="B3311" s="152" t="s">
        <v>1308</v>
      </c>
      <c r="C3311" s="1024"/>
      <c r="D3311" s="869">
        <v>1</v>
      </c>
      <c r="E3311" s="1027"/>
      <c r="F3311" s="273" t="s">
        <v>3446</v>
      </c>
      <c r="G3311" s="1040" t="s">
        <v>3463</v>
      </c>
      <c r="H3311" s="273" t="s">
        <v>3462</v>
      </c>
      <c r="I3311" s="720">
        <f t="shared" si="736"/>
        <v>620.13599999999997</v>
      </c>
      <c r="J3311" s="756">
        <v>620.13599999999997</v>
      </c>
      <c r="K3311" s="131">
        <f t="shared" si="732"/>
        <v>620.13599999999997</v>
      </c>
      <c r="L3311" s="335">
        <f t="shared" si="724"/>
        <v>0</v>
      </c>
      <c r="M3311" s="446"/>
      <c r="N3311" s="446"/>
      <c r="O3311" s="446"/>
      <c r="P3311" s="446"/>
      <c r="Q3311" s="110">
        <v>1</v>
      </c>
      <c r="R3311" s="111">
        <f t="shared" ref="R3311:R3374" si="737">+J3311/4</f>
        <v>155.03399999999999</v>
      </c>
      <c r="S3311" s="110"/>
      <c r="T3311" s="110"/>
      <c r="U3311" s="110">
        <v>0</v>
      </c>
      <c r="V3311" s="111">
        <f t="shared" ref="V3311:V3374" si="738">+J3311/4</f>
        <v>155.03399999999999</v>
      </c>
      <c r="W3311" s="110"/>
      <c r="X3311" s="110"/>
      <c r="Y3311" s="110"/>
      <c r="Z3311" s="110"/>
      <c r="AA3311" s="110">
        <v>0</v>
      </c>
      <c r="AB3311" s="111">
        <f t="shared" si="730"/>
        <v>155.03399999999999</v>
      </c>
      <c r="AC3311" s="110"/>
      <c r="AD3311" s="110"/>
      <c r="AE3311" s="110">
        <v>0</v>
      </c>
      <c r="AF3311" s="111">
        <f t="shared" si="731"/>
        <v>155.03399999999999</v>
      </c>
      <c r="AG3311" s="110"/>
      <c r="AH3311" s="110"/>
      <c r="AI3311" s="110"/>
      <c r="AJ3311" s="110"/>
      <c r="AK3311" s="111">
        <f t="shared" si="725"/>
        <v>620.13599999999997</v>
      </c>
      <c r="AL3311" s="446">
        <f t="shared" si="726"/>
        <v>0</v>
      </c>
      <c r="AM3311" s="110">
        <f t="shared" si="727"/>
        <v>1</v>
      </c>
      <c r="AN3311" s="447">
        <f t="shared" si="733"/>
        <v>0</v>
      </c>
      <c r="AO3311"/>
      <c r="AP3311"/>
    </row>
    <row r="3312" spans="1:42" ht="66" x14ac:dyDescent="0.25">
      <c r="A3312" s="9"/>
      <c r="B3312" s="152" t="s">
        <v>1309</v>
      </c>
      <c r="C3312" s="1024"/>
      <c r="D3312" s="869">
        <v>1</v>
      </c>
      <c r="E3312" s="1027"/>
      <c r="F3312" s="273" t="s">
        <v>3446</v>
      </c>
      <c r="G3312" s="1040" t="s">
        <v>3463</v>
      </c>
      <c r="H3312" s="273" t="s">
        <v>3462</v>
      </c>
      <c r="I3312" s="720">
        <f t="shared" si="736"/>
        <v>241.16399999999999</v>
      </c>
      <c r="J3312" s="756">
        <v>241.16399999999999</v>
      </c>
      <c r="K3312" s="131">
        <f t="shared" si="732"/>
        <v>241.16399999999999</v>
      </c>
      <c r="L3312" s="335">
        <f t="shared" si="724"/>
        <v>0</v>
      </c>
      <c r="M3312" s="446"/>
      <c r="N3312" s="446"/>
      <c r="O3312" s="446"/>
      <c r="P3312" s="446"/>
      <c r="Q3312" s="110">
        <v>1</v>
      </c>
      <c r="R3312" s="111">
        <f t="shared" si="737"/>
        <v>60.290999999999997</v>
      </c>
      <c r="S3312" s="110"/>
      <c r="T3312" s="110"/>
      <c r="U3312" s="110">
        <v>0</v>
      </c>
      <c r="V3312" s="111">
        <f t="shared" si="738"/>
        <v>60.290999999999997</v>
      </c>
      <c r="W3312" s="110"/>
      <c r="X3312" s="110"/>
      <c r="Y3312" s="110"/>
      <c r="Z3312" s="110"/>
      <c r="AA3312" s="110">
        <v>0</v>
      </c>
      <c r="AB3312" s="111">
        <f t="shared" si="730"/>
        <v>60.290999999999997</v>
      </c>
      <c r="AC3312" s="110"/>
      <c r="AD3312" s="110"/>
      <c r="AE3312" s="110">
        <v>0</v>
      </c>
      <c r="AF3312" s="111">
        <f t="shared" si="731"/>
        <v>60.290999999999997</v>
      </c>
      <c r="AG3312" s="110"/>
      <c r="AH3312" s="110"/>
      <c r="AI3312" s="110"/>
      <c r="AJ3312" s="110"/>
      <c r="AK3312" s="111">
        <f t="shared" si="725"/>
        <v>241.16399999999999</v>
      </c>
      <c r="AL3312" s="446">
        <f t="shared" si="726"/>
        <v>0</v>
      </c>
      <c r="AM3312" s="110">
        <f t="shared" si="727"/>
        <v>1</v>
      </c>
      <c r="AN3312" s="447">
        <f t="shared" si="733"/>
        <v>0</v>
      </c>
      <c r="AO3312"/>
      <c r="AP3312"/>
    </row>
    <row r="3313" spans="1:42" ht="66" x14ac:dyDescent="0.25">
      <c r="A3313" s="9"/>
      <c r="B3313" s="152" t="s">
        <v>1310</v>
      </c>
      <c r="C3313" s="1024"/>
      <c r="D3313" s="869">
        <v>1</v>
      </c>
      <c r="E3313" s="1027"/>
      <c r="F3313" s="273" t="s">
        <v>3446</v>
      </c>
      <c r="G3313" s="1040" t="s">
        <v>3463</v>
      </c>
      <c r="H3313" s="273" t="s">
        <v>3462</v>
      </c>
      <c r="I3313" s="720">
        <f t="shared" si="736"/>
        <v>68.903999999999996</v>
      </c>
      <c r="J3313" s="756">
        <v>68.903999999999996</v>
      </c>
      <c r="K3313" s="131">
        <f t="shared" si="732"/>
        <v>68.903999999999996</v>
      </c>
      <c r="L3313" s="335">
        <f t="shared" si="724"/>
        <v>0</v>
      </c>
      <c r="M3313" s="446"/>
      <c r="N3313" s="446"/>
      <c r="O3313" s="446"/>
      <c r="P3313" s="446"/>
      <c r="Q3313" s="110">
        <v>1</v>
      </c>
      <c r="R3313" s="111">
        <f t="shared" si="737"/>
        <v>17.225999999999999</v>
      </c>
      <c r="S3313" s="110"/>
      <c r="T3313" s="110"/>
      <c r="U3313" s="110">
        <v>0</v>
      </c>
      <c r="V3313" s="111">
        <f t="shared" si="738"/>
        <v>17.225999999999999</v>
      </c>
      <c r="W3313" s="110"/>
      <c r="X3313" s="110"/>
      <c r="Y3313" s="110"/>
      <c r="Z3313" s="110"/>
      <c r="AA3313" s="110">
        <v>0</v>
      </c>
      <c r="AB3313" s="111">
        <f t="shared" si="730"/>
        <v>17.225999999999999</v>
      </c>
      <c r="AC3313" s="110"/>
      <c r="AD3313" s="110"/>
      <c r="AE3313" s="110">
        <v>0</v>
      </c>
      <c r="AF3313" s="111">
        <f t="shared" si="731"/>
        <v>17.225999999999999</v>
      </c>
      <c r="AG3313" s="110"/>
      <c r="AH3313" s="110"/>
      <c r="AI3313" s="110"/>
      <c r="AJ3313" s="110"/>
      <c r="AK3313" s="111">
        <f t="shared" si="725"/>
        <v>68.903999999999996</v>
      </c>
      <c r="AL3313" s="446">
        <f t="shared" si="726"/>
        <v>0</v>
      </c>
      <c r="AM3313" s="110">
        <f t="shared" si="727"/>
        <v>1</v>
      </c>
      <c r="AN3313" s="447">
        <f t="shared" si="733"/>
        <v>0</v>
      </c>
      <c r="AO3313"/>
      <c r="AP3313"/>
    </row>
    <row r="3314" spans="1:42" ht="66" x14ac:dyDescent="0.25">
      <c r="A3314" s="9"/>
      <c r="B3314" s="152" t="s">
        <v>1311</v>
      </c>
      <c r="C3314" s="1024"/>
      <c r="D3314" s="869">
        <v>1</v>
      </c>
      <c r="E3314" s="1027"/>
      <c r="F3314" s="273" t="s">
        <v>3446</v>
      </c>
      <c r="G3314" s="1040" t="s">
        <v>3463</v>
      </c>
      <c r="H3314" s="273" t="s">
        <v>3462</v>
      </c>
      <c r="I3314" s="720">
        <f t="shared" si="736"/>
        <v>96.465599999999995</v>
      </c>
      <c r="J3314" s="756">
        <v>96.465599999999995</v>
      </c>
      <c r="K3314" s="131">
        <f t="shared" si="732"/>
        <v>96.465599999999995</v>
      </c>
      <c r="L3314" s="335">
        <f t="shared" si="724"/>
        <v>0</v>
      </c>
      <c r="M3314" s="446"/>
      <c r="N3314" s="446"/>
      <c r="O3314" s="446"/>
      <c r="P3314" s="446"/>
      <c r="Q3314" s="110">
        <v>1</v>
      </c>
      <c r="R3314" s="111">
        <f t="shared" si="737"/>
        <v>24.116399999999999</v>
      </c>
      <c r="S3314" s="110"/>
      <c r="T3314" s="110"/>
      <c r="U3314" s="110">
        <v>0</v>
      </c>
      <c r="V3314" s="111">
        <f t="shared" si="738"/>
        <v>24.116399999999999</v>
      </c>
      <c r="W3314" s="110"/>
      <c r="X3314" s="110"/>
      <c r="Y3314" s="110"/>
      <c r="Z3314" s="110"/>
      <c r="AA3314" s="110">
        <v>0</v>
      </c>
      <c r="AB3314" s="111">
        <f t="shared" si="730"/>
        <v>24.116399999999999</v>
      </c>
      <c r="AC3314" s="110"/>
      <c r="AD3314" s="110"/>
      <c r="AE3314" s="110">
        <v>0</v>
      </c>
      <c r="AF3314" s="111">
        <f t="shared" si="731"/>
        <v>24.116399999999999</v>
      </c>
      <c r="AG3314" s="110"/>
      <c r="AH3314" s="110"/>
      <c r="AI3314" s="110"/>
      <c r="AJ3314" s="110"/>
      <c r="AK3314" s="111">
        <f t="shared" si="725"/>
        <v>96.465599999999995</v>
      </c>
      <c r="AL3314" s="446">
        <f t="shared" si="726"/>
        <v>0</v>
      </c>
      <c r="AM3314" s="110">
        <f t="shared" si="727"/>
        <v>1</v>
      </c>
      <c r="AN3314" s="447">
        <f t="shared" si="733"/>
        <v>0</v>
      </c>
      <c r="AO3314"/>
      <c r="AP3314"/>
    </row>
    <row r="3315" spans="1:42" ht="66" x14ac:dyDescent="0.25">
      <c r="A3315" s="9"/>
      <c r="B3315" s="152" t="s">
        <v>1312</v>
      </c>
      <c r="C3315" s="1024"/>
      <c r="D3315" s="869">
        <v>1</v>
      </c>
      <c r="E3315" s="1027"/>
      <c r="F3315" s="273" t="s">
        <v>3446</v>
      </c>
      <c r="G3315" s="1040" t="s">
        <v>3463</v>
      </c>
      <c r="H3315" s="273" t="s">
        <v>3462</v>
      </c>
      <c r="I3315" s="720">
        <f t="shared" si="736"/>
        <v>110.24639999999999</v>
      </c>
      <c r="J3315" s="756">
        <v>110.24639999999999</v>
      </c>
      <c r="K3315" s="131">
        <f t="shared" si="732"/>
        <v>110.24639999999999</v>
      </c>
      <c r="L3315" s="335">
        <f t="shared" si="724"/>
        <v>0</v>
      </c>
      <c r="M3315" s="446"/>
      <c r="N3315" s="446"/>
      <c r="O3315" s="446"/>
      <c r="P3315" s="446"/>
      <c r="Q3315" s="110">
        <v>1</v>
      </c>
      <c r="R3315" s="111">
        <f t="shared" si="737"/>
        <v>27.561599999999999</v>
      </c>
      <c r="S3315" s="110"/>
      <c r="T3315" s="110"/>
      <c r="U3315" s="110">
        <v>0</v>
      </c>
      <c r="V3315" s="111">
        <f t="shared" si="738"/>
        <v>27.561599999999999</v>
      </c>
      <c r="W3315" s="110"/>
      <c r="X3315" s="110"/>
      <c r="Y3315" s="110"/>
      <c r="Z3315" s="110"/>
      <c r="AA3315" s="110">
        <v>0</v>
      </c>
      <c r="AB3315" s="111">
        <f t="shared" si="730"/>
        <v>27.561599999999999</v>
      </c>
      <c r="AC3315" s="110"/>
      <c r="AD3315" s="110"/>
      <c r="AE3315" s="110">
        <v>0</v>
      </c>
      <c r="AF3315" s="111">
        <f t="shared" si="731"/>
        <v>27.561599999999999</v>
      </c>
      <c r="AG3315" s="110"/>
      <c r="AH3315" s="110"/>
      <c r="AI3315" s="110"/>
      <c r="AJ3315" s="110"/>
      <c r="AK3315" s="111">
        <f t="shared" si="725"/>
        <v>110.24639999999999</v>
      </c>
      <c r="AL3315" s="446">
        <f t="shared" si="726"/>
        <v>0</v>
      </c>
      <c r="AM3315" s="110">
        <f t="shared" si="727"/>
        <v>1</v>
      </c>
      <c r="AN3315" s="447">
        <f t="shared" si="733"/>
        <v>0</v>
      </c>
      <c r="AO3315"/>
      <c r="AP3315"/>
    </row>
    <row r="3316" spans="1:42" ht="66" x14ac:dyDescent="0.25">
      <c r="A3316" s="9"/>
      <c r="B3316" s="152" t="s">
        <v>1313</v>
      </c>
      <c r="C3316" s="1024"/>
      <c r="D3316" s="869">
        <v>1</v>
      </c>
      <c r="E3316" s="1027" t="s">
        <v>1721</v>
      </c>
      <c r="F3316" s="273" t="s">
        <v>3446</v>
      </c>
      <c r="G3316" s="1040" t="s">
        <v>3463</v>
      </c>
      <c r="H3316" s="273" t="s">
        <v>3462</v>
      </c>
      <c r="I3316" s="720">
        <f t="shared" si="736"/>
        <v>385.86239999999998</v>
      </c>
      <c r="J3316" s="756">
        <v>385.86239999999998</v>
      </c>
      <c r="K3316" s="131">
        <f t="shared" si="732"/>
        <v>385.86239999999998</v>
      </c>
      <c r="L3316" s="335">
        <f t="shared" ref="L3316:L3379" si="739">+J3316-K3316</f>
        <v>0</v>
      </c>
      <c r="M3316" s="446"/>
      <c r="N3316" s="446"/>
      <c r="O3316" s="446"/>
      <c r="P3316" s="446"/>
      <c r="Q3316" s="110">
        <v>1</v>
      </c>
      <c r="R3316" s="111">
        <f t="shared" si="737"/>
        <v>96.465599999999995</v>
      </c>
      <c r="S3316" s="110"/>
      <c r="T3316" s="110"/>
      <c r="U3316" s="110">
        <v>0</v>
      </c>
      <c r="V3316" s="111">
        <f t="shared" si="738"/>
        <v>96.465599999999995</v>
      </c>
      <c r="W3316" s="110"/>
      <c r="X3316" s="110"/>
      <c r="Y3316" s="110"/>
      <c r="Z3316" s="110"/>
      <c r="AA3316" s="110">
        <v>0</v>
      </c>
      <c r="AB3316" s="111">
        <f t="shared" si="730"/>
        <v>96.465599999999995</v>
      </c>
      <c r="AC3316" s="110"/>
      <c r="AD3316" s="110"/>
      <c r="AE3316" s="110">
        <v>0</v>
      </c>
      <c r="AF3316" s="111">
        <f t="shared" si="731"/>
        <v>96.465599999999995</v>
      </c>
      <c r="AG3316" s="110"/>
      <c r="AH3316" s="110"/>
      <c r="AI3316" s="110"/>
      <c r="AJ3316" s="110"/>
      <c r="AK3316" s="111">
        <f t="shared" ref="AK3316:AK3379" si="740">+R3316+V3316+AB3316+AF3316</f>
        <v>385.86239999999998</v>
      </c>
      <c r="AL3316" s="446">
        <f t="shared" ref="AL3316:AL3379" si="741">+J3316-AK3316</f>
        <v>0</v>
      </c>
      <c r="AM3316" s="110">
        <f t="shared" ref="AM3316:AM3379" si="742">+Q3316+U3316+AA3316+AE3316</f>
        <v>1</v>
      </c>
      <c r="AN3316" s="447">
        <f t="shared" si="733"/>
        <v>0</v>
      </c>
      <c r="AO3316"/>
      <c r="AP3316"/>
    </row>
    <row r="3317" spans="1:42" ht="66" x14ac:dyDescent="0.25">
      <c r="A3317" s="9"/>
      <c r="B3317" s="152" t="s">
        <v>1314</v>
      </c>
      <c r="C3317" s="1024"/>
      <c r="D3317" s="869">
        <v>3</v>
      </c>
      <c r="E3317" s="1027" t="s">
        <v>1721</v>
      </c>
      <c r="F3317" s="273" t="s">
        <v>3446</v>
      </c>
      <c r="G3317" s="1040" t="s">
        <v>3463</v>
      </c>
      <c r="H3317" s="273" t="s">
        <v>3462</v>
      </c>
      <c r="I3317" s="720">
        <f t="shared" si="736"/>
        <v>130.91759999999999</v>
      </c>
      <c r="J3317" s="756">
        <v>392.75279999999998</v>
      </c>
      <c r="K3317" s="131">
        <f t="shared" si="732"/>
        <v>392.75279999999998</v>
      </c>
      <c r="L3317" s="335">
        <f t="shared" si="739"/>
        <v>0</v>
      </c>
      <c r="M3317" s="446"/>
      <c r="N3317" s="446"/>
      <c r="O3317" s="446"/>
      <c r="P3317" s="446"/>
      <c r="Q3317" s="130">
        <v>1</v>
      </c>
      <c r="R3317" s="111">
        <f t="shared" si="737"/>
        <v>98.188199999999995</v>
      </c>
      <c r="S3317" s="110"/>
      <c r="T3317" s="110"/>
      <c r="U3317" s="130">
        <v>1</v>
      </c>
      <c r="V3317" s="111">
        <f t="shared" si="738"/>
        <v>98.188199999999995</v>
      </c>
      <c r="W3317" s="110"/>
      <c r="X3317" s="110"/>
      <c r="Y3317" s="110"/>
      <c r="Z3317" s="110"/>
      <c r="AA3317" s="130">
        <v>1</v>
      </c>
      <c r="AB3317" s="111">
        <f t="shared" si="730"/>
        <v>98.188199999999995</v>
      </c>
      <c r="AC3317" s="110"/>
      <c r="AD3317" s="110"/>
      <c r="AE3317" s="130">
        <v>0</v>
      </c>
      <c r="AF3317" s="111">
        <f t="shared" si="731"/>
        <v>98.188199999999995</v>
      </c>
      <c r="AG3317" s="110"/>
      <c r="AH3317" s="110"/>
      <c r="AI3317" s="110"/>
      <c r="AJ3317" s="110"/>
      <c r="AK3317" s="111">
        <f t="shared" si="740"/>
        <v>392.75279999999998</v>
      </c>
      <c r="AL3317" s="446">
        <f t="shared" si="741"/>
        <v>0</v>
      </c>
      <c r="AM3317" s="110">
        <f t="shared" si="742"/>
        <v>3</v>
      </c>
      <c r="AN3317" s="447">
        <f t="shared" si="733"/>
        <v>0</v>
      </c>
      <c r="AO3317"/>
      <c r="AP3317"/>
    </row>
    <row r="3318" spans="1:42" ht="66" x14ac:dyDescent="0.25">
      <c r="A3318" s="9"/>
      <c r="B3318" s="152" t="s">
        <v>1315</v>
      </c>
      <c r="C3318" s="1024"/>
      <c r="D3318" s="869">
        <v>3</v>
      </c>
      <c r="E3318" s="1027" t="s">
        <v>1721</v>
      </c>
      <c r="F3318" s="273" t="s">
        <v>3446</v>
      </c>
      <c r="G3318" s="1040" t="s">
        <v>3463</v>
      </c>
      <c r="H3318" s="273" t="s">
        <v>3462</v>
      </c>
      <c r="I3318" s="720">
        <f t="shared" si="736"/>
        <v>130.91759999999999</v>
      </c>
      <c r="J3318" s="756">
        <v>392.75279999999998</v>
      </c>
      <c r="K3318" s="131">
        <f t="shared" si="732"/>
        <v>392.75279999999998</v>
      </c>
      <c r="L3318" s="335">
        <f t="shared" si="739"/>
        <v>0</v>
      </c>
      <c r="M3318" s="446"/>
      <c r="N3318" s="446"/>
      <c r="O3318" s="446"/>
      <c r="P3318" s="446"/>
      <c r="Q3318" s="130">
        <v>1</v>
      </c>
      <c r="R3318" s="111">
        <f t="shared" si="737"/>
        <v>98.188199999999995</v>
      </c>
      <c r="S3318" s="110"/>
      <c r="T3318" s="110"/>
      <c r="U3318" s="130">
        <v>1</v>
      </c>
      <c r="V3318" s="111">
        <f t="shared" si="738"/>
        <v>98.188199999999995</v>
      </c>
      <c r="W3318" s="110"/>
      <c r="X3318" s="110"/>
      <c r="Y3318" s="110"/>
      <c r="Z3318" s="110"/>
      <c r="AA3318" s="130">
        <v>1</v>
      </c>
      <c r="AB3318" s="111">
        <f t="shared" si="730"/>
        <v>98.188199999999995</v>
      </c>
      <c r="AC3318" s="110"/>
      <c r="AD3318" s="110"/>
      <c r="AE3318" s="130">
        <v>0</v>
      </c>
      <c r="AF3318" s="111">
        <f t="shared" si="731"/>
        <v>98.188199999999995</v>
      </c>
      <c r="AG3318" s="110"/>
      <c r="AH3318" s="110"/>
      <c r="AI3318" s="110"/>
      <c r="AJ3318" s="110"/>
      <c r="AK3318" s="111">
        <f t="shared" si="740"/>
        <v>392.75279999999998</v>
      </c>
      <c r="AL3318" s="446">
        <f t="shared" si="741"/>
        <v>0</v>
      </c>
      <c r="AM3318" s="110">
        <f t="shared" si="742"/>
        <v>3</v>
      </c>
      <c r="AN3318" s="447">
        <f t="shared" si="733"/>
        <v>0</v>
      </c>
      <c r="AO3318"/>
      <c r="AP3318"/>
    </row>
    <row r="3319" spans="1:42" ht="66" x14ac:dyDescent="0.25">
      <c r="A3319" s="9"/>
      <c r="B3319" s="152" t="s">
        <v>1316</v>
      </c>
      <c r="C3319" s="1024"/>
      <c r="D3319" s="869">
        <v>3</v>
      </c>
      <c r="E3319" s="1027" t="s">
        <v>1721</v>
      </c>
      <c r="F3319" s="273" t="s">
        <v>3446</v>
      </c>
      <c r="G3319" s="1040" t="s">
        <v>3463</v>
      </c>
      <c r="H3319" s="273" t="s">
        <v>3462</v>
      </c>
      <c r="I3319" s="720">
        <f t="shared" si="736"/>
        <v>130.91759999999999</v>
      </c>
      <c r="J3319" s="756">
        <v>392.75279999999998</v>
      </c>
      <c r="K3319" s="131">
        <f t="shared" si="732"/>
        <v>392.75279999999998</v>
      </c>
      <c r="L3319" s="335">
        <f t="shared" si="739"/>
        <v>0</v>
      </c>
      <c r="M3319" s="446"/>
      <c r="N3319" s="446"/>
      <c r="O3319" s="446"/>
      <c r="P3319" s="446"/>
      <c r="Q3319" s="130">
        <v>1</v>
      </c>
      <c r="R3319" s="111">
        <f t="shared" si="737"/>
        <v>98.188199999999995</v>
      </c>
      <c r="S3319" s="110"/>
      <c r="T3319" s="110"/>
      <c r="U3319" s="130">
        <v>1</v>
      </c>
      <c r="V3319" s="111">
        <f t="shared" si="738"/>
        <v>98.188199999999995</v>
      </c>
      <c r="W3319" s="110"/>
      <c r="X3319" s="110"/>
      <c r="Y3319" s="110"/>
      <c r="Z3319" s="110"/>
      <c r="AA3319" s="130">
        <v>1</v>
      </c>
      <c r="AB3319" s="111">
        <f t="shared" si="730"/>
        <v>98.188199999999995</v>
      </c>
      <c r="AC3319" s="110"/>
      <c r="AD3319" s="110"/>
      <c r="AE3319" s="130">
        <v>0</v>
      </c>
      <c r="AF3319" s="111">
        <f t="shared" si="731"/>
        <v>98.188199999999995</v>
      </c>
      <c r="AG3319" s="110"/>
      <c r="AH3319" s="110"/>
      <c r="AI3319" s="110"/>
      <c r="AJ3319" s="110"/>
      <c r="AK3319" s="111">
        <f t="shared" si="740"/>
        <v>392.75279999999998</v>
      </c>
      <c r="AL3319" s="446">
        <f t="shared" si="741"/>
        <v>0</v>
      </c>
      <c r="AM3319" s="110">
        <f t="shared" si="742"/>
        <v>3</v>
      </c>
      <c r="AN3319" s="447">
        <f t="shared" si="733"/>
        <v>0</v>
      </c>
      <c r="AO3319"/>
      <c r="AP3319"/>
    </row>
    <row r="3320" spans="1:42" ht="66" x14ac:dyDescent="0.25">
      <c r="A3320" s="9"/>
      <c r="B3320" s="152" t="s">
        <v>1317</v>
      </c>
      <c r="C3320" s="1024"/>
      <c r="D3320" s="869">
        <v>3</v>
      </c>
      <c r="E3320" s="1027" t="s">
        <v>1721</v>
      </c>
      <c r="F3320" s="273" t="s">
        <v>3446</v>
      </c>
      <c r="G3320" s="1040" t="s">
        <v>3463</v>
      </c>
      <c r="H3320" s="273" t="s">
        <v>3462</v>
      </c>
      <c r="I3320" s="720">
        <f t="shared" si="736"/>
        <v>130.91759999999999</v>
      </c>
      <c r="J3320" s="756">
        <v>392.75279999999998</v>
      </c>
      <c r="K3320" s="131">
        <f t="shared" si="732"/>
        <v>392.75279999999998</v>
      </c>
      <c r="L3320" s="335">
        <f t="shared" si="739"/>
        <v>0</v>
      </c>
      <c r="M3320" s="446"/>
      <c r="N3320" s="446"/>
      <c r="O3320" s="446"/>
      <c r="P3320" s="446"/>
      <c r="Q3320" s="130">
        <v>1</v>
      </c>
      <c r="R3320" s="111">
        <f t="shared" si="737"/>
        <v>98.188199999999995</v>
      </c>
      <c r="S3320" s="110"/>
      <c r="T3320" s="110"/>
      <c r="U3320" s="130">
        <v>1</v>
      </c>
      <c r="V3320" s="111">
        <f t="shared" si="738"/>
        <v>98.188199999999995</v>
      </c>
      <c r="W3320" s="110"/>
      <c r="X3320" s="110"/>
      <c r="Y3320" s="110"/>
      <c r="Z3320" s="110"/>
      <c r="AA3320" s="130">
        <v>1</v>
      </c>
      <c r="AB3320" s="111">
        <f t="shared" si="730"/>
        <v>98.188199999999995</v>
      </c>
      <c r="AC3320" s="110"/>
      <c r="AD3320" s="110"/>
      <c r="AE3320" s="130">
        <v>0</v>
      </c>
      <c r="AF3320" s="111">
        <f t="shared" si="731"/>
        <v>98.188199999999995</v>
      </c>
      <c r="AG3320" s="110"/>
      <c r="AH3320" s="110"/>
      <c r="AI3320" s="110"/>
      <c r="AJ3320" s="110"/>
      <c r="AK3320" s="111">
        <f t="shared" si="740"/>
        <v>392.75279999999998</v>
      </c>
      <c r="AL3320" s="446">
        <f t="shared" si="741"/>
        <v>0</v>
      </c>
      <c r="AM3320" s="110">
        <f t="shared" si="742"/>
        <v>3</v>
      </c>
      <c r="AN3320" s="447">
        <f t="shared" si="733"/>
        <v>0</v>
      </c>
      <c r="AO3320"/>
      <c r="AP3320"/>
    </row>
    <row r="3321" spans="1:42" ht="66" x14ac:dyDescent="0.25">
      <c r="A3321" s="9"/>
      <c r="B3321" s="152" t="s">
        <v>1318</v>
      </c>
      <c r="C3321" s="1024"/>
      <c r="D3321" s="869">
        <v>1</v>
      </c>
      <c r="E3321" s="1027"/>
      <c r="F3321" s="273" t="s">
        <v>3446</v>
      </c>
      <c r="G3321" s="1040" t="s">
        <v>3463</v>
      </c>
      <c r="H3321" s="273" t="s">
        <v>3462</v>
      </c>
      <c r="I3321" s="720">
        <f t="shared" si="736"/>
        <v>337.62959999999998</v>
      </c>
      <c r="J3321" s="756">
        <v>337.62959999999998</v>
      </c>
      <c r="K3321" s="131">
        <f t="shared" si="732"/>
        <v>337.62959999999998</v>
      </c>
      <c r="L3321" s="335">
        <f t="shared" si="739"/>
        <v>0</v>
      </c>
      <c r="M3321" s="446"/>
      <c r="N3321" s="446"/>
      <c r="O3321" s="446"/>
      <c r="P3321" s="446"/>
      <c r="Q3321" s="110">
        <v>1</v>
      </c>
      <c r="R3321" s="111">
        <f t="shared" si="737"/>
        <v>84.407399999999996</v>
      </c>
      <c r="S3321" s="110"/>
      <c r="T3321" s="110"/>
      <c r="U3321" s="110">
        <v>0</v>
      </c>
      <c r="V3321" s="111">
        <f t="shared" si="738"/>
        <v>84.407399999999996</v>
      </c>
      <c r="W3321" s="110"/>
      <c r="X3321" s="110"/>
      <c r="Y3321" s="110"/>
      <c r="Z3321" s="110"/>
      <c r="AA3321" s="110">
        <v>0</v>
      </c>
      <c r="AB3321" s="111">
        <f t="shared" si="730"/>
        <v>84.407399999999996</v>
      </c>
      <c r="AC3321" s="110"/>
      <c r="AD3321" s="110"/>
      <c r="AE3321" s="110">
        <v>0</v>
      </c>
      <c r="AF3321" s="111">
        <f t="shared" si="731"/>
        <v>84.407399999999996</v>
      </c>
      <c r="AG3321" s="110"/>
      <c r="AH3321" s="110"/>
      <c r="AI3321" s="110"/>
      <c r="AJ3321" s="110"/>
      <c r="AK3321" s="111">
        <f t="shared" si="740"/>
        <v>337.62959999999998</v>
      </c>
      <c r="AL3321" s="446">
        <f t="shared" si="741"/>
        <v>0</v>
      </c>
      <c r="AM3321" s="110">
        <f t="shared" si="742"/>
        <v>1</v>
      </c>
      <c r="AN3321" s="447">
        <f t="shared" si="733"/>
        <v>0</v>
      </c>
      <c r="AO3321"/>
      <c r="AP3321"/>
    </row>
    <row r="3322" spans="1:42" ht="66" x14ac:dyDescent="0.25">
      <c r="A3322" s="9"/>
      <c r="B3322" s="152" t="s">
        <v>1319</v>
      </c>
      <c r="C3322" s="1024"/>
      <c r="D3322" s="869">
        <v>1</v>
      </c>
      <c r="E3322" s="1027" t="s">
        <v>1721</v>
      </c>
      <c r="F3322" s="273" t="s">
        <v>3446</v>
      </c>
      <c r="G3322" s="1040" t="s">
        <v>3463</v>
      </c>
      <c r="H3322" s="273" t="s">
        <v>3462</v>
      </c>
      <c r="I3322" s="720">
        <f t="shared" si="736"/>
        <v>1695.0383999999999</v>
      </c>
      <c r="J3322" s="756">
        <v>1695.0383999999999</v>
      </c>
      <c r="K3322" s="131">
        <f t="shared" si="732"/>
        <v>1695.0383999999999</v>
      </c>
      <c r="L3322" s="335">
        <f t="shared" si="739"/>
        <v>0</v>
      </c>
      <c r="M3322" s="446"/>
      <c r="N3322" s="446"/>
      <c r="O3322" s="446"/>
      <c r="P3322" s="446"/>
      <c r="Q3322" s="110">
        <v>1</v>
      </c>
      <c r="R3322" s="111">
        <f t="shared" si="737"/>
        <v>423.75959999999998</v>
      </c>
      <c r="S3322" s="110"/>
      <c r="T3322" s="110"/>
      <c r="U3322" s="110">
        <v>0</v>
      </c>
      <c r="V3322" s="111">
        <f t="shared" si="738"/>
        <v>423.75959999999998</v>
      </c>
      <c r="W3322" s="110"/>
      <c r="X3322" s="110"/>
      <c r="Y3322" s="110"/>
      <c r="Z3322" s="110"/>
      <c r="AA3322" s="110">
        <v>0</v>
      </c>
      <c r="AB3322" s="111">
        <f t="shared" si="730"/>
        <v>423.75959999999998</v>
      </c>
      <c r="AC3322" s="110"/>
      <c r="AD3322" s="110"/>
      <c r="AE3322" s="110">
        <v>0</v>
      </c>
      <c r="AF3322" s="111">
        <f t="shared" si="731"/>
        <v>423.75959999999998</v>
      </c>
      <c r="AG3322" s="110"/>
      <c r="AH3322" s="110"/>
      <c r="AI3322" s="110"/>
      <c r="AJ3322" s="110"/>
      <c r="AK3322" s="111">
        <f t="shared" si="740"/>
        <v>1695.0383999999999</v>
      </c>
      <c r="AL3322" s="446">
        <f t="shared" si="741"/>
        <v>0</v>
      </c>
      <c r="AM3322" s="110">
        <f t="shared" si="742"/>
        <v>1</v>
      </c>
      <c r="AN3322" s="447">
        <f t="shared" si="733"/>
        <v>0</v>
      </c>
      <c r="AO3322"/>
      <c r="AP3322"/>
    </row>
    <row r="3323" spans="1:42" ht="66" x14ac:dyDescent="0.25">
      <c r="A3323" s="9"/>
      <c r="B3323" s="152" t="s">
        <v>716</v>
      </c>
      <c r="C3323" s="1024"/>
      <c r="D3323" s="869">
        <f>2+1</f>
        <v>3</v>
      </c>
      <c r="E3323" s="1027" t="s">
        <v>1721</v>
      </c>
      <c r="F3323" s="273" t="s">
        <v>3446</v>
      </c>
      <c r="G3323" s="1040" t="s">
        <v>3463</v>
      </c>
      <c r="H3323" s="273" t="s">
        <v>3462</v>
      </c>
      <c r="I3323" s="720">
        <f t="shared" si="736"/>
        <v>151.58920000000001</v>
      </c>
      <c r="J3323" s="756">
        <f>303.1776+151.59</f>
        <v>454.76760000000002</v>
      </c>
      <c r="K3323" s="131">
        <f t="shared" si="732"/>
        <v>454.76760000000002</v>
      </c>
      <c r="L3323" s="335">
        <f t="shared" si="739"/>
        <v>0</v>
      </c>
      <c r="M3323" s="446"/>
      <c r="N3323" s="446"/>
      <c r="O3323" s="446"/>
      <c r="P3323" s="446"/>
      <c r="Q3323" s="130">
        <v>1</v>
      </c>
      <c r="R3323" s="111">
        <f t="shared" si="737"/>
        <v>113.6919</v>
      </c>
      <c r="S3323" s="110"/>
      <c r="T3323" s="110"/>
      <c r="U3323" s="130">
        <v>1</v>
      </c>
      <c r="V3323" s="111">
        <f t="shared" si="738"/>
        <v>113.6919</v>
      </c>
      <c r="W3323" s="110"/>
      <c r="X3323" s="110"/>
      <c r="Y3323" s="110"/>
      <c r="Z3323" s="110"/>
      <c r="AA3323" s="130">
        <v>1</v>
      </c>
      <c r="AB3323" s="111">
        <f t="shared" si="730"/>
        <v>113.6919</v>
      </c>
      <c r="AC3323" s="110"/>
      <c r="AD3323" s="110"/>
      <c r="AE3323" s="130">
        <v>0</v>
      </c>
      <c r="AF3323" s="111">
        <f t="shared" si="731"/>
        <v>113.6919</v>
      </c>
      <c r="AG3323" s="110"/>
      <c r="AH3323" s="110"/>
      <c r="AI3323" s="110"/>
      <c r="AJ3323" s="110"/>
      <c r="AK3323" s="111">
        <f t="shared" si="740"/>
        <v>454.76760000000002</v>
      </c>
      <c r="AL3323" s="446">
        <f t="shared" si="741"/>
        <v>0</v>
      </c>
      <c r="AM3323" s="110">
        <f t="shared" si="742"/>
        <v>3</v>
      </c>
      <c r="AN3323" s="447">
        <f t="shared" si="733"/>
        <v>0</v>
      </c>
      <c r="AO3323"/>
      <c r="AP3323"/>
    </row>
    <row r="3324" spans="1:42" ht="66" x14ac:dyDescent="0.25">
      <c r="A3324" s="9"/>
      <c r="B3324" s="152" t="s">
        <v>717</v>
      </c>
      <c r="C3324" s="1024"/>
      <c r="D3324" s="869">
        <f>1+1</f>
        <v>2</v>
      </c>
      <c r="E3324" s="1027" t="s">
        <v>1721</v>
      </c>
      <c r="F3324" s="273" t="s">
        <v>3446</v>
      </c>
      <c r="G3324" s="1040" t="s">
        <v>3463</v>
      </c>
      <c r="H3324" s="273" t="s">
        <v>3462</v>
      </c>
      <c r="I3324" s="720">
        <f t="shared" si="736"/>
        <v>165.3698</v>
      </c>
      <c r="J3324" s="756">
        <f>165.3696+165.37</f>
        <v>330.7396</v>
      </c>
      <c r="K3324" s="131">
        <f t="shared" si="732"/>
        <v>330.7396</v>
      </c>
      <c r="L3324" s="335">
        <f t="shared" si="739"/>
        <v>0</v>
      </c>
      <c r="M3324" s="446"/>
      <c r="N3324" s="446"/>
      <c r="O3324" s="446"/>
      <c r="P3324" s="446"/>
      <c r="Q3324" s="130">
        <v>1</v>
      </c>
      <c r="R3324" s="111">
        <f t="shared" si="737"/>
        <v>82.684899999999999</v>
      </c>
      <c r="S3324" s="110"/>
      <c r="T3324" s="110"/>
      <c r="U3324" s="130">
        <v>1</v>
      </c>
      <c r="V3324" s="111">
        <f t="shared" si="738"/>
        <v>82.684899999999999</v>
      </c>
      <c r="W3324" s="110"/>
      <c r="X3324" s="110"/>
      <c r="Y3324" s="110"/>
      <c r="Z3324" s="110"/>
      <c r="AA3324" s="130">
        <v>0</v>
      </c>
      <c r="AB3324" s="111">
        <f t="shared" si="730"/>
        <v>82.684899999999999</v>
      </c>
      <c r="AC3324" s="110"/>
      <c r="AD3324" s="110"/>
      <c r="AE3324" s="130">
        <v>0</v>
      </c>
      <c r="AF3324" s="111">
        <f t="shared" si="731"/>
        <v>82.684899999999999</v>
      </c>
      <c r="AG3324" s="110"/>
      <c r="AH3324" s="110"/>
      <c r="AI3324" s="110"/>
      <c r="AJ3324" s="110"/>
      <c r="AK3324" s="111">
        <f t="shared" si="740"/>
        <v>330.7396</v>
      </c>
      <c r="AL3324" s="446">
        <f t="shared" si="741"/>
        <v>0</v>
      </c>
      <c r="AM3324" s="110">
        <f t="shared" si="742"/>
        <v>2</v>
      </c>
      <c r="AN3324" s="447">
        <f t="shared" si="733"/>
        <v>0</v>
      </c>
      <c r="AO3324"/>
      <c r="AP3324"/>
    </row>
    <row r="3325" spans="1:42" ht="66" x14ac:dyDescent="0.25">
      <c r="A3325" s="9"/>
      <c r="B3325" s="34" t="s">
        <v>718</v>
      </c>
      <c r="C3325" s="1024"/>
      <c r="D3325" s="869">
        <v>1</v>
      </c>
      <c r="E3325" s="1027" t="s">
        <v>1721</v>
      </c>
      <c r="F3325" s="273" t="s">
        <v>3446</v>
      </c>
      <c r="G3325" s="1040" t="s">
        <v>3463</v>
      </c>
      <c r="H3325" s="273" t="s">
        <v>3462</v>
      </c>
      <c r="I3325" s="720">
        <f t="shared" si="736"/>
        <v>461.65680000000003</v>
      </c>
      <c r="J3325" s="756">
        <v>461.65680000000003</v>
      </c>
      <c r="K3325" s="131">
        <f t="shared" si="732"/>
        <v>461.65680000000003</v>
      </c>
      <c r="L3325" s="335">
        <f t="shared" si="739"/>
        <v>0</v>
      </c>
      <c r="M3325" s="446"/>
      <c r="N3325" s="446"/>
      <c r="O3325" s="446"/>
      <c r="P3325" s="446"/>
      <c r="Q3325" s="110">
        <v>1</v>
      </c>
      <c r="R3325" s="111">
        <f t="shared" si="737"/>
        <v>115.41420000000001</v>
      </c>
      <c r="S3325" s="110"/>
      <c r="T3325" s="110"/>
      <c r="U3325" s="110">
        <v>0</v>
      </c>
      <c r="V3325" s="111">
        <f t="shared" si="738"/>
        <v>115.41420000000001</v>
      </c>
      <c r="W3325" s="110"/>
      <c r="X3325" s="110"/>
      <c r="Y3325" s="110"/>
      <c r="Z3325" s="110"/>
      <c r="AA3325" s="110">
        <v>0</v>
      </c>
      <c r="AB3325" s="111">
        <f t="shared" si="730"/>
        <v>115.41420000000001</v>
      </c>
      <c r="AC3325" s="110"/>
      <c r="AD3325" s="110"/>
      <c r="AE3325" s="110">
        <v>0</v>
      </c>
      <c r="AF3325" s="111">
        <f t="shared" si="731"/>
        <v>115.41420000000001</v>
      </c>
      <c r="AG3325" s="110"/>
      <c r="AH3325" s="110"/>
      <c r="AI3325" s="110"/>
      <c r="AJ3325" s="110"/>
      <c r="AK3325" s="111">
        <f t="shared" si="740"/>
        <v>461.65680000000003</v>
      </c>
      <c r="AL3325" s="446">
        <f t="shared" si="741"/>
        <v>0</v>
      </c>
      <c r="AM3325" s="110">
        <f t="shared" si="742"/>
        <v>1</v>
      </c>
      <c r="AN3325" s="447">
        <f t="shared" si="733"/>
        <v>0</v>
      </c>
      <c r="AO3325"/>
      <c r="AP3325"/>
    </row>
    <row r="3326" spans="1:42" ht="66" x14ac:dyDescent="0.25">
      <c r="A3326" s="9"/>
      <c r="B3326" s="34" t="s">
        <v>719</v>
      </c>
      <c r="C3326" s="1024"/>
      <c r="D3326" s="869">
        <v>1</v>
      </c>
      <c r="E3326" s="84" t="s">
        <v>1721</v>
      </c>
      <c r="F3326" s="273" t="s">
        <v>3446</v>
      </c>
      <c r="G3326" s="1040" t="s">
        <v>3463</v>
      </c>
      <c r="H3326" s="273" t="s">
        <v>3462</v>
      </c>
      <c r="I3326" s="720">
        <f t="shared" si="736"/>
        <v>268.72559999999999</v>
      </c>
      <c r="J3326" s="756">
        <v>268.72559999999999</v>
      </c>
      <c r="K3326" s="131">
        <f t="shared" si="732"/>
        <v>268.72559999999999</v>
      </c>
      <c r="L3326" s="335">
        <f t="shared" si="739"/>
        <v>0</v>
      </c>
      <c r="M3326" s="446"/>
      <c r="N3326" s="446"/>
      <c r="O3326" s="446"/>
      <c r="P3326" s="446"/>
      <c r="Q3326" s="110">
        <v>1</v>
      </c>
      <c r="R3326" s="111">
        <f t="shared" si="737"/>
        <v>67.181399999999996</v>
      </c>
      <c r="S3326" s="110"/>
      <c r="T3326" s="110"/>
      <c r="U3326" s="110">
        <v>0</v>
      </c>
      <c r="V3326" s="111">
        <f t="shared" si="738"/>
        <v>67.181399999999996</v>
      </c>
      <c r="W3326" s="110"/>
      <c r="X3326" s="110"/>
      <c r="Y3326" s="110"/>
      <c r="Z3326" s="110"/>
      <c r="AA3326" s="110">
        <v>0</v>
      </c>
      <c r="AB3326" s="111">
        <f t="shared" si="730"/>
        <v>67.181399999999996</v>
      </c>
      <c r="AC3326" s="110"/>
      <c r="AD3326" s="110"/>
      <c r="AE3326" s="110">
        <v>0</v>
      </c>
      <c r="AF3326" s="111">
        <f t="shared" si="731"/>
        <v>67.181399999999996</v>
      </c>
      <c r="AG3326" s="110"/>
      <c r="AH3326" s="110"/>
      <c r="AI3326" s="110"/>
      <c r="AJ3326" s="110"/>
      <c r="AK3326" s="111">
        <f t="shared" si="740"/>
        <v>268.72559999999999</v>
      </c>
      <c r="AL3326" s="446">
        <f t="shared" si="741"/>
        <v>0</v>
      </c>
      <c r="AM3326" s="110">
        <f t="shared" si="742"/>
        <v>1</v>
      </c>
      <c r="AN3326" s="447">
        <f t="shared" si="733"/>
        <v>0</v>
      </c>
      <c r="AO3326"/>
      <c r="AP3326"/>
    </row>
    <row r="3327" spans="1:42" ht="66" x14ac:dyDescent="0.25">
      <c r="A3327" s="9"/>
      <c r="B3327" s="34" t="s">
        <v>720</v>
      </c>
      <c r="C3327" s="1024"/>
      <c r="D3327" s="869">
        <v>1</v>
      </c>
      <c r="E3327" s="84" t="s">
        <v>1721</v>
      </c>
      <c r="F3327" s="273" t="s">
        <v>3446</v>
      </c>
      <c r="G3327" s="1040" t="s">
        <v>3463</v>
      </c>
      <c r="H3327" s="273" t="s">
        <v>3462</v>
      </c>
      <c r="I3327" s="720">
        <f t="shared" si="736"/>
        <v>150.20840000000001</v>
      </c>
      <c r="J3327" s="756">
        <v>150.20840000000001</v>
      </c>
      <c r="K3327" s="131">
        <f t="shared" si="732"/>
        <v>150.20840000000001</v>
      </c>
      <c r="L3327" s="335">
        <f t="shared" si="739"/>
        <v>0</v>
      </c>
      <c r="M3327" s="446"/>
      <c r="N3327" s="446"/>
      <c r="O3327" s="446"/>
      <c r="P3327" s="446"/>
      <c r="Q3327" s="110">
        <v>1</v>
      </c>
      <c r="R3327" s="111">
        <f t="shared" si="737"/>
        <v>37.552100000000003</v>
      </c>
      <c r="S3327" s="110"/>
      <c r="T3327" s="110"/>
      <c r="U3327" s="110">
        <v>0</v>
      </c>
      <c r="V3327" s="111">
        <f t="shared" si="738"/>
        <v>37.552100000000003</v>
      </c>
      <c r="W3327" s="110"/>
      <c r="X3327" s="110"/>
      <c r="Y3327" s="110"/>
      <c r="Z3327" s="110"/>
      <c r="AA3327" s="110">
        <v>0</v>
      </c>
      <c r="AB3327" s="111">
        <f t="shared" si="730"/>
        <v>37.552100000000003</v>
      </c>
      <c r="AC3327" s="110"/>
      <c r="AD3327" s="110"/>
      <c r="AE3327" s="110">
        <v>0</v>
      </c>
      <c r="AF3327" s="111">
        <f t="shared" si="731"/>
        <v>37.552100000000003</v>
      </c>
      <c r="AG3327" s="110"/>
      <c r="AH3327" s="110"/>
      <c r="AI3327" s="110"/>
      <c r="AJ3327" s="110"/>
      <c r="AK3327" s="111">
        <f t="shared" si="740"/>
        <v>150.20840000000001</v>
      </c>
      <c r="AL3327" s="446">
        <f t="shared" si="741"/>
        <v>0</v>
      </c>
      <c r="AM3327" s="110">
        <f t="shared" si="742"/>
        <v>1</v>
      </c>
      <c r="AN3327" s="447">
        <f t="shared" si="733"/>
        <v>0</v>
      </c>
      <c r="AO3327"/>
      <c r="AP3327"/>
    </row>
    <row r="3328" spans="1:42" ht="66" x14ac:dyDescent="0.25">
      <c r="A3328" s="9"/>
      <c r="B3328" s="34" t="s">
        <v>721</v>
      </c>
      <c r="C3328" s="1024"/>
      <c r="D3328" s="869">
        <v>1</v>
      </c>
      <c r="E3328" s="84" t="s">
        <v>1721</v>
      </c>
      <c r="F3328" s="273" t="s">
        <v>3446</v>
      </c>
      <c r="G3328" s="1040" t="s">
        <v>3463</v>
      </c>
      <c r="H3328" s="273" t="s">
        <v>3462</v>
      </c>
      <c r="I3328" s="720">
        <f t="shared" si="736"/>
        <v>316.95839999999998</v>
      </c>
      <c r="J3328" s="756">
        <v>316.95839999999998</v>
      </c>
      <c r="K3328" s="131">
        <f t="shared" si="732"/>
        <v>316.95839999999998</v>
      </c>
      <c r="L3328" s="335">
        <f t="shared" si="739"/>
        <v>0</v>
      </c>
      <c r="M3328" s="446"/>
      <c r="N3328" s="446"/>
      <c r="O3328" s="446"/>
      <c r="P3328" s="446"/>
      <c r="Q3328" s="110">
        <v>1</v>
      </c>
      <c r="R3328" s="111">
        <f t="shared" si="737"/>
        <v>79.239599999999996</v>
      </c>
      <c r="S3328" s="110"/>
      <c r="T3328" s="110"/>
      <c r="U3328" s="110">
        <v>0</v>
      </c>
      <c r="V3328" s="111">
        <f t="shared" si="738"/>
        <v>79.239599999999996</v>
      </c>
      <c r="W3328" s="110"/>
      <c r="X3328" s="110"/>
      <c r="Y3328" s="110"/>
      <c r="Z3328" s="110"/>
      <c r="AA3328" s="110">
        <v>0</v>
      </c>
      <c r="AB3328" s="111">
        <f t="shared" si="730"/>
        <v>79.239599999999996</v>
      </c>
      <c r="AC3328" s="110"/>
      <c r="AD3328" s="110"/>
      <c r="AE3328" s="110">
        <v>0</v>
      </c>
      <c r="AF3328" s="111">
        <f t="shared" si="731"/>
        <v>79.239599999999996</v>
      </c>
      <c r="AG3328" s="110"/>
      <c r="AH3328" s="110"/>
      <c r="AI3328" s="110"/>
      <c r="AJ3328" s="110"/>
      <c r="AK3328" s="111">
        <f t="shared" si="740"/>
        <v>316.95839999999998</v>
      </c>
      <c r="AL3328" s="446">
        <f t="shared" si="741"/>
        <v>0</v>
      </c>
      <c r="AM3328" s="110">
        <f t="shared" si="742"/>
        <v>1</v>
      </c>
      <c r="AN3328" s="447">
        <f t="shared" si="733"/>
        <v>0</v>
      </c>
      <c r="AO3328"/>
      <c r="AP3328"/>
    </row>
    <row r="3329" spans="1:42" ht="66" x14ac:dyDescent="0.25">
      <c r="A3329" s="9"/>
      <c r="B3329" s="34" t="s">
        <v>722</v>
      </c>
      <c r="C3329" s="1024"/>
      <c r="D3329" s="869">
        <v>1</v>
      </c>
      <c r="E3329" s="84" t="s">
        <v>1721</v>
      </c>
      <c r="F3329" s="273" t="s">
        <v>3446</v>
      </c>
      <c r="G3329" s="1040" t="s">
        <v>3463</v>
      </c>
      <c r="H3329" s="273" t="s">
        <v>3462</v>
      </c>
      <c r="I3329" s="720">
        <f t="shared" si="736"/>
        <v>392.75279999999998</v>
      </c>
      <c r="J3329" s="756">
        <v>392.75279999999998</v>
      </c>
      <c r="K3329" s="131">
        <f t="shared" si="732"/>
        <v>392.75279999999998</v>
      </c>
      <c r="L3329" s="335">
        <f t="shared" si="739"/>
        <v>0</v>
      </c>
      <c r="M3329" s="446"/>
      <c r="N3329" s="446"/>
      <c r="O3329" s="446"/>
      <c r="P3329" s="446"/>
      <c r="Q3329" s="110">
        <v>1</v>
      </c>
      <c r="R3329" s="111">
        <f t="shared" si="737"/>
        <v>98.188199999999995</v>
      </c>
      <c r="S3329" s="110"/>
      <c r="T3329" s="110"/>
      <c r="U3329" s="110">
        <v>0</v>
      </c>
      <c r="V3329" s="111">
        <f t="shared" si="738"/>
        <v>98.188199999999995</v>
      </c>
      <c r="W3329" s="110"/>
      <c r="X3329" s="110"/>
      <c r="Y3329" s="110"/>
      <c r="Z3329" s="110"/>
      <c r="AA3329" s="110">
        <v>0</v>
      </c>
      <c r="AB3329" s="111">
        <f t="shared" si="730"/>
        <v>98.188199999999995</v>
      </c>
      <c r="AC3329" s="110"/>
      <c r="AD3329" s="110"/>
      <c r="AE3329" s="110">
        <v>0</v>
      </c>
      <c r="AF3329" s="111">
        <f t="shared" si="731"/>
        <v>98.188199999999995</v>
      </c>
      <c r="AG3329" s="110"/>
      <c r="AH3329" s="110"/>
      <c r="AI3329" s="110"/>
      <c r="AJ3329" s="110"/>
      <c r="AK3329" s="111">
        <f t="shared" si="740"/>
        <v>392.75279999999998</v>
      </c>
      <c r="AL3329" s="446">
        <f t="shared" si="741"/>
        <v>0</v>
      </c>
      <c r="AM3329" s="110">
        <f t="shared" si="742"/>
        <v>1</v>
      </c>
      <c r="AN3329" s="447">
        <f t="shared" si="733"/>
        <v>0</v>
      </c>
      <c r="AO3329"/>
      <c r="AP3329"/>
    </row>
    <row r="3330" spans="1:42" ht="66" x14ac:dyDescent="0.25">
      <c r="A3330" s="9"/>
      <c r="B3330" s="34" t="s">
        <v>723</v>
      </c>
      <c r="C3330" s="1024"/>
      <c r="D3330" s="869">
        <v>1</v>
      </c>
      <c r="E3330" s="84" t="s">
        <v>1721</v>
      </c>
      <c r="F3330" s="273" t="s">
        <v>3446</v>
      </c>
      <c r="G3330" s="1040" t="s">
        <v>3463</v>
      </c>
      <c r="H3330" s="273" t="s">
        <v>3462</v>
      </c>
      <c r="I3330" s="720">
        <f t="shared" si="736"/>
        <v>316.95839999999998</v>
      </c>
      <c r="J3330" s="756">
        <v>316.95839999999998</v>
      </c>
      <c r="K3330" s="131">
        <f t="shared" si="732"/>
        <v>316.95839999999998</v>
      </c>
      <c r="L3330" s="335">
        <f t="shared" si="739"/>
        <v>0</v>
      </c>
      <c r="M3330" s="446"/>
      <c r="N3330" s="446"/>
      <c r="O3330" s="446"/>
      <c r="P3330" s="446"/>
      <c r="Q3330" s="110">
        <v>1</v>
      </c>
      <c r="R3330" s="111">
        <f t="shared" si="737"/>
        <v>79.239599999999996</v>
      </c>
      <c r="S3330" s="110"/>
      <c r="T3330" s="110"/>
      <c r="U3330" s="110">
        <v>0</v>
      </c>
      <c r="V3330" s="111">
        <f t="shared" si="738"/>
        <v>79.239599999999996</v>
      </c>
      <c r="W3330" s="110"/>
      <c r="X3330" s="110"/>
      <c r="Y3330" s="110"/>
      <c r="Z3330" s="110"/>
      <c r="AA3330" s="110">
        <v>0</v>
      </c>
      <c r="AB3330" s="111">
        <f t="shared" si="730"/>
        <v>79.239599999999996</v>
      </c>
      <c r="AC3330" s="110"/>
      <c r="AD3330" s="110"/>
      <c r="AE3330" s="110">
        <v>0</v>
      </c>
      <c r="AF3330" s="111">
        <f t="shared" si="731"/>
        <v>79.239599999999996</v>
      </c>
      <c r="AG3330" s="110"/>
      <c r="AH3330" s="110"/>
      <c r="AI3330" s="110"/>
      <c r="AJ3330" s="110"/>
      <c r="AK3330" s="111">
        <f t="shared" si="740"/>
        <v>316.95839999999998</v>
      </c>
      <c r="AL3330" s="446">
        <f t="shared" si="741"/>
        <v>0</v>
      </c>
      <c r="AM3330" s="110">
        <f t="shared" si="742"/>
        <v>1</v>
      </c>
      <c r="AN3330" s="447">
        <f t="shared" si="733"/>
        <v>0</v>
      </c>
      <c r="AO3330"/>
      <c r="AP3330"/>
    </row>
    <row r="3331" spans="1:42" ht="66" x14ac:dyDescent="0.25">
      <c r="A3331" s="9"/>
      <c r="B3331" s="34" t="s">
        <v>724</v>
      </c>
      <c r="C3331" s="1024"/>
      <c r="D3331" s="869">
        <v>1</v>
      </c>
      <c r="E3331" s="84" t="s">
        <v>1721</v>
      </c>
      <c r="F3331" s="273" t="s">
        <v>3446</v>
      </c>
      <c r="G3331" s="1040" t="s">
        <v>3463</v>
      </c>
      <c r="H3331" s="273" t="s">
        <v>3462</v>
      </c>
      <c r="I3331" s="720">
        <f t="shared" si="736"/>
        <v>806.17680000000007</v>
      </c>
      <c r="J3331" s="756">
        <v>806.17680000000007</v>
      </c>
      <c r="K3331" s="131">
        <f t="shared" si="732"/>
        <v>806.17680000000007</v>
      </c>
      <c r="L3331" s="335">
        <f t="shared" si="739"/>
        <v>0</v>
      </c>
      <c r="M3331" s="446"/>
      <c r="N3331" s="446"/>
      <c r="O3331" s="446"/>
      <c r="P3331" s="446"/>
      <c r="Q3331" s="110">
        <v>1</v>
      </c>
      <c r="R3331" s="111">
        <f t="shared" si="737"/>
        <v>201.54420000000002</v>
      </c>
      <c r="S3331" s="110"/>
      <c r="T3331" s="110"/>
      <c r="U3331" s="110">
        <v>0</v>
      </c>
      <c r="V3331" s="111">
        <f t="shared" si="738"/>
        <v>201.54420000000002</v>
      </c>
      <c r="W3331" s="110"/>
      <c r="X3331" s="110"/>
      <c r="Y3331" s="110"/>
      <c r="Z3331" s="110"/>
      <c r="AA3331" s="110">
        <v>0</v>
      </c>
      <c r="AB3331" s="111">
        <f t="shared" si="730"/>
        <v>201.54420000000002</v>
      </c>
      <c r="AC3331" s="110"/>
      <c r="AD3331" s="110"/>
      <c r="AE3331" s="110">
        <v>0</v>
      </c>
      <c r="AF3331" s="111">
        <f t="shared" si="731"/>
        <v>201.54420000000002</v>
      </c>
      <c r="AG3331" s="110"/>
      <c r="AH3331" s="110"/>
      <c r="AI3331" s="110"/>
      <c r="AJ3331" s="110"/>
      <c r="AK3331" s="111">
        <f t="shared" si="740"/>
        <v>806.17680000000007</v>
      </c>
      <c r="AL3331" s="446">
        <f t="shared" si="741"/>
        <v>0</v>
      </c>
      <c r="AM3331" s="110">
        <f t="shared" si="742"/>
        <v>1</v>
      </c>
      <c r="AN3331" s="447">
        <f t="shared" si="733"/>
        <v>0</v>
      </c>
      <c r="AO3331"/>
      <c r="AP3331"/>
    </row>
    <row r="3332" spans="1:42" ht="66" x14ac:dyDescent="0.25">
      <c r="A3332" s="9"/>
      <c r="B3332" s="34" t="s">
        <v>1643</v>
      </c>
      <c r="C3332" s="1024"/>
      <c r="D3332" s="869">
        <v>1</v>
      </c>
      <c r="E3332" s="84" t="s">
        <v>1721</v>
      </c>
      <c r="F3332" s="273" t="s">
        <v>3446</v>
      </c>
      <c r="G3332" s="1040" t="s">
        <v>3463</v>
      </c>
      <c r="H3332" s="273" t="s">
        <v>3462</v>
      </c>
      <c r="I3332" s="720">
        <f t="shared" si="736"/>
        <v>3651.9119999999998</v>
      </c>
      <c r="J3332" s="756">
        <v>3651.9119999999998</v>
      </c>
      <c r="K3332" s="131">
        <f t="shared" si="732"/>
        <v>3651.9119999999998</v>
      </c>
      <c r="L3332" s="335">
        <f t="shared" si="739"/>
        <v>0</v>
      </c>
      <c r="M3332" s="446"/>
      <c r="N3332" s="446"/>
      <c r="O3332" s="446"/>
      <c r="P3332" s="446"/>
      <c r="Q3332" s="110">
        <v>1</v>
      </c>
      <c r="R3332" s="111">
        <f t="shared" si="737"/>
        <v>912.97799999999995</v>
      </c>
      <c r="S3332" s="110"/>
      <c r="T3332" s="110"/>
      <c r="U3332" s="110">
        <v>0</v>
      </c>
      <c r="V3332" s="111">
        <f t="shared" si="738"/>
        <v>912.97799999999995</v>
      </c>
      <c r="W3332" s="110"/>
      <c r="X3332" s="110"/>
      <c r="Y3332" s="110"/>
      <c r="Z3332" s="110"/>
      <c r="AA3332" s="110">
        <v>0</v>
      </c>
      <c r="AB3332" s="111">
        <f t="shared" si="730"/>
        <v>912.97799999999995</v>
      </c>
      <c r="AC3332" s="110"/>
      <c r="AD3332" s="110"/>
      <c r="AE3332" s="110">
        <v>0</v>
      </c>
      <c r="AF3332" s="111">
        <f t="shared" si="731"/>
        <v>912.97799999999995</v>
      </c>
      <c r="AG3332" s="110"/>
      <c r="AH3332" s="110"/>
      <c r="AI3332" s="110"/>
      <c r="AJ3332" s="110"/>
      <c r="AK3332" s="111">
        <f t="shared" si="740"/>
        <v>3651.9119999999998</v>
      </c>
      <c r="AL3332" s="446">
        <f t="shared" si="741"/>
        <v>0</v>
      </c>
      <c r="AM3332" s="110">
        <f t="shared" si="742"/>
        <v>1</v>
      </c>
      <c r="AN3332" s="447">
        <f t="shared" si="733"/>
        <v>0</v>
      </c>
      <c r="AO3332"/>
      <c r="AP3332"/>
    </row>
    <row r="3333" spans="1:42" ht="66" x14ac:dyDescent="0.25">
      <c r="A3333" s="9"/>
      <c r="B3333" s="34" t="s">
        <v>1644</v>
      </c>
      <c r="C3333" s="1024"/>
      <c r="D3333" s="869">
        <v>2</v>
      </c>
      <c r="E3333" s="84" t="s">
        <v>1721</v>
      </c>
      <c r="F3333" s="273" t="s">
        <v>3446</v>
      </c>
      <c r="G3333" s="1040" t="s">
        <v>3463</v>
      </c>
      <c r="H3333" s="273" t="s">
        <v>3462</v>
      </c>
      <c r="I3333" s="720">
        <f t="shared" si="736"/>
        <v>117.13680000000001</v>
      </c>
      <c r="J3333" s="756">
        <v>234.27360000000002</v>
      </c>
      <c r="K3333" s="131">
        <f t="shared" si="732"/>
        <v>234.27360000000002</v>
      </c>
      <c r="L3333" s="335">
        <f t="shared" si="739"/>
        <v>0</v>
      </c>
      <c r="M3333" s="446"/>
      <c r="N3333" s="446"/>
      <c r="O3333" s="446"/>
      <c r="P3333" s="446"/>
      <c r="Q3333" s="130">
        <v>1</v>
      </c>
      <c r="R3333" s="111">
        <f t="shared" si="737"/>
        <v>58.568400000000004</v>
      </c>
      <c r="S3333" s="110"/>
      <c r="T3333" s="110"/>
      <c r="U3333" s="130">
        <v>1</v>
      </c>
      <c r="V3333" s="111">
        <f t="shared" si="738"/>
        <v>58.568400000000004</v>
      </c>
      <c r="W3333" s="110"/>
      <c r="X3333" s="110"/>
      <c r="Y3333" s="110"/>
      <c r="Z3333" s="110"/>
      <c r="AA3333" s="130">
        <v>0</v>
      </c>
      <c r="AB3333" s="111">
        <f t="shared" si="730"/>
        <v>58.568400000000004</v>
      </c>
      <c r="AC3333" s="110"/>
      <c r="AD3333" s="110"/>
      <c r="AE3333" s="130">
        <v>0</v>
      </c>
      <c r="AF3333" s="111">
        <f t="shared" si="731"/>
        <v>58.568400000000004</v>
      </c>
      <c r="AG3333" s="110"/>
      <c r="AH3333" s="110"/>
      <c r="AI3333" s="110"/>
      <c r="AJ3333" s="110"/>
      <c r="AK3333" s="111">
        <f t="shared" si="740"/>
        <v>234.27360000000002</v>
      </c>
      <c r="AL3333" s="446">
        <f t="shared" si="741"/>
        <v>0</v>
      </c>
      <c r="AM3333" s="110">
        <f t="shared" si="742"/>
        <v>2</v>
      </c>
      <c r="AN3333" s="447">
        <f t="shared" si="733"/>
        <v>0</v>
      </c>
      <c r="AO3333"/>
      <c r="AP3333"/>
    </row>
    <row r="3334" spans="1:42" ht="66" x14ac:dyDescent="0.25">
      <c r="A3334" s="9"/>
      <c r="B3334" s="34" t="s">
        <v>725</v>
      </c>
      <c r="C3334" s="1024"/>
      <c r="D3334" s="869">
        <v>3</v>
      </c>
      <c r="E3334" s="84" t="s">
        <v>1721</v>
      </c>
      <c r="F3334" s="273" t="s">
        <v>3446</v>
      </c>
      <c r="G3334" s="1040" t="s">
        <v>3463</v>
      </c>
      <c r="H3334" s="273" t="s">
        <v>3462</v>
      </c>
      <c r="I3334" s="720">
        <f t="shared" si="736"/>
        <v>96.465599999999995</v>
      </c>
      <c r="J3334" s="756">
        <v>289.39679999999998</v>
      </c>
      <c r="K3334" s="131">
        <f t="shared" si="732"/>
        <v>289.39679999999998</v>
      </c>
      <c r="L3334" s="335">
        <f t="shared" si="739"/>
        <v>0</v>
      </c>
      <c r="M3334" s="446"/>
      <c r="N3334" s="446"/>
      <c r="O3334" s="446"/>
      <c r="P3334" s="446"/>
      <c r="Q3334" s="130">
        <v>1</v>
      </c>
      <c r="R3334" s="111">
        <f t="shared" si="737"/>
        <v>72.349199999999996</v>
      </c>
      <c r="S3334" s="110"/>
      <c r="T3334" s="110"/>
      <c r="U3334" s="130">
        <v>1</v>
      </c>
      <c r="V3334" s="111">
        <f t="shared" si="738"/>
        <v>72.349199999999996</v>
      </c>
      <c r="W3334" s="110"/>
      <c r="X3334" s="110"/>
      <c r="Y3334" s="110"/>
      <c r="Z3334" s="110"/>
      <c r="AA3334" s="130">
        <v>1</v>
      </c>
      <c r="AB3334" s="111">
        <f t="shared" si="730"/>
        <v>72.349199999999996</v>
      </c>
      <c r="AC3334" s="110"/>
      <c r="AD3334" s="110"/>
      <c r="AE3334" s="130">
        <v>0</v>
      </c>
      <c r="AF3334" s="111">
        <f t="shared" si="731"/>
        <v>72.349199999999996</v>
      </c>
      <c r="AG3334" s="110"/>
      <c r="AH3334" s="110"/>
      <c r="AI3334" s="110"/>
      <c r="AJ3334" s="110"/>
      <c r="AK3334" s="111">
        <f t="shared" si="740"/>
        <v>289.39679999999998</v>
      </c>
      <c r="AL3334" s="446">
        <f t="shared" si="741"/>
        <v>0</v>
      </c>
      <c r="AM3334" s="110">
        <f t="shared" si="742"/>
        <v>3</v>
      </c>
      <c r="AN3334" s="447">
        <f t="shared" si="733"/>
        <v>0</v>
      </c>
      <c r="AO3334"/>
      <c r="AP3334"/>
    </row>
    <row r="3335" spans="1:42" ht="66" x14ac:dyDescent="0.25">
      <c r="A3335" s="9"/>
      <c r="B3335" s="59" t="s">
        <v>1645</v>
      </c>
      <c r="C3335" s="1024"/>
      <c r="D3335" s="869">
        <v>1</v>
      </c>
      <c r="E3335" s="84" t="s">
        <v>1721</v>
      </c>
      <c r="F3335" s="273" t="s">
        <v>3446</v>
      </c>
      <c r="G3335" s="1040" t="s">
        <v>3463</v>
      </c>
      <c r="H3335" s="273" t="s">
        <v>3462</v>
      </c>
      <c r="I3335" s="720">
        <f t="shared" si="736"/>
        <v>2583.9</v>
      </c>
      <c r="J3335" s="756">
        <v>2583.9</v>
      </c>
      <c r="K3335" s="131">
        <f t="shared" si="732"/>
        <v>2583.9</v>
      </c>
      <c r="L3335" s="335">
        <f t="shared" si="739"/>
        <v>0</v>
      </c>
      <c r="M3335" s="446"/>
      <c r="N3335" s="446"/>
      <c r="O3335" s="446"/>
      <c r="P3335" s="446"/>
      <c r="Q3335" s="110">
        <v>1</v>
      </c>
      <c r="R3335" s="111">
        <f t="shared" si="737"/>
        <v>645.97500000000002</v>
      </c>
      <c r="S3335" s="110"/>
      <c r="T3335" s="110"/>
      <c r="U3335" s="110">
        <v>0</v>
      </c>
      <c r="V3335" s="111">
        <f t="shared" si="738"/>
        <v>645.97500000000002</v>
      </c>
      <c r="W3335" s="110"/>
      <c r="X3335" s="110"/>
      <c r="Y3335" s="110"/>
      <c r="Z3335" s="110"/>
      <c r="AA3335" s="110">
        <v>0</v>
      </c>
      <c r="AB3335" s="111">
        <f t="shared" ref="AB3335:AB3398" si="743">+J3335/4</f>
        <v>645.97500000000002</v>
      </c>
      <c r="AC3335" s="110"/>
      <c r="AD3335" s="110"/>
      <c r="AE3335" s="110">
        <v>0</v>
      </c>
      <c r="AF3335" s="111">
        <f t="shared" ref="AF3335:AF3398" si="744">+J3335/4</f>
        <v>645.97500000000002</v>
      </c>
      <c r="AG3335" s="110"/>
      <c r="AH3335" s="110"/>
      <c r="AI3335" s="110"/>
      <c r="AJ3335" s="110"/>
      <c r="AK3335" s="111">
        <f t="shared" si="740"/>
        <v>2583.9</v>
      </c>
      <c r="AL3335" s="446">
        <f t="shared" si="741"/>
        <v>0</v>
      </c>
      <c r="AM3335" s="110">
        <f t="shared" si="742"/>
        <v>1</v>
      </c>
      <c r="AN3335" s="447">
        <f t="shared" si="733"/>
        <v>0</v>
      </c>
      <c r="AO3335"/>
      <c r="AP3335"/>
    </row>
    <row r="3336" spans="1:42" ht="66" x14ac:dyDescent="0.25">
      <c r="A3336" s="9"/>
      <c r="B3336" s="59" t="s">
        <v>1646</v>
      </c>
      <c r="C3336" s="1024"/>
      <c r="D3336" s="869">
        <v>1</v>
      </c>
      <c r="E3336" s="84" t="s">
        <v>1721</v>
      </c>
      <c r="F3336" s="273" t="s">
        <v>3446</v>
      </c>
      <c r="G3336" s="1040" t="s">
        <v>3463</v>
      </c>
      <c r="H3336" s="273" t="s">
        <v>3462</v>
      </c>
      <c r="I3336" s="720">
        <f t="shared" si="736"/>
        <v>799.28639999999996</v>
      </c>
      <c r="J3336" s="756">
        <v>799.28639999999996</v>
      </c>
      <c r="K3336" s="131">
        <f t="shared" si="732"/>
        <v>799.28639999999996</v>
      </c>
      <c r="L3336" s="335">
        <f t="shared" si="739"/>
        <v>0</v>
      </c>
      <c r="M3336" s="446"/>
      <c r="N3336" s="446"/>
      <c r="O3336" s="446"/>
      <c r="P3336" s="446"/>
      <c r="Q3336" s="110">
        <v>1</v>
      </c>
      <c r="R3336" s="111">
        <f t="shared" si="737"/>
        <v>199.82159999999999</v>
      </c>
      <c r="S3336" s="110"/>
      <c r="T3336" s="110"/>
      <c r="U3336" s="110">
        <v>0</v>
      </c>
      <c r="V3336" s="111">
        <f t="shared" si="738"/>
        <v>199.82159999999999</v>
      </c>
      <c r="W3336" s="110"/>
      <c r="X3336" s="110"/>
      <c r="Y3336" s="110"/>
      <c r="Z3336" s="110"/>
      <c r="AA3336" s="110">
        <v>0</v>
      </c>
      <c r="AB3336" s="111">
        <f t="shared" si="743"/>
        <v>199.82159999999999</v>
      </c>
      <c r="AC3336" s="110"/>
      <c r="AD3336" s="110"/>
      <c r="AE3336" s="110">
        <v>0</v>
      </c>
      <c r="AF3336" s="111">
        <f t="shared" si="744"/>
        <v>199.82159999999999</v>
      </c>
      <c r="AG3336" s="110"/>
      <c r="AH3336" s="110"/>
      <c r="AI3336" s="110"/>
      <c r="AJ3336" s="110"/>
      <c r="AK3336" s="111">
        <f t="shared" si="740"/>
        <v>799.28639999999996</v>
      </c>
      <c r="AL3336" s="446">
        <f t="shared" si="741"/>
        <v>0</v>
      </c>
      <c r="AM3336" s="110">
        <f t="shared" si="742"/>
        <v>1</v>
      </c>
      <c r="AN3336" s="447">
        <f t="shared" si="733"/>
        <v>0</v>
      </c>
      <c r="AO3336"/>
      <c r="AP3336"/>
    </row>
    <row r="3337" spans="1:42" ht="66" x14ac:dyDescent="0.25">
      <c r="A3337" s="9"/>
      <c r="B3337" s="219" t="s">
        <v>2821</v>
      </c>
      <c r="C3337" s="1024"/>
      <c r="D3337" s="869">
        <v>2</v>
      </c>
      <c r="E3337" s="1027" t="s">
        <v>1749</v>
      </c>
      <c r="F3337" s="273" t="s">
        <v>3446</v>
      </c>
      <c r="G3337" s="1040" t="s">
        <v>3463</v>
      </c>
      <c r="H3337" s="273" t="s">
        <v>3462</v>
      </c>
      <c r="I3337" s="720">
        <f t="shared" si="736"/>
        <v>150.21</v>
      </c>
      <c r="J3337" s="756">
        <v>300.42</v>
      </c>
      <c r="K3337" s="131">
        <f t="shared" si="732"/>
        <v>300.42</v>
      </c>
      <c r="L3337" s="335">
        <f t="shared" si="739"/>
        <v>0</v>
      </c>
      <c r="M3337" s="446"/>
      <c r="N3337" s="446"/>
      <c r="O3337" s="446"/>
      <c r="P3337" s="446"/>
      <c r="Q3337" s="130">
        <v>1</v>
      </c>
      <c r="R3337" s="111">
        <f t="shared" si="737"/>
        <v>75.105000000000004</v>
      </c>
      <c r="S3337" s="110"/>
      <c r="T3337" s="110"/>
      <c r="U3337" s="130">
        <v>1</v>
      </c>
      <c r="V3337" s="111">
        <f t="shared" si="738"/>
        <v>75.105000000000004</v>
      </c>
      <c r="W3337" s="110"/>
      <c r="X3337" s="110"/>
      <c r="Y3337" s="110"/>
      <c r="Z3337" s="110"/>
      <c r="AA3337" s="130">
        <v>0</v>
      </c>
      <c r="AB3337" s="111">
        <f t="shared" si="743"/>
        <v>75.105000000000004</v>
      </c>
      <c r="AC3337" s="110"/>
      <c r="AD3337" s="110"/>
      <c r="AE3337" s="130">
        <v>0</v>
      </c>
      <c r="AF3337" s="111">
        <f t="shared" si="744"/>
        <v>75.105000000000004</v>
      </c>
      <c r="AG3337" s="110"/>
      <c r="AH3337" s="110"/>
      <c r="AI3337" s="110"/>
      <c r="AJ3337" s="110"/>
      <c r="AK3337" s="111">
        <f t="shared" si="740"/>
        <v>300.42</v>
      </c>
      <c r="AL3337" s="446">
        <f t="shared" si="741"/>
        <v>0</v>
      </c>
      <c r="AM3337" s="110">
        <f t="shared" si="742"/>
        <v>2</v>
      </c>
      <c r="AN3337" s="447">
        <f t="shared" si="733"/>
        <v>0</v>
      </c>
      <c r="AO3337"/>
      <c r="AP3337"/>
    </row>
    <row r="3338" spans="1:42" ht="66" x14ac:dyDescent="0.25">
      <c r="A3338" s="9"/>
      <c r="B3338" s="554" t="s">
        <v>3307</v>
      </c>
      <c r="C3338" s="1024"/>
      <c r="D3338" s="882">
        <v>1</v>
      </c>
      <c r="E3338" s="251" t="s">
        <v>1767</v>
      </c>
      <c r="F3338" s="273" t="s">
        <v>3446</v>
      </c>
      <c r="G3338" s="1040" t="s">
        <v>3463</v>
      </c>
      <c r="H3338" s="273" t="s">
        <v>3462</v>
      </c>
      <c r="I3338" s="720">
        <f t="shared" si="736"/>
        <v>212.79</v>
      </c>
      <c r="J3338" s="756">
        <v>212.79</v>
      </c>
      <c r="K3338" s="131">
        <f t="shared" si="732"/>
        <v>212.79</v>
      </c>
      <c r="L3338" s="335">
        <f t="shared" si="739"/>
        <v>0</v>
      </c>
      <c r="M3338" s="446"/>
      <c r="N3338" s="446"/>
      <c r="O3338" s="446"/>
      <c r="P3338" s="446"/>
      <c r="Q3338" s="110">
        <v>1</v>
      </c>
      <c r="R3338" s="111">
        <f t="shared" si="737"/>
        <v>53.197499999999998</v>
      </c>
      <c r="S3338" s="110"/>
      <c r="T3338" s="110"/>
      <c r="U3338" s="110">
        <v>0</v>
      </c>
      <c r="V3338" s="111">
        <f t="shared" si="738"/>
        <v>53.197499999999998</v>
      </c>
      <c r="W3338" s="110"/>
      <c r="X3338" s="110"/>
      <c r="Y3338" s="110"/>
      <c r="Z3338" s="110"/>
      <c r="AA3338" s="110">
        <v>0</v>
      </c>
      <c r="AB3338" s="111">
        <f t="shared" si="743"/>
        <v>53.197499999999998</v>
      </c>
      <c r="AC3338" s="110"/>
      <c r="AD3338" s="110"/>
      <c r="AE3338" s="110">
        <v>0</v>
      </c>
      <c r="AF3338" s="111">
        <f t="shared" si="744"/>
        <v>53.197499999999998</v>
      </c>
      <c r="AG3338" s="110"/>
      <c r="AH3338" s="110"/>
      <c r="AI3338" s="110"/>
      <c r="AJ3338" s="110"/>
      <c r="AK3338" s="111">
        <f t="shared" si="740"/>
        <v>212.79</v>
      </c>
      <c r="AL3338" s="446">
        <f t="shared" si="741"/>
        <v>0</v>
      </c>
      <c r="AM3338" s="110">
        <f t="shared" si="742"/>
        <v>1</v>
      </c>
      <c r="AN3338" s="447">
        <f t="shared" si="733"/>
        <v>0</v>
      </c>
      <c r="AO3338"/>
      <c r="AP3338"/>
    </row>
    <row r="3339" spans="1:42" ht="66" x14ac:dyDescent="0.25">
      <c r="A3339" s="9"/>
      <c r="B3339" s="528" t="s">
        <v>3308</v>
      </c>
      <c r="C3339" s="1024"/>
      <c r="D3339" s="882">
        <v>1</v>
      </c>
      <c r="E3339" s="251" t="s">
        <v>1767</v>
      </c>
      <c r="F3339" s="273" t="s">
        <v>3446</v>
      </c>
      <c r="G3339" s="1040" t="s">
        <v>3463</v>
      </c>
      <c r="H3339" s="273" t="s">
        <v>3462</v>
      </c>
      <c r="I3339" s="720">
        <f t="shared" si="736"/>
        <v>2160</v>
      </c>
      <c r="J3339" s="756">
        <v>2160</v>
      </c>
      <c r="K3339" s="131">
        <f t="shared" si="732"/>
        <v>2160</v>
      </c>
      <c r="L3339" s="335">
        <f t="shared" si="739"/>
        <v>0</v>
      </c>
      <c r="M3339" s="446"/>
      <c r="N3339" s="446"/>
      <c r="O3339" s="446"/>
      <c r="P3339" s="446"/>
      <c r="Q3339" s="110">
        <v>1</v>
      </c>
      <c r="R3339" s="111">
        <f t="shared" si="737"/>
        <v>540</v>
      </c>
      <c r="S3339" s="110"/>
      <c r="T3339" s="110"/>
      <c r="U3339" s="110">
        <v>0</v>
      </c>
      <c r="V3339" s="111">
        <f t="shared" si="738"/>
        <v>540</v>
      </c>
      <c r="W3339" s="110"/>
      <c r="X3339" s="110"/>
      <c r="Y3339" s="110"/>
      <c r="Z3339" s="110"/>
      <c r="AA3339" s="110">
        <v>0</v>
      </c>
      <c r="AB3339" s="111">
        <f t="shared" si="743"/>
        <v>540</v>
      </c>
      <c r="AC3339" s="110"/>
      <c r="AD3339" s="110"/>
      <c r="AE3339" s="110">
        <v>0</v>
      </c>
      <c r="AF3339" s="111">
        <f t="shared" si="744"/>
        <v>540</v>
      </c>
      <c r="AG3339" s="110"/>
      <c r="AH3339" s="110"/>
      <c r="AI3339" s="110"/>
      <c r="AJ3339" s="110"/>
      <c r="AK3339" s="111">
        <f t="shared" si="740"/>
        <v>2160</v>
      </c>
      <c r="AL3339" s="446">
        <f t="shared" si="741"/>
        <v>0</v>
      </c>
      <c r="AM3339" s="110">
        <f t="shared" si="742"/>
        <v>1</v>
      </c>
      <c r="AN3339" s="447">
        <f t="shared" si="733"/>
        <v>0</v>
      </c>
      <c r="AO3339"/>
      <c r="AP3339"/>
    </row>
    <row r="3340" spans="1:42" ht="66" x14ac:dyDescent="0.25">
      <c r="A3340" s="9"/>
      <c r="B3340" s="554" t="s">
        <v>3309</v>
      </c>
      <c r="C3340" s="1024"/>
      <c r="D3340" s="882">
        <v>1</v>
      </c>
      <c r="E3340" s="251" t="s">
        <v>1767</v>
      </c>
      <c r="F3340" s="273" t="s">
        <v>3446</v>
      </c>
      <c r="G3340" s="1040" t="s">
        <v>3463</v>
      </c>
      <c r="H3340" s="273" t="s">
        <v>3462</v>
      </c>
      <c r="I3340" s="720">
        <f t="shared" si="736"/>
        <v>358.55135999999999</v>
      </c>
      <c r="J3340" s="756">
        <v>358.55135999999999</v>
      </c>
      <c r="K3340" s="131">
        <f t="shared" si="732"/>
        <v>358.55135999999999</v>
      </c>
      <c r="L3340" s="335">
        <f t="shared" si="739"/>
        <v>0</v>
      </c>
      <c r="M3340" s="446"/>
      <c r="N3340" s="446"/>
      <c r="O3340" s="446"/>
      <c r="P3340" s="446"/>
      <c r="Q3340" s="110">
        <v>1</v>
      </c>
      <c r="R3340" s="111">
        <f t="shared" si="737"/>
        <v>89.637839999999997</v>
      </c>
      <c r="S3340" s="110"/>
      <c r="T3340" s="110"/>
      <c r="U3340" s="110">
        <v>0</v>
      </c>
      <c r="V3340" s="111">
        <f t="shared" si="738"/>
        <v>89.637839999999997</v>
      </c>
      <c r="W3340" s="110"/>
      <c r="X3340" s="110"/>
      <c r="Y3340" s="110"/>
      <c r="Z3340" s="110"/>
      <c r="AA3340" s="110">
        <v>0</v>
      </c>
      <c r="AB3340" s="111">
        <f t="shared" si="743"/>
        <v>89.637839999999997</v>
      </c>
      <c r="AC3340" s="110"/>
      <c r="AD3340" s="110"/>
      <c r="AE3340" s="110">
        <v>0</v>
      </c>
      <c r="AF3340" s="111">
        <f t="shared" si="744"/>
        <v>89.637839999999997</v>
      </c>
      <c r="AG3340" s="110"/>
      <c r="AH3340" s="110"/>
      <c r="AI3340" s="110"/>
      <c r="AJ3340" s="110"/>
      <c r="AK3340" s="111">
        <f t="shared" si="740"/>
        <v>358.55135999999999</v>
      </c>
      <c r="AL3340" s="446">
        <f t="shared" si="741"/>
        <v>0</v>
      </c>
      <c r="AM3340" s="110">
        <f t="shared" si="742"/>
        <v>1</v>
      </c>
      <c r="AN3340" s="447">
        <f t="shared" si="733"/>
        <v>0</v>
      </c>
      <c r="AO3340"/>
      <c r="AP3340"/>
    </row>
    <row r="3341" spans="1:42" ht="66" x14ac:dyDescent="0.25">
      <c r="A3341" s="9"/>
      <c r="B3341" s="554" t="s">
        <v>3310</v>
      </c>
      <c r="C3341" s="1024"/>
      <c r="D3341" s="882">
        <v>1</v>
      </c>
      <c r="E3341" s="251" t="s">
        <v>1767</v>
      </c>
      <c r="F3341" s="273" t="s">
        <v>3446</v>
      </c>
      <c r="G3341" s="1040" t="s">
        <v>3463</v>
      </c>
      <c r="H3341" s="273" t="s">
        <v>3462</v>
      </c>
      <c r="I3341" s="720">
        <f t="shared" si="736"/>
        <v>326.7</v>
      </c>
      <c r="J3341" s="756">
        <v>326.7</v>
      </c>
      <c r="K3341" s="131">
        <f t="shared" si="732"/>
        <v>326.7</v>
      </c>
      <c r="L3341" s="335">
        <f t="shared" si="739"/>
        <v>0</v>
      </c>
      <c r="M3341" s="446"/>
      <c r="N3341" s="446"/>
      <c r="O3341" s="446"/>
      <c r="P3341" s="446"/>
      <c r="Q3341" s="110">
        <v>1</v>
      </c>
      <c r="R3341" s="111">
        <f t="shared" si="737"/>
        <v>81.674999999999997</v>
      </c>
      <c r="S3341" s="110"/>
      <c r="T3341" s="110"/>
      <c r="U3341" s="110">
        <v>0</v>
      </c>
      <c r="V3341" s="111">
        <f t="shared" si="738"/>
        <v>81.674999999999997</v>
      </c>
      <c r="W3341" s="110"/>
      <c r="X3341" s="110"/>
      <c r="Y3341" s="110"/>
      <c r="Z3341" s="110"/>
      <c r="AA3341" s="110">
        <v>0</v>
      </c>
      <c r="AB3341" s="111">
        <f t="shared" si="743"/>
        <v>81.674999999999997</v>
      </c>
      <c r="AC3341" s="110"/>
      <c r="AD3341" s="110"/>
      <c r="AE3341" s="110">
        <v>0</v>
      </c>
      <c r="AF3341" s="111">
        <f t="shared" si="744"/>
        <v>81.674999999999997</v>
      </c>
      <c r="AG3341" s="110"/>
      <c r="AH3341" s="110"/>
      <c r="AI3341" s="110"/>
      <c r="AJ3341" s="110"/>
      <c r="AK3341" s="111">
        <f t="shared" si="740"/>
        <v>326.7</v>
      </c>
      <c r="AL3341" s="446">
        <f t="shared" si="741"/>
        <v>0</v>
      </c>
      <c r="AM3341" s="110">
        <f t="shared" si="742"/>
        <v>1</v>
      </c>
      <c r="AN3341" s="447">
        <f t="shared" si="733"/>
        <v>0</v>
      </c>
      <c r="AO3341"/>
      <c r="AP3341"/>
    </row>
    <row r="3342" spans="1:42" ht="66" x14ac:dyDescent="0.25">
      <c r="A3342" s="9"/>
      <c r="B3342" s="554" t="s">
        <v>3311</v>
      </c>
      <c r="C3342" s="1024"/>
      <c r="D3342" s="882">
        <v>1</v>
      </c>
      <c r="E3342" s="251" t="s">
        <v>1767</v>
      </c>
      <c r="F3342" s="273" t="s">
        <v>3446</v>
      </c>
      <c r="G3342" s="1040" t="s">
        <v>3463</v>
      </c>
      <c r="H3342" s="273" t="s">
        <v>3462</v>
      </c>
      <c r="I3342" s="720">
        <f t="shared" si="736"/>
        <v>231.66</v>
      </c>
      <c r="J3342" s="756">
        <v>231.66</v>
      </c>
      <c r="K3342" s="131">
        <f t="shared" si="732"/>
        <v>231.66</v>
      </c>
      <c r="L3342" s="335">
        <f t="shared" si="739"/>
        <v>0</v>
      </c>
      <c r="M3342" s="446"/>
      <c r="N3342" s="446"/>
      <c r="O3342" s="446"/>
      <c r="P3342" s="446"/>
      <c r="Q3342" s="110">
        <v>1</v>
      </c>
      <c r="R3342" s="111">
        <f t="shared" si="737"/>
        <v>57.914999999999999</v>
      </c>
      <c r="S3342" s="110"/>
      <c r="T3342" s="110"/>
      <c r="U3342" s="110">
        <v>0</v>
      </c>
      <c r="V3342" s="111">
        <f t="shared" si="738"/>
        <v>57.914999999999999</v>
      </c>
      <c r="W3342" s="110"/>
      <c r="X3342" s="110"/>
      <c r="Y3342" s="110"/>
      <c r="Z3342" s="110"/>
      <c r="AA3342" s="110">
        <v>0</v>
      </c>
      <c r="AB3342" s="111">
        <f t="shared" si="743"/>
        <v>57.914999999999999</v>
      </c>
      <c r="AC3342" s="110"/>
      <c r="AD3342" s="110"/>
      <c r="AE3342" s="110">
        <v>0</v>
      </c>
      <c r="AF3342" s="111">
        <f t="shared" si="744"/>
        <v>57.914999999999999</v>
      </c>
      <c r="AG3342" s="110"/>
      <c r="AH3342" s="110"/>
      <c r="AI3342" s="110"/>
      <c r="AJ3342" s="110"/>
      <c r="AK3342" s="111">
        <f t="shared" si="740"/>
        <v>231.66</v>
      </c>
      <c r="AL3342" s="446">
        <f t="shared" si="741"/>
        <v>0</v>
      </c>
      <c r="AM3342" s="110">
        <f t="shared" si="742"/>
        <v>1</v>
      </c>
      <c r="AN3342" s="447">
        <f t="shared" si="733"/>
        <v>0</v>
      </c>
      <c r="AO3342"/>
      <c r="AP3342"/>
    </row>
    <row r="3343" spans="1:42" ht="66" x14ac:dyDescent="0.25">
      <c r="A3343" s="9"/>
      <c r="B3343" s="495" t="s">
        <v>3312</v>
      </c>
      <c r="C3343" s="1024"/>
      <c r="D3343" s="882">
        <v>1</v>
      </c>
      <c r="E3343" s="251" t="s">
        <v>1767</v>
      </c>
      <c r="F3343" s="273" t="s">
        <v>3446</v>
      </c>
      <c r="G3343" s="1040" t="s">
        <v>3463</v>
      </c>
      <c r="H3343" s="273" t="s">
        <v>3462</v>
      </c>
      <c r="I3343" s="720">
        <f t="shared" si="736"/>
        <v>458</v>
      </c>
      <c r="J3343" s="763">
        <v>458</v>
      </c>
      <c r="K3343" s="131">
        <f t="shared" si="732"/>
        <v>458</v>
      </c>
      <c r="L3343" s="335">
        <f t="shared" si="739"/>
        <v>0</v>
      </c>
      <c r="M3343" s="446"/>
      <c r="N3343" s="446"/>
      <c r="O3343" s="446"/>
      <c r="P3343" s="446"/>
      <c r="Q3343" s="110">
        <v>1</v>
      </c>
      <c r="R3343" s="111">
        <f t="shared" si="737"/>
        <v>114.5</v>
      </c>
      <c r="S3343" s="110"/>
      <c r="T3343" s="110"/>
      <c r="U3343" s="110">
        <v>0</v>
      </c>
      <c r="V3343" s="111">
        <f t="shared" si="738"/>
        <v>114.5</v>
      </c>
      <c r="W3343" s="110"/>
      <c r="X3343" s="110"/>
      <c r="Y3343" s="110"/>
      <c r="Z3343" s="110"/>
      <c r="AA3343" s="110">
        <v>0</v>
      </c>
      <c r="AB3343" s="111">
        <f t="shared" si="743"/>
        <v>114.5</v>
      </c>
      <c r="AC3343" s="110"/>
      <c r="AD3343" s="110"/>
      <c r="AE3343" s="110">
        <v>0</v>
      </c>
      <c r="AF3343" s="111">
        <f t="shared" si="744"/>
        <v>114.5</v>
      </c>
      <c r="AG3343" s="110"/>
      <c r="AH3343" s="110"/>
      <c r="AI3343" s="110"/>
      <c r="AJ3343" s="110"/>
      <c r="AK3343" s="111">
        <f t="shared" si="740"/>
        <v>458</v>
      </c>
      <c r="AL3343" s="446">
        <f t="shared" si="741"/>
        <v>0</v>
      </c>
      <c r="AM3343" s="110">
        <f t="shared" si="742"/>
        <v>1</v>
      </c>
      <c r="AN3343" s="447">
        <f t="shared" si="733"/>
        <v>0</v>
      </c>
      <c r="AO3343"/>
      <c r="AP3343"/>
    </row>
    <row r="3344" spans="1:42" ht="66" x14ac:dyDescent="0.25">
      <c r="A3344" s="9"/>
      <c r="B3344" s="497" t="s">
        <v>723</v>
      </c>
      <c r="C3344" s="1024"/>
      <c r="D3344" s="883">
        <v>3</v>
      </c>
      <c r="E3344" s="970" t="s">
        <v>1725</v>
      </c>
      <c r="F3344" s="273" t="s">
        <v>3446</v>
      </c>
      <c r="G3344" s="1040" t="s">
        <v>3463</v>
      </c>
      <c r="H3344" s="273" t="s">
        <v>3462</v>
      </c>
      <c r="I3344" s="21">
        <v>273.24</v>
      </c>
      <c r="J3344" s="763">
        <v>819.72</v>
      </c>
      <c r="K3344" s="131">
        <f t="shared" si="732"/>
        <v>819.72</v>
      </c>
      <c r="L3344" s="335">
        <f t="shared" si="739"/>
        <v>0</v>
      </c>
      <c r="M3344" s="446"/>
      <c r="N3344" s="446"/>
      <c r="O3344" s="446"/>
      <c r="P3344" s="446"/>
      <c r="Q3344" s="130">
        <v>1</v>
      </c>
      <c r="R3344" s="111">
        <v>273.24</v>
      </c>
      <c r="S3344" s="110"/>
      <c r="T3344" s="110"/>
      <c r="U3344" s="130">
        <v>1</v>
      </c>
      <c r="V3344" s="111">
        <v>273.24</v>
      </c>
      <c r="W3344" s="110"/>
      <c r="X3344" s="110"/>
      <c r="Y3344" s="110"/>
      <c r="Z3344" s="110"/>
      <c r="AA3344" s="130">
        <v>1</v>
      </c>
      <c r="AB3344" s="111">
        <v>273.24</v>
      </c>
      <c r="AC3344" s="110"/>
      <c r="AD3344" s="110"/>
      <c r="AE3344" s="130">
        <v>0</v>
      </c>
      <c r="AF3344" s="111">
        <v>0</v>
      </c>
      <c r="AG3344" s="110"/>
      <c r="AH3344" s="110"/>
      <c r="AI3344" s="110"/>
      <c r="AJ3344" s="110"/>
      <c r="AK3344" s="111">
        <f t="shared" si="740"/>
        <v>819.72</v>
      </c>
      <c r="AL3344" s="446">
        <f t="shared" si="741"/>
        <v>0</v>
      </c>
      <c r="AM3344" s="110">
        <f t="shared" si="742"/>
        <v>3</v>
      </c>
      <c r="AN3344" s="447">
        <f t="shared" si="733"/>
        <v>0</v>
      </c>
      <c r="AO3344"/>
      <c r="AP3344"/>
    </row>
    <row r="3345" spans="1:42" ht="66" x14ac:dyDescent="0.25">
      <c r="A3345" s="9"/>
      <c r="B3345" s="497" t="s">
        <v>1304</v>
      </c>
      <c r="C3345" s="1024"/>
      <c r="D3345" s="883">
        <v>3</v>
      </c>
      <c r="E3345" s="970" t="s">
        <v>1721</v>
      </c>
      <c r="F3345" s="273" t="s">
        <v>3446</v>
      </c>
      <c r="G3345" s="1040" t="s">
        <v>3463</v>
      </c>
      <c r="H3345" s="273" t="s">
        <v>3462</v>
      </c>
      <c r="I3345" s="21">
        <v>201.96</v>
      </c>
      <c r="J3345" s="763">
        <v>605.88</v>
      </c>
      <c r="K3345" s="131">
        <f t="shared" si="732"/>
        <v>605.88</v>
      </c>
      <c r="L3345" s="335">
        <f t="shared" si="739"/>
        <v>0</v>
      </c>
      <c r="M3345" s="446"/>
      <c r="N3345" s="446"/>
      <c r="O3345" s="446"/>
      <c r="P3345" s="446"/>
      <c r="Q3345" s="130">
        <v>1</v>
      </c>
      <c r="R3345" s="111">
        <v>201.96</v>
      </c>
      <c r="S3345" s="110"/>
      <c r="T3345" s="110"/>
      <c r="U3345" s="130">
        <v>1</v>
      </c>
      <c r="V3345" s="111">
        <v>201.96</v>
      </c>
      <c r="W3345" s="110"/>
      <c r="X3345" s="110"/>
      <c r="Y3345" s="110"/>
      <c r="Z3345" s="110"/>
      <c r="AA3345" s="130">
        <v>1</v>
      </c>
      <c r="AB3345" s="111">
        <v>201.96</v>
      </c>
      <c r="AC3345" s="110"/>
      <c r="AD3345" s="110"/>
      <c r="AE3345" s="130">
        <v>0</v>
      </c>
      <c r="AF3345" s="111">
        <v>0</v>
      </c>
      <c r="AG3345" s="110"/>
      <c r="AH3345" s="110"/>
      <c r="AI3345" s="110"/>
      <c r="AJ3345" s="110"/>
      <c r="AK3345" s="111">
        <f t="shared" si="740"/>
        <v>605.88</v>
      </c>
      <c r="AL3345" s="446">
        <f t="shared" si="741"/>
        <v>0</v>
      </c>
      <c r="AM3345" s="110">
        <f t="shared" si="742"/>
        <v>3</v>
      </c>
      <c r="AN3345" s="447">
        <f t="shared" si="733"/>
        <v>0</v>
      </c>
      <c r="AO3345"/>
      <c r="AP3345"/>
    </row>
    <row r="3346" spans="1:42" ht="66" x14ac:dyDescent="0.25">
      <c r="A3346" s="9"/>
      <c r="B3346" s="497" t="s">
        <v>1305</v>
      </c>
      <c r="C3346" s="1024"/>
      <c r="D3346" s="883">
        <v>3</v>
      </c>
      <c r="E3346" s="970" t="s">
        <v>1721</v>
      </c>
      <c r="F3346" s="273" t="s">
        <v>3446</v>
      </c>
      <c r="G3346" s="1040" t="s">
        <v>3463</v>
      </c>
      <c r="H3346" s="273" t="s">
        <v>3462</v>
      </c>
      <c r="I3346" s="21">
        <v>231.66</v>
      </c>
      <c r="J3346" s="763">
        <v>694.98</v>
      </c>
      <c r="K3346" s="131">
        <f t="shared" si="732"/>
        <v>694.98</v>
      </c>
      <c r="L3346" s="335">
        <f t="shared" si="739"/>
        <v>0</v>
      </c>
      <c r="M3346" s="446"/>
      <c r="N3346" s="446"/>
      <c r="O3346" s="446"/>
      <c r="P3346" s="446"/>
      <c r="Q3346" s="130">
        <v>1</v>
      </c>
      <c r="R3346" s="111">
        <v>231.66</v>
      </c>
      <c r="S3346" s="110"/>
      <c r="T3346" s="110"/>
      <c r="U3346" s="130">
        <v>1</v>
      </c>
      <c r="V3346" s="111">
        <v>231.66</v>
      </c>
      <c r="W3346" s="110"/>
      <c r="X3346" s="110"/>
      <c r="Y3346" s="110"/>
      <c r="Z3346" s="110"/>
      <c r="AA3346" s="130">
        <v>1</v>
      </c>
      <c r="AB3346" s="111">
        <v>231.66</v>
      </c>
      <c r="AC3346" s="110"/>
      <c r="AD3346" s="110"/>
      <c r="AE3346" s="130">
        <v>0</v>
      </c>
      <c r="AF3346" s="111">
        <v>0</v>
      </c>
      <c r="AG3346" s="110"/>
      <c r="AH3346" s="110"/>
      <c r="AI3346" s="110"/>
      <c r="AJ3346" s="110"/>
      <c r="AK3346" s="111">
        <f t="shared" si="740"/>
        <v>694.98</v>
      </c>
      <c r="AL3346" s="446">
        <f t="shared" si="741"/>
        <v>0</v>
      </c>
      <c r="AM3346" s="110">
        <f t="shared" si="742"/>
        <v>3</v>
      </c>
      <c r="AN3346" s="447">
        <f t="shared" si="733"/>
        <v>0</v>
      </c>
      <c r="AO3346"/>
      <c r="AP3346"/>
    </row>
    <row r="3347" spans="1:42" s="108" customFormat="1" ht="66" x14ac:dyDescent="0.25">
      <c r="A3347" s="9"/>
      <c r="B3347" s="96" t="s">
        <v>3374</v>
      </c>
      <c r="C3347" s="9"/>
      <c r="D3347" s="883">
        <v>2</v>
      </c>
      <c r="E3347" s="970" t="s">
        <v>1721</v>
      </c>
      <c r="F3347" s="278" t="s">
        <v>3446</v>
      </c>
      <c r="G3347" s="1040" t="s">
        <v>3463</v>
      </c>
      <c r="H3347" s="273" t="s">
        <v>3462</v>
      </c>
      <c r="I3347" s="21">
        <v>160</v>
      </c>
      <c r="J3347" s="773">
        <v>320</v>
      </c>
      <c r="K3347" s="131">
        <f t="shared" si="732"/>
        <v>320</v>
      </c>
      <c r="L3347" s="335">
        <f t="shared" si="739"/>
        <v>0</v>
      </c>
      <c r="M3347" s="335"/>
      <c r="N3347" s="335"/>
      <c r="O3347" s="335"/>
      <c r="P3347" s="335"/>
      <c r="Q3347" s="130">
        <v>2</v>
      </c>
      <c r="R3347" s="111">
        <v>320</v>
      </c>
      <c r="S3347" s="130"/>
      <c r="T3347" s="130"/>
      <c r="U3347" s="130">
        <v>0</v>
      </c>
      <c r="V3347" s="131">
        <v>0</v>
      </c>
      <c r="W3347" s="130"/>
      <c r="X3347" s="130"/>
      <c r="Y3347" s="130"/>
      <c r="Z3347" s="130"/>
      <c r="AA3347" s="130">
        <v>0</v>
      </c>
      <c r="AB3347" s="131">
        <v>0</v>
      </c>
      <c r="AC3347" s="130"/>
      <c r="AD3347" s="130"/>
      <c r="AE3347" s="130">
        <v>0</v>
      </c>
      <c r="AF3347" s="131">
        <v>0</v>
      </c>
      <c r="AG3347" s="130"/>
      <c r="AH3347" s="130"/>
      <c r="AI3347" s="130"/>
      <c r="AJ3347" s="130"/>
      <c r="AK3347" s="111">
        <f t="shared" si="740"/>
        <v>320</v>
      </c>
      <c r="AL3347" s="446">
        <f t="shared" si="741"/>
        <v>0</v>
      </c>
      <c r="AM3347" s="110">
        <f t="shared" si="742"/>
        <v>2</v>
      </c>
      <c r="AN3347" s="447">
        <f t="shared" si="733"/>
        <v>0</v>
      </c>
      <c r="AO3347"/>
      <c r="AP3347"/>
    </row>
    <row r="3348" spans="1:42" x14ac:dyDescent="0.25">
      <c r="A3348" s="310">
        <v>29102</v>
      </c>
      <c r="B3348" s="375" t="s">
        <v>726</v>
      </c>
      <c r="C3348" s="311"/>
      <c r="D3348" s="902"/>
      <c r="E3348" s="312"/>
      <c r="F3348" s="313"/>
      <c r="G3348" s="313"/>
      <c r="H3348" s="313"/>
      <c r="I3348" s="729"/>
      <c r="J3348" s="800"/>
      <c r="K3348" s="131">
        <f t="shared" si="732"/>
        <v>0</v>
      </c>
      <c r="L3348" s="335">
        <f t="shared" si="739"/>
        <v>0</v>
      </c>
      <c r="M3348" s="446"/>
      <c r="N3348" s="446"/>
      <c r="O3348" s="446"/>
      <c r="P3348" s="446"/>
      <c r="Q3348" s="387">
        <f t="shared" ref="Q3348:Q3373" si="745">+$D3348/4</f>
        <v>0</v>
      </c>
      <c r="R3348" s="314">
        <f t="shared" si="737"/>
        <v>0</v>
      </c>
      <c r="S3348" s="387"/>
      <c r="T3348" s="387"/>
      <c r="U3348" s="387">
        <f t="shared" ref="U3348:U3373" si="746">+$D3348/4</f>
        <v>0</v>
      </c>
      <c r="V3348" s="314">
        <f t="shared" si="738"/>
        <v>0</v>
      </c>
      <c r="W3348" s="387"/>
      <c r="X3348" s="387"/>
      <c r="Y3348" s="387"/>
      <c r="Z3348" s="387"/>
      <c r="AA3348" s="387">
        <f t="shared" ref="AA3348:AE3373" si="747">+$D3348/4</f>
        <v>0</v>
      </c>
      <c r="AB3348" s="314">
        <f t="shared" si="743"/>
        <v>0</v>
      </c>
      <c r="AC3348" s="387"/>
      <c r="AD3348" s="387"/>
      <c r="AE3348" s="387">
        <f t="shared" si="747"/>
        <v>0</v>
      </c>
      <c r="AF3348" s="314">
        <f t="shared" si="744"/>
        <v>0</v>
      </c>
      <c r="AG3348" s="387"/>
      <c r="AH3348" s="387"/>
      <c r="AI3348" s="387"/>
      <c r="AJ3348" s="387"/>
      <c r="AK3348" s="314">
        <f t="shared" si="740"/>
        <v>0</v>
      </c>
      <c r="AL3348" s="421">
        <f t="shared" si="741"/>
        <v>0</v>
      </c>
      <c r="AM3348" s="387">
        <f t="shared" si="742"/>
        <v>0</v>
      </c>
      <c r="AN3348" s="422">
        <f t="shared" si="733"/>
        <v>0</v>
      </c>
      <c r="AO3348" s="108"/>
      <c r="AP3348"/>
    </row>
    <row r="3349" spans="1:42" s="108" customFormat="1" x14ac:dyDescent="0.25">
      <c r="A3349" s="9"/>
      <c r="B3349" s="57"/>
      <c r="C3349" s="9"/>
      <c r="D3349" s="869"/>
      <c r="E3349" s="1027"/>
      <c r="F3349" s="272"/>
      <c r="G3349" s="272"/>
      <c r="H3349" s="272"/>
      <c r="I3349" s="722"/>
      <c r="J3349" s="763"/>
      <c r="K3349" s="131">
        <f t="shared" si="732"/>
        <v>0</v>
      </c>
      <c r="L3349" s="335">
        <f t="shared" si="739"/>
        <v>0</v>
      </c>
      <c r="M3349" s="335"/>
      <c r="N3349" s="335"/>
      <c r="O3349" s="335"/>
      <c r="P3349" s="335"/>
      <c r="Q3349" s="130">
        <f t="shared" si="745"/>
        <v>0</v>
      </c>
      <c r="R3349" s="131">
        <f t="shared" si="737"/>
        <v>0</v>
      </c>
      <c r="S3349" s="130"/>
      <c r="T3349" s="130"/>
      <c r="U3349" s="130">
        <f t="shared" si="746"/>
        <v>0</v>
      </c>
      <c r="V3349" s="131">
        <f t="shared" si="738"/>
        <v>0</v>
      </c>
      <c r="W3349" s="130"/>
      <c r="X3349" s="130"/>
      <c r="Y3349" s="130"/>
      <c r="Z3349" s="130"/>
      <c r="AA3349" s="130">
        <f t="shared" si="747"/>
        <v>0</v>
      </c>
      <c r="AB3349" s="131">
        <f t="shared" si="743"/>
        <v>0</v>
      </c>
      <c r="AC3349" s="130"/>
      <c r="AD3349" s="130"/>
      <c r="AE3349" s="130">
        <f t="shared" si="747"/>
        <v>0</v>
      </c>
      <c r="AF3349" s="131">
        <f t="shared" si="744"/>
        <v>0</v>
      </c>
      <c r="AG3349" s="130"/>
      <c r="AH3349" s="130"/>
      <c r="AI3349" s="130"/>
      <c r="AJ3349" s="130"/>
      <c r="AK3349" s="131">
        <f t="shared" si="740"/>
        <v>0</v>
      </c>
      <c r="AL3349" s="446">
        <f t="shared" si="741"/>
        <v>0</v>
      </c>
      <c r="AM3349" s="110">
        <f t="shared" si="742"/>
        <v>0</v>
      </c>
      <c r="AN3349" s="447">
        <f t="shared" si="733"/>
        <v>0</v>
      </c>
      <c r="AO3349"/>
      <c r="AP3349"/>
    </row>
    <row r="3350" spans="1:42" x14ac:dyDescent="0.25">
      <c r="A3350" s="310">
        <v>29103</v>
      </c>
      <c r="B3350" s="375" t="s">
        <v>727</v>
      </c>
      <c r="C3350" s="311"/>
      <c r="D3350" s="902"/>
      <c r="E3350" s="312"/>
      <c r="F3350" s="313"/>
      <c r="G3350" s="313"/>
      <c r="H3350" s="313"/>
      <c r="I3350" s="729"/>
      <c r="J3350" s="800"/>
      <c r="K3350" s="131">
        <f t="shared" si="732"/>
        <v>0</v>
      </c>
      <c r="L3350" s="335">
        <f t="shared" si="739"/>
        <v>0</v>
      </c>
      <c r="M3350" s="446"/>
      <c r="N3350" s="446"/>
      <c r="O3350" s="446"/>
      <c r="P3350" s="446"/>
      <c r="Q3350" s="387">
        <f t="shared" si="745"/>
        <v>0</v>
      </c>
      <c r="R3350" s="314">
        <f t="shared" si="737"/>
        <v>0</v>
      </c>
      <c r="S3350" s="387"/>
      <c r="T3350" s="387"/>
      <c r="U3350" s="387">
        <f t="shared" si="746"/>
        <v>0</v>
      </c>
      <c r="V3350" s="314">
        <f t="shared" si="738"/>
        <v>0</v>
      </c>
      <c r="W3350" s="387"/>
      <c r="X3350" s="387"/>
      <c r="Y3350" s="387"/>
      <c r="Z3350" s="387"/>
      <c r="AA3350" s="387">
        <f t="shared" si="747"/>
        <v>0</v>
      </c>
      <c r="AB3350" s="314">
        <f t="shared" si="743"/>
        <v>0</v>
      </c>
      <c r="AC3350" s="387"/>
      <c r="AD3350" s="387"/>
      <c r="AE3350" s="387">
        <f t="shared" si="747"/>
        <v>0</v>
      </c>
      <c r="AF3350" s="314">
        <f t="shared" si="744"/>
        <v>0</v>
      </c>
      <c r="AG3350" s="387"/>
      <c r="AH3350" s="387"/>
      <c r="AI3350" s="387"/>
      <c r="AJ3350" s="387"/>
      <c r="AK3350" s="314">
        <f t="shared" si="740"/>
        <v>0</v>
      </c>
      <c r="AL3350" s="421">
        <f t="shared" si="741"/>
        <v>0</v>
      </c>
      <c r="AM3350" s="387">
        <f t="shared" si="742"/>
        <v>0</v>
      </c>
      <c r="AN3350" s="422">
        <f t="shared" si="733"/>
        <v>0</v>
      </c>
      <c r="AO3350" s="108"/>
      <c r="AP3350"/>
    </row>
    <row r="3351" spans="1:42" x14ac:dyDescent="0.25">
      <c r="A3351" s="9"/>
      <c r="B3351" s="59"/>
      <c r="C3351" s="1024"/>
      <c r="D3351" s="869"/>
      <c r="E3351" s="1027"/>
      <c r="F3351" s="272"/>
      <c r="G3351" s="272"/>
      <c r="H3351" s="272"/>
      <c r="I3351" s="720">
        <v>0</v>
      </c>
      <c r="J3351" s="756">
        <f>720-720</f>
        <v>0</v>
      </c>
      <c r="K3351" s="131">
        <f t="shared" si="732"/>
        <v>0</v>
      </c>
      <c r="L3351" s="335">
        <f t="shared" si="739"/>
        <v>0</v>
      </c>
      <c r="M3351" s="446"/>
      <c r="N3351" s="446"/>
      <c r="O3351" s="446"/>
      <c r="P3351" s="446"/>
      <c r="Q3351" s="110">
        <f t="shared" si="745"/>
        <v>0</v>
      </c>
      <c r="R3351" s="111">
        <f t="shared" si="737"/>
        <v>0</v>
      </c>
      <c r="S3351" s="110"/>
      <c r="T3351" s="110"/>
      <c r="U3351" s="110">
        <f t="shared" si="746"/>
        <v>0</v>
      </c>
      <c r="V3351" s="111">
        <f t="shared" si="738"/>
        <v>0</v>
      </c>
      <c r="W3351" s="110"/>
      <c r="X3351" s="110"/>
      <c r="Y3351" s="110"/>
      <c r="Z3351" s="110"/>
      <c r="AA3351" s="110">
        <f t="shared" si="747"/>
        <v>0</v>
      </c>
      <c r="AB3351" s="111">
        <f t="shared" si="743"/>
        <v>0</v>
      </c>
      <c r="AC3351" s="110"/>
      <c r="AD3351" s="110"/>
      <c r="AE3351" s="110">
        <f t="shared" si="747"/>
        <v>0</v>
      </c>
      <c r="AF3351" s="111">
        <f t="shared" si="744"/>
        <v>0</v>
      </c>
      <c r="AG3351" s="110"/>
      <c r="AH3351" s="110"/>
      <c r="AI3351" s="110"/>
      <c r="AJ3351" s="110"/>
      <c r="AK3351" s="111">
        <f t="shared" si="740"/>
        <v>0</v>
      </c>
      <c r="AL3351" s="446">
        <f t="shared" si="741"/>
        <v>0</v>
      </c>
      <c r="AM3351" s="110">
        <f t="shared" si="742"/>
        <v>0</v>
      </c>
      <c r="AN3351" s="447">
        <f t="shared" si="733"/>
        <v>0</v>
      </c>
      <c r="AO3351"/>
      <c r="AP3351"/>
    </row>
    <row r="3352" spans="1:42" x14ac:dyDescent="0.25">
      <c r="A3352" s="310">
        <v>29104</v>
      </c>
      <c r="B3352" s="375" t="s">
        <v>728</v>
      </c>
      <c r="C3352" s="311"/>
      <c r="D3352" s="902"/>
      <c r="E3352" s="312"/>
      <c r="F3352" s="313"/>
      <c r="G3352" s="313"/>
      <c r="H3352" s="313"/>
      <c r="I3352" s="729"/>
      <c r="J3352" s="800"/>
      <c r="K3352" s="131">
        <f t="shared" si="732"/>
        <v>0</v>
      </c>
      <c r="L3352" s="335">
        <f t="shared" si="739"/>
        <v>0</v>
      </c>
      <c r="M3352" s="446"/>
      <c r="N3352" s="446"/>
      <c r="O3352" s="446"/>
      <c r="P3352" s="446"/>
      <c r="Q3352" s="387">
        <f t="shared" si="745"/>
        <v>0</v>
      </c>
      <c r="R3352" s="314">
        <f t="shared" si="737"/>
        <v>0</v>
      </c>
      <c r="S3352" s="387"/>
      <c r="T3352" s="387"/>
      <c r="U3352" s="387">
        <f t="shared" si="746"/>
        <v>0</v>
      </c>
      <c r="V3352" s="314">
        <f t="shared" si="738"/>
        <v>0</v>
      </c>
      <c r="W3352" s="387"/>
      <c r="X3352" s="387"/>
      <c r="Y3352" s="387"/>
      <c r="Z3352" s="387"/>
      <c r="AA3352" s="387">
        <f t="shared" si="747"/>
        <v>0</v>
      </c>
      <c r="AB3352" s="314">
        <f t="shared" si="743"/>
        <v>0</v>
      </c>
      <c r="AC3352" s="387"/>
      <c r="AD3352" s="387"/>
      <c r="AE3352" s="387">
        <f t="shared" si="747"/>
        <v>0</v>
      </c>
      <c r="AF3352" s="314">
        <f t="shared" si="744"/>
        <v>0</v>
      </c>
      <c r="AG3352" s="387"/>
      <c r="AH3352" s="387"/>
      <c r="AI3352" s="387"/>
      <c r="AJ3352" s="387"/>
      <c r="AK3352" s="314">
        <f t="shared" si="740"/>
        <v>0</v>
      </c>
      <c r="AL3352" s="421">
        <f t="shared" si="741"/>
        <v>0</v>
      </c>
      <c r="AM3352" s="387">
        <f t="shared" si="742"/>
        <v>0</v>
      </c>
      <c r="AN3352" s="422">
        <f t="shared" si="733"/>
        <v>0</v>
      </c>
      <c r="AO3352" s="108"/>
      <c r="AP3352"/>
    </row>
    <row r="3353" spans="1:42" x14ac:dyDescent="0.25">
      <c r="A3353" s="9"/>
      <c r="B3353" s="57"/>
      <c r="C3353" s="7"/>
      <c r="D3353" s="869"/>
      <c r="E3353" s="1027"/>
      <c r="F3353" s="272"/>
      <c r="G3353" s="272"/>
      <c r="H3353" s="272"/>
      <c r="I3353" s="720"/>
      <c r="J3353" s="763"/>
      <c r="K3353" s="131">
        <f t="shared" si="732"/>
        <v>0</v>
      </c>
      <c r="L3353" s="335">
        <f t="shared" si="739"/>
        <v>0</v>
      </c>
      <c r="M3353" s="446"/>
      <c r="N3353" s="446"/>
      <c r="O3353" s="446"/>
      <c r="P3353" s="446"/>
      <c r="Q3353" s="110">
        <f t="shared" si="745"/>
        <v>0</v>
      </c>
      <c r="R3353" s="111">
        <f t="shared" si="737"/>
        <v>0</v>
      </c>
      <c r="S3353" s="110"/>
      <c r="T3353" s="110"/>
      <c r="U3353" s="110">
        <f t="shared" si="746"/>
        <v>0</v>
      </c>
      <c r="V3353" s="111">
        <f t="shared" si="738"/>
        <v>0</v>
      </c>
      <c r="W3353" s="110"/>
      <c r="X3353" s="110"/>
      <c r="Y3353" s="110"/>
      <c r="Z3353" s="110"/>
      <c r="AA3353" s="110">
        <f t="shared" si="747"/>
        <v>0</v>
      </c>
      <c r="AB3353" s="111">
        <f t="shared" si="743"/>
        <v>0</v>
      </c>
      <c r="AC3353" s="110"/>
      <c r="AD3353" s="110"/>
      <c r="AE3353" s="110">
        <f t="shared" si="747"/>
        <v>0</v>
      </c>
      <c r="AF3353" s="111">
        <f t="shared" si="744"/>
        <v>0</v>
      </c>
      <c r="AG3353" s="110"/>
      <c r="AH3353" s="110"/>
      <c r="AI3353" s="110"/>
      <c r="AJ3353" s="110"/>
      <c r="AK3353" s="111">
        <f t="shared" si="740"/>
        <v>0</v>
      </c>
      <c r="AL3353" s="446">
        <f t="shared" si="741"/>
        <v>0</v>
      </c>
      <c r="AM3353" s="110">
        <f t="shared" si="742"/>
        <v>0</v>
      </c>
      <c r="AN3353" s="447">
        <f t="shared" si="733"/>
        <v>0</v>
      </c>
      <c r="AO3353"/>
      <c r="AP3353"/>
    </row>
    <row r="3354" spans="1:42" ht="22.5" x14ac:dyDescent="0.25">
      <c r="A3354" s="310">
        <v>29105</v>
      </c>
      <c r="B3354" s="375" t="s">
        <v>729</v>
      </c>
      <c r="C3354" s="311"/>
      <c r="D3354" s="902"/>
      <c r="E3354" s="312"/>
      <c r="F3354" s="313"/>
      <c r="G3354" s="313"/>
      <c r="H3354" s="313"/>
      <c r="I3354" s="729"/>
      <c r="J3354" s="800"/>
      <c r="K3354" s="131">
        <f t="shared" si="732"/>
        <v>0</v>
      </c>
      <c r="L3354" s="335">
        <f t="shared" si="739"/>
        <v>0</v>
      </c>
      <c r="M3354" s="446"/>
      <c r="N3354" s="446"/>
      <c r="O3354" s="446"/>
      <c r="P3354" s="446"/>
      <c r="Q3354" s="387">
        <f t="shared" si="745"/>
        <v>0</v>
      </c>
      <c r="R3354" s="314">
        <f t="shared" si="737"/>
        <v>0</v>
      </c>
      <c r="S3354" s="387"/>
      <c r="T3354" s="387"/>
      <c r="U3354" s="387">
        <f t="shared" si="746"/>
        <v>0</v>
      </c>
      <c r="V3354" s="314">
        <f t="shared" si="738"/>
        <v>0</v>
      </c>
      <c r="W3354" s="387"/>
      <c r="X3354" s="387"/>
      <c r="Y3354" s="387"/>
      <c r="Z3354" s="387"/>
      <c r="AA3354" s="387">
        <f t="shared" si="747"/>
        <v>0</v>
      </c>
      <c r="AB3354" s="314">
        <f t="shared" si="743"/>
        <v>0</v>
      </c>
      <c r="AC3354" s="387"/>
      <c r="AD3354" s="387"/>
      <c r="AE3354" s="387">
        <f t="shared" si="747"/>
        <v>0</v>
      </c>
      <c r="AF3354" s="314">
        <f t="shared" si="744"/>
        <v>0</v>
      </c>
      <c r="AG3354" s="387"/>
      <c r="AH3354" s="387"/>
      <c r="AI3354" s="387"/>
      <c r="AJ3354" s="387"/>
      <c r="AK3354" s="314">
        <f t="shared" si="740"/>
        <v>0</v>
      </c>
      <c r="AL3354" s="421">
        <f t="shared" si="741"/>
        <v>0</v>
      </c>
      <c r="AM3354" s="387">
        <f t="shared" si="742"/>
        <v>0</v>
      </c>
      <c r="AN3354" s="422">
        <f t="shared" ref="AN3354:AN3417" si="748">+D3354-AM3354</f>
        <v>0</v>
      </c>
      <c r="AO3354" s="108"/>
      <c r="AP3354"/>
    </row>
    <row r="3355" spans="1:42" x14ac:dyDescent="0.25">
      <c r="A3355" s="60"/>
      <c r="B3355" s="149"/>
      <c r="C3355" s="7"/>
      <c r="D3355" s="882"/>
      <c r="E3355" s="1025"/>
      <c r="F3355" s="271"/>
      <c r="G3355" s="271"/>
      <c r="H3355" s="271"/>
      <c r="I3355" s="720"/>
      <c r="J3355" s="763"/>
      <c r="K3355" s="131">
        <f t="shared" si="732"/>
        <v>0</v>
      </c>
      <c r="L3355" s="335">
        <f t="shared" si="739"/>
        <v>0</v>
      </c>
      <c r="M3355" s="446"/>
      <c r="N3355" s="446"/>
      <c r="O3355" s="446"/>
      <c r="P3355" s="446"/>
      <c r="Q3355" s="110">
        <f t="shared" si="745"/>
        <v>0</v>
      </c>
      <c r="R3355" s="111">
        <f t="shared" si="737"/>
        <v>0</v>
      </c>
      <c r="S3355" s="110"/>
      <c r="T3355" s="110"/>
      <c r="U3355" s="110">
        <f t="shared" si="746"/>
        <v>0</v>
      </c>
      <c r="V3355" s="111">
        <f t="shared" si="738"/>
        <v>0</v>
      </c>
      <c r="W3355" s="110"/>
      <c r="X3355" s="110"/>
      <c r="Y3355" s="110"/>
      <c r="Z3355" s="110"/>
      <c r="AA3355" s="110">
        <f t="shared" si="747"/>
        <v>0</v>
      </c>
      <c r="AB3355" s="111">
        <f t="shared" si="743"/>
        <v>0</v>
      </c>
      <c r="AC3355" s="110"/>
      <c r="AD3355" s="110"/>
      <c r="AE3355" s="110">
        <f t="shared" si="747"/>
        <v>0</v>
      </c>
      <c r="AF3355" s="111">
        <f t="shared" si="744"/>
        <v>0</v>
      </c>
      <c r="AG3355" s="110"/>
      <c r="AH3355" s="110"/>
      <c r="AI3355" s="110"/>
      <c r="AJ3355" s="110"/>
      <c r="AK3355" s="111">
        <f t="shared" si="740"/>
        <v>0</v>
      </c>
      <c r="AL3355" s="446">
        <f t="shared" si="741"/>
        <v>0</v>
      </c>
      <c r="AM3355" s="110">
        <f t="shared" si="742"/>
        <v>0</v>
      </c>
      <c r="AN3355" s="447">
        <f t="shared" si="748"/>
        <v>0</v>
      </c>
      <c r="AO3355"/>
      <c r="AP3355"/>
    </row>
    <row r="3356" spans="1:42" x14ac:dyDescent="0.25">
      <c r="A3356" s="310">
        <v>29106</v>
      </c>
      <c r="B3356" s="375" t="s">
        <v>730</v>
      </c>
      <c r="C3356" s="311"/>
      <c r="D3356" s="902"/>
      <c r="E3356" s="312"/>
      <c r="F3356" s="313"/>
      <c r="G3356" s="313"/>
      <c r="H3356" s="313"/>
      <c r="I3356" s="729"/>
      <c r="J3356" s="800"/>
      <c r="K3356" s="131">
        <f t="shared" si="732"/>
        <v>0</v>
      </c>
      <c r="L3356" s="335">
        <f t="shared" si="739"/>
        <v>0</v>
      </c>
      <c r="M3356" s="446"/>
      <c r="N3356" s="446"/>
      <c r="O3356" s="446"/>
      <c r="P3356" s="446"/>
      <c r="Q3356" s="387">
        <f t="shared" si="745"/>
        <v>0</v>
      </c>
      <c r="R3356" s="314">
        <f t="shared" si="737"/>
        <v>0</v>
      </c>
      <c r="S3356" s="387"/>
      <c r="T3356" s="387"/>
      <c r="U3356" s="387">
        <f t="shared" si="746"/>
        <v>0</v>
      </c>
      <c r="V3356" s="314">
        <f t="shared" si="738"/>
        <v>0</v>
      </c>
      <c r="W3356" s="387"/>
      <c r="X3356" s="387"/>
      <c r="Y3356" s="387"/>
      <c r="Z3356" s="387"/>
      <c r="AA3356" s="387">
        <f t="shared" si="747"/>
        <v>0</v>
      </c>
      <c r="AB3356" s="314">
        <f t="shared" si="743"/>
        <v>0</v>
      </c>
      <c r="AC3356" s="387"/>
      <c r="AD3356" s="387"/>
      <c r="AE3356" s="387">
        <f t="shared" si="747"/>
        <v>0</v>
      </c>
      <c r="AF3356" s="314">
        <f t="shared" si="744"/>
        <v>0</v>
      </c>
      <c r="AG3356" s="387"/>
      <c r="AH3356" s="387"/>
      <c r="AI3356" s="387"/>
      <c r="AJ3356" s="387"/>
      <c r="AK3356" s="314">
        <f t="shared" si="740"/>
        <v>0</v>
      </c>
      <c r="AL3356" s="421">
        <f t="shared" si="741"/>
        <v>0</v>
      </c>
      <c r="AM3356" s="387">
        <f t="shared" si="742"/>
        <v>0</v>
      </c>
      <c r="AN3356" s="422">
        <f t="shared" si="748"/>
        <v>0</v>
      </c>
      <c r="AO3356" s="108"/>
      <c r="AP3356"/>
    </row>
    <row r="3357" spans="1:42" s="108" customFormat="1" x14ac:dyDescent="0.25">
      <c r="A3357" s="60"/>
      <c r="B3357" s="43"/>
      <c r="C3357" s="9"/>
      <c r="D3357" s="869"/>
      <c r="E3357" s="1027"/>
      <c r="F3357" s="272"/>
      <c r="G3357" s="272"/>
      <c r="H3357" s="272"/>
      <c r="I3357" s="722"/>
      <c r="J3357" s="763"/>
      <c r="K3357" s="131">
        <f t="shared" ref="K3357:K3420" si="749">+D3357*I3357</f>
        <v>0</v>
      </c>
      <c r="L3357" s="335">
        <f t="shared" si="739"/>
        <v>0</v>
      </c>
      <c r="M3357" s="335"/>
      <c r="N3357" s="335"/>
      <c r="O3357" s="335"/>
      <c r="P3357" s="335"/>
      <c r="Q3357" s="130">
        <f t="shared" si="745"/>
        <v>0</v>
      </c>
      <c r="R3357" s="131">
        <f t="shared" si="737"/>
        <v>0</v>
      </c>
      <c r="S3357" s="130"/>
      <c r="T3357" s="130"/>
      <c r="U3357" s="130">
        <f t="shared" si="746"/>
        <v>0</v>
      </c>
      <c r="V3357" s="131">
        <f t="shared" si="738"/>
        <v>0</v>
      </c>
      <c r="W3357" s="130"/>
      <c r="X3357" s="130"/>
      <c r="Y3357" s="130"/>
      <c r="Z3357" s="130"/>
      <c r="AA3357" s="130">
        <f t="shared" si="747"/>
        <v>0</v>
      </c>
      <c r="AB3357" s="131">
        <f t="shared" si="743"/>
        <v>0</v>
      </c>
      <c r="AC3357" s="130"/>
      <c r="AD3357" s="130"/>
      <c r="AE3357" s="130">
        <f t="shared" si="747"/>
        <v>0</v>
      </c>
      <c r="AF3357" s="131">
        <f t="shared" si="744"/>
        <v>0</v>
      </c>
      <c r="AG3357" s="130"/>
      <c r="AH3357" s="130"/>
      <c r="AI3357" s="130"/>
      <c r="AJ3357" s="130"/>
      <c r="AK3357" s="131">
        <f t="shared" si="740"/>
        <v>0</v>
      </c>
      <c r="AL3357" s="446">
        <f t="shared" si="741"/>
        <v>0</v>
      </c>
      <c r="AM3357" s="110">
        <f t="shared" si="742"/>
        <v>0</v>
      </c>
      <c r="AN3357" s="447">
        <f t="shared" si="748"/>
        <v>0</v>
      </c>
      <c r="AO3357"/>
      <c r="AP3357"/>
    </row>
    <row r="3358" spans="1:42" ht="22.5" x14ac:dyDescent="0.25">
      <c r="A3358" s="310">
        <v>29107</v>
      </c>
      <c r="B3358" s="375" t="s">
        <v>731</v>
      </c>
      <c r="C3358" s="311"/>
      <c r="D3358" s="902"/>
      <c r="E3358" s="312"/>
      <c r="F3358" s="313"/>
      <c r="G3358" s="313"/>
      <c r="H3358" s="313"/>
      <c r="I3358" s="729"/>
      <c r="J3358" s="800"/>
      <c r="K3358" s="131">
        <f t="shared" si="749"/>
        <v>0</v>
      </c>
      <c r="L3358" s="335">
        <f t="shared" si="739"/>
        <v>0</v>
      </c>
      <c r="M3358" s="446"/>
      <c r="N3358" s="446"/>
      <c r="O3358" s="446"/>
      <c r="P3358" s="446"/>
      <c r="Q3358" s="387">
        <f t="shared" si="745"/>
        <v>0</v>
      </c>
      <c r="R3358" s="314">
        <f t="shared" si="737"/>
        <v>0</v>
      </c>
      <c r="S3358" s="387"/>
      <c r="T3358" s="387"/>
      <c r="U3358" s="387">
        <f t="shared" si="746"/>
        <v>0</v>
      </c>
      <c r="V3358" s="314">
        <f t="shared" si="738"/>
        <v>0</v>
      </c>
      <c r="W3358" s="387"/>
      <c r="X3358" s="387"/>
      <c r="Y3358" s="387"/>
      <c r="Z3358" s="387"/>
      <c r="AA3358" s="387">
        <f t="shared" si="747"/>
        <v>0</v>
      </c>
      <c r="AB3358" s="314">
        <f t="shared" si="743"/>
        <v>0</v>
      </c>
      <c r="AC3358" s="387"/>
      <c r="AD3358" s="387"/>
      <c r="AE3358" s="387">
        <f t="shared" si="747"/>
        <v>0</v>
      </c>
      <c r="AF3358" s="314">
        <f t="shared" si="744"/>
        <v>0</v>
      </c>
      <c r="AG3358" s="387"/>
      <c r="AH3358" s="387"/>
      <c r="AI3358" s="387"/>
      <c r="AJ3358" s="387"/>
      <c r="AK3358" s="314">
        <f t="shared" si="740"/>
        <v>0</v>
      </c>
      <c r="AL3358" s="421">
        <f t="shared" si="741"/>
        <v>0</v>
      </c>
      <c r="AM3358" s="387">
        <f t="shared" si="742"/>
        <v>0</v>
      </c>
      <c r="AN3358" s="422">
        <f t="shared" si="748"/>
        <v>0</v>
      </c>
      <c r="AO3358" s="436">
        <f>SUM(J3359:J3360)</f>
        <v>3709.8656000000001</v>
      </c>
      <c r="AP3358" s="111"/>
    </row>
    <row r="3359" spans="1:42" ht="66" x14ac:dyDescent="0.25">
      <c r="A3359" s="9"/>
      <c r="B3359" s="147" t="s">
        <v>1485</v>
      </c>
      <c r="C3359" s="1024"/>
      <c r="D3359" s="869">
        <v>7</v>
      </c>
      <c r="E3359" s="1027" t="s">
        <v>1721</v>
      </c>
      <c r="F3359" s="273" t="s">
        <v>3446</v>
      </c>
      <c r="G3359" s="1040" t="s">
        <v>3463</v>
      </c>
      <c r="H3359" s="273" t="s">
        <v>3462</v>
      </c>
      <c r="I3359" s="720">
        <f>+J3359/D3359</f>
        <v>149.98800000000003</v>
      </c>
      <c r="J3359" s="756">
        <v>1049.9160000000002</v>
      </c>
      <c r="K3359" s="131">
        <f t="shared" si="749"/>
        <v>1049.9160000000002</v>
      </c>
      <c r="L3359" s="335">
        <f t="shared" si="739"/>
        <v>0</v>
      </c>
      <c r="M3359" s="446"/>
      <c r="N3359" s="446"/>
      <c r="O3359" s="446"/>
      <c r="P3359" s="446"/>
      <c r="Q3359" s="130">
        <v>2</v>
      </c>
      <c r="R3359" s="111">
        <f t="shared" si="737"/>
        <v>262.47900000000004</v>
      </c>
      <c r="S3359" s="110"/>
      <c r="T3359" s="110"/>
      <c r="U3359" s="130">
        <v>2</v>
      </c>
      <c r="V3359" s="111">
        <f t="shared" si="738"/>
        <v>262.47900000000004</v>
      </c>
      <c r="W3359" s="110"/>
      <c r="X3359" s="110"/>
      <c r="Y3359" s="110"/>
      <c r="Z3359" s="110"/>
      <c r="AA3359" s="130">
        <v>2</v>
      </c>
      <c r="AB3359" s="111">
        <f t="shared" si="743"/>
        <v>262.47900000000004</v>
      </c>
      <c r="AC3359" s="110"/>
      <c r="AD3359" s="110"/>
      <c r="AE3359" s="130">
        <v>1</v>
      </c>
      <c r="AF3359" s="111">
        <f t="shared" si="744"/>
        <v>262.47900000000004</v>
      </c>
      <c r="AG3359" s="110"/>
      <c r="AH3359" s="110"/>
      <c r="AI3359" s="110"/>
      <c r="AJ3359" s="110"/>
      <c r="AK3359" s="111">
        <f t="shared" si="740"/>
        <v>1049.9160000000002</v>
      </c>
      <c r="AL3359" s="446">
        <f t="shared" si="741"/>
        <v>0</v>
      </c>
      <c r="AM3359" s="110">
        <f t="shared" si="742"/>
        <v>7</v>
      </c>
      <c r="AN3359" s="447">
        <f t="shared" si="748"/>
        <v>0</v>
      </c>
      <c r="AO3359"/>
      <c r="AP3359"/>
    </row>
    <row r="3360" spans="1:42" ht="66" x14ac:dyDescent="0.25">
      <c r="A3360" s="9"/>
      <c r="B3360" s="147" t="s">
        <v>1486</v>
      </c>
      <c r="C3360" s="1024"/>
      <c r="D3360" s="869">
        <v>7</v>
      </c>
      <c r="E3360" s="84" t="s">
        <v>1721</v>
      </c>
      <c r="F3360" s="273" t="s">
        <v>3446</v>
      </c>
      <c r="G3360" s="1040" t="s">
        <v>3463</v>
      </c>
      <c r="H3360" s="273" t="s">
        <v>3462</v>
      </c>
      <c r="I3360" s="720">
        <f>+J3360/D3360</f>
        <v>379.99279999999999</v>
      </c>
      <c r="J3360" s="756">
        <v>2659.9495999999999</v>
      </c>
      <c r="K3360" s="131">
        <f t="shared" si="749"/>
        <v>2659.9495999999999</v>
      </c>
      <c r="L3360" s="335">
        <f t="shared" si="739"/>
        <v>0</v>
      </c>
      <c r="M3360" s="446"/>
      <c r="N3360" s="446"/>
      <c r="O3360" s="446"/>
      <c r="P3360" s="446"/>
      <c r="Q3360" s="130">
        <v>2</v>
      </c>
      <c r="R3360" s="111">
        <f t="shared" si="737"/>
        <v>664.98739999999998</v>
      </c>
      <c r="S3360" s="110"/>
      <c r="T3360" s="110"/>
      <c r="U3360" s="130">
        <v>2</v>
      </c>
      <c r="V3360" s="111">
        <f t="shared" si="738"/>
        <v>664.98739999999998</v>
      </c>
      <c r="W3360" s="110"/>
      <c r="X3360" s="110"/>
      <c r="Y3360" s="110"/>
      <c r="Z3360" s="110"/>
      <c r="AA3360" s="130">
        <v>2</v>
      </c>
      <c r="AB3360" s="111">
        <f t="shared" si="743"/>
        <v>664.98739999999998</v>
      </c>
      <c r="AC3360" s="110"/>
      <c r="AD3360" s="110"/>
      <c r="AE3360" s="130">
        <v>1</v>
      </c>
      <c r="AF3360" s="111">
        <f t="shared" si="744"/>
        <v>664.98739999999998</v>
      </c>
      <c r="AG3360" s="110"/>
      <c r="AH3360" s="110"/>
      <c r="AI3360" s="110"/>
      <c r="AJ3360" s="110"/>
      <c r="AK3360" s="111">
        <f t="shared" si="740"/>
        <v>2659.9495999999999</v>
      </c>
      <c r="AL3360" s="446">
        <f t="shared" si="741"/>
        <v>0</v>
      </c>
      <c r="AM3360" s="110">
        <f t="shared" si="742"/>
        <v>7</v>
      </c>
      <c r="AN3360" s="447">
        <f t="shared" si="748"/>
        <v>0</v>
      </c>
      <c r="AO3360"/>
      <c r="AP3360"/>
    </row>
    <row r="3361" spans="1:42" x14ac:dyDescent="0.25">
      <c r="A3361" s="310">
        <v>29108</v>
      </c>
      <c r="B3361" s="375" t="s">
        <v>732</v>
      </c>
      <c r="C3361" s="311"/>
      <c r="D3361" s="902"/>
      <c r="E3361" s="312"/>
      <c r="F3361" s="313"/>
      <c r="G3361" s="313"/>
      <c r="H3361" s="313"/>
      <c r="I3361" s="729"/>
      <c r="J3361" s="800"/>
      <c r="K3361" s="131">
        <f t="shared" si="749"/>
        <v>0</v>
      </c>
      <c r="L3361" s="335">
        <f t="shared" si="739"/>
        <v>0</v>
      </c>
      <c r="M3361" s="446"/>
      <c r="N3361" s="446"/>
      <c r="O3361" s="446"/>
      <c r="P3361" s="446"/>
      <c r="Q3361" s="387">
        <f t="shared" si="745"/>
        <v>0</v>
      </c>
      <c r="R3361" s="314">
        <f t="shared" si="737"/>
        <v>0</v>
      </c>
      <c r="S3361" s="387"/>
      <c r="T3361" s="387"/>
      <c r="U3361" s="387">
        <f t="shared" si="746"/>
        <v>0</v>
      </c>
      <c r="V3361" s="314">
        <f t="shared" si="738"/>
        <v>0</v>
      </c>
      <c r="W3361" s="387"/>
      <c r="X3361" s="387"/>
      <c r="Y3361" s="387"/>
      <c r="Z3361" s="387"/>
      <c r="AA3361" s="387">
        <f t="shared" si="747"/>
        <v>0</v>
      </c>
      <c r="AB3361" s="314">
        <f t="shared" si="743"/>
        <v>0</v>
      </c>
      <c r="AC3361" s="387"/>
      <c r="AD3361" s="387"/>
      <c r="AE3361" s="387">
        <f t="shared" si="747"/>
        <v>0</v>
      </c>
      <c r="AF3361" s="314">
        <f t="shared" si="744"/>
        <v>0</v>
      </c>
      <c r="AG3361" s="387"/>
      <c r="AH3361" s="387"/>
      <c r="AI3361" s="387"/>
      <c r="AJ3361" s="387"/>
      <c r="AK3361" s="314">
        <f t="shared" si="740"/>
        <v>0</v>
      </c>
      <c r="AL3361" s="421">
        <f t="shared" si="741"/>
        <v>0</v>
      </c>
      <c r="AM3361" s="387">
        <f t="shared" si="742"/>
        <v>0</v>
      </c>
      <c r="AN3361" s="422">
        <f t="shared" si="748"/>
        <v>0</v>
      </c>
      <c r="AO3361" s="108"/>
      <c r="AP3361"/>
    </row>
    <row r="3362" spans="1:42" s="108" customFormat="1" x14ac:dyDescent="0.25">
      <c r="A3362" s="60"/>
      <c r="B3362" s="43"/>
      <c r="C3362" s="9"/>
      <c r="D3362" s="869"/>
      <c r="E3362" s="1027"/>
      <c r="F3362" s="272"/>
      <c r="G3362" s="272"/>
      <c r="H3362" s="272"/>
      <c r="I3362" s="722"/>
      <c r="J3362" s="763"/>
      <c r="K3362" s="131">
        <f t="shared" si="749"/>
        <v>0</v>
      </c>
      <c r="L3362" s="335">
        <f t="shared" si="739"/>
        <v>0</v>
      </c>
      <c r="M3362" s="335"/>
      <c r="N3362" s="335"/>
      <c r="O3362" s="335"/>
      <c r="P3362" s="335"/>
      <c r="Q3362" s="130">
        <f t="shared" si="745"/>
        <v>0</v>
      </c>
      <c r="R3362" s="131">
        <f t="shared" si="737"/>
        <v>0</v>
      </c>
      <c r="S3362" s="130"/>
      <c r="T3362" s="130"/>
      <c r="U3362" s="130">
        <f t="shared" si="746"/>
        <v>0</v>
      </c>
      <c r="V3362" s="131">
        <f t="shared" si="738"/>
        <v>0</v>
      </c>
      <c r="W3362" s="130"/>
      <c r="X3362" s="130"/>
      <c r="Y3362" s="130"/>
      <c r="Z3362" s="130"/>
      <c r="AA3362" s="130">
        <f t="shared" si="747"/>
        <v>0</v>
      </c>
      <c r="AB3362" s="131">
        <f t="shared" si="743"/>
        <v>0</v>
      </c>
      <c r="AC3362" s="130"/>
      <c r="AD3362" s="130"/>
      <c r="AE3362" s="130">
        <f t="shared" si="747"/>
        <v>0</v>
      </c>
      <c r="AF3362" s="131">
        <f t="shared" si="744"/>
        <v>0</v>
      </c>
      <c r="AG3362" s="130"/>
      <c r="AH3362" s="130"/>
      <c r="AI3362" s="130"/>
      <c r="AJ3362" s="130"/>
      <c r="AK3362" s="131">
        <f t="shared" si="740"/>
        <v>0</v>
      </c>
      <c r="AL3362" s="446">
        <f t="shared" si="741"/>
        <v>0</v>
      </c>
      <c r="AM3362" s="110">
        <f t="shared" si="742"/>
        <v>0</v>
      </c>
      <c r="AN3362" s="447">
        <f t="shared" si="748"/>
        <v>0</v>
      </c>
      <c r="AO3362"/>
      <c r="AP3362"/>
    </row>
    <row r="3363" spans="1:42" x14ac:dyDescent="0.25">
      <c r="A3363" s="310">
        <v>29109</v>
      </c>
      <c r="B3363" s="375" t="s">
        <v>733</v>
      </c>
      <c r="C3363" s="311"/>
      <c r="D3363" s="902"/>
      <c r="E3363" s="312"/>
      <c r="F3363" s="313"/>
      <c r="G3363" s="313"/>
      <c r="H3363" s="313"/>
      <c r="I3363" s="729"/>
      <c r="J3363" s="800"/>
      <c r="K3363" s="131">
        <f t="shared" si="749"/>
        <v>0</v>
      </c>
      <c r="L3363" s="335">
        <f t="shared" si="739"/>
        <v>0</v>
      </c>
      <c r="M3363" s="446"/>
      <c r="N3363" s="446"/>
      <c r="O3363" s="446"/>
      <c r="P3363" s="446"/>
      <c r="Q3363" s="387">
        <f t="shared" si="745"/>
        <v>0</v>
      </c>
      <c r="R3363" s="314">
        <f t="shared" si="737"/>
        <v>0</v>
      </c>
      <c r="S3363" s="387"/>
      <c r="T3363" s="387"/>
      <c r="U3363" s="387">
        <f t="shared" si="746"/>
        <v>0</v>
      </c>
      <c r="V3363" s="314">
        <f t="shared" si="738"/>
        <v>0</v>
      </c>
      <c r="W3363" s="387"/>
      <c r="X3363" s="387"/>
      <c r="Y3363" s="387"/>
      <c r="Z3363" s="387"/>
      <c r="AA3363" s="387">
        <f t="shared" si="747"/>
        <v>0</v>
      </c>
      <c r="AB3363" s="314">
        <f t="shared" si="743"/>
        <v>0</v>
      </c>
      <c r="AC3363" s="387"/>
      <c r="AD3363" s="387"/>
      <c r="AE3363" s="387">
        <f t="shared" si="747"/>
        <v>0</v>
      </c>
      <c r="AF3363" s="314">
        <f t="shared" si="744"/>
        <v>0</v>
      </c>
      <c r="AG3363" s="387"/>
      <c r="AH3363" s="387"/>
      <c r="AI3363" s="387"/>
      <c r="AJ3363" s="387"/>
      <c r="AK3363" s="314">
        <f t="shared" si="740"/>
        <v>0</v>
      </c>
      <c r="AL3363" s="421">
        <f t="shared" si="741"/>
        <v>0</v>
      </c>
      <c r="AM3363" s="387">
        <f t="shared" si="742"/>
        <v>0</v>
      </c>
      <c r="AN3363" s="422">
        <f t="shared" si="748"/>
        <v>0</v>
      </c>
      <c r="AO3363" s="108"/>
      <c r="AP3363"/>
    </row>
    <row r="3364" spans="1:42" s="108" customFormat="1" x14ac:dyDescent="0.25">
      <c r="A3364" s="9"/>
      <c r="B3364" s="64"/>
      <c r="C3364" s="9"/>
      <c r="D3364" s="869"/>
      <c r="E3364" s="1027"/>
      <c r="F3364" s="272"/>
      <c r="G3364" s="272"/>
      <c r="H3364" s="272"/>
      <c r="I3364" s="722"/>
      <c r="J3364" s="763"/>
      <c r="K3364" s="131">
        <f t="shared" si="749"/>
        <v>0</v>
      </c>
      <c r="L3364" s="335">
        <f t="shared" si="739"/>
        <v>0</v>
      </c>
      <c r="M3364" s="335"/>
      <c r="N3364" s="335"/>
      <c r="O3364" s="335"/>
      <c r="P3364" s="335"/>
      <c r="Q3364" s="130">
        <f t="shared" si="745"/>
        <v>0</v>
      </c>
      <c r="R3364" s="131">
        <f t="shared" si="737"/>
        <v>0</v>
      </c>
      <c r="S3364" s="130"/>
      <c r="T3364" s="130"/>
      <c r="U3364" s="130">
        <f t="shared" si="746"/>
        <v>0</v>
      </c>
      <c r="V3364" s="131">
        <f t="shared" si="738"/>
        <v>0</v>
      </c>
      <c r="W3364" s="130"/>
      <c r="X3364" s="130"/>
      <c r="Y3364" s="130"/>
      <c r="Z3364" s="130"/>
      <c r="AA3364" s="130">
        <f t="shared" si="747"/>
        <v>0</v>
      </c>
      <c r="AB3364" s="131">
        <f t="shared" si="743"/>
        <v>0</v>
      </c>
      <c r="AC3364" s="130"/>
      <c r="AD3364" s="130"/>
      <c r="AE3364" s="130">
        <f t="shared" si="747"/>
        <v>0</v>
      </c>
      <c r="AF3364" s="131">
        <f t="shared" si="744"/>
        <v>0</v>
      </c>
      <c r="AG3364" s="130"/>
      <c r="AH3364" s="130"/>
      <c r="AI3364" s="130"/>
      <c r="AJ3364" s="130"/>
      <c r="AK3364" s="131">
        <f t="shared" si="740"/>
        <v>0</v>
      </c>
      <c r="AL3364" s="446">
        <f t="shared" si="741"/>
        <v>0</v>
      </c>
      <c r="AM3364" s="110">
        <f t="shared" si="742"/>
        <v>0</v>
      </c>
      <c r="AN3364" s="447">
        <f t="shared" si="748"/>
        <v>0</v>
      </c>
      <c r="AO3364"/>
      <c r="AP3364"/>
    </row>
    <row r="3365" spans="1:42" x14ac:dyDescent="0.25">
      <c r="A3365" s="376">
        <v>292</v>
      </c>
      <c r="B3365" s="565" t="s">
        <v>734</v>
      </c>
      <c r="C3365" s="376"/>
      <c r="D3365" s="927"/>
      <c r="E3365" s="377"/>
      <c r="F3365" s="378"/>
      <c r="G3365" s="378"/>
      <c r="H3365" s="378"/>
      <c r="I3365" s="734"/>
      <c r="J3365" s="806">
        <f>+J3366</f>
        <v>0</v>
      </c>
      <c r="K3365" s="131">
        <f t="shared" si="749"/>
        <v>0</v>
      </c>
      <c r="L3365" s="335">
        <f t="shared" si="739"/>
        <v>0</v>
      </c>
      <c r="M3365" s="419"/>
      <c r="N3365" s="419"/>
      <c r="O3365" s="419"/>
      <c r="P3365" s="419"/>
      <c r="Q3365" s="418">
        <f t="shared" si="745"/>
        <v>0</v>
      </c>
      <c r="R3365" s="379">
        <f t="shared" si="737"/>
        <v>0</v>
      </c>
      <c r="S3365" s="418"/>
      <c r="T3365" s="418"/>
      <c r="U3365" s="418">
        <f t="shared" si="746"/>
        <v>0</v>
      </c>
      <c r="V3365" s="379">
        <f t="shared" si="738"/>
        <v>0</v>
      </c>
      <c r="W3365" s="418"/>
      <c r="X3365" s="418"/>
      <c r="Y3365" s="418"/>
      <c r="Z3365" s="418"/>
      <c r="AA3365" s="418">
        <f t="shared" si="747"/>
        <v>0</v>
      </c>
      <c r="AB3365" s="379">
        <f t="shared" si="743"/>
        <v>0</v>
      </c>
      <c r="AC3365" s="418"/>
      <c r="AD3365" s="418"/>
      <c r="AE3365" s="418">
        <f t="shared" si="747"/>
        <v>0</v>
      </c>
      <c r="AF3365" s="379">
        <f t="shared" si="744"/>
        <v>0</v>
      </c>
      <c r="AG3365" s="418"/>
      <c r="AH3365" s="418"/>
      <c r="AI3365" s="418"/>
      <c r="AJ3365" s="418"/>
      <c r="AK3365" s="379">
        <f t="shared" si="740"/>
        <v>0</v>
      </c>
      <c r="AL3365" s="446">
        <f t="shared" si="741"/>
        <v>0</v>
      </c>
      <c r="AM3365" s="110">
        <f t="shared" si="742"/>
        <v>0</v>
      </c>
      <c r="AN3365" s="447">
        <f t="shared" si="748"/>
        <v>0</v>
      </c>
      <c r="AO3365" s="108"/>
      <c r="AP3365"/>
    </row>
    <row r="3366" spans="1:42" s="108" customFormat="1" x14ac:dyDescent="0.25">
      <c r="A3366" s="9">
        <v>29201</v>
      </c>
      <c r="B3366" s="57" t="s">
        <v>735</v>
      </c>
      <c r="C3366" s="1024"/>
      <c r="D3366" s="869"/>
      <c r="E3366" s="1027"/>
      <c r="F3366" s="272"/>
      <c r="G3366" s="272"/>
      <c r="H3366" s="272"/>
      <c r="I3366" s="722"/>
      <c r="J3366" s="763"/>
      <c r="K3366" s="131">
        <f t="shared" si="749"/>
        <v>0</v>
      </c>
      <c r="L3366" s="335">
        <f t="shared" si="739"/>
        <v>0</v>
      </c>
      <c r="M3366" s="335"/>
      <c r="N3366" s="335"/>
      <c r="O3366" s="335"/>
      <c r="P3366" s="335"/>
      <c r="Q3366" s="130">
        <f t="shared" si="745"/>
        <v>0</v>
      </c>
      <c r="R3366" s="131">
        <f t="shared" si="737"/>
        <v>0</v>
      </c>
      <c r="S3366" s="130"/>
      <c r="T3366" s="130"/>
      <c r="U3366" s="130">
        <f t="shared" si="746"/>
        <v>0</v>
      </c>
      <c r="V3366" s="131">
        <f t="shared" si="738"/>
        <v>0</v>
      </c>
      <c r="W3366" s="130"/>
      <c r="X3366" s="130"/>
      <c r="Y3366" s="130"/>
      <c r="Z3366" s="130"/>
      <c r="AA3366" s="130">
        <f t="shared" si="747"/>
        <v>0</v>
      </c>
      <c r="AB3366" s="131">
        <f t="shared" si="743"/>
        <v>0</v>
      </c>
      <c r="AC3366" s="130"/>
      <c r="AD3366" s="130"/>
      <c r="AE3366" s="130">
        <f t="shared" si="747"/>
        <v>0</v>
      </c>
      <c r="AF3366" s="131">
        <f t="shared" si="744"/>
        <v>0</v>
      </c>
      <c r="AG3366" s="130"/>
      <c r="AH3366" s="130"/>
      <c r="AI3366" s="130"/>
      <c r="AJ3366" s="130"/>
      <c r="AK3366" s="131">
        <f t="shared" si="740"/>
        <v>0</v>
      </c>
      <c r="AL3366" s="446">
        <f t="shared" si="741"/>
        <v>0</v>
      </c>
      <c r="AM3366" s="110">
        <f t="shared" si="742"/>
        <v>0</v>
      </c>
      <c r="AN3366" s="447">
        <f t="shared" si="748"/>
        <v>0</v>
      </c>
      <c r="AP3366"/>
    </row>
    <row r="3367" spans="1:42" s="108" customFormat="1" x14ac:dyDescent="0.25">
      <c r="A3367" s="61"/>
      <c r="B3367" s="45"/>
      <c r="C3367" s="9"/>
      <c r="D3367" s="869"/>
      <c r="E3367" s="1027"/>
      <c r="F3367" s="272"/>
      <c r="G3367" s="272"/>
      <c r="H3367" s="272"/>
      <c r="I3367" s="722"/>
      <c r="J3367" s="763"/>
      <c r="K3367" s="131">
        <f t="shared" si="749"/>
        <v>0</v>
      </c>
      <c r="L3367" s="335">
        <f t="shared" si="739"/>
        <v>0</v>
      </c>
      <c r="M3367" s="335"/>
      <c r="N3367" s="335"/>
      <c r="O3367" s="335"/>
      <c r="P3367" s="335"/>
      <c r="Q3367" s="130">
        <f t="shared" si="745"/>
        <v>0</v>
      </c>
      <c r="R3367" s="131">
        <f t="shared" si="737"/>
        <v>0</v>
      </c>
      <c r="S3367" s="130"/>
      <c r="T3367" s="130"/>
      <c r="U3367" s="130">
        <f t="shared" si="746"/>
        <v>0</v>
      </c>
      <c r="V3367" s="131">
        <f t="shared" si="738"/>
        <v>0</v>
      </c>
      <c r="W3367" s="130"/>
      <c r="X3367" s="130"/>
      <c r="Y3367" s="130"/>
      <c r="Z3367" s="130"/>
      <c r="AA3367" s="130">
        <f t="shared" si="747"/>
        <v>0</v>
      </c>
      <c r="AB3367" s="131">
        <f t="shared" si="743"/>
        <v>0</v>
      </c>
      <c r="AC3367" s="130"/>
      <c r="AD3367" s="130"/>
      <c r="AE3367" s="130">
        <f t="shared" si="747"/>
        <v>0</v>
      </c>
      <c r="AF3367" s="131">
        <f t="shared" si="744"/>
        <v>0</v>
      </c>
      <c r="AG3367" s="130"/>
      <c r="AH3367" s="130"/>
      <c r="AI3367" s="130"/>
      <c r="AJ3367" s="130"/>
      <c r="AK3367" s="131">
        <f t="shared" si="740"/>
        <v>0</v>
      </c>
      <c r="AL3367" s="446">
        <f t="shared" si="741"/>
        <v>0</v>
      </c>
      <c r="AM3367" s="110">
        <f t="shared" si="742"/>
        <v>0</v>
      </c>
      <c r="AN3367" s="447">
        <f t="shared" si="748"/>
        <v>0</v>
      </c>
      <c r="AO3367"/>
      <c r="AP3367"/>
    </row>
    <row r="3368" spans="1:42" x14ac:dyDescent="0.25">
      <c r="A3368" s="310">
        <v>29202</v>
      </c>
      <c r="B3368" s="375" t="s">
        <v>736</v>
      </c>
      <c r="C3368" s="311"/>
      <c r="D3368" s="902"/>
      <c r="E3368" s="312"/>
      <c r="F3368" s="313"/>
      <c r="G3368" s="313"/>
      <c r="H3368" s="313"/>
      <c r="I3368" s="729"/>
      <c r="J3368" s="800"/>
      <c r="K3368" s="131">
        <f t="shared" si="749"/>
        <v>0</v>
      </c>
      <c r="L3368" s="335">
        <f t="shared" si="739"/>
        <v>0</v>
      </c>
      <c r="M3368" s="446"/>
      <c r="N3368" s="446"/>
      <c r="O3368" s="446"/>
      <c r="P3368" s="446"/>
      <c r="Q3368" s="387">
        <f t="shared" si="745"/>
        <v>0</v>
      </c>
      <c r="R3368" s="314">
        <f t="shared" si="737"/>
        <v>0</v>
      </c>
      <c r="S3368" s="387"/>
      <c r="T3368" s="387"/>
      <c r="U3368" s="387">
        <f t="shared" si="746"/>
        <v>0</v>
      </c>
      <c r="V3368" s="314">
        <f t="shared" si="738"/>
        <v>0</v>
      </c>
      <c r="W3368" s="387"/>
      <c r="X3368" s="387"/>
      <c r="Y3368" s="387"/>
      <c r="Z3368" s="387"/>
      <c r="AA3368" s="387">
        <f t="shared" si="747"/>
        <v>0</v>
      </c>
      <c r="AB3368" s="314">
        <f t="shared" si="743"/>
        <v>0</v>
      </c>
      <c r="AC3368" s="387"/>
      <c r="AD3368" s="387"/>
      <c r="AE3368" s="387">
        <f t="shared" si="747"/>
        <v>0</v>
      </c>
      <c r="AF3368" s="314">
        <f t="shared" si="744"/>
        <v>0</v>
      </c>
      <c r="AG3368" s="387"/>
      <c r="AH3368" s="387"/>
      <c r="AI3368" s="387"/>
      <c r="AJ3368" s="387"/>
      <c r="AK3368" s="314">
        <f t="shared" si="740"/>
        <v>0</v>
      </c>
      <c r="AL3368" s="421">
        <f t="shared" si="741"/>
        <v>0</v>
      </c>
      <c r="AM3368" s="387">
        <f t="shared" si="742"/>
        <v>0</v>
      </c>
      <c r="AN3368" s="422">
        <f t="shared" si="748"/>
        <v>0</v>
      </c>
      <c r="AO3368" s="436">
        <f>SUM(J3369:J3398)</f>
        <v>38243.075391999992</v>
      </c>
      <c r="AP3368" s="111"/>
    </row>
    <row r="3369" spans="1:42" ht="66" x14ac:dyDescent="0.25">
      <c r="A3369" s="63"/>
      <c r="B3369" s="152" t="s">
        <v>738</v>
      </c>
      <c r="C3369" s="1024"/>
      <c r="D3369" s="916">
        <f>10+3</f>
        <v>13</v>
      </c>
      <c r="E3369" s="1027" t="s">
        <v>1721</v>
      </c>
      <c r="F3369" s="273" t="s">
        <v>3446</v>
      </c>
      <c r="G3369" s="1040" t="s">
        <v>3463</v>
      </c>
      <c r="H3369" s="273" t="s">
        <v>3462</v>
      </c>
      <c r="I3369" s="720">
        <f t="shared" ref="I3369:I3398" si="750">+J3369/D3369</f>
        <v>227.38323076923078</v>
      </c>
      <c r="J3369" s="756">
        <f>2273.832+682.15</f>
        <v>2955.982</v>
      </c>
      <c r="K3369" s="131">
        <f t="shared" si="749"/>
        <v>2955.982</v>
      </c>
      <c r="L3369" s="335">
        <f t="shared" si="739"/>
        <v>0</v>
      </c>
      <c r="M3369" s="446"/>
      <c r="N3369" s="446"/>
      <c r="O3369" s="446"/>
      <c r="P3369" s="446"/>
      <c r="Q3369" s="110">
        <v>4</v>
      </c>
      <c r="R3369" s="111">
        <f t="shared" si="737"/>
        <v>738.99549999999999</v>
      </c>
      <c r="S3369" s="110"/>
      <c r="T3369" s="110"/>
      <c r="U3369" s="110">
        <v>3</v>
      </c>
      <c r="V3369" s="111">
        <f t="shared" si="738"/>
        <v>738.99549999999999</v>
      </c>
      <c r="W3369" s="110"/>
      <c r="X3369" s="110"/>
      <c r="Y3369" s="110"/>
      <c r="Z3369" s="110"/>
      <c r="AA3369" s="110">
        <v>3</v>
      </c>
      <c r="AB3369" s="111">
        <f t="shared" si="743"/>
        <v>738.99549999999999</v>
      </c>
      <c r="AC3369" s="110"/>
      <c r="AD3369" s="110"/>
      <c r="AE3369" s="110">
        <v>3</v>
      </c>
      <c r="AF3369" s="111">
        <f t="shared" si="744"/>
        <v>738.99549999999999</v>
      </c>
      <c r="AG3369" s="110"/>
      <c r="AH3369" s="110"/>
      <c r="AI3369" s="110"/>
      <c r="AJ3369" s="110"/>
      <c r="AK3369" s="111">
        <f t="shared" si="740"/>
        <v>2955.982</v>
      </c>
      <c r="AL3369" s="446">
        <f t="shared" si="741"/>
        <v>0</v>
      </c>
      <c r="AM3369" s="110">
        <f t="shared" si="742"/>
        <v>13</v>
      </c>
      <c r="AN3369" s="447">
        <f t="shared" si="748"/>
        <v>0</v>
      </c>
      <c r="AO3369"/>
      <c r="AP3369"/>
    </row>
    <row r="3370" spans="1:42" ht="66" x14ac:dyDescent="0.25">
      <c r="A3370" s="63"/>
      <c r="B3370" s="152" t="s">
        <v>1320</v>
      </c>
      <c r="C3370" s="1024"/>
      <c r="D3370" s="916">
        <f>10+3</f>
        <v>13</v>
      </c>
      <c r="E3370" s="1027" t="s">
        <v>1721</v>
      </c>
      <c r="F3370" s="273" t="s">
        <v>3446</v>
      </c>
      <c r="G3370" s="1040" t="s">
        <v>3463</v>
      </c>
      <c r="H3370" s="273" t="s">
        <v>3462</v>
      </c>
      <c r="I3370" s="720">
        <f t="shared" si="750"/>
        <v>370.70270769230768</v>
      </c>
      <c r="J3370" s="756">
        <f>3707.0352+1112.1</f>
        <v>4819.1351999999997</v>
      </c>
      <c r="K3370" s="131">
        <f t="shared" si="749"/>
        <v>4819.1351999999997</v>
      </c>
      <c r="L3370" s="335">
        <f t="shared" si="739"/>
        <v>0</v>
      </c>
      <c r="M3370" s="446"/>
      <c r="N3370" s="446"/>
      <c r="O3370" s="446"/>
      <c r="P3370" s="446"/>
      <c r="Q3370" s="110">
        <v>4</v>
      </c>
      <c r="R3370" s="111">
        <f t="shared" si="737"/>
        <v>1204.7837999999999</v>
      </c>
      <c r="S3370" s="110"/>
      <c r="T3370" s="110"/>
      <c r="U3370" s="110">
        <v>3</v>
      </c>
      <c r="V3370" s="111">
        <f t="shared" si="738"/>
        <v>1204.7837999999999</v>
      </c>
      <c r="W3370" s="110"/>
      <c r="X3370" s="110"/>
      <c r="Y3370" s="110"/>
      <c r="Z3370" s="110"/>
      <c r="AA3370" s="110">
        <v>3</v>
      </c>
      <c r="AB3370" s="111">
        <f t="shared" si="743"/>
        <v>1204.7837999999999</v>
      </c>
      <c r="AC3370" s="110"/>
      <c r="AD3370" s="110"/>
      <c r="AE3370" s="110">
        <v>3</v>
      </c>
      <c r="AF3370" s="111">
        <f t="shared" si="744"/>
        <v>1204.7837999999999</v>
      </c>
      <c r="AG3370" s="110"/>
      <c r="AH3370" s="110"/>
      <c r="AI3370" s="110"/>
      <c r="AJ3370" s="110"/>
      <c r="AK3370" s="111">
        <f t="shared" si="740"/>
        <v>4819.1351999999997</v>
      </c>
      <c r="AL3370" s="446">
        <f t="shared" si="741"/>
        <v>0</v>
      </c>
      <c r="AM3370" s="110">
        <f t="shared" si="742"/>
        <v>13</v>
      </c>
      <c r="AN3370" s="447">
        <f t="shared" si="748"/>
        <v>0</v>
      </c>
      <c r="AO3370"/>
      <c r="AP3370"/>
    </row>
    <row r="3371" spans="1:42" ht="66" x14ac:dyDescent="0.25">
      <c r="A3371" s="63"/>
      <c r="B3371" s="152" t="s">
        <v>1321</v>
      </c>
      <c r="C3371" s="1024"/>
      <c r="D3371" s="916">
        <f>10+3</f>
        <v>13</v>
      </c>
      <c r="E3371" s="1027" t="s">
        <v>1721</v>
      </c>
      <c r="F3371" s="273" t="s">
        <v>3446</v>
      </c>
      <c r="G3371" s="1040" t="s">
        <v>3463</v>
      </c>
      <c r="H3371" s="273" t="s">
        <v>3462</v>
      </c>
      <c r="I3371" s="720">
        <f t="shared" si="750"/>
        <v>121.46292307692308</v>
      </c>
      <c r="J3371" s="756">
        <f>1171.368+407.65</f>
        <v>1579.018</v>
      </c>
      <c r="K3371" s="131">
        <f t="shared" si="749"/>
        <v>1579.018</v>
      </c>
      <c r="L3371" s="335">
        <f t="shared" si="739"/>
        <v>0</v>
      </c>
      <c r="M3371" s="446"/>
      <c r="N3371" s="446"/>
      <c r="O3371" s="446"/>
      <c r="P3371" s="446"/>
      <c r="Q3371" s="110">
        <v>4</v>
      </c>
      <c r="R3371" s="111">
        <f t="shared" si="737"/>
        <v>394.75450000000001</v>
      </c>
      <c r="S3371" s="110"/>
      <c r="T3371" s="110"/>
      <c r="U3371" s="110">
        <v>3</v>
      </c>
      <c r="V3371" s="111">
        <f t="shared" si="738"/>
        <v>394.75450000000001</v>
      </c>
      <c r="W3371" s="110"/>
      <c r="X3371" s="110"/>
      <c r="Y3371" s="110"/>
      <c r="Z3371" s="110"/>
      <c r="AA3371" s="110">
        <v>3</v>
      </c>
      <c r="AB3371" s="111">
        <f t="shared" si="743"/>
        <v>394.75450000000001</v>
      </c>
      <c r="AC3371" s="110"/>
      <c r="AD3371" s="110"/>
      <c r="AE3371" s="110">
        <v>3</v>
      </c>
      <c r="AF3371" s="111">
        <f t="shared" si="744"/>
        <v>394.75450000000001</v>
      </c>
      <c r="AG3371" s="110"/>
      <c r="AH3371" s="110"/>
      <c r="AI3371" s="110"/>
      <c r="AJ3371" s="110"/>
      <c r="AK3371" s="111">
        <f t="shared" si="740"/>
        <v>1579.018</v>
      </c>
      <c r="AL3371" s="446">
        <f t="shared" si="741"/>
        <v>0</v>
      </c>
      <c r="AM3371" s="110">
        <f t="shared" si="742"/>
        <v>13</v>
      </c>
      <c r="AN3371" s="447">
        <f t="shared" si="748"/>
        <v>0</v>
      </c>
      <c r="AO3371"/>
      <c r="AP3371"/>
    </row>
    <row r="3372" spans="1:42" ht="66" x14ac:dyDescent="0.25">
      <c r="A3372" s="63"/>
      <c r="B3372" s="152" t="s">
        <v>737</v>
      </c>
      <c r="C3372" s="1024"/>
      <c r="D3372" s="916">
        <v>6</v>
      </c>
      <c r="E3372" s="1027" t="s">
        <v>1721</v>
      </c>
      <c r="F3372" s="273" t="s">
        <v>3446</v>
      </c>
      <c r="G3372" s="1040" t="s">
        <v>3463</v>
      </c>
      <c r="H3372" s="273" t="s">
        <v>3462</v>
      </c>
      <c r="I3372" s="720">
        <f t="shared" si="750"/>
        <v>103.35599999999998</v>
      </c>
      <c r="J3372" s="756">
        <v>620.13599999999985</v>
      </c>
      <c r="K3372" s="131">
        <f t="shared" si="749"/>
        <v>620.13599999999985</v>
      </c>
      <c r="L3372" s="335">
        <f t="shared" si="739"/>
        <v>0</v>
      </c>
      <c r="M3372" s="446"/>
      <c r="N3372" s="446"/>
      <c r="O3372" s="446"/>
      <c r="P3372" s="446"/>
      <c r="Q3372" s="130">
        <v>2</v>
      </c>
      <c r="R3372" s="111">
        <f t="shared" si="737"/>
        <v>155.03399999999996</v>
      </c>
      <c r="S3372" s="110"/>
      <c r="T3372" s="110"/>
      <c r="U3372" s="130">
        <v>2</v>
      </c>
      <c r="V3372" s="111">
        <f t="shared" si="738"/>
        <v>155.03399999999996</v>
      </c>
      <c r="W3372" s="110"/>
      <c r="X3372" s="110"/>
      <c r="Y3372" s="110"/>
      <c r="Z3372" s="110"/>
      <c r="AA3372" s="130">
        <v>1</v>
      </c>
      <c r="AB3372" s="111">
        <f t="shared" si="743"/>
        <v>155.03399999999996</v>
      </c>
      <c r="AC3372" s="110"/>
      <c r="AD3372" s="110"/>
      <c r="AE3372" s="130">
        <v>1</v>
      </c>
      <c r="AF3372" s="111">
        <f t="shared" si="744"/>
        <v>155.03399999999996</v>
      </c>
      <c r="AG3372" s="110"/>
      <c r="AH3372" s="110"/>
      <c r="AI3372" s="110"/>
      <c r="AJ3372" s="110"/>
      <c r="AK3372" s="111">
        <f t="shared" si="740"/>
        <v>620.13599999999985</v>
      </c>
      <c r="AL3372" s="446">
        <f t="shared" si="741"/>
        <v>0</v>
      </c>
      <c r="AM3372" s="110">
        <f t="shared" si="742"/>
        <v>6</v>
      </c>
      <c r="AN3372" s="447">
        <f t="shared" si="748"/>
        <v>0</v>
      </c>
      <c r="AO3372"/>
      <c r="AP3372"/>
    </row>
    <row r="3373" spans="1:42" ht="66" x14ac:dyDescent="0.25">
      <c r="A3373" s="63"/>
      <c r="B3373" s="152" t="s">
        <v>1322</v>
      </c>
      <c r="C3373" s="1024"/>
      <c r="D3373" s="916">
        <v>20</v>
      </c>
      <c r="E3373" s="1027" t="s">
        <v>1721</v>
      </c>
      <c r="F3373" s="273" t="s">
        <v>3446</v>
      </c>
      <c r="G3373" s="1040" t="s">
        <v>3463</v>
      </c>
      <c r="H3373" s="273" t="s">
        <v>3462</v>
      </c>
      <c r="I3373" s="720">
        <f t="shared" si="750"/>
        <v>682.14959999999985</v>
      </c>
      <c r="J3373" s="756">
        <v>13642.991999999997</v>
      </c>
      <c r="K3373" s="131">
        <f t="shared" si="749"/>
        <v>13642.991999999997</v>
      </c>
      <c r="L3373" s="335">
        <f t="shared" si="739"/>
        <v>0</v>
      </c>
      <c r="M3373" s="446"/>
      <c r="N3373" s="446"/>
      <c r="O3373" s="446"/>
      <c r="P3373" s="446"/>
      <c r="Q3373" s="110">
        <f t="shared" si="745"/>
        <v>5</v>
      </c>
      <c r="R3373" s="111">
        <f t="shared" si="737"/>
        <v>3410.7479999999991</v>
      </c>
      <c r="S3373" s="110"/>
      <c r="T3373" s="110"/>
      <c r="U3373" s="110">
        <f t="shared" si="746"/>
        <v>5</v>
      </c>
      <c r="V3373" s="111">
        <f t="shared" si="738"/>
        <v>3410.7479999999991</v>
      </c>
      <c r="W3373" s="110"/>
      <c r="X3373" s="110"/>
      <c r="Y3373" s="110"/>
      <c r="Z3373" s="110"/>
      <c r="AA3373" s="110">
        <f t="shared" si="747"/>
        <v>5</v>
      </c>
      <c r="AB3373" s="111">
        <f t="shared" si="743"/>
        <v>3410.7479999999991</v>
      </c>
      <c r="AC3373" s="110"/>
      <c r="AD3373" s="110"/>
      <c r="AE3373" s="110">
        <f t="shared" si="747"/>
        <v>5</v>
      </c>
      <c r="AF3373" s="111">
        <f t="shared" si="744"/>
        <v>3410.7479999999991</v>
      </c>
      <c r="AG3373" s="110"/>
      <c r="AH3373" s="110"/>
      <c r="AI3373" s="110"/>
      <c r="AJ3373" s="110"/>
      <c r="AK3373" s="111">
        <f t="shared" si="740"/>
        <v>13642.991999999997</v>
      </c>
      <c r="AL3373" s="446">
        <f t="shared" si="741"/>
        <v>0</v>
      </c>
      <c r="AM3373" s="110">
        <f t="shared" si="742"/>
        <v>20</v>
      </c>
      <c r="AN3373" s="447">
        <f t="shared" si="748"/>
        <v>0</v>
      </c>
      <c r="AO3373"/>
      <c r="AP3373"/>
    </row>
    <row r="3374" spans="1:42" ht="66" x14ac:dyDescent="0.25">
      <c r="A3374" s="63"/>
      <c r="B3374" s="151" t="s">
        <v>1323</v>
      </c>
      <c r="C3374" s="1024"/>
      <c r="D3374" s="916">
        <v>1</v>
      </c>
      <c r="E3374" s="1027" t="s">
        <v>1721</v>
      </c>
      <c r="F3374" s="273" t="s">
        <v>3446</v>
      </c>
      <c r="G3374" s="1040" t="s">
        <v>3463</v>
      </c>
      <c r="H3374" s="273" t="s">
        <v>3462</v>
      </c>
      <c r="I3374" s="720">
        <f t="shared" si="750"/>
        <v>108</v>
      </c>
      <c r="J3374" s="756">
        <v>108</v>
      </c>
      <c r="K3374" s="131">
        <f t="shared" si="749"/>
        <v>108</v>
      </c>
      <c r="L3374" s="335">
        <f t="shared" si="739"/>
        <v>0</v>
      </c>
      <c r="M3374" s="446"/>
      <c r="N3374" s="446"/>
      <c r="O3374" s="446"/>
      <c r="P3374" s="446"/>
      <c r="Q3374" s="110">
        <v>1</v>
      </c>
      <c r="R3374" s="111">
        <f t="shared" si="737"/>
        <v>27</v>
      </c>
      <c r="S3374" s="110"/>
      <c r="T3374" s="110"/>
      <c r="U3374" s="110">
        <v>0</v>
      </c>
      <c r="V3374" s="111">
        <f t="shared" si="738"/>
        <v>27</v>
      </c>
      <c r="W3374" s="110"/>
      <c r="X3374" s="110"/>
      <c r="Y3374" s="110"/>
      <c r="Z3374" s="110"/>
      <c r="AA3374" s="110">
        <v>0</v>
      </c>
      <c r="AB3374" s="111">
        <f t="shared" si="743"/>
        <v>27</v>
      </c>
      <c r="AC3374" s="110"/>
      <c r="AD3374" s="110"/>
      <c r="AE3374" s="110">
        <v>0</v>
      </c>
      <c r="AF3374" s="111">
        <f t="shared" si="744"/>
        <v>27</v>
      </c>
      <c r="AG3374" s="110"/>
      <c r="AH3374" s="110"/>
      <c r="AI3374" s="110"/>
      <c r="AJ3374" s="110"/>
      <c r="AK3374" s="111">
        <f t="shared" si="740"/>
        <v>108</v>
      </c>
      <c r="AL3374" s="446">
        <f t="shared" si="741"/>
        <v>0</v>
      </c>
      <c r="AM3374" s="110">
        <f t="shared" si="742"/>
        <v>1</v>
      </c>
      <c r="AN3374" s="447">
        <f t="shared" si="748"/>
        <v>0</v>
      </c>
      <c r="AO3374"/>
      <c r="AP3374"/>
    </row>
    <row r="3375" spans="1:42" ht="66" x14ac:dyDescent="0.25">
      <c r="A3375" s="63"/>
      <c r="B3375" s="152" t="s">
        <v>1324</v>
      </c>
      <c r="C3375" s="1024"/>
      <c r="D3375" s="916">
        <v>1</v>
      </c>
      <c r="E3375" s="1027" t="s">
        <v>1721</v>
      </c>
      <c r="F3375" s="278" t="s">
        <v>3446</v>
      </c>
      <c r="G3375" s="1040" t="s">
        <v>3463</v>
      </c>
      <c r="H3375" s="273" t="s">
        <v>3462</v>
      </c>
      <c r="I3375" s="720">
        <f t="shared" si="750"/>
        <v>108</v>
      </c>
      <c r="J3375" s="756">
        <v>108</v>
      </c>
      <c r="K3375" s="131">
        <f t="shared" si="749"/>
        <v>108</v>
      </c>
      <c r="L3375" s="335">
        <f t="shared" si="739"/>
        <v>0</v>
      </c>
      <c r="M3375" s="446"/>
      <c r="N3375" s="446"/>
      <c r="O3375" s="446"/>
      <c r="P3375" s="446"/>
      <c r="Q3375" s="110">
        <v>1</v>
      </c>
      <c r="R3375" s="111">
        <f t="shared" ref="R3375:R3438" si="751">+J3375/4</f>
        <v>27</v>
      </c>
      <c r="S3375" s="110"/>
      <c r="T3375" s="110"/>
      <c r="U3375" s="110">
        <v>0</v>
      </c>
      <c r="V3375" s="111">
        <f t="shared" ref="V3375:V3438" si="752">+J3375/4</f>
        <v>27</v>
      </c>
      <c r="W3375" s="110"/>
      <c r="X3375" s="110"/>
      <c r="Y3375" s="110"/>
      <c r="Z3375" s="110"/>
      <c r="AA3375" s="110">
        <v>0</v>
      </c>
      <c r="AB3375" s="111">
        <f t="shared" si="743"/>
        <v>27</v>
      </c>
      <c r="AC3375" s="110"/>
      <c r="AD3375" s="110"/>
      <c r="AE3375" s="110">
        <v>0</v>
      </c>
      <c r="AF3375" s="111">
        <f t="shared" si="744"/>
        <v>27</v>
      </c>
      <c r="AG3375" s="110"/>
      <c r="AH3375" s="110"/>
      <c r="AI3375" s="110"/>
      <c r="AJ3375" s="110"/>
      <c r="AK3375" s="111">
        <f t="shared" si="740"/>
        <v>108</v>
      </c>
      <c r="AL3375" s="446">
        <f t="shared" si="741"/>
        <v>0</v>
      </c>
      <c r="AM3375" s="110">
        <f t="shared" si="742"/>
        <v>1</v>
      </c>
      <c r="AN3375" s="447">
        <f t="shared" si="748"/>
        <v>0</v>
      </c>
      <c r="AO3375"/>
      <c r="AP3375"/>
    </row>
    <row r="3376" spans="1:42" ht="66" x14ac:dyDescent="0.25">
      <c r="A3376" s="63"/>
      <c r="B3376" s="152" t="s">
        <v>1325</v>
      </c>
      <c r="C3376" s="1024"/>
      <c r="D3376" s="916">
        <v>15</v>
      </c>
      <c r="E3376" s="1027" t="s">
        <v>1721</v>
      </c>
      <c r="F3376" s="273" t="s">
        <v>3446</v>
      </c>
      <c r="G3376" s="1040" t="s">
        <v>3463</v>
      </c>
      <c r="H3376" s="273" t="s">
        <v>3462</v>
      </c>
      <c r="I3376" s="720">
        <f t="shared" si="750"/>
        <v>24.805439999999997</v>
      </c>
      <c r="J3376" s="756">
        <v>372.08159999999998</v>
      </c>
      <c r="K3376" s="131">
        <f t="shared" si="749"/>
        <v>372.08159999999998</v>
      </c>
      <c r="L3376" s="335">
        <f t="shared" si="739"/>
        <v>0</v>
      </c>
      <c r="M3376" s="446"/>
      <c r="N3376" s="446"/>
      <c r="O3376" s="446"/>
      <c r="P3376" s="446"/>
      <c r="Q3376" s="110">
        <v>4</v>
      </c>
      <c r="R3376" s="111">
        <f t="shared" si="751"/>
        <v>93.020399999999995</v>
      </c>
      <c r="S3376" s="110"/>
      <c r="T3376" s="110"/>
      <c r="U3376" s="110">
        <v>4</v>
      </c>
      <c r="V3376" s="111">
        <f t="shared" si="752"/>
        <v>93.020399999999995</v>
      </c>
      <c r="W3376" s="110"/>
      <c r="X3376" s="110"/>
      <c r="Y3376" s="110"/>
      <c r="Z3376" s="110"/>
      <c r="AA3376" s="110">
        <v>4</v>
      </c>
      <c r="AB3376" s="111">
        <f t="shared" si="743"/>
        <v>93.020399999999995</v>
      </c>
      <c r="AC3376" s="110"/>
      <c r="AD3376" s="110"/>
      <c r="AE3376" s="110">
        <v>3</v>
      </c>
      <c r="AF3376" s="111">
        <f t="shared" si="744"/>
        <v>93.020399999999995</v>
      </c>
      <c r="AG3376" s="110"/>
      <c r="AH3376" s="110"/>
      <c r="AI3376" s="110"/>
      <c r="AJ3376" s="110"/>
      <c r="AK3376" s="111">
        <f t="shared" si="740"/>
        <v>372.08159999999998</v>
      </c>
      <c r="AL3376" s="446">
        <f t="shared" si="741"/>
        <v>0</v>
      </c>
      <c r="AM3376" s="110">
        <f t="shared" si="742"/>
        <v>15</v>
      </c>
      <c r="AN3376" s="447">
        <f t="shared" si="748"/>
        <v>0</v>
      </c>
      <c r="AO3376"/>
      <c r="AP3376"/>
    </row>
    <row r="3377" spans="1:42" ht="66" x14ac:dyDescent="0.25">
      <c r="A3377" s="63"/>
      <c r="B3377" s="152" t="s">
        <v>1326</v>
      </c>
      <c r="C3377" s="1024"/>
      <c r="D3377" s="916">
        <v>15</v>
      </c>
      <c r="E3377" s="1027" t="s">
        <v>1721</v>
      </c>
      <c r="F3377" s="273" t="s">
        <v>3446</v>
      </c>
      <c r="G3377" s="1040" t="s">
        <v>3463</v>
      </c>
      <c r="H3377" s="273" t="s">
        <v>3462</v>
      </c>
      <c r="I3377" s="720">
        <f t="shared" si="750"/>
        <v>41.342399999999998</v>
      </c>
      <c r="J3377" s="756">
        <v>620.13599999999997</v>
      </c>
      <c r="K3377" s="131">
        <f t="shared" si="749"/>
        <v>620.13599999999997</v>
      </c>
      <c r="L3377" s="335">
        <f t="shared" si="739"/>
        <v>0</v>
      </c>
      <c r="M3377" s="446"/>
      <c r="N3377" s="446"/>
      <c r="O3377" s="446"/>
      <c r="P3377" s="446"/>
      <c r="Q3377" s="110">
        <v>4</v>
      </c>
      <c r="R3377" s="111">
        <f t="shared" si="751"/>
        <v>155.03399999999999</v>
      </c>
      <c r="S3377" s="110"/>
      <c r="T3377" s="110"/>
      <c r="U3377" s="110">
        <v>4</v>
      </c>
      <c r="V3377" s="111">
        <f t="shared" si="752"/>
        <v>155.03399999999999</v>
      </c>
      <c r="W3377" s="110"/>
      <c r="X3377" s="110"/>
      <c r="Y3377" s="110"/>
      <c r="Z3377" s="110"/>
      <c r="AA3377" s="110">
        <v>4</v>
      </c>
      <c r="AB3377" s="111">
        <f t="shared" si="743"/>
        <v>155.03399999999999</v>
      </c>
      <c r="AC3377" s="110"/>
      <c r="AD3377" s="110"/>
      <c r="AE3377" s="110">
        <v>3</v>
      </c>
      <c r="AF3377" s="111">
        <f t="shared" si="744"/>
        <v>155.03399999999999</v>
      </c>
      <c r="AG3377" s="110"/>
      <c r="AH3377" s="110"/>
      <c r="AI3377" s="110"/>
      <c r="AJ3377" s="110"/>
      <c r="AK3377" s="111">
        <f t="shared" si="740"/>
        <v>620.13599999999997</v>
      </c>
      <c r="AL3377" s="446">
        <f t="shared" si="741"/>
        <v>0</v>
      </c>
      <c r="AM3377" s="110">
        <f t="shared" si="742"/>
        <v>15</v>
      </c>
      <c r="AN3377" s="447">
        <f t="shared" si="748"/>
        <v>0</v>
      </c>
      <c r="AO3377"/>
      <c r="AP3377"/>
    </row>
    <row r="3378" spans="1:42" ht="66" x14ac:dyDescent="0.25">
      <c r="A3378" s="63"/>
      <c r="B3378" s="152" t="s">
        <v>1327</v>
      </c>
      <c r="C3378" s="1024"/>
      <c r="D3378" s="916">
        <v>10</v>
      </c>
      <c r="E3378" s="1027" t="s">
        <v>1721</v>
      </c>
      <c r="F3378" s="273" t="s">
        <v>3446</v>
      </c>
      <c r="G3378" s="1040" t="s">
        <v>3463</v>
      </c>
      <c r="H3378" s="273" t="s">
        <v>3462</v>
      </c>
      <c r="I3378" s="720">
        <f t="shared" si="750"/>
        <v>16.536960000000001</v>
      </c>
      <c r="J3378" s="756">
        <v>165.36959999999999</v>
      </c>
      <c r="K3378" s="131">
        <f t="shared" si="749"/>
        <v>165.36959999999999</v>
      </c>
      <c r="L3378" s="335">
        <f t="shared" si="739"/>
        <v>0</v>
      </c>
      <c r="M3378" s="446"/>
      <c r="N3378" s="446"/>
      <c r="O3378" s="446"/>
      <c r="P3378" s="446"/>
      <c r="Q3378" s="130">
        <v>3</v>
      </c>
      <c r="R3378" s="111">
        <f t="shared" si="751"/>
        <v>41.342399999999998</v>
      </c>
      <c r="S3378" s="110"/>
      <c r="T3378" s="110"/>
      <c r="U3378" s="130">
        <v>3</v>
      </c>
      <c r="V3378" s="111">
        <f t="shared" si="752"/>
        <v>41.342399999999998</v>
      </c>
      <c r="W3378" s="110"/>
      <c r="X3378" s="110"/>
      <c r="Y3378" s="110"/>
      <c r="Z3378" s="110"/>
      <c r="AA3378" s="130">
        <v>2</v>
      </c>
      <c r="AB3378" s="111">
        <f t="shared" si="743"/>
        <v>41.342399999999998</v>
      </c>
      <c r="AC3378" s="110"/>
      <c r="AD3378" s="110"/>
      <c r="AE3378" s="130">
        <v>2</v>
      </c>
      <c r="AF3378" s="111">
        <f t="shared" si="744"/>
        <v>41.342399999999998</v>
      </c>
      <c r="AG3378" s="110"/>
      <c r="AH3378" s="110"/>
      <c r="AI3378" s="110"/>
      <c r="AJ3378" s="110"/>
      <c r="AK3378" s="111">
        <f t="shared" si="740"/>
        <v>165.36959999999999</v>
      </c>
      <c r="AL3378" s="446">
        <f t="shared" si="741"/>
        <v>0</v>
      </c>
      <c r="AM3378" s="110">
        <f t="shared" si="742"/>
        <v>10</v>
      </c>
      <c r="AN3378" s="447">
        <f t="shared" si="748"/>
        <v>0</v>
      </c>
      <c r="AO3378"/>
      <c r="AP3378"/>
    </row>
    <row r="3379" spans="1:42" ht="66" x14ac:dyDescent="0.25">
      <c r="A3379" s="63"/>
      <c r="B3379" s="152" t="s">
        <v>1328</v>
      </c>
      <c r="C3379" s="1024"/>
      <c r="D3379" s="916">
        <v>10</v>
      </c>
      <c r="E3379" s="1027" t="s">
        <v>1721</v>
      </c>
      <c r="F3379" s="273" t="s">
        <v>3446</v>
      </c>
      <c r="G3379" s="1040" t="s">
        <v>3463</v>
      </c>
      <c r="H3379" s="273" t="s">
        <v>3462</v>
      </c>
      <c r="I3379" s="720">
        <f t="shared" si="750"/>
        <v>62.013600000000011</v>
      </c>
      <c r="J3379" s="756">
        <v>620.13600000000008</v>
      </c>
      <c r="K3379" s="131">
        <f t="shared" si="749"/>
        <v>620.13600000000008</v>
      </c>
      <c r="L3379" s="335">
        <f t="shared" si="739"/>
        <v>0</v>
      </c>
      <c r="M3379" s="446"/>
      <c r="N3379" s="446"/>
      <c r="O3379" s="446"/>
      <c r="P3379" s="446"/>
      <c r="Q3379" s="130">
        <v>3</v>
      </c>
      <c r="R3379" s="111">
        <f t="shared" si="751"/>
        <v>155.03400000000002</v>
      </c>
      <c r="S3379" s="110"/>
      <c r="T3379" s="110"/>
      <c r="U3379" s="130">
        <v>3</v>
      </c>
      <c r="V3379" s="111">
        <f t="shared" si="752"/>
        <v>155.03400000000002</v>
      </c>
      <c r="W3379" s="110"/>
      <c r="X3379" s="110"/>
      <c r="Y3379" s="110"/>
      <c r="Z3379" s="110"/>
      <c r="AA3379" s="130">
        <v>2</v>
      </c>
      <c r="AB3379" s="111">
        <f t="shared" si="743"/>
        <v>155.03400000000002</v>
      </c>
      <c r="AC3379" s="110"/>
      <c r="AD3379" s="110"/>
      <c r="AE3379" s="130">
        <v>2</v>
      </c>
      <c r="AF3379" s="111">
        <f t="shared" si="744"/>
        <v>155.03400000000002</v>
      </c>
      <c r="AG3379" s="110"/>
      <c r="AH3379" s="110"/>
      <c r="AI3379" s="110"/>
      <c r="AJ3379" s="110"/>
      <c r="AK3379" s="111">
        <f t="shared" si="740"/>
        <v>620.13600000000008</v>
      </c>
      <c r="AL3379" s="446">
        <f t="shared" si="741"/>
        <v>0</v>
      </c>
      <c r="AM3379" s="110">
        <f t="shared" si="742"/>
        <v>10</v>
      </c>
      <c r="AN3379" s="447">
        <f t="shared" si="748"/>
        <v>0</v>
      </c>
      <c r="AO3379"/>
      <c r="AP3379"/>
    </row>
    <row r="3380" spans="1:42" ht="66" x14ac:dyDescent="0.25">
      <c r="A3380" s="63"/>
      <c r="B3380" s="152" t="s">
        <v>1329</v>
      </c>
      <c r="C3380" s="1024"/>
      <c r="D3380" s="916">
        <v>5</v>
      </c>
      <c r="E3380" s="1027" t="s">
        <v>1721</v>
      </c>
      <c r="F3380" s="273" t="s">
        <v>3446</v>
      </c>
      <c r="G3380" s="1040" t="s">
        <v>3463</v>
      </c>
      <c r="H3380" s="273" t="s">
        <v>3462</v>
      </c>
      <c r="I3380" s="720">
        <f t="shared" si="750"/>
        <v>124.02720000000002</v>
      </c>
      <c r="J3380" s="756">
        <v>620.13600000000008</v>
      </c>
      <c r="K3380" s="131">
        <f t="shared" si="749"/>
        <v>620.13600000000008</v>
      </c>
      <c r="L3380" s="335">
        <f t="shared" ref="L3380:L3443" si="753">+J3380-K3380</f>
        <v>0</v>
      </c>
      <c r="M3380" s="446"/>
      <c r="N3380" s="446"/>
      <c r="O3380" s="446"/>
      <c r="P3380" s="446"/>
      <c r="Q3380" s="110">
        <v>2</v>
      </c>
      <c r="R3380" s="111">
        <f t="shared" si="751"/>
        <v>155.03400000000002</v>
      </c>
      <c r="S3380" s="110"/>
      <c r="T3380" s="110"/>
      <c r="U3380" s="110">
        <v>1</v>
      </c>
      <c r="V3380" s="111">
        <f t="shared" si="752"/>
        <v>155.03400000000002</v>
      </c>
      <c r="W3380" s="110"/>
      <c r="X3380" s="110"/>
      <c r="Y3380" s="110"/>
      <c r="Z3380" s="110"/>
      <c r="AA3380" s="110">
        <v>1</v>
      </c>
      <c r="AB3380" s="111">
        <f t="shared" si="743"/>
        <v>155.03400000000002</v>
      </c>
      <c r="AC3380" s="110"/>
      <c r="AD3380" s="110"/>
      <c r="AE3380" s="110">
        <v>1</v>
      </c>
      <c r="AF3380" s="111">
        <f t="shared" si="744"/>
        <v>155.03400000000002</v>
      </c>
      <c r="AG3380" s="110"/>
      <c r="AH3380" s="110"/>
      <c r="AI3380" s="110"/>
      <c r="AJ3380" s="110"/>
      <c r="AK3380" s="111">
        <f t="shared" ref="AK3380:AK3443" si="754">+R3380+V3380+AB3380+AF3380</f>
        <v>620.13600000000008</v>
      </c>
      <c r="AL3380" s="446">
        <f t="shared" ref="AL3380:AL3443" si="755">+J3380-AK3380</f>
        <v>0</v>
      </c>
      <c r="AM3380" s="110">
        <f t="shared" ref="AM3380:AM3443" si="756">+Q3380+U3380+AA3380+AE3380</f>
        <v>5</v>
      </c>
      <c r="AN3380" s="447">
        <f t="shared" si="748"/>
        <v>0</v>
      </c>
      <c r="AO3380"/>
      <c r="AP3380"/>
    </row>
    <row r="3381" spans="1:42" ht="66" x14ac:dyDescent="0.25">
      <c r="A3381" s="63"/>
      <c r="B3381" s="152" t="s">
        <v>1330</v>
      </c>
      <c r="C3381" s="1024"/>
      <c r="D3381" s="916">
        <v>2</v>
      </c>
      <c r="E3381" s="1027" t="s">
        <v>1721</v>
      </c>
      <c r="F3381" s="273" t="s">
        <v>3446</v>
      </c>
      <c r="G3381" s="1040" t="s">
        <v>3463</v>
      </c>
      <c r="H3381" s="273" t="s">
        <v>3462</v>
      </c>
      <c r="I3381" s="720">
        <f t="shared" si="750"/>
        <v>135.05184</v>
      </c>
      <c r="J3381" s="756">
        <v>270.10368</v>
      </c>
      <c r="K3381" s="131">
        <f t="shared" si="749"/>
        <v>270.10368</v>
      </c>
      <c r="L3381" s="335">
        <f t="shared" si="753"/>
        <v>0</v>
      </c>
      <c r="M3381" s="446"/>
      <c r="N3381" s="446"/>
      <c r="O3381" s="446"/>
      <c r="P3381" s="446"/>
      <c r="Q3381" s="130">
        <v>1</v>
      </c>
      <c r="R3381" s="111">
        <f t="shared" si="751"/>
        <v>67.525919999999999</v>
      </c>
      <c r="S3381" s="110"/>
      <c r="T3381" s="110"/>
      <c r="U3381" s="130">
        <v>1</v>
      </c>
      <c r="V3381" s="111">
        <f t="shared" si="752"/>
        <v>67.525919999999999</v>
      </c>
      <c r="W3381" s="110"/>
      <c r="X3381" s="110"/>
      <c r="Y3381" s="110"/>
      <c r="Z3381" s="110"/>
      <c r="AA3381" s="130">
        <v>0</v>
      </c>
      <c r="AB3381" s="111">
        <f t="shared" si="743"/>
        <v>67.525919999999999</v>
      </c>
      <c r="AC3381" s="110"/>
      <c r="AD3381" s="110"/>
      <c r="AE3381" s="130">
        <v>0</v>
      </c>
      <c r="AF3381" s="111">
        <f t="shared" si="744"/>
        <v>67.525919999999999</v>
      </c>
      <c r="AG3381" s="110"/>
      <c r="AH3381" s="110"/>
      <c r="AI3381" s="110"/>
      <c r="AJ3381" s="110"/>
      <c r="AK3381" s="111">
        <f t="shared" si="754"/>
        <v>270.10368</v>
      </c>
      <c r="AL3381" s="446">
        <f t="shared" si="755"/>
        <v>0</v>
      </c>
      <c r="AM3381" s="110">
        <f t="shared" si="756"/>
        <v>2</v>
      </c>
      <c r="AN3381" s="447">
        <f t="shared" si="748"/>
        <v>0</v>
      </c>
      <c r="AO3381"/>
      <c r="AP3381"/>
    </row>
    <row r="3382" spans="1:42" ht="66" x14ac:dyDescent="0.25">
      <c r="A3382" s="63"/>
      <c r="B3382" s="152" t="s">
        <v>1331</v>
      </c>
      <c r="C3382" s="1024"/>
      <c r="D3382" s="916">
        <v>2</v>
      </c>
      <c r="E3382" s="1027" t="s">
        <v>1721</v>
      </c>
      <c r="F3382" s="273" t="s">
        <v>3446</v>
      </c>
      <c r="G3382" s="1040" t="s">
        <v>3463</v>
      </c>
      <c r="H3382" s="273" t="s">
        <v>3462</v>
      </c>
      <c r="I3382" s="720">
        <f t="shared" si="750"/>
        <v>135.05184</v>
      </c>
      <c r="J3382" s="756">
        <v>270.10368</v>
      </c>
      <c r="K3382" s="131">
        <f t="shared" si="749"/>
        <v>270.10368</v>
      </c>
      <c r="L3382" s="335">
        <f t="shared" si="753"/>
        <v>0</v>
      </c>
      <c r="M3382" s="446"/>
      <c r="N3382" s="446"/>
      <c r="O3382" s="446"/>
      <c r="P3382" s="446"/>
      <c r="Q3382" s="130">
        <v>1</v>
      </c>
      <c r="R3382" s="111">
        <f t="shared" si="751"/>
        <v>67.525919999999999</v>
      </c>
      <c r="S3382" s="110"/>
      <c r="T3382" s="110"/>
      <c r="U3382" s="130">
        <v>1</v>
      </c>
      <c r="V3382" s="111">
        <f t="shared" si="752"/>
        <v>67.525919999999999</v>
      </c>
      <c r="W3382" s="110"/>
      <c r="X3382" s="110"/>
      <c r="Y3382" s="110"/>
      <c r="Z3382" s="110"/>
      <c r="AA3382" s="130">
        <v>0</v>
      </c>
      <c r="AB3382" s="111">
        <f t="shared" si="743"/>
        <v>67.525919999999999</v>
      </c>
      <c r="AC3382" s="110"/>
      <c r="AD3382" s="110"/>
      <c r="AE3382" s="130">
        <v>0</v>
      </c>
      <c r="AF3382" s="111">
        <f t="shared" si="744"/>
        <v>67.525919999999999</v>
      </c>
      <c r="AG3382" s="110"/>
      <c r="AH3382" s="110"/>
      <c r="AI3382" s="110"/>
      <c r="AJ3382" s="110"/>
      <c r="AK3382" s="111">
        <f t="shared" si="754"/>
        <v>270.10368</v>
      </c>
      <c r="AL3382" s="446">
        <f t="shared" si="755"/>
        <v>0</v>
      </c>
      <c r="AM3382" s="110">
        <f t="shared" si="756"/>
        <v>2</v>
      </c>
      <c r="AN3382" s="447">
        <f t="shared" si="748"/>
        <v>0</v>
      </c>
      <c r="AO3382"/>
      <c r="AP3382"/>
    </row>
    <row r="3383" spans="1:42" ht="66" x14ac:dyDescent="0.25">
      <c r="A3383" s="63"/>
      <c r="B3383" s="152" t="s">
        <v>1332</v>
      </c>
      <c r="C3383" s="1024"/>
      <c r="D3383" s="916">
        <v>2</v>
      </c>
      <c r="E3383" s="1027" t="s">
        <v>1721</v>
      </c>
      <c r="F3383" s="273" t="s">
        <v>3446</v>
      </c>
      <c r="G3383" s="1040" t="s">
        <v>3463</v>
      </c>
      <c r="H3383" s="273" t="s">
        <v>3462</v>
      </c>
      <c r="I3383" s="720">
        <f t="shared" si="750"/>
        <v>165.36959999999999</v>
      </c>
      <c r="J3383" s="756">
        <v>330.73919999999998</v>
      </c>
      <c r="K3383" s="131">
        <f t="shared" si="749"/>
        <v>330.73919999999998</v>
      </c>
      <c r="L3383" s="335">
        <f t="shared" si="753"/>
        <v>0</v>
      </c>
      <c r="M3383" s="446"/>
      <c r="N3383" s="446"/>
      <c r="O3383" s="446"/>
      <c r="P3383" s="446"/>
      <c r="Q3383" s="130">
        <v>1</v>
      </c>
      <c r="R3383" s="111">
        <f t="shared" si="751"/>
        <v>82.684799999999996</v>
      </c>
      <c r="S3383" s="110"/>
      <c r="T3383" s="110"/>
      <c r="U3383" s="130">
        <v>1</v>
      </c>
      <c r="V3383" s="111">
        <f t="shared" si="752"/>
        <v>82.684799999999996</v>
      </c>
      <c r="W3383" s="110"/>
      <c r="X3383" s="110"/>
      <c r="Y3383" s="110"/>
      <c r="Z3383" s="110"/>
      <c r="AA3383" s="130">
        <v>0</v>
      </c>
      <c r="AB3383" s="111">
        <f t="shared" si="743"/>
        <v>82.684799999999996</v>
      </c>
      <c r="AC3383" s="110"/>
      <c r="AD3383" s="110"/>
      <c r="AE3383" s="130">
        <v>0</v>
      </c>
      <c r="AF3383" s="111">
        <f t="shared" si="744"/>
        <v>82.684799999999996</v>
      </c>
      <c r="AG3383" s="110"/>
      <c r="AH3383" s="110"/>
      <c r="AI3383" s="110"/>
      <c r="AJ3383" s="110"/>
      <c r="AK3383" s="111">
        <f t="shared" si="754"/>
        <v>330.73919999999998</v>
      </c>
      <c r="AL3383" s="446">
        <f t="shared" si="755"/>
        <v>0</v>
      </c>
      <c r="AM3383" s="110">
        <f t="shared" si="756"/>
        <v>2</v>
      </c>
      <c r="AN3383" s="447">
        <f t="shared" si="748"/>
        <v>0</v>
      </c>
      <c r="AO3383"/>
      <c r="AP3383"/>
    </row>
    <row r="3384" spans="1:42" ht="66" x14ac:dyDescent="0.25">
      <c r="A3384" s="63"/>
      <c r="B3384" s="152" t="s">
        <v>1333</v>
      </c>
      <c r="C3384" s="1024"/>
      <c r="D3384" s="916">
        <v>2</v>
      </c>
      <c r="E3384" s="1027" t="s">
        <v>1721</v>
      </c>
      <c r="F3384" s="273" t="s">
        <v>3446</v>
      </c>
      <c r="G3384" s="1040" t="s">
        <v>3463</v>
      </c>
      <c r="H3384" s="273" t="s">
        <v>3462</v>
      </c>
      <c r="I3384" s="720">
        <f t="shared" si="750"/>
        <v>392.75279999999998</v>
      </c>
      <c r="J3384" s="756">
        <v>785.50559999999996</v>
      </c>
      <c r="K3384" s="131">
        <f t="shared" si="749"/>
        <v>785.50559999999996</v>
      </c>
      <c r="L3384" s="335">
        <f t="shared" si="753"/>
        <v>0</v>
      </c>
      <c r="M3384" s="446"/>
      <c r="N3384" s="446"/>
      <c r="O3384" s="446"/>
      <c r="P3384" s="446"/>
      <c r="Q3384" s="130">
        <v>1</v>
      </c>
      <c r="R3384" s="111">
        <f t="shared" si="751"/>
        <v>196.37639999999999</v>
      </c>
      <c r="S3384" s="110"/>
      <c r="T3384" s="110"/>
      <c r="U3384" s="130">
        <v>1</v>
      </c>
      <c r="V3384" s="111">
        <f t="shared" si="752"/>
        <v>196.37639999999999</v>
      </c>
      <c r="W3384" s="110"/>
      <c r="X3384" s="110"/>
      <c r="Y3384" s="110"/>
      <c r="Z3384" s="110"/>
      <c r="AA3384" s="130">
        <v>0</v>
      </c>
      <c r="AB3384" s="111">
        <f t="shared" si="743"/>
        <v>196.37639999999999</v>
      </c>
      <c r="AC3384" s="110"/>
      <c r="AD3384" s="110"/>
      <c r="AE3384" s="130">
        <v>0</v>
      </c>
      <c r="AF3384" s="111">
        <f t="shared" si="744"/>
        <v>196.37639999999999</v>
      </c>
      <c r="AG3384" s="110"/>
      <c r="AH3384" s="110"/>
      <c r="AI3384" s="110"/>
      <c r="AJ3384" s="110"/>
      <c r="AK3384" s="111">
        <f t="shared" si="754"/>
        <v>785.50559999999996</v>
      </c>
      <c r="AL3384" s="446">
        <f t="shared" si="755"/>
        <v>0</v>
      </c>
      <c r="AM3384" s="110">
        <f t="shared" si="756"/>
        <v>2</v>
      </c>
      <c r="AN3384" s="447">
        <f t="shared" si="748"/>
        <v>0</v>
      </c>
      <c r="AO3384"/>
      <c r="AP3384"/>
    </row>
    <row r="3385" spans="1:42" ht="66" x14ac:dyDescent="0.25">
      <c r="A3385" s="63"/>
      <c r="B3385" s="152" t="s">
        <v>1334</v>
      </c>
      <c r="C3385" s="1024"/>
      <c r="D3385" s="916">
        <f>5+3</f>
        <v>8</v>
      </c>
      <c r="E3385" s="1027" t="s">
        <v>1721</v>
      </c>
      <c r="F3385" s="273" t="s">
        <v>3446</v>
      </c>
      <c r="G3385" s="1040" t="s">
        <v>3463</v>
      </c>
      <c r="H3385" s="273" t="s">
        <v>3462</v>
      </c>
      <c r="I3385" s="720">
        <f t="shared" si="750"/>
        <v>241.02449999999999</v>
      </c>
      <c r="J3385" s="756">
        <f>1136.916+791.28</f>
        <v>1928.1959999999999</v>
      </c>
      <c r="K3385" s="131">
        <f t="shared" si="749"/>
        <v>1928.1959999999999</v>
      </c>
      <c r="L3385" s="335">
        <f t="shared" si="753"/>
        <v>0</v>
      </c>
      <c r="M3385" s="446"/>
      <c r="N3385" s="446"/>
      <c r="O3385" s="446"/>
      <c r="P3385" s="446"/>
      <c r="Q3385" s="110">
        <f t="shared" ref="Q3385:Q3407" si="757">+$D3385/4</f>
        <v>2</v>
      </c>
      <c r="R3385" s="111">
        <f t="shared" si="751"/>
        <v>482.04899999999998</v>
      </c>
      <c r="S3385" s="110"/>
      <c r="T3385" s="110"/>
      <c r="U3385" s="110">
        <f t="shared" ref="U3385:U3407" si="758">+$D3385/4</f>
        <v>2</v>
      </c>
      <c r="V3385" s="111">
        <f t="shared" si="752"/>
        <v>482.04899999999998</v>
      </c>
      <c r="W3385" s="110"/>
      <c r="X3385" s="110"/>
      <c r="Y3385" s="110"/>
      <c r="Z3385" s="110"/>
      <c r="AA3385" s="110">
        <f t="shared" ref="AA3385:AE3407" si="759">+$D3385/4</f>
        <v>2</v>
      </c>
      <c r="AB3385" s="111">
        <f t="shared" si="743"/>
        <v>482.04899999999998</v>
      </c>
      <c r="AC3385" s="110"/>
      <c r="AD3385" s="110"/>
      <c r="AE3385" s="110">
        <f t="shared" si="759"/>
        <v>2</v>
      </c>
      <c r="AF3385" s="111">
        <f t="shared" si="744"/>
        <v>482.04899999999998</v>
      </c>
      <c r="AG3385" s="110"/>
      <c r="AH3385" s="110"/>
      <c r="AI3385" s="110"/>
      <c r="AJ3385" s="110"/>
      <c r="AK3385" s="111">
        <f t="shared" si="754"/>
        <v>1928.1959999999999</v>
      </c>
      <c r="AL3385" s="446">
        <f t="shared" si="755"/>
        <v>0</v>
      </c>
      <c r="AM3385" s="110">
        <f t="shared" si="756"/>
        <v>8</v>
      </c>
      <c r="AN3385" s="447">
        <f t="shared" si="748"/>
        <v>0</v>
      </c>
      <c r="AO3385"/>
      <c r="AP3385"/>
    </row>
    <row r="3386" spans="1:42" ht="66" x14ac:dyDescent="0.25">
      <c r="A3386" s="63"/>
      <c r="B3386" s="152" t="s">
        <v>1335</v>
      </c>
      <c r="C3386" s="1024"/>
      <c r="D3386" s="916">
        <v>5</v>
      </c>
      <c r="E3386" s="1027" t="s">
        <v>1721</v>
      </c>
      <c r="F3386" s="273" t="s">
        <v>3446</v>
      </c>
      <c r="G3386" s="1040" t="s">
        <v>3463</v>
      </c>
      <c r="H3386" s="273" t="s">
        <v>3462</v>
      </c>
      <c r="I3386" s="720">
        <f t="shared" si="750"/>
        <v>227.38320000000004</v>
      </c>
      <c r="J3386" s="756">
        <v>1136.9160000000002</v>
      </c>
      <c r="K3386" s="131">
        <f t="shared" si="749"/>
        <v>1136.9160000000002</v>
      </c>
      <c r="L3386" s="335">
        <f t="shared" si="753"/>
        <v>0</v>
      </c>
      <c r="M3386" s="446"/>
      <c r="N3386" s="446"/>
      <c r="O3386" s="446"/>
      <c r="P3386" s="446"/>
      <c r="Q3386" s="110">
        <v>2</v>
      </c>
      <c r="R3386" s="111">
        <f t="shared" si="751"/>
        <v>284.22900000000004</v>
      </c>
      <c r="S3386" s="110"/>
      <c r="T3386" s="110"/>
      <c r="U3386" s="110">
        <v>1</v>
      </c>
      <c r="V3386" s="111">
        <f t="shared" si="752"/>
        <v>284.22900000000004</v>
      </c>
      <c r="W3386" s="110"/>
      <c r="X3386" s="110"/>
      <c r="Y3386" s="110"/>
      <c r="Z3386" s="110"/>
      <c r="AA3386" s="110">
        <v>1</v>
      </c>
      <c r="AB3386" s="111">
        <f t="shared" si="743"/>
        <v>284.22900000000004</v>
      </c>
      <c r="AC3386" s="110"/>
      <c r="AD3386" s="110"/>
      <c r="AE3386" s="110">
        <v>1</v>
      </c>
      <c r="AF3386" s="111">
        <f t="shared" si="744"/>
        <v>284.22900000000004</v>
      </c>
      <c r="AG3386" s="110"/>
      <c r="AH3386" s="110"/>
      <c r="AI3386" s="110"/>
      <c r="AJ3386" s="110"/>
      <c r="AK3386" s="111">
        <f t="shared" si="754"/>
        <v>1136.9160000000002</v>
      </c>
      <c r="AL3386" s="446">
        <f t="shared" si="755"/>
        <v>0</v>
      </c>
      <c r="AM3386" s="110">
        <f t="shared" si="756"/>
        <v>5</v>
      </c>
      <c r="AN3386" s="447">
        <f t="shared" si="748"/>
        <v>0</v>
      </c>
      <c r="AO3386"/>
      <c r="AP3386"/>
    </row>
    <row r="3387" spans="1:42" ht="66" x14ac:dyDescent="0.25">
      <c r="A3387" s="63"/>
      <c r="B3387" s="152" t="s">
        <v>1336</v>
      </c>
      <c r="C3387" s="1024"/>
      <c r="D3387" s="916">
        <v>5</v>
      </c>
      <c r="E3387" s="1027" t="s">
        <v>1721</v>
      </c>
      <c r="F3387" s="273" t="s">
        <v>3446</v>
      </c>
      <c r="G3387" s="1040" t="s">
        <v>3463</v>
      </c>
      <c r="H3387" s="273" t="s">
        <v>3462</v>
      </c>
      <c r="I3387" s="720">
        <f t="shared" si="750"/>
        <v>179.15039999999999</v>
      </c>
      <c r="J3387" s="756">
        <v>895.75199999999995</v>
      </c>
      <c r="K3387" s="131">
        <f t="shared" si="749"/>
        <v>895.75199999999995</v>
      </c>
      <c r="L3387" s="335">
        <f t="shared" si="753"/>
        <v>0</v>
      </c>
      <c r="M3387" s="446"/>
      <c r="N3387" s="446"/>
      <c r="O3387" s="446"/>
      <c r="P3387" s="446"/>
      <c r="Q3387" s="110">
        <v>2</v>
      </c>
      <c r="R3387" s="111">
        <f t="shared" si="751"/>
        <v>223.93799999999999</v>
      </c>
      <c r="S3387" s="110"/>
      <c r="T3387" s="110"/>
      <c r="U3387" s="110">
        <v>1</v>
      </c>
      <c r="V3387" s="111">
        <f t="shared" si="752"/>
        <v>223.93799999999999</v>
      </c>
      <c r="W3387" s="110"/>
      <c r="X3387" s="110"/>
      <c r="Y3387" s="110"/>
      <c r="Z3387" s="110"/>
      <c r="AA3387" s="110">
        <v>1</v>
      </c>
      <c r="AB3387" s="111">
        <f t="shared" si="743"/>
        <v>223.93799999999999</v>
      </c>
      <c r="AC3387" s="110"/>
      <c r="AD3387" s="110"/>
      <c r="AE3387" s="110">
        <v>1</v>
      </c>
      <c r="AF3387" s="111">
        <f t="shared" si="744"/>
        <v>223.93799999999999</v>
      </c>
      <c r="AG3387" s="110"/>
      <c r="AH3387" s="110"/>
      <c r="AI3387" s="110"/>
      <c r="AJ3387" s="110"/>
      <c r="AK3387" s="111">
        <f t="shared" si="754"/>
        <v>895.75199999999995</v>
      </c>
      <c r="AL3387" s="446">
        <f t="shared" si="755"/>
        <v>0</v>
      </c>
      <c r="AM3387" s="110">
        <f t="shared" si="756"/>
        <v>5</v>
      </c>
      <c r="AN3387" s="447">
        <f t="shared" si="748"/>
        <v>0</v>
      </c>
      <c r="AO3387"/>
      <c r="AP3387"/>
    </row>
    <row r="3388" spans="1:42" ht="66" x14ac:dyDescent="0.25">
      <c r="A3388" s="63"/>
      <c r="B3388" s="145" t="s">
        <v>1487</v>
      </c>
      <c r="C3388" s="1024"/>
      <c r="D3388" s="916">
        <v>3</v>
      </c>
      <c r="E3388" s="1027" t="s">
        <v>1721</v>
      </c>
      <c r="F3388" s="273" t="s">
        <v>3446</v>
      </c>
      <c r="G3388" s="1040" t="s">
        <v>3463</v>
      </c>
      <c r="H3388" s="273" t="s">
        <v>3462</v>
      </c>
      <c r="I3388" s="720">
        <f t="shared" si="750"/>
        <v>69.600000000000009</v>
      </c>
      <c r="J3388" s="802">
        <v>208.8</v>
      </c>
      <c r="K3388" s="131">
        <f t="shared" si="749"/>
        <v>208.8</v>
      </c>
      <c r="L3388" s="335">
        <f t="shared" si="753"/>
        <v>0</v>
      </c>
      <c r="M3388" s="446"/>
      <c r="N3388" s="446"/>
      <c r="O3388" s="446"/>
      <c r="P3388" s="446"/>
      <c r="Q3388" s="130">
        <v>1</v>
      </c>
      <c r="R3388" s="111">
        <f t="shared" si="751"/>
        <v>52.2</v>
      </c>
      <c r="S3388" s="110"/>
      <c r="T3388" s="110"/>
      <c r="U3388" s="130">
        <v>1</v>
      </c>
      <c r="V3388" s="111">
        <f t="shared" si="752"/>
        <v>52.2</v>
      </c>
      <c r="W3388" s="110"/>
      <c r="X3388" s="110"/>
      <c r="Y3388" s="110"/>
      <c r="Z3388" s="110"/>
      <c r="AA3388" s="130">
        <v>1</v>
      </c>
      <c r="AB3388" s="111">
        <f t="shared" si="743"/>
        <v>52.2</v>
      </c>
      <c r="AC3388" s="110"/>
      <c r="AD3388" s="110"/>
      <c r="AE3388" s="130">
        <v>0</v>
      </c>
      <c r="AF3388" s="111">
        <f t="shared" si="744"/>
        <v>52.2</v>
      </c>
      <c r="AG3388" s="110"/>
      <c r="AH3388" s="110"/>
      <c r="AI3388" s="110"/>
      <c r="AJ3388" s="110"/>
      <c r="AK3388" s="111">
        <f t="shared" si="754"/>
        <v>208.8</v>
      </c>
      <c r="AL3388" s="446">
        <f t="shared" si="755"/>
        <v>0</v>
      </c>
      <c r="AM3388" s="110">
        <f t="shared" si="756"/>
        <v>3</v>
      </c>
      <c r="AN3388" s="447">
        <f t="shared" si="748"/>
        <v>0</v>
      </c>
      <c r="AO3388"/>
      <c r="AP3388"/>
    </row>
    <row r="3389" spans="1:42" ht="66" x14ac:dyDescent="0.25">
      <c r="A3389" s="63"/>
      <c r="B3389" s="146" t="s">
        <v>1488</v>
      </c>
      <c r="C3389" s="1024"/>
      <c r="D3389" s="916">
        <v>3</v>
      </c>
      <c r="E3389" s="1027" t="s">
        <v>1721</v>
      </c>
      <c r="F3389" s="273" t="s">
        <v>3446</v>
      </c>
      <c r="G3389" s="1040" t="s">
        <v>3463</v>
      </c>
      <c r="H3389" s="273" t="s">
        <v>3462</v>
      </c>
      <c r="I3389" s="720">
        <f t="shared" si="750"/>
        <v>263.76079999999996</v>
      </c>
      <c r="J3389" s="756">
        <v>791.28239999999994</v>
      </c>
      <c r="K3389" s="131">
        <f t="shared" si="749"/>
        <v>791.28239999999983</v>
      </c>
      <c r="L3389" s="335">
        <f t="shared" si="753"/>
        <v>0</v>
      </c>
      <c r="M3389" s="446"/>
      <c r="N3389" s="446"/>
      <c r="O3389" s="446"/>
      <c r="P3389" s="446"/>
      <c r="Q3389" s="130">
        <v>1</v>
      </c>
      <c r="R3389" s="111">
        <f t="shared" si="751"/>
        <v>197.82059999999998</v>
      </c>
      <c r="S3389" s="110"/>
      <c r="T3389" s="110"/>
      <c r="U3389" s="130">
        <v>1</v>
      </c>
      <c r="V3389" s="111">
        <f t="shared" si="752"/>
        <v>197.82059999999998</v>
      </c>
      <c r="W3389" s="110"/>
      <c r="X3389" s="110"/>
      <c r="Y3389" s="110"/>
      <c r="Z3389" s="110"/>
      <c r="AA3389" s="130">
        <v>1</v>
      </c>
      <c r="AB3389" s="111">
        <f t="shared" si="743"/>
        <v>197.82059999999998</v>
      </c>
      <c r="AC3389" s="110"/>
      <c r="AD3389" s="110"/>
      <c r="AE3389" s="130">
        <v>0</v>
      </c>
      <c r="AF3389" s="111">
        <f t="shared" si="744"/>
        <v>197.82059999999998</v>
      </c>
      <c r="AG3389" s="110"/>
      <c r="AH3389" s="110"/>
      <c r="AI3389" s="110"/>
      <c r="AJ3389" s="110"/>
      <c r="AK3389" s="111">
        <f t="shared" si="754"/>
        <v>791.28239999999994</v>
      </c>
      <c r="AL3389" s="446">
        <f t="shared" si="755"/>
        <v>0</v>
      </c>
      <c r="AM3389" s="110">
        <f t="shared" si="756"/>
        <v>3</v>
      </c>
      <c r="AN3389" s="447">
        <f t="shared" si="748"/>
        <v>0</v>
      </c>
      <c r="AO3389"/>
      <c r="AP3389"/>
    </row>
    <row r="3390" spans="1:42" ht="66" x14ac:dyDescent="0.25">
      <c r="A3390" s="63"/>
      <c r="B3390" s="153" t="s">
        <v>1489</v>
      </c>
      <c r="C3390" s="1024"/>
      <c r="D3390" s="916">
        <v>3</v>
      </c>
      <c r="E3390" s="1027" t="s">
        <v>1721</v>
      </c>
      <c r="F3390" s="273" t="s">
        <v>3446</v>
      </c>
      <c r="G3390" s="1040" t="s">
        <v>3463</v>
      </c>
      <c r="H3390" s="273" t="s">
        <v>3462</v>
      </c>
      <c r="I3390" s="720">
        <f t="shared" si="750"/>
        <v>103.24</v>
      </c>
      <c r="J3390" s="756">
        <v>309.71999999999997</v>
      </c>
      <c r="K3390" s="131">
        <f t="shared" si="749"/>
        <v>309.71999999999997</v>
      </c>
      <c r="L3390" s="335">
        <f t="shared" si="753"/>
        <v>0</v>
      </c>
      <c r="M3390" s="446"/>
      <c r="N3390" s="446"/>
      <c r="O3390" s="446"/>
      <c r="P3390" s="446"/>
      <c r="Q3390" s="130">
        <v>1</v>
      </c>
      <c r="R3390" s="111">
        <f t="shared" si="751"/>
        <v>77.429999999999993</v>
      </c>
      <c r="S3390" s="110"/>
      <c r="T3390" s="110"/>
      <c r="U3390" s="130">
        <v>1</v>
      </c>
      <c r="V3390" s="111">
        <f t="shared" si="752"/>
        <v>77.429999999999993</v>
      </c>
      <c r="W3390" s="110"/>
      <c r="X3390" s="110"/>
      <c r="Y3390" s="110"/>
      <c r="Z3390" s="110"/>
      <c r="AA3390" s="130">
        <v>1</v>
      </c>
      <c r="AB3390" s="111">
        <f t="shared" si="743"/>
        <v>77.429999999999993</v>
      </c>
      <c r="AC3390" s="110"/>
      <c r="AD3390" s="110"/>
      <c r="AE3390" s="130">
        <v>0</v>
      </c>
      <c r="AF3390" s="111">
        <f t="shared" si="744"/>
        <v>77.429999999999993</v>
      </c>
      <c r="AG3390" s="110"/>
      <c r="AH3390" s="110"/>
      <c r="AI3390" s="110"/>
      <c r="AJ3390" s="110"/>
      <c r="AK3390" s="111">
        <f t="shared" si="754"/>
        <v>309.71999999999997</v>
      </c>
      <c r="AL3390" s="446">
        <f t="shared" si="755"/>
        <v>0</v>
      </c>
      <c r="AM3390" s="110">
        <f t="shared" si="756"/>
        <v>3</v>
      </c>
      <c r="AN3390" s="447">
        <f t="shared" si="748"/>
        <v>0</v>
      </c>
      <c r="AO3390"/>
      <c r="AP3390"/>
    </row>
    <row r="3391" spans="1:42" ht="66" x14ac:dyDescent="0.25">
      <c r="A3391" s="63"/>
      <c r="B3391" s="153" t="s">
        <v>1490</v>
      </c>
      <c r="C3391" s="1024"/>
      <c r="D3391" s="916">
        <v>3</v>
      </c>
      <c r="E3391" s="1027" t="s">
        <v>1721</v>
      </c>
      <c r="F3391" s="273" t="s">
        <v>3446</v>
      </c>
      <c r="G3391" s="1040" t="s">
        <v>3463</v>
      </c>
      <c r="H3391" s="273" t="s">
        <v>3462</v>
      </c>
      <c r="I3391" s="720">
        <f t="shared" si="750"/>
        <v>103.24</v>
      </c>
      <c r="J3391" s="756">
        <v>309.71999999999997</v>
      </c>
      <c r="K3391" s="131">
        <f t="shared" si="749"/>
        <v>309.71999999999997</v>
      </c>
      <c r="L3391" s="335">
        <f t="shared" si="753"/>
        <v>0</v>
      </c>
      <c r="M3391" s="446"/>
      <c r="N3391" s="446"/>
      <c r="O3391" s="446"/>
      <c r="P3391" s="446"/>
      <c r="Q3391" s="130">
        <v>1</v>
      </c>
      <c r="R3391" s="111">
        <f t="shared" si="751"/>
        <v>77.429999999999993</v>
      </c>
      <c r="S3391" s="110"/>
      <c r="T3391" s="110"/>
      <c r="U3391" s="130">
        <v>1</v>
      </c>
      <c r="V3391" s="111">
        <f t="shared" si="752"/>
        <v>77.429999999999993</v>
      </c>
      <c r="W3391" s="110"/>
      <c r="X3391" s="110"/>
      <c r="Y3391" s="110"/>
      <c r="Z3391" s="110"/>
      <c r="AA3391" s="130">
        <v>1</v>
      </c>
      <c r="AB3391" s="111">
        <f t="shared" si="743"/>
        <v>77.429999999999993</v>
      </c>
      <c r="AC3391" s="110"/>
      <c r="AD3391" s="110"/>
      <c r="AE3391" s="130">
        <v>0</v>
      </c>
      <c r="AF3391" s="111">
        <f t="shared" si="744"/>
        <v>77.429999999999993</v>
      </c>
      <c r="AG3391" s="110"/>
      <c r="AH3391" s="110"/>
      <c r="AI3391" s="110"/>
      <c r="AJ3391" s="110"/>
      <c r="AK3391" s="111">
        <f t="shared" si="754"/>
        <v>309.71999999999997</v>
      </c>
      <c r="AL3391" s="446">
        <f t="shared" si="755"/>
        <v>0</v>
      </c>
      <c r="AM3391" s="110">
        <f t="shared" si="756"/>
        <v>3</v>
      </c>
      <c r="AN3391" s="447">
        <f t="shared" si="748"/>
        <v>0</v>
      </c>
      <c r="AO3391"/>
      <c r="AP3391"/>
    </row>
    <row r="3392" spans="1:42" s="108" customFormat="1" ht="66" x14ac:dyDescent="0.25">
      <c r="A3392" s="61"/>
      <c r="B3392" s="685" t="s">
        <v>1491</v>
      </c>
      <c r="C3392" s="368"/>
      <c r="D3392" s="905">
        <v>1</v>
      </c>
      <c r="E3392" s="1027" t="s">
        <v>1721</v>
      </c>
      <c r="F3392" s="278" t="s">
        <v>3446</v>
      </c>
      <c r="G3392" s="1040" t="s">
        <v>3463</v>
      </c>
      <c r="H3392" s="273" t="s">
        <v>3462</v>
      </c>
      <c r="I3392" s="722">
        <f t="shared" si="750"/>
        <v>528.95999999999992</v>
      </c>
      <c r="J3392" s="765">
        <v>528.95999999999992</v>
      </c>
      <c r="K3392" s="131">
        <f t="shared" si="749"/>
        <v>528.95999999999992</v>
      </c>
      <c r="L3392" s="335">
        <f t="shared" si="753"/>
        <v>0</v>
      </c>
      <c r="M3392" s="335"/>
      <c r="N3392" s="335"/>
      <c r="O3392" s="335"/>
      <c r="P3392" s="335"/>
      <c r="Q3392" s="130">
        <v>1</v>
      </c>
      <c r="R3392" s="131">
        <f t="shared" si="751"/>
        <v>132.23999999999998</v>
      </c>
      <c r="S3392" s="130"/>
      <c r="T3392" s="130"/>
      <c r="U3392" s="130">
        <v>0</v>
      </c>
      <c r="V3392" s="131">
        <f t="shared" si="752"/>
        <v>132.23999999999998</v>
      </c>
      <c r="W3392" s="130"/>
      <c r="X3392" s="130"/>
      <c r="Y3392" s="130"/>
      <c r="Z3392" s="130"/>
      <c r="AA3392" s="130">
        <v>0</v>
      </c>
      <c r="AB3392" s="131">
        <f t="shared" si="743"/>
        <v>132.23999999999998</v>
      </c>
      <c r="AC3392" s="130"/>
      <c r="AD3392" s="130"/>
      <c r="AE3392" s="130">
        <v>0</v>
      </c>
      <c r="AF3392" s="131">
        <f t="shared" si="744"/>
        <v>132.23999999999998</v>
      </c>
      <c r="AG3392" s="130"/>
      <c r="AH3392" s="130"/>
      <c r="AI3392" s="130"/>
      <c r="AJ3392" s="130"/>
      <c r="AK3392" s="131">
        <f t="shared" si="754"/>
        <v>528.95999999999992</v>
      </c>
      <c r="AL3392" s="446">
        <f t="shared" si="755"/>
        <v>0</v>
      </c>
      <c r="AM3392" s="110">
        <f t="shared" si="756"/>
        <v>1</v>
      </c>
      <c r="AN3392" s="447">
        <f t="shared" si="748"/>
        <v>0</v>
      </c>
      <c r="AO3392"/>
      <c r="AP3392"/>
    </row>
    <row r="3393" spans="1:42" s="108" customFormat="1" ht="66" x14ac:dyDescent="0.25">
      <c r="A3393" s="61"/>
      <c r="B3393" s="34" t="s">
        <v>737</v>
      </c>
      <c r="C3393" s="9"/>
      <c r="D3393" s="899">
        <v>5</v>
      </c>
      <c r="E3393" s="1027" t="s">
        <v>1721</v>
      </c>
      <c r="F3393" s="278" t="s">
        <v>3446</v>
      </c>
      <c r="G3393" s="1040" t="s">
        <v>3463</v>
      </c>
      <c r="H3393" s="273" t="s">
        <v>3462</v>
      </c>
      <c r="I3393" s="722">
        <f t="shared" si="750"/>
        <v>103.35599999999999</v>
      </c>
      <c r="J3393" s="756">
        <v>516.78</v>
      </c>
      <c r="K3393" s="131">
        <f t="shared" si="749"/>
        <v>516.78</v>
      </c>
      <c r="L3393" s="335">
        <f t="shared" si="753"/>
        <v>0</v>
      </c>
      <c r="M3393" s="335"/>
      <c r="N3393" s="335"/>
      <c r="O3393" s="335"/>
      <c r="P3393" s="335"/>
      <c r="Q3393" s="130">
        <v>2</v>
      </c>
      <c r="R3393" s="131">
        <f t="shared" si="751"/>
        <v>129.19499999999999</v>
      </c>
      <c r="S3393" s="130"/>
      <c r="T3393" s="130"/>
      <c r="U3393" s="130">
        <v>1</v>
      </c>
      <c r="V3393" s="131">
        <f t="shared" si="752"/>
        <v>129.19499999999999</v>
      </c>
      <c r="W3393" s="130"/>
      <c r="X3393" s="130"/>
      <c r="Y3393" s="130"/>
      <c r="Z3393" s="130"/>
      <c r="AA3393" s="130">
        <v>1</v>
      </c>
      <c r="AB3393" s="131">
        <f t="shared" si="743"/>
        <v>129.19499999999999</v>
      </c>
      <c r="AC3393" s="130"/>
      <c r="AD3393" s="130"/>
      <c r="AE3393" s="130">
        <v>1</v>
      </c>
      <c r="AF3393" s="131">
        <f t="shared" si="744"/>
        <v>129.19499999999999</v>
      </c>
      <c r="AG3393" s="130"/>
      <c r="AH3393" s="130"/>
      <c r="AI3393" s="130"/>
      <c r="AJ3393" s="130"/>
      <c r="AK3393" s="131">
        <f t="shared" si="754"/>
        <v>516.78</v>
      </c>
      <c r="AL3393" s="446">
        <f t="shared" si="755"/>
        <v>0</v>
      </c>
      <c r="AM3393" s="110">
        <f t="shared" si="756"/>
        <v>5</v>
      </c>
      <c r="AN3393" s="447">
        <f t="shared" si="748"/>
        <v>0</v>
      </c>
      <c r="AO3393"/>
      <c r="AP3393"/>
    </row>
    <row r="3394" spans="1:42" s="108" customFormat="1" ht="66" x14ac:dyDescent="0.25">
      <c r="A3394" s="61"/>
      <c r="B3394" s="34" t="s">
        <v>738</v>
      </c>
      <c r="C3394" s="9"/>
      <c r="D3394" s="899">
        <v>14</v>
      </c>
      <c r="E3394" s="1027" t="s">
        <v>1721</v>
      </c>
      <c r="F3394" s="278" t="s">
        <v>3446</v>
      </c>
      <c r="G3394" s="1040" t="s">
        <v>3463</v>
      </c>
      <c r="H3394" s="273" t="s">
        <v>3462</v>
      </c>
      <c r="I3394" s="722">
        <f t="shared" si="750"/>
        <v>227.38320000000002</v>
      </c>
      <c r="J3394" s="756">
        <v>3183.3648000000003</v>
      </c>
      <c r="K3394" s="131">
        <f t="shared" si="749"/>
        <v>3183.3648000000003</v>
      </c>
      <c r="L3394" s="335">
        <f t="shared" si="753"/>
        <v>0</v>
      </c>
      <c r="M3394" s="335"/>
      <c r="N3394" s="335"/>
      <c r="O3394" s="335"/>
      <c r="P3394" s="335"/>
      <c r="Q3394" s="130">
        <f t="shared" si="757"/>
        <v>3.5</v>
      </c>
      <c r="R3394" s="131">
        <f t="shared" si="751"/>
        <v>795.84120000000007</v>
      </c>
      <c r="S3394" s="130"/>
      <c r="T3394" s="130"/>
      <c r="U3394" s="130">
        <f t="shared" si="758"/>
        <v>3.5</v>
      </c>
      <c r="V3394" s="131">
        <f t="shared" si="752"/>
        <v>795.84120000000007</v>
      </c>
      <c r="W3394" s="130"/>
      <c r="X3394" s="130"/>
      <c r="Y3394" s="130"/>
      <c r="Z3394" s="130"/>
      <c r="AA3394" s="130">
        <f t="shared" si="759"/>
        <v>3.5</v>
      </c>
      <c r="AB3394" s="131">
        <f t="shared" si="743"/>
        <v>795.84120000000007</v>
      </c>
      <c r="AC3394" s="130"/>
      <c r="AD3394" s="130"/>
      <c r="AE3394" s="130">
        <f t="shared" si="759"/>
        <v>3.5</v>
      </c>
      <c r="AF3394" s="131">
        <f t="shared" si="744"/>
        <v>795.84120000000007</v>
      </c>
      <c r="AG3394" s="130"/>
      <c r="AH3394" s="130"/>
      <c r="AI3394" s="130"/>
      <c r="AJ3394" s="130"/>
      <c r="AK3394" s="131">
        <f t="shared" si="754"/>
        <v>3183.3648000000003</v>
      </c>
      <c r="AL3394" s="446">
        <f t="shared" si="755"/>
        <v>0</v>
      </c>
      <c r="AM3394" s="110">
        <f t="shared" si="756"/>
        <v>14</v>
      </c>
      <c r="AN3394" s="447">
        <f t="shared" si="748"/>
        <v>0</v>
      </c>
      <c r="AO3394"/>
      <c r="AP3394"/>
    </row>
    <row r="3395" spans="1:42" s="108" customFormat="1" ht="66" x14ac:dyDescent="0.25">
      <c r="A3395" s="61"/>
      <c r="B3395" s="686" t="s">
        <v>3313</v>
      </c>
      <c r="C3395" s="9"/>
      <c r="D3395" s="869">
        <v>1</v>
      </c>
      <c r="E3395" s="329" t="s">
        <v>1767</v>
      </c>
      <c r="F3395" s="278" t="s">
        <v>3446</v>
      </c>
      <c r="G3395" s="1040" t="s">
        <v>3463</v>
      </c>
      <c r="H3395" s="273" t="s">
        <v>3462</v>
      </c>
      <c r="I3395" s="722">
        <f t="shared" si="750"/>
        <v>116.42</v>
      </c>
      <c r="J3395" s="756">
        <v>116.42</v>
      </c>
      <c r="K3395" s="131">
        <f t="shared" si="749"/>
        <v>116.42</v>
      </c>
      <c r="L3395" s="335">
        <f t="shared" si="753"/>
        <v>0</v>
      </c>
      <c r="M3395" s="335"/>
      <c r="N3395" s="335"/>
      <c r="O3395" s="335"/>
      <c r="P3395" s="335"/>
      <c r="Q3395" s="130">
        <v>1</v>
      </c>
      <c r="R3395" s="131">
        <f t="shared" si="751"/>
        <v>29.105</v>
      </c>
      <c r="S3395" s="130"/>
      <c r="T3395" s="130"/>
      <c r="U3395" s="130">
        <v>0</v>
      </c>
      <c r="V3395" s="131">
        <f t="shared" si="752"/>
        <v>29.105</v>
      </c>
      <c r="W3395" s="130"/>
      <c r="X3395" s="130"/>
      <c r="Y3395" s="130"/>
      <c r="Z3395" s="130"/>
      <c r="AA3395" s="130">
        <v>0</v>
      </c>
      <c r="AB3395" s="131">
        <f t="shared" si="743"/>
        <v>29.105</v>
      </c>
      <c r="AC3395" s="130"/>
      <c r="AD3395" s="130"/>
      <c r="AE3395" s="130">
        <v>0</v>
      </c>
      <c r="AF3395" s="131">
        <f t="shared" si="744"/>
        <v>29.105</v>
      </c>
      <c r="AG3395" s="130"/>
      <c r="AH3395" s="130"/>
      <c r="AI3395" s="130"/>
      <c r="AJ3395" s="130"/>
      <c r="AK3395" s="131">
        <f t="shared" si="754"/>
        <v>116.42</v>
      </c>
      <c r="AL3395" s="446">
        <f t="shared" si="755"/>
        <v>0</v>
      </c>
      <c r="AM3395" s="110">
        <f t="shared" si="756"/>
        <v>1</v>
      </c>
      <c r="AN3395" s="447">
        <f t="shared" si="748"/>
        <v>0</v>
      </c>
      <c r="AO3395"/>
      <c r="AP3395"/>
    </row>
    <row r="3396" spans="1:42" s="108" customFormat="1" ht="66" x14ac:dyDescent="0.25">
      <c r="A3396" s="61"/>
      <c r="B3396" s="686" t="s">
        <v>3314</v>
      </c>
      <c r="C3396" s="9"/>
      <c r="D3396" s="869">
        <v>1</v>
      </c>
      <c r="E3396" s="329" t="s">
        <v>1767</v>
      </c>
      <c r="F3396" s="278" t="s">
        <v>3446</v>
      </c>
      <c r="G3396" s="1040" t="s">
        <v>3463</v>
      </c>
      <c r="H3396" s="273" t="s">
        <v>3462</v>
      </c>
      <c r="I3396" s="722">
        <f t="shared" si="750"/>
        <v>91.792655999999994</v>
      </c>
      <c r="J3396" s="756">
        <v>91.792655999999994</v>
      </c>
      <c r="K3396" s="131">
        <f t="shared" si="749"/>
        <v>91.792655999999994</v>
      </c>
      <c r="L3396" s="335">
        <f t="shared" si="753"/>
        <v>0</v>
      </c>
      <c r="M3396" s="335"/>
      <c r="N3396" s="335"/>
      <c r="O3396" s="335"/>
      <c r="P3396" s="335"/>
      <c r="Q3396" s="130">
        <v>1</v>
      </c>
      <c r="R3396" s="131">
        <f t="shared" si="751"/>
        <v>22.948163999999998</v>
      </c>
      <c r="S3396" s="130"/>
      <c r="T3396" s="130"/>
      <c r="U3396" s="130">
        <v>0</v>
      </c>
      <c r="V3396" s="131">
        <f t="shared" si="752"/>
        <v>22.948163999999998</v>
      </c>
      <c r="W3396" s="130"/>
      <c r="X3396" s="130"/>
      <c r="Y3396" s="130"/>
      <c r="Z3396" s="130"/>
      <c r="AA3396" s="130">
        <v>0</v>
      </c>
      <c r="AB3396" s="131">
        <f t="shared" si="743"/>
        <v>22.948163999999998</v>
      </c>
      <c r="AC3396" s="130"/>
      <c r="AD3396" s="130"/>
      <c r="AE3396" s="130">
        <v>0</v>
      </c>
      <c r="AF3396" s="131">
        <f t="shared" si="744"/>
        <v>22.948163999999998</v>
      </c>
      <c r="AG3396" s="130"/>
      <c r="AH3396" s="130"/>
      <c r="AI3396" s="130"/>
      <c r="AJ3396" s="130"/>
      <c r="AK3396" s="131">
        <f t="shared" si="754"/>
        <v>91.792655999999994</v>
      </c>
      <c r="AL3396" s="446">
        <f t="shared" si="755"/>
        <v>0</v>
      </c>
      <c r="AM3396" s="110">
        <f t="shared" si="756"/>
        <v>1</v>
      </c>
      <c r="AN3396" s="447">
        <f t="shared" si="748"/>
        <v>0</v>
      </c>
      <c r="AO3396"/>
      <c r="AP3396"/>
    </row>
    <row r="3397" spans="1:42" s="108" customFormat="1" ht="66" x14ac:dyDescent="0.25">
      <c r="A3397" s="61"/>
      <c r="B3397" s="686" t="s">
        <v>3315</v>
      </c>
      <c r="C3397" s="9"/>
      <c r="D3397" s="869">
        <v>1</v>
      </c>
      <c r="E3397" s="329" t="s">
        <v>1767</v>
      </c>
      <c r="F3397" s="278" t="s">
        <v>3446</v>
      </c>
      <c r="G3397" s="1040" t="s">
        <v>3463</v>
      </c>
      <c r="H3397" s="273" t="s">
        <v>3462</v>
      </c>
      <c r="I3397" s="722">
        <f t="shared" si="750"/>
        <v>37.796976000000001</v>
      </c>
      <c r="J3397" s="756">
        <v>37.796976000000001</v>
      </c>
      <c r="K3397" s="131">
        <f t="shared" si="749"/>
        <v>37.796976000000001</v>
      </c>
      <c r="L3397" s="335">
        <f t="shared" si="753"/>
        <v>0</v>
      </c>
      <c r="M3397" s="335"/>
      <c r="N3397" s="335"/>
      <c r="O3397" s="335"/>
      <c r="P3397" s="335"/>
      <c r="Q3397" s="130">
        <v>1</v>
      </c>
      <c r="R3397" s="131">
        <f t="shared" si="751"/>
        <v>9.4492440000000002</v>
      </c>
      <c r="S3397" s="130"/>
      <c r="T3397" s="130"/>
      <c r="U3397" s="130">
        <v>0</v>
      </c>
      <c r="V3397" s="131">
        <f t="shared" si="752"/>
        <v>9.4492440000000002</v>
      </c>
      <c r="W3397" s="130"/>
      <c r="X3397" s="130"/>
      <c r="Y3397" s="130"/>
      <c r="Z3397" s="130"/>
      <c r="AA3397" s="130">
        <v>0</v>
      </c>
      <c r="AB3397" s="131">
        <f t="shared" si="743"/>
        <v>9.4492440000000002</v>
      </c>
      <c r="AC3397" s="130"/>
      <c r="AD3397" s="130"/>
      <c r="AE3397" s="130">
        <v>0</v>
      </c>
      <c r="AF3397" s="131">
        <f t="shared" si="744"/>
        <v>9.4492440000000002</v>
      </c>
      <c r="AG3397" s="130"/>
      <c r="AH3397" s="130"/>
      <c r="AI3397" s="130"/>
      <c r="AJ3397" s="130"/>
      <c r="AK3397" s="131">
        <f t="shared" si="754"/>
        <v>37.796976000000001</v>
      </c>
      <c r="AL3397" s="446">
        <f t="shared" si="755"/>
        <v>0</v>
      </c>
      <c r="AM3397" s="110">
        <f t="shared" si="756"/>
        <v>1</v>
      </c>
      <c r="AN3397" s="447">
        <f t="shared" si="748"/>
        <v>0</v>
      </c>
      <c r="AO3397"/>
      <c r="AP3397"/>
    </row>
    <row r="3398" spans="1:42" s="108" customFormat="1" ht="66" x14ac:dyDescent="0.25">
      <c r="A3398" s="61"/>
      <c r="B3398" s="686" t="s">
        <v>3316</v>
      </c>
      <c r="C3398" s="9"/>
      <c r="D3398" s="869">
        <v>10</v>
      </c>
      <c r="E3398" s="329" t="s">
        <v>2949</v>
      </c>
      <c r="F3398" s="278" t="s">
        <v>3446</v>
      </c>
      <c r="G3398" s="1040" t="s">
        <v>3463</v>
      </c>
      <c r="H3398" s="273" t="s">
        <v>3462</v>
      </c>
      <c r="I3398" s="722">
        <f t="shared" si="750"/>
        <v>30</v>
      </c>
      <c r="J3398" s="756">
        <v>300</v>
      </c>
      <c r="K3398" s="131">
        <f t="shared" si="749"/>
        <v>300</v>
      </c>
      <c r="L3398" s="335">
        <f t="shared" si="753"/>
        <v>0</v>
      </c>
      <c r="M3398" s="335"/>
      <c r="N3398" s="335"/>
      <c r="O3398" s="335"/>
      <c r="P3398" s="335"/>
      <c r="Q3398" s="130">
        <v>3</v>
      </c>
      <c r="R3398" s="131">
        <f t="shared" si="751"/>
        <v>75</v>
      </c>
      <c r="S3398" s="130"/>
      <c r="T3398" s="130"/>
      <c r="U3398" s="130">
        <v>3</v>
      </c>
      <c r="V3398" s="131">
        <f t="shared" si="752"/>
        <v>75</v>
      </c>
      <c r="W3398" s="130"/>
      <c r="X3398" s="130"/>
      <c r="Y3398" s="130"/>
      <c r="Z3398" s="130"/>
      <c r="AA3398" s="130">
        <v>2</v>
      </c>
      <c r="AB3398" s="131">
        <f t="shared" si="743"/>
        <v>75</v>
      </c>
      <c r="AC3398" s="130"/>
      <c r="AD3398" s="130"/>
      <c r="AE3398" s="130">
        <v>2</v>
      </c>
      <c r="AF3398" s="131">
        <f t="shared" si="744"/>
        <v>75</v>
      </c>
      <c r="AG3398" s="130"/>
      <c r="AH3398" s="130"/>
      <c r="AI3398" s="130"/>
      <c r="AJ3398" s="130"/>
      <c r="AK3398" s="131">
        <f t="shared" si="754"/>
        <v>300</v>
      </c>
      <c r="AL3398" s="446">
        <f t="shared" si="755"/>
        <v>0</v>
      </c>
      <c r="AM3398" s="110">
        <f t="shared" si="756"/>
        <v>10</v>
      </c>
      <c r="AN3398" s="447">
        <f t="shared" si="748"/>
        <v>0</v>
      </c>
      <c r="AO3398"/>
      <c r="AP3398"/>
    </row>
    <row r="3399" spans="1:42" ht="22.5" x14ac:dyDescent="0.25">
      <c r="A3399" s="376">
        <v>293</v>
      </c>
      <c r="B3399" s="565" t="s">
        <v>739</v>
      </c>
      <c r="C3399" s="376"/>
      <c r="D3399" s="927"/>
      <c r="E3399" s="377"/>
      <c r="F3399" s="378"/>
      <c r="G3399" s="378"/>
      <c r="H3399" s="378"/>
      <c r="I3399" s="734"/>
      <c r="J3399" s="807"/>
      <c r="K3399" s="131">
        <f t="shared" si="749"/>
        <v>0</v>
      </c>
      <c r="L3399" s="335">
        <f t="shared" si="753"/>
        <v>0</v>
      </c>
      <c r="M3399" s="419"/>
      <c r="N3399" s="419"/>
      <c r="O3399" s="419"/>
      <c r="P3399" s="419"/>
      <c r="Q3399" s="418">
        <f t="shared" si="757"/>
        <v>0</v>
      </c>
      <c r="R3399" s="379">
        <f t="shared" si="751"/>
        <v>0</v>
      </c>
      <c r="S3399" s="418"/>
      <c r="T3399" s="418"/>
      <c r="U3399" s="418">
        <f t="shared" si="758"/>
        <v>0</v>
      </c>
      <c r="V3399" s="379">
        <f t="shared" si="752"/>
        <v>0</v>
      </c>
      <c r="W3399" s="418"/>
      <c r="X3399" s="418"/>
      <c r="Y3399" s="418"/>
      <c r="Z3399" s="418"/>
      <c r="AA3399" s="418">
        <f t="shared" si="759"/>
        <v>0</v>
      </c>
      <c r="AB3399" s="379">
        <f t="shared" ref="AB3399:AB3462" si="760">+J3399/4</f>
        <v>0</v>
      </c>
      <c r="AC3399" s="418"/>
      <c r="AD3399" s="418"/>
      <c r="AE3399" s="418">
        <f t="shared" si="759"/>
        <v>0</v>
      </c>
      <c r="AF3399" s="379">
        <f t="shared" ref="AF3399:AF3462" si="761">+J3399/4</f>
        <v>0</v>
      </c>
      <c r="AG3399" s="418"/>
      <c r="AH3399" s="418"/>
      <c r="AI3399" s="418"/>
      <c r="AJ3399" s="418"/>
      <c r="AK3399" s="379">
        <f t="shared" si="754"/>
        <v>0</v>
      </c>
      <c r="AL3399" s="446">
        <f t="shared" si="755"/>
        <v>0</v>
      </c>
      <c r="AM3399" s="110">
        <f t="shared" si="756"/>
        <v>0</v>
      </c>
      <c r="AN3399" s="447">
        <f t="shared" si="748"/>
        <v>0</v>
      </c>
      <c r="AO3399" s="108"/>
      <c r="AP3399"/>
    </row>
    <row r="3400" spans="1:42" x14ac:dyDescent="0.25">
      <c r="A3400" s="310">
        <v>29301</v>
      </c>
      <c r="B3400" s="375" t="s">
        <v>740</v>
      </c>
      <c r="C3400" s="311"/>
      <c r="D3400" s="902"/>
      <c r="E3400" s="312"/>
      <c r="F3400" s="313"/>
      <c r="G3400" s="313"/>
      <c r="H3400" s="313"/>
      <c r="I3400" s="729"/>
      <c r="J3400" s="793"/>
      <c r="K3400" s="131">
        <f t="shared" si="749"/>
        <v>0</v>
      </c>
      <c r="L3400" s="335">
        <f t="shared" si="753"/>
        <v>0</v>
      </c>
      <c r="M3400" s="446"/>
      <c r="N3400" s="446"/>
      <c r="O3400" s="446"/>
      <c r="P3400" s="446"/>
      <c r="Q3400" s="387">
        <f t="shared" si="757"/>
        <v>0</v>
      </c>
      <c r="R3400" s="314">
        <f t="shared" si="751"/>
        <v>0</v>
      </c>
      <c r="S3400" s="387"/>
      <c r="T3400" s="387"/>
      <c r="U3400" s="387">
        <f t="shared" si="758"/>
        <v>0</v>
      </c>
      <c r="V3400" s="314">
        <f t="shared" si="752"/>
        <v>0</v>
      </c>
      <c r="W3400" s="387"/>
      <c r="X3400" s="387"/>
      <c r="Y3400" s="387"/>
      <c r="Z3400" s="387"/>
      <c r="AA3400" s="387">
        <f t="shared" si="759"/>
        <v>0</v>
      </c>
      <c r="AB3400" s="314">
        <f t="shared" si="760"/>
        <v>0</v>
      </c>
      <c r="AC3400" s="387"/>
      <c r="AD3400" s="387"/>
      <c r="AE3400" s="387">
        <f t="shared" si="759"/>
        <v>0</v>
      </c>
      <c r="AF3400" s="314">
        <f t="shared" si="761"/>
        <v>0</v>
      </c>
      <c r="AG3400" s="387"/>
      <c r="AH3400" s="387"/>
      <c r="AI3400" s="387"/>
      <c r="AJ3400" s="387"/>
      <c r="AK3400" s="314">
        <f t="shared" si="754"/>
        <v>0</v>
      </c>
      <c r="AL3400" s="446">
        <f t="shared" si="755"/>
        <v>0</v>
      </c>
      <c r="AM3400" s="110">
        <f t="shared" si="756"/>
        <v>0</v>
      </c>
      <c r="AN3400" s="447">
        <f t="shared" si="748"/>
        <v>0</v>
      </c>
      <c r="AO3400" s="436">
        <f>SUM(J3402:J3434)</f>
        <v>24249.709952000001</v>
      </c>
      <c r="AP3400" s="111"/>
    </row>
    <row r="3401" spans="1:42" x14ac:dyDescent="0.25">
      <c r="A3401" s="65"/>
      <c r="B3401" s="49" t="s">
        <v>741</v>
      </c>
      <c r="C3401" s="1024"/>
      <c r="D3401" s="928"/>
      <c r="E3401" s="1027"/>
      <c r="F3401" s="272"/>
      <c r="G3401" s="272"/>
      <c r="H3401" s="272"/>
      <c r="I3401" s="720"/>
      <c r="J3401" s="756"/>
      <c r="K3401" s="131">
        <f t="shared" si="749"/>
        <v>0</v>
      </c>
      <c r="L3401" s="335">
        <f t="shared" si="753"/>
        <v>0</v>
      </c>
      <c r="M3401" s="446"/>
      <c r="N3401" s="446"/>
      <c r="O3401" s="446"/>
      <c r="P3401" s="446"/>
      <c r="Q3401" s="110">
        <f t="shared" si="757"/>
        <v>0</v>
      </c>
      <c r="R3401" s="111">
        <f t="shared" si="751"/>
        <v>0</v>
      </c>
      <c r="S3401" s="110"/>
      <c r="T3401" s="110"/>
      <c r="U3401" s="110">
        <f t="shared" si="758"/>
        <v>0</v>
      </c>
      <c r="V3401" s="111">
        <f t="shared" si="752"/>
        <v>0</v>
      </c>
      <c r="W3401" s="110"/>
      <c r="X3401" s="110"/>
      <c r="Y3401" s="110"/>
      <c r="Z3401" s="110"/>
      <c r="AA3401" s="110">
        <f t="shared" si="759"/>
        <v>0</v>
      </c>
      <c r="AB3401" s="111">
        <f t="shared" si="760"/>
        <v>0</v>
      </c>
      <c r="AC3401" s="110"/>
      <c r="AD3401" s="110"/>
      <c r="AE3401" s="110">
        <f t="shared" si="759"/>
        <v>0</v>
      </c>
      <c r="AF3401" s="111">
        <f t="shared" si="761"/>
        <v>0</v>
      </c>
      <c r="AG3401" s="110"/>
      <c r="AH3401" s="110"/>
      <c r="AI3401" s="110"/>
      <c r="AJ3401" s="110"/>
      <c r="AK3401" s="111">
        <f t="shared" si="754"/>
        <v>0</v>
      </c>
      <c r="AL3401" s="446">
        <f t="shared" si="755"/>
        <v>0</v>
      </c>
      <c r="AM3401" s="110">
        <f t="shared" si="756"/>
        <v>0</v>
      </c>
      <c r="AN3401" s="447">
        <f t="shared" si="748"/>
        <v>0</v>
      </c>
      <c r="AO3401"/>
      <c r="AP3401"/>
    </row>
    <row r="3402" spans="1:42" ht="66" x14ac:dyDescent="0.25">
      <c r="A3402" s="65"/>
      <c r="B3402" s="487" t="s">
        <v>1337</v>
      </c>
      <c r="C3402" s="1024"/>
      <c r="D3402" s="916">
        <v>30</v>
      </c>
      <c r="E3402" s="1027" t="s">
        <v>1725</v>
      </c>
      <c r="F3402" s="273" t="s">
        <v>3446</v>
      </c>
      <c r="G3402" s="1040" t="s">
        <v>3463</v>
      </c>
      <c r="H3402" s="273" t="s">
        <v>3462</v>
      </c>
      <c r="I3402" s="720">
        <f t="shared" ref="I3402:I3434" si="762">+J3402/D3402</f>
        <v>41.342399999999998</v>
      </c>
      <c r="J3402" s="756">
        <v>1240.2719999999999</v>
      </c>
      <c r="K3402" s="131">
        <f t="shared" si="749"/>
        <v>1240.2719999999999</v>
      </c>
      <c r="L3402" s="335">
        <f t="shared" si="753"/>
        <v>0</v>
      </c>
      <c r="M3402" s="446"/>
      <c r="N3402" s="446"/>
      <c r="O3402" s="446"/>
      <c r="P3402" s="446"/>
      <c r="Q3402" s="110">
        <v>8</v>
      </c>
      <c r="R3402" s="111">
        <f t="shared" si="751"/>
        <v>310.06799999999998</v>
      </c>
      <c r="S3402" s="110"/>
      <c r="T3402" s="110"/>
      <c r="U3402" s="110">
        <v>8</v>
      </c>
      <c r="V3402" s="111">
        <f t="shared" si="752"/>
        <v>310.06799999999998</v>
      </c>
      <c r="W3402" s="110"/>
      <c r="X3402" s="110"/>
      <c r="Y3402" s="110"/>
      <c r="Z3402" s="110"/>
      <c r="AA3402" s="110">
        <v>7</v>
      </c>
      <c r="AB3402" s="111">
        <f t="shared" si="760"/>
        <v>310.06799999999998</v>
      </c>
      <c r="AC3402" s="110"/>
      <c r="AD3402" s="110"/>
      <c r="AE3402" s="110">
        <v>7</v>
      </c>
      <c r="AF3402" s="111">
        <f t="shared" si="761"/>
        <v>310.06799999999998</v>
      </c>
      <c r="AG3402" s="110"/>
      <c r="AH3402" s="110"/>
      <c r="AI3402" s="110"/>
      <c r="AJ3402" s="110"/>
      <c r="AK3402" s="111">
        <f t="shared" si="754"/>
        <v>1240.2719999999999</v>
      </c>
      <c r="AL3402" s="446">
        <f t="shared" si="755"/>
        <v>0</v>
      </c>
      <c r="AM3402" s="110">
        <f t="shared" si="756"/>
        <v>30</v>
      </c>
      <c r="AN3402" s="447">
        <f t="shared" si="748"/>
        <v>0</v>
      </c>
      <c r="AO3402"/>
      <c r="AP3402"/>
    </row>
    <row r="3403" spans="1:42" ht="66" x14ac:dyDescent="0.25">
      <c r="A3403" s="65"/>
      <c r="B3403" s="152" t="s">
        <v>1338</v>
      </c>
      <c r="C3403" s="1024"/>
      <c r="D3403" s="916">
        <v>300</v>
      </c>
      <c r="E3403" s="1027" t="s">
        <v>1725</v>
      </c>
      <c r="F3403" s="273" t="s">
        <v>3446</v>
      </c>
      <c r="G3403" s="1040" t="s">
        <v>3463</v>
      </c>
      <c r="H3403" s="273" t="s">
        <v>3462</v>
      </c>
      <c r="I3403" s="720">
        <f t="shared" si="762"/>
        <v>2.0671200000000001</v>
      </c>
      <c r="J3403" s="756">
        <v>620.13599999999997</v>
      </c>
      <c r="K3403" s="131">
        <f t="shared" si="749"/>
        <v>620.13599999999997</v>
      </c>
      <c r="L3403" s="335">
        <f t="shared" si="753"/>
        <v>0</v>
      </c>
      <c r="M3403" s="446"/>
      <c r="N3403" s="446"/>
      <c r="O3403" s="446"/>
      <c r="P3403" s="446"/>
      <c r="Q3403" s="110">
        <f t="shared" si="757"/>
        <v>75</v>
      </c>
      <c r="R3403" s="111">
        <f t="shared" si="751"/>
        <v>155.03399999999999</v>
      </c>
      <c r="S3403" s="110"/>
      <c r="T3403" s="110"/>
      <c r="U3403" s="110">
        <f t="shared" si="758"/>
        <v>75</v>
      </c>
      <c r="V3403" s="111">
        <f t="shared" si="752"/>
        <v>155.03399999999999</v>
      </c>
      <c r="W3403" s="110"/>
      <c r="X3403" s="110"/>
      <c r="Y3403" s="110"/>
      <c r="Z3403" s="110"/>
      <c r="AA3403" s="110">
        <f t="shared" si="759"/>
        <v>75</v>
      </c>
      <c r="AB3403" s="111">
        <f t="shared" si="760"/>
        <v>155.03399999999999</v>
      </c>
      <c r="AC3403" s="110"/>
      <c r="AD3403" s="110"/>
      <c r="AE3403" s="110">
        <f t="shared" si="759"/>
        <v>75</v>
      </c>
      <c r="AF3403" s="111">
        <f t="shared" si="761"/>
        <v>155.03399999999999</v>
      </c>
      <c r="AG3403" s="110"/>
      <c r="AH3403" s="110"/>
      <c r="AI3403" s="110"/>
      <c r="AJ3403" s="110"/>
      <c r="AK3403" s="111">
        <f t="shared" si="754"/>
        <v>620.13599999999997</v>
      </c>
      <c r="AL3403" s="446">
        <f t="shared" si="755"/>
        <v>0</v>
      </c>
      <c r="AM3403" s="110">
        <f t="shared" si="756"/>
        <v>300</v>
      </c>
      <c r="AN3403" s="447">
        <f t="shared" si="748"/>
        <v>0</v>
      </c>
      <c r="AO3403"/>
      <c r="AP3403"/>
    </row>
    <row r="3404" spans="1:42" ht="66" x14ac:dyDescent="0.25">
      <c r="A3404" s="65"/>
      <c r="B3404" s="152" t="s">
        <v>1339</v>
      </c>
      <c r="C3404" s="1024"/>
      <c r="D3404" s="916">
        <v>2</v>
      </c>
      <c r="E3404" s="1027" t="s">
        <v>1725</v>
      </c>
      <c r="F3404" s="273" t="s">
        <v>3446</v>
      </c>
      <c r="G3404" s="1040" t="s">
        <v>3463</v>
      </c>
      <c r="H3404" s="273" t="s">
        <v>3462</v>
      </c>
      <c r="I3404" s="720">
        <f t="shared" si="762"/>
        <v>110.24639999999999</v>
      </c>
      <c r="J3404" s="756">
        <v>220.49279999999999</v>
      </c>
      <c r="K3404" s="131">
        <f t="shared" si="749"/>
        <v>220.49279999999999</v>
      </c>
      <c r="L3404" s="335">
        <f t="shared" si="753"/>
        <v>0</v>
      </c>
      <c r="M3404" s="446"/>
      <c r="N3404" s="446"/>
      <c r="O3404" s="446"/>
      <c r="P3404" s="446"/>
      <c r="Q3404" s="130">
        <v>1</v>
      </c>
      <c r="R3404" s="111">
        <f t="shared" si="751"/>
        <v>55.123199999999997</v>
      </c>
      <c r="S3404" s="110"/>
      <c r="T3404" s="110"/>
      <c r="U3404" s="130">
        <v>1</v>
      </c>
      <c r="V3404" s="111">
        <f t="shared" si="752"/>
        <v>55.123199999999997</v>
      </c>
      <c r="W3404" s="110"/>
      <c r="X3404" s="110"/>
      <c r="Y3404" s="110"/>
      <c r="Z3404" s="110"/>
      <c r="AA3404" s="130">
        <v>0</v>
      </c>
      <c r="AB3404" s="111">
        <f t="shared" si="760"/>
        <v>55.123199999999997</v>
      </c>
      <c r="AC3404" s="110"/>
      <c r="AD3404" s="110"/>
      <c r="AE3404" s="130">
        <v>0</v>
      </c>
      <c r="AF3404" s="111">
        <f t="shared" si="761"/>
        <v>55.123199999999997</v>
      </c>
      <c r="AG3404" s="110"/>
      <c r="AH3404" s="110"/>
      <c r="AI3404" s="110"/>
      <c r="AJ3404" s="110"/>
      <c r="AK3404" s="111">
        <f t="shared" si="754"/>
        <v>220.49279999999999</v>
      </c>
      <c r="AL3404" s="446">
        <f t="shared" si="755"/>
        <v>0</v>
      </c>
      <c r="AM3404" s="110">
        <f t="shared" si="756"/>
        <v>2</v>
      </c>
      <c r="AN3404" s="447">
        <f t="shared" si="748"/>
        <v>0</v>
      </c>
      <c r="AO3404"/>
      <c r="AP3404"/>
    </row>
    <row r="3405" spans="1:42" ht="66" x14ac:dyDescent="0.25">
      <c r="A3405" s="65"/>
      <c r="B3405" s="152" t="s">
        <v>1340</v>
      </c>
      <c r="C3405" s="1024"/>
      <c r="D3405" s="916">
        <v>2</v>
      </c>
      <c r="E3405" s="1027" t="s">
        <v>1725</v>
      </c>
      <c r="F3405" s="273" t="s">
        <v>3446</v>
      </c>
      <c r="G3405" s="1040" t="s">
        <v>3463</v>
      </c>
      <c r="H3405" s="273" t="s">
        <v>3462</v>
      </c>
      <c r="I3405" s="720">
        <f t="shared" si="762"/>
        <v>96.465599999999995</v>
      </c>
      <c r="J3405" s="756">
        <v>192.93119999999999</v>
      </c>
      <c r="K3405" s="131">
        <f t="shared" si="749"/>
        <v>192.93119999999999</v>
      </c>
      <c r="L3405" s="335">
        <f t="shared" si="753"/>
        <v>0</v>
      </c>
      <c r="M3405" s="446"/>
      <c r="N3405" s="446"/>
      <c r="O3405" s="446"/>
      <c r="P3405" s="446"/>
      <c r="Q3405" s="130">
        <v>1</v>
      </c>
      <c r="R3405" s="111">
        <f t="shared" si="751"/>
        <v>48.232799999999997</v>
      </c>
      <c r="S3405" s="110"/>
      <c r="T3405" s="110"/>
      <c r="U3405" s="130">
        <v>1</v>
      </c>
      <c r="V3405" s="111">
        <f t="shared" si="752"/>
        <v>48.232799999999997</v>
      </c>
      <c r="W3405" s="110"/>
      <c r="X3405" s="110"/>
      <c r="Y3405" s="110"/>
      <c r="Z3405" s="110"/>
      <c r="AA3405" s="130">
        <v>0</v>
      </c>
      <c r="AB3405" s="111">
        <f t="shared" si="760"/>
        <v>48.232799999999997</v>
      </c>
      <c r="AC3405" s="110"/>
      <c r="AD3405" s="110"/>
      <c r="AE3405" s="130">
        <v>0</v>
      </c>
      <c r="AF3405" s="111">
        <f t="shared" si="761"/>
        <v>48.232799999999997</v>
      </c>
      <c r="AG3405" s="110"/>
      <c r="AH3405" s="110"/>
      <c r="AI3405" s="110"/>
      <c r="AJ3405" s="110"/>
      <c r="AK3405" s="111">
        <f t="shared" si="754"/>
        <v>192.93119999999999</v>
      </c>
      <c r="AL3405" s="446">
        <f t="shared" si="755"/>
        <v>0</v>
      </c>
      <c r="AM3405" s="110">
        <f t="shared" si="756"/>
        <v>2</v>
      </c>
      <c r="AN3405" s="447">
        <f t="shared" si="748"/>
        <v>0</v>
      </c>
      <c r="AO3405"/>
      <c r="AP3405"/>
    </row>
    <row r="3406" spans="1:42" ht="66" x14ac:dyDescent="0.25">
      <c r="A3406" s="65"/>
      <c r="B3406" s="152" t="s">
        <v>1341</v>
      </c>
      <c r="C3406" s="1024"/>
      <c r="D3406" s="916">
        <v>100</v>
      </c>
      <c r="E3406" s="1027" t="s">
        <v>1721</v>
      </c>
      <c r="F3406" s="273" t="s">
        <v>3446</v>
      </c>
      <c r="G3406" s="1040" t="s">
        <v>3463</v>
      </c>
      <c r="H3406" s="273" t="s">
        <v>3462</v>
      </c>
      <c r="I3406" s="720">
        <f t="shared" si="762"/>
        <v>1.6536959999999998</v>
      </c>
      <c r="J3406" s="756">
        <v>165.36959999999999</v>
      </c>
      <c r="K3406" s="131">
        <f t="shared" si="749"/>
        <v>165.36959999999999</v>
      </c>
      <c r="L3406" s="335">
        <f t="shared" si="753"/>
        <v>0</v>
      </c>
      <c r="M3406" s="446"/>
      <c r="N3406" s="446"/>
      <c r="O3406" s="446"/>
      <c r="P3406" s="446"/>
      <c r="Q3406" s="110">
        <f t="shared" si="757"/>
        <v>25</v>
      </c>
      <c r="R3406" s="111">
        <f t="shared" si="751"/>
        <v>41.342399999999998</v>
      </c>
      <c r="S3406" s="110"/>
      <c r="T3406" s="110"/>
      <c r="U3406" s="110">
        <f t="shared" si="758"/>
        <v>25</v>
      </c>
      <c r="V3406" s="111">
        <f t="shared" si="752"/>
        <v>41.342399999999998</v>
      </c>
      <c r="W3406" s="110"/>
      <c r="X3406" s="110"/>
      <c r="Y3406" s="110"/>
      <c r="Z3406" s="110"/>
      <c r="AA3406" s="110">
        <f t="shared" si="759"/>
        <v>25</v>
      </c>
      <c r="AB3406" s="111">
        <f t="shared" si="760"/>
        <v>41.342399999999998</v>
      </c>
      <c r="AC3406" s="110"/>
      <c r="AD3406" s="110"/>
      <c r="AE3406" s="110">
        <f t="shared" si="759"/>
        <v>25</v>
      </c>
      <c r="AF3406" s="111">
        <f t="shared" si="761"/>
        <v>41.342399999999998</v>
      </c>
      <c r="AG3406" s="110"/>
      <c r="AH3406" s="110"/>
      <c r="AI3406" s="110"/>
      <c r="AJ3406" s="110"/>
      <c r="AK3406" s="111">
        <f t="shared" si="754"/>
        <v>165.36959999999999</v>
      </c>
      <c r="AL3406" s="446">
        <f t="shared" si="755"/>
        <v>0</v>
      </c>
      <c r="AM3406" s="110">
        <f t="shared" si="756"/>
        <v>100</v>
      </c>
      <c r="AN3406" s="447">
        <f t="shared" si="748"/>
        <v>0</v>
      </c>
      <c r="AO3406"/>
      <c r="AP3406"/>
    </row>
    <row r="3407" spans="1:42" ht="66" x14ac:dyDescent="0.25">
      <c r="A3407" s="65"/>
      <c r="B3407" s="152" t="s">
        <v>1342</v>
      </c>
      <c r="C3407" s="1024"/>
      <c r="D3407" s="916">
        <v>100</v>
      </c>
      <c r="E3407" s="1027" t="s">
        <v>1721</v>
      </c>
      <c r="F3407" s="273" t="s">
        <v>3446</v>
      </c>
      <c r="G3407" s="1040" t="s">
        <v>3463</v>
      </c>
      <c r="H3407" s="273" t="s">
        <v>3462</v>
      </c>
      <c r="I3407" s="720">
        <f t="shared" si="762"/>
        <v>1.6536959999999998</v>
      </c>
      <c r="J3407" s="756">
        <v>165.36959999999999</v>
      </c>
      <c r="K3407" s="131">
        <f t="shared" si="749"/>
        <v>165.36959999999999</v>
      </c>
      <c r="L3407" s="335">
        <f t="shared" si="753"/>
        <v>0</v>
      </c>
      <c r="M3407" s="446"/>
      <c r="N3407" s="446"/>
      <c r="O3407" s="446"/>
      <c r="P3407" s="446"/>
      <c r="Q3407" s="110">
        <f t="shared" si="757"/>
        <v>25</v>
      </c>
      <c r="R3407" s="111">
        <f t="shared" si="751"/>
        <v>41.342399999999998</v>
      </c>
      <c r="S3407" s="110"/>
      <c r="T3407" s="110"/>
      <c r="U3407" s="110">
        <f t="shared" si="758"/>
        <v>25</v>
      </c>
      <c r="V3407" s="111">
        <f t="shared" si="752"/>
        <v>41.342399999999998</v>
      </c>
      <c r="W3407" s="110"/>
      <c r="X3407" s="110"/>
      <c r="Y3407" s="110"/>
      <c r="Z3407" s="110"/>
      <c r="AA3407" s="110">
        <f t="shared" si="759"/>
        <v>25</v>
      </c>
      <c r="AB3407" s="111">
        <f t="shared" si="760"/>
        <v>41.342399999999998</v>
      </c>
      <c r="AC3407" s="110"/>
      <c r="AD3407" s="110"/>
      <c r="AE3407" s="110">
        <f t="shared" si="759"/>
        <v>25</v>
      </c>
      <c r="AF3407" s="111">
        <f t="shared" si="761"/>
        <v>41.342399999999998</v>
      </c>
      <c r="AG3407" s="110"/>
      <c r="AH3407" s="110"/>
      <c r="AI3407" s="110"/>
      <c r="AJ3407" s="110"/>
      <c r="AK3407" s="111">
        <f t="shared" si="754"/>
        <v>165.36959999999999</v>
      </c>
      <c r="AL3407" s="446">
        <f t="shared" si="755"/>
        <v>0</v>
      </c>
      <c r="AM3407" s="110">
        <f t="shared" si="756"/>
        <v>100</v>
      </c>
      <c r="AN3407" s="447">
        <f t="shared" si="748"/>
        <v>0</v>
      </c>
      <c r="AO3407"/>
      <c r="AP3407"/>
    </row>
    <row r="3408" spans="1:42" ht="66" x14ac:dyDescent="0.25">
      <c r="A3408" s="65"/>
      <c r="B3408" s="152" t="s">
        <v>1343</v>
      </c>
      <c r="C3408" s="1024"/>
      <c r="D3408" s="916">
        <v>3</v>
      </c>
      <c r="E3408" s="1027" t="s">
        <v>1721</v>
      </c>
      <c r="F3408" s="273" t="s">
        <v>3446</v>
      </c>
      <c r="G3408" s="1040" t="s">
        <v>3463</v>
      </c>
      <c r="H3408" s="273" t="s">
        <v>3462</v>
      </c>
      <c r="I3408" s="720">
        <f t="shared" si="762"/>
        <v>34.451999999999998</v>
      </c>
      <c r="J3408" s="756">
        <v>103.35599999999999</v>
      </c>
      <c r="K3408" s="131">
        <f t="shared" si="749"/>
        <v>103.35599999999999</v>
      </c>
      <c r="L3408" s="335">
        <f t="shared" si="753"/>
        <v>0</v>
      </c>
      <c r="M3408" s="446"/>
      <c r="N3408" s="446"/>
      <c r="O3408" s="446"/>
      <c r="P3408" s="446"/>
      <c r="Q3408" s="130">
        <v>1</v>
      </c>
      <c r="R3408" s="111">
        <f t="shared" si="751"/>
        <v>25.838999999999999</v>
      </c>
      <c r="S3408" s="110"/>
      <c r="T3408" s="110"/>
      <c r="U3408" s="130">
        <v>1</v>
      </c>
      <c r="V3408" s="111">
        <f t="shared" si="752"/>
        <v>25.838999999999999</v>
      </c>
      <c r="W3408" s="110"/>
      <c r="X3408" s="110"/>
      <c r="Y3408" s="110"/>
      <c r="Z3408" s="110"/>
      <c r="AA3408" s="130">
        <v>1</v>
      </c>
      <c r="AB3408" s="111">
        <f t="shared" si="760"/>
        <v>25.838999999999999</v>
      </c>
      <c r="AC3408" s="110"/>
      <c r="AD3408" s="110"/>
      <c r="AE3408" s="130">
        <v>0</v>
      </c>
      <c r="AF3408" s="111">
        <f t="shared" si="761"/>
        <v>25.838999999999999</v>
      </c>
      <c r="AG3408" s="110"/>
      <c r="AH3408" s="110"/>
      <c r="AI3408" s="110"/>
      <c r="AJ3408" s="110"/>
      <c r="AK3408" s="111">
        <f t="shared" si="754"/>
        <v>103.35599999999999</v>
      </c>
      <c r="AL3408" s="446">
        <f t="shared" si="755"/>
        <v>0</v>
      </c>
      <c r="AM3408" s="110">
        <f t="shared" si="756"/>
        <v>3</v>
      </c>
      <c r="AN3408" s="447">
        <f t="shared" si="748"/>
        <v>0</v>
      </c>
      <c r="AO3408"/>
      <c r="AP3408"/>
    </row>
    <row r="3409" spans="1:42" ht="66" x14ac:dyDescent="0.25">
      <c r="A3409" s="65"/>
      <c r="B3409" s="487" t="s">
        <v>742</v>
      </c>
      <c r="C3409" s="1024"/>
      <c r="D3409" s="916">
        <v>5</v>
      </c>
      <c r="E3409" s="1027" t="s">
        <v>1721</v>
      </c>
      <c r="F3409" s="273" t="s">
        <v>3446</v>
      </c>
      <c r="G3409" s="1040" t="s">
        <v>3463</v>
      </c>
      <c r="H3409" s="273" t="s">
        <v>3462</v>
      </c>
      <c r="I3409" s="720">
        <f t="shared" si="762"/>
        <v>46.4</v>
      </c>
      <c r="J3409" s="756">
        <v>232</v>
      </c>
      <c r="K3409" s="131">
        <f t="shared" si="749"/>
        <v>232</v>
      </c>
      <c r="L3409" s="335">
        <f t="shared" si="753"/>
        <v>0</v>
      </c>
      <c r="M3409" s="446"/>
      <c r="N3409" s="446"/>
      <c r="O3409" s="446"/>
      <c r="P3409" s="446"/>
      <c r="Q3409" s="110">
        <v>2</v>
      </c>
      <c r="R3409" s="111">
        <f t="shared" si="751"/>
        <v>58</v>
      </c>
      <c r="S3409" s="110"/>
      <c r="T3409" s="110"/>
      <c r="U3409" s="110">
        <v>1</v>
      </c>
      <c r="V3409" s="111">
        <f t="shared" si="752"/>
        <v>58</v>
      </c>
      <c r="W3409" s="110"/>
      <c r="X3409" s="110"/>
      <c r="Y3409" s="110"/>
      <c r="Z3409" s="110"/>
      <c r="AA3409" s="110">
        <v>1</v>
      </c>
      <c r="AB3409" s="111">
        <f t="shared" si="760"/>
        <v>58</v>
      </c>
      <c r="AC3409" s="110"/>
      <c r="AD3409" s="110"/>
      <c r="AE3409" s="110">
        <v>1</v>
      </c>
      <c r="AF3409" s="111">
        <f t="shared" si="761"/>
        <v>58</v>
      </c>
      <c r="AG3409" s="110"/>
      <c r="AH3409" s="110"/>
      <c r="AI3409" s="110"/>
      <c r="AJ3409" s="110"/>
      <c r="AK3409" s="111">
        <f t="shared" si="754"/>
        <v>232</v>
      </c>
      <c r="AL3409" s="446">
        <f t="shared" si="755"/>
        <v>0</v>
      </c>
      <c r="AM3409" s="110">
        <f t="shared" si="756"/>
        <v>5</v>
      </c>
      <c r="AN3409" s="447">
        <f t="shared" si="748"/>
        <v>0</v>
      </c>
      <c r="AO3409"/>
      <c r="AP3409"/>
    </row>
    <row r="3410" spans="1:42" ht="66" x14ac:dyDescent="0.25">
      <c r="A3410" s="65"/>
      <c r="B3410" s="487" t="s">
        <v>743</v>
      </c>
      <c r="C3410" s="1024"/>
      <c r="D3410" s="916">
        <v>5</v>
      </c>
      <c r="E3410" s="1027" t="s">
        <v>1721</v>
      </c>
      <c r="F3410" s="273" t="s">
        <v>3446</v>
      </c>
      <c r="G3410" s="1040" t="s">
        <v>3463</v>
      </c>
      <c r="H3410" s="273" t="s">
        <v>3462</v>
      </c>
      <c r="I3410" s="720">
        <f t="shared" si="762"/>
        <v>115.99999999999997</v>
      </c>
      <c r="J3410" s="756">
        <v>579.99999999999989</v>
      </c>
      <c r="K3410" s="131">
        <f t="shared" si="749"/>
        <v>579.99999999999989</v>
      </c>
      <c r="L3410" s="335">
        <f t="shared" si="753"/>
        <v>0</v>
      </c>
      <c r="M3410" s="446"/>
      <c r="N3410" s="446"/>
      <c r="O3410" s="446"/>
      <c r="P3410" s="446"/>
      <c r="Q3410" s="110">
        <v>2</v>
      </c>
      <c r="R3410" s="111">
        <f t="shared" si="751"/>
        <v>144.99999999999997</v>
      </c>
      <c r="S3410" s="110"/>
      <c r="T3410" s="110"/>
      <c r="U3410" s="110">
        <v>1</v>
      </c>
      <c r="V3410" s="111">
        <f t="shared" si="752"/>
        <v>144.99999999999997</v>
      </c>
      <c r="W3410" s="110"/>
      <c r="X3410" s="110"/>
      <c r="Y3410" s="110"/>
      <c r="Z3410" s="110"/>
      <c r="AA3410" s="110">
        <v>1</v>
      </c>
      <c r="AB3410" s="111">
        <f t="shared" si="760"/>
        <v>144.99999999999997</v>
      </c>
      <c r="AC3410" s="110"/>
      <c r="AD3410" s="110"/>
      <c r="AE3410" s="110">
        <v>1</v>
      </c>
      <c r="AF3410" s="111">
        <f t="shared" si="761"/>
        <v>144.99999999999997</v>
      </c>
      <c r="AG3410" s="110"/>
      <c r="AH3410" s="110"/>
      <c r="AI3410" s="110"/>
      <c r="AJ3410" s="110"/>
      <c r="AK3410" s="111">
        <f t="shared" si="754"/>
        <v>579.99999999999989</v>
      </c>
      <c r="AL3410" s="446">
        <f t="shared" si="755"/>
        <v>0</v>
      </c>
      <c r="AM3410" s="110">
        <f t="shared" si="756"/>
        <v>5</v>
      </c>
      <c r="AN3410" s="447">
        <f t="shared" si="748"/>
        <v>0</v>
      </c>
      <c r="AO3410"/>
      <c r="AP3410"/>
    </row>
    <row r="3411" spans="1:42" ht="66" x14ac:dyDescent="0.25">
      <c r="A3411" s="65"/>
      <c r="B3411" s="487" t="s">
        <v>744</v>
      </c>
      <c r="C3411" s="1024"/>
      <c r="D3411" s="916">
        <v>5</v>
      </c>
      <c r="E3411" s="1027" t="s">
        <v>1721</v>
      </c>
      <c r="F3411" s="273" t="s">
        <v>3446</v>
      </c>
      <c r="G3411" s="1040" t="s">
        <v>3463</v>
      </c>
      <c r="H3411" s="273" t="s">
        <v>3462</v>
      </c>
      <c r="I3411" s="720">
        <f t="shared" si="762"/>
        <v>40.599999999999994</v>
      </c>
      <c r="J3411" s="756">
        <v>202.99999999999997</v>
      </c>
      <c r="K3411" s="131">
        <f t="shared" si="749"/>
        <v>202.99999999999997</v>
      </c>
      <c r="L3411" s="335">
        <f t="shared" si="753"/>
        <v>0</v>
      </c>
      <c r="M3411" s="446"/>
      <c r="N3411" s="446"/>
      <c r="O3411" s="446"/>
      <c r="P3411" s="446"/>
      <c r="Q3411" s="110">
        <v>2</v>
      </c>
      <c r="R3411" s="111">
        <f t="shared" si="751"/>
        <v>50.749999999999993</v>
      </c>
      <c r="S3411" s="110"/>
      <c r="T3411" s="110"/>
      <c r="U3411" s="110">
        <v>1</v>
      </c>
      <c r="V3411" s="111">
        <f t="shared" si="752"/>
        <v>50.749999999999993</v>
      </c>
      <c r="W3411" s="110"/>
      <c r="X3411" s="110"/>
      <c r="Y3411" s="110"/>
      <c r="Z3411" s="110"/>
      <c r="AA3411" s="110">
        <v>1</v>
      </c>
      <c r="AB3411" s="111">
        <f t="shared" si="760"/>
        <v>50.749999999999993</v>
      </c>
      <c r="AC3411" s="110"/>
      <c r="AD3411" s="110"/>
      <c r="AE3411" s="110">
        <v>1</v>
      </c>
      <c r="AF3411" s="111">
        <f t="shared" si="761"/>
        <v>50.749999999999993</v>
      </c>
      <c r="AG3411" s="110"/>
      <c r="AH3411" s="110"/>
      <c r="AI3411" s="110"/>
      <c r="AJ3411" s="110"/>
      <c r="AK3411" s="111">
        <f t="shared" si="754"/>
        <v>202.99999999999997</v>
      </c>
      <c r="AL3411" s="446">
        <f t="shared" si="755"/>
        <v>0</v>
      </c>
      <c r="AM3411" s="110">
        <f t="shared" si="756"/>
        <v>5</v>
      </c>
      <c r="AN3411" s="447">
        <f t="shared" si="748"/>
        <v>0</v>
      </c>
      <c r="AO3411"/>
      <c r="AP3411"/>
    </row>
    <row r="3412" spans="1:42" ht="66" x14ac:dyDescent="0.25">
      <c r="A3412" s="65"/>
      <c r="B3412" s="487" t="s">
        <v>745</v>
      </c>
      <c r="C3412" s="1024"/>
      <c r="D3412" s="916">
        <v>5</v>
      </c>
      <c r="E3412" s="1027" t="s">
        <v>1721</v>
      </c>
      <c r="F3412" s="273" t="s">
        <v>3446</v>
      </c>
      <c r="G3412" s="1040" t="s">
        <v>3463</v>
      </c>
      <c r="H3412" s="273" t="s">
        <v>3462</v>
      </c>
      <c r="I3412" s="720">
        <f t="shared" si="762"/>
        <v>580</v>
      </c>
      <c r="J3412" s="756">
        <v>2900</v>
      </c>
      <c r="K3412" s="131">
        <f t="shared" si="749"/>
        <v>2900</v>
      </c>
      <c r="L3412" s="335">
        <f t="shared" si="753"/>
        <v>0</v>
      </c>
      <c r="M3412" s="446"/>
      <c r="N3412" s="446"/>
      <c r="O3412" s="446"/>
      <c r="P3412" s="446"/>
      <c r="Q3412" s="110">
        <v>2</v>
      </c>
      <c r="R3412" s="111">
        <f t="shared" si="751"/>
        <v>725</v>
      </c>
      <c r="S3412" s="110"/>
      <c r="T3412" s="110"/>
      <c r="U3412" s="110">
        <v>1</v>
      </c>
      <c r="V3412" s="111">
        <f t="shared" si="752"/>
        <v>725</v>
      </c>
      <c r="W3412" s="110"/>
      <c r="X3412" s="110"/>
      <c r="Y3412" s="110"/>
      <c r="Z3412" s="110"/>
      <c r="AA3412" s="110">
        <v>1</v>
      </c>
      <c r="AB3412" s="111">
        <f t="shared" si="760"/>
        <v>725</v>
      </c>
      <c r="AC3412" s="110"/>
      <c r="AD3412" s="110"/>
      <c r="AE3412" s="110">
        <v>1</v>
      </c>
      <c r="AF3412" s="111">
        <f t="shared" si="761"/>
        <v>725</v>
      </c>
      <c r="AG3412" s="110"/>
      <c r="AH3412" s="110"/>
      <c r="AI3412" s="110"/>
      <c r="AJ3412" s="110"/>
      <c r="AK3412" s="111">
        <f t="shared" si="754"/>
        <v>2900</v>
      </c>
      <c r="AL3412" s="446">
        <f t="shared" si="755"/>
        <v>0</v>
      </c>
      <c r="AM3412" s="110">
        <f t="shared" si="756"/>
        <v>5</v>
      </c>
      <c r="AN3412" s="447">
        <f t="shared" si="748"/>
        <v>0</v>
      </c>
      <c r="AO3412"/>
      <c r="AP3412"/>
    </row>
    <row r="3413" spans="1:42" ht="66" x14ac:dyDescent="0.25">
      <c r="A3413" s="65"/>
      <c r="B3413" s="152" t="s">
        <v>1344</v>
      </c>
      <c r="C3413" s="1024"/>
      <c r="D3413" s="916">
        <v>1</v>
      </c>
      <c r="E3413" s="1027" t="s">
        <v>1721</v>
      </c>
      <c r="F3413" s="273" t="s">
        <v>3446</v>
      </c>
      <c r="G3413" s="1040" t="s">
        <v>3463</v>
      </c>
      <c r="H3413" s="273" t="s">
        <v>3462</v>
      </c>
      <c r="I3413" s="720">
        <f t="shared" si="762"/>
        <v>1633.0247999999999</v>
      </c>
      <c r="J3413" s="756">
        <v>1633.0247999999999</v>
      </c>
      <c r="K3413" s="131">
        <f t="shared" si="749"/>
        <v>1633.0247999999999</v>
      </c>
      <c r="L3413" s="335">
        <f t="shared" si="753"/>
        <v>0</v>
      </c>
      <c r="M3413" s="446"/>
      <c r="N3413" s="446"/>
      <c r="O3413" s="446"/>
      <c r="P3413" s="446"/>
      <c r="Q3413" s="110">
        <v>1</v>
      </c>
      <c r="R3413" s="111">
        <f t="shared" si="751"/>
        <v>408.25619999999998</v>
      </c>
      <c r="S3413" s="110"/>
      <c r="T3413" s="110"/>
      <c r="U3413" s="110">
        <v>0</v>
      </c>
      <c r="V3413" s="111">
        <f t="shared" si="752"/>
        <v>408.25619999999998</v>
      </c>
      <c r="W3413" s="110"/>
      <c r="X3413" s="110"/>
      <c r="Y3413" s="110"/>
      <c r="Z3413" s="110"/>
      <c r="AA3413" s="110">
        <v>0</v>
      </c>
      <c r="AB3413" s="111">
        <f t="shared" si="760"/>
        <v>408.25619999999998</v>
      </c>
      <c r="AC3413" s="110"/>
      <c r="AD3413" s="110"/>
      <c r="AE3413" s="110">
        <v>0</v>
      </c>
      <c r="AF3413" s="111">
        <f t="shared" si="761"/>
        <v>408.25619999999998</v>
      </c>
      <c r="AG3413" s="110"/>
      <c r="AH3413" s="110"/>
      <c r="AI3413" s="110"/>
      <c r="AJ3413" s="110"/>
      <c r="AK3413" s="111">
        <f t="shared" si="754"/>
        <v>1633.0247999999999</v>
      </c>
      <c r="AL3413" s="446">
        <f t="shared" si="755"/>
        <v>0</v>
      </c>
      <c r="AM3413" s="110">
        <f t="shared" si="756"/>
        <v>1</v>
      </c>
      <c r="AN3413" s="447">
        <f t="shared" si="748"/>
        <v>0</v>
      </c>
      <c r="AO3413"/>
      <c r="AP3413"/>
    </row>
    <row r="3414" spans="1:42" ht="66" x14ac:dyDescent="0.25">
      <c r="A3414" s="65"/>
      <c r="B3414" s="152" t="s">
        <v>1345</v>
      </c>
      <c r="C3414" s="1024"/>
      <c r="D3414" s="916">
        <v>30</v>
      </c>
      <c r="E3414" s="1027" t="s">
        <v>1721</v>
      </c>
      <c r="F3414" s="273" t="s">
        <v>3446</v>
      </c>
      <c r="G3414" s="1040" t="s">
        <v>3463</v>
      </c>
      <c r="H3414" s="273" t="s">
        <v>3462</v>
      </c>
      <c r="I3414" s="720">
        <f t="shared" si="762"/>
        <v>41.342399999999998</v>
      </c>
      <c r="J3414" s="756">
        <v>1240.2719999999999</v>
      </c>
      <c r="K3414" s="131">
        <f t="shared" si="749"/>
        <v>1240.2719999999999</v>
      </c>
      <c r="L3414" s="335">
        <f t="shared" si="753"/>
        <v>0</v>
      </c>
      <c r="M3414" s="446"/>
      <c r="N3414" s="446"/>
      <c r="O3414" s="446"/>
      <c r="P3414" s="446"/>
      <c r="Q3414" s="110">
        <v>8</v>
      </c>
      <c r="R3414" s="111">
        <f t="shared" si="751"/>
        <v>310.06799999999998</v>
      </c>
      <c r="S3414" s="110"/>
      <c r="T3414" s="110"/>
      <c r="U3414" s="110">
        <v>8</v>
      </c>
      <c r="V3414" s="111">
        <f t="shared" si="752"/>
        <v>310.06799999999998</v>
      </c>
      <c r="W3414" s="110"/>
      <c r="X3414" s="110"/>
      <c r="Y3414" s="110"/>
      <c r="Z3414" s="110"/>
      <c r="AA3414" s="110">
        <v>7</v>
      </c>
      <c r="AB3414" s="111">
        <f t="shared" si="760"/>
        <v>310.06799999999998</v>
      </c>
      <c r="AC3414" s="110"/>
      <c r="AD3414" s="110"/>
      <c r="AE3414" s="110">
        <v>7</v>
      </c>
      <c r="AF3414" s="111">
        <f t="shared" si="761"/>
        <v>310.06799999999998</v>
      </c>
      <c r="AG3414" s="110"/>
      <c r="AH3414" s="110"/>
      <c r="AI3414" s="110"/>
      <c r="AJ3414" s="110"/>
      <c r="AK3414" s="111">
        <f t="shared" si="754"/>
        <v>1240.2719999999999</v>
      </c>
      <c r="AL3414" s="446">
        <f t="shared" si="755"/>
        <v>0</v>
      </c>
      <c r="AM3414" s="110">
        <f t="shared" si="756"/>
        <v>30</v>
      </c>
      <c r="AN3414" s="447">
        <f t="shared" si="748"/>
        <v>0</v>
      </c>
      <c r="AO3414"/>
      <c r="AP3414"/>
    </row>
    <row r="3415" spans="1:42" ht="66" x14ac:dyDescent="0.25">
      <c r="A3415" s="65"/>
      <c r="B3415" s="49" t="s">
        <v>741</v>
      </c>
      <c r="C3415" s="1024"/>
      <c r="D3415" s="916">
        <v>10</v>
      </c>
      <c r="E3415" s="1027" t="s">
        <v>1721</v>
      </c>
      <c r="F3415" s="273" t="s">
        <v>3446</v>
      </c>
      <c r="G3415" s="1040" t="s">
        <v>3463</v>
      </c>
      <c r="H3415" s="273" t="s">
        <v>3462</v>
      </c>
      <c r="I3415" s="720">
        <f t="shared" si="762"/>
        <v>626.4</v>
      </c>
      <c r="J3415" s="756">
        <v>6264</v>
      </c>
      <c r="K3415" s="131">
        <f t="shared" si="749"/>
        <v>6264</v>
      </c>
      <c r="L3415" s="335">
        <f t="shared" si="753"/>
        <v>0</v>
      </c>
      <c r="M3415" s="446"/>
      <c r="N3415" s="446"/>
      <c r="O3415" s="446"/>
      <c r="P3415" s="446"/>
      <c r="Q3415" s="130">
        <v>3</v>
      </c>
      <c r="R3415" s="111">
        <f t="shared" si="751"/>
        <v>1566</v>
      </c>
      <c r="S3415" s="110"/>
      <c r="T3415" s="110"/>
      <c r="U3415" s="130">
        <v>3</v>
      </c>
      <c r="V3415" s="111">
        <f t="shared" si="752"/>
        <v>1566</v>
      </c>
      <c r="W3415" s="110"/>
      <c r="X3415" s="110"/>
      <c r="Y3415" s="110"/>
      <c r="Z3415" s="110"/>
      <c r="AA3415" s="130">
        <v>2</v>
      </c>
      <c r="AB3415" s="111">
        <f t="shared" si="760"/>
        <v>1566</v>
      </c>
      <c r="AC3415" s="110"/>
      <c r="AD3415" s="110"/>
      <c r="AE3415" s="130">
        <v>2</v>
      </c>
      <c r="AF3415" s="111">
        <f t="shared" si="761"/>
        <v>1566</v>
      </c>
      <c r="AG3415" s="110"/>
      <c r="AH3415" s="110"/>
      <c r="AI3415" s="110"/>
      <c r="AJ3415" s="110"/>
      <c r="AK3415" s="111">
        <f t="shared" si="754"/>
        <v>6264</v>
      </c>
      <c r="AL3415" s="446">
        <f t="shared" si="755"/>
        <v>0</v>
      </c>
      <c r="AM3415" s="110">
        <f t="shared" si="756"/>
        <v>10</v>
      </c>
      <c r="AN3415" s="447">
        <f t="shared" si="748"/>
        <v>0</v>
      </c>
      <c r="AO3415"/>
      <c r="AP3415"/>
    </row>
    <row r="3416" spans="1:42" ht="66" x14ac:dyDescent="0.25">
      <c r="A3416" s="65"/>
      <c r="B3416" s="561" t="s">
        <v>742</v>
      </c>
      <c r="C3416" s="1024"/>
      <c r="D3416" s="916">
        <v>2</v>
      </c>
      <c r="E3416" s="1027" t="s">
        <v>1721</v>
      </c>
      <c r="F3416" s="273" t="s">
        <v>3446</v>
      </c>
      <c r="G3416" s="1040" t="s">
        <v>3463</v>
      </c>
      <c r="H3416" s="273" t="s">
        <v>3462</v>
      </c>
      <c r="I3416" s="720">
        <f t="shared" si="762"/>
        <v>34.451999999999998</v>
      </c>
      <c r="J3416" s="756">
        <v>68.903999999999996</v>
      </c>
      <c r="K3416" s="131">
        <f t="shared" si="749"/>
        <v>68.903999999999996</v>
      </c>
      <c r="L3416" s="335">
        <f t="shared" si="753"/>
        <v>0</v>
      </c>
      <c r="M3416" s="446"/>
      <c r="N3416" s="446"/>
      <c r="O3416" s="446"/>
      <c r="P3416" s="446"/>
      <c r="Q3416" s="130">
        <v>1</v>
      </c>
      <c r="R3416" s="111">
        <f t="shared" si="751"/>
        <v>17.225999999999999</v>
      </c>
      <c r="S3416" s="110"/>
      <c r="T3416" s="110"/>
      <c r="U3416" s="130">
        <v>1</v>
      </c>
      <c r="V3416" s="111">
        <f t="shared" si="752"/>
        <v>17.225999999999999</v>
      </c>
      <c r="W3416" s="110"/>
      <c r="X3416" s="110"/>
      <c r="Y3416" s="110"/>
      <c r="Z3416" s="110"/>
      <c r="AA3416" s="130">
        <v>0</v>
      </c>
      <c r="AB3416" s="111">
        <f t="shared" si="760"/>
        <v>17.225999999999999</v>
      </c>
      <c r="AC3416" s="110"/>
      <c r="AD3416" s="110"/>
      <c r="AE3416" s="130">
        <v>0</v>
      </c>
      <c r="AF3416" s="111">
        <f t="shared" si="761"/>
        <v>17.225999999999999</v>
      </c>
      <c r="AG3416" s="110"/>
      <c r="AH3416" s="110"/>
      <c r="AI3416" s="110"/>
      <c r="AJ3416" s="110"/>
      <c r="AK3416" s="111">
        <f t="shared" si="754"/>
        <v>68.903999999999996</v>
      </c>
      <c r="AL3416" s="446">
        <f t="shared" si="755"/>
        <v>0</v>
      </c>
      <c r="AM3416" s="110">
        <f t="shared" si="756"/>
        <v>2</v>
      </c>
      <c r="AN3416" s="447">
        <f t="shared" si="748"/>
        <v>0</v>
      </c>
      <c r="AO3416"/>
      <c r="AP3416"/>
    </row>
    <row r="3417" spans="1:42" ht="66" x14ac:dyDescent="0.25">
      <c r="A3417" s="65"/>
      <c r="B3417" s="561" t="s">
        <v>743</v>
      </c>
      <c r="C3417" s="1024"/>
      <c r="D3417" s="916">
        <v>2</v>
      </c>
      <c r="E3417" s="1027" t="s">
        <v>1721</v>
      </c>
      <c r="F3417" s="273" t="s">
        <v>3446</v>
      </c>
      <c r="G3417" s="1040" t="s">
        <v>3463</v>
      </c>
      <c r="H3417" s="273" t="s">
        <v>3462</v>
      </c>
      <c r="I3417" s="720">
        <f t="shared" si="762"/>
        <v>48.232799999999997</v>
      </c>
      <c r="J3417" s="756">
        <v>96.465599999999995</v>
      </c>
      <c r="K3417" s="131">
        <f t="shared" si="749"/>
        <v>96.465599999999995</v>
      </c>
      <c r="L3417" s="335">
        <f t="shared" si="753"/>
        <v>0</v>
      </c>
      <c r="M3417" s="446"/>
      <c r="N3417" s="446"/>
      <c r="O3417" s="446"/>
      <c r="P3417" s="446"/>
      <c r="Q3417" s="130">
        <v>1</v>
      </c>
      <c r="R3417" s="111">
        <f t="shared" si="751"/>
        <v>24.116399999999999</v>
      </c>
      <c r="S3417" s="110"/>
      <c r="T3417" s="110"/>
      <c r="U3417" s="130">
        <v>1</v>
      </c>
      <c r="V3417" s="111">
        <f t="shared" si="752"/>
        <v>24.116399999999999</v>
      </c>
      <c r="W3417" s="110"/>
      <c r="X3417" s="110"/>
      <c r="Y3417" s="110"/>
      <c r="Z3417" s="110"/>
      <c r="AA3417" s="130">
        <v>0</v>
      </c>
      <c r="AB3417" s="111">
        <f t="shared" si="760"/>
        <v>24.116399999999999</v>
      </c>
      <c r="AC3417" s="110"/>
      <c r="AD3417" s="110"/>
      <c r="AE3417" s="130">
        <v>0</v>
      </c>
      <c r="AF3417" s="111">
        <f t="shared" si="761"/>
        <v>24.116399999999999</v>
      </c>
      <c r="AG3417" s="110"/>
      <c r="AH3417" s="110"/>
      <c r="AI3417" s="110"/>
      <c r="AJ3417" s="110"/>
      <c r="AK3417" s="111">
        <f t="shared" si="754"/>
        <v>96.465599999999995</v>
      </c>
      <c r="AL3417" s="446">
        <f t="shared" si="755"/>
        <v>0</v>
      </c>
      <c r="AM3417" s="110">
        <f t="shared" si="756"/>
        <v>2</v>
      </c>
      <c r="AN3417" s="447">
        <f t="shared" si="748"/>
        <v>0</v>
      </c>
      <c r="AO3417"/>
      <c r="AP3417"/>
    </row>
    <row r="3418" spans="1:42" ht="66" x14ac:dyDescent="0.25">
      <c r="A3418" s="65"/>
      <c r="B3418" s="561" t="s">
        <v>744</v>
      </c>
      <c r="C3418" s="1024"/>
      <c r="D3418" s="916">
        <v>2</v>
      </c>
      <c r="E3418" s="1027" t="s">
        <v>1721</v>
      </c>
      <c r="F3418" s="273" t="s">
        <v>3446</v>
      </c>
      <c r="G3418" s="1040" t="s">
        <v>3463</v>
      </c>
      <c r="H3418" s="273" t="s">
        <v>3462</v>
      </c>
      <c r="I3418" s="720">
        <f t="shared" si="762"/>
        <v>82.684799999999996</v>
      </c>
      <c r="J3418" s="756">
        <v>165.36959999999999</v>
      </c>
      <c r="K3418" s="131">
        <f t="shared" si="749"/>
        <v>165.36959999999999</v>
      </c>
      <c r="L3418" s="335">
        <f t="shared" si="753"/>
        <v>0</v>
      </c>
      <c r="M3418" s="446"/>
      <c r="N3418" s="446"/>
      <c r="O3418" s="446"/>
      <c r="P3418" s="446"/>
      <c r="Q3418" s="130">
        <v>1</v>
      </c>
      <c r="R3418" s="111">
        <f t="shared" si="751"/>
        <v>41.342399999999998</v>
      </c>
      <c r="S3418" s="110"/>
      <c r="T3418" s="110"/>
      <c r="U3418" s="130">
        <v>1</v>
      </c>
      <c r="V3418" s="111">
        <f t="shared" si="752"/>
        <v>41.342399999999998</v>
      </c>
      <c r="W3418" s="110"/>
      <c r="X3418" s="110"/>
      <c r="Y3418" s="110"/>
      <c r="Z3418" s="110"/>
      <c r="AA3418" s="130">
        <v>0</v>
      </c>
      <c r="AB3418" s="111">
        <f t="shared" si="760"/>
        <v>41.342399999999998</v>
      </c>
      <c r="AC3418" s="110"/>
      <c r="AD3418" s="110"/>
      <c r="AE3418" s="130">
        <v>0</v>
      </c>
      <c r="AF3418" s="111">
        <f t="shared" si="761"/>
        <v>41.342399999999998</v>
      </c>
      <c r="AG3418" s="110"/>
      <c r="AH3418" s="110"/>
      <c r="AI3418" s="110"/>
      <c r="AJ3418" s="110"/>
      <c r="AK3418" s="111">
        <f t="shared" si="754"/>
        <v>165.36959999999999</v>
      </c>
      <c r="AL3418" s="446">
        <f t="shared" si="755"/>
        <v>0</v>
      </c>
      <c r="AM3418" s="110">
        <f t="shared" si="756"/>
        <v>2</v>
      </c>
      <c r="AN3418" s="447">
        <f t="shared" ref="AN3418:AN3481" si="763">+D3418-AM3418</f>
        <v>0</v>
      </c>
      <c r="AO3418"/>
      <c r="AP3418"/>
    </row>
    <row r="3419" spans="1:42" ht="66" x14ac:dyDescent="0.25">
      <c r="A3419" s="65"/>
      <c r="B3419" s="580" t="s">
        <v>745</v>
      </c>
      <c r="C3419" s="1024"/>
      <c r="D3419" s="916">
        <v>2</v>
      </c>
      <c r="E3419" s="1027" t="s">
        <v>1721</v>
      </c>
      <c r="F3419" s="273" t="s">
        <v>3446</v>
      </c>
      <c r="G3419" s="1040" t="s">
        <v>3463</v>
      </c>
      <c r="H3419" s="273" t="s">
        <v>3462</v>
      </c>
      <c r="I3419" s="720">
        <f t="shared" si="762"/>
        <v>124.02719999999999</v>
      </c>
      <c r="J3419" s="756">
        <v>248.05439999999999</v>
      </c>
      <c r="K3419" s="131">
        <f t="shared" si="749"/>
        <v>248.05439999999999</v>
      </c>
      <c r="L3419" s="335">
        <f t="shared" si="753"/>
        <v>0</v>
      </c>
      <c r="M3419" s="446"/>
      <c r="N3419" s="446"/>
      <c r="O3419" s="446"/>
      <c r="P3419" s="446"/>
      <c r="Q3419" s="130">
        <v>1</v>
      </c>
      <c r="R3419" s="111">
        <f t="shared" si="751"/>
        <v>62.013599999999997</v>
      </c>
      <c r="S3419" s="110"/>
      <c r="T3419" s="110"/>
      <c r="U3419" s="130">
        <v>1</v>
      </c>
      <c r="V3419" s="111">
        <f t="shared" si="752"/>
        <v>62.013599999999997</v>
      </c>
      <c r="W3419" s="110"/>
      <c r="X3419" s="110"/>
      <c r="Y3419" s="110"/>
      <c r="Z3419" s="110"/>
      <c r="AA3419" s="130">
        <v>0</v>
      </c>
      <c r="AB3419" s="111">
        <f t="shared" si="760"/>
        <v>62.013599999999997</v>
      </c>
      <c r="AC3419" s="110"/>
      <c r="AD3419" s="110"/>
      <c r="AE3419" s="130">
        <v>0</v>
      </c>
      <c r="AF3419" s="111">
        <f t="shared" si="761"/>
        <v>62.013599999999997</v>
      </c>
      <c r="AG3419" s="110"/>
      <c r="AH3419" s="110"/>
      <c r="AI3419" s="110"/>
      <c r="AJ3419" s="110"/>
      <c r="AK3419" s="111">
        <f t="shared" si="754"/>
        <v>248.05439999999999</v>
      </c>
      <c r="AL3419" s="446">
        <f t="shared" si="755"/>
        <v>0</v>
      </c>
      <c r="AM3419" s="110">
        <f t="shared" si="756"/>
        <v>2</v>
      </c>
      <c r="AN3419" s="447">
        <f t="shared" si="763"/>
        <v>0</v>
      </c>
      <c r="AO3419"/>
      <c r="AP3419"/>
    </row>
    <row r="3420" spans="1:42" ht="66" x14ac:dyDescent="0.25">
      <c r="A3420" s="65"/>
      <c r="B3420" s="149" t="s">
        <v>1832</v>
      </c>
      <c r="C3420" s="1024"/>
      <c r="D3420" s="916">
        <v>1</v>
      </c>
      <c r="E3420" s="1027" t="s">
        <v>1725</v>
      </c>
      <c r="F3420" s="273" t="s">
        <v>3446</v>
      </c>
      <c r="G3420" s="1040" t="s">
        <v>3463</v>
      </c>
      <c r="H3420" s="273" t="s">
        <v>3462</v>
      </c>
      <c r="I3420" s="720">
        <f t="shared" si="762"/>
        <v>110</v>
      </c>
      <c r="J3420" s="756">
        <v>110</v>
      </c>
      <c r="K3420" s="131">
        <f t="shared" si="749"/>
        <v>110</v>
      </c>
      <c r="L3420" s="335">
        <f t="shared" si="753"/>
        <v>0</v>
      </c>
      <c r="M3420" s="446"/>
      <c r="N3420" s="446"/>
      <c r="O3420" s="446"/>
      <c r="P3420" s="446"/>
      <c r="Q3420" s="110">
        <v>1</v>
      </c>
      <c r="R3420" s="111">
        <f t="shared" si="751"/>
        <v>27.5</v>
      </c>
      <c r="S3420" s="110"/>
      <c r="T3420" s="110"/>
      <c r="U3420" s="110">
        <v>0</v>
      </c>
      <c r="V3420" s="111">
        <f t="shared" si="752"/>
        <v>27.5</v>
      </c>
      <c r="W3420" s="110"/>
      <c r="X3420" s="110"/>
      <c r="Y3420" s="110"/>
      <c r="Z3420" s="110"/>
      <c r="AA3420" s="110">
        <v>0</v>
      </c>
      <c r="AB3420" s="111">
        <f t="shared" si="760"/>
        <v>27.5</v>
      </c>
      <c r="AC3420" s="110"/>
      <c r="AD3420" s="110"/>
      <c r="AE3420" s="110">
        <v>0</v>
      </c>
      <c r="AF3420" s="111">
        <f t="shared" si="761"/>
        <v>27.5</v>
      </c>
      <c r="AG3420" s="110"/>
      <c r="AH3420" s="110"/>
      <c r="AI3420" s="110"/>
      <c r="AJ3420" s="110"/>
      <c r="AK3420" s="111">
        <f t="shared" si="754"/>
        <v>110</v>
      </c>
      <c r="AL3420" s="446">
        <f t="shared" si="755"/>
        <v>0</v>
      </c>
      <c r="AM3420" s="110">
        <f t="shared" si="756"/>
        <v>1</v>
      </c>
      <c r="AN3420" s="447">
        <f t="shared" si="763"/>
        <v>0</v>
      </c>
      <c r="AO3420"/>
      <c r="AP3420"/>
    </row>
    <row r="3421" spans="1:42" ht="66" x14ac:dyDescent="0.25">
      <c r="A3421" s="65"/>
      <c r="B3421" s="149" t="s">
        <v>1833</v>
      </c>
      <c r="C3421" s="1024"/>
      <c r="D3421" s="916">
        <v>1</v>
      </c>
      <c r="E3421" s="1027" t="s">
        <v>1834</v>
      </c>
      <c r="F3421" s="273" t="s">
        <v>3446</v>
      </c>
      <c r="G3421" s="1040" t="s">
        <v>3463</v>
      </c>
      <c r="H3421" s="273" t="s">
        <v>3462</v>
      </c>
      <c r="I3421" s="720">
        <f t="shared" si="762"/>
        <v>179.15</v>
      </c>
      <c r="J3421" s="756">
        <v>179.15</v>
      </c>
      <c r="K3421" s="131">
        <f t="shared" ref="K3421:K3484" si="764">+D3421*I3421</f>
        <v>179.15</v>
      </c>
      <c r="L3421" s="335">
        <f t="shared" si="753"/>
        <v>0</v>
      </c>
      <c r="M3421" s="446"/>
      <c r="N3421" s="446"/>
      <c r="O3421" s="446"/>
      <c r="P3421" s="446"/>
      <c r="Q3421" s="110">
        <v>1</v>
      </c>
      <c r="R3421" s="111">
        <f t="shared" si="751"/>
        <v>44.787500000000001</v>
      </c>
      <c r="S3421" s="110"/>
      <c r="T3421" s="110"/>
      <c r="U3421" s="110">
        <v>0</v>
      </c>
      <c r="V3421" s="111">
        <f t="shared" si="752"/>
        <v>44.787500000000001</v>
      </c>
      <c r="W3421" s="110"/>
      <c r="X3421" s="110"/>
      <c r="Y3421" s="110"/>
      <c r="Z3421" s="110"/>
      <c r="AA3421" s="110">
        <v>0</v>
      </c>
      <c r="AB3421" s="111">
        <f t="shared" si="760"/>
        <v>44.787500000000001</v>
      </c>
      <c r="AC3421" s="110"/>
      <c r="AD3421" s="110"/>
      <c r="AE3421" s="110">
        <v>0</v>
      </c>
      <c r="AF3421" s="111">
        <f t="shared" si="761"/>
        <v>44.787500000000001</v>
      </c>
      <c r="AG3421" s="110"/>
      <c r="AH3421" s="110"/>
      <c r="AI3421" s="110"/>
      <c r="AJ3421" s="110"/>
      <c r="AK3421" s="111">
        <f t="shared" si="754"/>
        <v>179.15</v>
      </c>
      <c r="AL3421" s="446">
        <f t="shared" si="755"/>
        <v>0</v>
      </c>
      <c r="AM3421" s="110">
        <f t="shared" si="756"/>
        <v>1</v>
      </c>
      <c r="AN3421" s="447">
        <f t="shared" si="763"/>
        <v>0</v>
      </c>
      <c r="AO3421"/>
      <c r="AP3421"/>
    </row>
    <row r="3422" spans="1:42" ht="66" x14ac:dyDescent="0.25">
      <c r="A3422" s="65"/>
      <c r="B3422" s="533" t="s">
        <v>1956</v>
      </c>
      <c r="C3422" s="1024"/>
      <c r="D3422" s="916">
        <v>1</v>
      </c>
      <c r="E3422" s="1027" t="s">
        <v>1721</v>
      </c>
      <c r="F3422" s="273" t="s">
        <v>3446</v>
      </c>
      <c r="G3422" s="1040" t="s">
        <v>3463</v>
      </c>
      <c r="H3422" s="273" t="s">
        <v>3462</v>
      </c>
      <c r="I3422" s="720">
        <f t="shared" si="762"/>
        <v>2435.44</v>
      </c>
      <c r="J3422" s="756">
        <v>2435.44</v>
      </c>
      <c r="K3422" s="131">
        <f t="shared" si="764"/>
        <v>2435.44</v>
      </c>
      <c r="L3422" s="335">
        <f t="shared" si="753"/>
        <v>0</v>
      </c>
      <c r="M3422" s="446"/>
      <c r="N3422" s="446"/>
      <c r="O3422" s="446"/>
      <c r="P3422" s="446"/>
      <c r="Q3422" s="110">
        <v>1</v>
      </c>
      <c r="R3422" s="111">
        <f t="shared" si="751"/>
        <v>608.86</v>
      </c>
      <c r="S3422" s="110"/>
      <c r="T3422" s="110"/>
      <c r="U3422" s="110">
        <v>0</v>
      </c>
      <c r="V3422" s="111">
        <f t="shared" si="752"/>
        <v>608.86</v>
      </c>
      <c r="W3422" s="110"/>
      <c r="X3422" s="110"/>
      <c r="Y3422" s="110"/>
      <c r="Z3422" s="110"/>
      <c r="AA3422" s="110">
        <v>0</v>
      </c>
      <c r="AB3422" s="111">
        <f t="shared" si="760"/>
        <v>608.86</v>
      </c>
      <c r="AC3422" s="110"/>
      <c r="AD3422" s="110"/>
      <c r="AE3422" s="110">
        <v>0</v>
      </c>
      <c r="AF3422" s="111">
        <f t="shared" si="761"/>
        <v>608.86</v>
      </c>
      <c r="AG3422" s="110"/>
      <c r="AH3422" s="110"/>
      <c r="AI3422" s="110"/>
      <c r="AJ3422" s="110"/>
      <c r="AK3422" s="111">
        <f t="shared" si="754"/>
        <v>2435.44</v>
      </c>
      <c r="AL3422" s="446">
        <f t="shared" si="755"/>
        <v>0</v>
      </c>
      <c r="AM3422" s="110">
        <f t="shared" si="756"/>
        <v>1</v>
      </c>
      <c r="AN3422" s="447">
        <f t="shared" si="763"/>
        <v>0</v>
      </c>
      <c r="AO3422"/>
      <c r="AP3422"/>
    </row>
    <row r="3423" spans="1:42" ht="66" x14ac:dyDescent="0.25">
      <c r="A3423" s="65"/>
      <c r="B3423" s="528" t="s">
        <v>3317</v>
      </c>
      <c r="C3423" s="1024"/>
      <c r="D3423" s="882">
        <v>1</v>
      </c>
      <c r="E3423" s="251" t="s">
        <v>1767</v>
      </c>
      <c r="F3423" s="273" t="s">
        <v>3446</v>
      </c>
      <c r="G3423" s="1040" t="s">
        <v>3463</v>
      </c>
      <c r="H3423" s="273" t="s">
        <v>3462</v>
      </c>
      <c r="I3423" s="720">
        <f t="shared" si="762"/>
        <v>12.953951999999999</v>
      </c>
      <c r="J3423" s="756">
        <v>12.953951999999999</v>
      </c>
      <c r="K3423" s="131">
        <f t="shared" si="764"/>
        <v>12.953951999999999</v>
      </c>
      <c r="L3423" s="335">
        <f t="shared" si="753"/>
        <v>0</v>
      </c>
      <c r="M3423" s="446"/>
      <c r="N3423" s="446"/>
      <c r="O3423" s="446"/>
      <c r="P3423" s="446"/>
      <c r="Q3423" s="110">
        <v>1</v>
      </c>
      <c r="R3423" s="111">
        <f t="shared" si="751"/>
        <v>3.2384879999999998</v>
      </c>
      <c r="S3423" s="110"/>
      <c r="T3423" s="110"/>
      <c r="U3423" s="110">
        <v>0</v>
      </c>
      <c r="V3423" s="111">
        <f t="shared" si="752"/>
        <v>3.2384879999999998</v>
      </c>
      <c r="W3423" s="110"/>
      <c r="X3423" s="110"/>
      <c r="Y3423" s="110"/>
      <c r="Z3423" s="110"/>
      <c r="AA3423" s="110">
        <v>0</v>
      </c>
      <c r="AB3423" s="111">
        <f t="shared" si="760"/>
        <v>3.2384879999999998</v>
      </c>
      <c r="AC3423" s="110"/>
      <c r="AD3423" s="110"/>
      <c r="AE3423" s="110">
        <v>0</v>
      </c>
      <c r="AF3423" s="111">
        <f t="shared" si="761"/>
        <v>3.2384879999999998</v>
      </c>
      <c r="AG3423" s="110"/>
      <c r="AH3423" s="110"/>
      <c r="AI3423" s="110"/>
      <c r="AJ3423" s="110"/>
      <c r="AK3423" s="111">
        <f t="shared" si="754"/>
        <v>12.953951999999999</v>
      </c>
      <c r="AL3423" s="446">
        <f t="shared" si="755"/>
        <v>0</v>
      </c>
      <c r="AM3423" s="110">
        <f t="shared" si="756"/>
        <v>1</v>
      </c>
      <c r="AN3423" s="447">
        <f t="shared" si="763"/>
        <v>0</v>
      </c>
      <c r="AO3423"/>
      <c r="AP3423"/>
    </row>
    <row r="3424" spans="1:42" ht="66" x14ac:dyDescent="0.25">
      <c r="A3424" s="65"/>
      <c r="B3424" s="528" t="s">
        <v>3318</v>
      </c>
      <c r="C3424" s="1024"/>
      <c r="D3424" s="882">
        <v>1</v>
      </c>
      <c r="E3424" s="251" t="s">
        <v>1767</v>
      </c>
      <c r="F3424" s="273" t="s">
        <v>3446</v>
      </c>
      <c r="G3424" s="1040" t="s">
        <v>3463</v>
      </c>
      <c r="H3424" s="273" t="s">
        <v>3462</v>
      </c>
      <c r="I3424" s="720">
        <f t="shared" si="762"/>
        <v>2500</v>
      </c>
      <c r="J3424" s="756">
        <v>2500</v>
      </c>
      <c r="K3424" s="131">
        <f t="shared" si="764"/>
        <v>2500</v>
      </c>
      <c r="L3424" s="335">
        <f t="shared" si="753"/>
        <v>0</v>
      </c>
      <c r="M3424" s="446"/>
      <c r="N3424" s="446"/>
      <c r="O3424" s="446"/>
      <c r="P3424" s="446"/>
      <c r="Q3424" s="110">
        <v>1</v>
      </c>
      <c r="R3424" s="111">
        <f t="shared" si="751"/>
        <v>625</v>
      </c>
      <c r="S3424" s="110"/>
      <c r="T3424" s="110"/>
      <c r="U3424" s="110">
        <v>0</v>
      </c>
      <c r="V3424" s="111">
        <f t="shared" si="752"/>
        <v>625</v>
      </c>
      <c r="W3424" s="110"/>
      <c r="X3424" s="110"/>
      <c r="Y3424" s="110"/>
      <c r="Z3424" s="110"/>
      <c r="AA3424" s="110">
        <v>0</v>
      </c>
      <c r="AB3424" s="111">
        <f t="shared" si="760"/>
        <v>625</v>
      </c>
      <c r="AC3424" s="110"/>
      <c r="AD3424" s="110"/>
      <c r="AE3424" s="110">
        <v>0</v>
      </c>
      <c r="AF3424" s="111">
        <f t="shared" si="761"/>
        <v>625</v>
      </c>
      <c r="AG3424" s="110"/>
      <c r="AH3424" s="110"/>
      <c r="AI3424" s="110"/>
      <c r="AJ3424" s="110"/>
      <c r="AK3424" s="111">
        <f t="shared" si="754"/>
        <v>2500</v>
      </c>
      <c r="AL3424" s="446">
        <f t="shared" si="755"/>
        <v>0</v>
      </c>
      <c r="AM3424" s="110">
        <f t="shared" si="756"/>
        <v>1</v>
      </c>
      <c r="AN3424" s="447">
        <f t="shared" si="763"/>
        <v>0</v>
      </c>
      <c r="AO3424"/>
      <c r="AP3424"/>
    </row>
    <row r="3425" spans="1:42" ht="66" x14ac:dyDescent="0.25">
      <c r="A3425" s="65"/>
      <c r="B3425" s="554" t="s">
        <v>3319</v>
      </c>
      <c r="C3425" s="1024"/>
      <c r="D3425" s="882">
        <v>1</v>
      </c>
      <c r="E3425" s="251" t="s">
        <v>1767</v>
      </c>
      <c r="F3425" s="273" t="s">
        <v>3446</v>
      </c>
      <c r="G3425" s="1040" t="s">
        <v>3463</v>
      </c>
      <c r="H3425" s="273" t="s">
        <v>3462</v>
      </c>
      <c r="I3425" s="720">
        <f t="shared" si="762"/>
        <v>376.91740800000002</v>
      </c>
      <c r="J3425" s="756">
        <v>376.91740800000002</v>
      </c>
      <c r="K3425" s="131">
        <f t="shared" si="764"/>
        <v>376.91740800000002</v>
      </c>
      <c r="L3425" s="335">
        <f t="shared" si="753"/>
        <v>0</v>
      </c>
      <c r="M3425" s="446"/>
      <c r="N3425" s="446"/>
      <c r="O3425" s="446"/>
      <c r="P3425" s="446"/>
      <c r="Q3425" s="110">
        <v>1</v>
      </c>
      <c r="R3425" s="111">
        <f t="shared" si="751"/>
        <v>94.229352000000006</v>
      </c>
      <c r="S3425" s="110"/>
      <c r="T3425" s="110"/>
      <c r="U3425" s="110">
        <v>0</v>
      </c>
      <c r="V3425" s="111">
        <f t="shared" si="752"/>
        <v>94.229352000000006</v>
      </c>
      <c r="W3425" s="110"/>
      <c r="X3425" s="110"/>
      <c r="Y3425" s="110"/>
      <c r="Z3425" s="110"/>
      <c r="AA3425" s="110">
        <v>0</v>
      </c>
      <c r="AB3425" s="111">
        <f t="shared" si="760"/>
        <v>94.229352000000006</v>
      </c>
      <c r="AC3425" s="110"/>
      <c r="AD3425" s="110"/>
      <c r="AE3425" s="110">
        <v>0</v>
      </c>
      <c r="AF3425" s="111">
        <f t="shared" si="761"/>
        <v>94.229352000000006</v>
      </c>
      <c r="AG3425" s="110"/>
      <c r="AH3425" s="110"/>
      <c r="AI3425" s="110"/>
      <c r="AJ3425" s="110"/>
      <c r="AK3425" s="111">
        <f t="shared" si="754"/>
        <v>376.91740800000002</v>
      </c>
      <c r="AL3425" s="446">
        <f t="shared" si="755"/>
        <v>0</v>
      </c>
      <c r="AM3425" s="110">
        <f t="shared" si="756"/>
        <v>1</v>
      </c>
      <c r="AN3425" s="447">
        <f t="shared" si="763"/>
        <v>0</v>
      </c>
      <c r="AO3425"/>
      <c r="AP3425"/>
    </row>
    <row r="3426" spans="1:42" ht="66" x14ac:dyDescent="0.25">
      <c r="A3426" s="65"/>
      <c r="B3426" s="554" t="s">
        <v>3320</v>
      </c>
      <c r="C3426" s="1024"/>
      <c r="D3426" s="882">
        <v>1</v>
      </c>
      <c r="E3426" s="251" t="s">
        <v>1767</v>
      </c>
      <c r="F3426" s="273" t="s">
        <v>3446</v>
      </c>
      <c r="G3426" s="1040" t="s">
        <v>3463</v>
      </c>
      <c r="H3426" s="273" t="s">
        <v>3462</v>
      </c>
      <c r="I3426" s="720">
        <f t="shared" si="762"/>
        <v>35.64</v>
      </c>
      <c r="J3426" s="756">
        <v>35.64</v>
      </c>
      <c r="K3426" s="131">
        <f t="shared" si="764"/>
        <v>35.64</v>
      </c>
      <c r="L3426" s="335">
        <f t="shared" si="753"/>
        <v>0</v>
      </c>
      <c r="M3426" s="446"/>
      <c r="N3426" s="446"/>
      <c r="O3426" s="446"/>
      <c r="P3426" s="446"/>
      <c r="Q3426" s="110">
        <v>1</v>
      </c>
      <c r="R3426" s="111">
        <f t="shared" si="751"/>
        <v>8.91</v>
      </c>
      <c r="S3426" s="110"/>
      <c r="T3426" s="110"/>
      <c r="U3426" s="110">
        <v>0</v>
      </c>
      <c r="V3426" s="111">
        <f t="shared" si="752"/>
        <v>8.91</v>
      </c>
      <c r="W3426" s="110"/>
      <c r="X3426" s="110"/>
      <c r="Y3426" s="110"/>
      <c r="Z3426" s="110"/>
      <c r="AA3426" s="110">
        <v>0</v>
      </c>
      <c r="AB3426" s="111">
        <f t="shared" si="760"/>
        <v>8.91</v>
      </c>
      <c r="AC3426" s="110"/>
      <c r="AD3426" s="110"/>
      <c r="AE3426" s="110">
        <v>0</v>
      </c>
      <c r="AF3426" s="111">
        <f t="shared" si="761"/>
        <v>8.91</v>
      </c>
      <c r="AG3426" s="110"/>
      <c r="AH3426" s="110"/>
      <c r="AI3426" s="110"/>
      <c r="AJ3426" s="110"/>
      <c r="AK3426" s="111">
        <f t="shared" si="754"/>
        <v>35.64</v>
      </c>
      <c r="AL3426" s="446">
        <f t="shared" si="755"/>
        <v>0</v>
      </c>
      <c r="AM3426" s="110">
        <f t="shared" si="756"/>
        <v>1</v>
      </c>
      <c r="AN3426" s="447">
        <f t="shared" si="763"/>
        <v>0</v>
      </c>
      <c r="AO3426"/>
      <c r="AP3426"/>
    </row>
    <row r="3427" spans="1:42" ht="66" x14ac:dyDescent="0.25">
      <c r="A3427" s="65"/>
      <c r="B3427" s="554" t="s">
        <v>3321</v>
      </c>
      <c r="C3427" s="1024"/>
      <c r="D3427" s="882">
        <v>1</v>
      </c>
      <c r="E3427" s="251" t="s">
        <v>1767</v>
      </c>
      <c r="F3427" s="273" t="s">
        <v>3446</v>
      </c>
      <c r="G3427" s="1040" t="s">
        <v>3463</v>
      </c>
      <c r="H3427" s="273" t="s">
        <v>3462</v>
      </c>
      <c r="I3427" s="720">
        <f t="shared" si="762"/>
        <v>215.995248</v>
      </c>
      <c r="J3427" s="756">
        <v>215.995248</v>
      </c>
      <c r="K3427" s="131">
        <f t="shared" si="764"/>
        <v>215.995248</v>
      </c>
      <c r="L3427" s="335">
        <f t="shared" si="753"/>
        <v>0</v>
      </c>
      <c r="M3427" s="446"/>
      <c r="N3427" s="446"/>
      <c r="O3427" s="446"/>
      <c r="P3427" s="446"/>
      <c r="Q3427" s="110">
        <v>1</v>
      </c>
      <c r="R3427" s="111">
        <f t="shared" si="751"/>
        <v>53.998812000000001</v>
      </c>
      <c r="S3427" s="110"/>
      <c r="T3427" s="110"/>
      <c r="U3427" s="110">
        <v>0</v>
      </c>
      <c r="V3427" s="111">
        <f t="shared" si="752"/>
        <v>53.998812000000001</v>
      </c>
      <c r="W3427" s="110"/>
      <c r="X3427" s="110"/>
      <c r="Y3427" s="110"/>
      <c r="Z3427" s="110"/>
      <c r="AA3427" s="110">
        <v>0</v>
      </c>
      <c r="AB3427" s="111">
        <f t="shared" si="760"/>
        <v>53.998812000000001</v>
      </c>
      <c r="AC3427" s="110"/>
      <c r="AD3427" s="110"/>
      <c r="AE3427" s="110">
        <v>0</v>
      </c>
      <c r="AF3427" s="111">
        <f t="shared" si="761"/>
        <v>53.998812000000001</v>
      </c>
      <c r="AG3427" s="110"/>
      <c r="AH3427" s="110"/>
      <c r="AI3427" s="110"/>
      <c r="AJ3427" s="110"/>
      <c r="AK3427" s="111">
        <f t="shared" si="754"/>
        <v>215.995248</v>
      </c>
      <c r="AL3427" s="446">
        <f t="shared" si="755"/>
        <v>0</v>
      </c>
      <c r="AM3427" s="110">
        <f t="shared" si="756"/>
        <v>1</v>
      </c>
      <c r="AN3427" s="447">
        <f t="shared" si="763"/>
        <v>0</v>
      </c>
      <c r="AO3427"/>
      <c r="AP3427"/>
    </row>
    <row r="3428" spans="1:42" ht="66" x14ac:dyDescent="0.25">
      <c r="A3428" s="65"/>
      <c r="B3428" s="554" t="s">
        <v>3322</v>
      </c>
      <c r="C3428" s="1024"/>
      <c r="D3428" s="882">
        <v>1</v>
      </c>
      <c r="E3428" s="251" t="s">
        <v>1767</v>
      </c>
      <c r="F3428" s="273" t="s">
        <v>3446</v>
      </c>
      <c r="G3428" s="1040" t="s">
        <v>3463</v>
      </c>
      <c r="H3428" s="273" t="s">
        <v>3462</v>
      </c>
      <c r="I3428" s="720">
        <f t="shared" si="762"/>
        <v>40.490496</v>
      </c>
      <c r="J3428" s="756">
        <v>40.490496</v>
      </c>
      <c r="K3428" s="131">
        <f t="shared" si="764"/>
        <v>40.490496</v>
      </c>
      <c r="L3428" s="335">
        <f t="shared" si="753"/>
        <v>0</v>
      </c>
      <c r="M3428" s="446"/>
      <c r="N3428" s="446"/>
      <c r="O3428" s="446"/>
      <c r="P3428" s="446"/>
      <c r="Q3428" s="110">
        <v>1</v>
      </c>
      <c r="R3428" s="111">
        <f t="shared" si="751"/>
        <v>10.122624</v>
      </c>
      <c r="S3428" s="110"/>
      <c r="T3428" s="110"/>
      <c r="U3428" s="110">
        <v>0</v>
      </c>
      <c r="V3428" s="111">
        <f t="shared" si="752"/>
        <v>10.122624</v>
      </c>
      <c r="W3428" s="110"/>
      <c r="X3428" s="110"/>
      <c r="Y3428" s="110"/>
      <c r="Z3428" s="110"/>
      <c r="AA3428" s="110">
        <v>0</v>
      </c>
      <c r="AB3428" s="111">
        <f t="shared" si="760"/>
        <v>10.122624</v>
      </c>
      <c r="AC3428" s="110"/>
      <c r="AD3428" s="110"/>
      <c r="AE3428" s="110">
        <v>0</v>
      </c>
      <c r="AF3428" s="111">
        <f t="shared" si="761"/>
        <v>10.122624</v>
      </c>
      <c r="AG3428" s="110"/>
      <c r="AH3428" s="110"/>
      <c r="AI3428" s="110"/>
      <c r="AJ3428" s="110"/>
      <c r="AK3428" s="111">
        <f t="shared" si="754"/>
        <v>40.490496</v>
      </c>
      <c r="AL3428" s="446">
        <f t="shared" si="755"/>
        <v>0</v>
      </c>
      <c r="AM3428" s="110">
        <f t="shared" si="756"/>
        <v>1</v>
      </c>
      <c r="AN3428" s="447">
        <f t="shared" si="763"/>
        <v>0</v>
      </c>
      <c r="AO3428"/>
      <c r="AP3428"/>
    </row>
    <row r="3429" spans="1:42" ht="66" x14ac:dyDescent="0.25">
      <c r="A3429" s="65"/>
      <c r="B3429" s="528" t="s">
        <v>3323</v>
      </c>
      <c r="C3429" s="1024"/>
      <c r="D3429" s="882">
        <v>1</v>
      </c>
      <c r="E3429" s="251" t="s">
        <v>1767</v>
      </c>
      <c r="F3429" s="273" t="s">
        <v>3446</v>
      </c>
      <c r="G3429" s="1040" t="s">
        <v>3463</v>
      </c>
      <c r="H3429" s="273" t="s">
        <v>3462</v>
      </c>
      <c r="I3429" s="720">
        <f t="shared" si="762"/>
        <v>29.7</v>
      </c>
      <c r="J3429" s="756">
        <v>29.7</v>
      </c>
      <c r="K3429" s="131">
        <f t="shared" si="764"/>
        <v>29.7</v>
      </c>
      <c r="L3429" s="335">
        <f t="shared" si="753"/>
        <v>0</v>
      </c>
      <c r="M3429" s="446"/>
      <c r="N3429" s="446"/>
      <c r="O3429" s="446"/>
      <c r="P3429" s="446"/>
      <c r="Q3429" s="110">
        <v>1</v>
      </c>
      <c r="R3429" s="111">
        <f t="shared" si="751"/>
        <v>7.4249999999999998</v>
      </c>
      <c r="S3429" s="110"/>
      <c r="T3429" s="110"/>
      <c r="U3429" s="110">
        <v>0</v>
      </c>
      <c r="V3429" s="111">
        <f t="shared" si="752"/>
        <v>7.4249999999999998</v>
      </c>
      <c r="W3429" s="110"/>
      <c r="X3429" s="110"/>
      <c r="Y3429" s="110"/>
      <c r="Z3429" s="110"/>
      <c r="AA3429" s="110">
        <v>0</v>
      </c>
      <c r="AB3429" s="111">
        <f t="shared" si="760"/>
        <v>7.4249999999999998</v>
      </c>
      <c r="AC3429" s="110"/>
      <c r="AD3429" s="110"/>
      <c r="AE3429" s="110">
        <v>0</v>
      </c>
      <c r="AF3429" s="111">
        <f t="shared" si="761"/>
        <v>7.4249999999999998</v>
      </c>
      <c r="AG3429" s="110"/>
      <c r="AH3429" s="110"/>
      <c r="AI3429" s="110"/>
      <c r="AJ3429" s="110"/>
      <c r="AK3429" s="111">
        <f t="shared" si="754"/>
        <v>29.7</v>
      </c>
      <c r="AL3429" s="446">
        <f t="shared" si="755"/>
        <v>0</v>
      </c>
      <c r="AM3429" s="110">
        <f t="shared" si="756"/>
        <v>1</v>
      </c>
      <c r="AN3429" s="447">
        <f t="shared" si="763"/>
        <v>0</v>
      </c>
      <c r="AO3429"/>
      <c r="AP3429"/>
    </row>
    <row r="3430" spans="1:42" ht="66" x14ac:dyDescent="0.25">
      <c r="A3430" s="65"/>
      <c r="B3430" s="528" t="s">
        <v>3324</v>
      </c>
      <c r="C3430" s="1024"/>
      <c r="D3430" s="882">
        <v>1</v>
      </c>
      <c r="E3430" s="251" t="s">
        <v>1767</v>
      </c>
      <c r="F3430" s="273" t="s">
        <v>3446</v>
      </c>
      <c r="G3430" s="1040" t="s">
        <v>3463</v>
      </c>
      <c r="H3430" s="273" t="s">
        <v>3462</v>
      </c>
      <c r="I3430" s="720">
        <f t="shared" si="762"/>
        <v>41.58</v>
      </c>
      <c r="J3430" s="756">
        <v>41.58</v>
      </c>
      <c r="K3430" s="131">
        <f t="shared" si="764"/>
        <v>41.58</v>
      </c>
      <c r="L3430" s="335">
        <f t="shared" si="753"/>
        <v>0</v>
      </c>
      <c r="M3430" s="446"/>
      <c r="N3430" s="446"/>
      <c r="O3430" s="446"/>
      <c r="P3430" s="446"/>
      <c r="Q3430" s="110">
        <v>1</v>
      </c>
      <c r="R3430" s="111">
        <f t="shared" si="751"/>
        <v>10.395</v>
      </c>
      <c r="S3430" s="110"/>
      <c r="T3430" s="110"/>
      <c r="U3430" s="110">
        <v>0</v>
      </c>
      <c r="V3430" s="111">
        <f t="shared" si="752"/>
        <v>10.395</v>
      </c>
      <c r="W3430" s="110"/>
      <c r="X3430" s="110"/>
      <c r="Y3430" s="110"/>
      <c r="Z3430" s="110"/>
      <c r="AA3430" s="110">
        <v>0</v>
      </c>
      <c r="AB3430" s="111">
        <f t="shared" si="760"/>
        <v>10.395</v>
      </c>
      <c r="AC3430" s="110"/>
      <c r="AD3430" s="110"/>
      <c r="AE3430" s="110">
        <v>0</v>
      </c>
      <c r="AF3430" s="111">
        <f t="shared" si="761"/>
        <v>10.395</v>
      </c>
      <c r="AG3430" s="110"/>
      <c r="AH3430" s="110"/>
      <c r="AI3430" s="110"/>
      <c r="AJ3430" s="110"/>
      <c r="AK3430" s="111">
        <f t="shared" si="754"/>
        <v>41.58</v>
      </c>
      <c r="AL3430" s="446">
        <f t="shared" si="755"/>
        <v>0</v>
      </c>
      <c r="AM3430" s="110">
        <f t="shared" si="756"/>
        <v>1</v>
      </c>
      <c r="AN3430" s="447">
        <f t="shared" si="763"/>
        <v>0</v>
      </c>
      <c r="AO3430"/>
      <c r="AP3430"/>
    </row>
    <row r="3431" spans="1:42" ht="66" x14ac:dyDescent="0.25">
      <c r="A3431" s="65"/>
      <c r="B3431" s="528" t="s">
        <v>3325</v>
      </c>
      <c r="C3431" s="1024"/>
      <c r="D3431" s="882">
        <v>1</v>
      </c>
      <c r="E3431" s="251" t="s">
        <v>1767</v>
      </c>
      <c r="F3431" s="273" t="s">
        <v>3446</v>
      </c>
      <c r="G3431" s="1040" t="s">
        <v>3463</v>
      </c>
      <c r="H3431" s="273" t="s">
        <v>3462</v>
      </c>
      <c r="I3431" s="720">
        <f t="shared" si="762"/>
        <v>59.395247999999995</v>
      </c>
      <c r="J3431" s="756">
        <v>59.395247999999995</v>
      </c>
      <c r="K3431" s="131">
        <f t="shared" si="764"/>
        <v>59.395247999999995</v>
      </c>
      <c r="L3431" s="335">
        <f t="shared" si="753"/>
        <v>0</v>
      </c>
      <c r="M3431" s="446"/>
      <c r="N3431" s="446"/>
      <c r="O3431" s="446"/>
      <c r="P3431" s="446"/>
      <c r="Q3431" s="110">
        <v>1</v>
      </c>
      <c r="R3431" s="111">
        <f t="shared" si="751"/>
        <v>14.848811999999999</v>
      </c>
      <c r="S3431" s="110"/>
      <c r="T3431" s="110"/>
      <c r="U3431" s="110">
        <v>0</v>
      </c>
      <c r="V3431" s="111">
        <f t="shared" si="752"/>
        <v>14.848811999999999</v>
      </c>
      <c r="W3431" s="110"/>
      <c r="X3431" s="110"/>
      <c r="Y3431" s="110"/>
      <c r="Z3431" s="110"/>
      <c r="AA3431" s="110">
        <v>0</v>
      </c>
      <c r="AB3431" s="111">
        <f t="shared" si="760"/>
        <v>14.848811999999999</v>
      </c>
      <c r="AC3431" s="110"/>
      <c r="AD3431" s="110"/>
      <c r="AE3431" s="110">
        <v>0</v>
      </c>
      <c r="AF3431" s="111">
        <f t="shared" si="761"/>
        <v>14.848811999999999</v>
      </c>
      <c r="AG3431" s="110"/>
      <c r="AH3431" s="110"/>
      <c r="AI3431" s="110"/>
      <c r="AJ3431" s="110"/>
      <c r="AK3431" s="111">
        <f t="shared" si="754"/>
        <v>59.395247999999995</v>
      </c>
      <c r="AL3431" s="446">
        <f t="shared" si="755"/>
        <v>0</v>
      </c>
      <c r="AM3431" s="110">
        <f t="shared" si="756"/>
        <v>1</v>
      </c>
      <c r="AN3431" s="447">
        <f t="shared" si="763"/>
        <v>0</v>
      </c>
      <c r="AO3431"/>
      <c r="AP3431"/>
    </row>
    <row r="3432" spans="1:42" ht="66" x14ac:dyDescent="0.25">
      <c r="A3432" s="65"/>
      <c r="B3432" s="554" t="s">
        <v>3307</v>
      </c>
      <c r="C3432" s="1024"/>
      <c r="D3432" s="882">
        <v>1</v>
      </c>
      <c r="E3432" s="251" t="s">
        <v>1767</v>
      </c>
      <c r="F3432" s="273" t="s">
        <v>3446</v>
      </c>
      <c r="G3432" s="1040" t="s">
        <v>3463</v>
      </c>
      <c r="H3432" s="273" t="s">
        <v>3462</v>
      </c>
      <c r="I3432" s="720">
        <f t="shared" si="762"/>
        <v>212.79</v>
      </c>
      <c r="J3432" s="756">
        <v>212.79</v>
      </c>
      <c r="K3432" s="131">
        <f t="shared" si="764"/>
        <v>212.79</v>
      </c>
      <c r="L3432" s="335">
        <f t="shared" si="753"/>
        <v>0</v>
      </c>
      <c r="M3432" s="446"/>
      <c r="N3432" s="446"/>
      <c r="O3432" s="446"/>
      <c r="P3432" s="446"/>
      <c r="Q3432" s="110">
        <v>1</v>
      </c>
      <c r="R3432" s="111">
        <f t="shared" si="751"/>
        <v>53.197499999999998</v>
      </c>
      <c r="S3432" s="110"/>
      <c r="T3432" s="110"/>
      <c r="U3432" s="110">
        <v>0</v>
      </c>
      <c r="V3432" s="111">
        <f t="shared" si="752"/>
        <v>53.197499999999998</v>
      </c>
      <c r="W3432" s="110"/>
      <c r="X3432" s="110"/>
      <c r="Y3432" s="110"/>
      <c r="Z3432" s="110"/>
      <c r="AA3432" s="110">
        <v>0</v>
      </c>
      <c r="AB3432" s="111">
        <f t="shared" si="760"/>
        <v>53.197499999999998</v>
      </c>
      <c r="AC3432" s="110"/>
      <c r="AD3432" s="110"/>
      <c r="AE3432" s="110">
        <v>0</v>
      </c>
      <c r="AF3432" s="111">
        <f t="shared" si="761"/>
        <v>53.197499999999998</v>
      </c>
      <c r="AG3432" s="110"/>
      <c r="AH3432" s="110"/>
      <c r="AI3432" s="110"/>
      <c r="AJ3432" s="110"/>
      <c r="AK3432" s="111">
        <f t="shared" si="754"/>
        <v>212.79</v>
      </c>
      <c r="AL3432" s="446">
        <f t="shared" si="755"/>
        <v>0</v>
      </c>
      <c r="AM3432" s="110">
        <f t="shared" si="756"/>
        <v>1</v>
      </c>
      <c r="AN3432" s="447">
        <f t="shared" si="763"/>
        <v>0</v>
      </c>
      <c r="AO3432"/>
      <c r="AP3432"/>
    </row>
    <row r="3433" spans="1:42" ht="66" x14ac:dyDescent="0.25">
      <c r="A3433" s="65"/>
      <c r="B3433" s="554" t="s">
        <v>3326</v>
      </c>
      <c r="C3433" s="1024"/>
      <c r="D3433" s="882">
        <v>1</v>
      </c>
      <c r="E3433" s="251" t="s">
        <v>1767</v>
      </c>
      <c r="F3433" s="273" t="s">
        <v>3446</v>
      </c>
      <c r="G3433" s="1040" t="s">
        <v>3463</v>
      </c>
      <c r="H3433" s="273" t="s">
        <v>3462</v>
      </c>
      <c r="I3433" s="720">
        <f t="shared" si="762"/>
        <v>35.64</v>
      </c>
      <c r="J3433" s="756">
        <v>35.64</v>
      </c>
      <c r="K3433" s="131">
        <f t="shared" si="764"/>
        <v>35.64</v>
      </c>
      <c r="L3433" s="335">
        <f t="shared" si="753"/>
        <v>0</v>
      </c>
      <c r="M3433" s="446"/>
      <c r="N3433" s="446"/>
      <c r="O3433" s="446"/>
      <c r="P3433" s="446"/>
      <c r="Q3433" s="110">
        <v>1</v>
      </c>
      <c r="R3433" s="111">
        <f t="shared" si="751"/>
        <v>8.91</v>
      </c>
      <c r="S3433" s="110"/>
      <c r="T3433" s="110"/>
      <c r="U3433" s="110">
        <v>0</v>
      </c>
      <c r="V3433" s="111">
        <f t="shared" si="752"/>
        <v>8.91</v>
      </c>
      <c r="W3433" s="110"/>
      <c r="X3433" s="110"/>
      <c r="Y3433" s="110"/>
      <c r="Z3433" s="110"/>
      <c r="AA3433" s="110">
        <v>0</v>
      </c>
      <c r="AB3433" s="111">
        <f t="shared" si="760"/>
        <v>8.91</v>
      </c>
      <c r="AC3433" s="110"/>
      <c r="AD3433" s="110"/>
      <c r="AE3433" s="110">
        <v>0</v>
      </c>
      <c r="AF3433" s="111">
        <f t="shared" si="761"/>
        <v>8.91</v>
      </c>
      <c r="AG3433" s="110"/>
      <c r="AH3433" s="110"/>
      <c r="AI3433" s="110"/>
      <c r="AJ3433" s="110"/>
      <c r="AK3433" s="111">
        <f t="shared" si="754"/>
        <v>35.64</v>
      </c>
      <c r="AL3433" s="446">
        <f t="shared" si="755"/>
        <v>0</v>
      </c>
      <c r="AM3433" s="110">
        <f t="shared" si="756"/>
        <v>1</v>
      </c>
      <c r="AN3433" s="447">
        <f t="shared" si="763"/>
        <v>0</v>
      </c>
      <c r="AO3433"/>
      <c r="AP3433"/>
    </row>
    <row r="3434" spans="1:42" ht="66" x14ac:dyDescent="0.25">
      <c r="A3434" s="65"/>
      <c r="B3434" s="495" t="s">
        <v>3327</v>
      </c>
      <c r="C3434" s="1024"/>
      <c r="D3434" s="882">
        <v>50</v>
      </c>
      <c r="E3434" s="251" t="s">
        <v>1772</v>
      </c>
      <c r="F3434" s="273" t="s">
        <v>3446</v>
      </c>
      <c r="G3434" s="1040" t="s">
        <v>3463</v>
      </c>
      <c r="H3434" s="273" t="s">
        <v>3462</v>
      </c>
      <c r="I3434" s="720">
        <f t="shared" si="762"/>
        <v>32.5</v>
      </c>
      <c r="J3434" s="756">
        <v>1625</v>
      </c>
      <c r="K3434" s="131">
        <f t="shared" si="764"/>
        <v>1625</v>
      </c>
      <c r="L3434" s="335">
        <f t="shared" si="753"/>
        <v>0</v>
      </c>
      <c r="M3434" s="446"/>
      <c r="N3434" s="446"/>
      <c r="O3434" s="446"/>
      <c r="P3434" s="446"/>
      <c r="Q3434" s="110">
        <v>13</v>
      </c>
      <c r="R3434" s="111">
        <f t="shared" si="751"/>
        <v>406.25</v>
      </c>
      <c r="S3434" s="110"/>
      <c r="T3434" s="110"/>
      <c r="U3434" s="110">
        <v>12</v>
      </c>
      <c r="V3434" s="111">
        <f t="shared" si="752"/>
        <v>406.25</v>
      </c>
      <c r="W3434" s="110"/>
      <c r="X3434" s="110"/>
      <c r="Y3434" s="110"/>
      <c r="Z3434" s="110"/>
      <c r="AA3434" s="110">
        <v>12</v>
      </c>
      <c r="AB3434" s="111">
        <f t="shared" si="760"/>
        <v>406.25</v>
      </c>
      <c r="AC3434" s="110"/>
      <c r="AD3434" s="110"/>
      <c r="AE3434" s="110">
        <v>13</v>
      </c>
      <c r="AF3434" s="111">
        <f t="shared" si="761"/>
        <v>406.25</v>
      </c>
      <c r="AG3434" s="110"/>
      <c r="AH3434" s="110"/>
      <c r="AI3434" s="110"/>
      <c r="AJ3434" s="110"/>
      <c r="AK3434" s="111">
        <f t="shared" si="754"/>
        <v>1625</v>
      </c>
      <c r="AL3434" s="446">
        <f t="shared" si="755"/>
        <v>0</v>
      </c>
      <c r="AM3434" s="110">
        <f t="shared" si="756"/>
        <v>50</v>
      </c>
      <c r="AN3434" s="447">
        <f t="shared" si="763"/>
        <v>0</v>
      </c>
      <c r="AO3434"/>
      <c r="AP3434"/>
    </row>
    <row r="3435" spans="1:42" ht="22.5" x14ac:dyDescent="0.25">
      <c r="A3435" s="376">
        <v>294</v>
      </c>
      <c r="B3435" s="565" t="s">
        <v>746</v>
      </c>
      <c r="C3435" s="376"/>
      <c r="D3435" s="927"/>
      <c r="E3435" s="377"/>
      <c r="F3435" s="378"/>
      <c r="G3435" s="378"/>
      <c r="H3435" s="378"/>
      <c r="I3435" s="734"/>
      <c r="J3435" s="806"/>
      <c r="K3435" s="131">
        <f t="shared" si="764"/>
        <v>0</v>
      </c>
      <c r="L3435" s="335">
        <f t="shared" si="753"/>
        <v>0</v>
      </c>
      <c r="M3435" s="419"/>
      <c r="N3435" s="419"/>
      <c r="O3435" s="419"/>
      <c r="P3435" s="419"/>
      <c r="Q3435" s="418">
        <f t="shared" ref="Q3435:Q3453" si="765">+$D3435/4</f>
        <v>0</v>
      </c>
      <c r="R3435" s="379">
        <f t="shared" si="751"/>
        <v>0</v>
      </c>
      <c r="S3435" s="418"/>
      <c r="T3435" s="418"/>
      <c r="U3435" s="418">
        <f t="shared" ref="U3435:U3453" si="766">+$D3435/4</f>
        <v>0</v>
      </c>
      <c r="V3435" s="379">
        <f t="shared" si="752"/>
        <v>0</v>
      </c>
      <c r="W3435" s="418"/>
      <c r="X3435" s="418"/>
      <c r="Y3435" s="418"/>
      <c r="Z3435" s="418"/>
      <c r="AA3435" s="418">
        <f t="shared" ref="AA3435:AE3453" si="767">+$D3435/4</f>
        <v>0</v>
      </c>
      <c r="AB3435" s="379">
        <f t="shared" si="760"/>
        <v>0</v>
      </c>
      <c r="AC3435" s="418"/>
      <c r="AD3435" s="418"/>
      <c r="AE3435" s="418">
        <f t="shared" si="767"/>
        <v>0</v>
      </c>
      <c r="AF3435" s="379">
        <f t="shared" si="761"/>
        <v>0</v>
      </c>
      <c r="AG3435" s="418"/>
      <c r="AH3435" s="418"/>
      <c r="AI3435" s="418"/>
      <c r="AJ3435" s="418"/>
      <c r="AK3435" s="379">
        <f t="shared" si="754"/>
        <v>0</v>
      </c>
      <c r="AL3435" s="446">
        <f t="shared" si="755"/>
        <v>0</v>
      </c>
      <c r="AM3435" s="110">
        <f t="shared" si="756"/>
        <v>0</v>
      </c>
      <c r="AN3435" s="447">
        <f t="shared" si="763"/>
        <v>0</v>
      </c>
      <c r="AO3435" s="108"/>
      <c r="AP3435"/>
    </row>
    <row r="3436" spans="1:42" x14ac:dyDescent="0.25">
      <c r="A3436" s="310">
        <v>29401</v>
      </c>
      <c r="B3436" s="375" t="s">
        <v>747</v>
      </c>
      <c r="C3436" s="311"/>
      <c r="D3436" s="902"/>
      <c r="E3436" s="312"/>
      <c r="F3436" s="313"/>
      <c r="G3436" s="313"/>
      <c r="H3436" s="313"/>
      <c r="I3436" s="729"/>
      <c r="J3436" s="800"/>
      <c r="K3436" s="131">
        <f t="shared" si="764"/>
        <v>0</v>
      </c>
      <c r="L3436" s="335">
        <f t="shared" si="753"/>
        <v>0</v>
      </c>
      <c r="M3436" s="446"/>
      <c r="N3436" s="446"/>
      <c r="O3436" s="446"/>
      <c r="P3436" s="446"/>
      <c r="Q3436" s="387">
        <f t="shared" si="765"/>
        <v>0</v>
      </c>
      <c r="R3436" s="314">
        <f t="shared" si="751"/>
        <v>0</v>
      </c>
      <c r="S3436" s="387"/>
      <c r="T3436" s="387"/>
      <c r="U3436" s="387">
        <f t="shared" si="766"/>
        <v>0</v>
      </c>
      <c r="V3436" s="314">
        <f t="shared" si="752"/>
        <v>0</v>
      </c>
      <c r="W3436" s="387"/>
      <c r="X3436" s="387"/>
      <c r="Y3436" s="387"/>
      <c r="Z3436" s="387"/>
      <c r="AA3436" s="387">
        <f t="shared" si="767"/>
        <v>0</v>
      </c>
      <c r="AB3436" s="314">
        <f t="shared" si="760"/>
        <v>0</v>
      </c>
      <c r="AC3436" s="387"/>
      <c r="AD3436" s="387"/>
      <c r="AE3436" s="387">
        <f t="shared" si="767"/>
        <v>0</v>
      </c>
      <c r="AF3436" s="314">
        <f t="shared" si="761"/>
        <v>0</v>
      </c>
      <c r="AG3436" s="387"/>
      <c r="AH3436" s="387"/>
      <c r="AI3436" s="387"/>
      <c r="AJ3436" s="387"/>
      <c r="AK3436" s="314">
        <f t="shared" si="754"/>
        <v>0</v>
      </c>
      <c r="AL3436" s="446">
        <f t="shared" si="755"/>
        <v>0</v>
      </c>
      <c r="AM3436" s="110">
        <f t="shared" si="756"/>
        <v>0</v>
      </c>
      <c r="AN3436" s="447">
        <f t="shared" si="763"/>
        <v>0</v>
      </c>
      <c r="AO3436" s="108"/>
      <c r="AP3436"/>
    </row>
    <row r="3437" spans="1:42" s="108" customFormat="1" x14ac:dyDescent="0.25">
      <c r="A3437" s="61"/>
      <c r="B3437" s="45"/>
      <c r="C3437" s="9"/>
      <c r="D3437" s="869"/>
      <c r="E3437" s="1027"/>
      <c r="F3437" s="272"/>
      <c r="G3437" s="272"/>
      <c r="H3437" s="272"/>
      <c r="I3437" s="722"/>
      <c r="J3437" s="763"/>
      <c r="K3437" s="131">
        <f t="shared" si="764"/>
        <v>0</v>
      </c>
      <c r="L3437" s="335">
        <f t="shared" si="753"/>
        <v>0</v>
      </c>
      <c r="M3437" s="335"/>
      <c r="N3437" s="335"/>
      <c r="O3437" s="335"/>
      <c r="P3437" s="335"/>
      <c r="Q3437" s="130">
        <f t="shared" si="765"/>
        <v>0</v>
      </c>
      <c r="R3437" s="131">
        <f t="shared" si="751"/>
        <v>0</v>
      </c>
      <c r="S3437" s="130"/>
      <c r="T3437" s="130"/>
      <c r="U3437" s="130">
        <f t="shared" si="766"/>
        <v>0</v>
      </c>
      <c r="V3437" s="131">
        <f t="shared" si="752"/>
        <v>0</v>
      </c>
      <c r="W3437" s="130"/>
      <c r="X3437" s="130"/>
      <c r="Y3437" s="130"/>
      <c r="Z3437" s="130"/>
      <c r="AA3437" s="130">
        <f t="shared" si="767"/>
        <v>0</v>
      </c>
      <c r="AB3437" s="131">
        <f t="shared" si="760"/>
        <v>0</v>
      </c>
      <c r="AC3437" s="130"/>
      <c r="AD3437" s="130"/>
      <c r="AE3437" s="130">
        <f t="shared" si="767"/>
        <v>0</v>
      </c>
      <c r="AF3437" s="131">
        <f t="shared" si="761"/>
        <v>0</v>
      </c>
      <c r="AG3437" s="130"/>
      <c r="AH3437" s="130"/>
      <c r="AI3437" s="130"/>
      <c r="AJ3437" s="130"/>
      <c r="AK3437" s="131">
        <f t="shared" si="754"/>
        <v>0</v>
      </c>
      <c r="AL3437" s="446">
        <f t="shared" si="755"/>
        <v>0</v>
      </c>
      <c r="AM3437" s="110">
        <f t="shared" si="756"/>
        <v>0</v>
      </c>
      <c r="AN3437" s="447">
        <f t="shared" si="763"/>
        <v>0</v>
      </c>
      <c r="AO3437"/>
      <c r="AP3437"/>
    </row>
    <row r="3438" spans="1:42" x14ac:dyDescent="0.25">
      <c r="A3438" s="310">
        <v>29402</v>
      </c>
      <c r="B3438" s="375" t="s">
        <v>748</v>
      </c>
      <c r="C3438" s="311"/>
      <c r="D3438" s="902"/>
      <c r="E3438" s="312"/>
      <c r="F3438" s="313"/>
      <c r="G3438" s="313"/>
      <c r="H3438" s="313"/>
      <c r="I3438" s="729"/>
      <c r="J3438" s="800"/>
      <c r="K3438" s="131">
        <f t="shared" si="764"/>
        <v>0</v>
      </c>
      <c r="L3438" s="335">
        <f t="shared" si="753"/>
        <v>0</v>
      </c>
      <c r="M3438" s="446"/>
      <c r="N3438" s="446"/>
      <c r="O3438" s="446"/>
      <c r="P3438" s="446"/>
      <c r="Q3438" s="387">
        <f t="shared" si="765"/>
        <v>0</v>
      </c>
      <c r="R3438" s="314">
        <f t="shared" si="751"/>
        <v>0</v>
      </c>
      <c r="S3438" s="387"/>
      <c r="T3438" s="387"/>
      <c r="U3438" s="387">
        <f t="shared" si="766"/>
        <v>0</v>
      </c>
      <c r="V3438" s="314">
        <f t="shared" si="752"/>
        <v>0</v>
      </c>
      <c r="W3438" s="387"/>
      <c r="X3438" s="387"/>
      <c r="Y3438" s="387"/>
      <c r="Z3438" s="387"/>
      <c r="AA3438" s="387">
        <f t="shared" si="767"/>
        <v>0</v>
      </c>
      <c r="AB3438" s="314">
        <f t="shared" si="760"/>
        <v>0</v>
      </c>
      <c r="AC3438" s="387"/>
      <c r="AD3438" s="387"/>
      <c r="AE3438" s="387">
        <f t="shared" si="767"/>
        <v>0</v>
      </c>
      <c r="AF3438" s="314">
        <f t="shared" si="761"/>
        <v>0</v>
      </c>
      <c r="AG3438" s="387"/>
      <c r="AH3438" s="387"/>
      <c r="AI3438" s="387"/>
      <c r="AJ3438" s="387"/>
      <c r="AK3438" s="314">
        <f t="shared" si="754"/>
        <v>0</v>
      </c>
      <c r="AL3438" s="446">
        <f t="shared" si="755"/>
        <v>0</v>
      </c>
      <c r="AM3438" s="110">
        <f t="shared" si="756"/>
        <v>0</v>
      </c>
      <c r="AN3438" s="447">
        <f t="shared" si="763"/>
        <v>0</v>
      </c>
      <c r="AO3438" s="108"/>
      <c r="AP3438"/>
    </row>
    <row r="3439" spans="1:42" s="108" customFormat="1" x14ac:dyDescent="0.25">
      <c r="A3439" s="1024"/>
      <c r="B3439" s="45"/>
      <c r="C3439" s="9"/>
      <c r="D3439" s="869"/>
      <c r="E3439" s="1027"/>
      <c r="F3439" s="272"/>
      <c r="G3439" s="272"/>
      <c r="H3439" s="272"/>
      <c r="I3439" s="722"/>
      <c r="J3439" s="763"/>
      <c r="K3439" s="131">
        <f t="shared" si="764"/>
        <v>0</v>
      </c>
      <c r="L3439" s="335">
        <f t="shared" si="753"/>
        <v>0</v>
      </c>
      <c r="M3439" s="335"/>
      <c r="N3439" s="335"/>
      <c r="O3439" s="335"/>
      <c r="P3439" s="335"/>
      <c r="Q3439" s="130">
        <f t="shared" si="765"/>
        <v>0</v>
      </c>
      <c r="R3439" s="131">
        <f t="shared" ref="R3439:R3502" si="768">+J3439/4</f>
        <v>0</v>
      </c>
      <c r="S3439" s="130"/>
      <c r="T3439" s="130"/>
      <c r="U3439" s="130">
        <f t="shared" si="766"/>
        <v>0</v>
      </c>
      <c r="V3439" s="131">
        <f t="shared" ref="V3439:V3502" si="769">+J3439/4</f>
        <v>0</v>
      </c>
      <c r="W3439" s="130"/>
      <c r="X3439" s="130"/>
      <c r="Y3439" s="130"/>
      <c r="Z3439" s="130"/>
      <c r="AA3439" s="130">
        <f t="shared" si="767"/>
        <v>0</v>
      </c>
      <c r="AB3439" s="131">
        <f t="shared" si="760"/>
        <v>0</v>
      </c>
      <c r="AC3439" s="130"/>
      <c r="AD3439" s="130"/>
      <c r="AE3439" s="130">
        <f t="shared" si="767"/>
        <v>0</v>
      </c>
      <c r="AF3439" s="131">
        <f t="shared" si="761"/>
        <v>0</v>
      </c>
      <c r="AG3439" s="130"/>
      <c r="AH3439" s="130"/>
      <c r="AI3439" s="130"/>
      <c r="AJ3439" s="130"/>
      <c r="AK3439" s="131">
        <f t="shared" si="754"/>
        <v>0</v>
      </c>
      <c r="AL3439" s="446">
        <f t="shared" si="755"/>
        <v>0</v>
      </c>
      <c r="AM3439" s="110">
        <f t="shared" si="756"/>
        <v>0</v>
      </c>
      <c r="AN3439" s="447">
        <f t="shared" si="763"/>
        <v>0</v>
      </c>
      <c r="AO3439"/>
      <c r="AP3439"/>
    </row>
    <row r="3440" spans="1:42" ht="22.5" x14ac:dyDescent="0.25">
      <c r="A3440" s="310">
        <v>29403</v>
      </c>
      <c r="B3440" s="375" t="s">
        <v>749</v>
      </c>
      <c r="C3440" s="311"/>
      <c r="D3440" s="902"/>
      <c r="E3440" s="312"/>
      <c r="F3440" s="313"/>
      <c r="G3440" s="313"/>
      <c r="H3440" s="313"/>
      <c r="I3440" s="729"/>
      <c r="J3440" s="800"/>
      <c r="K3440" s="131">
        <f t="shared" si="764"/>
        <v>0</v>
      </c>
      <c r="L3440" s="335">
        <f t="shared" si="753"/>
        <v>0</v>
      </c>
      <c r="M3440" s="446"/>
      <c r="N3440" s="446"/>
      <c r="O3440" s="446"/>
      <c r="P3440" s="446"/>
      <c r="Q3440" s="387">
        <f t="shared" si="765"/>
        <v>0</v>
      </c>
      <c r="R3440" s="314">
        <f t="shared" si="768"/>
        <v>0</v>
      </c>
      <c r="S3440" s="387"/>
      <c r="T3440" s="387"/>
      <c r="U3440" s="387">
        <f t="shared" si="766"/>
        <v>0</v>
      </c>
      <c r="V3440" s="314">
        <f t="shared" si="769"/>
        <v>0</v>
      </c>
      <c r="W3440" s="387"/>
      <c r="X3440" s="387"/>
      <c r="Y3440" s="387"/>
      <c r="Z3440" s="387"/>
      <c r="AA3440" s="387">
        <f t="shared" si="767"/>
        <v>0</v>
      </c>
      <c r="AB3440" s="314">
        <f t="shared" si="760"/>
        <v>0</v>
      </c>
      <c r="AC3440" s="387"/>
      <c r="AD3440" s="387"/>
      <c r="AE3440" s="387">
        <f t="shared" si="767"/>
        <v>0</v>
      </c>
      <c r="AF3440" s="314">
        <f t="shared" si="761"/>
        <v>0</v>
      </c>
      <c r="AG3440" s="387"/>
      <c r="AH3440" s="387"/>
      <c r="AI3440" s="387"/>
      <c r="AJ3440" s="387"/>
      <c r="AK3440" s="314">
        <f t="shared" si="754"/>
        <v>0</v>
      </c>
      <c r="AL3440" s="446">
        <f t="shared" si="755"/>
        <v>0</v>
      </c>
      <c r="AM3440" s="110">
        <f t="shared" si="756"/>
        <v>0</v>
      </c>
      <c r="AN3440" s="447">
        <f t="shared" si="763"/>
        <v>0</v>
      </c>
      <c r="AO3440" s="436">
        <f>SUM(J3441:J3499)</f>
        <v>113108.16246720002</v>
      </c>
      <c r="AP3440" s="111"/>
    </row>
    <row r="3441" spans="1:42" ht="66" x14ac:dyDescent="0.25">
      <c r="A3441" s="9"/>
      <c r="B3441" s="45" t="s">
        <v>750</v>
      </c>
      <c r="C3441" s="1024"/>
      <c r="D3441" s="869">
        <f>1</f>
        <v>1</v>
      </c>
      <c r="E3441" s="1027" t="s">
        <v>1721</v>
      </c>
      <c r="F3441" s="273" t="s">
        <v>3446</v>
      </c>
      <c r="G3441" s="1040" t="s">
        <v>3463</v>
      </c>
      <c r="H3441" s="273" t="s">
        <v>3462</v>
      </c>
      <c r="I3441" s="720">
        <f t="shared" ref="I3441:I3499" si="770">+J3441/D3441</f>
        <v>1626.06</v>
      </c>
      <c r="J3441" s="756">
        <f>1626.06</f>
        <v>1626.06</v>
      </c>
      <c r="K3441" s="131">
        <f t="shared" si="764"/>
        <v>1626.06</v>
      </c>
      <c r="L3441" s="335">
        <f t="shared" si="753"/>
        <v>0</v>
      </c>
      <c r="M3441" s="446"/>
      <c r="N3441" s="446"/>
      <c r="O3441" s="446"/>
      <c r="P3441" s="446"/>
      <c r="Q3441" s="110">
        <v>1</v>
      </c>
      <c r="R3441" s="111">
        <f t="shared" si="768"/>
        <v>406.51499999999999</v>
      </c>
      <c r="S3441" s="110"/>
      <c r="T3441" s="110"/>
      <c r="U3441" s="110">
        <v>0</v>
      </c>
      <c r="V3441" s="111">
        <f t="shared" si="769"/>
        <v>406.51499999999999</v>
      </c>
      <c r="W3441" s="110"/>
      <c r="X3441" s="110"/>
      <c r="Y3441" s="110"/>
      <c r="Z3441" s="110"/>
      <c r="AA3441" s="110">
        <v>0</v>
      </c>
      <c r="AB3441" s="111">
        <f t="shared" si="760"/>
        <v>406.51499999999999</v>
      </c>
      <c r="AC3441" s="110"/>
      <c r="AD3441" s="110"/>
      <c r="AE3441" s="110">
        <v>0</v>
      </c>
      <c r="AF3441" s="111">
        <f t="shared" si="761"/>
        <v>406.51499999999999</v>
      </c>
      <c r="AG3441" s="110"/>
      <c r="AH3441" s="110"/>
      <c r="AI3441" s="110"/>
      <c r="AJ3441" s="110"/>
      <c r="AK3441" s="111">
        <f t="shared" si="754"/>
        <v>1626.06</v>
      </c>
      <c r="AL3441" s="446">
        <f t="shared" si="755"/>
        <v>0</v>
      </c>
      <c r="AM3441" s="110">
        <f t="shared" si="756"/>
        <v>1</v>
      </c>
      <c r="AN3441" s="447">
        <f t="shared" si="763"/>
        <v>0</v>
      </c>
      <c r="AO3441"/>
      <c r="AP3441"/>
    </row>
    <row r="3442" spans="1:42" ht="66" x14ac:dyDescent="0.25">
      <c r="A3442" s="9"/>
      <c r="B3442" s="45" t="s">
        <v>1098</v>
      </c>
      <c r="C3442" s="67"/>
      <c r="D3442" s="869">
        <f>1</f>
        <v>1</v>
      </c>
      <c r="E3442" s="1027" t="s">
        <v>1721</v>
      </c>
      <c r="F3442" s="273" t="s">
        <v>3446</v>
      </c>
      <c r="G3442" s="1040" t="s">
        <v>3463</v>
      </c>
      <c r="H3442" s="273" t="s">
        <v>3462</v>
      </c>
      <c r="I3442" s="720">
        <f t="shared" si="770"/>
        <v>400</v>
      </c>
      <c r="J3442" s="756">
        <f>400</f>
        <v>400</v>
      </c>
      <c r="K3442" s="131">
        <f t="shared" si="764"/>
        <v>400</v>
      </c>
      <c r="L3442" s="335">
        <f t="shared" si="753"/>
        <v>0</v>
      </c>
      <c r="M3442" s="446"/>
      <c r="N3442" s="446"/>
      <c r="O3442" s="446"/>
      <c r="P3442" s="446"/>
      <c r="Q3442" s="110">
        <v>1</v>
      </c>
      <c r="R3442" s="111">
        <f t="shared" si="768"/>
        <v>100</v>
      </c>
      <c r="S3442" s="110"/>
      <c r="T3442" s="110"/>
      <c r="U3442" s="110">
        <v>0</v>
      </c>
      <c r="V3442" s="111">
        <f t="shared" si="769"/>
        <v>100</v>
      </c>
      <c r="W3442" s="110"/>
      <c r="X3442" s="110"/>
      <c r="Y3442" s="110"/>
      <c r="Z3442" s="110"/>
      <c r="AA3442" s="110">
        <v>0</v>
      </c>
      <c r="AB3442" s="111">
        <f t="shared" si="760"/>
        <v>100</v>
      </c>
      <c r="AC3442" s="110"/>
      <c r="AD3442" s="110"/>
      <c r="AE3442" s="110">
        <v>0</v>
      </c>
      <c r="AF3442" s="111">
        <f t="shared" si="761"/>
        <v>100</v>
      </c>
      <c r="AG3442" s="110"/>
      <c r="AH3442" s="110"/>
      <c r="AI3442" s="110"/>
      <c r="AJ3442" s="110"/>
      <c r="AK3442" s="111">
        <f t="shared" si="754"/>
        <v>400</v>
      </c>
      <c r="AL3442" s="446">
        <f t="shared" si="755"/>
        <v>0</v>
      </c>
      <c r="AM3442" s="110">
        <f t="shared" si="756"/>
        <v>1</v>
      </c>
      <c r="AN3442" s="447">
        <f t="shared" si="763"/>
        <v>0</v>
      </c>
      <c r="AO3442"/>
      <c r="AP3442"/>
    </row>
    <row r="3443" spans="1:42" ht="66" x14ac:dyDescent="0.25">
      <c r="A3443" s="9"/>
      <c r="B3443" s="45" t="s">
        <v>753</v>
      </c>
      <c r="C3443" s="67"/>
      <c r="D3443" s="869">
        <f>16+4+3</f>
        <v>23</v>
      </c>
      <c r="E3443" s="1027" t="s">
        <v>1721</v>
      </c>
      <c r="F3443" s="273" t="s">
        <v>3446</v>
      </c>
      <c r="G3443" s="1040" t="s">
        <v>3463</v>
      </c>
      <c r="H3443" s="273" t="s">
        <v>3462</v>
      </c>
      <c r="I3443" s="720">
        <f t="shared" si="770"/>
        <v>137.73956521739132</v>
      </c>
      <c r="J3443" s="756">
        <f>2160.01+540+468</f>
        <v>3168.01</v>
      </c>
      <c r="K3443" s="131">
        <f t="shared" si="764"/>
        <v>3168.01</v>
      </c>
      <c r="L3443" s="335">
        <f t="shared" si="753"/>
        <v>0</v>
      </c>
      <c r="M3443" s="446"/>
      <c r="N3443" s="446"/>
      <c r="O3443" s="446"/>
      <c r="P3443" s="446"/>
      <c r="Q3443" s="110">
        <v>6</v>
      </c>
      <c r="R3443" s="111">
        <f t="shared" si="768"/>
        <v>792.00250000000005</v>
      </c>
      <c r="S3443" s="110"/>
      <c r="T3443" s="110"/>
      <c r="U3443" s="110">
        <v>6</v>
      </c>
      <c r="V3443" s="111">
        <f t="shared" si="769"/>
        <v>792.00250000000005</v>
      </c>
      <c r="W3443" s="110"/>
      <c r="X3443" s="110"/>
      <c r="Y3443" s="110"/>
      <c r="Z3443" s="110"/>
      <c r="AA3443" s="110">
        <v>6</v>
      </c>
      <c r="AB3443" s="111">
        <f t="shared" si="760"/>
        <v>792.00250000000005</v>
      </c>
      <c r="AC3443" s="110"/>
      <c r="AD3443" s="110"/>
      <c r="AE3443" s="110">
        <v>5</v>
      </c>
      <c r="AF3443" s="111">
        <f t="shared" si="761"/>
        <v>792.00250000000005</v>
      </c>
      <c r="AG3443" s="110"/>
      <c r="AH3443" s="110"/>
      <c r="AI3443" s="110"/>
      <c r="AJ3443" s="110"/>
      <c r="AK3443" s="111">
        <f t="shared" si="754"/>
        <v>3168.01</v>
      </c>
      <c r="AL3443" s="446">
        <f t="shared" si="755"/>
        <v>0</v>
      </c>
      <c r="AM3443" s="110">
        <f t="shared" si="756"/>
        <v>23</v>
      </c>
      <c r="AN3443" s="447">
        <f t="shared" si="763"/>
        <v>0</v>
      </c>
      <c r="AO3443"/>
      <c r="AP3443"/>
    </row>
    <row r="3444" spans="1:42" ht="66" x14ac:dyDescent="0.25">
      <c r="A3444" s="11"/>
      <c r="B3444" s="36" t="s">
        <v>754</v>
      </c>
      <c r="C3444" s="68"/>
      <c r="D3444" s="882">
        <f>5</f>
        <v>5</v>
      </c>
      <c r="E3444" s="1025" t="s">
        <v>1721</v>
      </c>
      <c r="F3444" s="273" t="s">
        <v>3446</v>
      </c>
      <c r="G3444" s="1040" t="s">
        <v>3463</v>
      </c>
      <c r="H3444" s="273" t="s">
        <v>3462</v>
      </c>
      <c r="I3444" s="720">
        <f t="shared" si="770"/>
        <v>152.28</v>
      </c>
      <c r="J3444" s="756">
        <f>761.4</f>
        <v>761.4</v>
      </c>
      <c r="K3444" s="131">
        <f t="shared" si="764"/>
        <v>761.4</v>
      </c>
      <c r="L3444" s="335">
        <f t="shared" ref="L3444:L3507" si="771">+J3444-K3444</f>
        <v>0</v>
      </c>
      <c r="M3444" s="446"/>
      <c r="N3444" s="446"/>
      <c r="O3444" s="446"/>
      <c r="P3444" s="446"/>
      <c r="Q3444" s="110">
        <v>2</v>
      </c>
      <c r="R3444" s="111">
        <f t="shared" si="768"/>
        <v>190.35</v>
      </c>
      <c r="S3444" s="110"/>
      <c r="T3444" s="110"/>
      <c r="U3444" s="110">
        <v>1</v>
      </c>
      <c r="V3444" s="111">
        <f t="shared" si="769"/>
        <v>190.35</v>
      </c>
      <c r="W3444" s="110"/>
      <c r="X3444" s="110"/>
      <c r="Y3444" s="110"/>
      <c r="Z3444" s="110"/>
      <c r="AA3444" s="110">
        <v>1</v>
      </c>
      <c r="AB3444" s="111">
        <f t="shared" si="760"/>
        <v>190.35</v>
      </c>
      <c r="AC3444" s="110"/>
      <c r="AD3444" s="110"/>
      <c r="AE3444" s="110">
        <v>1</v>
      </c>
      <c r="AF3444" s="111">
        <f t="shared" si="761"/>
        <v>190.35</v>
      </c>
      <c r="AG3444" s="110"/>
      <c r="AH3444" s="110"/>
      <c r="AI3444" s="110"/>
      <c r="AJ3444" s="110"/>
      <c r="AK3444" s="111">
        <f t="shared" ref="AK3444:AK3507" si="772">+R3444+V3444+AB3444+AF3444</f>
        <v>761.4</v>
      </c>
      <c r="AL3444" s="446">
        <f t="shared" ref="AL3444:AL3507" si="773">+J3444-AK3444</f>
        <v>0</v>
      </c>
      <c r="AM3444" s="110">
        <f t="shared" ref="AM3444:AM3507" si="774">+Q3444+U3444+AA3444+AE3444</f>
        <v>5</v>
      </c>
      <c r="AN3444" s="447">
        <f t="shared" si="763"/>
        <v>0</v>
      </c>
      <c r="AO3444"/>
      <c r="AP3444"/>
    </row>
    <row r="3445" spans="1:42" ht="66" x14ac:dyDescent="0.25">
      <c r="A3445" s="11"/>
      <c r="B3445" s="36" t="s">
        <v>1099</v>
      </c>
      <c r="C3445" s="68"/>
      <c r="D3445" s="882">
        <f>8</f>
        <v>8</v>
      </c>
      <c r="E3445" s="1025" t="s">
        <v>1721</v>
      </c>
      <c r="F3445" s="273" t="s">
        <v>3446</v>
      </c>
      <c r="G3445" s="1040" t="s">
        <v>3463</v>
      </c>
      <c r="H3445" s="273" t="s">
        <v>3462</v>
      </c>
      <c r="I3445" s="720">
        <f t="shared" si="770"/>
        <v>116.38</v>
      </c>
      <c r="J3445" s="756">
        <f>931.04</f>
        <v>931.04</v>
      </c>
      <c r="K3445" s="131">
        <f t="shared" si="764"/>
        <v>931.04</v>
      </c>
      <c r="L3445" s="335">
        <f t="shared" si="771"/>
        <v>0</v>
      </c>
      <c r="M3445" s="446"/>
      <c r="N3445" s="446"/>
      <c r="O3445" s="446"/>
      <c r="P3445" s="446"/>
      <c r="Q3445" s="110">
        <f t="shared" si="765"/>
        <v>2</v>
      </c>
      <c r="R3445" s="111">
        <f t="shared" si="768"/>
        <v>232.76</v>
      </c>
      <c r="S3445" s="110"/>
      <c r="T3445" s="110"/>
      <c r="U3445" s="110">
        <f t="shared" si="766"/>
        <v>2</v>
      </c>
      <c r="V3445" s="111">
        <f t="shared" si="769"/>
        <v>232.76</v>
      </c>
      <c r="W3445" s="110"/>
      <c r="X3445" s="110"/>
      <c r="Y3445" s="110"/>
      <c r="Z3445" s="110"/>
      <c r="AA3445" s="110">
        <f t="shared" si="767"/>
        <v>2</v>
      </c>
      <c r="AB3445" s="111">
        <f t="shared" si="760"/>
        <v>232.76</v>
      </c>
      <c r="AC3445" s="110"/>
      <c r="AD3445" s="110"/>
      <c r="AE3445" s="110">
        <f t="shared" si="767"/>
        <v>2</v>
      </c>
      <c r="AF3445" s="111">
        <f t="shared" si="761"/>
        <v>232.76</v>
      </c>
      <c r="AG3445" s="110"/>
      <c r="AH3445" s="110"/>
      <c r="AI3445" s="110"/>
      <c r="AJ3445" s="110"/>
      <c r="AK3445" s="111">
        <f t="shared" si="772"/>
        <v>931.04</v>
      </c>
      <c r="AL3445" s="446">
        <f t="shared" si="773"/>
        <v>0</v>
      </c>
      <c r="AM3445" s="110">
        <f t="shared" si="774"/>
        <v>8</v>
      </c>
      <c r="AN3445" s="447">
        <f t="shared" si="763"/>
        <v>0</v>
      </c>
      <c r="AO3445"/>
      <c r="AP3445"/>
    </row>
    <row r="3446" spans="1:42" s="108" customFormat="1" ht="66" x14ac:dyDescent="0.25">
      <c r="A3446" s="9"/>
      <c r="B3446" s="43" t="s">
        <v>758</v>
      </c>
      <c r="C3446" s="9"/>
      <c r="D3446" s="899">
        <f>3</f>
        <v>3</v>
      </c>
      <c r="E3446" s="256" t="s">
        <v>1721</v>
      </c>
      <c r="F3446" s="278" t="s">
        <v>3446</v>
      </c>
      <c r="G3446" s="1040" t="s">
        <v>3463</v>
      </c>
      <c r="H3446" s="273" t="s">
        <v>3462</v>
      </c>
      <c r="I3446" s="722">
        <f t="shared" si="770"/>
        <v>2099.9900000000002</v>
      </c>
      <c r="J3446" s="780">
        <f>6299.97</f>
        <v>6299.97</v>
      </c>
      <c r="K3446" s="131">
        <f t="shared" si="764"/>
        <v>6299.9700000000012</v>
      </c>
      <c r="L3446" s="335">
        <f t="shared" si="771"/>
        <v>0</v>
      </c>
      <c r="M3446" s="335"/>
      <c r="N3446" s="335"/>
      <c r="O3446" s="335"/>
      <c r="P3446" s="335"/>
      <c r="Q3446" s="130">
        <v>1</v>
      </c>
      <c r="R3446" s="131">
        <f t="shared" si="768"/>
        <v>1574.9925000000001</v>
      </c>
      <c r="S3446" s="130"/>
      <c r="T3446" s="130"/>
      <c r="U3446" s="130">
        <v>1</v>
      </c>
      <c r="V3446" s="131">
        <f t="shared" si="769"/>
        <v>1574.9925000000001</v>
      </c>
      <c r="W3446" s="130"/>
      <c r="X3446" s="130"/>
      <c r="Y3446" s="130"/>
      <c r="Z3446" s="130"/>
      <c r="AA3446" s="130">
        <v>1</v>
      </c>
      <c r="AB3446" s="131">
        <f t="shared" si="760"/>
        <v>1574.9925000000001</v>
      </c>
      <c r="AC3446" s="130"/>
      <c r="AD3446" s="130"/>
      <c r="AE3446" s="130">
        <v>0</v>
      </c>
      <c r="AF3446" s="131">
        <f t="shared" si="761"/>
        <v>1574.9925000000001</v>
      </c>
      <c r="AG3446" s="130"/>
      <c r="AH3446" s="130"/>
      <c r="AI3446" s="130"/>
      <c r="AJ3446" s="130"/>
      <c r="AK3446" s="131">
        <f t="shared" si="772"/>
        <v>6299.97</v>
      </c>
      <c r="AL3446" s="446">
        <f t="shared" si="773"/>
        <v>0</v>
      </c>
      <c r="AM3446" s="110">
        <f t="shared" si="774"/>
        <v>3</v>
      </c>
      <c r="AN3446" s="447">
        <f t="shared" si="763"/>
        <v>0</v>
      </c>
      <c r="AO3446"/>
      <c r="AP3446"/>
    </row>
    <row r="3447" spans="1:42" s="108" customFormat="1" ht="66" x14ac:dyDescent="0.25">
      <c r="A3447" s="9"/>
      <c r="B3447" s="43" t="s">
        <v>751</v>
      </c>
      <c r="C3447" s="9"/>
      <c r="D3447" s="899">
        <v>2</v>
      </c>
      <c r="E3447" s="256" t="s">
        <v>1721</v>
      </c>
      <c r="F3447" s="278" t="s">
        <v>3446</v>
      </c>
      <c r="G3447" s="1040" t="s">
        <v>3463</v>
      </c>
      <c r="H3447" s="273" t="s">
        <v>3462</v>
      </c>
      <c r="I3447" s="722">
        <f t="shared" si="770"/>
        <v>194.39500000000001</v>
      </c>
      <c r="J3447" s="780">
        <f>388.79</f>
        <v>388.79</v>
      </c>
      <c r="K3447" s="131">
        <f t="shared" si="764"/>
        <v>388.79</v>
      </c>
      <c r="L3447" s="335">
        <f t="shared" si="771"/>
        <v>0</v>
      </c>
      <c r="M3447" s="335"/>
      <c r="N3447" s="335"/>
      <c r="O3447" s="335"/>
      <c r="P3447" s="335"/>
      <c r="Q3447" s="130">
        <v>1</v>
      </c>
      <c r="R3447" s="131">
        <f t="shared" si="768"/>
        <v>97.197500000000005</v>
      </c>
      <c r="S3447" s="130"/>
      <c r="T3447" s="130"/>
      <c r="U3447" s="130">
        <v>1</v>
      </c>
      <c r="V3447" s="131">
        <f t="shared" si="769"/>
        <v>97.197500000000005</v>
      </c>
      <c r="W3447" s="130"/>
      <c r="X3447" s="130"/>
      <c r="Y3447" s="130"/>
      <c r="Z3447" s="130"/>
      <c r="AA3447" s="130">
        <v>0</v>
      </c>
      <c r="AB3447" s="131">
        <f t="shared" si="760"/>
        <v>97.197500000000005</v>
      </c>
      <c r="AC3447" s="130"/>
      <c r="AD3447" s="130"/>
      <c r="AE3447" s="130">
        <v>0</v>
      </c>
      <c r="AF3447" s="131">
        <f t="shared" si="761"/>
        <v>97.197500000000005</v>
      </c>
      <c r="AG3447" s="130"/>
      <c r="AH3447" s="130"/>
      <c r="AI3447" s="130"/>
      <c r="AJ3447" s="130"/>
      <c r="AK3447" s="131">
        <f t="shared" si="772"/>
        <v>388.79</v>
      </c>
      <c r="AL3447" s="446">
        <f t="shared" si="773"/>
        <v>0</v>
      </c>
      <c r="AM3447" s="110">
        <f t="shared" si="774"/>
        <v>2</v>
      </c>
      <c r="AN3447" s="447">
        <f t="shared" si="763"/>
        <v>0</v>
      </c>
      <c r="AO3447"/>
      <c r="AP3447"/>
    </row>
    <row r="3448" spans="1:42" s="108" customFormat="1" ht="66" x14ac:dyDescent="0.25">
      <c r="A3448" s="9"/>
      <c r="B3448" s="34" t="s">
        <v>752</v>
      </c>
      <c r="C3448" s="9"/>
      <c r="D3448" s="899">
        <f>59+2</f>
        <v>61</v>
      </c>
      <c r="E3448" s="256" t="s">
        <v>1721</v>
      </c>
      <c r="F3448" s="278" t="s">
        <v>3446</v>
      </c>
      <c r="G3448" s="1040" t="s">
        <v>3463</v>
      </c>
      <c r="H3448" s="273" t="s">
        <v>3462</v>
      </c>
      <c r="I3448" s="722">
        <f t="shared" si="770"/>
        <v>151.6322877377049</v>
      </c>
      <c r="J3448" s="780">
        <f>8727.509552+522.06</f>
        <v>9249.569551999999</v>
      </c>
      <c r="K3448" s="131">
        <f t="shared" si="764"/>
        <v>9249.569551999999</v>
      </c>
      <c r="L3448" s="335">
        <f t="shared" si="771"/>
        <v>0</v>
      </c>
      <c r="M3448" s="335"/>
      <c r="N3448" s="335"/>
      <c r="O3448" s="335"/>
      <c r="P3448" s="335"/>
      <c r="Q3448" s="130">
        <v>16</v>
      </c>
      <c r="R3448" s="131">
        <f t="shared" si="768"/>
        <v>2312.3923879999998</v>
      </c>
      <c r="S3448" s="130"/>
      <c r="T3448" s="130"/>
      <c r="U3448" s="130">
        <v>16</v>
      </c>
      <c r="V3448" s="131">
        <f t="shared" si="769"/>
        <v>2312.3923879999998</v>
      </c>
      <c r="W3448" s="130"/>
      <c r="X3448" s="130"/>
      <c r="Y3448" s="130"/>
      <c r="Z3448" s="130"/>
      <c r="AA3448" s="130">
        <v>15</v>
      </c>
      <c r="AB3448" s="131">
        <f t="shared" si="760"/>
        <v>2312.3923879999998</v>
      </c>
      <c r="AC3448" s="130"/>
      <c r="AD3448" s="130"/>
      <c r="AE3448" s="130">
        <v>14</v>
      </c>
      <c r="AF3448" s="131">
        <f t="shared" si="761"/>
        <v>2312.3923879999998</v>
      </c>
      <c r="AG3448" s="130"/>
      <c r="AH3448" s="130"/>
      <c r="AI3448" s="130"/>
      <c r="AJ3448" s="130"/>
      <c r="AK3448" s="131">
        <f t="shared" si="772"/>
        <v>9249.569551999999</v>
      </c>
      <c r="AL3448" s="446">
        <f t="shared" si="773"/>
        <v>0</v>
      </c>
      <c r="AM3448" s="110">
        <f t="shared" si="774"/>
        <v>61</v>
      </c>
      <c r="AN3448" s="447">
        <f t="shared" si="763"/>
        <v>0</v>
      </c>
      <c r="AO3448"/>
      <c r="AP3448"/>
    </row>
    <row r="3449" spans="1:42" s="108" customFormat="1" ht="66" x14ac:dyDescent="0.25">
      <c r="A3449" s="9"/>
      <c r="B3449" s="43" t="s">
        <v>753</v>
      </c>
      <c r="C3449" s="9"/>
      <c r="D3449" s="899">
        <f>6+4</f>
        <v>10</v>
      </c>
      <c r="E3449" s="256" t="s">
        <v>1721</v>
      </c>
      <c r="F3449" s="278" t="s">
        <v>3446</v>
      </c>
      <c r="G3449" s="1040" t="s">
        <v>3463</v>
      </c>
      <c r="H3449" s="273" t="s">
        <v>3462</v>
      </c>
      <c r="I3449" s="722">
        <f t="shared" si="770"/>
        <v>137.16</v>
      </c>
      <c r="J3449" s="780">
        <f>810+561.6</f>
        <v>1371.6</v>
      </c>
      <c r="K3449" s="131">
        <f t="shared" si="764"/>
        <v>1371.6</v>
      </c>
      <c r="L3449" s="335">
        <f t="shared" si="771"/>
        <v>0</v>
      </c>
      <c r="M3449" s="335"/>
      <c r="N3449" s="335"/>
      <c r="O3449" s="335"/>
      <c r="P3449" s="335"/>
      <c r="Q3449" s="130">
        <v>3</v>
      </c>
      <c r="R3449" s="131">
        <f t="shared" si="768"/>
        <v>342.9</v>
      </c>
      <c r="S3449" s="130"/>
      <c r="T3449" s="130"/>
      <c r="U3449" s="130">
        <v>3</v>
      </c>
      <c r="V3449" s="131">
        <f t="shared" si="769"/>
        <v>342.9</v>
      </c>
      <c r="W3449" s="130"/>
      <c r="X3449" s="130"/>
      <c r="Y3449" s="130"/>
      <c r="Z3449" s="130"/>
      <c r="AA3449" s="130">
        <v>2</v>
      </c>
      <c r="AB3449" s="131">
        <f t="shared" si="760"/>
        <v>342.9</v>
      </c>
      <c r="AC3449" s="130"/>
      <c r="AD3449" s="130"/>
      <c r="AE3449" s="130">
        <v>2</v>
      </c>
      <c r="AF3449" s="131">
        <f t="shared" si="761"/>
        <v>342.9</v>
      </c>
      <c r="AG3449" s="130"/>
      <c r="AH3449" s="130"/>
      <c r="AI3449" s="130"/>
      <c r="AJ3449" s="130"/>
      <c r="AK3449" s="131">
        <f t="shared" si="772"/>
        <v>1371.6</v>
      </c>
      <c r="AL3449" s="446">
        <f t="shared" si="773"/>
        <v>0</v>
      </c>
      <c r="AM3449" s="110">
        <f t="shared" si="774"/>
        <v>10</v>
      </c>
      <c r="AN3449" s="447">
        <f t="shared" si="763"/>
        <v>0</v>
      </c>
      <c r="AO3449"/>
      <c r="AP3449"/>
    </row>
    <row r="3450" spans="1:42" s="108" customFormat="1" ht="66" x14ac:dyDescent="0.25">
      <c r="A3450" s="9"/>
      <c r="B3450" s="34" t="s">
        <v>1346</v>
      </c>
      <c r="C3450" s="9"/>
      <c r="D3450" s="899">
        <v>12</v>
      </c>
      <c r="E3450" s="256" t="s">
        <v>1721</v>
      </c>
      <c r="F3450" s="278" t="s">
        <v>3446</v>
      </c>
      <c r="G3450" s="1040" t="s">
        <v>3463</v>
      </c>
      <c r="H3450" s="273" t="s">
        <v>3462</v>
      </c>
      <c r="I3450" s="722">
        <f t="shared" si="770"/>
        <v>1052.3516666666667</v>
      </c>
      <c r="J3450" s="780">
        <v>12628.22</v>
      </c>
      <c r="K3450" s="131">
        <f t="shared" si="764"/>
        <v>12628.220000000001</v>
      </c>
      <c r="L3450" s="335">
        <f t="shared" si="771"/>
        <v>0</v>
      </c>
      <c r="M3450" s="335"/>
      <c r="N3450" s="335"/>
      <c r="O3450" s="335"/>
      <c r="P3450" s="335"/>
      <c r="Q3450" s="130">
        <f t="shared" si="765"/>
        <v>3</v>
      </c>
      <c r="R3450" s="131">
        <f t="shared" si="768"/>
        <v>3157.0549999999998</v>
      </c>
      <c r="S3450" s="130"/>
      <c r="T3450" s="130"/>
      <c r="U3450" s="130">
        <f t="shared" si="766"/>
        <v>3</v>
      </c>
      <c r="V3450" s="131">
        <f t="shared" si="769"/>
        <v>3157.0549999999998</v>
      </c>
      <c r="W3450" s="130"/>
      <c r="X3450" s="130"/>
      <c r="Y3450" s="130"/>
      <c r="Z3450" s="130"/>
      <c r="AA3450" s="130">
        <f t="shared" si="767"/>
        <v>3</v>
      </c>
      <c r="AB3450" s="131">
        <f t="shared" si="760"/>
        <v>3157.0549999999998</v>
      </c>
      <c r="AC3450" s="130"/>
      <c r="AD3450" s="130"/>
      <c r="AE3450" s="130">
        <f t="shared" si="767"/>
        <v>3</v>
      </c>
      <c r="AF3450" s="131">
        <f t="shared" si="761"/>
        <v>3157.0549999999998</v>
      </c>
      <c r="AG3450" s="130"/>
      <c r="AH3450" s="130"/>
      <c r="AI3450" s="130"/>
      <c r="AJ3450" s="130"/>
      <c r="AK3450" s="131">
        <f t="shared" si="772"/>
        <v>12628.22</v>
      </c>
      <c r="AL3450" s="446">
        <f t="shared" si="773"/>
        <v>0</v>
      </c>
      <c r="AM3450" s="110">
        <f t="shared" si="774"/>
        <v>12</v>
      </c>
      <c r="AN3450" s="447">
        <f t="shared" si="763"/>
        <v>0</v>
      </c>
      <c r="AO3450"/>
      <c r="AP3450"/>
    </row>
    <row r="3451" spans="1:42" s="108" customFormat="1" ht="66" x14ac:dyDescent="0.25">
      <c r="A3451" s="9"/>
      <c r="B3451" s="59" t="s">
        <v>1347</v>
      </c>
      <c r="C3451" s="9"/>
      <c r="D3451" s="899">
        <v>5</v>
      </c>
      <c r="E3451" s="256" t="s">
        <v>1721</v>
      </c>
      <c r="F3451" s="278" t="s">
        <v>3446</v>
      </c>
      <c r="G3451" s="1040" t="s">
        <v>3463</v>
      </c>
      <c r="H3451" s="273" t="s">
        <v>3462</v>
      </c>
      <c r="I3451" s="722">
        <f t="shared" si="770"/>
        <v>956.86527744000011</v>
      </c>
      <c r="J3451" s="780">
        <v>4784.3263872000007</v>
      </c>
      <c r="K3451" s="131">
        <f t="shared" si="764"/>
        <v>4784.3263872000007</v>
      </c>
      <c r="L3451" s="335">
        <f t="shared" si="771"/>
        <v>0</v>
      </c>
      <c r="M3451" s="335"/>
      <c r="N3451" s="335"/>
      <c r="O3451" s="335"/>
      <c r="P3451" s="335"/>
      <c r="Q3451" s="130">
        <v>2</v>
      </c>
      <c r="R3451" s="131">
        <f t="shared" si="768"/>
        <v>1196.0815968000002</v>
      </c>
      <c r="S3451" s="130"/>
      <c r="T3451" s="130"/>
      <c r="U3451" s="130">
        <v>1</v>
      </c>
      <c r="V3451" s="131">
        <f t="shared" si="769"/>
        <v>1196.0815968000002</v>
      </c>
      <c r="W3451" s="130"/>
      <c r="X3451" s="130"/>
      <c r="Y3451" s="130"/>
      <c r="Z3451" s="130"/>
      <c r="AA3451" s="130">
        <v>1</v>
      </c>
      <c r="AB3451" s="131">
        <f t="shared" si="760"/>
        <v>1196.0815968000002</v>
      </c>
      <c r="AC3451" s="130"/>
      <c r="AD3451" s="130"/>
      <c r="AE3451" s="130">
        <v>1</v>
      </c>
      <c r="AF3451" s="131">
        <f t="shared" si="761"/>
        <v>1196.0815968000002</v>
      </c>
      <c r="AG3451" s="130"/>
      <c r="AH3451" s="130"/>
      <c r="AI3451" s="130"/>
      <c r="AJ3451" s="130"/>
      <c r="AK3451" s="131">
        <f t="shared" si="772"/>
        <v>4784.3263872000007</v>
      </c>
      <c r="AL3451" s="446">
        <f t="shared" si="773"/>
        <v>0</v>
      </c>
      <c r="AM3451" s="110">
        <f t="shared" si="774"/>
        <v>5</v>
      </c>
      <c r="AN3451" s="447">
        <f t="shared" si="763"/>
        <v>0</v>
      </c>
      <c r="AO3451"/>
      <c r="AP3451"/>
    </row>
    <row r="3452" spans="1:42" s="108" customFormat="1" ht="66" x14ac:dyDescent="0.25">
      <c r="A3452" s="9"/>
      <c r="B3452" s="34" t="s">
        <v>1348</v>
      </c>
      <c r="C3452" s="9"/>
      <c r="D3452" s="899">
        <v>2</v>
      </c>
      <c r="E3452" s="256" t="s">
        <v>1721</v>
      </c>
      <c r="F3452" s="278" t="s">
        <v>3446</v>
      </c>
      <c r="G3452" s="1040" t="s">
        <v>3463</v>
      </c>
      <c r="H3452" s="273" t="s">
        <v>3462</v>
      </c>
      <c r="I3452" s="722">
        <f t="shared" si="770"/>
        <v>182.52</v>
      </c>
      <c r="J3452" s="780">
        <v>365.04</v>
      </c>
      <c r="K3452" s="131">
        <f t="shared" si="764"/>
        <v>365.04</v>
      </c>
      <c r="L3452" s="335">
        <f t="shared" si="771"/>
        <v>0</v>
      </c>
      <c r="M3452" s="335"/>
      <c r="N3452" s="335"/>
      <c r="O3452" s="335"/>
      <c r="P3452" s="335"/>
      <c r="Q3452" s="130">
        <v>1</v>
      </c>
      <c r="R3452" s="131">
        <f t="shared" si="768"/>
        <v>91.26</v>
      </c>
      <c r="S3452" s="130"/>
      <c r="T3452" s="130"/>
      <c r="U3452" s="130">
        <v>1</v>
      </c>
      <c r="V3452" s="131">
        <f t="shared" si="769"/>
        <v>91.26</v>
      </c>
      <c r="W3452" s="130"/>
      <c r="X3452" s="130"/>
      <c r="Y3452" s="130"/>
      <c r="Z3452" s="130"/>
      <c r="AA3452" s="130">
        <v>0</v>
      </c>
      <c r="AB3452" s="131">
        <f t="shared" si="760"/>
        <v>91.26</v>
      </c>
      <c r="AC3452" s="130"/>
      <c r="AD3452" s="130"/>
      <c r="AE3452" s="130">
        <v>0</v>
      </c>
      <c r="AF3452" s="131">
        <f t="shared" si="761"/>
        <v>91.26</v>
      </c>
      <c r="AG3452" s="130"/>
      <c r="AH3452" s="130"/>
      <c r="AI3452" s="130"/>
      <c r="AJ3452" s="130"/>
      <c r="AK3452" s="131">
        <f t="shared" si="772"/>
        <v>365.04</v>
      </c>
      <c r="AL3452" s="446">
        <f t="shared" si="773"/>
        <v>0</v>
      </c>
      <c r="AM3452" s="110">
        <f t="shared" si="774"/>
        <v>2</v>
      </c>
      <c r="AN3452" s="447">
        <f t="shared" si="763"/>
        <v>0</v>
      </c>
      <c r="AO3452"/>
      <c r="AP3452"/>
    </row>
    <row r="3453" spans="1:42" s="108" customFormat="1" ht="66" x14ac:dyDescent="0.25">
      <c r="A3453" s="9"/>
      <c r="B3453" s="34" t="s">
        <v>755</v>
      </c>
      <c r="C3453" s="9"/>
      <c r="D3453" s="899">
        <f>3+1</f>
        <v>4</v>
      </c>
      <c r="E3453" s="256" t="s">
        <v>1721</v>
      </c>
      <c r="F3453" s="278" t="s">
        <v>3446</v>
      </c>
      <c r="G3453" s="1040" t="s">
        <v>3463</v>
      </c>
      <c r="H3453" s="273" t="s">
        <v>3462</v>
      </c>
      <c r="I3453" s="722">
        <f t="shared" si="770"/>
        <v>2352.5825</v>
      </c>
      <c r="J3453" s="780">
        <f>7309.74+2100.59</f>
        <v>9410.33</v>
      </c>
      <c r="K3453" s="131">
        <f t="shared" si="764"/>
        <v>9410.33</v>
      </c>
      <c r="L3453" s="335">
        <f t="shared" si="771"/>
        <v>0</v>
      </c>
      <c r="M3453" s="335"/>
      <c r="N3453" s="335"/>
      <c r="O3453" s="335"/>
      <c r="P3453" s="335"/>
      <c r="Q3453" s="130">
        <f t="shared" si="765"/>
        <v>1</v>
      </c>
      <c r="R3453" s="131">
        <f t="shared" si="768"/>
        <v>2352.5825</v>
      </c>
      <c r="S3453" s="130"/>
      <c r="T3453" s="130"/>
      <c r="U3453" s="130">
        <f t="shared" si="766"/>
        <v>1</v>
      </c>
      <c r="V3453" s="131">
        <f t="shared" si="769"/>
        <v>2352.5825</v>
      </c>
      <c r="W3453" s="130"/>
      <c r="X3453" s="130"/>
      <c r="Y3453" s="130"/>
      <c r="Z3453" s="130"/>
      <c r="AA3453" s="130">
        <f t="shared" si="767"/>
        <v>1</v>
      </c>
      <c r="AB3453" s="131">
        <f t="shared" si="760"/>
        <v>2352.5825</v>
      </c>
      <c r="AC3453" s="130"/>
      <c r="AD3453" s="130"/>
      <c r="AE3453" s="130">
        <f t="shared" si="767"/>
        <v>1</v>
      </c>
      <c r="AF3453" s="131">
        <f t="shared" si="761"/>
        <v>2352.5825</v>
      </c>
      <c r="AG3453" s="130"/>
      <c r="AH3453" s="130"/>
      <c r="AI3453" s="130"/>
      <c r="AJ3453" s="130"/>
      <c r="AK3453" s="131">
        <f t="shared" si="772"/>
        <v>9410.33</v>
      </c>
      <c r="AL3453" s="446">
        <f t="shared" si="773"/>
        <v>0</v>
      </c>
      <c r="AM3453" s="110">
        <f t="shared" si="774"/>
        <v>4</v>
      </c>
      <c r="AN3453" s="447">
        <f t="shared" si="763"/>
        <v>0</v>
      </c>
      <c r="AO3453"/>
      <c r="AP3453"/>
    </row>
    <row r="3454" spans="1:42" s="108" customFormat="1" ht="66" x14ac:dyDescent="0.25">
      <c r="A3454" s="9"/>
      <c r="B3454" s="41" t="s">
        <v>756</v>
      </c>
      <c r="C3454" s="9"/>
      <c r="D3454" s="899">
        <v>2</v>
      </c>
      <c r="E3454" s="256" t="s">
        <v>1721</v>
      </c>
      <c r="F3454" s="278" t="s">
        <v>3446</v>
      </c>
      <c r="G3454" s="1040" t="s">
        <v>3463</v>
      </c>
      <c r="H3454" s="273" t="s">
        <v>3462</v>
      </c>
      <c r="I3454" s="722">
        <f t="shared" si="770"/>
        <v>410.40755200000001</v>
      </c>
      <c r="J3454" s="780">
        <v>820.81510400000002</v>
      </c>
      <c r="K3454" s="131">
        <f t="shared" si="764"/>
        <v>820.81510400000002</v>
      </c>
      <c r="L3454" s="335">
        <f t="shared" si="771"/>
        <v>0</v>
      </c>
      <c r="M3454" s="335"/>
      <c r="N3454" s="335"/>
      <c r="O3454" s="335"/>
      <c r="P3454" s="335"/>
      <c r="Q3454" s="130">
        <v>1</v>
      </c>
      <c r="R3454" s="131">
        <f t="shared" si="768"/>
        <v>205.203776</v>
      </c>
      <c r="S3454" s="130"/>
      <c r="T3454" s="130"/>
      <c r="U3454" s="130">
        <v>1</v>
      </c>
      <c r="V3454" s="131">
        <f t="shared" si="769"/>
        <v>205.203776</v>
      </c>
      <c r="W3454" s="130"/>
      <c r="X3454" s="130"/>
      <c r="Y3454" s="130"/>
      <c r="Z3454" s="130"/>
      <c r="AA3454" s="130">
        <v>0</v>
      </c>
      <c r="AB3454" s="131">
        <f t="shared" si="760"/>
        <v>205.203776</v>
      </c>
      <c r="AC3454" s="130"/>
      <c r="AD3454" s="130"/>
      <c r="AE3454" s="130">
        <v>0</v>
      </c>
      <c r="AF3454" s="131">
        <f t="shared" si="761"/>
        <v>205.203776</v>
      </c>
      <c r="AG3454" s="130"/>
      <c r="AH3454" s="130"/>
      <c r="AI3454" s="130"/>
      <c r="AJ3454" s="130"/>
      <c r="AK3454" s="131">
        <f t="shared" si="772"/>
        <v>820.81510400000002</v>
      </c>
      <c r="AL3454" s="446">
        <f t="shared" si="773"/>
        <v>0</v>
      </c>
      <c r="AM3454" s="110">
        <f t="shared" si="774"/>
        <v>2</v>
      </c>
      <c r="AN3454" s="447">
        <f t="shared" si="763"/>
        <v>0</v>
      </c>
      <c r="AO3454"/>
      <c r="AP3454"/>
    </row>
    <row r="3455" spans="1:42" s="108" customFormat="1" ht="66" x14ac:dyDescent="0.25">
      <c r="A3455" s="9"/>
      <c r="B3455" s="43" t="s">
        <v>757</v>
      </c>
      <c r="C3455" s="9"/>
      <c r="D3455" s="899">
        <v>10</v>
      </c>
      <c r="E3455" s="254" t="s">
        <v>1721</v>
      </c>
      <c r="F3455" s="278" t="s">
        <v>3446</v>
      </c>
      <c r="G3455" s="1040" t="s">
        <v>3463</v>
      </c>
      <c r="H3455" s="273" t="s">
        <v>3462</v>
      </c>
      <c r="I3455" s="722">
        <f t="shared" si="770"/>
        <v>208.16</v>
      </c>
      <c r="J3455" s="780">
        <v>2081.6</v>
      </c>
      <c r="K3455" s="131">
        <f t="shared" si="764"/>
        <v>2081.6</v>
      </c>
      <c r="L3455" s="335">
        <f t="shared" si="771"/>
        <v>0</v>
      </c>
      <c r="M3455" s="335"/>
      <c r="N3455" s="335"/>
      <c r="O3455" s="335"/>
      <c r="P3455" s="335"/>
      <c r="Q3455" s="130">
        <v>3</v>
      </c>
      <c r="R3455" s="131">
        <f t="shared" si="768"/>
        <v>520.4</v>
      </c>
      <c r="S3455" s="130"/>
      <c r="T3455" s="130"/>
      <c r="U3455" s="130">
        <v>3</v>
      </c>
      <c r="V3455" s="131">
        <f t="shared" si="769"/>
        <v>520.4</v>
      </c>
      <c r="W3455" s="130"/>
      <c r="X3455" s="130"/>
      <c r="Y3455" s="130"/>
      <c r="Z3455" s="130"/>
      <c r="AA3455" s="130">
        <v>2</v>
      </c>
      <c r="AB3455" s="131">
        <f t="shared" si="760"/>
        <v>520.4</v>
      </c>
      <c r="AC3455" s="130"/>
      <c r="AD3455" s="130"/>
      <c r="AE3455" s="130">
        <v>2</v>
      </c>
      <c r="AF3455" s="131">
        <f t="shared" si="761"/>
        <v>520.4</v>
      </c>
      <c r="AG3455" s="130"/>
      <c r="AH3455" s="130"/>
      <c r="AI3455" s="130"/>
      <c r="AJ3455" s="130"/>
      <c r="AK3455" s="131">
        <f t="shared" si="772"/>
        <v>2081.6</v>
      </c>
      <c r="AL3455" s="446">
        <f t="shared" si="773"/>
        <v>0</v>
      </c>
      <c r="AM3455" s="110">
        <f t="shared" si="774"/>
        <v>10</v>
      </c>
      <c r="AN3455" s="447">
        <f t="shared" si="763"/>
        <v>0</v>
      </c>
      <c r="AO3455"/>
      <c r="AP3455"/>
    </row>
    <row r="3456" spans="1:42" s="108" customFormat="1" ht="66" x14ac:dyDescent="0.25">
      <c r="A3456" s="9"/>
      <c r="B3456" s="43" t="s">
        <v>758</v>
      </c>
      <c r="C3456" s="9"/>
      <c r="D3456" s="899">
        <v>2</v>
      </c>
      <c r="E3456" s="254" t="s">
        <v>1721</v>
      </c>
      <c r="F3456" s="278" t="s">
        <v>3446</v>
      </c>
      <c r="G3456" s="1040" t="s">
        <v>3463</v>
      </c>
      <c r="H3456" s="273" t="s">
        <v>3462</v>
      </c>
      <c r="I3456" s="722">
        <f t="shared" si="770"/>
        <v>2268</v>
      </c>
      <c r="J3456" s="780">
        <v>4536</v>
      </c>
      <c r="K3456" s="131">
        <f t="shared" si="764"/>
        <v>4536</v>
      </c>
      <c r="L3456" s="335">
        <f t="shared" si="771"/>
        <v>0</v>
      </c>
      <c r="M3456" s="335"/>
      <c r="N3456" s="335"/>
      <c r="O3456" s="335"/>
      <c r="P3456" s="335"/>
      <c r="Q3456" s="130">
        <v>1</v>
      </c>
      <c r="R3456" s="131">
        <f t="shared" si="768"/>
        <v>1134</v>
      </c>
      <c r="S3456" s="130"/>
      <c r="T3456" s="130"/>
      <c r="U3456" s="130">
        <v>1</v>
      </c>
      <c r="V3456" s="131">
        <f t="shared" si="769"/>
        <v>1134</v>
      </c>
      <c r="W3456" s="130"/>
      <c r="X3456" s="130"/>
      <c r="Y3456" s="130"/>
      <c r="Z3456" s="130"/>
      <c r="AA3456" s="130">
        <v>0</v>
      </c>
      <c r="AB3456" s="131">
        <f t="shared" si="760"/>
        <v>1134</v>
      </c>
      <c r="AC3456" s="130"/>
      <c r="AD3456" s="130"/>
      <c r="AE3456" s="130">
        <v>0</v>
      </c>
      <c r="AF3456" s="131">
        <f t="shared" si="761"/>
        <v>1134</v>
      </c>
      <c r="AG3456" s="130"/>
      <c r="AH3456" s="130"/>
      <c r="AI3456" s="130"/>
      <c r="AJ3456" s="130"/>
      <c r="AK3456" s="131">
        <f t="shared" si="772"/>
        <v>4536</v>
      </c>
      <c r="AL3456" s="446">
        <f t="shared" si="773"/>
        <v>0</v>
      </c>
      <c r="AM3456" s="110">
        <f t="shared" si="774"/>
        <v>2</v>
      </c>
      <c r="AN3456" s="447">
        <f t="shared" si="763"/>
        <v>0</v>
      </c>
      <c r="AO3456"/>
      <c r="AP3456"/>
    </row>
    <row r="3457" spans="1:42" s="108" customFormat="1" ht="66" x14ac:dyDescent="0.25">
      <c r="A3457" s="9"/>
      <c r="B3457" s="59" t="s">
        <v>1492</v>
      </c>
      <c r="C3457" s="9"/>
      <c r="D3457" s="899">
        <v>3</v>
      </c>
      <c r="E3457" s="254" t="s">
        <v>1721</v>
      </c>
      <c r="F3457" s="278" t="s">
        <v>3446</v>
      </c>
      <c r="G3457" s="1040" t="s">
        <v>3463</v>
      </c>
      <c r="H3457" s="273" t="s">
        <v>3462</v>
      </c>
      <c r="I3457" s="722">
        <f t="shared" si="770"/>
        <v>113</v>
      </c>
      <c r="J3457" s="780">
        <v>339</v>
      </c>
      <c r="K3457" s="131">
        <f t="shared" si="764"/>
        <v>339</v>
      </c>
      <c r="L3457" s="335">
        <f t="shared" si="771"/>
        <v>0</v>
      </c>
      <c r="M3457" s="335"/>
      <c r="N3457" s="335"/>
      <c r="O3457" s="335"/>
      <c r="P3457" s="335"/>
      <c r="Q3457" s="130">
        <v>1</v>
      </c>
      <c r="R3457" s="131">
        <f t="shared" si="768"/>
        <v>84.75</v>
      </c>
      <c r="S3457" s="130"/>
      <c r="T3457" s="130"/>
      <c r="U3457" s="130">
        <v>1</v>
      </c>
      <c r="V3457" s="131">
        <f t="shared" si="769"/>
        <v>84.75</v>
      </c>
      <c r="W3457" s="130"/>
      <c r="X3457" s="130"/>
      <c r="Y3457" s="130"/>
      <c r="Z3457" s="130"/>
      <c r="AA3457" s="130">
        <v>1</v>
      </c>
      <c r="AB3457" s="131">
        <f t="shared" si="760"/>
        <v>84.75</v>
      </c>
      <c r="AC3457" s="130"/>
      <c r="AD3457" s="130"/>
      <c r="AE3457" s="130">
        <v>0</v>
      </c>
      <c r="AF3457" s="131">
        <f t="shared" si="761"/>
        <v>84.75</v>
      </c>
      <c r="AG3457" s="130"/>
      <c r="AH3457" s="130"/>
      <c r="AI3457" s="130"/>
      <c r="AJ3457" s="130"/>
      <c r="AK3457" s="131">
        <f t="shared" si="772"/>
        <v>339</v>
      </c>
      <c r="AL3457" s="446">
        <f t="shared" si="773"/>
        <v>0</v>
      </c>
      <c r="AM3457" s="110">
        <f t="shared" si="774"/>
        <v>3</v>
      </c>
      <c r="AN3457" s="447">
        <f t="shared" si="763"/>
        <v>0</v>
      </c>
      <c r="AO3457"/>
      <c r="AP3457"/>
    </row>
    <row r="3458" spans="1:42" s="108" customFormat="1" ht="66" x14ac:dyDescent="0.25">
      <c r="A3458" s="9"/>
      <c r="B3458" s="59" t="s">
        <v>1493</v>
      </c>
      <c r="C3458" s="9"/>
      <c r="D3458" s="899">
        <v>5</v>
      </c>
      <c r="E3458" s="254" t="s">
        <v>1721</v>
      </c>
      <c r="F3458" s="278" t="s">
        <v>3446</v>
      </c>
      <c r="G3458" s="1040" t="s">
        <v>3463</v>
      </c>
      <c r="H3458" s="273" t="s">
        <v>3462</v>
      </c>
      <c r="I3458" s="722">
        <f t="shared" si="770"/>
        <v>421.20760000000007</v>
      </c>
      <c r="J3458" s="780">
        <v>2106.0380000000005</v>
      </c>
      <c r="K3458" s="131">
        <f t="shared" si="764"/>
        <v>2106.0380000000005</v>
      </c>
      <c r="L3458" s="335">
        <f t="shared" si="771"/>
        <v>0</v>
      </c>
      <c r="M3458" s="335"/>
      <c r="N3458" s="335"/>
      <c r="O3458" s="335"/>
      <c r="P3458" s="335"/>
      <c r="Q3458" s="130">
        <v>2</v>
      </c>
      <c r="R3458" s="131">
        <f t="shared" si="768"/>
        <v>526.50950000000012</v>
      </c>
      <c r="S3458" s="130"/>
      <c r="T3458" s="130"/>
      <c r="U3458" s="130">
        <v>1</v>
      </c>
      <c r="V3458" s="131">
        <f t="shared" si="769"/>
        <v>526.50950000000012</v>
      </c>
      <c r="W3458" s="130"/>
      <c r="X3458" s="130"/>
      <c r="Y3458" s="130"/>
      <c r="Z3458" s="130"/>
      <c r="AA3458" s="130">
        <v>1</v>
      </c>
      <c r="AB3458" s="131">
        <f t="shared" si="760"/>
        <v>526.50950000000012</v>
      </c>
      <c r="AC3458" s="130"/>
      <c r="AD3458" s="130"/>
      <c r="AE3458" s="130">
        <v>1</v>
      </c>
      <c r="AF3458" s="131">
        <f t="shared" si="761"/>
        <v>526.50950000000012</v>
      </c>
      <c r="AG3458" s="130"/>
      <c r="AH3458" s="130"/>
      <c r="AI3458" s="130"/>
      <c r="AJ3458" s="130"/>
      <c r="AK3458" s="131">
        <f t="shared" si="772"/>
        <v>2106.0380000000005</v>
      </c>
      <c r="AL3458" s="446">
        <f t="shared" si="773"/>
        <v>0</v>
      </c>
      <c r="AM3458" s="110">
        <f t="shared" si="774"/>
        <v>5</v>
      </c>
      <c r="AN3458" s="447">
        <f t="shared" si="763"/>
        <v>0</v>
      </c>
      <c r="AO3458"/>
      <c r="AP3458"/>
    </row>
    <row r="3459" spans="1:42" s="108" customFormat="1" ht="66" x14ac:dyDescent="0.25">
      <c r="A3459" s="9"/>
      <c r="B3459" s="34" t="s">
        <v>752</v>
      </c>
      <c r="C3459" s="9"/>
      <c r="D3459" s="899">
        <f>8+5</f>
        <v>13</v>
      </c>
      <c r="E3459" s="254" t="s">
        <v>1721</v>
      </c>
      <c r="F3459" s="278" t="s">
        <v>3446</v>
      </c>
      <c r="G3459" s="1040" t="s">
        <v>3463</v>
      </c>
      <c r="H3459" s="273" t="s">
        <v>3462</v>
      </c>
      <c r="I3459" s="722">
        <f t="shared" si="770"/>
        <v>97.828676923076927</v>
      </c>
      <c r="J3459" s="780">
        <f>751.7728+520</f>
        <v>1271.7728</v>
      </c>
      <c r="K3459" s="131">
        <f t="shared" si="764"/>
        <v>1271.7728</v>
      </c>
      <c r="L3459" s="335">
        <f t="shared" si="771"/>
        <v>0</v>
      </c>
      <c r="M3459" s="335"/>
      <c r="N3459" s="335"/>
      <c r="O3459" s="335"/>
      <c r="P3459" s="335"/>
      <c r="Q3459" s="130">
        <v>4</v>
      </c>
      <c r="R3459" s="131">
        <f t="shared" si="768"/>
        <v>317.94319999999999</v>
      </c>
      <c r="S3459" s="130"/>
      <c r="T3459" s="130"/>
      <c r="U3459" s="130">
        <v>3</v>
      </c>
      <c r="V3459" s="131">
        <f t="shared" si="769"/>
        <v>317.94319999999999</v>
      </c>
      <c r="W3459" s="130"/>
      <c r="X3459" s="130"/>
      <c r="Y3459" s="130"/>
      <c r="Z3459" s="130"/>
      <c r="AA3459" s="130">
        <v>3</v>
      </c>
      <c r="AB3459" s="131">
        <f t="shared" si="760"/>
        <v>317.94319999999999</v>
      </c>
      <c r="AC3459" s="130"/>
      <c r="AD3459" s="130"/>
      <c r="AE3459" s="130">
        <v>3</v>
      </c>
      <c r="AF3459" s="131">
        <f t="shared" si="761"/>
        <v>317.94319999999999</v>
      </c>
      <c r="AG3459" s="130"/>
      <c r="AH3459" s="130"/>
      <c r="AI3459" s="130"/>
      <c r="AJ3459" s="130"/>
      <c r="AK3459" s="131">
        <f t="shared" si="772"/>
        <v>1271.7728</v>
      </c>
      <c r="AL3459" s="446">
        <f t="shared" si="773"/>
        <v>0</v>
      </c>
      <c r="AM3459" s="110">
        <f t="shared" si="774"/>
        <v>13</v>
      </c>
      <c r="AN3459" s="447">
        <f t="shared" si="763"/>
        <v>0</v>
      </c>
      <c r="AO3459"/>
      <c r="AP3459"/>
    </row>
    <row r="3460" spans="1:42" s="108" customFormat="1" ht="66" x14ac:dyDescent="0.25">
      <c r="A3460" s="9"/>
      <c r="B3460" s="43" t="s">
        <v>753</v>
      </c>
      <c r="C3460" s="9"/>
      <c r="D3460" s="899">
        <f>26+3</f>
        <v>29</v>
      </c>
      <c r="E3460" s="254" t="s">
        <v>1721</v>
      </c>
      <c r="F3460" s="278" t="s">
        <v>3446</v>
      </c>
      <c r="G3460" s="1040" t="s">
        <v>3463</v>
      </c>
      <c r="H3460" s="273" t="s">
        <v>3462</v>
      </c>
      <c r="I3460" s="722">
        <f t="shared" si="770"/>
        <v>177.06095613793102</v>
      </c>
      <c r="J3460" s="780">
        <f>4190.017728+944.75</f>
        <v>5134.7677279999998</v>
      </c>
      <c r="K3460" s="131">
        <f t="shared" si="764"/>
        <v>5134.7677279999998</v>
      </c>
      <c r="L3460" s="335">
        <f t="shared" si="771"/>
        <v>0</v>
      </c>
      <c r="M3460" s="335"/>
      <c r="N3460" s="335"/>
      <c r="O3460" s="335"/>
      <c r="P3460" s="335"/>
      <c r="Q3460" s="130">
        <v>8</v>
      </c>
      <c r="R3460" s="131">
        <f t="shared" si="768"/>
        <v>1283.691932</v>
      </c>
      <c r="S3460" s="130"/>
      <c r="T3460" s="130"/>
      <c r="U3460" s="130">
        <v>7</v>
      </c>
      <c r="V3460" s="131">
        <f t="shared" si="769"/>
        <v>1283.691932</v>
      </c>
      <c r="W3460" s="130"/>
      <c r="X3460" s="130"/>
      <c r="Y3460" s="130"/>
      <c r="Z3460" s="130"/>
      <c r="AA3460" s="130">
        <v>7</v>
      </c>
      <c r="AB3460" s="131">
        <f t="shared" si="760"/>
        <v>1283.691932</v>
      </c>
      <c r="AC3460" s="130"/>
      <c r="AD3460" s="130"/>
      <c r="AE3460" s="130">
        <v>7</v>
      </c>
      <c r="AF3460" s="131">
        <f t="shared" si="761"/>
        <v>1283.691932</v>
      </c>
      <c r="AG3460" s="130"/>
      <c r="AH3460" s="130"/>
      <c r="AI3460" s="130"/>
      <c r="AJ3460" s="130"/>
      <c r="AK3460" s="131">
        <f t="shared" si="772"/>
        <v>5134.7677279999998</v>
      </c>
      <c r="AL3460" s="446">
        <f t="shared" si="773"/>
        <v>0</v>
      </c>
      <c r="AM3460" s="110">
        <f t="shared" si="774"/>
        <v>29</v>
      </c>
      <c r="AN3460" s="447">
        <f t="shared" si="763"/>
        <v>0</v>
      </c>
      <c r="AO3460"/>
      <c r="AP3460"/>
    </row>
    <row r="3461" spans="1:42" s="108" customFormat="1" ht="66" x14ac:dyDescent="0.25">
      <c r="A3461" s="9"/>
      <c r="B3461" s="34" t="s">
        <v>1494</v>
      </c>
      <c r="C3461" s="9"/>
      <c r="D3461" s="899">
        <v>2</v>
      </c>
      <c r="E3461" s="254" t="s">
        <v>1721</v>
      </c>
      <c r="F3461" s="278" t="s">
        <v>3446</v>
      </c>
      <c r="G3461" s="1040" t="s">
        <v>3463</v>
      </c>
      <c r="H3461" s="273" t="s">
        <v>3462</v>
      </c>
      <c r="I3461" s="722">
        <f t="shared" si="770"/>
        <v>332</v>
      </c>
      <c r="J3461" s="780">
        <v>664</v>
      </c>
      <c r="K3461" s="131">
        <f t="shared" si="764"/>
        <v>664</v>
      </c>
      <c r="L3461" s="335">
        <f t="shared" si="771"/>
        <v>0</v>
      </c>
      <c r="M3461" s="335"/>
      <c r="N3461" s="335"/>
      <c r="O3461" s="335"/>
      <c r="P3461" s="335"/>
      <c r="Q3461" s="130">
        <v>1</v>
      </c>
      <c r="R3461" s="131">
        <f t="shared" si="768"/>
        <v>166</v>
      </c>
      <c r="S3461" s="130"/>
      <c r="T3461" s="130"/>
      <c r="U3461" s="130">
        <v>1</v>
      </c>
      <c r="V3461" s="131">
        <f t="shared" si="769"/>
        <v>166</v>
      </c>
      <c r="W3461" s="130"/>
      <c r="X3461" s="130"/>
      <c r="Y3461" s="130"/>
      <c r="Z3461" s="130"/>
      <c r="AA3461" s="130">
        <v>0</v>
      </c>
      <c r="AB3461" s="131">
        <f t="shared" si="760"/>
        <v>166</v>
      </c>
      <c r="AC3461" s="130"/>
      <c r="AD3461" s="130"/>
      <c r="AE3461" s="130">
        <v>0</v>
      </c>
      <c r="AF3461" s="131">
        <f t="shared" si="761"/>
        <v>166</v>
      </c>
      <c r="AG3461" s="130"/>
      <c r="AH3461" s="130"/>
      <c r="AI3461" s="130"/>
      <c r="AJ3461" s="130"/>
      <c r="AK3461" s="131">
        <f t="shared" si="772"/>
        <v>664</v>
      </c>
      <c r="AL3461" s="446">
        <f t="shared" si="773"/>
        <v>0</v>
      </c>
      <c r="AM3461" s="110">
        <f t="shared" si="774"/>
        <v>2</v>
      </c>
      <c r="AN3461" s="447">
        <f t="shared" si="763"/>
        <v>0</v>
      </c>
      <c r="AO3461"/>
      <c r="AP3461"/>
    </row>
    <row r="3462" spans="1:42" s="108" customFormat="1" ht="66" x14ac:dyDescent="0.25">
      <c r="A3462" s="9"/>
      <c r="B3462" s="59" t="s">
        <v>1347</v>
      </c>
      <c r="C3462" s="9"/>
      <c r="D3462" s="899">
        <v>6</v>
      </c>
      <c r="E3462" s="254" t="s">
        <v>1721</v>
      </c>
      <c r="F3462" s="278" t="s">
        <v>3446</v>
      </c>
      <c r="G3462" s="1040" t="s">
        <v>3463</v>
      </c>
      <c r="H3462" s="273" t="s">
        <v>3462</v>
      </c>
      <c r="I3462" s="722">
        <f t="shared" si="770"/>
        <v>161.99492799999999</v>
      </c>
      <c r="J3462" s="780">
        <v>971.96956799999998</v>
      </c>
      <c r="K3462" s="131">
        <f t="shared" si="764"/>
        <v>971.96956799999998</v>
      </c>
      <c r="L3462" s="335">
        <f t="shared" si="771"/>
        <v>0</v>
      </c>
      <c r="M3462" s="335"/>
      <c r="N3462" s="335"/>
      <c r="O3462" s="335"/>
      <c r="P3462" s="335"/>
      <c r="Q3462" s="130">
        <v>2</v>
      </c>
      <c r="R3462" s="131">
        <f t="shared" si="768"/>
        <v>242.992392</v>
      </c>
      <c r="S3462" s="130"/>
      <c r="T3462" s="130"/>
      <c r="U3462" s="130">
        <v>2</v>
      </c>
      <c r="V3462" s="131">
        <f t="shared" si="769"/>
        <v>242.992392</v>
      </c>
      <c r="W3462" s="130"/>
      <c r="X3462" s="130"/>
      <c r="Y3462" s="130"/>
      <c r="Z3462" s="130"/>
      <c r="AA3462" s="130">
        <v>1</v>
      </c>
      <c r="AB3462" s="131">
        <f t="shared" si="760"/>
        <v>242.992392</v>
      </c>
      <c r="AC3462" s="130"/>
      <c r="AD3462" s="130"/>
      <c r="AE3462" s="130">
        <v>1</v>
      </c>
      <c r="AF3462" s="131">
        <f t="shared" si="761"/>
        <v>242.992392</v>
      </c>
      <c r="AG3462" s="130"/>
      <c r="AH3462" s="130"/>
      <c r="AI3462" s="130"/>
      <c r="AJ3462" s="130"/>
      <c r="AK3462" s="131">
        <f t="shared" si="772"/>
        <v>971.96956799999998</v>
      </c>
      <c r="AL3462" s="446">
        <f t="shared" si="773"/>
        <v>0</v>
      </c>
      <c r="AM3462" s="110">
        <f t="shared" si="774"/>
        <v>6</v>
      </c>
      <c r="AN3462" s="447">
        <f t="shared" si="763"/>
        <v>0</v>
      </c>
      <c r="AO3462"/>
      <c r="AP3462"/>
    </row>
    <row r="3463" spans="1:42" s="108" customFormat="1" ht="66" x14ac:dyDescent="0.25">
      <c r="A3463" s="9"/>
      <c r="B3463" s="34" t="s">
        <v>1348</v>
      </c>
      <c r="C3463" s="9"/>
      <c r="D3463" s="899">
        <v>1</v>
      </c>
      <c r="E3463" s="254" t="s">
        <v>1721</v>
      </c>
      <c r="F3463" s="278" t="s">
        <v>3446</v>
      </c>
      <c r="G3463" s="1040" t="s">
        <v>3463</v>
      </c>
      <c r="H3463" s="273" t="s">
        <v>3462</v>
      </c>
      <c r="I3463" s="722">
        <f t="shared" si="770"/>
        <v>558</v>
      </c>
      <c r="J3463" s="780">
        <v>558</v>
      </c>
      <c r="K3463" s="131">
        <f t="shared" si="764"/>
        <v>558</v>
      </c>
      <c r="L3463" s="335">
        <f t="shared" si="771"/>
        <v>0</v>
      </c>
      <c r="M3463" s="335"/>
      <c r="N3463" s="335"/>
      <c r="O3463" s="335"/>
      <c r="P3463" s="335"/>
      <c r="Q3463" s="130">
        <v>1</v>
      </c>
      <c r="R3463" s="131">
        <f t="shared" si="768"/>
        <v>139.5</v>
      </c>
      <c r="S3463" s="130"/>
      <c r="T3463" s="130"/>
      <c r="U3463" s="130">
        <v>0</v>
      </c>
      <c r="V3463" s="131">
        <f t="shared" si="769"/>
        <v>139.5</v>
      </c>
      <c r="W3463" s="130"/>
      <c r="X3463" s="130"/>
      <c r="Y3463" s="130"/>
      <c r="Z3463" s="130"/>
      <c r="AA3463" s="130">
        <v>0</v>
      </c>
      <c r="AB3463" s="131">
        <f t="shared" ref="AB3463:AB3526" si="775">+J3463/4</f>
        <v>139.5</v>
      </c>
      <c r="AC3463" s="130"/>
      <c r="AD3463" s="130"/>
      <c r="AE3463" s="130">
        <v>0</v>
      </c>
      <c r="AF3463" s="131">
        <f t="shared" ref="AF3463:AF3526" si="776">+J3463/4</f>
        <v>139.5</v>
      </c>
      <c r="AG3463" s="130"/>
      <c r="AH3463" s="130"/>
      <c r="AI3463" s="130"/>
      <c r="AJ3463" s="130"/>
      <c r="AK3463" s="131">
        <f t="shared" si="772"/>
        <v>558</v>
      </c>
      <c r="AL3463" s="446">
        <f t="shared" si="773"/>
        <v>0</v>
      </c>
      <c r="AM3463" s="110">
        <f t="shared" si="774"/>
        <v>1</v>
      </c>
      <c r="AN3463" s="447">
        <f t="shared" si="763"/>
        <v>0</v>
      </c>
      <c r="AO3463"/>
      <c r="AP3463"/>
    </row>
    <row r="3464" spans="1:42" s="108" customFormat="1" ht="66" x14ac:dyDescent="0.25">
      <c r="A3464" s="9"/>
      <c r="B3464" s="46" t="s">
        <v>1495</v>
      </c>
      <c r="C3464" s="9"/>
      <c r="D3464" s="899">
        <v>1</v>
      </c>
      <c r="E3464" s="254" t="s">
        <v>1721</v>
      </c>
      <c r="F3464" s="278" t="s">
        <v>3446</v>
      </c>
      <c r="G3464" s="1040" t="s">
        <v>3463</v>
      </c>
      <c r="H3464" s="273" t="s">
        <v>3462</v>
      </c>
      <c r="I3464" s="722">
        <f t="shared" si="770"/>
        <v>3395</v>
      </c>
      <c r="J3464" s="780">
        <v>3395</v>
      </c>
      <c r="K3464" s="131">
        <f t="shared" si="764"/>
        <v>3395</v>
      </c>
      <c r="L3464" s="335">
        <f t="shared" si="771"/>
        <v>0</v>
      </c>
      <c r="M3464" s="335"/>
      <c r="N3464" s="335"/>
      <c r="O3464" s="335"/>
      <c r="P3464" s="335"/>
      <c r="Q3464" s="130">
        <v>1</v>
      </c>
      <c r="R3464" s="131">
        <f t="shared" si="768"/>
        <v>848.75</v>
      </c>
      <c r="S3464" s="130"/>
      <c r="T3464" s="130"/>
      <c r="U3464" s="130">
        <v>0</v>
      </c>
      <c r="V3464" s="131">
        <f t="shared" si="769"/>
        <v>848.75</v>
      </c>
      <c r="W3464" s="130"/>
      <c r="X3464" s="130"/>
      <c r="Y3464" s="130"/>
      <c r="Z3464" s="130"/>
      <c r="AA3464" s="130">
        <v>0</v>
      </c>
      <c r="AB3464" s="131">
        <f t="shared" si="775"/>
        <v>848.75</v>
      </c>
      <c r="AC3464" s="130"/>
      <c r="AD3464" s="130"/>
      <c r="AE3464" s="130">
        <v>0</v>
      </c>
      <c r="AF3464" s="131">
        <f t="shared" si="776"/>
        <v>848.75</v>
      </c>
      <c r="AG3464" s="130"/>
      <c r="AH3464" s="130"/>
      <c r="AI3464" s="130"/>
      <c r="AJ3464" s="130"/>
      <c r="AK3464" s="131">
        <f t="shared" si="772"/>
        <v>3395</v>
      </c>
      <c r="AL3464" s="446">
        <f t="shared" si="773"/>
        <v>0</v>
      </c>
      <c r="AM3464" s="110">
        <f t="shared" si="774"/>
        <v>1</v>
      </c>
      <c r="AN3464" s="447">
        <f t="shared" si="763"/>
        <v>0</v>
      </c>
      <c r="AO3464"/>
      <c r="AP3464"/>
    </row>
    <row r="3465" spans="1:42" s="108" customFormat="1" ht="66" x14ac:dyDescent="0.25">
      <c r="A3465" s="9"/>
      <c r="B3465" s="34" t="s">
        <v>1496</v>
      </c>
      <c r="C3465" s="9"/>
      <c r="D3465" s="899">
        <v>1</v>
      </c>
      <c r="E3465" s="254" t="s">
        <v>1721</v>
      </c>
      <c r="F3465" s="278" t="s">
        <v>3446</v>
      </c>
      <c r="G3465" s="1040" t="s">
        <v>3463</v>
      </c>
      <c r="H3465" s="273" t="s">
        <v>3462</v>
      </c>
      <c r="I3465" s="722">
        <f t="shared" si="770"/>
        <v>561.60239999999999</v>
      </c>
      <c r="J3465" s="780">
        <v>561.60239999999999</v>
      </c>
      <c r="K3465" s="131">
        <f t="shared" si="764"/>
        <v>561.60239999999999</v>
      </c>
      <c r="L3465" s="335">
        <f t="shared" si="771"/>
        <v>0</v>
      </c>
      <c r="M3465" s="335"/>
      <c r="N3465" s="335"/>
      <c r="O3465" s="335"/>
      <c r="P3465" s="335"/>
      <c r="Q3465" s="130">
        <v>1</v>
      </c>
      <c r="R3465" s="131">
        <f t="shared" si="768"/>
        <v>140.4006</v>
      </c>
      <c r="S3465" s="130"/>
      <c r="T3465" s="130"/>
      <c r="U3465" s="130">
        <v>0</v>
      </c>
      <c r="V3465" s="131">
        <f t="shared" si="769"/>
        <v>140.4006</v>
      </c>
      <c r="W3465" s="130"/>
      <c r="X3465" s="130"/>
      <c r="Y3465" s="130"/>
      <c r="Z3465" s="130"/>
      <c r="AA3465" s="130">
        <v>0</v>
      </c>
      <c r="AB3465" s="131">
        <f t="shared" si="775"/>
        <v>140.4006</v>
      </c>
      <c r="AC3465" s="130"/>
      <c r="AD3465" s="130"/>
      <c r="AE3465" s="130">
        <v>0</v>
      </c>
      <c r="AF3465" s="131">
        <f t="shared" si="776"/>
        <v>140.4006</v>
      </c>
      <c r="AG3465" s="130"/>
      <c r="AH3465" s="130"/>
      <c r="AI3465" s="130"/>
      <c r="AJ3465" s="130"/>
      <c r="AK3465" s="131">
        <f t="shared" si="772"/>
        <v>561.60239999999999</v>
      </c>
      <c r="AL3465" s="446">
        <f t="shared" si="773"/>
        <v>0</v>
      </c>
      <c r="AM3465" s="110">
        <f t="shared" si="774"/>
        <v>1</v>
      </c>
      <c r="AN3465" s="447">
        <f t="shared" si="763"/>
        <v>0</v>
      </c>
      <c r="AO3465"/>
      <c r="AP3465"/>
    </row>
    <row r="3466" spans="1:42" s="108" customFormat="1" ht="66" x14ac:dyDescent="0.25">
      <c r="A3466" s="9"/>
      <c r="B3466" s="43" t="s">
        <v>757</v>
      </c>
      <c r="C3466" s="9"/>
      <c r="D3466" s="899">
        <v>1</v>
      </c>
      <c r="E3466" s="254" t="s">
        <v>1721</v>
      </c>
      <c r="F3466" s="278" t="s">
        <v>3446</v>
      </c>
      <c r="G3466" s="1040" t="s">
        <v>3463</v>
      </c>
      <c r="H3466" s="273" t="s">
        <v>3462</v>
      </c>
      <c r="I3466" s="722">
        <f t="shared" si="770"/>
        <v>135.00172799999999</v>
      </c>
      <c r="J3466" s="780">
        <v>135.00172799999999</v>
      </c>
      <c r="K3466" s="131">
        <f t="shared" si="764"/>
        <v>135.00172799999999</v>
      </c>
      <c r="L3466" s="335">
        <f t="shared" si="771"/>
        <v>0</v>
      </c>
      <c r="M3466" s="335"/>
      <c r="N3466" s="335"/>
      <c r="O3466" s="335"/>
      <c r="P3466" s="335"/>
      <c r="Q3466" s="130">
        <v>1</v>
      </c>
      <c r="R3466" s="131">
        <f t="shared" si="768"/>
        <v>33.750431999999996</v>
      </c>
      <c r="S3466" s="130"/>
      <c r="T3466" s="130"/>
      <c r="U3466" s="130">
        <v>0</v>
      </c>
      <c r="V3466" s="131">
        <f t="shared" si="769"/>
        <v>33.750431999999996</v>
      </c>
      <c r="W3466" s="130"/>
      <c r="X3466" s="130"/>
      <c r="Y3466" s="130"/>
      <c r="Z3466" s="130"/>
      <c r="AA3466" s="130">
        <v>0</v>
      </c>
      <c r="AB3466" s="131">
        <f t="shared" si="775"/>
        <v>33.750431999999996</v>
      </c>
      <c r="AC3466" s="130"/>
      <c r="AD3466" s="130"/>
      <c r="AE3466" s="130">
        <v>0</v>
      </c>
      <c r="AF3466" s="131">
        <f t="shared" si="776"/>
        <v>33.750431999999996</v>
      </c>
      <c r="AG3466" s="130"/>
      <c r="AH3466" s="130"/>
      <c r="AI3466" s="130"/>
      <c r="AJ3466" s="130"/>
      <c r="AK3466" s="131">
        <f t="shared" si="772"/>
        <v>135.00172799999999</v>
      </c>
      <c r="AL3466" s="446">
        <f t="shared" si="773"/>
        <v>0</v>
      </c>
      <c r="AM3466" s="110">
        <f t="shared" si="774"/>
        <v>1</v>
      </c>
      <c r="AN3466" s="447">
        <f t="shared" si="763"/>
        <v>0</v>
      </c>
      <c r="AO3466"/>
      <c r="AP3466"/>
    </row>
    <row r="3467" spans="1:42" s="108" customFormat="1" ht="66" x14ac:dyDescent="0.25">
      <c r="A3467" s="9"/>
      <c r="B3467" s="171" t="s">
        <v>1705</v>
      </c>
      <c r="C3467" s="9"/>
      <c r="D3467" s="899">
        <v>2</v>
      </c>
      <c r="E3467" s="254" t="s">
        <v>1721</v>
      </c>
      <c r="F3467" s="278" t="s">
        <v>3446</v>
      </c>
      <c r="G3467" s="1040" t="s">
        <v>3463</v>
      </c>
      <c r="H3467" s="273" t="s">
        <v>3462</v>
      </c>
      <c r="I3467" s="722">
        <f t="shared" si="770"/>
        <v>145</v>
      </c>
      <c r="J3467" s="780">
        <v>290</v>
      </c>
      <c r="K3467" s="131">
        <f t="shared" si="764"/>
        <v>290</v>
      </c>
      <c r="L3467" s="335">
        <f t="shared" si="771"/>
        <v>0</v>
      </c>
      <c r="M3467" s="335"/>
      <c r="N3467" s="335"/>
      <c r="O3467" s="335"/>
      <c r="P3467" s="335"/>
      <c r="Q3467" s="130">
        <v>1</v>
      </c>
      <c r="R3467" s="131">
        <f t="shared" si="768"/>
        <v>72.5</v>
      </c>
      <c r="S3467" s="130"/>
      <c r="T3467" s="130"/>
      <c r="U3467" s="130">
        <v>1</v>
      </c>
      <c r="V3467" s="131">
        <f t="shared" si="769"/>
        <v>72.5</v>
      </c>
      <c r="W3467" s="130"/>
      <c r="X3467" s="130"/>
      <c r="Y3467" s="130"/>
      <c r="Z3467" s="130"/>
      <c r="AA3467" s="130">
        <v>0</v>
      </c>
      <c r="AB3467" s="131">
        <f t="shared" si="775"/>
        <v>72.5</v>
      </c>
      <c r="AC3467" s="130"/>
      <c r="AD3467" s="130"/>
      <c r="AE3467" s="130">
        <v>0</v>
      </c>
      <c r="AF3467" s="131">
        <f t="shared" si="776"/>
        <v>72.5</v>
      </c>
      <c r="AG3467" s="130"/>
      <c r="AH3467" s="130"/>
      <c r="AI3467" s="130"/>
      <c r="AJ3467" s="130"/>
      <c r="AK3467" s="131">
        <f t="shared" si="772"/>
        <v>290</v>
      </c>
      <c r="AL3467" s="446">
        <f t="shared" si="773"/>
        <v>0</v>
      </c>
      <c r="AM3467" s="110">
        <f t="shared" si="774"/>
        <v>2</v>
      </c>
      <c r="AN3467" s="447">
        <f t="shared" si="763"/>
        <v>0</v>
      </c>
      <c r="AO3467"/>
      <c r="AP3467"/>
    </row>
    <row r="3468" spans="1:42" s="108" customFormat="1" ht="66" x14ac:dyDescent="0.25">
      <c r="A3468" s="9"/>
      <c r="B3468" s="45" t="s">
        <v>1752</v>
      </c>
      <c r="C3468" s="9"/>
      <c r="D3468" s="869">
        <v>1</v>
      </c>
      <c r="E3468" s="1027" t="s">
        <v>1721</v>
      </c>
      <c r="F3468" s="278" t="s">
        <v>3446</v>
      </c>
      <c r="G3468" s="1040" t="s">
        <v>3463</v>
      </c>
      <c r="H3468" s="273" t="s">
        <v>3462</v>
      </c>
      <c r="I3468" s="722">
        <f t="shared" si="770"/>
        <v>250</v>
      </c>
      <c r="J3468" s="780">
        <v>250</v>
      </c>
      <c r="K3468" s="131">
        <f t="shared" si="764"/>
        <v>250</v>
      </c>
      <c r="L3468" s="335">
        <f t="shared" si="771"/>
        <v>0</v>
      </c>
      <c r="M3468" s="335"/>
      <c r="N3468" s="335"/>
      <c r="O3468" s="335"/>
      <c r="P3468" s="335"/>
      <c r="Q3468" s="130">
        <v>1</v>
      </c>
      <c r="R3468" s="131">
        <f t="shared" si="768"/>
        <v>62.5</v>
      </c>
      <c r="S3468" s="130"/>
      <c r="T3468" s="130"/>
      <c r="U3468" s="130">
        <v>0</v>
      </c>
      <c r="V3468" s="131">
        <f t="shared" si="769"/>
        <v>62.5</v>
      </c>
      <c r="W3468" s="130"/>
      <c r="X3468" s="130"/>
      <c r="Y3468" s="130"/>
      <c r="Z3468" s="130"/>
      <c r="AA3468" s="130">
        <v>0</v>
      </c>
      <c r="AB3468" s="131">
        <f t="shared" si="775"/>
        <v>62.5</v>
      </c>
      <c r="AC3468" s="130"/>
      <c r="AD3468" s="130"/>
      <c r="AE3468" s="130">
        <v>0</v>
      </c>
      <c r="AF3468" s="131">
        <f t="shared" si="776"/>
        <v>62.5</v>
      </c>
      <c r="AG3468" s="130"/>
      <c r="AH3468" s="130"/>
      <c r="AI3468" s="130"/>
      <c r="AJ3468" s="130"/>
      <c r="AK3468" s="131">
        <f t="shared" si="772"/>
        <v>250</v>
      </c>
      <c r="AL3468" s="446">
        <f t="shared" si="773"/>
        <v>0</v>
      </c>
      <c r="AM3468" s="110">
        <f t="shared" si="774"/>
        <v>1</v>
      </c>
      <c r="AN3468" s="447">
        <f t="shared" si="763"/>
        <v>0</v>
      </c>
      <c r="AO3468"/>
      <c r="AP3468"/>
    </row>
    <row r="3469" spans="1:42" s="108" customFormat="1" ht="66" x14ac:dyDescent="0.25">
      <c r="A3469" s="9"/>
      <c r="B3469" s="45" t="s">
        <v>757</v>
      </c>
      <c r="C3469" s="9"/>
      <c r="D3469" s="869">
        <v>1</v>
      </c>
      <c r="E3469" s="1027" t="s">
        <v>1721</v>
      </c>
      <c r="F3469" s="278" t="s">
        <v>3446</v>
      </c>
      <c r="G3469" s="1040" t="s">
        <v>3463</v>
      </c>
      <c r="H3469" s="273" t="s">
        <v>3462</v>
      </c>
      <c r="I3469" s="722">
        <f t="shared" si="770"/>
        <v>450</v>
      </c>
      <c r="J3469" s="780">
        <v>450</v>
      </c>
      <c r="K3469" s="131">
        <f t="shared" si="764"/>
        <v>450</v>
      </c>
      <c r="L3469" s="335">
        <f t="shared" si="771"/>
        <v>0</v>
      </c>
      <c r="M3469" s="335"/>
      <c r="N3469" s="335"/>
      <c r="O3469" s="335"/>
      <c r="P3469" s="335"/>
      <c r="Q3469" s="130">
        <v>1</v>
      </c>
      <c r="R3469" s="131">
        <f t="shared" si="768"/>
        <v>112.5</v>
      </c>
      <c r="S3469" s="130"/>
      <c r="T3469" s="130"/>
      <c r="U3469" s="130">
        <v>0</v>
      </c>
      <c r="V3469" s="131">
        <f t="shared" si="769"/>
        <v>112.5</v>
      </c>
      <c r="W3469" s="130"/>
      <c r="X3469" s="130"/>
      <c r="Y3469" s="130"/>
      <c r="Z3469" s="130"/>
      <c r="AA3469" s="130">
        <v>0</v>
      </c>
      <c r="AB3469" s="131">
        <f t="shared" si="775"/>
        <v>112.5</v>
      </c>
      <c r="AC3469" s="130"/>
      <c r="AD3469" s="130"/>
      <c r="AE3469" s="130">
        <v>0</v>
      </c>
      <c r="AF3469" s="131">
        <f t="shared" si="776"/>
        <v>112.5</v>
      </c>
      <c r="AG3469" s="130"/>
      <c r="AH3469" s="130"/>
      <c r="AI3469" s="130"/>
      <c r="AJ3469" s="130"/>
      <c r="AK3469" s="131">
        <f t="shared" si="772"/>
        <v>450</v>
      </c>
      <c r="AL3469" s="446">
        <f t="shared" si="773"/>
        <v>0</v>
      </c>
      <c r="AM3469" s="110">
        <f t="shared" si="774"/>
        <v>1</v>
      </c>
      <c r="AN3469" s="447">
        <f t="shared" si="763"/>
        <v>0</v>
      </c>
      <c r="AO3469"/>
      <c r="AP3469"/>
    </row>
    <row r="3470" spans="1:42" s="108" customFormat="1" ht="66" x14ac:dyDescent="0.25">
      <c r="A3470" s="9"/>
      <c r="B3470" s="49" t="s">
        <v>1753</v>
      </c>
      <c r="C3470" s="9"/>
      <c r="D3470" s="869">
        <f>3+4</f>
        <v>7</v>
      </c>
      <c r="E3470" s="1027" t="s">
        <v>1749</v>
      </c>
      <c r="F3470" s="278" t="s">
        <v>3446</v>
      </c>
      <c r="G3470" s="1040" t="s">
        <v>3463</v>
      </c>
      <c r="H3470" s="273" t="s">
        <v>3462</v>
      </c>
      <c r="I3470" s="722">
        <f t="shared" si="770"/>
        <v>223.80285714285714</v>
      </c>
      <c r="J3470" s="780">
        <f>840+726.62</f>
        <v>1566.62</v>
      </c>
      <c r="K3470" s="131">
        <f t="shared" si="764"/>
        <v>1566.62</v>
      </c>
      <c r="L3470" s="335">
        <f t="shared" si="771"/>
        <v>0</v>
      </c>
      <c r="M3470" s="335"/>
      <c r="N3470" s="335"/>
      <c r="O3470" s="335"/>
      <c r="P3470" s="335"/>
      <c r="Q3470" s="130">
        <v>2</v>
      </c>
      <c r="R3470" s="131">
        <f t="shared" si="768"/>
        <v>391.65499999999997</v>
      </c>
      <c r="S3470" s="130"/>
      <c r="T3470" s="130"/>
      <c r="U3470" s="130">
        <v>2</v>
      </c>
      <c r="V3470" s="131">
        <f t="shared" si="769"/>
        <v>391.65499999999997</v>
      </c>
      <c r="W3470" s="130"/>
      <c r="X3470" s="130"/>
      <c r="Y3470" s="130"/>
      <c r="Z3470" s="130"/>
      <c r="AA3470" s="130">
        <v>2</v>
      </c>
      <c r="AB3470" s="131">
        <f t="shared" si="775"/>
        <v>391.65499999999997</v>
      </c>
      <c r="AC3470" s="130"/>
      <c r="AD3470" s="130"/>
      <c r="AE3470" s="130">
        <v>1</v>
      </c>
      <c r="AF3470" s="131">
        <f t="shared" si="776"/>
        <v>391.65499999999997</v>
      </c>
      <c r="AG3470" s="130"/>
      <c r="AH3470" s="130"/>
      <c r="AI3470" s="130"/>
      <c r="AJ3470" s="130"/>
      <c r="AK3470" s="131">
        <f t="shared" si="772"/>
        <v>1566.62</v>
      </c>
      <c r="AL3470" s="446">
        <f t="shared" si="773"/>
        <v>0</v>
      </c>
      <c r="AM3470" s="110">
        <f t="shared" si="774"/>
        <v>7</v>
      </c>
      <c r="AN3470" s="447">
        <f t="shared" si="763"/>
        <v>0</v>
      </c>
      <c r="AO3470"/>
      <c r="AP3470"/>
    </row>
    <row r="3471" spans="1:42" s="108" customFormat="1" ht="66" x14ac:dyDescent="0.25">
      <c r="A3471" s="9"/>
      <c r="B3471" s="45" t="s">
        <v>1754</v>
      </c>
      <c r="C3471" s="9"/>
      <c r="D3471" s="869">
        <v>1</v>
      </c>
      <c r="E3471" s="1027" t="s">
        <v>1721</v>
      </c>
      <c r="F3471" s="278" t="s">
        <v>3446</v>
      </c>
      <c r="G3471" s="1040" t="s">
        <v>3463</v>
      </c>
      <c r="H3471" s="273" t="s">
        <v>3462</v>
      </c>
      <c r="I3471" s="722">
        <f t="shared" si="770"/>
        <v>200</v>
      </c>
      <c r="J3471" s="780">
        <v>200</v>
      </c>
      <c r="K3471" s="131">
        <f t="shared" si="764"/>
        <v>200</v>
      </c>
      <c r="L3471" s="335">
        <f t="shared" si="771"/>
        <v>0</v>
      </c>
      <c r="M3471" s="335"/>
      <c r="N3471" s="335"/>
      <c r="O3471" s="335"/>
      <c r="P3471" s="335"/>
      <c r="Q3471" s="130">
        <v>1</v>
      </c>
      <c r="R3471" s="131">
        <f t="shared" si="768"/>
        <v>50</v>
      </c>
      <c r="S3471" s="130"/>
      <c r="T3471" s="130"/>
      <c r="U3471" s="130">
        <v>0</v>
      </c>
      <c r="V3471" s="131">
        <f t="shared" si="769"/>
        <v>50</v>
      </c>
      <c r="W3471" s="130"/>
      <c r="X3471" s="130"/>
      <c r="Y3471" s="130"/>
      <c r="Z3471" s="130"/>
      <c r="AA3471" s="130">
        <v>0</v>
      </c>
      <c r="AB3471" s="131">
        <f t="shared" si="775"/>
        <v>50</v>
      </c>
      <c r="AC3471" s="130"/>
      <c r="AD3471" s="130"/>
      <c r="AE3471" s="130">
        <v>0</v>
      </c>
      <c r="AF3471" s="131">
        <f t="shared" si="776"/>
        <v>50</v>
      </c>
      <c r="AG3471" s="130"/>
      <c r="AH3471" s="130"/>
      <c r="AI3471" s="130"/>
      <c r="AJ3471" s="130"/>
      <c r="AK3471" s="131">
        <f t="shared" si="772"/>
        <v>200</v>
      </c>
      <c r="AL3471" s="446">
        <f t="shared" si="773"/>
        <v>0</v>
      </c>
      <c r="AM3471" s="110">
        <f t="shared" si="774"/>
        <v>1</v>
      </c>
      <c r="AN3471" s="447">
        <f t="shared" si="763"/>
        <v>0</v>
      </c>
      <c r="AO3471"/>
      <c r="AP3471"/>
    </row>
    <row r="3472" spans="1:42" s="108" customFormat="1" ht="66" x14ac:dyDescent="0.25">
      <c r="A3472" s="9"/>
      <c r="B3472" s="205" t="s">
        <v>1895</v>
      </c>
      <c r="C3472" s="9"/>
      <c r="D3472" s="899">
        <v>1</v>
      </c>
      <c r="E3472" s="1027" t="s">
        <v>1721</v>
      </c>
      <c r="F3472" s="278" t="s">
        <v>3446</v>
      </c>
      <c r="G3472" s="1040" t="s">
        <v>3463</v>
      </c>
      <c r="H3472" s="273" t="s">
        <v>3462</v>
      </c>
      <c r="I3472" s="722">
        <f t="shared" si="770"/>
        <v>496.8</v>
      </c>
      <c r="J3472" s="780">
        <v>496.8</v>
      </c>
      <c r="K3472" s="131">
        <f t="shared" si="764"/>
        <v>496.8</v>
      </c>
      <c r="L3472" s="335">
        <f t="shared" si="771"/>
        <v>0</v>
      </c>
      <c r="M3472" s="335"/>
      <c r="N3472" s="335"/>
      <c r="O3472" s="335"/>
      <c r="P3472" s="335"/>
      <c r="Q3472" s="130">
        <v>1</v>
      </c>
      <c r="R3472" s="131">
        <f t="shared" si="768"/>
        <v>124.2</v>
      </c>
      <c r="S3472" s="130"/>
      <c r="T3472" s="130"/>
      <c r="U3472" s="130">
        <v>0</v>
      </c>
      <c r="V3472" s="131">
        <f t="shared" si="769"/>
        <v>124.2</v>
      </c>
      <c r="W3472" s="130"/>
      <c r="X3472" s="130"/>
      <c r="Y3472" s="130"/>
      <c r="Z3472" s="130"/>
      <c r="AA3472" s="130">
        <v>0</v>
      </c>
      <c r="AB3472" s="131">
        <f t="shared" si="775"/>
        <v>124.2</v>
      </c>
      <c r="AC3472" s="130"/>
      <c r="AD3472" s="130"/>
      <c r="AE3472" s="130">
        <v>0</v>
      </c>
      <c r="AF3472" s="131">
        <f t="shared" si="776"/>
        <v>124.2</v>
      </c>
      <c r="AG3472" s="130"/>
      <c r="AH3472" s="130"/>
      <c r="AI3472" s="130"/>
      <c r="AJ3472" s="130"/>
      <c r="AK3472" s="131">
        <f t="shared" si="772"/>
        <v>496.8</v>
      </c>
      <c r="AL3472" s="446">
        <f t="shared" si="773"/>
        <v>0</v>
      </c>
      <c r="AM3472" s="110">
        <f t="shared" si="774"/>
        <v>1</v>
      </c>
      <c r="AN3472" s="447">
        <f t="shared" si="763"/>
        <v>0</v>
      </c>
      <c r="AO3472"/>
      <c r="AP3472"/>
    </row>
    <row r="3473" spans="1:42" s="108" customFormat="1" ht="66" x14ac:dyDescent="0.25">
      <c r="A3473" s="9"/>
      <c r="B3473" s="49" t="s">
        <v>1896</v>
      </c>
      <c r="C3473" s="9"/>
      <c r="D3473" s="899">
        <v>3</v>
      </c>
      <c r="E3473" s="1027" t="s">
        <v>1721</v>
      </c>
      <c r="F3473" s="278" t="s">
        <v>3446</v>
      </c>
      <c r="G3473" s="1040" t="s">
        <v>3463</v>
      </c>
      <c r="H3473" s="273" t="s">
        <v>3462</v>
      </c>
      <c r="I3473" s="722">
        <f t="shared" si="770"/>
        <v>250</v>
      </c>
      <c r="J3473" s="780">
        <v>750</v>
      </c>
      <c r="K3473" s="131">
        <f t="shared" si="764"/>
        <v>750</v>
      </c>
      <c r="L3473" s="335">
        <f t="shared" si="771"/>
        <v>0</v>
      </c>
      <c r="M3473" s="335"/>
      <c r="N3473" s="335"/>
      <c r="O3473" s="335"/>
      <c r="P3473" s="335"/>
      <c r="Q3473" s="130">
        <v>1</v>
      </c>
      <c r="R3473" s="131">
        <f t="shared" si="768"/>
        <v>187.5</v>
      </c>
      <c r="S3473" s="130"/>
      <c r="T3473" s="130"/>
      <c r="U3473" s="130">
        <v>1</v>
      </c>
      <c r="V3473" s="131">
        <f t="shared" si="769"/>
        <v>187.5</v>
      </c>
      <c r="W3473" s="130"/>
      <c r="X3473" s="130"/>
      <c r="Y3473" s="130"/>
      <c r="Z3473" s="130"/>
      <c r="AA3473" s="130">
        <v>1</v>
      </c>
      <c r="AB3473" s="131">
        <f t="shared" si="775"/>
        <v>187.5</v>
      </c>
      <c r="AC3473" s="130"/>
      <c r="AD3473" s="130"/>
      <c r="AE3473" s="130">
        <v>0</v>
      </c>
      <c r="AF3473" s="131">
        <f t="shared" si="776"/>
        <v>187.5</v>
      </c>
      <c r="AG3473" s="130"/>
      <c r="AH3473" s="130"/>
      <c r="AI3473" s="130"/>
      <c r="AJ3473" s="130"/>
      <c r="AK3473" s="131">
        <f t="shared" si="772"/>
        <v>750</v>
      </c>
      <c r="AL3473" s="446">
        <f t="shared" si="773"/>
        <v>0</v>
      </c>
      <c r="AM3473" s="110">
        <f t="shared" si="774"/>
        <v>3</v>
      </c>
      <c r="AN3473" s="447">
        <f t="shared" si="763"/>
        <v>0</v>
      </c>
      <c r="AO3473"/>
      <c r="AP3473"/>
    </row>
    <row r="3474" spans="1:42" s="108" customFormat="1" ht="66" x14ac:dyDescent="0.25">
      <c r="A3474" s="9"/>
      <c r="B3474" s="687" t="s">
        <v>2020</v>
      </c>
      <c r="C3474" s="9"/>
      <c r="D3474" s="899">
        <v>2</v>
      </c>
      <c r="E3474" s="1027" t="s">
        <v>1721</v>
      </c>
      <c r="F3474" s="278" t="s">
        <v>3446</v>
      </c>
      <c r="G3474" s="1040" t="s">
        <v>3463</v>
      </c>
      <c r="H3474" s="273" t="s">
        <v>3462</v>
      </c>
      <c r="I3474" s="722">
        <f t="shared" si="770"/>
        <v>980.07</v>
      </c>
      <c r="J3474" s="780">
        <v>1960.14</v>
      </c>
      <c r="K3474" s="131">
        <f t="shared" si="764"/>
        <v>1960.14</v>
      </c>
      <c r="L3474" s="335">
        <f t="shared" si="771"/>
        <v>0</v>
      </c>
      <c r="M3474" s="335"/>
      <c r="N3474" s="335"/>
      <c r="O3474" s="335"/>
      <c r="P3474" s="335"/>
      <c r="Q3474" s="130">
        <v>1</v>
      </c>
      <c r="R3474" s="131">
        <f t="shared" si="768"/>
        <v>490.03500000000003</v>
      </c>
      <c r="S3474" s="130"/>
      <c r="T3474" s="130"/>
      <c r="U3474" s="130">
        <v>1</v>
      </c>
      <c r="V3474" s="131">
        <f t="shared" si="769"/>
        <v>490.03500000000003</v>
      </c>
      <c r="W3474" s="130"/>
      <c r="X3474" s="130"/>
      <c r="Y3474" s="130"/>
      <c r="Z3474" s="130"/>
      <c r="AA3474" s="130">
        <v>0</v>
      </c>
      <c r="AB3474" s="131">
        <f t="shared" si="775"/>
        <v>490.03500000000003</v>
      </c>
      <c r="AC3474" s="130"/>
      <c r="AD3474" s="130"/>
      <c r="AE3474" s="130">
        <v>0</v>
      </c>
      <c r="AF3474" s="131">
        <f t="shared" si="776"/>
        <v>490.03500000000003</v>
      </c>
      <c r="AG3474" s="130"/>
      <c r="AH3474" s="130"/>
      <c r="AI3474" s="130"/>
      <c r="AJ3474" s="130"/>
      <c r="AK3474" s="131">
        <f t="shared" si="772"/>
        <v>1960.14</v>
      </c>
      <c r="AL3474" s="446">
        <f t="shared" si="773"/>
        <v>0</v>
      </c>
      <c r="AM3474" s="110">
        <f t="shared" si="774"/>
        <v>2</v>
      </c>
      <c r="AN3474" s="447">
        <f t="shared" si="763"/>
        <v>0</v>
      </c>
      <c r="AO3474"/>
      <c r="AP3474"/>
    </row>
    <row r="3475" spans="1:42" s="108" customFormat="1" ht="66" x14ac:dyDescent="0.25">
      <c r="A3475" s="9"/>
      <c r="B3475" s="687" t="s">
        <v>2021</v>
      </c>
      <c r="C3475" s="9"/>
      <c r="D3475" s="899">
        <v>1</v>
      </c>
      <c r="E3475" s="1027" t="s">
        <v>1721</v>
      </c>
      <c r="F3475" s="278" t="s">
        <v>3446</v>
      </c>
      <c r="G3475" s="1040" t="s">
        <v>3463</v>
      </c>
      <c r="H3475" s="273" t="s">
        <v>3462</v>
      </c>
      <c r="I3475" s="722">
        <f t="shared" si="770"/>
        <v>676.16</v>
      </c>
      <c r="J3475" s="780">
        <v>676.16</v>
      </c>
      <c r="K3475" s="131">
        <f t="shared" si="764"/>
        <v>676.16</v>
      </c>
      <c r="L3475" s="335">
        <f t="shared" si="771"/>
        <v>0</v>
      </c>
      <c r="M3475" s="335"/>
      <c r="N3475" s="335"/>
      <c r="O3475" s="335"/>
      <c r="P3475" s="335"/>
      <c r="Q3475" s="130">
        <v>1</v>
      </c>
      <c r="R3475" s="131">
        <f t="shared" si="768"/>
        <v>169.04</v>
      </c>
      <c r="S3475" s="130"/>
      <c r="T3475" s="130"/>
      <c r="U3475" s="130">
        <v>0</v>
      </c>
      <c r="V3475" s="131">
        <f t="shared" si="769"/>
        <v>169.04</v>
      </c>
      <c r="W3475" s="130"/>
      <c r="X3475" s="130"/>
      <c r="Y3475" s="130"/>
      <c r="Z3475" s="130"/>
      <c r="AA3475" s="130">
        <v>0</v>
      </c>
      <c r="AB3475" s="131">
        <f t="shared" si="775"/>
        <v>169.04</v>
      </c>
      <c r="AC3475" s="130"/>
      <c r="AD3475" s="130"/>
      <c r="AE3475" s="130">
        <v>0</v>
      </c>
      <c r="AF3475" s="131">
        <f t="shared" si="776"/>
        <v>169.04</v>
      </c>
      <c r="AG3475" s="130"/>
      <c r="AH3475" s="130"/>
      <c r="AI3475" s="130"/>
      <c r="AJ3475" s="130"/>
      <c r="AK3475" s="131">
        <f t="shared" si="772"/>
        <v>676.16</v>
      </c>
      <c r="AL3475" s="446">
        <f t="shared" si="773"/>
        <v>0</v>
      </c>
      <c r="AM3475" s="110">
        <f t="shared" si="774"/>
        <v>1</v>
      </c>
      <c r="AN3475" s="447">
        <f t="shared" si="763"/>
        <v>0</v>
      </c>
      <c r="AO3475"/>
      <c r="AP3475"/>
    </row>
    <row r="3476" spans="1:42" s="108" customFormat="1" ht="66" x14ac:dyDescent="0.25">
      <c r="A3476" s="9"/>
      <c r="B3476" s="687" t="s">
        <v>2022</v>
      </c>
      <c r="C3476" s="9"/>
      <c r="D3476" s="899">
        <v>2</v>
      </c>
      <c r="E3476" s="1027" t="s">
        <v>1721</v>
      </c>
      <c r="F3476" s="278" t="s">
        <v>3446</v>
      </c>
      <c r="G3476" s="1040" t="s">
        <v>3463</v>
      </c>
      <c r="H3476" s="273" t="s">
        <v>3462</v>
      </c>
      <c r="I3476" s="722">
        <f t="shared" si="770"/>
        <v>508.26</v>
      </c>
      <c r="J3476" s="780">
        <v>1016.52</v>
      </c>
      <c r="K3476" s="131">
        <f t="shared" si="764"/>
        <v>1016.52</v>
      </c>
      <c r="L3476" s="335">
        <f t="shared" si="771"/>
        <v>0</v>
      </c>
      <c r="M3476" s="335"/>
      <c r="N3476" s="335"/>
      <c r="O3476" s="335"/>
      <c r="P3476" s="335"/>
      <c r="Q3476" s="130">
        <v>1</v>
      </c>
      <c r="R3476" s="131">
        <f t="shared" si="768"/>
        <v>254.13</v>
      </c>
      <c r="S3476" s="130"/>
      <c r="T3476" s="130"/>
      <c r="U3476" s="130">
        <v>1</v>
      </c>
      <c r="V3476" s="131">
        <f t="shared" si="769"/>
        <v>254.13</v>
      </c>
      <c r="W3476" s="130"/>
      <c r="X3476" s="130"/>
      <c r="Y3476" s="130"/>
      <c r="Z3476" s="130"/>
      <c r="AA3476" s="130">
        <v>0</v>
      </c>
      <c r="AB3476" s="131">
        <f t="shared" si="775"/>
        <v>254.13</v>
      </c>
      <c r="AC3476" s="130"/>
      <c r="AD3476" s="130"/>
      <c r="AE3476" s="130">
        <v>0</v>
      </c>
      <c r="AF3476" s="131">
        <f t="shared" si="776"/>
        <v>254.13</v>
      </c>
      <c r="AG3476" s="130"/>
      <c r="AH3476" s="130"/>
      <c r="AI3476" s="130"/>
      <c r="AJ3476" s="130"/>
      <c r="AK3476" s="131">
        <f t="shared" si="772"/>
        <v>1016.52</v>
      </c>
      <c r="AL3476" s="446">
        <f t="shared" si="773"/>
        <v>0</v>
      </c>
      <c r="AM3476" s="110">
        <f t="shared" si="774"/>
        <v>2</v>
      </c>
      <c r="AN3476" s="447">
        <f t="shared" si="763"/>
        <v>0</v>
      </c>
      <c r="AO3476"/>
      <c r="AP3476"/>
    </row>
    <row r="3477" spans="1:42" s="108" customFormat="1" ht="66" x14ac:dyDescent="0.25">
      <c r="A3477" s="9"/>
      <c r="B3477" s="687" t="s">
        <v>2023</v>
      </c>
      <c r="C3477" s="9"/>
      <c r="D3477" s="899">
        <v>2</v>
      </c>
      <c r="E3477" s="1027" t="s">
        <v>1721</v>
      </c>
      <c r="F3477" s="278" t="s">
        <v>3446</v>
      </c>
      <c r="G3477" s="1040" t="s">
        <v>3463</v>
      </c>
      <c r="H3477" s="273" t="s">
        <v>3462</v>
      </c>
      <c r="I3477" s="722">
        <f t="shared" si="770"/>
        <v>970.83</v>
      </c>
      <c r="J3477" s="780">
        <v>1941.66</v>
      </c>
      <c r="K3477" s="131">
        <f t="shared" si="764"/>
        <v>1941.66</v>
      </c>
      <c r="L3477" s="335">
        <f t="shared" si="771"/>
        <v>0</v>
      </c>
      <c r="M3477" s="335"/>
      <c r="N3477" s="335"/>
      <c r="O3477" s="335"/>
      <c r="P3477" s="335"/>
      <c r="Q3477" s="130">
        <v>1</v>
      </c>
      <c r="R3477" s="131">
        <f t="shared" si="768"/>
        <v>485.41500000000002</v>
      </c>
      <c r="S3477" s="130"/>
      <c r="T3477" s="130"/>
      <c r="U3477" s="130">
        <v>1</v>
      </c>
      <c r="V3477" s="131">
        <f t="shared" si="769"/>
        <v>485.41500000000002</v>
      </c>
      <c r="W3477" s="130"/>
      <c r="X3477" s="130"/>
      <c r="Y3477" s="130"/>
      <c r="Z3477" s="130"/>
      <c r="AA3477" s="130">
        <v>0</v>
      </c>
      <c r="AB3477" s="131">
        <f t="shared" si="775"/>
        <v>485.41500000000002</v>
      </c>
      <c r="AC3477" s="130"/>
      <c r="AD3477" s="130"/>
      <c r="AE3477" s="130">
        <v>0</v>
      </c>
      <c r="AF3477" s="131">
        <f t="shared" si="776"/>
        <v>485.41500000000002</v>
      </c>
      <c r="AG3477" s="130"/>
      <c r="AH3477" s="130"/>
      <c r="AI3477" s="130"/>
      <c r="AJ3477" s="130"/>
      <c r="AK3477" s="131">
        <f t="shared" si="772"/>
        <v>1941.66</v>
      </c>
      <c r="AL3477" s="446">
        <f t="shared" si="773"/>
        <v>0</v>
      </c>
      <c r="AM3477" s="110">
        <f t="shared" si="774"/>
        <v>2</v>
      </c>
      <c r="AN3477" s="447">
        <f t="shared" si="763"/>
        <v>0</v>
      </c>
      <c r="AO3477"/>
      <c r="AP3477"/>
    </row>
    <row r="3478" spans="1:42" s="108" customFormat="1" ht="66" x14ac:dyDescent="0.25">
      <c r="A3478" s="9"/>
      <c r="B3478" s="688" t="s">
        <v>2024</v>
      </c>
      <c r="C3478" s="9"/>
      <c r="D3478" s="899">
        <v>1</v>
      </c>
      <c r="E3478" s="1027" t="s">
        <v>1721</v>
      </c>
      <c r="F3478" s="278" t="s">
        <v>3446</v>
      </c>
      <c r="G3478" s="1040" t="s">
        <v>3463</v>
      </c>
      <c r="H3478" s="273" t="s">
        <v>3462</v>
      </c>
      <c r="I3478" s="722">
        <f t="shared" si="770"/>
        <v>708.15</v>
      </c>
      <c r="J3478" s="780">
        <v>708.15</v>
      </c>
      <c r="K3478" s="131">
        <f t="shared" si="764"/>
        <v>708.15</v>
      </c>
      <c r="L3478" s="335">
        <f t="shared" si="771"/>
        <v>0</v>
      </c>
      <c r="M3478" s="335"/>
      <c r="N3478" s="335"/>
      <c r="O3478" s="335"/>
      <c r="P3478" s="335"/>
      <c r="Q3478" s="130">
        <v>1</v>
      </c>
      <c r="R3478" s="131">
        <f t="shared" si="768"/>
        <v>177.03749999999999</v>
      </c>
      <c r="S3478" s="130"/>
      <c r="T3478" s="130"/>
      <c r="U3478" s="130">
        <v>0</v>
      </c>
      <c r="V3478" s="131">
        <f t="shared" si="769"/>
        <v>177.03749999999999</v>
      </c>
      <c r="W3478" s="130"/>
      <c r="X3478" s="130"/>
      <c r="Y3478" s="130"/>
      <c r="Z3478" s="130"/>
      <c r="AA3478" s="130">
        <v>0</v>
      </c>
      <c r="AB3478" s="131">
        <f t="shared" si="775"/>
        <v>177.03749999999999</v>
      </c>
      <c r="AC3478" s="130"/>
      <c r="AD3478" s="130"/>
      <c r="AE3478" s="130">
        <v>0</v>
      </c>
      <c r="AF3478" s="131">
        <f t="shared" si="776"/>
        <v>177.03749999999999</v>
      </c>
      <c r="AG3478" s="130"/>
      <c r="AH3478" s="130"/>
      <c r="AI3478" s="130"/>
      <c r="AJ3478" s="130"/>
      <c r="AK3478" s="131">
        <f t="shared" si="772"/>
        <v>708.15</v>
      </c>
      <c r="AL3478" s="446">
        <f t="shared" si="773"/>
        <v>0</v>
      </c>
      <c r="AM3478" s="110">
        <f t="shared" si="774"/>
        <v>1</v>
      </c>
      <c r="AN3478" s="447">
        <f t="shared" si="763"/>
        <v>0</v>
      </c>
      <c r="AO3478"/>
      <c r="AP3478"/>
    </row>
    <row r="3479" spans="1:42" s="108" customFormat="1" ht="66" x14ac:dyDescent="0.25">
      <c r="A3479" s="9"/>
      <c r="B3479" s="689" t="s">
        <v>2125</v>
      </c>
      <c r="C3479" s="9"/>
      <c r="D3479" s="899">
        <v>2</v>
      </c>
      <c r="E3479" s="254" t="s">
        <v>1721</v>
      </c>
      <c r="F3479" s="278" t="s">
        <v>3446</v>
      </c>
      <c r="G3479" s="1040" t="s">
        <v>3463</v>
      </c>
      <c r="H3479" s="273" t="s">
        <v>3462</v>
      </c>
      <c r="I3479" s="722">
        <f t="shared" si="770"/>
        <v>1010</v>
      </c>
      <c r="J3479" s="780">
        <v>2020</v>
      </c>
      <c r="K3479" s="131">
        <f t="shared" si="764"/>
        <v>2020</v>
      </c>
      <c r="L3479" s="335">
        <f t="shared" si="771"/>
        <v>0</v>
      </c>
      <c r="M3479" s="335"/>
      <c r="N3479" s="335"/>
      <c r="O3479" s="335"/>
      <c r="P3479" s="335"/>
      <c r="Q3479" s="130">
        <v>1</v>
      </c>
      <c r="R3479" s="131">
        <f t="shared" si="768"/>
        <v>505</v>
      </c>
      <c r="S3479" s="130"/>
      <c r="T3479" s="130"/>
      <c r="U3479" s="130">
        <v>1</v>
      </c>
      <c r="V3479" s="131">
        <f t="shared" si="769"/>
        <v>505</v>
      </c>
      <c r="W3479" s="130"/>
      <c r="X3479" s="130"/>
      <c r="Y3479" s="130"/>
      <c r="Z3479" s="130"/>
      <c r="AA3479" s="130">
        <v>0</v>
      </c>
      <c r="AB3479" s="131">
        <f t="shared" si="775"/>
        <v>505</v>
      </c>
      <c r="AC3479" s="130"/>
      <c r="AD3479" s="130"/>
      <c r="AE3479" s="130">
        <v>0</v>
      </c>
      <c r="AF3479" s="131">
        <f t="shared" si="776"/>
        <v>505</v>
      </c>
      <c r="AG3479" s="130"/>
      <c r="AH3479" s="130"/>
      <c r="AI3479" s="130"/>
      <c r="AJ3479" s="130"/>
      <c r="AK3479" s="131">
        <f t="shared" si="772"/>
        <v>2020</v>
      </c>
      <c r="AL3479" s="446">
        <f t="shared" si="773"/>
        <v>0</v>
      </c>
      <c r="AM3479" s="110">
        <f t="shared" si="774"/>
        <v>2</v>
      </c>
      <c r="AN3479" s="447">
        <f t="shared" si="763"/>
        <v>0</v>
      </c>
      <c r="AO3479"/>
      <c r="AP3479"/>
    </row>
    <row r="3480" spans="1:42" s="108" customFormat="1" ht="66" x14ac:dyDescent="0.25">
      <c r="A3480" s="9"/>
      <c r="B3480" s="689" t="s">
        <v>1494</v>
      </c>
      <c r="C3480" s="9"/>
      <c r="D3480" s="899">
        <v>1</v>
      </c>
      <c r="E3480" s="254" t="s">
        <v>1721</v>
      </c>
      <c r="F3480" s="278" t="s">
        <v>3446</v>
      </c>
      <c r="G3480" s="1040" t="s">
        <v>3463</v>
      </c>
      <c r="H3480" s="273" t="s">
        <v>3462</v>
      </c>
      <c r="I3480" s="722">
        <f t="shared" si="770"/>
        <v>250</v>
      </c>
      <c r="J3480" s="780">
        <v>250</v>
      </c>
      <c r="K3480" s="131">
        <f t="shared" si="764"/>
        <v>250</v>
      </c>
      <c r="L3480" s="335">
        <f t="shared" si="771"/>
        <v>0</v>
      </c>
      <c r="M3480" s="335"/>
      <c r="N3480" s="335"/>
      <c r="O3480" s="335"/>
      <c r="P3480" s="335"/>
      <c r="Q3480" s="130">
        <v>1</v>
      </c>
      <c r="R3480" s="131">
        <f t="shared" si="768"/>
        <v>62.5</v>
      </c>
      <c r="S3480" s="130"/>
      <c r="T3480" s="130"/>
      <c r="U3480" s="130">
        <v>0</v>
      </c>
      <c r="V3480" s="131">
        <f t="shared" si="769"/>
        <v>62.5</v>
      </c>
      <c r="W3480" s="130"/>
      <c r="X3480" s="130"/>
      <c r="Y3480" s="130"/>
      <c r="Z3480" s="130"/>
      <c r="AA3480" s="130">
        <v>0</v>
      </c>
      <c r="AB3480" s="131">
        <f t="shared" si="775"/>
        <v>62.5</v>
      </c>
      <c r="AC3480" s="130"/>
      <c r="AD3480" s="130"/>
      <c r="AE3480" s="130">
        <v>0</v>
      </c>
      <c r="AF3480" s="131">
        <f t="shared" si="776"/>
        <v>62.5</v>
      </c>
      <c r="AG3480" s="130"/>
      <c r="AH3480" s="130"/>
      <c r="AI3480" s="130"/>
      <c r="AJ3480" s="130"/>
      <c r="AK3480" s="131">
        <f t="shared" si="772"/>
        <v>250</v>
      </c>
      <c r="AL3480" s="446">
        <f t="shared" si="773"/>
        <v>0</v>
      </c>
      <c r="AM3480" s="110">
        <f t="shared" si="774"/>
        <v>1</v>
      </c>
      <c r="AN3480" s="447">
        <f t="shared" si="763"/>
        <v>0</v>
      </c>
      <c r="AO3480"/>
      <c r="AP3480"/>
    </row>
    <row r="3481" spans="1:42" s="108" customFormat="1" ht="66" x14ac:dyDescent="0.25">
      <c r="A3481" s="9"/>
      <c r="B3481" s="34" t="s">
        <v>2126</v>
      </c>
      <c r="C3481" s="9"/>
      <c r="D3481" s="899">
        <v>6</v>
      </c>
      <c r="E3481" s="254" t="s">
        <v>1721</v>
      </c>
      <c r="F3481" s="278" t="s">
        <v>3446</v>
      </c>
      <c r="G3481" s="1040" t="s">
        <v>3463</v>
      </c>
      <c r="H3481" s="273" t="s">
        <v>3462</v>
      </c>
      <c r="I3481" s="722">
        <f t="shared" si="770"/>
        <v>250</v>
      </c>
      <c r="J3481" s="780">
        <v>1500</v>
      </c>
      <c r="K3481" s="131">
        <f t="shared" si="764"/>
        <v>1500</v>
      </c>
      <c r="L3481" s="335">
        <f t="shared" si="771"/>
        <v>0</v>
      </c>
      <c r="M3481" s="335"/>
      <c r="N3481" s="335"/>
      <c r="O3481" s="335"/>
      <c r="P3481" s="335"/>
      <c r="Q3481" s="130">
        <v>2</v>
      </c>
      <c r="R3481" s="131">
        <f t="shared" si="768"/>
        <v>375</v>
      </c>
      <c r="S3481" s="130"/>
      <c r="T3481" s="130"/>
      <c r="U3481" s="130">
        <v>2</v>
      </c>
      <c r="V3481" s="131">
        <f t="shared" si="769"/>
        <v>375</v>
      </c>
      <c r="W3481" s="130"/>
      <c r="X3481" s="130"/>
      <c r="Y3481" s="130"/>
      <c r="Z3481" s="130"/>
      <c r="AA3481" s="130">
        <v>1</v>
      </c>
      <c r="AB3481" s="131">
        <f t="shared" si="775"/>
        <v>375</v>
      </c>
      <c r="AC3481" s="130"/>
      <c r="AD3481" s="130"/>
      <c r="AE3481" s="130">
        <v>1</v>
      </c>
      <c r="AF3481" s="131">
        <f t="shared" si="776"/>
        <v>375</v>
      </c>
      <c r="AG3481" s="130"/>
      <c r="AH3481" s="130"/>
      <c r="AI3481" s="130"/>
      <c r="AJ3481" s="130"/>
      <c r="AK3481" s="131">
        <f t="shared" si="772"/>
        <v>1500</v>
      </c>
      <c r="AL3481" s="446">
        <f t="shared" si="773"/>
        <v>0</v>
      </c>
      <c r="AM3481" s="110">
        <f t="shared" si="774"/>
        <v>6</v>
      </c>
      <c r="AN3481" s="447">
        <f t="shared" si="763"/>
        <v>0</v>
      </c>
      <c r="AO3481"/>
      <c r="AP3481"/>
    </row>
    <row r="3482" spans="1:42" s="108" customFormat="1" ht="66" x14ac:dyDescent="0.25">
      <c r="A3482" s="9"/>
      <c r="B3482" s="34" t="s">
        <v>2163</v>
      </c>
      <c r="C3482" s="9"/>
      <c r="D3482" s="899">
        <v>1</v>
      </c>
      <c r="E3482" s="254" t="s">
        <v>1721</v>
      </c>
      <c r="F3482" s="278" t="s">
        <v>3446</v>
      </c>
      <c r="G3482" s="1040" t="s">
        <v>3463</v>
      </c>
      <c r="H3482" s="273" t="s">
        <v>3462</v>
      </c>
      <c r="I3482" s="722">
        <f t="shared" si="770"/>
        <v>386.38079999999997</v>
      </c>
      <c r="J3482" s="780">
        <v>386.38079999999997</v>
      </c>
      <c r="K3482" s="131">
        <f t="shared" si="764"/>
        <v>386.38079999999997</v>
      </c>
      <c r="L3482" s="335">
        <f t="shared" si="771"/>
        <v>0</v>
      </c>
      <c r="M3482" s="335"/>
      <c r="N3482" s="335"/>
      <c r="O3482" s="335"/>
      <c r="P3482" s="335"/>
      <c r="Q3482" s="130">
        <v>1</v>
      </c>
      <c r="R3482" s="131">
        <f t="shared" si="768"/>
        <v>96.595199999999991</v>
      </c>
      <c r="S3482" s="130"/>
      <c r="T3482" s="130"/>
      <c r="U3482" s="130">
        <v>0</v>
      </c>
      <c r="V3482" s="131">
        <f t="shared" si="769"/>
        <v>96.595199999999991</v>
      </c>
      <c r="W3482" s="130"/>
      <c r="X3482" s="130"/>
      <c r="Y3482" s="130"/>
      <c r="Z3482" s="130"/>
      <c r="AA3482" s="130">
        <v>0</v>
      </c>
      <c r="AB3482" s="131">
        <f t="shared" si="775"/>
        <v>96.595199999999991</v>
      </c>
      <c r="AC3482" s="130"/>
      <c r="AD3482" s="130"/>
      <c r="AE3482" s="130">
        <v>0</v>
      </c>
      <c r="AF3482" s="131">
        <f t="shared" si="776"/>
        <v>96.595199999999991</v>
      </c>
      <c r="AG3482" s="130"/>
      <c r="AH3482" s="130"/>
      <c r="AI3482" s="130"/>
      <c r="AJ3482" s="130"/>
      <c r="AK3482" s="131">
        <f t="shared" si="772"/>
        <v>386.38079999999997</v>
      </c>
      <c r="AL3482" s="446">
        <f t="shared" si="773"/>
        <v>0</v>
      </c>
      <c r="AM3482" s="110">
        <f t="shared" si="774"/>
        <v>1</v>
      </c>
      <c r="AN3482" s="447">
        <f t="shared" ref="AN3482:AN3545" si="777">+D3482-AM3482</f>
        <v>0</v>
      </c>
      <c r="AO3482"/>
      <c r="AP3482"/>
    </row>
    <row r="3483" spans="1:42" s="108" customFormat="1" ht="66" x14ac:dyDescent="0.25">
      <c r="A3483" s="9"/>
      <c r="B3483" s="34" t="s">
        <v>2164</v>
      </c>
      <c r="C3483" s="9"/>
      <c r="D3483" s="899">
        <v>3</v>
      </c>
      <c r="E3483" s="254" t="s">
        <v>1721</v>
      </c>
      <c r="F3483" s="278" t="s">
        <v>3446</v>
      </c>
      <c r="G3483" s="1040" t="s">
        <v>3463</v>
      </c>
      <c r="H3483" s="273" t="s">
        <v>3462</v>
      </c>
      <c r="I3483" s="722">
        <f t="shared" si="770"/>
        <v>69.832799999999992</v>
      </c>
      <c r="J3483" s="780">
        <v>209.49839999999998</v>
      </c>
      <c r="K3483" s="131">
        <f t="shared" si="764"/>
        <v>209.49839999999998</v>
      </c>
      <c r="L3483" s="335">
        <f t="shared" si="771"/>
        <v>0</v>
      </c>
      <c r="M3483" s="335"/>
      <c r="N3483" s="335"/>
      <c r="O3483" s="335"/>
      <c r="P3483" s="335"/>
      <c r="Q3483" s="130">
        <v>1</v>
      </c>
      <c r="R3483" s="131">
        <f t="shared" si="768"/>
        <v>52.374599999999994</v>
      </c>
      <c r="S3483" s="130"/>
      <c r="T3483" s="130"/>
      <c r="U3483" s="130">
        <v>1</v>
      </c>
      <c r="V3483" s="131">
        <f t="shared" si="769"/>
        <v>52.374599999999994</v>
      </c>
      <c r="W3483" s="130"/>
      <c r="X3483" s="130"/>
      <c r="Y3483" s="130"/>
      <c r="Z3483" s="130"/>
      <c r="AA3483" s="130">
        <v>1</v>
      </c>
      <c r="AB3483" s="131">
        <f t="shared" si="775"/>
        <v>52.374599999999994</v>
      </c>
      <c r="AC3483" s="130"/>
      <c r="AD3483" s="130"/>
      <c r="AE3483" s="130">
        <v>0</v>
      </c>
      <c r="AF3483" s="131">
        <f t="shared" si="776"/>
        <v>52.374599999999994</v>
      </c>
      <c r="AG3483" s="130"/>
      <c r="AH3483" s="130"/>
      <c r="AI3483" s="130"/>
      <c r="AJ3483" s="130"/>
      <c r="AK3483" s="131">
        <f t="shared" si="772"/>
        <v>209.49839999999998</v>
      </c>
      <c r="AL3483" s="446">
        <f t="shared" si="773"/>
        <v>0</v>
      </c>
      <c r="AM3483" s="110">
        <f t="shared" si="774"/>
        <v>3</v>
      </c>
      <c r="AN3483" s="447">
        <f t="shared" si="777"/>
        <v>0</v>
      </c>
      <c r="AO3483"/>
      <c r="AP3483"/>
    </row>
    <row r="3484" spans="1:42" s="108" customFormat="1" ht="66" x14ac:dyDescent="0.25">
      <c r="A3484" s="9"/>
      <c r="B3484" s="34" t="s">
        <v>2165</v>
      </c>
      <c r="C3484" s="9"/>
      <c r="D3484" s="899">
        <v>3</v>
      </c>
      <c r="E3484" s="254" t="s">
        <v>1721</v>
      </c>
      <c r="F3484" s="278" t="s">
        <v>3446</v>
      </c>
      <c r="G3484" s="1040" t="s">
        <v>3463</v>
      </c>
      <c r="H3484" s="273" t="s">
        <v>3462</v>
      </c>
      <c r="I3484" s="722">
        <f t="shared" si="770"/>
        <v>3000</v>
      </c>
      <c r="J3484" s="780">
        <v>9000</v>
      </c>
      <c r="K3484" s="131">
        <f t="shared" si="764"/>
        <v>9000</v>
      </c>
      <c r="L3484" s="335">
        <f t="shared" si="771"/>
        <v>0</v>
      </c>
      <c r="M3484" s="335"/>
      <c r="N3484" s="335"/>
      <c r="O3484" s="335"/>
      <c r="P3484" s="335"/>
      <c r="Q3484" s="130">
        <v>1</v>
      </c>
      <c r="R3484" s="131">
        <f t="shared" si="768"/>
        <v>2250</v>
      </c>
      <c r="S3484" s="130"/>
      <c r="T3484" s="130"/>
      <c r="U3484" s="130">
        <v>1</v>
      </c>
      <c r="V3484" s="131">
        <f t="shared" si="769"/>
        <v>2250</v>
      </c>
      <c r="W3484" s="130"/>
      <c r="X3484" s="130"/>
      <c r="Y3484" s="130"/>
      <c r="Z3484" s="130"/>
      <c r="AA3484" s="130">
        <v>1</v>
      </c>
      <c r="AB3484" s="131">
        <f t="shared" si="775"/>
        <v>2250</v>
      </c>
      <c r="AC3484" s="130"/>
      <c r="AD3484" s="130"/>
      <c r="AE3484" s="130">
        <v>0</v>
      </c>
      <c r="AF3484" s="131">
        <f t="shared" si="776"/>
        <v>2250</v>
      </c>
      <c r="AG3484" s="130"/>
      <c r="AH3484" s="130"/>
      <c r="AI3484" s="130"/>
      <c r="AJ3484" s="130"/>
      <c r="AK3484" s="131">
        <f t="shared" si="772"/>
        <v>9000</v>
      </c>
      <c r="AL3484" s="446">
        <f t="shared" si="773"/>
        <v>0</v>
      </c>
      <c r="AM3484" s="110">
        <f t="shared" si="774"/>
        <v>3</v>
      </c>
      <c r="AN3484" s="447">
        <f t="shared" si="777"/>
        <v>0</v>
      </c>
      <c r="AO3484"/>
      <c r="AP3484"/>
    </row>
    <row r="3485" spans="1:42" s="108" customFormat="1" ht="66" x14ac:dyDescent="0.25">
      <c r="A3485" s="9"/>
      <c r="B3485" s="45" t="s">
        <v>2197</v>
      </c>
      <c r="C3485" s="9"/>
      <c r="D3485" s="899">
        <v>3</v>
      </c>
      <c r="E3485" s="254" t="s">
        <v>1721</v>
      </c>
      <c r="F3485" s="278" t="s">
        <v>3446</v>
      </c>
      <c r="G3485" s="1040" t="s">
        <v>3463</v>
      </c>
      <c r="H3485" s="273" t="s">
        <v>3462</v>
      </c>
      <c r="I3485" s="722">
        <f t="shared" si="770"/>
        <v>157.35</v>
      </c>
      <c r="J3485" s="780">
        <v>472.04999999999995</v>
      </c>
      <c r="K3485" s="131">
        <f t="shared" ref="K3485:K3548" si="778">+D3485*I3485</f>
        <v>472.04999999999995</v>
      </c>
      <c r="L3485" s="335">
        <f t="shared" si="771"/>
        <v>0</v>
      </c>
      <c r="M3485" s="335"/>
      <c r="N3485" s="335"/>
      <c r="O3485" s="335"/>
      <c r="P3485" s="335"/>
      <c r="Q3485" s="130">
        <v>1</v>
      </c>
      <c r="R3485" s="131">
        <f t="shared" si="768"/>
        <v>118.01249999999999</v>
      </c>
      <c r="S3485" s="130"/>
      <c r="T3485" s="130"/>
      <c r="U3485" s="130">
        <v>1</v>
      </c>
      <c r="V3485" s="131">
        <f t="shared" si="769"/>
        <v>118.01249999999999</v>
      </c>
      <c r="W3485" s="130"/>
      <c r="X3485" s="130"/>
      <c r="Y3485" s="130"/>
      <c r="Z3485" s="130"/>
      <c r="AA3485" s="130">
        <v>1</v>
      </c>
      <c r="AB3485" s="131">
        <f t="shared" si="775"/>
        <v>118.01249999999999</v>
      </c>
      <c r="AC3485" s="130"/>
      <c r="AD3485" s="130"/>
      <c r="AE3485" s="130">
        <v>0</v>
      </c>
      <c r="AF3485" s="131">
        <f t="shared" si="776"/>
        <v>118.01249999999999</v>
      </c>
      <c r="AG3485" s="130"/>
      <c r="AH3485" s="130"/>
      <c r="AI3485" s="130"/>
      <c r="AJ3485" s="130"/>
      <c r="AK3485" s="131">
        <f t="shared" si="772"/>
        <v>472.04999999999995</v>
      </c>
      <c r="AL3485" s="446">
        <f t="shared" si="773"/>
        <v>0</v>
      </c>
      <c r="AM3485" s="110">
        <f t="shared" si="774"/>
        <v>3</v>
      </c>
      <c r="AN3485" s="447">
        <f t="shared" si="777"/>
        <v>0</v>
      </c>
      <c r="AO3485"/>
      <c r="AP3485"/>
    </row>
    <row r="3486" spans="1:42" s="108" customFormat="1" ht="66" x14ac:dyDescent="0.25">
      <c r="A3486" s="9"/>
      <c r="B3486" s="45" t="s">
        <v>2198</v>
      </c>
      <c r="C3486" s="9"/>
      <c r="D3486" s="899">
        <v>5</v>
      </c>
      <c r="E3486" s="254" t="s">
        <v>1721</v>
      </c>
      <c r="F3486" s="278" t="s">
        <v>3446</v>
      </c>
      <c r="G3486" s="1040" t="s">
        <v>3463</v>
      </c>
      <c r="H3486" s="273" t="s">
        <v>3462</v>
      </c>
      <c r="I3486" s="722">
        <f t="shared" si="770"/>
        <v>116.38</v>
      </c>
      <c r="J3486" s="780">
        <v>581.9</v>
      </c>
      <c r="K3486" s="131">
        <f t="shared" si="778"/>
        <v>581.9</v>
      </c>
      <c r="L3486" s="335">
        <f t="shared" si="771"/>
        <v>0</v>
      </c>
      <c r="M3486" s="335"/>
      <c r="N3486" s="335"/>
      <c r="O3486" s="335"/>
      <c r="P3486" s="335"/>
      <c r="Q3486" s="130">
        <v>2</v>
      </c>
      <c r="R3486" s="131">
        <f t="shared" si="768"/>
        <v>145.47499999999999</v>
      </c>
      <c r="S3486" s="130"/>
      <c r="T3486" s="130"/>
      <c r="U3486" s="130">
        <v>1</v>
      </c>
      <c r="V3486" s="131">
        <f t="shared" si="769"/>
        <v>145.47499999999999</v>
      </c>
      <c r="W3486" s="130"/>
      <c r="X3486" s="130"/>
      <c r="Y3486" s="130"/>
      <c r="Z3486" s="130"/>
      <c r="AA3486" s="130">
        <v>1</v>
      </c>
      <c r="AB3486" s="131">
        <f t="shared" si="775"/>
        <v>145.47499999999999</v>
      </c>
      <c r="AC3486" s="130"/>
      <c r="AD3486" s="130"/>
      <c r="AE3486" s="130">
        <v>1</v>
      </c>
      <c r="AF3486" s="131">
        <f t="shared" si="776"/>
        <v>145.47499999999999</v>
      </c>
      <c r="AG3486" s="130"/>
      <c r="AH3486" s="130"/>
      <c r="AI3486" s="130"/>
      <c r="AJ3486" s="130"/>
      <c r="AK3486" s="131">
        <f t="shared" si="772"/>
        <v>581.9</v>
      </c>
      <c r="AL3486" s="446">
        <f t="shared" si="773"/>
        <v>0</v>
      </c>
      <c r="AM3486" s="110">
        <f t="shared" si="774"/>
        <v>5</v>
      </c>
      <c r="AN3486" s="447">
        <f t="shared" si="777"/>
        <v>0</v>
      </c>
      <c r="AO3486"/>
      <c r="AP3486"/>
    </row>
    <row r="3487" spans="1:42" s="108" customFormat="1" ht="66" x14ac:dyDescent="0.25">
      <c r="A3487" s="9"/>
      <c r="B3487" s="49" t="s">
        <v>1099</v>
      </c>
      <c r="C3487" s="9"/>
      <c r="D3487" s="869">
        <v>6</v>
      </c>
      <c r="E3487" s="1027" t="s">
        <v>1721</v>
      </c>
      <c r="F3487" s="278" t="s">
        <v>3446</v>
      </c>
      <c r="G3487" s="1040" t="s">
        <v>3463</v>
      </c>
      <c r="H3487" s="273" t="s">
        <v>3462</v>
      </c>
      <c r="I3487" s="722">
        <f t="shared" si="770"/>
        <v>271.48</v>
      </c>
      <c r="J3487" s="756">
        <v>1628.88</v>
      </c>
      <c r="K3487" s="131">
        <f t="shared" si="778"/>
        <v>1628.88</v>
      </c>
      <c r="L3487" s="335">
        <f t="shared" si="771"/>
        <v>0</v>
      </c>
      <c r="M3487" s="335"/>
      <c r="N3487" s="335"/>
      <c r="O3487" s="335"/>
      <c r="P3487" s="335"/>
      <c r="Q3487" s="130">
        <v>2</v>
      </c>
      <c r="R3487" s="131">
        <f t="shared" si="768"/>
        <v>407.22</v>
      </c>
      <c r="S3487" s="130"/>
      <c r="T3487" s="130"/>
      <c r="U3487" s="130">
        <v>2</v>
      </c>
      <c r="V3487" s="131">
        <f t="shared" si="769"/>
        <v>407.22</v>
      </c>
      <c r="W3487" s="130"/>
      <c r="X3487" s="130"/>
      <c r="Y3487" s="130"/>
      <c r="Z3487" s="130"/>
      <c r="AA3487" s="130">
        <v>1</v>
      </c>
      <c r="AB3487" s="131">
        <f t="shared" si="775"/>
        <v>407.22</v>
      </c>
      <c r="AC3487" s="130"/>
      <c r="AD3487" s="130"/>
      <c r="AE3487" s="130">
        <v>1</v>
      </c>
      <c r="AF3487" s="131">
        <f t="shared" si="776"/>
        <v>407.22</v>
      </c>
      <c r="AG3487" s="130"/>
      <c r="AH3487" s="130"/>
      <c r="AI3487" s="130"/>
      <c r="AJ3487" s="130"/>
      <c r="AK3487" s="131">
        <f t="shared" si="772"/>
        <v>1628.88</v>
      </c>
      <c r="AL3487" s="446">
        <f t="shared" si="773"/>
        <v>0</v>
      </c>
      <c r="AM3487" s="110">
        <f t="shared" si="774"/>
        <v>6</v>
      </c>
      <c r="AN3487" s="447">
        <f t="shared" si="777"/>
        <v>0</v>
      </c>
      <c r="AO3487"/>
      <c r="AP3487"/>
    </row>
    <row r="3488" spans="1:42" s="108" customFormat="1" ht="66" x14ac:dyDescent="0.25">
      <c r="A3488" s="9"/>
      <c r="B3488" s="49" t="s">
        <v>2447</v>
      </c>
      <c r="C3488" s="9"/>
      <c r="D3488" s="869">
        <v>3</v>
      </c>
      <c r="E3488" s="1027" t="s">
        <v>1721</v>
      </c>
      <c r="F3488" s="278" t="s">
        <v>3446</v>
      </c>
      <c r="G3488" s="1040" t="s">
        <v>3463</v>
      </c>
      <c r="H3488" s="273" t="s">
        <v>3462</v>
      </c>
      <c r="I3488" s="722">
        <f t="shared" si="770"/>
        <v>271.48</v>
      </c>
      <c r="J3488" s="756">
        <v>814.44</v>
      </c>
      <c r="K3488" s="131">
        <f t="shared" si="778"/>
        <v>814.44</v>
      </c>
      <c r="L3488" s="335">
        <f t="shared" si="771"/>
        <v>0</v>
      </c>
      <c r="M3488" s="335"/>
      <c r="N3488" s="335"/>
      <c r="O3488" s="335"/>
      <c r="P3488" s="335"/>
      <c r="Q3488" s="130">
        <v>1</v>
      </c>
      <c r="R3488" s="131">
        <f t="shared" si="768"/>
        <v>203.61</v>
      </c>
      <c r="S3488" s="130"/>
      <c r="T3488" s="130"/>
      <c r="U3488" s="130">
        <v>1</v>
      </c>
      <c r="V3488" s="131">
        <f t="shared" si="769"/>
        <v>203.61</v>
      </c>
      <c r="W3488" s="130"/>
      <c r="X3488" s="130"/>
      <c r="Y3488" s="130"/>
      <c r="Z3488" s="130"/>
      <c r="AA3488" s="130">
        <v>1</v>
      </c>
      <c r="AB3488" s="131">
        <f t="shared" si="775"/>
        <v>203.61</v>
      </c>
      <c r="AC3488" s="130"/>
      <c r="AD3488" s="130"/>
      <c r="AE3488" s="130">
        <v>0</v>
      </c>
      <c r="AF3488" s="131">
        <f t="shared" si="776"/>
        <v>203.61</v>
      </c>
      <c r="AG3488" s="130"/>
      <c r="AH3488" s="130"/>
      <c r="AI3488" s="130"/>
      <c r="AJ3488" s="130"/>
      <c r="AK3488" s="131">
        <f t="shared" si="772"/>
        <v>814.44</v>
      </c>
      <c r="AL3488" s="446">
        <f t="shared" si="773"/>
        <v>0</v>
      </c>
      <c r="AM3488" s="110">
        <f t="shared" si="774"/>
        <v>3</v>
      </c>
      <c r="AN3488" s="447">
        <f t="shared" si="777"/>
        <v>0</v>
      </c>
      <c r="AO3488"/>
      <c r="AP3488"/>
    </row>
    <row r="3489" spans="1:42" s="108" customFormat="1" ht="66" x14ac:dyDescent="0.25">
      <c r="A3489" s="9"/>
      <c r="B3489" s="49" t="s">
        <v>2448</v>
      </c>
      <c r="C3489" s="9"/>
      <c r="D3489" s="869">
        <v>6</v>
      </c>
      <c r="E3489" s="1027" t="s">
        <v>1721</v>
      </c>
      <c r="F3489" s="278" t="s">
        <v>3446</v>
      </c>
      <c r="G3489" s="1040" t="s">
        <v>3463</v>
      </c>
      <c r="H3489" s="273" t="s">
        <v>3462</v>
      </c>
      <c r="I3489" s="722">
        <f t="shared" si="770"/>
        <v>271.48</v>
      </c>
      <c r="J3489" s="756">
        <v>1628.88</v>
      </c>
      <c r="K3489" s="131">
        <f t="shared" si="778"/>
        <v>1628.88</v>
      </c>
      <c r="L3489" s="335">
        <f t="shared" si="771"/>
        <v>0</v>
      </c>
      <c r="M3489" s="335"/>
      <c r="N3489" s="335"/>
      <c r="O3489" s="335"/>
      <c r="P3489" s="335"/>
      <c r="Q3489" s="130">
        <v>2</v>
      </c>
      <c r="R3489" s="131">
        <f t="shared" si="768"/>
        <v>407.22</v>
      </c>
      <c r="S3489" s="130"/>
      <c r="T3489" s="130"/>
      <c r="U3489" s="130">
        <v>2</v>
      </c>
      <c r="V3489" s="131">
        <f t="shared" si="769"/>
        <v>407.22</v>
      </c>
      <c r="W3489" s="130"/>
      <c r="X3489" s="130"/>
      <c r="Y3489" s="130"/>
      <c r="Z3489" s="130"/>
      <c r="AA3489" s="130">
        <v>1</v>
      </c>
      <c r="AB3489" s="131">
        <f t="shared" si="775"/>
        <v>407.22</v>
      </c>
      <c r="AC3489" s="130"/>
      <c r="AD3489" s="130"/>
      <c r="AE3489" s="130">
        <v>1</v>
      </c>
      <c r="AF3489" s="131">
        <f t="shared" si="776"/>
        <v>407.22</v>
      </c>
      <c r="AG3489" s="130"/>
      <c r="AH3489" s="130"/>
      <c r="AI3489" s="130"/>
      <c r="AJ3489" s="130"/>
      <c r="AK3489" s="131">
        <f t="shared" si="772"/>
        <v>1628.88</v>
      </c>
      <c r="AL3489" s="446">
        <f t="shared" si="773"/>
        <v>0</v>
      </c>
      <c r="AM3489" s="110">
        <f t="shared" si="774"/>
        <v>6</v>
      </c>
      <c r="AN3489" s="447">
        <f t="shared" si="777"/>
        <v>0</v>
      </c>
      <c r="AO3489"/>
      <c r="AP3489"/>
    </row>
    <row r="3490" spans="1:42" s="108" customFormat="1" ht="66" x14ac:dyDescent="0.25">
      <c r="A3490" s="9"/>
      <c r="B3490" s="59" t="s">
        <v>2449</v>
      </c>
      <c r="C3490" s="9"/>
      <c r="D3490" s="869">
        <v>1</v>
      </c>
      <c r="E3490" s="1027" t="s">
        <v>1721</v>
      </c>
      <c r="F3490" s="278" t="s">
        <v>3446</v>
      </c>
      <c r="G3490" s="1040" t="s">
        <v>3463</v>
      </c>
      <c r="H3490" s="273" t="s">
        <v>3462</v>
      </c>
      <c r="I3490" s="722">
        <f t="shared" si="770"/>
        <v>1348</v>
      </c>
      <c r="J3490" s="756">
        <v>1348</v>
      </c>
      <c r="K3490" s="131">
        <f t="shared" si="778"/>
        <v>1348</v>
      </c>
      <c r="L3490" s="335">
        <f t="shared" si="771"/>
        <v>0</v>
      </c>
      <c r="M3490" s="335"/>
      <c r="N3490" s="335"/>
      <c r="O3490" s="335"/>
      <c r="P3490" s="335"/>
      <c r="Q3490" s="130">
        <v>1</v>
      </c>
      <c r="R3490" s="131">
        <f t="shared" si="768"/>
        <v>337</v>
      </c>
      <c r="S3490" s="130"/>
      <c r="T3490" s="130"/>
      <c r="U3490" s="130">
        <v>0</v>
      </c>
      <c r="V3490" s="131">
        <f t="shared" si="769"/>
        <v>337</v>
      </c>
      <c r="W3490" s="130"/>
      <c r="X3490" s="130"/>
      <c r="Y3490" s="130"/>
      <c r="Z3490" s="130"/>
      <c r="AA3490" s="130">
        <v>0</v>
      </c>
      <c r="AB3490" s="131">
        <f t="shared" si="775"/>
        <v>337</v>
      </c>
      <c r="AC3490" s="130"/>
      <c r="AD3490" s="130"/>
      <c r="AE3490" s="130">
        <v>0</v>
      </c>
      <c r="AF3490" s="131">
        <f t="shared" si="776"/>
        <v>337</v>
      </c>
      <c r="AG3490" s="130"/>
      <c r="AH3490" s="130"/>
      <c r="AI3490" s="130"/>
      <c r="AJ3490" s="130"/>
      <c r="AK3490" s="131">
        <f t="shared" si="772"/>
        <v>1348</v>
      </c>
      <c r="AL3490" s="446">
        <f t="shared" si="773"/>
        <v>0</v>
      </c>
      <c r="AM3490" s="110">
        <f t="shared" si="774"/>
        <v>1</v>
      </c>
      <c r="AN3490" s="447">
        <f t="shared" si="777"/>
        <v>0</v>
      </c>
      <c r="AO3490"/>
      <c r="AP3490"/>
    </row>
    <row r="3491" spans="1:42" s="108" customFormat="1" ht="66" x14ac:dyDescent="0.25">
      <c r="A3491" s="9"/>
      <c r="B3491" s="59" t="s">
        <v>2450</v>
      </c>
      <c r="C3491" s="9"/>
      <c r="D3491" s="869">
        <v>1</v>
      </c>
      <c r="E3491" s="1027" t="s">
        <v>1721</v>
      </c>
      <c r="F3491" s="278" t="s">
        <v>3446</v>
      </c>
      <c r="G3491" s="1040" t="s">
        <v>3463</v>
      </c>
      <c r="H3491" s="273" t="s">
        <v>3462</v>
      </c>
      <c r="I3491" s="722">
        <f t="shared" si="770"/>
        <v>1453.19</v>
      </c>
      <c r="J3491" s="756">
        <v>1453.19</v>
      </c>
      <c r="K3491" s="131">
        <f t="shared" si="778"/>
        <v>1453.19</v>
      </c>
      <c r="L3491" s="335">
        <f t="shared" si="771"/>
        <v>0</v>
      </c>
      <c r="M3491" s="335"/>
      <c r="N3491" s="335"/>
      <c r="O3491" s="335"/>
      <c r="P3491" s="335"/>
      <c r="Q3491" s="130">
        <v>1</v>
      </c>
      <c r="R3491" s="131">
        <f t="shared" si="768"/>
        <v>363.29750000000001</v>
      </c>
      <c r="S3491" s="130"/>
      <c r="T3491" s="130"/>
      <c r="U3491" s="130">
        <v>0</v>
      </c>
      <c r="V3491" s="131">
        <f t="shared" si="769"/>
        <v>363.29750000000001</v>
      </c>
      <c r="W3491" s="130"/>
      <c r="X3491" s="130"/>
      <c r="Y3491" s="130"/>
      <c r="Z3491" s="130"/>
      <c r="AA3491" s="130">
        <v>0</v>
      </c>
      <c r="AB3491" s="131">
        <f t="shared" si="775"/>
        <v>363.29750000000001</v>
      </c>
      <c r="AC3491" s="130"/>
      <c r="AD3491" s="130"/>
      <c r="AE3491" s="130">
        <v>0</v>
      </c>
      <c r="AF3491" s="131">
        <f t="shared" si="776"/>
        <v>363.29750000000001</v>
      </c>
      <c r="AG3491" s="130"/>
      <c r="AH3491" s="130"/>
      <c r="AI3491" s="130"/>
      <c r="AJ3491" s="130"/>
      <c r="AK3491" s="131">
        <f t="shared" si="772"/>
        <v>1453.19</v>
      </c>
      <c r="AL3491" s="446">
        <f t="shared" si="773"/>
        <v>0</v>
      </c>
      <c r="AM3491" s="110">
        <f t="shared" si="774"/>
        <v>1</v>
      </c>
      <c r="AN3491" s="447">
        <f t="shared" si="777"/>
        <v>0</v>
      </c>
      <c r="AO3491"/>
      <c r="AP3491"/>
    </row>
    <row r="3492" spans="1:42" s="108" customFormat="1" ht="66" x14ac:dyDescent="0.25">
      <c r="A3492" s="9"/>
      <c r="B3492" s="690" t="s">
        <v>2451</v>
      </c>
      <c r="C3492" s="9"/>
      <c r="D3492" s="869">
        <v>1</v>
      </c>
      <c r="E3492" s="1027" t="s">
        <v>1721</v>
      </c>
      <c r="F3492" s="278" t="s">
        <v>3446</v>
      </c>
      <c r="G3492" s="1040" t="s">
        <v>3463</v>
      </c>
      <c r="H3492" s="273" t="s">
        <v>3462</v>
      </c>
      <c r="I3492" s="722">
        <f t="shared" si="770"/>
        <v>1967.21</v>
      </c>
      <c r="J3492" s="756">
        <v>1967.21</v>
      </c>
      <c r="K3492" s="131">
        <f t="shared" si="778"/>
        <v>1967.21</v>
      </c>
      <c r="L3492" s="335">
        <f t="shared" si="771"/>
        <v>0</v>
      </c>
      <c r="M3492" s="335"/>
      <c r="N3492" s="335"/>
      <c r="O3492" s="335"/>
      <c r="P3492" s="335"/>
      <c r="Q3492" s="130">
        <v>1</v>
      </c>
      <c r="R3492" s="131">
        <f t="shared" si="768"/>
        <v>491.80250000000001</v>
      </c>
      <c r="S3492" s="130"/>
      <c r="T3492" s="130"/>
      <c r="U3492" s="130">
        <v>0</v>
      </c>
      <c r="V3492" s="131">
        <f t="shared" si="769"/>
        <v>491.80250000000001</v>
      </c>
      <c r="W3492" s="130"/>
      <c r="X3492" s="130"/>
      <c r="Y3492" s="130"/>
      <c r="Z3492" s="130"/>
      <c r="AA3492" s="130">
        <v>0</v>
      </c>
      <c r="AB3492" s="131">
        <f t="shared" si="775"/>
        <v>491.80250000000001</v>
      </c>
      <c r="AC3492" s="130"/>
      <c r="AD3492" s="130"/>
      <c r="AE3492" s="130">
        <v>0</v>
      </c>
      <c r="AF3492" s="131">
        <f t="shared" si="776"/>
        <v>491.80250000000001</v>
      </c>
      <c r="AG3492" s="130"/>
      <c r="AH3492" s="130"/>
      <c r="AI3492" s="130"/>
      <c r="AJ3492" s="130"/>
      <c r="AK3492" s="131">
        <f t="shared" si="772"/>
        <v>1967.21</v>
      </c>
      <c r="AL3492" s="446">
        <f t="shared" si="773"/>
        <v>0</v>
      </c>
      <c r="AM3492" s="110">
        <f t="shared" si="774"/>
        <v>1</v>
      </c>
      <c r="AN3492" s="447">
        <f t="shared" si="777"/>
        <v>0</v>
      </c>
      <c r="AO3492"/>
      <c r="AP3492"/>
    </row>
    <row r="3493" spans="1:42" s="108" customFormat="1" ht="66" x14ac:dyDescent="0.25">
      <c r="A3493" s="9"/>
      <c r="B3493" s="690" t="s">
        <v>1348</v>
      </c>
      <c r="C3493" s="9"/>
      <c r="D3493" s="869">
        <v>1</v>
      </c>
      <c r="E3493" s="1027" t="s">
        <v>1721</v>
      </c>
      <c r="F3493" s="278" t="s">
        <v>3446</v>
      </c>
      <c r="G3493" s="1040" t="s">
        <v>3463</v>
      </c>
      <c r="H3493" s="273" t="s">
        <v>3462</v>
      </c>
      <c r="I3493" s="722">
        <f t="shared" si="770"/>
        <v>591.20000000000005</v>
      </c>
      <c r="J3493" s="756">
        <v>591.20000000000005</v>
      </c>
      <c r="K3493" s="131">
        <f t="shared" si="778"/>
        <v>591.20000000000005</v>
      </c>
      <c r="L3493" s="335">
        <f t="shared" si="771"/>
        <v>0</v>
      </c>
      <c r="M3493" s="335"/>
      <c r="N3493" s="335"/>
      <c r="O3493" s="335"/>
      <c r="P3493" s="335"/>
      <c r="Q3493" s="130">
        <v>1</v>
      </c>
      <c r="R3493" s="131">
        <f t="shared" si="768"/>
        <v>147.80000000000001</v>
      </c>
      <c r="S3493" s="130"/>
      <c r="T3493" s="130"/>
      <c r="U3493" s="130">
        <v>0</v>
      </c>
      <c r="V3493" s="131">
        <f t="shared" si="769"/>
        <v>147.80000000000001</v>
      </c>
      <c r="W3493" s="130"/>
      <c r="X3493" s="130"/>
      <c r="Y3493" s="130"/>
      <c r="Z3493" s="130"/>
      <c r="AA3493" s="130">
        <v>0</v>
      </c>
      <c r="AB3493" s="131">
        <f t="shared" si="775"/>
        <v>147.80000000000001</v>
      </c>
      <c r="AC3493" s="130"/>
      <c r="AD3493" s="130"/>
      <c r="AE3493" s="130">
        <v>0</v>
      </c>
      <c r="AF3493" s="131">
        <f t="shared" si="776"/>
        <v>147.80000000000001</v>
      </c>
      <c r="AG3493" s="130"/>
      <c r="AH3493" s="130"/>
      <c r="AI3493" s="130"/>
      <c r="AJ3493" s="130"/>
      <c r="AK3493" s="131">
        <f t="shared" si="772"/>
        <v>591.20000000000005</v>
      </c>
      <c r="AL3493" s="446">
        <f t="shared" si="773"/>
        <v>0</v>
      </c>
      <c r="AM3493" s="110">
        <f t="shared" si="774"/>
        <v>1</v>
      </c>
      <c r="AN3493" s="447">
        <f t="shared" si="777"/>
        <v>0</v>
      </c>
      <c r="AO3493"/>
      <c r="AP3493"/>
    </row>
    <row r="3494" spans="1:42" s="108" customFormat="1" ht="66" x14ac:dyDescent="0.25">
      <c r="A3494" s="9"/>
      <c r="B3494" s="45" t="s">
        <v>2822</v>
      </c>
      <c r="C3494" s="9"/>
      <c r="D3494" s="899">
        <v>1</v>
      </c>
      <c r="E3494" s="254" t="s">
        <v>1721</v>
      </c>
      <c r="F3494" s="278" t="s">
        <v>3446</v>
      </c>
      <c r="G3494" s="1040" t="s">
        <v>3463</v>
      </c>
      <c r="H3494" s="273" t="s">
        <v>3462</v>
      </c>
      <c r="I3494" s="722">
        <f t="shared" si="770"/>
        <v>1148.3999999999999</v>
      </c>
      <c r="J3494" s="780">
        <v>1148.3999999999999</v>
      </c>
      <c r="K3494" s="131">
        <f t="shared" si="778"/>
        <v>1148.3999999999999</v>
      </c>
      <c r="L3494" s="335">
        <f t="shared" si="771"/>
        <v>0</v>
      </c>
      <c r="M3494" s="335"/>
      <c r="N3494" s="335"/>
      <c r="O3494" s="335"/>
      <c r="P3494" s="335"/>
      <c r="Q3494" s="130">
        <v>1</v>
      </c>
      <c r="R3494" s="131">
        <f t="shared" si="768"/>
        <v>287.09999999999997</v>
      </c>
      <c r="S3494" s="130"/>
      <c r="T3494" s="130"/>
      <c r="U3494" s="130">
        <v>0</v>
      </c>
      <c r="V3494" s="131">
        <f t="shared" si="769"/>
        <v>287.09999999999997</v>
      </c>
      <c r="W3494" s="130"/>
      <c r="X3494" s="130"/>
      <c r="Y3494" s="130"/>
      <c r="Z3494" s="130"/>
      <c r="AA3494" s="130">
        <v>0</v>
      </c>
      <c r="AB3494" s="131">
        <f t="shared" si="775"/>
        <v>287.09999999999997</v>
      </c>
      <c r="AC3494" s="130"/>
      <c r="AD3494" s="130"/>
      <c r="AE3494" s="130">
        <v>0</v>
      </c>
      <c r="AF3494" s="131">
        <f t="shared" si="776"/>
        <v>287.09999999999997</v>
      </c>
      <c r="AG3494" s="130"/>
      <c r="AH3494" s="130"/>
      <c r="AI3494" s="130"/>
      <c r="AJ3494" s="130"/>
      <c r="AK3494" s="131">
        <f t="shared" si="772"/>
        <v>1148.3999999999999</v>
      </c>
      <c r="AL3494" s="446">
        <f t="shared" si="773"/>
        <v>0</v>
      </c>
      <c r="AM3494" s="110">
        <f t="shared" si="774"/>
        <v>1</v>
      </c>
      <c r="AN3494" s="447">
        <f t="shared" si="777"/>
        <v>0</v>
      </c>
      <c r="AO3494"/>
      <c r="AP3494"/>
    </row>
    <row r="3495" spans="1:42" s="108" customFormat="1" ht="66" x14ac:dyDescent="0.25">
      <c r="A3495" s="9"/>
      <c r="B3495" s="45" t="s">
        <v>2823</v>
      </c>
      <c r="C3495" s="9"/>
      <c r="D3495" s="899">
        <v>6</v>
      </c>
      <c r="E3495" s="254" t="s">
        <v>1721</v>
      </c>
      <c r="F3495" s="278" t="s">
        <v>3446</v>
      </c>
      <c r="G3495" s="1040" t="s">
        <v>3463</v>
      </c>
      <c r="H3495" s="273" t="s">
        <v>3462</v>
      </c>
      <c r="I3495" s="722">
        <f t="shared" si="770"/>
        <v>140.35999999999999</v>
      </c>
      <c r="J3495" s="780">
        <v>842.15999999999985</v>
      </c>
      <c r="K3495" s="131">
        <f t="shared" si="778"/>
        <v>842.15999999999985</v>
      </c>
      <c r="L3495" s="335">
        <f t="shared" si="771"/>
        <v>0</v>
      </c>
      <c r="M3495" s="335"/>
      <c r="N3495" s="335"/>
      <c r="O3495" s="335"/>
      <c r="P3495" s="335"/>
      <c r="Q3495" s="130">
        <v>2</v>
      </c>
      <c r="R3495" s="131">
        <f t="shared" si="768"/>
        <v>210.53999999999996</v>
      </c>
      <c r="S3495" s="130"/>
      <c r="T3495" s="130"/>
      <c r="U3495" s="130">
        <v>2</v>
      </c>
      <c r="V3495" s="131">
        <f t="shared" si="769"/>
        <v>210.53999999999996</v>
      </c>
      <c r="W3495" s="130"/>
      <c r="X3495" s="130"/>
      <c r="Y3495" s="130"/>
      <c r="Z3495" s="130"/>
      <c r="AA3495" s="130">
        <v>1</v>
      </c>
      <c r="AB3495" s="131">
        <f t="shared" si="775"/>
        <v>210.53999999999996</v>
      </c>
      <c r="AC3495" s="130"/>
      <c r="AD3495" s="130"/>
      <c r="AE3495" s="130">
        <v>1</v>
      </c>
      <c r="AF3495" s="131">
        <f t="shared" si="776"/>
        <v>210.53999999999996</v>
      </c>
      <c r="AG3495" s="130"/>
      <c r="AH3495" s="130"/>
      <c r="AI3495" s="130"/>
      <c r="AJ3495" s="130"/>
      <c r="AK3495" s="131">
        <f t="shared" si="772"/>
        <v>842.15999999999985</v>
      </c>
      <c r="AL3495" s="446">
        <f t="shared" si="773"/>
        <v>0</v>
      </c>
      <c r="AM3495" s="110">
        <f t="shared" si="774"/>
        <v>6</v>
      </c>
      <c r="AN3495" s="447">
        <f t="shared" si="777"/>
        <v>0</v>
      </c>
      <c r="AO3495"/>
      <c r="AP3495"/>
    </row>
    <row r="3496" spans="1:42" s="108" customFormat="1" ht="66" x14ac:dyDescent="0.25">
      <c r="A3496" s="9"/>
      <c r="B3496" s="684" t="s">
        <v>3328</v>
      </c>
      <c r="C3496" s="9"/>
      <c r="D3496" s="869">
        <v>1</v>
      </c>
      <c r="E3496" s="329" t="s">
        <v>1767</v>
      </c>
      <c r="F3496" s="278" t="s">
        <v>3446</v>
      </c>
      <c r="G3496" s="1040" t="s">
        <v>3463</v>
      </c>
      <c r="H3496" s="273" t="s">
        <v>3462</v>
      </c>
      <c r="I3496" s="722">
        <f t="shared" si="770"/>
        <v>1500</v>
      </c>
      <c r="J3496" s="780">
        <v>1500</v>
      </c>
      <c r="K3496" s="131">
        <f t="shared" si="778"/>
        <v>1500</v>
      </c>
      <c r="L3496" s="335">
        <f t="shared" si="771"/>
        <v>0</v>
      </c>
      <c r="M3496" s="335"/>
      <c r="N3496" s="335"/>
      <c r="O3496" s="335"/>
      <c r="P3496" s="335"/>
      <c r="Q3496" s="130">
        <v>1</v>
      </c>
      <c r="R3496" s="131">
        <f t="shared" si="768"/>
        <v>375</v>
      </c>
      <c r="S3496" s="130"/>
      <c r="T3496" s="130"/>
      <c r="U3496" s="130">
        <v>0</v>
      </c>
      <c r="V3496" s="131">
        <f t="shared" si="769"/>
        <v>375</v>
      </c>
      <c r="W3496" s="130"/>
      <c r="X3496" s="130"/>
      <c r="Y3496" s="130"/>
      <c r="Z3496" s="130"/>
      <c r="AA3496" s="130">
        <v>0</v>
      </c>
      <c r="AB3496" s="131">
        <f t="shared" si="775"/>
        <v>375</v>
      </c>
      <c r="AC3496" s="130"/>
      <c r="AD3496" s="130"/>
      <c r="AE3496" s="130">
        <v>0</v>
      </c>
      <c r="AF3496" s="131">
        <f t="shared" si="776"/>
        <v>375</v>
      </c>
      <c r="AG3496" s="130"/>
      <c r="AH3496" s="130"/>
      <c r="AI3496" s="130"/>
      <c r="AJ3496" s="130"/>
      <c r="AK3496" s="131">
        <f t="shared" si="772"/>
        <v>1500</v>
      </c>
      <c r="AL3496" s="446">
        <f t="shared" si="773"/>
        <v>0</v>
      </c>
      <c r="AM3496" s="110">
        <f t="shared" si="774"/>
        <v>1</v>
      </c>
      <c r="AN3496" s="447">
        <f t="shared" si="777"/>
        <v>0</v>
      </c>
      <c r="AO3496"/>
      <c r="AP3496"/>
    </row>
    <row r="3497" spans="1:42" s="108" customFormat="1" ht="66" x14ac:dyDescent="0.25">
      <c r="A3497" s="9"/>
      <c r="B3497" s="684" t="s">
        <v>3329</v>
      </c>
      <c r="C3497" s="9"/>
      <c r="D3497" s="869">
        <v>1</v>
      </c>
      <c r="E3497" s="329" t="s">
        <v>1767</v>
      </c>
      <c r="F3497" s="278" t="s">
        <v>3446</v>
      </c>
      <c r="G3497" s="1040" t="s">
        <v>3463</v>
      </c>
      <c r="H3497" s="273" t="s">
        <v>3462</v>
      </c>
      <c r="I3497" s="722">
        <f t="shared" si="770"/>
        <v>504.24000000000018</v>
      </c>
      <c r="J3497" s="780">
        <v>504.24000000000018</v>
      </c>
      <c r="K3497" s="131">
        <f t="shared" si="778"/>
        <v>504.24000000000018</v>
      </c>
      <c r="L3497" s="335">
        <f t="shared" si="771"/>
        <v>0</v>
      </c>
      <c r="M3497" s="335"/>
      <c r="N3497" s="335"/>
      <c r="O3497" s="335"/>
      <c r="P3497" s="335"/>
      <c r="Q3497" s="130">
        <v>1</v>
      </c>
      <c r="R3497" s="131">
        <f t="shared" si="768"/>
        <v>126.06000000000004</v>
      </c>
      <c r="S3497" s="130"/>
      <c r="T3497" s="130"/>
      <c r="U3497" s="130">
        <v>0</v>
      </c>
      <c r="V3497" s="131">
        <f t="shared" si="769"/>
        <v>126.06000000000004</v>
      </c>
      <c r="W3497" s="130"/>
      <c r="X3497" s="130"/>
      <c r="Y3497" s="130"/>
      <c r="Z3497" s="130"/>
      <c r="AA3497" s="130">
        <v>0</v>
      </c>
      <c r="AB3497" s="131">
        <f t="shared" si="775"/>
        <v>126.06000000000004</v>
      </c>
      <c r="AC3497" s="130"/>
      <c r="AD3497" s="130"/>
      <c r="AE3497" s="130">
        <v>0</v>
      </c>
      <c r="AF3497" s="131">
        <f t="shared" si="776"/>
        <v>126.06000000000004</v>
      </c>
      <c r="AG3497" s="130"/>
      <c r="AH3497" s="130"/>
      <c r="AI3497" s="130"/>
      <c r="AJ3497" s="130"/>
      <c r="AK3497" s="131">
        <f t="shared" si="772"/>
        <v>504.24000000000018</v>
      </c>
      <c r="AL3497" s="446">
        <f t="shared" si="773"/>
        <v>0</v>
      </c>
      <c r="AM3497" s="110">
        <f t="shared" si="774"/>
        <v>1</v>
      </c>
      <c r="AN3497" s="447">
        <f t="shared" si="777"/>
        <v>0</v>
      </c>
      <c r="AO3497"/>
      <c r="AP3497"/>
    </row>
    <row r="3498" spans="1:42" s="108" customFormat="1" ht="66" x14ac:dyDescent="0.25">
      <c r="A3498" s="9"/>
      <c r="B3498" s="684" t="s">
        <v>3330</v>
      </c>
      <c r="C3498" s="9"/>
      <c r="D3498" s="869">
        <v>1</v>
      </c>
      <c r="E3498" s="329" t="s">
        <v>1767</v>
      </c>
      <c r="F3498" s="278" t="s">
        <v>3446</v>
      </c>
      <c r="G3498" s="1040" t="s">
        <v>3463</v>
      </c>
      <c r="H3498" s="273" t="s">
        <v>3462</v>
      </c>
      <c r="I3498" s="722">
        <f t="shared" si="770"/>
        <v>455.76000000000005</v>
      </c>
      <c r="J3498" s="780">
        <v>455.76000000000005</v>
      </c>
      <c r="K3498" s="131">
        <f t="shared" si="778"/>
        <v>455.76000000000005</v>
      </c>
      <c r="L3498" s="335">
        <f t="shared" si="771"/>
        <v>0</v>
      </c>
      <c r="M3498" s="335"/>
      <c r="N3498" s="335"/>
      <c r="O3498" s="335"/>
      <c r="P3498" s="335"/>
      <c r="Q3498" s="130">
        <v>1</v>
      </c>
      <c r="R3498" s="131">
        <f t="shared" si="768"/>
        <v>113.94000000000001</v>
      </c>
      <c r="S3498" s="130"/>
      <c r="T3498" s="130"/>
      <c r="U3498" s="130">
        <v>0</v>
      </c>
      <c r="V3498" s="131">
        <f t="shared" si="769"/>
        <v>113.94000000000001</v>
      </c>
      <c r="W3498" s="130"/>
      <c r="X3498" s="130"/>
      <c r="Y3498" s="130"/>
      <c r="Z3498" s="130"/>
      <c r="AA3498" s="130">
        <v>0</v>
      </c>
      <c r="AB3498" s="131">
        <f t="shared" si="775"/>
        <v>113.94000000000001</v>
      </c>
      <c r="AC3498" s="130"/>
      <c r="AD3498" s="130"/>
      <c r="AE3498" s="130">
        <v>0</v>
      </c>
      <c r="AF3498" s="131">
        <f t="shared" si="776"/>
        <v>113.94000000000001</v>
      </c>
      <c r="AG3498" s="130"/>
      <c r="AH3498" s="130"/>
      <c r="AI3498" s="130"/>
      <c r="AJ3498" s="130"/>
      <c r="AK3498" s="131">
        <f t="shared" si="772"/>
        <v>455.76000000000005</v>
      </c>
      <c r="AL3498" s="446">
        <f t="shared" si="773"/>
        <v>0</v>
      </c>
      <c r="AM3498" s="110">
        <f t="shared" si="774"/>
        <v>1</v>
      </c>
      <c r="AN3498" s="447">
        <f t="shared" si="777"/>
        <v>0</v>
      </c>
      <c r="AO3498"/>
      <c r="AP3498"/>
    </row>
    <row r="3499" spans="1:42" s="108" customFormat="1" ht="66" x14ac:dyDescent="0.25">
      <c r="A3499" s="9"/>
      <c r="B3499" s="684" t="s">
        <v>3331</v>
      </c>
      <c r="C3499" s="9"/>
      <c r="D3499" s="869">
        <v>1</v>
      </c>
      <c r="E3499" s="329" t="s">
        <v>1767</v>
      </c>
      <c r="F3499" s="278" t="s">
        <v>3446</v>
      </c>
      <c r="G3499" s="1040" t="s">
        <v>3463</v>
      </c>
      <c r="H3499" s="273" t="s">
        <v>3462</v>
      </c>
      <c r="I3499" s="722">
        <f t="shared" si="770"/>
        <v>540</v>
      </c>
      <c r="J3499" s="780">
        <v>540</v>
      </c>
      <c r="K3499" s="131">
        <f t="shared" si="778"/>
        <v>540</v>
      </c>
      <c r="L3499" s="335">
        <f t="shared" si="771"/>
        <v>0</v>
      </c>
      <c r="M3499" s="335"/>
      <c r="N3499" s="335"/>
      <c r="O3499" s="335"/>
      <c r="P3499" s="335"/>
      <c r="Q3499" s="130">
        <v>1</v>
      </c>
      <c r="R3499" s="131">
        <f t="shared" si="768"/>
        <v>135</v>
      </c>
      <c r="S3499" s="130"/>
      <c r="T3499" s="130"/>
      <c r="U3499" s="130">
        <v>0</v>
      </c>
      <c r="V3499" s="131">
        <f t="shared" si="769"/>
        <v>135</v>
      </c>
      <c r="W3499" s="130"/>
      <c r="X3499" s="130"/>
      <c r="Y3499" s="130"/>
      <c r="Z3499" s="130"/>
      <c r="AA3499" s="130">
        <v>0</v>
      </c>
      <c r="AB3499" s="131">
        <f t="shared" si="775"/>
        <v>135</v>
      </c>
      <c r="AC3499" s="130"/>
      <c r="AD3499" s="130"/>
      <c r="AE3499" s="130">
        <v>0</v>
      </c>
      <c r="AF3499" s="131">
        <f t="shared" si="776"/>
        <v>135</v>
      </c>
      <c r="AG3499" s="130"/>
      <c r="AH3499" s="130"/>
      <c r="AI3499" s="130"/>
      <c r="AJ3499" s="130"/>
      <c r="AK3499" s="131">
        <f t="shared" si="772"/>
        <v>540</v>
      </c>
      <c r="AL3499" s="446">
        <f t="shared" si="773"/>
        <v>0</v>
      </c>
      <c r="AM3499" s="110">
        <f t="shared" si="774"/>
        <v>1</v>
      </c>
      <c r="AN3499" s="447">
        <f t="shared" si="777"/>
        <v>0</v>
      </c>
      <c r="AO3499"/>
      <c r="AP3499"/>
    </row>
    <row r="3500" spans="1:42" ht="22.5" x14ac:dyDescent="0.25">
      <c r="A3500" s="376">
        <v>295</v>
      </c>
      <c r="B3500" s="565" t="s">
        <v>759</v>
      </c>
      <c r="C3500" s="376"/>
      <c r="D3500" s="927"/>
      <c r="E3500" s="377"/>
      <c r="F3500" s="378"/>
      <c r="G3500" s="378"/>
      <c r="H3500" s="378"/>
      <c r="I3500" s="734"/>
      <c r="J3500" s="806"/>
      <c r="K3500" s="131">
        <f t="shared" si="778"/>
        <v>0</v>
      </c>
      <c r="L3500" s="335">
        <f t="shared" si="771"/>
        <v>0</v>
      </c>
      <c r="M3500" s="419"/>
      <c r="N3500" s="419"/>
      <c r="O3500" s="419"/>
      <c r="P3500" s="419"/>
      <c r="Q3500" s="418">
        <f t="shared" ref="Q3500:Q3526" si="779">+$D3500/4</f>
        <v>0</v>
      </c>
      <c r="R3500" s="379">
        <f t="shared" si="768"/>
        <v>0</v>
      </c>
      <c r="S3500" s="418"/>
      <c r="T3500" s="418"/>
      <c r="U3500" s="418">
        <f t="shared" ref="U3500:U3526" si="780">+$D3500/4</f>
        <v>0</v>
      </c>
      <c r="V3500" s="379">
        <f t="shared" si="769"/>
        <v>0</v>
      </c>
      <c r="W3500" s="418"/>
      <c r="X3500" s="418"/>
      <c r="Y3500" s="418"/>
      <c r="Z3500" s="418"/>
      <c r="AA3500" s="418">
        <f t="shared" ref="AA3500:AE3526" si="781">+$D3500/4</f>
        <v>0</v>
      </c>
      <c r="AB3500" s="379">
        <f t="shared" si="775"/>
        <v>0</v>
      </c>
      <c r="AC3500" s="418"/>
      <c r="AD3500" s="418"/>
      <c r="AE3500" s="418">
        <f t="shared" si="781"/>
        <v>0</v>
      </c>
      <c r="AF3500" s="379">
        <f t="shared" si="776"/>
        <v>0</v>
      </c>
      <c r="AG3500" s="418"/>
      <c r="AH3500" s="418"/>
      <c r="AI3500" s="418"/>
      <c r="AJ3500" s="418"/>
      <c r="AK3500" s="379">
        <f t="shared" si="772"/>
        <v>0</v>
      </c>
      <c r="AL3500" s="446">
        <f t="shared" si="773"/>
        <v>0</v>
      </c>
      <c r="AM3500" s="110">
        <f t="shared" si="774"/>
        <v>0</v>
      </c>
      <c r="AN3500" s="447">
        <f t="shared" si="777"/>
        <v>0</v>
      </c>
      <c r="AO3500" s="108"/>
      <c r="AP3500"/>
    </row>
    <row r="3501" spans="1:42" ht="22.5" x14ac:dyDescent="0.25">
      <c r="A3501" s="310">
        <v>29501</v>
      </c>
      <c r="B3501" s="375" t="s">
        <v>759</v>
      </c>
      <c r="C3501" s="311"/>
      <c r="D3501" s="902"/>
      <c r="E3501" s="312"/>
      <c r="F3501" s="313"/>
      <c r="G3501" s="313"/>
      <c r="H3501" s="313"/>
      <c r="I3501" s="729"/>
      <c r="J3501" s="800"/>
      <c r="K3501" s="131">
        <f t="shared" si="778"/>
        <v>0</v>
      </c>
      <c r="L3501" s="335">
        <f t="shared" si="771"/>
        <v>0</v>
      </c>
      <c r="M3501" s="446"/>
      <c r="N3501" s="446"/>
      <c r="O3501" s="446"/>
      <c r="P3501" s="446"/>
      <c r="Q3501" s="387">
        <f t="shared" si="779"/>
        <v>0</v>
      </c>
      <c r="R3501" s="314">
        <f t="shared" si="768"/>
        <v>0</v>
      </c>
      <c r="S3501" s="387"/>
      <c r="T3501" s="387"/>
      <c r="U3501" s="387">
        <f t="shared" si="780"/>
        <v>0</v>
      </c>
      <c r="V3501" s="314">
        <f t="shared" si="769"/>
        <v>0</v>
      </c>
      <c r="W3501" s="387"/>
      <c r="X3501" s="387"/>
      <c r="Y3501" s="387"/>
      <c r="Z3501" s="387"/>
      <c r="AA3501" s="387">
        <f t="shared" si="781"/>
        <v>0</v>
      </c>
      <c r="AB3501" s="314">
        <f t="shared" si="775"/>
        <v>0</v>
      </c>
      <c r="AC3501" s="387"/>
      <c r="AD3501" s="387"/>
      <c r="AE3501" s="387">
        <f t="shared" si="781"/>
        <v>0</v>
      </c>
      <c r="AF3501" s="314">
        <f t="shared" si="776"/>
        <v>0</v>
      </c>
      <c r="AG3501" s="387"/>
      <c r="AH3501" s="387"/>
      <c r="AI3501" s="387"/>
      <c r="AJ3501" s="387"/>
      <c r="AK3501" s="314">
        <f t="shared" si="772"/>
        <v>0</v>
      </c>
      <c r="AL3501" s="446">
        <f t="shared" si="773"/>
        <v>0</v>
      </c>
      <c r="AM3501" s="110">
        <f t="shared" si="774"/>
        <v>0</v>
      </c>
      <c r="AN3501" s="447">
        <f t="shared" si="777"/>
        <v>0</v>
      </c>
      <c r="AO3501" s="108"/>
      <c r="AP3501"/>
    </row>
    <row r="3502" spans="1:42" s="108" customFormat="1" x14ac:dyDescent="0.25">
      <c r="A3502" s="61"/>
      <c r="B3502" s="45"/>
      <c r="C3502" s="9"/>
      <c r="D3502" s="869"/>
      <c r="E3502" s="1027"/>
      <c r="F3502" s="272"/>
      <c r="G3502" s="272"/>
      <c r="H3502" s="272"/>
      <c r="I3502" s="722"/>
      <c r="J3502" s="763"/>
      <c r="K3502" s="131">
        <f t="shared" si="778"/>
        <v>0</v>
      </c>
      <c r="L3502" s="335">
        <f t="shared" si="771"/>
        <v>0</v>
      </c>
      <c r="M3502" s="335"/>
      <c r="N3502" s="335"/>
      <c r="O3502" s="335"/>
      <c r="P3502" s="335"/>
      <c r="Q3502" s="130">
        <f t="shared" si="779"/>
        <v>0</v>
      </c>
      <c r="R3502" s="131">
        <f t="shared" si="768"/>
        <v>0</v>
      </c>
      <c r="S3502" s="130"/>
      <c r="T3502" s="130"/>
      <c r="U3502" s="130">
        <f t="shared" si="780"/>
        <v>0</v>
      </c>
      <c r="V3502" s="131">
        <f t="shared" si="769"/>
        <v>0</v>
      </c>
      <c r="W3502" s="130"/>
      <c r="X3502" s="130"/>
      <c r="Y3502" s="130"/>
      <c r="Z3502" s="130"/>
      <c r="AA3502" s="130">
        <f t="shared" si="781"/>
        <v>0</v>
      </c>
      <c r="AB3502" s="131">
        <f t="shared" si="775"/>
        <v>0</v>
      </c>
      <c r="AC3502" s="130"/>
      <c r="AD3502" s="130"/>
      <c r="AE3502" s="130">
        <f t="shared" si="781"/>
        <v>0</v>
      </c>
      <c r="AF3502" s="131">
        <f t="shared" si="776"/>
        <v>0</v>
      </c>
      <c r="AG3502" s="130"/>
      <c r="AH3502" s="130"/>
      <c r="AI3502" s="130"/>
      <c r="AJ3502" s="130"/>
      <c r="AK3502" s="131">
        <f t="shared" si="772"/>
        <v>0</v>
      </c>
      <c r="AL3502" s="446">
        <f t="shared" si="773"/>
        <v>0</v>
      </c>
      <c r="AM3502" s="110">
        <f t="shared" si="774"/>
        <v>0</v>
      </c>
      <c r="AN3502" s="447">
        <f t="shared" si="777"/>
        <v>0</v>
      </c>
      <c r="AO3502"/>
      <c r="AP3502"/>
    </row>
    <row r="3503" spans="1:42" ht="22.5" x14ac:dyDescent="0.25">
      <c r="A3503" s="376">
        <v>296</v>
      </c>
      <c r="B3503" s="565" t="s">
        <v>760</v>
      </c>
      <c r="C3503" s="376"/>
      <c r="D3503" s="927"/>
      <c r="E3503" s="377"/>
      <c r="F3503" s="378"/>
      <c r="G3503" s="378"/>
      <c r="H3503" s="378"/>
      <c r="I3503" s="734"/>
      <c r="J3503" s="806"/>
      <c r="K3503" s="131">
        <f t="shared" si="778"/>
        <v>0</v>
      </c>
      <c r="L3503" s="335">
        <f t="shared" si="771"/>
        <v>0</v>
      </c>
      <c r="M3503" s="419"/>
      <c r="N3503" s="419"/>
      <c r="O3503" s="419"/>
      <c r="P3503" s="419"/>
      <c r="Q3503" s="418">
        <f t="shared" si="779"/>
        <v>0</v>
      </c>
      <c r="R3503" s="379">
        <f t="shared" ref="R3503:R3566" si="782">+J3503/4</f>
        <v>0</v>
      </c>
      <c r="S3503" s="418"/>
      <c r="T3503" s="418"/>
      <c r="U3503" s="418">
        <f t="shared" si="780"/>
        <v>0</v>
      </c>
      <c r="V3503" s="379">
        <f t="shared" ref="V3503:V3566" si="783">+J3503/4</f>
        <v>0</v>
      </c>
      <c r="W3503" s="418"/>
      <c r="X3503" s="418"/>
      <c r="Y3503" s="418"/>
      <c r="Z3503" s="418"/>
      <c r="AA3503" s="418">
        <f t="shared" si="781"/>
        <v>0</v>
      </c>
      <c r="AB3503" s="379">
        <f t="shared" si="775"/>
        <v>0</v>
      </c>
      <c r="AC3503" s="418"/>
      <c r="AD3503" s="418"/>
      <c r="AE3503" s="418">
        <f t="shared" si="781"/>
        <v>0</v>
      </c>
      <c r="AF3503" s="379">
        <f t="shared" si="776"/>
        <v>0</v>
      </c>
      <c r="AG3503" s="418"/>
      <c r="AH3503" s="418"/>
      <c r="AI3503" s="418"/>
      <c r="AJ3503" s="418"/>
      <c r="AK3503" s="379">
        <f t="shared" si="772"/>
        <v>0</v>
      </c>
      <c r="AL3503" s="446">
        <f t="shared" si="773"/>
        <v>0</v>
      </c>
      <c r="AM3503" s="110">
        <f t="shared" si="774"/>
        <v>0</v>
      </c>
      <c r="AN3503" s="447">
        <f t="shared" si="777"/>
        <v>0</v>
      </c>
      <c r="AO3503" s="108"/>
      <c r="AP3503"/>
    </row>
    <row r="3504" spans="1:42" ht="22.5" x14ac:dyDescent="0.25">
      <c r="A3504" s="310">
        <v>29601</v>
      </c>
      <c r="B3504" s="375" t="s">
        <v>761</v>
      </c>
      <c r="C3504" s="311"/>
      <c r="D3504" s="902"/>
      <c r="E3504" s="312"/>
      <c r="F3504" s="313"/>
      <c r="G3504" s="313"/>
      <c r="H3504" s="313"/>
      <c r="I3504" s="729"/>
      <c r="J3504" s="800"/>
      <c r="K3504" s="131">
        <f t="shared" si="778"/>
        <v>0</v>
      </c>
      <c r="L3504" s="335">
        <f t="shared" si="771"/>
        <v>0</v>
      </c>
      <c r="M3504" s="446"/>
      <c r="N3504" s="446"/>
      <c r="O3504" s="446"/>
      <c r="P3504" s="446"/>
      <c r="Q3504" s="387">
        <f t="shared" si="779"/>
        <v>0</v>
      </c>
      <c r="R3504" s="314">
        <f t="shared" si="782"/>
        <v>0</v>
      </c>
      <c r="S3504" s="387"/>
      <c r="T3504" s="387"/>
      <c r="U3504" s="387">
        <f t="shared" si="780"/>
        <v>0</v>
      </c>
      <c r="V3504" s="314">
        <f t="shared" si="783"/>
        <v>0</v>
      </c>
      <c r="W3504" s="387"/>
      <c r="X3504" s="387"/>
      <c r="Y3504" s="387"/>
      <c r="Z3504" s="387"/>
      <c r="AA3504" s="387">
        <f t="shared" si="781"/>
        <v>0</v>
      </c>
      <c r="AB3504" s="314">
        <f t="shared" si="775"/>
        <v>0</v>
      </c>
      <c r="AC3504" s="387"/>
      <c r="AD3504" s="387"/>
      <c r="AE3504" s="387">
        <f t="shared" si="781"/>
        <v>0</v>
      </c>
      <c r="AF3504" s="314">
        <f t="shared" si="776"/>
        <v>0</v>
      </c>
      <c r="AG3504" s="387"/>
      <c r="AH3504" s="387"/>
      <c r="AI3504" s="387"/>
      <c r="AJ3504" s="387"/>
      <c r="AK3504" s="314">
        <f t="shared" si="772"/>
        <v>0</v>
      </c>
      <c r="AL3504" s="446">
        <f t="shared" si="773"/>
        <v>0</v>
      </c>
      <c r="AM3504" s="110">
        <f t="shared" si="774"/>
        <v>0</v>
      </c>
      <c r="AN3504" s="447">
        <f t="shared" si="777"/>
        <v>0</v>
      </c>
      <c r="AO3504" s="436">
        <f>SUM(J3505:J3507)</f>
        <v>46096</v>
      </c>
      <c r="AP3504" s="111"/>
    </row>
    <row r="3505" spans="1:42" ht="66" x14ac:dyDescent="0.25">
      <c r="A3505" s="32"/>
      <c r="B3505" s="122" t="s">
        <v>3375</v>
      </c>
      <c r="C3505" s="87"/>
      <c r="D3505" s="883">
        <v>16</v>
      </c>
      <c r="E3505" s="970" t="s">
        <v>1721</v>
      </c>
      <c r="F3505" s="271" t="s">
        <v>3446</v>
      </c>
      <c r="G3505" s="1040" t="s">
        <v>3463</v>
      </c>
      <c r="H3505" s="273" t="s">
        <v>3462</v>
      </c>
      <c r="I3505" s="21">
        <v>2800</v>
      </c>
      <c r="J3505" s="805">
        <v>44800</v>
      </c>
      <c r="K3505" s="131">
        <f t="shared" si="778"/>
        <v>44800</v>
      </c>
      <c r="L3505" s="335">
        <f t="shared" si="771"/>
        <v>0</v>
      </c>
      <c r="M3505" s="446"/>
      <c r="N3505" s="446"/>
      <c r="O3505" s="446"/>
      <c r="P3505" s="446"/>
      <c r="Q3505" s="110">
        <v>4</v>
      </c>
      <c r="R3505" s="111">
        <f>J3505/4</f>
        <v>11200</v>
      </c>
      <c r="S3505" s="110"/>
      <c r="T3505" s="110"/>
      <c r="U3505" s="110">
        <v>4</v>
      </c>
      <c r="V3505" s="111">
        <v>11200</v>
      </c>
      <c r="W3505" s="110"/>
      <c r="X3505" s="110"/>
      <c r="Y3505" s="110"/>
      <c r="Z3505" s="110"/>
      <c r="AA3505" s="110">
        <v>4</v>
      </c>
      <c r="AB3505" s="111">
        <v>11200</v>
      </c>
      <c r="AC3505" s="110"/>
      <c r="AD3505" s="110"/>
      <c r="AE3505" s="110">
        <v>4</v>
      </c>
      <c r="AF3505" s="111">
        <v>11200</v>
      </c>
      <c r="AG3505" s="110"/>
      <c r="AH3505" s="110"/>
      <c r="AI3505" s="110"/>
      <c r="AJ3505" s="110"/>
      <c r="AK3505" s="131">
        <f t="shared" si="772"/>
        <v>44800</v>
      </c>
      <c r="AL3505" s="446">
        <f t="shared" si="773"/>
        <v>0</v>
      </c>
      <c r="AM3505" s="110">
        <f t="shared" si="774"/>
        <v>16</v>
      </c>
      <c r="AN3505" s="447">
        <f t="shared" si="777"/>
        <v>0</v>
      </c>
      <c r="AO3505"/>
      <c r="AP3505"/>
    </row>
    <row r="3506" spans="1:42" ht="66" x14ac:dyDescent="0.25">
      <c r="A3506" s="32"/>
      <c r="B3506" s="43" t="s">
        <v>3376</v>
      </c>
      <c r="C3506" s="87"/>
      <c r="D3506" s="883">
        <v>20</v>
      </c>
      <c r="E3506" s="970" t="s">
        <v>1721</v>
      </c>
      <c r="F3506" s="271" t="s">
        <v>3446</v>
      </c>
      <c r="G3506" s="1040" t="s">
        <v>3463</v>
      </c>
      <c r="H3506" s="273" t="s">
        <v>3462</v>
      </c>
      <c r="I3506" s="21">
        <v>64.8</v>
      </c>
      <c r="J3506" s="805">
        <v>1296</v>
      </c>
      <c r="K3506" s="131">
        <f t="shared" si="778"/>
        <v>1296</v>
      </c>
      <c r="L3506" s="335">
        <f t="shared" si="771"/>
        <v>0</v>
      </c>
      <c r="M3506" s="446"/>
      <c r="N3506" s="446"/>
      <c r="O3506" s="446"/>
      <c r="P3506" s="446"/>
      <c r="Q3506" s="110">
        <v>5</v>
      </c>
      <c r="R3506" s="111">
        <f>I3506*5</f>
        <v>324</v>
      </c>
      <c r="S3506" s="110"/>
      <c r="T3506" s="110"/>
      <c r="U3506" s="110">
        <v>5</v>
      </c>
      <c r="V3506" s="111">
        <v>324</v>
      </c>
      <c r="W3506" s="110"/>
      <c r="X3506" s="110"/>
      <c r="Y3506" s="110"/>
      <c r="Z3506" s="110"/>
      <c r="AA3506" s="110">
        <v>5</v>
      </c>
      <c r="AB3506" s="111">
        <v>324</v>
      </c>
      <c r="AC3506" s="110"/>
      <c r="AD3506" s="110"/>
      <c r="AE3506" s="110">
        <v>5</v>
      </c>
      <c r="AF3506" s="111">
        <v>324</v>
      </c>
      <c r="AG3506" s="110"/>
      <c r="AH3506" s="110"/>
      <c r="AI3506" s="110"/>
      <c r="AJ3506" s="110"/>
      <c r="AK3506" s="131">
        <f t="shared" si="772"/>
        <v>1296</v>
      </c>
      <c r="AL3506" s="446">
        <f t="shared" si="773"/>
        <v>0</v>
      </c>
      <c r="AM3506" s="110">
        <f t="shared" si="774"/>
        <v>20</v>
      </c>
      <c r="AN3506" s="447">
        <f t="shared" si="777"/>
        <v>0</v>
      </c>
      <c r="AO3506"/>
      <c r="AP3506"/>
    </row>
    <row r="3507" spans="1:42" x14ac:dyDescent="0.25">
      <c r="A3507" s="691"/>
      <c r="B3507" s="692"/>
      <c r="C3507" s="32"/>
      <c r="D3507" s="897"/>
      <c r="E3507" s="89"/>
      <c r="F3507" s="280"/>
      <c r="G3507" s="280"/>
      <c r="H3507" s="280"/>
      <c r="I3507" s="736"/>
      <c r="J3507" s="808"/>
      <c r="K3507" s="131">
        <f t="shared" si="778"/>
        <v>0</v>
      </c>
      <c r="L3507" s="335">
        <f t="shared" si="771"/>
        <v>0</v>
      </c>
      <c r="M3507" s="446"/>
      <c r="N3507" s="446"/>
      <c r="O3507" s="446"/>
      <c r="P3507" s="446"/>
      <c r="Q3507" s="110">
        <f t="shared" si="779"/>
        <v>0</v>
      </c>
      <c r="R3507" s="111">
        <f t="shared" si="782"/>
        <v>0</v>
      </c>
      <c r="S3507" s="110"/>
      <c r="T3507" s="110"/>
      <c r="U3507" s="110">
        <f t="shared" si="780"/>
        <v>0</v>
      </c>
      <c r="V3507" s="111">
        <f t="shared" si="783"/>
        <v>0</v>
      </c>
      <c r="W3507" s="110"/>
      <c r="X3507" s="110"/>
      <c r="Y3507" s="110"/>
      <c r="Z3507" s="110"/>
      <c r="AA3507" s="110">
        <f t="shared" si="781"/>
        <v>0</v>
      </c>
      <c r="AB3507" s="111">
        <f t="shared" si="775"/>
        <v>0</v>
      </c>
      <c r="AC3507" s="110"/>
      <c r="AD3507" s="110"/>
      <c r="AE3507" s="110">
        <f t="shared" si="781"/>
        <v>0</v>
      </c>
      <c r="AF3507" s="111">
        <f t="shared" si="776"/>
        <v>0</v>
      </c>
      <c r="AG3507" s="110"/>
      <c r="AH3507" s="110"/>
      <c r="AI3507" s="110"/>
      <c r="AJ3507" s="110"/>
      <c r="AK3507" s="111">
        <f t="shared" si="772"/>
        <v>0</v>
      </c>
      <c r="AL3507" s="446">
        <f t="shared" si="773"/>
        <v>0</v>
      </c>
      <c r="AM3507" s="110">
        <f t="shared" si="774"/>
        <v>0</v>
      </c>
      <c r="AN3507" s="447">
        <f t="shared" si="777"/>
        <v>0</v>
      </c>
      <c r="AO3507"/>
      <c r="AP3507"/>
    </row>
    <row r="3508" spans="1:42" x14ac:dyDescent="0.25">
      <c r="A3508" s="310">
        <v>29602</v>
      </c>
      <c r="B3508" s="375" t="s">
        <v>762</v>
      </c>
      <c r="C3508" s="311"/>
      <c r="D3508" s="902"/>
      <c r="E3508" s="312"/>
      <c r="F3508" s="313"/>
      <c r="G3508" s="313"/>
      <c r="H3508" s="313"/>
      <c r="I3508" s="729"/>
      <c r="J3508" s="800"/>
      <c r="K3508" s="131">
        <f t="shared" si="778"/>
        <v>0</v>
      </c>
      <c r="L3508" s="335">
        <f t="shared" ref="L3508:L3571" si="784">+J3508-K3508</f>
        <v>0</v>
      </c>
      <c r="M3508" s="446"/>
      <c r="N3508" s="446"/>
      <c r="O3508" s="446"/>
      <c r="P3508" s="446"/>
      <c r="Q3508" s="387">
        <f t="shared" si="779"/>
        <v>0</v>
      </c>
      <c r="R3508" s="314">
        <f t="shared" si="782"/>
        <v>0</v>
      </c>
      <c r="S3508" s="387"/>
      <c r="T3508" s="387"/>
      <c r="U3508" s="387">
        <f t="shared" si="780"/>
        <v>0</v>
      </c>
      <c r="V3508" s="314">
        <f t="shared" si="783"/>
        <v>0</v>
      </c>
      <c r="W3508" s="387"/>
      <c r="X3508" s="387"/>
      <c r="Y3508" s="387"/>
      <c r="Z3508" s="387"/>
      <c r="AA3508" s="387">
        <f t="shared" si="781"/>
        <v>0</v>
      </c>
      <c r="AB3508" s="314">
        <f t="shared" si="775"/>
        <v>0</v>
      </c>
      <c r="AC3508" s="387"/>
      <c r="AD3508" s="387"/>
      <c r="AE3508" s="387">
        <f t="shared" si="781"/>
        <v>0</v>
      </c>
      <c r="AF3508" s="314">
        <f t="shared" si="776"/>
        <v>0</v>
      </c>
      <c r="AG3508" s="387"/>
      <c r="AH3508" s="387"/>
      <c r="AI3508" s="387"/>
      <c r="AJ3508" s="387"/>
      <c r="AK3508" s="314">
        <f t="shared" ref="AK3508:AK3571" si="785">+R3508+V3508+AB3508+AF3508</f>
        <v>0</v>
      </c>
      <c r="AL3508" s="421">
        <f t="shared" ref="AL3508:AL3571" si="786">+J3508-AK3508</f>
        <v>0</v>
      </c>
      <c r="AM3508" s="110">
        <f t="shared" ref="AM3508:AM3571" si="787">+Q3508+U3508+AA3508+AE3508</f>
        <v>0</v>
      </c>
      <c r="AN3508" s="447">
        <f t="shared" si="777"/>
        <v>0</v>
      </c>
      <c r="AO3508" s="436">
        <f>SUM(J3509)</f>
        <v>10929.6</v>
      </c>
      <c r="AP3508" s="111"/>
    </row>
    <row r="3509" spans="1:42" s="108" customFormat="1" ht="66" x14ac:dyDescent="0.25">
      <c r="A3509" s="66"/>
      <c r="B3509" s="266" t="s">
        <v>3377</v>
      </c>
      <c r="C3509" s="9"/>
      <c r="D3509" s="883">
        <v>10</v>
      </c>
      <c r="E3509" s="970" t="s">
        <v>1721</v>
      </c>
      <c r="F3509" s="271" t="s">
        <v>3446</v>
      </c>
      <c r="G3509" s="1040" t="s">
        <v>3463</v>
      </c>
      <c r="H3509" s="273" t="s">
        <v>3462</v>
      </c>
      <c r="I3509" s="27">
        <v>1092.96</v>
      </c>
      <c r="J3509" s="763">
        <v>10929.6</v>
      </c>
      <c r="K3509" s="131">
        <f t="shared" si="778"/>
        <v>10929.6</v>
      </c>
      <c r="L3509" s="335">
        <f t="shared" si="784"/>
        <v>0</v>
      </c>
      <c r="M3509" s="335"/>
      <c r="N3509" s="335"/>
      <c r="O3509" s="335"/>
      <c r="P3509" s="335"/>
      <c r="Q3509" s="130">
        <v>3</v>
      </c>
      <c r="R3509" s="131">
        <f t="shared" si="782"/>
        <v>2732.4</v>
      </c>
      <c r="S3509" s="130"/>
      <c r="T3509" s="130"/>
      <c r="U3509" s="130">
        <v>3</v>
      </c>
      <c r="V3509" s="131">
        <f t="shared" si="783"/>
        <v>2732.4</v>
      </c>
      <c r="W3509" s="130"/>
      <c r="X3509" s="130"/>
      <c r="Y3509" s="130"/>
      <c r="Z3509" s="130"/>
      <c r="AA3509" s="130">
        <v>2</v>
      </c>
      <c r="AB3509" s="131">
        <f t="shared" si="775"/>
        <v>2732.4</v>
      </c>
      <c r="AC3509" s="130"/>
      <c r="AD3509" s="130"/>
      <c r="AE3509" s="130">
        <v>2</v>
      </c>
      <c r="AF3509" s="131">
        <f t="shared" si="776"/>
        <v>2732.4</v>
      </c>
      <c r="AG3509" s="130"/>
      <c r="AH3509" s="130"/>
      <c r="AI3509" s="130"/>
      <c r="AJ3509" s="130"/>
      <c r="AK3509" s="131">
        <f t="shared" si="785"/>
        <v>10929.6</v>
      </c>
      <c r="AL3509" s="446">
        <f t="shared" si="786"/>
        <v>0</v>
      </c>
      <c r="AM3509" s="110">
        <f t="shared" si="787"/>
        <v>10</v>
      </c>
      <c r="AN3509" s="447">
        <f t="shared" si="777"/>
        <v>0</v>
      </c>
      <c r="AO3509"/>
      <c r="AP3509"/>
    </row>
    <row r="3510" spans="1:42" ht="22.5" x14ac:dyDescent="0.25">
      <c r="A3510" s="310">
        <v>29603</v>
      </c>
      <c r="B3510" s="375" t="s">
        <v>763</v>
      </c>
      <c r="C3510" s="311"/>
      <c r="D3510" s="902"/>
      <c r="E3510" s="312"/>
      <c r="F3510" s="313"/>
      <c r="G3510" s="313"/>
      <c r="H3510" s="313"/>
      <c r="I3510" s="729"/>
      <c r="J3510" s="800"/>
      <c r="K3510" s="131">
        <f t="shared" si="778"/>
        <v>0</v>
      </c>
      <c r="L3510" s="335">
        <f t="shared" si="784"/>
        <v>0</v>
      </c>
      <c r="M3510" s="446"/>
      <c r="N3510" s="446"/>
      <c r="O3510" s="446"/>
      <c r="P3510" s="446"/>
      <c r="Q3510" s="387">
        <f t="shared" si="779"/>
        <v>0</v>
      </c>
      <c r="R3510" s="314">
        <f t="shared" si="782"/>
        <v>0</v>
      </c>
      <c r="S3510" s="387"/>
      <c r="T3510" s="387"/>
      <c r="U3510" s="387">
        <f t="shared" si="780"/>
        <v>0</v>
      </c>
      <c r="V3510" s="314">
        <f t="shared" si="783"/>
        <v>0</v>
      </c>
      <c r="W3510" s="387"/>
      <c r="X3510" s="387"/>
      <c r="Y3510" s="387"/>
      <c r="Z3510" s="387"/>
      <c r="AA3510" s="387">
        <f t="shared" si="781"/>
        <v>0</v>
      </c>
      <c r="AB3510" s="314">
        <f t="shared" si="775"/>
        <v>0</v>
      </c>
      <c r="AC3510" s="387"/>
      <c r="AD3510" s="387"/>
      <c r="AE3510" s="387">
        <f t="shared" si="781"/>
        <v>0</v>
      </c>
      <c r="AF3510" s="314">
        <f t="shared" si="776"/>
        <v>0</v>
      </c>
      <c r="AG3510" s="387"/>
      <c r="AH3510" s="387"/>
      <c r="AI3510" s="387"/>
      <c r="AJ3510" s="387"/>
      <c r="AK3510" s="314">
        <f t="shared" si="785"/>
        <v>0</v>
      </c>
      <c r="AL3510" s="421">
        <f t="shared" si="786"/>
        <v>0</v>
      </c>
      <c r="AM3510" s="110">
        <f t="shared" si="787"/>
        <v>0</v>
      </c>
      <c r="AN3510" s="447">
        <f t="shared" si="777"/>
        <v>0</v>
      </c>
      <c r="AO3510" s="108"/>
      <c r="AP3510"/>
    </row>
    <row r="3511" spans="1:42" s="108" customFormat="1" x14ac:dyDescent="0.25">
      <c r="A3511" s="61"/>
      <c r="B3511" s="45"/>
      <c r="C3511" s="9"/>
      <c r="D3511" s="869"/>
      <c r="E3511" s="1027"/>
      <c r="F3511" s="272"/>
      <c r="G3511" s="272"/>
      <c r="H3511" s="272"/>
      <c r="I3511" s="722"/>
      <c r="J3511" s="763"/>
      <c r="K3511" s="131">
        <f t="shared" si="778"/>
        <v>0</v>
      </c>
      <c r="L3511" s="335">
        <f t="shared" si="784"/>
        <v>0</v>
      </c>
      <c r="M3511" s="335"/>
      <c r="N3511" s="335"/>
      <c r="O3511" s="335"/>
      <c r="P3511" s="335"/>
      <c r="Q3511" s="130">
        <f t="shared" si="779"/>
        <v>0</v>
      </c>
      <c r="R3511" s="131">
        <f t="shared" si="782"/>
        <v>0</v>
      </c>
      <c r="S3511" s="130"/>
      <c r="T3511" s="130"/>
      <c r="U3511" s="130">
        <f t="shared" si="780"/>
        <v>0</v>
      </c>
      <c r="V3511" s="131">
        <f t="shared" si="783"/>
        <v>0</v>
      </c>
      <c r="W3511" s="130"/>
      <c r="X3511" s="130"/>
      <c r="Y3511" s="130"/>
      <c r="Z3511" s="130"/>
      <c r="AA3511" s="130">
        <f t="shared" si="781"/>
        <v>0</v>
      </c>
      <c r="AB3511" s="131">
        <f t="shared" si="775"/>
        <v>0</v>
      </c>
      <c r="AC3511" s="130"/>
      <c r="AD3511" s="130"/>
      <c r="AE3511" s="130">
        <f t="shared" si="781"/>
        <v>0</v>
      </c>
      <c r="AF3511" s="131">
        <f t="shared" si="776"/>
        <v>0</v>
      </c>
      <c r="AG3511" s="130"/>
      <c r="AH3511" s="130"/>
      <c r="AI3511" s="130"/>
      <c r="AJ3511" s="130"/>
      <c r="AK3511" s="131">
        <f t="shared" si="785"/>
        <v>0</v>
      </c>
      <c r="AL3511" s="446">
        <f t="shared" si="786"/>
        <v>0</v>
      </c>
      <c r="AM3511" s="110">
        <f t="shared" si="787"/>
        <v>0</v>
      </c>
      <c r="AN3511" s="447">
        <f t="shared" si="777"/>
        <v>0</v>
      </c>
      <c r="AO3511"/>
      <c r="AP3511"/>
    </row>
    <row r="3512" spans="1:42" ht="22.5" x14ac:dyDescent="0.25">
      <c r="A3512" s="310">
        <v>29604</v>
      </c>
      <c r="B3512" s="375" t="s">
        <v>764</v>
      </c>
      <c r="C3512" s="311"/>
      <c r="D3512" s="902"/>
      <c r="E3512" s="312"/>
      <c r="F3512" s="313"/>
      <c r="G3512" s="313"/>
      <c r="H3512" s="313"/>
      <c r="I3512" s="729"/>
      <c r="J3512" s="800"/>
      <c r="K3512" s="131">
        <f t="shared" si="778"/>
        <v>0</v>
      </c>
      <c r="L3512" s="335">
        <f t="shared" si="784"/>
        <v>0</v>
      </c>
      <c r="M3512" s="446"/>
      <c r="N3512" s="446"/>
      <c r="O3512" s="446"/>
      <c r="P3512" s="446"/>
      <c r="Q3512" s="387">
        <f t="shared" si="779"/>
        <v>0</v>
      </c>
      <c r="R3512" s="314">
        <f t="shared" si="782"/>
        <v>0</v>
      </c>
      <c r="S3512" s="387"/>
      <c r="T3512" s="387"/>
      <c r="U3512" s="387">
        <f t="shared" si="780"/>
        <v>0</v>
      </c>
      <c r="V3512" s="314">
        <f t="shared" si="783"/>
        <v>0</v>
      </c>
      <c r="W3512" s="387"/>
      <c r="X3512" s="387"/>
      <c r="Y3512" s="387"/>
      <c r="Z3512" s="387"/>
      <c r="AA3512" s="387">
        <f t="shared" si="781"/>
        <v>0</v>
      </c>
      <c r="AB3512" s="314">
        <f t="shared" si="775"/>
        <v>0</v>
      </c>
      <c r="AC3512" s="387"/>
      <c r="AD3512" s="387"/>
      <c r="AE3512" s="387">
        <f t="shared" si="781"/>
        <v>0</v>
      </c>
      <c r="AF3512" s="314">
        <f t="shared" si="776"/>
        <v>0</v>
      </c>
      <c r="AG3512" s="387"/>
      <c r="AH3512" s="387"/>
      <c r="AI3512" s="387"/>
      <c r="AJ3512" s="387"/>
      <c r="AK3512" s="314">
        <f t="shared" si="785"/>
        <v>0</v>
      </c>
      <c r="AL3512" s="421">
        <f t="shared" si="786"/>
        <v>0</v>
      </c>
      <c r="AM3512" s="110">
        <f t="shared" si="787"/>
        <v>0</v>
      </c>
      <c r="AN3512" s="447">
        <f t="shared" si="777"/>
        <v>0</v>
      </c>
      <c r="AO3512" s="108"/>
      <c r="AP3512"/>
    </row>
    <row r="3513" spans="1:42" s="108" customFormat="1" x14ac:dyDescent="0.25">
      <c r="A3513" s="61"/>
      <c r="B3513" s="45"/>
      <c r="C3513" s="9"/>
      <c r="D3513" s="869"/>
      <c r="E3513" s="1027"/>
      <c r="F3513" s="272"/>
      <c r="G3513" s="272"/>
      <c r="H3513" s="272"/>
      <c r="I3513" s="722"/>
      <c r="J3513" s="763"/>
      <c r="K3513" s="131">
        <f t="shared" si="778"/>
        <v>0</v>
      </c>
      <c r="L3513" s="335">
        <f t="shared" si="784"/>
        <v>0</v>
      </c>
      <c r="M3513" s="335"/>
      <c r="N3513" s="335"/>
      <c r="O3513" s="335"/>
      <c r="P3513" s="335"/>
      <c r="Q3513" s="130">
        <f t="shared" si="779"/>
        <v>0</v>
      </c>
      <c r="R3513" s="131">
        <f t="shared" si="782"/>
        <v>0</v>
      </c>
      <c r="S3513" s="130"/>
      <c r="T3513" s="130"/>
      <c r="U3513" s="130">
        <f t="shared" si="780"/>
        <v>0</v>
      </c>
      <c r="V3513" s="131">
        <f t="shared" si="783"/>
        <v>0</v>
      </c>
      <c r="W3513" s="130"/>
      <c r="X3513" s="130"/>
      <c r="Y3513" s="130"/>
      <c r="Z3513" s="130"/>
      <c r="AA3513" s="130">
        <f t="shared" si="781"/>
        <v>0</v>
      </c>
      <c r="AB3513" s="131">
        <f t="shared" si="775"/>
        <v>0</v>
      </c>
      <c r="AC3513" s="130"/>
      <c r="AD3513" s="130"/>
      <c r="AE3513" s="130">
        <f t="shared" si="781"/>
        <v>0</v>
      </c>
      <c r="AF3513" s="131">
        <f t="shared" si="776"/>
        <v>0</v>
      </c>
      <c r="AG3513" s="130"/>
      <c r="AH3513" s="130"/>
      <c r="AI3513" s="130"/>
      <c r="AJ3513" s="130"/>
      <c r="AK3513" s="131">
        <f t="shared" si="785"/>
        <v>0</v>
      </c>
      <c r="AL3513" s="446">
        <f t="shared" si="786"/>
        <v>0</v>
      </c>
      <c r="AM3513" s="110">
        <f t="shared" si="787"/>
        <v>0</v>
      </c>
      <c r="AN3513" s="447">
        <f t="shared" si="777"/>
        <v>0</v>
      </c>
      <c r="AO3513"/>
      <c r="AP3513"/>
    </row>
    <row r="3514" spans="1:42" ht="22.5" x14ac:dyDescent="0.25">
      <c r="A3514" s="315">
        <v>29605</v>
      </c>
      <c r="B3514" s="351" t="s">
        <v>765</v>
      </c>
      <c r="C3514" s="316"/>
      <c r="D3514" s="886"/>
      <c r="E3514" s="318"/>
      <c r="F3514" s="319"/>
      <c r="G3514" s="319"/>
      <c r="H3514" s="319"/>
      <c r="I3514" s="724"/>
      <c r="J3514" s="762"/>
      <c r="K3514" s="131">
        <f t="shared" si="778"/>
        <v>0</v>
      </c>
      <c r="L3514" s="335">
        <f t="shared" si="784"/>
        <v>0</v>
      </c>
      <c r="M3514" s="446"/>
      <c r="N3514" s="446"/>
      <c r="O3514" s="446"/>
      <c r="P3514" s="446"/>
      <c r="Q3514" s="387">
        <f t="shared" si="779"/>
        <v>0</v>
      </c>
      <c r="R3514" s="314">
        <f t="shared" si="782"/>
        <v>0</v>
      </c>
      <c r="S3514" s="387"/>
      <c r="T3514" s="387"/>
      <c r="U3514" s="387">
        <f t="shared" si="780"/>
        <v>0</v>
      </c>
      <c r="V3514" s="314">
        <f t="shared" si="783"/>
        <v>0</v>
      </c>
      <c r="W3514" s="387"/>
      <c r="X3514" s="387"/>
      <c r="Y3514" s="387"/>
      <c r="Z3514" s="387"/>
      <c r="AA3514" s="387">
        <f t="shared" si="781"/>
        <v>0</v>
      </c>
      <c r="AB3514" s="314">
        <f t="shared" si="775"/>
        <v>0</v>
      </c>
      <c r="AC3514" s="387"/>
      <c r="AD3514" s="387"/>
      <c r="AE3514" s="387">
        <f t="shared" si="781"/>
        <v>0</v>
      </c>
      <c r="AF3514" s="314">
        <f t="shared" si="776"/>
        <v>0</v>
      </c>
      <c r="AG3514" s="387"/>
      <c r="AH3514" s="387"/>
      <c r="AI3514" s="387"/>
      <c r="AJ3514" s="387"/>
      <c r="AK3514" s="314">
        <f t="shared" si="785"/>
        <v>0</v>
      </c>
      <c r="AL3514" s="421">
        <f t="shared" si="786"/>
        <v>0</v>
      </c>
      <c r="AM3514" s="110">
        <f t="shared" si="787"/>
        <v>0</v>
      </c>
      <c r="AN3514" s="447">
        <f t="shared" si="777"/>
        <v>0</v>
      </c>
      <c r="AO3514" s="436">
        <f>SUM(J3515)</f>
        <v>4016</v>
      </c>
      <c r="AP3514" s="111"/>
    </row>
    <row r="3515" spans="1:42" s="108" customFormat="1" ht="66" x14ac:dyDescent="0.25">
      <c r="A3515" s="61"/>
      <c r="B3515" s="266" t="s">
        <v>2824</v>
      </c>
      <c r="C3515" s="9"/>
      <c r="D3515" s="869">
        <f>1+1</f>
        <v>2</v>
      </c>
      <c r="E3515" s="1027" t="s">
        <v>1721</v>
      </c>
      <c r="F3515" s="271" t="s">
        <v>3446</v>
      </c>
      <c r="G3515" s="1040" t="s">
        <v>3463</v>
      </c>
      <c r="H3515" s="273" t="s">
        <v>3462</v>
      </c>
      <c r="I3515" s="722">
        <f>+J3515/D3515</f>
        <v>2008</v>
      </c>
      <c r="J3515" s="763">
        <f>1856+2160</f>
        <v>4016</v>
      </c>
      <c r="K3515" s="131">
        <f t="shared" si="778"/>
        <v>4016</v>
      </c>
      <c r="L3515" s="335">
        <f t="shared" si="784"/>
        <v>0</v>
      </c>
      <c r="M3515" s="335"/>
      <c r="N3515" s="335"/>
      <c r="O3515" s="335"/>
      <c r="P3515" s="335"/>
      <c r="Q3515" s="130">
        <v>1</v>
      </c>
      <c r="R3515" s="131">
        <f t="shared" si="782"/>
        <v>1004</v>
      </c>
      <c r="S3515" s="130"/>
      <c r="T3515" s="130"/>
      <c r="U3515" s="130">
        <v>1</v>
      </c>
      <c r="V3515" s="131">
        <f t="shared" si="783"/>
        <v>1004</v>
      </c>
      <c r="W3515" s="130"/>
      <c r="X3515" s="130"/>
      <c r="Y3515" s="130"/>
      <c r="Z3515" s="130"/>
      <c r="AA3515" s="130">
        <v>0</v>
      </c>
      <c r="AB3515" s="131">
        <f t="shared" si="775"/>
        <v>1004</v>
      </c>
      <c r="AC3515" s="130"/>
      <c r="AD3515" s="130"/>
      <c r="AE3515" s="130">
        <v>0</v>
      </c>
      <c r="AF3515" s="131">
        <f t="shared" si="776"/>
        <v>1004</v>
      </c>
      <c r="AG3515" s="130"/>
      <c r="AH3515" s="130"/>
      <c r="AI3515" s="130"/>
      <c r="AJ3515" s="130"/>
      <c r="AK3515" s="131">
        <f t="shared" si="785"/>
        <v>4016</v>
      </c>
      <c r="AL3515" s="446">
        <f t="shared" si="786"/>
        <v>0</v>
      </c>
      <c r="AM3515" s="110">
        <f t="shared" si="787"/>
        <v>2</v>
      </c>
      <c r="AN3515" s="447">
        <f t="shared" si="777"/>
        <v>0</v>
      </c>
      <c r="AO3515"/>
      <c r="AP3515"/>
    </row>
    <row r="3516" spans="1:42" s="108" customFormat="1" x14ac:dyDescent="0.25">
      <c r="A3516" s="61"/>
      <c r="B3516" s="266"/>
      <c r="C3516" s="9"/>
      <c r="D3516" s="869"/>
      <c r="E3516" s="1027"/>
      <c r="F3516" s="272"/>
      <c r="G3516" s="272"/>
      <c r="H3516" s="272"/>
      <c r="I3516" s="722"/>
      <c r="J3516" s="763"/>
      <c r="K3516" s="131">
        <f t="shared" si="778"/>
        <v>0</v>
      </c>
      <c r="L3516" s="335">
        <f t="shared" si="784"/>
        <v>0</v>
      </c>
      <c r="M3516" s="335"/>
      <c r="N3516" s="335"/>
      <c r="O3516" s="335"/>
      <c r="P3516" s="335"/>
      <c r="Q3516" s="130">
        <f t="shared" si="779"/>
        <v>0</v>
      </c>
      <c r="R3516" s="131">
        <f t="shared" si="782"/>
        <v>0</v>
      </c>
      <c r="S3516" s="130"/>
      <c r="T3516" s="130"/>
      <c r="U3516" s="130">
        <f t="shared" si="780"/>
        <v>0</v>
      </c>
      <c r="V3516" s="131">
        <f t="shared" si="783"/>
        <v>0</v>
      </c>
      <c r="W3516" s="130"/>
      <c r="X3516" s="130"/>
      <c r="Y3516" s="130"/>
      <c r="Z3516" s="130"/>
      <c r="AA3516" s="130">
        <f t="shared" si="781"/>
        <v>0</v>
      </c>
      <c r="AB3516" s="131">
        <f t="shared" si="775"/>
        <v>0</v>
      </c>
      <c r="AC3516" s="130"/>
      <c r="AD3516" s="130"/>
      <c r="AE3516" s="130">
        <f t="shared" si="781"/>
        <v>0</v>
      </c>
      <c r="AF3516" s="131">
        <f t="shared" si="776"/>
        <v>0</v>
      </c>
      <c r="AG3516" s="130"/>
      <c r="AH3516" s="130"/>
      <c r="AI3516" s="130"/>
      <c r="AJ3516" s="130"/>
      <c r="AK3516" s="131">
        <f t="shared" si="785"/>
        <v>0</v>
      </c>
      <c r="AL3516" s="446">
        <f t="shared" si="786"/>
        <v>0</v>
      </c>
      <c r="AM3516" s="110">
        <f t="shared" si="787"/>
        <v>0</v>
      </c>
      <c r="AN3516" s="447">
        <f t="shared" si="777"/>
        <v>0</v>
      </c>
      <c r="AO3516"/>
      <c r="AP3516"/>
    </row>
    <row r="3517" spans="1:42" ht="22.5" x14ac:dyDescent="0.25">
      <c r="A3517" s="310">
        <v>29606</v>
      </c>
      <c r="B3517" s="375" t="s">
        <v>766</v>
      </c>
      <c r="C3517" s="311"/>
      <c r="D3517" s="902"/>
      <c r="E3517" s="312"/>
      <c r="F3517" s="313"/>
      <c r="G3517" s="313"/>
      <c r="H3517" s="313"/>
      <c r="I3517" s="729"/>
      <c r="J3517" s="800"/>
      <c r="K3517" s="131">
        <f t="shared" si="778"/>
        <v>0</v>
      </c>
      <c r="L3517" s="335">
        <f t="shared" si="784"/>
        <v>0</v>
      </c>
      <c r="M3517" s="446"/>
      <c r="N3517" s="446"/>
      <c r="O3517" s="446"/>
      <c r="P3517" s="446"/>
      <c r="Q3517" s="387">
        <f t="shared" si="779"/>
        <v>0</v>
      </c>
      <c r="R3517" s="314">
        <f t="shared" si="782"/>
        <v>0</v>
      </c>
      <c r="S3517" s="387"/>
      <c r="T3517" s="387"/>
      <c r="U3517" s="387">
        <f t="shared" si="780"/>
        <v>0</v>
      </c>
      <c r="V3517" s="314">
        <f t="shared" si="783"/>
        <v>0</v>
      </c>
      <c r="W3517" s="387"/>
      <c r="X3517" s="387"/>
      <c r="Y3517" s="387"/>
      <c r="Z3517" s="387"/>
      <c r="AA3517" s="387">
        <f t="shared" si="781"/>
        <v>0</v>
      </c>
      <c r="AB3517" s="314">
        <f t="shared" si="775"/>
        <v>0</v>
      </c>
      <c r="AC3517" s="387"/>
      <c r="AD3517" s="387"/>
      <c r="AE3517" s="387">
        <f t="shared" si="781"/>
        <v>0</v>
      </c>
      <c r="AF3517" s="314">
        <f t="shared" si="776"/>
        <v>0</v>
      </c>
      <c r="AG3517" s="387"/>
      <c r="AH3517" s="387"/>
      <c r="AI3517" s="387"/>
      <c r="AJ3517" s="387"/>
      <c r="AK3517" s="314">
        <f t="shared" si="785"/>
        <v>0</v>
      </c>
      <c r="AL3517" s="421">
        <f t="shared" si="786"/>
        <v>0</v>
      </c>
      <c r="AM3517" s="110">
        <f t="shared" si="787"/>
        <v>0</v>
      </c>
      <c r="AN3517" s="447">
        <f t="shared" si="777"/>
        <v>0</v>
      </c>
      <c r="AO3517" s="108"/>
      <c r="AP3517"/>
    </row>
    <row r="3518" spans="1:42" s="108" customFormat="1" x14ac:dyDescent="0.25">
      <c r="A3518" s="61"/>
      <c r="B3518" s="45"/>
      <c r="C3518" s="9"/>
      <c r="D3518" s="869"/>
      <c r="E3518" s="1027"/>
      <c r="F3518" s="272"/>
      <c r="G3518" s="272"/>
      <c r="H3518" s="272"/>
      <c r="I3518" s="722"/>
      <c r="J3518" s="763"/>
      <c r="K3518" s="131">
        <f t="shared" si="778"/>
        <v>0</v>
      </c>
      <c r="L3518" s="335">
        <f t="shared" si="784"/>
        <v>0</v>
      </c>
      <c r="M3518" s="335"/>
      <c r="N3518" s="335"/>
      <c r="O3518" s="335"/>
      <c r="P3518" s="335"/>
      <c r="Q3518" s="130">
        <f t="shared" si="779"/>
        <v>0</v>
      </c>
      <c r="R3518" s="131">
        <f t="shared" si="782"/>
        <v>0</v>
      </c>
      <c r="S3518" s="130"/>
      <c r="T3518" s="130"/>
      <c r="U3518" s="130">
        <f t="shared" si="780"/>
        <v>0</v>
      </c>
      <c r="V3518" s="131">
        <f t="shared" si="783"/>
        <v>0</v>
      </c>
      <c r="W3518" s="130"/>
      <c r="X3518" s="130"/>
      <c r="Y3518" s="130"/>
      <c r="Z3518" s="130"/>
      <c r="AA3518" s="130">
        <f t="shared" si="781"/>
        <v>0</v>
      </c>
      <c r="AB3518" s="131">
        <f t="shared" si="775"/>
        <v>0</v>
      </c>
      <c r="AC3518" s="130"/>
      <c r="AD3518" s="130"/>
      <c r="AE3518" s="130">
        <f t="shared" si="781"/>
        <v>0</v>
      </c>
      <c r="AF3518" s="131">
        <f t="shared" si="776"/>
        <v>0</v>
      </c>
      <c r="AG3518" s="130"/>
      <c r="AH3518" s="130"/>
      <c r="AI3518" s="130"/>
      <c r="AJ3518" s="130"/>
      <c r="AK3518" s="131">
        <f t="shared" si="785"/>
        <v>0</v>
      </c>
      <c r="AL3518" s="446">
        <f t="shared" si="786"/>
        <v>0</v>
      </c>
      <c r="AM3518" s="110">
        <f t="shared" si="787"/>
        <v>0</v>
      </c>
      <c r="AN3518" s="447">
        <f t="shared" si="777"/>
        <v>0</v>
      </c>
      <c r="AO3518"/>
      <c r="AP3518"/>
    </row>
    <row r="3519" spans="1:42" x14ac:dyDescent="0.25">
      <c r="A3519" s="310">
        <v>29607</v>
      </c>
      <c r="B3519" s="375" t="s">
        <v>767</v>
      </c>
      <c r="C3519" s="311"/>
      <c r="D3519" s="902"/>
      <c r="E3519" s="312"/>
      <c r="F3519" s="313"/>
      <c r="G3519" s="313"/>
      <c r="H3519" s="313"/>
      <c r="I3519" s="729"/>
      <c r="J3519" s="800"/>
      <c r="K3519" s="131">
        <f t="shared" si="778"/>
        <v>0</v>
      </c>
      <c r="L3519" s="335">
        <f t="shared" si="784"/>
        <v>0</v>
      </c>
      <c r="M3519" s="446"/>
      <c r="N3519" s="446"/>
      <c r="O3519" s="446"/>
      <c r="P3519" s="446"/>
      <c r="Q3519" s="387">
        <f t="shared" si="779"/>
        <v>0</v>
      </c>
      <c r="R3519" s="314">
        <f t="shared" si="782"/>
        <v>0</v>
      </c>
      <c r="S3519" s="387"/>
      <c r="T3519" s="387"/>
      <c r="U3519" s="387">
        <f t="shared" si="780"/>
        <v>0</v>
      </c>
      <c r="V3519" s="314">
        <f t="shared" si="783"/>
        <v>0</v>
      </c>
      <c r="W3519" s="387"/>
      <c r="X3519" s="387"/>
      <c r="Y3519" s="387"/>
      <c r="Z3519" s="387"/>
      <c r="AA3519" s="387">
        <f t="shared" si="781"/>
        <v>0</v>
      </c>
      <c r="AB3519" s="314">
        <f t="shared" si="775"/>
        <v>0</v>
      </c>
      <c r="AC3519" s="387"/>
      <c r="AD3519" s="387"/>
      <c r="AE3519" s="387">
        <f t="shared" si="781"/>
        <v>0</v>
      </c>
      <c r="AF3519" s="314">
        <f t="shared" si="776"/>
        <v>0</v>
      </c>
      <c r="AG3519" s="387"/>
      <c r="AH3519" s="387"/>
      <c r="AI3519" s="387"/>
      <c r="AJ3519" s="387"/>
      <c r="AK3519" s="314">
        <f t="shared" si="785"/>
        <v>0</v>
      </c>
      <c r="AL3519" s="421">
        <f t="shared" si="786"/>
        <v>0</v>
      </c>
      <c r="AM3519" s="110">
        <f t="shared" si="787"/>
        <v>0</v>
      </c>
      <c r="AN3519" s="447">
        <f t="shared" si="777"/>
        <v>0</v>
      </c>
      <c r="AO3519" s="108"/>
      <c r="AP3519"/>
    </row>
    <row r="3520" spans="1:42" s="108" customFormat="1" x14ac:dyDescent="0.25">
      <c r="A3520" s="61"/>
      <c r="B3520" s="45"/>
      <c r="C3520" s="9"/>
      <c r="D3520" s="869"/>
      <c r="E3520" s="1027"/>
      <c r="F3520" s="272"/>
      <c r="G3520" s="272"/>
      <c r="H3520" s="272"/>
      <c r="I3520" s="722"/>
      <c r="J3520" s="763"/>
      <c r="K3520" s="131">
        <f t="shared" si="778"/>
        <v>0</v>
      </c>
      <c r="L3520" s="335">
        <f t="shared" si="784"/>
        <v>0</v>
      </c>
      <c r="M3520" s="335"/>
      <c r="N3520" s="335"/>
      <c r="O3520" s="335"/>
      <c r="P3520" s="335"/>
      <c r="Q3520" s="130">
        <f t="shared" si="779"/>
        <v>0</v>
      </c>
      <c r="R3520" s="131">
        <f t="shared" si="782"/>
        <v>0</v>
      </c>
      <c r="S3520" s="130"/>
      <c r="T3520" s="130"/>
      <c r="U3520" s="130">
        <f t="shared" si="780"/>
        <v>0</v>
      </c>
      <c r="V3520" s="131">
        <f t="shared" si="783"/>
        <v>0</v>
      </c>
      <c r="W3520" s="130"/>
      <c r="X3520" s="130"/>
      <c r="Y3520" s="130"/>
      <c r="Z3520" s="130"/>
      <c r="AA3520" s="130">
        <f t="shared" si="781"/>
        <v>0</v>
      </c>
      <c r="AB3520" s="131">
        <f t="shared" si="775"/>
        <v>0</v>
      </c>
      <c r="AC3520" s="130"/>
      <c r="AD3520" s="130"/>
      <c r="AE3520" s="130">
        <f t="shared" si="781"/>
        <v>0</v>
      </c>
      <c r="AF3520" s="131">
        <f t="shared" si="776"/>
        <v>0</v>
      </c>
      <c r="AG3520" s="130"/>
      <c r="AH3520" s="130"/>
      <c r="AI3520" s="130"/>
      <c r="AJ3520" s="130"/>
      <c r="AK3520" s="131">
        <f t="shared" si="785"/>
        <v>0</v>
      </c>
      <c r="AL3520" s="446">
        <f t="shared" si="786"/>
        <v>0</v>
      </c>
      <c r="AM3520" s="110">
        <f t="shared" si="787"/>
        <v>0</v>
      </c>
      <c r="AN3520" s="447">
        <f t="shared" si="777"/>
        <v>0</v>
      </c>
      <c r="AO3520"/>
      <c r="AP3520"/>
    </row>
    <row r="3521" spans="1:42" ht="22.5" x14ac:dyDescent="0.25">
      <c r="A3521" s="315">
        <v>29608</v>
      </c>
      <c r="B3521" s="351" t="s">
        <v>768</v>
      </c>
      <c r="C3521" s="316"/>
      <c r="D3521" s="886"/>
      <c r="E3521" s="318"/>
      <c r="F3521" s="319"/>
      <c r="G3521" s="319"/>
      <c r="H3521" s="319"/>
      <c r="I3521" s="724"/>
      <c r="J3521" s="762"/>
      <c r="K3521" s="131">
        <f t="shared" si="778"/>
        <v>0</v>
      </c>
      <c r="L3521" s="335">
        <f t="shared" si="784"/>
        <v>0</v>
      </c>
      <c r="M3521" s="446"/>
      <c r="N3521" s="446"/>
      <c r="O3521" s="446"/>
      <c r="P3521" s="446"/>
      <c r="Q3521" s="387">
        <f t="shared" si="779"/>
        <v>0</v>
      </c>
      <c r="R3521" s="314">
        <f t="shared" si="782"/>
        <v>0</v>
      </c>
      <c r="S3521" s="387"/>
      <c r="T3521" s="387"/>
      <c r="U3521" s="387">
        <f t="shared" si="780"/>
        <v>0</v>
      </c>
      <c r="V3521" s="314">
        <f t="shared" si="783"/>
        <v>0</v>
      </c>
      <c r="W3521" s="387"/>
      <c r="X3521" s="387"/>
      <c r="Y3521" s="387"/>
      <c r="Z3521" s="387"/>
      <c r="AA3521" s="387">
        <f t="shared" si="781"/>
        <v>0</v>
      </c>
      <c r="AB3521" s="314">
        <f t="shared" si="775"/>
        <v>0</v>
      </c>
      <c r="AC3521" s="387"/>
      <c r="AD3521" s="387"/>
      <c r="AE3521" s="387">
        <f t="shared" si="781"/>
        <v>0</v>
      </c>
      <c r="AF3521" s="314">
        <f t="shared" si="776"/>
        <v>0</v>
      </c>
      <c r="AG3521" s="387"/>
      <c r="AH3521" s="387"/>
      <c r="AI3521" s="387"/>
      <c r="AJ3521" s="387"/>
      <c r="AK3521" s="314">
        <f t="shared" si="785"/>
        <v>0</v>
      </c>
      <c r="AL3521" s="421">
        <f t="shared" si="786"/>
        <v>0</v>
      </c>
      <c r="AM3521" s="110">
        <f t="shared" si="787"/>
        <v>0</v>
      </c>
      <c r="AN3521" s="447">
        <f t="shared" si="777"/>
        <v>0</v>
      </c>
      <c r="AO3521" s="436">
        <f>SUM(J3522)</f>
        <v>4289</v>
      </c>
      <c r="AP3521" s="111"/>
    </row>
    <row r="3522" spans="1:42" ht="66" x14ac:dyDescent="0.25">
      <c r="A3522" s="63"/>
      <c r="B3522" s="49" t="s">
        <v>1879</v>
      </c>
      <c r="C3522" s="1024"/>
      <c r="D3522" s="869">
        <v>1</v>
      </c>
      <c r="E3522" s="1027" t="s">
        <v>1721</v>
      </c>
      <c r="F3522" s="271" t="s">
        <v>3446</v>
      </c>
      <c r="G3522" s="1040" t="s">
        <v>3463</v>
      </c>
      <c r="H3522" s="273" t="s">
        <v>3462</v>
      </c>
      <c r="I3522" s="720">
        <f>+J3522/D3522</f>
        <v>4289</v>
      </c>
      <c r="J3522" s="763">
        <v>4289</v>
      </c>
      <c r="K3522" s="131">
        <f t="shared" si="778"/>
        <v>4289</v>
      </c>
      <c r="L3522" s="335">
        <f t="shared" si="784"/>
        <v>0</v>
      </c>
      <c r="M3522" s="446"/>
      <c r="N3522" s="446"/>
      <c r="O3522" s="446"/>
      <c r="P3522" s="446"/>
      <c r="Q3522" s="110">
        <v>1</v>
      </c>
      <c r="R3522" s="111">
        <f t="shared" si="782"/>
        <v>1072.25</v>
      </c>
      <c r="S3522" s="110"/>
      <c r="T3522" s="110"/>
      <c r="U3522" s="110">
        <v>0</v>
      </c>
      <c r="V3522" s="111">
        <f t="shared" si="783"/>
        <v>1072.25</v>
      </c>
      <c r="W3522" s="110"/>
      <c r="X3522" s="110"/>
      <c r="Y3522" s="110"/>
      <c r="Z3522" s="110"/>
      <c r="AA3522" s="110">
        <v>0</v>
      </c>
      <c r="AB3522" s="111">
        <f t="shared" si="775"/>
        <v>1072.25</v>
      </c>
      <c r="AC3522" s="110"/>
      <c r="AD3522" s="110"/>
      <c r="AE3522" s="110">
        <v>0</v>
      </c>
      <c r="AF3522" s="111">
        <f t="shared" si="776"/>
        <v>1072.25</v>
      </c>
      <c r="AG3522" s="110"/>
      <c r="AH3522" s="110"/>
      <c r="AI3522" s="110"/>
      <c r="AJ3522" s="110"/>
      <c r="AK3522" s="111">
        <f t="shared" si="785"/>
        <v>4289</v>
      </c>
      <c r="AL3522" s="446">
        <f t="shared" si="786"/>
        <v>0</v>
      </c>
      <c r="AM3522" s="110">
        <f t="shared" si="787"/>
        <v>1</v>
      </c>
      <c r="AN3522" s="447">
        <f t="shared" si="777"/>
        <v>0</v>
      </c>
      <c r="AO3522"/>
      <c r="AP3522"/>
    </row>
    <row r="3523" spans="1:42" x14ac:dyDescent="0.25">
      <c r="A3523" s="315">
        <v>29609</v>
      </c>
      <c r="B3523" s="351" t="s">
        <v>769</v>
      </c>
      <c r="C3523" s="316"/>
      <c r="D3523" s="886"/>
      <c r="E3523" s="318"/>
      <c r="F3523" s="319"/>
      <c r="G3523" s="319"/>
      <c r="H3523" s="319"/>
      <c r="I3523" s="724"/>
      <c r="J3523" s="762"/>
      <c r="K3523" s="131">
        <f t="shared" si="778"/>
        <v>0</v>
      </c>
      <c r="L3523" s="335">
        <f t="shared" si="784"/>
        <v>0</v>
      </c>
      <c r="M3523" s="446"/>
      <c r="N3523" s="446"/>
      <c r="O3523" s="446"/>
      <c r="P3523" s="446"/>
      <c r="Q3523" s="387">
        <f t="shared" si="779"/>
        <v>0</v>
      </c>
      <c r="R3523" s="314">
        <f t="shared" si="782"/>
        <v>0</v>
      </c>
      <c r="S3523" s="387"/>
      <c r="T3523" s="387"/>
      <c r="U3523" s="387">
        <f t="shared" si="780"/>
        <v>0</v>
      </c>
      <c r="V3523" s="314">
        <f t="shared" si="783"/>
        <v>0</v>
      </c>
      <c r="W3523" s="387"/>
      <c r="X3523" s="387"/>
      <c r="Y3523" s="387"/>
      <c r="Z3523" s="387"/>
      <c r="AA3523" s="387">
        <f t="shared" si="781"/>
        <v>0</v>
      </c>
      <c r="AB3523" s="314">
        <f t="shared" si="775"/>
        <v>0</v>
      </c>
      <c r="AC3523" s="387"/>
      <c r="AD3523" s="387"/>
      <c r="AE3523" s="387">
        <f t="shared" si="781"/>
        <v>0</v>
      </c>
      <c r="AF3523" s="314">
        <f t="shared" si="776"/>
        <v>0</v>
      </c>
      <c r="AG3523" s="387"/>
      <c r="AH3523" s="387"/>
      <c r="AI3523" s="387"/>
      <c r="AJ3523" s="387"/>
      <c r="AK3523" s="314">
        <f t="shared" si="785"/>
        <v>0</v>
      </c>
      <c r="AL3523" s="421">
        <f t="shared" si="786"/>
        <v>0</v>
      </c>
      <c r="AM3523" s="110">
        <f t="shared" si="787"/>
        <v>0</v>
      </c>
      <c r="AN3523" s="447">
        <f t="shared" si="777"/>
        <v>0</v>
      </c>
      <c r="AO3523" s="436">
        <f>SUM(J3524:J3527)</f>
        <v>540939.16399999999</v>
      </c>
      <c r="AP3523" s="111"/>
    </row>
    <row r="3524" spans="1:42" ht="66" x14ac:dyDescent="0.25">
      <c r="A3524" s="9"/>
      <c r="B3524" s="128" t="s">
        <v>1349</v>
      </c>
      <c r="C3524" s="1024"/>
      <c r="D3524" s="916">
        <v>5</v>
      </c>
      <c r="E3524" s="1027" t="s">
        <v>1721</v>
      </c>
      <c r="F3524" s="271" t="s">
        <v>3446</v>
      </c>
      <c r="G3524" s="1040" t="s">
        <v>3463</v>
      </c>
      <c r="H3524" s="273" t="s">
        <v>3462</v>
      </c>
      <c r="I3524" s="720">
        <f>+J3524/D3524</f>
        <v>730.38239999999996</v>
      </c>
      <c r="J3524" s="756">
        <v>3651.9119999999998</v>
      </c>
      <c r="K3524" s="131">
        <f t="shared" si="778"/>
        <v>3651.9119999999998</v>
      </c>
      <c r="L3524" s="335">
        <f t="shared" si="784"/>
        <v>0</v>
      </c>
      <c r="M3524" s="446"/>
      <c r="N3524" s="446"/>
      <c r="O3524" s="446"/>
      <c r="P3524" s="446"/>
      <c r="Q3524" s="110">
        <v>2</v>
      </c>
      <c r="R3524" s="111">
        <f t="shared" si="782"/>
        <v>912.97799999999995</v>
      </c>
      <c r="S3524" s="110"/>
      <c r="T3524" s="110"/>
      <c r="U3524" s="110">
        <v>1</v>
      </c>
      <c r="V3524" s="111">
        <f t="shared" si="783"/>
        <v>912.97799999999995</v>
      </c>
      <c r="W3524" s="110"/>
      <c r="X3524" s="110"/>
      <c r="Y3524" s="110"/>
      <c r="Z3524" s="110"/>
      <c r="AA3524" s="110">
        <v>1</v>
      </c>
      <c r="AB3524" s="111">
        <f t="shared" si="775"/>
        <v>912.97799999999995</v>
      </c>
      <c r="AC3524" s="110"/>
      <c r="AD3524" s="110"/>
      <c r="AE3524" s="110">
        <v>1</v>
      </c>
      <c r="AF3524" s="111">
        <f t="shared" si="776"/>
        <v>912.97799999999995</v>
      </c>
      <c r="AG3524" s="110"/>
      <c r="AH3524" s="110"/>
      <c r="AI3524" s="110"/>
      <c r="AJ3524" s="110"/>
      <c r="AK3524" s="111">
        <f t="shared" si="785"/>
        <v>3651.9119999999998</v>
      </c>
      <c r="AL3524" s="446">
        <f t="shared" si="786"/>
        <v>0</v>
      </c>
      <c r="AM3524" s="110">
        <f t="shared" si="787"/>
        <v>5</v>
      </c>
      <c r="AN3524" s="447">
        <f t="shared" si="777"/>
        <v>0</v>
      </c>
      <c r="AO3524"/>
      <c r="AP3524"/>
    </row>
    <row r="3525" spans="1:42" ht="66" x14ac:dyDescent="0.25">
      <c r="A3525" s="9"/>
      <c r="B3525" s="128" t="s">
        <v>1350</v>
      </c>
      <c r="C3525" s="1024"/>
      <c r="D3525" s="916">
        <v>10</v>
      </c>
      <c r="E3525" s="1027" t="s">
        <v>1721</v>
      </c>
      <c r="F3525" s="271" t="s">
        <v>3446</v>
      </c>
      <c r="G3525" s="1040" t="s">
        <v>3463</v>
      </c>
      <c r="H3525" s="273" t="s">
        <v>3462</v>
      </c>
      <c r="I3525" s="720">
        <f>+J3525/D3525</f>
        <v>241.16399999999999</v>
      </c>
      <c r="J3525" s="756">
        <v>2411.64</v>
      </c>
      <c r="K3525" s="131">
        <f t="shared" si="778"/>
        <v>2411.64</v>
      </c>
      <c r="L3525" s="335">
        <f t="shared" si="784"/>
        <v>0</v>
      </c>
      <c r="M3525" s="446"/>
      <c r="N3525" s="446"/>
      <c r="O3525" s="446"/>
      <c r="P3525" s="446"/>
      <c r="Q3525" s="130">
        <v>3</v>
      </c>
      <c r="R3525" s="111">
        <f t="shared" si="782"/>
        <v>602.91</v>
      </c>
      <c r="S3525" s="110"/>
      <c r="T3525" s="110"/>
      <c r="U3525" s="130">
        <v>3</v>
      </c>
      <c r="V3525" s="111">
        <f t="shared" si="783"/>
        <v>602.91</v>
      </c>
      <c r="W3525" s="110"/>
      <c r="X3525" s="110"/>
      <c r="Y3525" s="110"/>
      <c r="Z3525" s="110"/>
      <c r="AA3525" s="130">
        <v>2</v>
      </c>
      <c r="AB3525" s="111">
        <f t="shared" si="775"/>
        <v>602.91</v>
      </c>
      <c r="AC3525" s="110"/>
      <c r="AD3525" s="110"/>
      <c r="AE3525" s="130">
        <v>2</v>
      </c>
      <c r="AF3525" s="111">
        <f t="shared" si="776"/>
        <v>602.91</v>
      </c>
      <c r="AG3525" s="110"/>
      <c r="AH3525" s="110"/>
      <c r="AI3525" s="110"/>
      <c r="AJ3525" s="110"/>
      <c r="AK3525" s="111">
        <f t="shared" si="785"/>
        <v>2411.64</v>
      </c>
      <c r="AL3525" s="446">
        <f t="shared" si="786"/>
        <v>0</v>
      </c>
      <c r="AM3525" s="110">
        <f t="shared" si="787"/>
        <v>10</v>
      </c>
      <c r="AN3525" s="447">
        <f t="shared" si="777"/>
        <v>0</v>
      </c>
      <c r="AO3525"/>
      <c r="AP3525"/>
    </row>
    <row r="3526" spans="1:42" ht="66" x14ac:dyDescent="0.25">
      <c r="A3526" s="9"/>
      <c r="B3526" s="128" t="s">
        <v>770</v>
      </c>
      <c r="C3526" s="1024"/>
      <c r="D3526" s="916">
        <f>3+1</f>
        <v>4</v>
      </c>
      <c r="E3526" s="1027" t="s">
        <v>1721</v>
      </c>
      <c r="F3526" s="271" t="s">
        <v>3446</v>
      </c>
      <c r="G3526" s="1040" t="s">
        <v>3463</v>
      </c>
      <c r="H3526" s="273" t="s">
        <v>3462</v>
      </c>
      <c r="I3526" s="720">
        <f>+J3526/D3526</f>
        <v>68.902999999999992</v>
      </c>
      <c r="J3526" s="756">
        <f>206.712+68.9</f>
        <v>275.61199999999997</v>
      </c>
      <c r="K3526" s="131">
        <f t="shared" si="778"/>
        <v>275.61199999999997</v>
      </c>
      <c r="L3526" s="335">
        <f t="shared" si="784"/>
        <v>0</v>
      </c>
      <c r="M3526" s="446"/>
      <c r="N3526" s="446"/>
      <c r="O3526" s="446"/>
      <c r="P3526" s="446"/>
      <c r="Q3526" s="110">
        <f t="shared" si="779"/>
        <v>1</v>
      </c>
      <c r="R3526" s="111">
        <f t="shared" si="782"/>
        <v>68.902999999999992</v>
      </c>
      <c r="S3526" s="110"/>
      <c r="T3526" s="110"/>
      <c r="U3526" s="110">
        <f t="shared" si="780"/>
        <v>1</v>
      </c>
      <c r="V3526" s="111">
        <f t="shared" si="783"/>
        <v>68.902999999999992</v>
      </c>
      <c r="W3526" s="110"/>
      <c r="X3526" s="110"/>
      <c r="Y3526" s="110"/>
      <c r="Z3526" s="110"/>
      <c r="AA3526" s="110">
        <f t="shared" si="781"/>
        <v>1</v>
      </c>
      <c r="AB3526" s="111">
        <f t="shared" si="775"/>
        <v>68.902999999999992</v>
      </c>
      <c r="AC3526" s="110"/>
      <c r="AD3526" s="110"/>
      <c r="AE3526" s="110">
        <f t="shared" si="781"/>
        <v>1</v>
      </c>
      <c r="AF3526" s="111">
        <f t="shared" si="776"/>
        <v>68.902999999999992</v>
      </c>
      <c r="AG3526" s="110"/>
      <c r="AH3526" s="110"/>
      <c r="AI3526" s="110"/>
      <c r="AJ3526" s="110"/>
      <c r="AK3526" s="111">
        <f t="shared" si="785"/>
        <v>275.61199999999997</v>
      </c>
      <c r="AL3526" s="446">
        <f t="shared" si="786"/>
        <v>0</v>
      </c>
      <c r="AM3526" s="110">
        <f t="shared" si="787"/>
        <v>4</v>
      </c>
      <c r="AN3526" s="447">
        <f t="shared" si="777"/>
        <v>0</v>
      </c>
      <c r="AO3526"/>
      <c r="AP3526"/>
    </row>
    <row r="3527" spans="1:42" ht="66" x14ac:dyDescent="0.25">
      <c r="A3527" s="9"/>
      <c r="B3527" s="568" t="s">
        <v>3378</v>
      </c>
      <c r="C3527" s="1024"/>
      <c r="D3527" s="916">
        <v>45</v>
      </c>
      <c r="E3527" s="1027" t="s">
        <v>1721</v>
      </c>
      <c r="F3527" s="271" t="s">
        <v>3446</v>
      </c>
      <c r="G3527" s="1040" t="s">
        <v>3463</v>
      </c>
      <c r="H3527" s="273" t="s">
        <v>3462</v>
      </c>
      <c r="I3527" s="21">
        <v>11880</v>
      </c>
      <c r="J3527" s="756">
        <v>534600</v>
      </c>
      <c r="K3527" s="131">
        <f t="shared" si="778"/>
        <v>534600</v>
      </c>
      <c r="L3527" s="335">
        <f t="shared" si="784"/>
        <v>0</v>
      </c>
      <c r="M3527" s="446"/>
      <c r="N3527" s="446"/>
      <c r="O3527" s="446"/>
      <c r="P3527" s="446"/>
      <c r="Q3527" s="110">
        <v>12</v>
      </c>
      <c r="R3527" s="111">
        <f t="shared" si="782"/>
        <v>133650</v>
      </c>
      <c r="S3527" s="110"/>
      <c r="T3527" s="110"/>
      <c r="U3527" s="110">
        <v>11</v>
      </c>
      <c r="V3527" s="111">
        <f t="shared" si="783"/>
        <v>133650</v>
      </c>
      <c r="W3527" s="110"/>
      <c r="X3527" s="110"/>
      <c r="Y3527" s="110"/>
      <c r="Z3527" s="110"/>
      <c r="AA3527" s="110">
        <v>11</v>
      </c>
      <c r="AB3527" s="111">
        <f t="shared" ref="AB3527:AB3590" si="788">+J3527/4</f>
        <v>133650</v>
      </c>
      <c r="AC3527" s="110"/>
      <c r="AD3527" s="110"/>
      <c r="AE3527" s="110">
        <v>11</v>
      </c>
      <c r="AF3527" s="111">
        <f t="shared" ref="AF3527:AF3590" si="789">+J3527/4</f>
        <v>133650</v>
      </c>
      <c r="AG3527" s="110"/>
      <c r="AH3527" s="110"/>
      <c r="AI3527" s="110"/>
      <c r="AJ3527" s="110"/>
      <c r="AK3527" s="111">
        <f t="shared" si="785"/>
        <v>534600</v>
      </c>
      <c r="AL3527" s="446">
        <f t="shared" si="786"/>
        <v>0</v>
      </c>
      <c r="AM3527" s="110">
        <f t="shared" si="787"/>
        <v>45</v>
      </c>
      <c r="AN3527" s="447">
        <f t="shared" si="777"/>
        <v>0</v>
      </c>
      <c r="AO3527"/>
      <c r="AP3527"/>
    </row>
    <row r="3528" spans="1:42" ht="22.5" x14ac:dyDescent="0.25">
      <c r="A3528" s="376">
        <v>297</v>
      </c>
      <c r="B3528" s="565" t="s">
        <v>771</v>
      </c>
      <c r="C3528" s="376"/>
      <c r="D3528" s="921"/>
      <c r="E3528" s="377"/>
      <c r="F3528" s="378"/>
      <c r="G3528" s="378"/>
      <c r="H3528" s="378"/>
      <c r="I3528" s="734"/>
      <c r="J3528" s="806"/>
      <c r="K3528" s="131">
        <f t="shared" si="778"/>
        <v>0</v>
      </c>
      <c r="L3528" s="335">
        <f t="shared" si="784"/>
        <v>0</v>
      </c>
      <c r="M3528" s="419"/>
      <c r="N3528" s="419"/>
      <c r="O3528" s="419"/>
      <c r="P3528" s="419"/>
      <c r="Q3528" s="418">
        <f t="shared" ref="Q3528:Q3591" si="790">+$D3528/4</f>
        <v>0</v>
      </c>
      <c r="R3528" s="379">
        <f t="shared" si="782"/>
        <v>0</v>
      </c>
      <c r="S3528" s="418"/>
      <c r="T3528" s="418"/>
      <c r="U3528" s="418">
        <f t="shared" ref="U3528:U3591" si="791">+$D3528/4</f>
        <v>0</v>
      </c>
      <c r="V3528" s="379">
        <f t="shared" si="783"/>
        <v>0</v>
      </c>
      <c r="W3528" s="418"/>
      <c r="X3528" s="418"/>
      <c r="Y3528" s="418"/>
      <c r="Z3528" s="418"/>
      <c r="AA3528" s="418">
        <f t="shared" ref="AA3528:AE3580" si="792">+$D3528/4</f>
        <v>0</v>
      </c>
      <c r="AB3528" s="379">
        <f t="shared" si="788"/>
        <v>0</v>
      </c>
      <c r="AC3528" s="418"/>
      <c r="AD3528" s="418"/>
      <c r="AE3528" s="418">
        <f t="shared" si="792"/>
        <v>0</v>
      </c>
      <c r="AF3528" s="379">
        <f t="shared" si="789"/>
        <v>0</v>
      </c>
      <c r="AG3528" s="418"/>
      <c r="AH3528" s="418"/>
      <c r="AI3528" s="418"/>
      <c r="AJ3528" s="418"/>
      <c r="AK3528" s="379">
        <f t="shared" si="785"/>
        <v>0</v>
      </c>
      <c r="AL3528" s="446">
        <f t="shared" si="786"/>
        <v>0</v>
      </c>
      <c r="AM3528" s="110">
        <f t="shared" si="787"/>
        <v>0</v>
      </c>
      <c r="AN3528" s="447">
        <f t="shared" si="777"/>
        <v>0</v>
      </c>
      <c r="AO3528" s="108"/>
      <c r="AP3528"/>
    </row>
    <row r="3529" spans="1:42" ht="22.5" x14ac:dyDescent="0.25">
      <c r="A3529" s="310">
        <v>29701</v>
      </c>
      <c r="B3529" s="375" t="s">
        <v>771</v>
      </c>
      <c r="C3529" s="311"/>
      <c r="D3529" s="902"/>
      <c r="E3529" s="312"/>
      <c r="F3529" s="313"/>
      <c r="G3529" s="313"/>
      <c r="H3529" s="313"/>
      <c r="I3529" s="729"/>
      <c r="J3529" s="800"/>
      <c r="K3529" s="131">
        <f t="shared" si="778"/>
        <v>0</v>
      </c>
      <c r="L3529" s="335">
        <f t="shared" si="784"/>
        <v>0</v>
      </c>
      <c r="M3529" s="446"/>
      <c r="N3529" s="446"/>
      <c r="O3529" s="446"/>
      <c r="P3529" s="446"/>
      <c r="Q3529" s="110">
        <f t="shared" si="790"/>
        <v>0</v>
      </c>
      <c r="R3529" s="111">
        <f t="shared" si="782"/>
        <v>0</v>
      </c>
      <c r="S3529" s="110"/>
      <c r="T3529" s="110"/>
      <c r="U3529" s="110">
        <f t="shared" si="791"/>
        <v>0</v>
      </c>
      <c r="V3529" s="111">
        <f t="shared" si="783"/>
        <v>0</v>
      </c>
      <c r="W3529" s="110"/>
      <c r="X3529" s="110"/>
      <c r="Y3529" s="110"/>
      <c r="Z3529" s="110"/>
      <c r="AA3529" s="110">
        <f t="shared" si="792"/>
        <v>0</v>
      </c>
      <c r="AB3529" s="111">
        <f t="shared" si="788"/>
        <v>0</v>
      </c>
      <c r="AC3529" s="110"/>
      <c r="AD3529" s="110"/>
      <c r="AE3529" s="110">
        <f t="shared" si="792"/>
        <v>0</v>
      </c>
      <c r="AF3529" s="111">
        <f t="shared" si="789"/>
        <v>0</v>
      </c>
      <c r="AG3529" s="110"/>
      <c r="AH3529" s="110"/>
      <c r="AI3529" s="110"/>
      <c r="AJ3529" s="110"/>
      <c r="AK3529" s="111">
        <f t="shared" si="785"/>
        <v>0</v>
      </c>
      <c r="AL3529" s="446">
        <f t="shared" si="786"/>
        <v>0</v>
      </c>
      <c r="AM3529" s="110">
        <f t="shared" si="787"/>
        <v>0</v>
      </c>
      <c r="AN3529" s="447">
        <f t="shared" si="777"/>
        <v>0</v>
      </c>
      <c r="AO3529" s="108"/>
      <c r="AP3529"/>
    </row>
    <row r="3530" spans="1:42" s="108" customFormat="1" x14ac:dyDescent="0.25">
      <c r="A3530" s="61"/>
      <c r="B3530" s="45"/>
      <c r="C3530" s="9"/>
      <c r="D3530" s="913"/>
      <c r="E3530" s="1027"/>
      <c r="F3530" s="272"/>
      <c r="G3530" s="272"/>
      <c r="H3530" s="272"/>
      <c r="I3530" s="722"/>
      <c r="J3530" s="763"/>
      <c r="K3530" s="131">
        <f t="shared" si="778"/>
        <v>0</v>
      </c>
      <c r="L3530" s="335">
        <f t="shared" si="784"/>
        <v>0</v>
      </c>
      <c r="M3530" s="335"/>
      <c r="N3530" s="335"/>
      <c r="O3530" s="335"/>
      <c r="P3530" s="335"/>
      <c r="Q3530" s="130">
        <f t="shared" si="790"/>
        <v>0</v>
      </c>
      <c r="R3530" s="131">
        <f t="shared" si="782"/>
        <v>0</v>
      </c>
      <c r="S3530" s="130"/>
      <c r="T3530" s="130"/>
      <c r="U3530" s="130">
        <f t="shared" si="791"/>
        <v>0</v>
      </c>
      <c r="V3530" s="131">
        <f t="shared" si="783"/>
        <v>0</v>
      </c>
      <c r="W3530" s="130"/>
      <c r="X3530" s="130"/>
      <c r="Y3530" s="130"/>
      <c r="Z3530" s="130"/>
      <c r="AA3530" s="130">
        <f t="shared" si="792"/>
        <v>0</v>
      </c>
      <c r="AB3530" s="131">
        <f t="shared" si="788"/>
        <v>0</v>
      </c>
      <c r="AC3530" s="130"/>
      <c r="AD3530" s="130"/>
      <c r="AE3530" s="130">
        <f t="shared" si="792"/>
        <v>0</v>
      </c>
      <c r="AF3530" s="131">
        <f t="shared" si="789"/>
        <v>0</v>
      </c>
      <c r="AG3530" s="130"/>
      <c r="AH3530" s="130"/>
      <c r="AI3530" s="130"/>
      <c r="AJ3530" s="130"/>
      <c r="AK3530" s="131">
        <f t="shared" si="785"/>
        <v>0</v>
      </c>
      <c r="AL3530" s="446">
        <f t="shared" si="786"/>
        <v>0</v>
      </c>
      <c r="AM3530" s="110">
        <f t="shared" si="787"/>
        <v>0</v>
      </c>
      <c r="AN3530" s="447">
        <f t="shared" si="777"/>
        <v>0</v>
      </c>
      <c r="AO3530"/>
      <c r="AP3530"/>
    </row>
    <row r="3531" spans="1:42" ht="22.5" x14ac:dyDescent="0.25">
      <c r="A3531" s="376">
        <v>298</v>
      </c>
      <c r="B3531" s="565" t="s">
        <v>772</v>
      </c>
      <c r="C3531" s="376"/>
      <c r="D3531" s="921"/>
      <c r="E3531" s="377"/>
      <c r="F3531" s="378"/>
      <c r="G3531" s="378"/>
      <c r="H3531" s="378"/>
      <c r="I3531" s="734"/>
      <c r="J3531" s="806"/>
      <c r="K3531" s="131">
        <f t="shared" si="778"/>
        <v>0</v>
      </c>
      <c r="L3531" s="335">
        <f t="shared" si="784"/>
        <v>0</v>
      </c>
      <c r="M3531" s="419"/>
      <c r="N3531" s="419"/>
      <c r="O3531" s="419"/>
      <c r="P3531" s="419"/>
      <c r="Q3531" s="418">
        <f t="shared" si="790"/>
        <v>0</v>
      </c>
      <c r="R3531" s="379">
        <f t="shared" si="782"/>
        <v>0</v>
      </c>
      <c r="S3531" s="418"/>
      <c r="T3531" s="418"/>
      <c r="U3531" s="418">
        <f t="shared" si="791"/>
        <v>0</v>
      </c>
      <c r="V3531" s="379">
        <f t="shared" si="783"/>
        <v>0</v>
      </c>
      <c r="W3531" s="418"/>
      <c r="X3531" s="418"/>
      <c r="Y3531" s="418"/>
      <c r="Z3531" s="418"/>
      <c r="AA3531" s="418">
        <f t="shared" si="792"/>
        <v>0</v>
      </c>
      <c r="AB3531" s="379">
        <f t="shared" si="788"/>
        <v>0</v>
      </c>
      <c r="AC3531" s="418"/>
      <c r="AD3531" s="418"/>
      <c r="AE3531" s="418">
        <f t="shared" si="792"/>
        <v>0</v>
      </c>
      <c r="AF3531" s="379">
        <f t="shared" si="789"/>
        <v>0</v>
      </c>
      <c r="AG3531" s="418"/>
      <c r="AH3531" s="418"/>
      <c r="AI3531" s="418"/>
      <c r="AJ3531" s="418"/>
      <c r="AK3531" s="379">
        <f t="shared" si="785"/>
        <v>0</v>
      </c>
      <c r="AL3531" s="446">
        <f t="shared" si="786"/>
        <v>0</v>
      </c>
      <c r="AM3531" s="110">
        <f t="shared" si="787"/>
        <v>0</v>
      </c>
      <c r="AN3531" s="447">
        <f t="shared" si="777"/>
        <v>0</v>
      </c>
      <c r="AO3531" s="436">
        <f>SUM(J3533:J3535)</f>
        <v>132.29179199999999</v>
      </c>
      <c r="AP3531" s="111"/>
    </row>
    <row r="3532" spans="1:42" ht="22.5" x14ac:dyDescent="0.25">
      <c r="A3532" s="310">
        <v>29801</v>
      </c>
      <c r="B3532" s="375" t="s">
        <v>773</v>
      </c>
      <c r="C3532" s="311"/>
      <c r="D3532" s="902"/>
      <c r="E3532" s="312"/>
      <c r="F3532" s="313"/>
      <c r="G3532" s="313"/>
      <c r="H3532" s="313"/>
      <c r="I3532" s="729"/>
      <c r="J3532" s="800"/>
      <c r="K3532" s="131">
        <f t="shared" si="778"/>
        <v>0</v>
      </c>
      <c r="L3532" s="335">
        <f t="shared" si="784"/>
        <v>0</v>
      </c>
      <c r="M3532" s="446"/>
      <c r="N3532" s="446"/>
      <c r="O3532" s="446"/>
      <c r="P3532" s="446"/>
      <c r="Q3532" s="110">
        <f t="shared" si="790"/>
        <v>0</v>
      </c>
      <c r="R3532" s="111">
        <f t="shared" si="782"/>
        <v>0</v>
      </c>
      <c r="S3532" s="110"/>
      <c r="T3532" s="110"/>
      <c r="U3532" s="110">
        <f t="shared" si="791"/>
        <v>0</v>
      </c>
      <c r="V3532" s="111">
        <f t="shared" si="783"/>
        <v>0</v>
      </c>
      <c r="W3532" s="110"/>
      <c r="X3532" s="110"/>
      <c r="Y3532" s="110"/>
      <c r="Z3532" s="110"/>
      <c r="AA3532" s="110">
        <f t="shared" si="792"/>
        <v>0</v>
      </c>
      <c r="AB3532" s="111">
        <f t="shared" si="788"/>
        <v>0</v>
      </c>
      <c r="AC3532" s="110"/>
      <c r="AD3532" s="110"/>
      <c r="AE3532" s="110">
        <f t="shared" si="792"/>
        <v>0</v>
      </c>
      <c r="AF3532" s="111">
        <f t="shared" si="789"/>
        <v>0</v>
      </c>
      <c r="AG3532" s="110"/>
      <c r="AH3532" s="110"/>
      <c r="AI3532" s="110"/>
      <c r="AJ3532" s="110"/>
      <c r="AK3532" s="111">
        <f t="shared" si="785"/>
        <v>0</v>
      </c>
      <c r="AL3532" s="446">
        <f t="shared" si="786"/>
        <v>0</v>
      </c>
      <c r="AM3532" s="110">
        <f t="shared" si="787"/>
        <v>0</v>
      </c>
      <c r="AN3532" s="447">
        <f t="shared" si="777"/>
        <v>0</v>
      </c>
      <c r="AO3532" s="108"/>
      <c r="AP3532"/>
    </row>
    <row r="3533" spans="1:42" s="108" customFormat="1" ht="66" x14ac:dyDescent="0.25">
      <c r="A3533" s="9"/>
      <c r="B3533" s="699" t="s">
        <v>3332</v>
      </c>
      <c r="C3533" s="9"/>
      <c r="D3533" s="869">
        <v>1</v>
      </c>
      <c r="E3533" s="329" t="s">
        <v>1767</v>
      </c>
      <c r="F3533" s="271" t="s">
        <v>3446</v>
      </c>
      <c r="G3533" s="1040" t="s">
        <v>3463</v>
      </c>
      <c r="H3533" s="273" t="s">
        <v>3462</v>
      </c>
      <c r="I3533" s="722">
        <f>+J3533/D3533</f>
        <v>29.7</v>
      </c>
      <c r="J3533" s="756">
        <v>29.7</v>
      </c>
      <c r="K3533" s="131">
        <f t="shared" si="778"/>
        <v>29.7</v>
      </c>
      <c r="L3533" s="335">
        <f t="shared" si="784"/>
        <v>0</v>
      </c>
      <c r="M3533" s="335"/>
      <c r="N3533" s="335"/>
      <c r="O3533" s="335"/>
      <c r="P3533" s="335"/>
      <c r="Q3533" s="130">
        <v>1</v>
      </c>
      <c r="R3533" s="131">
        <f t="shared" si="782"/>
        <v>7.4249999999999998</v>
      </c>
      <c r="S3533" s="130"/>
      <c r="T3533" s="130"/>
      <c r="U3533" s="130">
        <v>0</v>
      </c>
      <c r="V3533" s="131">
        <f t="shared" si="783"/>
        <v>7.4249999999999998</v>
      </c>
      <c r="W3533" s="130"/>
      <c r="X3533" s="130"/>
      <c r="Y3533" s="130"/>
      <c r="Z3533" s="130"/>
      <c r="AA3533" s="130">
        <v>0</v>
      </c>
      <c r="AB3533" s="131">
        <f t="shared" si="788"/>
        <v>7.4249999999999998</v>
      </c>
      <c r="AC3533" s="130"/>
      <c r="AD3533" s="130"/>
      <c r="AE3533" s="130">
        <v>0</v>
      </c>
      <c r="AF3533" s="131">
        <f t="shared" si="789"/>
        <v>7.4249999999999998</v>
      </c>
      <c r="AG3533" s="130"/>
      <c r="AH3533" s="130"/>
      <c r="AI3533" s="130"/>
      <c r="AJ3533" s="130"/>
      <c r="AK3533" s="131">
        <f t="shared" si="785"/>
        <v>29.7</v>
      </c>
      <c r="AL3533" s="446">
        <f t="shared" si="786"/>
        <v>0</v>
      </c>
      <c r="AM3533" s="110">
        <f t="shared" si="787"/>
        <v>1</v>
      </c>
      <c r="AN3533" s="447">
        <f t="shared" si="777"/>
        <v>0</v>
      </c>
      <c r="AO3533"/>
      <c r="AP3533"/>
    </row>
    <row r="3534" spans="1:42" s="108" customFormat="1" ht="66" x14ac:dyDescent="0.25">
      <c r="A3534" s="9"/>
      <c r="B3534" s="699" t="s">
        <v>3333</v>
      </c>
      <c r="C3534" s="9"/>
      <c r="D3534" s="869">
        <v>1</v>
      </c>
      <c r="E3534" s="329" t="s">
        <v>1767</v>
      </c>
      <c r="F3534" s="271" t="s">
        <v>3446</v>
      </c>
      <c r="G3534" s="1040" t="s">
        <v>3463</v>
      </c>
      <c r="H3534" s="273" t="s">
        <v>3462</v>
      </c>
      <c r="I3534" s="722">
        <f>+J3534/D3534</f>
        <v>86.393087999999992</v>
      </c>
      <c r="J3534" s="756">
        <v>86.393087999999992</v>
      </c>
      <c r="K3534" s="131">
        <f t="shared" si="778"/>
        <v>86.393087999999992</v>
      </c>
      <c r="L3534" s="335">
        <f t="shared" si="784"/>
        <v>0</v>
      </c>
      <c r="M3534" s="335"/>
      <c r="N3534" s="335"/>
      <c r="O3534" s="335"/>
      <c r="P3534" s="335"/>
      <c r="Q3534" s="130">
        <v>1</v>
      </c>
      <c r="R3534" s="131">
        <f t="shared" si="782"/>
        <v>21.598271999999998</v>
      </c>
      <c r="S3534" s="130"/>
      <c r="T3534" s="130"/>
      <c r="U3534" s="130">
        <v>0</v>
      </c>
      <c r="V3534" s="131">
        <f t="shared" si="783"/>
        <v>21.598271999999998</v>
      </c>
      <c r="W3534" s="130"/>
      <c r="X3534" s="130"/>
      <c r="Y3534" s="130"/>
      <c r="Z3534" s="130"/>
      <c r="AA3534" s="130">
        <v>0</v>
      </c>
      <c r="AB3534" s="131">
        <f t="shared" si="788"/>
        <v>21.598271999999998</v>
      </c>
      <c r="AC3534" s="130"/>
      <c r="AD3534" s="130"/>
      <c r="AE3534" s="130">
        <v>0</v>
      </c>
      <c r="AF3534" s="131">
        <f t="shared" si="789"/>
        <v>21.598271999999998</v>
      </c>
      <c r="AG3534" s="130"/>
      <c r="AH3534" s="130"/>
      <c r="AI3534" s="130"/>
      <c r="AJ3534" s="130"/>
      <c r="AK3534" s="131">
        <f t="shared" si="785"/>
        <v>86.393087999999992</v>
      </c>
      <c r="AL3534" s="446">
        <f t="shared" si="786"/>
        <v>0</v>
      </c>
      <c r="AM3534" s="110">
        <f t="shared" si="787"/>
        <v>1</v>
      </c>
      <c r="AN3534" s="447">
        <f t="shared" si="777"/>
        <v>0</v>
      </c>
      <c r="AO3534"/>
      <c r="AP3534"/>
    </row>
    <row r="3535" spans="1:42" s="108" customFormat="1" ht="66" x14ac:dyDescent="0.25">
      <c r="A3535" s="9"/>
      <c r="B3535" s="699" t="s">
        <v>3334</v>
      </c>
      <c r="C3535" s="9"/>
      <c r="D3535" s="869">
        <v>1</v>
      </c>
      <c r="E3535" s="329" t="s">
        <v>1767</v>
      </c>
      <c r="F3535" s="271" t="s">
        <v>3446</v>
      </c>
      <c r="G3535" s="1040" t="s">
        <v>3463</v>
      </c>
      <c r="H3535" s="273" t="s">
        <v>3462</v>
      </c>
      <c r="I3535" s="722">
        <f>+J3535/D3535</f>
        <v>16.198703999999999</v>
      </c>
      <c r="J3535" s="756">
        <v>16.198703999999999</v>
      </c>
      <c r="K3535" s="131">
        <f t="shared" si="778"/>
        <v>16.198703999999999</v>
      </c>
      <c r="L3535" s="335">
        <f t="shared" si="784"/>
        <v>0</v>
      </c>
      <c r="M3535" s="335"/>
      <c r="N3535" s="335"/>
      <c r="O3535" s="335"/>
      <c r="P3535" s="335"/>
      <c r="Q3535" s="130">
        <v>1</v>
      </c>
      <c r="R3535" s="131">
        <f t="shared" si="782"/>
        <v>4.0496759999999998</v>
      </c>
      <c r="S3535" s="130"/>
      <c r="T3535" s="130"/>
      <c r="U3535" s="130">
        <v>0</v>
      </c>
      <c r="V3535" s="131">
        <f t="shared" si="783"/>
        <v>4.0496759999999998</v>
      </c>
      <c r="W3535" s="130"/>
      <c r="X3535" s="130"/>
      <c r="Y3535" s="130"/>
      <c r="Z3535" s="130"/>
      <c r="AA3535" s="130">
        <v>0</v>
      </c>
      <c r="AB3535" s="131">
        <f t="shared" si="788"/>
        <v>4.0496759999999998</v>
      </c>
      <c r="AC3535" s="130"/>
      <c r="AD3535" s="130"/>
      <c r="AE3535" s="130">
        <v>0</v>
      </c>
      <c r="AF3535" s="131">
        <f t="shared" si="789"/>
        <v>4.0496759999999998</v>
      </c>
      <c r="AG3535" s="130"/>
      <c r="AH3535" s="130"/>
      <c r="AI3535" s="130"/>
      <c r="AJ3535" s="130"/>
      <c r="AK3535" s="131">
        <f t="shared" si="785"/>
        <v>16.198703999999999</v>
      </c>
      <c r="AL3535" s="446">
        <f t="shared" si="786"/>
        <v>0</v>
      </c>
      <c r="AM3535" s="110">
        <f t="shared" si="787"/>
        <v>1</v>
      </c>
      <c r="AN3535" s="447">
        <f t="shared" si="777"/>
        <v>0</v>
      </c>
      <c r="AO3535"/>
      <c r="AP3535"/>
    </row>
    <row r="3536" spans="1:42" s="108" customFormat="1" x14ac:dyDescent="0.25">
      <c r="A3536" s="9"/>
      <c r="B3536" s="57"/>
      <c r="C3536" s="9"/>
      <c r="D3536" s="869"/>
      <c r="E3536" s="1027"/>
      <c r="F3536" s="272"/>
      <c r="G3536" s="272"/>
      <c r="H3536" s="272"/>
      <c r="I3536" s="722"/>
      <c r="J3536" s="763"/>
      <c r="K3536" s="131">
        <f t="shared" si="778"/>
        <v>0</v>
      </c>
      <c r="L3536" s="335">
        <f t="shared" si="784"/>
        <v>0</v>
      </c>
      <c r="M3536" s="335"/>
      <c r="N3536" s="335"/>
      <c r="O3536" s="335"/>
      <c r="P3536" s="335"/>
      <c r="Q3536" s="130">
        <f t="shared" si="790"/>
        <v>0</v>
      </c>
      <c r="R3536" s="131">
        <f t="shared" si="782"/>
        <v>0</v>
      </c>
      <c r="S3536" s="130"/>
      <c r="T3536" s="130"/>
      <c r="U3536" s="130">
        <f t="shared" si="791"/>
        <v>0</v>
      </c>
      <c r="V3536" s="131">
        <f t="shared" si="783"/>
        <v>0</v>
      </c>
      <c r="W3536" s="130"/>
      <c r="X3536" s="130"/>
      <c r="Y3536" s="130"/>
      <c r="Z3536" s="130"/>
      <c r="AA3536" s="130">
        <f t="shared" si="792"/>
        <v>0</v>
      </c>
      <c r="AB3536" s="131">
        <f t="shared" si="788"/>
        <v>0</v>
      </c>
      <c r="AC3536" s="130"/>
      <c r="AD3536" s="130"/>
      <c r="AE3536" s="130">
        <f t="shared" si="792"/>
        <v>0</v>
      </c>
      <c r="AF3536" s="131">
        <f t="shared" si="789"/>
        <v>0</v>
      </c>
      <c r="AG3536" s="130"/>
      <c r="AH3536" s="130"/>
      <c r="AI3536" s="130"/>
      <c r="AJ3536" s="130"/>
      <c r="AK3536" s="131">
        <f t="shared" si="785"/>
        <v>0</v>
      </c>
      <c r="AL3536" s="446">
        <f t="shared" si="786"/>
        <v>0</v>
      </c>
      <c r="AM3536" s="110">
        <f t="shared" si="787"/>
        <v>0</v>
      </c>
      <c r="AN3536" s="447">
        <f t="shared" si="777"/>
        <v>0</v>
      </c>
      <c r="AO3536"/>
      <c r="AP3536"/>
    </row>
    <row r="3537" spans="1:42" ht="22.5" x14ac:dyDescent="0.25">
      <c r="A3537" s="310">
        <v>29802</v>
      </c>
      <c r="B3537" s="375" t="s">
        <v>774</v>
      </c>
      <c r="C3537" s="311"/>
      <c r="D3537" s="902"/>
      <c r="E3537" s="312"/>
      <c r="F3537" s="313"/>
      <c r="G3537" s="313"/>
      <c r="H3537" s="313"/>
      <c r="I3537" s="729"/>
      <c r="J3537" s="800"/>
      <c r="K3537" s="131">
        <f t="shared" si="778"/>
        <v>0</v>
      </c>
      <c r="L3537" s="335">
        <f t="shared" si="784"/>
        <v>0</v>
      </c>
      <c r="M3537" s="446"/>
      <c r="N3537" s="446"/>
      <c r="O3537" s="446"/>
      <c r="P3537" s="446"/>
      <c r="Q3537" s="110">
        <f t="shared" si="790"/>
        <v>0</v>
      </c>
      <c r="R3537" s="111">
        <f t="shared" si="782"/>
        <v>0</v>
      </c>
      <c r="S3537" s="110"/>
      <c r="T3537" s="110"/>
      <c r="U3537" s="110">
        <f t="shared" si="791"/>
        <v>0</v>
      </c>
      <c r="V3537" s="111">
        <f t="shared" si="783"/>
        <v>0</v>
      </c>
      <c r="W3537" s="110"/>
      <c r="X3537" s="110"/>
      <c r="Y3537" s="110"/>
      <c r="Z3537" s="110"/>
      <c r="AA3537" s="110">
        <f t="shared" si="792"/>
        <v>0</v>
      </c>
      <c r="AB3537" s="111">
        <f t="shared" si="788"/>
        <v>0</v>
      </c>
      <c r="AC3537" s="110"/>
      <c r="AD3537" s="110"/>
      <c r="AE3537" s="110">
        <f t="shared" si="792"/>
        <v>0</v>
      </c>
      <c r="AF3537" s="111">
        <f t="shared" si="789"/>
        <v>0</v>
      </c>
      <c r="AG3537" s="110"/>
      <c r="AH3537" s="110"/>
      <c r="AI3537" s="110"/>
      <c r="AJ3537" s="110"/>
      <c r="AK3537" s="111">
        <f t="shared" si="785"/>
        <v>0</v>
      </c>
      <c r="AL3537" s="446">
        <f t="shared" si="786"/>
        <v>0</v>
      </c>
      <c r="AM3537" s="110">
        <f t="shared" si="787"/>
        <v>0</v>
      </c>
      <c r="AN3537" s="447">
        <f t="shared" si="777"/>
        <v>0</v>
      </c>
      <c r="AO3537" s="108"/>
      <c r="AP3537"/>
    </row>
    <row r="3538" spans="1:42" s="108" customFormat="1" x14ac:dyDescent="0.25">
      <c r="A3538" s="61"/>
      <c r="B3538" s="45"/>
      <c r="C3538" s="9"/>
      <c r="D3538" s="869"/>
      <c r="E3538" s="1027"/>
      <c r="F3538" s="272"/>
      <c r="G3538" s="272"/>
      <c r="H3538" s="272"/>
      <c r="I3538" s="722"/>
      <c r="J3538" s="763"/>
      <c r="K3538" s="131">
        <f t="shared" si="778"/>
        <v>0</v>
      </c>
      <c r="L3538" s="335">
        <f t="shared" si="784"/>
        <v>0</v>
      </c>
      <c r="M3538" s="335"/>
      <c r="N3538" s="335"/>
      <c r="O3538" s="335"/>
      <c r="P3538" s="335"/>
      <c r="Q3538" s="130">
        <f t="shared" si="790"/>
        <v>0</v>
      </c>
      <c r="R3538" s="131">
        <f t="shared" si="782"/>
        <v>0</v>
      </c>
      <c r="S3538" s="130"/>
      <c r="T3538" s="130"/>
      <c r="U3538" s="130">
        <f t="shared" si="791"/>
        <v>0</v>
      </c>
      <c r="V3538" s="131">
        <f t="shared" si="783"/>
        <v>0</v>
      </c>
      <c r="W3538" s="130"/>
      <c r="X3538" s="130"/>
      <c r="Y3538" s="130"/>
      <c r="Z3538" s="130"/>
      <c r="AA3538" s="130">
        <f t="shared" si="792"/>
        <v>0</v>
      </c>
      <c r="AB3538" s="131">
        <f t="shared" si="788"/>
        <v>0</v>
      </c>
      <c r="AC3538" s="130"/>
      <c r="AD3538" s="130"/>
      <c r="AE3538" s="130">
        <f t="shared" si="792"/>
        <v>0</v>
      </c>
      <c r="AF3538" s="131">
        <f t="shared" si="789"/>
        <v>0</v>
      </c>
      <c r="AG3538" s="130"/>
      <c r="AH3538" s="130"/>
      <c r="AI3538" s="130"/>
      <c r="AJ3538" s="130"/>
      <c r="AK3538" s="131">
        <f t="shared" si="785"/>
        <v>0</v>
      </c>
      <c r="AL3538" s="446">
        <f t="shared" si="786"/>
        <v>0</v>
      </c>
      <c r="AM3538" s="110">
        <f t="shared" si="787"/>
        <v>0</v>
      </c>
      <c r="AN3538" s="447">
        <f t="shared" si="777"/>
        <v>0</v>
      </c>
      <c r="AO3538"/>
      <c r="AP3538"/>
    </row>
    <row r="3539" spans="1:42" ht="22.5" x14ac:dyDescent="0.25">
      <c r="A3539" s="310">
        <v>29803</v>
      </c>
      <c r="B3539" s="375" t="s">
        <v>775</v>
      </c>
      <c r="C3539" s="311"/>
      <c r="D3539" s="902"/>
      <c r="E3539" s="312"/>
      <c r="F3539" s="313"/>
      <c r="G3539" s="313"/>
      <c r="H3539" s="313"/>
      <c r="I3539" s="729"/>
      <c r="J3539" s="800"/>
      <c r="K3539" s="131">
        <f t="shared" si="778"/>
        <v>0</v>
      </c>
      <c r="L3539" s="335">
        <f t="shared" si="784"/>
        <v>0</v>
      </c>
      <c r="M3539" s="446"/>
      <c r="N3539" s="446"/>
      <c r="O3539" s="446"/>
      <c r="P3539" s="446"/>
      <c r="Q3539" s="110">
        <f t="shared" si="790"/>
        <v>0</v>
      </c>
      <c r="R3539" s="111">
        <f t="shared" si="782"/>
        <v>0</v>
      </c>
      <c r="S3539" s="110"/>
      <c r="T3539" s="110"/>
      <c r="U3539" s="110">
        <f t="shared" si="791"/>
        <v>0</v>
      </c>
      <c r="V3539" s="111">
        <f t="shared" si="783"/>
        <v>0</v>
      </c>
      <c r="W3539" s="110"/>
      <c r="X3539" s="110"/>
      <c r="Y3539" s="110"/>
      <c r="Z3539" s="110"/>
      <c r="AA3539" s="110">
        <f t="shared" si="792"/>
        <v>0</v>
      </c>
      <c r="AB3539" s="111">
        <f t="shared" si="788"/>
        <v>0</v>
      </c>
      <c r="AC3539" s="110"/>
      <c r="AD3539" s="110"/>
      <c r="AE3539" s="110">
        <f t="shared" si="792"/>
        <v>0</v>
      </c>
      <c r="AF3539" s="111">
        <f t="shared" si="789"/>
        <v>0</v>
      </c>
      <c r="AG3539" s="110"/>
      <c r="AH3539" s="110"/>
      <c r="AI3539" s="110"/>
      <c r="AJ3539" s="110"/>
      <c r="AK3539" s="111">
        <f t="shared" si="785"/>
        <v>0</v>
      </c>
      <c r="AL3539" s="446">
        <f t="shared" si="786"/>
        <v>0</v>
      </c>
      <c r="AM3539" s="110">
        <f t="shared" si="787"/>
        <v>0</v>
      </c>
      <c r="AN3539" s="447">
        <f t="shared" si="777"/>
        <v>0</v>
      </c>
      <c r="AO3539" s="108"/>
      <c r="AP3539"/>
    </row>
    <row r="3540" spans="1:42" s="108" customFormat="1" x14ac:dyDescent="0.25">
      <c r="A3540" s="61"/>
      <c r="B3540" s="45"/>
      <c r="C3540" s="9"/>
      <c r="D3540" s="869"/>
      <c r="E3540" s="1027"/>
      <c r="F3540" s="272"/>
      <c r="G3540" s="272"/>
      <c r="H3540" s="272"/>
      <c r="I3540" s="722"/>
      <c r="J3540" s="763"/>
      <c r="K3540" s="131">
        <f t="shared" si="778"/>
        <v>0</v>
      </c>
      <c r="L3540" s="335">
        <f t="shared" si="784"/>
        <v>0</v>
      </c>
      <c r="M3540" s="335"/>
      <c r="N3540" s="335"/>
      <c r="O3540" s="335"/>
      <c r="P3540" s="335"/>
      <c r="Q3540" s="130">
        <f t="shared" si="790"/>
        <v>0</v>
      </c>
      <c r="R3540" s="131">
        <f t="shared" si="782"/>
        <v>0</v>
      </c>
      <c r="S3540" s="130"/>
      <c r="T3540" s="130"/>
      <c r="U3540" s="130">
        <f t="shared" si="791"/>
        <v>0</v>
      </c>
      <c r="V3540" s="131">
        <f t="shared" si="783"/>
        <v>0</v>
      </c>
      <c r="W3540" s="130"/>
      <c r="X3540" s="130"/>
      <c r="Y3540" s="130"/>
      <c r="Z3540" s="130"/>
      <c r="AA3540" s="130">
        <f t="shared" si="792"/>
        <v>0</v>
      </c>
      <c r="AB3540" s="131">
        <f t="shared" si="788"/>
        <v>0</v>
      </c>
      <c r="AC3540" s="130"/>
      <c r="AD3540" s="130"/>
      <c r="AE3540" s="130">
        <f t="shared" si="792"/>
        <v>0</v>
      </c>
      <c r="AF3540" s="131">
        <f t="shared" si="789"/>
        <v>0</v>
      </c>
      <c r="AG3540" s="130"/>
      <c r="AH3540" s="130"/>
      <c r="AI3540" s="130"/>
      <c r="AJ3540" s="130"/>
      <c r="AK3540" s="131">
        <f t="shared" si="785"/>
        <v>0</v>
      </c>
      <c r="AL3540" s="446">
        <f t="shared" si="786"/>
        <v>0</v>
      </c>
      <c r="AM3540" s="110">
        <f t="shared" si="787"/>
        <v>0</v>
      </c>
      <c r="AN3540" s="447">
        <f t="shared" si="777"/>
        <v>0</v>
      </c>
      <c r="AO3540"/>
      <c r="AP3540"/>
    </row>
    <row r="3541" spans="1:42" ht="22.5" x14ac:dyDescent="0.25">
      <c r="A3541" s="310">
        <v>29804</v>
      </c>
      <c r="B3541" s="375" t="s">
        <v>776</v>
      </c>
      <c r="C3541" s="311"/>
      <c r="D3541" s="902"/>
      <c r="E3541" s="312"/>
      <c r="F3541" s="313"/>
      <c r="G3541" s="313"/>
      <c r="H3541" s="313"/>
      <c r="I3541" s="729"/>
      <c r="J3541" s="800"/>
      <c r="K3541" s="131">
        <f t="shared" si="778"/>
        <v>0</v>
      </c>
      <c r="L3541" s="335">
        <f t="shared" si="784"/>
        <v>0</v>
      </c>
      <c r="M3541" s="446"/>
      <c r="N3541" s="446"/>
      <c r="O3541" s="446"/>
      <c r="P3541" s="446"/>
      <c r="Q3541" s="110">
        <f t="shared" si="790"/>
        <v>0</v>
      </c>
      <c r="R3541" s="111">
        <f t="shared" si="782"/>
        <v>0</v>
      </c>
      <c r="S3541" s="110"/>
      <c r="T3541" s="110"/>
      <c r="U3541" s="110">
        <f t="shared" si="791"/>
        <v>0</v>
      </c>
      <c r="V3541" s="111">
        <f t="shared" si="783"/>
        <v>0</v>
      </c>
      <c r="W3541" s="110"/>
      <c r="X3541" s="110"/>
      <c r="Y3541" s="110"/>
      <c r="Z3541" s="110"/>
      <c r="AA3541" s="110">
        <f t="shared" si="792"/>
        <v>0</v>
      </c>
      <c r="AB3541" s="111">
        <f t="shared" si="788"/>
        <v>0</v>
      </c>
      <c r="AC3541" s="110"/>
      <c r="AD3541" s="110"/>
      <c r="AE3541" s="110">
        <f t="shared" si="792"/>
        <v>0</v>
      </c>
      <c r="AF3541" s="111">
        <f t="shared" si="789"/>
        <v>0</v>
      </c>
      <c r="AG3541" s="110"/>
      <c r="AH3541" s="110"/>
      <c r="AI3541" s="110"/>
      <c r="AJ3541" s="110"/>
      <c r="AK3541" s="111">
        <f t="shared" si="785"/>
        <v>0</v>
      </c>
      <c r="AL3541" s="446">
        <f t="shared" si="786"/>
        <v>0</v>
      </c>
      <c r="AM3541" s="110">
        <f t="shared" si="787"/>
        <v>0</v>
      </c>
      <c r="AN3541" s="447">
        <f t="shared" si="777"/>
        <v>0</v>
      </c>
      <c r="AO3541" s="108"/>
      <c r="AP3541"/>
    </row>
    <row r="3542" spans="1:42" s="108" customFormat="1" x14ac:dyDescent="0.25">
      <c r="A3542" s="61"/>
      <c r="B3542" s="45"/>
      <c r="C3542" s="9"/>
      <c r="D3542" s="913"/>
      <c r="E3542" s="1027"/>
      <c r="F3542" s="272"/>
      <c r="G3542" s="272"/>
      <c r="H3542" s="272"/>
      <c r="I3542" s="722"/>
      <c r="J3542" s="763"/>
      <c r="K3542" s="131">
        <f t="shared" si="778"/>
        <v>0</v>
      </c>
      <c r="L3542" s="335">
        <f t="shared" si="784"/>
        <v>0</v>
      </c>
      <c r="M3542" s="335"/>
      <c r="N3542" s="335"/>
      <c r="O3542" s="335"/>
      <c r="P3542" s="335"/>
      <c r="Q3542" s="130">
        <f t="shared" si="790"/>
        <v>0</v>
      </c>
      <c r="R3542" s="131">
        <f t="shared" si="782"/>
        <v>0</v>
      </c>
      <c r="S3542" s="130"/>
      <c r="T3542" s="130"/>
      <c r="U3542" s="130">
        <f t="shared" si="791"/>
        <v>0</v>
      </c>
      <c r="V3542" s="131">
        <f t="shared" si="783"/>
        <v>0</v>
      </c>
      <c r="W3542" s="130"/>
      <c r="X3542" s="130"/>
      <c r="Y3542" s="130"/>
      <c r="Z3542" s="130"/>
      <c r="AA3542" s="130">
        <f t="shared" si="792"/>
        <v>0</v>
      </c>
      <c r="AB3542" s="131">
        <f t="shared" si="788"/>
        <v>0</v>
      </c>
      <c r="AC3542" s="130"/>
      <c r="AD3542" s="130"/>
      <c r="AE3542" s="130">
        <f t="shared" si="792"/>
        <v>0</v>
      </c>
      <c r="AF3542" s="131">
        <f t="shared" si="789"/>
        <v>0</v>
      </c>
      <c r="AG3542" s="130"/>
      <c r="AH3542" s="130"/>
      <c r="AI3542" s="130"/>
      <c r="AJ3542" s="130"/>
      <c r="AK3542" s="131">
        <f t="shared" si="785"/>
        <v>0</v>
      </c>
      <c r="AL3542" s="446">
        <f t="shared" si="786"/>
        <v>0</v>
      </c>
      <c r="AM3542" s="110">
        <f t="shared" si="787"/>
        <v>0</v>
      </c>
      <c r="AN3542" s="447">
        <f t="shared" si="777"/>
        <v>0</v>
      </c>
      <c r="AO3542"/>
      <c r="AP3542"/>
    </row>
    <row r="3543" spans="1:42" x14ac:dyDescent="0.25">
      <c r="A3543" s="376">
        <v>299</v>
      </c>
      <c r="B3543" s="565" t="s">
        <v>777</v>
      </c>
      <c r="C3543" s="376"/>
      <c r="D3543" s="921"/>
      <c r="E3543" s="377"/>
      <c r="F3543" s="378"/>
      <c r="G3543" s="378"/>
      <c r="H3543" s="378"/>
      <c r="I3543" s="734"/>
      <c r="J3543" s="806"/>
      <c r="K3543" s="131">
        <f t="shared" si="778"/>
        <v>0</v>
      </c>
      <c r="L3543" s="335">
        <f t="shared" si="784"/>
        <v>0</v>
      </c>
      <c r="M3543" s="419"/>
      <c r="N3543" s="419"/>
      <c r="O3543" s="419"/>
      <c r="P3543" s="419"/>
      <c r="Q3543" s="418">
        <f t="shared" si="790"/>
        <v>0</v>
      </c>
      <c r="R3543" s="379">
        <f t="shared" si="782"/>
        <v>0</v>
      </c>
      <c r="S3543" s="418"/>
      <c r="T3543" s="418"/>
      <c r="U3543" s="418">
        <f t="shared" si="791"/>
        <v>0</v>
      </c>
      <c r="V3543" s="379">
        <f t="shared" si="783"/>
        <v>0</v>
      </c>
      <c r="W3543" s="418"/>
      <c r="X3543" s="418"/>
      <c r="Y3543" s="418"/>
      <c r="Z3543" s="418"/>
      <c r="AA3543" s="418">
        <f t="shared" si="792"/>
        <v>0</v>
      </c>
      <c r="AB3543" s="379">
        <f t="shared" si="788"/>
        <v>0</v>
      </c>
      <c r="AC3543" s="418"/>
      <c r="AD3543" s="418"/>
      <c r="AE3543" s="418">
        <f t="shared" si="792"/>
        <v>0</v>
      </c>
      <c r="AF3543" s="379">
        <f t="shared" si="789"/>
        <v>0</v>
      </c>
      <c r="AG3543" s="418"/>
      <c r="AH3543" s="418"/>
      <c r="AI3543" s="418"/>
      <c r="AJ3543" s="418"/>
      <c r="AK3543" s="379">
        <f t="shared" si="785"/>
        <v>0</v>
      </c>
      <c r="AL3543" s="446">
        <f t="shared" si="786"/>
        <v>0</v>
      </c>
      <c r="AM3543" s="110">
        <f t="shared" si="787"/>
        <v>0</v>
      </c>
      <c r="AN3543" s="447">
        <f t="shared" si="777"/>
        <v>0</v>
      </c>
      <c r="AO3543" s="108"/>
      <c r="AP3543"/>
    </row>
    <row r="3544" spans="1:42" ht="22.5" x14ac:dyDescent="0.25">
      <c r="A3544" s="310">
        <v>29901</v>
      </c>
      <c r="B3544" s="375" t="s">
        <v>778</v>
      </c>
      <c r="C3544" s="311"/>
      <c r="D3544" s="902"/>
      <c r="E3544" s="312"/>
      <c r="F3544" s="313"/>
      <c r="G3544" s="313"/>
      <c r="H3544" s="313"/>
      <c r="I3544" s="729"/>
      <c r="J3544" s="800"/>
      <c r="K3544" s="131">
        <f t="shared" si="778"/>
        <v>0</v>
      </c>
      <c r="L3544" s="335">
        <f t="shared" si="784"/>
        <v>0</v>
      </c>
      <c r="M3544" s="446"/>
      <c r="N3544" s="446"/>
      <c r="O3544" s="446"/>
      <c r="P3544" s="446"/>
      <c r="Q3544" s="110">
        <f t="shared" si="790"/>
        <v>0</v>
      </c>
      <c r="R3544" s="111">
        <f t="shared" si="782"/>
        <v>0</v>
      </c>
      <c r="S3544" s="110"/>
      <c r="T3544" s="110"/>
      <c r="U3544" s="110">
        <f t="shared" si="791"/>
        <v>0</v>
      </c>
      <c r="V3544" s="111">
        <f t="shared" si="783"/>
        <v>0</v>
      </c>
      <c r="W3544" s="110"/>
      <c r="X3544" s="110"/>
      <c r="Y3544" s="110"/>
      <c r="Z3544" s="110"/>
      <c r="AA3544" s="110">
        <f t="shared" si="792"/>
        <v>0</v>
      </c>
      <c r="AB3544" s="111">
        <f t="shared" si="788"/>
        <v>0</v>
      </c>
      <c r="AC3544" s="110"/>
      <c r="AD3544" s="110"/>
      <c r="AE3544" s="110">
        <f t="shared" si="792"/>
        <v>0</v>
      </c>
      <c r="AF3544" s="111">
        <f t="shared" si="789"/>
        <v>0</v>
      </c>
      <c r="AG3544" s="110"/>
      <c r="AH3544" s="110"/>
      <c r="AI3544" s="110"/>
      <c r="AJ3544" s="110"/>
      <c r="AK3544" s="111">
        <f t="shared" si="785"/>
        <v>0</v>
      </c>
      <c r="AL3544" s="446">
        <f t="shared" si="786"/>
        <v>0</v>
      </c>
      <c r="AM3544" s="110">
        <f t="shared" si="787"/>
        <v>0</v>
      </c>
      <c r="AN3544" s="447">
        <f t="shared" si="777"/>
        <v>0</v>
      </c>
      <c r="AO3544" s="108"/>
      <c r="AP3544"/>
    </row>
    <row r="3545" spans="1:42" s="108" customFormat="1" x14ac:dyDescent="0.25">
      <c r="A3545" s="61"/>
      <c r="B3545" s="45"/>
      <c r="C3545" s="9"/>
      <c r="D3545" s="894"/>
      <c r="E3545" s="138"/>
      <c r="F3545" s="279"/>
      <c r="G3545" s="279"/>
      <c r="H3545" s="279"/>
      <c r="I3545" s="722"/>
      <c r="J3545" s="773"/>
      <c r="K3545" s="131">
        <f t="shared" si="778"/>
        <v>0</v>
      </c>
      <c r="L3545" s="335">
        <f t="shared" si="784"/>
        <v>0</v>
      </c>
      <c r="M3545" s="335"/>
      <c r="N3545" s="335"/>
      <c r="O3545" s="335"/>
      <c r="P3545" s="335"/>
      <c r="Q3545" s="130">
        <f t="shared" si="790"/>
        <v>0</v>
      </c>
      <c r="R3545" s="131">
        <f t="shared" si="782"/>
        <v>0</v>
      </c>
      <c r="S3545" s="130"/>
      <c r="T3545" s="130"/>
      <c r="U3545" s="130">
        <f t="shared" si="791"/>
        <v>0</v>
      </c>
      <c r="V3545" s="131">
        <f t="shared" si="783"/>
        <v>0</v>
      </c>
      <c r="W3545" s="130"/>
      <c r="X3545" s="130"/>
      <c r="Y3545" s="130"/>
      <c r="Z3545" s="130"/>
      <c r="AA3545" s="130">
        <f t="shared" si="792"/>
        <v>0</v>
      </c>
      <c r="AB3545" s="131">
        <f t="shared" si="788"/>
        <v>0</v>
      </c>
      <c r="AC3545" s="130"/>
      <c r="AD3545" s="130"/>
      <c r="AE3545" s="130">
        <f t="shared" si="792"/>
        <v>0</v>
      </c>
      <c r="AF3545" s="131">
        <f t="shared" si="789"/>
        <v>0</v>
      </c>
      <c r="AG3545" s="130"/>
      <c r="AH3545" s="130"/>
      <c r="AI3545" s="130"/>
      <c r="AJ3545" s="130"/>
      <c r="AK3545" s="131">
        <f t="shared" si="785"/>
        <v>0</v>
      </c>
      <c r="AL3545" s="446">
        <f t="shared" si="786"/>
        <v>0</v>
      </c>
      <c r="AM3545" s="110">
        <f t="shared" si="787"/>
        <v>0</v>
      </c>
      <c r="AN3545" s="447">
        <f t="shared" si="777"/>
        <v>0</v>
      </c>
      <c r="AO3545"/>
      <c r="AP3545"/>
    </row>
    <row r="3546" spans="1:42" ht="22.5" x14ac:dyDescent="0.25">
      <c r="A3546" s="310">
        <v>29902</v>
      </c>
      <c r="B3546" s="375" t="s">
        <v>779</v>
      </c>
      <c r="C3546" s="311"/>
      <c r="D3546" s="902"/>
      <c r="E3546" s="312"/>
      <c r="F3546" s="313"/>
      <c r="G3546" s="313"/>
      <c r="H3546" s="313"/>
      <c r="I3546" s="729"/>
      <c r="J3546" s="800"/>
      <c r="K3546" s="131">
        <f t="shared" si="778"/>
        <v>0</v>
      </c>
      <c r="L3546" s="335">
        <f t="shared" si="784"/>
        <v>0</v>
      </c>
      <c r="M3546" s="446"/>
      <c r="N3546" s="446"/>
      <c r="O3546" s="446"/>
      <c r="P3546" s="446"/>
      <c r="Q3546" s="110">
        <f t="shared" si="790"/>
        <v>0</v>
      </c>
      <c r="R3546" s="111">
        <f t="shared" si="782"/>
        <v>0</v>
      </c>
      <c r="S3546" s="110"/>
      <c r="T3546" s="110"/>
      <c r="U3546" s="110">
        <f t="shared" si="791"/>
        <v>0</v>
      </c>
      <c r="V3546" s="111">
        <f t="shared" si="783"/>
        <v>0</v>
      </c>
      <c r="W3546" s="110"/>
      <c r="X3546" s="110"/>
      <c r="Y3546" s="110"/>
      <c r="Z3546" s="110"/>
      <c r="AA3546" s="110">
        <f t="shared" si="792"/>
        <v>0</v>
      </c>
      <c r="AB3546" s="111">
        <f t="shared" si="788"/>
        <v>0</v>
      </c>
      <c r="AC3546" s="110"/>
      <c r="AD3546" s="110"/>
      <c r="AE3546" s="110">
        <f t="shared" si="792"/>
        <v>0</v>
      </c>
      <c r="AF3546" s="111">
        <f t="shared" si="789"/>
        <v>0</v>
      </c>
      <c r="AG3546" s="110"/>
      <c r="AH3546" s="110"/>
      <c r="AI3546" s="110"/>
      <c r="AJ3546" s="110"/>
      <c r="AK3546" s="111">
        <f t="shared" si="785"/>
        <v>0</v>
      </c>
      <c r="AL3546" s="446">
        <f t="shared" si="786"/>
        <v>0</v>
      </c>
      <c r="AM3546" s="110">
        <f t="shared" si="787"/>
        <v>0</v>
      </c>
      <c r="AN3546" s="447">
        <f t="shared" ref="AN3546:AN3609" si="793">+D3546-AM3546</f>
        <v>0</v>
      </c>
      <c r="AO3546" s="436">
        <f>SUM(J3547:J3552)</f>
        <v>47496</v>
      </c>
      <c r="AP3546" s="111"/>
    </row>
    <row r="3547" spans="1:42" ht="66" x14ac:dyDescent="0.25">
      <c r="A3547" s="9"/>
      <c r="B3547" s="49" t="s">
        <v>1835</v>
      </c>
      <c r="C3547" s="1024"/>
      <c r="D3547" s="869">
        <v>60</v>
      </c>
      <c r="E3547" s="1027" t="s">
        <v>1721</v>
      </c>
      <c r="F3547" s="273" t="s">
        <v>3446</v>
      </c>
      <c r="G3547" s="1040" t="s">
        <v>3463</v>
      </c>
      <c r="H3547" s="273" t="s">
        <v>3462</v>
      </c>
      <c r="I3547" s="720">
        <f t="shared" ref="I3547:I3552" si="794">+J3547/D3547</f>
        <v>44.1</v>
      </c>
      <c r="J3547" s="763">
        <v>2646</v>
      </c>
      <c r="K3547" s="131">
        <f t="shared" si="778"/>
        <v>2646</v>
      </c>
      <c r="L3547" s="335">
        <f t="shared" si="784"/>
        <v>0</v>
      </c>
      <c r="M3547" s="446"/>
      <c r="N3547" s="446"/>
      <c r="O3547" s="446"/>
      <c r="P3547" s="446"/>
      <c r="Q3547" s="110">
        <f t="shared" si="790"/>
        <v>15</v>
      </c>
      <c r="R3547" s="111">
        <f t="shared" si="782"/>
        <v>661.5</v>
      </c>
      <c r="S3547" s="110"/>
      <c r="T3547" s="110"/>
      <c r="U3547" s="110">
        <f t="shared" si="791"/>
        <v>15</v>
      </c>
      <c r="V3547" s="111">
        <f t="shared" si="783"/>
        <v>661.5</v>
      </c>
      <c r="W3547" s="110"/>
      <c r="X3547" s="110"/>
      <c r="Y3547" s="110"/>
      <c r="Z3547" s="110"/>
      <c r="AA3547" s="110">
        <f t="shared" si="792"/>
        <v>15</v>
      </c>
      <c r="AB3547" s="111">
        <f t="shared" si="788"/>
        <v>661.5</v>
      </c>
      <c r="AC3547" s="110"/>
      <c r="AD3547" s="110"/>
      <c r="AE3547" s="110">
        <f t="shared" si="792"/>
        <v>15</v>
      </c>
      <c r="AF3547" s="111">
        <f t="shared" si="789"/>
        <v>661.5</v>
      </c>
      <c r="AG3547" s="110"/>
      <c r="AH3547" s="110"/>
      <c r="AI3547" s="110"/>
      <c r="AJ3547" s="110"/>
      <c r="AK3547" s="111">
        <f t="shared" si="785"/>
        <v>2646</v>
      </c>
      <c r="AL3547" s="446">
        <f t="shared" si="786"/>
        <v>0</v>
      </c>
      <c r="AM3547" s="110">
        <f t="shared" si="787"/>
        <v>60</v>
      </c>
      <c r="AN3547" s="447">
        <f t="shared" si="793"/>
        <v>0</v>
      </c>
      <c r="AO3547"/>
      <c r="AP3547"/>
    </row>
    <row r="3548" spans="1:42" ht="66" x14ac:dyDescent="0.25">
      <c r="A3548" s="9"/>
      <c r="B3548" s="45" t="s">
        <v>1351</v>
      </c>
      <c r="C3548" s="1024"/>
      <c r="D3548" s="869">
        <v>5</v>
      </c>
      <c r="E3548" s="1027" t="s">
        <v>1721</v>
      </c>
      <c r="F3548" s="271" t="s">
        <v>3446</v>
      </c>
      <c r="G3548" s="1040" t="s">
        <v>3463</v>
      </c>
      <c r="H3548" s="273" t="s">
        <v>3462</v>
      </c>
      <c r="I3548" s="720">
        <f t="shared" si="794"/>
        <v>58</v>
      </c>
      <c r="J3548" s="756">
        <v>290</v>
      </c>
      <c r="K3548" s="131">
        <f t="shared" si="778"/>
        <v>290</v>
      </c>
      <c r="L3548" s="335">
        <f t="shared" si="784"/>
        <v>0</v>
      </c>
      <c r="M3548" s="446"/>
      <c r="N3548" s="446"/>
      <c r="O3548" s="446"/>
      <c r="P3548" s="446"/>
      <c r="Q3548" s="110">
        <v>2</v>
      </c>
      <c r="R3548" s="111">
        <f t="shared" si="782"/>
        <v>72.5</v>
      </c>
      <c r="S3548" s="110"/>
      <c r="T3548" s="110"/>
      <c r="U3548" s="110">
        <v>1</v>
      </c>
      <c r="V3548" s="111">
        <f t="shared" si="783"/>
        <v>72.5</v>
      </c>
      <c r="W3548" s="110"/>
      <c r="X3548" s="110"/>
      <c r="Y3548" s="110"/>
      <c r="Z3548" s="110"/>
      <c r="AA3548" s="110">
        <v>1</v>
      </c>
      <c r="AB3548" s="111">
        <f t="shared" si="788"/>
        <v>72.5</v>
      </c>
      <c r="AC3548" s="110"/>
      <c r="AD3548" s="110"/>
      <c r="AE3548" s="110">
        <v>1</v>
      </c>
      <c r="AF3548" s="111">
        <f t="shared" si="789"/>
        <v>72.5</v>
      </c>
      <c r="AG3548" s="110"/>
      <c r="AH3548" s="110"/>
      <c r="AI3548" s="110"/>
      <c r="AJ3548" s="110"/>
      <c r="AK3548" s="111">
        <f t="shared" si="785"/>
        <v>290</v>
      </c>
      <c r="AL3548" s="446">
        <f t="shared" si="786"/>
        <v>0</v>
      </c>
      <c r="AM3548" s="110">
        <f t="shared" si="787"/>
        <v>5</v>
      </c>
      <c r="AN3548" s="447">
        <f t="shared" si="793"/>
        <v>0</v>
      </c>
      <c r="AO3548"/>
      <c r="AP3548"/>
    </row>
    <row r="3549" spans="1:42" ht="66" x14ac:dyDescent="0.25">
      <c r="A3549" s="9"/>
      <c r="B3549" s="45" t="s">
        <v>1352</v>
      </c>
      <c r="C3549" s="1024"/>
      <c r="D3549" s="869">
        <v>20</v>
      </c>
      <c r="E3549" s="1027" t="s">
        <v>1721</v>
      </c>
      <c r="F3549" s="271" t="s">
        <v>3446</v>
      </c>
      <c r="G3549" s="1040" t="s">
        <v>3463</v>
      </c>
      <c r="H3549" s="273" t="s">
        <v>3462</v>
      </c>
      <c r="I3549" s="720">
        <f t="shared" si="794"/>
        <v>116</v>
      </c>
      <c r="J3549" s="756">
        <v>2320</v>
      </c>
      <c r="K3549" s="131">
        <f t="shared" ref="K3549:K3612" si="795">+D3549*I3549</f>
        <v>2320</v>
      </c>
      <c r="L3549" s="335">
        <f t="shared" si="784"/>
        <v>0</v>
      </c>
      <c r="M3549" s="446"/>
      <c r="N3549" s="446"/>
      <c r="O3549" s="446"/>
      <c r="P3549" s="446"/>
      <c r="Q3549" s="110">
        <f t="shared" si="790"/>
        <v>5</v>
      </c>
      <c r="R3549" s="111">
        <f t="shared" si="782"/>
        <v>580</v>
      </c>
      <c r="S3549" s="110"/>
      <c r="T3549" s="110"/>
      <c r="U3549" s="110">
        <f t="shared" si="791"/>
        <v>5</v>
      </c>
      <c r="V3549" s="111">
        <f t="shared" si="783"/>
        <v>580</v>
      </c>
      <c r="W3549" s="110"/>
      <c r="X3549" s="110"/>
      <c r="Y3549" s="110"/>
      <c r="Z3549" s="110"/>
      <c r="AA3549" s="110">
        <f t="shared" si="792"/>
        <v>5</v>
      </c>
      <c r="AB3549" s="111">
        <f t="shared" si="788"/>
        <v>580</v>
      </c>
      <c r="AC3549" s="110"/>
      <c r="AD3549" s="110"/>
      <c r="AE3549" s="110">
        <f t="shared" si="792"/>
        <v>5</v>
      </c>
      <c r="AF3549" s="111">
        <f t="shared" si="789"/>
        <v>580</v>
      </c>
      <c r="AG3549" s="110"/>
      <c r="AH3549" s="110"/>
      <c r="AI3549" s="110"/>
      <c r="AJ3549" s="110"/>
      <c r="AK3549" s="111">
        <f t="shared" si="785"/>
        <v>2320</v>
      </c>
      <c r="AL3549" s="446">
        <f t="shared" si="786"/>
        <v>0</v>
      </c>
      <c r="AM3549" s="110">
        <f t="shared" si="787"/>
        <v>20</v>
      </c>
      <c r="AN3549" s="447">
        <f t="shared" si="793"/>
        <v>0</v>
      </c>
      <c r="AO3549"/>
      <c r="AP3549"/>
    </row>
    <row r="3550" spans="1:42" ht="66" x14ac:dyDescent="0.25">
      <c r="A3550" s="60"/>
      <c r="B3550" s="49" t="s">
        <v>1353</v>
      </c>
      <c r="C3550" s="9"/>
      <c r="D3550" s="869">
        <v>10</v>
      </c>
      <c r="E3550" s="1027" t="s">
        <v>1721</v>
      </c>
      <c r="F3550" s="271" t="s">
        <v>3446</v>
      </c>
      <c r="G3550" s="1040" t="s">
        <v>3463</v>
      </c>
      <c r="H3550" s="273" t="s">
        <v>3462</v>
      </c>
      <c r="I3550" s="720">
        <f t="shared" si="794"/>
        <v>174</v>
      </c>
      <c r="J3550" s="756">
        <v>1740</v>
      </c>
      <c r="K3550" s="131">
        <f t="shared" si="795"/>
        <v>1740</v>
      </c>
      <c r="L3550" s="335">
        <f t="shared" si="784"/>
        <v>0</v>
      </c>
      <c r="M3550" s="446"/>
      <c r="N3550" s="446"/>
      <c r="O3550" s="446"/>
      <c r="P3550" s="446"/>
      <c r="Q3550" s="130">
        <v>3</v>
      </c>
      <c r="R3550" s="111">
        <f t="shared" si="782"/>
        <v>435</v>
      </c>
      <c r="S3550" s="110"/>
      <c r="T3550" s="110"/>
      <c r="U3550" s="130">
        <v>3</v>
      </c>
      <c r="V3550" s="111">
        <f t="shared" si="783"/>
        <v>435</v>
      </c>
      <c r="W3550" s="110"/>
      <c r="X3550" s="110"/>
      <c r="Y3550" s="110"/>
      <c r="Z3550" s="110"/>
      <c r="AA3550" s="130">
        <v>2</v>
      </c>
      <c r="AB3550" s="111">
        <f t="shared" si="788"/>
        <v>435</v>
      </c>
      <c r="AC3550" s="110"/>
      <c r="AD3550" s="110"/>
      <c r="AE3550" s="130">
        <v>2</v>
      </c>
      <c r="AF3550" s="111">
        <f t="shared" si="789"/>
        <v>435</v>
      </c>
      <c r="AG3550" s="110"/>
      <c r="AH3550" s="110"/>
      <c r="AI3550" s="110"/>
      <c r="AJ3550" s="110"/>
      <c r="AK3550" s="111">
        <f t="shared" si="785"/>
        <v>1740</v>
      </c>
      <c r="AL3550" s="446">
        <f t="shared" si="786"/>
        <v>0</v>
      </c>
      <c r="AM3550" s="110">
        <f t="shared" si="787"/>
        <v>10</v>
      </c>
      <c r="AN3550" s="447">
        <f t="shared" si="793"/>
        <v>0</v>
      </c>
      <c r="AO3550"/>
      <c r="AP3550"/>
    </row>
    <row r="3551" spans="1:42" ht="66" x14ac:dyDescent="0.25">
      <c r="A3551" s="60"/>
      <c r="B3551" s="49" t="s">
        <v>2127</v>
      </c>
      <c r="C3551" s="9"/>
      <c r="D3551" s="869">
        <v>60</v>
      </c>
      <c r="E3551" s="1027" t="s">
        <v>1721</v>
      </c>
      <c r="F3551" s="271" t="s">
        <v>3446</v>
      </c>
      <c r="G3551" s="1040" t="s">
        <v>3463</v>
      </c>
      <c r="H3551" s="273" t="s">
        <v>3462</v>
      </c>
      <c r="I3551" s="720">
        <f t="shared" si="794"/>
        <v>650</v>
      </c>
      <c r="J3551" s="756">
        <v>39000</v>
      </c>
      <c r="K3551" s="131">
        <f t="shared" si="795"/>
        <v>39000</v>
      </c>
      <c r="L3551" s="335">
        <f t="shared" si="784"/>
        <v>0</v>
      </c>
      <c r="M3551" s="446"/>
      <c r="N3551" s="446"/>
      <c r="O3551" s="446"/>
      <c r="P3551" s="446"/>
      <c r="Q3551" s="110">
        <f t="shared" si="790"/>
        <v>15</v>
      </c>
      <c r="R3551" s="111">
        <f t="shared" si="782"/>
        <v>9750</v>
      </c>
      <c r="S3551" s="110"/>
      <c r="T3551" s="110"/>
      <c r="U3551" s="110">
        <f t="shared" si="791"/>
        <v>15</v>
      </c>
      <c r="V3551" s="111">
        <f t="shared" si="783"/>
        <v>9750</v>
      </c>
      <c r="W3551" s="110"/>
      <c r="X3551" s="110"/>
      <c r="Y3551" s="110"/>
      <c r="Z3551" s="110"/>
      <c r="AA3551" s="110">
        <f t="shared" si="792"/>
        <v>15</v>
      </c>
      <c r="AB3551" s="111">
        <f t="shared" si="788"/>
        <v>9750</v>
      </c>
      <c r="AC3551" s="110"/>
      <c r="AD3551" s="110"/>
      <c r="AE3551" s="110">
        <f t="shared" si="792"/>
        <v>15</v>
      </c>
      <c r="AF3551" s="111">
        <f t="shared" si="789"/>
        <v>9750</v>
      </c>
      <c r="AG3551" s="110"/>
      <c r="AH3551" s="110"/>
      <c r="AI3551" s="110"/>
      <c r="AJ3551" s="110"/>
      <c r="AK3551" s="111">
        <f t="shared" si="785"/>
        <v>39000</v>
      </c>
      <c r="AL3551" s="446">
        <f t="shared" si="786"/>
        <v>0</v>
      </c>
      <c r="AM3551" s="110">
        <f t="shared" si="787"/>
        <v>60</v>
      </c>
      <c r="AN3551" s="447">
        <f t="shared" si="793"/>
        <v>0</v>
      </c>
      <c r="AO3551"/>
      <c r="AP3551"/>
    </row>
    <row r="3552" spans="1:42" ht="66" x14ac:dyDescent="0.25">
      <c r="A3552" s="60"/>
      <c r="B3552" s="49" t="s">
        <v>2452</v>
      </c>
      <c r="C3552" s="9"/>
      <c r="D3552" s="869">
        <v>3</v>
      </c>
      <c r="E3552" s="1027" t="s">
        <v>1721</v>
      </c>
      <c r="F3552" s="271" t="s">
        <v>3446</v>
      </c>
      <c r="G3552" s="1040" t="s">
        <v>3463</v>
      </c>
      <c r="H3552" s="273" t="s">
        <v>3462</v>
      </c>
      <c r="I3552" s="720">
        <f t="shared" si="794"/>
        <v>500</v>
      </c>
      <c r="J3552" s="756">
        <v>1500</v>
      </c>
      <c r="K3552" s="131">
        <f t="shared" si="795"/>
        <v>1500</v>
      </c>
      <c r="L3552" s="335">
        <f t="shared" si="784"/>
        <v>0</v>
      </c>
      <c r="M3552" s="446"/>
      <c r="N3552" s="446"/>
      <c r="O3552" s="446"/>
      <c r="P3552" s="446"/>
      <c r="Q3552" s="130">
        <v>1</v>
      </c>
      <c r="R3552" s="111">
        <f t="shared" si="782"/>
        <v>375</v>
      </c>
      <c r="S3552" s="110"/>
      <c r="T3552" s="110"/>
      <c r="U3552" s="130">
        <v>1</v>
      </c>
      <c r="V3552" s="111">
        <f t="shared" si="783"/>
        <v>375</v>
      </c>
      <c r="W3552" s="110"/>
      <c r="X3552" s="110"/>
      <c r="Y3552" s="110"/>
      <c r="Z3552" s="110"/>
      <c r="AA3552" s="130">
        <v>1</v>
      </c>
      <c r="AB3552" s="111">
        <f t="shared" si="788"/>
        <v>375</v>
      </c>
      <c r="AC3552" s="110"/>
      <c r="AD3552" s="110"/>
      <c r="AE3552" s="130">
        <v>0</v>
      </c>
      <c r="AF3552" s="111">
        <f t="shared" si="789"/>
        <v>375</v>
      </c>
      <c r="AG3552" s="110"/>
      <c r="AH3552" s="110"/>
      <c r="AI3552" s="110"/>
      <c r="AJ3552" s="110"/>
      <c r="AK3552" s="111">
        <f t="shared" si="785"/>
        <v>1500</v>
      </c>
      <c r="AL3552" s="446">
        <f t="shared" si="786"/>
        <v>0</v>
      </c>
      <c r="AM3552" s="110">
        <f t="shared" si="787"/>
        <v>3</v>
      </c>
      <c r="AN3552" s="447">
        <f t="shared" si="793"/>
        <v>0</v>
      </c>
      <c r="AO3552"/>
      <c r="AP3552"/>
    </row>
    <row r="3553" spans="1:42" ht="22.5" x14ac:dyDescent="0.25">
      <c r="A3553" s="310">
        <v>29903</v>
      </c>
      <c r="B3553" s="375" t="s">
        <v>780</v>
      </c>
      <c r="C3553" s="311"/>
      <c r="D3553" s="902"/>
      <c r="E3553" s="312"/>
      <c r="F3553" s="313"/>
      <c r="G3553" s="313"/>
      <c r="H3553" s="313"/>
      <c r="I3553" s="729"/>
      <c r="J3553" s="800"/>
      <c r="K3553" s="131">
        <f t="shared" si="795"/>
        <v>0</v>
      </c>
      <c r="L3553" s="335">
        <f t="shared" si="784"/>
        <v>0</v>
      </c>
      <c r="M3553" s="446"/>
      <c r="N3553" s="446"/>
      <c r="O3553" s="446"/>
      <c r="P3553" s="446"/>
      <c r="Q3553" s="110">
        <f t="shared" si="790"/>
        <v>0</v>
      </c>
      <c r="R3553" s="111">
        <f t="shared" si="782"/>
        <v>0</v>
      </c>
      <c r="S3553" s="110"/>
      <c r="T3553" s="110"/>
      <c r="U3553" s="110">
        <f t="shared" si="791"/>
        <v>0</v>
      </c>
      <c r="V3553" s="111">
        <f t="shared" si="783"/>
        <v>0</v>
      </c>
      <c r="W3553" s="110"/>
      <c r="X3553" s="110"/>
      <c r="Y3553" s="110"/>
      <c r="Z3553" s="110"/>
      <c r="AA3553" s="110">
        <f t="shared" si="792"/>
        <v>0</v>
      </c>
      <c r="AB3553" s="111">
        <f t="shared" si="788"/>
        <v>0</v>
      </c>
      <c r="AC3553" s="110"/>
      <c r="AD3553" s="110"/>
      <c r="AE3553" s="110">
        <f t="shared" si="792"/>
        <v>0</v>
      </c>
      <c r="AF3553" s="111">
        <f t="shared" si="789"/>
        <v>0</v>
      </c>
      <c r="AG3553" s="110"/>
      <c r="AH3553" s="110"/>
      <c r="AI3553" s="110"/>
      <c r="AJ3553" s="110"/>
      <c r="AK3553" s="111">
        <f t="shared" si="785"/>
        <v>0</v>
      </c>
      <c r="AL3553" s="446">
        <f t="shared" si="786"/>
        <v>0</v>
      </c>
      <c r="AM3553" s="110">
        <f t="shared" si="787"/>
        <v>0</v>
      </c>
      <c r="AN3553" s="447">
        <f t="shared" si="793"/>
        <v>0</v>
      </c>
      <c r="AO3553" s="108"/>
      <c r="AP3553"/>
    </row>
    <row r="3554" spans="1:42" x14ac:dyDescent="0.25">
      <c r="A3554" s="61"/>
      <c r="B3554" s="573"/>
      <c r="C3554" s="9"/>
      <c r="D3554" s="911"/>
      <c r="E3554" s="1027"/>
      <c r="F3554" s="272"/>
      <c r="G3554" s="272"/>
      <c r="H3554" s="272"/>
      <c r="I3554" s="720"/>
      <c r="J3554" s="803"/>
      <c r="K3554" s="131">
        <f t="shared" si="795"/>
        <v>0</v>
      </c>
      <c r="L3554" s="335">
        <f t="shared" si="784"/>
        <v>0</v>
      </c>
      <c r="M3554" s="446"/>
      <c r="N3554" s="446"/>
      <c r="O3554" s="446"/>
      <c r="P3554" s="446"/>
      <c r="Q3554" s="110">
        <f t="shared" si="790"/>
        <v>0</v>
      </c>
      <c r="R3554" s="111">
        <f t="shared" si="782"/>
        <v>0</v>
      </c>
      <c r="S3554" s="110"/>
      <c r="T3554" s="110"/>
      <c r="U3554" s="110">
        <f t="shared" si="791"/>
        <v>0</v>
      </c>
      <c r="V3554" s="111">
        <f t="shared" si="783"/>
        <v>0</v>
      </c>
      <c r="W3554" s="110"/>
      <c r="X3554" s="110"/>
      <c r="Y3554" s="110"/>
      <c r="Z3554" s="110"/>
      <c r="AA3554" s="110">
        <f t="shared" si="792"/>
        <v>0</v>
      </c>
      <c r="AB3554" s="111">
        <f t="shared" si="788"/>
        <v>0</v>
      </c>
      <c r="AC3554" s="110"/>
      <c r="AD3554" s="110"/>
      <c r="AE3554" s="110">
        <f t="shared" si="792"/>
        <v>0</v>
      </c>
      <c r="AF3554" s="111">
        <f t="shared" si="789"/>
        <v>0</v>
      </c>
      <c r="AG3554" s="110"/>
      <c r="AH3554" s="110"/>
      <c r="AI3554" s="110"/>
      <c r="AJ3554" s="110"/>
      <c r="AK3554" s="111">
        <f t="shared" si="785"/>
        <v>0</v>
      </c>
      <c r="AL3554" s="446">
        <f t="shared" si="786"/>
        <v>0</v>
      </c>
      <c r="AM3554" s="110">
        <f t="shared" si="787"/>
        <v>0</v>
      </c>
      <c r="AN3554" s="447">
        <f t="shared" si="793"/>
        <v>0</v>
      </c>
      <c r="AO3554"/>
      <c r="AP3554"/>
    </row>
    <row r="3555" spans="1:42" x14ac:dyDescent="0.25">
      <c r="A3555" s="61"/>
      <c r="B3555" s="43"/>
      <c r="C3555" s="9"/>
      <c r="D3555" s="869"/>
      <c r="E3555" s="1027"/>
      <c r="F3555" s="272"/>
      <c r="G3555" s="272"/>
      <c r="H3555" s="272"/>
      <c r="I3555" s="720"/>
      <c r="J3555" s="763"/>
      <c r="K3555" s="131">
        <f t="shared" si="795"/>
        <v>0</v>
      </c>
      <c r="L3555" s="335">
        <f t="shared" si="784"/>
        <v>0</v>
      </c>
      <c r="M3555" s="446"/>
      <c r="N3555" s="446"/>
      <c r="O3555" s="446"/>
      <c r="P3555" s="446"/>
      <c r="Q3555" s="110">
        <f t="shared" si="790"/>
        <v>0</v>
      </c>
      <c r="R3555" s="111">
        <f t="shared" si="782"/>
        <v>0</v>
      </c>
      <c r="S3555" s="110"/>
      <c r="T3555" s="110"/>
      <c r="U3555" s="110">
        <f t="shared" si="791"/>
        <v>0</v>
      </c>
      <c r="V3555" s="111">
        <f t="shared" si="783"/>
        <v>0</v>
      </c>
      <c r="W3555" s="110"/>
      <c r="X3555" s="110"/>
      <c r="Y3555" s="110"/>
      <c r="Z3555" s="110"/>
      <c r="AA3555" s="110">
        <f t="shared" si="792"/>
        <v>0</v>
      </c>
      <c r="AB3555" s="111">
        <f t="shared" si="788"/>
        <v>0</v>
      </c>
      <c r="AC3555" s="110"/>
      <c r="AD3555" s="110"/>
      <c r="AE3555" s="110">
        <f t="shared" si="792"/>
        <v>0</v>
      </c>
      <c r="AF3555" s="111">
        <f t="shared" si="789"/>
        <v>0</v>
      </c>
      <c r="AG3555" s="110"/>
      <c r="AH3555" s="110"/>
      <c r="AI3555" s="110"/>
      <c r="AJ3555" s="110"/>
      <c r="AK3555" s="111">
        <f t="shared" si="785"/>
        <v>0</v>
      </c>
      <c r="AL3555" s="446">
        <f t="shared" si="786"/>
        <v>0</v>
      </c>
      <c r="AM3555" s="110">
        <f t="shared" si="787"/>
        <v>0</v>
      </c>
      <c r="AN3555" s="447">
        <f t="shared" si="793"/>
        <v>0</v>
      </c>
      <c r="AO3555"/>
      <c r="AP3555"/>
    </row>
    <row r="3556" spans="1:42" ht="22.5" x14ac:dyDescent="0.25">
      <c r="A3556" s="310">
        <v>29904</v>
      </c>
      <c r="B3556" s="375" t="s">
        <v>781</v>
      </c>
      <c r="C3556" s="311"/>
      <c r="D3556" s="902"/>
      <c r="E3556" s="312"/>
      <c r="F3556" s="313"/>
      <c r="G3556" s="313"/>
      <c r="H3556" s="313"/>
      <c r="I3556" s="729"/>
      <c r="J3556" s="800"/>
      <c r="K3556" s="131">
        <f t="shared" si="795"/>
        <v>0</v>
      </c>
      <c r="L3556" s="335">
        <f t="shared" si="784"/>
        <v>0</v>
      </c>
      <c r="M3556" s="446"/>
      <c r="N3556" s="446"/>
      <c r="O3556" s="446"/>
      <c r="P3556" s="446"/>
      <c r="Q3556" s="110">
        <f t="shared" si="790"/>
        <v>0</v>
      </c>
      <c r="R3556" s="111">
        <f t="shared" si="782"/>
        <v>0</v>
      </c>
      <c r="S3556" s="110"/>
      <c r="T3556" s="110"/>
      <c r="U3556" s="110">
        <f t="shared" si="791"/>
        <v>0</v>
      </c>
      <c r="V3556" s="111">
        <f t="shared" si="783"/>
        <v>0</v>
      </c>
      <c r="W3556" s="110"/>
      <c r="X3556" s="110"/>
      <c r="Y3556" s="110"/>
      <c r="Z3556" s="110"/>
      <c r="AA3556" s="110">
        <f t="shared" si="792"/>
        <v>0</v>
      </c>
      <c r="AB3556" s="111">
        <f t="shared" si="788"/>
        <v>0</v>
      </c>
      <c r="AC3556" s="110"/>
      <c r="AD3556" s="110"/>
      <c r="AE3556" s="110">
        <f t="shared" si="792"/>
        <v>0</v>
      </c>
      <c r="AF3556" s="111">
        <f t="shared" si="789"/>
        <v>0</v>
      </c>
      <c r="AG3556" s="110"/>
      <c r="AH3556" s="110"/>
      <c r="AI3556" s="110"/>
      <c r="AJ3556" s="110"/>
      <c r="AK3556" s="111">
        <f t="shared" si="785"/>
        <v>0</v>
      </c>
      <c r="AL3556" s="446">
        <f t="shared" si="786"/>
        <v>0</v>
      </c>
      <c r="AM3556" s="110">
        <f t="shared" si="787"/>
        <v>0</v>
      </c>
      <c r="AN3556" s="447">
        <f t="shared" si="793"/>
        <v>0</v>
      </c>
      <c r="AO3556" s="108"/>
      <c r="AP3556"/>
    </row>
    <row r="3557" spans="1:42" s="108" customFormat="1" x14ac:dyDescent="0.25">
      <c r="A3557" s="61"/>
      <c r="B3557" s="45"/>
      <c r="C3557" s="9"/>
      <c r="D3557" s="869"/>
      <c r="E3557" s="1027"/>
      <c r="F3557" s="272"/>
      <c r="G3557" s="272"/>
      <c r="H3557" s="272"/>
      <c r="I3557" s="722"/>
      <c r="J3557" s="763"/>
      <c r="K3557" s="131">
        <f t="shared" si="795"/>
        <v>0</v>
      </c>
      <c r="L3557" s="335">
        <f t="shared" si="784"/>
        <v>0</v>
      </c>
      <c r="M3557" s="335"/>
      <c r="N3557" s="335"/>
      <c r="O3557" s="335"/>
      <c r="P3557" s="335"/>
      <c r="Q3557" s="130">
        <f t="shared" si="790"/>
        <v>0</v>
      </c>
      <c r="R3557" s="131">
        <f t="shared" si="782"/>
        <v>0</v>
      </c>
      <c r="S3557" s="130"/>
      <c r="T3557" s="130"/>
      <c r="U3557" s="130">
        <f t="shared" si="791"/>
        <v>0</v>
      </c>
      <c r="V3557" s="131">
        <f t="shared" si="783"/>
        <v>0</v>
      </c>
      <c r="W3557" s="130"/>
      <c r="X3557" s="130"/>
      <c r="Y3557" s="130"/>
      <c r="Z3557" s="130"/>
      <c r="AA3557" s="130">
        <f t="shared" si="792"/>
        <v>0</v>
      </c>
      <c r="AB3557" s="131">
        <f t="shared" si="788"/>
        <v>0</v>
      </c>
      <c r="AC3557" s="130"/>
      <c r="AD3557" s="130"/>
      <c r="AE3557" s="130">
        <f t="shared" si="792"/>
        <v>0</v>
      </c>
      <c r="AF3557" s="131">
        <f t="shared" si="789"/>
        <v>0</v>
      </c>
      <c r="AG3557" s="130"/>
      <c r="AH3557" s="130"/>
      <c r="AI3557" s="130"/>
      <c r="AJ3557" s="130"/>
      <c r="AK3557" s="131">
        <f t="shared" si="785"/>
        <v>0</v>
      </c>
      <c r="AL3557" s="446">
        <f t="shared" si="786"/>
        <v>0</v>
      </c>
      <c r="AM3557" s="110">
        <f t="shared" si="787"/>
        <v>0</v>
      </c>
      <c r="AN3557" s="447">
        <f t="shared" si="793"/>
        <v>0</v>
      </c>
      <c r="AO3557"/>
      <c r="AP3557"/>
    </row>
    <row r="3558" spans="1:42" x14ac:dyDescent="0.25">
      <c r="A3558" s="310">
        <v>29905</v>
      </c>
      <c r="B3558" s="375" t="s">
        <v>782</v>
      </c>
      <c r="C3558" s="311"/>
      <c r="D3558" s="902"/>
      <c r="E3558" s="312"/>
      <c r="F3558" s="313"/>
      <c r="G3558" s="313"/>
      <c r="H3558" s="313"/>
      <c r="I3558" s="729"/>
      <c r="J3558" s="800"/>
      <c r="K3558" s="131">
        <f t="shared" si="795"/>
        <v>0</v>
      </c>
      <c r="L3558" s="335">
        <f t="shared" si="784"/>
        <v>0</v>
      </c>
      <c r="M3558" s="446"/>
      <c r="N3558" s="446"/>
      <c r="O3558" s="446"/>
      <c r="P3558" s="446"/>
      <c r="Q3558" s="110">
        <f t="shared" si="790"/>
        <v>0</v>
      </c>
      <c r="R3558" s="111">
        <f t="shared" si="782"/>
        <v>0</v>
      </c>
      <c r="S3558" s="110"/>
      <c r="T3558" s="110"/>
      <c r="U3558" s="110">
        <f t="shared" si="791"/>
        <v>0</v>
      </c>
      <c r="V3558" s="111">
        <f t="shared" si="783"/>
        <v>0</v>
      </c>
      <c r="W3558" s="110"/>
      <c r="X3558" s="110"/>
      <c r="Y3558" s="110"/>
      <c r="Z3558" s="110"/>
      <c r="AA3558" s="110">
        <f t="shared" si="792"/>
        <v>0</v>
      </c>
      <c r="AB3558" s="111">
        <f t="shared" si="788"/>
        <v>0</v>
      </c>
      <c r="AC3558" s="110"/>
      <c r="AD3558" s="110"/>
      <c r="AE3558" s="110">
        <f t="shared" si="792"/>
        <v>0</v>
      </c>
      <c r="AF3558" s="111">
        <f t="shared" si="789"/>
        <v>0</v>
      </c>
      <c r="AG3558" s="110"/>
      <c r="AH3558" s="110"/>
      <c r="AI3558" s="110"/>
      <c r="AJ3558" s="110"/>
      <c r="AK3558" s="111">
        <f t="shared" si="785"/>
        <v>0</v>
      </c>
      <c r="AL3558" s="446">
        <f t="shared" si="786"/>
        <v>0</v>
      </c>
      <c r="AM3558" s="110">
        <f t="shared" si="787"/>
        <v>0</v>
      </c>
      <c r="AN3558" s="447">
        <f t="shared" si="793"/>
        <v>0</v>
      </c>
      <c r="AO3558" s="108"/>
      <c r="AP3558"/>
    </row>
    <row r="3559" spans="1:42" s="108" customFormat="1" x14ac:dyDescent="0.25">
      <c r="A3559" s="61"/>
      <c r="B3559" s="45"/>
      <c r="C3559" s="9"/>
      <c r="D3559" s="869"/>
      <c r="E3559" s="1027"/>
      <c r="F3559" s="272"/>
      <c r="G3559" s="272"/>
      <c r="H3559" s="272"/>
      <c r="I3559" s="722"/>
      <c r="J3559" s="763"/>
      <c r="K3559" s="131">
        <f t="shared" si="795"/>
        <v>0</v>
      </c>
      <c r="L3559" s="335">
        <f t="shared" si="784"/>
        <v>0</v>
      </c>
      <c r="M3559" s="335"/>
      <c r="N3559" s="335"/>
      <c r="O3559" s="335"/>
      <c r="P3559" s="335"/>
      <c r="Q3559" s="130">
        <f t="shared" si="790"/>
        <v>0</v>
      </c>
      <c r="R3559" s="131">
        <f t="shared" si="782"/>
        <v>0</v>
      </c>
      <c r="S3559" s="130"/>
      <c r="T3559" s="130"/>
      <c r="U3559" s="130">
        <f t="shared" si="791"/>
        <v>0</v>
      </c>
      <c r="V3559" s="131">
        <f t="shared" si="783"/>
        <v>0</v>
      </c>
      <c r="W3559" s="130"/>
      <c r="X3559" s="130"/>
      <c r="Y3559" s="130"/>
      <c r="Z3559" s="130"/>
      <c r="AA3559" s="130">
        <f t="shared" si="792"/>
        <v>0</v>
      </c>
      <c r="AB3559" s="131">
        <f t="shared" si="788"/>
        <v>0</v>
      </c>
      <c r="AC3559" s="130"/>
      <c r="AD3559" s="130"/>
      <c r="AE3559" s="130">
        <f t="shared" si="792"/>
        <v>0</v>
      </c>
      <c r="AF3559" s="131">
        <f t="shared" si="789"/>
        <v>0</v>
      </c>
      <c r="AG3559" s="130"/>
      <c r="AH3559" s="130"/>
      <c r="AI3559" s="130"/>
      <c r="AJ3559" s="130"/>
      <c r="AK3559" s="131">
        <f t="shared" si="785"/>
        <v>0</v>
      </c>
      <c r="AL3559" s="446">
        <f t="shared" si="786"/>
        <v>0</v>
      </c>
      <c r="AM3559" s="110">
        <f t="shared" si="787"/>
        <v>0</v>
      </c>
      <c r="AN3559" s="447">
        <f t="shared" si="793"/>
        <v>0</v>
      </c>
      <c r="AO3559"/>
      <c r="AP3559"/>
    </row>
    <row r="3560" spans="1:42" ht="22.5" x14ac:dyDescent="0.25">
      <c r="A3560" s="310">
        <v>29906</v>
      </c>
      <c r="B3560" s="375" t="s">
        <v>783</v>
      </c>
      <c r="C3560" s="311"/>
      <c r="D3560" s="902"/>
      <c r="E3560" s="312"/>
      <c r="F3560" s="313"/>
      <c r="G3560" s="313"/>
      <c r="H3560" s="313"/>
      <c r="I3560" s="729"/>
      <c r="J3560" s="800"/>
      <c r="K3560" s="131">
        <f t="shared" si="795"/>
        <v>0</v>
      </c>
      <c r="L3560" s="335">
        <f t="shared" si="784"/>
        <v>0</v>
      </c>
      <c r="M3560" s="446"/>
      <c r="N3560" s="446"/>
      <c r="O3560" s="446"/>
      <c r="P3560" s="446"/>
      <c r="Q3560" s="110">
        <f t="shared" si="790"/>
        <v>0</v>
      </c>
      <c r="R3560" s="111">
        <f t="shared" si="782"/>
        <v>0</v>
      </c>
      <c r="S3560" s="110"/>
      <c r="T3560" s="110"/>
      <c r="U3560" s="110">
        <f t="shared" si="791"/>
        <v>0</v>
      </c>
      <c r="V3560" s="111">
        <f t="shared" si="783"/>
        <v>0</v>
      </c>
      <c r="W3560" s="110"/>
      <c r="X3560" s="110"/>
      <c r="Y3560" s="110"/>
      <c r="Z3560" s="110"/>
      <c r="AA3560" s="110">
        <f t="shared" si="792"/>
        <v>0</v>
      </c>
      <c r="AB3560" s="111">
        <f t="shared" si="788"/>
        <v>0</v>
      </c>
      <c r="AC3560" s="110"/>
      <c r="AD3560" s="110"/>
      <c r="AE3560" s="110">
        <f t="shared" si="792"/>
        <v>0</v>
      </c>
      <c r="AF3560" s="111">
        <f t="shared" si="789"/>
        <v>0</v>
      </c>
      <c r="AG3560" s="110"/>
      <c r="AH3560" s="110"/>
      <c r="AI3560" s="110"/>
      <c r="AJ3560" s="110"/>
      <c r="AK3560" s="111">
        <f t="shared" si="785"/>
        <v>0</v>
      </c>
      <c r="AL3560" s="446">
        <f t="shared" si="786"/>
        <v>0</v>
      </c>
      <c r="AM3560" s="110">
        <f t="shared" si="787"/>
        <v>0</v>
      </c>
      <c r="AN3560" s="447">
        <f t="shared" si="793"/>
        <v>0</v>
      </c>
      <c r="AO3560" s="108"/>
      <c r="AP3560"/>
    </row>
    <row r="3561" spans="1:42" s="108" customFormat="1" x14ac:dyDescent="0.25">
      <c r="A3561" s="61"/>
      <c r="B3561" s="45"/>
      <c r="C3561" s="9"/>
      <c r="D3561" s="869"/>
      <c r="E3561" s="1027"/>
      <c r="F3561" s="272"/>
      <c r="G3561" s="272"/>
      <c r="H3561" s="272"/>
      <c r="I3561" s="722"/>
      <c r="J3561" s="763"/>
      <c r="K3561" s="131">
        <f t="shared" si="795"/>
        <v>0</v>
      </c>
      <c r="L3561" s="335">
        <f t="shared" si="784"/>
        <v>0</v>
      </c>
      <c r="M3561" s="335"/>
      <c r="N3561" s="335"/>
      <c r="O3561" s="335"/>
      <c r="P3561" s="335"/>
      <c r="Q3561" s="130">
        <f t="shared" si="790"/>
        <v>0</v>
      </c>
      <c r="R3561" s="131">
        <f t="shared" si="782"/>
        <v>0</v>
      </c>
      <c r="S3561" s="130"/>
      <c r="T3561" s="130"/>
      <c r="U3561" s="130">
        <f t="shared" si="791"/>
        <v>0</v>
      </c>
      <c r="V3561" s="131">
        <f t="shared" si="783"/>
        <v>0</v>
      </c>
      <c r="W3561" s="130"/>
      <c r="X3561" s="130"/>
      <c r="Y3561" s="130"/>
      <c r="Z3561" s="130"/>
      <c r="AA3561" s="130">
        <f t="shared" si="792"/>
        <v>0</v>
      </c>
      <c r="AB3561" s="131">
        <f t="shared" si="788"/>
        <v>0</v>
      </c>
      <c r="AC3561" s="130"/>
      <c r="AD3561" s="130"/>
      <c r="AE3561" s="130">
        <f t="shared" si="792"/>
        <v>0</v>
      </c>
      <c r="AF3561" s="131">
        <f t="shared" si="789"/>
        <v>0</v>
      </c>
      <c r="AG3561" s="130"/>
      <c r="AH3561" s="130"/>
      <c r="AI3561" s="130"/>
      <c r="AJ3561" s="130"/>
      <c r="AK3561" s="131">
        <f t="shared" si="785"/>
        <v>0</v>
      </c>
      <c r="AL3561" s="446">
        <f t="shared" si="786"/>
        <v>0</v>
      </c>
      <c r="AM3561" s="110">
        <f t="shared" si="787"/>
        <v>0</v>
      </c>
      <c r="AN3561" s="447">
        <f t="shared" si="793"/>
        <v>0</v>
      </c>
      <c r="AO3561"/>
      <c r="AP3561"/>
    </row>
    <row r="3562" spans="1:42" x14ac:dyDescent="0.25">
      <c r="A3562" s="310">
        <v>29907</v>
      </c>
      <c r="B3562" s="375" t="s">
        <v>784</v>
      </c>
      <c r="C3562" s="311"/>
      <c r="D3562" s="902"/>
      <c r="E3562" s="312"/>
      <c r="F3562" s="313"/>
      <c r="G3562" s="313"/>
      <c r="H3562" s="313"/>
      <c r="I3562" s="729"/>
      <c r="J3562" s="800"/>
      <c r="K3562" s="131">
        <f t="shared" si="795"/>
        <v>0</v>
      </c>
      <c r="L3562" s="335">
        <f t="shared" si="784"/>
        <v>0</v>
      </c>
      <c r="M3562" s="446"/>
      <c r="N3562" s="446"/>
      <c r="O3562" s="446"/>
      <c r="P3562" s="446"/>
      <c r="Q3562" s="110">
        <f t="shared" si="790"/>
        <v>0</v>
      </c>
      <c r="R3562" s="111">
        <f t="shared" si="782"/>
        <v>0</v>
      </c>
      <c r="S3562" s="110"/>
      <c r="T3562" s="110"/>
      <c r="U3562" s="110">
        <f t="shared" si="791"/>
        <v>0</v>
      </c>
      <c r="V3562" s="111">
        <f t="shared" si="783"/>
        <v>0</v>
      </c>
      <c r="W3562" s="110"/>
      <c r="X3562" s="110"/>
      <c r="Y3562" s="110"/>
      <c r="Z3562" s="110"/>
      <c r="AA3562" s="110">
        <f t="shared" si="792"/>
        <v>0</v>
      </c>
      <c r="AB3562" s="111">
        <f t="shared" si="788"/>
        <v>0</v>
      </c>
      <c r="AC3562" s="110"/>
      <c r="AD3562" s="110"/>
      <c r="AE3562" s="110">
        <f t="shared" si="792"/>
        <v>0</v>
      </c>
      <c r="AF3562" s="111">
        <f t="shared" si="789"/>
        <v>0</v>
      </c>
      <c r="AG3562" s="110"/>
      <c r="AH3562" s="110"/>
      <c r="AI3562" s="110"/>
      <c r="AJ3562" s="110"/>
      <c r="AK3562" s="111">
        <f t="shared" si="785"/>
        <v>0</v>
      </c>
      <c r="AL3562" s="446">
        <f t="shared" si="786"/>
        <v>0</v>
      </c>
      <c r="AM3562" s="110">
        <f t="shared" si="787"/>
        <v>0</v>
      </c>
      <c r="AN3562" s="447">
        <f t="shared" si="793"/>
        <v>0</v>
      </c>
      <c r="AO3562" s="108"/>
      <c r="AP3562"/>
    </row>
    <row r="3563" spans="1:42" s="108" customFormat="1" x14ac:dyDescent="0.25">
      <c r="A3563" s="61"/>
      <c r="B3563" s="45"/>
      <c r="C3563" s="9"/>
      <c r="D3563" s="894"/>
      <c r="E3563" s="138"/>
      <c r="F3563" s="279"/>
      <c r="G3563" s="279"/>
      <c r="H3563" s="279"/>
      <c r="I3563" s="722"/>
      <c r="J3563" s="773"/>
      <c r="K3563" s="131">
        <f t="shared" si="795"/>
        <v>0</v>
      </c>
      <c r="L3563" s="335">
        <f t="shared" si="784"/>
        <v>0</v>
      </c>
      <c r="M3563" s="335"/>
      <c r="N3563" s="335"/>
      <c r="O3563" s="335"/>
      <c r="P3563" s="335"/>
      <c r="Q3563" s="130">
        <f t="shared" si="790"/>
        <v>0</v>
      </c>
      <c r="R3563" s="131">
        <f t="shared" si="782"/>
        <v>0</v>
      </c>
      <c r="S3563" s="130"/>
      <c r="T3563" s="130"/>
      <c r="U3563" s="130">
        <f t="shared" si="791"/>
        <v>0</v>
      </c>
      <c r="V3563" s="131">
        <f t="shared" si="783"/>
        <v>0</v>
      </c>
      <c r="W3563" s="130"/>
      <c r="X3563" s="130"/>
      <c r="Y3563" s="130"/>
      <c r="Z3563" s="130"/>
      <c r="AA3563" s="130">
        <f t="shared" si="792"/>
        <v>0</v>
      </c>
      <c r="AB3563" s="131">
        <f t="shared" si="788"/>
        <v>0</v>
      </c>
      <c r="AC3563" s="130"/>
      <c r="AD3563" s="130"/>
      <c r="AE3563" s="130">
        <f t="shared" si="792"/>
        <v>0</v>
      </c>
      <c r="AF3563" s="131">
        <f t="shared" si="789"/>
        <v>0</v>
      </c>
      <c r="AG3563" s="130"/>
      <c r="AH3563" s="130"/>
      <c r="AI3563" s="130"/>
      <c r="AJ3563" s="130"/>
      <c r="AK3563" s="131">
        <f t="shared" si="785"/>
        <v>0</v>
      </c>
      <c r="AL3563" s="446">
        <f t="shared" si="786"/>
        <v>0</v>
      </c>
      <c r="AM3563" s="110">
        <f t="shared" si="787"/>
        <v>0</v>
      </c>
      <c r="AN3563" s="447">
        <f t="shared" si="793"/>
        <v>0</v>
      </c>
      <c r="AO3563"/>
      <c r="AP3563"/>
    </row>
    <row r="3564" spans="1:42" ht="22.5" x14ac:dyDescent="0.25">
      <c r="A3564" s="310">
        <v>29908</v>
      </c>
      <c r="B3564" s="375" t="s">
        <v>785</v>
      </c>
      <c r="C3564" s="311"/>
      <c r="D3564" s="902"/>
      <c r="E3564" s="312"/>
      <c r="F3564" s="313"/>
      <c r="G3564" s="313"/>
      <c r="H3564" s="313"/>
      <c r="I3564" s="729"/>
      <c r="J3564" s="800"/>
      <c r="K3564" s="131">
        <f t="shared" si="795"/>
        <v>0</v>
      </c>
      <c r="L3564" s="335">
        <f t="shared" si="784"/>
        <v>0</v>
      </c>
      <c r="M3564" s="446"/>
      <c r="N3564" s="446"/>
      <c r="O3564" s="446"/>
      <c r="P3564" s="446"/>
      <c r="Q3564" s="110">
        <f t="shared" si="790"/>
        <v>0</v>
      </c>
      <c r="R3564" s="111">
        <f t="shared" si="782"/>
        <v>0</v>
      </c>
      <c r="S3564" s="110"/>
      <c r="T3564" s="110"/>
      <c r="U3564" s="110">
        <f t="shared" si="791"/>
        <v>0</v>
      </c>
      <c r="V3564" s="111">
        <f t="shared" si="783"/>
        <v>0</v>
      </c>
      <c r="W3564" s="110"/>
      <c r="X3564" s="110"/>
      <c r="Y3564" s="110"/>
      <c r="Z3564" s="110"/>
      <c r="AA3564" s="110">
        <f t="shared" si="792"/>
        <v>0</v>
      </c>
      <c r="AB3564" s="111">
        <f t="shared" si="788"/>
        <v>0</v>
      </c>
      <c r="AC3564" s="110"/>
      <c r="AD3564" s="110"/>
      <c r="AE3564" s="110">
        <f t="shared" si="792"/>
        <v>0</v>
      </c>
      <c r="AF3564" s="111">
        <f t="shared" si="789"/>
        <v>0</v>
      </c>
      <c r="AG3564" s="110"/>
      <c r="AH3564" s="110"/>
      <c r="AI3564" s="110"/>
      <c r="AJ3564" s="110"/>
      <c r="AK3564" s="111">
        <f t="shared" si="785"/>
        <v>0</v>
      </c>
      <c r="AL3564" s="446">
        <f t="shared" si="786"/>
        <v>0</v>
      </c>
      <c r="AM3564" s="110">
        <f t="shared" si="787"/>
        <v>0</v>
      </c>
      <c r="AN3564" s="447">
        <f t="shared" si="793"/>
        <v>0</v>
      </c>
      <c r="AO3564" s="436">
        <f>SUM(J3565)</f>
        <v>1695.92</v>
      </c>
      <c r="AP3564" s="296">
        <f>SUBTOTAL(9,AO13:AO3564)</f>
        <v>13218381.632856263</v>
      </c>
    </row>
    <row r="3565" spans="1:42" ht="66" x14ac:dyDescent="0.25">
      <c r="A3565" s="11"/>
      <c r="B3565" s="219" t="s">
        <v>2825</v>
      </c>
      <c r="C3565" s="162"/>
      <c r="D3565" s="882">
        <v>1</v>
      </c>
      <c r="E3565" s="1025" t="s">
        <v>1721</v>
      </c>
      <c r="F3565" s="273" t="s">
        <v>3446</v>
      </c>
      <c r="G3565" s="1040" t="s">
        <v>3463</v>
      </c>
      <c r="H3565" s="273" t="s">
        <v>3462</v>
      </c>
      <c r="I3565" s="720">
        <f>+J3565/D3565</f>
        <v>1695.92</v>
      </c>
      <c r="J3565" s="763">
        <v>1695.92</v>
      </c>
      <c r="K3565" s="131">
        <f t="shared" si="795"/>
        <v>1695.92</v>
      </c>
      <c r="L3565" s="335">
        <f t="shared" si="784"/>
        <v>0</v>
      </c>
      <c r="M3565" s="446"/>
      <c r="N3565" s="446"/>
      <c r="O3565" s="446"/>
      <c r="P3565" s="446"/>
      <c r="Q3565" s="110">
        <v>1</v>
      </c>
      <c r="R3565" s="111">
        <f t="shared" si="782"/>
        <v>423.98</v>
      </c>
      <c r="S3565" s="110"/>
      <c r="T3565" s="110"/>
      <c r="U3565" s="110">
        <v>0</v>
      </c>
      <c r="V3565" s="111">
        <f t="shared" si="783"/>
        <v>423.98</v>
      </c>
      <c r="W3565" s="110"/>
      <c r="X3565" s="110"/>
      <c r="Y3565" s="110"/>
      <c r="Z3565" s="110"/>
      <c r="AA3565" s="110">
        <v>0</v>
      </c>
      <c r="AB3565" s="111">
        <f t="shared" si="788"/>
        <v>423.98</v>
      </c>
      <c r="AC3565" s="110"/>
      <c r="AD3565" s="110"/>
      <c r="AE3565" s="110">
        <v>0</v>
      </c>
      <c r="AF3565" s="111">
        <f t="shared" si="789"/>
        <v>423.98</v>
      </c>
      <c r="AG3565" s="110"/>
      <c r="AH3565" s="110"/>
      <c r="AI3565" s="110"/>
      <c r="AJ3565" s="110"/>
      <c r="AK3565" s="111">
        <f t="shared" si="785"/>
        <v>1695.92</v>
      </c>
      <c r="AL3565" s="446">
        <f t="shared" si="786"/>
        <v>0</v>
      </c>
      <c r="AM3565" s="110">
        <f t="shared" si="787"/>
        <v>1</v>
      </c>
      <c r="AN3565" s="447">
        <f t="shared" si="793"/>
        <v>0</v>
      </c>
      <c r="AO3565"/>
      <c r="AP3565"/>
    </row>
    <row r="3566" spans="1:42" s="108" customFormat="1" x14ac:dyDescent="0.25">
      <c r="A3566" s="9"/>
      <c r="B3566" s="45"/>
      <c r="C3566" s="9"/>
      <c r="D3566" s="929"/>
      <c r="E3566" s="211"/>
      <c r="F3566" s="284"/>
      <c r="G3566" s="284"/>
      <c r="H3566" s="284"/>
      <c r="I3566" s="722"/>
      <c r="J3566" s="809"/>
      <c r="K3566" s="131">
        <f t="shared" si="795"/>
        <v>0</v>
      </c>
      <c r="L3566" s="335">
        <f t="shared" si="784"/>
        <v>0</v>
      </c>
      <c r="M3566" s="335"/>
      <c r="N3566" s="335"/>
      <c r="O3566" s="335"/>
      <c r="P3566" s="335"/>
      <c r="Q3566" s="130">
        <f t="shared" si="790"/>
        <v>0</v>
      </c>
      <c r="R3566" s="131">
        <f t="shared" si="782"/>
        <v>0</v>
      </c>
      <c r="S3566" s="130"/>
      <c r="T3566" s="130"/>
      <c r="U3566" s="130">
        <f t="shared" si="791"/>
        <v>0</v>
      </c>
      <c r="V3566" s="131">
        <f t="shared" si="783"/>
        <v>0</v>
      </c>
      <c r="W3566" s="130"/>
      <c r="X3566" s="130"/>
      <c r="Y3566" s="130"/>
      <c r="Z3566" s="130"/>
      <c r="AA3566" s="130">
        <f t="shared" si="792"/>
        <v>0</v>
      </c>
      <c r="AB3566" s="131">
        <f t="shared" si="788"/>
        <v>0</v>
      </c>
      <c r="AC3566" s="130"/>
      <c r="AD3566" s="130"/>
      <c r="AE3566" s="130">
        <f t="shared" si="792"/>
        <v>0</v>
      </c>
      <c r="AF3566" s="131">
        <f t="shared" si="789"/>
        <v>0</v>
      </c>
      <c r="AG3566" s="130"/>
      <c r="AH3566" s="130"/>
      <c r="AI3566" s="130"/>
      <c r="AJ3566" s="130"/>
      <c r="AK3566" s="131">
        <f t="shared" si="785"/>
        <v>0</v>
      </c>
      <c r="AL3566" s="335">
        <f t="shared" si="786"/>
        <v>0</v>
      </c>
      <c r="AM3566" s="130">
        <f t="shared" si="787"/>
        <v>0</v>
      </c>
      <c r="AN3566" s="336">
        <f t="shared" si="793"/>
        <v>0</v>
      </c>
    </row>
    <row r="3567" spans="1:42" x14ac:dyDescent="0.25">
      <c r="A3567" s="100">
        <v>3000</v>
      </c>
      <c r="B3567" s="468" t="s">
        <v>786</v>
      </c>
      <c r="C3567" s="100"/>
      <c r="D3567" s="930"/>
      <c r="E3567" s="18"/>
      <c r="F3567" s="297"/>
      <c r="G3567" s="297"/>
      <c r="H3567" s="297"/>
      <c r="I3567" s="714"/>
      <c r="J3567" s="750"/>
      <c r="K3567" s="131">
        <f t="shared" si="795"/>
        <v>0</v>
      </c>
      <c r="L3567" s="335">
        <f t="shared" si="784"/>
        <v>0</v>
      </c>
      <c r="M3567" s="455"/>
      <c r="N3567" s="455"/>
      <c r="O3567" s="455"/>
      <c r="P3567" s="455"/>
      <c r="Q3567" s="384">
        <f t="shared" si="790"/>
        <v>0</v>
      </c>
      <c r="R3567" s="298">
        <f t="shared" ref="R3567:R3630" si="796">+J3567/4</f>
        <v>0</v>
      </c>
      <c r="S3567" s="384"/>
      <c r="T3567" s="384"/>
      <c r="U3567" s="384">
        <f t="shared" si="791"/>
        <v>0</v>
      </c>
      <c r="V3567" s="298">
        <f t="shared" ref="V3567:V3630" si="797">+J3567/4</f>
        <v>0</v>
      </c>
      <c r="W3567" s="384"/>
      <c r="X3567" s="384"/>
      <c r="Y3567" s="384"/>
      <c r="Z3567" s="384"/>
      <c r="AA3567" s="384">
        <f t="shared" si="792"/>
        <v>0</v>
      </c>
      <c r="AB3567" s="298">
        <f t="shared" si="788"/>
        <v>0</v>
      </c>
      <c r="AC3567" s="384"/>
      <c r="AD3567" s="384"/>
      <c r="AE3567" s="384">
        <f t="shared" si="792"/>
        <v>0</v>
      </c>
      <c r="AF3567" s="298">
        <f t="shared" si="789"/>
        <v>0</v>
      </c>
      <c r="AG3567" s="384"/>
      <c r="AH3567" s="384"/>
      <c r="AI3567" s="384"/>
      <c r="AJ3567" s="384"/>
      <c r="AK3567" s="298">
        <f t="shared" si="785"/>
        <v>0</v>
      </c>
      <c r="AL3567" s="455">
        <f t="shared" si="786"/>
        <v>0</v>
      </c>
      <c r="AM3567" s="384">
        <f t="shared" si="787"/>
        <v>0</v>
      </c>
      <c r="AN3567" s="456">
        <f t="shared" si="793"/>
        <v>0</v>
      </c>
      <c r="AO3567" s="291"/>
      <c r="AP3567"/>
    </row>
    <row r="3568" spans="1:42" x14ac:dyDescent="0.25">
      <c r="A3568" s="299">
        <v>3100</v>
      </c>
      <c r="B3568" s="469" t="s">
        <v>787</v>
      </c>
      <c r="C3568" s="299"/>
      <c r="D3568" s="909"/>
      <c r="E3568" s="301"/>
      <c r="F3568" s="302"/>
      <c r="G3568" s="302"/>
      <c r="H3568" s="302"/>
      <c r="I3568" s="715"/>
      <c r="J3568" s="751"/>
      <c r="K3568" s="131">
        <f t="shared" si="795"/>
        <v>0</v>
      </c>
      <c r="L3568" s="335">
        <f t="shared" si="784"/>
        <v>0</v>
      </c>
      <c r="M3568" s="453"/>
      <c r="N3568" s="453"/>
      <c r="O3568" s="453"/>
      <c r="P3568" s="453"/>
      <c r="Q3568" s="385">
        <f t="shared" si="790"/>
        <v>0</v>
      </c>
      <c r="R3568" s="303">
        <f t="shared" si="796"/>
        <v>0</v>
      </c>
      <c r="S3568" s="385"/>
      <c r="T3568" s="385"/>
      <c r="U3568" s="385">
        <f t="shared" si="791"/>
        <v>0</v>
      </c>
      <c r="V3568" s="303">
        <f t="shared" si="797"/>
        <v>0</v>
      </c>
      <c r="W3568" s="385"/>
      <c r="X3568" s="385"/>
      <c r="Y3568" s="385"/>
      <c r="Z3568" s="385"/>
      <c r="AA3568" s="385">
        <f t="shared" si="792"/>
        <v>0</v>
      </c>
      <c r="AB3568" s="303">
        <f t="shared" si="788"/>
        <v>0</v>
      </c>
      <c r="AC3568" s="385"/>
      <c r="AD3568" s="385"/>
      <c r="AE3568" s="385">
        <f t="shared" si="792"/>
        <v>0</v>
      </c>
      <c r="AF3568" s="303">
        <f t="shared" si="789"/>
        <v>0</v>
      </c>
      <c r="AG3568" s="385"/>
      <c r="AH3568" s="385"/>
      <c r="AI3568" s="385"/>
      <c r="AJ3568" s="385"/>
      <c r="AK3568" s="303">
        <f t="shared" si="785"/>
        <v>0</v>
      </c>
      <c r="AL3568" s="453">
        <f t="shared" si="786"/>
        <v>0</v>
      </c>
      <c r="AM3568" s="385">
        <f t="shared" si="787"/>
        <v>0</v>
      </c>
      <c r="AN3568" s="454">
        <f t="shared" si="793"/>
        <v>0</v>
      </c>
      <c r="AO3568" s="304"/>
      <c r="AP3568"/>
    </row>
    <row r="3569" spans="1:42" x14ac:dyDescent="0.25">
      <c r="A3569" s="376">
        <v>311</v>
      </c>
      <c r="B3569" s="565" t="s">
        <v>788</v>
      </c>
      <c r="C3569" s="376"/>
      <c r="D3569" s="927"/>
      <c r="E3569" s="377"/>
      <c r="F3569" s="378"/>
      <c r="G3569" s="378"/>
      <c r="H3569" s="378"/>
      <c r="I3569" s="734"/>
      <c r="J3569" s="806"/>
      <c r="K3569" s="131">
        <f t="shared" si="795"/>
        <v>0</v>
      </c>
      <c r="L3569" s="335">
        <f t="shared" si="784"/>
        <v>0</v>
      </c>
      <c r="M3569" s="419"/>
      <c r="N3569" s="419"/>
      <c r="O3569" s="419"/>
      <c r="P3569" s="419"/>
      <c r="Q3569" s="418">
        <f t="shared" si="790"/>
        <v>0</v>
      </c>
      <c r="R3569" s="379">
        <f t="shared" si="796"/>
        <v>0</v>
      </c>
      <c r="S3569" s="418"/>
      <c r="T3569" s="418"/>
      <c r="U3569" s="418">
        <f t="shared" si="791"/>
        <v>0</v>
      </c>
      <c r="V3569" s="379">
        <f t="shared" si="797"/>
        <v>0</v>
      </c>
      <c r="W3569" s="418"/>
      <c r="X3569" s="418"/>
      <c r="Y3569" s="418"/>
      <c r="Z3569" s="418"/>
      <c r="AA3569" s="418">
        <f t="shared" si="792"/>
        <v>0</v>
      </c>
      <c r="AB3569" s="379">
        <f t="shared" si="788"/>
        <v>0</v>
      </c>
      <c r="AC3569" s="418"/>
      <c r="AD3569" s="418"/>
      <c r="AE3569" s="418">
        <f t="shared" si="792"/>
        <v>0</v>
      </c>
      <c r="AF3569" s="379">
        <f t="shared" si="789"/>
        <v>0</v>
      </c>
      <c r="AG3569" s="418"/>
      <c r="AH3569" s="418"/>
      <c r="AI3569" s="418"/>
      <c r="AJ3569" s="418"/>
      <c r="AK3569" s="379">
        <f t="shared" si="785"/>
        <v>0</v>
      </c>
      <c r="AL3569" s="446">
        <f t="shared" si="786"/>
        <v>0</v>
      </c>
      <c r="AM3569" s="110">
        <f t="shared" si="787"/>
        <v>0</v>
      </c>
      <c r="AN3569" s="447">
        <f t="shared" si="793"/>
        <v>0</v>
      </c>
      <c r="AO3569" s="436">
        <f>SUM(J3571)</f>
        <v>2299848</v>
      </c>
      <c r="AP3569" s="111"/>
    </row>
    <row r="3570" spans="1:42" x14ac:dyDescent="0.25">
      <c r="A3570" s="310">
        <v>31101</v>
      </c>
      <c r="B3570" s="375" t="s">
        <v>788</v>
      </c>
      <c r="C3570" s="310"/>
      <c r="D3570" s="902"/>
      <c r="E3570" s="312"/>
      <c r="F3570" s="313"/>
      <c r="G3570" s="313"/>
      <c r="H3570" s="313"/>
      <c r="I3570" s="729"/>
      <c r="J3570" s="810"/>
      <c r="K3570" s="131">
        <f t="shared" si="795"/>
        <v>0</v>
      </c>
      <c r="L3570" s="335">
        <f t="shared" si="784"/>
        <v>0</v>
      </c>
      <c r="M3570" s="446"/>
      <c r="N3570" s="446"/>
      <c r="O3570" s="446"/>
      <c r="P3570" s="446"/>
      <c r="Q3570" s="110">
        <f t="shared" si="790"/>
        <v>0</v>
      </c>
      <c r="R3570" s="111">
        <f t="shared" si="796"/>
        <v>0</v>
      </c>
      <c r="S3570" s="110"/>
      <c r="T3570" s="110"/>
      <c r="U3570" s="110">
        <f t="shared" si="791"/>
        <v>0</v>
      </c>
      <c r="V3570" s="111">
        <f t="shared" si="797"/>
        <v>0</v>
      </c>
      <c r="W3570" s="110"/>
      <c r="X3570" s="110"/>
      <c r="Y3570" s="110"/>
      <c r="Z3570" s="110"/>
      <c r="AA3570" s="110">
        <f t="shared" si="792"/>
        <v>0</v>
      </c>
      <c r="AB3570" s="111">
        <f t="shared" si="788"/>
        <v>0</v>
      </c>
      <c r="AC3570" s="110"/>
      <c r="AD3570" s="110"/>
      <c r="AE3570" s="110">
        <f t="shared" si="792"/>
        <v>0</v>
      </c>
      <c r="AF3570" s="111">
        <f t="shared" si="789"/>
        <v>0</v>
      </c>
      <c r="AG3570" s="110"/>
      <c r="AH3570" s="110"/>
      <c r="AI3570" s="110"/>
      <c r="AJ3570" s="110"/>
      <c r="AK3570" s="111">
        <f t="shared" si="785"/>
        <v>0</v>
      </c>
      <c r="AL3570" s="446">
        <f t="shared" si="786"/>
        <v>0</v>
      </c>
      <c r="AM3570" s="110">
        <f t="shared" si="787"/>
        <v>0</v>
      </c>
      <c r="AN3570" s="447">
        <f t="shared" si="793"/>
        <v>0</v>
      </c>
      <c r="AO3570" s="108"/>
      <c r="AP3570"/>
    </row>
    <row r="3571" spans="1:42" ht="66" x14ac:dyDescent="0.25">
      <c r="A3571" s="60"/>
      <c r="B3571" s="75" t="s">
        <v>789</v>
      </c>
      <c r="C3571" s="9"/>
      <c r="D3571" s="913">
        <f>6+12+2+6+12+6+8</f>
        <v>52</v>
      </c>
      <c r="E3571" s="1027" t="s">
        <v>1755</v>
      </c>
      <c r="F3571" s="271" t="s">
        <v>3446</v>
      </c>
      <c r="G3571" s="1040" t="s">
        <v>3463</v>
      </c>
      <c r="H3571" s="273" t="s">
        <v>3462</v>
      </c>
      <c r="I3571" s="720">
        <f>+J3571/D3571</f>
        <v>44227.846153846156</v>
      </c>
      <c r="J3571" s="756">
        <f>90000+1113600+25520+5568+145860+92100+139200+688000</f>
        <v>2299848</v>
      </c>
      <c r="K3571" s="131">
        <f t="shared" si="795"/>
        <v>2299848</v>
      </c>
      <c r="L3571" s="335">
        <f t="shared" si="784"/>
        <v>0</v>
      </c>
      <c r="M3571" s="446"/>
      <c r="N3571" s="446"/>
      <c r="O3571" s="446"/>
      <c r="P3571" s="446"/>
      <c r="Q3571" s="110">
        <f t="shared" si="790"/>
        <v>13</v>
      </c>
      <c r="R3571" s="111">
        <f t="shared" si="796"/>
        <v>574962</v>
      </c>
      <c r="S3571" s="110"/>
      <c r="T3571" s="110"/>
      <c r="U3571" s="110">
        <f t="shared" si="791"/>
        <v>13</v>
      </c>
      <c r="V3571" s="111">
        <f t="shared" si="797"/>
        <v>574962</v>
      </c>
      <c r="W3571" s="110"/>
      <c r="X3571" s="110"/>
      <c r="Y3571" s="110"/>
      <c r="Z3571" s="110"/>
      <c r="AA3571" s="110">
        <f t="shared" si="792"/>
        <v>13</v>
      </c>
      <c r="AB3571" s="111">
        <f t="shared" si="788"/>
        <v>574962</v>
      </c>
      <c r="AC3571" s="110"/>
      <c r="AD3571" s="110"/>
      <c r="AE3571" s="110">
        <f t="shared" si="792"/>
        <v>13</v>
      </c>
      <c r="AF3571" s="111">
        <f t="shared" si="789"/>
        <v>574962</v>
      </c>
      <c r="AG3571" s="110"/>
      <c r="AH3571" s="110"/>
      <c r="AI3571" s="110"/>
      <c r="AJ3571" s="110"/>
      <c r="AK3571" s="111">
        <f t="shared" si="785"/>
        <v>2299848</v>
      </c>
      <c r="AL3571" s="446">
        <f t="shared" si="786"/>
        <v>0</v>
      </c>
      <c r="AM3571" s="110">
        <f t="shared" si="787"/>
        <v>52</v>
      </c>
      <c r="AN3571" s="447">
        <f t="shared" si="793"/>
        <v>0</v>
      </c>
      <c r="AO3571"/>
      <c r="AP3571"/>
    </row>
    <row r="3572" spans="1:42" x14ac:dyDescent="0.25">
      <c r="A3572" s="60"/>
      <c r="B3572" s="71"/>
      <c r="C3572" s="9"/>
      <c r="D3572" s="929"/>
      <c r="E3572" s="211"/>
      <c r="F3572" s="284"/>
      <c r="G3572" s="284"/>
      <c r="H3572" s="284"/>
      <c r="I3572" s="720"/>
      <c r="J3572" s="809"/>
      <c r="K3572" s="131">
        <f t="shared" si="795"/>
        <v>0</v>
      </c>
      <c r="L3572" s="335">
        <f t="shared" ref="L3572:L3635" si="798">+J3572-K3572</f>
        <v>0</v>
      </c>
      <c r="M3572" s="446"/>
      <c r="N3572" s="446"/>
      <c r="O3572" s="446"/>
      <c r="P3572" s="446"/>
      <c r="Q3572" s="110">
        <f t="shared" si="790"/>
        <v>0</v>
      </c>
      <c r="R3572" s="111">
        <f t="shared" si="796"/>
        <v>0</v>
      </c>
      <c r="S3572" s="110"/>
      <c r="T3572" s="110"/>
      <c r="U3572" s="110">
        <f t="shared" si="791"/>
        <v>0</v>
      </c>
      <c r="V3572" s="111">
        <f t="shared" si="797"/>
        <v>0</v>
      </c>
      <c r="W3572" s="110"/>
      <c r="X3572" s="110"/>
      <c r="Y3572" s="110"/>
      <c r="Z3572" s="110"/>
      <c r="AA3572" s="110">
        <f t="shared" si="792"/>
        <v>0</v>
      </c>
      <c r="AB3572" s="111">
        <f t="shared" si="788"/>
        <v>0</v>
      </c>
      <c r="AC3572" s="110"/>
      <c r="AD3572" s="110"/>
      <c r="AE3572" s="110">
        <f t="shared" si="792"/>
        <v>0</v>
      </c>
      <c r="AF3572" s="111">
        <f t="shared" si="789"/>
        <v>0</v>
      </c>
      <c r="AG3572" s="110"/>
      <c r="AH3572" s="110"/>
      <c r="AI3572" s="110"/>
      <c r="AJ3572" s="110"/>
      <c r="AK3572" s="111">
        <f t="shared" ref="AK3572:AK3635" si="799">+R3572+V3572+AB3572+AF3572</f>
        <v>0</v>
      </c>
      <c r="AL3572" s="446">
        <f t="shared" ref="AL3572:AL3635" si="800">+J3572-AK3572</f>
        <v>0</v>
      </c>
      <c r="AM3572" s="110">
        <f t="shared" ref="AM3572:AM3635" si="801">+Q3572+U3572+AA3572+AE3572</f>
        <v>0</v>
      </c>
      <c r="AN3572" s="447">
        <f t="shared" si="793"/>
        <v>0</v>
      </c>
      <c r="AO3572"/>
      <c r="AP3572"/>
    </row>
    <row r="3573" spans="1:42" x14ac:dyDescent="0.25">
      <c r="A3573" s="305">
        <v>312</v>
      </c>
      <c r="B3573" s="550" t="s">
        <v>790</v>
      </c>
      <c r="C3573" s="305"/>
      <c r="D3573" s="931"/>
      <c r="E3573" s="307"/>
      <c r="F3573" s="308"/>
      <c r="G3573" s="308"/>
      <c r="H3573" s="308"/>
      <c r="I3573" s="716"/>
      <c r="J3573" s="752"/>
      <c r="K3573" s="131">
        <f t="shared" si="795"/>
        <v>0</v>
      </c>
      <c r="L3573" s="335">
        <f t="shared" si="798"/>
        <v>0</v>
      </c>
      <c r="M3573" s="451"/>
      <c r="N3573" s="451"/>
      <c r="O3573" s="451"/>
      <c r="P3573" s="451"/>
      <c r="Q3573" s="386">
        <f t="shared" si="790"/>
        <v>0</v>
      </c>
      <c r="R3573" s="309">
        <f t="shared" si="796"/>
        <v>0</v>
      </c>
      <c r="S3573" s="386"/>
      <c r="T3573" s="386"/>
      <c r="U3573" s="386">
        <f t="shared" si="791"/>
        <v>0</v>
      </c>
      <c r="V3573" s="309">
        <f t="shared" si="797"/>
        <v>0</v>
      </c>
      <c r="W3573" s="386"/>
      <c r="X3573" s="386"/>
      <c r="Y3573" s="386"/>
      <c r="Z3573" s="386"/>
      <c r="AA3573" s="386">
        <f t="shared" si="792"/>
        <v>0</v>
      </c>
      <c r="AB3573" s="309">
        <f t="shared" si="788"/>
        <v>0</v>
      </c>
      <c r="AC3573" s="386"/>
      <c r="AD3573" s="386"/>
      <c r="AE3573" s="386">
        <f t="shared" si="792"/>
        <v>0</v>
      </c>
      <c r="AF3573" s="309">
        <f t="shared" si="789"/>
        <v>0</v>
      </c>
      <c r="AG3573" s="386"/>
      <c r="AH3573" s="386"/>
      <c r="AI3573" s="386"/>
      <c r="AJ3573" s="386"/>
      <c r="AK3573" s="309">
        <f t="shared" si="799"/>
        <v>0</v>
      </c>
      <c r="AL3573" s="451">
        <f t="shared" si="800"/>
        <v>0</v>
      </c>
      <c r="AM3573" s="386">
        <f t="shared" si="801"/>
        <v>0</v>
      </c>
      <c r="AN3573" s="452">
        <f t="shared" si="793"/>
        <v>0</v>
      </c>
      <c r="AO3573" s="108"/>
      <c r="AP3573"/>
    </row>
    <row r="3574" spans="1:42" x14ac:dyDescent="0.25">
      <c r="A3574" s="310">
        <v>31201</v>
      </c>
      <c r="B3574" s="374" t="s">
        <v>790</v>
      </c>
      <c r="C3574" s="310"/>
      <c r="D3574" s="902"/>
      <c r="E3574" s="312"/>
      <c r="F3574" s="313"/>
      <c r="G3574" s="313"/>
      <c r="H3574" s="313"/>
      <c r="I3574" s="729"/>
      <c r="J3574" s="800"/>
      <c r="K3574" s="131">
        <f t="shared" si="795"/>
        <v>0</v>
      </c>
      <c r="L3574" s="335">
        <f t="shared" si="798"/>
        <v>0</v>
      </c>
      <c r="M3574" s="421"/>
      <c r="N3574" s="421"/>
      <c r="O3574" s="421"/>
      <c r="P3574" s="421"/>
      <c r="Q3574" s="387">
        <f t="shared" si="790"/>
        <v>0</v>
      </c>
      <c r="R3574" s="314">
        <f t="shared" si="796"/>
        <v>0</v>
      </c>
      <c r="S3574" s="387"/>
      <c r="T3574" s="387"/>
      <c r="U3574" s="387">
        <f t="shared" si="791"/>
        <v>0</v>
      </c>
      <c r="V3574" s="314">
        <f t="shared" si="797"/>
        <v>0</v>
      </c>
      <c r="W3574" s="387"/>
      <c r="X3574" s="387"/>
      <c r="Y3574" s="387"/>
      <c r="Z3574" s="387"/>
      <c r="AA3574" s="387">
        <f t="shared" si="792"/>
        <v>0</v>
      </c>
      <c r="AB3574" s="314">
        <f t="shared" si="788"/>
        <v>0</v>
      </c>
      <c r="AC3574" s="387"/>
      <c r="AD3574" s="387"/>
      <c r="AE3574" s="387">
        <f t="shared" si="792"/>
        <v>0</v>
      </c>
      <c r="AF3574" s="314">
        <f t="shared" si="789"/>
        <v>0</v>
      </c>
      <c r="AG3574" s="387"/>
      <c r="AH3574" s="387"/>
      <c r="AI3574" s="387"/>
      <c r="AJ3574" s="387"/>
      <c r="AK3574" s="314">
        <f t="shared" si="799"/>
        <v>0</v>
      </c>
      <c r="AL3574" s="421">
        <f t="shared" si="800"/>
        <v>0</v>
      </c>
      <c r="AM3574" s="387">
        <f t="shared" si="801"/>
        <v>0</v>
      </c>
      <c r="AN3574" s="422">
        <f t="shared" si="793"/>
        <v>0</v>
      </c>
      <c r="AO3574" s="436">
        <f>SUM(J3575:J3576)</f>
        <v>180440.69999999998</v>
      </c>
      <c r="AP3574" s="111"/>
    </row>
    <row r="3575" spans="1:42" ht="66" x14ac:dyDescent="0.25">
      <c r="A3575" s="9"/>
      <c r="B3575" s="227" t="s">
        <v>791</v>
      </c>
      <c r="C3575" s="54"/>
      <c r="D3575" s="916">
        <f>22+22+1</f>
        <v>45</v>
      </c>
      <c r="E3575" s="1027" t="s">
        <v>2470</v>
      </c>
      <c r="F3575" s="271" t="s">
        <v>3446</v>
      </c>
      <c r="G3575" s="1040" t="s">
        <v>3463</v>
      </c>
      <c r="H3575" s="273" t="s">
        <v>3462</v>
      </c>
      <c r="I3575" s="720">
        <f>+J3575/D3575</f>
        <v>817.11599999999999</v>
      </c>
      <c r="J3575" s="756">
        <f>22968+12802.22+1000</f>
        <v>36770.22</v>
      </c>
      <c r="K3575" s="131">
        <f t="shared" si="795"/>
        <v>36770.22</v>
      </c>
      <c r="L3575" s="335">
        <f t="shared" si="798"/>
        <v>0</v>
      </c>
      <c r="M3575" s="446"/>
      <c r="N3575" s="446"/>
      <c r="O3575" s="446"/>
      <c r="P3575" s="446"/>
      <c r="Q3575" s="110">
        <v>12</v>
      </c>
      <c r="R3575" s="111">
        <f t="shared" si="796"/>
        <v>9192.5550000000003</v>
      </c>
      <c r="S3575" s="110"/>
      <c r="T3575" s="110"/>
      <c r="U3575" s="110">
        <v>11</v>
      </c>
      <c r="V3575" s="111">
        <f t="shared" si="797"/>
        <v>9192.5550000000003</v>
      </c>
      <c r="W3575" s="110"/>
      <c r="X3575" s="110"/>
      <c r="Y3575" s="110"/>
      <c r="Z3575" s="110"/>
      <c r="AA3575" s="110">
        <v>11</v>
      </c>
      <c r="AB3575" s="111">
        <f t="shared" si="788"/>
        <v>9192.5550000000003</v>
      </c>
      <c r="AC3575" s="110"/>
      <c r="AD3575" s="110"/>
      <c r="AE3575" s="110">
        <v>11</v>
      </c>
      <c r="AF3575" s="111">
        <f t="shared" si="789"/>
        <v>9192.5550000000003</v>
      </c>
      <c r="AG3575" s="110"/>
      <c r="AH3575" s="110"/>
      <c r="AI3575" s="110"/>
      <c r="AJ3575" s="110"/>
      <c r="AK3575" s="111">
        <f t="shared" si="799"/>
        <v>36770.22</v>
      </c>
      <c r="AL3575" s="446">
        <f t="shared" si="800"/>
        <v>0</v>
      </c>
      <c r="AM3575" s="110">
        <f t="shared" si="801"/>
        <v>45</v>
      </c>
      <c r="AN3575" s="447">
        <f t="shared" si="793"/>
        <v>0</v>
      </c>
      <c r="AO3575"/>
      <c r="AP3575"/>
    </row>
    <row r="3576" spans="1:42" ht="66" x14ac:dyDescent="0.25">
      <c r="A3576" s="9"/>
      <c r="B3576" s="227" t="s">
        <v>792</v>
      </c>
      <c r="C3576" s="54"/>
      <c r="D3576" s="916">
        <f>6152+100+8</f>
        <v>6260</v>
      </c>
      <c r="E3576" s="1027" t="s">
        <v>2470</v>
      </c>
      <c r="F3576" s="273" t="s">
        <v>3446</v>
      </c>
      <c r="G3576" s="1040" t="s">
        <v>3463</v>
      </c>
      <c r="H3576" s="273" t="s">
        <v>3462</v>
      </c>
      <c r="I3576" s="720">
        <f>+J3576/D3576</f>
        <v>22.950555910543127</v>
      </c>
      <c r="J3576" s="756">
        <f>98980.48+2930+41760</f>
        <v>143670.47999999998</v>
      </c>
      <c r="K3576" s="131">
        <f t="shared" si="795"/>
        <v>143670.47999999998</v>
      </c>
      <c r="L3576" s="335">
        <f t="shared" si="798"/>
        <v>0</v>
      </c>
      <c r="M3576" s="446"/>
      <c r="N3576" s="446"/>
      <c r="O3576" s="446"/>
      <c r="P3576" s="446"/>
      <c r="Q3576" s="110">
        <f t="shared" si="790"/>
        <v>1565</v>
      </c>
      <c r="R3576" s="111">
        <f t="shared" si="796"/>
        <v>35917.619999999995</v>
      </c>
      <c r="S3576" s="110"/>
      <c r="T3576" s="110"/>
      <c r="U3576" s="110">
        <f t="shared" si="791"/>
        <v>1565</v>
      </c>
      <c r="V3576" s="111">
        <f t="shared" si="797"/>
        <v>35917.619999999995</v>
      </c>
      <c r="W3576" s="110"/>
      <c r="X3576" s="110"/>
      <c r="Y3576" s="110"/>
      <c r="Z3576" s="110"/>
      <c r="AA3576" s="110">
        <f t="shared" si="792"/>
        <v>1565</v>
      </c>
      <c r="AB3576" s="111">
        <f t="shared" si="788"/>
        <v>35917.619999999995</v>
      </c>
      <c r="AC3576" s="110"/>
      <c r="AD3576" s="110"/>
      <c r="AE3576" s="110">
        <f t="shared" si="792"/>
        <v>1565</v>
      </c>
      <c r="AF3576" s="111">
        <f t="shared" si="789"/>
        <v>35917.619999999995</v>
      </c>
      <c r="AG3576" s="110"/>
      <c r="AH3576" s="110"/>
      <c r="AI3576" s="110"/>
      <c r="AJ3576" s="110"/>
      <c r="AK3576" s="111">
        <f t="shared" si="799"/>
        <v>143670.47999999998</v>
      </c>
      <c r="AL3576" s="446">
        <f t="shared" si="800"/>
        <v>0</v>
      </c>
      <c r="AM3576" s="110">
        <f t="shared" si="801"/>
        <v>6260</v>
      </c>
      <c r="AN3576" s="447">
        <f t="shared" si="793"/>
        <v>0</v>
      </c>
      <c r="AO3576"/>
      <c r="AP3576"/>
    </row>
    <row r="3577" spans="1:42" x14ac:dyDescent="0.25">
      <c r="A3577" s="1021">
        <v>313</v>
      </c>
      <c r="B3577" s="582" t="s">
        <v>793</v>
      </c>
      <c r="C3577" s="1021"/>
      <c r="D3577" s="932"/>
      <c r="E3577" s="343"/>
      <c r="F3577" s="344"/>
      <c r="G3577" s="344"/>
      <c r="H3577" s="344"/>
      <c r="I3577" s="737"/>
      <c r="J3577" s="811"/>
      <c r="K3577" s="131">
        <f t="shared" si="795"/>
        <v>0</v>
      </c>
      <c r="L3577" s="335">
        <f t="shared" si="798"/>
        <v>0</v>
      </c>
      <c r="M3577" s="414"/>
      <c r="N3577" s="414"/>
      <c r="O3577" s="414"/>
      <c r="P3577" s="414"/>
      <c r="Q3577" s="413">
        <f t="shared" si="790"/>
        <v>0</v>
      </c>
      <c r="R3577" s="345">
        <f t="shared" si="796"/>
        <v>0</v>
      </c>
      <c r="S3577" s="413"/>
      <c r="T3577" s="413"/>
      <c r="U3577" s="413">
        <f t="shared" si="791"/>
        <v>0</v>
      </c>
      <c r="V3577" s="345">
        <f t="shared" si="797"/>
        <v>0</v>
      </c>
      <c r="W3577" s="413"/>
      <c r="X3577" s="413"/>
      <c r="Y3577" s="413"/>
      <c r="Z3577" s="413"/>
      <c r="AA3577" s="413">
        <f t="shared" si="792"/>
        <v>0</v>
      </c>
      <c r="AB3577" s="345">
        <f t="shared" si="788"/>
        <v>0</v>
      </c>
      <c r="AC3577" s="413"/>
      <c r="AD3577" s="413"/>
      <c r="AE3577" s="413">
        <f t="shared" si="792"/>
        <v>0</v>
      </c>
      <c r="AF3577" s="345">
        <f t="shared" si="789"/>
        <v>0</v>
      </c>
      <c r="AG3577" s="413"/>
      <c r="AH3577" s="413"/>
      <c r="AI3577" s="413"/>
      <c r="AJ3577" s="413"/>
      <c r="AK3577" s="345">
        <f t="shared" si="799"/>
        <v>0</v>
      </c>
      <c r="AL3577" s="414">
        <f t="shared" si="800"/>
        <v>0</v>
      </c>
      <c r="AM3577" s="413">
        <f t="shared" si="801"/>
        <v>0</v>
      </c>
      <c r="AN3577" s="415">
        <f t="shared" si="793"/>
        <v>0</v>
      </c>
      <c r="AO3577" s="346"/>
      <c r="AP3577"/>
    </row>
    <row r="3578" spans="1:42" x14ac:dyDescent="0.25">
      <c r="A3578" s="310">
        <v>31301</v>
      </c>
      <c r="B3578" s="375" t="s">
        <v>793</v>
      </c>
      <c r="C3578" s="310"/>
      <c r="D3578" s="902"/>
      <c r="E3578" s="312"/>
      <c r="F3578" s="313"/>
      <c r="G3578" s="313"/>
      <c r="H3578" s="313"/>
      <c r="I3578" s="729"/>
      <c r="J3578" s="800"/>
      <c r="K3578" s="131">
        <f t="shared" si="795"/>
        <v>0</v>
      </c>
      <c r="L3578" s="335">
        <f t="shared" si="798"/>
        <v>0</v>
      </c>
      <c r="M3578" s="421"/>
      <c r="N3578" s="421"/>
      <c r="O3578" s="421"/>
      <c r="P3578" s="421"/>
      <c r="Q3578" s="387">
        <f t="shared" si="790"/>
        <v>0</v>
      </c>
      <c r="R3578" s="314">
        <f t="shared" si="796"/>
        <v>0</v>
      </c>
      <c r="S3578" s="387"/>
      <c r="T3578" s="387"/>
      <c r="U3578" s="387">
        <f t="shared" si="791"/>
        <v>0</v>
      </c>
      <c r="V3578" s="314">
        <f t="shared" si="797"/>
        <v>0</v>
      </c>
      <c r="W3578" s="387"/>
      <c r="X3578" s="387"/>
      <c r="Y3578" s="387"/>
      <c r="Z3578" s="387"/>
      <c r="AA3578" s="387">
        <f t="shared" si="792"/>
        <v>0</v>
      </c>
      <c r="AB3578" s="314">
        <f t="shared" si="788"/>
        <v>0</v>
      </c>
      <c r="AC3578" s="387"/>
      <c r="AD3578" s="387"/>
      <c r="AE3578" s="387">
        <f t="shared" si="792"/>
        <v>0</v>
      </c>
      <c r="AF3578" s="314">
        <f t="shared" si="789"/>
        <v>0</v>
      </c>
      <c r="AG3578" s="387"/>
      <c r="AH3578" s="387"/>
      <c r="AI3578" s="387"/>
      <c r="AJ3578" s="387"/>
      <c r="AK3578" s="314">
        <f t="shared" si="799"/>
        <v>0</v>
      </c>
      <c r="AL3578" s="421">
        <f t="shared" si="800"/>
        <v>0</v>
      </c>
      <c r="AM3578" s="387">
        <f t="shared" si="801"/>
        <v>0</v>
      </c>
      <c r="AN3578" s="422">
        <f t="shared" si="793"/>
        <v>0</v>
      </c>
      <c r="AO3578" s="439">
        <f>SUM(J3579)</f>
        <v>211418.08999999997</v>
      </c>
      <c r="AP3578" s="111"/>
    </row>
    <row r="3579" spans="1:42" ht="66" x14ac:dyDescent="0.25">
      <c r="A3579" s="1024"/>
      <c r="B3579" s="59" t="s">
        <v>794</v>
      </c>
      <c r="C3579" s="1024"/>
      <c r="D3579" s="869">
        <f>12+12+12+21+3+6+8+16</f>
        <v>90</v>
      </c>
      <c r="E3579" s="1027" t="s">
        <v>1755</v>
      </c>
      <c r="F3579" s="271" t="s">
        <v>3446</v>
      </c>
      <c r="G3579" s="1040" t="s">
        <v>3463</v>
      </c>
      <c r="H3579" s="273" t="s">
        <v>3462</v>
      </c>
      <c r="I3579" s="720">
        <f>+J3579/D3579</f>
        <v>2349.0898888888887</v>
      </c>
      <c r="J3579" s="756">
        <f>14400+27840+8834.33+14616+4683.09+34500+69600+36944.67</f>
        <v>211418.08999999997</v>
      </c>
      <c r="K3579" s="131">
        <f t="shared" si="795"/>
        <v>211418.09</v>
      </c>
      <c r="L3579" s="335">
        <f t="shared" si="798"/>
        <v>0</v>
      </c>
      <c r="M3579" s="446"/>
      <c r="N3579" s="446"/>
      <c r="O3579" s="446"/>
      <c r="P3579" s="446"/>
      <c r="Q3579" s="110">
        <v>23</v>
      </c>
      <c r="R3579" s="111">
        <f t="shared" si="796"/>
        <v>52854.522499999992</v>
      </c>
      <c r="S3579" s="110"/>
      <c r="T3579" s="110"/>
      <c r="U3579" s="110">
        <v>23</v>
      </c>
      <c r="V3579" s="111">
        <f t="shared" si="797"/>
        <v>52854.522499999992</v>
      </c>
      <c r="W3579" s="110"/>
      <c r="X3579" s="110"/>
      <c r="Y3579" s="110"/>
      <c r="Z3579" s="110"/>
      <c r="AA3579" s="110">
        <v>22</v>
      </c>
      <c r="AB3579" s="111">
        <f t="shared" si="788"/>
        <v>52854.522499999992</v>
      </c>
      <c r="AC3579" s="110"/>
      <c r="AD3579" s="110"/>
      <c r="AE3579" s="110">
        <v>22</v>
      </c>
      <c r="AF3579" s="111">
        <f t="shared" si="789"/>
        <v>52854.522499999992</v>
      </c>
      <c r="AG3579" s="110"/>
      <c r="AH3579" s="110"/>
      <c r="AI3579" s="110"/>
      <c r="AJ3579" s="110"/>
      <c r="AK3579" s="111">
        <f t="shared" si="799"/>
        <v>211418.08999999997</v>
      </c>
      <c r="AL3579" s="446">
        <f t="shared" si="800"/>
        <v>0</v>
      </c>
      <c r="AM3579" s="110">
        <f t="shared" si="801"/>
        <v>90</v>
      </c>
      <c r="AN3579" s="447">
        <f t="shared" si="793"/>
        <v>0</v>
      </c>
      <c r="AO3579"/>
      <c r="AP3579"/>
    </row>
    <row r="3580" spans="1:42" x14ac:dyDescent="0.25">
      <c r="A3580" s="61"/>
      <c r="B3580" s="71"/>
      <c r="C3580" s="201"/>
      <c r="D3580" s="933"/>
      <c r="E3580" s="263"/>
      <c r="F3580" s="285"/>
      <c r="G3580" s="285"/>
      <c r="H3580" s="285"/>
      <c r="I3580" s="720"/>
      <c r="J3580" s="812"/>
      <c r="K3580" s="131">
        <f t="shared" si="795"/>
        <v>0</v>
      </c>
      <c r="L3580" s="335">
        <f t="shared" si="798"/>
        <v>0</v>
      </c>
      <c r="M3580" s="446"/>
      <c r="N3580" s="446"/>
      <c r="O3580" s="446"/>
      <c r="P3580" s="446"/>
      <c r="Q3580" s="110">
        <f t="shared" si="790"/>
        <v>0</v>
      </c>
      <c r="R3580" s="111">
        <f t="shared" si="796"/>
        <v>0</v>
      </c>
      <c r="S3580" s="110"/>
      <c r="T3580" s="110"/>
      <c r="U3580" s="110">
        <f t="shared" si="791"/>
        <v>0</v>
      </c>
      <c r="V3580" s="111">
        <f t="shared" si="797"/>
        <v>0</v>
      </c>
      <c r="W3580" s="110"/>
      <c r="X3580" s="110"/>
      <c r="Y3580" s="110"/>
      <c r="Z3580" s="110"/>
      <c r="AA3580" s="110">
        <f t="shared" si="792"/>
        <v>0</v>
      </c>
      <c r="AB3580" s="111">
        <f t="shared" si="788"/>
        <v>0</v>
      </c>
      <c r="AC3580" s="110"/>
      <c r="AD3580" s="110"/>
      <c r="AE3580" s="110">
        <f t="shared" si="792"/>
        <v>0</v>
      </c>
      <c r="AF3580" s="111">
        <f t="shared" si="789"/>
        <v>0</v>
      </c>
      <c r="AG3580" s="110"/>
      <c r="AH3580" s="110"/>
      <c r="AI3580" s="110"/>
      <c r="AJ3580" s="110"/>
      <c r="AK3580" s="111">
        <f t="shared" si="799"/>
        <v>0</v>
      </c>
      <c r="AL3580" s="446">
        <f t="shared" si="800"/>
        <v>0</v>
      </c>
      <c r="AM3580" s="110">
        <f t="shared" si="801"/>
        <v>0</v>
      </c>
      <c r="AN3580" s="447">
        <f t="shared" si="793"/>
        <v>0</v>
      </c>
      <c r="AO3580"/>
      <c r="AP3580"/>
    </row>
    <row r="3581" spans="1:42" x14ac:dyDescent="0.25">
      <c r="A3581" s="1021">
        <v>314</v>
      </c>
      <c r="B3581" s="582" t="s">
        <v>795</v>
      </c>
      <c r="C3581" s="1021"/>
      <c r="D3581" s="934"/>
      <c r="E3581" s="343"/>
      <c r="F3581" s="344"/>
      <c r="G3581" s="344"/>
      <c r="H3581" s="344"/>
      <c r="I3581" s="737"/>
      <c r="J3581" s="811"/>
      <c r="K3581" s="131">
        <f t="shared" si="795"/>
        <v>0</v>
      </c>
      <c r="L3581" s="335">
        <f t="shared" si="798"/>
        <v>0</v>
      </c>
      <c r="M3581" s="414"/>
      <c r="N3581" s="414"/>
      <c r="O3581" s="414"/>
      <c r="P3581" s="414"/>
      <c r="Q3581" s="413">
        <f t="shared" si="790"/>
        <v>0</v>
      </c>
      <c r="R3581" s="345">
        <f t="shared" si="796"/>
        <v>0</v>
      </c>
      <c r="S3581" s="413"/>
      <c r="T3581" s="413"/>
      <c r="U3581" s="413">
        <f t="shared" si="791"/>
        <v>0</v>
      </c>
      <c r="V3581" s="345">
        <f t="shared" si="797"/>
        <v>0</v>
      </c>
      <c r="W3581" s="413"/>
      <c r="X3581" s="413"/>
      <c r="Y3581" s="413"/>
      <c r="Z3581" s="413"/>
      <c r="AA3581" s="413">
        <f t="shared" ref="AA3581:AE3640" si="802">+$D3581/4</f>
        <v>0</v>
      </c>
      <c r="AB3581" s="345">
        <f t="shared" si="788"/>
        <v>0</v>
      </c>
      <c r="AC3581" s="413"/>
      <c r="AD3581" s="413"/>
      <c r="AE3581" s="413">
        <f t="shared" si="802"/>
        <v>0</v>
      </c>
      <c r="AF3581" s="345">
        <f t="shared" si="789"/>
        <v>0</v>
      </c>
      <c r="AG3581" s="413"/>
      <c r="AH3581" s="413"/>
      <c r="AI3581" s="413"/>
      <c r="AJ3581" s="413"/>
      <c r="AK3581" s="345">
        <f t="shared" si="799"/>
        <v>0</v>
      </c>
      <c r="AL3581" s="414">
        <f t="shared" si="800"/>
        <v>0</v>
      </c>
      <c r="AM3581" s="413">
        <f t="shared" si="801"/>
        <v>0</v>
      </c>
      <c r="AN3581" s="415">
        <f t="shared" si="793"/>
        <v>0</v>
      </c>
      <c r="AO3581" s="346"/>
      <c r="AP3581"/>
    </row>
    <row r="3582" spans="1:42" x14ac:dyDescent="0.25">
      <c r="A3582" s="310">
        <v>31401</v>
      </c>
      <c r="B3582" s="375" t="s">
        <v>795</v>
      </c>
      <c r="C3582" s="310"/>
      <c r="D3582" s="902"/>
      <c r="E3582" s="312"/>
      <c r="F3582" s="313"/>
      <c r="G3582" s="313"/>
      <c r="H3582" s="313"/>
      <c r="I3582" s="729"/>
      <c r="J3582" s="800"/>
      <c r="K3582" s="131">
        <f t="shared" si="795"/>
        <v>0</v>
      </c>
      <c r="L3582" s="335">
        <f t="shared" si="798"/>
        <v>0</v>
      </c>
      <c r="M3582" s="421"/>
      <c r="N3582" s="421"/>
      <c r="O3582" s="421"/>
      <c r="P3582" s="421"/>
      <c r="Q3582" s="387">
        <f t="shared" si="790"/>
        <v>0</v>
      </c>
      <c r="R3582" s="314">
        <f t="shared" si="796"/>
        <v>0</v>
      </c>
      <c r="S3582" s="387"/>
      <c r="T3582" s="387"/>
      <c r="U3582" s="387">
        <f t="shared" si="791"/>
        <v>0</v>
      </c>
      <c r="V3582" s="314">
        <f t="shared" si="797"/>
        <v>0</v>
      </c>
      <c r="W3582" s="387"/>
      <c r="X3582" s="387"/>
      <c r="Y3582" s="387"/>
      <c r="Z3582" s="387"/>
      <c r="AA3582" s="387">
        <f t="shared" si="802"/>
        <v>0</v>
      </c>
      <c r="AB3582" s="314">
        <f t="shared" si="788"/>
        <v>0</v>
      </c>
      <c r="AC3582" s="387"/>
      <c r="AD3582" s="387"/>
      <c r="AE3582" s="387">
        <f t="shared" si="802"/>
        <v>0</v>
      </c>
      <c r="AF3582" s="314">
        <f t="shared" si="789"/>
        <v>0</v>
      </c>
      <c r="AG3582" s="387"/>
      <c r="AH3582" s="387"/>
      <c r="AI3582" s="387"/>
      <c r="AJ3582" s="387"/>
      <c r="AK3582" s="314">
        <f t="shared" si="799"/>
        <v>0</v>
      </c>
      <c r="AL3582" s="421">
        <f t="shared" si="800"/>
        <v>0</v>
      </c>
      <c r="AM3582" s="387">
        <f t="shared" si="801"/>
        <v>0</v>
      </c>
      <c r="AN3582" s="422">
        <f t="shared" si="793"/>
        <v>0</v>
      </c>
      <c r="AO3582" s="439">
        <f>SUM(J3583)</f>
        <v>86964</v>
      </c>
      <c r="AP3582" s="111"/>
    </row>
    <row r="3583" spans="1:42" ht="66" x14ac:dyDescent="0.25">
      <c r="A3583" s="61"/>
      <c r="B3583" s="75" t="s">
        <v>1107</v>
      </c>
      <c r="C3583" s="9"/>
      <c r="D3583" s="869">
        <f>12+3+10+8</f>
        <v>33</v>
      </c>
      <c r="E3583" s="1027" t="s">
        <v>1840</v>
      </c>
      <c r="F3583" s="271" t="s">
        <v>3446</v>
      </c>
      <c r="G3583" s="1040" t="s">
        <v>3463</v>
      </c>
      <c r="H3583" s="273" t="s">
        <v>3462</v>
      </c>
      <c r="I3583" s="720">
        <f>+J3583/D3583</f>
        <v>2635.2727272727275</v>
      </c>
      <c r="J3583" s="756">
        <f>5400+3564+6000+72000</f>
        <v>86964</v>
      </c>
      <c r="K3583" s="131">
        <f t="shared" si="795"/>
        <v>86964</v>
      </c>
      <c r="L3583" s="335">
        <f t="shared" si="798"/>
        <v>0</v>
      </c>
      <c r="M3583" s="446"/>
      <c r="N3583" s="446"/>
      <c r="O3583" s="446"/>
      <c r="P3583" s="446"/>
      <c r="Q3583" s="110">
        <v>9</v>
      </c>
      <c r="R3583" s="111">
        <f t="shared" si="796"/>
        <v>21741</v>
      </c>
      <c r="S3583" s="110"/>
      <c r="T3583" s="110"/>
      <c r="U3583" s="110">
        <v>8</v>
      </c>
      <c r="V3583" s="111">
        <f t="shared" si="797"/>
        <v>21741</v>
      </c>
      <c r="W3583" s="110"/>
      <c r="X3583" s="110"/>
      <c r="Y3583" s="110"/>
      <c r="Z3583" s="110"/>
      <c r="AA3583" s="110">
        <v>8</v>
      </c>
      <c r="AB3583" s="111">
        <f t="shared" si="788"/>
        <v>21741</v>
      </c>
      <c r="AC3583" s="110"/>
      <c r="AD3583" s="110"/>
      <c r="AE3583" s="110">
        <v>8</v>
      </c>
      <c r="AF3583" s="111">
        <f t="shared" si="789"/>
        <v>21741</v>
      </c>
      <c r="AG3583" s="110"/>
      <c r="AH3583" s="110"/>
      <c r="AI3583" s="110"/>
      <c r="AJ3583" s="110"/>
      <c r="AK3583" s="111">
        <f t="shared" si="799"/>
        <v>86964</v>
      </c>
      <c r="AL3583" s="446">
        <f t="shared" si="800"/>
        <v>0</v>
      </c>
      <c r="AM3583" s="110">
        <f t="shared" si="801"/>
        <v>33</v>
      </c>
      <c r="AN3583" s="447">
        <f t="shared" si="793"/>
        <v>0</v>
      </c>
      <c r="AO3583"/>
      <c r="AP3583"/>
    </row>
    <row r="3584" spans="1:42" x14ac:dyDescent="0.25">
      <c r="A3584" s="61"/>
      <c r="B3584" s="71"/>
      <c r="C3584" s="9"/>
      <c r="D3584" s="916"/>
      <c r="E3584" s="1027"/>
      <c r="F3584" s="272"/>
      <c r="G3584" s="272"/>
      <c r="H3584" s="272"/>
      <c r="I3584" s="720"/>
      <c r="J3584" s="763"/>
      <c r="K3584" s="131">
        <f t="shared" si="795"/>
        <v>0</v>
      </c>
      <c r="L3584" s="335">
        <f t="shared" si="798"/>
        <v>0</v>
      </c>
      <c r="M3584" s="446"/>
      <c r="N3584" s="446"/>
      <c r="O3584" s="446"/>
      <c r="P3584" s="446"/>
      <c r="Q3584" s="110">
        <f t="shared" si="790"/>
        <v>0</v>
      </c>
      <c r="R3584" s="111">
        <f t="shared" si="796"/>
        <v>0</v>
      </c>
      <c r="S3584" s="110"/>
      <c r="T3584" s="110"/>
      <c r="U3584" s="110">
        <f t="shared" si="791"/>
        <v>0</v>
      </c>
      <c r="V3584" s="111">
        <f t="shared" si="797"/>
        <v>0</v>
      </c>
      <c r="W3584" s="110"/>
      <c r="X3584" s="110"/>
      <c r="Y3584" s="110"/>
      <c r="Z3584" s="110"/>
      <c r="AA3584" s="110">
        <f t="shared" si="802"/>
        <v>0</v>
      </c>
      <c r="AB3584" s="111">
        <f t="shared" si="788"/>
        <v>0</v>
      </c>
      <c r="AC3584" s="110"/>
      <c r="AD3584" s="110"/>
      <c r="AE3584" s="110">
        <f t="shared" si="802"/>
        <v>0</v>
      </c>
      <c r="AF3584" s="111">
        <f t="shared" si="789"/>
        <v>0</v>
      </c>
      <c r="AG3584" s="110"/>
      <c r="AH3584" s="110"/>
      <c r="AI3584" s="110"/>
      <c r="AJ3584" s="110"/>
      <c r="AK3584" s="111">
        <f t="shared" si="799"/>
        <v>0</v>
      </c>
      <c r="AL3584" s="446">
        <f t="shared" si="800"/>
        <v>0</v>
      </c>
      <c r="AM3584" s="110">
        <f t="shared" si="801"/>
        <v>0</v>
      </c>
      <c r="AN3584" s="447">
        <f t="shared" si="793"/>
        <v>0</v>
      </c>
      <c r="AO3584"/>
      <c r="AP3584"/>
    </row>
    <row r="3585" spans="1:42" x14ac:dyDescent="0.25">
      <c r="A3585" s="1021">
        <v>315</v>
      </c>
      <c r="B3585" s="582" t="s">
        <v>796</v>
      </c>
      <c r="C3585" s="1021"/>
      <c r="D3585" s="932"/>
      <c r="E3585" s="343"/>
      <c r="F3585" s="344"/>
      <c r="G3585" s="344"/>
      <c r="H3585" s="344"/>
      <c r="I3585" s="737"/>
      <c r="J3585" s="811"/>
      <c r="K3585" s="131">
        <f t="shared" si="795"/>
        <v>0</v>
      </c>
      <c r="L3585" s="335">
        <f t="shared" si="798"/>
        <v>0</v>
      </c>
      <c r="M3585" s="414"/>
      <c r="N3585" s="414"/>
      <c r="O3585" s="414"/>
      <c r="P3585" s="414"/>
      <c r="Q3585" s="413">
        <f t="shared" si="790"/>
        <v>0</v>
      </c>
      <c r="R3585" s="345">
        <f t="shared" si="796"/>
        <v>0</v>
      </c>
      <c r="S3585" s="413"/>
      <c r="T3585" s="413"/>
      <c r="U3585" s="413">
        <f t="shared" si="791"/>
        <v>0</v>
      </c>
      <c r="V3585" s="345">
        <f t="shared" si="797"/>
        <v>0</v>
      </c>
      <c r="W3585" s="413"/>
      <c r="X3585" s="413"/>
      <c r="Y3585" s="413"/>
      <c r="Z3585" s="413"/>
      <c r="AA3585" s="413">
        <f t="shared" si="802"/>
        <v>0</v>
      </c>
      <c r="AB3585" s="345">
        <f t="shared" si="788"/>
        <v>0</v>
      </c>
      <c r="AC3585" s="413"/>
      <c r="AD3585" s="413"/>
      <c r="AE3585" s="413">
        <f t="shared" si="802"/>
        <v>0</v>
      </c>
      <c r="AF3585" s="345">
        <f t="shared" si="789"/>
        <v>0</v>
      </c>
      <c r="AG3585" s="413"/>
      <c r="AH3585" s="413"/>
      <c r="AI3585" s="413"/>
      <c r="AJ3585" s="413"/>
      <c r="AK3585" s="345">
        <f t="shared" si="799"/>
        <v>0</v>
      </c>
      <c r="AL3585" s="414">
        <f t="shared" si="800"/>
        <v>0</v>
      </c>
      <c r="AM3585" s="413">
        <f t="shared" si="801"/>
        <v>0</v>
      </c>
      <c r="AN3585" s="415">
        <f t="shared" si="793"/>
        <v>0</v>
      </c>
      <c r="AO3585" s="108"/>
      <c r="AP3585"/>
    </row>
    <row r="3586" spans="1:42" x14ac:dyDescent="0.25">
      <c r="A3586" s="310">
        <v>31501</v>
      </c>
      <c r="B3586" s="375" t="s">
        <v>796</v>
      </c>
      <c r="C3586" s="311"/>
      <c r="D3586" s="902"/>
      <c r="E3586" s="312"/>
      <c r="F3586" s="313"/>
      <c r="G3586" s="313"/>
      <c r="H3586" s="313"/>
      <c r="I3586" s="729"/>
      <c r="J3586" s="800"/>
      <c r="K3586" s="131">
        <f t="shared" si="795"/>
        <v>0</v>
      </c>
      <c r="L3586" s="335">
        <f t="shared" si="798"/>
        <v>0</v>
      </c>
      <c r="M3586" s="421"/>
      <c r="N3586" s="421"/>
      <c r="O3586" s="421"/>
      <c r="P3586" s="421"/>
      <c r="Q3586" s="387">
        <f t="shared" si="790"/>
        <v>0</v>
      </c>
      <c r="R3586" s="314">
        <f t="shared" si="796"/>
        <v>0</v>
      </c>
      <c r="S3586" s="387"/>
      <c r="T3586" s="387"/>
      <c r="U3586" s="387">
        <f t="shared" si="791"/>
        <v>0</v>
      </c>
      <c r="V3586" s="314">
        <f t="shared" si="797"/>
        <v>0</v>
      </c>
      <c r="W3586" s="387"/>
      <c r="X3586" s="387"/>
      <c r="Y3586" s="387"/>
      <c r="Z3586" s="387"/>
      <c r="AA3586" s="387">
        <f t="shared" si="802"/>
        <v>0</v>
      </c>
      <c r="AB3586" s="314">
        <f t="shared" si="788"/>
        <v>0</v>
      </c>
      <c r="AC3586" s="387"/>
      <c r="AD3586" s="387"/>
      <c r="AE3586" s="387">
        <f t="shared" si="802"/>
        <v>0</v>
      </c>
      <c r="AF3586" s="314">
        <f t="shared" si="789"/>
        <v>0</v>
      </c>
      <c r="AG3586" s="387"/>
      <c r="AH3586" s="387"/>
      <c r="AI3586" s="387"/>
      <c r="AJ3586" s="387"/>
      <c r="AK3586" s="314">
        <f t="shared" si="799"/>
        <v>0</v>
      </c>
      <c r="AL3586" s="421">
        <f t="shared" si="800"/>
        <v>0</v>
      </c>
      <c r="AM3586" s="387">
        <f t="shared" si="801"/>
        <v>0</v>
      </c>
      <c r="AN3586" s="422">
        <f t="shared" si="793"/>
        <v>0</v>
      </c>
      <c r="AO3586" s="436">
        <f>SUM(J3587)</f>
        <v>409824</v>
      </c>
      <c r="AP3586" s="111"/>
    </row>
    <row r="3587" spans="1:42" ht="66" x14ac:dyDescent="0.25">
      <c r="A3587" s="74"/>
      <c r="B3587" s="583" t="s">
        <v>796</v>
      </c>
      <c r="C3587" s="162"/>
      <c r="D3587" s="882">
        <f>12+12+12+10</f>
        <v>46</v>
      </c>
      <c r="E3587" s="1025" t="s">
        <v>1755</v>
      </c>
      <c r="F3587" s="271" t="s">
        <v>3446</v>
      </c>
      <c r="G3587" s="1040" t="s">
        <v>3463</v>
      </c>
      <c r="H3587" s="273" t="s">
        <v>3462</v>
      </c>
      <c r="I3587" s="720">
        <f>+J3587/D3587</f>
        <v>8909.217391304348</v>
      </c>
      <c r="J3587" s="813">
        <f>389760+4800+11664+3600</f>
        <v>409824</v>
      </c>
      <c r="K3587" s="131">
        <f t="shared" si="795"/>
        <v>409824</v>
      </c>
      <c r="L3587" s="335">
        <f t="shared" si="798"/>
        <v>0</v>
      </c>
      <c r="M3587" s="446"/>
      <c r="N3587" s="446"/>
      <c r="O3587" s="446"/>
      <c r="P3587" s="446"/>
      <c r="Q3587" s="110">
        <v>12</v>
      </c>
      <c r="R3587" s="111">
        <f t="shared" si="796"/>
        <v>102456</v>
      </c>
      <c r="S3587" s="110"/>
      <c r="T3587" s="110"/>
      <c r="U3587" s="110">
        <v>12</v>
      </c>
      <c r="V3587" s="111">
        <f t="shared" si="797"/>
        <v>102456</v>
      </c>
      <c r="W3587" s="110"/>
      <c r="X3587" s="110"/>
      <c r="Y3587" s="110"/>
      <c r="Z3587" s="110"/>
      <c r="AA3587" s="110">
        <v>11</v>
      </c>
      <c r="AB3587" s="111">
        <f t="shared" si="788"/>
        <v>102456</v>
      </c>
      <c r="AC3587" s="110"/>
      <c r="AD3587" s="110"/>
      <c r="AE3587" s="110">
        <v>11</v>
      </c>
      <c r="AF3587" s="111">
        <f t="shared" si="789"/>
        <v>102456</v>
      </c>
      <c r="AG3587" s="110"/>
      <c r="AH3587" s="110"/>
      <c r="AI3587" s="110"/>
      <c r="AJ3587" s="110"/>
      <c r="AK3587" s="111">
        <f t="shared" si="799"/>
        <v>409824</v>
      </c>
      <c r="AL3587" s="446">
        <f t="shared" si="800"/>
        <v>0</v>
      </c>
      <c r="AM3587" s="110">
        <f t="shared" si="801"/>
        <v>46</v>
      </c>
      <c r="AN3587" s="447">
        <f t="shared" si="793"/>
        <v>0</v>
      </c>
      <c r="AO3587"/>
      <c r="AP3587"/>
    </row>
    <row r="3588" spans="1:42" x14ac:dyDescent="0.25">
      <c r="A3588" s="74"/>
      <c r="B3588" s="583"/>
      <c r="C3588" s="9"/>
      <c r="D3588" s="882"/>
      <c r="E3588" s="1025"/>
      <c r="F3588" s="271"/>
      <c r="G3588" s="271"/>
      <c r="H3588" s="271"/>
      <c r="I3588" s="720"/>
      <c r="J3588" s="813"/>
      <c r="K3588" s="131">
        <f t="shared" si="795"/>
        <v>0</v>
      </c>
      <c r="L3588" s="335">
        <f t="shared" si="798"/>
        <v>0</v>
      </c>
      <c r="M3588" s="446"/>
      <c r="N3588" s="446"/>
      <c r="O3588" s="446"/>
      <c r="P3588" s="446"/>
      <c r="Q3588" s="110">
        <f t="shared" si="790"/>
        <v>0</v>
      </c>
      <c r="R3588" s="111">
        <f t="shared" si="796"/>
        <v>0</v>
      </c>
      <c r="S3588" s="110"/>
      <c r="T3588" s="110"/>
      <c r="U3588" s="110">
        <f t="shared" si="791"/>
        <v>0</v>
      </c>
      <c r="V3588" s="111">
        <f t="shared" si="797"/>
        <v>0</v>
      </c>
      <c r="W3588" s="110"/>
      <c r="X3588" s="110"/>
      <c r="Y3588" s="110"/>
      <c r="Z3588" s="110"/>
      <c r="AA3588" s="110">
        <f t="shared" si="802"/>
        <v>0</v>
      </c>
      <c r="AB3588" s="111">
        <f t="shared" si="788"/>
        <v>0</v>
      </c>
      <c r="AC3588" s="110"/>
      <c r="AD3588" s="110"/>
      <c r="AE3588" s="110">
        <f t="shared" si="802"/>
        <v>0</v>
      </c>
      <c r="AF3588" s="111">
        <f t="shared" si="789"/>
        <v>0</v>
      </c>
      <c r="AG3588" s="110"/>
      <c r="AH3588" s="110"/>
      <c r="AI3588" s="110"/>
      <c r="AJ3588" s="110"/>
      <c r="AK3588" s="111">
        <f t="shared" si="799"/>
        <v>0</v>
      </c>
      <c r="AL3588" s="446">
        <f t="shared" si="800"/>
        <v>0</v>
      </c>
      <c r="AM3588" s="110">
        <f t="shared" si="801"/>
        <v>0</v>
      </c>
      <c r="AN3588" s="447">
        <f t="shared" si="793"/>
        <v>0</v>
      </c>
      <c r="AO3588"/>
      <c r="AP3588"/>
    </row>
    <row r="3589" spans="1:42" x14ac:dyDescent="0.25">
      <c r="A3589" s="1021">
        <v>316</v>
      </c>
      <c r="B3589" s="582" t="s">
        <v>797</v>
      </c>
      <c r="C3589" s="1021"/>
      <c r="D3589" s="932"/>
      <c r="E3589" s="343"/>
      <c r="F3589" s="344"/>
      <c r="G3589" s="344"/>
      <c r="H3589" s="344"/>
      <c r="I3589" s="737"/>
      <c r="J3589" s="811"/>
      <c r="K3589" s="131">
        <f t="shared" si="795"/>
        <v>0</v>
      </c>
      <c r="L3589" s="335">
        <f t="shared" si="798"/>
        <v>0</v>
      </c>
      <c r="M3589" s="414"/>
      <c r="N3589" s="414"/>
      <c r="O3589" s="414"/>
      <c r="P3589" s="414"/>
      <c r="Q3589" s="413">
        <f t="shared" si="790"/>
        <v>0</v>
      </c>
      <c r="R3589" s="345">
        <f t="shared" si="796"/>
        <v>0</v>
      </c>
      <c r="S3589" s="413"/>
      <c r="T3589" s="413"/>
      <c r="U3589" s="413">
        <f t="shared" si="791"/>
        <v>0</v>
      </c>
      <c r="V3589" s="345">
        <f t="shared" si="797"/>
        <v>0</v>
      </c>
      <c r="W3589" s="413"/>
      <c r="X3589" s="413"/>
      <c r="Y3589" s="413"/>
      <c r="Z3589" s="413"/>
      <c r="AA3589" s="413">
        <f t="shared" si="802"/>
        <v>0</v>
      </c>
      <c r="AB3589" s="345">
        <f t="shared" si="788"/>
        <v>0</v>
      </c>
      <c r="AC3589" s="413"/>
      <c r="AD3589" s="413"/>
      <c r="AE3589" s="413">
        <f t="shared" si="802"/>
        <v>0</v>
      </c>
      <c r="AF3589" s="345">
        <f t="shared" si="789"/>
        <v>0</v>
      </c>
      <c r="AG3589" s="413"/>
      <c r="AH3589" s="413"/>
      <c r="AI3589" s="413"/>
      <c r="AJ3589" s="413"/>
      <c r="AK3589" s="345">
        <f t="shared" si="799"/>
        <v>0</v>
      </c>
      <c r="AL3589" s="414">
        <f t="shared" si="800"/>
        <v>0</v>
      </c>
      <c r="AM3589" s="413">
        <f t="shared" si="801"/>
        <v>0</v>
      </c>
      <c r="AN3589" s="415">
        <f t="shared" si="793"/>
        <v>0</v>
      </c>
      <c r="AO3589" s="346"/>
      <c r="AP3589"/>
    </row>
    <row r="3590" spans="1:42" x14ac:dyDescent="0.25">
      <c r="A3590" s="310">
        <v>31601</v>
      </c>
      <c r="B3590" s="375" t="s">
        <v>798</v>
      </c>
      <c r="C3590" s="311"/>
      <c r="D3590" s="902"/>
      <c r="E3590" s="312"/>
      <c r="F3590" s="313"/>
      <c r="G3590" s="313"/>
      <c r="H3590" s="313"/>
      <c r="I3590" s="729"/>
      <c r="J3590" s="800"/>
      <c r="K3590" s="131">
        <f t="shared" si="795"/>
        <v>0</v>
      </c>
      <c r="L3590" s="335">
        <f t="shared" si="798"/>
        <v>0</v>
      </c>
      <c r="M3590" s="421"/>
      <c r="N3590" s="421"/>
      <c r="O3590" s="421"/>
      <c r="P3590" s="421"/>
      <c r="Q3590" s="387">
        <f t="shared" si="790"/>
        <v>0</v>
      </c>
      <c r="R3590" s="314">
        <f t="shared" si="796"/>
        <v>0</v>
      </c>
      <c r="S3590" s="387"/>
      <c r="T3590" s="387"/>
      <c r="U3590" s="387">
        <f t="shared" si="791"/>
        <v>0</v>
      </c>
      <c r="V3590" s="314">
        <f t="shared" si="797"/>
        <v>0</v>
      </c>
      <c r="W3590" s="387"/>
      <c r="X3590" s="387"/>
      <c r="Y3590" s="387"/>
      <c r="Z3590" s="387"/>
      <c r="AA3590" s="387">
        <f t="shared" si="802"/>
        <v>0</v>
      </c>
      <c r="AB3590" s="314">
        <f t="shared" si="788"/>
        <v>0</v>
      </c>
      <c r="AC3590" s="387"/>
      <c r="AD3590" s="387"/>
      <c r="AE3590" s="387">
        <f t="shared" si="802"/>
        <v>0</v>
      </c>
      <c r="AF3590" s="314">
        <f t="shared" si="789"/>
        <v>0</v>
      </c>
      <c r="AG3590" s="387"/>
      <c r="AH3590" s="387"/>
      <c r="AI3590" s="387"/>
      <c r="AJ3590" s="387"/>
      <c r="AK3590" s="314">
        <f t="shared" si="799"/>
        <v>0</v>
      </c>
      <c r="AL3590" s="421">
        <f t="shared" si="800"/>
        <v>0</v>
      </c>
      <c r="AM3590" s="387">
        <f t="shared" si="801"/>
        <v>0</v>
      </c>
      <c r="AN3590" s="422">
        <f t="shared" si="793"/>
        <v>0</v>
      </c>
      <c r="AO3590" s="188"/>
      <c r="AP3590"/>
    </row>
    <row r="3591" spans="1:42" x14ac:dyDescent="0.25">
      <c r="A3591" s="61"/>
      <c r="B3591" s="583"/>
      <c r="C3591" s="9"/>
      <c r="D3591" s="882"/>
      <c r="E3591" s="1025"/>
      <c r="F3591" s="271"/>
      <c r="G3591" s="271"/>
      <c r="H3591" s="271"/>
      <c r="I3591" s="720"/>
      <c r="J3591" s="813"/>
      <c r="K3591" s="131">
        <f t="shared" si="795"/>
        <v>0</v>
      </c>
      <c r="L3591" s="335">
        <f t="shared" si="798"/>
        <v>0</v>
      </c>
      <c r="M3591" s="446"/>
      <c r="N3591" s="446"/>
      <c r="O3591" s="446"/>
      <c r="P3591" s="446"/>
      <c r="Q3591" s="110">
        <f t="shared" si="790"/>
        <v>0</v>
      </c>
      <c r="R3591" s="111">
        <f t="shared" si="796"/>
        <v>0</v>
      </c>
      <c r="S3591" s="110"/>
      <c r="T3591" s="110"/>
      <c r="U3591" s="110">
        <f t="shared" si="791"/>
        <v>0</v>
      </c>
      <c r="V3591" s="111">
        <f t="shared" si="797"/>
        <v>0</v>
      </c>
      <c r="W3591" s="110"/>
      <c r="X3591" s="110"/>
      <c r="Y3591" s="110"/>
      <c r="Z3591" s="110"/>
      <c r="AA3591" s="110">
        <f t="shared" si="802"/>
        <v>0</v>
      </c>
      <c r="AB3591" s="111">
        <f t="shared" ref="AB3591:AB3654" si="803">+J3591/4</f>
        <v>0</v>
      </c>
      <c r="AC3591" s="110"/>
      <c r="AD3591" s="110"/>
      <c r="AE3591" s="110">
        <f t="shared" si="802"/>
        <v>0</v>
      </c>
      <c r="AF3591" s="111">
        <f t="shared" ref="AF3591:AF3654" si="804">+J3591/4</f>
        <v>0</v>
      </c>
      <c r="AG3591" s="110"/>
      <c r="AH3591" s="110"/>
      <c r="AI3591" s="110"/>
      <c r="AJ3591" s="110"/>
      <c r="AK3591" s="111">
        <f t="shared" si="799"/>
        <v>0</v>
      </c>
      <c r="AL3591" s="446">
        <f t="shared" si="800"/>
        <v>0</v>
      </c>
      <c r="AM3591" s="110">
        <f t="shared" si="801"/>
        <v>0</v>
      </c>
      <c r="AN3591" s="447">
        <f t="shared" si="793"/>
        <v>0</v>
      </c>
      <c r="AO3591"/>
      <c r="AP3591"/>
    </row>
    <row r="3592" spans="1:42" x14ac:dyDescent="0.25">
      <c r="A3592" s="310">
        <v>31602</v>
      </c>
      <c r="B3592" s="375" t="s">
        <v>799</v>
      </c>
      <c r="C3592" s="311"/>
      <c r="D3592" s="902"/>
      <c r="E3592" s="312"/>
      <c r="F3592" s="313"/>
      <c r="G3592" s="313"/>
      <c r="H3592" s="313"/>
      <c r="I3592" s="729"/>
      <c r="J3592" s="800"/>
      <c r="K3592" s="131">
        <f t="shared" si="795"/>
        <v>0</v>
      </c>
      <c r="L3592" s="335">
        <f t="shared" si="798"/>
        <v>0</v>
      </c>
      <c r="M3592" s="421"/>
      <c r="N3592" s="421"/>
      <c r="O3592" s="421"/>
      <c r="P3592" s="421"/>
      <c r="Q3592" s="387">
        <f t="shared" ref="Q3592:Q3652" si="805">+$D3592/4</f>
        <v>0</v>
      </c>
      <c r="R3592" s="314">
        <f t="shared" si="796"/>
        <v>0</v>
      </c>
      <c r="S3592" s="387"/>
      <c r="T3592" s="387"/>
      <c r="U3592" s="387">
        <f t="shared" ref="U3592:U3652" si="806">+$D3592/4</f>
        <v>0</v>
      </c>
      <c r="V3592" s="314">
        <f t="shared" si="797"/>
        <v>0</v>
      </c>
      <c r="W3592" s="387"/>
      <c r="X3592" s="387"/>
      <c r="Y3592" s="387"/>
      <c r="Z3592" s="387"/>
      <c r="AA3592" s="387">
        <f t="shared" si="802"/>
        <v>0</v>
      </c>
      <c r="AB3592" s="314">
        <f t="shared" si="803"/>
        <v>0</v>
      </c>
      <c r="AC3592" s="387"/>
      <c r="AD3592" s="387"/>
      <c r="AE3592" s="387">
        <f t="shared" si="802"/>
        <v>0</v>
      </c>
      <c r="AF3592" s="314">
        <f t="shared" si="804"/>
        <v>0</v>
      </c>
      <c r="AG3592" s="387"/>
      <c r="AH3592" s="387"/>
      <c r="AI3592" s="387"/>
      <c r="AJ3592" s="387"/>
      <c r="AK3592" s="314">
        <f t="shared" si="799"/>
        <v>0</v>
      </c>
      <c r="AL3592" s="421">
        <f t="shared" si="800"/>
        <v>0</v>
      </c>
      <c r="AM3592" s="387">
        <f t="shared" si="801"/>
        <v>0</v>
      </c>
      <c r="AN3592" s="422">
        <f t="shared" si="793"/>
        <v>0</v>
      </c>
      <c r="AO3592" s="188"/>
      <c r="AP3592"/>
    </row>
    <row r="3593" spans="1:42" x14ac:dyDescent="0.25">
      <c r="A3593" s="61"/>
      <c r="B3593" s="583"/>
      <c r="C3593" s="9"/>
      <c r="D3593" s="882"/>
      <c r="E3593" s="1025"/>
      <c r="F3593" s="271"/>
      <c r="G3593" s="271"/>
      <c r="H3593" s="271"/>
      <c r="I3593" s="720"/>
      <c r="J3593" s="813"/>
      <c r="K3593" s="131">
        <f t="shared" si="795"/>
        <v>0</v>
      </c>
      <c r="L3593" s="335">
        <f t="shared" si="798"/>
        <v>0</v>
      </c>
      <c r="M3593" s="446"/>
      <c r="N3593" s="446"/>
      <c r="O3593" s="446"/>
      <c r="P3593" s="446"/>
      <c r="Q3593" s="110">
        <f t="shared" si="805"/>
        <v>0</v>
      </c>
      <c r="R3593" s="111">
        <f t="shared" si="796"/>
        <v>0</v>
      </c>
      <c r="S3593" s="110"/>
      <c r="T3593" s="110"/>
      <c r="U3593" s="110">
        <f t="shared" si="806"/>
        <v>0</v>
      </c>
      <c r="V3593" s="111">
        <f t="shared" si="797"/>
        <v>0</v>
      </c>
      <c r="W3593" s="110"/>
      <c r="X3593" s="110"/>
      <c r="Y3593" s="110"/>
      <c r="Z3593" s="110"/>
      <c r="AA3593" s="110">
        <f t="shared" si="802"/>
        <v>0</v>
      </c>
      <c r="AB3593" s="111">
        <f t="shared" si="803"/>
        <v>0</v>
      </c>
      <c r="AC3593" s="110"/>
      <c r="AD3593" s="110"/>
      <c r="AE3593" s="110">
        <f t="shared" si="802"/>
        <v>0</v>
      </c>
      <c r="AF3593" s="111">
        <f t="shared" si="804"/>
        <v>0</v>
      </c>
      <c r="AG3593" s="110"/>
      <c r="AH3593" s="110"/>
      <c r="AI3593" s="110"/>
      <c r="AJ3593" s="110"/>
      <c r="AK3593" s="111">
        <f t="shared" si="799"/>
        <v>0</v>
      </c>
      <c r="AL3593" s="446">
        <f t="shared" si="800"/>
        <v>0</v>
      </c>
      <c r="AM3593" s="110">
        <f t="shared" si="801"/>
        <v>0</v>
      </c>
      <c r="AN3593" s="447">
        <f t="shared" si="793"/>
        <v>0</v>
      </c>
      <c r="AO3593"/>
      <c r="AP3593"/>
    </row>
    <row r="3594" spans="1:42" ht="22.5" x14ac:dyDescent="0.25">
      <c r="A3594" s="1021">
        <v>317</v>
      </c>
      <c r="B3594" s="582" t="s">
        <v>800</v>
      </c>
      <c r="C3594" s="1021"/>
      <c r="D3594" s="932"/>
      <c r="E3594" s="343"/>
      <c r="F3594" s="344"/>
      <c r="G3594" s="344"/>
      <c r="H3594" s="344"/>
      <c r="I3594" s="737"/>
      <c r="J3594" s="811"/>
      <c r="K3594" s="131">
        <f t="shared" si="795"/>
        <v>0</v>
      </c>
      <c r="L3594" s="335">
        <f t="shared" si="798"/>
        <v>0</v>
      </c>
      <c r="M3594" s="414"/>
      <c r="N3594" s="414"/>
      <c r="O3594" s="414"/>
      <c r="P3594" s="414"/>
      <c r="Q3594" s="413">
        <f t="shared" si="805"/>
        <v>0</v>
      </c>
      <c r="R3594" s="345">
        <f t="shared" si="796"/>
        <v>0</v>
      </c>
      <c r="S3594" s="413"/>
      <c r="T3594" s="413"/>
      <c r="U3594" s="413">
        <f t="shared" si="806"/>
        <v>0</v>
      </c>
      <c r="V3594" s="345">
        <f t="shared" si="797"/>
        <v>0</v>
      </c>
      <c r="W3594" s="413"/>
      <c r="X3594" s="413"/>
      <c r="Y3594" s="413"/>
      <c r="Z3594" s="413"/>
      <c r="AA3594" s="413">
        <f t="shared" si="802"/>
        <v>0</v>
      </c>
      <c r="AB3594" s="345">
        <f t="shared" si="803"/>
        <v>0</v>
      </c>
      <c r="AC3594" s="413"/>
      <c r="AD3594" s="413"/>
      <c r="AE3594" s="413">
        <f t="shared" si="802"/>
        <v>0</v>
      </c>
      <c r="AF3594" s="345">
        <f t="shared" si="804"/>
        <v>0</v>
      </c>
      <c r="AG3594" s="413"/>
      <c r="AH3594" s="413"/>
      <c r="AI3594" s="413"/>
      <c r="AJ3594" s="413"/>
      <c r="AK3594" s="345">
        <f t="shared" si="799"/>
        <v>0</v>
      </c>
      <c r="AL3594" s="414">
        <f t="shared" si="800"/>
        <v>0</v>
      </c>
      <c r="AM3594" s="413">
        <f t="shared" si="801"/>
        <v>0</v>
      </c>
      <c r="AN3594" s="415">
        <f t="shared" si="793"/>
        <v>0</v>
      </c>
      <c r="AO3594" s="346"/>
      <c r="AP3594"/>
    </row>
    <row r="3595" spans="1:42" ht="22.5" x14ac:dyDescent="0.25">
      <c r="A3595" s="310">
        <v>31701</v>
      </c>
      <c r="B3595" s="375" t="s">
        <v>800</v>
      </c>
      <c r="C3595" s="311"/>
      <c r="D3595" s="902"/>
      <c r="E3595" s="312"/>
      <c r="F3595" s="313"/>
      <c r="G3595" s="313"/>
      <c r="H3595" s="313"/>
      <c r="I3595" s="729"/>
      <c r="J3595" s="800"/>
      <c r="K3595" s="131">
        <f t="shared" si="795"/>
        <v>0</v>
      </c>
      <c r="L3595" s="335">
        <f t="shared" si="798"/>
        <v>0</v>
      </c>
      <c r="M3595" s="421"/>
      <c r="N3595" s="421"/>
      <c r="O3595" s="421"/>
      <c r="P3595" s="421"/>
      <c r="Q3595" s="387">
        <f t="shared" si="805"/>
        <v>0</v>
      </c>
      <c r="R3595" s="314">
        <f t="shared" si="796"/>
        <v>0</v>
      </c>
      <c r="S3595" s="387"/>
      <c r="T3595" s="387"/>
      <c r="U3595" s="387">
        <f t="shared" si="806"/>
        <v>0</v>
      </c>
      <c r="V3595" s="314">
        <f t="shared" si="797"/>
        <v>0</v>
      </c>
      <c r="W3595" s="387"/>
      <c r="X3595" s="387"/>
      <c r="Y3595" s="387"/>
      <c r="Z3595" s="387"/>
      <c r="AA3595" s="387">
        <f t="shared" si="802"/>
        <v>0</v>
      </c>
      <c r="AB3595" s="314">
        <f t="shared" si="803"/>
        <v>0</v>
      </c>
      <c r="AC3595" s="387"/>
      <c r="AD3595" s="387"/>
      <c r="AE3595" s="387">
        <f t="shared" si="802"/>
        <v>0</v>
      </c>
      <c r="AF3595" s="314">
        <f t="shared" si="804"/>
        <v>0</v>
      </c>
      <c r="AG3595" s="387"/>
      <c r="AH3595" s="387"/>
      <c r="AI3595" s="387"/>
      <c r="AJ3595" s="387"/>
      <c r="AK3595" s="314">
        <f t="shared" si="799"/>
        <v>0</v>
      </c>
      <c r="AL3595" s="421">
        <f t="shared" si="800"/>
        <v>0</v>
      </c>
      <c r="AM3595" s="387">
        <f t="shared" si="801"/>
        <v>0</v>
      </c>
      <c r="AN3595" s="422">
        <f t="shared" si="793"/>
        <v>0</v>
      </c>
      <c r="AO3595" s="439">
        <f>SUM(J3596:J3597)</f>
        <v>352416</v>
      </c>
      <c r="AP3595" s="111"/>
    </row>
    <row r="3596" spans="1:42" ht="66" x14ac:dyDescent="0.25">
      <c r="A3596" s="9"/>
      <c r="B3596" s="59" t="s">
        <v>1100</v>
      </c>
      <c r="C3596" s="1024"/>
      <c r="D3596" s="869">
        <f>13</f>
        <v>13</v>
      </c>
      <c r="E3596" s="1027" t="s">
        <v>1755</v>
      </c>
      <c r="F3596" s="271" t="s">
        <v>3446</v>
      </c>
      <c r="G3596" s="1040" t="s">
        <v>3463</v>
      </c>
      <c r="H3596" s="273" t="s">
        <v>3462</v>
      </c>
      <c r="I3596" s="720">
        <f>+J3596/D3596</f>
        <v>6600</v>
      </c>
      <c r="J3596" s="756">
        <f>85800</f>
        <v>85800</v>
      </c>
      <c r="K3596" s="131">
        <f t="shared" si="795"/>
        <v>85800</v>
      </c>
      <c r="L3596" s="335">
        <f t="shared" si="798"/>
        <v>0</v>
      </c>
      <c r="M3596" s="446"/>
      <c r="N3596" s="446"/>
      <c r="O3596" s="446"/>
      <c r="P3596" s="446"/>
      <c r="Q3596" s="110">
        <v>4</v>
      </c>
      <c r="R3596" s="111">
        <f t="shared" si="796"/>
        <v>21450</v>
      </c>
      <c r="S3596" s="110"/>
      <c r="T3596" s="110"/>
      <c r="U3596" s="110">
        <v>3</v>
      </c>
      <c r="V3596" s="111">
        <f t="shared" si="797"/>
        <v>21450</v>
      </c>
      <c r="W3596" s="110"/>
      <c r="X3596" s="110"/>
      <c r="Y3596" s="110"/>
      <c r="Z3596" s="110"/>
      <c r="AA3596" s="110">
        <v>3</v>
      </c>
      <c r="AB3596" s="111">
        <f t="shared" si="803"/>
        <v>21450</v>
      </c>
      <c r="AC3596" s="110"/>
      <c r="AD3596" s="110"/>
      <c r="AE3596" s="110">
        <v>3</v>
      </c>
      <c r="AF3596" s="111">
        <f t="shared" si="804"/>
        <v>21450</v>
      </c>
      <c r="AG3596" s="110"/>
      <c r="AH3596" s="110"/>
      <c r="AI3596" s="110"/>
      <c r="AJ3596" s="110"/>
      <c r="AK3596" s="111">
        <f t="shared" si="799"/>
        <v>85800</v>
      </c>
      <c r="AL3596" s="446">
        <f t="shared" si="800"/>
        <v>0</v>
      </c>
      <c r="AM3596" s="110">
        <f t="shared" si="801"/>
        <v>13</v>
      </c>
      <c r="AN3596" s="447">
        <f t="shared" si="793"/>
        <v>0</v>
      </c>
      <c r="AO3596"/>
      <c r="AP3596"/>
    </row>
    <row r="3597" spans="1:42" ht="66" x14ac:dyDescent="0.25">
      <c r="A3597" s="9"/>
      <c r="B3597" s="482" t="s">
        <v>1354</v>
      </c>
      <c r="C3597" s="1024"/>
      <c r="D3597" s="869">
        <f>12+11+3+10+8</f>
        <v>44</v>
      </c>
      <c r="E3597" s="1027" t="s">
        <v>1755</v>
      </c>
      <c r="F3597" s="273" t="s">
        <v>3446</v>
      </c>
      <c r="G3597" s="1040" t="s">
        <v>3463</v>
      </c>
      <c r="H3597" s="273" t="s">
        <v>3462</v>
      </c>
      <c r="I3597" s="720">
        <f>+J3597/D3597</f>
        <v>6059.454545454545</v>
      </c>
      <c r="J3597" s="756">
        <f>236640+7656+3900+4500+13920</f>
        <v>266616</v>
      </c>
      <c r="K3597" s="131">
        <f t="shared" si="795"/>
        <v>266616</v>
      </c>
      <c r="L3597" s="335">
        <f t="shared" si="798"/>
        <v>0</v>
      </c>
      <c r="M3597" s="446"/>
      <c r="N3597" s="446"/>
      <c r="O3597" s="446"/>
      <c r="P3597" s="446"/>
      <c r="Q3597" s="110">
        <f t="shared" si="805"/>
        <v>11</v>
      </c>
      <c r="R3597" s="111">
        <f t="shared" si="796"/>
        <v>66654</v>
      </c>
      <c r="S3597" s="110"/>
      <c r="T3597" s="110"/>
      <c r="U3597" s="110">
        <f t="shared" si="806"/>
        <v>11</v>
      </c>
      <c r="V3597" s="111">
        <f t="shared" si="797"/>
        <v>66654</v>
      </c>
      <c r="W3597" s="110"/>
      <c r="X3597" s="110"/>
      <c r="Y3597" s="110"/>
      <c r="Z3597" s="110"/>
      <c r="AA3597" s="110">
        <f t="shared" si="802"/>
        <v>11</v>
      </c>
      <c r="AB3597" s="111">
        <f t="shared" si="803"/>
        <v>66654</v>
      </c>
      <c r="AC3597" s="110"/>
      <c r="AD3597" s="110"/>
      <c r="AE3597" s="110">
        <f t="shared" si="802"/>
        <v>11</v>
      </c>
      <c r="AF3597" s="111">
        <f t="shared" si="804"/>
        <v>66654</v>
      </c>
      <c r="AG3597" s="110"/>
      <c r="AH3597" s="110"/>
      <c r="AI3597" s="110"/>
      <c r="AJ3597" s="110"/>
      <c r="AK3597" s="111">
        <f t="shared" si="799"/>
        <v>266616</v>
      </c>
      <c r="AL3597" s="446">
        <f t="shared" si="800"/>
        <v>0</v>
      </c>
      <c r="AM3597" s="110">
        <f t="shared" si="801"/>
        <v>44</v>
      </c>
      <c r="AN3597" s="447">
        <f t="shared" si="793"/>
        <v>0</v>
      </c>
      <c r="AO3597"/>
      <c r="AP3597"/>
    </row>
    <row r="3598" spans="1:42" x14ac:dyDescent="0.25">
      <c r="A3598" s="1021">
        <v>318</v>
      </c>
      <c r="B3598" s="582" t="s">
        <v>801</v>
      </c>
      <c r="C3598" s="1021"/>
      <c r="D3598" s="932"/>
      <c r="E3598" s="343"/>
      <c r="F3598" s="344"/>
      <c r="G3598" s="344"/>
      <c r="H3598" s="344"/>
      <c r="I3598" s="737"/>
      <c r="J3598" s="811"/>
      <c r="K3598" s="131">
        <f t="shared" si="795"/>
        <v>0</v>
      </c>
      <c r="L3598" s="335">
        <f t="shared" si="798"/>
        <v>0</v>
      </c>
      <c r="M3598" s="414"/>
      <c r="N3598" s="414"/>
      <c r="O3598" s="414"/>
      <c r="P3598" s="414"/>
      <c r="Q3598" s="413">
        <f t="shared" si="805"/>
        <v>0</v>
      </c>
      <c r="R3598" s="345">
        <f t="shared" si="796"/>
        <v>0</v>
      </c>
      <c r="S3598" s="413"/>
      <c r="T3598" s="413"/>
      <c r="U3598" s="413">
        <f t="shared" si="806"/>
        <v>0</v>
      </c>
      <c r="V3598" s="345">
        <f t="shared" si="797"/>
        <v>0</v>
      </c>
      <c r="W3598" s="413"/>
      <c r="X3598" s="413"/>
      <c r="Y3598" s="413"/>
      <c r="Z3598" s="413"/>
      <c r="AA3598" s="413">
        <f t="shared" si="802"/>
        <v>0</v>
      </c>
      <c r="AB3598" s="345">
        <f t="shared" si="803"/>
        <v>0</v>
      </c>
      <c r="AC3598" s="413"/>
      <c r="AD3598" s="413"/>
      <c r="AE3598" s="413">
        <f t="shared" si="802"/>
        <v>0</v>
      </c>
      <c r="AF3598" s="345">
        <f t="shared" si="804"/>
        <v>0</v>
      </c>
      <c r="AG3598" s="413"/>
      <c r="AH3598" s="413"/>
      <c r="AI3598" s="413"/>
      <c r="AJ3598" s="413"/>
      <c r="AK3598" s="345">
        <f t="shared" si="799"/>
        <v>0</v>
      </c>
      <c r="AL3598" s="414">
        <f t="shared" si="800"/>
        <v>0</v>
      </c>
      <c r="AM3598" s="413">
        <f t="shared" si="801"/>
        <v>0</v>
      </c>
      <c r="AN3598" s="415">
        <f t="shared" si="793"/>
        <v>0</v>
      </c>
      <c r="AO3598" s="346"/>
      <c r="AP3598"/>
    </row>
    <row r="3599" spans="1:42" x14ac:dyDescent="0.25">
      <c r="A3599" s="310">
        <v>31801</v>
      </c>
      <c r="B3599" s="375" t="s">
        <v>802</v>
      </c>
      <c r="C3599" s="311"/>
      <c r="D3599" s="902"/>
      <c r="E3599" s="312"/>
      <c r="F3599" s="313"/>
      <c r="G3599" s="313"/>
      <c r="H3599" s="313"/>
      <c r="I3599" s="729"/>
      <c r="J3599" s="800"/>
      <c r="K3599" s="131">
        <f t="shared" si="795"/>
        <v>0</v>
      </c>
      <c r="L3599" s="335">
        <f t="shared" si="798"/>
        <v>0</v>
      </c>
      <c r="M3599" s="421"/>
      <c r="N3599" s="421"/>
      <c r="O3599" s="421"/>
      <c r="P3599" s="421"/>
      <c r="Q3599" s="387">
        <f t="shared" si="805"/>
        <v>0</v>
      </c>
      <c r="R3599" s="314">
        <f t="shared" si="796"/>
        <v>0</v>
      </c>
      <c r="S3599" s="387"/>
      <c r="T3599" s="387"/>
      <c r="U3599" s="387">
        <f t="shared" si="806"/>
        <v>0</v>
      </c>
      <c r="V3599" s="314">
        <f t="shared" si="797"/>
        <v>0</v>
      </c>
      <c r="W3599" s="387"/>
      <c r="X3599" s="387"/>
      <c r="Y3599" s="387"/>
      <c r="Z3599" s="387"/>
      <c r="AA3599" s="387">
        <f t="shared" si="802"/>
        <v>0</v>
      </c>
      <c r="AB3599" s="314">
        <f t="shared" si="803"/>
        <v>0</v>
      </c>
      <c r="AC3599" s="387"/>
      <c r="AD3599" s="387"/>
      <c r="AE3599" s="387">
        <f t="shared" si="802"/>
        <v>0</v>
      </c>
      <c r="AF3599" s="314">
        <f t="shared" si="804"/>
        <v>0</v>
      </c>
      <c r="AG3599" s="387"/>
      <c r="AH3599" s="387"/>
      <c r="AI3599" s="387"/>
      <c r="AJ3599" s="387"/>
      <c r="AK3599" s="314">
        <f t="shared" si="799"/>
        <v>0</v>
      </c>
      <c r="AL3599" s="421">
        <f t="shared" si="800"/>
        <v>0</v>
      </c>
      <c r="AM3599" s="387">
        <f t="shared" si="801"/>
        <v>0</v>
      </c>
      <c r="AN3599" s="422">
        <f t="shared" si="793"/>
        <v>0</v>
      </c>
      <c r="AO3599" s="439">
        <f>SUM(J3600:J3601)</f>
        <v>123136.70999999999</v>
      </c>
      <c r="AP3599" s="111"/>
    </row>
    <row r="3600" spans="1:42" ht="66" x14ac:dyDescent="0.25">
      <c r="A3600" s="9"/>
      <c r="B3600" s="46" t="s">
        <v>803</v>
      </c>
      <c r="C3600" s="1024"/>
      <c r="D3600" s="869">
        <f>69+1+3+31+6+48+3</f>
        <v>161</v>
      </c>
      <c r="E3600" s="1027" t="s">
        <v>1755</v>
      </c>
      <c r="F3600" s="271" t="s">
        <v>3446</v>
      </c>
      <c r="G3600" s="1040" t="s">
        <v>3463</v>
      </c>
      <c r="H3600" s="273" t="s">
        <v>3462</v>
      </c>
      <c r="I3600" s="720">
        <f>+J3600/D3600</f>
        <v>759.42055900621108</v>
      </c>
      <c r="J3600" s="763">
        <f>35044+1044+1566+16740+1800+21600+1500+42972.71</f>
        <v>122266.70999999999</v>
      </c>
      <c r="K3600" s="131">
        <f t="shared" si="795"/>
        <v>122266.70999999998</v>
      </c>
      <c r="L3600" s="335">
        <f t="shared" si="798"/>
        <v>0</v>
      </c>
      <c r="M3600" s="446"/>
      <c r="N3600" s="446"/>
      <c r="O3600" s="446"/>
      <c r="P3600" s="446"/>
      <c r="Q3600" s="110">
        <v>41</v>
      </c>
      <c r="R3600" s="111">
        <f t="shared" si="796"/>
        <v>30566.677499999998</v>
      </c>
      <c r="S3600" s="110"/>
      <c r="T3600" s="110"/>
      <c r="U3600" s="110">
        <v>41</v>
      </c>
      <c r="V3600" s="111">
        <f t="shared" si="797"/>
        <v>30566.677499999998</v>
      </c>
      <c r="W3600" s="110"/>
      <c r="X3600" s="110"/>
      <c r="Y3600" s="110"/>
      <c r="Z3600" s="110"/>
      <c r="AA3600" s="110">
        <v>41</v>
      </c>
      <c r="AB3600" s="111">
        <f t="shared" si="803"/>
        <v>30566.677499999998</v>
      </c>
      <c r="AC3600" s="110"/>
      <c r="AD3600" s="110"/>
      <c r="AE3600" s="110">
        <v>38</v>
      </c>
      <c r="AF3600" s="111">
        <f t="shared" si="804"/>
        <v>30566.677499999998</v>
      </c>
      <c r="AG3600" s="110"/>
      <c r="AH3600" s="110"/>
      <c r="AI3600" s="110"/>
      <c r="AJ3600" s="110"/>
      <c r="AK3600" s="111">
        <f t="shared" si="799"/>
        <v>122266.70999999999</v>
      </c>
      <c r="AL3600" s="446">
        <f t="shared" si="800"/>
        <v>0</v>
      </c>
      <c r="AM3600" s="110">
        <f t="shared" si="801"/>
        <v>161</v>
      </c>
      <c r="AN3600" s="447">
        <f t="shared" si="793"/>
        <v>0</v>
      </c>
      <c r="AO3600"/>
      <c r="AP3600"/>
    </row>
    <row r="3601" spans="1:42" ht="66" x14ac:dyDescent="0.25">
      <c r="A3601" s="60"/>
      <c r="B3601" s="46" t="s">
        <v>3335</v>
      </c>
      <c r="C3601" s="9"/>
      <c r="D3601" s="869">
        <v>150</v>
      </c>
      <c r="E3601" s="1027" t="s">
        <v>3336</v>
      </c>
      <c r="F3601" s="273" t="s">
        <v>3446</v>
      </c>
      <c r="G3601" s="1040" t="s">
        <v>3463</v>
      </c>
      <c r="H3601" s="273" t="s">
        <v>3462</v>
      </c>
      <c r="I3601" s="720">
        <f>+J3601/D3601</f>
        <v>5.8</v>
      </c>
      <c r="J3601" s="763">
        <v>870</v>
      </c>
      <c r="K3601" s="131">
        <f t="shared" si="795"/>
        <v>870</v>
      </c>
      <c r="L3601" s="335">
        <f t="shared" si="798"/>
        <v>0</v>
      </c>
      <c r="M3601" s="446"/>
      <c r="N3601" s="446"/>
      <c r="O3601" s="446"/>
      <c r="P3601" s="446"/>
      <c r="Q3601" s="110">
        <v>50</v>
      </c>
      <c r="R3601" s="111">
        <f t="shared" si="796"/>
        <v>217.5</v>
      </c>
      <c r="S3601" s="110"/>
      <c r="T3601" s="110"/>
      <c r="U3601" s="110">
        <v>50</v>
      </c>
      <c r="V3601" s="111">
        <f t="shared" si="797"/>
        <v>217.5</v>
      </c>
      <c r="W3601" s="110"/>
      <c r="X3601" s="110"/>
      <c r="Y3601" s="110"/>
      <c r="Z3601" s="110"/>
      <c r="AA3601" s="110">
        <v>50</v>
      </c>
      <c r="AB3601" s="111">
        <f t="shared" si="803"/>
        <v>217.5</v>
      </c>
      <c r="AC3601" s="110"/>
      <c r="AD3601" s="110"/>
      <c r="AE3601" s="110">
        <v>0</v>
      </c>
      <c r="AF3601" s="111">
        <f t="shared" si="804"/>
        <v>217.5</v>
      </c>
      <c r="AG3601" s="110"/>
      <c r="AH3601" s="110"/>
      <c r="AI3601" s="110"/>
      <c r="AJ3601" s="110"/>
      <c r="AK3601" s="111">
        <f t="shared" si="799"/>
        <v>870</v>
      </c>
      <c r="AL3601" s="446">
        <f t="shared" si="800"/>
        <v>0</v>
      </c>
      <c r="AM3601" s="110">
        <f t="shared" si="801"/>
        <v>150</v>
      </c>
      <c r="AN3601" s="447">
        <f t="shared" si="793"/>
        <v>0</v>
      </c>
      <c r="AO3601"/>
      <c r="AP3601"/>
    </row>
    <row r="3602" spans="1:42" x14ac:dyDescent="0.25">
      <c r="A3602" s="310">
        <v>31802</v>
      </c>
      <c r="B3602" s="375" t="s">
        <v>804</v>
      </c>
      <c r="C3602" s="311"/>
      <c r="D3602" s="902"/>
      <c r="E3602" s="312"/>
      <c r="F3602" s="313"/>
      <c r="G3602" s="313"/>
      <c r="H3602" s="313"/>
      <c r="I3602" s="729"/>
      <c r="J3602" s="800"/>
      <c r="K3602" s="131">
        <f t="shared" si="795"/>
        <v>0</v>
      </c>
      <c r="L3602" s="335">
        <f t="shared" si="798"/>
        <v>0</v>
      </c>
      <c r="M3602" s="421"/>
      <c r="N3602" s="421"/>
      <c r="O3602" s="421"/>
      <c r="P3602" s="421"/>
      <c r="Q3602" s="387">
        <f t="shared" si="805"/>
        <v>0</v>
      </c>
      <c r="R3602" s="314">
        <f t="shared" si="796"/>
        <v>0</v>
      </c>
      <c r="S3602" s="387"/>
      <c r="T3602" s="387"/>
      <c r="U3602" s="387">
        <f t="shared" si="806"/>
        <v>0</v>
      </c>
      <c r="V3602" s="314">
        <f t="shared" si="797"/>
        <v>0</v>
      </c>
      <c r="W3602" s="387"/>
      <c r="X3602" s="387"/>
      <c r="Y3602" s="387"/>
      <c r="Z3602" s="387"/>
      <c r="AA3602" s="387">
        <f t="shared" si="802"/>
        <v>0</v>
      </c>
      <c r="AB3602" s="314">
        <f t="shared" si="803"/>
        <v>0</v>
      </c>
      <c r="AC3602" s="387"/>
      <c r="AD3602" s="387"/>
      <c r="AE3602" s="387">
        <f t="shared" si="802"/>
        <v>0</v>
      </c>
      <c r="AF3602" s="314">
        <f t="shared" si="804"/>
        <v>0</v>
      </c>
      <c r="AG3602" s="387"/>
      <c r="AH3602" s="387"/>
      <c r="AI3602" s="387"/>
      <c r="AJ3602" s="387"/>
      <c r="AK3602" s="314">
        <f t="shared" si="799"/>
        <v>0</v>
      </c>
      <c r="AL3602" s="421">
        <f t="shared" si="800"/>
        <v>0</v>
      </c>
      <c r="AM3602" s="387">
        <f t="shared" si="801"/>
        <v>0</v>
      </c>
      <c r="AN3602" s="422">
        <f t="shared" si="793"/>
        <v>0</v>
      </c>
      <c r="AO3602" s="188"/>
      <c r="AP3602"/>
    </row>
    <row r="3603" spans="1:42" x14ac:dyDescent="0.25">
      <c r="A3603" s="61"/>
      <c r="B3603" s="583"/>
      <c r="C3603" s="9"/>
      <c r="D3603" s="929"/>
      <c r="E3603" s="211"/>
      <c r="F3603" s="284"/>
      <c r="G3603" s="284"/>
      <c r="H3603" s="284"/>
      <c r="I3603" s="720"/>
      <c r="J3603" s="809"/>
      <c r="K3603" s="131">
        <f t="shared" si="795"/>
        <v>0</v>
      </c>
      <c r="L3603" s="335">
        <f t="shared" si="798"/>
        <v>0</v>
      </c>
      <c r="M3603" s="446"/>
      <c r="N3603" s="446"/>
      <c r="O3603" s="446"/>
      <c r="P3603" s="446"/>
      <c r="Q3603" s="110">
        <f t="shared" si="805"/>
        <v>0</v>
      </c>
      <c r="R3603" s="111">
        <f t="shared" si="796"/>
        <v>0</v>
      </c>
      <c r="S3603" s="110"/>
      <c r="T3603" s="110"/>
      <c r="U3603" s="110">
        <f t="shared" si="806"/>
        <v>0</v>
      </c>
      <c r="V3603" s="111">
        <f t="shared" si="797"/>
        <v>0</v>
      </c>
      <c r="W3603" s="110"/>
      <c r="X3603" s="110"/>
      <c r="Y3603" s="110"/>
      <c r="Z3603" s="110"/>
      <c r="AA3603" s="110">
        <f t="shared" si="802"/>
        <v>0</v>
      </c>
      <c r="AB3603" s="111">
        <f t="shared" si="803"/>
        <v>0</v>
      </c>
      <c r="AC3603" s="110"/>
      <c r="AD3603" s="110"/>
      <c r="AE3603" s="110">
        <f t="shared" si="802"/>
        <v>0</v>
      </c>
      <c r="AF3603" s="111">
        <f t="shared" si="804"/>
        <v>0</v>
      </c>
      <c r="AG3603" s="110"/>
      <c r="AH3603" s="110"/>
      <c r="AI3603" s="110"/>
      <c r="AJ3603" s="110"/>
      <c r="AK3603" s="111">
        <f t="shared" si="799"/>
        <v>0</v>
      </c>
      <c r="AL3603" s="446">
        <f t="shared" si="800"/>
        <v>0</v>
      </c>
      <c r="AM3603" s="110">
        <f t="shared" si="801"/>
        <v>0</v>
      </c>
      <c r="AN3603" s="447">
        <f t="shared" si="793"/>
        <v>0</v>
      </c>
      <c r="AO3603"/>
      <c r="AP3603"/>
    </row>
    <row r="3604" spans="1:42" x14ac:dyDescent="0.25">
      <c r="A3604" s="1021">
        <v>319</v>
      </c>
      <c r="B3604" s="582" t="s">
        <v>805</v>
      </c>
      <c r="C3604" s="1021"/>
      <c r="D3604" s="932"/>
      <c r="E3604" s="343"/>
      <c r="F3604" s="344"/>
      <c r="G3604" s="344"/>
      <c r="H3604" s="344"/>
      <c r="I3604" s="737"/>
      <c r="J3604" s="811"/>
      <c r="K3604" s="131">
        <f t="shared" si="795"/>
        <v>0</v>
      </c>
      <c r="L3604" s="335">
        <f t="shared" si="798"/>
        <v>0</v>
      </c>
      <c r="M3604" s="414"/>
      <c r="N3604" s="414"/>
      <c r="O3604" s="414"/>
      <c r="P3604" s="414"/>
      <c r="Q3604" s="413">
        <f t="shared" si="805"/>
        <v>0</v>
      </c>
      <c r="R3604" s="345">
        <f t="shared" si="796"/>
        <v>0</v>
      </c>
      <c r="S3604" s="413"/>
      <c r="T3604" s="413"/>
      <c r="U3604" s="413">
        <f t="shared" si="806"/>
        <v>0</v>
      </c>
      <c r="V3604" s="345">
        <f t="shared" si="797"/>
        <v>0</v>
      </c>
      <c r="W3604" s="413"/>
      <c r="X3604" s="413"/>
      <c r="Y3604" s="413"/>
      <c r="Z3604" s="413"/>
      <c r="AA3604" s="413">
        <f t="shared" si="802"/>
        <v>0</v>
      </c>
      <c r="AB3604" s="345">
        <f t="shared" si="803"/>
        <v>0</v>
      </c>
      <c r="AC3604" s="413"/>
      <c r="AD3604" s="413"/>
      <c r="AE3604" s="413">
        <f t="shared" si="802"/>
        <v>0</v>
      </c>
      <c r="AF3604" s="345">
        <f t="shared" si="804"/>
        <v>0</v>
      </c>
      <c r="AG3604" s="413"/>
      <c r="AH3604" s="413"/>
      <c r="AI3604" s="413"/>
      <c r="AJ3604" s="413"/>
      <c r="AK3604" s="345">
        <f t="shared" si="799"/>
        <v>0</v>
      </c>
      <c r="AL3604" s="414">
        <f t="shared" si="800"/>
        <v>0</v>
      </c>
      <c r="AM3604" s="413">
        <f t="shared" si="801"/>
        <v>0</v>
      </c>
      <c r="AN3604" s="415">
        <f t="shared" si="793"/>
        <v>0</v>
      </c>
      <c r="AO3604" s="108"/>
      <c r="AP3604"/>
    </row>
    <row r="3605" spans="1:42" x14ac:dyDescent="0.25">
      <c r="A3605" s="310">
        <v>31901</v>
      </c>
      <c r="B3605" s="375" t="s">
        <v>806</v>
      </c>
      <c r="C3605" s="311"/>
      <c r="D3605" s="902"/>
      <c r="E3605" s="312"/>
      <c r="F3605" s="313"/>
      <c r="G3605" s="313"/>
      <c r="H3605" s="313"/>
      <c r="I3605" s="729"/>
      <c r="J3605" s="800"/>
      <c r="K3605" s="131">
        <f t="shared" si="795"/>
        <v>0</v>
      </c>
      <c r="L3605" s="335">
        <f t="shared" si="798"/>
        <v>0</v>
      </c>
      <c r="M3605" s="421"/>
      <c r="N3605" s="421"/>
      <c r="O3605" s="421"/>
      <c r="P3605" s="421"/>
      <c r="Q3605" s="387">
        <f t="shared" si="805"/>
        <v>0</v>
      </c>
      <c r="R3605" s="314">
        <f t="shared" si="796"/>
        <v>0</v>
      </c>
      <c r="S3605" s="387"/>
      <c r="T3605" s="387"/>
      <c r="U3605" s="387">
        <f t="shared" si="806"/>
        <v>0</v>
      </c>
      <c r="V3605" s="314">
        <f t="shared" si="797"/>
        <v>0</v>
      </c>
      <c r="W3605" s="387"/>
      <c r="X3605" s="387"/>
      <c r="Y3605" s="387"/>
      <c r="Z3605" s="387"/>
      <c r="AA3605" s="387">
        <f t="shared" si="802"/>
        <v>0</v>
      </c>
      <c r="AB3605" s="314">
        <f t="shared" si="803"/>
        <v>0</v>
      </c>
      <c r="AC3605" s="387"/>
      <c r="AD3605" s="387"/>
      <c r="AE3605" s="387">
        <f t="shared" si="802"/>
        <v>0</v>
      </c>
      <c r="AF3605" s="314">
        <f t="shared" si="804"/>
        <v>0</v>
      </c>
      <c r="AG3605" s="387"/>
      <c r="AH3605" s="387"/>
      <c r="AI3605" s="387"/>
      <c r="AJ3605" s="387"/>
      <c r="AK3605" s="314">
        <f t="shared" si="799"/>
        <v>0</v>
      </c>
      <c r="AL3605" s="421">
        <f t="shared" si="800"/>
        <v>0</v>
      </c>
      <c r="AM3605" s="387">
        <f t="shared" si="801"/>
        <v>0</v>
      </c>
      <c r="AN3605" s="422">
        <f t="shared" si="793"/>
        <v>0</v>
      </c>
      <c r="AO3605" s="188"/>
      <c r="AP3605"/>
    </row>
    <row r="3606" spans="1:42" x14ac:dyDescent="0.25">
      <c r="A3606" s="61"/>
      <c r="B3606" s="583"/>
      <c r="C3606" s="9"/>
      <c r="D3606" s="882"/>
      <c r="E3606" s="1025"/>
      <c r="F3606" s="271"/>
      <c r="G3606" s="271"/>
      <c r="H3606" s="271"/>
      <c r="I3606" s="720"/>
      <c r="J3606" s="813"/>
      <c r="K3606" s="131">
        <f t="shared" si="795"/>
        <v>0</v>
      </c>
      <c r="L3606" s="335">
        <f t="shared" si="798"/>
        <v>0</v>
      </c>
      <c r="M3606" s="446"/>
      <c r="N3606" s="446"/>
      <c r="O3606" s="446"/>
      <c r="P3606" s="446"/>
      <c r="Q3606" s="110">
        <f t="shared" si="805"/>
        <v>0</v>
      </c>
      <c r="R3606" s="111">
        <f t="shared" si="796"/>
        <v>0</v>
      </c>
      <c r="S3606" s="110"/>
      <c r="T3606" s="110"/>
      <c r="U3606" s="110">
        <f t="shared" si="806"/>
        <v>0</v>
      </c>
      <c r="V3606" s="111">
        <f t="shared" si="797"/>
        <v>0</v>
      </c>
      <c r="W3606" s="110"/>
      <c r="X3606" s="110"/>
      <c r="Y3606" s="110"/>
      <c r="Z3606" s="110"/>
      <c r="AA3606" s="110">
        <f t="shared" si="802"/>
        <v>0</v>
      </c>
      <c r="AB3606" s="111">
        <f t="shared" si="803"/>
        <v>0</v>
      </c>
      <c r="AC3606" s="110"/>
      <c r="AD3606" s="110"/>
      <c r="AE3606" s="110">
        <f t="shared" si="802"/>
        <v>0</v>
      </c>
      <c r="AF3606" s="111">
        <f t="shared" si="804"/>
        <v>0</v>
      </c>
      <c r="AG3606" s="110"/>
      <c r="AH3606" s="110"/>
      <c r="AI3606" s="110"/>
      <c r="AJ3606" s="110"/>
      <c r="AK3606" s="111">
        <f t="shared" si="799"/>
        <v>0</v>
      </c>
      <c r="AL3606" s="446">
        <f t="shared" si="800"/>
        <v>0</v>
      </c>
      <c r="AM3606" s="110">
        <f t="shared" si="801"/>
        <v>0</v>
      </c>
      <c r="AN3606" s="447">
        <f t="shared" si="793"/>
        <v>0</v>
      </c>
      <c r="AO3606"/>
      <c r="AP3606"/>
    </row>
    <row r="3607" spans="1:42" x14ac:dyDescent="0.25">
      <c r="A3607" s="310">
        <v>31902</v>
      </c>
      <c r="B3607" s="375" t="s">
        <v>807</v>
      </c>
      <c r="C3607" s="311"/>
      <c r="D3607" s="902"/>
      <c r="E3607" s="312"/>
      <c r="F3607" s="313"/>
      <c r="G3607" s="313"/>
      <c r="H3607" s="313"/>
      <c r="I3607" s="729"/>
      <c r="J3607" s="800"/>
      <c r="K3607" s="131">
        <f t="shared" si="795"/>
        <v>0</v>
      </c>
      <c r="L3607" s="335">
        <f t="shared" si="798"/>
        <v>0</v>
      </c>
      <c r="M3607" s="421"/>
      <c r="N3607" s="421"/>
      <c r="O3607" s="421"/>
      <c r="P3607" s="421"/>
      <c r="Q3607" s="387">
        <f t="shared" si="805"/>
        <v>0</v>
      </c>
      <c r="R3607" s="314">
        <f t="shared" si="796"/>
        <v>0</v>
      </c>
      <c r="S3607" s="387"/>
      <c r="T3607" s="387"/>
      <c r="U3607" s="387">
        <f t="shared" si="806"/>
        <v>0</v>
      </c>
      <c r="V3607" s="314">
        <f t="shared" si="797"/>
        <v>0</v>
      </c>
      <c r="W3607" s="387"/>
      <c r="X3607" s="387"/>
      <c r="Y3607" s="387"/>
      <c r="Z3607" s="387"/>
      <c r="AA3607" s="387">
        <f t="shared" si="802"/>
        <v>0</v>
      </c>
      <c r="AB3607" s="314">
        <f t="shared" si="803"/>
        <v>0</v>
      </c>
      <c r="AC3607" s="387"/>
      <c r="AD3607" s="387"/>
      <c r="AE3607" s="387">
        <f t="shared" si="802"/>
        <v>0</v>
      </c>
      <c r="AF3607" s="314">
        <f t="shared" si="804"/>
        <v>0</v>
      </c>
      <c r="AG3607" s="387"/>
      <c r="AH3607" s="387"/>
      <c r="AI3607" s="387"/>
      <c r="AJ3607" s="387"/>
      <c r="AK3607" s="314">
        <f t="shared" si="799"/>
        <v>0</v>
      </c>
      <c r="AL3607" s="421">
        <f t="shared" si="800"/>
        <v>0</v>
      </c>
      <c r="AM3607" s="387">
        <f t="shared" si="801"/>
        <v>0</v>
      </c>
      <c r="AN3607" s="422">
        <f t="shared" si="793"/>
        <v>0</v>
      </c>
      <c r="AO3607" s="188"/>
      <c r="AP3607"/>
    </row>
    <row r="3608" spans="1:42" x14ac:dyDescent="0.25">
      <c r="A3608" s="61"/>
      <c r="B3608" s="583"/>
      <c r="C3608" s="9"/>
      <c r="D3608" s="882"/>
      <c r="E3608" s="1025"/>
      <c r="F3608" s="271"/>
      <c r="G3608" s="271"/>
      <c r="H3608" s="271"/>
      <c r="I3608" s="720"/>
      <c r="J3608" s="813"/>
      <c r="K3608" s="131">
        <f t="shared" si="795"/>
        <v>0</v>
      </c>
      <c r="L3608" s="335">
        <f t="shared" si="798"/>
        <v>0</v>
      </c>
      <c r="M3608" s="446"/>
      <c r="N3608" s="446"/>
      <c r="O3608" s="446"/>
      <c r="P3608" s="446"/>
      <c r="Q3608" s="110">
        <f t="shared" si="805"/>
        <v>0</v>
      </c>
      <c r="R3608" s="111">
        <f t="shared" si="796"/>
        <v>0</v>
      </c>
      <c r="S3608" s="110"/>
      <c r="T3608" s="110"/>
      <c r="U3608" s="110">
        <f t="shared" si="806"/>
        <v>0</v>
      </c>
      <c r="V3608" s="111">
        <f t="shared" si="797"/>
        <v>0</v>
      </c>
      <c r="W3608" s="110"/>
      <c r="X3608" s="110"/>
      <c r="Y3608" s="110"/>
      <c r="Z3608" s="110"/>
      <c r="AA3608" s="110">
        <f t="shared" si="802"/>
        <v>0</v>
      </c>
      <c r="AB3608" s="111">
        <f t="shared" si="803"/>
        <v>0</v>
      </c>
      <c r="AC3608" s="110"/>
      <c r="AD3608" s="110"/>
      <c r="AE3608" s="110">
        <f t="shared" si="802"/>
        <v>0</v>
      </c>
      <c r="AF3608" s="111">
        <f t="shared" si="804"/>
        <v>0</v>
      </c>
      <c r="AG3608" s="110"/>
      <c r="AH3608" s="110"/>
      <c r="AI3608" s="110"/>
      <c r="AJ3608" s="110"/>
      <c r="AK3608" s="111">
        <f t="shared" si="799"/>
        <v>0</v>
      </c>
      <c r="AL3608" s="446">
        <f t="shared" si="800"/>
        <v>0</v>
      </c>
      <c r="AM3608" s="110">
        <f t="shared" si="801"/>
        <v>0</v>
      </c>
      <c r="AN3608" s="447">
        <f t="shared" si="793"/>
        <v>0</v>
      </c>
      <c r="AO3608"/>
      <c r="AP3608"/>
    </row>
    <row r="3609" spans="1:42" x14ac:dyDescent="0.25">
      <c r="A3609" s="310">
        <v>31903</v>
      </c>
      <c r="B3609" s="375" t="s">
        <v>808</v>
      </c>
      <c r="C3609" s="311"/>
      <c r="D3609" s="902"/>
      <c r="E3609" s="312"/>
      <c r="F3609" s="313"/>
      <c r="G3609" s="313"/>
      <c r="H3609" s="313"/>
      <c r="I3609" s="729"/>
      <c r="J3609" s="800"/>
      <c r="K3609" s="131">
        <f t="shared" si="795"/>
        <v>0</v>
      </c>
      <c r="L3609" s="335">
        <f t="shared" si="798"/>
        <v>0</v>
      </c>
      <c r="M3609" s="421"/>
      <c r="N3609" s="421"/>
      <c r="O3609" s="421"/>
      <c r="P3609" s="421"/>
      <c r="Q3609" s="387">
        <f t="shared" si="805"/>
        <v>0</v>
      </c>
      <c r="R3609" s="314">
        <f t="shared" si="796"/>
        <v>0</v>
      </c>
      <c r="S3609" s="387"/>
      <c r="T3609" s="387"/>
      <c r="U3609" s="387">
        <f t="shared" si="806"/>
        <v>0</v>
      </c>
      <c r="V3609" s="314">
        <f t="shared" si="797"/>
        <v>0</v>
      </c>
      <c r="W3609" s="387"/>
      <c r="X3609" s="387"/>
      <c r="Y3609" s="387"/>
      <c r="Z3609" s="387"/>
      <c r="AA3609" s="387">
        <f t="shared" si="802"/>
        <v>0</v>
      </c>
      <c r="AB3609" s="314">
        <f t="shared" si="803"/>
        <v>0</v>
      </c>
      <c r="AC3609" s="387"/>
      <c r="AD3609" s="387"/>
      <c r="AE3609" s="387">
        <f t="shared" si="802"/>
        <v>0</v>
      </c>
      <c r="AF3609" s="314">
        <f t="shared" si="804"/>
        <v>0</v>
      </c>
      <c r="AG3609" s="387"/>
      <c r="AH3609" s="387"/>
      <c r="AI3609" s="387"/>
      <c r="AJ3609" s="387"/>
      <c r="AK3609" s="314">
        <f t="shared" si="799"/>
        <v>0</v>
      </c>
      <c r="AL3609" s="421">
        <f t="shared" si="800"/>
        <v>0</v>
      </c>
      <c r="AM3609" s="387">
        <f t="shared" si="801"/>
        <v>0</v>
      </c>
      <c r="AN3609" s="422">
        <f t="shared" si="793"/>
        <v>0</v>
      </c>
      <c r="AO3609" s="188"/>
      <c r="AP3609"/>
    </row>
    <row r="3610" spans="1:42" x14ac:dyDescent="0.25">
      <c r="A3610" s="61"/>
      <c r="B3610" s="583"/>
      <c r="C3610" s="9"/>
      <c r="D3610" s="882"/>
      <c r="E3610" s="1025"/>
      <c r="F3610" s="271"/>
      <c r="G3610" s="271"/>
      <c r="H3610" s="271"/>
      <c r="I3610" s="720"/>
      <c r="J3610" s="813"/>
      <c r="K3610" s="131">
        <f t="shared" si="795"/>
        <v>0</v>
      </c>
      <c r="L3610" s="335">
        <f t="shared" si="798"/>
        <v>0</v>
      </c>
      <c r="M3610" s="446"/>
      <c r="N3610" s="446"/>
      <c r="O3610" s="446"/>
      <c r="P3610" s="446"/>
      <c r="Q3610" s="110">
        <f t="shared" si="805"/>
        <v>0</v>
      </c>
      <c r="R3610" s="111">
        <f t="shared" si="796"/>
        <v>0</v>
      </c>
      <c r="S3610" s="110"/>
      <c r="T3610" s="110"/>
      <c r="U3610" s="110">
        <f t="shared" si="806"/>
        <v>0</v>
      </c>
      <c r="V3610" s="111">
        <f t="shared" si="797"/>
        <v>0</v>
      </c>
      <c r="W3610" s="110"/>
      <c r="X3610" s="110"/>
      <c r="Y3610" s="110"/>
      <c r="Z3610" s="110"/>
      <c r="AA3610" s="110">
        <f t="shared" si="802"/>
        <v>0</v>
      </c>
      <c r="AB3610" s="111">
        <f t="shared" si="803"/>
        <v>0</v>
      </c>
      <c r="AC3610" s="110"/>
      <c r="AD3610" s="110"/>
      <c r="AE3610" s="110">
        <f t="shared" si="802"/>
        <v>0</v>
      </c>
      <c r="AF3610" s="111">
        <f t="shared" si="804"/>
        <v>0</v>
      </c>
      <c r="AG3610" s="110"/>
      <c r="AH3610" s="110"/>
      <c r="AI3610" s="110"/>
      <c r="AJ3610" s="110"/>
      <c r="AK3610" s="111">
        <f t="shared" si="799"/>
        <v>0</v>
      </c>
      <c r="AL3610" s="446">
        <f t="shared" si="800"/>
        <v>0</v>
      </c>
      <c r="AM3610" s="110">
        <f t="shared" si="801"/>
        <v>0</v>
      </c>
      <c r="AN3610" s="447">
        <f t="shared" ref="AN3610:AN3673" si="807">+D3610-AM3610</f>
        <v>0</v>
      </c>
      <c r="AO3610"/>
      <c r="AP3610"/>
    </row>
    <row r="3611" spans="1:42" x14ac:dyDescent="0.25">
      <c r="A3611" s="299">
        <v>320</v>
      </c>
      <c r="B3611" s="469" t="s">
        <v>809</v>
      </c>
      <c r="C3611" s="299"/>
      <c r="D3611" s="909"/>
      <c r="E3611" s="301"/>
      <c r="F3611" s="302"/>
      <c r="G3611" s="302"/>
      <c r="H3611" s="302"/>
      <c r="I3611" s="715"/>
      <c r="J3611" s="751"/>
      <c r="K3611" s="131">
        <f t="shared" si="795"/>
        <v>0</v>
      </c>
      <c r="L3611" s="335">
        <f t="shared" si="798"/>
        <v>0</v>
      </c>
      <c r="M3611" s="453"/>
      <c r="N3611" s="453"/>
      <c r="O3611" s="453"/>
      <c r="P3611" s="453"/>
      <c r="Q3611" s="385">
        <f t="shared" si="805"/>
        <v>0</v>
      </c>
      <c r="R3611" s="303">
        <f t="shared" si="796"/>
        <v>0</v>
      </c>
      <c r="S3611" s="385"/>
      <c r="T3611" s="385"/>
      <c r="U3611" s="385">
        <f t="shared" si="806"/>
        <v>0</v>
      </c>
      <c r="V3611" s="303">
        <f t="shared" si="797"/>
        <v>0</v>
      </c>
      <c r="W3611" s="385"/>
      <c r="X3611" s="385"/>
      <c r="Y3611" s="385"/>
      <c r="Z3611" s="385"/>
      <c r="AA3611" s="385">
        <f t="shared" si="802"/>
        <v>0</v>
      </c>
      <c r="AB3611" s="303">
        <f t="shared" si="803"/>
        <v>0</v>
      </c>
      <c r="AC3611" s="385"/>
      <c r="AD3611" s="385"/>
      <c r="AE3611" s="385">
        <f t="shared" si="802"/>
        <v>0</v>
      </c>
      <c r="AF3611" s="303">
        <f t="shared" si="804"/>
        <v>0</v>
      </c>
      <c r="AG3611" s="385"/>
      <c r="AH3611" s="385"/>
      <c r="AI3611" s="385"/>
      <c r="AJ3611" s="385"/>
      <c r="AK3611" s="303">
        <f t="shared" si="799"/>
        <v>0</v>
      </c>
      <c r="AL3611" s="453">
        <f t="shared" si="800"/>
        <v>0</v>
      </c>
      <c r="AM3611" s="385">
        <f t="shared" si="801"/>
        <v>0</v>
      </c>
      <c r="AN3611" s="454">
        <f t="shared" si="807"/>
        <v>0</v>
      </c>
      <c r="AO3611" s="304"/>
      <c r="AP3611"/>
    </row>
    <row r="3612" spans="1:42" x14ac:dyDescent="0.25">
      <c r="A3612" s="376">
        <v>321</v>
      </c>
      <c r="B3612" s="565" t="s">
        <v>810</v>
      </c>
      <c r="C3612" s="376"/>
      <c r="D3612" s="927"/>
      <c r="E3612" s="377"/>
      <c r="F3612" s="378"/>
      <c r="G3612" s="378"/>
      <c r="H3612" s="378"/>
      <c r="I3612" s="734"/>
      <c r="J3612" s="806"/>
      <c r="K3612" s="131">
        <f t="shared" si="795"/>
        <v>0</v>
      </c>
      <c r="L3612" s="335">
        <f t="shared" si="798"/>
        <v>0</v>
      </c>
      <c r="M3612" s="419"/>
      <c r="N3612" s="419"/>
      <c r="O3612" s="419"/>
      <c r="P3612" s="419"/>
      <c r="Q3612" s="418">
        <f t="shared" si="805"/>
        <v>0</v>
      </c>
      <c r="R3612" s="379">
        <f t="shared" si="796"/>
        <v>0</v>
      </c>
      <c r="S3612" s="418"/>
      <c r="T3612" s="418"/>
      <c r="U3612" s="418">
        <f t="shared" si="806"/>
        <v>0</v>
      </c>
      <c r="V3612" s="379">
        <f t="shared" si="797"/>
        <v>0</v>
      </c>
      <c r="W3612" s="418"/>
      <c r="X3612" s="418"/>
      <c r="Y3612" s="418"/>
      <c r="Z3612" s="418"/>
      <c r="AA3612" s="418">
        <f t="shared" si="802"/>
        <v>0</v>
      </c>
      <c r="AB3612" s="379">
        <f t="shared" si="803"/>
        <v>0</v>
      </c>
      <c r="AC3612" s="418"/>
      <c r="AD3612" s="418"/>
      <c r="AE3612" s="418">
        <f t="shared" si="802"/>
        <v>0</v>
      </c>
      <c r="AF3612" s="379">
        <f t="shared" si="804"/>
        <v>0</v>
      </c>
      <c r="AG3612" s="418"/>
      <c r="AH3612" s="418"/>
      <c r="AI3612" s="418"/>
      <c r="AJ3612" s="418"/>
      <c r="AK3612" s="379">
        <f t="shared" si="799"/>
        <v>0</v>
      </c>
      <c r="AL3612" s="446">
        <f t="shared" si="800"/>
        <v>0</v>
      </c>
      <c r="AM3612" s="110">
        <f t="shared" si="801"/>
        <v>0</v>
      </c>
      <c r="AN3612" s="447">
        <f t="shared" si="807"/>
        <v>0</v>
      </c>
      <c r="AO3612" s="108"/>
      <c r="AP3612"/>
    </row>
    <row r="3613" spans="1:42" x14ac:dyDescent="0.25">
      <c r="A3613" s="310">
        <v>32101</v>
      </c>
      <c r="B3613" s="375" t="s">
        <v>810</v>
      </c>
      <c r="C3613" s="310"/>
      <c r="D3613" s="902"/>
      <c r="E3613" s="312"/>
      <c r="F3613" s="313"/>
      <c r="G3613" s="313"/>
      <c r="H3613" s="313"/>
      <c r="I3613" s="729"/>
      <c r="J3613" s="800"/>
      <c r="K3613" s="131">
        <f t="shared" ref="K3613:K3676" si="808">+D3613*I3613</f>
        <v>0</v>
      </c>
      <c r="L3613" s="335">
        <f t="shared" si="798"/>
        <v>0</v>
      </c>
      <c r="M3613" s="446"/>
      <c r="N3613" s="446"/>
      <c r="O3613" s="446"/>
      <c r="P3613" s="446"/>
      <c r="Q3613" s="110">
        <f t="shared" si="805"/>
        <v>0</v>
      </c>
      <c r="R3613" s="111">
        <f t="shared" si="796"/>
        <v>0</v>
      </c>
      <c r="S3613" s="110"/>
      <c r="T3613" s="110"/>
      <c r="U3613" s="110">
        <f t="shared" si="806"/>
        <v>0</v>
      </c>
      <c r="V3613" s="111">
        <f t="shared" si="797"/>
        <v>0</v>
      </c>
      <c r="W3613" s="110"/>
      <c r="X3613" s="110"/>
      <c r="Y3613" s="110"/>
      <c r="Z3613" s="110"/>
      <c r="AA3613" s="110">
        <f t="shared" si="802"/>
        <v>0</v>
      </c>
      <c r="AB3613" s="111">
        <f t="shared" si="803"/>
        <v>0</v>
      </c>
      <c r="AC3613" s="110"/>
      <c r="AD3613" s="110"/>
      <c r="AE3613" s="110">
        <f t="shared" si="802"/>
        <v>0</v>
      </c>
      <c r="AF3613" s="111">
        <f t="shared" si="804"/>
        <v>0</v>
      </c>
      <c r="AG3613" s="110"/>
      <c r="AH3613" s="110"/>
      <c r="AI3613" s="110"/>
      <c r="AJ3613" s="110"/>
      <c r="AK3613" s="111">
        <f t="shared" si="799"/>
        <v>0</v>
      </c>
      <c r="AL3613" s="446">
        <f t="shared" si="800"/>
        <v>0</v>
      </c>
      <c r="AM3613" s="110">
        <f t="shared" si="801"/>
        <v>0</v>
      </c>
      <c r="AN3613" s="447">
        <f t="shared" si="807"/>
        <v>0</v>
      </c>
      <c r="AO3613" s="108"/>
      <c r="AP3613"/>
    </row>
    <row r="3614" spans="1:42" x14ac:dyDescent="0.25">
      <c r="A3614" s="9"/>
      <c r="B3614" s="71"/>
      <c r="C3614" s="9"/>
      <c r="D3614" s="869"/>
      <c r="E3614" s="1027"/>
      <c r="F3614" s="272"/>
      <c r="G3614" s="272"/>
      <c r="H3614" s="272"/>
      <c r="I3614" s="720"/>
      <c r="J3614" s="763"/>
      <c r="K3614" s="131">
        <f t="shared" si="808"/>
        <v>0</v>
      </c>
      <c r="L3614" s="335">
        <f t="shared" si="798"/>
        <v>0</v>
      </c>
      <c r="M3614" s="446"/>
      <c r="N3614" s="446"/>
      <c r="O3614" s="446"/>
      <c r="P3614" s="446"/>
      <c r="Q3614" s="110">
        <f t="shared" si="805"/>
        <v>0</v>
      </c>
      <c r="R3614" s="111">
        <f t="shared" si="796"/>
        <v>0</v>
      </c>
      <c r="S3614" s="110"/>
      <c r="T3614" s="110"/>
      <c r="U3614" s="110">
        <f t="shared" si="806"/>
        <v>0</v>
      </c>
      <c r="V3614" s="111">
        <f t="shared" si="797"/>
        <v>0</v>
      </c>
      <c r="W3614" s="110"/>
      <c r="X3614" s="110"/>
      <c r="Y3614" s="110"/>
      <c r="Z3614" s="110"/>
      <c r="AA3614" s="110">
        <f t="shared" si="802"/>
        <v>0</v>
      </c>
      <c r="AB3614" s="111">
        <f t="shared" si="803"/>
        <v>0</v>
      </c>
      <c r="AC3614" s="110"/>
      <c r="AD3614" s="110"/>
      <c r="AE3614" s="110">
        <f t="shared" si="802"/>
        <v>0</v>
      </c>
      <c r="AF3614" s="111">
        <f t="shared" si="804"/>
        <v>0</v>
      </c>
      <c r="AG3614" s="110"/>
      <c r="AH3614" s="110"/>
      <c r="AI3614" s="110"/>
      <c r="AJ3614" s="110"/>
      <c r="AK3614" s="111">
        <f t="shared" si="799"/>
        <v>0</v>
      </c>
      <c r="AL3614" s="446">
        <f t="shared" si="800"/>
        <v>0</v>
      </c>
      <c r="AM3614" s="110">
        <f t="shared" si="801"/>
        <v>0</v>
      </c>
      <c r="AN3614" s="447">
        <f t="shared" si="807"/>
        <v>0</v>
      </c>
      <c r="AO3614"/>
      <c r="AP3614"/>
    </row>
    <row r="3615" spans="1:42" x14ac:dyDescent="0.25">
      <c r="A3615" s="376">
        <v>322</v>
      </c>
      <c r="B3615" s="565" t="s">
        <v>811</v>
      </c>
      <c r="C3615" s="376"/>
      <c r="D3615" s="927"/>
      <c r="E3615" s="377"/>
      <c r="F3615" s="378"/>
      <c r="G3615" s="378"/>
      <c r="H3615" s="378"/>
      <c r="I3615" s="734"/>
      <c r="J3615" s="806"/>
      <c r="K3615" s="131">
        <f t="shared" si="808"/>
        <v>0</v>
      </c>
      <c r="L3615" s="335">
        <f t="shared" si="798"/>
        <v>0</v>
      </c>
      <c r="M3615" s="419"/>
      <c r="N3615" s="419"/>
      <c r="O3615" s="419"/>
      <c r="P3615" s="419"/>
      <c r="Q3615" s="418">
        <f t="shared" si="805"/>
        <v>0</v>
      </c>
      <c r="R3615" s="379">
        <f t="shared" si="796"/>
        <v>0</v>
      </c>
      <c r="S3615" s="418"/>
      <c r="T3615" s="418"/>
      <c r="U3615" s="418">
        <f t="shared" si="806"/>
        <v>0</v>
      </c>
      <c r="V3615" s="379">
        <f t="shared" si="797"/>
        <v>0</v>
      </c>
      <c r="W3615" s="418"/>
      <c r="X3615" s="418"/>
      <c r="Y3615" s="418"/>
      <c r="Z3615" s="418"/>
      <c r="AA3615" s="418">
        <f t="shared" si="802"/>
        <v>0</v>
      </c>
      <c r="AB3615" s="379">
        <f t="shared" si="803"/>
        <v>0</v>
      </c>
      <c r="AC3615" s="418"/>
      <c r="AD3615" s="418"/>
      <c r="AE3615" s="418">
        <f t="shared" si="802"/>
        <v>0</v>
      </c>
      <c r="AF3615" s="379">
        <f t="shared" si="804"/>
        <v>0</v>
      </c>
      <c r="AG3615" s="418"/>
      <c r="AH3615" s="418"/>
      <c r="AI3615" s="418"/>
      <c r="AJ3615" s="418"/>
      <c r="AK3615" s="379">
        <f t="shared" si="799"/>
        <v>0</v>
      </c>
      <c r="AL3615" s="446">
        <f t="shared" si="800"/>
        <v>0</v>
      </c>
      <c r="AM3615" s="110">
        <f t="shared" si="801"/>
        <v>0</v>
      </c>
      <c r="AN3615" s="447">
        <f t="shared" si="807"/>
        <v>0</v>
      </c>
      <c r="AO3615" s="108"/>
      <c r="AP3615"/>
    </row>
    <row r="3616" spans="1:42" x14ac:dyDescent="0.25">
      <c r="A3616" s="310">
        <v>32201</v>
      </c>
      <c r="B3616" s="375" t="s">
        <v>812</v>
      </c>
      <c r="C3616" s="311"/>
      <c r="D3616" s="902"/>
      <c r="E3616" s="312"/>
      <c r="F3616" s="313"/>
      <c r="G3616" s="313"/>
      <c r="H3616" s="313"/>
      <c r="I3616" s="729"/>
      <c r="J3616" s="800"/>
      <c r="K3616" s="131">
        <f t="shared" si="808"/>
        <v>0</v>
      </c>
      <c r="L3616" s="335">
        <f t="shared" si="798"/>
        <v>0</v>
      </c>
      <c r="M3616" s="421"/>
      <c r="N3616" s="421"/>
      <c r="O3616" s="421"/>
      <c r="P3616" s="421"/>
      <c r="Q3616" s="387">
        <f t="shared" si="805"/>
        <v>0</v>
      </c>
      <c r="R3616" s="314">
        <f t="shared" si="796"/>
        <v>0</v>
      </c>
      <c r="S3616" s="387"/>
      <c r="T3616" s="387"/>
      <c r="U3616" s="387">
        <f t="shared" si="806"/>
        <v>0</v>
      </c>
      <c r="V3616" s="314">
        <f t="shared" si="797"/>
        <v>0</v>
      </c>
      <c r="W3616" s="387"/>
      <c r="X3616" s="387"/>
      <c r="Y3616" s="387"/>
      <c r="Z3616" s="387"/>
      <c r="AA3616" s="387">
        <f t="shared" si="802"/>
        <v>0</v>
      </c>
      <c r="AB3616" s="314">
        <f t="shared" si="803"/>
        <v>0</v>
      </c>
      <c r="AC3616" s="387"/>
      <c r="AD3616" s="387"/>
      <c r="AE3616" s="387">
        <f t="shared" si="802"/>
        <v>0</v>
      </c>
      <c r="AF3616" s="314">
        <f t="shared" si="804"/>
        <v>0</v>
      </c>
      <c r="AG3616" s="387"/>
      <c r="AH3616" s="387"/>
      <c r="AI3616" s="387"/>
      <c r="AJ3616" s="387"/>
      <c r="AK3616" s="314">
        <f t="shared" si="799"/>
        <v>0</v>
      </c>
      <c r="AL3616" s="421">
        <f t="shared" si="800"/>
        <v>0</v>
      </c>
      <c r="AM3616" s="387">
        <f t="shared" si="801"/>
        <v>0</v>
      </c>
      <c r="AN3616" s="422">
        <f t="shared" si="807"/>
        <v>0</v>
      </c>
      <c r="AO3616" s="436">
        <f>SUM(J3617)</f>
        <v>220690</v>
      </c>
      <c r="AP3616" s="111"/>
    </row>
    <row r="3617" spans="1:42" ht="66" x14ac:dyDescent="0.25">
      <c r="A3617" s="1024"/>
      <c r="B3617" s="59" t="s">
        <v>813</v>
      </c>
      <c r="C3617" s="1024"/>
      <c r="D3617" s="869">
        <f>5+5</f>
        <v>10</v>
      </c>
      <c r="E3617" s="1024" t="s">
        <v>1755</v>
      </c>
      <c r="F3617" s="697" t="s">
        <v>3446</v>
      </c>
      <c r="G3617" s="1040" t="s">
        <v>3463</v>
      </c>
      <c r="H3617" s="273" t="s">
        <v>3462</v>
      </c>
      <c r="I3617" s="720">
        <f>+J3617/D3617</f>
        <v>22069</v>
      </c>
      <c r="J3617" s="814">
        <f>197200+23490</f>
        <v>220690</v>
      </c>
      <c r="K3617" s="131">
        <f t="shared" si="808"/>
        <v>220690</v>
      </c>
      <c r="L3617" s="335">
        <f t="shared" si="798"/>
        <v>0</v>
      </c>
      <c r="M3617" s="446"/>
      <c r="N3617" s="446"/>
      <c r="O3617" s="446"/>
      <c r="P3617" s="446"/>
      <c r="Q3617" s="130">
        <v>3</v>
      </c>
      <c r="R3617" s="111">
        <f t="shared" si="796"/>
        <v>55172.5</v>
      </c>
      <c r="S3617" s="110"/>
      <c r="T3617" s="110"/>
      <c r="U3617" s="130">
        <v>3</v>
      </c>
      <c r="V3617" s="111">
        <f t="shared" si="797"/>
        <v>55172.5</v>
      </c>
      <c r="W3617" s="110"/>
      <c r="X3617" s="110"/>
      <c r="Y3617" s="110"/>
      <c r="Z3617" s="110"/>
      <c r="AA3617" s="130">
        <v>2</v>
      </c>
      <c r="AB3617" s="111">
        <f t="shared" si="803"/>
        <v>55172.5</v>
      </c>
      <c r="AC3617" s="110"/>
      <c r="AD3617" s="110"/>
      <c r="AE3617" s="130">
        <v>2</v>
      </c>
      <c r="AF3617" s="111">
        <f t="shared" si="804"/>
        <v>55172.5</v>
      </c>
      <c r="AG3617" s="110"/>
      <c r="AH3617" s="110"/>
      <c r="AI3617" s="110"/>
      <c r="AJ3617" s="110"/>
      <c r="AK3617" s="111">
        <f t="shared" si="799"/>
        <v>220690</v>
      </c>
      <c r="AL3617" s="446">
        <f t="shared" si="800"/>
        <v>0</v>
      </c>
      <c r="AM3617" s="110">
        <f t="shared" si="801"/>
        <v>10</v>
      </c>
      <c r="AN3617" s="447">
        <f t="shared" si="807"/>
        <v>0</v>
      </c>
      <c r="AO3617"/>
      <c r="AP3617"/>
    </row>
    <row r="3618" spans="1:42" x14ac:dyDescent="0.25">
      <c r="A3618" s="60"/>
      <c r="B3618" s="146"/>
      <c r="C3618" s="9"/>
      <c r="D3618" s="933"/>
      <c r="E3618" s="157"/>
      <c r="F3618" s="711"/>
      <c r="G3618" s="711"/>
      <c r="H3618" s="711"/>
      <c r="I3618" s="720"/>
      <c r="J3618" s="815"/>
      <c r="K3618" s="131">
        <f t="shared" si="808"/>
        <v>0</v>
      </c>
      <c r="L3618" s="335">
        <f t="shared" si="798"/>
        <v>0</v>
      </c>
      <c r="M3618" s="446"/>
      <c r="N3618" s="446"/>
      <c r="O3618" s="446"/>
      <c r="P3618" s="446"/>
      <c r="Q3618" s="110">
        <f t="shared" si="805"/>
        <v>0</v>
      </c>
      <c r="R3618" s="111">
        <f t="shared" si="796"/>
        <v>0</v>
      </c>
      <c r="S3618" s="110"/>
      <c r="T3618" s="110"/>
      <c r="U3618" s="110">
        <f t="shared" si="806"/>
        <v>0</v>
      </c>
      <c r="V3618" s="111">
        <f t="shared" si="797"/>
        <v>0</v>
      </c>
      <c r="W3618" s="110"/>
      <c r="X3618" s="110"/>
      <c r="Y3618" s="110"/>
      <c r="Z3618" s="110"/>
      <c r="AA3618" s="110">
        <f t="shared" si="802"/>
        <v>0</v>
      </c>
      <c r="AB3618" s="111">
        <f t="shared" si="803"/>
        <v>0</v>
      </c>
      <c r="AC3618" s="110"/>
      <c r="AD3618" s="110"/>
      <c r="AE3618" s="110">
        <f t="shared" si="802"/>
        <v>0</v>
      </c>
      <c r="AF3618" s="111">
        <f t="shared" si="804"/>
        <v>0</v>
      </c>
      <c r="AG3618" s="110"/>
      <c r="AH3618" s="110"/>
      <c r="AI3618" s="110"/>
      <c r="AJ3618" s="110"/>
      <c r="AK3618" s="111">
        <f t="shared" si="799"/>
        <v>0</v>
      </c>
      <c r="AL3618" s="446">
        <f t="shared" si="800"/>
        <v>0</v>
      </c>
      <c r="AM3618" s="110">
        <f t="shared" si="801"/>
        <v>0</v>
      </c>
      <c r="AN3618" s="447">
        <f t="shared" si="807"/>
        <v>0</v>
      </c>
      <c r="AO3618"/>
      <c r="AP3618"/>
    </row>
    <row r="3619" spans="1:42" ht="22.5" x14ac:dyDescent="0.25">
      <c r="A3619" s="376">
        <v>323</v>
      </c>
      <c r="B3619" s="565" t="s">
        <v>814</v>
      </c>
      <c r="C3619" s="376"/>
      <c r="D3619" s="927"/>
      <c r="E3619" s="377"/>
      <c r="F3619" s="378"/>
      <c r="G3619" s="378"/>
      <c r="H3619" s="378"/>
      <c r="I3619" s="734"/>
      <c r="J3619" s="806"/>
      <c r="K3619" s="131">
        <f t="shared" si="808"/>
        <v>0</v>
      </c>
      <c r="L3619" s="335">
        <f t="shared" si="798"/>
        <v>0</v>
      </c>
      <c r="M3619" s="419"/>
      <c r="N3619" s="419"/>
      <c r="O3619" s="419"/>
      <c r="P3619" s="419"/>
      <c r="Q3619" s="418">
        <f t="shared" si="805"/>
        <v>0</v>
      </c>
      <c r="R3619" s="379">
        <f t="shared" si="796"/>
        <v>0</v>
      </c>
      <c r="S3619" s="418"/>
      <c r="T3619" s="418"/>
      <c r="U3619" s="418">
        <f t="shared" si="806"/>
        <v>0</v>
      </c>
      <c r="V3619" s="379">
        <f t="shared" si="797"/>
        <v>0</v>
      </c>
      <c r="W3619" s="418"/>
      <c r="X3619" s="418"/>
      <c r="Y3619" s="418"/>
      <c r="Z3619" s="418"/>
      <c r="AA3619" s="418">
        <f t="shared" si="802"/>
        <v>0</v>
      </c>
      <c r="AB3619" s="379">
        <f t="shared" si="803"/>
        <v>0</v>
      </c>
      <c r="AC3619" s="418"/>
      <c r="AD3619" s="418"/>
      <c r="AE3619" s="418">
        <f t="shared" si="802"/>
        <v>0</v>
      </c>
      <c r="AF3619" s="379">
        <f t="shared" si="804"/>
        <v>0</v>
      </c>
      <c r="AG3619" s="418"/>
      <c r="AH3619" s="418"/>
      <c r="AI3619" s="418"/>
      <c r="AJ3619" s="418"/>
      <c r="AK3619" s="379">
        <f t="shared" si="799"/>
        <v>0</v>
      </c>
      <c r="AL3619" s="446">
        <f t="shared" si="800"/>
        <v>0</v>
      </c>
      <c r="AM3619" s="110">
        <f t="shared" si="801"/>
        <v>0</v>
      </c>
      <c r="AN3619" s="447">
        <f t="shared" si="807"/>
        <v>0</v>
      </c>
      <c r="AO3619" s="108"/>
      <c r="AP3619"/>
    </row>
    <row r="3620" spans="1:42" x14ac:dyDescent="0.25">
      <c r="A3620" s="310">
        <v>32301</v>
      </c>
      <c r="B3620" s="375" t="s">
        <v>815</v>
      </c>
      <c r="C3620" s="311"/>
      <c r="D3620" s="902"/>
      <c r="E3620" s="312"/>
      <c r="F3620" s="313"/>
      <c r="G3620" s="313"/>
      <c r="H3620" s="313"/>
      <c r="I3620" s="729"/>
      <c r="J3620" s="800"/>
      <c r="K3620" s="131">
        <f t="shared" si="808"/>
        <v>0</v>
      </c>
      <c r="L3620" s="335">
        <f t="shared" si="798"/>
        <v>0</v>
      </c>
      <c r="M3620" s="446"/>
      <c r="N3620" s="446"/>
      <c r="O3620" s="446"/>
      <c r="P3620" s="446"/>
      <c r="Q3620" s="110">
        <f t="shared" si="805"/>
        <v>0</v>
      </c>
      <c r="R3620" s="111">
        <f t="shared" si="796"/>
        <v>0</v>
      </c>
      <c r="S3620" s="110"/>
      <c r="T3620" s="110"/>
      <c r="U3620" s="110">
        <f t="shared" si="806"/>
        <v>0</v>
      </c>
      <c r="V3620" s="111">
        <f t="shared" si="797"/>
        <v>0</v>
      </c>
      <c r="W3620" s="110"/>
      <c r="X3620" s="110"/>
      <c r="Y3620" s="110"/>
      <c r="Z3620" s="110"/>
      <c r="AA3620" s="110">
        <f t="shared" si="802"/>
        <v>0</v>
      </c>
      <c r="AB3620" s="111">
        <f t="shared" si="803"/>
        <v>0</v>
      </c>
      <c r="AC3620" s="110"/>
      <c r="AD3620" s="110"/>
      <c r="AE3620" s="110">
        <f t="shared" si="802"/>
        <v>0</v>
      </c>
      <c r="AF3620" s="111">
        <f t="shared" si="804"/>
        <v>0</v>
      </c>
      <c r="AG3620" s="110"/>
      <c r="AH3620" s="110"/>
      <c r="AI3620" s="110"/>
      <c r="AJ3620" s="110"/>
      <c r="AK3620" s="111">
        <f t="shared" si="799"/>
        <v>0</v>
      </c>
      <c r="AL3620" s="446">
        <f t="shared" si="800"/>
        <v>0</v>
      </c>
      <c r="AM3620" s="110">
        <f t="shared" si="801"/>
        <v>0</v>
      </c>
      <c r="AN3620" s="447">
        <f t="shared" si="807"/>
        <v>0</v>
      </c>
      <c r="AO3620" s="436">
        <f>SUM(J3621:J3622)</f>
        <v>642607.73600000003</v>
      </c>
      <c r="AP3620" s="111"/>
    </row>
    <row r="3621" spans="1:42" ht="66" x14ac:dyDescent="0.25">
      <c r="A3621" s="9"/>
      <c r="B3621" s="128" t="s">
        <v>1355</v>
      </c>
      <c r="C3621" s="1024"/>
      <c r="D3621" s="869">
        <f>12+24+3+8+4</f>
        <v>51</v>
      </c>
      <c r="E3621" s="1027" t="s">
        <v>1840</v>
      </c>
      <c r="F3621" s="271" t="s">
        <v>3446</v>
      </c>
      <c r="G3621" s="1040" t="s">
        <v>3463</v>
      </c>
      <c r="H3621" s="273" t="s">
        <v>3462</v>
      </c>
      <c r="I3621" s="720">
        <f>+J3621/D3621</f>
        <v>12216.388627450982</v>
      </c>
      <c r="J3621" s="756">
        <f>501120+72575.82+7500+27840+14000</f>
        <v>623035.82000000007</v>
      </c>
      <c r="K3621" s="131">
        <f t="shared" si="808"/>
        <v>623035.82000000007</v>
      </c>
      <c r="L3621" s="335">
        <f t="shared" si="798"/>
        <v>0</v>
      </c>
      <c r="M3621" s="446"/>
      <c r="N3621" s="446"/>
      <c r="O3621" s="446"/>
      <c r="P3621" s="446"/>
      <c r="Q3621" s="110">
        <v>14</v>
      </c>
      <c r="R3621" s="111">
        <f t="shared" si="796"/>
        <v>155758.95500000002</v>
      </c>
      <c r="S3621" s="110"/>
      <c r="T3621" s="110"/>
      <c r="U3621" s="110">
        <v>13</v>
      </c>
      <c r="V3621" s="111">
        <f t="shared" si="797"/>
        <v>155758.95500000002</v>
      </c>
      <c r="W3621" s="110"/>
      <c r="X3621" s="110"/>
      <c r="Y3621" s="110"/>
      <c r="Z3621" s="110"/>
      <c r="AA3621" s="110">
        <v>12</v>
      </c>
      <c r="AB3621" s="111">
        <f t="shared" si="803"/>
        <v>155758.95500000002</v>
      </c>
      <c r="AC3621" s="110"/>
      <c r="AD3621" s="110"/>
      <c r="AE3621" s="110">
        <v>12</v>
      </c>
      <c r="AF3621" s="111">
        <f t="shared" si="804"/>
        <v>155758.95500000002</v>
      </c>
      <c r="AG3621" s="110"/>
      <c r="AH3621" s="110"/>
      <c r="AI3621" s="110"/>
      <c r="AJ3621" s="110"/>
      <c r="AK3621" s="111">
        <f t="shared" si="799"/>
        <v>623035.82000000007</v>
      </c>
      <c r="AL3621" s="446">
        <f t="shared" si="800"/>
        <v>0</v>
      </c>
      <c r="AM3621" s="110">
        <f t="shared" si="801"/>
        <v>51</v>
      </c>
      <c r="AN3621" s="447">
        <f t="shared" si="807"/>
        <v>0</v>
      </c>
      <c r="AO3621"/>
      <c r="AP3621"/>
    </row>
    <row r="3622" spans="1:42" ht="66" x14ac:dyDescent="0.25">
      <c r="A3622" s="9"/>
      <c r="B3622" s="712" t="s">
        <v>3434</v>
      </c>
      <c r="C3622" s="1024"/>
      <c r="D3622" s="935">
        <v>6</v>
      </c>
      <c r="E3622" s="87" t="s">
        <v>3433</v>
      </c>
      <c r="F3622" s="271" t="s">
        <v>3446</v>
      </c>
      <c r="G3622" s="1040" t="s">
        <v>3463</v>
      </c>
      <c r="H3622" s="273" t="s">
        <v>3462</v>
      </c>
      <c r="I3622" s="733">
        <f>J3622/D3622</f>
        <v>3261.9860000000003</v>
      </c>
      <c r="J3622" s="756">
        <v>19571.916000000001</v>
      </c>
      <c r="K3622" s="131">
        <f t="shared" si="808"/>
        <v>19571.916000000001</v>
      </c>
      <c r="L3622" s="335"/>
      <c r="M3622" s="446"/>
      <c r="N3622" s="446"/>
      <c r="O3622" s="446"/>
      <c r="P3622" s="446"/>
      <c r="Q3622" s="130">
        <v>2</v>
      </c>
      <c r="R3622" s="111">
        <f t="shared" si="796"/>
        <v>4892.9790000000003</v>
      </c>
      <c r="S3622" s="110"/>
      <c r="T3622" s="110"/>
      <c r="U3622" s="130">
        <v>2</v>
      </c>
      <c r="V3622" s="111">
        <f t="shared" si="797"/>
        <v>4892.9790000000003</v>
      </c>
      <c r="W3622" s="110"/>
      <c r="X3622" s="110"/>
      <c r="Y3622" s="110"/>
      <c r="Z3622" s="110"/>
      <c r="AA3622" s="130">
        <v>1</v>
      </c>
      <c r="AB3622" s="111">
        <f t="shared" si="803"/>
        <v>4892.9790000000003</v>
      </c>
      <c r="AC3622" s="110"/>
      <c r="AD3622" s="110"/>
      <c r="AE3622" s="130">
        <v>1</v>
      </c>
      <c r="AF3622" s="111">
        <f t="shared" si="804"/>
        <v>4892.9790000000003</v>
      </c>
      <c r="AG3622" s="110"/>
      <c r="AH3622" s="110"/>
      <c r="AI3622" s="110"/>
      <c r="AJ3622" s="110"/>
      <c r="AK3622" s="111">
        <f t="shared" si="799"/>
        <v>19571.916000000001</v>
      </c>
      <c r="AL3622" s="446">
        <f t="shared" si="800"/>
        <v>0</v>
      </c>
      <c r="AM3622" s="110">
        <f t="shared" si="801"/>
        <v>6</v>
      </c>
      <c r="AN3622" s="447">
        <f t="shared" si="807"/>
        <v>0</v>
      </c>
      <c r="AO3622"/>
      <c r="AP3622"/>
    </row>
    <row r="3623" spans="1:42" x14ac:dyDescent="0.25">
      <c r="A3623" s="310">
        <v>32302</v>
      </c>
      <c r="B3623" s="375" t="s">
        <v>816</v>
      </c>
      <c r="C3623" s="311"/>
      <c r="D3623" s="902"/>
      <c r="E3623" s="312"/>
      <c r="F3623" s="313"/>
      <c r="G3623" s="313"/>
      <c r="H3623" s="313"/>
      <c r="I3623" s="729"/>
      <c r="J3623" s="800"/>
      <c r="K3623" s="131">
        <f t="shared" si="808"/>
        <v>0</v>
      </c>
      <c r="L3623" s="335">
        <f t="shared" si="798"/>
        <v>0</v>
      </c>
      <c r="M3623" s="446"/>
      <c r="N3623" s="446"/>
      <c r="O3623" s="446"/>
      <c r="P3623" s="446"/>
      <c r="Q3623" s="110">
        <f t="shared" si="805"/>
        <v>0</v>
      </c>
      <c r="R3623" s="111">
        <f t="shared" si="796"/>
        <v>0</v>
      </c>
      <c r="S3623" s="110"/>
      <c r="T3623" s="110"/>
      <c r="U3623" s="110">
        <f t="shared" si="806"/>
        <v>0</v>
      </c>
      <c r="V3623" s="111">
        <f t="shared" si="797"/>
        <v>0</v>
      </c>
      <c r="W3623" s="110"/>
      <c r="X3623" s="110"/>
      <c r="Y3623" s="110"/>
      <c r="Z3623" s="110"/>
      <c r="AA3623" s="110">
        <f t="shared" si="802"/>
        <v>0</v>
      </c>
      <c r="AB3623" s="111">
        <f t="shared" si="803"/>
        <v>0</v>
      </c>
      <c r="AC3623" s="110"/>
      <c r="AD3623" s="110"/>
      <c r="AE3623" s="110">
        <f t="shared" si="802"/>
        <v>0</v>
      </c>
      <c r="AF3623" s="111">
        <f t="shared" si="804"/>
        <v>0</v>
      </c>
      <c r="AG3623" s="110"/>
      <c r="AH3623" s="110"/>
      <c r="AI3623" s="110"/>
      <c r="AJ3623" s="110"/>
      <c r="AK3623" s="111">
        <f t="shared" si="799"/>
        <v>0</v>
      </c>
      <c r="AL3623" s="446">
        <f t="shared" si="800"/>
        <v>0</v>
      </c>
      <c r="AM3623" s="110">
        <f t="shared" si="801"/>
        <v>0</v>
      </c>
      <c r="AN3623" s="447">
        <f t="shared" si="807"/>
        <v>0</v>
      </c>
      <c r="AO3623" s="108"/>
      <c r="AP3623"/>
    </row>
    <row r="3624" spans="1:42" x14ac:dyDescent="0.25">
      <c r="A3624" s="61"/>
      <c r="B3624" s="583"/>
      <c r="C3624" s="9"/>
      <c r="D3624" s="882"/>
      <c r="E3624" s="1025"/>
      <c r="F3624" s="271"/>
      <c r="G3624" s="271"/>
      <c r="H3624" s="271"/>
      <c r="I3624" s="720"/>
      <c r="J3624" s="813"/>
      <c r="K3624" s="131">
        <f t="shared" si="808"/>
        <v>0</v>
      </c>
      <c r="L3624" s="335">
        <f t="shared" si="798"/>
        <v>0</v>
      </c>
      <c r="M3624" s="446"/>
      <c r="N3624" s="446"/>
      <c r="O3624" s="446"/>
      <c r="P3624" s="446"/>
      <c r="Q3624" s="110">
        <f t="shared" si="805"/>
        <v>0</v>
      </c>
      <c r="R3624" s="111">
        <f t="shared" si="796"/>
        <v>0</v>
      </c>
      <c r="S3624" s="110"/>
      <c r="T3624" s="110"/>
      <c r="U3624" s="110">
        <f t="shared" si="806"/>
        <v>0</v>
      </c>
      <c r="V3624" s="111">
        <f t="shared" si="797"/>
        <v>0</v>
      </c>
      <c r="W3624" s="110"/>
      <c r="X3624" s="110"/>
      <c r="Y3624" s="110"/>
      <c r="Z3624" s="110"/>
      <c r="AA3624" s="110">
        <f t="shared" si="802"/>
        <v>0</v>
      </c>
      <c r="AB3624" s="111">
        <f t="shared" si="803"/>
        <v>0</v>
      </c>
      <c r="AC3624" s="110"/>
      <c r="AD3624" s="110"/>
      <c r="AE3624" s="110">
        <f t="shared" si="802"/>
        <v>0</v>
      </c>
      <c r="AF3624" s="111">
        <f t="shared" si="804"/>
        <v>0</v>
      </c>
      <c r="AG3624" s="110"/>
      <c r="AH3624" s="110"/>
      <c r="AI3624" s="110"/>
      <c r="AJ3624" s="110"/>
      <c r="AK3624" s="111">
        <f t="shared" si="799"/>
        <v>0</v>
      </c>
      <c r="AL3624" s="446">
        <f t="shared" si="800"/>
        <v>0</v>
      </c>
      <c r="AM3624" s="110">
        <f t="shared" si="801"/>
        <v>0</v>
      </c>
      <c r="AN3624" s="447">
        <f t="shared" si="807"/>
        <v>0</v>
      </c>
      <c r="AO3624"/>
      <c r="AP3624"/>
    </row>
    <row r="3625" spans="1:42" ht="22.5" x14ac:dyDescent="0.25">
      <c r="A3625" s="376">
        <v>324</v>
      </c>
      <c r="B3625" s="565" t="s">
        <v>817</v>
      </c>
      <c r="C3625" s="376"/>
      <c r="D3625" s="927"/>
      <c r="E3625" s="377"/>
      <c r="F3625" s="378"/>
      <c r="G3625" s="378"/>
      <c r="H3625" s="378"/>
      <c r="I3625" s="734"/>
      <c r="J3625" s="806"/>
      <c r="K3625" s="131">
        <f t="shared" si="808"/>
        <v>0</v>
      </c>
      <c r="L3625" s="335">
        <f t="shared" si="798"/>
        <v>0</v>
      </c>
      <c r="M3625" s="419"/>
      <c r="N3625" s="419"/>
      <c r="O3625" s="419"/>
      <c r="P3625" s="419"/>
      <c r="Q3625" s="418">
        <f t="shared" si="805"/>
        <v>0</v>
      </c>
      <c r="R3625" s="379">
        <f t="shared" si="796"/>
        <v>0</v>
      </c>
      <c r="S3625" s="418"/>
      <c r="T3625" s="418"/>
      <c r="U3625" s="418">
        <f t="shared" si="806"/>
        <v>0</v>
      </c>
      <c r="V3625" s="379">
        <f t="shared" si="797"/>
        <v>0</v>
      </c>
      <c r="W3625" s="418"/>
      <c r="X3625" s="418"/>
      <c r="Y3625" s="418"/>
      <c r="Z3625" s="418"/>
      <c r="AA3625" s="418">
        <f t="shared" si="802"/>
        <v>0</v>
      </c>
      <c r="AB3625" s="379">
        <f t="shared" si="803"/>
        <v>0</v>
      </c>
      <c r="AC3625" s="418"/>
      <c r="AD3625" s="418"/>
      <c r="AE3625" s="418">
        <f t="shared" si="802"/>
        <v>0</v>
      </c>
      <c r="AF3625" s="379">
        <f t="shared" si="804"/>
        <v>0</v>
      </c>
      <c r="AG3625" s="418"/>
      <c r="AH3625" s="418"/>
      <c r="AI3625" s="418"/>
      <c r="AJ3625" s="418"/>
      <c r="AK3625" s="379">
        <f t="shared" si="799"/>
        <v>0</v>
      </c>
      <c r="AL3625" s="446">
        <f t="shared" si="800"/>
        <v>0</v>
      </c>
      <c r="AM3625" s="110">
        <f t="shared" si="801"/>
        <v>0</v>
      </c>
      <c r="AN3625" s="447">
        <f t="shared" si="807"/>
        <v>0</v>
      </c>
      <c r="AO3625" s="108"/>
      <c r="AP3625"/>
    </row>
    <row r="3626" spans="1:42" ht="22.5" x14ac:dyDescent="0.25">
      <c r="A3626" s="310">
        <v>32401</v>
      </c>
      <c r="B3626" s="375" t="s">
        <v>818</v>
      </c>
      <c r="C3626" s="311"/>
      <c r="D3626" s="902"/>
      <c r="E3626" s="312"/>
      <c r="F3626" s="313"/>
      <c r="G3626" s="313"/>
      <c r="H3626" s="313"/>
      <c r="I3626" s="729"/>
      <c r="J3626" s="800"/>
      <c r="K3626" s="131">
        <f t="shared" si="808"/>
        <v>0</v>
      </c>
      <c r="L3626" s="335">
        <f t="shared" si="798"/>
        <v>0</v>
      </c>
      <c r="M3626" s="446"/>
      <c r="N3626" s="446"/>
      <c r="O3626" s="446"/>
      <c r="P3626" s="446"/>
      <c r="Q3626" s="110">
        <f t="shared" si="805"/>
        <v>0</v>
      </c>
      <c r="R3626" s="111">
        <f t="shared" si="796"/>
        <v>0</v>
      </c>
      <c r="S3626" s="110"/>
      <c r="T3626" s="110"/>
      <c r="U3626" s="110">
        <f t="shared" si="806"/>
        <v>0</v>
      </c>
      <c r="V3626" s="111">
        <f t="shared" si="797"/>
        <v>0</v>
      </c>
      <c r="W3626" s="110"/>
      <c r="X3626" s="110"/>
      <c r="Y3626" s="110"/>
      <c r="Z3626" s="110"/>
      <c r="AA3626" s="110">
        <f t="shared" si="802"/>
        <v>0</v>
      </c>
      <c r="AB3626" s="111">
        <f t="shared" si="803"/>
        <v>0</v>
      </c>
      <c r="AC3626" s="110"/>
      <c r="AD3626" s="110"/>
      <c r="AE3626" s="110">
        <f t="shared" si="802"/>
        <v>0</v>
      </c>
      <c r="AF3626" s="111">
        <f t="shared" si="804"/>
        <v>0</v>
      </c>
      <c r="AG3626" s="110"/>
      <c r="AH3626" s="110"/>
      <c r="AI3626" s="110"/>
      <c r="AJ3626" s="110"/>
      <c r="AK3626" s="111">
        <f t="shared" si="799"/>
        <v>0</v>
      </c>
      <c r="AL3626" s="446">
        <f t="shared" si="800"/>
        <v>0</v>
      </c>
      <c r="AM3626" s="110">
        <f t="shared" si="801"/>
        <v>0</v>
      </c>
      <c r="AN3626" s="447">
        <f t="shared" si="807"/>
        <v>0</v>
      </c>
      <c r="AO3626" s="108"/>
      <c r="AP3626"/>
    </row>
    <row r="3627" spans="1:42" x14ac:dyDescent="0.25">
      <c r="A3627" s="61"/>
      <c r="B3627" s="583"/>
      <c r="C3627" s="9"/>
      <c r="D3627" s="882"/>
      <c r="E3627" s="1025"/>
      <c r="F3627" s="271"/>
      <c r="G3627" s="271"/>
      <c r="H3627" s="271"/>
      <c r="I3627" s="720"/>
      <c r="J3627" s="813"/>
      <c r="K3627" s="131">
        <f t="shared" si="808"/>
        <v>0</v>
      </c>
      <c r="L3627" s="335">
        <f t="shared" si="798"/>
        <v>0</v>
      </c>
      <c r="M3627" s="446"/>
      <c r="N3627" s="446"/>
      <c r="O3627" s="446"/>
      <c r="P3627" s="446"/>
      <c r="Q3627" s="110">
        <f t="shared" si="805"/>
        <v>0</v>
      </c>
      <c r="R3627" s="111">
        <f t="shared" si="796"/>
        <v>0</v>
      </c>
      <c r="S3627" s="110"/>
      <c r="T3627" s="110"/>
      <c r="U3627" s="110">
        <f t="shared" si="806"/>
        <v>0</v>
      </c>
      <c r="V3627" s="111">
        <f t="shared" si="797"/>
        <v>0</v>
      </c>
      <c r="W3627" s="110"/>
      <c r="X3627" s="110"/>
      <c r="Y3627" s="110"/>
      <c r="Z3627" s="110"/>
      <c r="AA3627" s="110">
        <f t="shared" si="802"/>
        <v>0</v>
      </c>
      <c r="AB3627" s="111">
        <f t="shared" si="803"/>
        <v>0</v>
      </c>
      <c r="AC3627" s="110"/>
      <c r="AD3627" s="110"/>
      <c r="AE3627" s="110">
        <f t="shared" si="802"/>
        <v>0</v>
      </c>
      <c r="AF3627" s="111">
        <f t="shared" si="804"/>
        <v>0</v>
      </c>
      <c r="AG3627" s="110"/>
      <c r="AH3627" s="110"/>
      <c r="AI3627" s="110"/>
      <c r="AJ3627" s="110"/>
      <c r="AK3627" s="111">
        <f t="shared" si="799"/>
        <v>0</v>
      </c>
      <c r="AL3627" s="446">
        <f t="shared" si="800"/>
        <v>0</v>
      </c>
      <c r="AM3627" s="110">
        <f t="shared" si="801"/>
        <v>0</v>
      </c>
      <c r="AN3627" s="447">
        <f t="shared" si="807"/>
        <v>0</v>
      </c>
      <c r="AO3627"/>
      <c r="AP3627"/>
    </row>
    <row r="3628" spans="1:42" x14ac:dyDescent="0.25">
      <c r="A3628" s="376">
        <v>325</v>
      </c>
      <c r="B3628" s="565" t="s">
        <v>819</v>
      </c>
      <c r="C3628" s="376"/>
      <c r="D3628" s="927"/>
      <c r="E3628" s="377"/>
      <c r="F3628" s="378"/>
      <c r="G3628" s="378"/>
      <c r="H3628" s="378"/>
      <c r="I3628" s="734"/>
      <c r="J3628" s="806"/>
      <c r="K3628" s="131">
        <f t="shared" si="808"/>
        <v>0</v>
      </c>
      <c r="L3628" s="335">
        <f t="shared" si="798"/>
        <v>0</v>
      </c>
      <c r="M3628" s="419"/>
      <c r="N3628" s="419"/>
      <c r="O3628" s="419"/>
      <c r="P3628" s="419"/>
      <c r="Q3628" s="418">
        <f t="shared" si="805"/>
        <v>0</v>
      </c>
      <c r="R3628" s="379">
        <f t="shared" si="796"/>
        <v>0</v>
      </c>
      <c r="S3628" s="418"/>
      <c r="T3628" s="418"/>
      <c r="U3628" s="418">
        <f t="shared" si="806"/>
        <v>0</v>
      </c>
      <c r="V3628" s="379">
        <f t="shared" si="797"/>
        <v>0</v>
      </c>
      <c r="W3628" s="418"/>
      <c r="X3628" s="418"/>
      <c r="Y3628" s="418"/>
      <c r="Z3628" s="418"/>
      <c r="AA3628" s="418">
        <f t="shared" si="802"/>
        <v>0</v>
      </c>
      <c r="AB3628" s="379">
        <f t="shared" si="803"/>
        <v>0</v>
      </c>
      <c r="AC3628" s="418"/>
      <c r="AD3628" s="418"/>
      <c r="AE3628" s="418">
        <f t="shared" si="802"/>
        <v>0</v>
      </c>
      <c r="AF3628" s="379">
        <f t="shared" si="804"/>
        <v>0</v>
      </c>
      <c r="AG3628" s="418"/>
      <c r="AH3628" s="418"/>
      <c r="AI3628" s="418"/>
      <c r="AJ3628" s="418"/>
      <c r="AK3628" s="379">
        <f t="shared" si="799"/>
        <v>0</v>
      </c>
      <c r="AL3628" s="446">
        <f t="shared" si="800"/>
        <v>0</v>
      </c>
      <c r="AM3628" s="110">
        <f t="shared" si="801"/>
        <v>0</v>
      </c>
      <c r="AN3628" s="447">
        <f t="shared" si="807"/>
        <v>0</v>
      </c>
      <c r="AO3628" s="108"/>
      <c r="AP3628"/>
    </row>
    <row r="3629" spans="1:42" x14ac:dyDescent="0.25">
      <c r="A3629" s="310">
        <v>32501</v>
      </c>
      <c r="B3629" s="375" t="s">
        <v>819</v>
      </c>
      <c r="C3629" s="311"/>
      <c r="D3629" s="902"/>
      <c r="E3629" s="312"/>
      <c r="F3629" s="313"/>
      <c r="G3629" s="313"/>
      <c r="H3629" s="313"/>
      <c r="I3629" s="729"/>
      <c r="J3629" s="800"/>
      <c r="K3629" s="131">
        <f t="shared" si="808"/>
        <v>0</v>
      </c>
      <c r="L3629" s="335">
        <f t="shared" si="798"/>
        <v>0</v>
      </c>
      <c r="M3629" s="446"/>
      <c r="N3629" s="446"/>
      <c r="O3629" s="446"/>
      <c r="P3629" s="446"/>
      <c r="Q3629" s="110">
        <f t="shared" si="805"/>
        <v>0</v>
      </c>
      <c r="R3629" s="111">
        <f t="shared" si="796"/>
        <v>0</v>
      </c>
      <c r="S3629" s="110"/>
      <c r="T3629" s="110"/>
      <c r="U3629" s="110">
        <f t="shared" si="806"/>
        <v>0</v>
      </c>
      <c r="V3629" s="111">
        <f t="shared" si="797"/>
        <v>0</v>
      </c>
      <c r="W3629" s="110"/>
      <c r="X3629" s="110"/>
      <c r="Y3629" s="110"/>
      <c r="Z3629" s="110"/>
      <c r="AA3629" s="110">
        <f t="shared" si="802"/>
        <v>0</v>
      </c>
      <c r="AB3629" s="111">
        <f t="shared" si="803"/>
        <v>0</v>
      </c>
      <c r="AC3629" s="110"/>
      <c r="AD3629" s="110"/>
      <c r="AE3629" s="110">
        <f t="shared" si="802"/>
        <v>0</v>
      </c>
      <c r="AF3629" s="111">
        <f t="shared" si="804"/>
        <v>0</v>
      </c>
      <c r="AG3629" s="110"/>
      <c r="AH3629" s="110"/>
      <c r="AI3629" s="110"/>
      <c r="AJ3629" s="110"/>
      <c r="AK3629" s="111">
        <f t="shared" si="799"/>
        <v>0</v>
      </c>
      <c r="AL3629" s="446">
        <f t="shared" si="800"/>
        <v>0</v>
      </c>
      <c r="AM3629" s="110">
        <f t="shared" si="801"/>
        <v>0</v>
      </c>
      <c r="AN3629" s="447">
        <f t="shared" si="807"/>
        <v>0</v>
      </c>
      <c r="AO3629" s="108"/>
      <c r="AP3629"/>
    </row>
    <row r="3630" spans="1:42" x14ac:dyDescent="0.25">
      <c r="A3630" s="61"/>
      <c r="B3630" s="583"/>
      <c r="C3630" s="9"/>
      <c r="D3630" s="882"/>
      <c r="E3630" s="1025"/>
      <c r="F3630" s="271"/>
      <c r="G3630" s="271"/>
      <c r="H3630" s="271"/>
      <c r="I3630" s="720"/>
      <c r="J3630" s="813"/>
      <c r="K3630" s="131">
        <f t="shared" si="808"/>
        <v>0</v>
      </c>
      <c r="L3630" s="335">
        <f t="shared" si="798"/>
        <v>0</v>
      </c>
      <c r="M3630" s="446"/>
      <c r="N3630" s="446"/>
      <c r="O3630" s="446"/>
      <c r="P3630" s="446"/>
      <c r="Q3630" s="110">
        <f t="shared" si="805"/>
        <v>0</v>
      </c>
      <c r="R3630" s="111">
        <f t="shared" si="796"/>
        <v>0</v>
      </c>
      <c r="S3630" s="110"/>
      <c r="T3630" s="110"/>
      <c r="U3630" s="110">
        <f t="shared" si="806"/>
        <v>0</v>
      </c>
      <c r="V3630" s="111">
        <f t="shared" si="797"/>
        <v>0</v>
      </c>
      <c r="W3630" s="110"/>
      <c r="X3630" s="110"/>
      <c r="Y3630" s="110"/>
      <c r="Z3630" s="110"/>
      <c r="AA3630" s="110">
        <f t="shared" si="802"/>
        <v>0</v>
      </c>
      <c r="AB3630" s="111">
        <f t="shared" si="803"/>
        <v>0</v>
      </c>
      <c r="AC3630" s="110"/>
      <c r="AD3630" s="110"/>
      <c r="AE3630" s="110">
        <f t="shared" si="802"/>
        <v>0</v>
      </c>
      <c r="AF3630" s="111">
        <f t="shared" si="804"/>
        <v>0</v>
      </c>
      <c r="AG3630" s="110"/>
      <c r="AH3630" s="110"/>
      <c r="AI3630" s="110"/>
      <c r="AJ3630" s="110"/>
      <c r="AK3630" s="111">
        <f t="shared" si="799"/>
        <v>0</v>
      </c>
      <c r="AL3630" s="446">
        <f t="shared" si="800"/>
        <v>0</v>
      </c>
      <c r="AM3630" s="110">
        <f t="shared" si="801"/>
        <v>0</v>
      </c>
      <c r="AN3630" s="447">
        <f t="shared" si="807"/>
        <v>0</v>
      </c>
      <c r="AO3630"/>
      <c r="AP3630"/>
    </row>
    <row r="3631" spans="1:42" ht="22.5" x14ac:dyDescent="0.25">
      <c r="A3631" s="376">
        <v>326</v>
      </c>
      <c r="B3631" s="565" t="s">
        <v>820</v>
      </c>
      <c r="C3631" s="376"/>
      <c r="D3631" s="927"/>
      <c r="E3631" s="377"/>
      <c r="F3631" s="378"/>
      <c r="G3631" s="378"/>
      <c r="H3631" s="378"/>
      <c r="I3631" s="734"/>
      <c r="J3631" s="806"/>
      <c r="K3631" s="131">
        <f t="shared" si="808"/>
        <v>0</v>
      </c>
      <c r="L3631" s="335">
        <f t="shared" si="798"/>
        <v>0</v>
      </c>
      <c r="M3631" s="419"/>
      <c r="N3631" s="419"/>
      <c r="O3631" s="419"/>
      <c r="P3631" s="419"/>
      <c r="Q3631" s="418">
        <f t="shared" si="805"/>
        <v>0</v>
      </c>
      <c r="R3631" s="379">
        <f t="shared" ref="R3631:R3694" si="809">+J3631/4</f>
        <v>0</v>
      </c>
      <c r="S3631" s="418"/>
      <c r="T3631" s="418"/>
      <c r="U3631" s="418">
        <f t="shared" si="806"/>
        <v>0</v>
      </c>
      <c r="V3631" s="379">
        <f t="shared" ref="V3631:V3694" si="810">+J3631/4</f>
        <v>0</v>
      </c>
      <c r="W3631" s="418"/>
      <c r="X3631" s="418"/>
      <c r="Y3631" s="418"/>
      <c r="Z3631" s="418"/>
      <c r="AA3631" s="418">
        <f t="shared" si="802"/>
        <v>0</v>
      </c>
      <c r="AB3631" s="379">
        <f t="shared" si="803"/>
        <v>0</v>
      </c>
      <c r="AC3631" s="418"/>
      <c r="AD3631" s="418"/>
      <c r="AE3631" s="418">
        <f t="shared" si="802"/>
        <v>0</v>
      </c>
      <c r="AF3631" s="379">
        <f t="shared" si="804"/>
        <v>0</v>
      </c>
      <c r="AG3631" s="418"/>
      <c r="AH3631" s="418"/>
      <c r="AI3631" s="418"/>
      <c r="AJ3631" s="418"/>
      <c r="AK3631" s="379">
        <f t="shared" si="799"/>
        <v>0</v>
      </c>
      <c r="AL3631" s="446">
        <f t="shared" si="800"/>
        <v>0</v>
      </c>
      <c r="AM3631" s="110">
        <f t="shared" si="801"/>
        <v>0</v>
      </c>
      <c r="AN3631" s="447">
        <f t="shared" si="807"/>
        <v>0</v>
      </c>
      <c r="AO3631" s="108"/>
      <c r="AP3631"/>
    </row>
    <row r="3632" spans="1:42" ht="22.5" x14ac:dyDescent="0.25">
      <c r="A3632" s="310">
        <v>32601</v>
      </c>
      <c r="B3632" s="375" t="s">
        <v>820</v>
      </c>
      <c r="C3632" s="311"/>
      <c r="D3632" s="902"/>
      <c r="E3632" s="312"/>
      <c r="F3632" s="313"/>
      <c r="G3632" s="313"/>
      <c r="H3632" s="313"/>
      <c r="I3632" s="729"/>
      <c r="J3632" s="800"/>
      <c r="K3632" s="131">
        <f t="shared" si="808"/>
        <v>0</v>
      </c>
      <c r="L3632" s="335">
        <f t="shared" si="798"/>
        <v>0</v>
      </c>
      <c r="M3632" s="446"/>
      <c r="N3632" s="446"/>
      <c r="O3632" s="446"/>
      <c r="P3632" s="446"/>
      <c r="Q3632" s="110">
        <f t="shared" si="805"/>
        <v>0</v>
      </c>
      <c r="R3632" s="111">
        <f t="shared" si="809"/>
        <v>0</v>
      </c>
      <c r="S3632" s="110"/>
      <c r="T3632" s="110"/>
      <c r="U3632" s="110">
        <f t="shared" si="806"/>
        <v>0</v>
      </c>
      <c r="V3632" s="111">
        <f t="shared" si="810"/>
        <v>0</v>
      </c>
      <c r="W3632" s="110"/>
      <c r="X3632" s="110"/>
      <c r="Y3632" s="110"/>
      <c r="Z3632" s="110"/>
      <c r="AA3632" s="110">
        <f t="shared" si="802"/>
        <v>0</v>
      </c>
      <c r="AB3632" s="111">
        <f t="shared" si="803"/>
        <v>0</v>
      </c>
      <c r="AC3632" s="110"/>
      <c r="AD3632" s="110"/>
      <c r="AE3632" s="110">
        <f t="shared" si="802"/>
        <v>0</v>
      </c>
      <c r="AF3632" s="111">
        <f t="shared" si="804"/>
        <v>0</v>
      </c>
      <c r="AG3632" s="110"/>
      <c r="AH3632" s="110"/>
      <c r="AI3632" s="110"/>
      <c r="AJ3632" s="110"/>
      <c r="AK3632" s="111">
        <f t="shared" si="799"/>
        <v>0</v>
      </c>
      <c r="AL3632" s="446">
        <f t="shared" si="800"/>
        <v>0</v>
      </c>
      <c r="AM3632" s="110">
        <f t="shared" si="801"/>
        <v>0</v>
      </c>
      <c r="AN3632" s="447">
        <f t="shared" si="807"/>
        <v>0</v>
      </c>
      <c r="AO3632" s="108"/>
      <c r="AP3632"/>
    </row>
    <row r="3633" spans="1:42" x14ac:dyDescent="0.25">
      <c r="A3633" s="61"/>
      <c r="B3633" s="583"/>
      <c r="C3633" s="9"/>
      <c r="D3633" s="882"/>
      <c r="E3633" s="1025"/>
      <c r="F3633" s="271"/>
      <c r="G3633" s="271"/>
      <c r="H3633" s="271"/>
      <c r="I3633" s="720"/>
      <c r="J3633" s="813"/>
      <c r="K3633" s="131">
        <f t="shared" si="808"/>
        <v>0</v>
      </c>
      <c r="L3633" s="335">
        <f t="shared" si="798"/>
        <v>0</v>
      </c>
      <c r="M3633" s="446"/>
      <c r="N3633" s="446"/>
      <c r="O3633" s="446"/>
      <c r="P3633" s="446"/>
      <c r="Q3633" s="110">
        <f t="shared" si="805"/>
        <v>0</v>
      </c>
      <c r="R3633" s="111">
        <f t="shared" si="809"/>
        <v>0</v>
      </c>
      <c r="S3633" s="110"/>
      <c r="T3633" s="110"/>
      <c r="U3633" s="110">
        <f t="shared" si="806"/>
        <v>0</v>
      </c>
      <c r="V3633" s="111">
        <f t="shared" si="810"/>
        <v>0</v>
      </c>
      <c r="W3633" s="110"/>
      <c r="X3633" s="110"/>
      <c r="Y3633" s="110"/>
      <c r="Z3633" s="110"/>
      <c r="AA3633" s="110">
        <f t="shared" si="802"/>
        <v>0</v>
      </c>
      <c r="AB3633" s="111">
        <f t="shared" si="803"/>
        <v>0</v>
      </c>
      <c r="AC3633" s="110"/>
      <c r="AD3633" s="110"/>
      <c r="AE3633" s="110">
        <f t="shared" si="802"/>
        <v>0</v>
      </c>
      <c r="AF3633" s="111">
        <f t="shared" si="804"/>
        <v>0</v>
      </c>
      <c r="AG3633" s="110"/>
      <c r="AH3633" s="110"/>
      <c r="AI3633" s="110"/>
      <c r="AJ3633" s="110"/>
      <c r="AK3633" s="111">
        <f t="shared" si="799"/>
        <v>0</v>
      </c>
      <c r="AL3633" s="446">
        <f t="shared" si="800"/>
        <v>0</v>
      </c>
      <c r="AM3633" s="110">
        <f t="shared" si="801"/>
        <v>0</v>
      </c>
      <c r="AN3633" s="447">
        <f t="shared" si="807"/>
        <v>0</v>
      </c>
      <c r="AO3633"/>
      <c r="AP3633"/>
    </row>
    <row r="3634" spans="1:42" x14ac:dyDescent="0.25">
      <c r="A3634" s="376">
        <v>327</v>
      </c>
      <c r="B3634" s="565" t="s">
        <v>821</v>
      </c>
      <c r="C3634" s="376"/>
      <c r="D3634" s="927"/>
      <c r="E3634" s="377"/>
      <c r="F3634" s="378"/>
      <c r="G3634" s="378"/>
      <c r="H3634" s="378"/>
      <c r="I3634" s="734"/>
      <c r="J3634" s="806"/>
      <c r="K3634" s="131">
        <f t="shared" si="808"/>
        <v>0</v>
      </c>
      <c r="L3634" s="335">
        <f t="shared" si="798"/>
        <v>0</v>
      </c>
      <c r="M3634" s="419"/>
      <c r="N3634" s="419"/>
      <c r="O3634" s="419"/>
      <c r="P3634" s="419"/>
      <c r="Q3634" s="418">
        <f t="shared" si="805"/>
        <v>0</v>
      </c>
      <c r="R3634" s="379">
        <f t="shared" si="809"/>
        <v>0</v>
      </c>
      <c r="S3634" s="418"/>
      <c r="T3634" s="418"/>
      <c r="U3634" s="418">
        <f t="shared" si="806"/>
        <v>0</v>
      </c>
      <c r="V3634" s="379">
        <f t="shared" si="810"/>
        <v>0</v>
      </c>
      <c r="W3634" s="418"/>
      <c r="X3634" s="418"/>
      <c r="Y3634" s="418"/>
      <c r="Z3634" s="418"/>
      <c r="AA3634" s="418">
        <f t="shared" si="802"/>
        <v>0</v>
      </c>
      <c r="AB3634" s="379">
        <f t="shared" si="803"/>
        <v>0</v>
      </c>
      <c r="AC3634" s="418"/>
      <c r="AD3634" s="418"/>
      <c r="AE3634" s="418">
        <f t="shared" si="802"/>
        <v>0</v>
      </c>
      <c r="AF3634" s="379">
        <f t="shared" si="804"/>
        <v>0</v>
      </c>
      <c r="AG3634" s="418"/>
      <c r="AH3634" s="418"/>
      <c r="AI3634" s="418"/>
      <c r="AJ3634" s="418"/>
      <c r="AK3634" s="379">
        <f t="shared" si="799"/>
        <v>0</v>
      </c>
      <c r="AL3634" s="446">
        <f t="shared" si="800"/>
        <v>0</v>
      </c>
      <c r="AM3634" s="110">
        <f t="shared" si="801"/>
        <v>0</v>
      </c>
      <c r="AN3634" s="447">
        <f t="shared" si="807"/>
        <v>0</v>
      </c>
      <c r="AO3634" s="108"/>
      <c r="AP3634"/>
    </row>
    <row r="3635" spans="1:42" x14ac:dyDescent="0.25">
      <c r="A3635" s="310">
        <v>32701</v>
      </c>
      <c r="B3635" s="375" t="s">
        <v>821</v>
      </c>
      <c r="C3635" s="311"/>
      <c r="D3635" s="902"/>
      <c r="E3635" s="312"/>
      <c r="F3635" s="313"/>
      <c r="G3635" s="313"/>
      <c r="H3635" s="313"/>
      <c r="I3635" s="729"/>
      <c r="J3635" s="800"/>
      <c r="K3635" s="131">
        <f t="shared" si="808"/>
        <v>0</v>
      </c>
      <c r="L3635" s="335">
        <f t="shared" si="798"/>
        <v>0</v>
      </c>
      <c r="M3635" s="446"/>
      <c r="N3635" s="446"/>
      <c r="O3635" s="446"/>
      <c r="P3635" s="446"/>
      <c r="Q3635" s="110">
        <f t="shared" si="805"/>
        <v>0</v>
      </c>
      <c r="R3635" s="111">
        <f t="shared" si="809"/>
        <v>0</v>
      </c>
      <c r="S3635" s="110"/>
      <c r="T3635" s="110"/>
      <c r="U3635" s="110">
        <f t="shared" si="806"/>
        <v>0</v>
      </c>
      <c r="V3635" s="111">
        <f t="shared" si="810"/>
        <v>0</v>
      </c>
      <c r="W3635" s="110"/>
      <c r="X3635" s="110"/>
      <c r="Y3635" s="110"/>
      <c r="Z3635" s="110"/>
      <c r="AA3635" s="110">
        <f t="shared" si="802"/>
        <v>0</v>
      </c>
      <c r="AB3635" s="111">
        <f t="shared" si="803"/>
        <v>0</v>
      </c>
      <c r="AC3635" s="110"/>
      <c r="AD3635" s="110"/>
      <c r="AE3635" s="110">
        <f t="shared" si="802"/>
        <v>0</v>
      </c>
      <c r="AF3635" s="111">
        <f t="shared" si="804"/>
        <v>0</v>
      </c>
      <c r="AG3635" s="110"/>
      <c r="AH3635" s="110"/>
      <c r="AI3635" s="110"/>
      <c r="AJ3635" s="110"/>
      <c r="AK3635" s="111">
        <f t="shared" si="799"/>
        <v>0</v>
      </c>
      <c r="AL3635" s="446">
        <f t="shared" si="800"/>
        <v>0</v>
      </c>
      <c r="AM3635" s="110">
        <f t="shared" si="801"/>
        <v>0</v>
      </c>
      <c r="AN3635" s="447">
        <f t="shared" si="807"/>
        <v>0</v>
      </c>
      <c r="AO3635" s="436">
        <f>SUM(J3637:J3639)</f>
        <v>66400</v>
      </c>
      <c r="AP3635" s="111"/>
    </row>
    <row r="3636" spans="1:42" x14ac:dyDescent="0.25">
      <c r="A3636" s="9"/>
      <c r="B3636" s="76" t="s">
        <v>821</v>
      </c>
      <c r="C3636" s="1024"/>
      <c r="D3636" s="869"/>
      <c r="E3636" s="1027"/>
      <c r="F3636" s="272"/>
      <c r="G3636" s="272"/>
      <c r="H3636" s="272"/>
      <c r="I3636" s="720"/>
      <c r="J3636" s="816"/>
      <c r="K3636" s="131">
        <f t="shared" si="808"/>
        <v>0</v>
      </c>
      <c r="L3636" s="335">
        <f t="shared" ref="L3636:L3699" si="811">+J3636-K3636</f>
        <v>0</v>
      </c>
      <c r="M3636" s="446"/>
      <c r="N3636" s="446"/>
      <c r="O3636" s="446"/>
      <c r="P3636" s="446"/>
      <c r="Q3636" s="110">
        <f t="shared" si="805"/>
        <v>0</v>
      </c>
      <c r="R3636" s="111">
        <f t="shared" si="809"/>
        <v>0</v>
      </c>
      <c r="S3636" s="110"/>
      <c r="T3636" s="110"/>
      <c r="U3636" s="110">
        <f t="shared" si="806"/>
        <v>0</v>
      </c>
      <c r="V3636" s="111">
        <f t="shared" si="810"/>
        <v>0</v>
      </c>
      <c r="W3636" s="110"/>
      <c r="X3636" s="110"/>
      <c r="Y3636" s="110"/>
      <c r="Z3636" s="110"/>
      <c r="AA3636" s="110">
        <f t="shared" si="802"/>
        <v>0</v>
      </c>
      <c r="AB3636" s="111">
        <f t="shared" si="803"/>
        <v>0</v>
      </c>
      <c r="AC3636" s="110"/>
      <c r="AD3636" s="110"/>
      <c r="AE3636" s="110">
        <f t="shared" si="802"/>
        <v>0</v>
      </c>
      <c r="AF3636" s="111">
        <f t="shared" si="804"/>
        <v>0</v>
      </c>
      <c r="AG3636" s="110"/>
      <c r="AH3636" s="110"/>
      <c r="AI3636" s="110"/>
      <c r="AJ3636" s="110"/>
      <c r="AK3636" s="111">
        <f t="shared" ref="AK3636:AK3699" si="812">+R3636+V3636+AB3636+AF3636</f>
        <v>0</v>
      </c>
      <c r="AL3636" s="446">
        <f t="shared" ref="AL3636:AL3699" si="813">+J3636-AK3636</f>
        <v>0</v>
      </c>
      <c r="AM3636" s="110">
        <f t="shared" ref="AM3636:AM3699" si="814">+Q3636+U3636+AA3636+AE3636</f>
        <v>0</v>
      </c>
      <c r="AN3636" s="447">
        <f t="shared" si="807"/>
        <v>0</v>
      </c>
      <c r="AO3636"/>
      <c r="AP3636"/>
    </row>
    <row r="3637" spans="1:42" ht="66" x14ac:dyDescent="0.25">
      <c r="A3637" s="60"/>
      <c r="B3637" s="584" t="s">
        <v>822</v>
      </c>
      <c r="C3637" s="1024"/>
      <c r="D3637" s="882">
        <v>5</v>
      </c>
      <c r="E3637" s="1025" t="s">
        <v>1755</v>
      </c>
      <c r="F3637" s="271" t="s">
        <v>3446</v>
      </c>
      <c r="G3637" s="1040" t="s">
        <v>3463</v>
      </c>
      <c r="H3637" s="273" t="s">
        <v>3462</v>
      </c>
      <c r="I3637" s="720">
        <f>+J3637/D3637</f>
        <v>10000</v>
      </c>
      <c r="J3637" s="813">
        <v>50000</v>
      </c>
      <c r="K3637" s="131">
        <f t="shared" si="808"/>
        <v>50000</v>
      </c>
      <c r="L3637" s="335">
        <f t="shared" si="811"/>
        <v>0</v>
      </c>
      <c r="M3637" s="446"/>
      <c r="N3637" s="446"/>
      <c r="O3637" s="446"/>
      <c r="P3637" s="446"/>
      <c r="Q3637" s="110">
        <v>2</v>
      </c>
      <c r="R3637" s="111">
        <f t="shared" si="809"/>
        <v>12500</v>
      </c>
      <c r="S3637" s="110"/>
      <c r="T3637" s="110"/>
      <c r="U3637" s="110">
        <v>1</v>
      </c>
      <c r="V3637" s="111">
        <f t="shared" si="810"/>
        <v>12500</v>
      </c>
      <c r="W3637" s="110"/>
      <c r="X3637" s="110"/>
      <c r="Y3637" s="110"/>
      <c r="Z3637" s="110"/>
      <c r="AA3637" s="110">
        <v>1</v>
      </c>
      <c r="AB3637" s="111">
        <f t="shared" si="803"/>
        <v>12500</v>
      </c>
      <c r="AC3637" s="110"/>
      <c r="AD3637" s="110"/>
      <c r="AE3637" s="110">
        <v>1</v>
      </c>
      <c r="AF3637" s="111">
        <f t="shared" si="804"/>
        <v>12500</v>
      </c>
      <c r="AG3637" s="110"/>
      <c r="AH3637" s="110"/>
      <c r="AI3637" s="110"/>
      <c r="AJ3637" s="110"/>
      <c r="AK3637" s="111">
        <f t="shared" si="812"/>
        <v>50000</v>
      </c>
      <c r="AL3637" s="446">
        <f t="shared" si="813"/>
        <v>0</v>
      </c>
      <c r="AM3637" s="110">
        <f t="shared" si="814"/>
        <v>5</v>
      </c>
      <c r="AN3637" s="447">
        <f t="shared" si="807"/>
        <v>0</v>
      </c>
      <c r="AO3637"/>
      <c r="AP3637"/>
    </row>
    <row r="3638" spans="1:42" ht="66" x14ac:dyDescent="0.25">
      <c r="A3638" s="60"/>
      <c r="B3638" s="584" t="s">
        <v>823</v>
      </c>
      <c r="C3638" s="1024"/>
      <c r="D3638" s="882">
        <v>12</v>
      </c>
      <c r="E3638" s="1025" t="s">
        <v>1755</v>
      </c>
      <c r="F3638" s="271" t="s">
        <v>3446</v>
      </c>
      <c r="G3638" s="1040" t="s">
        <v>3463</v>
      </c>
      <c r="H3638" s="273" t="s">
        <v>3462</v>
      </c>
      <c r="I3638" s="720">
        <f>+J3638/D3638</f>
        <v>200</v>
      </c>
      <c r="J3638" s="813">
        <v>2400</v>
      </c>
      <c r="K3638" s="131">
        <f t="shared" si="808"/>
        <v>2400</v>
      </c>
      <c r="L3638" s="335">
        <f t="shared" si="811"/>
        <v>0</v>
      </c>
      <c r="M3638" s="446"/>
      <c r="N3638" s="446"/>
      <c r="O3638" s="446"/>
      <c r="P3638" s="446"/>
      <c r="Q3638" s="110">
        <f t="shared" si="805"/>
        <v>3</v>
      </c>
      <c r="R3638" s="111">
        <f t="shared" si="809"/>
        <v>600</v>
      </c>
      <c r="S3638" s="110"/>
      <c r="T3638" s="110"/>
      <c r="U3638" s="110">
        <f t="shared" si="806"/>
        <v>3</v>
      </c>
      <c r="V3638" s="111">
        <f t="shared" si="810"/>
        <v>600</v>
      </c>
      <c r="W3638" s="110"/>
      <c r="X3638" s="110"/>
      <c r="Y3638" s="110"/>
      <c r="Z3638" s="110"/>
      <c r="AA3638" s="110">
        <f t="shared" si="802"/>
        <v>3</v>
      </c>
      <c r="AB3638" s="111">
        <f t="shared" si="803"/>
        <v>600</v>
      </c>
      <c r="AC3638" s="110"/>
      <c r="AD3638" s="110"/>
      <c r="AE3638" s="110">
        <f t="shared" si="802"/>
        <v>3</v>
      </c>
      <c r="AF3638" s="111">
        <f t="shared" si="804"/>
        <v>600</v>
      </c>
      <c r="AG3638" s="110"/>
      <c r="AH3638" s="110"/>
      <c r="AI3638" s="110"/>
      <c r="AJ3638" s="110"/>
      <c r="AK3638" s="111">
        <f t="shared" si="812"/>
        <v>2400</v>
      </c>
      <c r="AL3638" s="446">
        <f t="shared" si="813"/>
        <v>0</v>
      </c>
      <c r="AM3638" s="110">
        <f t="shared" si="814"/>
        <v>12</v>
      </c>
      <c r="AN3638" s="447">
        <f t="shared" si="807"/>
        <v>0</v>
      </c>
      <c r="AO3638"/>
      <c r="AP3638"/>
    </row>
    <row r="3639" spans="1:42" ht="66" x14ac:dyDescent="0.25">
      <c r="A3639" s="60"/>
      <c r="B3639" s="583" t="s">
        <v>824</v>
      </c>
      <c r="C3639" s="162"/>
      <c r="D3639" s="882">
        <v>4</v>
      </c>
      <c r="E3639" s="1025" t="s">
        <v>1755</v>
      </c>
      <c r="F3639" s="271" t="s">
        <v>3446</v>
      </c>
      <c r="G3639" s="1040" t="s">
        <v>3463</v>
      </c>
      <c r="H3639" s="273" t="s">
        <v>3462</v>
      </c>
      <c r="I3639" s="720">
        <f>+J3639/D3639</f>
        <v>3500</v>
      </c>
      <c r="J3639" s="813">
        <v>14000</v>
      </c>
      <c r="K3639" s="131">
        <f t="shared" si="808"/>
        <v>14000</v>
      </c>
      <c r="L3639" s="335">
        <f t="shared" si="811"/>
        <v>0</v>
      </c>
      <c r="M3639" s="446"/>
      <c r="N3639" s="446"/>
      <c r="O3639" s="446"/>
      <c r="P3639" s="446"/>
      <c r="Q3639" s="110">
        <f t="shared" si="805"/>
        <v>1</v>
      </c>
      <c r="R3639" s="111">
        <f t="shared" si="809"/>
        <v>3500</v>
      </c>
      <c r="S3639" s="110"/>
      <c r="T3639" s="110"/>
      <c r="U3639" s="110">
        <f t="shared" si="806"/>
        <v>1</v>
      </c>
      <c r="V3639" s="111">
        <f t="shared" si="810"/>
        <v>3500</v>
      </c>
      <c r="W3639" s="110"/>
      <c r="X3639" s="110"/>
      <c r="Y3639" s="110"/>
      <c r="Z3639" s="110"/>
      <c r="AA3639" s="110">
        <f t="shared" si="802"/>
        <v>1</v>
      </c>
      <c r="AB3639" s="111">
        <f t="shared" si="803"/>
        <v>3500</v>
      </c>
      <c r="AC3639" s="110"/>
      <c r="AD3639" s="110"/>
      <c r="AE3639" s="110">
        <f t="shared" si="802"/>
        <v>1</v>
      </c>
      <c r="AF3639" s="111">
        <f t="shared" si="804"/>
        <v>3500</v>
      </c>
      <c r="AG3639" s="110"/>
      <c r="AH3639" s="110"/>
      <c r="AI3639" s="110"/>
      <c r="AJ3639" s="110"/>
      <c r="AK3639" s="111">
        <f t="shared" si="812"/>
        <v>14000</v>
      </c>
      <c r="AL3639" s="446">
        <f t="shared" si="813"/>
        <v>0</v>
      </c>
      <c r="AM3639" s="110">
        <f t="shared" si="814"/>
        <v>4</v>
      </c>
      <c r="AN3639" s="447">
        <f t="shared" si="807"/>
        <v>0</v>
      </c>
      <c r="AO3639"/>
      <c r="AP3639"/>
    </row>
    <row r="3640" spans="1:42" x14ac:dyDescent="0.25">
      <c r="A3640" s="376">
        <v>328</v>
      </c>
      <c r="B3640" s="565" t="s">
        <v>825</v>
      </c>
      <c r="C3640" s="376"/>
      <c r="D3640" s="927"/>
      <c r="E3640" s="377"/>
      <c r="F3640" s="378"/>
      <c r="G3640" s="378"/>
      <c r="H3640" s="378"/>
      <c r="I3640" s="734"/>
      <c r="J3640" s="806"/>
      <c r="K3640" s="131">
        <f t="shared" si="808"/>
        <v>0</v>
      </c>
      <c r="L3640" s="335">
        <f t="shared" si="811"/>
        <v>0</v>
      </c>
      <c r="M3640" s="419"/>
      <c r="N3640" s="419"/>
      <c r="O3640" s="419"/>
      <c r="P3640" s="419"/>
      <c r="Q3640" s="418">
        <f t="shared" si="805"/>
        <v>0</v>
      </c>
      <c r="R3640" s="379">
        <f t="shared" si="809"/>
        <v>0</v>
      </c>
      <c r="S3640" s="418"/>
      <c r="T3640" s="418"/>
      <c r="U3640" s="418">
        <f t="shared" si="806"/>
        <v>0</v>
      </c>
      <c r="V3640" s="379">
        <f t="shared" si="810"/>
        <v>0</v>
      </c>
      <c r="W3640" s="418"/>
      <c r="X3640" s="418"/>
      <c r="Y3640" s="418"/>
      <c r="Z3640" s="418"/>
      <c r="AA3640" s="418">
        <f t="shared" si="802"/>
        <v>0</v>
      </c>
      <c r="AB3640" s="379">
        <f t="shared" si="803"/>
        <v>0</v>
      </c>
      <c r="AC3640" s="418"/>
      <c r="AD3640" s="418"/>
      <c r="AE3640" s="418">
        <f t="shared" si="802"/>
        <v>0</v>
      </c>
      <c r="AF3640" s="379">
        <f t="shared" si="804"/>
        <v>0</v>
      </c>
      <c r="AG3640" s="418"/>
      <c r="AH3640" s="418"/>
      <c r="AI3640" s="418"/>
      <c r="AJ3640" s="418"/>
      <c r="AK3640" s="379">
        <f t="shared" si="812"/>
        <v>0</v>
      </c>
      <c r="AL3640" s="446">
        <f t="shared" si="813"/>
        <v>0</v>
      </c>
      <c r="AM3640" s="110">
        <f t="shared" si="814"/>
        <v>0</v>
      </c>
      <c r="AN3640" s="447">
        <f t="shared" si="807"/>
        <v>0</v>
      </c>
      <c r="AO3640" s="108"/>
      <c r="AP3640"/>
    </row>
    <row r="3641" spans="1:42" x14ac:dyDescent="0.25">
      <c r="A3641" s="310">
        <v>32801</v>
      </c>
      <c r="B3641" s="375" t="s">
        <v>825</v>
      </c>
      <c r="C3641" s="311"/>
      <c r="D3641" s="902"/>
      <c r="E3641" s="312"/>
      <c r="F3641" s="313"/>
      <c r="G3641" s="313"/>
      <c r="H3641" s="313"/>
      <c r="I3641" s="729"/>
      <c r="J3641" s="800"/>
      <c r="K3641" s="131">
        <f t="shared" si="808"/>
        <v>0</v>
      </c>
      <c r="L3641" s="335">
        <f t="shared" si="811"/>
        <v>0</v>
      </c>
      <c r="M3641" s="446"/>
      <c r="N3641" s="446"/>
      <c r="O3641" s="446"/>
      <c r="P3641" s="446"/>
      <c r="Q3641" s="110">
        <f t="shared" si="805"/>
        <v>0</v>
      </c>
      <c r="R3641" s="111">
        <f t="shared" si="809"/>
        <v>0</v>
      </c>
      <c r="S3641" s="110"/>
      <c r="T3641" s="110"/>
      <c r="U3641" s="110">
        <f t="shared" si="806"/>
        <v>0</v>
      </c>
      <c r="V3641" s="111">
        <f t="shared" si="810"/>
        <v>0</v>
      </c>
      <c r="W3641" s="110"/>
      <c r="X3641" s="110"/>
      <c r="Y3641" s="110"/>
      <c r="Z3641" s="110"/>
      <c r="AA3641" s="110">
        <f t="shared" ref="AA3641:AE3696" si="815">+$D3641/4</f>
        <v>0</v>
      </c>
      <c r="AB3641" s="111">
        <f t="shared" si="803"/>
        <v>0</v>
      </c>
      <c r="AC3641" s="110"/>
      <c r="AD3641" s="110"/>
      <c r="AE3641" s="110">
        <f t="shared" si="815"/>
        <v>0</v>
      </c>
      <c r="AF3641" s="111">
        <f t="shared" si="804"/>
        <v>0</v>
      </c>
      <c r="AG3641" s="110"/>
      <c r="AH3641" s="110"/>
      <c r="AI3641" s="110"/>
      <c r="AJ3641" s="110"/>
      <c r="AK3641" s="111">
        <f t="shared" si="812"/>
        <v>0</v>
      </c>
      <c r="AL3641" s="446">
        <f t="shared" si="813"/>
        <v>0</v>
      </c>
      <c r="AM3641" s="110">
        <f t="shared" si="814"/>
        <v>0</v>
      </c>
      <c r="AN3641" s="447">
        <f t="shared" si="807"/>
        <v>0</v>
      </c>
      <c r="AO3641" s="108"/>
      <c r="AP3641"/>
    </row>
    <row r="3642" spans="1:42" x14ac:dyDescent="0.25">
      <c r="A3642" s="61"/>
      <c r="B3642" s="583"/>
      <c r="C3642" s="9"/>
      <c r="D3642" s="882"/>
      <c r="E3642" s="1025"/>
      <c r="F3642" s="271"/>
      <c r="G3642" s="271"/>
      <c r="H3642" s="271"/>
      <c r="I3642" s="720"/>
      <c r="J3642" s="813"/>
      <c r="K3642" s="131">
        <f t="shared" si="808"/>
        <v>0</v>
      </c>
      <c r="L3642" s="335">
        <f t="shared" si="811"/>
        <v>0</v>
      </c>
      <c r="M3642" s="446"/>
      <c r="N3642" s="446"/>
      <c r="O3642" s="446"/>
      <c r="P3642" s="446"/>
      <c r="Q3642" s="110">
        <f t="shared" si="805"/>
        <v>0</v>
      </c>
      <c r="R3642" s="111">
        <f t="shared" si="809"/>
        <v>0</v>
      </c>
      <c r="S3642" s="110"/>
      <c r="T3642" s="110"/>
      <c r="U3642" s="110">
        <f t="shared" si="806"/>
        <v>0</v>
      </c>
      <c r="V3642" s="111">
        <f t="shared" si="810"/>
        <v>0</v>
      </c>
      <c r="W3642" s="110"/>
      <c r="X3642" s="110"/>
      <c r="Y3642" s="110"/>
      <c r="Z3642" s="110"/>
      <c r="AA3642" s="110">
        <f t="shared" si="815"/>
        <v>0</v>
      </c>
      <c r="AB3642" s="111">
        <f t="shared" si="803"/>
        <v>0</v>
      </c>
      <c r="AC3642" s="110"/>
      <c r="AD3642" s="110"/>
      <c r="AE3642" s="110">
        <f t="shared" si="815"/>
        <v>0</v>
      </c>
      <c r="AF3642" s="111">
        <f t="shared" si="804"/>
        <v>0</v>
      </c>
      <c r="AG3642" s="110"/>
      <c r="AH3642" s="110"/>
      <c r="AI3642" s="110"/>
      <c r="AJ3642" s="110"/>
      <c r="AK3642" s="111">
        <f t="shared" si="812"/>
        <v>0</v>
      </c>
      <c r="AL3642" s="446">
        <f t="shared" si="813"/>
        <v>0</v>
      </c>
      <c r="AM3642" s="110">
        <f t="shared" si="814"/>
        <v>0</v>
      </c>
      <c r="AN3642" s="447">
        <f t="shared" si="807"/>
        <v>0</v>
      </c>
      <c r="AO3642"/>
      <c r="AP3642"/>
    </row>
    <row r="3643" spans="1:42" x14ac:dyDescent="0.25">
      <c r="A3643" s="376">
        <v>329</v>
      </c>
      <c r="B3643" s="565" t="s">
        <v>826</v>
      </c>
      <c r="C3643" s="376"/>
      <c r="D3643" s="927"/>
      <c r="E3643" s="377"/>
      <c r="F3643" s="378"/>
      <c r="G3643" s="378"/>
      <c r="H3643" s="378"/>
      <c r="I3643" s="734"/>
      <c r="J3643" s="806"/>
      <c r="K3643" s="131">
        <f t="shared" si="808"/>
        <v>0</v>
      </c>
      <c r="L3643" s="335">
        <f t="shared" si="811"/>
        <v>0</v>
      </c>
      <c r="M3643" s="419"/>
      <c r="N3643" s="419"/>
      <c r="O3643" s="419"/>
      <c r="P3643" s="419"/>
      <c r="Q3643" s="418">
        <f t="shared" si="805"/>
        <v>0</v>
      </c>
      <c r="R3643" s="379">
        <f t="shared" si="809"/>
        <v>0</v>
      </c>
      <c r="S3643" s="418"/>
      <c r="T3643" s="418"/>
      <c r="U3643" s="418">
        <f t="shared" si="806"/>
        <v>0</v>
      </c>
      <c r="V3643" s="379">
        <f t="shared" si="810"/>
        <v>0</v>
      </c>
      <c r="W3643" s="418"/>
      <c r="X3643" s="418"/>
      <c r="Y3643" s="418"/>
      <c r="Z3643" s="418"/>
      <c r="AA3643" s="418">
        <f t="shared" si="815"/>
        <v>0</v>
      </c>
      <c r="AB3643" s="379">
        <f t="shared" si="803"/>
        <v>0</v>
      </c>
      <c r="AC3643" s="418"/>
      <c r="AD3643" s="418"/>
      <c r="AE3643" s="418">
        <f t="shared" si="815"/>
        <v>0</v>
      </c>
      <c r="AF3643" s="379">
        <f t="shared" si="804"/>
        <v>0</v>
      </c>
      <c r="AG3643" s="418"/>
      <c r="AH3643" s="418"/>
      <c r="AI3643" s="418"/>
      <c r="AJ3643" s="418"/>
      <c r="AK3643" s="379">
        <f t="shared" si="812"/>
        <v>0</v>
      </c>
      <c r="AL3643" s="446">
        <f t="shared" si="813"/>
        <v>0</v>
      </c>
      <c r="AM3643" s="110">
        <f t="shared" si="814"/>
        <v>0</v>
      </c>
      <c r="AN3643" s="447">
        <f t="shared" si="807"/>
        <v>0</v>
      </c>
      <c r="AO3643" s="108"/>
      <c r="AP3643"/>
    </row>
    <row r="3644" spans="1:42" x14ac:dyDescent="0.25">
      <c r="A3644" s="310">
        <v>32901</v>
      </c>
      <c r="B3644" s="375" t="s">
        <v>826</v>
      </c>
      <c r="C3644" s="311"/>
      <c r="D3644" s="902"/>
      <c r="E3644" s="312"/>
      <c r="F3644" s="313"/>
      <c r="G3644" s="313"/>
      <c r="H3644" s="313"/>
      <c r="I3644" s="729"/>
      <c r="J3644" s="800"/>
      <c r="K3644" s="131">
        <f t="shared" si="808"/>
        <v>0</v>
      </c>
      <c r="L3644" s="335">
        <f t="shared" si="811"/>
        <v>0</v>
      </c>
      <c r="M3644" s="446"/>
      <c r="N3644" s="446"/>
      <c r="O3644" s="446"/>
      <c r="P3644" s="446"/>
      <c r="Q3644" s="110">
        <f t="shared" si="805"/>
        <v>0</v>
      </c>
      <c r="R3644" s="111">
        <f t="shared" si="809"/>
        <v>0</v>
      </c>
      <c r="S3644" s="110"/>
      <c r="T3644" s="110"/>
      <c r="U3644" s="110">
        <f t="shared" si="806"/>
        <v>0</v>
      </c>
      <c r="V3644" s="111">
        <f t="shared" si="810"/>
        <v>0</v>
      </c>
      <c r="W3644" s="110"/>
      <c r="X3644" s="110"/>
      <c r="Y3644" s="110"/>
      <c r="Z3644" s="110"/>
      <c r="AA3644" s="110">
        <f t="shared" si="815"/>
        <v>0</v>
      </c>
      <c r="AB3644" s="111">
        <f t="shared" si="803"/>
        <v>0</v>
      </c>
      <c r="AC3644" s="110"/>
      <c r="AD3644" s="110"/>
      <c r="AE3644" s="110">
        <f t="shared" si="815"/>
        <v>0</v>
      </c>
      <c r="AF3644" s="111">
        <f t="shared" si="804"/>
        <v>0</v>
      </c>
      <c r="AG3644" s="110"/>
      <c r="AH3644" s="110"/>
      <c r="AI3644" s="110"/>
      <c r="AJ3644" s="110"/>
      <c r="AK3644" s="111">
        <f t="shared" si="812"/>
        <v>0</v>
      </c>
      <c r="AL3644" s="446">
        <f t="shared" si="813"/>
        <v>0</v>
      </c>
      <c r="AM3644" s="110">
        <f t="shared" si="814"/>
        <v>0</v>
      </c>
      <c r="AN3644" s="447">
        <f t="shared" si="807"/>
        <v>0</v>
      </c>
      <c r="AO3644" s="436">
        <f>SUM(J3645:J3646)</f>
        <v>6600</v>
      </c>
      <c r="AP3644" s="111"/>
    </row>
    <row r="3645" spans="1:42" ht="66" x14ac:dyDescent="0.25">
      <c r="A3645" s="63"/>
      <c r="B3645" s="75" t="s">
        <v>2166</v>
      </c>
      <c r="C3645" s="1024"/>
      <c r="D3645" s="869">
        <v>60</v>
      </c>
      <c r="E3645" s="1027" t="s">
        <v>1721</v>
      </c>
      <c r="F3645" s="271" t="s">
        <v>3446</v>
      </c>
      <c r="G3645" s="1040" t="s">
        <v>3463</v>
      </c>
      <c r="H3645" s="273" t="s">
        <v>3462</v>
      </c>
      <c r="I3645" s="720">
        <f>+J3645/D3645</f>
        <v>55</v>
      </c>
      <c r="J3645" s="763">
        <v>3300</v>
      </c>
      <c r="K3645" s="131">
        <f t="shared" si="808"/>
        <v>3300</v>
      </c>
      <c r="L3645" s="335">
        <f t="shared" si="811"/>
        <v>0</v>
      </c>
      <c r="M3645" s="446"/>
      <c r="N3645" s="446"/>
      <c r="O3645" s="446"/>
      <c r="P3645" s="446"/>
      <c r="Q3645" s="110">
        <f t="shared" si="805"/>
        <v>15</v>
      </c>
      <c r="R3645" s="111">
        <f t="shared" si="809"/>
        <v>825</v>
      </c>
      <c r="S3645" s="110"/>
      <c r="T3645" s="110"/>
      <c r="U3645" s="110">
        <f t="shared" si="806"/>
        <v>15</v>
      </c>
      <c r="V3645" s="111">
        <f t="shared" si="810"/>
        <v>825</v>
      </c>
      <c r="W3645" s="110"/>
      <c r="X3645" s="110"/>
      <c r="Y3645" s="110"/>
      <c r="Z3645" s="110"/>
      <c r="AA3645" s="110">
        <f t="shared" si="815"/>
        <v>15</v>
      </c>
      <c r="AB3645" s="111">
        <f t="shared" si="803"/>
        <v>825</v>
      </c>
      <c r="AC3645" s="110"/>
      <c r="AD3645" s="110"/>
      <c r="AE3645" s="110">
        <f t="shared" si="815"/>
        <v>15</v>
      </c>
      <c r="AF3645" s="111">
        <f t="shared" si="804"/>
        <v>825</v>
      </c>
      <c r="AG3645" s="110"/>
      <c r="AH3645" s="110"/>
      <c r="AI3645" s="110"/>
      <c r="AJ3645" s="110"/>
      <c r="AK3645" s="111">
        <f t="shared" si="812"/>
        <v>3300</v>
      </c>
      <c r="AL3645" s="446">
        <f t="shared" si="813"/>
        <v>0</v>
      </c>
      <c r="AM3645" s="110">
        <f t="shared" si="814"/>
        <v>60</v>
      </c>
      <c r="AN3645" s="447">
        <f t="shared" si="807"/>
        <v>0</v>
      </c>
      <c r="AO3645"/>
      <c r="AP3645"/>
    </row>
    <row r="3646" spans="1:42" ht="66" x14ac:dyDescent="0.25">
      <c r="A3646" s="63"/>
      <c r="B3646" s="75" t="s">
        <v>2019</v>
      </c>
      <c r="C3646" s="1024"/>
      <c r="D3646" s="869">
        <v>60</v>
      </c>
      <c r="E3646" s="1027" t="s">
        <v>1721</v>
      </c>
      <c r="F3646" s="271" t="s">
        <v>3446</v>
      </c>
      <c r="G3646" s="1040" t="s">
        <v>3463</v>
      </c>
      <c r="H3646" s="273" t="s">
        <v>3462</v>
      </c>
      <c r="I3646" s="720">
        <f>+J3646/D3646</f>
        <v>55</v>
      </c>
      <c r="J3646" s="763">
        <v>3300</v>
      </c>
      <c r="K3646" s="131">
        <f t="shared" si="808"/>
        <v>3300</v>
      </c>
      <c r="L3646" s="335">
        <f t="shared" si="811"/>
        <v>0</v>
      </c>
      <c r="M3646" s="446"/>
      <c r="N3646" s="446"/>
      <c r="O3646" s="446"/>
      <c r="P3646" s="446"/>
      <c r="Q3646" s="110">
        <f t="shared" si="805"/>
        <v>15</v>
      </c>
      <c r="R3646" s="111">
        <f t="shared" si="809"/>
        <v>825</v>
      </c>
      <c r="S3646" s="110"/>
      <c r="T3646" s="110"/>
      <c r="U3646" s="110">
        <f t="shared" si="806"/>
        <v>15</v>
      </c>
      <c r="V3646" s="111">
        <f t="shared" si="810"/>
        <v>825</v>
      </c>
      <c r="W3646" s="110"/>
      <c r="X3646" s="110"/>
      <c r="Y3646" s="110"/>
      <c r="Z3646" s="110"/>
      <c r="AA3646" s="110">
        <f t="shared" si="815"/>
        <v>15</v>
      </c>
      <c r="AB3646" s="111">
        <f t="shared" si="803"/>
        <v>825</v>
      </c>
      <c r="AC3646" s="110"/>
      <c r="AD3646" s="110"/>
      <c r="AE3646" s="110">
        <f t="shared" si="815"/>
        <v>15</v>
      </c>
      <c r="AF3646" s="111">
        <f t="shared" si="804"/>
        <v>825</v>
      </c>
      <c r="AG3646" s="110"/>
      <c r="AH3646" s="110"/>
      <c r="AI3646" s="110"/>
      <c r="AJ3646" s="110"/>
      <c r="AK3646" s="111">
        <f t="shared" si="812"/>
        <v>3300</v>
      </c>
      <c r="AL3646" s="446">
        <f t="shared" si="813"/>
        <v>0</v>
      </c>
      <c r="AM3646" s="110">
        <f t="shared" si="814"/>
        <v>60</v>
      </c>
      <c r="AN3646" s="447">
        <f t="shared" si="807"/>
        <v>0</v>
      </c>
      <c r="AO3646"/>
      <c r="AP3646"/>
    </row>
    <row r="3647" spans="1:42" ht="22.5" x14ac:dyDescent="0.25">
      <c r="A3647" s="299">
        <v>3300</v>
      </c>
      <c r="B3647" s="469" t="s">
        <v>827</v>
      </c>
      <c r="C3647" s="299"/>
      <c r="D3647" s="909"/>
      <c r="E3647" s="301"/>
      <c r="F3647" s="302"/>
      <c r="G3647" s="302"/>
      <c r="H3647" s="302"/>
      <c r="I3647" s="715"/>
      <c r="J3647" s="751"/>
      <c r="K3647" s="131">
        <f t="shared" si="808"/>
        <v>0</v>
      </c>
      <c r="L3647" s="335">
        <f t="shared" si="811"/>
        <v>0</v>
      </c>
      <c r="M3647" s="453"/>
      <c r="N3647" s="453"/>
      <c r="O3647" s="453"/>
      <c r="P3647" s="453"/>
      <c r="Q3647" s="385">
        <f t="shared" si="805"/>
        <v>0</v>
      </c>
      <c r="R3647" s="303">
        <f t="shared" si="809"/>
        <v>0</v>
      </c>
      <c r="S3647" s="385"/>
      <c r="T3647" s="385"/>
      <c r="U3647" s="385">
        <f t="shared" si="806"/>
        <v>0</v>
      </c>
      <c r="V3647" s="303">
        <f t="shared" si="810"/>
        <v>0</v>
      </c>
      <c r="W3647" s="385"/>
      <c r="X3647" s="385"/>
      <c r="Y3647" s="385"/>
      <c r="Z3647" s="385"/>
      <c r="AA3647" s="385">
        <f t="shared" si="815"/>
        <v>0</v>
      </c>
      <c r="AB3647" s="303">
        <f t="shared" si="803"/>
        <v>0</v>
      </c>
      <c r="AC3647" s="385"/>
      <c r="AD3647" s="385"/>
      <c r="AE3647" s="385">
        <f t="shared" si="815"/>
        <v>0</v>
      </c>
      <c r="AF3647" s="303">
        <f t="shared" si="804"/>
        <v>0</v>
      </c>
      <c r="AG3647" s="385"/>
      <c r="AH3647" s="385"/>
      <c r="AI3647" s="385"/>
      <c r="AJ3647" s="385"/>
      <c r="AK3647" s="303">
        <f t="shared" si="812"/>
        <v>0</v>
      </c>
      <c r="AL3647" s="453">
        <f t="shared" si="813"/>
        <v>0</v>
      </c>
      <c r="AM3647" s="385">
        <f t="shared" si="814"/>
        <v>0</v>
      </c>
      <c r="AN3647" s="454">
        <f t="shared" si="807"/>
        <v>0</v>
      </c>
      <c r="AO3647" s="304"/>
      <c r="AP3647"/>
    </row>
    <row r="3648" spans="1:42" ht="22.5" x14ac:dyDescent="0.25">
      <c r="A3648" s="376">
        <v>331</v>
      </c>
      <c r="B3648" s="565" t="s">
        <v>828</v>
      </c>
      <c r="C3648" s="376"/>
      <c r="D3648" s="927"/>
      <c r="E3648" s="377"/>
      <c r="F3648" s="378"/>
      <c r="G3648" s="378"/>
      <c r="H3648" s="378"/>
      <c r="I3648" s="734"/>
      <c r="J3648" s="806"/>
      <c r="K3648" s="131">
        <f t="shared" si="808"/>
        <v>0</v>
      </c>
      <c r="L3648" s="335">
        <f t="shared" si="811"/>
        <v>0</v>
      </c>
      <c r="M3648" s="419"/>
      <c r="N3648" s="419"/>
      <c r="O3648" s="419"/>
      <c r="P3648" s="419"/>
      <c r="Q3648" s="418">
        <f t="shared" si="805"/>
        <v>0</v>
      </c>
      <c r="R3648" s="379">
        <f t="shared" si="809"/>
        <v>0</v>
      </c>
      <c r="S3648" s="418"/>
      <c r="T3648" s="418"/>
      <c r="U3648" s="418">
        <f t="shared" si="806"/>
        <v>0</v>
      </c>
      <c r="V3648" s="379">
        <f t="shared" si="810"/>
        <v>0</v>
      </c>
      <c r="W3648" s="418"/>
      <c r="X3648" s="418"/>
      <c r="Y3648" s="418"/>
      <c r="Z3648" s="418"/>
      <c r="AA3648" s="418">
        <f t="shared" si="815"/>
        <v>0</v>
      </c>
      <c r="AB3648" s="379">
        <f t="shared" si="803"/>
        <v>0</v>
      </c>
      <c r="AC3648" s="418"/>
      <c r="AD3648" s="418"/>
      <c r="AE3648" s="418">
        <f t="shared" si="815"/>
        <v>0</v>
      </c>
      <c r="AF3648" s="379">
        <f t="shared" si="804"/>
        <v>0</v>
      </c>
      <c r="AG3648" s="418"/>
      <c r="AH3648" s="418"/>
      <c r="AI3648" s="418"/>
      <c r="AJ3648" s="418"/>
      <c r="AK3648" s="379">
        <f t="shared" si="812"/>
        <v>0</v>
      </c>
      <c r="AL3648" s="446">
        <f t="shared" si="813"/>
        <v>0</v>
      </c>
      <c r="AM3648" s="110">
        <f t="shared" si="814"/>
        <v>0</v>
      </c>
      <c r="AN3648" s="447">
        <f t="shared" si="807"/>
        <v>0</v>
      </c>
      <c r="AO3648" s="108"/>
      <c r="AP3648"/>
    </row>
    <row r="3649" spans="1:42" x14ac:dyDescent="0.25">
      <c r="A3649" s="310">
        <v>33101</v>
      </c>
      <c r="B3649" s="375" t="s">
        <v>829</v>
      </c>
      <c r="C3649" s="311"/>
      <c r="D3649" s="902"/>
      <c r="E3649" s="312"/>
      <c r="F3649" s="313"/>
      <c r="G3649" s="313"/>
      <c r="H3649" s="313"/>
      <c r="I3649" s="729"/>
      <c r="J3649" s="800"/>
      <c r="K3649" s="131">
        <f t="shared" si="808"/>
        <v>0</v>
      </c>
      <c r="L3649" s="335">
        <f t="shared" si="811"/>
        <v>0</v>
      </c>
      <c r="M3649" s="421"/>
      <c r="N3649" s="421"/>
      <c r="O3649" s="421"/>
      <c r="P3649" s="421"/>
      <c r="Q3649" s="387">
        <f t="shared" si="805"/>
        <v>0</v>
      </c>
      <c r="R3649" s="314">
        <f t="shared" si="809"/>
        <v>0</v>
      </c>
      <c r="S3649" s="387"/>
      <c r="T3649" s="387"/>
      <c r="U3649" s="387">
        <f t="shared" si="806"/>
        <v>0</v>
      </c>
      <c r="V3649" s="314">
        <f t="shared" si="810"/>
        <v>0</v>
      </c>
      <c r="W3649" s="387"/>
      <c r="X3649" s="387"/>
      <c r="Y3649" s="387"/>
      <c r="Z3649" s="387"/>
      <c r="AA3649" s="387">
        <f t="shared" si="815"/>
        <v>0</v>
      </c>
      <c r="AB3649" s="314">
        <f t="shared" si="803"/>
        <v>0</v>
      </c>
      <c r="AC3649" s="387"/>
      <c r="AD3649" s="387"/>
      <c r="AE3649" s="387">
        <f t="shared" si="815"/>
        <v>0</v>
      </c>
      <c r="AF3649" s="314">
        <f t="shared" si="804"/>
        <v>0</v>
      </c>
      <c r="AG3649" s="387"/>
      <c r="AH3649" s="387"/>
      <c r="AI3649" s="387"/>
      <c r="AJ3649" s="387"/>
      <c r="AK3649" s="314">
        <f t="shared" si="812"/>
        <v>0</v>
      </c>
      <c r="AL3649" s="421">
        <f t="shared" si="813"/>
        <v>0</v>
      </c>
      <c r="AM3649" s="387">
        <f t="shared" si="814"/>
        <v>0</v>
      </c>
      <c r="AN3649" s="422">
        <f t="shared" si="807"/>
        <v>0</v>
      </c>
      <c r="AO3649" s="436">
        <f>SUM(J3650:J3651)</f>
        <v>16200</v>
      </c>
      <c r="AP3649" s="111"/>
    </row>
    <row r="3650" spans="1:42" ht="66" x14ac:dyDescent="0.25">
      <c r="A3650" s="61"/>
      <c r="B3650" s="713" t="s">
        <v>1955</v>
      </c>
      <c r="C3650" s="9"/>
      <c r="D3650" s="882">
        <v>1</v>
      </c>
      <c r="E3650" s="1025" t="s">
        <v>1755</v>
      </c>
      <c r="F3650" s="271" t="s">
        <v>3446</v>
      </c>
      <c r="G3650" s="1040" t="s">
        <v>3463</v>
      </c>
      <c r="H3650" s="273" t="s">
        <v>3462</v>
      </c>
      <c r="I3650" s="720">
        <f>+J3650/D3650</f>
        <v>12000</v>
      </c>
      <c r="J3650" s="813">
        <v>12000</v>
      </c>
      <c r="K3650" s="131">
        <f t="shared" si="808"/>
        <v>12000</v>
      </c>
      <c r="L3650" s="335">
        <f t="shared" si="811"/>
        <v>0</v>
      </c>
      <c r="M3650" s="446"/>
      <c r="N3650" s="446"/>
      <c r="O3650" s="446"/>
      <c r="P3650" s="446"/>
      <c r="Q3650" s="110">
        <v>1</v>
      </c>
      <c r="R3650" s="111">
        <f t="shared" si="809"/>
        <v>3000</v>
      </c>
      <c r="S3650" s="110"/>
      <c r="T3650" s="110"/>
      <c r="U3650" s="110">
        <v>0</v>
      </c>
      <c r="V3650" s="111">
        <f t="shared" si="810"/>
        <v>3000</v>
      </c>
      <c r="W3650" s="110"/>
      <c r="X3650" s="110"/>
      <c r="Y3650" s="110"/>
      <c r="Z3650" s="110"/>
      <c r="AA3650" s="110">
        <v>0</v>
      </c>
      <c r="AB3650" s="111">
        <f t="shared" si="803"/>
        <v>3000</v>
      </c>
      <c r="AC3650" s="110"/>
      <c r="AD3650" s="110"/>
      <c r="AE3650" s="110">
        <v>0</v>
      </c>
      <c r="AF3650" s="111">
        <f t="shared" si="804"/>
        <v>3000</v>
      </c>
      <c r="AG3650" s="110"/>
      <c r="AH3650" s="110"/>
      <c r="AI3650" s="110"/>
      <c r="AJ3650" s="110"/>
      <c r="AK3650" s="111">
        <f t="shared" si="812"/>
        <v>12000</v>
      </c>
      <c r="AL3650" s="446">
        <f t="shared" si="813"/>
        <v>0</v>
      </c>
      <c r="AM3650" s="110">
        <f t="shared" si="814"/>
        <v>1</v>
      </c>
      <c r="AN3650" s="447">
        <f t="shared" si="807"/>
        <v>0</v>
      </c>
      <c r="AO3650"/>
      <c r="AP3650"/>
    </row>
    <row r="3651" spans="1:42" ht="66" x14ac:dyDescent="0.25">
      <c r="A3651" s="61"/>
      <c r="B3651" s="713" t="s">
        <v>2471</v>
      </c>
      <c r="C3651" s="9"/>
      <c r="D3651" s="882">
        <v>3</v>
      </c>
      <c r="E3651" s="1025" t="s">
        <v>1755</v>
      </c>
      <c r="F3651" s="271" t="s">
        <v>3446</v>
      </c>
      <c r="G3651" s="1040" t="s">
        <v>3463</v>
      </c>
      <c r="H3651" s="273" t="s">
        <v>3462</v>
      </c>
      <c r="I3651" s="720">
        <f>+J3651/D3651</f>
        <v>1400</v>
      </c>
      <c r="J3651" s="813">
        <v>4200</v>
      </c>
      <c r="K3651" s="131">
        <f t="shared" si="808"/>
        <v>4200</v>
      </c>
      <c r="L3651" s="335">
        <f t="shared" si="811"/>
        <v>0</v>
      </c>
      <c r="M3651" s="446"/>
      <c r="N3651" s="446"/>
      <c r="O3651" s="446"/>
      <c r="P3651" s="446"/>
      <c r="Q3651" s="130">
        <v>1</v>
      </c>
      <c r="R3651" s="111">
        <f t="shared" si="809"/>
        <v>1050</v>
      </c>
      <c r="S3651" s="110"/>
      <c r="T3651" s="110"/>
      <c r="U3651" s="130">
        <v>1</v>
      </c>
      <c r="V3651" s="111">
        <f t="shared" si="810"/>
        <v>1050</v>
      </c>
      <c r="W3651" s="110"/>
      <c r="X3651" s="110"/>
      <c r="Y3651" s="110"/>
      <c r="Z3651" s="110"/>
      <c r="AA3651" s="130">
        <v>1</v>
      </c>
      <c r="AB3651" s="111">
        <f t="shared" si="803"/>
        <v>1050</v>
      </c>
      <c r="AC3651" s="110"/>
      <c r="AD3651" s="110"/>
      <c r="AE3651" s="130">
        <v>0</v>
      </c>
      <c r="AF3651" s="111">
        <f t="shared" si="804"/>
        <v>1050</v>
      </c>
      <c r="AG3651" s="110"/>
      <c r="AH3651" s="110"/>
      <c r="AI3651" s="110"/>
      <c r="AJ3651" s="110"/>
      <c r="AK3651" s="111">
        <f t="shared" si="812"/>
        <v>4200</v>
      </c>
      <c r="AL3651" s="446">
        <f t="shared" si="813"/>
        <v>0</v>
      </c>
      <c r="AM3651" s="110">
        <f t="shared" si="814"/>
        <v>3</v>
      </c>
      <c r="AN3651" s="447">
        <f t="shared" si="807"/>
        <v>0</v>
      </c>
      <c r="AO3651"/>
      <c r="AP3651"/>
    </row>
    <row r="3652" spans="1:42" x14ac:dyDescent="0.25">
      <c r="A3652" s="310">
        <v>33102</v>
      </c>
      <c r="B3652" s="375" t="s">
        <v>830</v>
      </c>
      <c r="C3652" s="311"/>
      <c r="D3652" s="902"/>
      <c r="E3652" s="312"/>
      <c r="F3652" s="313"/>
      <c r="G3652" s="313"/>
      <c r="H3652" s="313"/>
      <c r="I3652" s="729"/>
      <c r="J3652" s="800"/>
      <c r="K3652" s="131">
        <f t="shared" si="808"/>
        <v>0</v>
      </c>
      <c r="L3652" s="335">
        <f t="shared" si="811"/>
        <v>0</v>
      </c>
      <c r="M3652" s="421"/>
      <c r="N3652" s="421"/>
      <c r="O3652" s="421"/>
      <c r="P3652" s="421"/>
      <c r="Q3652" s="387">
        <f t="shared" si="805"/>
        <v>0</v>
      </c>
      <c r="R3652" s="314">
        <f t="shared" si="809"/>
        <v>0</v>
      </c>
      <c r="S3652" s="387"/>
      <c r="T3652" s="387"/>
      <c r="U3652" s="387">
        <f t="shared" si="806"/>
        <v>0</v>
      </c>
      <c r="V3652" s="314">
        <f t="shared" si="810"/>
        <v>0</v>
      </c>
      <c r="W3652" s="387"/>
      <c r="X3652" s="387"/>
      <c r="Y3652" s="387"/>
      <c r="Z3652" s="387"/>
      <c r="AA3652" s="387">
        <f t="shared" si="815"/>
        <v>0</v>
      </c>
      <c r="AB3652" s="314">
        <f t="shared" si="803"/>
        <v>0</v>
      </c>
      <c r="AC3652" s="387"/>
      <c r="AD3652" s="387"/>
      <c r="AE3652" s="387">
        <f t="shared" si="815"/>
        <v>0</v>
      </c>
      <c r="AF3652" s="314">
        <f t="shared" si="804"/>
        <v>0</v>
      </c>
      <c r="AG3652" s="387"/>
      <c r="AH3652" s="387"/>
      <c r="AI3652" s="387"/>
      <c r="AJ3652" s="387"/>
      <c r="AK3652" s="314">
        <f t="shared" si="812"/>
        <v>0</v>
      </c>
      <c r="AL3652" s="421">
        <f t="shared" si="813"/>
        <v>0</v>
      </c>
      <c r="AM3652" s="387">
        <f t="shared" si="814"/>
        <v>0</v>
      </c>
      <c r="AN3652" s="422">
        <f t="shared" si="807"/>
        <v>0</v>
      </c>
      <c r="AO3652" s="436">
        <f>SUM(J3653:J3656)</f>
        <v>1186571.2643999998</v>
      </c>
      <c r="AP3652" s="111"/>
    </row>
    <row r="3653" spans="1:42" ht="66" x14ac:dyDescent="0.25">
      <c r="A3653" s="63"/>
      <c r="B3653" s="75" t="s">
        <v>1101</v>
      </c>
      <c r="C3653" s="1024"/>
      <c r="D3653" s="869">
        <v>10</v>
      </c>
      <c r="E3653" s="1027" t="s">
        <v>1755</v>
      </c>
      <c r="F3653" s="278" t="s">
        <v>3446</v>
      </c>
      <c r="G3653" s="1040" t="s">
        <v>3463</v>
      </c>
      <c r="H3653" s="273" t="s">
        <v>3462</v>
      </c>
      <c r="I3653" s="720">
        <f>+J3653/D3653</f>
        <v>2860</v>
      </c>
      <c r="J3653" s="756">
        <f>154200+13600-139200</f>
        <v>28600</v>
      </c>
      <c r="K3653" s="131">
        <f t="shared" si="808"/>
        <v>28600</v>
      </c>
      <c r="L3653" s="335">
        <f t="shared" si="811"/>
        <v>0</v>
      </c>
      <c r="M3653" s="446"/>
      <c r="N3653" s="446"/>
      <c r="O3653" s="446"/>
      <c r="P3653" s="446"/>
      <c r="Q3653" s="130">
        <v>3</v>
      </c>
      <c r="R3653" s="111">
        <f t="shared" si="809"/>
        <v>7150</v>
      </c>
      <c r="S3653" s="110"/>
      <c r="T3653" s="110"/>
      <c r="U3653" s="130">
        <v>3</v>
      </c>
      <c r="V3653" s="111">
        <f t="shared" si="810"/>
        <v>7150</v>
      </c>
      <c r="W3653" s="110"/>
      <c r="X3653" s="110"/>
      <c r="Y3653" s="110"/>
      <c r="Z3653" s="110"/>
      <c r="AA3653" s="130">
        <v>2</v>
      </c>
      <c r="AB3653" s="111">
        <f t="shared" si="803"/>
        <v>7150</v>
      </c>
      <c r="AC3653" s="110"/>
      <c r="AD3653" s="110"/>
      <c r="AE3653" s="130">
        <v>2</v>
      </c>
      <c r="AF3653" s="111">
        <f t="shared" si="804"/>
        <v>7150</v>
      </c>
      <c r="AG3653" s="110"/>
      <c r="AH3653" s="110"/>
      <c r="AI3653" s="110"/>
      <c r="AJ3653" s="110"/>
      <c r="AK3653" s="111">
        <f t="shared" si="812"/>
        <v>28600</v>
      </c>
      <c r="AL3653" s="446">
        <f t="shared" si="813"/>
        <v>0</v>
      </c>
      <c r="AM3653" s="110">
        <f t="shared" si="814"/>
        <v>10</v>
      </c>
      <c r="AN3653" s="447">
        <f t="shared" si="807"/>
        <v>0</v>
      </c>
      <c r="AO3653"/>
      <c r="AP3653"/>
    </row>
    <row r="3654" spans="1:42" ht="66" x14ac:dyDescent="0.25">
      <c r="A3654" s="63"/>
      <c r="B3654" s="46" t="s">
        <v>2199</v>
      </c>
      <c r="C3654" s="1024"/>
      <c r="D3654" s="869">
        <v>1</v>
      </c>
      <c r="E3654" s="1027" t="s">
        <v>1755</v>
      </c>
      <c r="F3654" s="278" t="s">
        <v>3446</v>
      </c>
      <c r="G3654" s="1040" t="s">
        <v>3463</v>
      </c>
      <c r="H3654" s="273" t="s">
        <v>3462</v>
      </c>
      <c r="I3654" s="720">
        <f>+J3654/D3654</f>
        <v>50520.97</v>
      </c>
      <c r="J3654" s="756">
        <v>50520.97</v>
      </c>
      <c r="K3654" s="131">
        <f t="shared" si="808"/>
        <v>50520.97</v>
      </c>
      <c r="L3654" s="335">
        <f t="shared" si="811"/>
        <v>0</v>
      </c>
      <c r="M3654" s="446"/>
      <c r="N3654" s="446"/>
      <c r="O3654" s="446"/>
      <c r="P3654" s="446"/>
      <c r="Q3654" s="110">
        <v>1</v>
      </c>
      <c r="R3654" s="111">
        <f t="shared" si="809"/>
        <v>12630.2425</v>
      </c>
      <c r="S3654" s="110"/>
      <c r="T3654" s="110"/>
      <c r="U3654" s="110">
        <v>0</v>
      </c>
      <c r="V3654" s="111">
        <f t="shared" si="810"/>
        <v>12630.2425</v>
      </c>
      <c r="W3654" s="110"/>
      <c r="X3654" s="110"/>
      <c r="Y3654" s="110"/>
      <c r="Z3654" s="110"/>
      <c r="AA3654" s="110">
        <v>0</v>
      </c>
      <c r="AB3654" s="111">
        <f t="shared" si="803"/>
        <v>12630.2425</v>
      </c>
      <c r="AC3654" s="110"/>
      <c r="AD3654" s="110"/>
      <c r="AE3654" s="110">
        <v>0</v>
      </c>
      <c r="AF3654" s="111">
        <f t="shared" si="804"/>
        <v>12630.2425</v>
      </c>
      <c r="AG3654" s="110"/>
      <c r="AH3654" s="110"/>
      <c r="AI3654" s="110"/>
      <c r="AJ3654" s="110"/>
      <c r="AK3654" s="111">
        <f t="shared" si="812"/>
        <v>50520.97</v>
      </c>
      <c r="AL3654" s="446">
        <f t="shared" si="813"/>
        <v>0</v>
      </c>
      <c r="AM3654" s="110">
        <f t="shared" si="814"/>
        <v>1</v>
      </c>
      <c r="AN3654" s="447">
        <f t="shared" si="807"/>
        <v>0</v>
      </c>
      <c r="AO3654"/>
      <c r="AP3654"/>
    </row>
    <row r="3655" spans="1:42" ht="66" x14ac:dyDescent="0.25">
      <c r="A3655" s="63"/>
      <c r="B3655" s="43" t="s">
        <v>2200</v>
      </c>
      <c r="C3655" s="1024"/>
      <c r="D3655" s="869">
        <v>1</v>
      </c>
      <c r="E3655" s="1027" t="s">
        <v>1755</v>
      </c>
      <c r="F3655" s="278" t="s">
        <v>3446</v>
      </c>
      <c r="G3655" s="1040" t="s">
        <v>3463</v>
      </c>
      <c r="H3655" s="273" t="s">
        <v>3462</v>
      </c>
      <c r="I3655" s="720">
        <f>+J3655/D3655</f>
        <v>242000</v>
      </c>
      <c r="J3655" s="756">
        <v>242000</v>
      </c>
      <c r="K3655" s="131">
        <f t="shared" si="808"/>
        <v>242000</v>
      </c>
      <c r="L3655" s="335">
        <f t="shared" si="811"/>
        <v>0</v>
      </c>
      <c r="M3655" s="446"/>
      <c r="N3655" s="446"/>
      <c r="O3655" s="446"/>
      <c r="P3655" s="446"/>
      <c r="Q3655" s="110">
        <v>1</v>
      </c>
      <c r="R3655" s="111">
        <f t="shared" si="809"/>
        <v>60500</v>
      </c>
      <c r="S3655" s="110"/>
      <c r="T3655" s="110"/>
      <c r="U3655" s="110">
        <v>0</v>
      </c>
      <c r="V3655" s="111">
        <f t="shared" si="810"/>
        <v>60500</v>
      </c>
      <c r="W3655" s="110"/>
      <c r="X3655" s="110"/>
      <c r="Y3655" s="110"/>
      <c r="Z3655" s="110"/>
      <c r="AA3655" s="110">
        <v>0</v>
      </c>
      <c r="AB3655" s="111">
        <f t="shared" ref="AB3655:AB3718" si="816">+J3655/4</f>
        <v>60500</v>
      </c>
      <c r="AC3655" s="110"/>
      <c r="AD3655" s="110"/>
      <c r="AE3655" s="110">
        <v>0</v>
      </c>
      <c r="AF3655" s="111">
        <f t="shared" ref="AF3655:AF3718" si="817">+J3655/4</f>
        <v>60500</v>
      </c>
      <c r="AG3655" s="110"/>
      <c r="AH3655" s="110"/>
      <c r="AI3655" s="110"/>
      <c r="AJ3655" s="110"/>
      <c r="AK3655" s="111">
        <f t="shared" si="812"/>
        <v>242000</v>
      </c>
      <c r="AL3655" s="446">
        <f t="shared" si="813"/>
        <v>0</v>
      </c>
      <c r="AM3655" s="110">
        <f t="shared" si="814"/>
        <v>1</v>
      </c>
      <c r="AN3655" s="447">
        <f t="shared" si="807"/>
        <v>0</v>
      </c>
      <c r="AO3655"/>
      <c r="AP3655"/>
    </row>
    <row r="3656" spans="1:42" ht="66" x14ac:dyDescent="0.25">
      <c r="A3656" s="61"/>
      <c r="B3656" s="583" t="s">
        <v>2826</v>
      </c>
      <c r="C3656" s="9"/>
      <c r="D3656" s="882">
        <v>83</v>
      </c>
      <c r="E3656" s="1025" t="s">
        <v>1755</v>
      </c>
      <c r="F3656" s="278" t="s">
        <v>3446</v>
      </c>
      <c r="G3656" s="1040" t="s">
        <v>3463</v>
      </c>
      <c r="H3656" s="273" t="s">
        <v>3462</v>
      </c>
      <c r="I3656" s="720">
        <f>+J3656/D3656</f>
        <v>10427.11198072289</v>
      </c>
      <c r="J3656" s="813">
        <v>865450.29439999978</v>
      </c>
      <c r="K3656" s="131">
        <f t="shared" si="808"/>
        <v>865450.2943999999</v>
      </c>
      <c r="L3656" s="335">
        <f t="shared" si="811"/>
        <v>0</v>
      </c>
      <c r="M3656" s="446"/>
      <c r="N3656" s="446"/>
      <c r="O3656" s="446"/>
      <c r="P3656" s="446"/>
      <c r="Q3656" s="110">
        <v>22</v>
      </c>
      <c r="R3656" s="111">
        <f t="shared" si="809"/>
        <v>216362.57359999995</v>
      </c>
      <c r="S3656" s="110"/>
      <c r="T3656" s="110"/>
      <c r="U3656" s="110">
        <v>24</v>
      </c>
      <c r="V3656" s="111">
        <f t="shared" si="810"/>
        <v>216362.57359999995</v>
      </c>
      <c r="W3656" s="110"/>
      <c r="X3656" s="110"/>
      <c r="Y3656" s="110"/>
      <c r="Z3656" s="110"/>
      <c r="AA3656" s="110">
        <v>24</v>
      </c>
      <c r="AB3656" s="111">
        <f t="shared" si="816"/>
        <v>216362.57359999995</v>
      </c>
      <c r="AC3656" s="110"/>
      <c r="AD3656" s="110"/>
      <c r="AE3656" s="110">
        <v>13</v>
      </c>
      <c r="AF3656" s="111">
        <f t="shared" si="817"/>
        <v>216362.57359999995</v>
      </c>
      <c r="AG3656" s="110"/>
      <c r="AH3656" s="110"/>
      <c r="AI3656" s="110"/>
      <c r="AJ3656" s="110"/>
      <c r="AK3656" s="111">
        <f t="shared" si="812"/>
        <v>865450.29439999978</v>
      </c>
      <c r="AL3656" s="446">
        <f t="shared" si="813"/>
        <v>0</v>
      </c>
      <c r="AM3656" s="110">
        <f t="shared" si="814"/>
        <v>83</v>
      </c>
      <c r="AN3656" s="447">
        <f t="shared" si="807"/>
        <v>0</v>
      </c>
      <c r="AO3656"/>
      <c r="AP3656"/>
    </row>
    <row r="3657" spans="1:42" ht="22.5" x14ac:dyDescent="0.25">
      <c r="A3657" s="310">
        <v>33103</v>
      </c>
      <c r="B3657" s="375" t="s">
        <v>831</v>
      </c>
      <c r="C3657" s="311"/>
      <c r="D3657" s="902"/>
      <c r="E3657" s="312"/>
      <c r="F3657" s="313"/>
      <c r="G3657" s="313"/>
      <c r="H3657" s="313"/>
      <c r="I3657" s="729"/>
      <c r="J3657" s="800"/>
      <c r="K3657" s="131">
        <f t="shared" si="808"/>
        <v>0</v>
      </c>
      <c r="L3657" s="335">
        <f t="shared" si="811"/>
        <v>0</v>
      </c>
      <c r="M3657" s="421"/>
      <c r="N3657" s="421"/>
      <c r="O3657" s="421"/>
      <c r="P3657" s="421"/>
      <c r="Q3657" s="387">
        <f t="shared" ref="Q3657:Q3720" si="818">+$D3657/4</f>
        <v>0</v>
      </c>
      <c r="R3657" s="314">
        <f t="shared" si="809"/>
        <v>0</v>
      </c>
      <c r="S3657" s="387"/>
      <c r="T3657" s="387"/>
      <c r="U3657" s="387">
        <f t="shared" ref="U3657:U3720" si="819">+$D3657/4</f>
        <v>0</v>
      </c>
      <c r="V3657" s="314">
        <f t="shared" si="810"/>
        <v>0</v>
      </c>
      <c r="W3657" s="387"/>
      <c r="X3657" s="387"/>
      <c r="Y3657" s="387"/>
      <c r="Z3657" s="387"/>
      <c r="AA3657" s="387">
        <f t="shared" si="815"/>
        <v>0</v>
      </c>
      <c r="AB3657" s="314">
        <f t="shared" si="816"/>
        <v>0</v>
      </c>
      <c r="AC3657" s="387"/>
      <c r="AD3657" s="387"/>
      <c r="AE3657" s="387">
        <f t="shared" si="815"/>
        <v>0</v>
      </c>
      <c r="AF3657" s="314">
        <f t="shared" si="817"/>
        <v>0</v>
      </c>
      <c r="AG3657" s="387"/>
      <c r="AH3657" s="387"/>
      <c r="AI3657" s="387"/>
      <c r="AJ3657" s="387"/>
      <c r="AK3657" s="314">
        <f t="shared" si="812"/>
        <v>0</v>
      </c>
      <c r="AL3657" s="421">
        <f t="shared" si="813"/>
        <v>0</v>
      </c>
      <c r="AM3657" s="387">
        <f t="shared" si="814"/>
        <v>0</v>
      </c>
      <c r="AN3657" s="422">
        <f t="shared" si="807"/>
        <v>0</v>
      </c>
      <c r="AO3657" s="436">
        <f>SUM(J3658)</f>
        <v>162400</v>
      </c>
      <c r="AP3657" s="111"/>
    </row>
    <row r="3658" spans="1:42" ht="66" x14ac:dyDescent="0.25">
      <c r="A3658" s="9"/>
      <c r="B3658" s="144" t="s">
        <v>832</v>
      </c>
      <c r="C3658" s="1024"/>
      <c r="D3658" s="882">
        <v>1</v>
      </c>
      <c r="E3658" s="1025" t="s">
        <v>1755</v>
      </c>
      <c r="F3658" s="278" t="s">
        <v>3446</v>
      </c>
      <c r="G3658" s="1040" t="s">
        <v>3463</v>
      </c>
      <c r="H3658" s="273" t="s">
        <v>3462</v>
      </c>
      <c r="I3658" s="720">
        <f>+J3658/D3658</f>
        <v>162400</v>
      </c>
      <c r="J3658" s="813">
        <v>162400</v>
      </c>
      <c r="K3658" s="131">
        <f t="shared" si="808"/>
        <v>162400</v>
      </c>
      <c r="L3658" s="335">
        <f t="shared" si="811"/>
        <v>0</v>
      </c>
      <c r="M3658" s="446"/>
      <c r="N3658" s="446"/>
      <c r="O3658" s="446"/>
      <c r="P3658" s="446"/>
      <c r="Q3658" s="110">
        <v>1</v>
      </c>
      <c r="R3658" s="111">
        <f t="shared" si="809"/>
        <v>40600</v>
      </c>
      <c r="S3658" s="110"/>
      <c r="T3658" s="110"/>
      <c r="U3658" s="110">
        <v>0</v>
      </c>
      <c r="V3658" s="111">
        <f t="shared" si="810"/>
        <v>40600</v>
      </c>
      <c r="W3658" s="110"/>
      <c r="X3658" s="110"/>
      <c r="Y3658" s="110"/>
      <c r="Z3658" s="110"/>
      <c r="AA3658" s="110">
        <v>0</v>
      </c>
      <c r="AB3658" s="111">
        <f t="shared" si="816"/>
        <v>40600</v>
      </c>
      <c r="AC3658" s="110"/>
      <c r="AD3658" s="110"/>
      <c r="AE3658" s="110">
        <v>0</v>
      </c>
      <c r="AF3658" s="111">
        <f t="shared" si="817"/>
        <v>40600</v>
      </c>
      <c r="AG3658" s="110"/>
      <c r="AH3658" s="110"/>
      <c r="AI3658" s="110"/>
      <c r="AJ3658" s="110"/>
      <c r="AK3658" s="111">
        <f t="shared" si="812"/>
        <v>162400</v>
      </c>
      <c r="AL3658" s="446">
        <f t="shared" si="813"/>
        <v>0</v>
      </c>
      <c r="AM3658" s="110">
        <f t="shared" si="814"/>
        <v>1</v>
      </c>
      <c r="AN3658" s="447">
        <f t="shared" si="807"/>
        <v>0</v>
      </c>
      <c r="AO3658"/>
      <c r="AP3658"/>
    </row>
    <row r="3659" spans="1:42" x14ac:dyDescent="0.25">
      <c r="A3659" s="61"/>
      <c r="B3659" s="583"/>
      <c r="C3659" s="9"/>
      <c r="D3659" s="916"/>
      <c r="E3659" s="1027"/>
      <c r="F3659" s="272"/>
      <c r="G3659" s="272"/>
      <c r="H3659" s="272"/>
      <c r="I3659" s="720"/>
      <c r="J3659" s="813"/>
      <c r="K3659" s="131">
        <f t="shared" si="808"/>
        <v>0</v>
      </c>
      <c r="L3659" s="335">
        <f t="shared" si="811"/>
        <v>0</v>
      </c>
      <c r="M3659" s="446"/>
      <c r="N3659" s="446"/>
      <c r="O3659" s="446"/>
      <c r="P3659" s="446"/>
      <c r="Q3659" s="110">
        <f t="shared" si="818"/>
        <v>0</v>
      </c>
      <c r="R3659" s="111">
        <f t="shared" si="809"/>
        <v>0</v>
      </c>
      <c r="S3659" s="110"/>
      <c r="T3659" s="110"/>
      <c r="U3659" s="110">
        <f t="shared" si="819"/>
        <v>0</v>
      </c>
      <c r="V3659" s="111">
        <f t="shared" si="810"/>
        <v>0</v>
      </c>
      <c r="W3659" s="110"/>
      <c r="X3659" s="110"/>
      <c r="Y3659" s="110"/>
      <c r="Z3659" s="110"/>
      <c r="AA3659" s="110">
        <f t="shared" si="815"/>
        <v>0</v>
      </c>
      <c r="AB3659" s="111">
        <f t="shared" si="816"/>
        <v>0</v>
      </c>
      <c r="AC3659" s="110"/>
      <c r="AD3659" s="110"/>
      <c r="AE3659" s="110">
        <f t="shared" si="815"/>
        <v>0</v>
      </c>
      <c r="AF3659" s="111">
        <f t="shared" si="817"/>
        <v>0</v>
      </c>
      <c r="AG3659" s="110"/>
      <c r="AH3659" s="110"/>
      <c r="AI3659" s="110"/>
      <c r="AJ3659" s="110"/>
      <c r="AK3659" s="111">
        <f t="shared" si="812"/>
        <v>0</v>
      </c>
      <c r="AL3659" s="446">
        <f t="shared" si="813"/>
        <v>0</v>
      </c>
      <c r="AM3659" s="110">
        <f t="shared" si="814"/>
        <v>0</v>
      </c>
      <c r="AN3659" s="447">
        <f t="shared" si="807"/>
        <v>0</v>
      </c>
      <c r="AO3659"/>
      <c r="AP3659"/>
    </row>
    <row r="3660" spans="1:42" ht="22.5" x14ac:dyDescent="0.25">
      <c r="A3660" s="1021">
        <v>332</v>
      </c>
      <c r="B3660" s="582" t="s">
        <v>833</v>
      </c>
      <c r="C3660" s="1021"/>
      <c r="D3660" s="932"/>
      <c r="E3660" s="343"/>
      <c r="F3660" s="344"/>
      <c r="G3660" s="344"/>
      <c r="H3660" s="344"/>
      <c r="I3660" s="737"/>
      <c r="J3660" s="811"/>
      <c r="K3660" s="131">
        <f t="shared" si="808"/>
        <v>0</v>
      </c>
      <c r="L3660" s="335">
        <f t="shared" si="811"/>
        <v>0</v>
      </c>
      <c r="M3660" s="414"/>
      <c r="N3660" s="414"/>
      <c r="O3660" s="414"/>
      <c r="P3660" s="414"/>
      <c r="Q3660" s="413">
        <f t="shared" si="818"/>
        <v>0</v>
      </c>
      <c r="R3660" s="345">
        <f t="shared" si="809"/>
        <v>0</v>
      </c>
      <c r="S3660" s="413"/>
      <c r="T3660" s="413"/>
      <c r="U3660" s="413">
        <f t="shared" si="819"/>
        <v>0</v>
      </c>
      <c r="V3660" s="345">
        <f t="shared" si="810"/>
        <v>0</v>
      </c>
      <c r="W3660" s="413"/>
      <c r="X3660" s="413"/>
      <c r="Y3660" s="413"/>
      <c r="Z3660" s="413"/>
      <c r="AA3660" s="413">
        <f t="shared" si="815"/>
        <v>0</v>
      </c>
      <c r="AB3660" s="345">
        <f t="shared" si="816"/>
        <v>0</v>
      </c>
      <c r="AC3660" s="413"/>
      <c r="AD3660" s="413"/>
      <c r="AE3660" s="413">
        <f t="shared" si="815"/>
        <v>0</v>
      </c>
      <c r="AF3660" s="345">
        <f t="shared" si="817"/>
        <v>0</v>
      </c>
      <c r="AG3660" s="413"/>
      <c r="AH3660" s="413"/>
      <c r="AI3660" s="413"/>
      <c r="AJ3660" s="413"/>
      <c r="AK3660" s="345">
        <f t="shared" si="812"/>
        <v>0</v>
      </c>
      <c r="AL3660" s="414">
        <f t="shared" si="813"/>
        <v>0</v>
      </c>
      <c r="AM3660" s="413">
        <f t="shared" si="814"/>
        <v>0</v>
      </c>
      <c r="AN3660" s="415">
        <f t="shared" si="807"/>
        <v>0</v>
      </c>
      <c r="AO3660" s="346"/>
      <c r="AP3660"/>
    </row>
    <row r="3661" spans="1:42" ht="22.5" x14ac:dyDescent="0.25">
      <c r="A3661" s="310">
        <v>33201</v>
      </c>
      <c r="B3661" s="375" t="s">
        <v>833</v>
      </c>
      <c r="C3661" s="311"/>
      <c r="D3661" s="902"/>
      <c r="E3661" s="312"/>
      <c r="F3661" s="313"/>
      <c r="G3661" s="313"/>
      <c r="H3661" s="313"/>
      <c r="I3661" s="729"/>
      <c r="J3661" s="800"/>
      <c r="K3661" s="131">
        <f t="shared" si="808"/>
        <v>0</v>
      </c>
      <c r="L3661" s="335">
        <f t="shared" si="811"/>
        <v>0</v>
      </c>
      <c r="M3661" s="421"/>
      <c r="N3661" s="421"/>
      <c r="O3661" s="421"/>
      <c r="P3661" s="421"/>
      <c r="Q3661" s="387">
        <f t="shared" si="818"/>
        <v>0</v>
      </c>
      <c r="R3661" s="314">
        <f t="shared" si="809"/>
        <v>0</v>
      </c>
      <c r="S3661" s="387"/>
      <c r="T3661" s="387"/>
      <c r="U3661" s="387">
        <f t="shared" si="819"/>
        <v>0</v>
      </c>
      <c r="V3661" s="314">
        <f t="shared" si="810"/>
        <v>0</v>
      </c>
      <c r="W3661" s="387"/>
      <c r="X3661" s="387"/>
      <c r="Y3661" s="387"/>
      <c r="Z3661" s="387"/>
      <c r="AA3661" s="387">
        <f t="shared" si="815"/>
        <v>0</v>
      </c>
      <c r="AB3661" s="314">
        <f t="shared" si="816"/>
        <v>0</v>
      </c>
      <c r="AC3661" s="387"/>
      <c r="AD3661" s="387"/>
      <c r="AE3661" s="387">
        <f t="shared" si="815"/>
        <v>0</v>
      </c>
      <c r="AF3661" s="314">
        <f t="shared" si="817"/>
        <v>0</v>
      </c>
      <c r="AG3661" s="387"/>
      <c r="AH3661" s="387"/>
      <c r="AI3661" s="387"/>
      <c r="AJ3661" s="387"/>
      <c r="AK3661" s="314">
        <f t="shared" si="812"/>
        <v>0</v>
      </c>
      <c r="AL3661" s="421">
        <f t="shared" si="813"/>
        <v>0</v>
      </c>
      <c r="AM3661" s="387">
        <f t="shared" si="814"/>
        <v>0</v>
      </c>
      <c r="AN3661" s="422">
        <f t="shared" si="807"/>
        <v>0</v>
      </c>
      <c r="AO3661" s="188"/>
      <c r="AP3661"/>
    </row>
    <row r="3662" spans="1:42" x14ac:dyDescent="0.25">
      <c r="A3662" s="61"/>
      <c r="B3662" s="583"/>
      <c r="C3662" s="9"/>
      <c r="D3662" s="882"/>
      <c r="E3662" s="1025"/>
      <c r="F3662" s="271"/>
      <c r="G3662" s="271"/>
      <c r="H3662" s="271"/>
      <c r="I3662" s="720"/>
      <c r="J3662" s="813"/>
      <c r="K3662" s="131">
        <f t="shared" si="808"/>
        <v>0</v>
      </c>
      <c r="L3662" s="335">
        <f t="shared" si="811"/>
        <v>0</v>
      </c>
      <c r="M3662" s="446"/>
      <c r="N3662" s="446"/>
      <c r="O3662" s="446"/>
      <c r="P3662" s="446"/>
      <c r="Q3662" s="110">
        <f t="shared" si="818"/>
        <v>0</v>
      </c>
      <c r="R3662" s="111">
        <f t="shared" si="809"/>
        <v>0</v>
      </c>
      <c r="S3662" s="110"/>
      <c r="T3662" s="110"/>
      <c r="U3662" s="110">
        <f t="shared" si="819"/>
        <v>0</v>
      </c>
      <c r="V3662" s="111">
        <f t="shared" si="810"/>
        <v>0</v>
      </c>
      <c r="W3662" s="110"/>
      <c r="X3662" s="110"/>
      <c r="Y3662" s="110"/>
      <c r="Z3662" s="110"/>
      <c r="AA3662" s="110">
        <f t="shared" si="815"/>
        <v>0</v>
      </c>
      <c r="AB3662" s="111">
        <f t="shared" si="816"/>
        <v>0</v>
      </c>
      <c r="AC3662" s="110"/>
      <c r="AD3662" s="110"/>
      <c r="AE3662" s="110">
        <f t="shared" si="815"/>
        <v>0</v>
      </c>
      <c r="AF3662" s="111">
        <f t="shared" si="817"/>
        <v>0</v>
      </c>
      <c r="AG3662" s="110"/>
      <c r="AH3662" s="110"/>
      <c r="AI3662" s="110"/>
      <c r="AJ3662" s="110"/>
      <c r="AK3662" s="111">
        <f t="shared" si="812"/>
        <v>0</v>
      </c>
      <c r="AL3662" s="446">
        <f t="shared" si="813"/>
        <v>0</v>
      </c>
      <c r="AM3662" s="110">
        <f t="shared" si="814"/>
        <v>0</v>
      </c>
      <c r="AN3662" s="447">
        <f t="shared" si="807"/>
        <v>0</v>
      </c>
      <c r="AO3662"/>
      <c r="AP3662"/>
    </row>
    <row r="3663" spans="1:42" ht="22.5" x14ac:dyDescent="0.25">
      <c r="A3663" s="1020">
        <v>333</v>
      </c>
      <c r="B3663" s="585" t="s">
        <v>834</v>
      </c>
      <c r="C3663" s="1020"/>
      <c r="D3663" s="936"/>
      <c r="E3663" s="396"/>
      <c r="F3663" s="397"/>
      <c r="G3663" s="397"/>
      <c r="H3663" s="397"/>
      <c r="I3663" s="738"/>
      <c r="J3663" s="817"/>
      <c r="K3663" s="131">
        <f t="shared" si="808"/>
        <v>0</v>
      </c>
      <c r="L3663" s="335">
        <f t="shared" si="811"/>
        <v>0</v>
      </c>
      <c r="M3663" s="414"/>
      <c r="N3663" s="414"/>
      <c r="O3663" s="414"/>
      <c r="P3663" s="414"/>
      <c r="Q3663" s="413">
        <f t="shared" si="818"/>
        <v>0</v>
      </c>
      <c r="R3663" s="345">
        <f t="shared" si="809"/>
        <v>0</v>
      </c>
      <c r="S3663" s="413"/>
      <c r="T3663" s="413"/>
      <c r="U3663" s="413">
        <f t="shared" si="819"/>
        <v>0</v>
      </c>
      <c r="V3663" s="345">
        <f t="shared" si="810"/>
        <v>0</v>
      </c>
      <c r="W3663" s="413"/>
      <c r="X3663" s="413"/>
      <c r="Y3663" s="413"/>
      <c r="Z3663" s="413"/>
      <c r="AA3663" s="413">
        <f t="shared" si="815"/>
        <v>0</v>
      </c>
      <c r="AB3663" s="345">
        <f t="shared" si="816"/>
        <v>0</v>
      </c>
      <c r="AC3663" s="413"/>
      <c r="AD3663" s="413"/>
      <c r="AE3663" s="413">
        <f t="shared" si="815"/>
        <v>0</v>
      </c>
      <c r="AF3663" s="345">
        <f t="shared" si="817"/>
        <v>0</v>
      </c>
      <c r="AG3663" s="413"/>
      <c r="AH3663" s="413"/>
      <c r="AI3663" s="413"/>
      <c r="AJ3663" s="413"/>
      <c r="AK3663" s="345">
        <f t="shared" si="812"/>
        <v>0</v>
      </c>
      <c r="AL3663" s="414">
        <f t="shared" si="813"/>
        <v>0</v>
      </c>
      <c r="AM3663" s="413">
        <f t="shared" si="814"/>
        <v>0</v>
      </c>
      <c r="AN3663" s="415">
        <f t="shared" si="807"/>
        <v>0</v>
      </c>
      <c r="AO3663" s="346"/>
      <c r="AP3663"/>
    </row>
    <row r="3664" spans="1:42" x14ac:dyDescent="0.25">
      <c r="A3664" s="310">
        <v>33301</v>
      </c>
      <c r="B3664" s="375" t="s">
        <v>835</v>
      </c>
      <c r="C3664" s="311"/>
      <c r="D3664" s="902"/>
      <c r="E3664" s="311"/>
      <c r="F3664" s="371"/>
      <c r="G3664" s="371"/>
      <c r="H3664" s="371"/>
      <c r="I3664" s="739"/>
      <c r="J3664" s="818"/>
      <c r="K3664" s="177">
        <f t="shared" si="808"/>
        <v>0</v>
      </c>
      <c r="L3664" s="1018">
        <f t="shared" si="811"/>
        <v>0</v>
      </c>
      <c r="M3664" s="405"/>
      <c r="N3664" s="405"/>
      <c r="O3664" s="405"/>
      <c r="P3664" s="405"/>
      <c r="Q3664" s="404">
        <f t="shared" si="818"/>
        <v>0</v>
      </c>
      <c r="R3664" s="395">
        <f t="shared" si="809"/>
        <v>0</v>
      </c>
      <c r="S3664" s="404"/>
      <c r="T3664" s="404"/>
      <c r="U3664" s="404">
        <f t="shared" si="819"/>
        <v>0</v>
      </c>
      <c r="V3664" s="395">
        <f t="shared" si="810"/>
        <v>0</v>
      </c>
      <c r="W3664" s="404"/>
      <c r="X3664" s="404"/>
      <c r="Y3664" s="404"/>
      <c r="Z3664" s="404"/>
      <c r="AA3664" s="404">
        <f t="shared" si="815"/>
        <v>0</v>
      </c>
      <c r="AB3664" s="395">
        <f t="shared" si="816"/>
        <v>0</v>
      </c>
      <c r="AC3664" s="404"/>
      <c r="AD3664" s="404"/>
      <c r="AE3664" s="404">
        <f t="shared" si="815"/>
        <v>0</v>
      </c>
      <c r="AF3664" s="395">
        <f t="shared" si="817"/>
        <v>0</v>
      </c>
      <c r="AG3664" s="404"/>
      <c r="AH3664" s="404"/>
      <c r="AI3664" s="404"/>
      <c r="AJ3664" s="404"/>
      <c r="AK3664" s="395">
        <f t="shared" si="812"/>
        <v>0</v>
      </c>
      <c r="AL3664" s="405">
        <f t="shared" si="813"/>
        <v>0</v>
      </c>
      <c r="AM3664" s="404">
        <f t="shared" si="814"/>
        <v>0</v>
      </c>
      <c r="AN3664" s="406">
        <f t="shared" si="807"/>
        <v>0</v>
      </c>
      <c r="AO3664" s="440">
        <f>SUM(J3665:J3667)</f>
        <v>22960</v>
      </c>
      <c r="AP3664" s="395"/>
    </row>
    <row r="3665" spans="1:42" ht="66" x14ac:dyDescent="0.25">
      <c r="A3665" s="401"/>
      <c r="B3665" s="586" t="s">
        <v>836</v>
      </c>
      <c r="C3665" s="674"/>
      <c r="D3665" s="929">
        <v>1</v>
      </c>
      <c r="E3665" s="211" t="s">
        <v>1755</v>
      </c>
      <c r="F3665" s="278" t="s">
        <v>3446</v>
      </c>
      <c r="G3665" s="1040" t="s">
        <v>3463</v>
      </c>
      <c r="H3665" s="273" t="s">
        <v>3462</v>
      </c>
      <c r="I3665" s="727">
        <f>+J3665/D3665</f>
        <v>12960</v>
      </c>
      <c r="J3665" s="819">
        <v>12960</v>
      </c>
      <c r="K3665" s="131">
        <f t="shared" si="808"/>
        <v>12960</v>
      </c>
      <c r="L3665" s="335">
        <f t="shared" si="811"/>
        <v>0</v>
      </c>
      <c r="M3665" s="446"/>
      <c r="N3665" s="446"/>
      <c r="O3665" s="446"/>
      <c r="P3665" s="446"/>
      <c r="Q3665" s="110">
        <v>1</v>
      </c>
      <c r="R3665" s="111">
        <f t="shared" si="809"/>
        <v>3240</v>
      </c>
      <c r="S3665" s="110"/>
      <c r="T3665" s="110"/>
      <c r="U3665" s="110">
        <v>0</v>
      </c>
      <c r="V3665" s="111">
        <f t="shared" si="810"/>
        <v>3240</v>
      </c>
      <c r="W3665" s="110"/>
      <c r="X3665" s="110"/>
      <c r="Y3665" s="110"/>
      <c r="Z3665" s="110"/>
      <c r="AA3665" s="110">
        <v>0</v>
      </c>
      <c r="AB3665" s="111">
        <f t="shared" si="816"/>
        <v>3240</v>
      </c>
      <c r="AC3665" s="110"/>
      <c r="AD3665" s="110"/>
      <c r="AE3665" s="110">
        <v>0</v>
      </c>
      <c r="AF3665" s="111">
        <f t="shared" si="817"/>
        <v>3240</v>
      </c>
      <c r="AG3665" s="110"/>
      <c r="AH3665" s="110"/>
      <c r="AI3665" s="110"/>
      <c r="AJ3665" s="110"/>
      <c r="AK3665" s="111">
        <f t="shared" si="812"/>
        <v>12960</v>
      </c>
      <c r="AL3665" s="446">
        <f t="shared" si="813"/>
        <v>0</v>
      </c>
      <c r="AM3665" s="110">
        <f t="shared" si="814"/>
        <v>1</v>
      </c>
      <c r="AN3665" s="447">
        <f t="shared" si="807"/>
        <v>0</v>
      </c>
      <c r="AO3665"/>
      <c r="AP3665"/>
    </row>
    <row r="3666" spans="1:42" ht="66" x14ac:dyDescent="0.25">
      <c r="A3666" s="115"/>
      <c r="B3666" s="227" t="s">
        <v>1102</v>
      </c>
      <c r="C3666" s="1027"/>
      <c r="D3666" s="937">
        <f>1</f>
        <v>1</v>
      </c>
      <c r="E3666" s="250" t="s">
        <v>1755</v>
      </c>
      <c r="F3666" s="278" t="s">
        <v>3446</v>
      </c>
      <c r="G3666" s="1040" t="s">
        <v>3463</v>
      </c>
      <c r="H3666" s="273" t="s">
        <v>3462</v>
      </c>
      <c r="I3666" s="720">
        <f>+J3666/D3666</f>
        <v>5000</v>
      </c>
      <c r="J3666" s="820">
        <f>5000</f>
        <v>5000</v>
      </c>
      <c r="K3666" s="131">
        <f t="shared" si="808"/>
        <v>5000</v>
      </c>
      <c r="L3666" s="335">
        <f t="shared" si="811"/>
        <v>0</v>
      </c>
      <c r="M3666" s="446"/>
      <c r="N3666" s="446"/>
      <c r="O3666" s="446"/>
      <c r="P3666" s="446"/>
      <c r="Q3666" s="110">
        <v>1</v>
      </c>
      <c r="R3666" s="111">
        <f t="shared" si="809"/>
        <v>1250</v>
      </c>
      <c r="S3666" s="110"/>
      <c r="T3666" s="110"/>
      <c r="U3666" s="110">
        <v>0</v>
      </c>
      <c r="V3666" s="111">
        <f t="shared" si="810"/>
        <v>1250</v>
      </c>
      <c r="W3666" s="110"/>
      <c r="X3666" s="110"/>
      <c r="Y3666" s="110"/>
      <c r="Z3666" s="110"/>
      <c r="AA3666" s="110">
        <v>0</v>
      </c>
      <c r="AB3666" s="111">
        <f t="shared" si="816"/>
        <v>1250</v>
      </c>
      <c r="AC3666" s="110"/>
      <c r="AD3666" s="110"/>
      <c r="AE3666" s="110">
        <v>0</v>
      </c>
      <c r="AF3666" s="111">
        <f t="shared" si="817"/>
        <v>1250</v>
      </c>
      <c r="AG3666" s="110"/>
      <c r="AH3666" s="110"/>
      <c r="AI3666" s="110"/>
      <c r="AJ3666" s="110"/>
      <c r="AK3666" s="111">
        <f t="shared" si="812"/>
        <v>5000</v>
      </c>
      <c r="AL3666" s="446">
        <f t="shared" si="813"/>
        <v>0</v>
      </c>
      <c r="AM3666" s="110">
        <f t="shared" si="814"/>
        <v>1</v>
      </c>
      <c r="AN3666" s="447">
        <f t="shared" si="807"/>
        <v>0</v>
      </c>
      <c r="AO3666"/>
      <c r="AP3666"/>
    </row>
    <row r="3667" spans="1:42" ht="66" x14ac:dyDescent="0.25">
      <c r="A3667" s="398"/>
      <c r="B3667" s="493" t="s">
        <v>1103</v>
      </c>
      <c r="C3667" s="1023"/>
      <c r="D3667" s="938">
        <f>1</f>
        <v>1</v>
      </c>
      <c r="E3667" s="399" t="s">
        <v>1755</v>
      </c>
      <c r="F3667" s="278" t="s">
        <v>3446</v>
      </c>
      <c r="G3667" s="1040" t="s">
        <v>3463</v>
      </c>
      <c r="H3667" s="273" t="s">
        <v>3462</v>
      </c>
      <c r="I3667" s="731">
        <f>+J3667/D3667</f>
        <v>5000</v>
      </c>
      <c r="J3667" s="821">
        <f>5000</f>
        <v>5000</v>
      </c>
      <c r="K3667" s="131">
        <f t="shared" si="808"/>
        <v>5000</v>
      </c>
      <c r="L3667" s="335">
        <f t="shared" si="811"/>
        <v>0</v>
      </c>
      <c r="M3667" s="446"/>
      <c r="N3667" s="446"/>
      <c r="O3667" s="446"/>
      <c r="P3667" s="446"/>
      <c r="Q3667" s="110">
        <v>1</v>
      </c>
      <c r="R3667" s="111">
        <f t="shared" si="809"/>
        <v>1250</v>
      </c>
      <c r="S3667" s="110"/>
      <c r="T3667" s="110"/>
      <c r="U3667" s="110">
        <v>0</v>
      </c>
      <c r="V3667" s="111">
        <f t="shared" si="810"/>
        <v>1250</v>
      </c>
      <c r="W3667" s="110"/>
      <c r="X3667" s="110"/>
      <c r="Y3667" s="110"/>
      <c r="Z3667" s="110"/>
      <c r="AA3667" s="110">
        <v>0</v>
      </c>
      <c r="AB3667" s="111">
        <f t="shared" si="816"/>
        <v>1250</v>
      </c>
      <c r="AC3667" s="110"/>
      <c r="AD3667" s="110"/>
      <c r="AE3667" s="110">
        <v>0</v>
      </c>
      <c r="AF3667" s="111">
        <f t="shared" si="817"/>
        <v>1250</v>
      </c>
      <c r="AG3667" s="110"/>
      <c r="AH3667" s="110"/>
      <c r="AI3667" s="110"/>
      <c r="AJ3667" s="110"/>
      <c r="AK3667" s="111">
        <f t="shared" si="812"/>
        <v>5000</v>
      </c>
      <c r="AL3667" s="446">
        <f t="shared" si="813"/>
        <v>0</v>
      </c>
      <c r="AM3667" s="110">
        <f t="shared" si="814"/>
        <v>1</v>
      </c>
      <c r="AN3667" s="447">
        <f t="shared" si="807"/>
        <v>0</v>
      </c>
      <c r="AO3667"/>
      <c r="AP3667"/>
    </row>
    <row r="3668" spans="1:42" x14ac:dyDescent="0.25">
      <c r="A3668" s="310">
        <v>33302</v>
      </c>
      <c r="B3668" s="375" t="s">
        <v>837</v>
      </c>
      <c r="C3668" s="407"/>
      <c r="D3668" s="902"/>
      <c r="E3668" s="311"/>
      <c r="F3668" s="371"/>
      <c r="G3668" s="371"/>
      <c r="H3668" s="371"/>
      <c r="I3668" s="739"/>
      <c r="J3668" s="818"/>
      <c r="K3668" s="177">
        <f t="shared" si="808"/>
        <v>0</v>
      </c>
      <c r="L3668" s="1018">
        <f t="shared" si="811"/>
        <v>0</v>
      </c>
      <c r="M3668" s="405"/>
      <c r="N3668" s="405"/>
      <c r="O3668" s="405"/>
      <c r="P3668" s="405"/>
      <c r="Q3668" s="404">
        <f t="shared" si="818"/>
        <v>0</v>
      </c>
      <c r="R3668" s="395">
        <f t="shared" si="809"/>
        <v>0</v>
      </c>
      <c r="S3668" s="404"/>
      <c r="T3668" s="404"/>
      <c r="U3668" s="404">
        <f t="shared" si="819"/>
        <v>0</v>
      </c>
      <c r="V3668" s="395">
        <f t="shared" si="810"/>
        <v>0</v>
      </c>
      <c r="W3668" s="404"/>
      <c r="X3668" s="404"/>
      <c r="Y3668" s="404"/>
      <c r="Z3668" s="404"/>
      <c r="AA3668" s="404">
        <f t="shared" si="815"/>
        <v>0</v>
      </c>
      <c r="AB3668" s="395">
        <f t="shared" si="816"/>
        <v>0</v>
      </c>
      <c r="AC3668" s="404"/>
      <c r="AD3668" s="404"/>
      <c r="AE3668" s="404">
        <f t="shared" si="815"/>
        <v>0</v>
      </c>
      <c r="AF3668" s="395">
        <f t="shared" si="817"/>
        <v>0</v>
      </c>
      <c r="AG3668" s="404"/>
      <c r="AH3668" s="404"/>
      <c r="AI3668" s="404"/>
      <c r="AJ3668" s="404"/>
      <c r="AK3668" s="395">
        <f t="shared" si="812"/>
        <v>0</v>
      </c>
      <c r="AL3668" s="405">
        <f t="shared" si="813"/>
        <v>0</v>
      </c>
      <c r="AM3668" s="404">
        <f t="shared" si="814"/>
        <v>0</v>
      </c>
      <c r="AN3668" s="406">
        <f t="shared" si="807"/>
        <v>0</v>
      </c>
      <c r="AO3668" s="441"/>
      <c r="AP3668" s="404"/>
    </row>
    <row r="3669" spans="1:42" x14ac:dyDescent="0.25">
      <c r="A3669" s="402"/>
      <c r="B3669" s="587"/>
      <c r="C3669" s="674"/>
      <c r="D3669" s="939"/>
      <c r="E3669" s="79"/>
      <c r="F3669" s="286"/>
      <c r="G3669" s="286"/>
      <c r="H3669" s="286"/>
      <c r="I3669" s="740"/>
      <c r="J3669" s="809"/>
      <c r="K3669" s="131">
        <f t="shared" si="808"/>
        <v>0</v>
      </c>
      <c r="L3669" s="335">
        <f t="shared" si="811"/>
        <v>0</v>
      </c>
      <c r="M3669" s="446"/>
      <c r="N3669" s="446"/>
      <c r="O3669" s="446"/>
      <c r="P3669" s="446"/>
      <c r="Q3669" s="110">
        <f t="shared" si="818"/>
        <v>0</v>
      </c>
      <c r="R3669" s="111">
        <f t="shared" si="809"/>
        <v>0</v>
      </c>
      <c r="S3669" s="110"/>
      <c r="T3669" s="110"/>
      <c r="U3669" s="110">
        <f t="shared" si="819"/>
        <v>0</v>
      </c>
      <c r="V3669" s="111">
        <f t="shared" si="810"/>
        <v>0</v>
      </c>
      <c r="W3669" s="110"/>
      <c r="X3669" s="110"/>
      <c r="Y3669" s="110"/>
      <c r="Z3669" s="110"/>
      <c r="AA3669" s="110">
        <f t="shared" si="815"/>
        <v>0</v>
      </c>
      <c r="AB3669" s="111">
        <f t="shared" si="816"/>
        <v>0</v>
      </c>
      <c r="AC3669" s="110"/>
      <c r="AD3669" s="110"/>
      <c r="AE3669" s="110">
        <f t="shared" si="815"/>
        <v>0</v>
      </c>
      <c r="AF3669" s="111">
        <f t="shared" si="817"/>
        <v>0</v>
      </c>
      <c r="AG3669" s="110"/>
      <c r="AH3669" s="110"/>
      <c r="AI3669" s="110"/>
      <c r="AJ3669" s="110"/>
      <c r="AK3669" s="111">
        <f t="shared" si="812"/>
        <v>0</v>
      </c>
      <c r="AL3669" s="446">
        <f t="shared" si="813"/>
        <v>0</v>
      </c>
      <c r="AM3669" s="110">
        <f t="shared" si="814"/>
        <v>0</v>
      </c>
      <c r="AN3669" s="447">
        <f t="shared" si="807"/>
        <v>0</v>
      </c>
      <c r="AO3669"/>
      <c r="AP3669"/>
    </row>
    <row r="3670" spans="1:42" x14ac:dyDescent="0.25">
      <c r="A3670" s="310">
        <v>33303</v>
      </c>
      <c r="B3670" s="375" t="s">
        <v>838</v>
      </c>
      <c r="C3670" s="407"/>
      <c r="D3670" s="902"/>
      <c r="E3670" s="311"/>
      <c r="F3670" s="371"/>
      <c r="G3670" s="371"/>
      <c r="H3670" s="371"/>
      <c r="I3670" s="739"/>
      <c r="J3670" s="818"/>
      <c r="K3670" s="177">
        <f t="shared" si="808"/>
        <v>0</v>
      </c>
      <c r="L3670" s="1018">
        <f t="shared" si="811"/>
        <v>0</v>
      </c>
      <c r="M3670" s="405"/>
      <c r="N3670" s="405"/>
      <c r="O3670" s="405"/>
      <c r="P3670" s="405"/>
      <c r="Q3670" s="404">
        <f t="shared" si="818"/>
        <v>0</v>
      </c>
      <c r="R3670" s="395">
        <f t="shared" si="809"/>
        <v>0</v>
      </c>
      <c r="S3670" s="404"/>
      <c r="T3670" s="404"/>
      <c r="U3670" s="404">
        <f t="shared" si="819"/>
        <v>0</v>
      </c>
      <c r="V3670" s="395">
        <f t="shared" si="810"/>
        <v>0</v>
      </c>
      <c r="W3670" s="404"/>
      <c r="X3670" s="404"/>
      <c r="Y3670" s="404"/>
      <c r="Z3670" s="404"/>
      <c r="AA3670" s="404">
        <f t="shared" si="815"/>
        <v>0</v>
      </c>
      <c r="AB3670" s="395">
        <f t="shared" si="816"/>
        <v>0</v>
      </c>
      <c r="AC3670" s="404"/>
      <c r="AD3670" s="404"/>
      <c r="AE3670" s="404">
        <f t="shared" si="815"/>
        <v>0</v>
      </c>
      <c r="AF3670" s="395">
        <f t="shared" si="817"/>
        <v>0</v>
      </c>
      <c r="AG3670" s="404"/>
      <c r="AH3670" s="404"/>
      <c r="AI3670" s="404"/>
      <c r="AJ3670" s="404"/>
      <c r="AK3670" s="395">
        <f t="shared" si="812"/>
        <v>0</v>
      </c>
      <c r="AL3670" s="405">
        <f t="shared" si="813"/>
        <v>0</v>
      </c>
      <c r="AM3670" s="404">
        <f t="shared" si="814"/>
        <v>0</v>
      </c>
      <c r="AN3670" s="406">
        <f t="shared" si="807"/>
        <v>0</v>
      </c>
      <c r="AO3670" s="441"/>
      <c r="AP3670" s="404"/>
    </row>
    <row r="3671" spans="1:42" x14ac:dyDescent="0.25">
      <c r="A3671" s="402"/>
      <c r="B3671" s="587"/>
      <c r="C3671" s="675"/>
      <c r="D3671" s="939"/>
      <c r="E3671" s="79"/>
      <c r="F3671" s="286"/>
      <c r="G3671" s="286"/>
      <c r="H3671" s="286"/>
      <c r="I3671" s="740"/>
      <c r="J3671" s="809"/>
      <c r="K3671" s="131">
        <f t="shared" si="808"/>
        <v>0</v>
      </c>
      <c r="L3671" s="335">
        <f t="shared" si="811"/>
        <v>0</v>
      </c>
      <c r="M3671" s="446"/>
      <c r="N3671" s="446"/>
      <c r="O3671" s="446"/>
      <c r="P3671" s="446"/>
      <c r="Q3671" s="110">
        <f t="shared" si="818"/>
        <v>0</v>
      </c>
      <c r="R3671" s="111">
        <f t="shared" si="809"/>
        <v>0</v>
      </c>
      <c r="S3671" s="110"/>
      <c r="T3671" s="110"/>
      <c r="U3671" s="110">
        <f t="shared" si="819"/>
        <v>0</v>
      </c>
      <c r="V3671" s="111">
        <f t="shared" si="810"/>
        <v>0</v>
      </c>
      <c r="W3671" s="110"/>
      <c r="X3671" s="110"/>
      <c r="Y3671" s="110"/>
      <c r="Z3671" s="110"/>
      <c r="AA3671" s="110">
        <f t="shared" si="815"/>
        <v>0</v>
      </c>
      <c r="AB3671" s="111">
        <f t="shared" si="816"/>
        <v>0</v>
      </c>
      <c r="AC3671" s="110"/>
      <c r="AD3671" s="110"/>
      <c r="AE3671" s="110">
        <f t="shared" si="815"/>
        <v>0</v>
      </c>
      <c r="AF3671" s="111">
        <f t="shared" si="817"/>
        <v>0</v>
      </c>
      <c r="AG3671" s="110"/>
      <c r="AH3671" s="110"/>
      <c r="AI3671" s="110"/>
      <c r="AJ3671" s="110"/>
      <c r="AK3671" s="111">
        <f t="shared" si="812"/>
        <v>0</v>
      </c>
      <c r="AL3671" s="446">
        <f t="shared" si="813"/>
        <v>0</v>
      </c>
      <c r="AM3671" s="110">
        <f t="shared" si="814"/>
        <v>0</v>
      </c>
      <c r="AN3671" s="447">
        <f t="shared" si="807"/>
        <v>0</v>
      </c>
      <c r="AO3671"/>
      <c r="AP3671"/>
    </row>
    <row r="3672" spans="1:42" x14ac:dyDescent="0.25">
      <c r="A3672" s="376">
        <v>334</v>
      </c>
      <c r="B3672" s="588" t="s">
        <v>824</v>
      </c>
      <c r="C3672" s="376"/>
      <c r="D3672" s="940"/>
      <c r="E3672" s="416"/>
      <c r="F3672" s="417"/>
      <c r="G3672" s="417"/>
      <c r="H3672" s="417"/>
      <c r="I3672" s="734"/>
      <c r="J3672" s="822"/>
      <c r="K3672" s="131">
        <f t="shared" si="808"/>
        <v>0</v>
      </c>
      <c r="L3672" s="335">
        <f t="shared" si="811"/>
        <v>0</v>
      </c>
      <c r="M3672" s="419"/>
      <c r="N3672" s="419"/>
      <c r="O3672" s="419"/>
      <c r="P3672" s="419"/>
      <c r="Q3672" s="418">
        <f t="shared" si="818"/>
        <v>0</v>
      </c>
      <c r="R3672" s="379">
        <f t="shared" si="809"/>
        <v>0</v>
      </c>
      <c r="S3672" s="418"/>
      <c r="T3672" s="418"/>
      <c r="U3672" s="418">
        <f t="shared" si="819"/>
        <v>0</v>
      </c>
      <c r="V3672" s="379">
        <f t="shared" si="810"/>
        <v>0</v>
      </c>
      <c r="W3672" s="418"/>
      <c r="X3672" s="418"/>
      <c r="Y3672" s="418"/>
      <c r="Z3672" s="418"/>
      <c r="AA3672" s="418">
        <f t="shared" si="815"/>
        <v>0</v>
      </c>
      <c r="AB3672" s="379">
        <f t="shared" si="816"/>
        <v>0</v>
      </c>
      <c r="AC3672" s="418"/>
      <c r="AD3672" s="418"/>
      <c r="AE3672" s="418">
        <f t="shared" si="815"/>
        <v>0</v>
      </c>
      <c r="AF3672" s="379">
        <f t="shared" si="817"/>
        <v>0</v>
      </c>
      <c r="AG3672" s="418"/>
      <c r="AH3672" s="418"/>
      <c r="AI3672" s="418"/>
      <c r="AJ3672" s="418"/>
      <c r="AK3672" s="379">
        <f t="shared" si="812"/>
        <v>0</v>
      </c>
      <c r="AL3672" s="419">
        <f t="shared" si="813"/>
        <v>0</v>
      </c>
      <c r="AM3672" s="418">
        <f t="shared" si="814"/>
        <v>0</v>
      </c>
      <c r="AN3672" s="420">
        <f t="shared" si="807"/>
        <v>0</v>
      </c>
      <c r="AO3672" s="442"/>
      <c r="AP3672"/>
    </row>
    <row r="3673" spans="1:42" x14ac:dyDescent="0.25">
      <c r="A3673" s="310">
        <v>33401</v>
      </c>
      <c r="B3673" s="375" t="s">
        <v>824</v>
      </c>
      <c r="C3673" s="311"/>
      <c r="D3673" s="902"/>
      <c r="E3673" s="311"/>
      <c r="F3673" s="371"/>
      <c r="G3673" s="371"/>
      <c r="H3673" s="371"/>
      <c r="I3673" s="729"/>
      <c r="J3673" s="818"/>
      <c r="K3673" s="131">
        <f t="shared" si="808"/>
        <v>0</v>
      </c>
      <c r="L3673" s="335">
        <f t="shared" si="811"/>
        <v>0</v>
      </c>
      <c r="M3673" s="421"/>
      <c r="N3673" s="421"/>
      <c r="O3673" s="421"/>
      <c r="P3673" s="421"/>
      <c r="Q3673" s="387">
        <f t="shared" si="818"/>
        <v>0</v>
      </c>
      <c r="R3673" s="314">
        <f t="shared" si="809"/>
        <v>0</v>
      </c>
      <c r="S3673" s="387"/>
      <c r="T3673" s="387"/>
      <c r="U3673" s="387">
        <f t="shared" si="819"/>
        <v>0</v>
      </c>
      <c r="V3673" s="314">
        <f t="shared" si="810"/>
        <v>0</v>
      </c>
      <c r="W3673" s="387"/>
      <c r="X3673" s="387"/>
      <c r="Y3673" s="387"/>
      <c r="Z3673" s="387"/>
      <c r="AA3673" s="387">
        <f t="shared" si="815"/>
        <v>0</v>
      </c>
      <c r="AB3673" s="314">
        <f t="shared" si="816"/>
        <v>0</v>
      </c>
      <c r="AC3673" s="387"/>
      <c r="AD3673" s="387"/>
      <c r="AE3673" s="387">
        <f t="shared" si="815"/>
        <v>0</v>
      </c>
      <c r="AF3673" s="314">
        <f t="shared" si="817"/>
        <v>0</v>
      </c>
      <c r="AG3673" s="387"/>
      <c r="AH3673" s="387"/>
      <c r="AI3673" s="387"/>
      <c r="AJ3673" s="387"/>
      <c r="AK3673" s="314">
        <f t="shared" si="812"/>
        <v>0</v>
      </c>
      <c r="AL3673" s="421">
        <f t="shared" si="813"/>
        <v>0</v>
      </c>
      <c r="AM3673" s="387">
        <f t="shared" si="814"/>
        <v>0</v>
      </c>
      <c r="AN3673" s="422">
        <f t="shared" si="807"/>
        <v>0</v>
      </c>
      <c r="AO3673" s="439">
        <f>SUM(J3674:J3679)</f>
        <v>440122.36</v>
      </c>
      <c r="AP3673" s="111"/>
    </row>
    <row r="3674" spans="1:42" ht="66" x14ac:dyDescent="0.25">
      <c r="A3674" s="201"/>
      <c r="B3674" s="198" t="s">
        <v>839</v>
      </c>
      <c r="C3674" s="180"/>
      <c r="D3674" s="872">
        <v>1</v>
      </c>
      <c r="E3674" s="265" t="s">
        <v>1757</v>
      </c>
      <c r="F3674" s="278" t="s">
        <v>3446</v>
      </c>
      <c r="G3674" s="1040" t="s">
        <v>3463</v>
      </c>
      <c r="H3674" s="273" t="s">
        <v>3462</v>
      </c>
      <c r="I3674" s="727">
        <f t="shared" ref="I3674:I3679" si="820">+J3674/D3674</f>
        <v>15678.16</v>
      </c>
      <c r="J3674" s="823">
        <v>15678.16</v>
      </c>
      <c r="K3674" s="131">
        <f t="shared" si="808"/>
        <v>15678.16</v>
      </c>
      <c r="L3674" s="335">
        <f t="shared" si="811"/>
        <v>0</v>
      </c>
      <c r="M3674" s="446"/>
      <c r="N3674" s="446"/>
      <c r="O3674" s="446"/>
      <c r="P3674" s="446"/>
      <c r="Q3674" s="110">
        <v>1</v>
      </c>
      <c r="R3674" s="111">
        <f t="shared" si="809"/>
        <v>3919.54</v>
      </c>
      <c r="S3674" s="110"/>
      <c r="T3674" s="110"/>
      <c r="U3674" s="110">
        <v>0</v>
      </c>
      <c r="V3674" s="111">
        <f t="shared" si="810"/>
        <v>3919.54</v>
      </c>
      <c r="W3674" s="110"/>
      <c r="X3674" s="110"/>
      <c r="Y3674" s="110"/>
      <c r="Z3674" s="110"/>
      <c r="AA3674" s="110">
        <v>0</v>
      </c>
      <c r="AB3674" s="111">
        <f t="shared" si="816"/>
        <v>3919.54</v>
      </c>
      <c r="AC3674" s="110"/>
      <c r="AD3674" s="110"/>
      <c r="AE3674" s="110">
        <v>0</v>
      </c>
      <c r="AF3674" s="111">
        <f t="shared" si="817"/>
        <v>3919.54</v>
      </c>
      <c r="AG3674" s="110"/>
      <c r="AH3674" s="110"/>
      <c r="AI3674" s="110"/>
      <c r="AJ3674" s="110"/>
      <c r="AK3674" s="111">
        <f t="shared" si="812"/>
        <v>15678.16</v>
      </c>
      <c r="AL3674" s="446">
        <f t="shared" si="813"/>
        <v>0</v>
      </c>
      <c r="AM3674" s="110">
        <f t="shared" si="814"/>
        <v>1</v>
      </c>
      <c r="AN3674" s="447">
        <f t="shared" ref="AN3674:AN3737" si="821">+D3674-AM3674</f>
        <v>0</v>
      </c>
      <c r="AO3674"/>
      <c r="AP3674"/>
    </row>
    <row r="3675" spans="1:42" ht="66" x14ac:dyDescent="0.25">
      <c r="A3675" s="9"/>
      <c r="B3675" s="41" t="s">
        <v>840</v>
      </c>
      <c r="C3675" s="1024"/>
      <c r="D3675" s="869">
        <v>1</v>
      </c>
      <c r="E3675" s="1027" t="s">
        <v>1757</v>
      </c>
      <c r="F3675" s="278" t="s">
        <v>3446</v>
      </c>
      <c r="G3675" s="1040" t="s">
        <v>3463</v>
      </c>
      <c r="H3675" s="273" t="s">
        <v>3462</v>
      </c>
      <c r="I3675" s="720">
        <f t="shared" si="820"/>
        <v>27191.72</v>
      </c>
      <c r="J3675" s="813">
        <v>27191.72</v>
      </c>
      <c r="K3675" s="131">
        <f t="shared" si="808"/>
        <v>27191.72</v>
      </c>
      <c r="L3675" s="335">
        <f t="shared" si="811"/>
        <v>0</v>
      </c>
      <c r="M3675" s="446"/>
      <c r="N3675" s="446"/>
      <c r="O3675" s="446"/>
      <c r="P3675" s="446"/>
      <c r="Q3675" s="110">
        <v>1</v>
      </c>
      <c r="R3675" s="111">
        <f t="shared" si="809"/>
        <v>6797.93</v>
      </c>
      <c r="S3675" s="110"/>
      <c r="T3675" s="110"/>
      <c r="U3675" s="110">
        <v>0</v>
      </c>
      <c r="V3675" s="111">
        <f t="shared" si="810"/>
        <v>6797.93</v>
      </c>
      <c r="W3675" s="110"/>
      <c r="X3675" s="110"/>
      <c r="Y3675" s="110"/>
      <c r="Z3675" s="110"/>
      <c r="AA3675" s="110">
        <v>0</v>
      </c>
      <c r="AB3675" s="111">
        <f t="shared" si="816"/>
        <v>6797.93</v>
      </c>
      <c r="AC3675" s="110"/>
      <c r="AD3675" s="110"/>
      <c r="AE3675" s="110">
        <v>0</v>
      </c>
      <c r="AF3675" s="111">
        <f t="shared" si="817"/>
        <v>6797.93</v>
      </c>
      <c r="AG3675" s="110"/>
      <c r="AH3675" s="110"/>
      <c r="AI3675" s="110"/>
      <c r="AJ3675" s="110"/>
      <c r="AK3675" s="111">
        <f t="shared" si="812"/>
        <v>27191.72</v>
      </c>
      <c r="AL3675" s="446">
        <f t="shared" si="813"/>
        <v>0</v>
      </c>
      <c r="AM3675" s="110">
        <f t="shared" si="814"/>
        <v>1</v>
      </c>
      <c r="AN3675" s="447">
        <f t="shared" si="821"/>
        <v>0</v>
      </c>
      <c r="AO3675"/>
      <c r="AP3675"/>
    </row>
    <row r="3676" spans="1:42" ht="66" x14ac:dyDescent="0.25">
      <c r="A3676" s="9"/>
      <c r="B3676" s="41" t="s">
        <v>841</v>
      </c>
      <c r="C3676" s="1024"/>
      <c r="D3676" s="869">
        <v>11</v>
      </c>
      <c r="E3676" s="1027" t="s">
        <v>1757</v>
      </c>
      <c r="F3676" s="278" t="s">
        <v>3446</v>
      </c>
      <c r="G3676" s="1040" t="s">
        <v>3463</v>
      </c>
      <c r="H3676" s="273" t="s">
        <v>3462</v>
      </c>
      <c r="I3676" s="720">
        <f t="shared" si="820"/>
        <v>9836.363636363636</v>
      </c>
      <c r="J3676" s="813">
        <v>108200</v>
      </c>
      <c r="K3676" s="131">
        <f t="shared" si="808"/>
        <v>108200</v>
      </c>
      <c r="L3676" s="335">
        <f t="shared" si="811"/>
        <v>0</v>
      </c>
      <c r="M3676" s="446"/>
      <c r="N3676" s="446"/>
      <c r="O3676" s="446"/>
      <c r="P3676" s="446"/>
      <c r="Q3676" s="110">
        <v>3</v>
      </c>
      <c r="R3676" s="111">
        <f t="shared" si="809"/>
        <v>27050</v>
      </c>
      <c r="S3676" s="110"/>
      <c r="T3676" s="110"/>
      <c r="U3676" s="110">
        <v>3</v>
      </c>
      <c r="V3676" s="111">
        <f t="shared" si="810"/>
        <v>27050</v>
      </c>
      <c r="W3676" s="110"/>
      <c r="X3676" s="110"/>
      <c r="Y3676" s="110"/>
      <c r="Z3676" s="110"/>
      <c r="AA3676" s="110">
        <v>3</v>
      </c>
      <c r="AB3676" s="111">
        <f t="shared" si="816"/>
        <v>27050</v>
      </c>
      <c r="AC3676" s="110"/>
      <c r="AD3676" s="110"/>
      <c r="AE3676" s="110">
        <v>2</v>
      </c>
      <c r="AF3676" s="111">
        <f t="shared" si="817"/>
        <v>27050</v>
      </c>
      <c r="AG3676" s="110"/>
      <c r="AH3676" s="110"/>
      <c r="AI3676" s="110"/>
      <c r="AJ3676" s="110"/>
      <c r="AK3676" s="111">
        <f t="shared" si="812"/>
        <v>108200</v>
      </c>
      <c r="AL3676" s="446">
        <f t="shared" si="813"/>
        <v>0</v>
      </c>
      <c r="AM3676" s="110">
        <f t="shared" si="814"/>
        <v>11</v>
      </c>
      <c r="AN3676" s="447">
        <f t="shared" si="821"/>
        <v>0</v>
      </c>
      <c r="AO3676"/>
      <c r="AP3676"/>
    </row>
    <row r="3677" spans="1:42" ht="66" x14ac:dyDescent="0.25">
      <c r="A3677" s="9"/>
      <c r="B3677" s="584" t="s">
        <v>842</v>
      </c>
      <c r="C3677" s="1024"/>
      <c r="D3677" s="869">
        <f>13+1+3+2</f>
        <v>19</v>
      </c>
      <c r="E3677" s="1027" t="s">
        <v>1757</v>
      </c>
      <c r="F3677" s="278" t="s">
        <v>3446</v>
      </c>
      <c r="G3677" s="1040" t="s">
        <v>3463</v>
      </c>
      <c r="H3677" s="273" t="s">
        <v>3462</v>
      </c>
      <c r="I3677" s="720">
        <f t="shared" si="820"/>
        <v>6479.3936842105259</v>
      </c>
      <c r="J3677" s="813">
        <f>29400+18708.48+15000+60000</f>
        <v>123108.48</v>
      </c>
      <c r="K3677" s="131">
        <f t="shared" ref="K3677:K3740" si="822">+D3677*I3677</f>
        <v>123108.48</v>
      </c>
      <c r="L3677" s="335">
        <f t="shared" si="811"/>
        <v>0</v>
      </c>
      <c r="M3677" s="446"/>
      <c r="N3677" s="446"/>
      <c r="O3677" s="446"/>
      <c r="P3677" s="446"/>
      <c r="Q3677" s="110">
        <v>5</v>
      </c>
      <c r="R3677" s="111">
        <f t="shared" si="809"/>
        <v>30777.119999999999</v>
      </c>
      <c r="S3677" s="110"/>
      <c r="T3677" s="110"/>
      <c r="U3677" s="110">
        <v>5</v>
      </c>
      <c r="V3677" s="111">
        <f t="shared" si="810"/>
        <v>30777.119999999999</v>
      </c>
      <c r="W3677" s="110"/>
      <c r="X3677" s="110"/>
      <c r="Y3677" s="110"/>
      <c r="Z3677" s="110"/>
      <c r="AA3677" s="110">
        <v>5</v>
      </c>
      <c r="AB3677" s="111">
        <f t="shared" si="816"/>
        <v>30777.119999999999</v>
      </c>
      <c r="AC3677" s="110"/>
      <c r="AD3677" s="110"/>
      <c r="AE3677" s="110">
        <v>4</v>
      </c>
      <c r="AF3677" s="111">
        <f t="shared" si="817"/>
        <v>30777.119999999999</v>
      </c>
      <c r="AG3677" s="110"/>
      <c r="AH3677" s="110"/>
      <c r="AI3677" s="110"/>
      <c r="AJ3677" s="110"/>
      <c r="AK3677" s="111">
        <f t="shared" si="812"/>
        <v>123108.48</v>
      </c>
      <c r="AL3677" s="446">
        <f t="shared" si="813"/>
        <v>0</v>
      </c>
      <c r="AM3677" s="110">
        <f t="shared" si="814"/>
        <v>19</v>
      </c>
      <c r="AN3677" s="447">
        <f t="shared" si="821"/>
        <v>0</v>
      </c>
      <c r="AO3677"/>
      <c r="AP3677"/>
    </row>
    <row r="3678" spans="1:42" ht="66" x14ac:dyDescent="0.25">
      <c r="A3678" s="60"/>
      <c r="B3678" s="146" t="s">
        <v>1497</v>
      </c>
      <c r="C3678" s="162"/>
      <c r="D3678" s="882">
        <v>9</v>
      </c>
      <c r="E3678" s="1025" t="s">
        <v>1757</v>
      </c>
      <c r="F3678" s="278" t="s">
        <v>3446</v>
      </c>
      <c r="G3678" s="1040" t="s">
        <v>3463</v>
      </c>
      <c r="H3678" s="273" t="s">
        <v>3462</v>
      </c>
      <c r="I3678" s="720">
        <f t="shared" si="820"/>
        <v>17016</v>
      </c>
      <c r="J3678" s="813">
        <v>153144</v>
      </c>
      <c r="K3678" s="131">
        <f t="shared" si="822"/>
        <v>153144</v>
      </c>
      <c r="L3678" s="335">
        <f t="shared" si="811"/>
        <v>0</v>
      </c>
      <c r="M3678" s="446"/>
      <c r="N3678" s="446"/>
      <c r="O3678" s="446"/>
      <c r="P3678" s="446"/>
      <c r="Q3678" s="110">
        <v>3</v>
      </c>
      <c r="R3678" s="111">
        <f t="shared" si="809"/>
        <v>38286</v>
      </c>
      <c r="S3678" s="110"/>
      <c r="T3678" s="110"/>
      <c r="U3678" s="110">
        <v>2</v>
      </c>
      <c r="V3678" s="111">
        <f t="shared" si="810"/>
        <v>38286</v>
      </c>
      <c r="W3678" s="110"/>
      <c r="X3678" s="110"/>
      <c r="Y3678" s="110"/>
      <c r="Z3678" s="110"/>
      <c r="AA3678" s="110">
        <v>2</v>
      </c>
      <c r="AB3678" s="111">
        <f t="shared" si="816"/>
        <v>38286</v>
      </c>
      <c r="AC3678" s="110"/>
      <c r="AD3678" s="110"/>
      <c r="AE3678" s="110">
        <v>2</v>
      </c>
      <c r="AF3678" s="111">
        <f t="shared" si="817"/>
        <v>38286</v>
      </c>
      <c r="AG3678" s="110"/>
      <c r="AH3678" s="110"/>
      <c r="AI3678" s="110"/>
      <c r="AJ3678" s="110"/>
      <c r="AK3678" s="111">
        <f t="shared" si="812"/>
        <v>153144</v>
      </c>
      <c r="AL3678" s="446">
        <f t="shared" si="813"/>
        <v>0</v>
      </c>
      <c r="AM3678" s="110">
        <f t="shared" si="814"/>
        <v>9</v>
      </c>
      <c r="AN3678" s="447">
        <f t="shared" si="821"/>
        <v>0</v>
      </c>
      <c r="AO3678"/>
      <c r="AP3678"/>
    </row>
    <row r="3679" spans="1:42" ht="66" x14ac:dyDescent="0.25">
      <c r="A3679" s="60"/>
      <c r="B3679" s="146" t="s">
        <v>1756</v>
      </c>
      <c r="C3679" s="162"/>
      <c r="D3679" s="882">
        <v>16</v>
      </c>
      <c r="E3679" s="1025" t="s">
        <v>1757</v>
      </c>
      <c r="F3679" s="278" t="s">
        <v>3446</v>
      </c>
      <c r="G3679" s="1040" t="s">
        <v>3463</v>
      </c>
      <c r="H3679" s="273" t="s">
        <v>3462</v>
      </c>
      <c r="I3679" s="720">
        <f t="shared" si="820"/>
        <v>800</v>
      </c>
      <c r="J3679" s="813">
        <v>12800</v>
      </c>
      <c r="K3679" s="131">
        <f t="shared" si="822"/>
        <v>12800</v>
      </c>
      <c r="L3679" s="335">
        <f t="shared" si="811"/>
        <v>0</v>
      </c>
      <c r="M3679" s="446"/>
      <c r="N3679" s="446"/>
      <c r="O3679" s="446"/>
      <c r="P3679" s="446"/>
      <c r="Q3679" s="110">
        <f t="shared" si="818"/>
        <v>4</v>
      </c>
      <c r="R3679" s="111">
        <f t="shared" si="809"/>
        <v>3200</v>
      </c>
      <c r="S3679" s="110"/>
      <c r="T3679" s="110"/>
      <c r="U3679" s="110">
        <f t="shared" si="819"/>
        <v>4</v>
      </c>
      <c r="V3679" s="111">
        <f t="shared" si="810"/>
        <v>3200</v>
      </c>
      <c r="W3679" s="110"/>
      <c r="X3679" s="110"/>
      <c r="Y3679" s="110"/>
      <c r="Z3679" s="110"/>
      <c r="AA3679" s="110">
        <f t="shared" si="815"/>
        <v>4</v>
      </c>
      <c r="AB3679" s="111">
        <f t="shared" si="816"/>
        <v>3200</v>
      </c>
      <c r="AC3679" s="110"/>
      <c r="AD3679" s="110"/>
      <c r="AE3679" s="110">
        <f t="shared" si="815"/>
        <v>4</v>
      </c>
      <c r="AF3679" s="111">
        <f t="shared" si="817"/>
        <v>3200</v>
      </c>
      <c r="AG3679" s="110"/>
      <c r="AH3679" s="110"/>
      <c r="AI3679" s="110"/>
      <c r="AJ3679" s="110"/>
      <c r="AK3679" s="111">
        <f t="shared" si="812"/>
        <v>12800</v>
      </c>
      <c r="AL3679" s="446">
        <f t="shared" si="813"/>
        <v>0</v>
      </c>
      <c r="AM3679" s="110">
        <f t="shared" si="814"/>
        <v>16</v>
      </c>
      <c r="AN3679" s="447">
        <f t="shared" si="821"/>
        <v>0</v>
      </c>
      <c r="AO3679"/>
      <c r="AP3679"/>
    </row>
    <row r="3680" spans="1:42" x14ac:dyDescent="0.25">
      <c r="A3680" s="423">
        <v>335</v>
      </c>
      <c r="B3680" s="589" t="s">
        <v>843</v>
      </c>
      <c r="C3680" s="423"/>
      <c r="D3680" s="941"/>
      <c r="E3680" s="424"/>
      <c r="F3680" s="425"/>
      <c r="G3680" s="425"/>
      <c r="H3680" s="425"/>
      <c r="I3680" s="741"/>
      <c r="J3680" s="824"/>
      <c r="K3680" s="131">
        <f t="shared" si="822"/>
        <v>0</v>
      </c>
      <c r="L3680" s="335">
        <f t="shared" si="811"/>
        <v>0</v>
      </c>
      <c r="M3680" s="419"/>
      <c r="N3680" s="419"/>
      <c r="O3680" s="419"/>
      <c r="P3680" s="419"/>
      <c r="Q3680" s="418">
        <f t="shared" si="818"/>
        <v>0</v>
      </c>
      <c r="R3680" s="379">
        <f t="shared" si="809"/>
        <v>0</v>
      </c>
      <c r="S3680" s="418"/>
      <c r="T3680" s="418"/>
      <c r="U3680" s="418">
        <f t="shared" si="819"/>
        <v>0</v>
      </c>
      <c r="V3680" s="379">
        <f t="shared" si="810"/>
        <v>0</v>
      </c>
      <c r="W3680" s="418"/>
      <c r="X3680" s="418"/>
      <c r="Y3680" s="418"/>
      <c r="Z3680" s="418"/>
      <c r="AA3680" s="418">
        <f t="shared" si="815"/>
        <v>0</v>
      </c>
      <c r="AB3680" s="379">
        <f t="shared" si="816"/>
        <v>0</v>
      </c>
      <c r="AC3680" s="418"/>
      <c r="AD3680" s="418"/>
      <c r="AE3680" s="418">
        <f t="shared" si="815"/>
        <v>0</v>
      </c>
      <c r="AF3680" s="379">
        <f t="shared" si="817"/>
        <v>0</v>
      </c>
      <c r="AG3680" s="418"/>
      <c r="AH3680" s="418"/>
      <c r="AI3680" s="418"/>
      <c r="AJ3680" s="418"/>
      <c r="AK3680" s="379">
        <f t="shared" si="812"/>
        <v>0</v>
      </c>
      <c r="AL3680" s="419">
        <f t="shared" si="813"/>
        <v>0</v>
      </c>
      <c r="AM3680" s="418">
        <f t="shared" si="814"/>
        <v>0</v>
      </c>
      <c r="AN3680" s="420">
        <f t="shared" si="821"/>
        <v>0</v>
      </c>
      <c r="AO3680" s="426"/>
      <c r="AP3680"/>
    </row>
    <row r="3681" spans="1:42" x14ac:dyDescent="0.25">
      <c r="A3681" s="310">
        <v>33501</v>
      </c>
      <c r="B3681" s="375" t="s">
        <v>844</v>
      </c>
      <c r="C3681" s="311"/>
      <c r="D3681" s="902"/>
      <c r="E3681" s="311"/>
      <c r="F3681" s="371"/>
      <c r="G3681" s="371"/>
      <c r="H3681" s="371"/>
      <c r="I3681" s="729"/>
      <c r="J3681" s="825"/>
      <c r="K3681" s="131">
        <f t="shared" si="822"/>
        <v>0</v>
      </c>
      <c r="L3681" s="335">
        <f t="shared" si="811"/>
        <v>0</v>
      </c>
      <c r="M3681" s="421"/>
      <c r="N3681" s="421"/>
      <c r="O3681" s="421"/>
      <c r="P3681" s="421"/>
      <c r="Q3681" s="387">
        <f t="shared" si="818"/>
        <v>0</v>
      </c>
      <c r="R3681" s="314">
        <f t="shared" si="809"/>
        <v>0</v>
      </c>
      <c r="S3681" s="387"/>
      <c r="T3681" s="387"/>
      <c r="U3681" s="387">
        <f t="shared" si="819"/>
        <v>0</v>
      </c>
      <c r="V3681" s="314">
        <f t="shared" si="810"/>
        <v>0</v>
      </c>
      <c r="W3681" s="387"/>
      <c r="X3681" s="387"/>
      <c r="Y3681" s="387"/>
      <c r="Z3681" s="387"/>
      <c r="AA3681" s="387">
        <f t="shared" si="815"/>
        <v>0</v>
      </c>
      <c r="AB3681" s="314">
        <f t="shared" si="816"/>
        <v>0</v>
      </c>
      <c r="AC3681" s="387"/>
      <c r="AD3681" s="387"/>
      <c r="AE3681" s="387">
        <f t="shared" si="815"/>
        <v>0</v>
      </c>
      <c r="AF3681" s="314">
        <f t="shared" si="817"/>
        <v>0</v>
      </c>
      <c r="AG3681" s="387"/>
      <c r="AH3681" s="387"/>
      <c r="AI3681" s="387"/>
      <c r="AJ3681" s="387"/>
      <c r="AK3681" s="314">
        <f t="shared" si="812"/>
        <v>0</v>
      </c>
      <c r="AL3681" s="421">
        <f t="shared" si="813"/>
        <v>0</v>
      </c>
      <c r="AM3681" s="387">
        <f t="shared" si="814"/>
        <v>0</v>
      </c>
      <c r="AN3681" s="422">
        <f t="shared" si="821"/>
        <v>0</v>
      </c>
      <c r="AO3681" s="439">
        <f>SUM(J3682)</f>
        <v>900000</v>
      </c>
      <c r="AP3681" s="111"/>
    </row>
    <row r="3682" spans="1:42" s="108" customFormat="1" ht="66" x14ac:dyDescent="0.25">
      <c r="A3682" s="403"/>
      <c r="B3682" s="693" t="s">
        <v>877</v>
      </c>
      <c r="C3682" s="201"/>
      <c r="D3682" s="871">
        <v>1</v>
      </c>
      <c r="E3682" s="84" t="s">
        <v>1755</v>
      </c>
      <c r="F3682" s="278" t="s">
        <v>3446</v>
      </c>
      <c r="G3682" s="1040" t="s">
        <v>3463</v>
      </c>
      <c r="H3682" s="273" t="s">
        <v>3462</v>
      </c>
      <c r="I3682" s="742">
        <v>900000</v>
      </c>
      <c r="J3682" s="742">
        <v>900000</v>
      </c>
      <c r="K3682" s="176">
        <f t="shared" si="822"/>
        <v>900000</v>
      </c>
      <c r="L3682" s="335">
        <f t="shared" si="811"/>
        <v>0</v>
      </c>
      <c r="M3682" s="335"/>
      <c r="N3682" s="335"/>
      <c r="O3682" s="335"/>
      <c r="P3682" s="335"/>
      <c r="Q3682" s="130">
        <v>1</v>
      </c>
      <c r="R3682" s="131">
        <f t="shared" si="809"/>
        <v>225000</v>
      </c>
      <c r="S3682" s="130"/>
      <c r="T3682" s="130"/>
      <c r="U3682" s="130">
        <v>0</v>
      </c>
      <c r="V3682" s="131">
        <f t="shared" si="810"/>
        <v>225000</v>
      </c>
      <c r="W3682" s="130"/>
      <c r="X3682" s="130"/>
      <c r="Y3682" s="130"/>
      <c r="Z3682" s="130"/>
      <c r="AA3682" s="130">
        <v>0</v>
      </c>
      <c r="AB3682" s="131">
        <f t="shared" si="816"/>
        <v>225000</v>
      </c>
      <c r="AC3682" s="130"/>
      <c r="AD3682" s="130"/>
      <c r="AE3682" s="130">
        <v>0</v>
      </c>
      <c r="AF3682" s="131">
        <f t="shared" si="817"/>
        <v>225000</v>
      </c>
      <c r="AG3682" s="130"/>
      <c r="AH3682" s="130"/>
      <c r="AI3682" s="130"/>
      <c r="AJ3682" s="130"/>
      <c r="AK3682" s="131">
        <f t="shared" si="812"/>
        <v>900000</v>
      </c>
      <c r="AL3682" s="446">
        <f t="shared" si="813"/>
        <v>0</v>
      </c>
      <c r="AM3682" s="110">
        <f t="shared" si="814"/>
        <v>1</v>
      </c>
      <c r="AN3682" s="447">
        <f t="shared" si="821"/>
        <v>0</v>
      </c>
      <c r="AO3682"/>
      <c r="AP3682"/>
    </row>
    <row r="3683" spans="1:42" ht="22.5" x14ac:dyDescent="0.25">
      <c r="A3683" s="423">
        <v>336</v>
      </c>
      <c r="B3683" s="589" t="s">
        <v>845</v>
      </c>
      <c r="C3683" s="423"/>
      <c r="D3683" s="940"/>
      <c r="E3683" s="416"/>
      <c r="F3683" s="417"/>
      <c r="G3683" s="417"/>
      <c r="H3683" s="417"/>
      <c r="I3683" s="734"/>
      <c r="J3683" s="826"/>
      <c r="K3683" s="176">
        <f t="shared" si="822"/>
        <v>0</v>
      </c>
      <c r="L3683" s="335">
        <f t="shared" si="811"/>
        <v>0</v>
      </c>
      <c r="M3683" s="419"/>
      <c r="N3683" s="419"/>
      <c r="O3683" s="419"/>
      <c r="P3683" s="419"/>
      <c r="Q3683" s="418">
        <f t="shared" si="818"/>
        <v>0</v>
      </c>
      <c r="R3683" s="379">
        <f t="shared" si="809"/>
        <v>0</v>
      </c>
      <c r="S3683" s="418"/>
      <c r="T3683" s="418"/>
      <c r="U3683" s="418">
        <f t="shared" si="819"/>
        <v>0</v>
      </c>
      <c r="V3683" s="379">
        <f t="shared" si="810"/>
        <v>0</v>
      </c>
      <c r="W3683" s="418"/>
      <c r="X3683" s="418"/>
      <c r="Y3683" s="418"/>
      <c r="Z3683" s="418"/>
      <c r="AA3683" s="418">
        <f t="shared" si="815"/>
        <v>0</v>
      </c>
      <c r="AB3683" s="379">
        <f t="shared" si="816"/>
        <v>0</v>
      </c>
      <c r="AC3683" s="418"/>
      <c r="AD3683" s="418"/>
      <c r="AE3683" s="418">
        <f t="shared" si="815"/>
        <v>0</v>
      </c>
      <c r="AF3683" s="379">
        <f t="shared" si="817"/>
        <v>0</v>
      </c>
      <c r="AG3683" s="418"/>
      <c r="AH3683" s="418"/>
      <c r="AI3683" s="418"/>
      <c r="AJ3683" s="418"/>
      <c r="AK3683" s="379">
        <f t="shared" si="812"/>
        <v>0</v>
      </c>
      <c r="AL3683" s="419">
        <f t="shared" si="813"/>
        <v>0</v>
      </c>
      <c r="AM3683" s="418">
        <f t="shared" si="814"/>
        <v>0</v>
      </c>
      <c r="AN3683" s="420">
        <f t="shared" si="821"/>
        <v>0</v>
      </c>
      <c r="AO3683" s="426"/>
      <c r="AP3683"/>
    </row>
    <row r="3684" spans="1:42" x14ac:dyDescent="0.25">
      <c r="A3684" s="310">
        <v>33601</v>
      </c>
      <c r="B3684" s="375" t="s">
        <v>846</v>
      </c>
      <c r="C3684" s="311"/>
      <c r="D3684" s="902"/>
      <c r="E3684" s="311"/>
      <c r="F3684" s="371"/>
      <c r="G3684" s="371"/>
      <c r="H3684" s="371"/>
      <c r="I3684" s="729"/>
      <c r="J3684" s="825"/>
      <c r="K3684" s="131">
        <f t="shared" si="822"/>
        <v>0</v>
      </c>
      <c r="L3684" s="335">
        <f t="shared" si="811"/>
        <v>0</v>
      </c>
      <c r="M3684" s="421"/>
      <c r="N3684" s="421"/>
      <c r="O3684" s="421"/>
      <c r="P3684" s="421"/>
      <c r="Q3684" s="387">
        <f t="shared" si="818"/>
        <v>0</v>
      </c>
      <c r="R3684" s="314">
        <f t="shared" si="809"/>
        <v>0</v>
      </c>
      <c r="S3684" s="387"/>
      <c r="T3684" s="387"/>
      <c r="U3684" s="387">
        <f t="shared" si="819"/>
        <v>0</v>
      </c>
      <c r="V3684" s="314">
        <f t="shared" si="810"/>
        <v>0</v>
      </c>
      <c r="W3684" s="387"/>
      <c r="X3684" s="387"/>
      <c r="Y3684" s="387"/>
      <c r="Z3684" s="387"/>
      <c r="AA3684" s="387">
        <f t="shared" si="815"/>
        <v>0</v>
      </c>
      <c r="AB3684" s="314">
        <f t="shared" si="816"/>
        <v>0</v>
      </c>
      <c r="AC3684" s="387"/>
      <c r="AD3684" s="387"/>
      <c r="AE3684" s="387">
        <f t="shared" si="815"/>
        <v>0</v>
      </c>
      <c r="AF3684" s="314">
        <f t="shared" si="817"/>
        <v>0</v>
      </c>
      <c r="AG3684" s="387"/>
      <c r="AH3684" s="387"/>
      <c r="AI3684" s="387"/>
      <c r="AJ3684" s="387"/>
      <c r="AK3684" s="314">
        <f t="shared" si="812"/>
        <v>0</v>
      </c>
      <c r="AL3684" s="421">
        <f t="shared" si="813"/>
        <v>0</v>
      </c>
      <c r="AM3684" s="387">
        <f t="shared" si="814"/>
        <v>0</v>
      </c>
      <c r="AN3684" s="422">
        <f t="shared" si="821"/>
        <v>0</v>
      </c>
      <c r="AO3684" s="443"/>
      <c r="AP3684"/>
    </row>
    <row r="3685" spans="1:42" s="108" customFormat="1" x14ac:dyDescent="0.25">
      <c r="A3685" s="402"/>
      <c r="B3685" s="694"/>
      <c r="C3685" s="675"/>
      <c r="D3685" s="929"/>
      <c r="E3685" s="211"/>
      <c r="F3685" s="284"/>
      <c r="G3685" s="284"/>
      <c r="H3685" s="284"/>
      <c r="I3685" s="743"/>
      <c r="J3685" s="809"/>
      <c r="K3685" s="131">
        <f t="shared" si="822"/>
        <v>0</v>
      </c>
      <c r="L3685" s="335">
        <f t="shared" si="811"/>
        <v>0</v>
      </c>
      <c r="M3685" s="335"/>
      <c r="N3685" s="335"/>
      <c r="O3685" s="335"/>
      <c r="P3685" s="335"/>
      <c r="Q3685" s="130">
        <f t="shared" si="818"/>
        <v>0</v>
      </c>
      <c r="R3685" s="131">
        <f t="shared" si="809"/>
        <v>0</v>
      </c>
      <c r="S3685" s="130"/>
      <c r="T3685" s="130"/>
      <c r="U3685" s="130">
        <f t="shared" si="819"/>
        <v>0</v>
      </c>
      <c r="V3685" s="131">
        <f t="shared" si="810"/>
        <v>0</v>
      </c>
      <c r="W3685" s="130"/>
      <c r="X3685" s="130"/>
      <c r="Y3685" s="130"/>
      <c r="Z3685" s="130"/>
      <c r="AA3685" s="130">
        <f t="shared" si="815"/>
        <v>0</v>
      </c>
      <c r="AB3685" s="131">
        <f t="shared" si="816"/>
        <v>0</v>
      </c>
      <c r="AC3685" s="130"/>
      <c r="AD3685" s="130"/>
      <c r="AE3685" s="130">
        <f t="shared" si="815"/>
        <v>0</v>
      </c>
      <c r="AF3685" s="131">
        <f t="shared" si="817"/>
        <v>0</v>
      </c>
      <c r="AG3685" s="130"/>
      <c r="AH3685" s="130"/>
      <c r="AI3685" s="130"/>
      <c r="AJ3685" s="130"/>
      <c r="AK3685" s="131">
        <f t="shared" si="812"/>
        <v>0</v>
      </c>
      <c r="AL3685" s="446">
        <f t="shared" si="813"/>
        <v>0</v>
      </c>
      <c r="AM3685" s="110">
        <f t="shared" si="814"/>
        <v>0</v>
      </c>
      <c r="AN3685" s="447">
        <f t="shared" si="821"/>
        <v>0</v>
      </c>
      <c r="AO3685"/>
      <c r="AP3685"/>
    </row>
    <row r="3686" spans="1:42" x14ac:dyDescent="0.25">
      <c r="A3686" s="310">
        <v>33602</v>
      </c>
      <c r="B3686" s="375" t="s">
        <v>847</v>
      </c>
      <c r="C3686" s="311"/>
      <c r="D3686" s="902"/>
      <c r="E3686" s="311"/>
      <c r="F3686" s="371"/>
      <c r="G3686" s="371"/>
      <c r="H3686" s="371"/>
      <c r="I3686" s="729"/>
      <c r="J3686" s="818"/>
      <c r="K3686" s="131">
        <f t="shared" si="822"/>
        <v>0</v>
      </c>
      <c r="L3686" s="335">
        <f t="shared" si="811"/>
        <v>0</v>
      </c>
      <c r="M3686" s="421"/>
      <c r="N3686" s="421"/>
      <c r="O3686" s="421"/>
      <c r="P3686" s="421"/>
      <c r="Q3686" s="387">
        <f t="shared" si="818"/>
        <v>0</v>
      </c>
      <c r="R3686" s="314">
        <f t="shared" si="809"/>
        <v>0</v>
      </c>
      <c r="S3686" s="387"/>
      <c r="T3686" s="387"/>
      <c r="U3686" s="387">
        <f t="shared" si="819"/>
        <v>0</v>
      </c>
      <c r="V3686" s="314">
        <f t="shared" si="810"/>
        <v>0</v>
      </c>
      <c r="W3686" s="387"/>
      <c r="X3686" s="387"/>
      <c r="Y3686" s="387"/>
      <c r="Z3686" s="387"/>
      <c r="AA3686" s="387">
        <f t="shared" si="815"/>
        <v>0</v>
      </c>
      <c r="AB3686" s="314">
        <f t="shared" si="816"/>
        <v>0</v>
      </c>
      <c r="AC3686" s="387"/>
      <c r="AD3686" s="387"/>
      <c r="AE3686" s="387">
        <f t="shared" si="815"/>
        <v>0</v>
      </c>
      <c r="AF3686" s="314">
        <f t="shared" si="817"/>
        <v>0</v>
      </c>
      <c r="AG3686" s="387"/>
      <c r="AH3686" s="387"/>
      <c r="AI3686" s="387"/>
      <c r="AJ3686" s="387"/>
      <c r="AK3686" s="314">
        <f t="shared" si="812"/>
        <v>0</v>
      </c>
      <c r="AL3686" s="421">
        <f t="shared" si="813"/>
        <v>0</v>
      </c>
      <c r="AM3686" s="387">
        <f t="shared" si="814"/>
        <v>0</v>
      </c>
      <c r="AN3686" s="422">
        <f t="shared" si="821"/>
        <v>0</v>
      </c>
      <c r="AO3686" s="439">
        <f>SUM(J3687:J3692)</f>
        <v>142054.39999999999</v>
      </c>
      <c r="AP3686" s="427"/>
    </row>
    <row r="3687" spans="1:42" ht="66" x14ac:dyDescent="0.25">
      <c r="A3687" s="180"/>
      <c r="B3687" s="590" t="s">
        <v>848</v>
      </c>
      <c r="C3687" s="180"/>
      <c r="D3687" s="872">
        <v>700</v>
      </c>
      <c r="E3687" s="428" t="s">
        <v>1758</v>
      </c>
      <c r="F3687" s="278" t="s">
        <v>3446</v>
      </c>
      <c r="G3687" s="1040" t="s">
        <v>3463</v>
      </c>
      <c r="H3687" s="273" t="s">
        <v>3462</v>
      </c>
      <c r="I3687" s="727">
        <f t="shared" ref="I3687:I3692" si="823">+J3687/D3687</f>
        <v>65</v>
      </c>
      <c r="J3687" s="823">
        <v>45500</v>
      </c>
      <c r="K3687" s="131">
        <f t="shared" si="822"/>
        <v>45500</v>
      </c>
      <c r="L3687" s="335">
        <f t="shared" si="811"/>
        <v>0</v>
      </c>
      <c r="M3687" s="446"/>
      <c r="N3687" s="446"/>
      <c r="O3687" s="446"/>
      <c r="P3687" s="446"/>
      <c r="Q3687" s="110">
        <f t="shared" si="818"/>
        <v>175</v>
      </c>
      <c r="R3687" s="111">
        <f t="shared" si="809"/>
        <v>11375</v>
      </c>
      <c r="S3687" s="110"/>
      <c r="T3687" s="110"/>
      <c r="U3687" s="110">
        <f t="shared" si="819"/>
        <v>175</v>
      </c>
      <c r="V3687" s="111">
        <f t="shared" si="810"/>
        <v>11375</v>
      </c>
      <c r="W3687" s="110"/>
      <c r="X3687" s="110"/>
      <c r="Y3687" s="110"/>
      <c r="Z3687" s="110"/>
      <c r="AA3687" s="110">
        <f t="shared" si="815"/>
        <v>175</v>
      </c>
      <c r="AB3687" s="111">
        <f t="shared" si="816"/>
        <v>11375</v>
      </c>
      <c r="AC3687" s="110"/>
      <c r="AD3687" s="110"/>
      <c r="AE3687" s="110">
        <f t="shared" si="815"/>
        <v>175</v>
      </c>
      <c r="AF3687" s="111">
        <f t="shared" si="817"/>
        <v>11375</v>
      </c>
      <c r="AG3687" s="110"/>
      <c r="AH3687" s="110"/>
      <c r="AI3687" s="110"/>
      <c r="AJ3687" s="110"/>
      <c r="AK3687" s="111">
        <f t="shared" si="812"/>
        <v>45500</v>
      </c>
      <c r="AL3687" s="446">
        <f t="shared" si="813"/>
        <v>0</v>
      </c>
      <c r="AM3687" s="110">
        <f t="shared" si="814"/>
        <v>700</v>
      </c>
      <c r="AN3687" s="447">
        <f t="shared" si="821"/>
        <v>0</v>
      </c>
      <c r="AO3687"/>
      <c r="AP3687"/>
    </row>
    <row r="3688" spans="1:42" ht="66" x14ac:dyDescent="0.25">
      <c r="A3688" s="1024"/>
      <c r="B3688" s="59" t="s">
        <v>849</v>
      </c>
      <c r="C3688" s="1024"/>
      <c r="D3688" s="869">
        <v>1</v>
      </c>
      <c r="E3688" s="250" t="s">
        <v>1758</v>
      </c>
      <c r="F3688" s="278" t="s">
        <v>3446</v>
      </c>
      <c r="G3688" s="1040" t="s">
        <v>3463</v>
      </c>
      <c r="H3688" s="273" t="s">
        <v>3462</v>
      </c>
      <c r="I3688" s="720">
        <f t="shared" si="823"/>
        <v>1080</v>
      </c>
      <c r="J3688" s="813">
        <v>1080</v>
      </c>
      <c r="K3688" s="131">
        <f t="shared" si="822"/>
        <v>1080</v>
      </c>
      <c r="L3688" s="335">
        <f t="shared" si="811"/>
        <v>0</v>
      </c>
      <c r="M3688" s="446"/>
      <c r="N3688" s="446"/>
      <c r="O3688" s="446"/>
      <c r="P3688" s="446"/>
      <c r="Q3688" s="110">
        <v>1</v>
      </c>
      <c r="R3688" s="111">
        <f t="shared" si="809"/>
        <v>270</v>
      </c>
      <c r="S3688" s="110"/>
      <c r="T3688" s="110"/>
      <c r="U3688" s="110">
        <v>0</v>
      </c>
      <c r="V3688" s="111">
        <f t="shared" si="810"/>
        <v>270</v>
      </c>
      <c r="W3688" s="110"/>
      <c r="X3688" s="110"/>
      <c r="Y3688" s="110"/>
      <c r="Z3688" s="110"/>
      <c r="AA3688" s="110">
        <v>0</v>
      </c>
      <c r="AB3688" s="111">
        <f t="shared" si="816"/>
        <v>270</v>
      </c>
      <c r="AC3688" s="110"/>
      <c r="AD3688" s="110"/>
      <c r="AE3688" s="110">
        <v>0</v>
      </c>
      <c r="AF3688" s="111">
        <f t="shared" si="817"/>
        <v>270</v>
      </c>
      <c r="AG3688" s="110"/>
      <c r="AH3688" s="110"/>
      <c r="AI3688" s="110"/>
      <c r="AJ3688" s="110"/>
      <c r="AK3688" s="111">
        <f t="shared" si="812"/>
        <v>1080</v>
      </c>
      <c r="AL3688" s="446">
        <f t="shared" si="813"/>
        <v>0</v>
      </c>
      <c r="AM3688" s="110">
        <f t="shared" si="814"/>
        <v>1</v>
      </c>
      <c r="AN3688" s="447">
        <f t="shared" si="821"/>
        <v>0</v>
      </c>
      <c r="AO3688"/>
      <c r="AP3688"/>
    </row>
    <row r="3689" spans="1:42" ht="66" x14ac:dyDescent="0.25">
      <c r="A3689" s="1024"/>
      <c r="B3689" s="59" t="s">
        <v>850</v>
      </c>
      <c r="C3689" s="1024"/>
      <c r="D3689" s="869">
        <v>2</v>
      </c>
      <c r="E3689" s="250" t="s">
        <v>1758</v>
      </c>
      <c r="F3689" s="278" t="s">
        <v>3446</v>
      </c>
      <c r="G3689" s="1040" t="s">
        <v>3463</v>
      </c>
      <c r="H3689" s="273" t="s">
        <v>3462</v>
      </c>
      <c r="I3689" s="720">
        <f t="shared" si="823"/>
        <v>1782.2</v>
      </c>
      <c r="J3689" s="813">
        <v>3564.4</v>
      </c>
      <c r="K3689" s="131">
        <f t="shared" si="822"/>
        <v>3564.4</v>
      </c>
      <c r="L3689" s="335">
        <f t="shared" si="811"/>
        <v>0</v>
      </c>
      <c r="M3689" s="446"/>
      <c r="N3689" s="446"/>
      <c r="O3689" s="446"/>
      <c r="P3689" s="446"/>
      <c r="Q3689" s="130">
        <v>1</v>
      </c>
      <c r="R3689" s="111">
        <f t="shared" si="809"/>
        <v>891.1</v>
      </c>
      <c r="S3689" s="110"/>
      <c r="T3689" s="110"/>
      <c r="U3689" s="130">
        <v>1</v>
      </c>
      <c r="V3689" s="111">
        <f t="shared" si="810"/>
        <v>891.1</v>
      </c>
      <c r="W3689" s="110"/>
      <c r="X3689" s="110"/>
      <c r="Y3689" s="110"/>
      <c r="Z3689" s="110"/>
      <c r="AA3689" s="130">
        <v>0</v>
      </c>
      <c r="AB3689" s="111">
        <f t="shared" si="816"/>
        <v>891.1</v>
      </c>
      <c r="AC3689" s="110"/>
      <c r="AD3689" s="110"/>
      <c r="AE3689" s="130">
        <v>0</v>
      </c>
      <c r="AF3689" s="111">
        <f t="shared" si="817"/>
        <v>891.1</v>
      </c>
      <c r="AG3689" s="110"/>
      <c r="AH3689" s="110"/>
      <c r="AI3689" s="110"/>
      <c r="AJ3689" s="110"/>
      <c r="AK3689" s="111">
        <f t="shared" si="812"/>
        <v>3564.4</v>
      </c>
      <c r="AL3689" s="446">
        <f t="shared" si="813"/>
        <v>0</v>
      </c>
      <c r="AM3689" s="110">
        <f t="shared" si="814"/>
        <v>2</v>
      </c>
      <c r="AN3689" s="447">
        <f t="shared" si="821"/>
        <v>0</v>
      </c>
      <c r="AO3689"/>
      <c r="AP3689"/>
    </row>
    <row r="3690" spans="1:42" ht="66" x14ac:dyDescent="0.25">
      <c r="A3690" s="1024"/>
      <c r="B3690" s="482" t="s">
        <v>1356</v>
      </c>
      <c r="C3690" s="1024"/>
      <c r="D3690" s="869">
        <v>6</v>
      </c>
      <c r="E3690" s="250" t="s">
        <v>1758</v>
      </c>
      <c r="F3690" s="278" t="s">
        <v>3446</v>
      </c>
      <c r="G3690" s="1040" t="s">
        <v>3463</v>
      </c>
      <c r="H3690" s="273" t="s">
        <v>3462</v>
      </c>
      <c r="I3690" s="720">
        <f t="shared" si="823"/>
        <v>580</v>
      </c>
      <c r="J3690" s="813">
        <v>3480</v>
      </c>
      <c r="K3690" s="131">
        <f t="shared" si="822"/>
        <v>3480</v>
      </c>
      <c r="L3690" s="335">
        <f t="shared" si="811"/>
        <v>0</v>
      </c>
      <c r="M3690" s="446"/>
      <c r="N3690" s="446"/>
      <c r="O3690" s="446"/>
      <c r="P3690" s="446"/>
      <c r="Q3690" s="130">
        <v>2</v>
      </c>
      <c r="R3690" s="111">
        <f t="shared" si="809"/>
        <v>870</v>
      </c>
      <c r="S3690" s="110"/>
      <c r="T3690" s="110"/>
      <c r="U3690" s="130">
        <v>2</v>
      </c>
      <c r="V3690" s="111">
        <f t="shared" si="810"/>
        <v>870</v>
      </c>
      <c r="W3690" s="110"/>
      <c r="X3690" s="110"/>
      <c r="Y3690" s="110"/>
      <c r="Z3690" s="110"/>
      <c r="AA3690" s="130">
        <v>1</v>
      </c>
      <c r="AB3690" s="111">
        <f t="shared" si="816"/>
        <v>870</v>
      </c>
      <c r="AC3690" s="110"/>
      <c r="AD3690" s="110"/>
      <c r="AE3690" s="130">
        <v>1</v>
      </c>
      <c r="AF3690" s="111">
        <f t="shared" si="817"/>
        <v>870</v>
      </c>
      <c r="AG3690" s="110"/>
      <c r="AH3690" s="110"/>
      <c r="AI3690" s="110"/>
      <c r="AJ3690" s="110"/>
      <c r="AK3690" s="111">
        <f t="shared" si="812"/>
        <v>3480</v>
      </c>
      <c r="AL3690" s="446">
        <f t="shared" si="813"/>
        <v>0</v>
      </c>
      <c r="AM3690" s="110">
        <f t="shared" si="814"/>
        <v>6</v>
      </c>
      <c r="AN3690" s="447">
        <f t="shared" si="821"/>
        <v>0</v>
      </c>
      <c r="AO3690"/>
      <c r="AP3690"/>
    </row>
    <row r="3691" spans="1:42" s="108" customFormat="1" ht="66" x14ac:dyDescent="0.25">
      <c r="A3691" s="78"/>
      <c r="B3691" s="46" t="s">
        <v>1880</v>
      </c>
      <c r="C3691" s="9"/>
      <c r="D3691" s="875">
        <f>12+22</f>
        <v>34</v>
      </c>
      <c r="E3691" s="250" t="s">
        <v>1758</v>
      </c>
      <c r="F3691" s="278" t="s">
        <v>3446</v>
      </c>
      <c r="G3691" s="1040" t="s">
        <v>3463</v>
      </c>
      <c r="H3691" s="273" t="s">
        <v>3462</v>
      </c>
      <c r="I3691" s="722">
        <f t="shared" si="823"/>
        <v>395</v>
      </c>
      <c r="J3691" s="827">
        <f>12000+1430</f>
        <v>13430</v>
      </c>
      <c r="K3691" s="131">
        <f t="shared" si="822"/>
        <v>13430</v>
      </c>
      <c r="L3691" s="335">
        <f t="shared" si="811"/>
        <v>0</v>
      </c>
      <c r="M3691" s="335"/>
      <c r="N3691" s="335"/>
      <c r="O3691" s="335"/>
      <c r="P3691" s="335"/>
      <c r="Q3691" s="130">
        <v>9</v>
      </c>
      <c r="R3691" s="131">
        <f t="shared" si="809"/>
        <v>3357.5</v>
      </c>
      <c r="S3691" s="130"/>
      <c r="T3691" s="130"/>
      <c r="U3691" s="130">
        <v>9</v>
      </c>
      <c r="V3691" s="131">
        <f t="shared" si="810"/>
        <v>3357.5</v>
      </c>
      <c r="W3691" s="130"/>
      <c r="X3691" s="130"/>
      <c r="Y3691" s="130"/>
      <c r="Z3691" s="130"/>
      <c r="AA3691" s="130">
        <v>8</v>
      </c>
      <c r="AB3691" s="131">
        <f t="shared" si="816"/>
        <v>3357.5</v>
      </c>
      <c r="AC3691" s="130"/>
      <c r="AD3691" s="130"/>
      <c r="AE3691" s="130">
        <v>8</v>
      </c>
      <c r="AF3691" s="131">
        <f t="shared" si="817"/>
        <v>3357.5</v>
      </c>
      <c r="AG3691" s="130"/>
      <c r="AH3691" s="130"/>
      <c r="AI3691" s="130"/>
      <c r="AJ3691" s="130"/>
      <c r="AK3691" s="131">
        <f t="shared" si="812"/>
        <v>13430</v>
      </c>
      <c r="AL3691" s="446">
        <f t="shared" si="813"/>
        <v>0</v>
      </c>
      <c r="AM3691" s="110">
        <f t="shared" si="814"/>
        <v>34</v>
      </c>
      <c r="AN3691" s="447">
        <f t="shared" si="821"/>
        <v>0</v>
      </c>
      <c r="AO3691"/>
      <c r="AP3691"/>
    </row>
    <row r="3692" spans="1:42" s="108" customFormat="1" ht="66" x14ac:dyDescent="0.25">
      <c r="A3692" s="400"/>
      <c r="B3692" s="600" t="s">
        <v>2527</v>
      </c>
      <c r="C3692" s="368"/>
      <c r="D3692" s="942">
        <v>150</v>
      </c>
      <c r="E3692" s="399" t="s">
        <v>1758</v>
      </c>
      <c r="F3692" s="278" t="s">
        <v>3446</v>
      </c>
      <c r="G3692" s="1040" t="s">
        <v>3463</v>
      </c>
      <c r="H3692" s="273" t="s">
        <v>3462</v>
      </c>
      <c r="I3692" s="732">
        <f t="shared" si="823"/>
        <v>500</v>
      </c>
      <c r="J3692" s="819">
        <v>75000</v>
      </c>
      <c r="K3692" s="131">
        <f t="shared" si="822"/>
        <v>75000</v>
      </c>
      <c r="L3692" s="335">
        <f t="shared" si="811"/>
        <v>0</v>
      </c>
      <c r="M3692" s="335"/>
      <c r="N3692" s="335"/>
      <c r="O3692" s="335"/>
      <c r="P3692" s="335"/>
      <c r="Q3692" s="130">
        <v>50</v>
      </c>
      <c r="R3692" s="131">
        <f t="shared" si="809"/>
        <v>18750</v>
      </c>
      <c r="S3692" s="130"/>
      <c r="T3692" s="130"/>
      <c r="U3692" s="130">
        <v>50</v>
      </c>
      <c r="V3692" s="131">
        <f t="shared" si="810"/>
        <v>18750</v>
      </c>
      <c r="W3692" s="130"/>
      <c r="X3692" s="130"/>
      <c r="Y3692" s="130"/>
      <c r="Z3692" s="130"/>
      <c r="AA3692" s="130">
        <v>50</v>
      </c>
      <c r="AB3692" s="131">
        <f t="shared" si="816"/>
        <v>18750</v>
      </c>
      <c r="AC3692" s="130"/>
      <c r="AD3692" s="130"/>
      <c r="AE3692" s="130">
        <v>0</v>
      </c>
      <c r="AF3692" s="131">
        <f t="shared" si="817"/>
        <v>18750</v>
      </c>
      <c r="AG3692" s="130"/>
      <c r="AH3692" s="130"/>
      <c r="AI3692" s="130"/>
      <c r="AJ3692" s="130"/>
      <c r="AK3692" s="131">
        <f t="shared" si="812"/>
        <v>75000</v>
      </c>
      <c r="AL3692" s="446">
        <f t="shared" si="813"/>
        <v>0</v>
      </c>
      <c r="AM3692" s="110">
        <f t="shared" si="814"/>
        <v>150</v>
      </c>
      <c r="AN3692" s="447">
        <f t="shared" si="821"/>
        <v>0</v>
      </c>
      <c r="AO3692"/>
      <c r="AP3692"/>
    </row>
    <row r="3693" spans="1:42" ht="33.75" x14ac:dyDescent="0.25">
      <c r="A3693" s="310">
        <v>33603</v>
      </c>
      <c r="B3693" s="375" t="s">
        <v>851</v>
      </c>
      <c r="C3693" s="311"/>
      <c r="D3693" s="902"/>
      <c r="E3693" s="311"/>
      <c r="F3693" s="371"/>
      <c r="G3693" s="371"/>
      <c r="H3693" s="371"/>
      <c r="I3693" s="729"/>
      <c r="J3693" s="818"/>
      <c r="K3693" s="131">
        <f t="shared" si="822"/>
        <v>0</v>
      </c>
      <c r="L3693" s="335">
        <f t="shared" si="811"/>
        <v>0</v>
      </c>
      <c r="M3693" s="421"/>
      <c r="N3693" s="421"/>
      <c r="O3693" s="421"/>
      <c r="P3693" s="421"/>
      <c r="Q3693" s="387">
        <f t="shared" si="818"/>
        <v>0</v>
      </c>
      <c r="R3693" s="314">
        <f t="shared" si="809"/>
        <v>0</v>
      </c>
      <c r="S3693" s="387"/>
      <c r="T3693" s="387"/>
      <c r="U3693" s="387">
        <f t="shared" si="819"/>
        <v>0</v>
      </c>
      <c r="V3693" s="314">
        <f t="shared" si="810"/>
        <v>0</v>
      </c>
      <c r="W3693" s="387"/>
      <c r="X3693" s="387"/>
      <c r="Y3693" s="387"/>
      <c r="Z3693" s="387"/>
      <c r="AA3693" s="387">
        <f t="shared" si="815"/>
        <v>0</v>
      </c>
      <c r="AB3693" s="314">
        <f t="shared" si="816"/>
        <v>0</v>
      </c>
      <c r="AC3693" s="387"/>
      <c r="AD3693" s="387"/>
      <c r="AE3693" s="387">
        <f t="shared" si="815"/>
        <v>0</v>
      </c>
      <c r="AF3693" s="314">
        <f t="shared" si="817"/>
        <v>0</v>
      </c>
      <c r="AG3693" s="387"/>
      <c r="AH3693" s="387"/>
      <c r="AI3693" s="387"/>
      <c r="AJ3693" s="387"/>
      <c r="AK3693" s="314">
        <f t="shared" si="812"/>
        <v>0</v>
      </c>
      <c r="AL3693" s="421">
        <f t="shared" si="813"/>
        <v>0</v>
      </c>
      <c r="AM3693" s="387">
        <f t="shared" si="814"/>
        <v>0</v>
      </c>
      <c r="AN3693" s="422">
        <f t="shared" si="821"/>
        <v>0</v>
      </c>
      <c r="AO3693" s="439">
        <f>SUM(J3694)</f>
        <v>16735</v>
      </c>
      <c r="AP3693" s="427"/>
    </row>
    <row r="3694" spans="1:42" s="108" customFormat="1" ht="66" x14ac:dyDescent="0.25">
      <c r="A3694" s="429"/>
      <c r="B3694" s="695" t="s">
        <v>3435</v>
      </c>
      <c r="C3694" s="675"/>
      <c r="D3694" s="943">
        <v>5</v>
      </c>
      <c r="E3694" s="430" t="s">
        <v>1758</v>
      </c>
      <c r="F3694" s="278" t="s">
        <v>3446</v>
      </c>
      <c r="G3694" s="1040" t="s">
        <v>3463</v>
      </c>
      <c r="H3694" s="273" t="s">
        <v>3462</v>
      </c>
      <c r="I3694" s="743">
        <v>3347</v>
      </c>
      <c r="J3694" s="828">
        <v>16735</v>
      </c>
      <c r="K3694" s="131">
        <f t="shared" si="822"/>
        <v>16735</v>
      </c>
      <c r="L3694" s="335">
        <f t="shared" si="811"/>
        <v>0</v>
      </c>
      <c r="M3694" s="335"/>
      <c r="N3694" s="335"/>
      <c r="O3694" s="335"/>
      <c r="P3694" s="335"/>
      <c r="Q3694" s="130">
        <v>2</v>
      </c>
      <c r="R3694" s="131">
        <f t="shared" si="809"/>
        <v>4183.75</v>
      </c>
      <c r="S3694" s="130"/>
      <c r="T3694" s="130"/>
      <c r="U3694" s="130">
        <v>1</v>
      </c>
      <c r="V3694" s="131">
        <f t="shared" si="810"/>
        <v>4183.75</v>
      </c>
      <c r="W3694" s="130"/>
      <c r="X3694" s="130"/>
      <c r="Y3694" s="130"/>
      <c r="Z3694" s="130"/>
      <c r="AA3694" s="130">
        <v>1</v>
      </c>
      <c r="AB3694" s="131">
        <f t="shared" si="816"/>
        <v>4183.75</v>
      </c>
      <c r="AC3694" s="130"/>
      <c r="AD3694" s="130"/>
      <c r="AE3694" s="130">
        <v>1</v>
      </c>
      <c r="AF3694" s="131">
        <f t="shared" si="817"/>
        <v>4183.75</v>
      </c>
      <c r="AG3694" s="130"/>
      <c r="AH3694" s="130"/>
      <c r="AI3694" s="130"/>
      <c r="AJ3694" s="130"/>
      <c r="AK3694" s="131">
        <f t="shared" si="812"/>
        <v>16735</v>
      </c>
      <c r="AL3694" s="446">
        <f t="shared" si="813"/>
        <v>0</v>
      </c>
      <c r="AM3694" s="110">
        <f t="shared" si="814"/>
        <v>5</v>
      </c>
      <c r="AN3694" s="447">
        <f t="shared" si="821"/>
        <v>0</v>
      </c>
      <c r="AO3694"/>
      <c r="AP3694"/>
    </row>
    <row r="3695" spans="1:42" ht="33.75" x14ac:dyDescent="0.25">
      <c r="A3695" s="310">
        <v>33604</v>
      </c>
      <c r="B3695" s="375" t="s">
        <v>852</v>
      </c>
      <c r="C3695" s="311"/>
      <c r="D3695" s="902"/>
      <c r="E3695" s="311"/>
      <c r="F3695" s="371"/>
      <c r="G3695" s="371"/>
      <c r="H3695" s="371"/>
      <c r="I3695" s="729"/>
      <c r="J3695" s="818"/>
      <c r="K3695" s="131">
        <f t="shared" si="822"/>
        <v>0</v>
      </c>
      <c r="L3695" s="335">
        <f t="shared" si="811"/>
        <v>0</v>
      </c>
      <c r="M3695" s="421"/>
      <c r="N3695" s="421"/>
      <c r="O3695" s="421"/>
      <c r="P3695" s="421"/>
      <c r="Q3695" s="387">
        <f t="shared" si="818"/>
        <v>0</v>
      </c>
      <c r="R3695" s="314">
        <f t="shared" ref="R3695:R3758" si="824">+J3695/4</f>
        <v>0</v>
      </c>
      <c r="S3695" s="387"/>
      <c r="T3695" s="387"/>
      <c r="U3695" s="387">
        <f t="shared" si="819"/>
        <v>0</v>
      </c>
      <c r="V3695" s="314">
        <f t="shared" ref="V3695:V3758" si="825">+J3695/4</f>
        <v>0</v>
      </c>
      <c r="W3695" s="387"/>
      <c r="X3695" s="387"/>
      <c r="Y3695" s="387"/>
      <c r="Z3695" s="387"/>
      <c r="AA3695" s="387">
        <f t="shared" si="815"/>
        <v>0</v>
      </c>
      <c r="AB3695" s="314">
        <f t="shared" si="816"/>
        <v>0</v>
      </c>
      <c r="AC3695" s="387"/>
      <c r="AD3695" s="387"/>
      <c r="AE3695" s="387">
        <f t="shared" si="815"/>
        <v>0</v>
      </c>
      <c r="AF3695" s="314">
        <f t="shared" si="817"/>
        <v>0</v>
      </c>
      <c r="AG3695" s="387"/>
      <c r="AH3695" s="387"/>
      <c r="AI3695" s="387"/>
      <c r="AJ3695" s="387"/>
      <c r="AK3695" s="314">
        <f t="shared" si="812"/>
        <v>0</v>
      </c>
      <c r="AL3695" s="421">
        <f t="shared" si="813"/>
        <v>0</v>
      </c>
      <c r="AM3695" s="387">
        <f t="shared" si="814"/>
        <v>0</v>
      </c>
      <c r="AN3695" s="422">
        <f t="shared" si="821"/>
        <v>0</v>
      </c>
      <c r="AO3695" s="439">
        <f>SUM(J3696:J3719)</f>
        <v>809340.20000000007</v>
      </c>
      <c r="AP3695" s="427"/>
    </row>
    <row r="3696" spans="1:42" ht="66" x14ac:dyDescent="0.25">
      <c r="A3696" s="201"/>
      <c r="B3696" s="144" t="s">
        <v>853</v>
      </c>
      <c r="C3696" s="180"/>
      <c r="D3696" s="872">
        <v>176</v>
      </c>
      <c r="E3696" s="265" t="s">
        <v>1721</v>
      </c>
      <c r="F3696" s="278" t="s">
        <v>3446</v>
      </c>
      <c r="G3696" s="1040" t="s">
        <v>3463</v>
      </c>
      <c r="H3696" s="273" t="s">
        <v>3462</v>
      </c>
      <c r="I3696" s="727">
        <f t="shared" ref="I3696:I3716" si="826">+J3696/D3696</f>
        <v>281.88</v>
      </c>
      <c r="J3696" s="776">
        <v>49610.879999999997</v>
      </c>
      <c r="K3696" s="131">
        <f t="shared" si="822"/>
        <v>49610.879999999997</v>
      </c>
      <c r="L3696" s="335">
        <f t="shared" si="811"/>
        <v>0</v>
      </c>
      <c r="M3696" s="446"/>
      <c r="N3696" s="446"/>
      <c r="O3696" s="446"/>
      <c r="P3696" s="446"/>
      <c r="Q3696" s="110">
        <f t="shared" si="818"/>
        <v>44</v>
      </c>
      <c r="R3696" s="111">
        <f t="shared" si="824"/>
        <v>12402.72</v>
      </c>
      <c r="S3696" s="110"/>
      <c r="T3696" s="110"/>
      <c r="U3696" s="110">
        <f t="shared" si="819"/>
        <v>44</v>
      </c>
      <c r="V3696" s="111">
        <f t="shared" si="825"/>
        <v>12402.72</v>
      </c>
      <c r="W3696" s="110"/>
      <c r="X3696" s="110"/>
      <c r="Y3696" s="110"/>
      <c r="Z3696" s="110"/>
      <c r="AA3696" s="110">
        <f t="shared" si="815"/>
        <v>44</v>
      </c>
      <c r="AB3696" s="111">
        <f t="shared" si="816"/>
        <v>12402.72</v>
      </c>
      <c r="AC3696" s="110"/>
      <c r="AD3696" s="110"/>
      <c r="AE3696" s="110">
        <f t="shared" si="815"/>
        <v>44</v>
      </c>
      <c r="AF3696" s="111">
        <f t="shared" si="817"/>
        <v>12402.72</v>
      </c>
      <c r="AG3696" s="110"/>
      <c r="AH3696" s="110"/>
      <c r="AI3696" s="110"/>
      <c r="AJ3696" s="110"/>
      <c r="AK3696" s="111">
        <f t="shared" si="812"/>
        <v>49610.879999999997</v>
      </c>
      <c r="AL3696" s="446">
        <f t="shared" si="813"/>
        <v>0</v>
      </c>
      <c r="AM3696" s="110">
        <f t="shared" si="814"/>
        <v>176</v>
      </c>
      <c r="AN3696" s="447">
        <f t="shared" si="821"/>
        <v>0</v>
      </c>
      <c r="AO3696"/>
      <c r="AP3696"/>
    </row>
    <row r="3697" spans="1:42" ht="66" x14ac:dyDescent="0.25">
      <c r="A3697" s="9"/>
      <c r="B3697" s="591" t="s">
        <v>1357</v>
      </c>
      <c r="C3697" s="1024"/>
      <c r="D3697" s="869">
        <v>20</v>
      </c>
      <c r="E3697" s="1027" t="s">
        <v>1725</v>
      </c>
      <c r="F3697" s="278" t="s">
        <v>3446</v>
      </c>
      <c r="G3697" s="1040" t="s">
        <v>3463</v>
      </c>
      <c r="H3697" s="273" t="s">
        <v>3462</v>
      </c>
      <c r="I3697" s="720">
        <f t="shared" si="826"/>
        <v>580</v>
      </c>
      <c r="J3697" s="756">
        <v>11600</v>
      </c>
      <c r="K3697" s="131">
        <f t="shared" si="822"/>
        <v>11600</v>
      </c>
      <c r="L3697" s="335">
        <f t="shared" si="811"/>
        <v>0</v>
      </c>
      <c r="M3697" s="446"/>
      <c r="N3697" s="446"/>
      <c r="O3697" s="446"/>
      <c r="P3697" s="446"/>
      <c r="Q3697" s="110">
        <f t="shared" si="818"/>
        <v>5</v>
      </c>
      <c r="R3697" s="111">
        <f t="shared" si="824"/>
        <v>2900</v>
      </c>
      <c r="S3697" s="110"/>
      <c r="T3697" s="110"/>
      <c r="U3697" s="110">
        <f t="shared" si="819"/>
        <v>5</v>
      </c>
      <c r="V3697" s="111">
        <f t="shared" si="825"/>
        <v>2900</v>
      </c>
      <c r="W3697" s="110"/>
      <c r="X3697" s="110"/>
      <c r="Y3697" s="110"/>
      <c r="Z3697" s="110"/>
      <c r="AA3697" s="110">
        <f t="shared" ref="AA3697:AE3761" si="827">+$D3697/4</f>
        <v>5</v>
      </c>
      <c r="AB3697" s="111">
        <f t="shared" si="816"/>
        <v>2900</v>
      </c>
      <c r="AC3697" s="110"/>
      <c r="AD3697" s="110"/>
      <c r="AE3697" s="110">
        <f t="shared" si="827"/>
        <v>5</v>
      </c>
      <c r="AF3697" s="111">
        <f t="shared" si="817"/>
        <v>2900</v>
      </c>
      <c r="AG3697" s="110"/>
      <c r="AH3697" s="110"/>
      <c r="AI3697" s="110"/>
      <c r="AJ3697" s="110"/>
      <c r="AK3697" s="111">
        <f t="shared" si="812"/>
        <v>11600</v>
      </c>
      <c r="AL3697" s="446">
        <f t="shared" si="813"/>
        <v>0</v>
      </c>
      <c r="AM3697" s="110">
        <f t="shared" si="814"/>
        <v>20</v>
      </c>
      <c r="AN3697" s="447">
        <f t="shared" si="821"/>
        <v>0</v>
      </c>
      <c r="AO3697"/>
      <c r="AP3697"/>
    </row>
    <row r="3698" spans="1:42" ht="66" x14ac:dyDescent="0.25">
      <c r="A3698" s="9"/>
      <c r="B3698" s="592" t="s">
        <v>1358</v>
      </c>
      <c r="C3698" s="1024"/>
      <c r="D3698" s="869">
        <v>1</v>
      </c>
      <c r="E3698" s="1027" t="s">
        <v>1755</v>
      </c>
      <c r="F3698" s="278" t="s">
        <v>3446</v>
      </c>
      <c r="G3698" s="1040" t="s">
        <v>3463</v>
      </c>
      <c r="H3698" s="273" t="s">
        <v>3462</v>
      </c>
      <c r="I3698" s="720">
        <f t="shared" si="826"/>
        <v>464000</v>
      </c>
      <c r="J3698" s="756">
        <v>464000</v>
      </c>
      <c r="K3698" s="131">
        <f t="shared" si="822"/>
        <v>464000</v>
      </c>
      <c r="L3698" s="335">
        <f t="shared" si="811"/>
        <v>0</v>
      </c>
      <c r="M3698" s="446"/>
      <c r="N3698" s="446"/>
      <c r="O3698" s="446"/>
      <c r="P3698" s="446"/>
      <c r="Q3698" s="110">
        <v>1</v>
      </c>
      <c r="R3698" s="111">
        <f t="shared" si="824"/>
        <v>116000</v>
      </c>
      <c r="S3698" s="110"/>
      <c r="T3698" s="110"/>
      <c r="U3698" s="110">
        <v>0</v>
      </c>
      <c r="V3698" s="111">
        <f t="shared" si="825"/>
        <v>116000</v>
      </c>
      <c r="W3698" s="110"/>
      <c r="X3698" s="110"/>
      <c r="Y3698" s="110"/>
      <c r="Z3698" s="110"/>
      <c r="AA3698" s="110">
        <v>0</v>
      </c>
      <c r="AB3698" s="111">
        <f t="shared" si="816"/>
        <v>116000</v>
      </c>
      <c r="AC3698" s="110"/>
      <c r="AD3698" s="110"/>
      <c r="AE3698" s="110">
        <v>0</v>
      </c>
      <c r="AF3698" s="111">
        <f t="shared" si="817"/>
        <v>116000</v>
      </c>
      <c r="AG3698" s="110"/>
      <c r="AH3698" s="110"/>
      <c r="AI3698" s="110"/>
      <c r="AJ3698" s="110"/>
      <c r="AK3698" s="111">
        <f t="shared" si="812"/>
        <v>464000</v>
      </c>
      <c r="AL3698" s="446">
        <f t="shared" si="813"/>
        <v>0</v>
      </c>
      <c r="AM3698" s="110">
        <f t="shared" si="814"/>
        <v>1</v>
      </c>
      <c r="AN3698" s="447">
        <f t="shared" si="821"/>
        <v>0</v>
      </c>
      <c r="AO3698"/>
      <c r="AP3698"/>
    </row>
    <row r="3699" spans="1:42" ht="66" x14ac:dyDescent="0.25">
      <c r="A3699" s="9"/>
      <c r="B3699" s="148" t="s">
        <v>1498</v>
      </c>
      <c r="C3699" s="1024"/>
      <c r="D3699" s="869">
        <v>2000</v>
      </c>
      <c r="E3699" s="1027" t="s">
        <v>1755</v>
      </c>
      <c r="F3699" s="278" t="s">
        <v>3446</v>
      </c>
      <c r="G3699" s="1040" t="s">
        <v>3463</v>
      </c>
      <c r="H3699" s="273" t="s">
        <v>3462</v>
      </c>
      <c r="I3699" s="720">
        <f t="shared" si="826"/>
        <v>29</v>
      </c>
      <c r="J3699" s="756">
        <v>58000</v>
      </c>
      <c r="K3699" s="131">
        <f t="shared" si="822"/>
        <v>58000</v>
      </c>
      <c r="L3699" s="335">
        <f t="shared" si="811"/>
        <v>0</v>
      </c>
      <c r="M3699" s="446"/>
      <c r="N3699" s="446"/>
      <c r="O3699" s="446"/>
      <c r="P3699" s="446"/>
      <c r="Q3699" s="110">
        <f t="shared" si="818"/>
        <v>500</v>
      </c>
      <c r="R3699" s="111">
        <f t="shared" si="824"/>
        <v>14500</v>
      </c>
      <c r="S3699" s="110"/>
      <c r="T3699" s="110"/>
      <c r="U3699" s="110">
        <f t="shared" si="819"/>
        <v>500</v>
      </c>
      <c r="V3699" s="111">
        <f t="shared" si="825"/>
        <v>14500</v>
      </c>
      <c r="W3699" s="110"/>
      <c r="X3699" s="110"/>
      <c r="Y3699" s="110"/>
      <c r="Z3699" s="110"/>
      <c r="AA3699" s="110">
        <f t="shared" si="827"/>
        <v>500</v>
      </c>
      <c r="AB3699" s="111">
        <f t="shared" si="816"/>
        <v>14500</v>
      </c>
      <c r="AC3699" s="110"/>
      <c r="AD3699" s="110"/>
      <c r="AE3699" s="110">
        <f t="shared" si="827"/>
        <v>500</v>
      </c>
      <c r="AF3699" s="111">
        <f t="shared" si="817"/>
        <v>14500</v>
      </c>
      <c r="AG3699" s="110"/>
      <c r="AH3699" s="110"/>
      <c r="AI3699" s="110"/>
      <c r="AJ3699" s="110"/>
      <c r="AK3699" s="111">
        <f t="shared" si="812"/>
        <v>58000</v>
      </c>
      <c r="AL3699" s="446">
        <f t="shared" si="813"/>
        <v>0</v>
      </c>
      <c r="AM3699" s="110">
        <f t="shared" si="814"/>
        <v>2000</v>
      </c>
      <c r="AN3699" s="447">
        <f t="shared" si="821"/>
        <v>0</v>
      </c>
      <c r="AO3699"/>
      <c r="AP3699"/>
    </row>
    <row r="3700" spans="1:42" ht="66" x14ac:dyDescent="0.25">
      <c r="A3700" s="9"/>
      <c r="B3700" s="148" t="s">
        <v>1499</v>
      </c>
      <c r="C3700" s="1024"/>
      <c r="D3700" s="869">
        <v>2000</v>
      </c>
      <c r="E3700" s="1027" t="s">
        <v>1725</v>
      </c>
      <c r="F3700" s="278" t="s">
        <v>3446</v>
      </c>
      <c r="G3700" s="1040" t="s">
        <v>3463</v>
      </c>
      <c r="H3700" s="273" t="s">
        <v>3462</v>
      </c>
      <c r="I3700" s="720">
        <f t="shared" si="826"/>
        <v>1.8254999999999999</v>
      </c>
      <c r="J3700" s="756">
        <v>3651</v>
      </c>
      <c r="K3700" s="131">
        <f t="shared" si="822"/>
        <v>3651</v>
      </c>
      <c r="L3700" s="335">
        <f t="shared" ref="L3700:L3763" si="828">+J3700-K3700</f>
        <v>0</v>
      </c>
      <c r="M3700" s="446"/>
      <c r="N3700" s="446"/>
      <c r="O3700" s="446"/>
      <c r="P3700" s="446"/>
      <c r="Q3700" s="110">
        <f t="shared" si="818"/>
        <v>500</v>
      </c>
      <c r="R3700" s="111">
        <f t="shared" si="824"/>
        <v>912.75</v>
      </c>
      <c r="S3700" s="110"/>
      <c r="T3700" s="110"/>
      <c r="U3700" s="110">
        <f t="shared" si="819"/>
        <v>500</v>
      </c>
      <c r="V3700" s="111">
        <f t="shared" si="825"/>
        <v>912.75</v>
      </c>
      <c r="W3700" s="110"/>
      <c r="X3700" s="110"/>
      <c r="Y3700" s="110"/>
      <c r="Z3700" s="110"/>
      <c r="AA3700" s="110">
        <f t="shared" si="827"/>
        <v>500</v>
      </c>
      <c r="AB3700" s="111">
        <f t="shared" si="816"/>
        <v>912.75</v>
      </c>
      <c r="AC3700" s="110"/>
      <c r="AD3700" s="110"/>
      <c r="AE3700" s="110">
        <f t="shared" si="827"/>
        <v>500</v>
      </c>
      <c r="AF3700" s="111">
        <f t="shared" si="817"/>
        <v>912.75</v>
      </c>
      <c r="AG3700" s="110"/>
      <c r="AH3700" s="110"/>
      <c r="AI3700" s="110"/>
      <c r="AJ3700" s="110"/>
      <c r="AK3700" s="111">
        <f t="shared" ref="AK3700:AK3763" si="829">+R3700+V3700+AB3700+AF3700</f>
        <v>3651</v>
      </c>
      <c r="AL3700" s="446">
        <f t="shared" ref="AL3700:AL3763" si="830">+J3700-AK3700</f>
        <v>0</v>
      </c>
      <c r="AM3700" s="110">
        <f t="shared" ref="AM3700:AM3763" si="831">+Q3700+U3700+AA3700+AE3700</f>
        <v>2000</v>
      </c>
      <c r="AN3700" s="447">
        <f t="shared" si="821"/>
        <v>0</v>
      </c>
      <c r="AO3700"/>
      <c r="AP3700"/>
    </row>
    <row r="3701" spans="1:42" ht="66" x14ac:dyDescent="0.25">
      <c r="A3701" s="9"/>
      <c r="B3701" s="156" t="s">
        <v>1500</v>
      </c>
      <c r="C3701" s="1024"/>
      <c r="D3701" s="869">
        <v>210</v>
      </c>
      <c r="E3701" s="1027" t="s">
        <v>1721</v>
      </c>
      <c r="F3701" s="278" t="s">
        <v>3446</v>
      </c>
      <c r="G3701" s="1040" t="s">
        <v>3463</v>
      </c>
      <c r="H3701" s="273" t="s">
        <v>3462</v>
      </c>
      <c r="I3701" s="720">
        <f t="shared" si="826"/>
        <v>160</v>
      </c>
      <c r="J3701" s="756">
        <v>33600</v>
      </c>
      <c r="K3701" s="131">
        <f t="shared" si="822"/>
        <v>33600</v>
      </c>
      <c r="L3701" s="335">
        <f t="shared" si="828"/>
        <v>0</v>
      </c>
      <c r="M3701" s="446"/>
      <c r="N3701" s="446"/>
      <c r="O3701" s="446"/>
      <c r="P3701" s="446"/>
      <c r="Q3701" s="110">
        <v>60</v>
      </c>
      <c r="R3701" s="111">
        <f t="shared" si="824"/>
        <v>8400</v>
      </c>
      <c r="S3701" s="110"/>
      <c r="T3701" s="110"/>
      <c r="U3701" s="110">
        <v>60</v>
      </c>
      <c r="V3701" s="111">
        <f t="shared" si="825"/>
        <v>8400</v>
      </c>
      <c r="W3701" s="110"/>
      <c r="X3701" s="110"/>
      <c r="Y3701" s="110"/>
      <c r="Z3701" s="110"/>
      <c r="AA3701" s="110">
        <v>50</v>
      </c>
      <c r="AB3701" s="111">
        <f t="shared" si="816"/>
        <v>8400</v>
      </c>
      <c r="AC3701" s="110"/>
      <c r="AD3701" s="110"/>
      <c r="AE3701" s="110">
        <v>40</v>
      </c>
      <c r="AF3701" s="111">
        <f t="shared" si="817"/>
        <v>8400</v>
      </c>
      <c r="AG3701" s="110"/>
      <c r="AH3701" s="110"/>
      <c r="AI3701" s="110"/>
      <c r="AJ3701" s="110"/>
      <c r="AK3701" s="111">
        <f t="shared" si="829"/>
        <v>33600</v>
      </c>
      <c r="AL3701" s="446">
        <f t="shared" si="830"/>
        <v>0</v>
      </c>
      <c r="AM3701" s="110">
        <f t="shared" si="831"/>
        <v>210</v>
      </c>
      <c r="AN3701" s="447">
        <f t="shared" si="821"/>
        <v>0</v>
      </c>
      <c r="AO3701"/>
      <c r="AP3701"/>
    </row>
    <row r="3702" spans="1:42" ht="66" x14ac:dyDescent="0.25">
      <c r="A3702" s="9"/>
      <c r="B3702" s="593" t="s">
        <v>1706</v>
      </c>
      <c r="C3702" s="1024"/>
      <c r="D3702" s="869">
        <v>4</v>
      </c>
      <c r="E3702" s="1027" t="s">
        <v>1721</v>
      </c>
      <c r="F3702" s="278" t="s">
        <v>3446</v>
      </c>
      <c r="G3702" s="1040" t="s">
        <v>3463</v>
      </c>
      <c r="H3702" s="273" t="s">
        <v>3462</v>
      </c>
      <c r="I3702" s="720">
        <f t="shared" si="826"/>
        <v>348</v>
      </c>
      <c r="J3702" s="756">
        <v>1392</v>
      </c>
      <c r="K3702" s="131">
        <f t="shared" si="822"/>
        <v>1392</v>
      </c>
      <c r="L3702" s="335">
        <f t="shared" si="828"/>
        <v>0</v>
      </c>
      <c r="M3702" s="446"/>
      <c r="N3702" s="446"/>
      <c r="O3702" s="446"/>
      <c r="P3702" s="446"/>
      <c r="Q3702" s="110">
        <f t="shared" si="818"/>
        <v>1</v>
      </c>
      <c r="R3702" s="111">
        <f t="shared" si="824"/>
        <v>348</v>
      </c>
      <c r="S3702" s="110"/>
      <c r="T3702" s="110"/>
      <c r="U3702" s="110">
        <f t="shared" si="819"/>
        <v>1</v>
      </c>
      <c r="V3702" s="111">
        <f t="shared" si="825"/>
        <v>348</v>
      </c>
      <c r="W3702" s="110"/>
      <c r="X3702" s="110"/>
      <c r="Y3702" s="110"/>
      <c r="Z3702" s="110"/>
      <c r="AA3702" s="110">
        <f t="shared" si="827"/>
        <v>1</v>
      </c>
      <c r="AB3702" s="111">
        <f t="shared" si="816"/>
        <v>348</v>
      </c>
      <c r="AC3702" s="110"/>
      <c r="AD3702" s="110"/>
      <c r="AE3702" s="110">
        <f t="shared" si="827"/>
        <v>1</v>
      </c>
      <c r="AF3702" s="111">
        <f t="shared" si="817"/>
        <v>348</v>
      </c>
      <c r="AG3702" s="110"/>
      <c r="AH3702" s="110"/>
      <c r="AI3702" s="110"/>
      <c r="AJ3702" s="110"/>
      <c r="AK3702" s="111">
        <f t="shared" si="829"/>
        <v>1392</v>
      </c>
      <c r="AL3702" s="446">
        <f t="shared" si="830"/>
        <v>0</v>
      </c>
      <c r="AM3702" s="110">
        <f t="shared" si="831"/>
        <v>4</v>
      </c>
      <c r="AN3702" s="447">
        <f t="shared" si="821"/>
        <v>0</v>
      </c>
      <c r="AO3702"/>
      <c r="AP3702"/>
    </row>
    <row r="3703" spans="1:42" ht="66" x14ac:dyDescent="0.25">
      <c r="A3703" s="9"/>
      <c r="B3703" s="593" t="s">
        <v>1707</v>
      </c>
      <c r="C3703" s="1024"/>
      <c r="D3703" s="869">
        <v>4</v>
      </c>
      <c r="E3703" s="1027" t="s">
        <v>1721</v>
      </c>
      <c r="F3703" s="273" t="s">
        <v>3446</v>
      </c>
      <c r="G3703" s="1040" t="s">
        <v>3463</v>
      </c>
      <c r="H3703" s="273" t="s">
        <v>3462</v>
      </c>
      <c r="I3703" s="720">
        <f t="shared" si="826"/>
        <v>1739.9999999999998</v>
      </c>
      <c r="J3703" s="756">
        <v>6959.9999999999991</v>
      </c>
      <c r="K3703" s="131">
        <f t="shared" si="822"/>
        <v>6959.9999999999991</v>
      </c>
      <c r="L3703" s="335">
        <f t="shared" si="828"/>
        <v>0</v>
      </c>
      <c r="M3703" s="446"/>
      <c r="N3703" s="446"/>
      <c r="O3703" s="446"/>
      <c r="P3703" s="446"/>
      <c r="Q3703" s="110">
        <f t="shared" si="818"/>
        <v>1</v>
      </c>
      <c r="R3703" s="111">
        <f t="shared" si="824"/>
        <v>1739.9999999999998</v>
      </c>
      <c r="S3703" s="110"/>
      <c r="T3703" s="110"/>
      <c r="U3703" s="110">
        <f t="shared" si="819"/>
        <v>1</v>
      </c>
      <c r="V3703" s="111">
        <f t="shared" si="825"/>
        <v>1739.9999999999998</v>
      </c>
      <c r="W3703" s="110"/>
      <c r="X3703" s="110"/>
      <c r="Y3703" s="110"/>
      <c r="Z3703" s="110"/>
      <c r="AA3703" s="110">
        <f t="shared" si="827"/>
        <v>1</v>
      </c>
      <c r="AB3703" s="111">
        <f t="shared" si="816"/>
        <v>1739.9999999999998</v>
      </c>
      <c r="AC3703" s="110"/>
      <c r="AD3703" s="110"/>
      <c r="AE3703" s="110">
        <f t="shared" si="827"/>
        <v>1</v>
      </c>
      <c r="AF3703" s="111">
        <f t="shared" si="817"/>
        <v>1739.9999999999998</v>
      </c>
      <c r="AG3703" s="110"/>
      <c r="AH3703" s="110"/>
      <c r="AI3703" s="110"/>
      <c r="AJ3703" s="110"/>
      <c r="AK3703" s="111">
        <f t="shared" si="829"/>
        <v>6959.9999999999991</v>
      </c>
      <c r="AL3703" s="446">
        <f t="shared" si="830"/>
        <v>0</v>
      </c>
      <c r="AM3703" s="110">
        <f t="shared" si="831"/>
        <v>4</v>
      </c>
      <c r="AN3703" s="447">
        <f t="shared" si="821"/>
        <v>0</v>
      </c>
      <c r="AO3703"/>
      <c r="AP3703"/>
    </row>
    <row r="3704" spans="1:42" ht="66" x14ac:dyDescent="0.25">
      <c r="A3704" s="9"/>
      <c r="B3704" s="593" t="s">
        <v>1708</v>
      </c>
      <c r="C3704" s="1024"/>
      <c r="D3704" s="869">
        <v>1</v>
      </c>
      <c r="E3704" s="1027" t="s">
        <v>1721</v>
      </c>
      <c r="F3704" s="273" t="s">
        <v>3446</v>
      </c>
      <c r="G3704" s="1040" t="s">
        <v>3463</v>
      </c>
      <c r="H3704" s="273" t="s">
        <v>3462</v>
      </c>
      <c r="I3704" s="720">
        <f t="shared" si="826"/>
        <v>65466.92</v>
      </c>
      <c r="J3704" s="756">
        <v>65466.92</v>
      </c>
      <c r="K3704" s="131">
        <f t="shared" si="822"/>
        <v>65466.92</v>
      </c>
      <c r="L3704" s="335">
        <f t="shared" si="828"/>
        <v>0</v>
      </c>
      <c r="M3704" s="446"/>
      <c r="N3704" s="446"/>
      <c r="O3704" s="446"/>
      <c r="P3704" s="446"/>
      <c r="Q3704" s="110">
        <v>1</v>
      </c>
      <c r="R3704" s="111">
        <f t="shared" si="824"/>
        <v>16366.73</v>
      </c>
      <c r="S3704" s="110"/>
      <c r="T3704" s="110"/>
      <c r="U3704" s="110">
        <v>0</v>
      </c>
      <c r="V3704" s="111">
        <f t="shared" si="825"/>
        <v>16366.73</v>
      </c>
      <c r="W3704" s="110"/>
      <c r="X3704" s="110"/>
      <c r="Y3704" s="110"/>
      <c r="Z3704" s="110"/>
      <c r="AA3704" s="110">
        <v>0</v>
      </c>
      <c r="AB3704" s="111">
        <f t="shared" si="816"/>
        <v>16366.73</v>
      </c>
      <c r="AC3704" s="110"/>
      <c r="AD3704" s="110"/>
      <c r="AE3704" s="110">
        <v>0</v>
      </c>
      <c r="AF3704" s="111">
        <f t="shared" si="817"/>
        <v>16366.73</v>
      </c>
      <c r="AG3704" s="110"/>
      <c r="AH3704" s="110"/>
      <c r="AI3704" s="110"/>
      <c r="AJ3704" s="110"/>
      <c r="AK3704" s="111">
        <f t="shared" si="829"/>
        <v>65466.92</v>
      </c>
      <c r="AL3704" s="446">
        <f t="shared" si="830"/>
        <v>0</v>
      </c>
      <c r="AM3704" s="110">
        <f t="shared" si="831"/>
        <v>1</v>
      </c>
      <c r="AN3704" s="447">
        <f t="shared" si="821"/>
        <v>0</v>
      </c>
      <c r="AO3704"/>
      <c r="AP3704"/>
    </row>
    <row r="3705" spans="1:42" ht="66" x14ac:dyDescent="0.25">
      <c r="A3705" s="9"/>
      <c r="B3705" s="144" t="s">
        <v>853</v>
      </c>
      <c r="C3705" s="1024"/>
      <c r="D3705" s="869">
        <v>30</v>
      </c>
      <c r="E3705" s="1027" t="s">
        <v>1721</v>
      </c>
      <c r="F3705" s="273" t="s">
        <v>3446</v>
      </c>
      <c r="G3705" s="1040" t="s">
        <v>3463</v>
      </c>
      <c r="H3705" s="273" t="s">
        <v>3462</v>
      </c>
      <c r="I3705" s="720">
        <f t="shared" si="826"/>
        <v>200</v>
      </c>
      <c r="J3705" s="756">
        <v>6000</v>
      </c>
      <c r="K3705" s="131">
        <f t="shared" si="822"/>
        <v>6000</v>
      </c>
      <c r="L3705" s="335">
        <f t="shared" si="828"/>
        <v>0</v>
      </c>
      <c r="M3705" s="446"/>
      <c r="N3705" s="446"/>
      <c r="O3705" s="446"/>
      <c r="P3705" s="446"/>
      <c r="Q3705" s="110">
        <v>8</v>
      </c>
      <c r="R3705" s="111">
        <f t="shared" si="824"/>
        <v>1500</v>
      </c>
      <c r="S3705" s="110"/>
      <c r="T3705" s="110"/>
      <c r="U3705" s="110">
        <v>8</v>
      </c>
      <c r="V3705" s="111">
        <f t="shared" si="825"/>
        <v>1500</v>
      </c>
      <c r="W3705" s="110"/>
      <c r="X3705" s="110"/>
      <c r="Y3705" s="110"/>
      <c r="Z3705" s="110"/>
      <c r="AA3705" s="110">
        <v>7</v>
      </c>
      <c r="AB3705" s="111">
        <f t="shared" si="816"/>
        <v>1500</v>
      </c>
      <c r="AC3705" s="110"/>
      <c r="AD3705" s="110"/>
      <c r="AE3705" s="110">
        <v>7</v>
      </c>
      <c r="AF3705" s="111">
        <f t="shared" si="817"/>
        <v>1500</v>
      </c>
      <c r="AG3705" s="110"/>
      <c r="AH3705" s="110"/>
      <c r="AI3705" s="110"/>
      <c r="AJ3705" s="110"/>
      <c r="AK3705" s="111">
        <f t="shared" si="829"/>
        <v>6000</v>
      </c>
      <c r="AL3705" s="446">
        <f t="shared" si="830"/>
        <v>0</v>
      </c>
      <c r="AM3705" s="110">
        <f t="shared" si="831"/>
        <v>30</v>
      </c>
      <c r="AN3705" s="447">
        <f t="shared" si="821"/>
        <v>0</v>
      </c>
      <c r="AO3705"/>
      <c r="AP3705"/>
    </row>
    <row r="3706" spans="1:42" ht="66" x14ac:dyDescent="0.25">
      <c r="A3706" s="9"/>
      <c r="B3706" s="59" t="s">
        <v>1774</v>
      </c>
      <c r="C3706" s="1024"/>
      <c r="D3706" s="869">
        <v>10</v>
      </c>
      <c r="E3706" s="1027" t="s">
        <v>1776</v>
      </c>
      <c r="F3706" s="273" t="s">
        <v>3446</v>
      </c>
      <c r="G3706" s="1040" t="s">
        <v>3463</v>
      </c>
      <c r="H3706" s="273" t="s">
        <v>3462</v>
      </c>
      <c r="I3706" s="720">
        <f t="shared" si="826"/>
        <v>1000</v>
      </c>
      <c r="J3706" s="756">
        <v>10000</v>
      </c>
      <c r="K3706" s="131">
        <f t="shared" si="822"/>
        <v>10000</v>
      </c>
      <c r="L3706" s="335">
        <f t="shared" si="828"/>
        <v>0</v>
      </c>
      <c r="M3706" s="446"/>
      <c r="N3706" s="446"/>
      <c r="O3706" s="446"/>
      <c r="P3706" s="446"/>
      <c r="Q3706" s="130">
        <v>3</v>
      </c>
      <c r="R3706" s="111">
        <f t="shared" si="824"/>
        <v>2500</v>
      </c>
      <c r="S3706" s="110"/>
      <c r="T3706" s="110"/>
      <c r="U3706" s="130">
        <v>3</v>
      </c>
      <c r="V3706" s="111">
        <f t="shared" si="825"/>
        <v>2500</v>
      </c>
      <c r="W3706" s="110"/>
      <c r="X3706" s="110"/>
      <c r="Y3706" s="110"/>
      <c r="Z3706" s="110"/>
      <c r="AA3706" s="130">
        <v>2</v>
      </c>
      <c r="AB3706" s="111">
        <f t="shared" si="816"/>
        <v>2500</v>
      </c>
      <c r="AC3706" s="110"/>
      <c r="AD3706" s="110"/>
      <c r="AE3706" s="130">
        <v>2</v>
      </c>
      <c r="AF3706" s="111">
        <f t="shared" si="817"/>
        <v>2500</v>
      </c>
      <c r="AG3706" s="110"/>
      <c r="AH3706" s="110"/>
      <c r="AI3706" s="110"/>
      <c r="AJ3706" s="110"/>
      <c r="AK3706" s="111">
        <f t="shared" si="829"/>
        <v>10000</v>
      </c>
      <c r="AL3706" s="446">
        <f t="shared" si="830"/>
        <v>0</v>
      </c>
      <c r="AM3706" s="110">
        <f t="shared" si="831"/>
        <v>10</v>
      </c>
      <c r="AN3706" s="447">
        <f t="shared" si="821"/>
        <v>0</v>
      </c>
      <c r="AO3706"/>
      <c r="AP3706"/>
    </row>
    <row r="3707" spans="1:42" ht="66" x14ac:dyDescent="0.25">
      <c r="A3707" s="9"/>
      <c r="B3707" s="59" t="s">
        <v>1775</v>
      </c>
      <c r="C3707" s="1024"/>
      <c r="D3707" s="882">
        <v>120</v>
      </c>
      <c r="E3707" s="1025" t="s">
        <v>1721</v>
      </c>
      <c r="F3707" s="273" t="s">
        <v>3446</v>
      </c>
      <c r="G3707" s="1040" t="s">
        <v>3463</v>
      </c>
      <c r="H3707" s="273" t="s">
        <v>3462</v>
      </c>
      <c r="I3707" s="720">
        <f t="shared" si="826"/>
        <v>54</v>
      </c>
      <c r="J3707" s="813">
        <v>6480</v>
      </c>
      <c r="K3707" s="131">
        <f t="shared" si="822"/>
        <v>6480</v>
      </c>
      <c r="L3707" s="335">
        <f t="shared" si="828"/>
        <v>0</v>
      </c>
      <c r="M3707" s="446"/>
      <c r="N3707" s="446"/>
      <c r="O3707" s="446"/>
      <c r="P3707" s="446"/>
      <c r="Q3707" s="110">
        <v>50</v>
      </c>
      <c r="R3707" s="111">
        <f t="shared" si="824"/>
        <v>1620</v>
      </c>
      <c r="S3707" s="110"/>
      <c r="T3707" s="110"/>
      <c r="U3707" s="110">
        <v>50</v>
      </c>
      <c r="V3707" s="111">
        <f t="shared" si="825"/>
        <v>1620</v>
      </c>
      <c r="W3707" s="110"/>
      <c r="X3707" s="110"/>
      <c r="Y3707" s="110"/>
      <c r="Z3707" s="110"/>
      <c r="AA3707" s="110">
        <v>10</v>
      </c>
      <c r="AB3707" s="111">
        <f t="shared" si="816"/>
        <v>1620</v>
      </c>
      <c r="AC3707" s="110"/>
      <c r="AD3707" s="110"/>
      <c r="AE3707" s="110">
        <v>10</v>
      </c>
      <c r="AF3707" s="111">
        <f t="shared" si="817"/>
        <v>1620</v>
      </c>
      <c r="AG3707" s="110"/>
      <c r="AH3707" s="110"/>
      <c r="AI3707" s="110"/>
      <c r="AJ3707" s="110"/>
      <c r="AK3707" s="111">
        <f t="shared" si="829"/>
        <v>6480</v>
      </c>
      <c r="AL3707" s="446">
        <f t="shared" si="830"/>
        <v>0</v>
      </c>
      <c r="AM3707" s="110">
        <f t="shared" si="831"/>
        <v>120</v>
      </c>
      <c r="AN3707" s="447">
        <f t="shared" si="821"/>
        <v>0</v>
      </c>
      <c r="AO3707"/>
      <c r="AP3707"/>
    </row>
    <row r="3708" spans="1:42" ht="66" x14ac:dyDescent="0.25">
      <c r="A3708" s="40"/>
      <c r="B3708" s="227" t="s">
        <v>2459</v>
      </c>
      <c r="C3708" s="1024"/>
      <c r="D3708" s="869">
        <f>3+5</f>
        <v>8</v>
      </c>
      <c r="E3708" s="1027" t="s">
        <v>1767</v>
      </c>
      <c r="F3708" s="273" t="s">
        <v>3446</v>
      </c>
      <c r="G3708" s="1040" t="s">
        <v>3463</v>
      </c>
      <c r="H3708" s="273" t="s">
        <v>3462</v>
      </c>
      <c r="I3708" s="720">
        <f t="shared" si="826"/>
        <v>1200</v>
      </c>
      <c r="J3708" s="813">
        <f>5100+4500</f>
        <v>9600</v>
      </c>
      <c r="K3708" s="131">
        <f t="shared" si="822"/>
        <v>9600</v>
      </c>
      <c r="L3708" s="335">
        <f t="shared" si="828"/>
        <v>0</v>
      </c>
      <c r="M3708" s="446"/>
      <c r="N3708" s="446"/>
      <c r="O3708" s="446"/>
      <c r="P3708" s="446"/>
      <c r="Q3708" s="110">
        <f t="shared" si="818"/>
        <v>2</v>
      </c>
      <c r="R3708" s="111">
        <f t="shared" si="824"/>
        <v>2400</v>
      </c>
      <c r="S3708" s="110"/>
      <c r="T3708" s="110"/>
      <c r="U3708" s="110">
        <f t="shared" si="819"/>
        <v>2</v>
      </c>
      <c r="V3708" s="111">
        <f t="shared" si="825"/>
        <v>2400</v>
      </c>
      <c r="W3708" s="110"/>
      <c r="X3708" s="110"/>
      <c r="Y3708" s="110"/>
      <c r="Z3708" s="110"/>
      <c r="AA3708" s="110">
        <f t="shared" si="827"/>
        <v>2</v>
      </c>
      <c r="AB3708" s="111">
        <f t="shared" si="816"/>
        <v>2400</v>
      </c>
      <c r="AC3708" s="110"/>
      <c r="AD3708" s="110"/>
      <c r="AE3708" s="110">
        <f t="shared" si="827"/>
        <v>2</v>
      </c>
      <c r="AF3708" s="111">
        <f t="shared" si="817"/>
        <v>2400</v>
      </c>
      <c r="AG3708" s="110"/>
      <c r="AH3708" s="110"/>
      <c r="AI3708" s="110"/>
      <c r="AJ3708" s="110"/>
      <c r="AK3708" s="111">
        <f t="shared" si="829"/>
        <v>9600</v>
      </c>
      <c r="AL3708" s="446">
        <f t="shared" si="830"/>
        <v>0</v>
      </c>
      <c r="AM3708" s="110">
        <f t="shared" si="831"/>
        <v>8</v>
      </c>
      <c r="AN3708" s="447">
        <f t="shared" si="821"/>
        <v>0</v>
      </c>
      <c r="AO3708"/>
      <c r="AP3708"/>
    </row>
    <row r="3709" spans="1:42" ht="66" x14ac:dyDescent="0.25">
      <c r="A3709" s="40"/>
      <c r="B3709" s="227" t="s">
        <v>1837</v>
      </c>
      <c r="C3709" s="1024"/>
      <c r="D3709" s="869">
        <v>2</v>
      </c>
      <c r="E3709" s="1027" t="s">
        <v>1767</v>
      </c>
      <c r="F3709" s="273" t="s">
        <v>3446</v>
      </c>
      <c r="G3709" s="1040" t="s">
        <v>3463</v>
      </c>
      <c r="H3709" s="273" t="s">
        <v>3462</v>
      </c>
      <c r="I3709" s="720">
        <f t="shared" si="826"/>
        <v>6000</v>
      </c>
      <c r="J3709" s="813">
        <v>12000</v>
      </c>
      <c r="K3709" s="131">
        <f t="shared" si="822"/>
        <v>12000</v>
      </c>
      <c r="L3709" s="335">
        <f t="shared" si="828"/>
        <v>0</v>
      </c>
      <c r="M3709" s="446"/>
      <c r="N3709" s="446"/>
      <c r="O3709" s="446"/>
      <c r="P3709" s="446"/>
      <c r="Q3709" s="130">
        <v>1</v>
      </c>
      <c r="R3709" s="111">
        <f t="shared" si="824"/>
        <v>3000</v>
      </c>
      <c r="S3709" s="110"/>
      <c r="T3709" s="110"/>
      <c r="U3709" s="130">
        <v>1</v>
      </c>
      <c r="V3709" s="111">
        <f t="shared" si="825"/>
        <v>3000</v>
      </c>
      <c r="W3709" s="110"/>
      <c r="X3709" s="110"/>
      <c r="Y3709" s="110"/>
      <c r="Z3709" s="110"/>
      <c r="AA3709" s="130">
        <v>0</v>
      </c>
      <c r="AB3709" s="111">
        <f t="shared" si="816"/>
        <v>3000</v>
      </c>
      <c r="AC3709" s="110"/>
      <c r="AD3709" s="110"/>
      <c r="AE3709" s="130">
        <v>0</v>
      </c>
      <c r="AF3709" s="111">
        <f t="shared" si="817"/>
        <v>3000</v>
      </c>
      <c r="AG3709" s="110"/>
      <c r="AH3709" s="110"/>
      <c r="AI3709" s="110"/>
      <c r="AJ3709" s="110"/>
      <c r="AK3709" s="111">
        <f t="shared" si="829"/>
        <v>12000</v>
      </c>
      <c r="AL3709" s="446">
        <f t="shared" si="830"/>
        <v>0</v>
      </c>
      <c r="AM3709" s="110">
        <f t="shared" si="831"/>
        <v>2</v>
      </c>
      <c r="AN3709" s="447">
        <f t="shared" si="821"/>
        <v>0</v>
      </c>
      <c r="AO3709"/>
      <c r="AP3709"/>
    </row>
    <row r="3710" spans="1:42" ht="66" x14ac:dyDescent="0.25">
      <c r="A3710" s="40"/>
      <c r="B3710" s="227" t="s">
        <v>1838</v>
      </c>
      <c r="C3710" s="1024"/>
      <c r="D3710" s="869">
        <v>2</v>
      </c>
      <c r="E3710" s="1027" t="s">
        <v>1767</v>
      </c>
      <c r="F3710" s="273" t="s">
        <v>3446</v>
      </c>
      <c r="G3710" s="1040" t="s">
        <v>3463</v>
      </c>
      <c r="H3710" s="273" t="s">
        <v>3462</v>
      </c>
      <c r="I3710" s="720">
        <f t="shared" si="826"/>
        <v>10000</v>
      </c>
      <c r="J3710" s="813">
        <v>20000</v>
      </c>
      <c r="K3710" s="131">
        <f t="shared" si="822"/>
        <v>20000</v>
      </c>
      <c r="L3710" s="335">
        <f t="shared" si="828"/>
        <v>0</v>
      </c>
      <c r="M3710" s="446"/>
      <c r="N3710" s="446"/>
      <c r="O3710" s="446"/>
      <c r="P3710" s="446"/>
      <c r="Q3710" s="130">
        <v>1</v>
      </c>
      <c r="R3710" s="111">
        <f t="shared" si="824"/>
        <v>5000</v>
      </c>
      <c r="S3710" s="110"/>
      <c r="T3710" s="110"/>
      <c r="U3710" s="130">
        <v>1</v>
      </c>
      <c r="V3710" s="111">
        <f t="shared" si="825"/>
        <v>5000</v>
      </c>
      <c r="W3710" s="110"/>
      <c r="X3710" s="110"/>
      <c r="Y3710" s="110"/>
      <c r="Z3710" s="110"/>
      <c r="AA3710" s="130">
        <v>0</v>
      </c>
      <c r="AB3710" s="111">
        <f t="shared" si="816"/>
        <v>5000</v>
      </c>
      <c r="AC3710" s="110"/>
      <c r="AD3710" s="110"/>
      <c r="AE3710" s="130">
        <v>0</v>
      </c>
      <c r="AF3710" s="111">
        <f t="shared" si="817"/>
        <v>5000</v>
      </c>
      <c r="AG3710" s="110"/>
      <c r="AH3710" s="110"/>
      <c r="AI3710" s="110"/>
      <c r="AJ3710" s="110"/>
      <c r="AK3710" s="111">
        <f t="shared" si="829"/>
        <v>20000</v>
      </c>
      <c r="AL3710" s="446">
        <f t="shared" si="830"/>
        <v>0</v>
      </c>
      <c r="AM3710" s="110">
        <f t="shared" si="831"/>
        <v>2</v>
      </c>
      <c r="AN3710" s="447">
        <f t="shared" si="821"/>
        <v>0</v>
      </c>
      <c r="AO3710"/>
      <c r="AP3710"/>
    </row>
    <row r="3711" spans="1:42" ht="66" x14ac:dyDescent="0.25">
      <c r="A3711" s="9"/>
      <c r="B3711" s="198" t="s">
        <v>1881</v>
      </c>
      <c r="C3711" s="1024"/>
      <c r="D3711" s="882">
        <v>1</v>
      </c>
      <c r="E3711" s="1025" t="s">
        <v>1755</v>
      </c>
      <c r="F3711" s="273" t="s">
        <v>3446</v>
      </c>
      <c r="G3711" s="1040" t="s">
        <v>3463</v>
      </c>
      <c r="H3711" s="273" t="s">
        <v>3462</v>
      </c>
      <c r="I3711" s="720">
        <f t="shared" si="826"/>
        <v>10801</v>
      </c>
      <c r="J3711" s="813">
        <v>10801</v>
      </c>
      <c r="K3711" s="131">
        <f t="shared" si="822"/>
        <v>10801</v>
      </c>
      <c r="L3711" s="335">
        <f t="shared" si="828"/>
        <v>0</v>
      </c>
      <c r="M3711" s="446"/>
      <c r="N3711" s="446"/>
      <c r="O3711" s="446"/>
      <c r="P3711" s="446"/>
      <c r="Q3711" s="110">
        <v>1</v>
      </c>
      <c r="R3711" s="111">
        <f t="shared" si="824"/>
        <v>2700.25</v>
      </c>
      <c r="S3711" s="110"/>
      <c r="T3711" s="110"/>
      <c r="U3711" s="110">
        <v>0</v>
      </c>
      <c r="V3711" s="111">
        <f t="shared" si="825"/>
        <v>2700.25</v>
      </c>
      <c r="W3711" s="110"/>
      <c r="X3711" s="110"/>
      <c r="Y3711" s="110"/>
      <c r="Z3711" s="110"/>
      <c r="AA3711" s="110">
        <v>0</v>
      </c>
      <c r="AB3711" s="111">
        <f t="shared" si="816"/>
        <v>2700.25</v>
      </c>
      <c r="AC3711" s="110"/>
      <c r="AD3711" s="110"/>
      <c r="AE3711" s="110">
        <v>0</v>
      </c>
      <c r="AF3711" s="111">
        <f t="shared" si="817"/>
        <v>2700.25</v>
      </c>
      <c r="AG3711" s="110"/>
      <c r="AH3711" s="110"/>
      <c r="AI3711" s="110"/>
      <c r="AJ3711" s="110"/>
      <c r="AK3711" s="111">
        <f t="shared" si="829"/>
        <v>10801</v>
      </c>
      <c r="AL3711" s="446">
        <f t="shared" si="830"/>
        <v>0</v>
      </c>
      <c r="AM3711" s="110">
        <f t="shared" si="831"/>
        <v>1</v>
      </c>
      <c r="AN3711" s="447">
        <f t="shared" si="821"/>
        <v>0</v>
      </c>
      <c r="AO3711"/>
      <c r="AP3711"/>
    </row>
    <row r="3712" spans="1:42" ht="66" x14ac:dyDescent="0.25">
      <c r="A3712" s="9"/>
      <c r="B3712" s="555" t="s">
        <v>2453</v>
      </c>
      <c r="C3712" s="1024"/>
      <c r="D3712" s="882">
        <v>3</v>
      </c>
      <c r="E3712" s="1025" t="s">
        <v>1749</v>
      </c>
      <c r="F3712" s="273" t="s">
        <v>3446</v>
      </c>
      <c r="G3712" s="1040" t="s">
        <v>3463</v>
      </c>
      <c r="H3712" s="273" t="s">
        <v>3462</v>
      </c>
      <c r="I3712" s="720">
        <f t="shared" si="826"/>
        <v>1500</v>
      </c>
      <c r="J3712" s="813">
        <v>4500</v>
      </c>
      <c r="K3712" s="131">
        <f t="shared" si="822"/>
        <v>4500</v>
      </c>
      <c r="L3712" s="335">
        <f t="shared" si="828"/>
        <v>0</v>
      </c>
      <c r="M3712" s="446"/>
      <c r="N3712" s="446"/>
      <c r="O3712" s="446"/>
      <c r="P3712" s="446"/>
      <c r="Q3712" s="130">
        <v>1</v>
      </c>
      <c r="R3712" s="111">
        <f t="shared" si="824"/>
        <v>1125</v>
      </c>
      <c r="S3712" s="110"/>
      <c r="T3712" s="110"/>
      <c r="U3712" s="130">
        <v>1</v>
      </c>
      <c r="V3712" s="111">
        <f t="shared" si="825"/>
        <v>1125</v>
      </c>
      <c r="W3712" s="110"/>
      <c r="X3712" s="110"/>
      <c r="Y3712" s="110"/>
      <c r="Z3712" s="110"/>
      <c r="AA3712" s="130">
        <v>1</v>
      </c>
      <c r="AB3712" s="111">
        <f t="shared" si="816"/>
        <v>1125</v>
      </c>
      <c r="AC3712" s="110"/>
      <c r="AD3712" s="110"/>
      <c r="AE3712" s="130">
        <v>0</v>
      </c>
      <c r="AF3712" s="111">
        <f t="shared" si="817"/>
        <v>1125</v>
      </c>
      <c r="AG3712" s="110"/>
      <c r="AH3712" s="110"/>
      <c r="AI3712" s="110"/>
      <c r="AJ3712" s="110"/>
      <c r="AK3712" s="111">
        <f t="shared" si="829"/>
        <v>4500</v>
      </c>
      <c r="AL3712" s="446">
        <f t="shared" si="830"/>
        <v>0</v>
      </c>
      <c r="AM3712" s="110">
        <f t="shared" si="831"/>
        <v>3</v>
      </c>
      <c r="AN3712" s="447">
        <f t="shared" si="821"/>
        <v>0</v>
      </c>
      <c r="AO3712"/>
      <c r="AP3712"/>
    </row>
    <row r="3713" spans="1:42" ht="66" x14ac:dyDescent="0.25">
      <c r="A3713" s="9"/>
      <c r="B3713" s="227" t="s">
        <v>2454</v>
      </c>
      <c r="C3713" s="1024"/>
      <c r="D3713" s="882">
        <v>1</v>
      </c>
      <c r="E3713" s="264" t="s">
        <v>1749</v>
      </c>
      <c r="F3713" s="273" t="s">
        <v>3446</v>
      </c>
      <c r="G3713" s="1040" t="s">
        <v>3463</v>
      </c>
      <c r="H3713" s="273" t="s">
        <v>3462</v>
      </c>
      <c r="I3713" s="720">
        <f t="shared" si="826"/>
        <v>600</v>
      </c>
      <c r="J3713" s="813">
        <v>600</v>
      </c>
      <c r="K3713" s="131">
        <f t="shared" si="822"/>
        <v>600</v>
      </c>
      <c r="L3713" s="335">
        <f t="shared" si="828"/>
        <v>0</v>
      </c>
      <c r="M3713" s="446"/>
      <c r="N3713" s="446"/>
      <c r="O3713" s="446"/>
      <c r="P3713" s="446"/>
      <c r="Q3713" s="110">
        <v>1</v>
      </c>
      <c r="R3713" s="111">
        <f t="shared" si="824"/>
        <v>150</v>
      </c>
      <c r="S3713" s="110"/>
      <c r="T3713" s="110"/>
      <c r="U3713" s="110">
        <v>0</v>
      </c>
      <c r="V3713" s="111">
        <f t="shared" si="825"/>
        <v>150</v>
      </c>
      <c r="W3713" s="110"/>
      <c r="X3713" s="110"/>
      <c r="Y3713" s="110"/>
      <c r="Z3713" s="110"/>
      <c r="AA3713" s="110">
        <v>0</v>
      </c>
      <c r="AB3713" s="111">
        <f t="shared" si="816"/>
        <v>150</v>
      </c>
      <c r="AC3713" s="110"/>
      <c r="AD3713" s="110"/>
      <c r="AE3713" s="110">
        <v>0</v>
      </c>
      <c r="AF3713" s="111">
        <f t="shared" si="817"/>
        <v>150</v>
      </c>
      <c r="AG3713" s="110"/>
      <c r="AH3713" s="110"/>
      <c r="AI3713" s="110"/>
      <c r="AJ3713" s="110"/>
      <c r="AK3713" s="111">
        <f t="shared" si="829"/>
        <v>600</v>
      </c>
      <c r="AL3713" s="446">
        <f t="shared" si="830"/>
        <v>0</v>
      </c>
      <c r="AM3713" s="110">
        <f t="shared" si="831"/>
        <v>1</v>
      </c>
      <c r="AN3713" s="447">
        <f t="shared" si="821"/>
        <v>0</v>
      </c>
      <c r="AO3713"/>
      <c r="AP3713"/>
    </row>
    <row r="3714" spans="1:42" ht="66" x14ac:dyDescent="0.25">
      <c r="A3714" s="9"/>
      <c r="B3714" s="227" t="s">
        <v>2455</v>
      </c>
      <c r="C3714" s="1024"/>
      <c r="D3714" s="882">
        <v>1000</v>
      </c>
      <c r="E3714" s="264" t="s">
        <v>1749</v>
      </c>
      <c r="F3714" s="273" t="s">
        <v>3446</v>
      </c>
      <c r="G3714" s="1040" t="s">
        <v>3463</v>
      </c>
      <c r="H3714" s="273" t="s">
        <v>3462</v>
      </c>
      <c r="I3714" s="720">
        <f t="shared" si="826"/>
        <v>8</v>
      </c>
      <c r="J3714" s="813">
        <v>8000</v>
      </c>
      <c r="K3714" s="131">
        <f t="shared" si="822"/>
        <v>8000</v>
      </c>
      <c r="L3714" s="335">
        <f t="shared" si="828"/>
        <v>0</v>
      </c>
      <c r="M3714" s="446"/>
      <c r="N3714" s="446"/>
      <c r="O3714" s="446"/>
      <c r="P3714" s="446"/>
      <c r="Q3714" s="110">
        <f t="shared" si="818"/>
        <v>250</v>
      </c>
      <c r="R3714" s="111">
        <f t="shared" si="824"/>
        <v>2000</v>
      </c>
      <c r="S3714" s="110"/>
      <c r="T3714" s="110"/>
      <c r="U3714" s="110">
        <f t="shared" si="819"/>
        <v>250</v>
      </c>
      <c r="V3714" s="111">
        <f t="shared" si="825"/>
        <v>2000</v>
      </c>
      <c r="W3714" s="110"/>
      <c r="X3714" s="110"/>
      <c r="Y3714" s="110"/>
      <c r="Z3714" s="110"/>
      <c r="AA3714" s="110">
        <f t="shared" si="827"/>
        <v>250</v>
      </c>
      <c r="AB3714" s="111">
        <f t="shared" si="816"/>
        <v>2000</v>
      </c>
      <c r="AC3714" s="110"/>
      <c r="AD3714" s="110"/>
      <c r="AE3714" s="110">
        <f t="shared" si="827"/>
        <v>250</v>
      </c>
      <c r="AF3714" s="111">
        <f t="shared" si="817"/>
        <v>2000</v>
      </c>
      <c r="AG3714" s="110"/>
      <c r="AH3714" s="110"/>
      <c r="AI3714" s="110"/>
      <c r="AJ3714" s="110"/>
      <c r="AK3714" s="111">
        <f t="shared" si="829"/>
        <v>8000</v>
      </c>
      <c r="AL3714" s="446">
        <f t="shared" si="830"/>
        <v>0</v>
      </c>
      <c r="AM3714" s="110">
        <f t="shared" si="831"/>
        <v>1000</v>
      </c>
      <c r="AN3714" s="447">
        <f t="shared" si="821"/>
        <v>0</v>
      </c>
      <c r="AO3714"/>
      <c r="AP3714"/>
    </row>
    <row r="3715" spans="1:42" ht="66" x14ac:dyDescent="0.25">
      <c r="A3715" s="9"/>
      <c r="B3715" s="227" t="s">
        <v>2456</v>
      </c>
      <c r="C3715" s="1024"/>
      <c r="D3715" s="882">
        <v>1000</v>
      </c>
      <c r="E3715" s="264" t="s">
        <v>1749</v>
      </c>
      <c r="F3715" s="273" t="s">
        <v>3446</v>
      </c>
      <c r="G3715" s="1040" t="s">
        <v>3463</v>
      </c>
      <c r="H3715" s="273" t="s">
        <v>3462</v>
      </c>
      <c r="I3715" s="720">
        <f t="shared" si="826"/>
        <v>8</v>
      </c>
      <c r="J3715" s="813">
        <v>8000</v>
      </c>
      <c r="K3715" s="131">
        <f t="shared" si="822"/>
        <v>8000</v>
      </c>
      <c r="L3715" s="335">
        <f t="shared" si="828"/>
        <v>0</v>
      </c>
      <c r="M3715" s="446"/>
      <c r="N3715" s="446"/>
      <c r="O3715" s="446"/>
      <c r="P3715" s="446"/>
      <c r="Q3715" s="110">
        <f t="shared" si="818"/>
        <v>250</v>
      </c>
      <c r="R3715" s="111">
        <f t="shared" si="824"/>
        <v>2000</v>
      </c>
      <c r="S3715" s="110"/>
      <c r="T3715" s="110"/>
      <c r="U3715" s="110">
        <f t="shared" si="819"/>
        <v>250</v>
      </c>
      <c r="V3715" s="111">
        <f t="shared" si="825"/>
        <v>2000</v>
      </c>
      <c r="W3715" s="110"/>
      <c r="X3715" s="110"/>
      <c r="Y3715" s="110"/>
      <c r="Z3715" s="110"/>
      <c r="AA3715" s="110">
        <f t="shared" si="827"/>
        <v>250</v>
      </c>
      <c r="AB3715" s="111">
        <f t="shared" si="816"/>
        <v>2000</v>
      </c>
      <c r="AC3715" s="110"/>
      <c r="AD3715" s="110"/>
      <c r="AE3715" s="110">
        <f t="shared" si="827"/>
        <v>250</v>
      </c>
      <c r="AF3715" s="111">
        <f t="shared" si="817"/>
        <v>2000</v>
      </c>
      <c r="AG3715" s="110"/>
      <c r="AH3715" s="110"/>
      <c r="AI3715" s="110"/>
      <c r="AJ3715" s="110"/>
      <c r="AK3715" s="111">
        <f t="shared" si="829"/>
        <v>8000</v>
      </c>
      <c r="AL3715" s="446">
        <f t="shared" si="830"/>
        <v>0</v>
      </c>
      <c r="AM3715" s="110">
        <f t="shared" si="831"/>
        <v>1000</v>
      </c>
      <c r="AN3715" s="447">
        <f t="shared" si="821"/>
        <v>0</v>
      </c>
      <c r="AO3715"/>
      <c r="AP3715"/>
    </row>
    <row r="3716" spans="1:42" ht="66" x14ac:dyDescent="0.25">
      <c r="A3716" s="9"/>
      <c r="B3716" s="198" t="s">
        <v>2528</v>
      </c>
      <c r="C3716" s="1024"/>
      <c r="D3716" s="882">
        <v>128</v>
      </c>
      <c r="E3716" s="1025" t="s">
        <v>1749</v>
      </c>
      <c r="F3716" s="273" t="s">
        <v>3446</v>
      </c>
      <c r="G3716" s="1040" t="s">
        <v>3463</v>
      </c>
      <c r="H3716" s="273" t="s">
        <v>3462</v>
      </c>
      <c r="I3716" s="720">
        <f t="shared" si="826"/>
        <v>130</v>
      </c>
      <c r="J3716" s="813">
        <v>16640</v>
      </c>
      <c r="K3716" s="131">
        <f t="shared" si="822"/>
        <v>16640</v>
      </c>
      <c r="L3716" s="335">
        <f t="shared" si="828"/>
        <v>0</v>
      </c>
      <c r="M3716" s="446"/>
      <c r="N3716" s="446"/>
      <c r="O3716" s="446"/>
      <c r="P3716" s="446"/>
      <c r="Q3716" s="110">
        <v>50</v>
      </c>
      <c r="R3716" s="111">
        <f t="shared" si="824"/>
        <v>4160</v>
      </c>
      <c r="S3716" s="110"/>
      <c r="T3716" s="110"/>
      <c r="U3716" s="110">
        <v>50</v>
      </c>
      <c r="V3716" s="111">
        <f t="shared" si="825"/>
        <v>4160</v>
      </c>
      <c r="W3716" s="110"/>
      <c r="X3716" s="110"/>
      <c r="Y3716" s="110"/>
      <c r="Z3716" s="110"/>
      <c r="AA3716" s="110">
        <v>28</v>
      </c>
      <c r="AB3716" s="111">
        <f t="shared" si="816"/>
        <v>4160</v>
      </c>
      <c r="AC3716" s="110"/>
      <c r="AD3716" s="110"/>
      <c r="AE3716" s="110">
        <v>0</v>
      </c>
      <c r="AF3716" s="111">
        <f t="shared" si="817"/>
        <v>4160</v>
      </c>
      <c r="AG3716" s="110"/>
      <c r="AH3716" s="110"/>
      <c r="AI3716" s="110"/>
      <c r="AJ3716" s="110"/>
      <c r="AK3716" s="111">
        <f t="shared" si="829"/>
        <v>16640</v>
      </c>
      <c r="AL3716" s="446">
        <f t="shared" si="830"/>
        <v>0</v>
      </c>
      <c r="AM3716" s="110">
        <f t="shared" si="831"/>
        <v>128</v>
      </c>
      <c r="AN3716" s="447">
        <f t="shared" si="821"/>
        <v>0</v>
      </c>
      <c r="AO3716"/>
      <c r="AP3716"/>
    </row>
    <row r="3717" spans="1:42" ht="66" x14ac:dyDescent="0.25">
      <c r="A3717" s="9"/>
      <c r="B3717" s="150" t="s">
        <v>3436</v>
      </c>
      <c r="C3717" s="1024"/>
      <c r="D3717" s="907">
        <v>2</v>
      </c>
      <c r="E3717" s="1025" t="s">
        <v>1755</v>
      </c>
      <c r="F3717" s="273" t="s">
        <v>3446</v>
      </c>
      <c r="G3717" s="1040" t="s">
        <v>3463</v>
      </c>
      <c r="H3717" s="273" t="s">
        <v>3462</v>
      </c>
      <c r="I3717" s="720">
        <v>450</v>
      </c>
      <c r="J3717" s="813">
        <v>900</v>
      </c>
      <c r="K3717" s="131">
        <f t="shared" si="822"/>
        <v>900</v>
      </c>
      <c r="L3717" s="335"/>
      <c r="M3717" s="446"/>
      <c r="N3717" s="446"/>
      <c r="O3717" s="446"/>
      <c r="P3717" s="446"/>
      <c r="Q3717" s="130">
        <v>1</v>
      </c>
      <c r="R3717" s="111">
        <f t="shared" si="824"/>
        <v>225</v>
      </c>
      <c r="S3717" s="110"/>
      <c r="T3717" s="110"/>
      <c r="U3717" s="130">
        <v>1</v>
      </c>
      <c r="V3717" s="111">
        <f t="shared" si="825"/>
        <v>225</v>
      </c>
      <c r="W3717" s="110"/>
      <c r="X3717" s="110"/>
      <c r="Y3717" s="110"/>
      <c r="Z3717" s="110"/>
      <c r="AA3717" s="130">
        <v>0</v>
      </c>
      <c r="AB3717" s="111">
        <f t="shared" si="816"/>
        <v>225</v>
      </c>
      <c r="AC3717" s="110"/>
      <c r="AD3717" s="110"/>
      <c r="AE3717" s="130">
        <v>0</v>
      </c>
      <c r="AF3717" s="111">
        <f t="shared" si="817"/>
        <v>225</v>
      </c>
      <c r="AG3717" s="110"/>
      <c r="AH3717" s="110"/>
      <c r="AI3717" s="110"/>
      <c r="AJ3717" s="110"/>
      <c r="AK3717" s="111">
        <f t="shared" si="829"/>
        <v>900</v>
      </c>
      <c r="AL3717" s="446">
        <f t="shared" si="830"/>
        <v>0</v>
      </c>
      <c r="AM3717" s="110">
        <f t="shared" si="831"/>
        <v>2</v>
      </c>
      <c r="AN3717" s="447">
        <f t="shared" si="821"/>
        <v>0</v>
      </c>
      <c r="AO3717"/>
      <c r="AP3717"/>
    </row>
    <row r="3718" spans="1:42" ht="66" x14ac:dyDescent="0.25">
      <c r="A3718" s="9"/>
      <c r="B3718" s="150" t="s">
        <v>3437</v>
      </c>
      <c r="C3718" s="1024"/>
      <c r="D3718" s="907">
        <v>2</v>
      </c>
      <c r="E3718" s="1025" t="s">
        <v>1755</v>
      </c>
      <c r="F3718" s="273" t="s">
        <v>3446</v>
      </c>
      <c r="G3718" s="1040" t="s">
        <v>3463</v>
      </c>
      <c r="H3718" s="273" t="s">
        <v>3462</v>
      </c>
      <c r="I3718" s="720">
        <v>180</v>
      </c>
      <c r="J3718" s="813">
        <v>360</v>
      </c>
      <c r="K3718" s="131">
        <f t="shared" si="822"/>
        <v>360</v>
      </c>
      <c r="L3718" s="335"/>
      <c r="M3718" s="446"/>
      <c r="N3718" s="446"/>
      <c r="O3718" s="446"/>
      <c r="P3718" s="446"/>
      <c r="Q3718" s="130">
        <v>1</v>
      </c>
      <c r="R3718" s="111">
        <f t="shared" si="824"/>
        <v>90</v>
      </c>
      <c r="S3718" s="110"/>
      <c r="T3718" s="110"/>
      <c r="U3718" s="130">
        <v>1</v>
      </c>
      <c r="V3718" s="111">
        <f t="shared" si="825"/>
        <v>90</v>
      </c>
      <c r="W3718" s="110"/>
      <c r="X3718" s="110"/>
      <c r="Y3718" s="110"/>
      <c r="Z3718" s="110"/>
      <c r="AA3718" s="130">
        <v>0</v>
      </c>
      <c r="AB3718" s="111">
        <f t="shared" si="816"/>
        <v>90</v>
      </c>
      <c r="AC3718" s="110"/>
      <c r="AD3718" s="110"/>
      <c r="AE3718" s="130">
        <v>0</v>
      </c>
      <c r="AF3718" s="111">
        <f t="shared" si="817"/>
        <v>90</v>
      </c>
      <c r="AG3718" s="110"/>
      <c r="AH3718" s="110"/>
      <c r="AI3718" s="110"/>
      <c r="AJ3718" s="110"/>
      <c r="AK3718" s="111">
        <f t="shared" si="829"/>
        <v>360</v>
      </c>
      <c r="AL3718" s="446">
        <f t="shared" si="830"/>
        <v>0</v>
      </c>
      <c r="AM3718" s="110">
        <f t="shared" si="831"/>
        <v>2</v>
      </c>
      <c r="AN3718" s="447">
        <f t="shared" si="821"/>
        <v>0</v>
      </c>
      <c r="AO3718"/>
      <c r="AP3718"/>
    </row>
    <row r="3719" spans="1:42" ht="66" x14ac:dyDescent="0.25">
      <c r="A3719" s="368"/>
      <c r="B3719" s="594" t="s">
        <v>3438</v>
      </c>
      <c r="C3719" s="31"/>
      <c r="D3719" s="944">
        <v>2</v>
      </c>
      <c r="E3719" s="29" t="s">
        <v>1755</v>
      </c>
      <c r="F3719" s="273" t="s">
        <v>3446</v>
      </c>
      <c r="G3719" s="1040" t="s">
        <v>3463</v>
      </c>
      <c r="H3719" s="273" t="s">
        <v>3462</v>
      </c>
      <c r="I3719" s="731">
        <v>589.20000000000005</v>
      </c>
      <c r="J3719" s="829">
        <v>1178.4000000000001</v>
      </c>
      <c r="K3719" s="131">
        <f t="shared" si="822"/>
        <v>1178.4000000000001</v>
      </c>
      <c r="L3719" s="335"/>
      <c r="M3719" s="446"/>
      <c r="N3719" s="446"/>
      <c r="O3719" s="446"/>
      <c r="P3719" s="446"/>
      <c r="Q3719" s="130">
        <v>1</v>
      </c>
      <c r="R3719" s="111">
        <f t="shared" si="824"/>
        <v>294.60000000000002</v>
      </c>
      <c r="S3719" s="110"/>
      <c r="T3719" s="110"/>
      <c r="U3719" s="130">
        <v>1</v>
      </c>
      <c r="V3719" s="111">
        <f t="shared" si="825"/>
        <v>294.60000000000002</v>
      </c>
      <c r="W3719" s="110"/>
      <c r="X3719" s="110"/>
      <c r="Y3719" s="110"/>
      <c r="Z3719" s="110"/>
      <c r="AA3719" s="130">
        <v>0</v>
      </c>
      <c r="AB3719" s="111">
        <f t="shared" ref="AB3719:AB3784" si="832">+J3719/4</f>
        <v>294.60000000000002</v>
      </c>
      <c r="AC3719" s="110"/>
      <c r="AD3719" s="110"/>
      <c r="AE3719" s="130">
        <v>0</v>
      </c>
      <c r="AF3719" s="111">
        <f t="shared" ref="AF3719:AF3764" si="833">+J3719/4</f>
        <v>294.60000000000002</v>
      </c>
      <c r="AG3719" s="110"/>
      <c r="AH3719" s="110"/>
      <c r="AI3719" s="110"/>
      <c r="AJ3719" s="110"/>
      <c r="AK3719" s="111">
        <f t="shared" si="829"/>
        <v>1178.4000000000001</v>
      </c>
      <c r="AL3719" s="446">
        <f t="shared" si="830"/>
        <v>0</v>
      </c>
      <c r="AM3719" s="110">
        <f t="shared" si="831"/>
        <v>2</v>
      </c>
      <c r="AN3719" s="447">
        <f t="shared" si="821"/>
        <v>0</v>
      </c>
      <c r="AO3719"/>
      <c r="AP3719"/>
    </row>
    <row r="3720" spans="1:42" x14ac:dyDescent="0.25">
      <c r="A3720" s="1021">
        <v>337</v>
      </c>
      <c r="B3720" s="595" t="s">
        <v>854</v>
      </c>
      <c r="C3720" s="1021"/>
      <c r="D3720" s="934"/>
      <c r="E3720" s="342"/>
      <c r="F3720" s="362"/>
      <c r="G3720" s="362"/>
      <c r="H3720" s="362"/>
      <c r="I3720" s="737"/>
      <c r="J3720" s="830"/>
      <c r="K3720" s="131">
        <f t="shared" si="822"/>
        <v>0</v>
      </c>
      <c r="L3720" s="335">
        <f t="shared" si="828"/>
        <v>0</v>
      </c>
      <c r="M3720" s="414"/>
      <c r="N3720" s="414"/>
      <c r="O3720" s="414"/>
      <c r="P3720" s="414"/>
      <c r="Q3720" s="413">
        <f t="shared" si="818"/>
        <v>0</v>
      </c>
      <c r="R3720" s="345">
        <f t="shared" si="824"/>
        <v>0</v>
      </c>
      <c r="S3720" s="413"/>
      <c r="T3720" s="413"/>
      <c r="U3720" s="413">
        <f t="shared" si="819"/>
        <v>0</v>
      </c>
      <c r="V3720" s="345">
        <f t="shared" si="825"/>
        <v>0</v>
      </c>
      <c r="W3720" s="413"/>
      <c r="X3720" s="413"/>
      <c r="Y3720" s="413"/>
      <c r="Z3720" s="413"/>
      <c r="AA3720" s="413">
        <f t="shared" si="827"/>
        <v>0</v>
      </c>
      <c r="AB3720" s="345">
        <f t="shared" si="832"/>
        <v>0</v>
      </c>
      <c r="AC3720" s="413"/>
      <c r="AD3720" s="413"/>
      <c r="AE3720" s="413">
        <f t="shared" si="827"/>
        <v>0</v>
      </c>
      <c r="AF3720" s="345">
        <f t="shared" si="833"/>
        <v>0</v>
      </c>
      <c r="AG3720" s="413"/>
      <c r="AH3720" s="413"/>
      <c r="AI3720" s="413"/>
      <c r="AJ3720" s="413"/>
      <c r="AK3720" s="345">
        <f t="shared" si="829"/>
        <v>0</v>
      </c>
      <c r="AL3720" s="414">
        <f t="shared" si="830"/>
        <v>0</v>
      </c>
      <c r="AM3720" s="413">
        <f t="shared" si="831"/>
        <v>0</v>
      </c>
      <c r="AN3720" s="415">
        <f t="shared" si="821"/>
        <v>0</v>
      </c>
      <c r="AO3720" s="444"/>
      <c r="AP3720"/>
    </row>
    <row r="3721" spans="1:42" x14ac:dyDescent="0.25">
      <c r="A3721" s="310">
        <v>33701</v>
      </c>
      <c r="B3721" s="375" t="s">
        <v>855</v>
      </c>
      <c r="C3721" s="311"/>
      <c r="D3721" s="902"/>
      <c r="E3721" s="311"/>
      <c r="F3721" s="371"/>
      <c r="G3721" s="371"/>
      <c r="H3721" s="371"/>
      <c r="I3721" s="729"/>
      <c r="J3721" s="818"/>
      <c r="K3721" s="131">
        <f t="shared" si="822"/>
        <v>0</v>
      </c>
      <c r="L3721" s="335">
        <f t="shared" si="828"/>
        <v>0</v>
      </c>
      <c r="M3721" s="421"/>
      <c r="N3721" s="421"/>
      <c r="O3721" s="421"/>
      <c r="P3721" s="421"/>
      <c r="Q3721" s="387">
        <f t="shared" ref="Q3721:Q3780" si="834">+$D3721/4</f>
        <v>0</v>
      </c>
      <c r="R3721" s="314">
        <f t="shared" si="824"/>
        <v>0</v>
      </c>
      <c r="S3721" s="387"/>
      <c r="T3721" s="387"/>
      <c r="U3721" s="387">
        <f t="shared" ref="U3721:U3780" si="835">+$D3721/4</f>
        <v>0</v>
      </c>
      <c r="V3721" s="314">
        <f t="shared" si="825"/>
        <v>0</v>
      </c>
      <c r="W3721" s="387"/>
      <c r="X3721" s="387"/>
      <c r="Y3721" s="387"/>
      <c r="Z3721" s="387"/>
      <c r="AA3721" s="387">
        <f t="shared" si="827"/>
        <v>0</v>
      </c>
      <c r="AB3721" s="314">
        <f t="shared" si="832"/>
        <v>0</v>
      </c>
      <c r="AC3721" s="387"/>
      <c r="AD3721" s="387"/>
      <c r="AE3721" s="387">
        <f t="shared" si="827"/>
        <v>0</v>
      </c>
      <c r="AF3721" s="314">
        <f t="shared" si="833"/>
        <v>0</v>
      </c>
      <c r="AG3721" s="387"/>
      <c r="AH3721" s="387"/>
      <c r="AI3721" s="387"/>
      <c r="AJ3721" s="387"/>
      <c r="AK3721" s="314">
        <f t="shared" si="829"/>
        <v>0</v>
      </c>
      <c r="AL3721" s="421">
        <f t="shared" si="830"/>
        <v>0</v>
      </c>
      <c r="AM3721" s="387">
        <f t="shared" si="831"/>
        <v>0</v>
      </c>
      <c r="AN3721" s="422">
        <f t="shared" si="821"/>
        <v>0</v>
      </c>
      <c r="AO3721" s="443"/>
      <c r="AP3721"/>
    </row>
    <row r="3722" spans="1:42" x14ac:dyDescent="0.25">
      <c r="A3722" s="429"/>
      <c r="B3722" s="596"/>
      <c r="C3722" s="675"/>
      <c r="D3722" s="945"/>
      <c r="E3722" s="431"/>
      <c r="F3722" s="432"/>
      <c r="G3722" s="432"/>
      <c r="H3722" s="432"/>
      <c r="I3722" s="740"/>
      <c r="J3722" s="828"/>
      <c r="K3722" s="131">
        <f t="shared" si="822"/>
        <v>0</v>
      </c>
      <c r="L3722" s="335">
        <f t="shared" si="828"/>
        <v>0</v>
      </c>
      <c r="M3722" s="446"/>
      <c r="N3722" s="446"/>
      <c r="O3722" s="446"/>
      <c r="P3722" s="446"/>
      <c r="Q3722" s="110">
        <f t="shared" si="834"/>
        <v>0</v>
      </c>
      <c r="R3722" s="111">
        <f t="shared" si="824"/>
        <v>0</v>
      </c>
      <c r="S3722" s="110"/>
      <c r="T3722" s="110"/>
      <c r="U3722" s="110">
        <f t="shared" si="835"/>
        <v>0</v>
      </c>
      <c r="V3722" s="111">
        <f t="shared" si="825"/>
        <v>0</v>
      </c>
      <c r="W3722" s="110"/>
      <c r="X3722" s="110"/>
      <c r="Y3722" s="110"/>
      <c r="Z3722" s="110"/>
      <c r="AA3722" s="110">
        <f t="shared" si="827"/>
        <v>0</v>
      </c>
      <c r="AB3722" s="111">
        <f t="shared" si="832"/>
        <v>0</v>
      </c>
      <c r="AC3722" s="110"/>
      <c r="AD3722" s="110"/>
      <c r="AE3722" s="110">
        <f t="shared" si="827"/>
        <v>0</v>
      </c>
      <c r="AF3722" s="111">
        <f t="shared" si="833"/>
        <v>0</v>
      </c>
      <c r="AG3722" s="110"/>
      <c r="AH3722" s="110"/>
      <c r="AI3722" s="110"/>
      <c r="AJ3722" s="110"/>
      <c r="AK3722" s="111">
        <f t="shared" si="829"/>
        <v>0</v>
      </c>
      <c r="AL3722" s="446">
        <f t="shared" si="830"/>
        <v>0</v>
      </c>
      <c r="AM3722" s="110">
        <f t="shared" si="831"/>
        <v>0</v>
      </c>
      <c r="AN3722" s="447">
        <f t="shared" si="821"/>
        <v>0</v>
      </c>
      <c r="AO3722"/>
      <c r="AP3722"/>
    </row>
    <row r="3723" spans="1:42" x14ac:dyDescent="0.25">
      <c r="A3723" s="376">
        <v>338</v>
      </c>
      <c r="B3723" s="588" t="s">
        <v>856</v>
      </c>
      <c r="C3723" s="376"/>
      <c r="D3723" s="940"/>
      <c r="E3723" s="416"/>
      <c r="F3723" s="417"/>
      <c r="G3723" s="417"/>
      <c r="H3723" s="417"/>
      <c r="I3723" s="734"/>
      <c r="J3723" s="822"/>
      <c r="K3723" s="131">
        <f t="shared" si="822"/>
        <v>0</v>
      </c>
      <c r="L3723" s="335">
        <f t="shared" si="828"/>
        <v>0</v>
      </c>
      <c r="M3723" s="419"/>
      <c r="N3723" s="419"/>
      <c r="O3723" s="419"/>
      <c r="P3723" s="419"/>
      <c r="Q3723" s="418">
        <f t="shared" si="834"/>
        <v>0</v>
      </c>
      <c r="R3723" s="379">
        <f t="shared" si="824"/>
        <v>0</v>
      </c>
      <c r="S3723" s="418"/>
      <c r="T3723" s="418"/>
      <c r="U3723" s="418">
        <f t="shared" si="835"/>
        <v>0</v>
      </c>
      <c r="V3723" s="379">
        <f t="shared" si="825"/>
        <v>0</v>
      </c>
      <c r="W3723" s="418"/>
      <c r="X3723" s="418"/>
      <c r="Y3723" s="418"/>
      <c r="Z3723" s="418"/>
      <c r="AA3723" s="418">
        <f t="shared" si="827"/>
        <v>0</v>
      </c>
      <c r="AB3723" s="379">
        <f t="shared" si="832"/>
        <v>0</v>
      </c>
      <c r="AC3723" s="418"/>
      <c r="AD3723" s="418"/>
      <c r="AE3723" s="418">
        <f t="shared" si="827"/>
        <v>0</v>
      </c>
      <c r="AF3723" s="379">
        <f t="shared" si="833"/>
        <v>0</v>
      </c>
      <c r="AG3723" s="418"/>
      <c r="AH3723" s="418"/>
      <c r="AI3723" s="418"/>
      <c r="AJ3723" s="418"/>
      <c r="AK3723" s="379">
        <f t="shared" si="829"/>
        <v>0</v>
      </c>
      <c r="AL3723" s="419">
        <f t="shared" si="830"/>
        <v>0</v>
      </c>
      <c r="AM3723" s="418">
        <f t="shared" si="831"/>
        <v>0</v>
      </c>
      <c r="AN3723" s="420">
        <f t="shared" si="821"/>
        <v>0</v>
      </c>
      <c r="AO3723" s="442"/>
      <c r="AP3723"/>
    </row>
    <row r="3724" spans="1:42" x14ac:dyDescent="0.25">
      <c r="A3724" s="408">
        <v>33801</v>
      </c>
      <c r="B3724" s="409" t="s">
        <v>856</v>
      </c>
      <c r="C3724" s="410"/>
      <c r="D3724" s="946"/>
      <c r="E3724" s="411"/>
      <c r="F3724" s="412"/>
      <c r="G3724" s="412"/>
      <c r="H3724" s="412"/>
      <c r="I3724" s="744"/>
      <c r="J3724" s="831"/>
      <c r="K3724" s="131">
        <f t="shared" si="822"/>
        <v>0</v>
      </c>
      <c r="L3724" s="335">
        <f t="shared" si="828"/>
        <v>0</v>
      </c>
      <c r="M3724" s="421"/>
      <c r="N3724" s="421"/>
      <c r="O3724" s="421"/>
      <c r="P3724" s="421"/>
      <c r="Q3724" s="387">
        <f t="shared" si="834"/>
        <v>0</v>
      </c>
      <c r="R3724" s="314">
        <f t="shared" si="824"/>
        <v>0</v>
      </c>
      <c r="S3724" s="387"/>
      <c r="T3724" s="387"/>
      <c r="U3724" s="387">
        <f t="shared" si="835"/>
        <v>0</v>
      </c>
      <c r="V3724" s="314">
        <f t="shared" si="825"/>
        <v>0</v>
      </c>
      <c r="W3724" s="387"/>
      <c r="X3724" s="387"/>
      <c r="Y3724" s="387"/>
      <c r="Z3724" s="387"/>
      <c r="AA3724" s="387">
        <f t="shared" si="827"/>
        <v>0</v>
      </c>
      <c r="AB3724" s="314">
        <f t="shared" si="832"/>
        <v>0</v>
      </c>
      <c r="AC3724" s="387"/>
      <c r="AD3724" s="387"/>
      <c r="AE3724" s="387">
        <f t="shared" si="827"/>
        <v>0</v>
      </c>
      <c r="AF3724" s="314">
        <f t="shared" si="833"/>
        <v>0</v>
      </c>
      <c r="AG3724" s="387"/>
      <c r="AH3724" s="387"/>
      <c r="AI3724" s="387"/>
      <c r="AJ3724" s="387"/>
      <c r="AK3724" s="314">
        <f t="shared" si="829"/>
        <v>0</v>
      </c>
      <c r="AL3724" s="421">
        <f t="shared" si="830"/>
        <v>0</v>
      </c>
      <c r="AM3724" s="387">
        <f t="shared" si="831"/>
        <v>0</v>
      </c>
      <c r="AN3724" s="422">
        <f t="shared" si="821"/>
        <v>0</v>
      </c>
      <c r="AO3724" s="188"/>
      <c r="AP3724"/>
    </row>
    <row r="3725" spans="1:42" x14ac:dyDescent="0.25">
      <c r="A3725" s="60"/>
      <c r="B3725" s="146"/>
      <c r="C3725" s="9"/>
      <c r="D3725" s="882"/>
      <c r="E3725" s="1025"/>
      <c r="F3725" s="271"/>
      <c r="G3725" s="271"/>
      <c r="H3725" s="271"/>
      <c r="I3725" s="720"/>
      <c r="J3725" s="816"/>
      <c r="K3725" s="131">
        <f t="shared" si="822"/>
        <v>0</v>
      </c>
      <c r="L3725" s="335">
        <f t="shared" si="828"/>
        <v>0</v>
      </c>
      <c r="M3725" s="446"/>
      <c r="N3725" s="446"/>
      <c r="O3725" s="446"/>
      <c r="P3725" s="446"/>
      <c r="Q3725" s="110">
        <f t="shared" si="834"/>
        <v>0</v>
      </c>
      <c r="R3725" s="111">
        <f t="shared" si="824"/>
        <v>0</v>
      </c>
      <c r="S3725" s="110"/>
      <c r="T3725" s="110"/>
      <c r="U3725" s="110">
        <f t="shared" si="835"/>
        <v>0</v>
      </c>
      <c r="V3725" s="111">
        <f t="shared" si="825"/>
        <v>0</v>
      </c>
      <c r="W3725" s="110"/>
      <c r="X3725" s="110"/>
      <c r="Y3725" s="110"/>
      <c r="Z3725" s="110"/>
      <c r="AA3725" s="110">
        <f t="shared" si="827"/>
        <v>0</v>
      </c>
      <c r="AB3725" s="111">
        <f t="shared" si="832"/>
        <v>0</v>
      </c>
      <c r="AC3725" s="110"/>
      <c r="AD3725" s="110"/>
      <c r="AE3725" s="110">
        <f t="shared" si="827"/>
        <v>0</v>
      </c>
      <c r="AF3725" s="111">
        <f t="shared" si="833"/>
        <v>0</v>
      </c>
      <c r="AG3725" s="110"/>
      <c r="AH3725" s="110"/>
      <c r="AI3725" s="110"/>
      <c r="AJ3725" s="110"/>
      <c r="AK3725" s="111">
        <f t="shared" si="829"/>
        <v>0</v>
      </c>
      <c r="AL3725" s="446">
        <f t="shared" si="830"/>
        <v>0</v>
      </c>
      <c r="AM3725" s="110">
        <f t="shared" si="831"/>
        <v>0</v>
      </c>
      <c r="AN3725" s="447">
        <f t="shared" si="821"/>
        <v>0</v>
      </c>
      <c r="AO3725"/>
      <c r="AP3725"/>
    </row>
    <row r="3726" spans="1:42" x14ac:dyDescent="0.25">
      <c r="A3726" s="376">
        <v>339</v>
      </c>
      <c r="B3726" s="588" t="s">
        <v>857</v>
      </c>
      <c r="C3726" s="376"/>
      <c r="D3726" s="940"/>
      <c r="E3726" s="377"/>
      <c r="F3726" s="378"/>
      <c r="G3726" s="378"/>
      <c r="H3726" s="378"/>
      <c r="I3726" s="734"/>
      <c r="J3726" s="806"/>
      <c r="K3726" s="131">
        <f t="shared" si="822"/>
        <v>0</v>
      </c>
      <c r="L3726" s="335">
        <f t="shared" si="828"/>
        <v>0</v>
      </c>
      <c r="M3726" s="419"/>
      <c r="N3726" s="419"/>
      <c r="O3726" s="419"/>
      <c r="P3726" s="419"/>
      <c r="Q3726" s="418">
        <f t="shared" si="834"/>
        <v>0</v>
      </c>
      <c r="R3726" s="379">
        <f t="shared" si="824"/>
        <v>0</v>
      </c>
      <c r="S3726" s="418"/>
      <c r="T3726" s="418"/>
      <c r="U3726" s="418">
        <f t="shared" si="835"/>
        <v>0</v>
      </c>
      <c r="V3726" s="379">
        <f t="shared" si="825"/>
        <v>0</v>
      </c>
      <c r="W3726" s="418"/>
      <c r="X3726" s="418"/>
      <c r="Y3726" s="418"/>
      <c r="Z3726" s="418"/>
      <c r="AA3726" s="418">
        <f t="shared" si="827"/>
        <v>0</v>
      </c>
      <c r="AB3726" s="379">
        <f t="shared" si="832"/>
        <v>0</v>
      </c>
      <c r="AC3726" s="418"/>
      <c r="AD3726" s="418"/>
      <c r="AE3726" s="418">
        <f t="shared" si="827"/>
        <v>0</v>
      </c>
      <c r="AF3726" s="379">
        <f t="shared" si="833"/>
        <v>0</v>
      </c>
      <c r="AG3726" s="418"/>
      <c r="AH3726" s="418"/>
      <c r="AI3726" s="418"/>
      <c r="AJ3726" s="418"/>
      <c r="AK3726" s="379">
        <f t="shared" si="829"/>
        <v>0</v>
      </c>
      <c r="AL3726" s="446">
        <f t="shared" si="830"/>
        <v>0</v>
      </c>
      <c r="AM3726" s="110">
        <f t="shared" si="831"/>
        <v>0</v>
      </c>
      <c r="AN3726" s="447">
        <f t="shared" si="821"/>
        <v>0</v>
      </c>
      <c r="AO3726" s="108"/>
      <c r="AP3726"/>
    </row>
    <row r="3727" spans="1:42" x14ac:dyDescent="0.25">
      <c r="A3727" s="310">
        <v>33901</v>
      </c>
      <c r="B3727" s="375" t="s">
        <v>858</v>
      </c>
      <c r="C3727" s="381"/>
      <c r="D3727" s="902"/>
      <c r="E3727" s="312"/>
      <c r="F3727" s="313"/>
      <c r="G3727" s="313"/>
      <c r="H3727" s="313"/>
      <c r="I3727" s="729"/>
      <c r="J3727" s="800"/>
      <c r="K3727" s="131">
        <f t="shared" si="822"/>
        <v>0</v>
      </c>
      <c r="L3727" s="335">
        <f t="shared" si="828"/>
        <v>0</v>
      </c>
      <c r="M3727" s="446"/>
      <c r="N3727" s="446"/>
      <c r="O3727" s="446"/>
      <c r="P3727" s="446"/>
      <c r="Q3727" s="110">
        <f t="shared" si="834"/>
        <v>0</v>
      </c>
      <c r="R3727" s="111">
        <f t="shared" si="824"/>
        <v>0</v>
      </c>
      <c r="S3727" s="110"/>
      <c r="T3727" s="110"/>
      <c r="U3727" s="110">
        <f t="shared" si="835"/>
        <v>0</v>
      </c>
      <c r="V3727" s="111">
        <f t="shared" si="825"/>
        <v>0</v>
      </c>
      <c r="W3727" s="110"/>
      <c r="X3727" s="110"/>
      <c r="Y3727" s="110"/>
      <c r="Z3727" s="110"/>
      <c r="AA3727" s="110">
        <f t="shared" si="827"/>
        <v>0</v>
      </c>
      <c r="AB3727" s="111">
        <f t="shared" si="832"/>
        <v>0</v>
      </c>
      <c r="AC3727" s="110"/>
      <c r="AD3727" s="110"/>
      <c r="AE3727" s="110">
        <f t="shared" si="827"/>
        <v>0</v>
      </c>
      <c r="AF3727" s="111">
        <f t="shared" si="833"/>
        <v>0</v>
      </c>
      <c r="AG3727" s="110"/>
      <c r="AH3727" s="110"/>
      <c r="AI3727" s="110"/>
      <c r="AJ3727" s="110"/>
      <c r="AK3727" s="111">
        <f t="shared" si="829"/>
        <v>0</v>
      </c>
      <c r="AL3727" s="446">
        <f t="shared" si="830"/>
        <v>0</v>
      </c>
      <c r="AM3727" s="110">
        <f t="shared" si="831"/>
        <v>0</v>
      </c>
      <c r="AN3727" s="447">
        <f t="shared" si="821"/>
        <v>0</v>
      </c>
      <c r="AO3727" s="108"/>
      <c r="AP3727"/>
    </row>
    <row r="3728" spans="1:42" x14ac:dyDescent="0.25">
      <c r="A3728" s="61"/>
      <c r="B3728" s="597"/>
      <c r="C3728" s="9"/>
      <c r="D3728" s="929"/>
      <c r="E3728" s="211"/>
      <c r="F3728" s="284"/>
      <c r="G3728" s="284"/>
      <c r="H3728" s="284"/>
      <c r="I3728" s="720"/>
      <c r="J3728" s="809"/>
      <c r="K3728" s="131">
        <f t="shared" si="822"/>
        <v>0</v>
      </c>
      <c r="L3728" s="335">
        <f t="shared" si="828"/>
        <v>0</v>
      </c>
      <c r="M3728" s="446"/>
      <c r="N3728" s="446"/>
      <c r="O3728" s="446"/>
      <c r="P3728" s="446"/>
      <c r="Q3728" s="110">
        <f t="shared" si="834"/>
        <v>0</v>
      </c>
      <c r="R3728" s="111">
        <f t="shared" si="824"/>
        <v>0</v>
      </c>
      <c r="S3728" s="110"/>
      <c r="T3728" s="110"/>
      <c r="U3728" s="110">
        <f t="shared" si="835"/>
        <v>0</v>
      </c>
      <c r="V3728" s="111">
        <f t="shared" si="825"/>
        <v>0</v>
      </c>
      <c r="W3728" s="110"/>
      <c r="X3728" s="110"/>
      <c r="Y3728" s="110"/>
      <c r="Z3728" s="110"/>
      <c r="AA3728" s="110">
        <f t="shared" si="827"/>
        <v>0</v>
      </c>
      <c r="AB3728" s="111">
        <f t="shared" si="832"/>
        <v>0</v>
      </c>
      <c r="AC3728" s="110"/>
      <c r="AD3728" s="110"/>
      <c r="AE3728" s="110">
        <f t="shared" si="827"/>
        <v>0</v>
      </c>
      <c r="AF3728" s="111">
        <f t="shared" si="833"/>
        <v>0</v>
      </c>
      <c r="AG3728" s="110"/>
      <c r="AH3728" s="110"/>
      <c r="AI3728" s="110"/>
      <c r="AJ3728" s="110"/>
      <c r="AK3728" s="111">
        <f t="shared" si="829"/>
        <v>0</v>
      </c>
      <c r="AL3728" s="446">
        <f t="shared" si="830"/>
        <v>0</v>
      </c>
      <c r="AM3728" s="110">
        <f t="shared" si="831"/>
        <v>0</v>
      </c>
      <c r="AN3728" s="447">
        <f t="shared" si="821"/>
        <v>0</v>
      </c>
      <c r="AO3728"/>
      <c r="AP3728"/>
    </row>
    <row r="3729" spans="1:42" x14ac:dyDescent="0.25">
      <c r="A3729" s="310">
        <v>33902</v>
      </c>
      <c r="B3729" s="375" t="s">
        <v>859</v>
      </c>
      <c r="C3729" s="381"/>
      <c r="D3729" s="902"/>
      <c r="E3729" s="312"/>
      <c r="F3729" s="313"/>
      <c r="G3729" s="313"/>
      <c r="H3729" s="313"/>
      <c r="I3729" s="729"/>
      <c r="J3729" s="800"/>
      <c r="K3729" s="131">
        <f t="shared" si="822"/>
        <v>0</v>
      </c>
      <c r="L3729" s="335">
        <f t="shared" si="828"/>
        <v>0</v>
      </c>
      <c r="M3729" s="446"/>
      <c r="N3729" s="446"/>
      <c r="O3729" s="446"/>
      <c r="P3729" s="446"/>
      <c r="Q3729" s="110">
        <f t="shared" si="834"/>
        <v>0</v>
      </c>
      <c r="R3729" s="111">
        <f t="shared" si="824"/>
        <v>0</v>
      </c>
      <c r="S3729" s="110"/>
      <c r="T3729" s="110"/>
      <c r="U3729" s="110">
        <f t="shared" si="835"/>
        <v>0</v>
      </c>
      <c r="V3729" s="111">
        <f t="shared" si="825"/>
        <v>0</v>
      </c>
      <c r="W3729" s="110"/>
      <c r="X3729" s="110"/>
      <c r="Y3729" s="110"/>
      <c r="Z3729" s="110"/>
      <c r="AA3729" s="110">
        <f t="shared" si="827"/>
        <v>0</v>
      </c>
      <c r="AB3729" s="111">
        <f t="shared" si="832"/>
        <v>0</v>
      </c>
      <c r="AC3729" s="110"/>
      <c r="AD3729" s="110"/>
      <c r="AE3729" s="110">
        <f t="shared" si="827"/>
        <v>0</v>
      </c>
      <c r="AF3729" s="111">
        <f t="shared" si="833"/>
        <v>0</v>
      </c>
      <c r="AG3729" s="110"/>
      <c r="AH3729" s="110"/>
      <c r="AI3729" s="110"/>
      <c r="AJ3729" s="110"/>
      <c r="AK3729" s="111">
        <f t="shared" si="829"/>
        <v>0</v>
      </c>
      <c r="AL3729" s="446">
        <f t="shared" si="830"/>
        <v>0</v>
      </c>
      <c r="AM3729" s="110">
        <f t="shared" si="831"/>
        <v>0</v>
      </c>
      <c r="AN3729" s="447">
        <f t="shared" si="821"/>
        <v>0</v>
      </c>
      <c r="AO3729" s="108"/>
      <c r="AP3729"/>
    </row>
    <row r="3730" spans="1:42" x14ac:dyDescent="0.25">
      <c r="A3730" s="61"/>
      <c r="B3730" s="597"/>
      <c r="C3730" s="9"/>
      <c r="D3730" s="947"/>
      <c r="E3730" s="83"/>
      <c r="F3730" s="287"/>
      <c r="G3730" s="287"/>
      <c r="H3730" s="287"/>
      <c r="I3730" s="720"/>
      <c r="J3730" s="828"/>
      <c r="K3730" s="131">
        <f t="shared" si="822"/>
        <v>0</v>
      </c>
      <c r="L3730" s="335">
        <f t="shared" si="828"/>
        <v>0</v>
      </c>
      <c r="M3730" s="446"/>
      <c r="N3730" s="446"/>
      <c r="O3730" s="446"/>
      <c r="P3730" s="446"/>
      <c r="Q3730" s="110">
        <f t="shared" si="834"/>
        <v>0</v>
      </c>
      <c r="R3730" s="111">
        <f t="shared" si="824"/>
        <v>0</v>
      </c>
      <c r="S3730" s="110"/>
      <c r="T3730" s="110"/>
      <c r="U3730" s="110">
        <f t="shared" si="835"/>
        <v>0</v>
      </c>
      <c r="V3730" s="111">
        <f t="shared" si="825"/>
        <v>0</v>
      </c>
      <c r="W3730" s="110"/>
      <c r="X3730" s="110"/>
      <c r="Y3730" s="110"/>
      <c r="Z3730" s="110"/>
      <c r="AA3730" s="110">
        <f t="shared" si="827"/>
        <v>0</v>
      </c>
      <c r="AB3730" s="111">
        <f t="shared" si="832"/>
        <v>0</v>
      </c>
      <c r="AC3730" s="110"/>
      <c r="AD3730" s="110"/>
      <c r="AE3730" s="110">
        <f t="shared" si="827"/>
        <v>0</v>
      </c>
      <c r="AF3730" s="111">
        <f t="shared" si="833"/>
        <v>0</v>
      </c>
      <c r="AG3730" s="110"/>
      <c r="AH3730" s="110"/>
      <c r="AI3730" s="110"/>
      <c r="AJ3730" s="110"/>
      <c r="AK3730" s="111">
        <f t="shared" si="829"/>
        <v>0</v>
      </c>
      <c r="AL3730" s="446">
        <f t="shared" si="830"/>
        <v>0</v>
      </c>
      <c r="AM3730" s="110">
        <f t="shared" si="831"/>
        <v>0</v>
      </c>
      <c r="AN3730" s="447">
        <f t="shared" si="821"/>
        <v>0</v>
      </c>
      <c r="AO3730"/>
      <c r="AP3730"/>
    </row>
    <row r="3731" spans="1:42" x14ac:dyDescent="0.25">
      <c r="A3731" s="310">
        <v>33903</v>
      </c>
      <c r="B3731" s="375" t="s">
        <v>860</v>
      </c>
      <c r="C3731" s="381"/>
      <c r="D3731" s="902"/>
      <c r="E3731" s="312"/>
      <c r="F3731" s="313"/>
      <c r="G3731" s="313"/>
      <c r="H3731" s="313"/>
      <c r="I3731" s="729"/>
      <c r="J3731" s="800"/>
      <c r="K3731" s="131">
        <f t="shared" si="822"/>
        <v>0</v>
      </c>
      <c r="L3731" s="335">
        <f t="shared" si="828"/>
        <v>0</v>
      </c>
      <c r="M3731" s="446"/>
      <c r="N3731" s="446"/>
      <c r="O3731" s="446"/>
      <c r="P3731" s="446"/>
      <c r="Q3731" s="110">
        <f t="shared" si="834"/>
        <v>0</v>
      </c>
      <c r="R3731" s="111">
        <f t="shared" si="824"/>
        <v>0</v>
      </c>
      <c r="S3731" s="110"/>
      <c r="T3731" s="110"/>
      <c r="U3731" s="110">
        <f t="shared" si="835"/>
        <v>0</v>
      </c>
      <c r="V3731" s="111">
        <f t="shared" si="825"/>
        <v>0</v>
      </c>
      <c r="W3731" s="110"/>
      <c r="X3731" s="110"/>
      <c r="Y3731" s="110"/>
      <c r="Z3731" s="110"/>
      <c r="AA3731" s="110">
        <f t="shared" si="827"/>
        <v>0</v>
      </c>
      <c r="AB3731" s="111">
        <f t="shared" si="832"/>
        <v>0</v>
      </c>
      <c r="AC3731" s="110"/>
      <c r="AD3731" s="110"/>
      <c r="AE3731" s="110">
        <f t="shared" si="827"/>
        <v>0</v>
      </c>
      <c r="AF3731" s="111">
        <f t="shared" si="833"/>
        <v>0</v>
      </c>
      <c r="AG3731" s="110"/>
      <c r="AH3731" s="110"/>
      <c r="AI3731" s="110"/>
      <c r="AJ3731" s="110"/>
      <c r="AK3731" s="111">
        <f t="shared" si="829"/>
        <v>0</v>
      </c>
      <c r="AL3731" s="446">
        <f t="shared" si="830"/>
        <v>0</v>
      </c>
      <c r="AM3731" s="110">
        <f t="shared" si="831"/>
        <v>0</v>
      </c>
      <c r="AN3731" s="447">
        <f t="shared" si="821"/>
        <v>0</v>
      </c>
      <c r="AO3731" s="108"/>
      <c r="AP3731"/>
    </row>
    <row r="3732" spans="1:42" x14ac:dyDescent="0.25">
      <c r="A3732" s="61"/>
      <c r="B3732" s="597"/>
      <c r="C3732" s="9"/>
      <c r="D3732" s="947"/>
      <c r="E3732" s="83"/>
      <c r="F3732" s="287"/>
      <c r="G3732" s="287"/>
      <c r="H3732" s="287"/>
      <c r="I3732" s="720"/>
      <c r="J3732" s="828"/>
      <c r="K3732" s="131">
        <f t="shared" si="822"/>
        <v>0</v>
      </c>
      <c r="L3732" s="335">
        <f t="shared" si="828"/>
        <v>0</v>
      </c>
      <c r="M3732" s="446"/>
      <c r="N3732" s="446"/>
      <c r="O3732" s="446"/>
      <c r="P3732" s="446"/>
      <c r="Q3732" s="110">
        <f t="shared" si="834"/>
        <v>0</v>
      </c>
      <c r="R3732" s="111">
        <f t="shared" si="824"/>
        <v>0</v>
      </c>
      <c r="S3732" s="110"/>
      <c r="T3732" s="110"/>
      <c r="U3732" s="110">
        <f t="shared" si="835"/>
        <v>0</v>
      </c>
      <c r="V3732" s="111">
        <f t="shared" si="825"/>
        <v>0</v>
      </c>
      <c r="W3732" s="110"/>
      <c r="X3732" s="110"/>
      <c r="Y3732" s="110"/>
      <c r="Z3732" s="110"/>
      <c r="AA3732" s="110">
        <f t="shared" si="827"/>
        <v>0</v>
      </c>
      <c r="AB3732" s="111">
        <f t="shared" si="832"/>
        <v>0</v>
      </c>
      <c r="AC3732" s="110"/>
      <c r="AD3732" s="110"/>
      <c r="AE3732" s="110">
        <f t="shared" si="827"/>
        <v>0</v>
      </c>
      <c r="AF3732" s="111">
        <f t="shared" si="833"/>
        <v>0</v>
      </c>
      <c r="AG3732" s="110"/>
      <c r="AH3732" s="110"/>
      <c r="AI3732" s="110"/>
      <c r="AJ3732" s="110"/>
      <c r="AK3732" s="111">
        <f t="shared" si="829"/>
        <v>0</v>
      </c>
      <c r="AL3732" s="446">
        <f t="shared" si="830"/>
        <v>0</v>
      </c>
      <c r="AM3732" s="110">
        <f t="shared" si="831"/>
        <v>0</v>
      </c>
      <c r="AN3732" s="447">
        <f t="shared" si="821"/>
        <v>0</v>
      </c>
      <c r="AO3732"/>
      <c r="AP3732"/>
    </row>
    <row r="3733" spans="1:42" x14ac:dyDescent="0.25">
      <c r="A3733" s="299">
        <v>3400</v>
      </c>
      <c r="B3733" s="469" t="s">
        <v>861</v>
      </c>
      <c r="C3733" s="299"/>
      <c r="D3733" s="909"/>
      <c r="E3733" s="301"/>
      <c r="F3733" s="302"/>
      <c r="G3733" s="302"/>
      <c r="H3733" s="302"/>
      <c r="I3733" s="715"/>
      <c r="J3733" s="751"/>
      <c r="K3733" s="131">
        <f t="shared" si="822"/>
        <v>0</v>
      </c>
      <c r="L3733" s="335">
        <f t="shared" si="828"/>
        <v>0</v>
      </c>
      <c r="M3733" s="453"/>
      <c r="N3733" s="453"/>
      <c r="O3733" s="453"/>
      <c r="P3733" s="453"/>
      <c r="Q3733" s="385">
        <f t="shared" si="834"/>
        <v>0</v>
      </c>
      <c r="R3733" s="303">
        <f t="shared" si="824"/>
        <v>0</v>
      </c>
      <c r="S3733" s="385"/>
      <c r="T3733" s="385"/>
      <c r="U3733" s="385">
        <f t="shared" si="835"/>
        <v>0</v>
      </c>
      <c r="V3733" s="303">
        <f t="shared" si="825"/>
        <v>0</v>
      </c>
      <c r="W3733" s="385"/>
      <c r="X3733" s="385"/>
      <c r="Y3733" s="385"/>
      <c r="Z3733" s="385"/>
      <c r="AA3733" s="385">
        <f t="shared" si="827"/>
        <v>0</v>
      </c>
      <c r="AB3733" s="303">
        <f t="shared" si="832"/>
        <v>0</v>
      </c>
      <c r="AC3733" s="385"/>
      <c r="AD3733" s="385"/>
      <c r="AE3733" s="385">
        <f t="shared" si="827"/>
        <v>0</v>
      </c>
      <c r="AF3733" s="303">
        <f t="shared" si="833"/>
        <v>0</v>
      </c>
      <c r="AG3733" s="385"/>
      <c r="AH3733" s="385"/>
      <c r="AI3733" s="385"/>
      <c r="AJ3733" s="385"/>
      <c r="AK3733" s="303">
        <f t="shared" si="829"/>
        <v>0</v>
      </c>
      <c r="AL3733" s="453">
        <f t="shared" si="830"/>
        <v>0</v>
      </c>
      <c r="AM3733" s="385">
        <f t="shared" si="831"/>
        <v>0</v>
      </c>
      <c r="AN3733" s="454">
        <f t="shared" si="821"/>
        <v>0</v>
      </c>
      <c r="AO3733" s="304"/>
      <c r="AP3733"/>
    </row>
    <row r="3734" spans="1:42" x14ac:dyDescent="0.25">
      <c r="A3734" s="376">
        <v>341</v>
      </c>
      <c r="B3734" s="588" t="s">
        <v>862</v>
      </c>
      <c r="C3734" s="376"/>
      <c r="D3734" s="940"/>
      <c r="E3734" s="377"/>
      <c r="F3734" s="378"/>
      <c r="G3734" s="378"/>
      <c r="H3734" s="378"/>
      <c r="I3734" s="734"/>
      <c r="J3734" s="806"/>
      <c r="K3734" s="131">
        <f t="shared" si="822"/>
        <v>0</v>
      </c>
      <c r="L3734" s="335">
        <f t="shared" si="828"/>
        <v>0</v>
      </c>
      <c r="M3734" s="419"/>
      <c r="N3734" s="419"/>
      <c r="O3734" s="419"/>
      <c r="P3734" s="419"/>
      <c r="Q3734" s="418">
        <f t="shared" si="834"/>
        <v>0</v>
      </c>
      <c r="R3734" s="379">
        <f t="shared" si="824"/>
        <v>0</v>
      </c>
      <c r="S3734" s="418"/>
      <c r="T3734" s="418"/>
      <c r="U3734" s="418">
        <f t="shared" si="835"/>
        <v>0</v>
      </c>
      <c r="V3734" s="379">
        <f t="shared" si="825"/>
        <v>0</v>
      </c>
      <c r="W3734" s="418"/>
      <c r="X3734" s="418"/>
      <c r="Y3734" s="418"/>
      <c r="Z3734" s="418"/>
      <c r="AA3734" s="418">
        <f t="shared" si="827"/>
        <v>0</v>
      </c>
      <c r="AB3734" s="379">
        <f t="shared" si="832"/>
        <v>0</v>
      </c>
      <c r="AC3734" s="418"/>
      <c r="AD3734" s="418"/>
      <c r="AE3734" s="418">
        <f t="shared" si="827"/>
        <v>0</v>
      </c>
      <c r="AF3734" s="379">
        <f t="shared" si="833"/>
        <v>0</v>
      </c>
      <c r="AG3734" s="418"/>
      <c r="AH3734" s="418"/>
      <c r="AI3734" s="418"/>
      <c r="AJ3734" s="418"/>
      <c r="AK3734" s="379">
        <f t="shared" si="829"/>
        <v>0</v>
      </c>
      <c r="AL3734" s="446">
        <f t="shared" si="830"/>
        <v>0</v>
      </c>
      <c r="AM3734" s="110">
        <f t="shared" si="831"/>
        <v>0</v>
      </c>
      <c r="AN3734" s="447">
        <f t="shared" si="821"/>
        <v>0</v>
      </c>
      <c r="AO3734" s="108"/>
      <c r="AP3734"/>
    </row>
    <row r="3735" spans="1:42" x14ac:dyDescent="0.25">
      <c r="A3735" s="696">
        <v>34101</v>
      </c>
      <c r="B3735" s="374" t="s">
        <v>863</v>
      </c>
      <c r="C3735" s="381"/>
      <c r="D3735" s="948"/>
      <c r="E3735" s="382"/>
      <c r="F3735" s="383"/>
      <c r="G3735" s="383"/>
      <c r="H3735" s="383"/>
      <c r="I3735" s="745"/>
      <c r="J3735" s="832"/>
      <c r="K3735" s="131">
        <f t="shared" si="822"/>
        <v>0</v>
      </c>
      <c r="L3735" s="335">
        <f t="shared" si="828"/>
        <v>0</v>
      </c>
      <c r="M3735" s="446"/>
      <c r="N3735" s="446"/>
      <c r="O3735" s="446"/>
      <c r="P3735" s="446"/>
      <c r="Q3735" s="110">
        <f t="shared" si="834"/>
        <v>0</v>
      </c>
      <c r="R3735" s="111">
        <f t="shared" si="824"/>
        <v>0</v>
      </c>
      <c r="S3735" s="110"/>
      <c r="T3735" s="110"/>
      <c r="U3735" s="110">
        <f t="shared" si="835"/>
        <v>0</v>
      </c>
      <c r="V3735" s="111">
        <f t="shared" si="825"/>
        <v>0</v>
      </c>
      <c r="W3735" s="110"/>
      <c r="X3735" s="110"/>
      <c r="Y3735" s="110"/>
      <c r="Z3735" s="110"/>
      <c r="AA3735" s="110">
        <f t="shared" si="827"/>
        <v>0</v>
      </c>
      <c r="AB3735" s="111">
        <f t="shared" si="832"/>
        <v>0</v>
      </c>
      <c r="AC3735" s="110"/>
      <c r="AD3735" s="110"/>
      <c r="AE3735" s="110">
        <f t="shared" si="827"/>
        <v>0</v>
      </c>
      <c r="AF3735" s="111">
        <f t="shared" si="833"/>
        <v>0</v>
      </c>
      <c r="AG3735" s="110"/>
      <c r="AH3735" s="110"/>
      <c r="AI3735" s="110"/>
      <c r="AJ3735" s="110"/>
      <c r="AK3735" s="111">
        <f t="shared" si="829"/>
        <v>0</v>
      </c>
      <c r="AL3735" s="446">
        <f t="shared" si="830"/>
        <v>0</v>
      </c>
      <c r="AM3735" s="110">
        <f t="shared" si="831"/>
        <v>0</v>
      </c>
      <c r="AN3735" s="447">
        <f t="shared" si="821"/>
        <v>0</v>
      </c>
      <c r="AO3735" s="436">
        <f>SUM(J3736)</f>
        <v>73800</v>
      </c>
      <c r="AP3735" s="111"/>
    </row>
    <row r="3736" spans="1:42" ht="66" x14ac:dyDescent="0.25">
      <c r="A3736" s="9"/>
      <c r="B3736" s="59" t="s">
        <v>863</v>
      </c>
      <c r="C3736" s="1024"/>
      <c r="D3736" s="869">
        <f>12+4</f>
        <v>16</v>
      </c>
      <c r="E3736" s="1024" t="s">
        <v>1755</v>
      </c>
      <c r="F3736" s="273" t="s">
        <v>3446</v>
      </c>
      <c r="G3736" s="1040" t="s">
        <v>3463</v>
      </c>
      <c r="H3736" s="273" t="s">
        <v>3462</v>
      </c>
      <c r="I3736" s="720">
        <f>+J3736/D3736</f>
        <v>4612.5</v>
      </c>
      <c r="J3736" s="833">
        <f>72000+1800</f>
        <v>73800</v>
      </c>
      <c r="K3736" s="131">
        <f t="shared" si="822"/>
        <v>73800</v>
      </c>
      <c r="L3736" s="335">
        <f t="shared" si="828"/>
        <v>0</v>
      </c>
      <c r="M3736" s="446"/>
      <c r="N3736" s="446"/>
      <c r="O3736" s="446"/>
      <c r="P3736" s="446"/>
      <c r="Q3736" s="110">
        <f t="shared" si="834"/>
        <v>4</v>
      </c>
      <c r="R3736" s="111">
        <f t="shared" si="824"/>
        <v>18450</v>
      </c>
      <c r="S3736" s="110"/>
      <c r="T3736" s="110"/>
      <c r="U3736" s="110">
        <f t="shared" si="835"/>
        <v>4</v>
      </c>
      <c r="V3736" s="111">
        <f t="shared" si="825"/>
        <v>18450</v>
      </c>
      <c r="W3736" s="110"/>
      <c r="X3736" s="110"/>
      <c r="Y3736" s="110"/>
      <c r="Z3736" s="110"/>
      <c r="AA3736" s="110">
        <f t="shared" si="827"/>
        <v>4</v>
      </c>
      <c r="AB3736" s="111">
        <f t="shared" si="832"/>
        <v>18450</v>
      </c>
      <c r="AC3736" s="110"/>
      <c r="AD3736" s="110"/>
      <c r="AE3736" s="110">
        <f t="shared" si="827"/>
        <v>4</v>
      </c>
      <c r="AF3736" s="111">
        <f t="shared" si="833"/>
        <v>18450</v>
      </c>
      <c r="AG3736" s="110"/>
      <c r="AH3736" s="110"/>
      <c r="AI3736" s="110"/>
      <c r="AJ3736" s="110"/>
      <c r="AK3736" s="111">
        <f t="shared" si="829"/>
        <v>73800</v>
      </c>
      <c r="AL3736" s="446">
        <f t="shared" si="830"/>
        <v>0</v>
      </c>
      <c r="AM3736" s="110">
        <f t="shared" si="831"/>
        <v>16</v>
      </c>
      <c r="AN3736" s="447">
        <f t="shared" si="821"/>
        <v>0</v>
      </c>
      <c r="AO3736"/>
      <c r="AP3736"/>
    </row>
    <row r="3737" spans="1:42" x14ac:dyDescent="0.25">
      <c r="A3737" s="60"/>
      <c r="B3737" s="146"/>
      <c r="C3737" s="9"/>
      <c r="D3737" s="882"/>
      <c r="E3737" s="162"/>
      <c r="F3737" s="697"/>
      <c r="G3737" s="697"/>
      <c r="H3737" s="697"/>
      <c r="I3737" s="720"/>
      <c r="J3737" s="834"/>
      <c r="K3737" s="131">
        <f t="shared" si="822"/>
        <v>0</v>
      </c>
      <c r="L3737" s="335">
        <f t="shared" si="828"/>
        <v>0</v>
      </c>
      <c r="M3737" s="446"/>
      <c r="N3737" s="446"/>
      <c r="O3737" s="446"/>
      <c r="P3737" s="446"/>
      <c r="Q3737" s="110">
        <f t="shared" si="834"/>
        <v>0</v>
      </c>
      <c r="R3737" s="111">
        <f t="shared" si="824"/>
        <v>0</v>
      </c>
      <c r="S3737" s="110"/>
      <c r="T3737" s="110"/>
      <c r="U3737" s="110">
        <f t="shared" si="835"/>
        <v>0</v>
      </c>
      <c r="V3737" s="111">
        <f t="shared" si="825"/>
        <v>0</v>
      </c>
      <c r="W3737" s="110"/>
      <c r="X3737" s="110"/>
      <c r="Y3737" s="110"/>
      <c r="Z3737" s="110"/>
      <c r="AA3737" s="110">
        <f t="shared" si="827"/>
        <v>0</v>
      </c>
      <c r="AB3737" s="111">
        <f t="shared" si="832"/>
        <v>0</v>
      </c>
      <c r="AC3737" s="110"/>
      <c r="AD3737" s="110"/>
      <c r="AE3737" s="110">
        <f t="shared" si="827"/>
        <v>0</v>
      </c>
      <c r="AF3737" s="111">
        <f t="shared" si="833"/>
        <v>0</v>
      </c>
      <c r="AG3737" s="110"/>
      <c r="AH3737" s="110"/>
      <c r="AI3737" s="110"/>
      <c r="AJ3737" s="110"/>
      <c r="AK3737" s="111">
        <f t="shared" si="829"/>
        <v>0</v>
      </c>
      <c r="AL3737" s="446">
        <f t="shared" si="830"/>
        <v>0</v>
      </c>
      <c r="AM3737" s="110">
        <f t="shared" si="831"/>
        <v>0</v>
      </c>
      <c r="AN3737" s="447">
        <f t="shared" si="821"/>
        <v>0</v>
      </c>
      <c r="AO3737"/>
      <c r="AP3737"/>
    </row>
    <row r="3738" spans="1:42" x14ac:dyDescent="0.25">
      <c r="A3738" s="310">
        <v>34102</v>
      </c>
      <c r="B3738" s="375" t="s">
        <v>864</v>
      </c>
      <c r="C3738" s="381"/>
      <c r="D3738" s="902"/>
      <c r="E3738" s="312"/>
      <c r="F3738" s="313"/>
      <c r="G3738" s="313"/>
      <c r="H3738" s="313"/>
      <c r="I3738" s="729"/>
      <c r="J3738" s="800"/>
      <c r="K3738" s="131">
        <f t="shared" si="822"/>
        <v>0</v>
      </c>
      <c r="L3738" s="335">
        <f t="shared" si="828"/>
        <v>0</v>
      </c>
      <c r="M3738" s="446"/>
      <c r="N3738" s="446"/>
      <c r="O3738" s="446"/>
      <c r="P3738" s="446"/>
      <c r="Q3738" s="110">
        <f t="shared" si="834"/>
        <v>0</v>
      </c>
      <c r="R3738" s="111">
        <f t="shared" si="824"/>
        <v>0</v>
      </c>
      <c r="S3738" s="110"/>
      <c r="T3738" s="110"/>
      <c r="U3738" s="110">
        <f t="shared" si="835"/>
        <v>0</v>
      </c>
      <c r="V3738" s="111">
        <f t="shared" si="825"/>
        <v>0</v>
      </c>
      <c r="W3738" s="110"/>
      <c r="X3738" s="110"/>
      <c r="Y3738" s="110"/>
      <c r="Z3738" s="110"/>
      <c r="AA3738" s="110">
        <f t="shared" si="827"/>
        <v>0</v>
      </c>
      <c r="AB3738" s="111">
        <f t="shared" si="832"/>
        <v>0</v>
      </c>
      <c r="AC3738" s="110"/>
      <c r="AD3738" s="110"/>
      <c r="AE3738" s="110">
        <f t="shared" si="827"/>
        <v>0</v>
      </c>
      <c r="AF3738" s="111">
        <f t="shared" si="833"/>
        <v>0</v>
      </c>
      <c r="AG3738" s="110"/>
      <c r="AH3738" s="110"/>
      <c r="AI3738" s="110"/>
      <c r="AJ3738" s="110"/>
      <c r="AK3738" s="111">
        <f t="shared" si="829"/>
        <v>0</v>
      </c>
      <c r="AL3738" s="446">
        <f t="shared" si="830"/>
        <v>0</v>
      </c>
      <c r="AM3738" s="110">
        <f t="shared" si="831"/>
        <v>0</v>
      </c>
      <c r="AN3738" s="447">
        <f t="shared" ref="AN3738:AN3801" si="836">+D3738-AM3738</f>
        <v>0</v>
      </c>
      <c r="AO3738" s="436">
        <f>SUM(J3739)</f>
        <v>3564.4</v>
      </c>
      <c r="AP3738" s="111"/>
    </row>
    <row r="3739" spans="1:42" ht="66" x14ac:dyDescent="0.25">
      <c r="A3739" s="60"/>
      <c r="B3739" s="146" t="s">
        <v>864</v>
      </c>
      <c r="C3739" s="9"/>
      <c r="D3739" s="882">
        <v>4</v>
      </c>
      <c r="E3739" s="162" t="s">
        <v>1755</v>
      </c>
      <c r="F3739" s="273" t="s">
        <v>3446</v>
      </c>
      <c r="G3739" s="1040" t="s">
        <v>3463</v>
      </c>
      <c r="H3739" s="273" t="s">
        <v>3462</v>
      </c>
      <c r="I3739" s="720">
        <f>+J3739/D3739</f>
        <v>891.1</v>
      </c>
      <c r="J3739" s="834">
        <v>3564.4</v>
      </c>
      <c r="K3739" s="131">
        <f t="shared" si="822"/>
        <v>3564.4</v>
      </c>
      <c r="L3739" s="335">
        <f t="shared" si="828"/>
        <v>0</v>
      </c>
      <c r="M3739" s="446"/>
      <c r="N3739" s="446"/>
      <c r="O3739" s="446"/>
      <c r="P3739" s="446"/>
      <c r="Q3739" s="110">
        <f t="shared" si="834"/>
        <v>1</v>
      </c>
      <c r="R3739" s="111">
        <f t="shared" si="824"/>
        <v>891.1</v>
      </c>
      <c r="S3739" s="110"/>
      <c r="T3739" s="110"/>
      <c r="U3739" s="110">
        <f t="shared" si="835"/>
        <v>1</v>
      </c>
      <c r="V3739" s="111">
        <f t="shared" si="825"/>
        <v>891.1</v>
      </c>
      <c r="W3739" s="110"/>
      <c r="X3739" s="110"/>
      <c r="Y3739" s="110"/>
      <c r="Z3739" s="110"/>
      <c r="AA3739" s="110">
        <f t="shared" si="827"/>
        <v>1</v>
      </c>
      <c r="AB3739" s="111">
        <f t="shared" si="832"/>
        <v>891.1</v>
      </c>
      <c r="AC3739" s="110"/>
      <c r="AD3739" s="110"/>
      <c r="AE3739" s="110">
        <f t="shared" si="827"/>
        <v>1</v>
      </c>
      <c r="AF3739" s="111">
        <f t="shared" si="833"/>
        <v>891.1</v>
      </c>
      <c r="AG3739" s="110"/>
      <c r="AH3739" s="110"/>
      <c r="AI3739" s="110"/>
      <c r="AJ3739" s="110"/>
      <c r="AK3739" s="111">
        <f t="shared" si="829"/>
        <v>3564.4</v>
      </c>
      <c r="AL3739" s="446">
        <f t="shared" si="830"/>
        <v>0</v>
      </c>
      <c r="AM3739" s="110">
        <f t="shared" si="831"/>
        <v>4</v>
      </c>
      <c r="AN3739" s="447">
        <f t="shared" si="836"/>
        <v>0</v>
      </c>
      <c r="AO3739"/>
      <c r="AP3739"/>
    </row>
    <row r="3740" spans="1:42" x14ac:dyDescent="0.25">
      <c r="A3740" s="310">
        <v>34103</v>
      </c>
      <c r="B3740" s="375" t="s">
        <v>865</v>
      </c>
      <c r="C3740" s="381"/>
      <c r="D3740" s="902"/>
      <c r="E3740" s="312"/>
      <c r="F3740" s="313"/>
      <c r="G3740" s="313"/>
      <c r="H3740" s="313"/>
      <c r="I3740" s="729"/>
      <c r="J3740" s="800"/>
      <c r="K3740" s="131">
        <f t="shared" si="822"/>
        <v>0</v>
      </c>
      <c r="L3740" s="335">
        <f t="shared" si="828"/>
        <v>0</v>
      </c>
      <c r="M3740" s="446"/>
      <c r="N3740" s="446"/>
      <c r="O3740" s="446"/>
      <c r="P3740" s="446"/>
      <c r="Q3740" s="110">
        <f t="shared" si="834"/>
        <v>0</v>
      </c>
      <c r="R3740" s="111">
        <f t="shared" si="824"/>
        <v>0</v>
      </c>
      <c r="S3740" s="110"/>
      <c r="T3740" s="110"/>
      <c r="U3740" s="110">
        <f t="shared" si="835"/>
        <v>0</v>
      </c>
      <c r="V3740" s="111">
        <f t="shared" si="825"/>
        <v>0</v>
      </c>
      <c r="W3740" s="110"/>
      <c r="X3740" s="110"/>
      <c r="Y3740" s="110"/>
      <c r="Z3740" s="110"/>
      <c r="AA3740" s="110">
        <f t="shared" si="827"/>
        <v>0</v>
      </c>
      <c r="AB3740" s="111">
        <f t="shared" si="832"/>
        <v>0</v>
      </c>
      <c r="AC3740" s="110"/>
      <c r="AD3740" s="110"/>
      <c r="AE3740" s="110">
        <f t="shared" si="827"/>
        <v>0</v>
      </c>
      <c r="AF3740" s="111">
        <f t="shared" si="833"/>
        <v>0</v>
      </c>
      <c r="AG3740" s="110"/>
      <c r="AH3740" s="110"/>
      <c r="AI3740" s="110"/>
      <c r="AJ3740" s="110"/>
      <c r="AK3740" s="111">
        <f t="shared" si="829"/>
        <v>0</v>
      </c>
      <c r="AL3740" s="446">
        <f t="shared" si="830"/>
        <v>0</v>
      </c>
      <c r="AM3740" s="110">
        <f t="shared" si="831"/>
        <v>0</v>
      </c>
      <c r="AN3740" s="447">
        <f t="shared" si="836"/>
        <v>0</v>
      </c>
      <c r="AO3740" s="108"/>
      <c r="AP3740"/>
    </row>
    <row r="3741" spans="1:42" s="108" customFormat="1" x14ac:dyDescent="0.25">
      <c r="A3741" s="61"/>
      <c r="B3741" s="698"/>
      <c r="C3741" s="9"/>
      <c r="D3741" s="949"/>
      <c r="E3741" s="114"/>
      <c r="F3741" s="274"/>
      <c r="G3741" s="274"/>
      <c r="H3741" s="274"/>
      <c r="I3741" s="722"/>
      <c r="J3741" s="828"/>
      <c r="K3741" s="131">
        <f t="shared" ref="K3741:K3804" si="837">+D3741*I3741</f>
        <v>0</v>
      </c>
      <c r="L3741" s="335">
        <f t="shared" si="828"/>
        <v>0</v>
      </c>
      <c r="M3741" s="335"/>
      <c r="N3741" s="335"/>
      <c r="O3741" s="335"/>
      <c r="P3741" s="335"/>
      <c r="Q3741" s="130">
        <f t="shared" si="834"/>
        <v>0</v>
      </c>
      <c r="R3741" s="131">
        <f t="shared" si="824"/>
        <v>0</v>
      </c>
      <c r="S3741" s="130"/>
      <c r="T3741" s="130"/>
      <c r="U3741" s="130">
        <f t="shared" si="835"/>
        <v>0</v>
      </c>
      <c r="V3741" s="131">
        <f t="shared" si="825"/>
        <v>0</v>
      </c>
      <c r="W3741" s="130"/>
      <c r="X3741" s="130"/>
      <c r="Y3741" s="130"/>
      <c r="Z3741" s="130"/>
      <c r="AA3741" s="130">
        <f t="shared" si="827"/>
        <v>0</v>
      </c>
      <c r="AB3741" s="131">
        <f t="shared" si="832"/>
        <v>0</v>
      </c>
      <c r="AC3741" s="130"/>
      <c r="AD3741" s="130"/>
      <c r="AE3741" s="130">
        <f t="shared" si="827"/>
        <v>0</v>
      </c>
      <c r="AF3741" s="131">
        <f t="shared" si="833"/>
        <v>0</v>
      </c>
      <c r="AG3741" s="130"/>
      <c r="AH3741" s="130"/>
      <c r="AI3741" s="130"/>
      <c r="AJ3741" s="130"/>
      <c r="AK3741" s="131">
        <f t="shared" si="829"/>
        <v>0</v>
      </c>
      <c r="AL3741" s="446">
        <f t="shared" si="830"/>
        <v>0</v>
      </c>
      <c r="AM3741" s="110">
        <f t="shared" si="831"/>
        <v>0</v>
      </c>
      <c r="AN3741" s="447">
        <f t="shared" si="836"/>
        <v>0</v>
      </c>
      <c r="AO3741"/>
      <c r="AP3741"/>
    </row>
    <row r="3742" spans="1:42" x14ac:dyDescent="0.25">
      <c r="A3742" s="310">
        <v>34104</v>
      </c>
      <c r="B3742" s="375" t="s">
        <v>866</v>
      </c>
      <c r="C3742" s="381"/>
      <c r="D3742" s="902"/>
      <c r="E3742" s="312"/>
      <c r="F3742" s="313"/>
      <c r="G3742" s="313"/>
      <c r="H3742" s="313"/>
      <c r="I3742" s="729"/>
      <c r="J3742" s="800"/>
      <c r="K3742" s="131">
        <f t="shared" si="837"/>
        <v>0</v>
      </c>
      <c r="L3742" s="335">
        <f t="shared" si="828"/>
        <v>0</v>
      </c>
      <c r="M3742" s="446"/>
      <c r="N3742" s="446"/>
      <c r="O3742" s="446"/>
      <c r="P3742" s="446"/>
      <c r="Q3742" s="110">
        <f t="shared" si="834"/>
        <v>0</v>
      </c>
      <c r="R3742" s="111">
        <f t="shared" si="824"/>
        <v>0</v>
      </c>
      <c r="S3742" s="110"/>
      <c r="T3742" s="110"/>
      <c r="U3742" s="110">
        <f t="shared" si="835"/>
        <v>0</v>
      </c>
      <c r="V3742" s="111">
        <f t="shared" si="825"/>
        <v>0</v>
      </c>
      <c r="W3742" s="110"/>
      <c r="X3742" s="110"/>
      <c r="Y3742" s="110"/>
      <c r="Z3742" s="110"/>
      <c r="AA3742" s="110">
        <f t="shared" si="827"/>
        <v>0</v>
      </c>
      <c r="AB3742" s="111">
        <f t="shared" si="832"/>
        <v>0</v>
      </c>
      <c r="AC3742" s="110"/>
      <c r="AD3742" s="110"/>
      <c r="AE3742" s="110">
        <f t="shared" si="827"/>
        <v>0</v>
      </c>
      <c r="AF3742" s="111">
        <f t="shared" si="833"/>
        <v>0</v>
      </c>
      <c r="AG3742" s="110"/>
      <c r="AH3742" s="110"/>
      <c r="AI3742" s="110"/>
      <c r="AJ3742" s="110"/>
      <c r="AK3742" s="111">
        <f t="shared" si="829"/>
        <v>0</v>
      </c>
      <c r="AL3742" s="446">
        <f t="shared" si="830"/>
        <v>0</v>
      </c>
      <c r="AM3742" s="110">
        <f t="shared" si="831"/>
        <v>0</v>
      </c>
      <c r="AN3742" s="447">
        <f t="shared" si="836"/>
        <v>0</v>
      </c>
      <c r="AO3742" s="108"/>
      <c r="AP3742"/>
    </row>
    <row r="3743" spans="1:42" s="108" customFormat="1" x14ac:dyDescent="0.25">
      <c r="A3743" s="61"/>
      <c r="B3743" s="698"/>
      <c r="C3743" s="9"/>
      <c r="D3743" s="949"/>
      <c r="E3743" s="114"/>
      <c r="F3743" s="274"/>
      <c r="G3743" s="274"/>
      <c r="H3743" s="274"/>
      <c r="I3743" s="722"/>
      <c r="J3743" s="828"/>
      <c r="K3743" s="131">
        <f t="shared" si="837"/>
        <v>0</v>
      </c>
      <c r="L3743" s="335">
        <f t="shared" si="828"/>
        <v>0</v>
      </c>
      <c r="M3743" s="335"/>
      <c r="N3743" s="335"/>
      <c r="O3743" s="335"/>
      <c r="P3743" s="335"/>
      <c r="Q3743" s="130">
        <f t="shared" si="834"/>
        <v>0</v>
      </c>
      <c r="R3743" s="131">
        <f t="shared" si="824"/>
        <v>0</v>
      </c>
      <c r="S3743" s="130"/>
      <c r="T3743" s="130"/>
      <c r="U3743" s="130">
        <f t="shared" si="835"/>
        <v>0</v>
      </c>
      <c r="V3743" s="131">
        <f t="shared" si="825"/>
        <v>0</v>
      </c>
      <c r="W3743" s="130"/>
      <c r="X3743" s="130"/>
      <c r="Y3743" s="130"/>
      <c r="Z3743" s="130"/>
      <c r="AA3743" s="130">
        <f t="shared" si="827"/>
        <v>0</v>
      </c>
      <c r="AB3743" s="131">
        <f t="shared" si="832"/>
        <v>0</v>
      </c>
      <c r="AC3743" s="130"/>
      <c r="AD3743" s="130"/>
      <c r="AE3743" s="130">
        <f t="shared" si="827"/>
        <v>0</v>
      </c>
      <c r="AF3743" s="131">
        <f t="shared" si="833"/>
        <v>0</v>
      </c>
      <c r="AG3743" s="130"/>
      <c r="AH3743" s="130"/>
      <c r="AI3743" s="130"/>
      <c r="AJ3743" s="130"/>
      <c r="AK3743" s="131">
        <f t="shared" si="829"/>
        <v>0</v>
      </c>
      <c r="AL3743" s="446">
        <f t="shared" si="830"/>
        <v>0</v>
      </c>
      <c r="AM3743" s="110">
        <f t="shared" si="831"/>
        <v>0</v>
      </c>
      <c r="AN3743" s="447">
        <f t="shared" si="836"/>
        <v>0</v>
      </c>
      <c r="AO3743"/>
      <c r="AP3743"/>
    </row>
    <row r="3744" spans="1:42" x14ac:dyDescent="0.25">
      <c r="A3744" s="310">
        <v>34105</v>
      </c>
      <c r="B3744" s="375" t="s">
        <v>867</v>
      </c>
      <c r="C3744" s="381"/>
      <c r="D3744" s="902"/>
      <c r="E3744" s="312"/>
      <c r="F3744" s="313"/>
      <c r="G3744" s="313"/>
      <c r="H3744" s="313"/>
      <c r="I3744" s="729"/>
      <c r="J3744" s="800"/>
      <c r="K3744" s="131">
        <f t="shared" si="837"/>
        <v>0</v>
      </c>
      <c r="L3744" s="335">
        <f t="shared" si="828"/>
        <v>0</v>
      </c>
      <c r="M3744" s="446"/>
      <c r="N3744" s="446"/>
      <c r="O3744" s="446"/>
      <c r="P3744" s="446"/>
      <c r="Q3744" s="110">
        <f t="shared" si="834"/>
        <v>0</v>
      </c>
      <c r="R3744" s="111">
        <f t="shared" si="824"/>
        <v>0</v>
      </c>
      <c r="S3744" s="110"/>
      <c r="T3744" s="110"/>
      <c r="U3744" s="110">
        <f t="shared" si="835"/>
        <v>0</v>
      </c>
      <c r="V3744" s="111">
        <f t="shared" si="825"/>
        <v>0</v>
      </c>
      <c r="W3744" s="110"/>
      <c r="X3744" s="110"/>
      <c r="Y3744" s="110"/>
      <c r="Z3744" s="110"/>
      <c r="AA3744" s="110">
        <f t="shared" si="827"/>
        <v>0</v>
      </c>
      <c r="AB3744" s="111">
        <f t="shared" si="832"/>
        <v>0</v>
      </c>
      <c r="AC3744" s="110"/>
      <c r="AD3744" s="110"/>
      <c r="AE3744" s="110">
        <f t="shared" si="827"/>
        <v>0</v>
      </c>
      <c r="AF3744" s="111">
        <f t="shared" si="833"/>
        <v>0</v>
      </c>
      <c r="AG3744" s="110"/>
      <c r="AH3744" s="110"/>
      <c r="AI3744" s="110"/>
      <c r="AJ3744" s="110"/>
      <c r="AK3744" s="111">
        <f t="shared" si="829"/>
        <v>0</v>
      </c>
      <c r="AL3744" s="446">
        <f t="shared" si="830"/>
        <v>0</v>
      </c>
      <c r="AM3744" s="110">
        <f t="shared" si="831"/>
        <v>0</v>
      </c>
      <c r="AN3744" s="447">
        <f t="shared" si="836"/>
        <v>0</v>
      </c>
      <c r="AO3744" s="108"/>
      <c r="AP3744"/>
    </row>
    <row r="3745" spans="1:42" s="108" customFormat="1" x14ac:dyDescent="0.25">
      <c r="A3745" s="61"/>
      <c r="B3745" s="698"/>
      <c r="C3745" s="9"/>
      <c r="D3745" s="949"/>
      <c r="E3745" s="114"/>
      <c r="F3745" s="274"/>
      <c r="G3745" s="274"/>
      <c r="H3745" s="274"/>
      <c r="I3745" s="722"/>
      <c r="J3745" s="828"/>
      <c r="K3745" s="131">
        <f t="shared" si="837"/>
        <v>0</v>
      </c>
      <c r="L3745" s="335">
        <f t="shared" si="828"/>
        <v>0</v>
      </c>
      <c r="M3745" s="335"/>
      <c r="N3745" s="335"/>
      <c r="O3745" s="335"/>
      <c r="P3745" s="335"/>
      <c r="Q3745" s="130">
        <f t="shared" si="834"/>
        <v>0</v>
      </c>
      <c r="R3745" s="131">
        <f t="shared" si="824"/>
        <v>0</v>
      </c>
      <c r="S3745" s="130"/>
      <c r="T3745" s="130"/>
      <c r="U3745" s="130">
        <f t="shared" si="835"/>
        <v>0</v>
      </c>
      <c r="V3745" s="131">
        <f t="shared" si="825"/>
        <v>0</v>
      </c>
      <c r="W3745" s="130"/>
      <c r="X3745" s="130"/>
      <c r="Y3745" s="130"/>
      <c r="Z3745" s="130"/>
      <c r="AA3745" s="130">
        <f t="shared" si="827"/>
        <v>0</v>
      </c>
      <c r="AB3745" s="131">
        <f t="shared" si="832"/>
        <v>0</v>
      </c>
      <c r="AC3745" s="130"/>
      <c r="AD3745" s="130"/>
      <c r="AE3745" s="130">
        <f t="shared" si="827"/>
        <v>0</v>
      </c>
      <c r="AF3745" s="131">
        <f t="shared" si="833"/>
        <v>0</v>
      </c>
      <c r="AG3745" s="130"/>
      <c r="AH3745" s="130"/>
      <c r="AI3745" s="130"/>
      <c r="AJ3745" s="130"/>
      <c r="AK3745" s="131">
        <f t="shared" si="829"/>
        <v>0</v>
      </c>
      <c r="AL3745" s="446">
        <f t="shared" si="830"/>
        <v>0</v>
      </c>
      <c r="AM3745" s="110">
        <f t="shared" si="831"/>
        <v>0</v>
      </c>
      <c r="AN3745" s="447">
        <f t="shared" si="836"/>
        <v>0</v>
      </c>
      <c r="AO3745"/>
      <c r="AP3745"/>
    </row>
    <row r="3746" spans="1:42" x14ac:dyDescent="0.25">
      <c r="A3746" s="310">
        <v>34106</v>
      </c>
      <c r="B3746" s="375" t="s">
        <v>868</v>
      </c>
      <c r="C3746" s="381"/>
      <c r="D3746" s="902"/>
      <c r="E3746" s="312"/>
      <c r="F3746" s="313"/>
      <c r="G3746" s="313"/>
      <c r="H3746" s="313"/>
      <c r="I3746" s="729"/>
      <c r="J3746" s="800"/>
      <c r="K3746" s="131">
        <f t="shared" si="837"/>
        <v>0</v>
      </c>
      <c r="L3746" s="335">
        <f t="shared" si="828"/>
        <v>0</v>
      </c>
      <c r="M3746" s="446"/>
      <c r="N3746" s="446"/>
      <c r="O3746" s="446"/>
      <c r="P3746" s="446"/>
      <c r="Q3746" s="110">
        <f t="shared" si="834"/>
        <v>0</v>
      </c>
      <c r="R3746" s="111">
        <f t="shared" si="824"/>
        <v>0</v>
      </c>
      <c r="S3746" s="110"/>
      <c r="T3746" s="110"/>
      <c r="U3746" s="110">
        <f t="shared" si="835"/>
        <v>0</v>
      </c>
      <c r="V3746" s="111">
        <f t="shared" si="825"/>
        <v>0</v>
      </c>
      <c r="W3746" s="110"/>
      <c r="X3746" s="110"/>
      <c r="Y3746" s="110"/>
      <c r="Z3746" s="110"/>
      <c r="AA3746" s="110">
        <f t="shared" si="827"/>
        <v>0</v>
      </c>
      <c r="AB3746" s="111">
        <f t="shared" si="832"/>
        <v>0</v>
      </c>
      <c r="AC3746" s="110"/>
      <c r="AD3746" s="110"/>
      <c r="AE3746" s="110">
        <f t="shared" si="827"/>
        <v>0</v>
      </c>
      <c r="AF3746" s="111">
        <f t="shared" si="833"/>
        <v>0</v>
      </c>
      <c r="AG3746" s="110"/>
      <c r="AH3746" s="110"/>
      <c r="AI3746" s="110"/>
      <c r="AJ3746" s="110"/>
      <c r="AK3746" s="111">
        <f t="shared" si="829"/>
        <v>0</v>
      </c>
      <c r="AL3746" s="446">
        <f t="shared" si="830"/>
        <v>0</v>
      </c>
      <c r="AM3746" s="110">
        <f t="shared" si="831"/>
        <v>0</v>
      </c>
      <c r="AN3746" s="447">
        <f t="shared" si="836"/>
        <v>0</v>
      </c>
      <c r="AO3746" s="108"/>
      <c r="AP3746"/>
    </row>
    <row r="3747" spans="1:42" s="108" customFormat="1" x14ac:dyDescent="0.25">
      <c r="A3747" s="61"/>
      <c r="B3747" s="698"/>
      <c r="C3747" s="9"/>
      <c r="D3747" s="949"/>
      <c r="E3747" s="114"/>
      <c r="F3747" s="274"/>
      <c r="G3747" s="274"/>
      <c r="H3747" s="274"/>
      <c r="I3747" s="722"/>
      <c r="J3747" s="828"/>
      <c r="K3747" s="131">
        <f t="shared" si="837"/>
        <v>0</v>
      </c>
      <c r="L3747" s="335">
        <f t="shared" si="828"/>
        <v>0</v>
      </c>
      <c r="M3747" s="335"/>
      <c r="N3747" s="335"/>
      <c r="O3747" s="335"/>
      <c r="P3747" s="335"/>
      <c r="Q3747" s="130">
        <f t="shared" si="834"/>
        <v>0</v>
      </c>
      <c r="R3747" s="131">
        <f t="shared" si="824"/>
        <v>0</v>
      </c>
      <c r="S3747" s="130"/>
      <c r="T3747" s="130"/>
      <c r="U3747" s="130">
        <f t="shared" si="835"/>
        <v>0</v>
      </c>
      <c r="V3747" s="131">
        <f t="shared" si="825"/>
        <v>0</v>
      </c>
      <c r="W3747" s="130"/>
      <c r="X3747" s="130"/>
      <c r="Y3747" s="130"/>
      <c r="Z3747" s="130"/>
      <c r="AA3747" s="130">
        <f t="shared" si="827"/>
        <v>0</v>
      </c>
      <c r="AB3747" s="131">
        <f t="shared" si="832"/>
        <v>0</v>
      </c>
      <c r="AC3747" s="130"/>
      <c r="AD3747" s="130"/>
      <c r="AE3747" s="130">
        <f t="shared" si="827"/>
        <v>0</v>
      </c>
      <c r="AF3747" s="131">
        <f t="shared" si="833"/>
        <v>0</v>
      </c>
      <c r="AG3747" s="130"/>
      <c r="AH3747" s="130"/>
      <c r="AI3747" s="130"/>
      <c r="AJ3747" s="130"/>
      <c r="AK3747" s="131">
        <f t="shared" si="829"/>
        <v>0</v>
      </c>
      <c r="AL3747" s="446">
        <f t="shared" si="830"/>
        <v>0</v>
      </c>
      <c r="AM3747" s="110">
        <f t="shared" si="831"/>
        <v>0</v>
      </c>
      <c r="AN3747" s="447">
        <f t="shared" si="836"/>
        <v>0</v>
      </c>
      <c r="AO3747"/>
      <c r="AP3747"/>
    </row>
    <row r="3748" spans="1:42" x14ac:dyDescent="0.25">
      <c r="A3748" s="310">
        <v>34107</v>
      </c>
      <c r="B3748" s="375" t="s">
        <v>869</v>
      </c>
      <c r="C3748" s="381"/>
      <c r="D3748" s="902"/>
      <c r="E3748" s="312"/>
      <c r="F3748" s="313"/>
      <c r="G3748" s="313"/>
      <c r="H3748" s="313"/>
      <c r="I3748" s="729"/>
      <c r="J3748" s="800"/>
      <c r="K3748" s="131">
        <f t="shared" si="837"/>
        <v>0</v>
      </c>
      <c r="L3748" s="335">
        <f t="shared" si="828"/>
        <v>0</v>
      </c>
      <c r="M3748" s="446"/>
      <c r="N3748" s="446"/>
      <c r="O3748" s="446"/>
      <c r="P3748" s="446"/>
      <c r="Q3748" s="110">
        <f t="shared" si="834"/>
        <v>0</v>
      </c>
      <c r="R3748" s="111">
        <f t="shared" si="824"/>
        <v>0</v>
      </c>
      <c r="S3748" s="110"/>
      <c r="T3748" s="110"/>
      <c r="U3748" s="110">
        <f t="shared" si="835"/>
        <v>0</v>
      </c>
      <c r="V3748" s="111">
        <f t="shared" si="825"/>
        <v>0</v>
      </c>
      <c r="W3748" s="110"/>
      <c r="X3748" s="110"/>
      <c r="Y3748" s="110"/>
      <c r="Z3748" s="110"/>
      <c r="AA3748" s="110">
        <f t="shared" si="827"/>
        <v>0</v>
      </c>
      <c r="AB3748" s="111">
        <f t="shared" si="832"/>
        <v>0</v>
      </c>
      <c r="AC3748" s="110"/>
      <c r="AD3748" s="110"/>
      <c r="AE3748" s="110">
        <f t="shared" si="827"/>
        <v>0</v>
      </c>
      <c r="AF3748" s="111">
        <f t="shared" si="833"/>
        <v>0</v>
      </c>
      <c r="AG3748" s="110"/>
      <c r="AH3748" s="110"/>
      <c r="AI3748" s="110"/>
      <c r="AJ3748" s="110"/>
      <c r="AK3748" s="111">
        <f t="shared" si="829"/>
        <v>0</v>
      </c>
      <c r="AL3748" s="446">
        <f t="shared" si="830"/>
        <v>0</v>
      </c>
      <c r="AM3748" s="110">
        <f t="shared" si="831"/>
        <v>0</v>
      </c>
      <c r="AN3748" s="447">
        <f t="shared" si="836"/>
        <v>0</v>
      </c>
      <c r="AO3748" s="108"/>
      <c r="AP3748"/>
    </row>
    <row r="3749" spans="1:42" s="108" customFormat="1" x14ac:dyDescent="0.25">
      <c r="A3749" s="61"/>
      <c r="B3749" s="698"/>
      <c r="C3749" s="9"/>
      <c r="D3749" s="949"/>
      <c r="E3749" s="114"/>
      <c r="F3749" s="274"/>
      <c r="G3749" s="274"/>
      <c r="H3749" s="274"/>
      <c r="I3749" s="722"/>
      <c r="J3749" s="828"/>
      <c r="K3749" s="131">
        <f t="shared" si="837"/>
        <v>0</v>
      </c>
      <c r="L3749" s="335">
        <f t="shared" si="828"/>
        <v>0</v>
      </c>
      <c r="M3749" s="335"/>
      <c r="N3749" s="335"/>
      <c r="O3749" s="335"/>
      <c r="P3749" s="335"/>
      <c r="Q3749" s="130">
        <f t="shared" si="834"/>
        <v>0</v>
      </c>
      <c r="R3749" s="131">
        <f t="shared" si="824"/>
        <v>0</v>
      </c>
      <c r="S3749" s="130"/>
      <c r="T3749" s="130"/>
      <c r="U3749" s="130">
        <f t="shared" si="835"/>
        <v>0</v>
      </c>
      <c r="V3749" s="131">
        <f t="shared" si="825"/>
        <v>0</v>
      </c>
      <c r="W3749" s="130"/>
      <c r="X3749" s="130"/>
      <c r="Y3749" s="130"/>
      <c r="Z3749" s="130"/>
      <c r="AA3749" s="130">
        <f t="shared" si="827"/>
        <v>0</v>
      </c>
      <c r="AB3749" s="131">
        <f t="shared" si="832"/>
        <v>0</v>
      </c>
      <c r="AC3749" s="130"/>
      <c r="AD3749" s="130"/>
      <c r="AE3749" s="130">
        <f t="shared" si="827"/>
        <v>0</v>
      </c>
      <c r="AF3749" s="131">
        <f t="shared" si="833"/>
        <v>0</v>
      </c>
      <c r="AG3749" s="130"/>
      <c r="AH3749" s="130"/>
      <c r="AI3749" s="130"/>
      <c r="AJ3749" s="130"/>
      <c r="AK3749" s="131">
        <f t="shared" si="829"/>
        <v>0</v>
      </c>
      <c r="AL3749" s="446">
        <f t="shared" si="830"/>
        <v>0</v>
      </c>
      <c r="AM3749" s="110">
        <f t="shared" si="831"/>
        <v>0</v>
      </c>
      <c r="AN3749" s="447">
        <f t="shared" si="836"/>
        <v>0</v>
      </c>
      <c r="AO3749"/>
      <c r="AP3749"/>
    </row>
    <row r="3750" spans="1:42" x14ac:dyDescent="0.25">
      <c r="A3750" s="310">
        <v>34108</v>
      </c>
      <c r="B3750" s="375" t="s">
        <v>870</v>
      </c>
      <c r="C3750" s="381"/>
      <c r="D3750" s="902"/>
      <c r="E3750" s="312"/>
      <c r="F3750" s="313"/>
      <c r="G3750" s="313"/>
      <c r="H3750" s="313"/>
      <c r="I3750" s="729"/>
      <c r="J3750" s="800"/>
      <c r="K3750" s="131">
        <f t="shared" si="837"/>
        <v>0</v>
      </c>
      <c r="L3750" s="335">
        <f t="shared" si="828"/>
        <v>0</v>
      </c>
      <c r="M3750" s="446"/>
      <c r="N3750" s="446"/>
      <c r="O3750" s="446"/>
      <c r="P3750" s="446"/>
      <c r="Q3750" s="110">
        <f t="shared" si="834"/>
        <v>0</v>
      </c>
      <c r="R3750" s="111">
        <f t="shared" si="824"/>
        <v>0</v>
      </c>
      <c r="S3750" s="110"/>
      <c r="T3750" s="110"/>
      <c r="U3750" s="110">
        <f t="shared" si="835"/>
        <v>0</v>
      </c>
      <c r="V3750" s="111">
        <f t="shared" si="825"/>
        <v>0</v>
      </c>
      <c r="W3750" s="110"/>
      <c r="X3750" s="110"/>
      <c r="Y3750" s="110"/>
      <c r="Z3750" s="110"/>
      <c r="AA3750" s="110">
        <f t="shared" si="827"/>
        <v>0</v>
      </c>
      <c r="AB3750" s="111">
        <f t="shared" si="832"/>
        <v>0</v>
      </c>
      <c r="AC3750" s="110"/>
      <c r="AD3750" s="110"/>
      <c r="AE3750" s="110">
        <f t="shared" si="827"/>
        <v>0</v>
      </c>
      <c r="AF3750" s="111">
        <f t="shared" si="833"/>
        <v>0</v>
      </c>
      <c r="AG3750" s="110"/>
      <c r="AH3750" s="110"/>
      <c r="AI3750" s="110"/>
      <c r="AJ3750" s="110"/>
      <c r="AK3750" s="111">
        <f t="shared" si="829"/>
        <v>0</v>
      </c>
      <c r="AL3750" s="446">
        <f t="shared" si="830"/>
        <v>0</v>
      </c>
      <c r="AM3750" s="110">
        <f t="shared" si="831"/>
        <v>0</v>
      </c>
      <c r="AN3750" s="447">
        <f t="shared" si="836"/>
        <v>0</v>
      </c>
      <c r="AO3750" s="108"/>
      <c r="AP3750"/>
    </row>
    <row r="3751" spans="1:42" s="108" customFormat="1" x14ac:dyDescent="0.25">
      <c r="A3751" s="61"/>
      <c r="B3751" s="698"/>
      <c r="C3751" s="9"/>
      <c r="D3751" s="949"/>
      <c r="E3751" s="114"/>
      <c r="F3751" s="274"/>
      <c r="G3751" s="274"/>
      <c r="H3751" s="274"/>
      <c r="I3751" s="722"/>
      <c r="J3751" s="828"/>
      <c r="K3751" s="131">
        <f t="shared" si="837"/>
        <v>0</v>
      </c>
      <c r="L3751" s="335">
        <f t="shared" si="828"/>
        <v>0</v>
      </c>
      <c r="M3751" s="335"/>
      <c r="N3751" s="335"/>
      <c r="O3751" s="335"/>
      <c r="P3751" s="335"/>
      <c r="Q3751" s="130">
        <f t="shared" si="834"/>
        <v>0</v>
      </c>
      <c r="R3751" s="131">
        <f t="shared" si="824"/>
        <v>0</v>
      </c>
      <c r="S3751" s="130"/>
      <c r="T3751" s="130"/>
      <c r="U3751" s="130">
        <f t="shared" si="835"/>
        <v>0</v>
      </c>
      <c r="V3751" s="131">
        <f t="shared" si="825"/>
        <v>0</v>
      </c>
      <c r="W3751" s="130"/>
      <c r="X3751" s="130"/>
      <c r="Y3751" s="130"/>
      <c r="Z3751" s="130"/>
      <c r="AA3751" s="130">
        <f t="shared" si="827"/>
        <v>0</v>
      </c>
      <c r="AB3751" s="131">
        <f t="shared" si="832"/>
        <v>0</v>
      </c>
      <c r="AC3751" s="130"/>
      <c r="AD3751" s="130"/>
      <c r="AE3751" s="130">
        <f t="shared" si="827"/>
        <v>0</v>
      </c>
      <c r="AF3751" s="131">
        <f t="shared" si="833"/>
        <v>0</v>
      </c>
      <c r="AG3751" s="130"/>
      <c r="AH3751" s="130"/>
      <c r="AI3751" s="130"/>
      <c r="AJ3751" s="130"/>
      <c r="AK3751" s="131">
        <f t="shared" si="829"/>
        <v>0</v>
      </c>
      <c r="AL3751" s="446">
        <f t="shared" si="830"/>
        <v>0</v>
      </c>
      <c r="AM3751" s="110">
        <f t="shared" si="831"/>
        <v>0</v>
      </c>
      <c r="AN3751" s="447">
        <f t="shared" si="836"/>
        <v>0</v>
      </c>
      <c r="AO3751"/>
      <c r="AP3751"/>
    </row>
    <row r="3752" spans="1:42" x14ac:dyDescent="0.25">
      <c r="A3752" s="376">
        <v>342</v>
      </c>
      <c r="B3752" s="588" t="s">
        <v>871</v>
      </c>
      <c r="C3752" s="376"/>
      <c r="D3752" s="940"/>
      <c r="E3752" s="377"/>
      <c r="F3752" s="378"/>
      <c r="G3752" s="378"/>
      <c r="H3752" s="378"/>
      <c r="I3752" s="734"/>
      <c r="J3752" s="806"/>
      <c r="K3752" s="131">
        <f t="shared" si="837"/>
        <v>0</v>
      </c>
      <c r="L3752" s="335">
        <f t="shared" si="828"/>
        <v>0</v>
      </c>
      <c r="M3752" s="419"/>
      <c r="N3752" s="419"/>
      <c r="O3752" s="419"/>
      <c r="P3752" s="419"/>
      <c r="Q3752" s="418">
        <f t="shared" si="834"/>
        <v>0</v>
      </c>
      <c r="R3752" s="379">
        <f t="shared" si="824"/>
        <v>0</v>
      </c>
      <c r="S3752" s="418"/>
      <c r="T3752" s="418"/>
      <c r="U3752" s="418">
        <f t="shared" si="835"/>
        <v>0</v>
      </c>
      <c r="V3752" s="379">
        <f t="shared" si="825"/>
        <v>0</v>
      </c>
      <c r="W3752" s="418"/>
      <c r="X3752" s="418"/>
      <c r="Y3752" s="418"/>
      <c r="Z3752" s="418"/>
      <c r="AA3752" s="418">
        <f t="shared" si="827"/>
        <v>0</v>
      </c>
      <c r="AB3752" s="379">
        <f t="shared" si="832"/>
        <v>0</v>
      </c>
      <c r="AC3752" s="418"/>
      <c r="AD3752" s="418"/>
      <c r="AE3752" s="418">
        <f t="shared" si="827"/>
        <v>0</v>
      </c>
      <c r="AF3752" s="379">
        <f t="shared" si="833"/>
        <v>0</v>
      </c>
      <c r="AG3752" s="418"/>
      <c r="AH3752" s="418"/>
      <c r="AI3752" s="418"/>
      <c r="AJ3752" s="418"/>
      <c r="AK3752" s="379">
        <f t="shared" si="829"/>
        <v>0</v>
      </c>
      <c r="AL3752" s="446">
        <f t="shared" si="830"/>
        <v>0</v>
      </c>
      <c r="AM3752" s="110">
        <f t="shared" si="831"/>
        <v>0</v>
      </c>
      <c r="AN3752" s="447">
        <f t="shared" si="836"/>
        <v>0</v>
      </c>
      <c r="AO3752" s="108"/>
      <c r="AP3752"/>
    </row>
    <row r="3753" spans="1:42" x14ac:dyDescent="0.25">
      <c r="A3753" s="310">
        <v>34201</v>
      </c>
      <c r="B3753" s="375" t="s">
        <v>871</v>
      </c>
      <c r="C3753" s="381"/>
      <c r="D3753" s="902"/>
      <c r="E3753" s="312"/>
      <c r="F3753" s="313"/>
      <c r="G3753" s="313"/>
      <c r="H3753" s="313"/>
      <c r="I3753" s="729"/>
      <c r="J3753" s="800"/>
      <c r="K3753" s="131">
        <f t="shared" si="837"/>
        <v>0</v>
      </c>
      <c r="L3753" s="335">
        <f t="shared" si="828"/>
        <v>0</v>
      </c>
      <c r="M3753" s="446"/>
      <c r="N3753" s="446"/>
      <c r="O3753" s="446"/>
      <c r="P3753" s="446"/>
      <c r="Q3753" s="110">
        <f t="shared" si="834"/>
        <v>0</v>
      </c>
      <c r="R3753" s="111">
        <f t="shared" si="824"/>
        <v>0</v>
      </c>
      <c r="S3753" s="110"/>
      <c r="T3753" s="110"/>
      <c r="U3753" s="110">
        <f t="shared" si="835"/>
        <v>0</v>
      </c>
      <c r="V3753" s="111">
        <f t="shared" si="825"/>
        <v>0</v>
      </c>
      <c r="W3753" s="110"/>
      <c r="X3753" s="110"/>
      <c r="Y3753" s="110"/>
      <c r="Z3753" s="110"/>
      <c r="AA3753" s="110">
        <f t="shared" si="827"/>
        <v>0</v>
      </c>
      <c r="AB3753" s="111">
        <f t="shared" si="832"/>
        <v>0</v>
      </c>
      <c r="AC3753" s="110"/>
      <c r="AD3753" s="110"/>
      <c r="AE3753" s="110">
        <f t="shared" si="827"/>
        <v>0</v>
      </c>
      <c r="AF3753" s="111">
        <f t="shared" si="833"/>
        <v>0</v>
      </c>
      <c r="AG3753" s="110"/>
      <c r="AH3753" s="110"/>
      <c r="AI3753" s="110"/>
      <c r="AJ3753" s="110"/>
      <c r="AK3753" s="111">
        <f t="shared" si="829"/>
        <v>0</v>
      </c>
      <c r="AL3753" s="446">
        <f t="shared" si="830"/>
        <v>0</v>
      </c>
      <c r="AM3753" s="110">
        <f t="shared" si="831"/>
        <v>0</v>
      </c>
      <c r="AN3753" s="447">
        <f t="shared" si="836"/>
        <v>0</v>
      </c>
      <c r="AO3753" s="108"/>
      <c r="AP3753"/>
    </row>
    <row r="3754" spans="1:42" s="108" customFormat="1" x14ac:dyDescent="0.25">
      <c r="A3754" s="61"/>
      <c r="B3754" s="698"/>
      <c r="C3754" s="9"/>
      <c r="D3754" s="929"/>
      <c r="E3754" s="211"/>
      <c r="F3754" s="284"/>
      <c r="G3754" s="284"/>
      <c r="H3754" s="284"/>
      <c r="I3754" s="722"/>
      <c r="J3754" s="809"/>
      <c r="K3754" s="131">
        <f t="shared" si="837"/>
        <v>0</v>
      </c>
      <c r="L3754" s="335">
        <f t="shared" si="828"/>
        <v>0</v>
      </c>
      <c r="M3754" s="335"/>
      <c r="N3754" s="335"/>
      <c r="O3754" s="335"/>
      <c r="P3754" s="335"/>
      <c r="Q3754" s="130">
        <f t="shared" si="834"/>
        <v>0</v>
      </c>
      <c r="R3754" s="131">
        <f t="shared" si="824"/>
        <v>0</v>
      </c>
      <c r="S3754" s="130"/>
      <c r="T3754" s="130"/>
      <c r="U3754" s="130">
        <f t="shared" si="835"/>
        <v>0</v>
      </c>
      <c r="V3754" s="131">
        <f t="shared" si="825"/>
        <v>0</v>
      </c>
      <c r="W3754" s="130"/>
      <c r="X3754" s="130"/>
      <c r="Y3754" s="130"/>
      <c r="Z3754" s="130"/>
      <c r="AA3754" s="130">
        <f t="shared" si="827"/>
        <v>0</v>
      </c>
      <c r="AB3754" s="131">
        <f t="shared" si="832"/>
        <v>0</v>
      </c>
      <c r="AC3754" s="130"/>
      <c r="AD3754" s="130"/>
      <c r="AE3754" s="130">
        <f t="shared" si="827"/>
        <v>0</v>
      </c>
      <c r="AF3754" s="131">
        <f t="shared" si="833"/>
        <v>0</v>
      </c>
      <c r="AG3754" s="130"/>
      <c r="AH3754" s="130"/>
      <c r="AI3754" s="130"/>
      <c r="AJ3754" s="130"/>
      <c r="AK3754" s="131">
        <f t="shared" si="829"/>
        <v>0</v>
      </c>
      <c r="AL3754" s="446">
        <f t="shared" si="830"/>
        <v>0</v>
      </c>
      <c r="AM3754" s="110">
        <f t="shared" si="831"/>
        <v>0</v>
      </c>
      <c r="AN3754" s="447">
        <f t="shared" si="836"/>
        <v>0</v>
      </c>
      <c r="AO3754"/>
      <c r="AP3754"/>
    </row>
    <row r="3755" spans="1:42" ht="22.5" x14ac:dyDescent="0.25">
      <c r="A3755" s="376">
        <v>343</v>
      </c>
      <c r="B3755" s="588" t="s">
        <v>872</v>
      </c>
      <c r="C3755" s="376"/>
      <c r="D3755" s="940"/>
      <c r="E3755" s="377"/>
      <c r="F3755" s="378"/>
      <c r="G3755" s="378"/>
      <c r="H3755" s="378"/>
      <c r="I3755" s="734"/>
      <c r="J3755" s="806"/>
      <c r="K3755" s="131">
        <f t="shared" si="837"/>
        <v>0</v>
      </c>
      <c r="L3755" s="335">
        <f t="shared" si="828"/>
        <v>0</v>
      </c>
      <c r="M3755" s="419"/>
      <c r="N3755" s="419"/>
      <c r="O3755" s="419"/>
      <c r="P3755" s="419"/>
      <c r="Q3755" s="418">
        <f t="shared" si="834"/>
        <v>0</v>
      </c>
      <c r="R3755" s="379">
        <f t="shared" si="824"/>
        <v>0</v>
      </c>
      <c r="S3755" s="418"/>
      <c r="T3755" s="418"/>
      <c r="U3755" s="418">
        <f t="shared" si="835"/>
        <v>0</v>
      </c>
      <c r="V3755" s="379">
        <f t="shared" si="825"/>
        <v>0</v>
      </c>
      <c r="W3755" s="418"/>
      <c r="X3755" s="418"/>
      <c r="Y3755" s="418"/>
      <c r="Z3755" s="418"/>
      <c r="AA3755" s="418">
        <f t="shared" si="827"/>
        <v>0</v>
      </c>
      <c r="AB3755" s="379">
        <f t="shared" si="832"/>
        <v>0</v>
      </c>
      <c r="AC3755" s="418"/>
      <c r="AD3755" s="418"/>
      <c r="AE3755" s="418">
        <f t="shared" si="827"/>
        <v>0</v>
      </c>
      <c r="AF3755" s="379">
        <f t="shared" si="833"/>
        <v>0</v>
      </c>
      <c r="AG3755" s="418"/>
      <c r="AH3755" s="418"/>
      <c r="AI3755" s="418"/>
      <c r="AJ3755" s="418"/>
      <c r="AK3755" s="379">
        <f t="shared" si="829"/>
        <v>0</v>
      </c>
      <c r="AL3755" s="446">
        <f t="shared" si="830"/>
        <v>0</v>
      </c>
      <c r="AM3755" s="110">
        <f t="shared" si="831"/>
        <v>0</v>
      </c>
      <c r="AN3755" s="447">
        <f t="shared" si="836"/>
        <v>0</v>
      </c>
      <c r="AO3755" s="108"/>
      <c r="AP3755"/>
    </row>
    <row r="3756" spans="1:42" x14ac:dyDescent="0.25">
      <c r="A3756" s="310">
        <v>34301</v>
      </c>
      <c r="B3756" s="375" t="s">
        <v>873</v>
      </c>
      <c r="C3756" s="381"/>
      <c r="D3756" s="902"/>
      <c r="E3756" s="312"/>
      <c r="F3756" s="313"/>
      <c r="G3756" s="313"/>
      <c r="H3756" s="313"/>
      <c r="I3756" s="729"/>
      <c r="J3756" s="800"/>
      <c r="K3756" s="131">
        <f t="shared" si="837"/>
        <v>0</v>
      </c>
      <c r="L3756" s="335">
        <f t="shared" si="828"/>
        <v>0</v>
      </c>
      <c r="M3756" s="446"/>
      <c r="N3756" s="446"/>
      <c r="O3756" s="446"/>
      <c r="P3756" s="446"/>
      <c r="Q3756" s="110">
        <f t="shared" si="834"/>
        <v>0</v>
      </c>
      <c r="R3756" s="111">
        <f t="shared" si="824"/>
        <v>0</v>
      </c>
      <c r="S3756" s="110"/>
      <c r="T3756" s="110"/>
      <c r="U3756" s="110">
        <f t="shared" si="835"/>
        <v>0</v>
      </c>
      <c r="V3756" s="111">
        <f t="shared" si="825"/>
        <v>0</v>
      </c>
      <c r="W3756" s="110"/>
      <c r="X3756" s="110"/>
      <c r="Y3756" s="110"/>
      <c r="Z3756" s="110"/>
      <c r="AA3756" s="110">
        <f t="shared" si="827"/>
        <v>0</v>
      </c>
      <c r="AB3756" s="111">
        <f t="shared" si="832"/>
        <v>0</v>
      </c>
      <c r="AC3756" s="110"/>
      <c r="AD3756" s="110"/>
      <c r="AE3756" s="110">
        <f t="shared" si="827"/>
        <v>0</v>
      </c>
      <c r="AF3756" s="111">
        <f t="shared" si="833"/>
        <v>0</v>
      </c>
      <c r="AG3756" s="110"/>
      <c r="AH3756" s="110"/>
      <c r="AI3756" s="110"/>
      <c r="AJ3756" s="110"/>
      <c r="AK3756" s="111">
        <f t="shared" si="829"/>
        <v>0</v>
      </c>
      <c r="AL3756" s="446">
        <f t="shared" si="830"/>
        <v>0</v>
      </c>
      <c r="AM3756" s="110">
        <f t="shared" si="831"/>
        <v>0</v>
      </c>
      <c r="AN3756" s="447">
        <f t="shared" si="836"/>
        <v>0</v>
      </c>
      <c r="AO3756" s="108"/>
      <c r="AP3756"/>
    </row>
    <row r="3757" spans="1:42" s="108" customFormat="1" x14ac:dyDescent="0.25">
      <c r="A3757" s="61"/>
      <c r="B3757" s="698"/>
      <c r="C3757" s="9"/>
      <c r="D3757" s="949"/>
      <c r="E3757" s="114"/>
      <c r="F3757" s="274"/>
      <c r="G3757" s="274"/>
      <c r="H3757" s="274"/>
      <c r="I3757" s="722"/>
      <c r="J3757" s="828"/>
      <c r="K3757" s="131">
        <f t="shared" si="837"/>
        <v>0</v>
      </c>
      <c r="L3757" s="335">
        <f t="shared" si="828"/>
        <v>0</v>
      </c>
      <c r="M3757" s="335"/>
      <c r="N3757" s="335"/>
      <c r="O3757" s="335"/>
      <c r="P3757" s="335"/>
      <c r="Q3757" s="130">
        <f t="shared" si="834"/>
        <v>0</v>
      </c>
      <c r="R3757" s="131">
        <f t="shared" si="824"/>
        <v>0</v>
      </c>
      <c r="S3757" s="130"/>
      <c r="T3757" s="130"/>
      <c r="U3757" s="130">
        <f t="shared" si="835"/>
        <v>0</v>
      </c>
      <c r="V3757" s="131">
        <f t="shared" si="825"/>
        <v>0</v>
      </c>
      <c r="W3757" s="130"/>
      <c r="X3757" s="130"/>
      <c r="Y3757" s="130"/>
      <c r="Z3757" s="130"/>
      <c r="AA3757" s="130">
        <f t="shared" si="827"/>
        <v>0</v>
      </c>
      <c r="AB3757" s="131">
        <f t="shared" si="832"/>
        <v>0</v>
      </c>
      <c r="AC3757" s="130"/>
      <c r="AD3757" s="130"/>
      <c r="AE3757" s="130">
        <f t="shared" si="827"/>
        <v>0</v>
      </c>
      <c r="AF3757" s="131">
        <f t="shared" si="833"/>
        <v>0</v>
      </c>
      <c r="AG3757" s="130"/>
      <c r="AH3757" s="130"/>
      <c r="AI3757" s="130"/>
      <c r="AJ3757" s="130"/>
      <c r="AK3757" s="131">
        <f t="shared" si="829"/>
        <v>0</v>
      </c>
      <c r="AL3757" s="446">
        <f t="shared" si="830"/>
        <v>0</v>
      </c>
      <c r="AM3757" s="110">
        <f t="shared" si="831"/>
        <v>0</v>
      </c>
      <c r="AN3757" s="447">
        <f t="shared" si="836"/>
        <v>0</v>
      </c>
      <c r="AO3757"/>
      <c r="AP3757"/>
    </row>
    <row r="3758" spans="1:42" x14ac:dyDescent="0.25">
      <c r="A3758" s="376">
        <v>344</v>
      </c>
      <c r="B3758" s="588" t="s">
        <v>874</v>
      </c>
      <c r="C3758" s="376"/>
      <c r="D3758" s="940"/>
      <c r="E3758" s="377"/>
      <c r="F3758" s="378"/>
      <c r="G3758" s="378"/>
      <c r="H3758" s="378"/>
      <c r="I3758" s="734"/>
      <c r="J3758" s="806"/>
      <c r="K3758" s="131">
        <f t="shared" si="837"/>
        <v>0</v>
      </c>
      <c r="L3758" s="335">
        <f t="shared" si="828"/>
        <v>0</v>
      </c>
      <c r="M3758" s="419"/>
      <c r="N3758" s="419"/>
      <c r="O3758" s="419"/>
      <c r="P3758" s="419"/>
      <c r="Q3758" s="418">
        <f t="shared" si="834"/>
        <v>0</v>
      </c>
      <c r="R3758" s="379">
        <f t="shared" si="824"/>
        <v>0</v>
      </c>
      <c r="S3758" s="418"/>
      <c r="T3758" s="418"/>
      <c r="U3758" s="418">
        <f t="shared" si="835"/>
        <v>0</v>
      </c>
      <c r="V3758" s="379">
        <f t="shared" si="825"/>
        <v>0</v>
      </c>
      <c r="W3758" s="418"/>
      <c r="X3758" s="418"/>
      <c r="Y3758" s="418"/>
      <c r="Z3758" s="418"/>
      <c r="AA3758" s="418">
        <f t="shared" si="827"/>
        <v>0</v>
      </c>
      <c r="AB3758" s="379">
        <f t="shared" si="832"/>
        <v>0</v>
      </c>
      <c r="AC3758" s="418"/>
      <c r="AD3758" s="418"/>
      <c r="AE3758" s="418">
        <f t="shared" si="827"/>
        <v>0</v>
      </c>
      <c r="AF3758" s="379">
        <f t="shared" si="833"/>
        <v>0</v>
      </c>
      <c r="AG3758" s="418"/>
      <c r="AH3758" s="418"/>
      <c r="AI3758" s="418"/>
      <c r="AJ3758" s="418"/>
      <c r="AK3758" s="379">
        <f t="shared" si="829"/>
        <v>0</v>
      </c>
      <c r="AL3758" s="446">
        <f t="shared" si="830"/>
        <v>0</v>
      </c>
      <c r="AM3758" s="110">
        <f t="shared" si="831"/>
        <v>0</v>
      </c>
      <c r="AN3758" s="447">
        <f t="shared" si="836"/>
        <v>0</v>
      </c>
      <c r="AO3758" s="108"/>
      <c r="AP3758"/>
    </row>
    <row r="3759" spans="1:42" x14ac:dyDescent="0.25">
      <c r="A3759" s="310">
        <v>34401</v>
      </c>
      <c r="B3759" s="375" t="s">
        <v>875</v>
      </c>
      <c r="C3759" s="381"/>
      <c r="D3759" s="902"/>
      <c r="E3759" s="312"/>
      <c r="F3759" s="313"/>
      <c r="G3759" s="313"/>
      <c r="H3759" s="313"/>
      <c r="I3759" s="729"/>
      <c r="J3759" s="800"/>
      <c r="K3759" s="131">
        <f t="shared" si="837"/>
        <v>0</v>
      </c>
      <c r="L3759" s="335">
        <f t="shared" si="828"/>
        <v>0</v>
      </c>
      <c r="M3759" s="446"/>
      <c r="N3759" s="446"/>
      <c r="O3759" s="446"/>
      <c r="P3759" s="446"/>
      <c r="Q3759" s="110">
        <f t="shared" si="834"/>
        <v>0</v>
      </c>
      <c r="R3759" s="111">
        <f t="shared" ref="R3759:R3823" si="838">+J3759/4</f>
        <v>0</v>
      </c>
      <c r="S3759" s="110"/>
      <c r="T3759" s="110"/>
      <c r="U3759" s="110">
        <f t="shared" si="835"/>
        <v>0</v>
      </c>
      <c r="V3759" s="111">
        <f t="shared" ref="V3759:V3823" si="839">+J3759/4</f>
        <v>0</v>
      </c>
      <c r="W3759" s="110"/>
      <c r="X3759" s="110"/>
      <c r="Y3759" s="110"/>
      <c r="Z3759" s="110"/>
      <c r="AA3759" s="110">
        <f t="shared" si="827"/>
        <v>0</v>
      </c>
      <c r="AB3759" s="111">
        <f t="shared" si="832"/>
        <v>0</v>
      </c>
      <c r="AC3759" s="110"/>
      <c r="AD3759" s="110"/>
      <c r="AE3759" s="110">
        <f t="shared" si="827"/>
        <v>0</v>
      </c>
      <c r="AF3759" s="111">
        <f t="shared" si="833"/>
        <v>0</v>
      </c>
      <c r="AG3759" s="110"/>
      <c r="AH3759" s="110"/>
      <c r="AI3759" s="110"/>
      <c r="AJ3759" s="110"/>
      <c r="AK3759" s="111">
        <f t="shared" si="829"/>
        <v>0</v>
      </c>
      <c r="AL3759" s="446">
        <f t="shared" si="830"/>
        <v>0</v>
      </c>
      <c r="AM3759" s="110">
        <f t="shared" si="831"/>
        <v>0</v>
      </c>
      <c r="AN3759" s="447">
        <f t="shared" si="836"/>
        <v>0</v>
      </c>
      <c r="AO3759" s="108"/>
      <c r="AP3759"/>
    </row>
    <row r="3760" spans="1:42" s="108" customFormat="1" x14ac:dyDescent="0.25">
      <c r="A3760" s="61"/>
      <c r="B3760" s="698"/>
      <c r="C3760" s="9"/>
      <c r="D3760" s="949"/>
      <c r="E3760" s="114"/>
      <c r="F3760" s="274"/>
      <c r="G3760" s="274"/>
      <c r="H3760" s="274"/>
      <c r="I3760" s="722"/>
      <c r="J3760" s="828"/>
      <c r="K3760" s="131">
        <f t="shared" si="837"/>
        <v>0</v>
      </c>
      <c r="L3760" s="335">
        <f t="shared" si="828"/>
        <v>0</v>
      </c>
      <c r="M3760" s="335"/>
      <c r="N3760" s="335"/>
      <c r="O3760" s="335"/>
      <c r="P3760" s="335"/>
      <c r="Q3760" s="130">
        <f t="shared" si="834"/>
        <v>0</v>
      </c>
      <c r="R3760" s="131">
        <f t="shared" si="838"/>
        <v>0</v>
      </c>
      <c r="S3760" s="130"/>
      <c r="T3760" s="130"/>
      <c r="U3760" s="130">
        <f t="shared" si="835"/>
        <v>0</v>
      </c>
      <c r="V3760" s="131">
        <f t="shared" si="839"/>
        <v>0</v>
      </c>
      <c r="W3760" s="130"/>
      <c r="X3760" s="130"/>
      <c r="Y3760" s="130"/>
      <c r="Z3760" s="130"/>
      <c r="AA3760" s="130">
        <f t="shared" si="827"/>
        <v>0</v>
      </c>
      <c r="AB3760" s="131">
        <f t="shared" si="832"/>
        <v>0</v>
      </c>
      <c r="AC3760" s="130"/>
      <c r="AD3760" s="130"/>
      <c r="AE3760" s="130">
        <f t="shared" si="827"/>
        <v>0</v>
      </c>
      <c r="AF3760" s="131">
        <f t="shared" si="833"/>
        <v>0</v>
      </c>
      <c r="AG3760" s="130"/>
      <c r="AH3760" s="130"/>
      <c r="AI3760" s="130"/>
      <c r="AJ3760" s="130"/>
      <c r="AK3760" s="131">
        <f t="shared" si="829"/>
        <v>0</v>
      </c>
      <c r="AL3760" s="446">
        <f t="shared" si="830"/>
        <v>0</v>
      </c>
      <c r="AM3760" s="110">
        <f t="shared" si="831"/>
        <v>0</v>
      </c>
      <c r="AN3760" s="447">
        <f t="shared" si="836"/>
        <v>0</v>
      </c>
      <c r="AO3760"/>
      <c r="AP3760"/>
    </row>
    <row r="3761" spans="1:42" x14ac:dyDescent="0.25">
      <c r="A3761" s="376">
        <v>345</v>
      </c>
      <c r="B3761" s="588" t="s">
        <v>876</v>
      </c>
      <c r="C3761" s="376"/>
      <c r="D3761" s="940"/>
      <c r="E3761" s="377"/>
      <c r="F3761" s="378"/>
      <c r="G3761" s="378"/>
      <c r="H3761" s="378"/>
      <c r="I3761" s="734"/>
      <c r="J3761" s="806"/>
      <c r="K3761" s="131">
        <f t="shared" si="837"/>
        <v>0</v>
      </c>
      <c r="L3761" s="335">
        <f t="shared" si="828"/>
        <v>0</v>
      </c>
      <c r="M3761" s="419"/>
      <c r="N3761" s="419"/>
      <c r="O3761" s="419"/>
      <c r="P3761" s="419"/>
      <c r="Q3761" s="418">
        <f t="shared" si="834"/>
        <v>0</v>
      </c>
      <c r="R3761" s="379">
        <f t="shared" si="838"/>
        <v>0</v>
      </c>
      <c r="S3761" s="418"/>
      <c r="T3761" s="418"/>
      <c r="U3761" s="418">
        <f t="shared" si="835"/>
        <v>0</v>
      </c>
      <c r="V3761" s="379">
        <f t="shared" si="839"/>
        <v>0</v>
      </c>
      <c r="W3761" s="418"/>
      <c r="X3761" s="418"/>
      <c r="Y3761" s="418"/>
      <c r="Z3761" s="418"/>
      <c r="AA3761" s="418">
        <f t="shared" si="827"/>
        <v>0</v>
      </c>
      <c r="AB3761" s="379">
        <f t="shared" si="832"/>
        <v>0</v>
      </c>
      <c r="AC3761" s="418"/>
      <c r="AD3761" s="418"/>
      <c r="AE3761" s="418">
        <f t="shared" si="827"/>
        <v>0</v>
      </c>
      <c r="AF3761" s="379">
        <f t="shared" si="833"/>
        <v>0</v>
      </c>
      <c r="AG3761" s="418"/>
      <c r="AH3761" s="418"/>
      <c r="AI3761" s="418"/>
      <c r="AJ3761" s="418"/>
      <c r="AK3761" s="379">
        <f t="shared" si="829"/>
        <v>0</v>
      </c>
      <c r="AL3761" s="446">
        <f t="shared" si="830"/>
        <v>0</v>
      </c>
      <c r="AM3761" s="110">
        <f t="shared" si="831"/>
        <v>0</v>
      </c>
      <c r="AN3761" s="447">
        <f t="shared" si="836"/>
        <v>0</v>
      </c>
      <c r="AO3761" s="108"/>
      <c r="AP3761"/>
    </row>
    <row r="3762" spans="1:42" x14ac:dyDescent="0.25">
      <c r="A3762" s="310">
        <v>34501</v>
      </c>
      <c r="B3762" s="375" t="s">
        <v>877</v>
      </c>
      <c r="C3762" s="381"/>
      <c r="D3762" s="902"/>
      <c r="E3762" s="312"/>
      <c r="F3762" s="313"/>
      <c r="G3762" s="313"/>
      <c r="H3762" s="313"/>
      <c r="I3762" s="729"/>
      <c r="J3762" s="800"/>
      <c r="K3762" s="131">
        <f t="shared" si="837"/>
        <v>0</v>
      </c>
      <c r="L3762" s="335">
        <f t="shared" si="828"/>
        <v>0</v>
      </c>
      <c r="M3762" s="446"/>
      <c r="N3762" s="446"/>
      <c r="O3762" s="446"/>
      <c r="P3762" s="446"/>
      <c r="Q3762" s="110">
        <f t="shared" si="834"/>
        <v>0</v>
      </c>
      <c r="R3762" s="111">
        <f t="shared" si="838"/>
        <v>0</v>
      </c>
      <c r="S3762" s="110"/>
      <c r="T3762" s="110"/>
      <c r="U3762" s="110">
        <f t="shared" si="835"/>
        <v>0</v>
      </c>
      <c r="V3762" s="111">
        <f t="shared" si="839"/>
        <v>0</v>
      </c>
      <c r="W3762" s="110"/>
      <c r="X3762" s="110"/>
      <c r="Y3762" s="110"/>
      <c r="Z3762" s="110"/>
      <c r="AA3762" s="110">
        <f t="shared" ref="AA3762:AE3810" si="840">+$D3762/4</f>
        <v>0</v>
      </c>
      <c r="AB3762" s="111">
        <f t="shared" si="832"/>
        <v>0</v>
      </c>
      <c r="AC3762" s="110"/>
      <c r="AD3762" s="110"/>
      <c r="AE3762" s="110">
        <f t="shared" si="840"/>
        <v>0</v>
      </c>
      <c r="AF3762" s="111">
        <f t="shared" si="833"/>
        <v>0</v>
      </c>
      <c r="AG3762" s="110"/>
      <c r="AH3762" s="110"/>
      <c r="AI3762" s="110"/>
      <c r="AJ3762" s="110"/>
      <c r="AK3762" s="111">
        <f t="shared" si="829"/>
        <v>0</v>
      </c>
      <c r="AL3762" s="446">
        <f t="shared" si="830"/>
        <v>0</v>
      </c>
      <c r="AM3762" s="110">
        <f t="shared" si="831"/>
        <v>0</v>
      </c>
      <c r="AN3762" s="447">
        <f t="shared" si="836"/>
        <v>0</v>
      </c>
      <c r="AO3762" s="436">
        <f>SUM(J3763:J3765)</f>
        <v>939000</v>
      </c>
      <c r="AP3762" s="111"/>
    </row>
    <row r="3763" spans="1:42" s="108" customFormat="1" ht="66" x14ac:dyDescent="0.25">
      <c r="A3763" s="60"/>
      <c r="B3763" s="152" t="s">
        <v>2827</v>
      </c>
      <c r="C3763" s="9"/>
      <c r="D3763" s="869">
        <v>1</v>
      </c>
      <c r="E3763" s="1024" t="s">
        <v>1755</v>
      </c>
      <c r="F3763" s="273" t="s">
        <v>3446</v>
      </c>
      <c r="G3763" s="1040" t="s">
        <v>3463</v>
      </c>
      <c r="H3763" s="273" t="s">
        <v>3462</v>
      </c>
      <c r="I3763" s="722">
        <f>+J3763/D3763</f>
        <v>29000</v>
      </c>
      <c r="J3763" s="834">
        <v>29000</v>
      </c>
      <c r="K3763" s="131">
        <f t="shared" si="837"/>
        <v>29000</v>
      </c>
      <c r="L3763" s="335">
        <f t="shared" si="828"/>
        <v>0</v>
      </c>
      <c r="M3763" s="335"/>
      <c r="N3763" s="335"/>
      <c r="O3763" s="335"/>
      <c r="P3763" s="335"/>
      <c r="Q3763" s="130">
        <v>1</v>
      </c>
      <c r="R3763" s="131">
        <f t="shared" si="838"/>
        <v>7250</v>
      </c>
      <c r="S3763" s="130"/>
      <c r="T3763" s="130"/>
      <c r="U3763" s="130">
        <v>0</v>
      </c>
      <c r="V3763" s="131">
        <f t="shared" si="839"/>
        <v>7250</v>
      </c>
      <c r="W3763" s="130"/>
      <c r="X3763" s="130"/>
      <c r="Y3763" s="130"/>
      <c r="Z3763" s="130"/>
      <c r="AA3763" s="130">
        <v>0</v>
      </c>
      <c r="AB3763" s="131">
        <f t="shared" si="832"/>
        <v>7250</v>
      </c>
      <c r="AC3763" s="130"/>
      <c r="AD3763" s="130"/>
      <c r="AE3763" s="130">
        <v>0</v>
      </c>
      <c r="AF3763" s="131">
        <f t="shared" si="833"/>
        <v>7250</v>
      </c>
      <c r="AG3763" s="130"/>
      <c r="AH3763" s="130"/>
      <c r="AI3763" s="130"/>
      <c r="AJ3763" s="130"/>
      <c r="AK3763" s="131">
        <f t="shared" si="829"/>
        <v>29000</v>
      </c>
      <c r="AL3763" s="446">
        <f t="shared" si="830"/>
        <v>0</v>
      </c>
      <c r="AM3763" s="110">
        <f t="shared" si="831"/>
        <v>1</v>
      </c>
      <c r="AN3763" s="447">
        <f t="shared" si="836"/>
        <v>0</v>
      </c>
      <c r="AO3763"/>
      <c r="AP3763"/>
    </row>
    <row r="3764" spans="1:42" s="108" customFormat="1" ht="66" x14ac:dyDescent="0.25">
      <c r="A3764" s="60"/>
      <c r="B3764" s="152" t="s">
        <v>3337</v>
      </c>
      <c r="C3764" s="9"/>
      <c r="D3764" s="869">
        <v>1</v>
      </c>
      <c r="E3764" s="1024" t="s">
        <v>1755</v>
      </c>
      <c r="F3764" s="273" t="s">
        <v>3446</v>
      </c>
      <c r="G3764" s="1040" t="s">
        <v>3463</v>
      </c>
      <c r="H3764" s="273" t="s">
        <v>3462</v>
      </c>
      <c r="I3764" s="722">
        <f>+J3764/D3764</f>
        <v>10000</v>
      </c>
      <c r="J3764" s="834">
        <v>10000</v>
      </c>
      <c r="K3764" s="131">
        <f t="shared" si="837"/>
        <v>10000</v>
      </c>
      <c r="L3764" s="335">
        <f t="shared" ref="L3764:L3829" si="841">+J3764-K3764</f>
        <v>0</v>
      </c>
      <c r="M3764" s="335"/>
      <c r="N3764" s="335"/>
      <c r="O3764" s="335"/>
      <c r="P3764" s="335"/>
      <c r="Q3764" s="130">
        <v>1</v>
      </c>
      <c r="R3764" s="131">
        <f t="shared" si="838"/>
        <v>2500</v>
      </c>
      <c r="S3764" s="130"/>
      <c r="T3764" s="130"/>
      <c r="U3764" s="130">
        <v>0</v>
      </c>
      <c r="V3764" s="131">
        <f t="shared" si="839"/>
        <v>2500</v>
      </c>
      <c r="W3764" s="130"/>
      <c r="X3764" s="130"/>
      <c r="Y3764" s="130"/>
      <c r="Z3764" s="130"/>
      <c r="AA3764" s="130">
        <v>0</v>
      </c>
      <c r="AB3764" s="131">
        <f t="shared" si="832"/>
        <v>2500</v>
      </c>
      <c r="AC3764" s="130"/>
      <c r="AD3764" s="130"/>
      <c r="AE3764" s="130">
        <v>0</v>
      </c>
      <c r="AF3764" s="131">
        <f t="shared" si="833"/>
        <v>2500</v>
      </c>
      <c r="AG3764" s="130"/>
      <c r="AH3764" s="130"/>
      <c r="AI3764" s="130"/>
      <c r="AJ3764" s="130"/>
      <c r="AK3764" s="131">
        <f t="shared" ref="AK3764:AK3829" si="842">+R3764+V3764+AB3764+AF3764</f>
        <v>10000</v>
      </c>
      <c r="AL3764" s="446">
        <f t="shared" ref="AL3764:AL3829" si="843">+J3764-AK3764</f>
        <v>0</v>
      </c>
      <c r="AM3764" s="110">
        <f t="shared" ref="AM3764:AM3829" si="844">+Q3764+U3764+AA3764+AE3764</f>
        <v>1</v>
      </c>
      <c r="AN3764" s="447">
        <f t="shared" si="836"/>
        <v>0</v>
      </c>
      <c r="AO3764"/>
      <c r="AP3764"/>
    </row>
    <row r="3765" spans="1:42" s="108" customFormat="1" ht="66" x14ac:dyDescent="0.25">
      <c r="A3765" s="60"/>
      <c r="B3765" s="34" t="s">
        <v>877</v>
      </c>
      <c r="C3765" s="9"/>
      <c r="D3765" s="869">
        <v>1</v>
      </c>
      <c r="E3765" s="1024" t="s">
        <v>1755</v>
      </c>
      <c r="F3765" s="273" t="s">
        <v>3446</v>
      </c>
      <c r="G3765" s="1040" t="s">
        <v>3463</v>
      </c>
      <c r="H3765" s="273" t="s">
        <v>3462</v>
      </c>
      <c r="I3765" s="722">
        <v>900000</v>
      </c>
      <c r="J3765" s="834">
        <v>900000</v>
      </c>
      <c r="K3765" s="131">
        <f t="shared" si="837"/>
        <v>900000</v>
      </c>
      <c r="L3765" s="335">
        <f t="shared" si="841"/>
        <v>0</v>
      </c>
      <c r="M3765" s="335"/>
      <c r="N3765" s="335"/>
      <c r="O3765" s="335"/>
      <c r="P3765" s="335"/>
      <c r="Q3765" s="130">
        <v>1</v>
      </c>
      <c r="R3765" s="131">
        <v>900000</v>
      </c>
      <c r="S3765" s="130"/>
      <c r="T3765" s="130"/>
      <c r="U3765" s="130">
        <v>0</v>
      </c>
      <c r="V3765" s="131">
        <v>0</v>
      </c>
      <c r="W3765" s="130"/>
      <c r="X3765" s="130"/>
      <c r="Y3765" s="130"/>
      <c r="Z3765" s="130"/>
      <c r="AA3765" s="130">
        <v>0</v>
      </c>
      <c r="AB3765" s="131">
        <v>0</v>
      </c>
      <c r="AC3765" s="130"/>
      <c r="AD3765" s="130"/>
      <c r="AE3765" s="130">
        <v>0</v>
      </c>
      <c r="AF3765" s="131">
        <v>0</v>
      </c>
      <c r="AG3765" s="130"/>
      <c r="AH3765" s="130"/>
      <c r="AI3765" s="130"/>
      <c r="AJ3765" s="130"/>
      <c r="AK3765" s="131">
        <f t="shared" si="842"/>
        <v>900000</v>
      </c>
      <c r="AL3765" s="446">
        <f t="shared" si="843"/>
        <v>0</v>
      </c>
      <c r="AM3765" s="110">
        <f t="shared" si="844"/>
        <v>1</v>
      </c>
      <c r="AN3765" s="447">
        <f t="shared" si="836"/>
        <v>0</v>
      </c>
      <c r="AO3765"/>
      <c r="AP3765"/>
    </row>
    <row r="3766" spans="1:42" x14ac:dyDescent="0.25">
      <c r="A3766" s="376">
        <v>346</v>
      </c>
      <c r="B3766" s="588" t="s">
        <v>878</v>
      </c>
      <c r="C3766" s="376"/>
      <c r="D3766" s="940"/>
      <c r="E3766" s="377"/>
      <c r="F3766" s="378"/>
      <c r="G3766" s="378"/>
      <c r="H3766" s="378"/>
      <c r="I3766" s="734"/>
      <c r="J3766" s="806"/>
      <c r="K3766" s="131">
        <f t="shared" si="837"/>
        <v>0</v>
      </c>
      <c r="L3766" s="335">
        <f t="shared" si="841"/>
        <v>0</v>
      </c>
      <c r="M3766" s="419"/>
      <c r="N3766" s="419"/>
      <c r="O3766" s="419"/>
      <c r="P3766" s="419"/>
      <c r="Q3766" s="418">
        <f t="shared" si="834"/>
        <v>0</v>
      </c>
      <c r="R3766" s="379">
        <f t="shared" si="838"/>
        <v>0</v>
      </c>
      <c r="S3766" s="418"/>
      <c r="T3766" s="418"/>
      <c r="U3766" s="418">
        <f t="shared" si="835"/>
        <v>0</v>
      </c>
      <c r="V3766" s="379">
        <f t="shared" si="839"/>
        <v>0</v>
      </c>
      <c r="W3766" s="418"/>
      <c r="X3766" s="418"/>
      <c r="Y3766" s="418"/>
      <c r="Z3766" s="418"/>
      <c r="AA3766" s="418">
        <f t="shared" si="840"/>
        <v>0</v>
      </c>
      <c r="AB3766" s="379">
        <f t="shared" si="832"/>
        <v>0</v>
      </c>
      <c r="AC3766" s="418"/>
      <c r="AD3766" s="418"/>
      <c r="AE3766" s="418">
        <f t="shared" si="840"/>
        <v>0</v>
      </c>
      <c r="AF3766" s="379">
        <f t="shared" ref="AF3766:AF3829" si="845">+J3766/4</f>
        <v>0</v>
      </c>
      <c r="AG3766" s="418"/>
      <c r="AH3766" s="418"/>
      <c r="AI3766" s="418"/>
      <c r="AJ3766" s="418"/>
      <c r="AK3766" s="379">
        <f t="shared" si="842"/>
        <v>0</v>
      </c>
      <c r="AL3766" s="446">
        <f t="shared" si="843"/>
        <v>0</v>
      </c>
      <c r="AM3766" s="110">
        <f t="shared" si="844"/>
        <v>0</v>
      </c>
      <c r="AN3766" s="447">
        <f t="shared" si="836"/>
        <v>0</v>
      </c>
      <c r="AO3766" s="108"/>
      <c r="AP3766"/>
    </row>
    <row r="3767" spans="1:42" x14ac:dyDescent="0.25">
      <c r="A3767" s="310">
        <v>34601</v>
      </c>
      <c r="B3767" s="375" t="s">
        <v>879</v>
      </c>
      <c r="C3767" s="381"/>
      <c r="D3767" s="902"/>
      <c r="E3767" s="312"/>
      <c r="F3767" s="313"/>
      <c r="G3767" s="313"/>
      <c r="H3767" s="313"/>
      <c r="I3767" s="729"/>
      <c r="J3767" s="800"/>
      <c r="K3767" s="131">
        <f t="shared" si="837"/>
        <v>0</v>
      </c>
      <c r="L3767" s="335">
        <f t="shared" si="841"/>
        <v>0</v>
      </c>
      <c r="M3767" s="446"/>
      <c r="N3767" s="446"/>
      <c r="O3767" s="446"/>
      <c r="P3767" s="446"/>
      <c r="Q3767" s="110">
        <f t="shared" si="834"/>
        <v>0</v>
      </c>
      <c r="R3767" s="111">
        <f t="shared" si="838"/>
        <v>0</v>
      </c>
      <c r="S3767" s="110"/>
      <c r="T3767" s="110"/>
      <c r="U3767" s="110">
        <f t="shared" si="835"/>
        <v>0</v>
      </c>
      <c r="V3767" s="111">
        <f t="shared" si="839"/>
        <v>0</v>
      </c>
      <c r="W3767" s="110"/>
      <c r="X3767" s="110"/>
      <c r="Y3767" s="110"/>
      <c r="Z3767" s="110"/>
      <c r="AA3767" s="110">
        <f t="shared" si="840"/>
        <v>0</v>
      </c>
      <c r="AB3767" s="111">
        <f t="shared" si="832"/>
        <v>0</v>
      </c>
      <c r="AC3767" s="110"/>
      <c r="AD3767" s="110"/>
      <c r="AE3767" s="110">
        <f t="shared" si="840"/>
        <v>0</v>
      </c>
      <c r="AF3767" s="111">
        <f t="shared" si="845"/>
        <v>0</v>
      </c>
      <c r="AG3767" s="110"/>
      <c r="AH3767" s="110"/>
      <c r="AI3767" s="110"/>
      <c r="AJ3767" s="110"/>
      <c r="AK3767" s="111">
        <f t="shared" si="842"/>
        <v>0</v>
      </c>
      <c r="AL3767" s="446">
        <f t="shared" si="843"/>
        <v>0</v>
      </c>
      <c r="AM3767" s="110">
        <f t="shared" si="844"/>
        <v>0</v>
      </c>
      <c r="AN3767" s="447">
        <f t="shared" si="836"/>
        <v>0</v>
      </c>
      <c r="AO3767" s="108"/>
      <c r="AP3767"/>
    </row>
    <row r="3768" spans="1:42" s="108" customFormat="1" x14ac:dyDescent="0.25">
      <c r="A3768" s="61"/>
      <c r="B3768" s="698"/>
      <c r="C3768" s="9"/>
      <c r="D3768" s="949"/>
      <c r="E3768" s="114"/>
      <c r="F3768" s="274"/>
      <c r="G3768" s="274"/>
      <c r="H3768" s="274"/>
      <c r="I3768" s="722"/>
      <c r="J3768" s="828"/>
      <c r="K3768" s="131">
        <f t="shared" si="837"/>
        <v>0</v>
      </c>
      <c r="L3768" s="335">
        <f t="shared" si="841"/>
        <v>0</v>
      </c>
      <c r="M3768" s="335"/>
      <c r="N3768" s="335"/>
      <c r="O3768" s="335"/>
      <c r="P3768" s="335"/>
      <c r="Q3768" s="130">
        <f t="shared" si="834"/>
        <v>0</v>
      </c>
      <c r="R3768" s="131">
        <f t="shared" si="838"/>
        <v>0</v>
      </c>
      <c r="S3768" s="130"/>
      <c r="T3768" s="130"/>
      <c r="U3768" s="130">
        <f t="shared" si="835"/>
        <v>0</v>
      </c>
      <c r="V3768" s="131">
        <f t="shared" si="839"/>
        <v>0</v>
      </c>
      <c r="W3768" s="130"/>
      <c r="X3768" s="130"/>
      <c r="Y3768" s="130"/>
      <c r="Z3768" s="130"/>
      <c r="AA3768" s="130">
        <f t="shared" si="840"/>
        <v>0</v>
      </c>
      <c r="AB3768" s="131">
        <f t="shared" si="832"/>
        <v>0</v>
      </c>
      <c r="AC3768" s="130"/>
      <c r="AD3768" s="130"/>
      <c r="AE3768" s="130">
        <f t="shared" si="840"/>
        <v>0</v>
      </c>
      <c r="AF3768" s="131">
        <f t="shared" si="845"/>
        <v>0</v>
      </c>
      <c r="AG3768" s="130"/>
      <c r="AH3768" s="130"/>
      <c r="AI3768" s="130"/>
      <c r="AJ3768" s="130"/>
      <c r="AK3768" s="131">
        <f t="shared" si="842"/>
        <v>0</v>
      </c>
      <c r="AL3768" s="446">
        <f t="shared" si="843"/>
        <v>0</v>
      </c>
      <c r="AM3768" s="110">
        <f t="shared" si="844"/>
        <v>0</v>
      </c>
      <c r="AN3768" s="447">
        <f t="shared" si="836"/>
        <v>0</v>
      </c>
      <c r="AO3768"/>
      <c r="AP3768"/>
    </row>
    <row r="3769" spans="1:42" x14ac:dyDescent="0.25">
      <c r="A3769" s="376">
        <v>347</v>
      </c>
      <c r="B3769" s="588" t="s">
        <v>880</v>
      </c>
      <c r="C3769" s="376"/>
      <c r="D3769" s="940"/>
      <c r="E3769" s="377"/>
      <c r="F3769" s="378"/>
      <c r="G3769" s="378"/>
      <c r="H3769" s="378"/>
      <c r="I3769" s="734"/>
      <c r="J3769" s="806"/>
      <c r="K3769" s="131">
        <f t="shared" si="837"/>
        <v>0</v>
      </c>
      <c r="L3769" s="335">
        <f t="shared" si="841"/>
        <v>0</v>
      </c>
      <c r="M3769" s="419"/>
      <c r="N3769" s="419"/>
      <c r="O3769" s="419"/>
      <c r="P3769" s="419"/>
      <c r="Q3769" s="418">
        <f t="shared" si="834"/>
        <v>0</v>
      </c>
      <c r="R3769" s="379">
        <f t="shared" si="838"/>
        <v>0</v>
      </c>
      <c r="S3769" s="418"/>
      <c r="T3769" s="418"/>
      <c r="U3769" s="418">
        <f t="shared" si="835"/>
        <v>0</v>
      </c>
      <c r="V3769" s="379">
        <f t="shared" si="839"/>
        <v>0</v>
      </c>
      <c r="W3769" s="418"/>
      <c r="X3769" s="418"/>
      <c r="Y3769" s="418"/>
      <c r="Z3769" s="418"/>
      <c r="AA3769" s="418">
        <f t="shared" si="840"/>
        <v>0</v>
      </c>
      <c r="AB3769" s="379">
        <f t="shared" si="832"/>
        <v>0</v>
      </c>
      <c r="AC3769" s="418"/>
      <c r="AD3769" s="418"/>
      <c r="AE3769" s="418">
        <f t="shared" si="840"/>
        <v>0</v>
      </c>
      <c r="AF3769" s="379">
        <f t="shared" si="845"/>
        <v>0</v>
      </c>
      <c r="AG3769" s="418"/>
      <c r="AH3769" s="418"/>
      <c r="AI3769" s="418"/>
      <c r="AJ3769" s="418"/>
      <c r="AK3769" s="379">
        <f t="shared" si="842"/>
        <v>0</v>
      </c>
      <c r="AL3769" s="446">
        <f t="shared" si="843"/>
        <v>0</v>
      </c>
      <c r="AM3769" s="110">
        <f t="shared" si="844"/>
        <v>0</v>
      </c>
      <c r="AN3769" s="447">
        <f t="shared" si="836"/>
        <v>0</v>
      </c>
      <c r="AO3769" s="108"/>
      <c r="AP3769"/>
    </row>
    <row r="3770" spans="1:42" x14ac:dyDescent="0.25">
      <c r="A3770" s="310">
        <v>34701</v>
      </c>
      <c r="B3770" s="375" t="s">
        <v>880</v>
      </c>
      <c r="C3770" s="381"/>
      <c r="D3770" s="902"/>
      <c r="E3770" s="312"/>
      <c r="F3770" s="313"/>
      <c r="G3770" s="313"/>
      <c r="H3770" s="313"/>
      <c r="I3770" s="729"/>
      <c r="J3770" s="800"/>
      <c r="K3770" s="131">
        <f t="shared" si="837"/>
        <v>0</v>
      </c>
      <c r="L3770" s="335">
        <f t="shared" si="841"/>
        <v>0</v>
      </c>
      <c r="M3770" s="446"/>
      <c r="N3770" s="446"/>
      <c r="O3770" s="446"/>
      <c r="P3770" s="446"/>
      <c r="Q3770" s="110">
        <f t="shared" si="834"/>
        <v>0</v>
      </c>
      <c r="R3770" s="111">
        <f t="shared" si="838"/>
        <v>0</v>
      </c>
      <c r="S3770" s="110"/>
      <c r="T3770" s="110"/>
      <c r="U3770" s="110">
        <f t="shared" si="835"/>
        <v>0</v>
      </c>
      <c r="V3770" s="111">
        <f t="shared" si="839"/>
        <v>0</v>
      </c>
      <c r="W3770" s="110"/>
      <c r="X3770" s="110"/>
      <c r="Y3770" s="110"/>
      <c r="Z3770" s="110"/>
      <c r="AA3770" s="110">
        <f t="shared" si="840"/>
        <v>0</v>
      </c>
      <c r="AB3770" s="111">
        <f t="shared" si="832"/>
        <v>0</v>
      </c>
      <c r="AC3770" s="110"/>
      <c r="AD3770" s="110"/>
      <c r="AE3770" s="110">
        <f t="shared" si="840"/>
        <v>0</v>
      </c>
      <c r="AF3770" s="111">
        <f t="shared" si="845"/>
        <v>0</v>
      </c>
      <c r="AG3770" s="110"/>
      <c r="AH3770" s="110"/>
      <c r="AI3770" s="110"/>
      <c r="AJ3770" s="110"/>
      <c r="AK3770" s="111">
        <f t="shared" si="842"/>
        <v>0</v>
      </c>
      <c r="AL3770" s="446">
        <f t="shared" si="843"/>
        <v>0</v>
      </c>
      <c r="AM3770" s="110">
        <f t="shared" si="844"/>
        <v>0</v>
      </c>
      <c r="AN3770" s="447">
        <f t="shared" si="836"/>
        <v>0</v>
      </c>
      <c r="AO3770" s="108"/>
      <c r="AP3770"/>
    </row>
    <row r="3771" spans="1:42" s="108" customFormat="1" x14ac:dyDescent="0.25">
      <c r="A3771" s="61"/>
      <c r="B3771" s="698"/>
      <c r="C3771" s="9"/>
      <c r="D3771" s="949"/>
      <c r="E3771" s="114"/>
      <c r="F3771" s="274"/>
      <c r="G3771" s="274"/>
      <c r="H3771" s="274"/>
      <c r="I3771" s="722"/>
      <c r="J3771" s="828"/>
      <c r="K3771" s="131">
        <f t="shared" si="837"/>
        <v>0</v>
      </c>
      <c r="L3771" s="335">
        <f t="shared" si="841"/>
        <v>0</v>
      </c>
      <c r="M3771" s="335"/>
      <c r="N3771" s="335"/>
      <c r="O3771" s="335"/>
      <c r="P3771" s="335"/>
      <c r="Q3771" s="130">
        <f t="shared" si="834"/>
        <v>0</v>
      </c>
      <c r="R3771" s="131">
        <f t="shared" si="838"/>
        <v>0</v>
      </c>
      <c r="S3771" s="130"/>
      <c r="T3771" s="130"/>
      <c r="U3771" s="130">
        <f t="shared" si="835"/>
        <v>0</v>
      </c>
      <c r="V3771" s="131">
        <f t="shared" si="839"/>
        <v>0</v>
      </c>
      <c r="W3771" s="130"/>
      <c r="X3771" s="130"/>
      <c r="Y3771" s="130"/>
      <c r="Z3771" s="130"/>
      <c r="AA3771" s="130">
        <f t="shared" si="840"/>
        <v>0</v>
      </c>
      <c r="AB3771" s="131">
        <f t="shared" si="832"/>
        <v>0</v>
      </c>
      <c r="AC3771" s="130"/>
      <c r="AD3771" s="130"/>
      <c r="AE3771" s="130">
        <f t="shared" si="840"/>
        <v>0</v>
      </c>
      <c r="AF3771" s="131">
        <f t="shared" si="845"/>
        <v>0</v>
      </c>
      <c r="AG3771" s="130"/>
      <c r="AH3771" s="130"/>
      <c r="AI3771" s="130"/>
      <c r="AJ3771" s="130"/>
      <c r="AK3771" s="131">
        <f t="shared" si="842"/>
        <v>0</v>
      </c>
      <c r="AL3771" s="446">
        <f t="shared" si="843"/>
        <v>0</v>
      </c>
      <c r="AM3771" s="110">
        <f t="shared" si="844"/>
        <v>0</v>
      </c>
      <c r="AN3771" s="447">
        <f t="shared" si="836"/>
        <v>0</v>
      </c>
      <c r="AO3771"/>
      <c r="AP3771"/>
    </row>
    <row r="3772" spans="1:42" x14ac:dyDescent="0.25">
      <c r="A3772" s="376">
        <v>348</v>
      </c>
      <c r="B3772" s="588" t="s">
        <v>881</v>
      </c>
      <c r="C3772" s="376"/>
      <c r="D3772" s="940"/>
      <c r="E3772" s="377"/>
      <c r="F3772" s="378"/>
      <c r="G3772" s="378"/>
      <c r="H3772" s="378"/>
      <c r="I3772" s="734"/>
      <c r="J3772" s="806"/>
      <c r="K3772" s="131">
        <f t="shared" si="837"/>
        <v>0</v>
      </c>
      <c r="L3772" s="335">
        <f t="shared" si="841"/>
        <v>0</v>
      </c>
      <c r="M3772" s="419"/>
      <c r="N3772" s="419"/>
      <c r="O3772" s="419"/>
      <c r="P3772" s="419"/>
      <c r="Q3772" s="418">
        <f t="shared" si="834"/>
        <v>0</v>
      </c>
      <c r="R3772" s="379">
        <f t="shared" si="838"/>
        <v>0</v>
      </c>
      <c r="S3772" s="418"/>
      <c r="T3772" s="418"/>
      <c r="U3772" s="418">
        <f t="shared" si="835"/>
        <v>0</v>
      </c>
      <c r="V3772" s="379">
        <f t="shared" si="839"/>
        <v>0</v>
      </c>
      <c r="W3772" s="418"/>
      <c r="X3772" s="418"/>
      <c r="Y3772" s="418"/>
      <c r="Z3772" s="418"/>
      <c r="AA3772" s="418">
        <f t="shared" si="840"/>
        <v>0</v>
      </c>
      <c r="AB3772" s="379">
        <f t="shared" si="832"/>
        <v>0</v>
      </c>
      <c r="AC3772" s="418"/>
      <c r="AD3772" s="418"/>
      <c r="AE3772" s="418">
        <f t="shared" si="840"/>
        <v>0</v>
      </c>
      <c r="AF3772" s="379">
        <f t="shared" si="845"/>
        <v>0</v>
      </c>
      <c r="AG3772" s="418"/>
      <c r="AH3772" s="418"/>
      <c r="AI3772" s="418"/>
      <c r="AJ3772" s="418"/>
      <c r="AK3772" s="379">
        <f t="shared" si="842"/>
        <v>0</v>
      </c>
      <c r="AL3772" s="446">
        <f t="shared" si="843"/>
        <v>0</v>
      </c>
      <c r="AM3772" s="110">
        <f t="shared" si="844"/>
        <v>0</v>
      </c>
      <c r="AN3772" s="447">
        <f t="shared" si="836"/>
        <v>0</v>
      </c>
      <c r="AO3772" s="108"/>
      <c r="AP3772"/>
    </row>
    <row r="3773" spans="1:42" x14ac:dyDescent="0.25">
      <c r="A3773" s="310">
        <v>34801</v>
      </c>
      <c r="B3773" s="375" t="s">
        <v>882</v>
      </c>
      <c r="C3773" s="381"/>
      <c r="D3773" s="902"/>
      <c r="E3773" s="312"/>
      <c r="F3773" s="313"/>
      <c r="G3773" s="313"/>
      <c r="H3773" s="313"/>
      <c r="I3773" s="729"/>
      <c r="J3773" s="800"/>
      <c r="K3773" s="131">
        <f t="shared" si="837"/>
        <v>0</v>
      </c>
      <c r="L3773" s="335">
        <f t="shared" si="841"/>
        <v>0</v>
      </c>
      <c r="M3773" s="446"/>
      <c r="N3773" s="446"/>
      <c r="O3773" s="446"/>
      <c r="P3773" s="446"/>
      <c r="Q3773" s="110">
        <f t="shared" si="834"/>
        <v>0</v>
      </c>
      <c r="R3773" s="111">
        <f t="shared" si="838"/>
        <v>0</v>
      </c>
      <c r="S3773" s="110"/>
      <c r="T3773" s="110"/>
      <c r="U3773" s="110">
        <f t="shared" si="835"/>
        <v>0</v>
      </c>
      <c r="V3773" s="111">
        <f t="shared" si="839"/>
        <v>0</v>
      </c>
      <c r="W3773" s="110"/>
      <c r="X3773" s="110"/>
      <c r="Y3773" s="110"/>
      <c r="Z3773" s="110"/>
      <c r="AA3773" s="110">
        <f t="shared" si="840"/>
        <v>0</v>
      </c>
      <c r="AB3773" s="111">
        <f t="shared" si="832"/>
        <v>0</v>
      </c>
      <c r="AC3773" s="110"/>
      <c r="AD3773" s="110"/>
      <c r="AE3773" s="110">
        <f t="shared" si="840"/>
        <v>0</v>
      </c>
      <c r="AF3773" s="111">
        <f t="shared" si="845"/>
        <v>0</v>
      </c>
      <c r="AG3773" s="110"/>
      <c r="AH3773" s="110"/>
      <c r="AI3773" s="110"/>
      <c r="AJ3773" s="110"/>
      <c r="AK3773" s="111">
        <f t="shared" si="842"/>
        <v>0</v>
      </c>
      <c r="AL3773" s="446">
        <f t="shared" si="843"/>
        <v>0</v>
      </c>
      <c r="AM3773" s="110">
        <f t="shared" si="844"/>
        <v>0</v>
      </c>
      <c r="AN3773" s="447">
        <f t="shared" si="836"/>
        <v>0</v>
      </c>
      <c r="AO3773" s="108"/>
      <c r="AP3773"/>
    </row>
    <row r="3774" spans="1:42" s="108" customFormat="1" x14ac:dyDescent="0.25">
      <c r="A3774" s="61"/>
      <c r="B3774" s="698"/>
      <c r="C3774" s="9"/>
      <c r="D3774" s="949"/>
      <c r="E3774" s="114"/>
      <c r="F3774" s="274"/>
      <c r="G3774" s="274"/>
      <c r="H3774" s="274"/>
      <c r="I3774" s="722"/>
      <c r="J3774" s="828"/>
      <c r="K3774" s="131">
        <f t="shared" si="837"/>
        <v>0</v>
      </c>
      <c r="L3774" s="335">
        <f t="shared" si="841"/>
        <v>0</v>
      </c>
      <c r="M3774" s="335"/>
      <c r="N3774" s="335"/>
      <c r="O3774" s="335"/>
      <c r="P3774" s="335"/>
      <c r="Q3774" s="130">
        <f t="shared" si="834"/>
        <v>0</v>
      </c>
      <c r="R3774" s="131">
        <f t="shared" si="838"/>
        <v>0</v>
      </c>
      <c r="S3774" s="130"/>
      <c r="T3774" s="130"/>
      <c r="U3774" s="130">
        <f t="shared" si="835"/>
        <v>0</v>
      </c>
      <c r="V3774" s="131">
        <f t="shared" si="839"/>
        <v>0</v>
      </c>
      <c r="W3774" s="130"/>
      <c r="X3774" s="130"/>
      <c r="Y3774" s="130"/>
      <c r="Z3774" s="130"/>
      <c r="AA3774" s="130">
        <f t="shared" si="840"/>
        <v>0</v>
      </c>
      <c r="AB3774" s="131">
        <f t="shared" si="832"/>
        <v>0</v>
      </c>
      <c r="AC3774" s="130"/>
      <c r="AD3774" s="130"/>
      <c r="AE3774" s="130">
        <f t="shared" si="840"/>
        <v>0</v>
      </c>
      <c r="AF3774" s="131">
        <f t="shared" si="845"/>
        <v>0</v>
      </c>
      <c r="AG3774" s="130"/>
      <c r="AH3774" s="130"/>
      <c r="AI3774" s="130"/>
      <c r="AJ3774" s="130"/>
      <c r="AK3774" s="131">
        <f t="shared" si="842"/>
        <v>0</v>
      </c>
      <c r="AL3774" s="446">
        <f t="shared" si="843"/>
        <v>0</v>
      </c>
      <c r="AM3774" s="110">
        <f t="shared" si="844"/>
        <v>0</v>
      </c>
      <c r="AN3774" s="447">
        <f t="shared" si="836"/>
        <v>0</v>
      </c>
      <c r="AO3774"/>
      <c r="AP3774"/>
    </row>
    <row r="3775" spans="1:42" ht="22.5" x14ac:dyDescent="0.25">
      <c r="A3775" s="376">
        <v>349</v>
      </c>
      <c r="B3775" s="588" t="s">
        <v>883</v>
      </c>
      <c r="C3775" s="376"/>
      <c r="D3775" s="940"/>
      <c r="E3775" s="377"/>
      <c r="F3775" s="378"/>
      <c r="G3775" s="378"/>
      <c r="H3775" s="378"/>
      <c r="I3775" s="734"/>
      <c r="J3775" s="806"/>
      <c r="K3775" s="131">
        <f t="shared" si="837"/>
        <v>0</v>
      </c>
      <c r="L3775" s="335">
        <f t="shared" si="841"/>
        <v>0</v>
      </c>
      <c r="M3775" s="419"/>
      <c r="N3775" s="419"/>
      <c r="O3775" s="419"/>
      <c r="P3775" s="419"/>
      <c r="Q3775" s="418">
        <f t="shared" si="834"/>
        <v>0</v>
      </c>
      <c r="R3775" s="379">
        <f t="shared" si="838"/>
        <v>0</v>
      </c>
      <c r="S3775" s="418"/>
      <c r="T3775" s="418"/>
      <c r="U3775" s="418">
        <f t="shared" si="835"/>
        <v>0</v>
      </c>
      <c r="V3775" s="379">
        <f t="shared" si="839"/>
        <v>0</v>
      </c>
      <c r="W3775" s="418"/>
      <c r="X3775" s="418"/>
      <c r="Y3775" s="418"/>
      <c r="Z3775" s="418"/>
      <c r="AA3775" s="418">
        <f t="shared" si="840"/>
        <v>0</v>
      </c>
      <c r="AB3775" s="379">
        <f t="shared" si="832"/>
        <v>0</v>
      </c>
      <c r="AC3775" s="418"/>
      <c r="AD3775" s="418"/>
      <c r="AE3775" s="418">
        <f t="shared" si="840"/>
        <v>0</v>
      </c>
      <c r="AF3775" s="379">
        <f t="shared" si="845"/>
        <v>0</v>
      </c>
      <c r="AG3775" s="418"/>
      <c r="AH3775" s="418"/>
      <c r="AI3775" s="418"/>
      <c r="AJ3775" s="418"/>
      <c r="AK3775" s="379">
        <f t="shared" si="842"/>
        <v>0</v>
      </c>
      <c r="AL3775" s="446">
        <f t="shared" si="843"/>
        <v>0</v>
      </c>
      <c r="AM3775" s="110">
        <f t="shared" si="844"/>
        <v>0</v>
      </c>
      <c r="AN3775" s="447">
        <f t="shared" si="836"/>
        <v>0</v>
      </c>
      <c r="AO3775" s="108"/>
      <c r="AP3775"/>
    </row>
    <row r="3776" spans="1:42" ht="22.5" x14ac:dyDescent="0.25">
      <c r="A3776" s="310">
        <v>34901</v>
      </c>
      <c r="B3776" s="375" t="s">
        <v>883</v>
      </c>
      <c r="C3776" s="380"/>
      <c r="D3776" s="902"/>
      <c r="E3776" s="312"/>
      <c r="F3776" s="313"/>
      <c r="G3776" s="313"/>
      <c r="H3776" s="313"/>
      <c r="I3776" s="729"/>
      <c r="J3776" s="800"/>
      <c r="K3776" s="131">
        <f t="shared" si="837"/>
        <v>0</v>
      </c>
      <c r="L3776" s="335">
        <f t="shared" si="841"/>
        <v>0</v>
      </c>
      <c r="M3776" s="446"/>
      <c r="N3776" s="446"/>
      <c r="O3776" s="446"/>
      <c r="P3776" s="446"/>
      <c r="Q3776" s="110">
        <f t="shared" si="834"/>
        <v>0</v>
      </c>
      <c r="R3776" s="111">
        <f t="shared" si="838"/>
        <v>0</v>
      </c>
      <c r="S3776" s="110"/>
      <c r="T3776" s="110"/>
      <c r="U3776" s="110">
        <f t="shared" si="835"/>
        <v>0</v>
      </c>
      <c r="V3776" s="111">
        <f t="shared" si="839"/>
        <v>0</v>
      </c>
      <c r="W3776" s="110"/>
      <c r="X3776" s="110"/>
      <c r="Y3776" s="110"/>
      <c r="Z3776" s="110"/>
      <c r="AA3776" s="110">
        <f t="shared" si="840"/>
        <v>0</v>
      </c>
      <c r="AB3776" s="111">
        <f t="shared" si="832"/>
        <v>0</v>
      </c>
      <c r="AC3776" s="110"/>
      <c r="AD3776" s="110"/>
      <c r="AE3776" s="110">
        <f t="shared" si="840"/>
        <v>0</v>
      </c>
      <c r="AF3776" s="111">
        <f t="shared" si="845"/>
        <v>0</v>
      </c>
      <c r="AG3776" s="110"/>
      <c r="AH3776" s="110"/>
      <c r="AI3776" s="110"/>
      <c r="AJ3776" s="110"/>
      <c r="AK3776" s="111">
        <f t="shared" si="842"/>
        <v>0</v>
      </c>
      <c r="AL3776" s="446">
        <f t="shared" si="843"/>
        <v>0</v>
      </c>
      <c r="AM3776" s="110">
        <f t="shared" si="844"/>
        <v>0</v>
      </c>
      <c r="AN3776" s="447">
        <f t="shared" si="836"/>
        <v>0</v>
      </c>
      <c r="AO3776" s="108"/>
      <c r="AP3776"/>
    </row>
    <row r="3777" spans="1:42" s="108" customFormat="1" x14ac:dyDescent="0.25">
      <c r="A3777" s="61"/>
      <c r="B3777" s="598"/>
      <c r="C3777" s="9"/>
      <c r="D3777" s="939"/>
      <c r="E3777" s="79"/>
      <c r="F3777" s="286"/>
      <c r="G3777" s="286"/>
      <c r="H3777" s="286"/>
      <c r="I3777" s="722"/>
      <c r="J3777" s="809"/>
      <c r="K3777" s="131">
        <f t="shared" si="837"/>
        <v>0</v>
      </c>
      <c r="L3777" s="335">
        <f t="shared" si="841"/>
        <v>0</v>
      </c>
      <c r="M3777" s="335"/>
      <c r="N3777" s="335"/>
      <c r="O3777" s="335"/>
      <c r="P3777" s="335"/>
      <c r="Q3777" s="130">
        <f t="shared" si="834"/>
        <v>0</v>
      </c>
      <c r="R3777" s="131">
        <f t="shared" si="838"/>
        <v>0</v>
      </c>
      <c r="S3777" s="130"/>
      <c r="T3777" s="130"/>
      <c r="U3777" s="130">
        <f t="shared" si="835"/>
        <v>0</v>
      </c>
      <c r="V3777" s="131">
        <f t="shared" si="839"/>
        <v>0</v>
      </c>
      <c r="W3777" s="130"/>
      <c r="X3777" s="130"/>
      <c r="Y3777" s="130"/>
      <c r="Z3777" s="130"/>
      <c r="AA3777" s="130">
        <f t="shared" si="840"/>
        <v>0</v>
      </c>
      <c r="AB3777" s="131">
        <f t="shared" si="832"/>
        <v>0</v>
      </c>
      <c r="AC3777" s="130"/>
      <c r="AD3777" s="130"/>
      <c r="AE3777" s="130">
        <f t="shared" si="840"/>
        <v>0</v>
      </c>
      <c r="AF3777" s="131">
        <f t="shared" si="845"/>
        <v>0</v>
      </c>
      <c r="AG3777" s="130"/>
      <c r="AH3777" s="130"/>
      <c r="AI3777" s="130"/>
      <c r="AJ3777" s="130"/>
      <c r="AK3777" s="131">
        <f t="shared" si="842"/>
        <v>0</v>
      </c>
      <c r="AL3777" s="446">
        <f t="shared" si="843"/>
        <v>0</v>
      </c>
      <c r="AM3777" s="110">
        <f t="shared" si="844"/>
        <v>0</v>
      </c>
      <c r="AN3777" s="447">
        <f t="shared" si="836"/>
        <v>0</v>
      </c>
      <c r="AO3777"/>
      <c r="AP3777"/>
    </row>
    <row r="3778" spans="1:42" ht="22.5" x14ac:dyDescent="0.25">
      <c r="A3778" s="299">
        <v>3500</v>
      </c>
      <c r="B3778" s="469" t="s">
        <v>884</v>
      </c>
      <c r="C3778" s="299"/>
      <c r="D3778" s="909"/>
      <c r="E3778" s="301"/>
      <c r="F3778" s="302"/>
      <c r="G3778" s="302"/>
      <c r="H3778" s="302"/>
      <c r="I3778" s="715"/>
      <c r="J3778" s="751"/>
      <c r="K3778" s="131">
        <f t="shared" si="837"/>
        <v>0</v>
      </c>
      <c r="L3778" s="335">
        <f t="shared" si="841"/>
        <v>0</v>
      </c>
      <c r="M3778" s="453"/>
      <c r="N3778" s="453"/>
      <c r="O3778" s="453"/>
      <c r="P3778" s="453"/>
      <c r="Q3778" s="385">
        <f t="shared" si="834"/>
        <v>0</v>
      </c>
      <c r="R3778" s="303">
        <f t="shared" si="838"/>
        <v>0</v>
      </c>
      <c r="S3778" s="385"/>
      <c r="T3778" s="385"/>
      <c r="U3778" s="385">
        <f t="shared" si="835"/>
        <v>0</v>
      </c>
      <c r="V3778" s="303">
        <f t="shared" si="839"/>
        <v>0</v>
      </c>
      <c r="W3778" s="385"/>
      <c r="X3778" s="385"/>
      <c r="Y3778" s="385"/>
      <c r="Z3778" s="385"/>
      <c r="AA3778" s="385">
        <f t="shared" si="840"/>
        <v>0</v>
      </c>
      <c r="AB3778" s="303">
        <f t="shared" si="832"/>
        <v>0</v>
      </c>
      <c r="AC3778" s="385"/>
      <c r="AD3778" s="385"/>
      <c r="AE3778" s="385">
        <f t="shared" si="840"/>
        <v>0</v>
      </c>
      <c r="AF3778" s="303">
        <f t="shared" si="845"/>
        <v>0</v>
      </c>
      <c r="AG3778" s="385"/>
      <c r="AH3778" s="385"/>
      <c r="AI3778" s="385"/>
      <c r="AJ3778" s="385"/>
      <c r="AK3778" s="303">
        <f t="shared" si="842"/>
        <v>0</v>
      </c>
      <c r="AL3778" s="453">
        <f t="shared" si="843"/>
        <v>0</v>
      </c>
      <c r="AM3778" s="385">
        <f t="shared" si="844"/>
        <v>0</v>
      </c>
      <c r="AN3778" s="454">
        <f t="shared" si="836"/>
        <v>0</v>
      </c>
      <c r="AO3778" s="304"/>
      <c r="AP3778"/>
    </row>
    <row r="3779" spans="1:42" x14ac:dyDescent="0.25">
      <c r="A3779" s="376">
        <v>351</v>
      </c>
      <c r="B3779" s="588" t="s">
        <v>885</v>
      </c>
      <c r="C3779" s="376"/>
      <c r="D3779" s="950"/>
      <c r="E3779" s="682"/>
      <c r="F3779" s="683"/>
      <c r="G3779" s="683"/>
      <c r="H3779" s="683"/>
      <c r="I3779" s="734"/>
      <c r="J3779" s="835"/>
      <c r="K3779" s="131">
        <f t="shared" si="837"/>
        <v>0</v>
      </c>
      <c r="L3779" s="335">
        <f t="shared" si="841"/>
        <v>0</v>
      </c>
      <c r="M3779" s="419"/>
      <c r="N3779" s="419"/>
      <c r="O3779" s="419"/>
      <c r="P3779" s="419"/>
      <c r="Q3779" s="418">
        <f t="shared" si="834"/>
        <v>0</v>
      </c>
      <c r="R3779" s="379">
        <f t="shared" si="838"/>
        <v>0</v>
      </c>
      <c r="S3779" s="418"/>
      <c r="T3779" s="418"/>
      <c r="U3779" s="418">
        <f t="shared" si="835"/>
        <v>0</v>
      </c>
      <c r="V3779" s="379">
        <f t="shared" si="839"/>
        <v>0</v>
      </c>
      <c r="W3779" s="418"/>
      <c r="X3779" s="418"/>
      <c r="Y3779" s="418"/>
      <c r="Z3779" s="418"/>
      <c r="AA3779" s="418">
        <f t="shared" si="840"/>
        <v>0</v>
      </c>
      <c r="AB3779" s="379">
        <f t="shared" si="832"/>
        <v>0</v>
      </c>
      <c r="AC3779" s="418"/>
      <c r="AD3779" s="418"/>
      <c r="AE3779" s="418">
        <f t="shared" si="840"/>
        <v>0</v>
      </c>
      <c r="AF3779" s="379">
        <f t="shared" si="845"/>
        <v>0</v>
      </c>
      <c r="AG3779" s="418"/>
      <c r="AH3779" s="418"/>
      <c r="AI3779" s="418"/>
      <c r="AJ3779" s="418"/>
      <c r="AK3779" s="379">
        <f t="shared" si="842"/>
        <v>0</v>
      </c>
      <c r="AL3779" s="446">
        <f t="shared" si="843"/>
        <v>0</v>
      </c>
      <c r="AM3779" s="110">
        <f t="shared" si="844"/>
        <v>0</v>
      </c>
      <c r="AN3779" s="447">
        <f t="shared" si="836"/>
        <v>0</v>
      </c>
      <c r="AO3779" s="108"/>
      <c r="AP3779"/>
    </row>
    <row r="3780" spans="1:42" ht="22.5" x14ac:dyDescent="0.25">
      <c r="A3780" s="310">
        <v>35101</v>
      </c>
      <c r="B3780" s="374" t="s">
        <v>886</v>
      </c>
      <c r="C3780" s="380"/>
      <c r="D3780" s="948"/>
      <c r="E3780" s="382"/>
      <c r="F3780" s="383"/>
      <c r="G3780" s="383"/>
      <c r="H3780" s="383"/>
      <c r="I3780" s="729"/>
      <c r="J3780" s="832"/>
      <c r="K3780" s="131">
        <f t="shared" si="837"/>
        <v>0</v>
      </c>
      <c r="L3780" s="335">
        <f t="shared" si="841"/>
        <v>0</v>
      </c>
      <c r="M3780" s="446"/>
      <c r="N3780" s="446"/>
      <c r="O3780" s="446"/>
      <c r="P3780" s="446"/>
      <c r="Q3780" s="110">
        <f t="shared" si="834"/>
        <v>0</v>
      </c>
      <c r="R3780" s="111">
        <f t="shared" si="838"/>
        <v>0</v>
      </c>
      <c r="S3780" s="110"/>
      <c r="T3780" s="110"/>
      <c r="U3780" s="110">
        <f t="shared" si="835"/>
        <v>0</v>
      </c>
      <c r="V3780" s="111">
        <f t="shared" si="839"/>
        <v>0</v>
      </c>
      <c r="W3780" s="110"/>
      <c r="X3780" s="110"/>
      <c r="Y3780" s="110"/>
      <c r="Z3780" s="110"/>
      <c r="AA3780" s="110">
        <f t="shared" si="840"/>
        <v>0</v>
      </c>
      <c r="AB3780" s="111">
        <f t="shared" si="832"/>
        <v>0</v>
      </c>
      <c r="AC3780" s="110"/>
      <c r="AD3780" s="110"/>
      <c r="AE3780" s="110">
        <f t="shared" si="840"/>
        <v>0</v>
      </c>
      <c r="AF3780" s="111">
        <f t="shared" si="845"/>
        <v>0</v>
      </c>
      <c r="AG3780" s="110"/>
      <c r="AH3780" s="110"/>
      <c r="AI3780" s="110"/>
      <c r="AJ3780" s="110"/>
      <c r="AK3780" s="111">
        <f t="shared" si="842"/>
        <v>0</v>
      </c>
      <c r="AL3780" s="446">
        <f t="shared" si="843"/>
        <v>0</v>
      </c>
      <c r="AM3780" s="110">
        <f t="shared" si="844"/>
        <v>0</v>
      </c>
      <c r="AN3780" s="447">
        <f t="shared" si="836"/>
        <v>0</v>
      </c>
      <c r="AO3780" s="436">
        <f>SUM(J3781:J3787)</f>
        <v>71072.709999999992</v>
      </c>
      <c r="AP3780" s="111"/>
    </row>
    <row r="3781" spans="1:42" ht="66" x14ac:dyDescent="0.25">
      <c r="A3781" s="9"/>
      <c r="B3781" s="482" t="s">
        <v>1359</v>
      </c>
      <c r="C3781" s="77"/>
      <c r="D3781" s="869">
        <v>2</v>
      </c>
      <c r="E3781" s="1024" t="s">
        <v>1755</v>
      </c>
      <c r="F3781" s="273" t="s">
        <v>3446</v>
      </c>
      <c r="G3781" s="1040" t="s">
        <v>3463</v>
      </c>
      <c r="H3781" s="273" t="s">
        <v>3462</v>
      </c>
      <c r="I3781" s="720">
        <f t="shared" ref="I3781:I3787" si="846">+J3781/D3781</f>
        <v>11600</v>
      </c>
      <c r="J3781" s="757">
        <v>23200</v>
      </c>
      <c r="K3781" s="131">
        <f t="shared" si="837"/>
        <v>23200</v>
      </c>
      <c r="L3781" s="335">
        <f t="shared" si="841"/>
        <v>0</v>
      </c>
      <c r="M3781" s="446"/>
      <c r="N3781" s="446"/>
      <c r="O3781" s="446"/>
      <c r="P3781" s="446"/>
      <c r="Q3781" s="130">
        <v>1</v>
      </c>
      <c r="R3781" s="111">
        <f t="shared" si="838"/>
        <v>5800</v>
      </c>
      <c r="S3781" s="110"/>
      <c r="T3781" s="110"/>
      <c r="U3781" s="130">
        <v>1</v>
      </c>
      <c r="V3781" s="111">
        <f t="shared" si="839"/>
        <v>5800</v>
      </c>
      <c r="W3781" s="110"/>
      <c r="X3781" s="110"/>
      <c r="Y3781" s="110"/>
      <c r="Z3781" s="110"/>
      <c r="AA3781" s="130">
        <v>0</v>
      </c>
      <c r="AB3781" s="111">
        <f t="shared" si="832"/>
        <v>5800</v>
      </c>
      <c r="AC3781" s="110"/>
      <c r="AD3781" s="110"/>
      <c r="AE3781" s="130">
        <v>0</v>
      </c>
      <c r="AF3781" s="111">
        <f t="shared" si="845"/>
        <v>5800</v>
      </c>
      <c r="AG3781" s="110"/>
      <c r="AH3781" s="110"/>
      <c r="AI3781" s="110"/>
      <c r="AJ3781" s="110"/>
      <c r="AK3781" s="111">
        <f t="shared" si="842"/>
        <v>23200</v>
      </c>
      <c r="AL3781" s="446">
        <f t="shared" si="843"/>
        <v>0</v>
      </c>
      <c r="AM3781" s="110">
        <f t="shared" si="844"/>
        <v>2</v>
      </c>
      <c r="AN3781" s="447">
        <f t="shared" si="836"/>
        <v>0</v>
      </c>
      <c r="AO3781"/>
      <c r="AP3781"/>
    </row>
    <row r="3782" spans="1:42" ht="66" x14ac:dyDescent="0.25">
      <c r="A3782" s="9"/>
      <c r="B3782" s="482" t="s">
        <v>1360</v>
      </c>
      <c r="C3782" s="77"/>
      <c r="D3782" s="869">
        <v>10</v>
      </c>
      <c r="E3782" s="1024" t="s">
        <v>1755</v>
      </c>
      <c r="F3782" s="273" t="s">
        <v>3446</v>
      </c>
      <c r="G3782" s="1040" t="s">
        <v>3463</v>
      </c>
      <c r="H3782" s="273" t="s">
        <v>3462</v>
      </c>
      <c r="I3782" s="720">
        <f t="shared" si="846"/>
        <v>580</v>
      </c>
      <c r="J3782" s="757">
        <v>5800</v>
      </c>
      <c r="K3782" s="131">
        <f t="shared" si="837"/>
        <v>5800</v>
      </c>
      <c r="L3782" s="335">
        <f t="shared" si="841"/>
        <v>0</v>
      </c>
      <c r="M3782" s="446"/>
      <c r="N3782" s="446"/>
      <c r="O3782" s="446"/>
      <c r="P3782" s="446"/>
      <c r="Q3782" s="130">
        <v>3</v>
      </c>
      <c r="R3782" s="111">
        <f t="shared" si="838"/>
        <v>1450</v>
      </c>
      <c r="S3782" s="110"/>
      <c r="T3782" s="110"/>
      <c r="U3782" s="130">
        <v>3</v>
      </c>
      <c r="V3782" s="111">
        <f t="shared" si="839"/>
        <v>1450</v>
      </c>
      <c r="W3782" s="110"/>
      <c r="X3782" s="110"/>
      <c r="Y3782" s="110"/>
      <c r="Z3782" s="110"/>
      <c r="AA3782" s="130">
        <v>2</v>
      </c>
      <c r="AB3782" s="111">
        <f t="shared" si="832"/>
        <v>1450</v>
      </c>
      <c r="AC3782" s="110"/>
      <c r="AD3782" s="110"/>
      <c r="AE3782" s="130">
        <v>2</v>
      </c>
      <c r="AF3782" s="111">
        <f t="shared" si="845"/>
        <v>1450</v>
      </c>
      <c r="AG3782" s="110"/>
      <c r="AH3782" s="110"/>
      <c r="AI3782" s="110"/>
      <c r="AJ3782" s="110"/>
      <c r="AK3782" s="111">
        <f t="shared" si="842"/>
        <v>5800</v>
      </c>
      <c r="AL3782" s="446">
        <f t="shared" si="843"/>
        <v>0</v>
      </c>
      <c r="AM3782" s="110">
        <f t="shared" si="844"/>
        <v>10</v>
      </c>
      <c r="AN3782" s="447">
        <f t="shared" si="836"/>
        <v>0</v>
      </c>
      <c r="AO3782"/>
      <c r="AP3782"/>
    </row>
    <row r="3783" spans="1:42" s="108" customFormat="1" ht="66" x14ac:dyDescent="0.25">
      <c r="A3783" s="60"/>
      <c r="B3783" s="46" t="s">
        <v>1501</v>
      </c>
      <c r="C3783" s="57"/>
      <c r="D3783" s="875">
        <v>2</v>
      </c>
      <c r="E3783" s="84" t="s">
        <v>1755</v>
      </c>
      <c r="F3783" s="273" t="s">
        <v>3446</v>
      </c>
      <c r="G3783" s="1040" t="s">
        <v>3463</v>
      </c>
      <c r="H3783" s="273" t="s">
        <v>3462</v>
      </c>
      <c r="I3783" s="722">
        <f t="shared" si="846"/>
        <v>4060</v>
      </c>
      <c r="J3783" s="742">
        <v>8120</v>
      </c>
      <c r="K3783" s="131">
        <f t="shared" si="837"/>
        <v>8120</v>
      </c>
      <c r="L3783" s="335">
        <f t="shared" si="841"/>
        <v>0</v>
      </c>
      <c r="M3783" s="335"/>
      <c r="N3783" s="335"/>
      <c r="O3783" s="335"/>
      <c r="P3783" s="335"/>
      <c r="Q3783" s="130">
        <v>1</v>
      </c>
      <c r="R3783" s="131">
        <f t="shared" si="838"/>
        <v>2030</v>
      </c>
      <c r="S3783" s="130"/>
      <c r="T3783" s="130"/>
      <c r="U3783" s="130">
        <v>1</v>
      </c>
      <c r="V3783" s="131">
        <f t="shared" si="839"/>
        <v>2030</v>
      </c>
      <c r="W3783" s="130"/>
      <c r="X3783" s="130"/>
      <c r="Y3783" s="130"/>
      <c r="Z3783" s="130"/>
      <c r="AA3783" s="130">
        <v>0</v>
      </c>
      <c r="AB3783" s="131">
        <f t="shared" si="832"/>
        <v>2030</v>
      </c>
      <c r="AC3783" s="130"/>
      <c r="AD3783" s="130"/>
      <c r="AE3783" s="130">
        <v>0</v>
      </c>
      <c r="AF3783" s="131">
        <f t="shared" si="845"/>
        <v>2030</v>
      </c>
      <c r="AG3783" s="130"/>
      <c r="AH3783" s="130"/>
      <c r="AI3783" s="130"/>
      <c r="AJ3783" s="130"/>
      <c r="AK3783" s="131">
        <f t="shared" si="842"/>
        <v>8120</v>
      </c>
      <c r="AL3783" s="446">
        <f t="shared" si="843"/>
        <v>0</v>
      </c>
      <c r="AM3783" s="110">
        <f t="shared" si="844"/>
        <v>2</v>
      </c>
      <c r="AN3783" s="447">
        <f t="shared" si="836"/>
        <v>0</v>
      </c>
      <c r="AO3783"/>
      <c r="AP3783"/>
    </row>
    <row r="3784" spans="1:42" s="108" customFormat="1" ht="66" x14ac:dyDescent="0.25">
      <c r="A3784" s="60"/>
      <c r="B3784" s="699" t="s">
        <v>3316</v>
      </c>
      <c r="C3784" s="57"/>
      <c r="D3784" s="875">
        <v>10</v>
      </c>
      <c r="E3784" s="84" t="s">
        <v>1755</v>
      </c>
      <c r="F3784" s="273" t="s">
        <v>3446</v>
      </c>
      <c r="G3784" s="1040" t="s">
        <v>3463</v>
      </c>
      <c r="H3784" s="273" t="s">
        <v>3462</v>
      </c>
      <c r="I3784" s="722">
        <f t="shared" si="846"/>
        <v>30</v>
      </c>
      <c r="J3784" s="742">
        <v>300</v>
      </c>
      <c r="K3784" s="131">
        <f t="shared" si="837"/>
        <v>300</v>
      </c>
      <c r="L3784" s="335">
        <f t="shared" si="841"/>
        <v>0</v>
      </c>
      <c r="M3784" s="335"/>
      <c r="N3784" s="335"/>
      <c r="O3784" s="335"/>
      <c r="P3784" s="335"/>
      <c r="Q3784" s="130">
        <v>3</v>
      </c>
      <c r="R3784" s="131">
        <f t="shared" si="838"/>
        <v>75</v>
      </c>
      <c r="S3784" s="130"/>
      <c r="T3784" s="130"/>
      <c r="U3784" s="130">
        <v>3</v>
      </c>
      <c r="V3784" s="131">
        <f t="shared" si="839"/>
        <v>75</v>
      </c>
      <c r="W3784" s="130"/>
      <c r="X3784" s="130"/>
      <c r="Y3784" s="130"/>
      <c r="Z3784" s="130"/>
      <c r="AA3784" s="130">
        <v>2</v>
      </c>
      <c r="AB3784" s="131">
        <f t="shared" si="832"/>
        <v>75</v>
      </c>
      <c r="AC3784" s="130"/>
      <c r="AD3784" s="130"/>
      <c r="AE3784" s="130">
        <v>2</v>
      </c>
      <c r="AF3784" s="131">
        <f t="shared" si="845"/>
        <v>75</v>
      </c>
      <c r="AG3784" s="130"/>
      <c r="AH3784" s="130"/>
      <c r="AI3784" s="130"/>
      <c r="AJ3784" s="130"/>
      <c r="AK3784" s="131">
        <f t="shared" si="842"/>
        <v>300</v>
      </c>
      <c r="AL3784" s="446">
        <f t="shared" si="843"/>
        <v>0</v>
      </c>
      <c r="AM3784" s="110">
        <f t="shared" si="844"/>
        <v>10</v>
      </c>
      <c r="AN3784" s="447">
        <f t="shared" si="836"/>
        <v>0</v>
      </c>
      <c r="AO3784"/>
      <c r="AP3784"/>
    </row>
    <row r="3785" spans="1:42" s="108" customFormat="1" ht="66" x14ac:dyDescent="0.25">
      <c r="A3785" s="60"/>
      <c r="B3785" s="699" t="s">
        <v>3338</v>
      </c>
      <c r="C3785" s="57"/>
      <c r="D3785" s="869">
        <v>7</v>
      </c>
      <c r="E3785" s="84" t="s">
        <v>1755</v>
      </c>
      <c r="F3785" s="273" t="s">
        <v>3446</v>
      </c>
      <c r="G3785" s="1040" t="s">
        <v>3463</v>
      </c>
      <c r="H3785" s="273" t="s">
        <v>3462</v>
      </c>
      <c r="I3785" s="722">
        <f t="shared" si="846"/>
        <v>2765.4700000000003</v>
      </c>
      <c r="J3785" s="742">
        <v>19358.29</v>
      </c>
      <c r="K3785" s="131">
        <f t="shared" si="837"/>
        <v>19358.29</v>
      </c>
      <c r="L3785" s="335">
        <f t="shared" si="841"/>
        <v>0</v>
      </c>
      <c r="M3785" s="335"/>
      <c r="N3785" s="335"/>
      <c r="O3785" s="335"/>
      <c r="P3785" s="335"/>
      <c r="Q3785" s="130">
        <v>2</v>
      </c>
      <c r="R3785" s="131">
        <f t="shared" si="838"/>
        <v>4839.5725000000002</v>
      </c>
      <c r="S3785" s="130"/>
      <c r="T3785" s="130"/>
      <c r="U3785" s="130">
        <v>2</v>
      </c>
      <c r="V3785" s="131">
        <f t="shared" si="839"/>
        <v>4839.5725000000002</v>
      </c>
      <c r="W3785" s="130"/>
      <c r="X3785" s="130"/>
      <c r="Y3785" s="130"/>
      <c r="Z3785" s="130"/>
      <c r="AA3785" s="130">
        <v>2</v>
      </c>
      <c r="AB3785" s="131">
        <f t="shared" ref="AB3785:AB3848" si="847">+J3785/4</f>
        <v>4839.5725000000002</v>
      </c>
      <c r="AC3785" s="130"/>
      <c r="AD3785" s="130"/>
      <c r="AE3785" s="130">
        <v>1</v>
      </c>
      <c r="AF3785" s="131">
        <f t="shared" si="845"/>
        <v>4839.5725000000002</v>
      </c>
      <c r="AG3785" s="130"/>
      <c r="AH3785" s="130"/>
      <c r="AI3785" s="130"/>
      <c r="AJ3785" s="130"/>
      <c r="AK3785" s="131">
        <f t="shared" si="842"/>
        <v>19358.29</v>
      </c>
      <c r="AL3785" s="446">
        <f t="shared" si="843"/>
        <v>0</v>
      </c>
      <c r="AM3785" s="110">
        <f t="shared" si="844"/>
        <v>7</v>
      </c>
      <c r="AN3785" s="447">
        <f t="shared" si="836"/>
        <v>0</v>
      </c>
      <c r="AO3785"/>
      <c r="AP3785"/>
    </row>
    <row r="3786" spans="1:42" s="108" customFormat="1" ht="21.75" customHeight="1" x14ac:dyDescent="0.25">
      <c r="A3786" s="60"/>
      <c r="B3786" s="700" t="s">
        <v>3339</v>
      </c>
      <c r="C3786" s="57"/>
      <c r="D3786" s="869">
        <v>2</v>
      </c>
      <c r="E3786" s="84" t="s">
        <v>1755</v>
      </c>
      <c r="F3786" s="273" t="s">
        <v>3446</v>
      </c>
      <c r="G3786" s="1040" t="s">
        <v>3463</v>
      </c>
      <c r="H3786" s="273" t="s">
        <v>3462</v>
      </c>
      <c r="I3786" s="722">
        <f t="shared" si="846"/>
        <v>4147.21</v>
      </c>
      <c r="J3786" s="742">
        <v>8294.42</v>
      </c>
      <c r="K3786" s="131">
        <f t="shared" si="837"/>
        <v>8294.42</v>
      </c>
      <c r="L3786" s="335">
        <f t="shared" si="841"/>
        <v>0</v>
      </c>
      <c r="M3786" s="335"/>
      <c r="N3786" s="335"/>
      <c r="O3786" s="335"/>
      <c r="P3786" s="335"/>
      <c r="Q3786" s="130">
        <v>1</v>
      </c>
      <c r="R3786" s="131">
        <f t="shared" si="838"/>
        <v>2073.605</v>
      </c>
      <c r="S3786" s="130"/>
      <c r="T3786" s="130"/>
      <c r="U3786" s="130">
        <v>1</v>
      </c>
      <c r="V3786" s="131">
        <f t="shared" si="839"/>
        <v>2073.605</v>
      </c>
      <c r="W3786" s="130"/>
      <c r="X3786" s="130"/>
      <c r="Y3786" s="130"/>
      <c r="Z3786" s="130"/>
      <c r="AA3786" s="130">
        <v>0</v>
      </c>
      <c r="AB3786" s="131">
        <f t="shared" si="847"/>
        <v>2073.605</v>
      </c>
      <c r="AC3786" s="130"/>
      <c r="AD3786" s="130"/>
      <c r="AE3786" s="130">
        <v>0</v>
      </c>
      <c r="AF3786" s="131">
        <f t="shared" si="845"/>
        <v>2073.605</v>
      </c>
      <c r="AG3786" s="130"/>
      <c r="AH3786" s="130"/>
      <c r="AI3786" s="130"/>
      <c r="AJ3786" s="130"/>
      <c r="AK3786" s="131">
        <f t="shared" si="842"/>
        <v>8294.42</v>
      </c>
      <c r="AL3786" s="446">
        <f t="shared" si="843"/>
        <v>0</v>
      </c>
      <c r="AM3786" s="110">
        <f t="shared" si="844"/>
        <v>2</v>
      </c>
      <c r="AN3786" s="447">
        <f t="shared" si="836"/>
        <v>0</v>
      </c>
      <c r="AO3786"/>
      <c r="AP3786"/>
    </row>
    <row r="3787" spans="1:42" s="108" customFormat="1" ht="66" x14ac:dyDescent="0.25">
      <c r="A3787" s="60"/>
      <c r="B3787" s="699" t="s">
        <v>1360</v>
      </c>
      <c r="C3787" s="57"/>
      <c r="D3787" s="869">
        <v>3</v>
      </c>
      <c r="E3787" s="84" t="s">
        <v>1755</v>
      </c>
      <c r="F3787" s="273" t="s">
        <v>3446</v>
      </c>
      <c r="G3787" s="1040" t="s">
        <v>3463</v>
      </c>
      <c r="H3787" s="273" t="s">
        <v>3462</v>
      </c>
      <c r="I3787" s="722">
        <f t="shared" si="846"/>
        <v>2000</v>
      </c>
      <c r="J3787" s="742">
        <v>6000</v>
      </c>
      <c r="K3787" s="131">
        <f t="shared" si="837"/>
        <v>6000</v>
      </c>
      <c r="L3787" s="335">
        <f t="shared" si="841"/>
        <v>0</v>
      </c>
      <c r="M3787" s="335"/>
      <c r="N3787" s="335"/>
      <c r="O3787" s="335"/>
      <c r="P3787" s="335"/>
      <c r="Q3787" s="130">
        <v>1</v>
      </c>
      <c r="R3787" s="131">
        <f t="shared" si="838"/>
        <v>1500</v>
      </c>
      <c r="S3787" s="130"/>
      <c r="T3787" s="130"/>
      <c r="U3787" s="130">
        <v>1</v>
      </c>
      <c r="V3787" s="131">
        <f t="shared" si="839"/>
        <v>1500</v>
      </c>
      <c r="W3787" s="130"/>
      <c r="X3787" s="130"/>
      <c r="Y3787" s="130"/>
      <c r="Z3787" s="130"/>
      <c r="AA3787" s="130">
        <v>1</v>
      </c>
      <c r="AB3787" s="131">
        <f t="shared" si="847"/>
        <v>1500</v>
      </c>
      <c r="AC3787" s="130"/>
      <c r="AD3787" s="130"/>
      <c r="AE3787" s="130">
        <v>0</v>
      </c>
      <c r="AF3787" s="131">
        <f t="shared" si="845"/>
        <v>1500</v>
      </c>
      <c r="AG3787" s="130"/>
      <c r="AH3787" s="130"/>
      <c r="AI3787" s="130"/>
      <c r="AJ3787" s="130"/>
      <c r="AK3787" s="131">
        <f t="shared" si="842"/>
        <v>6000</v>
      </c>
      <c r="AL3787" s="446">
        <f t="shared" si="843"/>
        <v>0</v>
      </c>
      <c r="AM3787" s="110">
        <f t="shared" si="844"/>
        <v>3</v>
      </c>
      <c r="AN3787" s="447">
        <f t="shared" si="836"/>
        <v>0</v>
      </c>
      <c r="AO3787"/>
      <c r="AP3787"/>
    </row>
    <row r="3788" spans="1:42" ht="22.5" x14ac:dyDescent="0.25">
      <c r="A3788" s="408">
        <v>35102</v>
      </c>
      <c r="B3788" s="409" t="s">
        <v>887</v>
      </c>
      <c r="C3788" s="380"/>
      <c r="D3788" s="946"/>
      <c r="E3788" s="411"/>
      <c r="F3788" s="412"/>
      <c r="G3788" s="412"/>
      <c r="H3788" s="412"/>
      <c r="I3788" s="744"/>
      <c r="J3788" s="831"/>
      <c r="K3788" s="131">
        <f t="shared" si="837"/>
        <v>0</v>
      </c>
      <c r="L3788" s="335">
        <f t="shared" si="841"/>
        <v>0</v>
      </c>
      <c r="M3788" s="446"/>
      <c r="N3788" s="446"/>
      <c r="O3788" s="446"/>
      <c r="P3788" s="446"/>
      <c r="Q3788" s="110">
        <f t="shared" ref="Q3788:Q3810" si="848">+$D3788/4</f>
        <v>0</v>
      </c>
      <c r="R3788" s="111">
        <f t="shared" si="838"/>
        <v>0</v>
      </c>
      <c r="S3788" s="110"/>
      <c r="T3788" s="110"/>
      <c r="U3788" s="110">
        <f t="shared" ref="U3788:U3810" si="849">+$D3788/4</f>
        <v>0</v>
      </c>
      <c r="V3788" s="111">
        <f t="shared" si="839"/>
        <v>0</v>
      </c>
      <c r="W3788" s="110"/>
      <c r="X3788" s="110"/>
      <c r="Y3788" s="110"/>
      <c r="Z3788" s="110"/>
      <c r="AA3788" s="110">
        <f t="shared" si="840"/>
        <v>0</v>
      </c>
      <c r="AB3788" s="111">
        <f t="shared" si="847"/>
        <v>0</v>
      </c>
      <c r="AC3788" s="110"/>
      <c r="AD3788" s="110"/>
      <c r="AE3788" s="110">
        <f t="shared" si="840"/>
        <v>0</v>
      </c>
      <c r="AF3788" s="111">
        <f t="shared" si="845"/>
        <v>0</v>
      </c>
      <c r="AG3788" s="110"/>
      <c r="AH3788" s="110"/>
      <c r="AI3788" s="110"/>
      <c r="AJ3788" s="110"/>
      <c r="AK3788" s="111">
        <f t="shared" si="842"/>
        <v>0</v>
      </c>
      <c r="AL3788" s="446">
        <f t="shared" si="843"/>
        <v>0</v>
      </c>
      <c r="AM3788" s="110">
        <f t="shared" si="844"/>
        <v>0</v>
      </c>
      <c r="AN3788" s="447">
        <f t="shared" si="836"/>
        <v>0</v>
      </c>
      <c r="AO3788" s="436">
        <f>SUM(J3789:J3824)</f>
        <v>85166.754559999943</v>
      </c>
      <c r="AP3788" s="111"/>
    </row>
    <row r="3789" spans="1:42" ht="66" x14ac:dyDescent="0.25">
      <c r="A3789" s="61"/>
      <c r="B3789" s="599" t="s">
        <v>1361</v>
      </c>
      <c r="C3789" s="9"/>
      <c r="D3789" s="875">
        <v>1</v>
      </c>
      <c r="E3789" s="250" t="s">
        <v>1755</v>
      </c>
      <c r="F3789" s="273" t="s">
        <v>3446</v>
      </c>
      <c r="G3789" s="1040" t="s">
        <v>3463</v>
      </c>
      <c r="H3789" s="273" t="s">
        <v>3462</v>
      </c>
      <c r="I3789" s="720">
        <f t="shared" ref="I3789:I3824" si="850">+J3789/D3789</f>
        <v>32479.999999999996</v>
      </c>
      <c r="J3789" s="820">
        <v>32479.999999999996</v>
      </c>
      <c r="K3789" s="131">
        <f t="shared" si="837"/>
        <v>32479.999999999996</v>
      </c>
      <c r="L3789" s="335">
        <f t="shared" si="841"/>
        <v>0</v>
      </c>
      <c r="M3789" s="446"/>
      <c r="N3789" s="446"/>
      <c r="O3789" s="446"/>
      <c r="P3789" s="446"/>
      <c r="Q3789" s="110">
        <v>1</v>
      </c>
      <c r="R3789" s="111">
        <f t="shared" si="838"/>
        <v>8119.9999999999991</v>
      </c>
      <c r="S3789" s="110"/>
      <c r="T3789" s="110"/>
      <c r="U3789" s="110">
        <v>0</v>
      </c>
      <c r="V3789" s="111">
        <f t="shared" si="839"/>
        <v>8119.9999999999991</v>
      </c>
      <c r="W3789" s="110"/>
      <c r="X3789" s="110"/>
      <c r="Y3789" s="110"/>
      <c r="Z3789" s="110"/>
      <c r="AA3789" s="110">
        <v>0</v>
      </c>
      <c r="AB3789" s="111">
        <f t="shared" si="847"/>
        <v>8119.9999999999991</v>
      </c>
      <c r="AC3789" s="110"/>
      <c r="AD3789" s="110"/>
      <c r="AE3789" s="110">
        <v>0</v>
      </c>
      <c r="AF3789" s="111">
        <f t="shared" si="845"/>
        <v>8119.9999999999991</v>
      </c>
      <c r="AG3789" s="110"/>
      <c r="AH3789" s="110"/>
      <c r="AI3789" s="110"/>
      <c r="AJ3789" s="110"/>
      <c r="AK3789" s="111">
        <f t="shared" si="842"/>
        <v>32479.999999999996</v>
      </c>
      <c r="AL3789" s="446">
        <f t="shared" si="843"/>
        <v>0</v>
      </c>
      <c r="AM3789" s="110">
        <f t="shared" si="844"/>
        <v>1</v>
      </c>
      <c r="AN3789" s="447">
        <f t="shared" si="836"/>
        <v>0</v>
      </c>
      <c r="AO3789"/>
      <c r="AP3789"/>
    </row>
    <row r="3790" spans="1:42" ht="66" x14ac:dyDescent="0.25">
      <c r="A3790" s="61"/>
      <c r="B3790" s="501" t="s">
        <v>1362</v>
      </c>
      <c r="C3790" s="9"/>
      <c r="D3790" s="875">
        <v>2</v>
      </c>
      <c r="E3790" s="250" t="s">
        <v>1755</v>
      </c>
      <c r="F3790" s="273" t="s">
        <v>3446</v>
      </c>
      <c r="G3790" s="1040" t="s">
        <v>3463</v>
      </c>
      <c r="H3790" s="273" t="s">
        <v>3462</v>
      </c>
      <c r="I3790" s="720">
        <f t="shared" si="850"/>
        <v>716.60159999999996</v>
      </c>
      <c r="J3790" s="820">
        <v>1433.2031999999999</v>
      </c>
      <c r="K3790" s="131">
        <f t="shared" si="837"/>
        <v>1433.2031999999999</v>
      </c>
      <c r="L3790" s="335">
        <f t="shared" si="841"/>
        <v>0</v>
      </c>
      <c r="M3790" s="446"/>
      <c r="N3790" s="446"/>
      <c r="O3790" s="446"/>
      <c r="P3790" s="446"/>
      <c r="Q3790" s="130">
        <v>1</v>
      </c>
      <c r="R3790" s="111">
        <f t="shared" si="838"/>
        <v>358.30079999999998</v>
      </c>
      <c r="S3790" s="110"/>
      <c r="T3790" s="110"/>
      <c r="U3790" s="130">
        <v>1</v>
      </c>
      <c r="V3790" s="111">
        <f t="shared" si="839"/>
        <v>358.30079999999998</v>
      </c>
      <c r="W3790" s="110"/>
      <c r="X3790" s="110"/>
      <c r="Y3790" s="110"/>
      <c r="Z3790" s="110"/>
      <c r="AA3790" s="130">
        <v>0</v>
      </c>
      <c r="AB3790" s="111">
        <f t="shared" si="847"/>
        <v>358.30079999999998</v>
      </c>
      <c r="AC3790" s="110"/>
      <c r="AD3790" s="110"/>
      <c r="AE3790" s="130">
        <v>0</v>
      </c>
      <c r="AF3790" s="111">
        <f t="shared" si="845"/>
        <v>358.30079999999998</v>
      </c>
      <c r="AG3790" s="110"/>
      <c r="AH3790" s="110"/>
      <c r="AI3790" s="110"/>
      <c r="AJ3790" s="110"/>
      <c r="AK3790" s="111">
        <f t="shared" si="842"/>
        <v>1433.2031999999999</v>
      </c>
      <c r="AL3790" s="446">
        <f t="shared" si="843"/>
        <v>0</v>
      </c>
      <c r="AM3790" s="110">
        <f t="shared" si="844"/>
        <v>2</v>
      </c>
      <c r="AN3790" s="447">
        <f t="shared" si="836"/>
        <v>0</v>
      </c>
      <c r="AO3790"/>
      <c r="AP3790"/>
    </row>
    <row r="3791" spans="1:42" ht="66" x14ac:dyDescent="0.25">
      <c r="A3791" s="61"/>
      <c r="B3791" s="501" t="s">
        <v>1363</v>
      </c>
      <c r="C3791" s="9"/>
      <c r="D3791" s="875">
        <v>1</v>
      </c>
      <c r="E3791" s="250" t="s">
        <v>1755</v>
      </c>
      <c r="F3791" s="273" t="s">
        <v>3446</v>
      </c>
      <c r="G3791" s="1040" t="s">
        <v>3463</v>
      </c>
      <c r="H3791" s="273" t="s">
        <v>3462</v>
      </c>
      <c r="I3791" s="720">
        <f t="shared" si="850"/>
        <v>476.81567999999999</v>
      </c>
      <c r="J3791" s="820">
        <v>476.81567999999999</v>
      </c>
      <c r="K3791" s="131">
        <f t="shared" si="837"/>
        <v>476.81567999999999</v>
      </c>
      <c r="L3791" s="335">
        <f t="shared" si="841"/>
        <v>0</v>
      </c>
      <c r="M3791" s="446"/>
      <c r="N3791" s="446"/>
      <c r="O3791" s="446"/>
      <c r="P3791" s="446"/>
      <c r="Q3791" s="110">
        <v>1</v>
      </c>
      <c r="R3791" s="111">
        <f t="shared" si="838"/>
        <v>119.20392</v>
      </c>
      <c r="S3791" s="110"/>
      <c r="T3791" s="110"/>
      <c r="U3791" s="110">
        <v>0</v>
      </c>
      <c r="V3791" s="111">
        <f t="shared" si="839"/>
        <v>119.20392</v>
      </c>
      <c r="W3791" s="110"/>
      <c r="X3791" s="110"/>
      <c r="Y3791" s="110"/>
      <c r="Z3791" s="110"/>
      <c r="AA3791" s="110">
        <v>0</v>
      </c>
      <c r="AB3791" s="111">
        <f t="shared" si="847"/>
        <v>119.20392</v>
      </c>
      <c r="AC3791" s="110"/>
      <c r="AD3791" s="110"/>
      <c r="AE3791" s="110">
        <v>0</v>
      </c>
      <c r="AF3791" s="111">
        <f t="shared" si="845"/>
        <v>119.20392</v>
      </c>
      <c r="AG3791" s="110"/>
      <c r="AH3791" s="110"/>
      <c r="AI3791" s="110"/>
      <c r="AJ3791" s="110"/>
      <c r="AK3791" s="111">
        <f t="shared" si="842"/>
        <v>476.81567999999999</v>
      </c>
      <c r="AL3791" s="446">
        <f t="shared" si="843"/>
        <v>0</v>
      </c>
      <c r="AM3791" s="110">
        <f t="shared" si="844"/>
        <v>1</v>
      </c>
      <c r="AN3791" s="447">
        <f t="shared" si="836"/>
        <v>0</v>
      </c>
      <c r="AO3791"/>
      <c r="AP3791"/>
    </row>
    <row r="3792" spans="1:42" ht="66" x14ac:dyDescent="0.25">
      <c r="A3792" s="61"/>
      <c r="B3792" s="501" t="s">
        <v>1364</v>
      </c>
      <c r="C3792" s="9"/>
      <c r="D3792" s="875">
        <v>1</v>
      </c>
      <c r="E3792" s="250" t="s">
        <v>1755</v>
      </c>
      <c r="F3792" s="273" t="s">
        <v>3446</v>
      </c>
      <c r="G3792" s="1040" t="s">
        <v>3463</v>
      </c>
      <c r="H3792" s="273" t="s">
        <v>3462</v>
      </c>
      <c r="I3792" s="720">
        <f t="shared" si="850"/>
        <v>344.52</v>
      </c>
      <c r="J3792" s="820">
        <v>344.52</v>
      </c>
      <c r="K3792" s="131">
        <f t="shared" si="837"/>
        <v>344.52</v>
      </c>
      <c r="L3792" s="335">
        <f t="shared" si="841"/>
        <v>0</v>
      </c>
      <c r="M3792" s="446"/>
      <c r="N3792" s="446"/>
      <c r="O3792" s="446"/>
      <c r="P3792" s="446"/>
      <c r="Q3792" s="110">
        <v>1</v>
      </c>
      <c r="R3792" s="111">
        <f t="shared" si="838"/>
        <v>86.13</v>
      </c>
      <c r="S3792" s="110"/>
      <c r="T3792" s="110"/>
      <c r="U3792" s="110">
        <v>0</v>
      </c>
      <c r="V3792" s="111">
        <f t="shared" si="839"/>
        <v>86.13</v>
      </c>
      <c r="W3792" s="110"/>
      <c r="X3792" s="110"/>
      <c r="Y3792" s="110"/>
      <c r="Z3792" s="110"/>
      <c r="AA3792" s="110">
        <v>0</v>
      </c>
      <c r="AB3792" s="111">
        <f t="shared" si="847"/>
        <v>86.13</v>
      </c>
      <c r="AC3792" s="110"/>
      <c r="AD3792" s="110"/>
      <c r="AE3792" s="110">
        <v>0</v>
      </c>
      <c r="AF3792" s="111">
        <f t="shared" si="845"/>
        <v>86.13</v>
      </c>
      <c r="AG3792" s="110"/>
      <c r="AH3792" s="110"/>
      <c r="AI3792" s="110"/>
      <c r="AJ3792" s="110"/>
      <c r="AK3792" s="111">
        <f t="shared" si="842"/>
        <v>344.52</v>
      </c>
      <c r="AL3792" s="446">
        <f t="shared" si="843"/>
        <v>0</v>
      </c>
      <c r="AM3792" s="110">
        <f t="shared" si="844"/>
        <v>1</v>
      </c>
      <c r="AN3792" s="447">
        <f t="shared" si="836"/>
        <v>0</v>
      </c>
      <c r="AO3792"/>
      <c r="AP3792"/>
    </row>
    <row r="3793" spans="1:42" ht="66" x14ac:dyDescent="0.25">
      <c r="A3793" s="61"/>
      <c r="B3793" s="501" t="s">
        <v>1362</v>
      </c>
      <c r="C3793" s="9"/>
      <c r="D3793" s="875">
        <v>2</v>
      </c>
      <c r="E3793" s="250" t="s">
        <v>1755</v>
      </c>
      <c r="F3793" s="273" t="s">
        <v>3446</v>
      </c>
      <c r="G3793" s="1040" t="s">
        <v>3463</v>
      </c>
      <c r="H3793" s="273" t="s">
        <v>3462</v>
      </c>
      <c r="I3793" s="720">
        <f t="shared" si="850"/>
        <v>476.81567999999999</v>
      </c>
      <c r="J3793" s="820">
        <v>953.63135999999997</v>
      </c>
      <c r="K3793" s="131">
        <f t="shared" si="837"/>
        <v>953.63135999999997</v>
      </c>
      <c r="L3793" s="335">
        <f t="shared" si="841"/>
        <v>0</v>
      </c>
      <c r="M3793" s="446"/>
      <c r="N3793" s="446"/>
      <c r="O3793" s="446"/>
      <c r="P3793" s="446"/>
      <c r="Q3793" s="130">
        <v>1</v>
      </c>
      <c r="R3793" s="111">
        <f t="shared" si="838"/>
        <v>238.40783999999999</v>
      </c>
      <c r="S3793" s="110"/>
      <c r="T3793" s="110"/>
      <c r="U3793" s="130">
        <v>1</v>
      </c>
      <c r="V3793" s="111">
        <f t="shared" si="839"/>
        <v>238.40783999999999</v>
      </c>
      <c r="W3793" s="110"/>
      <c r="X3793" s="110"/>
      <c r="Y3793" s="110"/>
      <c r="Z3793" s="110"/>
      <c r="AA3793" s="130">
        <v>0</v>
      </c>
      <c r="AB3793" s="111">
        <f t="shared" si="847"/>
        <v>238.40783999999999</v>
      </c>
      <c r="AC3793" s="110"/>
      <c r="AD3793" s="110"/>
      <c r="AE3793" s="130">
        <v>0</v>
      </c>
      <c r="AF3793" s="111">
        <f t="shared" si="845"/>
        <v>238.40783999999999</v>
      </c>
      <c r="AG3793" s="110"/>
      <c r="AH3793" s="110"/>
      <c r="AI3793" s="110"/>
      <c r="AJ3793" s="110"/>
      <c r="AK3793" s="111">
        <f t="shared" si="842"/>
        <v>953.63135999999997</v>
      </c>
      <c r="AL3793" s="446">
        <f t="shared" si="843"/>
        <v>0</v>
      </c>
      <c r="AM3793" s="110">
        <f t="shared" si="844"/>
        <v>2</v>
      </c>
      <c r="AN3793" s="447">
        <f t="shared" si="836"/>
        <v>0</v>
      </c>
      <c r="AO3793"/>
      <c r="AP3793"/>
    </row>
    <row r="3794" spans="1:42" ht="66" x14ac:dyDescent="0.25">
      <c r="A3794" s="61"/>
      <c r="B3794" s="501" t="s">
        <v>1363</v>
      </c>
      <c r="C3794" s="9"/>
      <c r="D3794" s="875">
        <v>7</v>
      </c>
      <c r="E3794" s="250" t="s">
        <v>1755</v>
      </c>
      <c r="F3794" s="273" t="s">
        <v>3446</v>
      </c>
      <c r="G3794" s="1040" t="s">
        <v>3463</v>
      </c>
      <c r="H3794" s="273" t="s">
        <v>3462</v>
      </c>
      <c r="I3794" s="720">
        <f t="shared" si="850"/>
        <v>476.81567999999999</v>
      </c>
      <c r="J3794" s="820">
        <v>3337.7097599999997</v>
      </c>
      <c r="K3794" s="131">
        <f t="shared" si="837"/>
        <v>3337.7097599999997</v>
      </c>
      <c r="L3794" s="335">
        <f t="shared" si="841"/>
        <v>0</v>
      </c>
      <c r="M3794" s="446"/>
      <c r="N3794" s="446"/>
      <c r="O3794" s="446"/>
      <c r="P3794" s="446"/>
      <c r="Q3794" s="130">
        <v>2</v>
      </c>
      <c r="R3794" s="111">
        <f t="shared" si="838"/>
        <v>834.42743999999993</v>
      </c>
      <c r="S3794" s="110"/>
      <c r="T3794" s="110"/>
      <c r="U3794" s="130">
        <v>2</v>
      </c>
      <c r="V3794" s="111">
        <f t="shared" si="839"/>
        <v>834.42743999999993</v>
      </c>
      <c r="W3794" s="110"/>
      <c r="X3794" s="110"/>
      <c r="Y3794" s="110"/>
      <c r="Z3794" s="110"/>
      <c r="AA3794" s="130">
        <v>2</v>
      </c>
      <c r="AB3794" s="111">
        <f t="shared" si="847"/>
        <v>834.42743999999993</v>
      </c>
      <c r="AC3794" s="110"/>
      <c r="AD3794" s="110"/>
      <c r="AE3794" s="130">
        <v>1</v>
      </c>
      <c r="AF3794" s="111">
        <f t="shared" si="845"/>
        <v>834.42743999999993</v>
      </c>
      <c r="AG3794" s="110"/>
      <c r="AH3794" s="110"/>
      <c r="AI3794" s="110"/>
      <c r="AJ3794" s="110"/>
      <c r="AK3794" s="111">
        <f t="shared" si="842"/>
        <v>3337.7097599999997</v>
      </c>
      <c r="AL3794" s="446">
        <f t="shared" si="843"/>
        <v>0</v>
      </c>
      <c r="AM3794" s="110">
        <f t="shared" si="844"/>
        <v>7</v>
      </c>
      <c r="AN3794" s="447">
        <f t="shared" si="836"/>
        <v>0</v>
      </c>
      <c r="AO3794"/>
      <c r="AP3794"/>
    </row>
    <row r="3795" spans="1:42" ht="66" x14ac:dyDescent="0.25">
      <c r="A3795" s="61"/>
      <c r="B3795" s="501" t="s">
        <v>1364</v>
      </c>
      <c r="C3795" s="9"/>
      <c r="D3795" s="875">
        <v>1</v>
      </c>
      <c r="E3795" s="250" t="s">
        <v>1755</v>
      </c>
      <c r="F3795" s="273" t="s">
        <v>3446</v>
      </c>
      <c r="G3795" s="1040" t="s">
        <v>3463</v>
      </c>
      <c r="H3795" s="273" t="s">
        <v>3462</v>
      </c>
      <c r="I3795" s="720">
        <f t="shared" si="850"/>
        <v>344.52</v>
      </c>
      <c r="J3795" s="820">
        <v>344.52</v>
      </c>
      <c r="K3795" s="131">
        <f t="shared" si="837"/>
        <v>344.52</v>
      </c>
      <c r="L3795" s="335">
        <f t="shared" si="841"/>
        <v>0</v>
      </c>
      <c r="M3795" s="446"/>
      <c r="N3795" s="446"/>
      <c r="O3795" s="446"/>
      <c r="P3795" s="446"/>
      <c r="Q3795" s="110">
        <v>1</v>
      </c>
      <c r="R3795" s="111">
        <f t="shared" si="838"/>
        <v>86.13</v>
      </c>
      <c r="S3795" s="110"/>
      <c r="T3795" s="110"/>
      <c r="U3795" s="110">
        <v>0</v>
      </c>
      <c r="V3795" s="111">
        <f t="shared" si="839"/>
        <v>86.13</v>
      </c>
      <c r="W3795" s="110"/>
      <c r="X3795" s="110"/>
      <c r="Y3795" s="110"/>
      <c r="Z3795" s="110"/>
      <c r="AA3795" s="110">
        <v>0</v>
      </c>
      <c r="AB3795" s="111">
        <f t="shared" si="847"/>
        <v>86.13</v>
      </c>
      <c r="AC3795" s="110"/>
      <c r="AD3795" s="110"/>
      <c r="AE3795" s="110">
        <v>0</v>
      </c>
      <c r="AF3795" s="111">
        <f t="shared" si="845"/>
        <v>86.13</v>
      </c>
      <c r="AG3795" s="110"/>
      <c r="AH3795" s="110"/>
      <c r="AI3795" s="110"/>
      <c r="AJ3795" s="110"/>
      <c r="AK3795" s="111">
        <f t="shared" si="842"/>
        <v>344.52</v>
      </c>
      <c r="AL3795" s="446">
        <f t="shared" si="843"/>
        <v>0</v>
      </c>
      <c r="AM3795" s="110">
        <f t="shared" si="844"/>
        <v>1</v>
      </c>
      <c r="AN3795" s="447">
        <f t="shared" si="836"/>
        <v>0</v>
      </c>
      <c r="AO3795"/>
      <c r="AP3795"/>
    </row>
    <row r="3796" spans="1:42" ht="66" x14ac:dyDescent="0.25">
      <c r="A3796" s="61"/>
      <c r="B3796" s="501" t="s">
        <v>1363</v>
      </c>
      <c r="C3796" s="9"/>
      <c r="D3796" s="875">
        <v>8</v>
      </c>
      <c r="E3796" s="250" t="s">
        <v>1755</v>
      </c>
      <c r="F3796" s="273" t="s">
        <v>3446</v>
      </c>
      <c r="G3796" s="1040" t="s">
        <v>3463</v>
      </c>
      <c r="H3796" s="273" t="s">
        <v>3462</v>
      </c>
      <c r="I3796" s="720">
        <f t="shared" si="850"/>
        <v>476.81567999999999</v>
      </c>
      <c r="J3796" s="820">
        <v>3814.5254399999999</v>
      </c>
      <c r="K3796" s="131">
        <f t="shared" si="837"/>
        <v>3814.5254399999999</v>
      </c>
      <c r="L3796" s="335">
        <f t="shared" si="841"/>
        <v>0</v>
      </c>
      <c r="M3796" s="446"/>
      <c r="N3796" s="446"/>
      <c r="O3796" s="446"/>
      <c r="P3796" s="446"/>
      <c r="Q3796" s="110">
        <f t="shared" si="848"/>
        <v>2</v>
      </c>
      <c r="R3796" s="111">
        <f t="shared" si="838"/>
        <v>953.63135999999997</v>
      </c>
      <c r="S3796" s="110"/>
      <c r="T3796" s="110"/>
      <c r="U3796" s="110">
        <f t="shared" si="849"/>
        <v>2</v>
      </c>
      <c r="V3796" s="111">
        <f t="shared" si="839"/>
        <v>953.63135999999997</v>
      </c>
      <c r="W3796" s="110"/>
      <c r="X3796" s="110"/>
      <c r="Y3796" s="110"/>
      <c r="Z3796" s="110"/>
      <c r="AA3796" s="110">
        <f t="shared" si="840"/>
        <v>2</v>
      </c>
      <c r="AB3796" s="111">
        <f t="shared" si="847"/>
        <v>953.63135999999997</v>
      </c>
      <c r="AC3796" s="110"/>
      <c r="AD3796" s="110"/>
      <c r="AE3796" s="110">
        <f t="shared" si="840"/>
        <v>2</v>
      </c>
      <c r="AF3796" s="111">
        <f t="shared" si="845"/>
        <v>953.63135999999997</v>
      </c>
      <c r="AG3796" s="110"/>
      <c r="AH3796" s="110"/>
      <c r="AI3796" s="110"/>
      <c r="AJ3796" s="110"/>
      <c r="AK3796" s="111">
        <f t="shared" si="842"/>
        <v>3814.5254399999999</v>
      </c>
      <c r="AL3796" s="446">
        <f t="shared" si="843"/>
        <v>0</v>
      </c>
      <c r="AM3796" s="110">
        <f t="shared" si="844"/>
        <v>8</v>
      </c>
      <c r="AN3796" s="447">
        <f t="shared" si="836"/>
        <v>0</v>
      </c>
      <c r="AO3796"/>
      <c r="AP3796"/>
    </row>
    <row r="3797" spans="1:42" ht="66" x14ac:dyDescent="0.25">
      <c r="A3797" s="61"/>
      <c r="B3797" s="501" t="s">
        <v>1365</v>
      </c>
      <c r="C3797" s="9"/>
      <c r="D3797" s="875">
        <v>1</v>
      </c>
      <c r="E3797" s="250" t="s">
        <v>1755</v>
      </c>
      <c r="F3797" s="273" t="s">
        <v>3446</v>
      </c>
      <c r="G3797" s="1040" t="s">
        <v>3463</v>
      </c>
      <c r="H3797" s="273" t="s">
        <v>3462</v>
      </c>
      <c r="I3797" s="720">
        <f t="shared" si="850"/>
        <v>344.52</v>
      </c>
      <c r="J3797" s="820">
        <v>344.52</v>
      </c>
      <c r="K3797" s="131">
        <f t="shared" si="837"/>
        <v>344.52</v>
      </c>
      <c r="L3797" s="335">
        <f t="shared" si="841"/>
        <v>0</v>
      </c>
      <c r="M3797" s="446"/>
      <c r="N3797" s="446"/>
      <c r="O3797" s="446"/>
      <c r="P3797" s="446"/>
      <c r="Q3797" s="110">
        <v>1</v>
      </c>
      <c r="R3797" s="111">
        <f t="shared" si="838"/>
        <v>86.13</v>
      </c>
      <c r="S3797" s="110"/>
      <c r="T3797" s="110"/>
      <c r="U3797" s="110">
        <v>0</v>
      </c>
      <c r="V3797" s="111">
        <f t="shared" si="839"/>
        <v>86.13</v>
      </c>
      <c r="W3797" s="110"/>
      <c r="X3797" s="110"/>
      <c r="Y3797" s="110"/>
      <c r="Z3797" s="110"/>
      <c r="AA3797" s="110">
        <v>0</v>
      </c>
      <c r="AB3797" s="111">
        <f t="shared" si="847"/>
        <v>86.13</v>
      </c>
      <c r="AC3797" s="110"/>
      <c r="AD3797" s="110"/>
      <c r="AE3797" s="110">
        <v>0</v>
      </c>
      <c r="AF3797" s="111">
        <f t="shared" si="845"/>
        <v>86.13</v>
      </c>
      <c r="AG3797" s="110"/>
      <c r="AH3797" s="110"/>
      <c r="AI3797" s="110"/>
      <c r="AJ3797" s="110"/>
      <c r="AK3797" s="111">
        <f t="shared" si="842"/>
        <v>344.52</v>
      </c>
      <c r="AL3797" s="446">
        <f t="shared" si="843"/>
        <v>0</v>
      </c>
      <c r="AM3797" s="110">
        <f t="shared" si="844"/>
        <v>1</v>
      </c>
      <c r="AN3797" s="447">
        <f t="shared" si="836"/>
        <v>0</v>
      </c>
      <c r="AO3797"/>
      <c r="AP3797"/>
    </row>
    <row r="3798" spans="1:42" ht="66" x14ac:dyDescent="0.25">
      <c r="A3798" s="61"/>
      <c r="B3798" s="501" t="s">
        <v>1366</v>
      </c>
      <c r="C3798" s="9"/>
      <c r="D3798" s="875">
        <v>1</v>
      </c>
      <c r="E3798" s="250" t="s">
        <v>1755</v>
      </c>
      <c r="F3798" s="273" t="s">
        <v>3446</v>
      </c>
      <c r="G3798" s="1040" t="s">
        <v>3463</v>
      </c>
      <c r="H3798" s="273" t="s">
        <v>3462</v>
      </c>
      <c r="I3798" s="720">
        <f t="shared" si="850"/>
        <v>344.52</v>
      </c>
      <c r="J3798" s="820">
        <v>344.52</v>
      </c>
      <c r="K3798" s="131">
        <f t="shared" si="837"/>
        <v>344.52</v>
      </c>
      <c r="L3798" s="335">
        <f t="shared" si="841"/>
        <v>0</v>
      </c>
      <c r="M3798" s="446"/>
      <c r="N3798" s="446"/>
      <c r="O3798" s="446"/>
      <c r="P3798" s="446"/>
      <c r="Q3798" s="110">
        <v>1</v>
      </c>
      <c r="R3798" s="111">
        <f t="shared" si="838"/>
        <v>86.13</v>
      </c>
      <c r="S3798" s="110"/>
      <c r="T3798" s="110"/>
      <c r="U3798" s="110">
        <v>0</v>
      </c>
      <c r="V3798" s="111">
        <f t="shared" si="839"/>
        <v>86.13</v>
      </c>
      <c r="W3798" s="110"/>
      <c r="X3798" s="110"/>
      <c r="Y3798" s="110"/>
      <c r="Z3798" s="110"/>
      <c r="AA3798" s="110">
        <v>0</v>
      </c>
      <c r="AB3798" s="111">
        <f t="shared" si="847"/>
        <v>86.13</v>
      </c>
      <c r="AC3798" s="110"/>
      <c r="AD3798" s="110"/>
      <c r="AE3798" s="110">
        <v>0</v>
      </c>
      <c r="AF3798" s="111">
        <f t="shared" si="845"/>
        <v>86.13</v>
      </c>
      <c r="AG3798" s="110"/>
      <c r="AH3798" s="110"/>
      <c r="AI3798" s="110"/>
      <c r="AJ3798" s="110"/>
      <c r="AK3798" s="111">
        <f t="shared" si="842"/>
        <v>344.52</v>
      </c>
      <c r="AL3798" s="446">
        <f t="shared" si="843"/>
        <v>0</v>
      </c>
      <c r="AM3798" s="110">
        <f t="shared" si="844"/>
        <v>1</v>
      </c>
      <c r="AN3798" s="447">
        <f t="shared" si="836"/>
        <v>0</v>
      </c>
      <c r="AO3798"/>
      <c r="AP3798"/>
    </row>
    <row r="3799" spans="1:42" ht="66" x14ac:dyDescent="0.25">
      <c r="A3799" s="61"/>
      <c r="B3799" s="501" t="s">
        <v>1367</v>
      </c>
      <c r="C3799" s="9"/>
      <c r="D3799" s="875">
        <v>5</v>
      </c>
      <c r="E3799" s="250" t="s">
        <v>1755</v>
      </c>
      <c r="F3799" s="273" t="s">
        <v>3446</v>
      </c>
      <c r="G3799" s="1040" t="s">
        <v>3463</v>
      </c>
      <c r="H3799" s="273" t="s">
        <v>3462</v>
      </c>
      <c r="I3799" s="720">
        <f t="shared" si="850"/>
        <v>344.52</v>
      </c>
      <c r="J3799" s="820">
        <v>1722.6</v>
      </c>
      <c r="K3799" s="131">
        <f t="shared" si="837"/>
        <v>1722.6</v>
      </c>
      <c r="L3799" s="335">
        <f t="shared" si="841"/>
        <v>0</v>
      </c>
      <c r="M3799" s="446"/>
      <c r="N3799" s="446"/>
      <c r="O3799" s="446"/>
      <c r="P3799" s="446"/>
      <c r="Q3799" s="110">
        <v>2</v>
      </c>
      <c r="R3799" s="111">
        <f t="shared" si="838"/>
        <v>430.65</v>
      </c>
      <c r="S3799" s="110"/>
      <c r="T3799" s="110"/>
      <c r="U3799" s="110">
        <v>1</v>
      </c>
      <c r="V3799" s="111">
        <f t="shared" si="839"/>
        <v>430.65</v>
      </c>
      <c r="W3799" s="110"/>
      <c r="X3799" s="110"/>
      <c r="Y3799" s="110"/>
      <c r="Z3799" s="110"/>
      <c r="AA3799" s="110">
        <v>1</v>
      </c>
      <c r="AB3799" s="111">
        <f t="shared" si="847"/>
        <v>430.65</v>
      </c>
      <c r="AC3799" s="110"/>
      <c r="AD3799" s="110"/>
      <c r="AE3799" s="110">
        <v>1</v>
      </c>
      <c r="AF3799" s="111">
        <f t="shared" si="845"/>
        <v>430.65</v>
      </c>
      <c r="AG3799" s="110"/>
      <c r="AH3799" s="110"/>
      <c r="AI3799" s="110"/>
      <c r="AJ3799" s="110"/>
      <c r="AK3799" s="111">
        <f t="shared" si="842"/>
        <v>1722.6</v>
      </c>
      <c r="AL3799" s="446">
        <f t="shared" si="843"/>
        <v>0</v>
      </c>
      <c r="AM3799" s="110">
        <f t="shared" si="844"/>
        <v>5</v>
      </c>
      <c r="AN3799" s="447">
        <f t="shared" si="836"/>
        <v>0</v>
      </c>
      <c r="AO3799"/>
      <c r="AP3799"/>
    </row>
    <row r="3800" spans="1:42" ht="66" x14ac:dyDescent="0.25">
      <c r="A3800" s="61"/>
      <c r="B3800" s="501" t="s">
        <v>1363</v>
      </c>
      <c r="C3800" s="9"/>
      <c r="D3800" s="875">
        <v>6</v>
      </c>
      <c r="E3800" s="250" t="s">
        <v>1755</v>
      </c>
      <c r="F3800" s="273" t="s">
        <v>3446</v>
      </c>
      <c r="G3800" s="1040" t="s">
        <v>3463</v>
      </c>
      <c r="H3800" s="273" t="s">
        <v>3462</v>
      </c>
      <c r="I3800" s="720">
        <f t="shared" si="850"/>
        <v>476.81567999999999</v>
      </c>
      <c r="J3800" s="820">
        <v>2860.89408</v>
      </c>
      <c r="K3800" s="131">
        <f t="shared" si="837"/>
        <v>2860.89408</v>
      </c>
      <c r="L3800" s="335">
        <f t="shared" si="841"/>
        <v>0</v>
      </c>
      <c r="M3800" s="446"/>
      <c r="N3800" s="446"/>
      <c r="O3800" s="446"/>
      <c r="P3800" s="446"/>
      <c r="Q3800" s="130">
        <v>2</v>
      </c>
      <c r="R3800" s="111">
        <f t="shared" si="838"/>
        <v>715.22352000000001</v>
      </c>
      <c r="S3800" s="110"/>
      <c r="T3800" s="110"/>
      <c r="U3800" s="130">
        <v>2</v>
      </c>
      <c r="V3800" s="111">
        <f t="shared" si="839"/>
        <v>715.22352000000001</v>
      </c>
      <c r="W3800" s="110"/>
      <c r="X3800" s="110"/>
      <c r="Y3800" s="110"/>
      <c r="Z3800" s="110"/>
      <c r="AA3800" s="130">
        <v>1</v>
      </c>
      <c r="AB3800" s="111">
        <f t="shared" si="847"/>
        <v>715.22352000000001</v>
      </c>
      <c r="AC3800" s="110"/>
      <c r="AD3800" s="110"/>
      <c r="AE3800" s="130">
        <v>1</v>
      </c>
      <c r="AF3800" s="111">
        <f t="shared" si="845"/>
        <v>715.22352000000001</v>
      </c>
      <c r="AG3800" s="110"/>
      <c r="AH3800" s="110"/>
      <c r="AI3800" s="110"/>
      <c r="AJ3800" s="110"/>
      <c r="AK3800" s="111">
        <f t="shared" si="842"/>
        <v>2860.89408</v>
      </c>
      <c r="AL3800" s="446">
        <f t="shared" si="843"/>
        <v>0</v>
      </c>
      <c r="AM3800" s="110">
        <f t="shared" si="844"/>
        <v>6</v>
      </c>
      <c r="AN3800" s="447">
        <f t="shared" si="836"/>
        <v>0</v>
      </c>
      <c r="AO3800"/>
      <c r="AP3800"/>
    </row>
    <row r="3801" spans="1:42" ht="66" x14ac:dyDescent="0.25">
      <c r="A3801" s="61"/>
      <c r="B3801" s="501" t="s">
        <v>1362</v>
      </c>
      <c r="C3801" s="9"/>
      <c r="D3801" s="875">
        <v>4</v>
      </c>
      <c r="E3801" s="250" t="s">
        <v>1755</v>
      </c>
      <c r="F3801" s="273" t="s">
        <v>3446</v>
      </c>
      <c r="G3801" s="1040" t="s">
        <v>3463</v>
      </c>
      <c r="H3801" s="273" t="s">
        <v>3462</v>
      </c>
      <c r="I3801" s="720">
        <f t="shared" si="850"/>
        <v>716.60159999999996</v>
      </c>
      <c r="J3801" s="820">
        <v>2866.4063999999998</v>
      </c>
      <c r="K3801" s="131">
        <f t="shared" si="837"/>
        <v>2866.4063999999998</v>
      </c>
      <c r="L3801" s="335">
        <f t="shared" si="841"/>
        <v>0</v>
      </c>
      <c r="M3801" s="446"/>
      <c r="N3801" s="446"/>
      <c r="O3801" s="446"/>
      <c r="P3801" s="446"/>
      <c r="Q3801" s="110">
        <f t="shared" si="848"/>
        <v>1</v>
      </c>
      <c r="R3801" s="111">
        <f t="shared" si="838"/>
        <v>716.60159999999996</v>
      </c>
      <c r="S3801" s="110"/>
      <c r="T3801" s="110"/>
      <c r="U3801" s="110">
        <f t="shared" si="849"/>
        <v>1</v>
      </c>
      <c r="V3801" s="111">
        <f t="shared" si="839"/>
        <v>716.60159999999996</v>
      </c>
      <c r="W3801" s="110"/>
      <c r="X3801" s="110"/>
      <c r="Y3801" s="110"/>
      <c r="Z3801" s="110"/>
      <c r="AA3801" s="110">
        <f t="shared" si="840"/>
        <v>1</v>
      </c>
      <c r="AB3801" s="111">
        <f t="shared" si="847"/>
        <v>716.60159999999996</v>
      </c>
      <c r="AC3801" s="110"/>
      <c r="AD3801" s="110"/>
      <c r="AE3801" s="110">
        <f t="shared" si="840"/>
        <v>1</v>
      </c>
      <c r="AF3801" s="111">
        <f t="shared" si="845"/>
        <v>716.60159999999996</v>
      </c>
      <c r="AG3801" s="110"/>
      <c r="AH3801" s="110"/>
      <c r="AI3801" s="110"/>
      <c r="AJ3801" s="110"/>
      <c r="AK3801" s="111">
        <f t="shared" si="842"/>
        <v>2866.4063999999998</v>
      </c>
      <c r="AL3801" s="446">
        <f t="shared" si="843"/>
        <v>0</v>
      </c>
      <c r="AM3801" s="110">
        <f t="shared" si="844"/>
        <v>4</v>
      </c>
      <c r="AN3801" s="447">
        <f t="shared" si="836"/>
        <v>0</v>
      </c>
      <c r="AO3801"/>
      <c r="AP3801"/>
    </row>
    <row r="3802" spans="1:42" ht="66" x14ac:dyDescent="0.25">
      <c r="A3802" s="61"/>
      <c r="B3802" s="501" t="s">
        <v>1363</v>
      </c>
      <c r="C3802" s="9"/>
      <c r="D3802" s="875">
        <v>8</v>
      </c>
      <c r="E3802" s="250" t="s">
        <v>1755</v>
      </c>
      <c r="F3802" s="273" t="s">
        <v>3446</v>
      </c>
      <c r="G3802" s="1040" t="s">
        <v>3463</v>
      </c>
      <c r="H3802" s="273" t="s">
        <v>3462</v>
      </c>
      <c r="I3802" s="720">
        <f t="shared" si="850"/>
        <v>476.81567999999999</v>
      </c>
      <c r="J3802" s="820">
        <v>3814.5254399999999</v>
      </c>
      <c r="K3802" s="131">
        <f t="shared" si="837"/>
        <v>3814.5254399999999</v>
      </c>
      <c r="L3802" s="335">
        <f t="shared" si="841"/>
        <v>0</v>
      </c>
      <c r="M3802" s="446"/>
      <c r="N3802" s="446"/>
      <c r="O3802" s="446"/>
      <c r="P3802" s="446"/>
      <c r="Q3802" s="110">
        <f t="shared" si="848"/>
        <v>2</v>
      </c>
      <c r="R3802" s="111">
        <f t="shared" si="838"/>
        <v>953.63135999999997</v>
      </c>
      <c r="S3802" s="110"/>
      <c r="T3802" s="110"/>
      <c r="U3802" s="110">
        <f t="shared" si="849"/>
        <v>2</v>
      </c>
      <c r="V3802" s="111">
        <f t="shared" si="839"/>
        <v>953.63135999999997</v>
      </c>
      <c r="W3802" s="110"/>
      <c r="X3802" s="110"/>
      <c r="Y3802" s="110"/>
      <c r="Z3802" s="110"/>
      <c r="AA3802" s="110">
        <f t="shared" si="840"/>
        <v>2</v>
      </c>
      <c r="AB3802" s="111">
        <f t="shared" si="847"/>
        <v>953.63135999999997</v>
      </c>
      <c r="AC3802" s="110"/>
      <c r="AD3802" s="110"/>
      <c r="AE3802" s="110">
        <f t="shared" si="840"/>
        <v>2</v>
      </c>
      <c r="AF3802" s="111">
        <f t="shared" si="845"/>
        <v>953.63135999999997</v>
      </c>
      <c r="AG3802" s="110"/>
      <c r="AH3802" s="110"/>
      <c r="AI3802" s="110"/>
      <c r="AJ3802" s="110"/>
      <c r="AK3802" s="111">
        <f t="shared" si="842"/>
        <v>3814.5254399999999</v>
      </c>
      <c r="AL3802" s="446">
        <f t="shared" si="843"/>
        <v>0</v>
      </c>
      <c r="AM3802" s="110">
        <f t="shared" si="844"/>
        <v>8</v>
      </c>
      <c r="AN3802" s="447">
        <f t="shared" ref="AN3802:AN3850" si="851">+D3802-AM3802</f>
        <v>0</v>
      </c>
      <c r="AO3802"/>
      <c r="AP3802"/>
    </row>
    <row r="3803" spans="1:42" ht="66" x14ac:dyDescent="0.25">
      <c r="A3803" s="61"/>
      <c r="B3803" s="501" t="s">
        <v>1368</v>
      </c>
      <c r="C3803" s="9"/>
      <c r="D3803" s="875">
        <v>2</v>
      </c>
      <c r="E3803" s="250" t="s">
        <v>1755</v>
      </c>
      <c r="F3803" s="273" t="s">
        <v>3446</v>
      </c>
      <c r="G3803" s="1040" t="s">
        <v>3463</v>
      </c>
      <c r="H3803" s="273" t="s">
        <v>3462</v>
      </c>
      <c r="I3803" s="720">
        <f t="shared" si="850"/>
        <v>399.64319999999998</v>
      </c>
      <c r="J3803" s="820">
        <v>799.28639999999996</v>
      </c>
      <c r="K3803" s="131">
        <f t="shared" si="837"/>
        <v>799.28639999999996</v>
      </c>
      <c r="L3803" s="335">
        <f t="shared" si="841"/>
        <v>0</v>
      </c>
      <c r="M3803" s="446"/>
      <c r="N3803" s="446"/>
      <c r="O3803" s="446"/>
      <c r="P3803" s="446"/>
      <c r="Q3803" s="130">
        <v>1</v>
      </c>
      <c r="R3803" s="111">
        <f t="shared" si="838"/>
        <v>199.82159999999999</v>
      </c>
      <c r="S3803" s="110"/>
      <c r="T3803" s="110"/>
      <c r="U3803" s="130">
        <v>1</v>
      </c>
      <c r="V3803" s="111">
        <f t="shared" si="839"/>
        <v>199.82159999999999</v>
      </c>
      <c r="W3803" s="110"/>
      <c r="X3803" s="110"/>
      <c r="Y3803" s="110"/>
      <c r="Z3803" s="110"/>
      <c r="AA3803" s="130">
        <v>0</v>
      </c>
      <c r="AB3803" s="111">
        <f t="shared" si="847"/>
        <v>199.82159999999999</v>
      </c>
      <c r="AC3803" s="110"/>
      <c r="AD3803" s="110"/>
      <c r="AE3803" s="130">
        <v>0</v>
      </c>
      <c r="AF3803" s="111">
        <f t="shared" si="845"/>
        <v>199.82159999999999</v>
      </c>
      <c r="AG3803" s="110"/>
      <c r="AH3803" s="110"/>
      <c r="AI3803" s="110"/>
      <c r="AJ3803" s="110"/>
      <c r="AK3803" s="111">
        <f t="shared" si="842"/>
        <v>799.28639999999996</v>
      </c>
      <c r="AL3803" s="446">
        <f t="shared" si="843"/>
        <v>0</v>
      </c>
      <c r="AM3803" s="110">
        <f t="shared" si="844"/>
        <v>2</v>
      </c>
      <c r="AN3803" s="447">
        <f t="shared" si="851"/>
        <v>0</v>
      </c>
      <c r="AO3803"/>
      <c r="AP3803"/>
    </row>
    <row r="3804" spans="1:42" ht="66" x14ac:dyDescent="0.25">
      <c r="A3804" s="61"/>
      <c r="B3804" s="501" t="s">
        <v>1369</v>
      </c>
      <c r="C3804" s="9"/>
      <c r="D3804" s="875">
        <v>1</v>
      </c>
      <c r="E3804" s="250" t="s">
        <v>1755</v>
      </c>
      <c r="F3804" s="273" t="s">
        <v>3446</v>
      </c>
      <c r="G3804" s="1040" t="s">
        <v>3463</v>
      </c>
      <c r="H3804" s="273" t="s">
        <v>3462</v>
      </c>
      <c r="I3804" s="720">
        <f t="shared" si="850"/>
        <v>165.36959999999999</v>
      </c>
      <c r="J3804" s="820">
        <v>165.36959999999999</v>
      </c>
      <c r="K3804" s="131">
        <f t="shared" si="837"/>
        <v>165.36959999999999</v>
      </c>
      <c r="L3804" s="335">
        <f t="shared" si="841"/>
        <v>0</v>
      </c>
      <c r="M3804" s="446"/>
      <c r="N3804" s="446"/>
      <c r="O3804" s="446"/>
      <c r="P3804" s="446"/>
      <c r="Q3804" s="110">
        <v>1</v>
      </c>
      <c r="R3804" s="111">
        <f t="shared" si="838"/>
        <v>41.342399999999998</v>
      </c>
      <c r="S3804" s="110"/>
      <c r="T3804" s="110"/>
      <c r="U3804" s="110">
        <v>0</v>
      </c>
      <c r="V3804" s="111">
        <f t="shared" si="839"/>
        <v>41.342399999999998</v>
      </c>
      <c r="W3804" s="110"/>
      <c r="X3804" s="110"/>
      <c r="Y3804" s="110"/>
      <c r="Z3804" s="110"/>
      <c r="AA3804" s="110">
        <v>0</v>
      </c>
      <c r="AB3804" s="111">
        <f t="shared" si="847"/>
        <v>41.342399999999998</v>
      </c>
      <c r="AC3804" s="110"/>
      <c r="AD3804" s="110"/>
      <c r="AE3804" s="110">
        <v>0</v>
      </c>
      <c r="AF3804" s="111">
        <f t="shared" si="845"/>
        <v>41.342399999999998</v>
      </c>
      <c r="AG3804" s="110"/>
      <c r="AH3804" s="110"/>
      <c r="AI3804" s="110"/>
      <c r="AJ3804" s="110"/>
      <c r="AK3804" s="111">
        <f t="shared" si="842"/>
        <v>165.36959999999999</v>
      </c>
      <c r="AL3804" s="446">
        <f t="shared" si="843"/>
        <v>0</v>
      </c>
      <c r="AM3804" s="110">
        <f t="shared" si="844"/>
        <v>1</v>
      </c>
      <c r="AN3804" s="447">
        <f t="shared" si="851"/>
        <v>0</v>
      </c>
      <c r="AO3804"/>
      <c r="AP3804"/>
    </row>
    <row r="3805" spans="1:42" ht="66" x14ac:dyDescent="0.25">
      <c r="A3805" s="61"/>
      <c r="B3805" s="501" t="s">
        <v>1370</v>
      </c>
      <c r="C3805" s="9"/>
      <c r="D3805" s="875">
        <v>3</v>
      </c>
      <c r="E3805" s="250" t="s">
        <v>1755</v>
      </c>
      <c r="F3805" s="273" t="s">
        <v>3446</v>
      </c>
      <c r="G3805" s="1040" t="s">
        <v>3463</v>
      </c>
      <c r="H3805" s="273" t="s">
        <v>3462</v>
      </c>
      <c r="I3805" s="720">
        <f t="shared" si="850"/>
        <v>440.98559999999998</v>
      </c>
      <c r="J3805" s="820">
        <v>1322.9567999999999</v>
      </c>
      <c r="K3805" s="131">
        <f t="shared" ref="K3805:K3868" si="852">+D3805*I3805</f>
        <v>1322.9567999999999</v>
      </c>
      <c r="L3805" s="335">
        <f t="shared" si="841"/>
        <v>0</v>
      </c>
      <c r="M3805" s="446"/>
      <c r="N3805" s="446"/>
      <c r="O3805" s="446"/>
      <c r="P3805" s="446"/>
      <c r="Q3805" s="130">
        <v>1</v>
      </c>
      <c r="R3805" s="111">
        <f t="shared" si="838"/>
        <v>330.73919999999998</v>
      </c>
      <c r="S3805" s="110"/>
      <c r="T3805" s="110"/>
      <c r="U3805" s="130">
        <v>1</v>
      </c>
      <c r="V3805" s="111">
        <f t="shared" si="839"/>
        <v>330.73919999999998</v>
      </c>
      <c r="W3805" s="110"/>
      <c r="X3805" s="110"/>
      <c r="Y3805" s="110"/>
      <c r="Z3805" s="110"/>
      <c r="AA3805" s="130">
        <v>1</v>
      </c>
      <c r="AB3805" s="111">
        <f t="shared" si="847"/>
        <v>330.73919999999998</v>
      </c>
      <c r="AC3805" s="110"/>
      <c r="AD3805" s="110"/>
      <c r="AE3805" s="130">
        <v>0</v>
      </c>
      <c r="AF3805" s="111">
        <f t="shared" si="845"/>
        <v>330.73919999999998</v>
      </c>
      <c r="AG3805" s="110"/>
      <c r="AH3805" s="110"/>
      <c r="AI3805" s="110"/>
      <c r="AJ3805" s="110"/>
      <c r="AK3805" s="111">
        <f t="shared" si="842"/>
        <v>1322.9567999999999</v>
      </c>
      <c r="AL3805" s="446">
        <f t="shared" si="843"/>
        <v>0</v>
      </c>
      <c r="AM3805" s="110">
        <f t="shared" si="844"/>
        <v>3</v>
      </c>
      <c r="AN3805" s="447">
        <f t="shared" si="851"/>
        <v>0</v>
      </c>
      <c r="AO3805"/>
      <c r="AP3805"/>
    </row>
    <row r="3806" spans="1:42" ht="66" x14ac:dyDescent="0.25">
      <c r="A3806" s="61"/>
      <c r="B3806" s="501" t="s">
        <v>1364</v>
      </c>
      <c r="C3806" s="9"/>
      <c r="D3806" s="875">
        <v>13</v>
      </c>
      <c r="E3806" s="250" t="s">
        <v>1755</v>
      </c>
      <c r="F3806" s="273" t="s">
        <v>3446</v>
      </c>
      <c r="G3806" s="1040" t="s">
        <v>3463</v>
      </c>
      <c r="H3806" s="273" t="s">
        <v>3462</v>
      </c>
      <c r="I3806" s="720">
        <f t="shared" si="850"/>
        <v>344.52000000000004</v>
      </c>
      <c r="J3806" s="820">
        <v>4478.76</v>
      </c>
      <c r="K3806" s="131">
        <f t="shared" si="852"/>
        <v>4478.76</v>
      </c>
      <c r="L3806" s="335">
        <f t="shared" si="841"/>
        <v>0</v>
      </c>
      <c r="M3806" s="446"/>
      <c r="N3806" s="446"/>
      <c r="O3806" s="446"/>
      <c r="P3806" s="446"/>
      <c r="Q3806" s="110">
        <v>4</v>
      </c>
      <c r="R3806" s="111">
        <f t="shared" si="838"/>
        <v>1119.69</v>
      </c>
      <c r="S3806" s="110"/>
      <c r="T3806" s="110"/>
      <c r="U3806" s="110">
        <v>3</v>
      </c>
      <c r="V3806" s="111">
        <f t="shared" si="839"/>
        <v>1119.69</v>
      </c>
      <c r="W3806" s="110"/>
      <c r="X3806" s="110"/>
      <c r="Y3806" s="110"/>
      <c r="Z3806" s="110"/>
      <c r="AA3806" s="110">
        <v>3</v>
      </c>
      <c r="AB3806" s="111">
        <f t="shared" si="847"/>
        <v>1119.69</v>
      </c>
      <c r="AC3806" s="110"/>
      <c r="AD3806" s="110"/>
      <c r="AE3806" s="110">
        <v>3</v>
      </c>
      <c r="AF3806" s="111">
        <f t="shared" si="845"/>
        <v>1119.69</v>
      </c>
      <c r="AG3806" s="110"/>
      <c r="AH3806" s="110"/>
      <c r="AI3806" s="110"/>
      <c r="AJ3806" s="110"/>
      <c r="AK3806" s="111">
        <f t="shared" si="842"/>
        <v>4478.76</v>
      </c>
      <c r="AL3806" s="446">
        <f t="shared" si="843"/>
        <v>0</v>
      </c>
      <c r="AM3806" s="110">
        <f t="shared" si="844"/>
        <v>13</v>
      </c>
      <c r="AN3806" s="447">
        <f t="shared" si="851"/>
        <v>0</v>
      </c>
      <c r="AO3806"/>
      <c r="AP3806"/>
    </row>
    <row r="3807" spans="1:42" ht="66" x14ac:dyDescent="0.25">
      <c r="A3807" s="61"/>
      <c r="B3807" s="501" t="s">
        <v>1371</v>
      </c>
      <c r="C3807" s="9"/>
      <c r="D3807" s="875">
        <v>13</v>
      </c>
      <c r="E3807" s="250" t="s">
        <v>1755</v>
      </c>
      <c r="F3807" s="273" t="s">
        <v>3446</v>
      </c>
      <c r="G3807" s="1040" t="s">
        <v>3463</v>
      </c>
      <c r="H3807" s="273" t="s">
        <v>3462</v>
      </c>
      <c r="I3807" s="720">
        <f t="shared" si="850"/>
        <v>344.52000000000004</v>
      </c>
      <c r="J3807" s="820">
        <v>4478.76</v>
      </c>
      <c r="K3807" s="131">
        <f t="shared" si="852"/>
        <v>4478.76</v>
      </c>
      <c r="L3807" s="335">
        <f t="shared" si="841"/>
        <v>0</v>
      </c>
      <c r="M3807" s="446"/>
      <c r="N3807" s="446"/>
      <c r="O3807" s="446"/>
      <c r="P3807" s="446"/>
      <c r="Q3807" s="110">
        <v>4</v>
      </c>
      <c r="R3807" s="111">
        <f t="shared" si="838"/>
        <v>1119.69</v>
      </c>
      <c r="S3807" s="110"/>
      <c r="T3807" s="110"/>
      <c r="U3807" s="110">
        <v>3</v>
      </c>
      <c r="V3807" s="111">
        <f t="shared" si="839"/>
        <v>1119.69</v>
      </c>
      <c r="W3807" s="110"/>
      <c r="X3807" s="110"/>
      <c r="Y3807" s="110"/>
      <c r="Z3807" s="110"/>
      <c r="AA3807" s="110">
        <v>3</v>
      </c>
      <c r="AB3807" s="111">
        <f t="shared" si="847"/>
        <v>1119.69</v>
      </c>
      <c r="AC3807" s="110"/>
      <c r="AD3807" s="110"/>
      <c r="AE3807" s="110">
        <v>3</v>
      </c>
      <c r="AF3807" s="111">
        <f t="shared" si="845"/>
        <v>1119.69</v>
      </c>
      <c r="AG3807" s="110"/>
      <c r="AH3807" s="110"/>
      <c r="AI3807" s="110"/>
      <c r="AJ3807" s="110"/>
      <c r="AK3807" s="111">
        <f t="shared" si="842"/>
        <v>4478.76</v>
      </c>
      <c r="AL3807" s="446">
        <f t="shared" si="843"/>
        <v>0</v>
      </c>
      <c r="AM3807" s="110">
        <f t="shared" si="844"/>
        <v>13</v>
      </c>
      <c r="AN3807" s="447">
        <f t="shared" si="851"/>
        <v>0</v>
      </c>
      <c r="AO3807"/>
      <c r="AP3807"/>
    </row>
    <row r="3808" spans="1:42" ht="66" x14ac:dyDescent="0.25">
      <c r="A3808" s="61"/>
      <c r="B3808" s="501" t="s">
        <v>1366</v>
      </c>
      <c r="C3808" s="9"/>
      <c r="D3808" s="875">
        <v>2</v>
      </c>
      <c r="E3808" s="250" t="s">
        <v>1755</v>
      </c>
      <c r="F3808" s="273" t="s">
        <v>3446</v>
      </c>
      <c r="G3808" s="1040" t="s">
        <v>3463</v>
      </c>
      <c r="H3808" s="273" t="s">
        <v>3462</v>
      </c>
      <c r="I3808" s="720">
        <f t="shared" si="850"/>
        <v>344.52</v>
      </c>
      <c r="J3808" s="820">
        <v>689.04</v>
      </c>
      <c r="K3808" s="131">
        <f t="shared" si="852"/>
        <v>689.04</v>
      </c>
      <c r="L3808" s="335">
        <f t="shared" si="841"/>
        <v>0</v>
      </c>
      <c r="M3808" s="446"/>
      <c r="N3808" s="446"/>
      <c r="O3808" s="446"/>
      <c r="P3808" s="446"/>
      <c r="Q3808" s="130">
        <v>1</v>
      </c>
      <c r="R3808" s="111">
        <f t="shared" si="838"/>
        <v>172.26</v>
      </c>
      <c r="S3808" s="110"/>
      <c r="T3808" s="110"/>
      <c r="U3808" s="130">
        <v>1</v>
      </c>
      <c r="V3808" s="111">
        <f t="shared" si="839"/>
        <v>172.26</v>
      </c>
      <c r="W3808" s="110"/>
      <c r="X3808" s="110"/>
      <c r="Y3808" s="110"/>
      <c r="Z3808" s="110"/>
      <c r="AA3808" s="130">
        <v>0</v>
      </c>
      <c r="AB3808" s="111">
        <f t="shared" si="847"/>
        <v>172.26</v>
      </c>
      <c r="AC3808" s="110"/>
      <c r="AD3808" s="110"/>
      <c r="AE3808" s="130">
        <v>0</v>
      </c>
      <c r="AF3808" s="111">
        <f t="shared" si="845"/>
        <v>172.26</v>
      </c>
      <c r="AG3808" s="110"/>
      <c r="AH3808" s="110"/>
      <c r="AI3808" s="110"/>
      <c r="AJ3808" s="110"/>
      <c r="AK3808" s="111">
        <f t="shared" si="842"/>
        <v>689.04</v>
      </c>
      <c r="AL3808" s="446">
        <f t="shared" si="843"/>
        <v>0</v>
      </c>
      <c r="AM3808" s="110">
        <f t="shared" si="844"/>
        <v>2</v>
      </c>
      <c r="AN3808" s="447">
        <f t="shared" si="851"/>
        <v>0</v>
      </c>
      <c r="AO3808"/>
      <c r="AP3808"/>
    </row>
    <row r="3809" spans="1:42" ht="66" x14ac:dyDescent="0.25">
      <c r="A3809" s="61"/>
      <c r="B3809" s="501" t="s">
        <v>1368</v>
      </c>
      <c r="C3809" s="9"/>
      <c r="D3809" s="875">
        <v>1</v>
      </c>
      <c r="E3809" s="250" t="s">
        <v>1755</v>
      </c>
      <c r="F3809" s="273" t="s">
        <v>3446</v>
      </c>
      <c r="G3809" s="1040" t="s">
        <v>3463</v>
      </c>
      <c r="H3809" s="273" t="s">
        <v>3462</v>
      </c>
      <c r="I3809" s="720">
        <f t="shared" si="850"/>
        <v>399.64319999999998</v>
      </c>
      <c r="J3809" s="820">
        <v>399.64319999999998</v>
      </c>
      <c r="K3809" s="131">
        <f t="shared" si="852"/>
        <v>399.64319999999998</v>
      </c>
      <c r="L3809" s="335">
        <f t="shared" si="841"/>
        <v>0</v>
      </c>
      <c r="M3809" s="446"/>
      <c r="N3809" s="446"/>
      <c r="O3809" s="446"/>
      <c r="P3809" s="446"/>
      <c r="Q3809" s="110">
        <v>1</v>
      </c>
      <c r="R3809" s="111">
        <f t="shared" si="838"/>
        <v>99.910799999999995</v>
      </c>
      <c r="S3809" s="110"/>
      <c r="T3809" s="110"/>
      <c r="U3809" s="110">
        <v>0</v>
      </c>
      <c r="V3809" s="111">
        <f t="shared" si="839"/>
        <v>99.910799999999995</v>
      </c>
      <c r="W3809" s="110"/>
      <c r="X3809" s="110"/>
      <c r="Y3809" s="110"/>
      <c r="Z3809" s="110"/>
      <c r="AA3809" s="110">
        <v>0</v>
      </c>
      <c r="AB3809" s="111">
        <f t="shared" si="847"/>
        <v>99.910799999999995</v>
      </c>
      <c r="AC3809" s="110"/>
      <c r="AD3809" s="110"/>
      <c r="AE3809" s="110">
        <v>0</v>
      </c>
      <c r="AF3809" s="111">
        <f t="shared" si="845"/>
        <v>99.910799999999995</v>
      </c>
      <c r="AG3809" s="110"/>
      <c r="AH3809" s="110"/>
      <c r="AI3809" s="110"/>
      <c r="AJ3809" s="110"/>
      <c r="AK3809" s="111">
        <f t="shared" si="842"/>
        <v>399.64319999999998</v>
      </c>
      <c r="AL3809" s="446">
        <f t="shared" si="843"/>
        <v>0</v>
      </c>
      <c r="AM3809" s="110">
        <f t="shared" si="844"/>
        <v>1</v>
      </c>
      <c r="AN3809" s="447">
        <f t="shared" si="851"/>
        <v>0</v>
      </c>
      <c r="AO3809"/>
      <c r="AP3809"/>
    </row>
    <row r="3810" spans="1:42" ht="66" x14ac:dyDescent="0.25">
      <c r="A3810" s="61"/>
      <c r="B3810" s="501" t="s">
        <v>1372</v>
      </c>
      <c r="C3810" s="9"/>
      <c r="D3810" s="875">
        <v>4</v>
      </c>
      <c r="E3810" s="250" t="s">
        <v>1755</v>
      </c>
      <c r="F3810" s="273" t="s">
        <v>3446</v>
      </c>
      <c r="G3810" s="1040" t="s">
        <v>3463</v>
      </c>
      <c r="H3810" s="273" t="s">
        <v>3462</v>
      </c>
      <c r="I3810" s="720">
        <f t="shared" si="850"/>
        <v>476.81567999999999</v>
      </c>
      <c r="J3810" s="820">
        <v>1907.2627199999999</v>
      </c>
      <c r="K3810" s="131">
        <f t="shared" si="852"/>
        <v>1907.2627199999999</v>
      </c>
      <c r="L3810" s="335">
        <f t="shared" si="841"/>
        <v>0</v>
      </c>
      <c r="M3810" s="446"/>
      <c r="N3810" s="446"/>
      <c r="O3810" s="446"/>
      <c r="P3810" s="446"/>
      <c r="Q3810" s="110">
        <f t="shared" si="848"/>
        <v>1</v>
      </c>
      <c r="R3810" s="111">
        <f t="shared" si="838"/>
        <v>476.81567999999999</v>
      </c>
      <c r="S3810" s="110"/>
      <c r="T3810" s="110"/>
      <c r="U3810" s="110">
        <f t="shared" si="849"/>
        <v>1</v>
      </c>
      <c r="V3810" s="111">
        <f t="shared" si="839"/>
        <v>476.81567999999999</v>
      </c>
      <c r="W3810" s="110"/>
      <c r="X3810" s="110"/>
      <c r="Y3810" s="110"/>
      <c r="Z3810" s="110"/>
      <c r="AA3810" s="110">
        <f t="shared" si="840"/>
        <v>1</v>
      </c>
      <c r="AB3810" s="111">
        <f t="shared" si="847"/>
        <v>476.81567999999999</v>
      </c>
      <c r="AC3810" s="110"/>
      <c r="AD3810" s="110"/>
      <c r="AE3810" s="110">
        <f t="shared" si="840"/>
        <v>1</v>
      </c>
      <c r="AF3810" s="111">
        <f t="shared" si="845"/>
        <v>476.81567999999999</v>
      </c>
      <c r="AG3810" s="110"/>
      <c r="AH3810" s="110"/>
      <c r="AI3810" s="110"/>
      <c r="AJ3810" s="110"/>
      <c r="AK3810" s="111">
        <f t="shared" si="842"/>
        <v>1907.2627199999999</v>
      </c>
      <c r="AL3810" s="446">
        <f t="shared" si="843"/>
        <v>0</v>
      </c>
      <c r="AM3810" s="110">
        <f t="shared" si="844"/>
        <v>4</v>
      </c>
      <c r="AN3810" s="447">
        <f t="shared" si="851"/>
        <v>0</v>
      </c>
      <c r="AO3810"/>
      <c r="AP3810"/>
    </row>
    <row r="3811" spans="1:42" ht="66" x14ac:dyDescent="0.25">
      <c r="A3811" s="61"/>
      <c r="B3811" s="501" t="s">
        <v>1373</v>
      </c>
      <c r="C3811" s="9"/>
      <c r="D3811" s="875">
        <v>1</v>
      </c>
      <c r="E3811" s="250" t="s">
        <v>1755</v>
      </c>
      <c r="F3811" s="273" t="s">
        <v>3446</v>
      </c>
      <c r="G3811" s="1040" t="s">
        <v>3463</v>
      </c>
      <c r="H3811" s="273" t="s">
        <v>3462</v>
      </c>
      <c r="I3811" s="720">
        <f t="shared" si="850"/>
        <v>716.60159999999996</v>
      </c>
      <c r="J3811" s="820">
        <v>716.60159999999996</v>
      </c>
      <c r="K3811" s="131">
        <f t="shared" si="852"/>
        <v>716.60159999999996</v>
      </c>
      <c r="L3811" s="335">
        <f t="shared" si="841"/>
        <v>0</v>
      </c>
      <c r="M3811" s="446"/>
      <c r="N3811" s="446"/>
      <c r="O3811" s="446"/>
      <c r="P3811" s="446"/>
      <c r="Q3811" s="110">
        <v>1</v>
      </c>
      <c r="R3811" s="111">
        <f t="shared" si="838"/>
        <v>179.15039999999999</v>
      </c>
      <c r="S3811" s="110"/>
      <c r="T3811" s="110"/>
      <c r="U3811" s="110">
        <v>0</v>
      </c>
      <c r="V3811" s="111">
        <f t="shared" si="839"/>
        <v>179.15039999999999</v>
      </c>
      <c r="W3811" s="110"/>
      <c r="X3811" s="110"/>
      <c r="Y3811" s="110"/>
      <c r="Z3811" s="110"/>
      <c r="AA3811" s="110">
        <v>0</v>
      </c>
      <c r="AB3811" s="111">
        <f t="shared" si="847"/>
        <v>179.15039999999999</v>
      </c>
      <c r="AC3811" s="110"/>
      <c r="AD3811" s="110"/>
      <c r="AE3811" s="110">
        <v>0</v>
      </c>
      <c r="AF3811" s="111">
        <f t="shared" si="845"/>
        <v>179.15039999999999</v>
      </c>
      <c r="AG3811" s="110"/>
      <c r="AH3811" s="110"/>
      <c r="AI3811" s="110"/>
      <c r="AJ3811" s="110"/>
      <c r="AK3811" s="111">
        <f t="shared" si="842"/>
        <v>716.60159999999996</v>
      </c>
      <c r="AL3811" s="446">
        <f t="shared" si="843"/>
        <v>0</v>
      </c>
      <c r="AM3811" s="110">
        <f t="shared" si="844"/>
        <v>1</v>
      </c>
      <c r="AN3811" s="447">
        <f t="shared" si="851"/>
        <v>0</v>
      </c>
      <c r="AO3811"/>
      <c r="AP3811"/>
    </row>
    <row r="3812" spans="1:42" ht="66" x14ac:dyDescent="0.25">
      <c r="A3812" s="61"/>
      <c r="B3812" s="501" t="s">
        <v>1370</v>
      </c>
      <c r="C3812" s="9"/>
      <c r="D3812" s="875">
        <v>2</v>
      </c>
      <c r="E3812" s="250" t="s">
        <v>1755</v>
      </c>
      <c r="F3812" s="273" t="s">
        <v>3446</v>
      </c>
      <c r="G3812" s="1040" t="s">
        <v>3463</v>
      </c>
      <c r="H3812" s="273" t="s">
        <v>3462</v>
      </c>
      <c r="I3812" s="720">
        <f t="shared" si="850"/>
        <v>440.98559999999998</v>
      </c>
      <c r="J3812" s="820">
        <v>881.97119999999995</v>
      </c>
      <c r="K3812" s="131">
        <f t="shared" si="852"/>
        <v>881.97119999999995</v>
      </c>
      <c r="L3812" s="335">
        <f t="shared" si="841"/>
        <v>0</v>
      </c>
      <c r="M3812" s="446"/>
      <c r="N3812" s="446"/>
      <c r="O3812" s="446"/>
      <c r="P3812" s="446"/>
      <c r="Q3812" s="130">
        <v>1</v>
      </c>
      <c r="R3812" s="111">
        <f t="shared" si="838"/>
        <v>220.49279999999999</v>
      </c>
      <c r="S3812" s="110"/>
      <c r="T3812" s="110"/>
      <c r="U3812" s="130">
        <v>1</v>
      </c>
      <c r="V3812" s="111">
        <f t="shared" si="839"/>
        <v>220.49279999999999</v>
      </c>
      <c r="W3812" s="110"/>
      <c r="X3812" s="110"/>
      <c r="Y3812" s="110"/>
      <c r="Z3812" s="110"/>
      <c r="AA3812" s="130">
        <v>0</v>
      </c>
      <c r="AB3812" s="111">
        <f t="shared" si="847"/>
        <v>220.49279999999999</v>
      </c>
      <c r="AC3812" s="110"/>
      <c r="AD3812" s="110"/>
      <c r="AE3812" s="130">
        <v>0</v>
      </c>
      <c r="AF3812" s="111">
        <f t="shared" si="845"/>
        <v>220.49279999999999</v>
      </c>
      <c r="AG3812" s="110"/>
      <c r="AH3812" s="110"/>
      <c r="AI3812" s="110"/>
      <c r="AJ3812" s="110"/>
      <c r="AK3812" s="111">
        <f t="shared" si="842"/>
        <v>881.97119999999995</v>
      </c>
      <c r="AL3812" s="446">
        <f t="shared" si="843"/>
        <v>0</v>
      </c>
      <c r="AM3812" s="110">
        <f t="shared" si="844"/>
        <v>2</v>
      </c>
      <c r="AN3812" s="447">
        <f t="shared" si="851"/>
        <v>0</v>
      </c>
      <c r="AO3812"/>
      <c r="AP3812"/>
    </row>
    <row r="3813" spans="1:42" ht="66" x14ac:dyDescent="0.25">
      <c r="A3813" s="61"/>
      <c r="B3813" s="501" t="s">
        <v>1374</v>
      </c>
      <c r="C3813" s="9"/>
      <c r="D3813" s="875">
        <v>6</v>
      </c>
      <c r="E3813" s="250" t="s">
        <v>1755</v>
      </c>
      <c r="F3813" s="273" t="s">
        <v>3446</v>
      </c>
      <c r="G3813" s="1040" t="s">
        <v>3463</v>
      </c>
      <c r="H3813" s="273" t="s">
        <v>3462</v>
      </c>
      <c r="I3813" s="720">
        <f t="shared" si="850"/>
        <v>344.52</v>
      </c>
      <c r="J3813" s="820">
        <v>2067.12</v>
      </c>
      <c r="K3813" s="131">
        <f t="shared" si="852"/>
        <v>2067.12</v>
      </c>
      <c r="L3813" s="335">
        <f t="shared" si="841"/>
        <v>0</v>
      </c>
      <c r="M3813" s="446"/>
      <c r="N3813" s="446"/>
      <c r="O3813" s="446"/>
      <c r="P3813" s="446"/>
      <c r="Q3813" s="130">
        <v>2</v>
      </c>
      <c r="R3813" s="111">
        <f t="shared" si="838"/>
        <v>516.78</v>
      </c>
      <c r="S3813" s="110"/>
      <c r="T3813" s="110"/>
      <c r="U3813" s="130">
        <v>2</v>
      </c>
      <c r="V3813" s="111">
        <f t="shared" si="839"/>
        <v>516.78</v>
      </c>
      <c r="W3813" s="110"/>
      <c r="X3813" s="110"/>
      <c r="Y3813" s="110"/>
      <c r="Z3813" s="110"/>
      <c r="AA3813" s="130">
        <v>1</v>
      </c>
      <c r="AB3813" s="111">
        <f t="shared" si="847"/>
        <v>516.78</v>
      </c>
      <c r="AC3813" s="110"/>
      <c r="AD3813" s="110"/>
      <c r="AE3813" s="130">
        <v>1</v>
      </c>
      <c r="AF3813" s="111">
        <f t="shared" si="845"/>
        <v>516.78</v>
      </c>
      <c r="AG3813" s="110"/>
      <c r="AH3813" s="110"/>
      <c r="AI3813" s="110"/>
      <c r="AJ3813" s="110"/>
      <c r="AK3813" s="111">
        <f t="shared" si="842"/>
        <v>2067.12</v>
      </c>
      <c r="AL3813" s="446">
        <f t="shared" si="843"/>
        <v>0</v>
      </c>
      <c r="AM3813" s="110">
        <f t="shared" si="844"/>
        <v>6</v>
      </c>
      <c r="AN3813" s="447">
        <f t="shared" si="851"/>
        <v>0</v>
      </c>
      <c r="AO3813"/>
      <c r="AP3813"/>
    </row>
    <row r="3814" spans="1:42" ht="66" x14ac:dyDescent="0.25">
      <c r="A3814" s="61"/>
      <c r="B3814" s="501" t="s">
        <v>1371</v>
      </c>
      <c r="C3814" s="9"/>
      <c r="D3814" s="875">
        <v>2</v>
      </c>
      <c r="E3814" s="250" t="s">
        <v>1755</v>
      </c>
      <c r="F3814" s="273" t="s">
        <v>3446</v>
      </c>
      <c r="G3814" s="1040" t="s">
        <v>3463</v>
      </c>
      <c r="H3814" s="273" t="s">
        <v>3462</v>
      </c>
      <c r="I3814" s="720">
        <f t="shared" si="850"/>
        <v>344.52</v>
      </c>
      <c r="J3814" s="820">
        <v>689.04</v>
      </c>
      <c r="K3814" s="131">
        <f t="shared" si="852"/>
        <v>689.04</v>
      </c>
      <c r="L3814" s="335">
        <f t="shared" si="841"/>
        <v>0</v>
      </c>
      <c r="M3814" s="446"/>
      <c r="N3814" s="446"/>
      <c r="O3814" s="446"/>
      <c r="P3814" s="446"/>
      <c r="Q3814" s="130">
        <v>1</v>
      </c>
      <c r="R3814" s="111">
        <f t="shared" si="838"/>
        <v>172.26</v>
      </c>
      <c r="S3814" s="110"/>
      <c r="T3814" s="110"/>
      <c r="U3814" s="130">
        <v>1</v>
      </c>
      <c r="V3814" s="111">
        <f t="shared" si="839"/>
        <v>172.26</v>
      </c>
      <c r="W3814" s="110"/>
      <c r="X3814" s="110"/>
      <c r="Y3814" s="110"/>
      <c r="Z3814" s="110"/>
      <c r="AA3814" s="130">
        <v>0</v>
      </c>
      <c r="AB3814" s="111">
        <f t="shared" si="847"/>
        <v>172.26</v>
      </c>
      <c r="AC3814" s="110"/>
      <c r="AD3814" s="110"/>
      <c r="AE3814" s="130">
        <v>0</v>
      </c>
      <c r="AF3814" s="111">
        <f t="shared" si="845"/>
        <v>172.26</v>
      </c>
      <c r="AG3814" s="110"/>
      <c r="AH3814" s="110"/>
      <c r="AI3814" s="110"/>
      <c r="AJ3814" s="110"/>
      <c r="AK3814" s="111">
        <f t="shared" si="842"/>
        <v>689.04</v>
      </c>
      <c r="AL3814" s="446">
        <f t="shared" si="843"/>
        <v>0</v>
      </c>
      <c r="AM3814" s="110">
        <f t="shared" si="844"/>
        <v>2</v>
      </c>
      <c r="AN3814" s="447">
        <f t="shared" si="851"/>
        <v>0</v>
      </c>
      <c r="AO3814"/>
      <c r="AP3814"/>
    </row>
    <row r="3815" spans="1:42" ht="66" x14ac:dyDescent="0.25">
      <c r="A3815" s="61"/>
      <c r="B3815" s="501" t="s">
        <v>1373</v>
      </c>
      <c r="C3815" s="9"/>
      <c r="D3815" s="875">
        <v>2</v>
      </c>
      <c r="E3815" s="250" t="s">
        <v>1755</v>
      </c>
      <c r="F3815" s="273" t="s">
        <v>3446</v>
      </c>
      <c r="G3815" s="1040" t="s">
        <v>3463</v>
      </c>
      <c r="H3815" s="273" t="s">
        <v>3462</v>
      </c>
      <c r="I3815" s="720">
        <f t="shared" si="850"/>
        <v>716.60159999999996</v>
      </c>
      <c r="J3815" s="820">
        <v>1433.2031999999999</v>
      </c>
      <c r="K3815" s="131">
        <f t="shared" si="852"/>
        <v>1433.2031999999999</v>
      </c>
      <c r="L3815" s="335">
        <f t="shared" si="841"/>
        <v>0</v>
      </c>
      <c r="M3815" s="446"/>
      <c r="N3815" s="446"/>
      <c r="O3815" s="446"/>
      <c r="P3815" s="446"/>
      <c r="Q3815" s="130">
        <v>1</v>
      </c>
      <c r="R3815" s="111">
        <f t="shared" si="838"/>
        <v>358.30079999999998</v>
      </c>
      <c r="S3815" s="110"/>
      <c r="T3815" s="110"/>
      <c r="U3815" s="130">
        <v>1</v>
      </c>
      <c r="V3815" s="111">
        <f t="shared" si="839"/>
        <v>358.30079999999998</v>
      </c>
      <c r="W3815" s="110"/>
      <c r="X3815" s="110"/>
      <c r="Y3815" s="110"/>
      <c r="Z3815" s="110"/>
      <c r="AA3815" s="130">
        <v>0</v>
      </c>
      <c r="AB3815" s="111">
        <f t="shared" si="847"/>
        <v>358.30079999999998</v>
      </c>
      <c r="AC3815" s="110"/>
      <c r="AD3815" s="110"/>
      <c r="AE3815" s="130">
        <v>0</v>
      </c>
      <c r="AF3815" s="111">
        <f t="shared" si="845"/>
        <v>358.30079999999998</v>
      </c>
      <c r="AG3815" s="110"/>
      <c r="AH3815" s="110"/>
      <c r="AI3815" s="110"/>
      <c r="AJ3815" s="110"/>
      <c r="AK3815" s="111">
        <f t="shared" si="842"/>
        <v>1433.2031999999999</v>
      </c>
      <c r="AL3815" s="446">
        <f t="shared" si="843"/>
        <v>0</v>
      </c>
      <c r="AM3815" s="110">
        <f t="shared" si="844"/>
        <v>2</v>
      </c>
      <c r="AN3815" s="447">
        <f t="shared" si="851"/>
        <v>0</v>
      </c>
      <c r="AO3815"/>
      <c r="AP3815"/>
    </row>
    <row r="3816" spans="1:42" ht="66" x14ac:dyDescent="0.25">
      <c r="A3816" s="61"/>
      <c r="B3816" s="501" t="s">
        <v>1375</v>
      </c>
      <c r="C3816" s="9"/>
      <c r="D3816" s="875">
        <v>6</v>
      </c>
      <c r="E3816" s="250" t="s">
        <v>1755</v>
      </c>
      <c r="F3816" s="273" t="s">
        <v>3446</v>
      </c>
      <c r="G3816" s="1040" t="s">
        <v>3463</v>
      </c>
      <c r="H3816" s="273" t="s">
        <v>3462</v>
      </c>
      <c r="I3816" s="720">
        <f t="shared" si="850"/>
        <v>476.81567999999999</v>
      </c>
      <c r="J3816" s="820">
        <v>2860.89408</v>
      </c>
      <c r="K3816" s="131">
        <f t="shared" si="852"/>
        <v>2860.89408</v>
      </c>
      <c r="L3816" s="335">
        <f t="shared" si="841"/>
        <v>0</v>
      </c>
      <c r="M3816" s="446"/>
      <c r="N3816" s="446"/>
      <c r="O3816" s="446"/>
      <c r="P3816" s="446"/>
      <c r="Q3816" s="130">
        <v>2</v>
      </c>
      <c r="R3816" s="111">
        <f t="shared" si="838"/>
        <v>715.22352000000001</v>
      </c>
      <c r="S3816" s="110"/>
      <c r="T3816" s="110"/>
      <c r="U3816" s="130">
        <v>2</v>
      </c>
      <c r="V3816" s="111">
        <f t="shared" si="839"/>
        <v>715.22352000000001</v>
      </c>
      <c r="W3816" s="110"/>
      <c r="X3816" s="110"/>
      <c r="Y3816" s="110"/>
      <c r="Z3816" s="110"/>
      <c r="AA3816" s="130">
        <v>1</v>
      </c>
      <c r="AB3816" s="111">
        <f t="shared" si="847"/>
        <v>715.22352000000001</v>
      </c>
      <c r="AC3816" s="110"/>
      <c r="AD3816" s="110"/>
      <c r="AE3816" s="130">
        <v>1</v>
      </c>
      <c r="AF3816" s="111">
        <f t="shared" si="845"/>
        <v>715.22352000000001</v>
      </c>
      <c r="AG3816" s="110"/>
      <c r="AH3816" s="110"/>
      <c r="AI3816" s="110"/>
      <c r="AJ3816" s="110"/>
      <c r="AK3816" s="111">
        <f t="shared" si="842"/>
        <v>2860.89408</v>
      </c>
      <c r="AL3816" s="446">
        <f t="shared" si="843"/>
        <v>0</v>
      </c>
      <c r="AM3816" s="110">
        <f t="shared" si="844"/>
        <v>6</v>
      </c>
      <c r="AN3816" s="447">
        <f t="shared" si="851"/>
        <v>0</v>
      </c>
      <c r="AO3816"/>
      <c r="AP3816"/>
    </row>
    <row r="3817" spans="1:42" ht="66" x14ac:dyDescent="0.25">
      <c r="A3817" s="61"/>
      <c r="B3817" s="501" t="s">
        <v>1375</v>
      </c>
      <c r="C3817" s="9"/>
      <c r="D3817" s="875">
        <v>3</v>
      </c>
      <c r="E3817" s="250" t="s">
        <v>1755</v>
      </c>
      <c r="F3817" s="273" t="s">
        <v>3446</v>
      </c>
      <c r="G3817" s="1040" t="s">
        <v>3463</v>
      </c>
      <c r="H3817" s="273" t="s">
        <v>3462</v>
      </c>
      <c r="I3817" s="720">
        <f t="shared" si="850"/>
        <v>476.81567999999999</v>
      </c>
      <c r="J3817" s="820">
        <v>1430.44704</v>
      </c>
      <c r="K3817" s="131">
        <f t="shared" si="852"/>
        <v>1430.44704</v>
      </c>
      <c r="L3817" s="335">
        <f t="shared" si="841"/>
        <v>0</v>
      </c>
      <c r="M3817" s="446"/>
      <c r="N3817" s="446"/>
      <c r="O3817" s="446"/>
      <c r="P3817" s="446"/>
      <c r="Q3817" s="130">
        <v>1</v>
      </c>
      <c r="R3817" s="111">
        <f t="shared" si="838"/>
        <v>357.61176</v>
      </c>
      <c r="S3817" s="110"/>
      <c r="T3817" s="110"/>
      <c r="U3817" s="130">
        <v>1</v>
      </c>
      <c r="V3817" s="111">
        <f t="shared" si="839"/>
        <v>357.61176</v>
      </c>
      <c r="W3817" s="110"/>
      <c r="X3817" s="110"/>
      <c r="Y3817" s="110"/>
      <c r="Z3817" s="110"/>
      <c r="AA3817" s="130">
        <v>1</v>
      </c>
      <c r="AB3817" s="111">
        <f t="shared" si="847"/>
        <v>357.61176</v>
      </c>
      <c r="AC3817" s="110"/>
      <c r="AD3817" s="110"/>
      <c r="AE3817" s="130">
        <v>0</v>
      </c>
      <c r="AF3817" s="111">
        <f t="shared" si="845"/>
        <v>357.61176</v>
      </c>
      <c r="AG3817" s="110"/>
      <c r="AH3817" s="110"/>
      <c r="AI3817" s="110"/>
      <c r="AJ3817" s="110"/>
      <c r="AK3817" s="111">
        <f t="shared" si="842"/>
        <v>1430.44704</v>
      </c>
      <c r="AL3817" s="446">
        <f t="shared" si="843"/>
        <v>0</v>
      </c>
      <c r="AM3817" s="110">
        <f t="shared" si="844"/>
        <v>3</v>
      </c>
      <c r="AN3817" s="447">
        <f t="shared" si="851"/>
        <v>0</v>
      </c>
      <c r="AO3817"/>
      <c r="AP3817"/>
    </row>
    <row r="3818" spans="1:42" ht="66" x14ac:dyDescent="0.25">
      <c r="A3818" s="61"/>
      <c r="B3818" s="501" t="s">
        <v>1373</v>
      </c>
      <c r="C3818" s="9"/>
      <c r="D3818" s="875">
        <v>2</v>
      </c>
      <c r="E3818" s="250" t="s">
        <v>1755</v>
      </c>
      <c r="F3818" s="273" t="s">
        <v>3446</v>
      </c>
      <c r="G3818" s="1040" t="s">
        <v>3463</v>
      </c>
      <c r="H3818" s="273" t="s">
        <v>3462</v>
      </c>
      <c r="I3818" s="720">
        <f t="shared" si="850"/>
        <v>716.60159999999996</v>
      </c>
      <c r="J3818" s="820">
        <v>1433.2031999999999</v>
      </c>
      <c r="K3818" s="131">
        <f t="shared" si="852"/>
        <v>1433.2031999999999</v>
      </c>
      <c r="L3818" s="335">
        <f t="shared" si="841"/>
        <v>0</v>
      </c>
      <c r="M3818" s="446"/>
      <c r="N3818" s="446"/>
      <c r="O3818" s="446"/>
      <c r="P3818" s="446"/>
      <c r="Q3818" s="130">
        <v>1</v>
      </c>
      <c r="R3818" s="111">
        <f t="shared" si="838"/>
        <v>358.30079999999998</v>
      </c>
      <c r="S3818" s="110"/>
      <c r="T3818" s="110"/>
      <c r="U3818" s="130">
        <v>1</v>
      </c>
      <c r="V3818" s="111">
        <f t="shared" si="839"/>
        <v>358.30079999999998</v>
      </c>
      <c r="W3818" s="110"/>
      <c r="X3818" s="110"/>
      <c r="Y3818" s="110"/>
      <c r="Z3818" s="110"/>
      <c r="AA3818" s="130">
        <v>0</v>
      </c>
      <c r="AB3818" s="111">
        <f t="shared" si="847"/>
        <v>358.30079999999998</v>
      </c>
      <c r="AC3818" s="110"/>
      <c r="AD3818" s="110"/>
      <c r="AE3818" s="130">
        <v>0</v>
      </c>
      <c r="AF3818" s="111">
        <f t="shared" si="845"/>
        <v>358.30079999999998</v>
      </c>
      <c r="AG3818" s="110"/>
      <c r="AH3818" s="110"/>
      <c r="AI3818" s="110"/>
      <c r="AJ3818" s="110"/>
      <c r="AK3818" s="111">
        <f t="shared" si="842"/>
        <v>1433.2031999999999</v>
      </c>
      <c r="AL3818" s="446">
        <f t="shared" si="843"/>
        <v>0</v>
      </c>
      <c r="AM3818" s="110">
        <f t="shared" si="844"/>
        <v>2</v>
      </c>
      <c r="AN3818" s="447">
        <f t="shared" si="851"/>
        <v>0</v>
      </c>
      <c r="AO3818"/>
      <c r="AP3818"/>
    </row>
    <row r="3819" spans="1:42" ht="66" x14ac:dyDescent="0.25">
      <c r="A3819" s="61"/>
      <c r="B3819" s="501" t="s">
        <v>1376</v>
      </c>
      <c r="C3819" s="9"/>
      <c r="D3819" s="875">
        <v>2</v>
      </c>
      <c r="E3819" s="250" t="s">
        <v>1755</v>
      </c>
      <c r="F3819" s="273" t="s">
        <v>3446</v>
      </c>
      <c r="G3819" s="1040" t="s">
        <v>3463</v>
      </c>
      <c r="H3819" s="273" t="s">
        <v>3462</v>
      </c>
      <c r="I3819" s="720">
        <f t="shared" si="850"/>
        <v>399.64319999999998</v>
      </c>
      <c r="J3819" s="820">
        <v>799.28639999999996</v>
      </c>
      <c r="K3819" s="131">
        <f t="shared" si="852"/>
        <v>799.28639999999996</v>
      </c>
      <c r="L3819" s="335">
        <f t="shared" si="841"/>
        <v>0</v>
      </c>
      <c r="M3819" s="446"/>
      <c r="N3819" s="446"/>
      <c r="O3819" s="446"/>
      <c r="P3819" s="446"/>
      <c r="Q3819" s="130">
        <v>1</v>
      </c>
      <c r="R3819" s="111">
        <f t="shared" si="838"/>
        <v>199.82159999999999</v>
      </c>
      <c r="S3819" s="110"/>
      <c r="T3819" s="110"/>
      <c r="U3819" s="130">
        <v>1</v>
      </c>
      <c r="V3819" s="111">
        <f t="shared" si="839"/>
        <v>199.82159999999999</v>
      </c>
      <c r="W3819" s="110"/>
      <c r="X3819" s="110"/>
      <c r="Y3819" s="110"/>
      <c r="Z3819" s="110"/>
      <c r="AA3819" s="130">
        <v>0</v>
      </c>
      <c r="AB3819" s="111">
        <f t="shared" si="847"/>
        <v>199.82159999999999</v>
      </c>
      <c r="AC3819" s="110"/>
      <c r="AD3819" s="110"/>
      <c r="AE3819" s="130">
        <v>0</v>
      </c>
      <c r="AF3819" s="111">
        <f t="shared" si="845"/>
        <v>199.82159999999999</v>
      </c>
      <c r="AG3819" s="110"/>
      <c r="AH3819" s="110"/>
      <c r="AI3819" s="110"/>
      <c r="AJ3819" s="110"/>
      <c r="AK3819" s="111">
        <f t="shared" si="842"/>
        <v>799.28639999999996</v>
      </c>
      <c r="AL3819" s="446">
        <f t="shared" si="843"/>
        <v>0</v>
      </c>
      <c r="AM3819" s="110">
        <f t="shared" si="844"/>
        <v>2</v>
      </c>
      <c r="AN3819" s="447">
        <f t="shared" si="851"/>
        <v>0</v>
      </c>
      <c r="AO3819"/>
      <c r="AP3819"/>
    </row>
    <row r="3820" spans="1:42" ht="66" x14ac:dyDescent="0.25">
      <c r="A3820" s="61"/>
      <c r="B3820" s="501" t="s">
        <v>1364</v>
      </c>
      <c r="C3820" s="9"/>
      <c r="D3820" s="875">
        <v>1</v>
      </c>
      <c r="E3820" s="250" t="s">
        <v>1755</v>
      </c>
      <c r="F3820" s="273" t="s">
        <v>3446</v>
      </c>
      <c r="G3820" s="1040" t="s">
        <v>3463</v>
      </c>
      <c r="H3820" s="273" t="s">
        <v>3462</v>
      </c>
      <c r="I3820" s="720">
        <f t="shared" si="850"/>
        <v>344.52</v>
      </c>
      <c r="J3820" s="820">
        <v>344.52</v>
      </c>
      <c r="K3820" s="131">
        <f t="shared" si="852"/>
        <v>344.52</v>
      </c>
      <c r="L3820" s="335">
        <f t="shared" si="841"/>
        <v>0</v>
      </c>
      <c r="M3820" s="446"/>
      <c r="N3820" s="446"/>
      <c r="O3820" s="446"/>
      <c r="P3820" s="446"/>
      <c r="Q3820" s="110">
        <v>1</v>
      </c>
      <c r="R3820" s="111">
        <f t="shared" si="838"/>
        <v>86.13</v>
      </c>
      <c r="S3820" s="110"/>
      <c r="T3820" s="110"/>
      <c r="U3820" s="110">
        <v>0</v>
      </c>
      <c r="V3820" s="111">
        <f t="shared" si="839"/>
        <v>86.13</v>
      </c>
      <c r="W3820" s="110"/>
      <c r="X3820" s="110"/>
      <c r="Y3820" s="110"/>
      <c r="Z3820" s="110"/>
      <c r="AA3820" s="110">
        <v>0</v>
      </c>
      <c r="AB3820" s="111">
        <f t="shared" si="847"/>
        <v>86.13</v>
      </c>
      <c r="AC3820" s="110"/>
      <c r="AD3820" s="110"/>
      <c r="AE3820" s="110">
        <v>0</v>
      </c>
      <c r="AF3820" s="111">
        <f t="shared" si="845"/>
        <v>86.13</v>
      </c>
      <c r="AG3820" s="110"/>
      <c r="AH3820" s="110"/>
      <c r="AI3820" s="110"/>
      <c r="AJ3820" s="110"/>
      <c r="AK3820" s="111">
        <f t="shared" si="842"/>
        <v>344.52</v>
      </c>
      <c r="AL3820" s="446">
        <f t="shared" si="843"/>
        <v>0</v>
      </c>
      <c r="AM3820" s="110">
        <f t="shared" si="844"/>
        <v>1</v>
      </c>
      <c r="AN3820" s="447">
        <f t="shared" si="851"/>
        <v>0</v>
      </c>
      <c r="AO3820"/>
      <c r="AP3820"/>
    </row>
    <row r="3821" spans="1:42" ht="66" x14ac:dyDescent="0.25">
      <c r="A3821" s="61"/>
      <c r="B3821" s="501" t="s">
        <v>1375</v>
      </c>
      <c r="C3821" s="9"/>
      <c r="D3821" s="875">
        <v>2</v>
      </c>
      <c r="E3821" s="250" t="s">
        <v>1755</v>
      </c>
      <c r="F3821" s="273" t="s">
        <v>3446</v>
      </c>
      <c r="G3821" s="1040" t="s">
        <v>3463</v>
      </c>
      <c r="H3821" s="273" t="s">
        <v>3462</v>
      </c>
      <c r="I3821" s="720">
        <f t="shared" si="850"/>
        <v>476.81567999999999</v>
      </c>
      <c r="J3821" s="820">
        <v>953.63135999999997</v>
      </c>
      <c r="K3821" s="131">
        <f t="shared" si="852"/>
        <v>953.63135999999997</v>
      </c>
      <c r="L3821" s="335">
        <f t="shared" si="841"/>
        <v>0</v>
      </c>
      <c r="M3821" s="446"/>
      <c r="N3821" s="446"/>
      <c r="O3821" s="446"/>
      <c r="P3821" s="446"/>
      <c r="Q3821" s="130">
        <v>1</v>
      </c>
      <c r="R3821" s="111">
        <f t="shared" si="838"/>
        <v>238.40783999999999</v>
      </c>
      <c r="S3821" s="110"/>
      <c r="T3821" s="110"/>
      <c r="U3821" s="130">
        <v>1</v>
      </c>
      <c r="V3821" s="111">
        <f t="shared" si="839"/>
        <v>238.40783999999999</v>
      </c>
      <c r="W3821" s="110"/>
      <c r="X3821" s="110"/>
      <c r="Y3821" s="110"/>
      <c r="Z3821" s="110"/>
      <c r="AA3821" s="130">
        <v>0</v>
      </c>
      <c r="AB3821" s="111">
        <f t="shared" si="847"/>
        <v>238.40783999999999</v>
      </c>
      <c r="AC3821" s="110"/>
      <c r="AD3821" s="110"/>
      <c r="AE3821" s="130">
        <v>0</v>
      </c>
      <c r="AF3821" s="111">
        <f t="shared" si="845"/>
        <v>238.40783999999999</v>
      </c>
      <c r="AG3821" s="110"/>
      <c r="AH3821" s="110"/>
      <c r="AI3821" s="110"/>
      <c r="AJ3821" s="110"/>
      <c r="AK3821" s="111">
        <f t="shared" si="842"/>
        <v>953.63135999999997</v>
      </c>
      <c r="AL3821" s="446">
        <f t="shared" si="843"/>
        <v>0</v>
      </c>
      <c r="AM3821" s="110">
        <f t="shared" si="844"/>
        <v>2</v>
      </c>
      <c r="AN3821" s="447">
        <f t="shared" si="851"/>
        <v>0</v>
      </c>
      <c r="AO3821"/>
      <c r="AP3821"/>
    </row>
    <row r="3822" spans="1:42" ht="66" x14ac:dyDescent="0.25">
      <c r="A3822" s="61"/>
      <c r="B3822" s="501" t="s">
        <v>1376</v>
      </c>
      <c r="C3822" s="9"/>
      <c r="D3822" s="875">
        <v>2</v>
      </c>
      <c r="E3822" s="250" t="s">
        <v>1755</v>
      </c>
      <c r="F3822" s="273" t="s">
        <v>3446</v>
      </c>
      <c r="G3822" s="1040" t="s">
        <v>3463</v>
      </c>
      <c r="H3822" s="273" t="s">
        <v>3462</v>
      </c>
      <c r="I3822" s="720">
        <f t="shared" si="850"/>
        <v>399.64319999999998</v>
      </c>
      <c r="J3822" s="820">
        <v>799.28639999999996</v>
      </c>
      <c r="K3822" s="131">
        <f t="shared" si="852"/>
        <v>799.28639999999996</v>
      </c>
      <c r="L3822" s="335">
        <f t="shared" si="841"/>
        <v>0</v>
      </c>
      <c r="M3822" s="446"/>
      <c r="N3822" s="446"/>
      <c r="O3822" s="446"/>
      <c r="P3822" s="446"/>
      <c r="Q3822" s="130">
        <v>1</v>
      </c>
      <c r="R3822" s="111">
        <f t="shared" si="838"/>
        <v>199.82159999999999</v>
      </c>
      <c r="S3822" s="110"/>
      <c r="T3822" s="110"/>
      <c r="U3822" s="130">
        <v>1</v>
      </c>
      <c r="V3822" s="111">
        <f t="shared" si="839"/>
        <v>199.82159999999999</v>
      </c>
      <c r="W3822" s="110"/>
      <c r="X3822" s="110"/>
      <c r="Y3822" s="110"/>
      <c r="Z3822" s="110"/>
      <c r="AA3822" s="130">
        <v>0</v>
      </c>
      <c r="AB3822" s="111">
        <f t="shared" si="847"/>
        <v>199.82159999999999</v>
      </c>
      <c r="AC3822" s="110"/>
      <c r="AD3822" s="110"/>
      <c r="AE3822" s="130">
        <v>0</v>
      </c>
      <c r="AF3822" s="111">
        <f t="shared" si="845"/>
        <v>199.82159999999999</v>
      </c>
      <c r="AG3822" s="110"/>
      <c r="AH3822" s="110"/>
      <c r="AI3822" s="110"/>
      <c r="AJ3822" s="110"/>
      <c r="AK3822" s="111">
        <f t="shared" si="842"/>
        <v>799.28639999999996</v>
      </c>
      <c r="AL3822" s="446">
        <f t="shared" si="843"/>
        <v>0</v>
      </c>
      <c r="AM3822" s="110">
        <f t="shared" si="844"/>
        <v>2</v>
      </c>
      <c r="AN3822" s="447">
        <f t="shared" si="851"/>
        <v>0</v>
      </c>
      <c r="AO3822"/>
      <c r="AP3822"/>
    </row>
    <row r="3823" spans="1:42" ht="66" x14ac:dyDescent="0.25">
      <c r="A3823" s="61"/>
      <c r="B3823" s="501" t="s">
        <v>1374</v>
      </c>
      <c r="C3823" s="9"/>
      <c r="D3823" s="875">
        <v>2</v>
      </c>
      <c r="E3823" s="250" t="s">
        <v>1755</v>
      </c>
      <c r="F3823" s="273" t="s">
        <v>3446</v>
      </c>
      <c r="G3823" s="1040" t="s">
        <v>3463</v>
      </c>
      <c r="H3823" s="273" t="s">
        <v>3462</v>
      </c>
      <c r="I3823" s="720">
        <f t="shared" si="850"/>
        <v>344.52</v>
      </c>
      <c r="J3823" s="820">
        <v>689.04</v>
      </c>
      <c r="K3823" s="131">
        <f t="shared" si="852"/>
        <v>689.04</v>
      </c>
      <c r="L3823" s="335">
        <f t="shared" si="841"/>
        <v>0</v>
      </c>
      <c r="M3823" s="446"/>
      <c r="N3823" s="446"/>
      <c r="O3823" s="446"/>
      <c r="P3823" s="446"/>
      <c r="Q3823" s="130">
        <v>1</v>
      </c>
      <c r="R3823" s="111">
        <f t="shared" si="838"/>
        <v>172.26</v>
      </c>
      <c r="S3823" s="110"/>
      <c r="T3823" s="110"/>
      <c r="U3823" s="130">
        <v>1</v>
      </c>
      <c r="V3823" s="111">
        <f t="shared" si="839"/>
        <v>172.26</v>
      </c>
      <c r="W3823" s="110"/>
      <c r="X3823" s="110"/>
      <c r="Y3823" s="110"/>
      <c r="Z3823" s="110"/>
      <c r="AA3823" s="130">
        <v>0</v>
      </c>
      <c r="AB3823" s="111">
        <f t="shared" si="847"/>
        <v>172.26</v>
      </c>
      <c r="AC3823" s="110"/>
      <c r="AD3823" s="110"/>
      <c r="AE3823" s="130">
        <v>0</v>
      </c>
      <c r="AF3823" s="111">
        <f t="shared" si="845"/>
        <v>172.26</v>
      </c>
      <c r="AG3823" s="110"/>
      <c r="AH3823" s="110"/>
      <c r="AI3823" s="110"/>
      <c r="AJ3823" s="110"/>
      <c r="AK3823" s="111">
        <f t="shared" si="842"/>
        <v>689.04</v>
      </c>
      <c r="AL3823" s="446">
        <f t="shared" si="843"/>
        <v>0</v>
      </c>
      <c r="AM3823" s="110">
        <f t="shared" si="844"/>
        <v>2</v>
      </c>
      <c r="AN3823" s="447">
        <f t="shared" si="851"/>
        <v>0</v>
      </c>
      <c r="AO3823"/>
      <c r="AP3823"/>
    </row>
    <row r="3824" spans="1:42" ht="66" x14ac:dyDescent="0.25">
      <c r="A3824" s="61"/>
      <c r="B3824" s="501" t="s">
        <v>1377</v>
      </c>
      <c r="C3824" s="9"/>
      <c r="D3824" s="875">
        <v>2</v>
      </c>
      <c r="E3824" s="250" t="s">
        <v>1755</v>
      </c>
      <c r="F3824" s="273" t="s">
        <v>3446</v>
      </c>
      <c r="G3824" s="1040" t="s">
        <v>3463</v>
      </c>
      <c r="H3824" s="273" t="s">
        <v>3462</v>
      </c>
      <c r="I3824" s="720">
        <f t="shared" si="850"/>
        <v>344.52</v>
      </c>
      <c r="J3824" s="820">
        <v>689.04</v>
      </c>
      <c r="K3824" s="131">
        <f t="shared" si="852"/>
        <v>689.04</v>
      </c>
      <c r="L3824" s="335">
        <f t="shared" si="841"/>
        <v>0</v>
      </c>
      <c r="M3824" s="446"/>
      <c r="N3824" s="446"/>
      <c r="O3824" s="446"/>
      <c r="P3824" s="446"/>
      <c r="Q3824" s="130">
        <v>1</v>
      </c>
      <c r="R3824" s="111">
        <f t="shared" ref="R3824:R3887" si="853">+J3824/4</f>
        <v>172.26</v>
      </c>
      <c r="S3824" s="110"/>
      <c r="T3824" s="110"/>
      <c r="U3824" s="130">
        <v>1</v>
      </c>
      <c r="V3824" s="111">
        <f t="shared" ref="V3824:V3887" si="854">+J3824/4</f>
        <v>172.26</v>
      </c>
      <c r="W3824" s="110"/>
      <c r="X3824" s="110"/>
      <c r="Y3824" s="110"/>
      <c r="Z3824" s="110"/>
      <c r="AA3824" s="130">
        <v>0</v>
      </c>
      <c r="AB3824" s="111">
        <f t="shared" si="847"/>
        <v>172.26</v>
      </c>
      <c r="AC3824" s="110"/>
      <c r="AD3824" s="110"/>
      <c r="AE3824" s="130">
        <v>0</v>
      </c>
      <c r="AF3824" s="111">
        <f t="shared" si="845"/>
        <v>172.26</v>
      </c>
      <c r="AG3824" s="110"/>
      <c r="AH3824" s="110"/>
      <c r="AI3824" s="110"/>
      <c r="AJ3824" s="110"/>
      <c r="AK3824" s="111">
        <f t="shared" si="842"/>
        <v>689.04</v>
      </c>
      <c r="AL3824" s="446">
        <f t="shared" si="843"/>
        <v>0</v>
      </c>
      <c r="AM3824" s="110">
        <f t="shared" si="844"/>
        <v>2</v>
      </c>
      <c r="AN3824" s="447">
        <f t="shared" si="851"/>
        <v>0</v>
      </c>
      <c r="AO3824"/>
      <c r="AP3824"/>
    </row>
    <row r="3825" spans="1:42" ht="22.5" x14ac:dyDescent="0.25">
      <c r="A3825" s="376">
        <v>352</v>
      </c>
      <c r="B3825" s="588" t="s">
        <v>888</v>
      </c>
      <c r="C3825" s="376"/>
      <c r="D3825" s="940"/>
      <c r="E3825" s="377"/>
      <c r="F3825" s="378"/>
      <c r="G3825" s="378"/>
      <c r="H3825" s="378"/>
      <c r="I3825" s="734"/>
      <c r="J3825" s="806"/>
      <c r="K3825" s="131">
        <f t="shared" si="852"/>
        <v>0</v>
      </c>
      <c r="L3825" s="335">
        <f t="shared" si="841"/>
        <v>0</v>
      </c>
      <c r="M3825" s="419"/>
      <c r="N3825" s="419"/>
      <c r="O3825" s="419"/>
      <c r="P3825" s="419"/>
      <c r="Q3825" s="418">
        <f t="shared" ref="Q3825:Q3887" si="855">+$D3825/4</f>
        <v>0</v>
      </c>
      <c r="R3825" s="379">
        <f t="shared" si="853"/>
        <v>0</v>
      </c>
      <c r="S3825" s="418"/>
      <c r="T3825" s="418"/>
      <c r="U3825" s="418">
        <f t="shared" ref="U3825:U3887" si="856">+$D3825/4</f>
        <v>0</v>
      </c>
      <c r="V3825" s="379">
        <f t="shared" si="854"/>
        <v>0</v>
      </c>
      <c r="W3825" s="418"/>
      <c r="X3825" s="418"/>
      <c r="Y3825" s="418"/>
      <c r="Z3825" s="418"/>
      <c r="AA3825" s="418">
        <f t="shared" ref="AA3825:AE3886" si="857">+$D3825/4</f>
        <v>0</v>
      </c>
      <c r="AB3825" s="379">
        <f t="shared" si="847"/>
        <v>0</v>
      </c>
      <c r="AC3825" s="418"/>
      <c r="AD3825" s="418"/>
      <c r="AE3825" s="418">
        <f t="shared" si="857"/>
        <v>0</v>
      </c>
      <c r="AF3825" s="379">
        <f t="shared" si="845"/>
        <v>0</v>
      </c>
      <c r="AG3825" s="418"/>
      <c r="AH3825" s="418"/>
      <c r="AI3825" s="418"/>
      <c r="AJ3825" s="418"/>
      <c r="AK3825" s="379">
        <f t="shared" si="842"/>
        <v>0</v>
      </c>
      <c r="AL3825" s="446">
        <f t="shared" si="843"/>
        <v>0</v>
      </c>
      <c r="AM3825" s="110">
        <f t="shared" si="844"/>
        <v>0</v>
      </c>
      <c r="AN3825" s="447">
        <f t="shared" si="851"/>
        <v>0</v>
      </c>
      <c r="AO3825" s="108"/>
      <c r="AP3825"/>
    </row>
    <row r="3826" spans="1:42" ht="22.5" x14ac:dyDescent="0.25">
      <c r="A3826" s="315">
        <v>35201</v>
      </c>
      <c r="B3826" s="350" t="s">
        <v>889</v>
      </c>
      <c r="C3826" s="353"/>
      <c r="D3826" s="886"/>
      <c r="E3826" s="318"/>
      <c r="F3826" s="319"/>
      <c r="G3826" s="319"/>
      <c r="H3826" s="319"/>
      <c r="I3826" s="724"/>
      <c r="J3826" s="836"/>
      <c r="K3826" s="131">
        <f t="shared" si="852"/>
        <v>0</v>
      </c>
      <c r="L3826" s="335">
        <f t="shared" si="841"/>
        <v>0</v>
      </c>
      <c r="M3826" s="446"/>
      <c r="N3826" s="446"/>
      <c r="O3826" s="446"/>
      <c r="P3826" s="446"/>
      <c r="Q3826" s="110">
        <f t="shared" si="855"/>
        <v>0</v>
      </c>
      <c r="R3826" s="111">
        <f t="shared" si="853"/>
        <v>0</v>
      </c>
      <c r="S3826" s="110"/>
      <c r="T3826" s="110"/>
      <c r="U3826" s="110">
        <f t="shared" si="856"/>
        <v>0</v>
      </c>
      <c r="V3826" s="111">
        <f t="shared" si="854"/>
        <v>0</v>
      </c>
      <c r="W3826" s="110"/>
      <c r="X3826" s="110"/>
      <c r="Y3826" s="110"/>
      <c r="Z3826" s="110"/>
      <c r="AA3826" s="110">
        <f t="shared" si="857"/>
        <v>0</v>
      </c>
      <c r="AB3826" s="111">
        <f t="shared" si="847"/>
        <v>0</v>
      </c>
      <c r="AC3826" s="110"/>
      <c r="AD3826" s="110"/>
      <c r="AE3826" s="110">
        <f t="shared" si="857"/>
        <v>0</v>
      </c>
      <c r="AF3826" s="111">
        <f t="shared" si="845"/>
        <v>0</v>
      </c>
      <c r="AG3826" s="110"/>
      <c r="AH3826" s="110"/>
      <c r="AI3826" s="110"/>
      <c r="AJ3826" s="110"/>
      <c r="AK3826" s="111">
        <f t="shared" si="842"/>
        <v>0</v>
      </c>
      <c r="AL3826" s="446">
        <f t="shared" si="843"/>
        <v>0</v>
      </c>
      <c r="AM3826" s="110">
        <f t="shared" si="844"/>
        <v>0</v>
      </c>
      <c r="AN3826" s="447">
        <f t="shared" si="851"/>
        <v>0</v>
      </c>
      <c r="AO3826" s="436">
        <f>SUM(J3827:J3830)</f>
        <v>48280</v>
      </c>
      <c r="AP3826" s="111"/>
    </row>
    <row r="3827" spans="1:42" ht="66" x14ac:dyDescent="0.25">
      <c r="A3827" s="65"/>
      <c r="B3827" s="41" t="s">
        <v>890</v>
      </c>
      <c r="C3827" s="47"/>
      <c r="D3827" s="875">
        <v>20</v>
      </c>
      <c r="E3827" s="250" t="s">
        <v>1755</v>
      </c>
      <c r="F3827" s="273" t="s">
        <v>3446</v>
      </c>
      <c r="G3827" s="1040" t="s">
        <v>3463</v>
      </c>
      <c r="H3827" s="273" t="s">
        <v>3462</v>
      </c>
      <c r="I3827" s="720">
        <f>+J3827/D3827</f>
        <v>928</v>
      </c>
      <c r="J3827" s="820">
        <v>18560</v>
      </c>
      <c r="K3827" s="131">
        <f t="shared" si="852"/>
        <v>18560</v>
      </c>
      <c r="L3827" s="335">
        <f t="shared" si="841"/>
        <v>0</v>
      </c>
      <c r="M3827" s="446"/>
      <c r="N3827" s="446"/>
      <c r="O3827" s="446"/>
      <c r="P3827" s="446"/>
      <c r="Q3827" s="110">
        <f t="shared" si="855"/>
        <v>5</v>
      </c>
      <c r="R3827" s="111">
        <f t="shared" si="853"/>
        <v>4640</v>
      </c>
      <c r="S3827" s="110"/>
      <c r="T3827" s="110"/>
      <c r="U3827" s="110">
        <f t="shared" si="856"/>
        <v>5</v>
      </c>
      <c r="V3827" s="111">
        <f t="shared" si="854"/>
        <v>4640</v>
      </c>
      <c r="W3827" s="110"/>
      <c r="X3827" s="110"/>
      <c r="Y3827" s="110"/>
      <c r="Z3827" s="110"/>
      <c r="AA3827" s="110">
        <f t="shared" si="857"/>
        <v>5</v>
      </c>
      <c r="AB3827" s="111">
        <f t="shared" si="847"/>
        <v>4640</v>
      </c>
      <c r="AC3827" s="110"/>
      <c r="AD3827" s="110"/>
      <c r="AE3827" s="110">
        <f t="shared" si="857"/>
        <v>5</v>
      </c>
      <c r="AF3827" s="111">
        <f t="shared" si="845"/>
        <v>4640</v>
      </c>
      <c r="AG3827" s="110"/>
      <c r="AH3827" s="110"/>
      <c r="AI3827" s="110"/>
      <c r="AJ3827" s="110"/>
      <c r="AK3827" s="111">
        <f t="shared" si="842"/>
        <v>18560</v>
      </c>
      <c r="AL3827" s="446">
        <f t="shared" si="843"/>
        <v>0</v>
      </c>
      <c r="AM3827" s="110">
        <f t="shared" si="844"/>
        <v>20</v>
      </c>
      <c r="AN3827" s="447">
        <f t="shared" si="851"/>
        <v>0</v>
      </c>
      <c r="AO3827"/>
      <c r="AP3827"/>
    </row>
    <row r="3828" spans="1:42" ht="66" x14ac:dyDescent="0.25">
      <c r="A3828" s="65"/>
      <c r="B3828" s="41" t="s">
        <v>891</v>
      </c>
      <c r="C3828" s="47"/>
      <c r="D3828" s="875">
        <v>10</v>
      </c>
      <c r="E3828" s="250" t="s">
        <v>1755</v>
      </c>
      <c r="F3828" s="273" t="s">
        <v>3446</v>
      </c>
      <c r="G3828" s="1040" t="s">
        <v>3463</v>
      </c>
      <c r="H3828" s="273" t="s">
        <v>3462</v>
      </c>
      <c r="I3828" s="720">
        <f>+J3828/D3828</f>
        <v>1392</v>
      </c>
      <c r="J3828" s="820">
        <v>13920</v>
      </c>
      <c r="K3828" s="131">
        <f t="shared" si="852"/>
        <v>13920</v>
      </c>
      <c r="L3828" s="335">
        <f t="shared" si="841"/>
        <v>0</v>
      </c>
      <c r="M3828" s="446"/>
      <c r="N3828" s="446"/>
      <c r="O3828" s="446"/>
      <c r="P3828" s="446"/>
      <c r="Q3828" s="130">
        <v>3</v>
      </c>
      <c r="R3828" s="111">
        <f t="shared" si="853"/>
        <v>3480</v>
      </c>
      <c r="S3828" s="110"/>
      <c r="T3828" s="110"/>
      <c r="U3828" s="130">
        <v>3</v>
      </c>
      <c r="V3828" s="111">
        <f t="shared" si="854"/>
        <v>3480</v>
      </c>
      <c r="W3828" s="110"/>
      <c r="X3828" s="110"/>
      <c r="Y3828" s="110"/>
      <c r="Z3828" s="110"/>
      <c r="AA3828" s="130">
        <v>2</v>
      </c>
      <c r="AB3828" s="111">
        <f t="shared" si="847"/>
        <v>3480</v>
      </c>
      <c r="AC3828" s="110"/>
      <c r="AD3828" s="110"/>
      <c r="AE3828" s="130">
        <v>2</v>
      </c>
      <c r="AF3828" s="111">
        <f t="shared" si="845"/>
        <v>3480</v>
      </c>
      <c r="AG3828" s="110"/>
      <c r="AH3828" s="110"/>
      <c r="AI3828" s="110"/>
      <c r="AJ3828" s="110"/>
      <c r="AK3828" s="111">
        <f t="shared" si="842"/>
        <v>13920</v>
      </c>
      <c r="AL3828" s="446">
        <f t="shared" si="843"/>
        <v>0</v>
      </c>
      <c r="AM3828" s="110">
        <f t="shared" si="844"/>
        <v>10</v>
      </c>
      <c r="AN3828" s="447">
        <f t="shared" si="851"/>
        <v>0</v>
      </c>
      <c r="AO3828"/>
      <c r="AP3828"/>
    </row>
    <row r="3829" spans="1:42" ht="66" x14ac:dyDescent="0.25">
      <c r="A3829" s="65"/>
      <c r="B3829" s="59" t="s">
        <v>1839</v>
      </c>
      <c r="C3829" s="47"/>
      <c r="D3829" s="875">
        <v>1</v>
      </c>
      <c r="E3829" s="250" t="s">
        <v>1755</v>
      </c>
      <c r="F3829" s="273" t="s">
        <v>3446</v>
      </c>
      <c r="G3829" s="1040" t="s">
        <v>3463</v>
      </c>
      <c r="H3829" s="273" t="s">
        <v>3462</v>
      </c>
      <c r="I3829" s="720">
        <f>+J3829/D3829</f>
        <v>5000</v>
      </c>
      <c r="J3829" s="820">
        <v>5000</v>
      </c>
      <c r="K3829" s="131">
        <f t="shared" si="852"/>
        <v>5000</v>
      </c>
      <c r="L3829" s="335">
        <f t="shared" si="841"/>
        <v>0</v>
      </c>
      <c r="M3829" s="446"/>
      <c r="N3829" s="446"/>
      <c r="O3829" s="446"/>
      <c r="P3829" s="446"/>
      <c r="Q3829" s="110">
        <v>1</v>
      </c>
      <c r="R3829" s="111">
        <f t="shared" si="853"/>
        <v>1250</v>
      </c>
      <c r="S3829" s="110"/>
      <c r="T3829" s="110"/>
      <c r="U3829" s="110">
        <v>0</v>
      </c>
      <c r="V3829" s="111">
        <f t="shared" si="854"/>
        <v>1250</v>
      </c>
      <c r="W3829" s="110"/>
      <c r="X3829" s="110"/>
      <c r="Y3829" s="110"/>
      <c r="Z3829" s="110"/>
      <c r="AA3829" s="110">
        <v>0</v>
      </c>
      <c r="AB3829" s="111">
        <f t="shared" si="847"/>
        <v>1250</v>
      </c>
      <c r="AC3829" s="110"/>
      <c r="AD3829" s="110"/>
      <c r="AE3829" s="110">
        <v>0</v>
      </c>
      <c r="AF3829" s="111">
        <f t="shared" si="845"/>
        <v>1250</v>
      </c>
      <c r="AG3829" s="110"/>
      <c r="AH3829" s="110"/>
      <c r="AI3829" s="110"/>
      <c r="AJ3829" s="110"/>
      <c r="AK3829" s="111">
        <f t="shared" si="842"/>
        <v>5000</v>
      </c>
      <c r="AL3829" s="446">
        <f t="shared" si="843"/>
        <v>0</v>
      </c>
      <c r="AM3829" s="110">
        <f t="shared" si="844"/>
        <v>1</v>
      </c>
      <c r="AN3829" s="447">
        <f t="shared" si="851"/>
        <v>0</v>
      </c>
      <c r="AO3829"/>
      <c r="AP3829"/>
    </row>
    <row r="3830" spans="1:42" ht="66" x14ac:dyDescent="0.25">
      <c r="A3830" s="61"/>
      <c r="B3830" s="152" t="s">
        <v>1882</v>
      </c>
      <c r="C3830" s="9"/>
      <c r="D3830" s="912">
        <v>5</v>
      </c>
      <c r="E3830" s="1027" t="s">
        <v>1755</v>
      </c>
      <c r="F3830" s="273" t="s">
        <v>3446</v>
      </c>
      <c r="G3830" s="1040" t="s">
        <v>3463</v>
      </c>
      <c r="H3830" s="273" t="s">
        <v>3462</v>
      </c>
      <c r="I3830" s="720">
        <f>+J3830/D3830</f>
        <v>2160</v>
      </c>
      <c r="J3830" s="763">
        <v>10800</v>
      </c>
      <c r="K3830" s="131">
        <f t="shared" si="852"/>
        <v>10800</v>
      </c>
      <c r="L3830" s="335">
        <f t="shared" ref="L3830:L3893" si="858">+J3830-K3830</f>
        <v>0</v>
      </c>
      <c r="M3830" s="446"/>
      <c r="N3830" s="446"/>
      <c r="O3830" s="446"/>
      <c r="P3830" s="446"/>
      <c r="Q3830" s="110">
        <v>2</v>
      </c>
      <c r="R3830" s="111">
        <f t="shared" si="853"/>
        <v>2700</v>
      </c>
      <c r="S3830" s="110"/>
      <c r="T3830" s="110"/>
      <c r="U3830" s="110">
        <v>1</v>
      </c>
      <c r="V3830" s="111">
        <f t="shared" si="854"/>
        <v>2700</v>
      </c>
      <c r="W3830" s="110"/>
      <c r="X3830" s="110"/>
      <c r="Y3830" s="110"/>
      <c r="Z3830" s="110"/>
      <c r="AA3830" s="110">
        <v>1</v>
      </c>
      <c r="AB3830" s="111">
        <f t="shared" si="847"/>
        <v>2700</v>
      </c>
      <c r="AC3830" s="110"/>
      <c r="AD3830" s="110"/>
      <c r="AE3830" s="110">
        <v>1</v>
      </c>
      <c r="AF3830" s="111">
        <f t="shared" ref="AF3830:AF3893" si="859">+J3830/4</f>
        <v>2700</v>
      </c>
      <c r="AG3830" s="110"/>
      <c r="AH3830" s="110"/>
      <c r="AI3830" s="110"/>
      <c r="AJ3830" s="110"/>
      <c r="AK3830" s="111">
        <f t="shared" ref="AK3830:AK3893" si="860">+R3830+V3830+AB3830+AF3830</f>
        <v>10800</v>
      </c>
      <c r="AL3830" s="446">
        <f t="shared" ref="AL3830:AL3893" si="861">+J3830-AK3830</f>
        <v>0</v>
      </c>
      <c r="AM3830" s="110">
        <f t="shared" ref="AM3830:AM3893" si="862">+Q3830+U3830+AA3830+AE3830</f>
        <v>5</v>
      </c>
      <c r="AN3830" s="447">
        <f t="shared" si="851"/>
        <v>0</v>
      </c>
      <c r="AO3830"/>
      <c r="AP3830"/>
    </row>
    <row r="3831" spans="1:42" ht="22.5" x14ac:dyDescent="0.25">
      <c r="A3831" s="376">
        <v>353</v>
      </c>
      <c r="B3831" s="588" t="s">
        <v>892</v>
      </c>
      <c r="C3831" s="376"/>
      <c r="D3831" s="950"/>
      <c r="E3831" s="682"/>
      <c r="F3831" s="683"/>
      <c r="G3831" s="683"/>
      <c r="H3831" s="683"/>
      <c r="I3831" s="734"/>
      <c r="J3831" s="835"/>
      <c r="K3831" s="131">
        <f t="shared" si="852"/>
        <v>0</v>
      </c>
      <c r="L3831" s="335">
        <f t="shared" si="858"/>
        <v>0</v>
      </c>
      <c r="M3831" s="419"/>
      <c r="N3831" s="419"/>
      <c r="O3831" s="419"/>
      <c r="P3831" s="419"/>
      <c r="Q3831" s="418">
        <f t="shared" si="855"/>
        <v>0</v>
      </c>
      <c r="R3831" s="379">
        <f t="shared" si="853"/>
        <v>0</v>
      </c>
      <c r="S3831" s="418"/>
      <c r="T3831" s="418"/>
      <c r="U3831" s="418">
        <f t="shared" si="856"/>
        <v>0</v>
      </c>
      <c r="V3831" s="379">
        <f t="shared" si="854"/>
        <v>0</v>
      </c>
      <c r="W3831" s="418"/>
      <c r="X3831" s="418"/>
      <c r="Y3831" s="418"/>
      <c r="Z3831" s="418"/>
      <c r="AA3831" s="418">
        <f t="shared" si="857"/>
        <v>0</v>
      </c>
      <c r="AB3831" s="379">
        <f t="shared" si="847"/>
        <v>0</v>
      </c>
      <c r="AC3831" s="418"/>
      <c r="AD3831" s="418"/>
      <c r="AE3831" s="418">
        <f t="shared" si="857"/>
        <v>0</v>
      </c>
      <c r="AF3831" s="379">
        <f t="shared" si="859"/>
        <v>0</v>
      </c>
      <c r="AG3831" s="418"/>
      <c r="AH3831" s="418"/>
      <c r="AI3831" s="418"/>
      <c r="AJ3831" s="418"/>
      <c r="AK3831" s="379">
        <f t="shared" si="860"/>
        <v>0</v>
      </c>
      <c r="AL3831" s="446">
        <f t="shared" si="861"/>
        <v>0</v>
      </c>
      <c r="AM3831" s="110">
        <f t="shared" si="862"/>
        <v>0</v>
      </c>
      <c r="AN3831" s="447">
        <f t="shared" si="851"/>
        <v>0</v>
      </c>
      <c r="AO3831" s="108"/>
      <c r="AP3831"/>
    </row>
    <row r="3832" spans="1:42" ht="22.5" x14ac:dyDescent="0.25">
      <c r="A3832" s="315">
        <v>35301</v>
      </c>
      <c r="B3832" s="351" t="s">
        <v>893</v>
      </c>
      <c r="C3832" s="316"/>
      <c r="D3832" s="886"/>
      <c r="E3832" s="318"/>
      <c r="F3832" s="319"/>
      <c r="G3832" s="319"/>
      <c r="H3832" s="319"/>
      <c r="I3832" s="724"/>
      <c r="J3832" s="762"/>
      <c r="K3832" s="131">
        <f t="shared" si="852"/>
        <v>0</v>
      </c>
      <c r="L3832" s="335">
        <f t="shared" si="858"/>
        <v>0</v>
      </c>
      <c r="M3832" s="446"/>
      <c r="N3832" s="446"/>
      <c r="O3832" s="446"/>
      <c r="P3832" s="446"/>
      <c r="Q3832" s="110">
        <f t="shared" si="855"/>
        <v>0</v>
      </c>
      <c r="R3832" s="111">
        <f t="shared" si="853"/>
        <v>0</v>
      </c>
      <c r="S3832" s="110"/>
      <c r="T3832" s="110"/>
      <c r="U3832" s="110">
        <f t="shared" si="856"/>
        <v>0</v>
      </c>
      <c r="V3832" s="111">
        <f t="shared" si="854"/>
        <v>0</v>
      </c>
      <c r="W3832" s="110"/>
      <c r="X3832" s="110"/>
      <c r="Y3832" s="110"/>
      <c r="Z3832" s="110"/>
      <c r="AA3832" s="110">
        <f t="shared" si="857"/>
        <v>0</v>
      </c>
      <c r="AB3832" s="111">
        <f t="shared" si="847"/>
        <v>0</v>
      </c>
      <c r="AC3832" s="110"/>
      <c r="AD3832" s="110"/>
      <c r="AE3832" s="110">
        <f t="shared" si="857"/>
        <v>0</v>
      </c>
      <c r="AF3832" s="111">
        <f t="shared" si="859"/>
        <v>0</v>
      </c>
      <c r="AG3832" s="110"/>
      <c r="AH3832" s="110"/>
      <c r="AI3832" s="110"/>
      <c r="AJ3832" s="110"/>
      <c r="AK3832" s="111">
        <f t="shared" si="860"/>
        <v>0</v>
      </c>
      <c r="AL3832" s="446">
        <f t="shared" si="861"/>
        <v>0</v>
      </c>
      <c r="AM3832" s="110">
        <f t="shared" si="862"/>
        <v>0</v>
      </c>
      <c r="AN3832" s="447">
        <f t="shared" si="851"/>
        <v>0</v>
      </c>
      <c r="AO3832" s="436">
        <f>SUM(J3833:J3837)</f>
        <v>39500</v>
      </c>
      <c r="AP3832" s="111"/>
    </row>
    <row r="3833" spans="1:42" ht="66" x14ac:dyDescent="0.25">
      <c r="A3833" s="78"/>
      <c r="B3833" s="600" t="s">
        <v>894</v>
      </c>
      <c r="C3833" s="1024"/>
      <c r="D3833" s="869">
        <v>2</v>
      </c>
      <c r="E3833" s="1027" t="s">
        <v>1758</v>
      </c>
      <c r="F3833" s="273" t="s">
        <v>3446</v>
      </c>
      <c r="G3833" s="1040" t="s">
        <v>3463</v>
      </c>
      <c r="H3833" s="273" t="s">
        <v>3462</v>
      </c>
      <c r="I3833" s="720">
        <f>+J3833/D3833</f>
        <v>7000</v>
      </c>
      <c r="J3833" s="816">
        <v>14000</v>
      </c>
      <c r="K3833" s="131">
        <f t="shared" si="852"/>
        <v>14000</v>
      </c>
      <c r="L3833" s="335">
        <f t="shared" si="858"/>
        <v>0</v>
      </c>
      <c r="M3833" s="446"/>
      <c r="N3833" s="446"/>
      <c r="O3833" s="446"/>
      <c r="P3833" s="446"/>
      <c r="Q3833" s="130">
        <v>1</v>
      </c>
      <c r="R3833" s="111">
        <f t="shared" si="853"/>
        <v>3500</v>
      </c>
      <c r="S3833" s="110"/>
      <c r="T3833" s="110"/>
      <c r="U3833" s="130">
        <v>1</v>
      </c>
      <c r="V3833" s="111">
        <f t="shared" si="854"/>
        <v>3500</v>
      </c>
      <c r="W3833" s="110"/>
      <c r="X3833" s="110"/>
      <c r="Y3833" s="110"/>
      <c r="Z3833" s="110"/>
      <c r="AA3833" s="130">
        <v>0</v>
      </c>
      <c r="AB3833" s="111">
        <f t="shared" si="847"/>
        <v>3500</v>
      </c>
      <c r="AC3833" s="110"/>
      <c r="AD3833" s="110"/>
      <c r="AE3833" s="130">
        <v>0</v>
      </c>
      <c r="AF3833" s="111">
        <f t="shared" si="859"/>
        <v>3500</v>
      </c>
      <c r="AG3833" s="110"/>
      <c r="AH3833" s="110"/>
      <c r="AI3833" s="110"/>
      <c r="AJ3833" s="110"/>
      <c r="AK3833" s="111">
        <f t="shared" si="860"/>
        <v>14000</v>
      </c>
      <c r="AL3833" s="446">
        <f t="shared" si="861"/>
        <v>0</v>
      </c>
      <c r="AM3833" s="110">
        <f t="shared" si="862"/>
        <v>2</v>
      </c>
      <c r="AN3833" s="447">
        <f t="shared" si="851"/>
        <v>0</v>
      </c>
      <c r="AO3833"/>
      <c r="AP3833"/>
    </row>
    <row r="3834" spans="1:42" ht="66" x14ac:dyDescent="0.25">
      <c r="A3834" s="116"/>
      <c r="B3834" s="227" t="s">
        <v>1104</v>
      </c>
      <c r="C3834" s="1024"/>
      <c r="D3834" s="869">
        <f>2</f>
        <v>2</v>
      </c>
      <c r="E3834" s="1027" t="s">
        <v>1758</v>
      </c>
      <c r="F3834" s="273" t="s">
        <v>3446</v>
      </c>
      <c r="G3834" s="1040" t="s">
        <v>3463</v>
      </c>
      <c r="H3834" s="273" t="s">
        <v>3462</v>
      </c>
      <c r="I3834" s="720">
        <f>+J3834/D3834</f>
        <v>3000</v>
      </c>
      <c r="J3834" s="816">
        <f>6000</f>
        <v>6000</v>
      </c>
      <c r="K3834" s="131">
        <f t="shared" si="852"/>
        <v>6000</v>
      </c>
      <c r="L3834" s="335">
        <f t="shared" si="858"/>
        <v>0</v>
      </c>
      <c r="M3834" s="446"/>
      <c r="N3834" s="446"/>
      <c r="O3834" s="446"/>
      <c r="P3834" s="446"/>
      <c r="Q3834" s="130">
        <v>1</v>
      </c>
      <c r="R3834" s="111">
        <f t="shared" si="853"/>
        <v>1500</v>
      </c>
      <c r="S3834" s="110"/>
      <c r="T3834" s="110"/>
      <c r="U3834" s="130">
        <v>1</v>
      </c>
      <c r="V3834" s="111">
        <f t="shared" si="854"/>
        <v>1500</v>
      </c>
      <c r="W3834" s="110"/>
      <c r="X3834" s="110"/>
      <c r="Y3834" s="110"/>
      <c r="Z3834" s="110"/>
      <c r="AA3834" s="130">
        <v>0</v>
      </c>
      <c r="AB3834" s="111">
        <f t="shared" si="847"/>
        <v>1500</v>
      </c>
      <c r="AC3834" s="110"/>
      <c r="AD3834" s="110"/>
      <c r="AE3834" s="130">
        <v>0</v>
      </c>
      <c r="AF3834" s="111">
        <f t="shared" si="859"/>
        <v>1500</v>
      </c>
      <c r="AG3834" s="110"/>
      <c r="AH3834" s="110"/>
      <c r="AI3834" s="110"/>
      <c r="AJ3834" s="110"/>
      <c r="AK3834" s="111">
        <f t="shared" si="860"/>
        <v>6000</v>
      </c>
      <c r="AL3834" s="446">
        <f t="shared" si="861"/>
        <v>0</v>
      </c>
      <c r="AM3834" s="110">
        <f t="shared" si="862"/>
        <v>2</v>
      </c>
      <c r="AN3834" s="447">
        <f t="shared" si="851"/>
        <v>0</v>
      </c>
      <c r="AO3834"/>
      <c r="AP3834"/>
    </row>
    <row r="3835" spans="1:42" ht="66" x14ac:dyDescent="0.25">
      <c r="A3835" s="116"/>
      <c r="B3835" s="149" t="s">
        <v>1105</v>
      </c>
      <c r="C3835" s="1024"/>
      <c r="D3835" s="869">
        <f>2</f>
        <v>2</v>
      </c>
      <c r="E3835" s="1027" t="s">
        <v>1758</v>
      </c>
      <c r="F3835" s="273" t="s">
        <v>3446</v>
      </c>
      <c r="G3835" s="1040" t="s">
        <v>3463</v>
      </c>
      <c r="H3835" s="273" t="s">
        <v>3462</v>
      </c>
      <c r="I3835" s="720">
        <f>+J3835/D3835</f>
        <v>2500</v>
      </c>
      <c r="J3835" s="816">
        <f>5000</f>
        <v>5000</v>
      </c>
      <c r="K3835" s="131">
        <f t="shared" si="852"/>
        <v>5000</v>
      </c>
      <c r="L3835" s="335">
        <f t="shared" si="858"/>
        <v>0</v>
      </c>
      <c r="M3835" s="446"/>
      <c r="N3835" s="446"/>
      <c r="O3835" s="446"/>
      <c r="P3835" s="446"/>
      <c r="Q3835" s="130">
        <v>1</v>
      </c>
      <c r="R3835" s="111">
        <f t="shared" si="853"/>
        <v>1250</v>
      </c>
      <c r="S3835" s="110"/>
      <c r="T3835" s="110"/>
      <c r="U3835" s="130">
        <v>1</v>
      </c>
      <c r="V3835" s="111">
        <f t="shared" si="854"/>
        <v>1250</v>
      </c>
      <c r="W3835" s="110"/>
      <c r="X3835" s="110"/>
      <c r="Y3835" s="110"/>
      <c r="Z3835" s="110"/>
      <c r="AA3835" s="130">
        <v>0</v>
      </c>
      <c r="AB3835" s="111">
        <f t="shared" si="847"/>
        <v>1250</v>
      </c>
      <c r="AC3835" s="110"/>
      <c r="AD3835" s="110"/>
      <c r="AE3835" s="130">
        <v>0</v>
      </c>
      <c r="AF3835" s="111">
        <f t="shared" si="859"/>
        <v>1250</v>
      </c>
      <c r="AG3835" s="110"/>
      <c r="AH3835" s="110"/>
      <c r="AI3835" s="110"/>
      <c r="AJ3835" s="110"/>
      <c r="AK3835" s="111">
        <f t="shared" si="860"/>
        <v>5000</v>
      </c>
      <c r="AL3835" s="446">
        <f t="shared" si="861"/>
        <v>0</v>
      </c>
      <c r="AM3835" s="110">
        <f t="shared" si="862"/>
        <v>2</v>
      </c>
      <c r="AN3835" s="447">
        <f t="shared" si="851"/>
        <v>0</v>
      </c>
      <c r="AO3835"/>
      <c r="AP3835"/>
    </row>
    <row r="3836" spans="1:42" ht="66" x14ac:dyDescent="0.25">
      <c r="A3836" s="116"/>
      <c r="B3836" s="227" t="s">
        <v>1106</v>
      </c>
      <c r="C3836" s="1024"/>
      <c r="D3836" s="869">
        <f>1</f>
        <v>1</v>
      </c>
      <c r="E3836" s="1027" t="s">
        <v>1758</v>
      </c>
      <c r="F3836" s="273" t="s">
        <v>3446</v>
      </c>
      <c r="G3836" s="1040" t="s">
        <v>3463</v>
      </c>
      <c r="H3836" s="273" t="s">
        <v>3462</v>
      </c>
      <c r="I3836" s="720">
        <f>+J3836/D3836</f>
        <v>2500</v>
      </c>
      <c r="J3836" s="816">
        <f>2500</f>
        <v>2500</v>
      </c>
      <c r="K3836" s="131">
        <f t="shared" si="852"/>
        <v>2500</v>
      </c>
      <c r="L3836" s="335">
        <f t="shared" si="858"/>
        <v>0</v>
      </c>
      <c r="M3836" s="446"/>
      <c r="N3836" s="446"/>
      <c r="O3836" s="446"/>
      <c r="P3836" s="446"/>
      <c r="Q3836" s="110">
        <v>1</v>
      </c>
      <c r="R3836" s="111">
        <f t="shared" si="853"/>
        <v>625</v>
      </c>
      <c r="S3836" s="110"/>
      <c r="T3836" s="110"/>
      <c r="U3836" s="110">
        <v>0</v>
      </c>
      <c r="V3836" s="111">
        <f t="shared" si="854"/>
        <v>625</v>
      </c>
      <c r="W3836" s="110"/>
      <c r="X3836" s="110"/>
      <c r="Y3836" s="110"/>
      <c r="Z3836" s="110"/>
      <c r="AA3836" s="110">
        <v>0</v>
      </c>
      <c r="AB3836" s="111">
        <f t="shared" si="847"/>
        <v>625</v>
      </c>
      <c r="AC3836" s="110"/>
      <c r="AD3836" s="110"/>
      <c r="AE3836" s="110">
        <v>0</v>
      </c>
      <c r="AF3836" s="111">
        <f t="shared" si="859"/>
        <v>625</v>
      </c>
      <c r="AG3836" s="110"/>
      <c r="AH3836" s="110"/>
      <c r="AI3836" s="110"/>
      <c r="AJ3836" s="110"/>
      <c r="AK3836" s="111">
        <f t="shared" si="860"/>
        <v>2500</v>
      </c>
      <c r="AL3836" s="446">
        <f t="shared" si="861"/>
        <v>0</v>
      </c>
      <c r="AM3836" s="110">
        <f t="shared" si="862"/>
        <v>1</v>
      </c>
      <c r="AN3836" s="447">
        <f t="shared" si="851"/>
        <v>0</v>
      </c>
      <c r="AO3836"/>
      <c r="AP3836"/>
    </row>
    <row r="3837" spans="1:42" ht="66" x14ac:dyDescent="0.25">
      <c r="A3837" s="78"/>
      <c r="B3837" s="601" t="s">
        <v>3340</v>
      </c>
      <c r="C3837" s="1024"/>
      <c r="D3837" s="869">
        <v>12</v>
      </c>
      <c r="E3837" s="1027" t="s">
        <v>1758</v>
      </c>
      <c r="F3837" s="273" t="s">
        <v>3446</v>
      </c>
      <c r="G3837" s="1040" t="s">
        <v>3463</v>
      </c>
      <c r="H3837" s="273" t="s">
        <v>3462</v>
      </c>
      <c r="I3837" s="720">
        <f>+J3837/D3837</f>
        <v>1000</v>
      </c>
      <c r="J3837" s="816">
        <v>12000</v>
      </c>
      <c r="K3837" s="131">
        <f t="shared" si="852"/>
        <v>12000</v>
      </c>
      <c r="L3837" s="335">
        <f t="shared" si="858"/>
        <v>0</v>
      </c>
      <c r="M3837" s="446"/>
      <c r="N3837" s="446"/>
      <c r="O3837" s="446"/>
      <c r="P3837" s="446"/>
      <c r="Q3837" s="110">
        <f t="shared" si="855"/>
        <v>3</v>
      </c>
      <c r="R3837" s="111">
        <f t="shared" si="853"/>
        <v>3000</v>
      </c>
      <c r="S3837" s="110"/>
      <c r="T3837" s="110"/>
      <c r="U3837" s="110">
        <f t="shared" si="856"/>
        <v>3</v>
      </c>
      <c r="V3837" s="111">
        <f t="shared" si="854"/>
        <v>3000</v>
      </c>
      <c r="W3837" s="110"/>
      <c r="X3837" s="110"/>
      <c r="Y3837" s="110"/>
      <c r="Z3837" s="110"/>
      <c r="AA3837" s="110">
        <f t="shared" si="857"/>
        <v>3</v>
      </c>
      <c r="AB3837" s="111">
        <f t="shared" si="847"/>
        <v>3000</v>
      </c>
      <c r="AC3837" s="110"/>
      <c r="AD3837" s="110"/>
      <c r="AE3837" s="110">
        <f t="shared" si="857"/>
        <v>3</v>
      </c>
      <c r="AF3837" s="111">
        <f t="shared" si="859"/>
        <v>3000</v>
      </c>
      <c r="AG3837" s="110"/>
      <c r="AH3837" s="110"/>
      <c r="AI3837" s="110"/>
      <c r="AJ3837" s="110"/>
      <c r="AK3837" s="111">
        <f t="shared" si="860"/>
        <v>12000</v>
      </c>
      <c r="AL3837" s="446">
        <f t="shared" si="861"/>
        <v>0</v>
      </c>
      <c r="AM3837" s="110">
        <f t="shared" si="862"/>
        <v>12</v>
      </c>
      <c r="AN3837" s="447">
        <f t="shared" si="851"/>
        <v>0</v>
      </c>
      <c r="AO3837"/>
      <c r="AP3837"/>
    </row>
    <row r="3838" spans="1:42" ht="22.5" x14ac:dyDescent="0.25">
      <c r="A3838" s="376">
        <v>354</v>
      </c>
      <c r="B3838" s="588" t="s">
        <v>895</v>
      </c>
      <c r="C3838" s="376"/>
      <c r="D3838" s="940"/>
      <c r="E3838" s="377"/>
      <c r="F3838" s="378"/>
      <c r="G3838" s="378"/>
      <c r="H3838" s="378"/>
      <c r="I3838" s="734"/>
      <c r="J3838" s="806"/>
      <c r="K3838" s="131">
        <f t="shared" si="852"/>
        <v>0</v>
      </c>
      <c r="L3838" s="335">
        <f t="shared" si="858"/>
        <v>0</v>
      </c>
      <c r="M3838" s="419"/>
      <c r="N3838" s="419"/>
      <c r="O3838" s="419"/>
      <c r="P3838" s="419"/>
      <c r="Q3838" s="418">
        <f t="shared" si="855"/>
        <v>0</v>
      </c>
      <c r="R3838" s="379">
        <f t="shared" si="853"/>
        <v>0</v>
      </c>
      <c r="S3838" s="418"/>
      <c r="T3838" s="418"/>
      <c r="U3838" s="418">
        <f t="shared" si="856"/>
        <v>0</v>
      </c>
      <c r="V3838" s="379">
        <f t="shared" si="854"/>
        <v>0</v>
      </c>
      <c r="W3838" s="418"/>
      <c r="X3838" s="418"/>
      <c r="Y3838" s="418"/>
      <c r="Z3838" s="418"/>
      <c r="AA3838" s="418">
        <f t="shared" si="857"/>
        <v>0</v>
      </c>
      <c r="AB3838" s="379">
        <f t="shared" si="847"/>
        <v>0</v>
      </c>
      <c r="AC3838" s="418"/>
      <c r="AD3838" s="418"/>
      <c r="AE3838" s="418">
        <f t="shared" si="857"/>
        <v>0</v>
      </c>
      <c r="AF3838" s="379">
        <f t="shared" si="859"/>
        <v>0</v>
      </c>
      <c r="AG3838" s="418"/>
      <c r="AH3838" s="418"/>
      <c r="AI3838" s="418"/>
      <c r="AJ3838" s="418"/>
      <c r="AK3838" s="379">
        <f t="shared" si="860"/>
        <v>0</v>
      </c>
      <c r="AL3838" s="446">
        <f t="shared" si="861"/>
        <v>0</v>
      </c>
      <c r="AM3838" s="110">
        <f t="shared" si="862"/>
        <v>0</v>
      </c>
      <c r="AN3838" s="447">
        <f t="shared" si="851"/>
        <v>0</v>
      </c>
      <c r="AO3838" s="108"/>
      <c r="AP3838"/>
    </row>
    <row r="3839" spans="1:42" ht="22.5" x14ac:dyDescent="0.25">
      <c r="A3839" s="315">
        <v>35401</v>
      </c>
      <c r="B3839" s="351" t="s">
        <v>896</v>
      </c>
      <c r="C3839" s="316"/>
      <c r="D3839" s="886"/>
      <c r="E3839" s="318"/>
      <c r="F3839" s="319"/>
      <c r="G3839" s="319"/>
      <c r="H3839" s="319"/>
      <c r="I3839" s="724"/>
      <c r="J3839" s="762"/>
      <c r="K3839" s="131">
        <f t="shared" si="852"/>
        <v>0</v>
      </c>
      <c r="L3839" s="335">
        <f t="shared" si="858"/>
        <v>0</v>
      </c>
      <c r="M3839" s="446"/>
      <c r="N3839" s="446"/>
      <c r="O3839" s="446"/>
      <c r="P3839" s="446"/>
      <c r="Q3839" s="110">
        <f t="shared" si="855"/>
        <v>0</v>
      </c>
      <c r="R3839" s="111">
        <f t="shared" si="853"/>
        <v>0</v>
      </c>
      <c r="S3839" s="110"/>
      <c r="T3839" s="110"/>
      <c r="U3839" s="110">
        <f t="shared" si="856"/>
        <v>0</v>
      </c>
      <c r="V3839" s="111">
        <f t="shared" si="854"/>
        <v>0</v>
      </c>
      <c r="W3839" s="110"/>
      <c r="X3839" s="110"/>
      <c r="Y3839" s="110"/>
      <c r="Z3839" s="110"/>
      <c r="AA3839" s="110">
        <f t="shared" si="857"/>
        <v>0</v>
      </c>
      <c r="AB3839" s="111">
        <f t="shared" si="847"/>
        <v>0</v>
      </c>
      <c r="AC3839" s="110"/>
      <c r="AD3839" s="110"/>
      <c r="AE3839" s="110">
        <f t="shared" si="857"/>
        <v>0</v>
      </c>
      <c r="AF3839" s="111">
        <f t="shared" si="859"/>
        <v>0</v>
      </c>
      <c r="AG3839" s="110"/>
      <c r="AH3839" s="110"/>
      <c r="AI3839" s="110"/>
      <c r="AJ3839" s="110"/>
      <c r="AK3839" s="111">
        <f t="shared" si="860"/>
        <v>0</v>
      </c>
      <c r="AL3839" s="446">
        <f t="shared" si="861"/>
        <v>0</v>
      </c>
      <c r="AM3839" s="110">
        <f t="shared" si="862"/>
        <v>0</v>
      </c>
      <c r="AN3839" s="447">
        <f t="shared" si="851"/>
        <v>0</v>
      </c>
      <c r="AO3839" s="436">
        <f>SUM(J3840:J3842)</f>
        <v>30718.17</v>
      </c>
      <c r="AP3839" s="111"/>
    </row>
    <row r="3840" spans="1:42" ht="66" x14ac:dyDescent="0.25">
      <c r="A3840" s="61"/>
      <c r="B3840" s="602" t="s">
        <v>2457</v>
      </c>
      <c r="C3840" s="9"/>
      <c r="D3840" s="882">
        <v>2</v>
      </c>
      <c r="E3840" s="1025" t="s">
        <v>1755</v>
      </c>
      <c r="F3840" s="273" t="s">
        <v>3446</v>
      </c>
      <c r="G3840" s="1040" t="s">
        <v>3463</v>
      </c>
      <c r="H3840" s="273" t="s">
        <v>3462</v>
      </c>
      <c r="I3840" s="720">
        <f>+J3840/D3840</f>
        <v>10500</v>
      </c>
      <c r="J3840" s="816">
        <v>21000</v>
      </c>
      <c r="K3840" s="131">
        <f t="shared" si="852"/>
        <v>21000</v>
      </c>
      <c r="L3840" s="335">
        <f t="shared" si="858"/>
        <v>0</v>
      </c>
      <c r="M3840" s="446"/>
      <c r="N3840" s="446"/>
      <c r="O3840" s="446"/>
      <c r="P3840" s="446"/>
      <c r="Q3840" s="130">
        <v>1</v>
      </c>
      <c r="R3840" s="111">
        <f t="shared" si="853"/>
        <v>5250</v>
      </c>
      <c r="S3840" s="110"/>
      <c r="T3840" s="110"/>
      <c r="U3840" s="130">
        <v>1</v>
      </c>
      <c r="V3840" s="111">
        <f t="shared" si="854"/>
        <v>5250</v>
      </c>
      <c r="W3840" s="110"/>
      <c r="X3840" s="110"/>
      <c r="Y3840" s="110"/>
      <c r="Z3840" s="110"/>
      <c r="AA3840" s="130">
        <v>0</v>
      </c>
      <c r="AB3840" s="111">
        <f t="shared" si="847"/>
        <v>5250</v>
      </c>
      <c r="AC3840" s="110"/>
      <c r="AD3840" s="110"/>
      <c r="AE3840" s="130">
        <v>0</v>
      </c>
      <c r="AF3840" s="111">
        <f t="shared" si="859"/>
        <v>5250</v>
      </c>
      <c r="AG3840" s="110"/>
      <c r="AH3840" s="110"/>
      <c r="AI3840" s="110"/>
      <c r="AJ3840" s="110"/>
      <c r="AK3840" s="111">
        <f t="shared" si="860"/>
        <v>21000</v>
      </c>
      <c r="AL3840" s="446">
        <f t="shared" si="861"/>
        <v>0</v>
      </c>
      <c r="AM3840" s="110">
        <f t="shared" si="862"/>
        <v>2</v>
      </c>
      <c r="AN3840" s="447">
        <f t="shared" si="851"/>
        <v>0</v>
      </c>
      <c r="AO3840"/>
      <c r="AP3840"/>
    </row>
    <row r="3841" spans="1:42" ht="66" x14ac:dyDescent="0.25">
      <c r="A3841" s="61"/>
      <c r="B3841" s="603" t="s">
        <v>2578</v>
      </c>
      <c r="C3841" s="9"/>
      <c r="D3841" s="882">
        <v>2</v>
      </c>
      <c r="E3841" s="1025" t="s">
        <v>1755</v>
      </c>
      <c r="F3841" s="273" t="s">
        <v>3446</v>
      </c>
      <c r="G3841" s="1040" t="s">
        <v>3463</v>
      </c>
      <c r="H3841" s="273" t="s">
        <v>3462</v>
      </c>
      <c r="I3841" s="720">
        <f>+J3841/D3841</f>
        <v>3000</v>
      </c>
      <c r="J3841" s="816">
        <v>6000</v>
      </c>
      <c r="K3841" s="131">
        <f t="shared" si="852"/>
        <v>6000</v>
      </c>
      <c r="L3841" s="335">
        <f t="shared" si="858"/>
        <v>0</v>
      </c>
      <c r="M3841" s="446"/>
      <c r="N3841" s="446"/>
      <c r="O3841" s="446"/>
      <c r="P3841" s="446"/>
      <c r="Q3841" s="130">
        <v>1</v>
      </c>
      <c r="R3841" s="111">
        <f t="shared" si="853"/>
        <v>1500</v>
      </c>
      <c r="S3841" s="110"/>
      <c r="T3841" s="110"/>
      <c r="U3841" s="130">
        <v>1</v>
      </c>
      <c r="V3841" s="111">
        <f t="shared" si="854"/>
        <v>1500</v>
      </c>
      <c r="W3841" s="110"/>
      <c r="X3841" s="110"/>
      <c r="Y3841" s="110"/>
      <c r="Z3841" s="110"/>
      <c r="AA3841" s="130">
        <v>0</v>
      </c>
      <c r="AB3841" s="111">
        <f t="shared" si="847"/>
        <v>1500</v>
      </c>
      <c r="AC3841" s="110"/>
      <c r="AD3841" s="110"/>
      <c r="AE3841" s="130">
        <v>0</v>
      </c>
      <c r="AF3841" s="111">
        <f t="shared" si="859"/>
        <v>1500</v>
      </c>
      <c r="AG3841" s="110"/>
      <c r="AH3841" s="110"/>
      <c r="AI3841" s="110"/>
      <c r="AJ3841" s="110"/>
      <c r="AK3841" s="111">
        <f t="shared" si="860"/>
        <v>6000</v>
      </c>
      <c r="AL3841" s="446">
        <f t="shared" si="861"/>
        <v>0</v>
      </c>
      <c r="AM3841" s="110">
        <f t="shared" si="862"/>
        <v>2</v>
      </c>
      <c r="AN3841" s="447">
        <f t="shared" si="851"/>
        <v>0</v>
      </c>
      <c r="AO3841"/>
      <c r="AP3841"/>
    </row>
    <row r="3842" spans="1:42" ht="66" x14ac:dyDescent="0.25">
      <c r="A3842" s="61"/>
      <c r="B3842" s="554" t="s">
        <v>3341</v>
      </c>
      <c r="C3842" s="9"/>
      <c r="D3842" s="882">
        <v>1</v>
      </c>
      <c r="E3842" s="1025" t="s">
        <v>1755</v>
      </c>
      <c r="F3842" s="273" t="s">
        <v>3446</v>
      </c>
      <c r="G3842" s="1040" t="s">
        <v>3463</v>
      </c>
      <c r="H3842" s="273" t="s">
        <v>3462</v>
      </c>
      <c r="I3842" s="720">
        <f>+J3842/D3842</f>
        <v>3718.17</v>
      </c>
      <c r="J3842" s="816">
        <v>3718.17</v>
      </c>
      <c r="K3842" s="131">
        <f t="shared" si="852"/>
        <v>3718.17</v>
      </c>
      <c r="L3842" s="335">
        <f t="shared" si="858"/>
        <v>0</v>
      </c>
      <c r="M3842" s="446"/>
      <c r="N3842" s="446"/>
      <c r="O3842" s="446"/>
      <c r="P3842" s="446"/>
      <c r="Q3842" s="110">
        <v>1</v>
      </c>
      <c r="R3842" s="111">
        <f t="shared" si="853"/>
        <v>929.54250000000002</v>
      </c>
      <c r="S3842" s="110"/>
      <c r="T3842" s="110"/>
      <c r="U3842" s="110">
        <v>0</v>
      </c>
      <c r="V3842" s="111">
        <f t="shared" si="854"/>
        <v>929.54250000000002</v>
      </c>
      <c r="W3842" s="110"/>
      <c r="X3842" s="110"/>
      <c r="Y3842" s="110"/>
      <c r="Z3842" s="110"/>
      <c r="AA3842" s="110">
        <v>0</v>
      </c>
      <c r="AB3842" s="111">
        <f t="shared" si="847"/>
        <v>929.54250000000002</v>
      </c>
      <c r="AC3842" s="110"/>
      <c r="AD3842" s="110"/>
      <c r="AE3842" s="110">
        <v>0</v>
      </c>
      <c r="AF3842" s="111">
        <f t="shared" si="859"/>
        <v>929.54250000000002</v>
      </c>
      <c r="AG3842" s="110"/>
      <c r="AH3842" s="110"/>
      <c r="AI3842" s="110"/>
      <c r="AJ3842" s="110"/>
      <c r="AK3842" s="111">
        <f t="shared" si="860"/>
        <v>3718.17</v>
      </c>
      <c r="AL3842" s="446">
        <f t="shared" si="861"/>
        <v>0</v>
      </c>
      <c r="AM3842" s="110">
        <f t="shared" si="862"/>
        <v>1</v>
      </c>
      <c r="AN3842" s="447">
        <f t="shared" si="851"/>
        <v>0</v>
      </c>
      <c r="AO3842"/>
      <c r="AP3842"/>
    </row>
    <row r="3843" spans="1:42" x14ac:dyDescent="0.25">
      <c r="A3843" s="376">
        <v>355</v>
      </c>
      <c r="B3843" s="588" t="s">
        <v>897</v>
      </c>
      <c r="C3843" s="376"/>
      <c r="D3843" s="940"/>
      <c r="E3843" s="377"/>
      <c r="F3843" s="378"/>
      <c r="G3843" s="378"/>
      <c r="H3843" s="378"/>
      <c r="I3843" s="734"/>
      <c r="J3843" s="806"/>
      <c r="K3843" s="131">
        <f t="shared" si="852"/>
        <v>0</v>
      </c>
      <c r="L3843" s="335">
        <f t="shared" si="858"/>
        <v>0</v>
      </c>
      <c r="M3843" s="419"/>
      <c r="N3843" s="419"/>
      <c r="O3843" s="419"/>
      <c r="P3843" s="419"/>
      <c r="Q3843" s="418">
        <f t="shared" si="855"/>
        <v>0</v>
      </c>
      <c r="R3843" s="379">
        <f t="shared" si="853"/>
        <v>0</v>
      </c>
      <c r="S3843" s="418"/>
      <c r="T3843" s="418"/>
      <c r="U3843" s="418">
        <f t="shared" si="856"/>
        <v>0</v>
      </c>
      <c r="V3843" s="379">
        <f t="shared" si="854"/>
        <v>0</v>
      </c>
      <c r="W3843" s="418"/>
      <c r="X3843" s="418"/>
      <c r="Y3843" s="418"/>
      <c r="Z3843" s="418"/>
      <c r="AA3843" s="418">
        <f t="shared" si="857"/>
        <v>0</v>
      </c>
      <c r="AB3843" s="379">
        <f t="shared" si="847"/>
        <v>0</v>
      </c>
      <c r="AC3843" s="418"/>
      <c r="AD3843" s="418"/>
      <c r="AE3843" s="418">
        <f t="shared" si="857"/>
        <v>0</v>
      </c>
      <c r="AF3843" s="379">
        <f t="shared" si="859"/>
        <v>0</v>
      </c>
      <c r="AG3843" s="418"/>
      <c r="AH3843" s="418"/>
      <c r="AI3843" s="418"/>
      <c r="AJ3843" s="418"/>
      <c r="AK3843" s="379">
        <f t="shared" si="860"/>
        <v>0</v>
      </c>
      <c r="AL3843" s="446">
        <f t="shared" si="861"/>
        <v>0</v>
      </c>
      <c r="AM3843" s="110">
        <f t="shared" si="862"/>
        <v>0</v>
      </c>
      <c r="AN3843" s="447">
        <f t="shared" si="851"/>
        <v>0</v>
      </c>
      <c r="AO3843" s="108"/>
      <c r="AP3843"/>
    </row>
    <row r="3844" spans="1:42" x14ac:dyDescent="0.25">
      <c r="A3844" s="315">
        <v>35501</v>
      </c>
      <c r="B3844" s="351" t="s">
        <v>898</v>
      </c>
      <c r="C3844" s="316"/>
      <c r="D3844" s="886"/>
      <c r="E3844" s="318"/>
      <c r="F3844" s="319"/>
      <c r="G3844" s="319"/>
      <c r="H3844" s="319"/>
      <c r="I3844" s="724"/>
      <c r="J3844" s="762"/>
      <c r="K3844" s="131">
        <f t="shared" si="852"/>
        <v>0</v>
      </c>
      <c r="L3844" s="335">
        <f t="shared" si="858"/>
        <v>0</v>
      </c>
      <c r="M3844" s="446"/>
      <c r="N3844" s="446"/>
      <c r="O3844" s="446"/>
      <c r="P3844" s="446"/>
      <c r="Q3844" s="110">
        <f t="shared" si="855"/>
        <v>0</v>
      </c>
      <c r="R3844" s="111">
        <f t="shared" si="853"/>
        <v>0</v>
      </c>
      <c r="S3844" s="110"/>
      <c r="T3844" s="110"/>
      <c r="U3844" s="110">
        <f t="shared" si="856"/>
        <v>0</v>
      </c>
      <c r="V3844" s="111">
        <f t="shared" si="854"/>
        <v>0</v>
      </c>
      <c r="W3844" s="110"/>
      <c r="X3844" s="110"/>
      <c r="Y3844" s="110"/>
      <c r="Z3844" s="110"/>
      <c r="AA3844" s="110">
        <f t="shared" si="857"/>
        <v>0</v>
      </c>
      <c r="AB3844" s="111">
        <f t="shared" si="847"/>
        <v>0</v>
      </c>
      <c r="AC3844" s="110"/>
      <c r="AD3844" s="110"/>
      <c r="AE3844" s="110">
        <f t="shared" si="857"/>
        <v>0</v>
      </c>
      <c r="AF3844" s="111">
        <f t="shared" si="859"/>
        <v>0</v>
      </c>
      <c r="AG3844" s="110"/>
      <c r="AH3844" s="110"/>
      <c r="AI3844" s="110"/>
      <c r="AJ3844" s="110"/>
      <c r="AK3844" s="111">
        <f t="shared" si="860"/>
        <v>0</v>
      </c>
      <c r="AL3844" s="446">
        <f t="shared" si="861"/>
        <v>0</v>
      </c>
      <c r="AM3844" s="110">
        <f t="shared" si="862"/>
        <v>0</v>
      </c>
      <c r="AN3844" s="447">
        <f t="shared" si="851"/>
        <v>0</v>
      </c>
      <c r="AO3844" s="436">
        <f>SUM(J3845:J3855)</f>
        <v>1506232.05</v>
      </c>
      <c r="AP3844" s="111"/>
    </row>
    <row r="3845" spans="1:42" ht="66" x14ac:dyDescent="0.25">
      <c r="A3845" s="63"/>
      <c r="B3845" s="75" t="s">
        <v>1883</v>
      </c>
      <c r="C3845" s="1024"/>
      <c r="D3845" s="869">
        <v>12</v>
      </c>
      <c r="E3845" s="1027" t="s">
        <v>1755</v>
      </c>
      <c r="F3845" s="273" t="s">
        <v>3446</v>
      </c>
      <c r="G3845" s="1040" t="s">
        <v>3463</v>
      </c>
      <c r="H3845" s="273" t="s">
        <v>3462</v>
      </c>
      <c r="I3845" s="720">
        <f>+J3845/D3845</f>
        <v>216</v>
      </c>
      <c r="J3845" s="763">
        <v>2592</v>
      </c>
      <c r="K3845" s="131">
        <f t="shared" si="852"/>
        <v>2592</v>
      </c>
      <c r="L3845" s="335">
        <f t="shared" si="858"/>
        <v>0</v>
      </c>
      <c r="M3845" s="446"/>
      <c r="N3845" s="446"/>
      <c r="O3845" s="446"/>
      <c r="P3845" s="446"/>
      <c r="Q3845" s="110">
        <f t="shared" si="855"/>
        <v>3</v>
      </c>
      <c r="R3845" s="111">
        <f t="shared" si="853"/>
        <v>648</v>
      </c>
      <c r="S3845" s="110"/>
      <c r="T3845" s="110"/>
      <c r="U3845" s="110">
        <f t="shared" si="856"/>
        <v>3</v>
      </c>
      <c r="V3845" s="111">
        <f t="shared" si="854"/>
        <v>648</v>
      </c>
      <c r="W3845" s="110"/>
      <c r="X3845" s="110"/>
      <c r="Y3845" s="110"/>
      <c r="Z3845" s="110"/>
      <c r="AA3845" s="110">
        <f t="shared" si="857"/>
        <v>3</v>
      </c>
      <c r="AB3845" s="111">
        <f t="shared" si="847"/>
        <v>648</v>
      </c>
      <c r="AC3845" s="110"/>
      <c r="AD3845" s="110"/>
      <c r="AE3845" s="110">
        <f t="shared" si="857"/>
        <v>3</v>
      </c>
      <c r="AF3845" s="111">
        <f t="shared" si="859"/>
        <v>648</v>
      </c>
      <c r="AG3845" s="110"/>
      <c r="AH3845" s="110"/>
      <c r="AI3845" s="110"/>
      <c r="AJ3845" s="110"/>
      <c r="AK3845" s="111">
        <f t="shared" si="860"/>
        <v>2592</v>
      </c>
      <c r="AL3845" s="446">
        <f t="shared" si="861"/>
        <v>0</v>
      </c>
      <c r="AM3845" s="110">
        <f t="shared" si="862"/>
        <v>12</v>
      </c>
      <c r="AN3845" s="447">
        <f t="shared" si="851"/>
        <v>0</v>
      </c>
      <c r="AO3845"/>
      <c r="AP3845"/>
    </row>
    <row r="3846" spans="1:42" ht="66" x14ac:dyDescent="0.25">
      <c r="A3846" s="63"/>
      <c r="B3846" s="75" t="s">
        <v>1884</v>
      </c>
      <c r="C3846" s="1024"/>
      <c r="D3846" s="869">
        <v>1</v>
      </c>
      <c r="E3846" s="1027" t="s">
        <v>1755</v>
      </c>
      <c r="F3846" s="273" t="s">
        <v>3446</v>
      </c>
      <c r="G3846" s="1040" t="s">
        <v>3463</v>
      </c>
      <c r="H3846" s="273" t="s">
        <v>3462</v>
      </c>
      <c r="I3846" s="720">
        <f>+J3846/D3846</f>
        <v>4420.05</v>
      </c>
      <c r="J3846" s="763">
        <v>4420.05</v>
      </c>
      <c r="K3846" s="131">
        <f t="shared" si="852"/>
        <v>4420.05</v>
      </c>
      <c r="L3846" s="335">
        <f t="shared" si="858"/>
        <v>0</v>
      </c>
      <c r="M3846" s="446"/>
      <c r="N3846" s="446"/>
      <c r="O3846" s="446"/>
      <c r="P3846" s="446"/>
      <c r="Q3846" s="110">
        <v>1</v>
      </c>
      <c r="R3846" s="111">
        <f t="shared" si="853"/>
        <v>1105.0125</v>
      </c>
      <c r="S3846" s="110"/>
      <c r="T3846" s="110"/>
      <c r="U3846" s="110">
        <v>0</v>
      </c>
      <c r="V3846" s="111">
        <f t="shared" si="854"/>
        <v>1105.0125</v>
      </c>
      <c r="W3846" s="110"/>
      <c r="X3846" s="110"/>
      <c r="Y3846" s="110"/>
      <c r="Z3846" s="110"/>
      <c r="AA3846" s="110">
        <v>0</v>
      </c>
      <c r="AB3846" s="111">
        <f t="shared" si="847"/>
        <v>1105.0125</v>
      </c>
      <c r="AC3846" s="110"/>
      <c r="AD3846" s="110"/>
      <c r="AE3846" s="110">
        <v>0</v>
      </c>
      <c r="AF3846" s="111">
        <f t="shared" si="859"/>
        <v>1105.0125</v>
      </c>
      <c r="AG3846" s="110"/>
      <c r="AH3846" s="110"/>
      <c r="AI3846" s="110"/>
      <c r="AJ3846" s="110"/>
      <c r="AK3846" s="111">
        <f t="shared" si="860"/>
        <v>4420.05</v>
      </c>
      <c r="AL3846" s="446">
        <f t="shared" si="861"/>
        <v>0</v>
      </c>
      <c r="AM3846" s="110">
        <f t="shared" si="862"/>
        <v>1</v>
      </c>
      <c r="AN3846" s="447">
        <f t="shared" si="851"/>
        <v>0</v>
      </c>
      <c r="AO3846"/>
      <c r="AP3846"/>
    </row>
    <row r="3847" spans="1:42" ht="66" x14ac:dyDescent="0.25">
      <c r="A3847" s="63"/>
      <c r="B3847" s="554" t="s">
        <v>3342</v>
      </c>
      <c r="C3847" s="1024"/>
      <c r="D3847" s="869">
        <v>3</v>
      </c>
      <c r="E3847" s="1027" t="s">
        <v>1755</v>
      </c>
      <c r="F3847" s="273" t="s">
        <v>3446</v>
      </c>
      <c r="G3847" s="1040" t="s">
        <v>3463</v>
      </c>
      <c r="H3847" s="273" t="s">
        <v>3462</v>
      </c>
      <c r="I3847" s="720">
        <f>+J3847/D3847</f>
        <v>2300</v>
      </c>
      <c r="J3847" s="763">
        <v>6900</v>
      </c>
      <c r="K3847" s="131">
        <f t="shared" si="852"/>
        <v>6900</v>
      </c>
      <c r="L3847" s="335">
        <f t="shared" si="858"/>
        <v>0</v>
      </c>
      <c r="M3847" s="446"/>
      <c r="N3847" s="446"/>
      <c r="O3847" s="446"/>
      <c r="P3847" s="446"/>
      <c r="Q3847" s="130">
        <v>1</v>
      </c>
      <c r="R3847" s="111">
        <f t="shared" si="853"/>
        <v>1725</v>
      </c>
      <c r="S3847" s="110"/>
      <c r="T3847" s="110"/>
      <c r="U3847" s="130">
        <v>1</v>
      </c>
      <c r="V3847" s="111">
        <f t="shared" si="854"/>
        <v>1725</v>
      </c>
      <c r="W3847" s="110"/>
      <c r="X3847" s="110"/>
      <c r="Y3847" s="110"/>
      <c r="Z3847" s="110"/>
      <c r="AA3847" s="130">
        <v>1</v>
      </c>
      <c r="AB3847" s="111">
        <f t="shared" si="847"/>
        <v>1725</v>
      </c>
      <c r="AC3847" s="110"/>
      <c r="AD3847" s="110"/>
      <c r="AE3847" s="130">
        <v>0</v>
      </c>
      <c r="AF3847" s="111">
        <f t="shared" si="859"/>
        <v>1725</v>
      </c>
      <c r="AG3847" s="110"/>
      <c r="AH3847" s="110"/>
      <c r="AI3847" s="110"/>
      <c r="AJ3847" s="110"/>
      <c r="AK3847" s="111">
        <f t="shared" si="860"/>
        <v>6900</v>
      </c>
      <c r="AL3847" s="446">
        <f t="shared" si="861"/>
        <v>0</v>
      </c>
      <c r="AM3847" s="110">
        <f t="shared" si="862"/>
        <v>3</v>
      </c>
      <c r="AN3847" s="447">
        <f t="shared" si="851"/>
        <v>0</v>
      </c>
      <c r="AO3847"/>
      <c r="AP3847"/>
    </row>
    <row r="3848" spans="1:42" ht="66" x14ac:dyDescent="0.25">
      <c r="A3848" s="61"/>
      <c r="B3848" s="554" t="s">
        <v>3343</v>
      </c>
      <c r="C3848" s="9"/>
      <c r="D3848" s="882">
        <v>6</v>
      </c>
      <c r="E3848" s="1025" t="s">
        <v>1755</v>
      </c>
      <c r="F3848" s="273" t="s">
        <v>3446</v>
      </c>
      <c r="G3848" s="1040" t="s">
        <v>3463</v>
      </c>
      <c r="H3848" s="273" t="s">
        <v>3462</v>
      </c>
      <c r="I3848" s="720">
        <f>+J3848/D3848</f>
        <v>5000</v>
      </c>
      <c r="J3848" s="816">
        <v>30000</v>
      </c>
      <c r="K3848" s="131">
        <f t="shared" si="852"/>
        <v>30000</v>
      </c>
      <c r="L3848" s="335">
        <f t="shared" si="858"/>
        <v>0</v>
      </c>
      <c r="M3848" s="446"/>
      <c r="N3848" s="446"/>
      <c r="O3848" s="446"/>
      <c r="P3848" s="446"/>
      <c r="Q3848" s="130">
        <v>2</v>
      </c>
      <c r="R3848" s="111">
        <f t="shared" si="853"/>
        <v>7500</v>
      </c>
      <c r="S3848" s="110"/>
      <c r="T3848" s="110"/>
      <c r="U3848" s="130">
        <v>2</v>
      </c>
      <c r="V3848" s="111">
        <f t="shared" si="854"/>
        <v>7500</v>
      </c>
      <c r="W3848" s="110"/>
      <c r="X3848" s="110"/>
      <c r="Y3848" s="110"/>
      <c r="Z3848" s="110"/>
      <c r="AA3848" s="130">
        <v>1</v>
      </c>
      <c r="AB3848" s="111">
        <f t="shared" si="847"/>
        <v>7500</v>
      </c>
      <c r="AC3848" s="110"/>
      <c r="AD3848" s="110"/>
      <c r="AE3848" s="130">
        <v>1</v>
      </c>
      <c r="AF3848" s="111">
        <f t="shared" si="859"/>
        <v>7500</v>
      </c>
      <c r="AG3848" s="110"/>
      <c r="AH3848" s="110"/>
      <c r="AI3848" s="110"/>
      <c r="AJ3848" s="110"/>
      <c r="AK3848" s="111">
        <f t="shared" si="860"/>
        <v>30000</v>
      </c>
      <c r="AL3848" s="446">
        <f t="shared" si="861"/>
        <v>0</v>
      </c>
      <c r="AM3848" s="110">
        <f t="shared" si="862"/>
        <v>6</v>
      </c>
      <c r="AN3848" s="447">
        <f t="shared" si="851"/>
        <v>0</v>
      </c>
      <c r="AO3848"/>
      <c r="AP3848"/>
    </row>
    <row r="3849" spans="1:42" ht="66" x14ac:dyDescent="0.25">
      <c r="A3849" s="61"/>
      <c r="B3849" s="37" t="s">
        <v>3379</v>
      </c>
      <c r="C3849" s="9"/>
      <c r="D3849" s="951">
        <v>41</v>
      </c>
      <c r="E3849" s="1025" t="s">
        <v>1755</v>
      </c>
      <c r="F3849" s="273" t="s">
        <v>3446</v>
      </c>
      <c r="G3849" s="1040" t="s">
        <v>3463</v>
      </c>
      <c r="H3849" s="273" t="s">
        <v>3462</v>
      </c>
      <c r="I3849" s="746">
        <v>10800</v>
      </c>
      <c r="J3849" s="813">
        <v>442800</v>
      </c>
      <c r="K3849" s="131">
        <f t="shared" si="852"/>
        <v>442800</v>
      </c>
      <c r="L3849" s="335">
        <f t="shared" si="858"/>
        <v>0</v>
      </c>
      <c r="M3849" s="446"/>
      <c r="N3849" s="446"/>
      <c r="O3849" s="446"/>
      <c r="P3849" s="446"/>
      <c r="Q3849" s="110">
        <v>11</v>
      </c>
      <c r="R3849" s="111">
        <f>I3849*Q3849</f>
        <v>118800</v>
      </c>
      <c r="S3849" s="110"/>
      <c r="T3849" s="110"/>
      <c r="U3849" s="110">
        <v>11</v>
      </c>
      <c r="V3849" s="111">
        <v>118800</v>
      </c>
      <c r="W3849" s="110"/>
      <c r="X3849" s="110"/>
      <c r="Y3849" s="110"/>
      <c r="Z3849" s="110"/>
      <c r="AA3849" s="110">
        <v>11</v>
      </c>
      <c r="AB3849" s="111">
        <v>118800</v>
      </c>
      <c r="AC3849" s="110"/>
      <c r="AD3849" s="110"/>
      <c r="AE3849" s="110">
        <v>8</v>
      </c>
      <c r="AF3849" s="111">
        <f>I3849*AE3849</f>
        <v>86400</v>
      </c>
      <c r="AG3849" s="110"/>
      <c r="AH3849" s="110"/>
      <c r="AI3849" s="110"/>
      <c r="AJ3849" s="110"/>
      <c r="AK3849" s="111">
        <f t="shared" si="860"/>
        <v>442800</v>
      </c>
      <c r="AL3849" s="446">
        <f t="shared" si="861"/>
        <v>0</v>
      </c>
      <c r="AM3849" s="110">
        <f t="shared" si="862"/>
        <v>41</v>
      </c>
      <c r="AN3849" s="447">
        <f t="shared" si="851"/>
        <v>0</v>
      </c>
      <c r="AO3849"/>
      <c r="AP3849"/>
    </row>
    <row r="3850" spans="1:42" ht="66" x14ac:dyDescent="0.25">
      <c r="A3850" s="61"/>
      <c r="B3850" s="37" t="s">
        <v>3380</v>
      </c>
      <c r="C3850" s="9"/>
      <c r="D3850" s="952">
        <v>41</v>
      </c>
      <c r="E3850" s="1025" t="s">
        <v>1755</v>
      </c>
      <c r="F3850" s="273" t="s">
        <v>3446</v>
      </c>
      <c r="G3850" s="1040" t="s">
        <v>3463</v>
      </c>
      <c r="H3850" s="273" t="s">
        <v>3462</v>
      </c>
      <c r="I3850" s="746">
        <v>2700</v>
      </c>
      <c r="J3850" s="813">
        <v>110700</v>
      </c>
      <c r="K3850" s="131">
        <f t="shared" si="852"/>
        <v>110700</v>
      </c>
      <c r="L3850" s="335">
        <f t="shared" si="858"/>
        <v>0</v>
      </c>
      <c r="M3850" s="446"/>
      <c r="N3850" s="446"/>
      <c r="O3850" s="446"/>
      <c r="P3850" s="446"/>
      <c r="Q3850" s="110">
        <v>11</v>
      </c>
      <c r="R3850" s="111">
        <f>I3850*Q3850</f>
        <v>29700</v>
      </c>
      <c r="S3850" s="110"/>
      <c r="T3850" s="110"/>
      <c r="U3850" s="110">
        <v>11</v>
      </c>
      <c r="V3850" s="111">
        <v>29700</v>
      </c>
      <c r="W3850" s="110"/>
      <c r="X3850" s="110"/>
      <c r="Y3850" s="110"/>
      <c r="Z3850" s="110"/>
      <c r="AA3850" s="110">
        <v>11</v>
      </c>
      <c r="AB3850" s="111">
        <v>29700</v>
      </c>
      <c r="AC3850" s="110"/>
      <c r="AD3850" s="110"/>
      <c r="AE3850" s="110">
        <v>8</v>
      </c>
      <c r="AF3850" s="111">
        <f>I3850*AE3850</f>
        <v>21600</v>
      </c>
      <c r="AG3850" s="110"/>
      <c r="AH3850" s="110"/>
      <c r="AI3850" s="110"/>
      <c r="AJ3850" s="110"/>
      <c r="AK3850" s="111">
        <f t="shared" si="860"/>
        <v>110700</v>
      </c>
      <c r="AL3850" s="446">
        <f t="shared" si="861"/>
        <v>0</v>
      </c>
      <c r="AM3850" s="110">
        <f t="shared" si="862"/>
        <v>41</v>
      </c>
      <c r="AN3850" s="447">
        <f t="shared" si="851"/>
        <v>0</v>
      </c>
      <c r="AO3850"/>
      <c r="AP3850"/>
    </row>
    <row r="3851" spans="1:42" ht="66" x14ac:dyDescent="0.25">
      <c r="A3851" s="61"/>
      <c r="B3851" s="37" t="s">
        <v>3381</v>
      </c>
      <c r="C3851" s="9"/>
      <c r="D3851" s="952">
        <v>10</v>
      </c>
      <c r="E3851" s="1025" t="s">
        <v>1755</v>
      </c>
      <c r="F3851" s="273" t="s">
        <v>3446</v>
      </c>
      <c r="G3851" s="1040" t="s">
        <v>3463</v>
      </c>
      <c r="H3851" s="273" t="s">
        <v>3462</v>
      </c>
      <c r="I3851" s="746">
        <v>5400</v>
      </c>
      <c r="J3851" s="813">
        <v>54000</v>
      </c>
      <c r="K3851" s="131">
        <f t="shared" si="852"/>
        <v>54000</v>
      </c>
      <c r="L3851" s="335">
        <f t="shared" si="858"/>
        <v>0</v>
      </c>
      <c r="M3851" s="446"/>
      <c r="N3851" s="446"/>
      <c r="O3851" s="446"/>
      <c r="P3851" s="446"/>
      <c r="Q3851" s="130">
        <v>3</v>
      </c>
      <c r="R3851" s="111">
        <f>Q3851*I3851</f>
        <v>16200</v>
      </c>
      <c r="S3851" s="110"/>
      <c r="T3851" s="110"/>
      <c r="U3851" s="130">
        <v>3</v>
      </c>
      <c r="V3851" s="111">
        <v>16200</v>
      </c>
      <c r="W3851" s="110"/>
      <c r="X3851" s="110"/>
      <c r="Y3851" s="110"/>
      <c r="Z3851" s="110"/>
      <c r="AA3851" s="130">
        <v>2</v>
      </c>
      <c r="AB3851" s="111">
        <v>10800</v>
      </c>
      <c r="AC3851" s="110"/>
      <c r="AD3851" s="110"/>
      <c r="AE3851" s="130">
        <v>2</v>
      </c>
      <c r="AF3851" s="111">
        <v>10800</v>
      </c>
      <c r="AG3851" s="110"/>
      <c r="AH3851" s="110"/>
      <c r="AI3851" s="110"/>
      <c r="AJ3851" s="110"/>
      <c r="AK3851" s="111">
        <f t="shared" si="860"/>
        <v>54000</v>
      </c>
      <c r="AL3851" s="446">
        <f t="shared" si="861"/>
        <v>0</v>
      </c>
      <c r="AM3851" s="110">
        <f t="shared" si="862"/>
        <v>10</v>
      </c>
      <c r="AN3851" s="447"/>
      <c r="AO3851"/>
      <c r="AP3851"/>
    </row>
    <row r="3852" spans="1:42" ht="66" x14ac:dyDescent="0.25">
      <c r="A3852" s="61"/>
      <c r="B3852" s="37" t="s">
        <v>3382</v>
      </c>
      <c r="C3852" s="9"/>
      <c r="D3852" s="952">
        <v>25</v>
      </c>
      <c r="E3852" s="1025" t="s">
        <v>1755</v>
      </c>
      <c r="F3852" s="273" t="s">
        <v>3446</v>
      </c>
      <c r="G3852" s="1040" t="s">
        <v>3463</v>
      </c>
      <c r="H3852" s="273" t="s">
        <v>3462</v>
      </c>
      <c r="I3852" s="746">
        <v>1620</v>
      </c>
      <c r="J3852" s="813">
        <v>40500</v>
      </c>
      <c r="K3852" s="131">
        <f t="shared" si="852"/>
        <v>40500</v>
      </c>
      <c r="L3852" s="335">
        <f t="shared" si="858"/>
        <v>0</v>
      </c>
      <c r="M3852" s="446"/>
      <c r="N3852" s="446"/>
      <c r="O3852" s="446"/>
      <c r="P3852" s="446"/>
      <c r="Q3852" s="110">
        <v>7</v>
      </c>
      <c r="R3852" s="111">
        <f>Q3852*I3852</f>
        <v>11340</v>
      </c>
      <c r="S3852" s="110"/>
      <c r="T3852" s="110"/>
      <c r="U3852" s="110">
        <v>6</v>
      </c>
      <c r="V3852" s="111">
        <f>U3852*I3852</f>
        <v>9720</v>
      </c>
      <c r="W3852" s="110"/>
      <c r="X3852" s="110"/>
      <c r="Y3852" s="110"/>
      <c r="Z3852" s="110"/>
      <c r="AA3852" s="110">
        <v>6</v>
      </c>
      <c r="AB3852" s="111">
        <v>9720</v>
      </c>
      <c r="AC3852" s="110"/>
      <c r="AD3852" s="110"/>
      <c r="AE3852" s="110">
        <v>6</v>
      </c>
      <c r="AF3852" s="111">
        <v>9720</v>
      </c>
      <c r="AG3852" s="110"/>
      <c r="AH3852" s="110"/>
      <c r="AI3852" s="110"/>
      <c r="AJ3852" s="110"/>
      <c r="AK3852" s="111">
        <f t="shared" si="860"/>
        <v>40500</v>
      </c>
      <c r="AL3852" s="446">
        <f t="shared" si="861"/>
        <v>0</v>
      </c>
      <c r="AM3852" s="110">
        <f t="shared" si="862"/>
        <v>25</v>
      </c>
      <c r="AN3852" s="447"/>
      <c r="AO3852"/>
      <c r="AP3852"/>
    </row>
    <row r="3853" spans="1:42" ht="66" x14ac:dyDescent="0.25">
      <c r="A3853" s="61"/>
      <c r="B3853" s="37" t="s">
        <v>3383</v>
      </c>
      <c r="C3853" s="9"/>
      <c r="D3853" s="952">
        <v>30</v>
      </c>
      <c r="E3853" s="1025" t="s">
        <v>1755</v>
      </c>
      <c r="F3853" s="273" t="s">
        <v>3446</v>
      </c>
      <c r="G3853" s="1040" t="s">
        <v>3463</v>
      </c>
      <c r="H3853" s="273" t="s">
        <v>3462</v>
      </c>
      <c r="I3853" s="746">
        <v>10800</v>
      </c>
      <c r="J3853" s="813">
        <v>324000</v>
      </c>
      <c r="K3853" s="131">
        <f t="shared" si="852"/>
        <v>324000</v>
      </c>
      <c r="L3853" s="335">
        <f t="shared" si="858"/>
        <v>0</v>
      </c>
      <c r="M3853" s="446"/>
      <c r="N3853" s="446"/>
      <c r="O3853" s="446"/>
      <c r="P3853" s="446"/>
      <c r="Q3853" s="110">
        <v>8</v>
      </c>
      <c r="R3853" s="111">
        <f>I3853*Q3853</f>
        <v>86400</v>
      </c>
      <c r="S3853" s="110"/>
      <c r="T3853" s="110"/>
      <c r="U3853" s="110">
        <v>8</v>
      </c>
      <c r="V3853" s="111">
        <v>86400</v>
      </c>
      <c r="W3853" s="110"/>
      <c r="X3853" s="110"/>
      <c r="Y3853" s="110"/>
      <c r="Z3853" s="110"/>
      <c r="AA3853" s="110">
        <v>7</v>
      </c>
      <c r="AB3853" s="111">
        <f>AA3853*I3853</f>
        <v>75600</v>
      </c>
      <c r="AC3853" s="110"/>
      <c r="AD3853" s="110"/>
      <c r="AE3853" s="110">
        <v>7</v>
      </c>
      <c r="AF3853" s="111">
        <v>75600</v>
      </c>
      <c r="AG3853" s="110"/>
      <c r="AH3853" s="110"/>
      <c r="AI3853" s="110"/>
      <c r="AJ3853" s="110"/>
      <c r="AK3853" s="111">
        <f t="shared" si="860"/>
        <v>324000</v>
      </c>
      <c r="AL3853" s="446">
        <f t="shared" si="861"/>
        <v>0</v>
      </c>
      <c r="AM3853" s="110">
        <f t="shared" si="862"/>
        <v>30</v>
      </c>
      <c r="AN3853" s="447"/>
      <c r="AO3853"/>
      <c r="AP3853"/>
    </row>
    <row r="3854" spans="1:42" ht="66" x14ac:dyDescent="0.25">
      <c r="A3854" s="61"/>
      <c r="B3854" s="37" t="s">
        <v>3384</v>
      </c>
      <c r="C3854" s="9"/>
      <c r="D3854" s="952">
        <v>12</v>
      </c>
      <c r="E3854" s="1025" t="s">
        <v>1755</v>
      </c>
      <c r="F3854" s="273" t="s">
        <v>3446</v>
      </c>
      <c r="G3854" s="1040" t="s">
        <v>3463</v>
      </c>
      <c r="H3854" s="273" t="s">
        <v>3462</v>
      </c>
      <c r="I3854" s="746">
        <v>18360</v>
      </c>
      <c r="J3854" s="813">
        <v>220320</v>
      </c>
      <c r="K3854" s="131">
        <f t="shared" si="852"/>
        <v>220320</v>
      </c>
      <c r="L3854" s="335">
        <f t="shared" si="858"/>
        <v>0</v>
      </c>
      <c r="M3854" s="446"/>
      <c r="N3854" s="446"/>
      <c r="O3854" s="446"/>
      <c r="P3854" s="446"/>
      <c r="Q3854" s="110">
        <v>3</v>
      </c>
      <c r="R3854" s="111">
        <f>I3854*Q3854</f>
        <v>55080</v>
      </c>
      <c r="S3854" s="110"/>
      <c r="T3854" s="110"/>
      <c r="U3854" s="110">
        <v>3</v>
      </c>
      <c r="V3854" s="111">
        <v>55080</v>
      </c>
      <c r="W3854" s="110"/>
      <c r="X3854" s="110"/>
      <c r="Y3854" s="110"/>
      <c r="Z3854" s="110"/>
      <c r="AA3854" s="110">
        <v>3</v>
      </c>
      <c r="AB3854" s="111">
        <v>55080</v>
      </c>
      <c r="AC3854" s="110"/>
      <c r="AD3854" s="110"/>
      <c r="AE3854" s="110">
        <v>3</v>
      </c>
      <c r="AF3854" s="111">
        <v>55080</v>
      </c>
      <c r="AG3854" s="110"/>
      <c r="AH3854" s="110"/>
      <c r="AI3854" s="110"/>
      <c r="AJ3854" s="110"/>
      <c r="AK3854" s="111">
        <f t="shared" si="860"/>
        <v>220320</v>
      </c>
      <c r="AL3854" s="446">
        <f t="shared" si="861"/>
        <v>0</v>
      </c>
      <c r="AM3854" s="110">
        <f t="shared" si="862"/>
        <v>12</v>
      </c>
      <c r="AN3854" s="447"/>
      <c r="AO3854"/>
      <c r="AP3854"/>
    </row>
    <row r="3855" spans="1:42" ht="66" x14ac:dyDescent="0.25">
      <c r="A3855" s="61"/>
      <c r="B3855" s="230" t="s">
        <v>3385</v>
      </c>
      <c r="C3855" s="9"/>
      <c r="D3855" s="953">
        <v>15</v>
      </c>
      <c r="E3855" s="1025" t="s">
        <v>1755</v>
      </c>
      <c r="F3855" s="273" t="s">
        <v>3446</v>
      </c>
      <c r="G3855" s="1040" t="s">
        <v>3463</v>
      </c>
      <c r="H3855" s="273" t="s">
        <v>3462</v>
      </c>
      <c r="I3855" s="746">
        <v>18000</v>
      </c>
      <c r="J3855" s="813">
        <v>270000</v>
      </c>
      <c r="K3855" s="131">
        <f t="shared" si="852"/>
        <v>270000</v>
      </c>
      <c r="L3855" s="335">
        <f t="shared" si="858"/>
        <v>0</v>
      </c>
      <c r="M3855" s="446"/>
      <c r="N3855" s="446"/>
      <c r="O3855" s="446"/>
      <c r="P3855" s="446"/>
      <c r="Q3855" s="110">
        <v>4</v>
      </c>
      <c r="R3855" s="111">
        <f>I3855*Q3855</f>
        <v>72000</v>
      </c>
      <c r="S3855" s="110"/>
      <c r="T3855" s="110"/>
      <c r="U3855" s="110">
        <v>4</v>
      </c>
      <c r="V3855" s="111">
        <v>72000</v>
      </c>
      <c r="W3855" s="110"/>
      <c r="X3855" s="110"/>
      <c r="Y3855" s="110"/>
      <c r="Z3855" s="110"/>
      <c r="AA3855" s="110">
        <v>4</v>
      </c>
      <c r="AB3855" s="111">
        <v>72000</v>
      </c>
      <c r="AC3855" s="110"/>
      <c r="AD3855" s="110"/>
      <c r="AE3855" s="110">
        <v>3</v>
      </c>
      <c r="AF3855" s="111">
        <f>54000</f>
        <v>54000</v>
      </c>
      <c r="AG3855" s="110"/>
      <c r="AH3855" s="110"/>
      <c r="AI3855" s="110"/>
      <c r="AJ3855" s="110"/>
      <c r="AK3855" s="111">
        <f t="shared" si="860"/>
        <v>270000</v>
      </c>
      <c r="AL3855" s="446">
        <f t="shared" si="861"/>
        <v>0</v>
      </c>
      <c r="AM3855" s="110">
        <f t="shared" si="862"/>
        <v>15</v>
      </c>
      <c r="AN3855" s="447"/>
      <c r="AO3855"/>
      <c r="AP3855"/>
    </row>
    <row r="3856" spans="1:42" ht="22.5" x14ac:dyDescent="0.25">
      <c r="A3856" s="376">
        <v>356</v>
      </c>
      <c r="B3856" s="588" t="s">
        <v>899</v>
      </c>
      <c r="C3856" s="376"/>
      <c r="D3856" s="940"/>
      <c r="E3856" s="377"/>
      <c r="F3856" s="378"/>
      <c r="G3856" s="378"/>
      <c r="H3856" s="378"/>
      <c r="I3856" s="734"/>
      <c r="J3856" s="806"/>
      <c r="K3856" s="131">
        <f t="shared" si="852"/>
        <v>0</v>
      </c>
      <c r="L3856" s="335"/>
      <c r="M3856" s="419"/>
      <c r="N3856" s="419"/>
      <c r="O3856" s="419"/>
      <c r="P3856" s="419"/>
      <c r="Q3856" s="418">
        <f t="shared" si="855"/>
        <v>0</v>
      </c>
      <c r="R3856" s="379">
        <f t="shared" si="853"/>
        <v>0</v>
      </c>
      <c r="S3856" s="418"/>
      <c r="T3856" s="418"/>
      <c r="U3856" s="418">
        <f t="shared" si="856"/>
        <v>0</v>
      </c>
      <c r="V3856" s="379">
        <f t="shared" si="854"/>
        <v>0</v>
      </c>
      <c r="W3856" s="418"/>
      <c r="X3856" s="418"/>
      <c r="Y3856" s="418"/>
      <c r="Z3856" s="418"/>
      <c r="AA3856" s="418">
        <f t="shared" si="857"/>
        <v>0</v>
      </c>
      <c r="AB3856" s="379">
        <f t="shared" ref="AB3856:AB3919" si="863">+J3856/4</f>
        <v>0</v>
      </c>
      <c r="AC3856" s="418"/>
      <c r="AD3856" s="418"/>
      <c r="AE3856" s="418">
        <f t="shared" si="857"/>
        <v>0</v>
      </c>
      <c r="AF3856" s="379">
        <f t="shared" si="859"/>
        <v>0</v>
      </c>
      <c r="AG3856" s="418"/>
      <c r="AH3856" s="418"/>
      <c r="AI3856" s="418"/>
      <c r="AJ3856" s="418"/>
      <c r="AK3856" s="379">
        <f t="shared" si="860"/>
        <v>0</v>
      </c>
      <c r="AL3856" s="446">
        <f t="shared" si="861"/>
        <v>0</v>
      </c>
      <c r="AM3856" s="110">
        <f t="shared" si="862"/>
        <v>0</v>
      </c>
      <c r="AN3856" s="447">
        <f t="shared" ref="AN3856:AN3919" si="864">+D3856-AM3856</f>
        <v>0</v>
      </c>
      <c r="AO3856" s="108"/>
      <c r="AP3856"/>
    </row>
    <row r="3857" spans="1:42" ht="22.5" x14ac:dyDescent="0.25">
      <c r="A3857" s="310">
        <v>35601</v>
      </c>
      <c r="B3857" s="375" t="s">
        <v>900</v>
      </c>
      <c r="C3857" s="311"/>
      <c r="D3857" s="902"/>
      <c r="E3857" s="312"/>
      <c r="F3857" s="313"/>
      <c r="G3857" s="313"/>
      <c r="H3857" s="313"/>
      <c r="I3857" s="729"/>
      <c r="J3857" s="800"/>
      <c r="K3857" s="131">
        <f t="shared" si="852"/>
        <v>0</v>
      </c>
      <c r="L3857" s="335">
        <f t="shared" si="858"/>
        <v>0</v>
      </c>
      <c r="M3857" s="446"/>
      <c r="N3857" s="446"/>
      <c r="O3857" s="446"/>
      <c r="P3857" s="446"/>
      <c r="Q3857" s="110">
        <f t="shared" si="855"/>
        <v>0</v>
      </c>
      <c r="R3857" s="111">
        <f t="shared" si="853"/>
        <v>0</v>
      </c>
      <c r="S3857" s="110"/>
      <c r="T3857" s="110"/>
      <c r="U3857" s="110">
        <f t="shared" si="856"/>
        <v>0</v>
      </c>
      <c r="V3857" s="111">
        <f t="shared" si="854"/>
        <v>0</v>
      </c>
      <c r="W3857" s="110"/>
      <c r="X3857" s="110"/>
      <c r="Y3857" s="110"/>
      <c r="Z3857" s="110"/>
      <c r="AA3857" s="110">
        <f t="shared" si="857"/>
        <v>0</v>
      </c>
      <c r="AB3857" s="111">
        <f t="shared" si="863"/>
        <v>0</v>
      </c>
      <c r="AC3857" s="110"/>
      <c r="AD3857" s="110"/>
      <c r="AE3857" s="110">
        <f t="shared" si="857"/>
        <v>0</v>
      </c>
      <c r="AF3857" s="111">
        <f t="shared" si="859"/>
        <v>0</v>
      </c>
      <c r="AG3857" s="110"/>
      <c r="AH3857" s="110"/>
      <c r="AI3857" s="110"/>
      <c r="AJ3857" s="110"/>
      <c r="AK3857" s="111">
        <f t="shared" si="860"/>
        <v>0</v>
      </c>
      <c r="AL3857" s="446">
        <f t="shared" si="861"/>
        <v>0</v>
      </c>
      <c r="AM3857" s="110">
        <f t="shared" si="862"/>
        <v>0</v>
      </c>
      <c r="AN3857" s="447">
        <f t="shared" si="864"/>
        <v>0</v>
      </c>
      <c r="AO3857" s="108"/>
      <c r="AP3857"/>
    </row>
    <row r="3858" spans="1:42" x14ac:dyDescent="0.25">
      <c r="A3858" s="61"/>
      <c r="B3858" s="583"/>
      <c r="C3858" s="9"/>
      <c r="D3858" s="929"/>
      <c r="E3858" s="211"/>
      <c r="F3858" s="284"/>
      <c r="G3858" s="284"/>
      <c r="H3858" s="284"/>
      <c r="I3858" s="720"/>
      <c r="J3858" s="809"/>
      <c r="K3858" s="131">
        <f t="shared" si="852"/>
        <v>0</v>
      </c>
      <c r="L3858" s="335">
        <f t="shared" si="858"/>
        <v>0</v>
      </c>
      <c r="M3858" s="446"/>
      <c r="N3858" s="446"/>
      <c r="O3858" s="446"/>
      <c r="P3858" s="446"/>
      <c r="Q3858" s="110">
        <f t="shared" si="855"/>
        <v>0</v>
      </c>
      <c r="R3858" s="111">
        <f t="shared" si="853"/>
        <v>0</v>
      </c>
      <c r="S3858" s="110"/>
      <c r="T3858" s="110"/>
      <c r="U3858" s="110">
        <f t="shared" si="856"/>
        <v>0</v>
      </c>
      <c r="V3858" s="111">
        <f t="shared" si="854"/>
        <v>0</v>
      </c>
      <c r="W3858" s="110"/>
      <c r="X3858" s="110"/>
      <c r="Y3858" s="110"/>
      <c r="Z3858" s="110"/>
      <c r="AA3858" s="110">
        <f t="shared" si="857"/>
        <v>0</v>
      </c>
      <c r="AB3858" s="111">
        <f t="shared" si="863"/>
        <v>0</v>
      </c>
      <c r="AC3858" s="110"/>
      <c r="AD3858" s="110"/>
      <c r="AE3858" s="110">
        <f t="shared" si="857"/>
        <v>0</v>
      </c>
      <c r="AF3858" s="111">
        <f t="shared" si="859"/>
        <v>0</v>
      </c>
      <c r="AG3858" s="110"/>
      <c r="AH3858" s="110"/>
      <c r="AI3858" s="110"/>
      <c r="AJ3858" s="110"/>
      <c r="AK3858" s="111">
        <f t="shared" si="860"/>
        <v>0</v>
      </c>
      <c r="AL3858" s="446">
        <f t="shared" si="861"/>
        <v>0</v>
      </c>
      <c r="AM3858" s="110">
        <f t="shared" si="862"/>
        <v>0</v>
      </c>
      <c r="AN3858" s="447">
        <f t="shared" si="864"/>
        <v>0</v>
      </c>
      <c r="AO3858"/>
      <c r="AP3858"/>
    </row>
    <row r="3859" spans="1:42" ht="22.5" x14ac:dyDescent="0.25">
      <c r="A3859" s="376">
        <v>357</v>
      </c>
      <c r="B3859" s="588" t="s">
        <v>901</v>
      </c>
      <c r="C3859" s="376"/>
      <c r="D3859" s="940"/>
      <c r="E3859" s="377"/>
      <c r="F3859" s="378"/>
      <c r="G3859" s="378"/>
      <c r="H3859" s="378"/>
      <c r="I3859" s="734"/>
      <c r="J3859" s="806"/>
      <c r="K3859" s="131">
        <f t="shared" si="852"/>
        <v>0</v>
      </c>
      <c r="L3859" s="335">
        <f t="shared" si="858"/>
        <v>0</v>
      </c>
      <c r="M3859" s="419"/>
      <c r="N3859" s="419"/>
      <c r="O3859" s="419"/>
      <c r="P3859" s="419"/>
      <c r="Q3859" s="418">
        <f t="shared" si="855"/>
        <v>0</v>
      </c>
      <c r="R3859" s="379">
        <f t="shared" si="853"/>
        <v>0</v>
      </c>
      <c r="S3859" s="418"/>
      <c r="T3859" s="418"/>
      <c r="U3859" s="418">
        <f t="shared" si="856"/>
        <v>0</v>
      </c>
      <c r="V3859" s="379">
        <f t="shared" si="854"/>
        <v>0</v>
      </c>
      <c r="W3859" s="418"/>
      <c r="X3859" s="418"/>
      <c r="Y3859" s="418"/>
      <c r="Z3859" s="418"/>
      <c r="AA3859" s="418">
        <f t="shared" si="857"/>
        <v>0</v>
      </c>
      <c r="AB3859" s="379">
        <f t="shared" si="863"/>
        <v>0</v>
      </c>
      <c r="AC3859" s="418"/>
      <c r="AD3859" s="418"/>
      <c r="AE3859" s="418">
        <f t="shared" si="857"/>
        <v>0</v>
      </c>
      <c r="AF3859" s="379">
        <f t="shared" si="859"/>
        <v>0</v>
      </c>
      <c r="AG3859" s="418"/>
      <c r="AH3859" s="418"/>
      <c r="AI3859" s="418"/>
      <c r="AJ3859" s="418"/>
      <c r="AK3859" s="379">
        <f t="shared" si="860"/>
        <v>0</v>
      </c>
      <c r="AL3859" s="446">
        <f t="shared" si="861"/>
        <v>0</v>
      </c>
      <c r="AM3859" s="110">
        <f t="shared" si="862"/>
        <v>0</v>
      </c>
      <c r="AN3859" s="447">
        <f t="shared" si="864"/>
        <v>0</v>
      </c>
      <c r="AO3859" s="108"/>
      <c r="AP3859"/>
    </row>
    <row r="3860" spans="1:42" x14ac:dyDescent="0.25">
      <c r="A3860" s="315">
        <v>35701</v>
      </c>
      <c r="B3860" s="351" t="s">
        <v>902</v>
      </c>
      <c r="C3860" s="316"/>
      <c r="D3860" s="886"/>
      <c r="E3860" s="318"/>
      <c r="F3860" s="319"/>
      <c r="G3860" s="319"/>
      <c r="H3860" s="319"/>
      <c r="I3860" s="724"/>
      <c r="J3860" s="762"/>
      <c r="K3860" s="131">
        <f t="shared" si="852"/>
        <v>0</v>
      </c>
      <c r="L3860" s="335">
        <f t="shared" si="858"/>
        <v>0</v>
      </c>
      <c r="M3860" s="446"/>
      <c r="N3860" s="446"/>
      <c r="O3860" s="446"/>
      <c r="P3860" s="446"/>
      <c r="Q3860" s="110">
        <f t="shared" si="855"/>
        <v>0</v>
      </c>
      <c r="R3860" s="111">
        <f t="shared" si="853"/>
        <v>0</v>
      </c>
      <c r="S3860" s="110"/>
      <c r="T3860" s="110"/>
      <c r="U3860" s="110">
        <f t="shared" si="856"/>
        <v>0</v>
      </c>
      <c r="V3860" s="111">
        <f t="shared" si="854"/>
        <v>0</v>
      </c>
      <c r="W3860" s="110"/>
      <c r="X3860" s="110"/>
      <c r="Y3860" s="110"/>
      <c r="Z3860" s="110"/>
      <c r="AA3860" s="110">
        <f t="shared" si="857"/>
        <v>0</v>
      </c>
      <c r="AB3860" s="111">
        <f t="shared" si="863"/>
        <v>0</v>
      </c>
      <c r="AC3860" s="110"/>
      <c r="AD3860" s="110"/>
      <c r="AE3860" s="110">
        <f t="shared" si="857"/>
        <v>0</v>
      </c>
      <c r="AF3860" s="111">
        <f t="shared" si="859"/>
        <v>0</v>
      </c>
      <c r="AG3860" s="110"/>
      <c r="AH3860" s="110"/>
      <c r="AI3860" s="110"/>
      <c r="AJ3860" s="110"/>
      <c r="AK3860" s="111">
        <f t="shared" si="860"/>
        <v>0</v>
      </c>
      <c r="AL3860" s="446">
        <f t="shared" si="861"/>
        <v>0</v>
      </c>
      <c r="AM3860" s="110">
        <f t="shared" si="862"/>
        <v>0</v>
      </c>
      <c r="AN3860" s="447">
        <f t="shared" si="864"/>
        <v>0</v>
      </c>
      <c r="AO3860" s="436">
        <f>SUM(J3861:J3877)</f>
        <v>75461.320800000001</v>
      </c>
      <c r="AP3860" s="111"/>
    </row>
    <row r="3861" spans="1:42" ht="66" x14ac:dyDescent="0.25">
      <c r="A3861" s="63"/>
      <c r="B3861" s="501" t="s">
        <v>1378</v>
      </c>
      <c r="C3861" s="1024"/>
      <c r="D3861" s="869">
        <v>2</v>
      </c>
      <c r="E3861" s="1027" t="s">
        <v>1755</v>
      </c>
      <c r="F3861" s="278" t="s">
        <v>3446</v>
      </c>
      <c r="G3861" s="1040" t="s">
        <v>3463</v>
      </c>
      <c r="H3861" s="273" t="s">
        <v>3462</v>
      </c>
      <c r="I3861" s="720">
        <f t="shared" ref="I3861:I3877" si="865">+J3861/D3861</f>
        <v>1739.9999999999998</v>
      </c>
      <c r="J3861" s="756">
        <v>3479.9999999999995</v>
      </c>
      <c r="K3861" s="131">
        <f t="shared" si="852"/>
        <v>3479.9999999999995</v>
      </c>
      <c r="L3861" s="335">
        <f t="shared" si="858"/>
        <v>0</v>
      </c>
      <c r="M3861" s="446"/>
      <c r="N3861" s="446"/>
      <c r="O3861" s="446"/>
      <c r="P3861" s="446"/>
      <c r="Q3861" s="130">
        <v>1</v>
      </c>
      <c r="R3861" s="111">
        <f t="shared" si="853"/>
        <v>869.99999999999989</v>
      </c>
      <c r="S3861" s="110"/>
      <c r="T3861" s="110"/>
      <c r="U3861" s="130">
        <v>1</v>
      </c>
      <c r="V3861" s="111">
        <f t="shared" si="854"/>
        <v>869.99999999999989</v>
      </c>
      <c r="W3861" s="110"/>
      <c r="X3861" s="110"/>
      <c r="Y3861" s="110"/>
      <c r="Z3861" s="110"/>
      <c r="AA3861" s="130">
        <v>0</v>
      </c>
      <c r="AB3861" s="111">
        <f t="shared" si="863"/>
        <v>869.99999999999989</v>
      </c>
      <c r="AC3861" s="110"/>
      <c r="AD3861" s="110"/>
      <c r="AE3861" s="130">
        <v>0</v>
      </c>
      <c r="AF3861" s="111">
        <f t="shared" si="859"/>
        <v>869.99999999999989</v>
      </c>
      <c r="AG3861" s="110"/>
      <c r="AH3861" s="110"/>
      <c r="AI3861" s="110"/>
      <c r="AJ3861" s="110"/>
      <c r="AK3861" s="111">
        <f t="shared" si="860"/>
        <v>3479.9999999999995</v>
      </c>
      <c r="AL3861" s="446">
        <f t="shared" si="861"/>
        <v>0</v>
      </c>
      <c r="AM3861" s="110">
        <f t="shared" si="862"/>
        <v>2</v>
      </c>
      <c r="AN3861" s="447">
        <f t="shared" si="864"/>
        <v>0</v>
      </c>
      <c r="AO3861"/>
      <c r="AP3861"/>
    </row>
    <row r="3862" spans="1:42" ht="66" x14ac:dyDescent="0.25">
      <c r="A3862" s="63"/>
      <c r="B3862" s="501" t="s">
        <v>1379</v>
      </c>
      <c r="C3862" s="1024"/>
      <c r="D3862" s="869">
        <v>2</v>
      </c>
      <c r="E3862" s="1027" t="s">
        <v>1755</v>
      </c>
      <c r="F3862" s="278" t="s">
        <v>3446</v>
      </c>
      <c r="G3862" s="1040" t="s">
        <v>3463</v>
      </c>
      <c r="H3862" s="273" t="s">
        <v>3462</v>
      </c>
      <c r="I3862" s="720">
        <f t="shared" si="865"/>
        <v>1855.9999999999998</v>
      </c>
      <c r="J3862" s="756">
        <v>3711.9999999999995</v>
      </c>
      <c r="K3862" s="131">
        <f t="shared" si="852"/>
        <v>3711.9999999999995</v>
      </c>
      <c r="L3862" s="335">
        <f t="shared" si="858"/>
        <v>0</v>
      </c>
      <c r="M3862" s="446"/>
      <c r="N3862" s="446"/>
      <c r="O3862" s="446"/>
      <c r="P3862" s="446"/>
      <c r="Q3862" s="130">
        <v>1</v>
      </c>
      <c r="R3862" s="111">
        <f t="shared" si="853"/>
        <v>927.99999999999989</v>
      </c>
      <c r="S3862" s="110"/>
      <c r="T3862" s="110"/>
      <c r="U3862" s="130">
        <v>1</v>
      </c>
      <c r="V3862" s="111">
        <f t="shared" si="854"/>
        <v>927.99999999999989</v>
      </c>
      <c r="W3862" s="110"/>
      <c r="X3862" s="110"/>
      <c r="Y3862" s="110"/>
      <c r="Z3862" s="110"/>
      <c r="AA3862" s="130">
        <v>0</v>
      </c>
      <c r="AB3862" s="111">
        <f t="shared" si="863"/>
        <v>927.99999999999989</v>
      </c>
      <c r="AC3862" s="110"/>
      <c r="AD3862" s="110"/>
      <c r="AE3862" s="130">
        <v>0</v>
      </c>
      <c r="AF3862" s="111">
        <f t="shared" si="859"/>
        <v>927.99999999999989</v>
      </c>
      <c r="AG3862" s="110"/>
      <c r="AH3862" s="110"/>
      <c r="AI3862" s="110"/>
      <c r="AJ3862" s="110"/>
      <c r="AK3862" s="111">
        <f t="shared" si="860"/>
        <v>3711.9999999999995</v>
      </c>
      <c r="AL3862" s="446">
        <f t="shared" si="861"/>
        <v>0</v>
      </c>
      <c r="AM3862" s="110">
        <f t="shared" si="862"/>
        <v>2</v>
      </c>
      <c r="AN3862" s="447">
        <f t="shared" si="864"/>
        <v>0</v>
      </c>
      <c r="AO3862"/>
      <c r="AP3862"/>
    </row>
    <row r="3863" spans="1:42" ht="66" x14ac:dyDescent="0.25">
      <c r="A3863" s="63"/>
      <c r="B3863" s="599" t="s">
        <v>1380</v>
      </c>
      <c r="C3863" s="1024"/>
      <c r="D3863" s="869">
        <v>1</v>
      </c>
      <c r="E3863" s="1027" t="s">
        <v>1755</v>
      </c>
      <c r="F3863" s="278" t="s">
        <v>3446</v>
      </c>
      <c r="G3863" s="1040" t="s">
        <v>3463</v>
      </c>
      <c r="H3863" s="273" t="s">
        <v>3462</v>
      </c>
      <c r="I3863" s="720">
        <f t="shared" si="865"/>
        <v>28999.999999999996</v>
      </c>
      <c r="J3863" s="756">
        <v>28999.999999999996</v>
      </c>
      <c r="K3863" s="131">
        <f t="shared" si="852"/>
        <v>28999.999999999996</v>
      </c>
      <c r="L3863" s="335">
        <f t="shared" si="858"/>
        <v>0</v>
      </c>
      <c r="M3863" s="446"/>
      <c r="N3863" s="446"/>
      <c r="O3863" s="446"/>
      <c r="P3863" s="446"/>
      <c r="Q3863" s="110">
        <v>1</v>
      </c>
      <c r="R3863" s="111">
        <f t="shared" si="853"/>
        <v>7249.9999999999991</v>
      </c>
      <c r="S3863" s="110"/>
      <c r="T3863" s="110"/>
      <c r="U3863" s="110">
        <v>0</v>
      </c>
      <c r="V3863" s="111">
        <f t="shared" si="854"/>
        <v>7249.9999999999991</v>
      </c>
      <c r="W3863" s="110"/>
      <c r="X3863" s="110"/>
      <c r="Y3863" s="110"/>
      <c r="Z3863" s="110"/>
      <c r="AA3863" s="110">
        <v>0</v>
      </c>
      <c r="AB3863" s="111">
        <f t="shared" si="863"/>
        <v>7249.9999999999991</v>
      </c>
      <c r="AC3863" s="110"/>
      <c r="AD3863" s="110"/>
      <c r="AE3863" s="110">
        <v>0</v>
      </c>
      <c r="AF3863" s="111">
        <f t="shared" si="859"/>
        <v>7249.9999999999991</v>
      </c>
      <c r="AG3863" s="110"/>
      <c r="AH3863" s="110"/>
      <c r="AI3863" s="110"/>
      <c r="AJ3863" s="110"/>
      <c r="AK3863" s="111">
        <f t="shared" si="860"/>
        <v>28999.999999999996</v>
      </c>
      <c r="AL3863" s="446">
        <f t="shared" si="861"/>
        <v>0</v>
      </c>
      <c r="AM3863" s="110">
        <f t="shared" si="862"/>
        <v>1</v>
      </c>
      <c r="AN3863" s="447">
        <f t="shared" si="864"/>
        <v>0</v>
      </c>
      <c r="AO3863"/>
      <c r="AP3863"/>
    </row>
    <row r="3864" spans="1:42" ht="66" x14ac:dyDescent="0.25">
      <c r="A3864" s="63"/>
      <c r="B3864" s="604" t="s">
        <v>1381</v>
      </c>
      <c r="C3864" s="1024"/>
      <c r="D3864" s="869">
        <v>28</v>
      </c>
      <c r="E3864" s="1027" t="s">
        <v>1755</v>
      </c>
      <c r="F3864" s="278" t="s">
        <v>3446</v>
      </c>
      <c r="G3864" s="1040" t="s">
        <v>3463</v>
      </c>
      <c r="H3864" s="273" t="s">
        <v>3462</v>
      </c>
      <c r="I3864" s="720">
        <f t="shared" si="865"/>
        <v>568.4</v>
      </c>
      <c r="J3864" s="756">
        <v>15915.199999999999</v>
      </c>
      <c r="K3864" s="131">
        <f t="shared" si="852"/>
        <v>15915.199999999999</v>
      </c>
      <c r="L3864" s="335">
        <f t="shared" si="858"/>
        <v>0</v>
      </c>
      <c r="M3864" s="446"/>
      <c r="N3864" s="446"/>
      <c r="O3864" s="446"/>
      <c r="P3864" s="446"/>
      <c r="Q3864" s="110">
        <f t="shared" si="855"/>
        <v>7</v>
      </c>
      <c r="R3864" s="111">
        <f t="shared" si="853"/>
        <v>3978.7999999999997</v>
      </c>
      <c r="S3864" s="110"/>
      <c r="T3864" s="110"/>
      <c r="U3864" s="110">
        <f t="shared" si="856"/>
        <v>7</v>
      </c>
      <c r="V3864" s="111">
        <f t="shared" si="854"/>
        <v>3978.7999999999997</v>
      </c>
      <c r="W3864" s="110"/>
      <c r="X3864" s="110"/>
      <c r="Y3864" s="110"/>
      <c r="Z3864" s="110"/>
      <c r="AA3864" s="110">
        <f t="shared" si="857"/>
        <v>7</v>
      </c>
      <c r="AB3864" s="111">
        <f t="shared" si="863"/>
        <v>3978.7999999999997</v>
      </c>
      <c r="AC3864" s="110"/>
      <c r="AD3864" s="110"/>
      <c r="AE3864" s="110">
        <f t="shared" si="857"/>
        <v>7</v>
      </c>
      <c r="AF3864" s="111">
        <f t="shared" si="859"/>
        <v>3978.7999999999997</v>
      </c>
      <c r="AG3864" s="110"/>
      <c r="AH3864" s="110"/>
      <c r="AI3864" s="110"/>
      <c r="AJ3864" s="110"/>
      <c r="AK3864" s="111">
        <f t="shared" si="860"/>
        <v>15915.199999999999</v>
      </c>
      <c r="AL3864" s="446">
        <f t="shared" si="861"/>
        <v>0</v>
      </c>
      <c r="AM3864" s="110">
        <f t="shared" si="862"/>
        <v>28</v>
      </c>
      <c r="AN3864" s="447">
        <f t="shared" si="864"/>
        <v>0</v>
      </c>
      <c r="AO3864"/>
      <c r="AP3864"/>
    </row>
    <row r="3865" spans="1:42" ht="66" x14ac:dyDescent="0.25">
      <c r="A3865" s="63"/>
      <c r="B3865" s="604" t="s">
        <v>1382</v>
      </c>
      <c r="C3865" s="1024"/>
      <c r="D3865" s="869">
        <v>2</v>
      </c>
      <c r="E3865" s="1027" t="s">
        <v>1755</v>
      </c>
      <c r="F3865" s="278" t="s">
        <v>3446</v>
      </c>
      <c r="G3865" s="1040" t="s">
        <v>3463</v>
      </c>
      <c r="H3865" s="273" t="s">
        <v>3462</v>
      </c>
      <c r="I3865" s="720">
        <f t="shared" si="865"/>
        <v>927.99999999999989</v>
      </c>
      <c r="J3865" s="756">
        <v>1855.9999999999998</v>
      </c>
      <c r="K3865" s="131">
        <f t="shared" si="852"/>
        <v>1855.9999999999998</v>
      </c>
      <c r="L3865" s="335">
        <f t="shared" si="858"/>
        <v>0</v>
      </c>
      <c r="M3865" s="446"/>
      <c r="N3865" s="446"/>
      <c r="O3865" s="446"/>
      <c r="P3865" s="446"/>
      <c r="Q3865" s="130">
        <v>1</v>
      </c>
      <c r="R3865" s="111">
        <f t="shared" si="853"/>
        <v>463.99999999999994</v>
      </c>
      <c r="S3865" s="110"/>
      <c r="T3865" s="110"/>
      <c r="U3865" s="130">
        <v>1</v>
      </c>
      <c r="V3865" s="111">
        <f t="shared" si="854"/>
        <v>463.99999999999994</v>
      </c>
      <c r="W3865" s="110"/>
      <c r="X3865" s="110"/>
      <c r="Y3865" s="110"/>
      <c r="Z3865" s="110"/>
      <c r="AA3865" s="130">
        <v>0</v>
      </c>
      <c r="AB3865" s="111">
        <f t="shared" si="863"/>
        <v>463.99999999999994</v>
      </c>
      <c r="AC3865" s="110"/>
      <c r="AD3865" s="110"/>
      <c r="AE3865" s="130">
        <v>0</v>
      </c>
      <c r="AF3865" s="111">
        <f t="shared" si="859"/>
        <v>463.99999999999994</v>
      </c>
      <c r="AG3865" s="110"/>
      <c r="AH3865" s="110"/>
      <c r="AI3865" s="110"/>
      <c r="AJ3865" s="110"/>
      <c r="AK3865" s="111">
        <f t="shared" si="860"/>
        <v>1855.9999999999998</v>
      </c>
      <c r="AL3865" s="446">
        <f t="shared" si="861"/>
        <v>0</v>
      </c>
      <c r="AM3865" s="110">
        <f t="shared" si="862"/>
        <v>2</v>
      </c>
      <c r="AN3865" s="447">
        <f t="shared" si="864"/>
        <v>0</v>
      </c>
      <c r="AO3865"/>
      <c r="AP3865"/>
    </row>
    <row r="3866" spans="1:42" ht="66" x14ac:dyDescent="0.25">
      <c r="A3866" s="63"/>
      <c r="B3866" s="604" t="s">
        <v>1383</v>
      </c>
      <c r="C3866" s="1024"/>
      <c r="D3866" s="869">
        <v>1</v>
      </c>
      <c r="E3866" s="1027" t="s">
        <v>1755</v>
      </c>
      <c r="F3866" s="278" t="s">
        <v>3446</v>
      </c>
      <c r="G3866" s="1040" t="s">
        <v>3463</v>
      </c>
      <c r="H3866" s="273" t="s">
        <v>3462</v>
      </c>
      <c r="I3866" s="720">
        <f t="shared" si="865"/>
        <v>751.68</v>
      </c>
      <c r="J3866" s="756">
        <v>751.68</v>
      </c>
      <c r="K3866" s="131">
        <f t="shared" si="852"/>
        <v>751.68</v>
      </c>
      <c r="L3866" s="335">
        <f t="shared" si="858"/>
        <v>0</v>
      </c>
      <c r="M3866" s="446"/>
      <c r="N3866" s="446"/>
      <c r="O3866" s="446"/>
      <c r="P3866" s="446"/>
      <c r="Q3866" s="110">
        <v>1</v>
      </c>
      <c r="R3866" s="111">
        <f t="shared" si="853"/>
        <v>187.92</v>
      </c>
      <c r="S3866" s="110"/>
      <c r="T3866" s="110"/>
      <c r="U3866" s="110">
        <v>0</v>
      </c>
      <c r="V3866" s="111">
        <f t="shared" si="854"/>
        <v>187.92</v>
      </c>
      <c r="W3866" s="110"/>
      <c r="X3866" s="110"/>
      <c r="Y3866" s="110"/>
      <c r="Z3866" s="110"/>
      <c r="AA3866" s="110">
        <v>0</v>
      </c>
      <c r="AB3866" s="111">
        <f t="shared" si="863"/>
        <v>187.92</v>
      </c>
      <c r="AC3866" s="110"/>
      <c r="AD3866" s="110"/>
      <c r="AE3866" s="110">
        <v>0</v>
      </c>
      <c r="AF3866" s="111">
        <f t="shared" si="859"/>
        <v>187.92</v>
      </c>
      <c r="AG3866" s="110"/>
      <c r="AH3866" s="110"/>
      <c r="AI3866" s="110"/>
      <c r="AJ3866" s="110"/>
      <c r="AK3866" s="111">
        <f t="shared" si="860"/>
        <v>751.68</v>
      </c>
      <c r="AL3866" s="446">
        <f t="shared" si="861"/>
        <v>0</v>
      </c>
      <c r="AM3866" s="110">
        <f t="shared" si="862"/>
        <v>1</v>
      </c>
      <c r="AN3866" s="447">
        <f t="shared" si="864"/>
        <v>0</v>
      </c>
      <c r="AO3866"/>
      <c r="AP3866"/>
    </row>
    <row r="3867" spans="1:42" ht="66" x14ac:dyDescent="0.25">
      <c r="A3867" s="63"/>
      <c r="B3867" s="604" t="s">
        <v>1384</v>
      </c>
      <c r="C3867" s="1024"/>
      <c r="D3867" s="869">
        <v>1</v>
      </c>
      <c r="E3867" s="1027" t="s">
        <v>1755</v>
      </c>
      <c r="F3867" s="278" t="s">
        <v>3446</v>
      </c>
      <c r="G3867" s="1040" t="s">
        <v>3463</v>
      </c>
      <c r="H3867" s="273" t="s">
        <v>3462</v>
      </c>
      <c r="I3867" s="720">
        <f t="shared" si="865"/>
        <v>556.79999999999995</v>
      </c>
      <c r="J3867" s="756">
        <v>556.79999999999995</v>
      </c>
      <c r="K3867" s="131">
        <f t="shared" si="852"/>
        <v>556.79999999999995</v>
      </c>
      <c r="L3867" s="335">
        <f t="shared" si="858"/>
        <v>0</v>
      </c>
      <c r="M3867" s="446"/>
      <c r="N3867" s="446"/>
      <c r="O3867" s="446"/>
      <c r="P3867" s="446"/>
      <c r="Q3867" s="110">
        <v>1</v>
      </c>
      <c r="R3867" s="111">
        <f t="shared" si="853"/>
        <v>139.19999999999999</v>
      </c>
      <c r="S3867" s="110"/>
      <c r="T3867" s="110"/>
      <c r="U3867" s="110">
        <v>0</v>
      </c>
      <c r="V3867" s="111">
        <f t="shared" si="854"/>
        <v>139.19999999999999</v>
      </c>
      <c r="W3867" s="110"/>
      <c r="X3867" s="110"/>
      <c r="Y3867" s="110"/>
      <c r="Z3867" s="110"/>
      <c r="AA3867" s="110">
        <v>0</v>
      </c>
      <c r="AB3867" s="111">
        <f t="shared" si="863"/>
        <v>139.19999999999999</v>
      </c>
      <c r="AC3867" s="110"/>
      <c r="AD3867" s="110"/>
      <c r="AE3867" s="110">
        <v>0</v>
      </c>
      <c r="AF3867" s="111">
        <f t="shared" si="859"/>
        <v>139.19999999999999</v>
      </c>
      <c r="AG3867" s="110"/>
      <c r="AH3867" s="110"/>
      <c r="AI3867" s="110"/>
      <c r="AJ3867" s="110"/>
      <c r="AK3867" s="111">
        <f t="shared" si="860"/>
        <v>556.79999999999995</v>
      </c>
      <c r="AL3867" s="446">
        <f t="shared" si="861"/>
        <v>0</v>
      </c>
      <c r="AM3867" s="110">
        <f t="shared" si="862"/>
        <v>1</v>
      </c>
      <c r="AN3867" s="447">
        <f t="shared" si="864"/>
        <v>0</v>
      </c>
      <c r="AO3867"/>
      <c r="AP3867"/>
    </row>
    <row r="3868" spans="1:42" ht="66" x14ac:dyDescent="0.25">
      <c r="A3868" s="63"/>
      <c r="B3868" s="604" t="s">
        <v>1385</v>
      </c>
      <c r="C3868" s="1024"/>
      <c r="D3868" s="869">
        <v>3</v>
      </c>
      <c r="E3868" s="1027" t="s">
        <v>1755</v>
      </c>
      <c r="F3868" s="273" t="s">
        <v>3446</v>
      </c>
      <c r="G3868" s="1040" t="s">
        <v>3463</v>
      </c>
      <c r="H3868" s="273" t="s">
        <v>3462</v>
      </c>
      <c r="I3868" s="720">
        <f t="shared" si="865"/>
        <v>869.99999999999989</v>
      </c>
      <c r="J3868" s="756">
        <v>2609.9999999999995</v>
      </c>
      <c r="K3868" s="131">
        <f t="shared" si="852"/>
        <v>2609.9999999999995</v>
      </c>
      <c r="L3868" s="335">
        <f t="shared" si="858"/>
        <v>0</v>
      </c>
      <c r="M3868" s="446"/>
      <c r="N3868" s="446"/>
      <c r="O3868" s="446"/>
      <c r="P3868" s="446"/>
      <c r="Q3868" s="130">
        <v>1</v>
      </c>
      <c r="R3868" s="111">
        <f t="shared" si="853"/>
        <v>652.49999999999989</v>
      </c>
      <c r="S3868" s="110"/>
      <c r="T3868" s="110"/>
      <c r="U3868" s="130">
        <v>1</v>
      </c>
      <c r="V3868" s="111">
        <f t="shared" si="854"/>
        <v>652.49999999999989</v>
      </c>
      <c r="W3868" s="110"/>
      <c r="X3868" s="110"/>
      <c r="Y3868" s="110"/>
      <c r="Z3868" s="110"/>
      <c r="AA3868" s="130">
        <v>1</v>
      </c>
      <c r="AB3868" s="111">
        <f t="shared" si="863"/>
        <v>652.49999999999989</v>
      </c>
      <c r="AC3868" s="110"/>
      <c r="AD3868" s="110"/>
      <c r="AE3868" s="130">
        <v>0</v>
      </c>
      <c r="AF3868" s="111">
        <f t="shared" si="859"/>
        <v>652.49999999999989</v>
      </c>
      <c r="AG3868" s="110"/>
      <c r="AH3868" s="110"/>
      <c r="AI3868" s="110"/>
      <c r="AJ3868" s="110"/>
      <c r="AK3868" s="111">
        <f t="shared" si="860"/>
        <v>2609.9999999999995</v>
      </c>
      <c r="AL3868" s="446">
        <f t="shared" si="861"/>
        <v>0</v>
      </c>
      <c r="AM3868" s="110">
        <f t="shared" si="862"/>
        <v>3</v>
      </c>
      <c r="AN3868" s="447">
        <f t="shared" si="864"/>
        <v>0</v>
      </c>
      <c r="AO3868"/>
      <c r="AP3868"/>
    </row>
    <row r="3869" spans="1:42" ht="66" x14ac:dyDescent="0.25">
      <c r="A3869" s="63"/>
      <c r="B3869" s="604" t="s">
        <v>1386</v>
      </c>
      <c r="C3869" s="1024"/>
      <c r="D3869" s="869">
        <v>1</v>
      </c>
      <c r="E3869" s="1027" t="s">
        <v>1755</v>
      </c>
      <c r="F3869" s="273" t="s">
        <v>3446</v>
      </c>
      <c r="G3869" s="1040" t="s">
        <v>3463</v>
      </c>
      <c r="H3869" s="273" t="s">
        <v>3462</v>
      </c>
      <c r="I3869" s="720">
        <f t="shared" si="865"/>
        <v>696</v>
      </c>
      <c r="J3869" s="756">
        <v>696</v>
      </c>
      <c r="K3869" s="131">
        <f t="shared" ref="K3869:K3932" si="866">+D3869*I3869</f>
        <v>696</v>
      </c>
      <c r="L3869" s="335">
        <f t="shared" si="858"/>
        <v>0</v>
      </c>
      <c r="M3869" s="446"/>
      <c r="N3869" s="446"/>
      <c r="O3869" s="446"/>
      <c r="P3869" s="446"/>
      <c r="Q3869" s="110">
        <v>1</v>
      </c>
      <c r="R3869" s="111">
        <f t="shared" si="853"/>
        <v>174</v>
      </c>
      <c r="S3869" s="110"/>
      <c r="T3869" s="110"/>
      <c r="U3869" s="110">
        <v>0</v>
      </c>
      <c r="V3869" s="111">
        <f t="shared" si="854"/>
        <v>174</v>
      </c>
      <c r="W3869" s="110"/>
      <c r="X3869" s="110"/>
      <c r="Y3869" s="110"/>
      <c r="Z3869" s="110"/>
      <c r="AA3869" s="110">
        <v>0</v>
      </c>
      <c r="AB3869" s="111">
        <f t="shared" si="863"/>
        <v>174</v>
      </c>
      <c r="AC3869" s="110"/>
      <c r="AD3869" s="110"/>
      <c r="AE3869" s="110">
        <v>0</v>
      </c>
      <c r="AF3869" s="111">
        <f t="shared" si="859"/>
        <v>174</v>
      </c>
      <c r="AG3869" s="110"/>
      <c r="AH3869" s="110"/>
      <c r="AI3869" s="110"/>
      <c r="AJ3869" s="110"/>
      <c r="AK3869" s="111">
        <f t="shared" si="860"/>
        <v>696</v>
      </c>
      <c r="AL3869" s="446">
        <f t="shared" si="861"/>
        <v>0</v>
      </c>
      <c r="AM3869" s="110">
        <f t="shared" si="862"/>
        <v>1</v>
      </c>
      <c r="AN3869" s="447">
        <f t="shared" si="864"/>
        <v>0</v>
      </c>
      <c r="AO3869"/>
      <c r="AP3869"/>
    </row>
    <row r="3870" spans="1:42" ht="66" x14ac:dyDescent="0.25">
      <c r="A3870" s="63"/>
      <c r="B3870" s="75" t="s">
        <v>3344</v>
      </c>
      <c r="C3870" s="1024"/>
      <c r="D3870" s="882">
        <v>1</v>
      </c>
      <c r="E3870" s="251" t="s">
        <v>2949</v>
      </c>
      <c r="F3870" s="273" t="s">
        <v>3446</v>
      </c>
      <c r="G3870" s="1040" t="s">
        <v>3463</v>
      </c>
      <c r="H3870" s="273" t="s">
        <v>3462</v>
      </c>
      <c r="I3870" s="720">
        <f t="shared" si="865"/>
        <v>563.76</v>
      </c>
      <c r="J3870" s="756">
        <v>563.76</v>
      </c>
      <c r="K3870" s="131">
        <f t="shared" si="866"/>
        <v>563.76</v>
      </c>
      <c r="L3870" s="335">
        <f t="shared" si="858"/>
        <v>0</v>
      </c>
      <c r="M3870" s="446"/>
      <c r="N3870" s="446"/>
      <c r="O3870" s="446"/>
      <c r="P3870" s="446"/>
      <c r="Q3870" s="110">
        <v>1</v>
      </c>
      <c r="R3870" s="111">
        <f t="shared" si="853"/>
        <v>140.94</v>
      </c>
      <c r="S3870" s="110"/>
      <c r="T3870" s="110"/>
      <c r="U3870" s="110">
        <v>0</v>
      </c>
      <c r="V3870" s="111">
        <f t="shared" si="854"/>
        <v>140.94</v>
      </c>
      <c r="W3870" s="110"/>
      <c r="X3870" s="110"/>
      <c r="Y3870" s="110"/>
      <c r="Z3870" s="110"/>
      <c r="AA3870" s="110">
        <v>0</v>
      </c>
      <c r="AB3870" s="111">
        <f t="shared" si="863"/>
        <v>140.94</v>
      </c>
      <c r="AC3870" s="110"/>
      <c r="AD3870" s="110"/>
      <c r="AE3870" s="110">
        <v>0</v>
      </c>
      <c r="AF3870" s="111">
        <f t="shared" si="859"/>
        <v>140.94</v>
      </c>
      <c r="AG3870" s="110"/>
      <c r="AH3870" s="110"/>
      <c r="AI3870" s="110"/>
      <c r="AJ3870" s="110"/>
      <c r="AK3870" s="111">
        <f t="shared" si="860"/>
        <v>563.76</v>
      </c>
      <c r="AL3870" s="446">
        <f t="shared" si="861"/>
        <v>0</v>
      </c>
      <c r="AM3870" s="110">
        <f t="shared" si="862"/>
        <v>1</v>
      </c>
      <c r="AN3870" s="447">
        <f t="shared" si="864"/>
        <v>0</v>
      </c>
      <c r="AO3870"/>
      <c r="AP3870"/>
    </row>
    <row r="3871" spans="1:42" ht="66" x14ac:dyDescent="0.25">
      <c r="A3871" s="63"/>
      <c r="B3871" s="75" t="s">
        <v>3345</v>
      </c>
      <c r="C3871" s="1024"/>
      <c r="D3871" s="882">
        <v>1</v>
      </c>
      <c r="E3871" s="251" t="s">
        <v>3352</v>
      </c>
      <c r="F3871" s="273" t="s">
        <v>3446</v>
      </c>
      <c r="G3871" s="1040" t="s">
        <v>3463</v>
      </c>
      <c r="H3871" s="273" t="s">
        <v>3462</v>
      </c>
      <c r="I3871" s="720">
        <f t="shared" si="865"/>
        <v>207.9</v>
      </c>
      <c r="J3871" s="756">
        <v>207.9</v>
      </c>
      <c r="K3871" s="131">
        <f t="shared" si="866"/>
        <v>207.9</v>
      </c>
      <c r="L3871" s="335">
        <f t="shared" si="858"/>
        <v>0</v>
      </c>
      <c r="M3871" s="446"/>
      <c r="N3871" s="446"/>
      <c r="O3871" s="446"/>
      <c r="P3871" s="446"/>
      <c r="Q3871" s="110">
        <v>1</v>
      </c>
      <c r="R3871" s="111">
        <f t="shared" si="853"/>
        <v>51.975000000000001</v>
      </c>
      <c r="S3871" s="110"/>
      <c r="T3871" s="110"/>
      <c r="U3871" s="110">
        <v>0</v>
      </c>
      <c r="V3871" s="111">
        <f t="shared" si="854"/>
        <v>51.975000000000001</v>
      </c>
      <c r="W3871" s="110"/>
      <c r="X3871" s="110"/>
      <c r="Y3871" s="110"/>
      <c r="Z3871" s="110"/>
      <c r="AA3871" s="110">
        <v>0</v>
      </c>
      <c r="AB3871" s="111">
        <f t="shared" si="863"/>
        <v>51.975000000000001</v>
      </c>
      <c r="AC3871" s="110"/>
      <c r="AD3871" s="110"/>
      <c r="AE3871" s="110">
        <v>0</v>
      </c>
      <c r="AF3871" s="111">
        <f t="shared" si="859"/>
        <v>51.975000000000001</v>
      </c>
      <c r="AG3871" s="110"/>
      <c r="AH3871" s="110"/>
      <c r="AI3871" s="110"/>
      <c r="AJ3871" s="110"/>
      <c r="AK3871" s="111">
        <f t="shared" si="860"/>
        <v>207.9</v>
      </c>
      <c r="AL3871" s="446">
        <f t="shared" si="861"/>
        <v>0</v>
      </c>
      <c r="AM3871" s="110">
        <f t="shared" si="862"/>
        <v>1</v>
      </c>
      <c r="AN3871" s="447">
        <f t="shared" si="864"/>
        <v>0</v>
      </c>
      <c r="AO3871"/>
      <c r="AP3871"/>
    </row>
    <row r="3872" spans="1:42" ht="66" x14ac:dyDescent="0.25">
      <c r="A3872" s="63"/>
      <c r="B3872" s="75" t="s">
        <v>3346</v>
      </c>
      <c r="C3872" s="1024"/>
      <c r="D3872" s="882">
        <v>1</v>
      </c>
      <c r="E3872" s="251" t="s">
        <v>2949</v>
      </c>
      <c r="F3872" s="273" t="s">
        <v>3446</v>
      </c>
      <c r="G3872" s="1040" t="s">
        <v>3463</v>
      </c>
      <c r="H3872" s="273" t="s">
        <v>3462</v>
      </c>
      <c r="I3872" s="720">
        <f t="shared" si="865"/>
        <v>851.904</v>
      </c>
      <c r="J3872" s="756">
        <v>851.904</v>
      </c>
      <c r="K3872" s="131">
        <f t="shared" si="866"/>
        <v>851.904</v>
      </c>
      <c r="L3872" s="335">
        <f t="shared" si="858"/>
        <v>0</v>
      </c>
      <c r="M3872" s="446"/>
      <c r="N3872" s="446"/>
      <c r="O3872" s="446"/>
      <c r="P3872" s="446"/>
      <c r="Q3872" s="110">
        <v>1</v>
      </c>
      <c r="R3872" s="111">
        <f t="shared" si="853"/>
        <v>212.976</v>
      </c>
      <c r="S3872" s="110"/>
      <c r="T3872" s="110"/>
      <c r="U3872" s="110">
        <v>0</v>
      </c>
      <c r="V3872" s="111">
        <f t="shared" si="854"/>
        <v>212.976</v>
      </c>
      <c r="W3872" s="110"/>
      <c r="X3872" s="110"/>
      <c r="Y3872" s="110"/>
      <c r="Z3872" s="110"/>
      <c r="AA3872" s="110">
        <v>0</v>
      </c>
      <c r="AB3872" s="111">
        <f t="shared" si="863"/>
        <v>212.976</v>
      </c>
      <c r="AC3872" s="110"/>
      <c r="AD3872" s="110"/>
      <c r="AE3872" s="110">
        <v>0</v>
      </c>
      <c r="AF3872" s="111">
        <f t="shared" si="859"/>
        <v>212.976</v>
      </c>
      <c r="AG3872" s="110"/>
      <c r="AH3872" s="110"/>
      <c r="AI3872" s="110"/>
      <c r="AJ3872" s="110"/>
      <c r="AK3872" s="111">
        <f t="shared" si="860"/>
        <v>851.904</v>
      </c>
      <c r="AL3872" s="446">
        <f t="shared" si="861"/>
        <v>0</v>
      </c>
      <c r="AM3872" s="110">
        <f t="shared" si="862"/>
        <v>1</v>
      </c>
      <c r="AN3872" s="447">
        <f t="shared" si="864"/>
        <v>0</v>
      </c>
      <c r="AO3872"/>
      <c r="AP3872"/>
    </row>
    <row r="3873" spans="1:42" ht="66" x14ac:dyDescent="0.25">
      <c r="A3873" s="63"/>
      <c r="B3873" s="75" t="s">
        <v>3347</v>
      </c>
      <c r="C3873" s="1024"/>
      <c r="D3873" s="882">
        <v>1</v>
      </c>
      <c r="E3873" s="251" t="s">
        <v>2949</v>
      </c>
      <c r="F3873" s="273" t="s">
        <v>3446</v>
      </c>
      <c r="G3873" s="1040" t="s">
        <v>3463</v>
      </c>
      <c r="H3873" s="273" t="s">
        <v>3462</v>
      </c>
      <c r="I3873" s="720">
        <f t="shared" si="865"/>
        <v>13191.984</v>
      </c>
      <c r="J3873" s="756">
        <v>13191.984</v>
      </c>
      <c r="K3873" s="131">
        <f t="shared" si="866"/>
        <v>13191.984</v>
      </c>
      <c r="L3873" s="335">
        <f t="shared" si="858"/>
        <v>0</v>
      </c>
      <c r="M3873" s="446"/>
      <c r="N3873" s="446"/>
      <c r="O3873" s="446"/>
      <c r="P3873" s="446"/>
      <c r="Q3873" s="110">
        <v>1</v>
      </c>
      <c r="R3873" s="111">
        <f t="shared" si="853"/>
        <v>3297.9960000000001</v>
      </c>
      <c r="S3873" s="110"/>
      <c r="T3873" s="110"/>
      <c r="U3873" s="110">
        <v>0</v>
      </c>
      <c r="V3873" s="111">
        <f t="shared" si="854"/>
        <v>3297.9960000000001</v>
      </c>
      <c r="W3873" s="110"/>
      <c r="X3873" s="110"/>
      <c r="Y3873" s="110"/>
      <c r="Z3873" s="110"/>
      <c r="AA3873" s="110">
        <v>0</v>
      </c>
      <c r="AB3873" s="111">
        <f t="shared" si="863"/>
        <v>3297.9960000000001</v>
      </c>
      <c r="AC3873" s="110"/>
      <c r="AD3873" s="110"/>
      <c r="AE3873" s="110">
        <v>0</v>
      </c>
      <c r="AF3873" s="111">
        <f t="shared" si="859"/>
        <v>3297.9960000000001</v>
      </c>
      <c r="AG3873" s="110"/>
      <c r="AH3873" s="110"/>
      <c r="AI3873" s="110"/>
      <c r="AJ3873" s="110"/>
      <c r="AK3873" s="111">
        <f t="shared" si="860"/>
        <v>13191.984</v>
      </c>
      <c r="AL3873" s="446">
        <f t="shared" si="861"/>
        <v>0</v>
      </c>
      <c r="AM3873" s="110">
        <f t="shared" si="862"/>
        <v>1</v>
      </c>
      <c r="AN3873" s="447">
        <f t="shared" si="864"/>
        <v>0</v>
      </c>
      <c r="AO3873"/>
      <c r="AP3873"/>
    </row>
    <row r="3874" spans="1:42" ht="66" x14ac:dyDescent="0.25">
      <c r="A3874" s="63"/>
      <c r="B3874" s="75" t="s">
        <v>3348</v>
      </c>
      <c r="C3874" s="1024"/>
      <c r="D3874" s="882">
        <v>1</v>
      </c>
      <c r="E3874" s="251" t="s">
        <v>1767</v>
      </c>
      <c r="F3874" s="273" t="s">
        <v>3446</v>
      </c>
      <c r="G3874" s="1040" t="s">
        <v>3463</v>
      </c>
      <c r="H3874" s="273" t="s">
        <v>3462</v>
      </c>
      <c r="I3874" s="720">
        <f t="shared" si="865"/>
        <v>386.80200000000002</v>
      </c>
      <c r="J3874" s="756">
        <v>386.80200000000002</v>
      </c>
      <c r="K3874" s="131">
        <f t="shared" si="866"/>
        <v>386.80200000000002</v>
      </c>
      <c r="L3874" s="335">
        <f t="shared" si="858"/>
        <v>0</v>
      </c>
      <c r="M3874" s="446"/>
      <c r="N3874" s="446"/>
      <c r="O3874" s="446"/>
      <c r="P3874" s="446"/>
      <c r="Q3874" s="110">
        <v>1</v>
      </c>
      <c r="R3874" s="111">
        <f t="shared" si="853"/>
        <v>96.700500000000005</v>
      </c>
      <c r="S3874" s="110"/>
      <c r="T3874" s="110"/>
      <c r="U3874" s="110">
        <v>0</v>
      </c>
      <c r="V3874" s="111">
        <f t="shared" si="854"/>
        <v>96.700500000000005</v>
      </c>
      <c r="W3874" s="110"/>
      <c r="X3874" s="110"/>
      <c r="Y3874" s="110"/>
      <c r="Z3874" s="110"/>
      <c r="AA3874" s="110">
        <v>0</v>
      </c>
      <c r="AB3874" s="111">
        <f t="shared" si="863"/>
        <v>96.700500000000005</v>
      </c>
      <c r="AC3874" s="110"/>
      <c r="AD3874" s="110"/>
      <c r="AE3874" s="110">
        <v>0</v>
      </c>
      <c r="AF3874" s="111">
        <f t="shared" si="859"/>
        <v>96.700500000000005</v>
      </c>
      <c r="AG3874" s="110"/>
      <c r="AH3874" s="110"/>
      <c r="AI3874" s="110"/>
      <c r="AJ3874" s="110"/>
      <c r="AK3874" s="111">
        <f t="shared" si="860"/>
        <v>386.80200000000002</v>
      </c>
      <c r="AL3874" s="446">
        <f t="shared" si="861"/>
        <v>0</v>
      </c>
      <c r="AM3874" s="110">
        <f t="shared" si="862"/>
        <v>1</v>
      </c>
      <c r="AN3874" s="447">
        <f t="shared" si="864"/>
        <v>0</v>
      </c>
      <c r="AO3874"/>
      <c r="AP3874"/>
    </row>
    <row r="3875" spans="1:42" ht="66" x14ac:dyDescent="0.25">
      <c r="A3875" s="63"/>
      <c r="B3875" s="75" t="s">
        <v>3349</v>
      </c>
      <c r="C3875" s="1024"/>
      <c r="D3875" s="882">
        <v>1</v>
      </c>
      <c r="E3875" s="251" t="s">
        <v>2949</v>
      </c>
      <c r="F3875" s="273" t="s">
        <v>3446</v>
      </c>
      <c r="G3875" s="1040" t="s">
        <v>3463</v>
      </c>
      <c r="H3875" s="273" t="s">
        <v>3462</v>
      </c>
      <c r="I3875" s="720">
        <f t="shared" si="865"/>
        <v>1064.8800000000001</v>
      </c>
      <c r="J3875" s="756">
        <v>1064.8800000000001</v>
      </c>
      <c r="K3875" s="131">
        <f t="shared" si="866"/>
        <v>1064.8800000000001</v>
      </c>
      <c r="L3875" s="335">
        <f t="shared" si="858"/>
        <v>0</v>
      </c>
      <c r="M3875" s="446"/>
      <c r="N3875" s="446"/>
      <c r="O3875" s="446"/>
      <c r="P3875" s="446"/>
      <c r="Q3875" s="110">
        <v>1</v>
      </c>
      <c r="R3875" s="111">
        <f t="shared" si="853"/>
        <v>266.22000000000003</v>
      </c>
      <c r="S3875" s="110"/>
      <c r="T3875" s="110"/>
      <c r="U3875" s="110">
        <v>0</v>
      </c>
      <c r="V3875" s="111">
        <f t="shared" si="854"/>
        <v>266.22000000000003</v>
      </c>
      <c r="W3875" s="110"/>
      <c r="X3875" s="110"/>
      <c r="Y3875" s="110"/>
      <c r="Z3875" s="110"/>
      <c r="AA3875" s="110">
        <v>0</v>
      </c>
      <c r="AB3875" s="111">
        <f t="shared" si="863"/>
        <v>266.22000000000003</v>
      </c>
      <c r="AC3875" s="110"/>
      <c r="AD3875" s="110"/>
      <c r="AE3875" s="110">
        <v>0</v>
      </c>
      <c r="AF3875" s="111">
        <f t="shared" si="859"/>
        <v>266.22000000000003</v>
      </c>
      <c r="AG3875" s="110"/>
      <c r="AH3875" s="110"/>
      <c r="AI3875" s="110"/>
      <c r="AJ3875" s="110"/>
      <c r="AK3875" s="111">
        <f t="shared" si="860"/>
        <v>1064.8800000000001</v>
      </c>
      <c r="AL3875" s="446">
        <f t="shared" si="861"/>
        <v>0</v>
      </c>
      <c r="AM3875" s="110">
        <f t="shared" si="862"/>
        <v>1</v>
      </c>
      <c r="AN3875" s="447">
        <f t="shared" si="864"/>
        <v>0</v>
      </c>
      <c r="AO3875"/>
      <c r="AP3875"/>
    </row>
    <row r="3876" spans="1:42" ht="66" x14ac:dyDescent="0.25">
      <c r="A3876" s="63"/>
      <c r="B3876" s="75" t="s">
        <v>3350</v>
      </c>
      <c r="C3876" s="1024"/>
      <c r="D3876" s="882">
        <v>1</v>
      </c>
      <c r="E3876" s="251" t="s">
        <v>2949</v>
      </c>
      <c r="F3876" s="273" t="s">
        <v>3446</v>
      </c>
      <c r="G3876" s="1040" t="s">
        <v>3463</v>
      </c>
      <c r="H3876" s="273" t="s">
        <v>3462</v>
      </c>
      <c r="I3876" s="720">
        <f t="shared" si="865"/>
        <v>86.410800000000009</v>
      </c>
      <c r="J3876" s="756">
        <v>86.410800000000009</v>
      </c>
      <c r="K3876" s="131">
        <f t="shared" si="866"/>
        <v>86.410800000000009</v>
      </c>
      <c r="L3876" s="335">
        <f t="shared" si="858"/>
        <v>0</v>
      </c>
      <c r="M3876" s="446"/>
      <c r="N3876" s="446"/>
      <c r="O3876" s="446"/>
      <c r="P3876" s="446"/>
      <c r="Q3876" s="110">
        <v>1</v>
      </c>
      <c r="R3876" s="111">
        <f t="shared" si="853"/>
        <v>21.602700000000002</v>
      </c>
      <c r="S3876" s="110"/>
      <c r="T3876" s="110"/>
      <c r="U3876" s="110">
        <v>0</v>
      </c>
      <c r="V3876" s="111">
        <f t="shared" si="854"/>
        <v>21.602700000000002</v>
      </c>
      <c r="W3876" s="110"/>
      <c r="X3876" s="110"/>
      <c r="Y3876" s="110"/>
      <c r="Z3876" s="110"/>
      <c r="AA3876" s="110">
        <v>0</v>
      </c>
      <c r="AB3876" s="111">
        <f t="shared" si="863"/>
        <v>21.602700000000002</v>
      </c>
      <c r="AC3876" s="110"/>
      <c r="AD3876" s="110"/>
      <c r="AE3876" s="110">
        <v>0</v>
      </c>
      <c r="AF3876" s="111">
        <f t="shared" si="859"/>
        <v>21.602700000000002</v>
      </c>
      <c r="AG3876" s="110"/>
      <c r="AH3876" s="110"/>
      <c r="AI3876" s="110"/>
      <c r="AJ3876" s="110"/>
      <c r="AK3876" s="111">
        <f t="shared" si="860"/>
        <v>86.410800000000009</v>
      </c>
      <c r="AL3876" s="446">
        <f t="shared" si="861"/>
        <v>0</v>
      </c>
      <c r="AM3876" s="110">
        <f t="shared" si="862"/>
        <v>1</v>
      </c>
      <c r="AN3876" s="447">
        <f t="shared" si="864"/>
        <v>0</v>
      </c>
      <c r="AO3876"/>
      <c r="AP3876"/>
    </row>
    <row r="3877" spans="1:42" ht="66" x14ac:dyDescent="0.25">
      <c r="A3877" s="63"/>
      <c r="B3877" s="75" t="s">
        <v>3351</v>
      </c>
      <c r="C3877" s="1024"/>
      <c r="D3877" s="882">
        <v>1</v>
      </c>
      <c r="E3877" s="251" t="s">
        <v>2949</v>
      </c>
      <c r="F3877" s="273" t="s">
        <v>3446</v>
      </c>
      <c r="G3877" s="1040" t="s">
        <v>3463</v>
      </c>
      <c r="H3877" s="273" t="s">
        <v>3462</v>
      </c>
      <c r="I3877" s="720">
        <f t="shared" si="865"/>
        <v>530</v>
      </c>
      <c r="J3877" s="756">
        <v>530</v>
      </c>
      <c r="K3877" s="131">
        <f t="shared" si="866"/>
        <v>530</v>
      </c>
      <c r="L3877" s="335">
        <f t="shared" si="858"/>
        <v>0</v>
      </c>
      <c r="M3877" s="446"/>
      <c r="N3877" s="446"/>
      <c r="O3877" s="446"/>
      <c r="P3877" s="446"/>
      <c r="Q3877" s="110">
        <v>1</v>
      </c>
      <c r="R3877" s="111">
        <f t="shared" si="853"/>
        <v>132.5</v>
      </c>
      <c r="S3877" s="110"/>
      <c r="T3877" s="110"/>
      <c r="U3877" s="110">
        <v>0</v>
      </c>
      <c r="V3877" s="111">
        <f t="shared" si="854"/>
        <v>132.5</v>
      </c>
      <c r="W3877" s="110"/>
      <c r="X3877" s="110"/>
      <c r="Y3877" s="110"/>
      <c r="Z3877" s="110"/>
      <c r="AA3877" s="110">
        <v>0</v>
      </c>
      <c r="AB3877" s="111">
        <f t="shared" si="863"/>
        <v>132.5</v>
      </c>
      <c r="AC3877" s="110"/>
      <c r="AD3877" s="110"/>
      <c r="AE3877" s="110">
        <v>0</v>
      </c>
      <c r="AF3877" s="111">
        <f t="shared" si="859"/>
        <v>132.5</v>
      </c>
      <c r="AG3877" s="110"/>
      <c r="AH3877" s="110"/>
      <c r="AI3877" s="110"/>
      <c r="AJ3877" s="110"/>
      <c r="AK3877" s="111">
        <f t="shared" si="860"/>
        <v>530</v>
      </c>
      <c r="AL3877" s="446">
        <f t="shared" si="861"/>
        <v>0</v>
      </c>
      <c r="AM3877" s="110">
        <f t="shared" si="862"/>
        <v>1</v>
      </c>
      <c r="AN3877" s="447">
        <f t="shared" si="864"/>
        <v>0</v>
      </c>
      <c r="AO3877"/>
      <c r="AP3877"/>
    </row>
    <row r="3878" spans="1:42" ht="22.5" x14ac:dyDescent="0.25">
      <c r="A3878" s="7">
        <v>35702</v>
      </c>
      <c r="B3878" s="56" t="s">
        <v>903</v>
      </c>
      <c r="C3878" s="162"/>
      <c r="D3878" s="910"/>
      <c r="E3878" s="1019"/>
      <c r="F3878" s="269"/>
      <c r="G3878" s="269"/>
      <c r="H3878" s="269"/>
      <c r="I3878" s="720"/>
      <c r="J3878" s="798"/>
      <c r="K3878" s="131">
        <f t="shared" si="866"/>
        <v>0</v>
      </c>
      <c r="L3878" s="335">
        <f t="shared" si="858"/>
        <v>0</v>
      </c>
      <c r="M3878" s="446"/>
      <c r="N3878" s="446"/>
      <c r="O3878" s="446"/>
      <c r="P3878" s="446"/>
      <c r="Q3878" s="110">
        <f t="shared" si="855"/>
        <v>0</v>
      </c>
      <c r="R3878" s="111">
        <f t="shared" si="853"/>
        <v>0</v>
      </c>
      <c r="S3878" s="110"/>
      <c r="T3878" s="110"/>
      <c r="U3878" s="110">
        <f t="shared" si="856"/>
        <v>0</v>
      </c>
      <c r="V3878" s="111">
        <f t="shared" si="854"/>
        <v>0</v>
      </c>
      <c r="W3878" s="110"/>
      <c r="X3878" s="110"/>
      <c r="Y3878" s="110"/>
      <c r="Z3878" s="110"/>
      <c r="AA3878" s="110">
        <f t="shared" si="857"/>
        <v>0</v>
      </c>
      <c r="AB3878" s="111">
        <f t="shared" si="863"/>
        <v>0</v>
      </c>
      <c r="AC3878" s="110"/>
      <c r="AD3878" s="110"/>
      <c r="AE3878" s="110">
        <f t="shared" si="857"/>
        <v>0</v>
      </c>
      <c r="AF3878" s="111">
        <f t="shared" si="859"/>
        <v>0</v>
      </c>
      <c r="AG3878" s="110"/>
      <c r="AH3878" s="110"/>
      <c r="AI3878" s="110"/>
      <c r="AJ3878" s="110"/>
      <c r="AK3878" s="111">
        <f t="shared" si="860"/>
        <v>0</v>
      </c>
      <c r="AL3878" s="446">
        <f t="shared" si="861"/>
        <v>0</v>
      </c>
      <c r="AM3878" s="110">
        <f t="shared" si="862"/>
        <v>0</v>
      </c>
      <c r="AN3878" s="447">
        <f t="shared" si="864"/>
        <v>0</v>
      </c>
      <c r="AO3878" s="108"/>
      <c r="AP3878"/>
    </row>
    <row r="3879" spans="1:42" x14ac:dyDescent="0.25">
      <c r="A3879" s="61"/>
      <c r="B3879" s="583"/>
      <c r="C3879" s="6"/>
      <c r="D3879" s="882"/>
      <c r="E3879" s="1025"/>
      <c r="F3879" s="271"/>
      <c r="G3879" s="271"/>
      <c r="H3879" s="271"/>
      <c r="I3879" s="720"/>
      <c r="J3879" s="816"/>
      <c r="K3879" s="131">
        <f t="shared" si="866"/>
        <v>0</v>
      </c>
      <c r="L3879" s="335">
        <f t="shared" si="858"/>
        <v>0</v>
      </c>
      <c r="M3879" s="446"/>
      <c r="N3879" s="446"/>
      <c r="O3879" s="446"/>
      <c r="P3879" s="446"/>
      <c r="Q3879" s="110">
        <f t="shared" si="855"/>
        <v>0</v>
      </c>
      <c r="R3879" s="111">
        <f t="shared" si="853"/>
        <v>0</v>
      </c>
      <c r="S3879" s="110"/>
      <c r="T3879" s="110"/>
      <c r="U3879" s="110">
        <f t="shared" si="856"/>
        <v>0</v>
      </c>
      <c r="V3879" s="111">
        <f t="shared" si="854"/>
        <v>0</v>
      </c>
      <c r="W3879" s="110"/>
      <c r="X3879" s="110"/>
      <c r="Y3879" s="110"/>
      <c r="Z3879" s="110"/>
      <c r="AA3879" s="110">
        <f t="shared" si="857"/>
        <v>0</v>
      </c>
      <c r="AB3879" s="111">
        <f t="shared" si="863"/>
        <v>0</v>
      </c>
      <c r="AC3879" s="110"/>
      <c r="AD3879" s="110"/>
      <c r="AE3879" s="110">
        <f t="shared" si="857"/>
        <v>0</v>
      </c>
      <c r="AF3879" s="111">
        <f t="shared" si="859"/>
        <v>0</v>
      </c>
      <c r="AG3879" s="110"/>
      <c r="AH3879" s="110"/>
      <c r="AI3879" s="110"/>
      <c r="AJ3879" s="110"/>
      <c r="AK3879" s="111">
        <f t="shared" si="860"/>
        <v>0</v>
      </c>
      <c r="AL3879" s="446">
        <f t="shared" si="861"/>
        <v>0</v>
      </c>
      <c r="AM3879" s="110">
        <f t="shared" si="862"/>
        <v>0</v>
      </c>
      <c r="AN3879" s="447">
        <f t="shared" si="864"/>
        <v>0</v>
      </c>
      <c r="AO3879"/>
      <c r="AP3879"/>
    </row>
    <row r="3880" spans="1:42" x14ac:dyDescent="0.25">
      <c r="A3880" s="376">
        <v>358</v>
      </c>
      <c r="B3880" s="588" t="s">
        <v>904</v>
      </c>
      <c r="C3880" s="376"/>
      <c r="D3880" s="940"/>
      <c r="E3880" s="377"/>
      <c r="F3880" s="378"/>
      <c r="G3880" s="378"/>
      <c r="H3880" s="378"/>
      <c r="I3880" s="734"/>
      <c r="J3880" s="806"/>
      <c r="K3880" s="131">
        <f t="shared" si="866"/>
        <v>0</v>
      </c>
      <c r="L3880" s="335">
        <f t="shared" si="858"/>
        <v>0</v>
      </c>
      <c r="M3880" s="419"/>
      <c r="N3880" s="419"/>
      <c r="O3880" s="419"/>
      <c r="P3880" s="419"/>
      <c r="Q3880" s="418">
        <f t="shared" si="855"/>
        <v>0</v>
      </c>
      <c r="R3880" s="379">
        <f t="shared" si="853"/>
        <v>0</v>
      </c>
      <c r="S3880" s="418"/>
      <c r="T3880" s="418"/>
      <c r="U3880" s="418">
        <f t="shared" si="856"/>
        <v>0</v>
      </c>
      <c r="V3880" s="379">
        <f t="shared" si="854"/>
        <v>0</v>
      </c>
      <c r="W3880" s="418"/>
      <c r="X3880" s="418"/>
      <c r="Y3880" s="418"/>
      <c r="Z3880" s="418"/>
      <c r="AA3880" s="418">
        <f t="shared" si="857"/>
        <v>0</v>
      </c>
      <c r="AB3880" s="379">
        <f t="shared" si="863"/>
        <v>0</v>
      </c>
      <c r="AC3880" s="418"/>
      <c r="AD3880" s="418"/>
      <c r="AE3880" s="418">
        <f t="shared" si="857"/>
        <v>0</v>
      </c>
      <c r="AF3880" s="379">
        <f t="shared" si="859"/>
        <v>0</v>
      </c>
      <c r="AG3880" s="418"/>
      <c r="AH3880" s="418"/>
      <c r="AI3880" s="418"/>
      <c r="AJ3880" s="418"/>
      <c r="AK3880" s="379">
        <f t="shared" si="860"/>
        <v>0</v>
      </c>
      <c r="AL3880" s="446">
        <f t="shared" si="861"/>
        <v>0</v>
      </c>
      <c r="AM3880" s="110">
        <f t="shared" si="862"/>
        <v>0</v>
      </c>
      <c r="AN3880" s="447">
        <f t="shared" si="864"/>
        <v>0</v>
      </c>
      <c r="AO3880" s="108"/>
      <c r="AP3880"/>
    </row>
    <row r="3881" spans="1:42" x14ac:dyDescent="0.25">
      <c r="A3881" s="315">
        <v>35801</v>
      </c>
      <c r="B3881" s="351" t="s">
        <v>905</v>
      </c>
      <c r="C3881" s="316"/>
      <c r="D3881" s="886"/>
      <c r="E3881" s="318"/>
      <c r="F3881" s="319"/>
      <c r="G3881" s="319"/>
      <c r="H3881" s="319"/>
      <c r="I3881" s="724"/>
      <c r="J3881" s="762"/>
      <c r="K3881" s="131">
        <f t="shared" si="866"/>
        <v>0</v>
      </c>
      <c r="L3881" s="335">
        <f t="shared" si="858"/>
        <v>0</v>
      </c>
      <c r="M3881" s="446"/>
      <c r="N3881" s="446"/>
      <c r="O3881" s="446"/>
      <c r="P3881" s="446"/>
      <c r="Q3881" s="110">
        <f t="shared" si="855"/>
        <v>0</v>
      </c>
      <c r="R3881" s="111">
        <f t="shared" si="853"/>
        <v>0</v>
      </c>
      <c r="S3881" s="110"/>
      <c r="T3881" s="110"/>
      <c r="U3881" s="110">
        <f t="shared" si="856"/>
        <v>0</v>
      </c>
      <c r="V3881" s="111">
        <f t="shared" si="854"/>
        <v>0</v>
      </c>
      <c r="W3881" s="110"/>
      <c r="X3881" s="110"/>
      <c r="Y3881" s="110"/>
      <c r="Z3881" s="110"/>
      <c r="AA3881" s="110">
        <f t="shared" si="857"/>
        <v>0</v>
      </c>
      <c r="AB3881" s="111">
        <f t="shared" si="863"/>
        <v>0</v>
      </c>
      <c r="AC3881" s="110"/>
      <c r="AD3881" s="110"/>
      <c r="AE3881" s="110">
        <f t="shared" si="857"/>
        <v>0</v>
      </c>
      <c r="AF3881" s="111">
        <f t="shared" si="859"/>
        <v>0</v>
      </c>
      <c r="AG3881" s="110"/>
      <c r="AH3881" s="110"/>
      <c r="AI3881" s="110"/>
      <c r="AJ3881" s="110"/>
      <c r="AK3881" s="111">
        <f t="shared" si="860"/>
        <v>0</v>
      </c>
      <c r="AL3881" s="446">
        <f t="shared" si="861"/>
        <v>0</v>
      </c>
      <c r="AM3881" s="110">
        <f t="shared" si="862"/>
        <v>0</v>
      </c>
      <c r="AN3881" s="447">
        <f t="shared" si="864"/>
        <v>0</v>
      </c>
      <c r="AO3881" s="436">
        <f>SUM(J3882:J3883)</f>
        <v>16020</v>
      </c>
      <c r="AP3881" s="111"/>
    </row>
    <row r="3882" spans="1:42" ht="66" x14ac:dyDescent="0.25">
      <c r="A3882" s="63"/>
      <c r="B3882" s="605" t="s">
        <v>2458</v>
      </c>
      <c r="C3882" s="1024"/>
      <c r="D3882" s="869">
        <f>10+11+4</f>
        <v>25</v>
      </c>
      <c r="E3882" s="1027" t="s">
        <v>1755</v>
      </c>
      <c r="F3882" s="273" t="s">
        <v>3446</v>
      </c>
      <c r="G3882" s="1040" t="s">
        <v>3463</v>
      </c>
      <c r="H3882" s="273" t="s">
        <v>3462</v>
      </c>
      <c r="I3882" s="720">
        <f>+J3882/D3882</f>
        <v>380.8</v>
      </c>
      <c r="J3882" s="763">
        <f>5800+2200+1520</f>
        <v>9520</v>
      </c>
      <c r="K3882" s="131">
        <f t="shared" si="866"/>
        <v>9520</v>
      </c>
      <c r="L3882" s="335">
        <f t="shared" si="858"/>
        <v>0</v>
      </c>
      <c r="M3882" s="446"/>
      <c r="N3882" s="446"/>
      <c r="O3882" s="446"/>
      <c r="P3882" s="446"/>
      <c r="Q3882" s="110">
        <v>7</v>
      </c>
      <c r="R3882" s="111">
        <f t="shared" si="853"/>
        <v>2380</v>
      </c>
      <c r="S3882" s="110"/>
      <c r="T3882" s="110"/>
      <c r="U3882" s="110">
        <v>6</v>
      </c>
      <c r="V3882" s="111">
        <f t="shared" si="854"/>
        <v>2380</v>
      </c>
      <c r="W3882" s="110"/>
      <c r="X3882" s="110"/>
      <c r="Y3882" s="110"/>
      <c r="Z3882" s="110"/>
      <c r="AA3882" s="110">
        <v>6</v>
      </c>
      <c r="AB3882" s="111">
        <f t="shared" si="863"/>
        <v>2380</v>
      </c>
      <c r="AC3882" s="110"/>
      <c r="AD3882" s="110"/>
      <c r="AE3882" s="110">
        <v>6</v>
      </c>
      <c r="AF3882" s="111">
        <f t="shared" si="859"/>
        <v>2380</v>
      </c>
      <c r="AG3882" s="110"/>
      <c r="AH3882" s="110"/>
      <c r="AI3882" s="110"/>
      <c r="AJ3882" s="110"/>
      <c r="AK3882" s="111">
        <f t="shared" si="860"/>
        <v>9520</v>
      </c>
      <c r="AL3882" s="446">
        <f t="shared" si="861"/>
        <v>0</v>
      </c>
      <c r="AM3882" s="110">
        <f t="shared" si="862"/>
        <v>25</v>
      </c>
      <c r="AN3882" s="447">
        <f t="shared" si="864"/>
        <v>0</v>
      </c>
      <c r="AO3882"/>
      <c r="AP3882"/>
    </row>
    <row r="3883" spans="1:42" ht="66" x14ac:dyDescent="0.25">
      <c r="A3883" s="63"/>
      <c r="B3883" s="606" t="s">
        <v>2579</v>
      </c>
      <c r="C3883" s="1024"/>
      <c r="D3883" s="869">
        <v>10</v>
      </c>
      <c r="E3883" s="1027" t="s">
        <v>1755</v>
      </c>
      <c r="F3883" s="273" t="s">
        <v>3446</v>
      </c>
      <c r="G3883" s="1040" t="s">
        <v>3463</v>
      </c>
      <c r="H3883" s="273" t="s">
        <v>3462</v>
      </c>
      <c r="I3883" s="720">
        <f>+J3883/D3883</f>
        <v>650</v>
      </c>
      <c r="J3883" s="763">
        <v>6500</v>
      </c>
      <c r="K3883" s="131">
        <f t="shared" si="866"/>
        <v>6500</v>
      </c>
      <c r="L3883" s="335">
        <f t="shared" si="858"/>
        <v>0</v>
      </c>
      <c r="M3883" s="446"/>
      <c r="N3883" s="446"/>
      <c r="O3883" s="446"/>
      <c r="P3883" s="446"/>
      <c r="Q3883" s="130">
        <v>3</v>
      </c>
      <c r="R3883" s="111">
        <f t="shared" si="853"/>
        <v>1625</v>
      </c>
      <c r="S3883" s="110"/>
      <c r="T3883" s="110"/>
      <c r="U3883" s="130">
        <v>3</v>
      </c>
      <c r="V3883" s="111">
        <f t="shared" si="854"/>
        <v>1625</v>
      </c>
      <c r="W3883" s="110"/>
      <c r="X3883" s="110"/>
      <c r="Y3883" s="110"/>
      <c r="Z3883" s="110"/>
      <c r="AA3883" s="130">
        <v>2</v>
      </c>
      <c r="AB3883" s="111">
        <f t="shared" si="863"/>
        <v>1625</v>
      </c>
      <c r="AC3883" s="110"/>
      <c r="AD3883" s="110"/>
      <c r="AE3883" s="130">
        <v>2</v>
      </c>
      <c r="AF3883" s="111">
        <f t="shared" si="859"/>
        <v>1625</v>
      </c>
      <c r="AG3883" s="110"/>
      <c r="AH3883" s="110"/>
      <c r="AI3883" s="110"/>
      <c r="AJ3883" s="110"/>
      <c r="AK3883" s="111">
        <f t="shared" si="860"/>
        <v>6500</v>
      </c>
      <c r="AL3883" s="446">
        <f t="shared" si="861"/>
        <v>0</v>
      </c>
      <c r="AM3883" s="110">
        <f t="shared" si="862"/>
        <v>10</v>
      </c>
      <c r="AN3883" s="447">
        <f t="shared" si="864"/>
        <v>0</v>
      </c>
      <c r="AO3883"/>
      <c r="AP3883"/>
    </row>
    <row r="3884" spans="1:42" x14ac:dyDescent="0.25">
      <c r="A3884" s="315">
        <v>35802</v>
      </c>
      <c r="B3884" s="351" t="s">
        <v>906</v>
      </c>
      <c r="C3884" s="316"/>
      <c r="D3884" s="886"/>
      <c r="E3884" s="318"/>
      <c r="F3884" s="319"/>
      <c r="G3884" s="319"/>
      <c r="H3884" s="319"/>
      <c r="I3884" s="724"/>
      <c r="J3884" s="762"/>
      <c r="K3884" s="131">
        <f t="shared" si="866"/>
        <v>0</v>
      </c>
      <c r="L3884" s="335">
        <f t="shared" si="858"/>
        <v>0</v>
      </c>
      <c r="M3884" s="446"/>
      <c r="N3884" s="446"/>
      <c r="O3884" s="446"/>
      <c r="P3884" s="446"/>
      <c r="Q3884" s="110">
        <f t="shared" si="855"/>
        <v>0</v>
      </c>
      <c r="R3884" s="111">
        <f t="shared" si="853"/>
        <v>0</v>
      </c>
      <c r="S3884" s="110"/>
      <c r="T3884" s="110"/>
      <c r="U3884" s="110">
        <f t="shared" si="856"/>
        <v>0</v>
      </c>
      <c r="V3884" s="111">
        <f t="shared" si="854"/>
        <v>0</v>
      </c>
      <c r="W3884" s="110"/>
      <c r="X3884" s="110"/>
      <c r="Y3884" s="110"/>
      <c r="Z3884" s="110"/>
      <c r="AA3884" s="110">
        <f t="shared" si="857"/>
        <v>0</v>
      </c>
      <c r="AB3884" s="111">
        <f t="shared" si="863"/>
        <v>0</v>
      </c>
      <c r="AC3884" s="110"/>
      <c r="AD3884" s="110"/>
      <c r="AE3884" s="110">
        <f t="shared" si="857"/>
        <v>0</v>
      </c>
      <c r="AF3884" s="111">
        <f t="shared" si="859"/>
        <v>0</v>
      </c>
      <c r="AG3884" s="110"/>
      <c r="AH3884" s="110"/>
      <c r="AI3884" s="110"/>
      <c r="AJ3884" s="110"/>
      <c r="AK3884" s="111">
        <f t="shared" si="860"/>
        <v>0</v>
      </c>
      <c r="AL3884" s="446">
        <f t="shared" si="861"/>
        <v>0</v>
      </c>
      <c r="AM3884" s="110">
        <f t="shared" si="862"/>
        <v>0</v>
      </c>
      <c r="AN3884" s="447">
        <f t="shared" si="864"/>
        <v>0</v>
      </c>
      <c r="AO3884" s="436">
        <f>SUM(J3885)</f>
        <v>12000</v>
      </c>
      <c r="AP3884" s="111"/>
    </row>
    <row r="3885" spans="1:42" ht="66" x14ac:dyDescent="0.25">
      <c r="A3885" s="61"/>
      <c r="B3885" s="554" t="s">
        <v>3353</v>
      </c>
      <c r="C3885" s="9"/>
      <c r="D3885" s="882">
        <v>12</v>
      </c>
      <c r="E3885" s="1025" t="s">
        <v>1755</v>
      </c>
      <c r="F3885" s="273" t="s">
        <v>3446</v>
      </c>
      <c r="G3885" s="1040" t="s">
        <v>3463</v>
      </c>
      <c r="H3885" s="273" t="s">
        <v>3462</v>
      </c>
      <c r="I3885" s="720">
        <f>+J3885/D3885</f>
        <v>1000</v>
      </c>
      <c r="J3885" s="816">
        <v>12000</v>
      </c>
      <c r="K3885" s="131">
        <f t="shared" si="866"/>
        <v>12000</v>
      </c>
      <c r="L3885" s="335">
        <f t="shared" si="858"/>
        <v>0</v>
      </c>
      <c r="M3885" s="446"/>
      <c r="N3885" s="446"/>
      <c r="O3885" s="446"/>
      <c r="P3885" s="446"/>
      <c r="Q3885" s="110">
        <f t="shared" si="855"/>
        <v>3</v>
      </c>
      <c r="R3885" s="111">
        <f t="shared" si="853"/>
        <v>3000</v>
      </c>
      <c r="S3885" s="110"/>
      <c r="T3885" s="110"/>
      <c r="U3885" s="110">
        <f t="shared" si="856"/>
        <v>3</v>
      </c>
      <c r="V3885" s="111">
        <f t="shared" si="854"/>
        <v>3000</v>
      </c>
      <c r="W3885" s="110"/>
      <c r="X3885" s="110"/>
      <c r="Y3885" s="110"/>
      <c r="Z3885" s="110"/>
      <c r="AA3885" s="110">
        <f t="shared" si="857"/>
        <v>3</v>
      </c>
      <c r="AB3885" s="111">
        <f t="shared" si="863"/>
        <v>3000</v>
      </c>
      <c r="AC3885" s="110"/>
      <c r="AD3885" s="110"/>
      <c r="AE3885" s="110">
        <f t="shared" si="857"/>
        <v>3</v>
      </c>
      <c r="AF3885" s="111">
        <f t="shared" si="859"/>
        <v>3000</v>
      </c>
      <c r="AG3885" s="110"/>
      <c r="AH3885" s="110"/>
      <c r="AI3885" s="110"/>
      <c r="AJ3885" s="110"/>
      <c r="AK3885" s="111">
        <f t="shared" si="860"/>
        <v>12000</v>
      </c>
      <c r="AL3885" s="446">
        <f t="shared" si="861"/>
        <v>0</v>
      </c>
      <c r="AM3885" s="110">
        <f t="shared" si="862"/>
        <v>12</v>
      </c>
      <c r="AN3885" s="447">
        <f t="shared" si="864"/>
        <v>0</v>
      </c>
      <c r="AO3885"/>
      <c r="AP3885"/>
    </row>
    <row r="3886" spans="1:42" x14ac:dyDescent="0.25">
      <c r="A3886" s="376">
        <v>359</v>
      </c>
      <c r="B3886" s="588" t="s">
        <v>907</v>
      </c>
      <c r="C3886" s="376"/>
      <c r="D3886" s="940"/>
      <c r="E3886" s="377"/>
      <c r="F3886" s="378"/>
      <c r="G3886" s="378"/>
      <c r="H3886" s="378"/>
      <c r="I3886" s="734"/>
      <c r="J3886" s="806"/>
      <c r="K3886" s="131">
        <f t="shared" si="866"/>
        <v>0</v>
      </c>
      <c r="L3886" s="335">
        <f t="shared" si="858"/>
        <v>0</v>
      </c>
      <c r="M3886" s="419"/>
      <c r="N3886" s="419"/>
      <c r="O3886" s="419"/>
      <c r="P3886" s="419"/>
      <c r="Q3886" s="418">
        <f t="shared" si="855"/>
        <v>0</v>
      </c>
      <c r="R3886" s="379">
        <f t="shared" si="853"/>
        <v>0</v>
      </c>
      <c r="S3886" s="418"/>
      <c r="T3886" s="418"/>
      <c r="U3886" s="418">
        <f t="shared" si="856"/>
        <v>0</v>
      </c>
      <c r="V3886" s="379">
        <f t="shared" si="854"/>
        <v>0</v>
      </c>
      <c r="W3886" s="418"/>
      <c r="X3886" s="418"/>
      <c r="Y3886" s="418"/>
      <c r="Z3886" s="418"/>
      <c r="AA3886" s="418">
        <f t="shared" si="857"/>
        <v>0</v>
      </c>
      <c r="AB3886" s="379">
        <f t="shared" si="863"/>
        <v>0</v>
      </c>
      <c r="AC3886" s="418"/>
      <c r="AD3886" s="418"/>
      <c r="AE3886" s="418">
        <f t="shared" si="857"/>
        <v>0</v>
      </c>
      <c r="AF3886" s="379">
        <f t="shared" si="859"/>
        <v>0</v>
      </c>
      <c r="AG3886" s="418"/>
      <c r="AH3886" s="418"/>
      <c r="AI3886" s="418"/>
      <c r="AJ3886" s="418"/>
      <c r="AK3886" s="379">
        <f t="shared" si="860"/>
        <v>0</v>
      </c>
      <c r="AL3886" s="446">
        <f t="shared" si="861"/>
        <v>0</v>
      </c>
      <c r="AM3886" s="110">
        <f t="shared" si="862"/>
        <v>0</v>
      </c>
      <c r="AN3886" s="447">
        <f t="shared" si="864"/>
        <v>0</v>
      </c>
      <c r="AO3886" s="108"/>
      <c r="AP3886"/>
    </row>
    <row r="3887" spans="1:42" x14ac:dyDescent="0.25">
      <c r="A3887" s="315">
        <v>35901</v>
      </c>
      <c r="B3887" s="351" t="s">
        <v>908</v>
      </c>
      <c r="C3887" s="316"/>
      <c r="D3887" s="886"/>
      <c r="E3887" s="318"/>
      <c r="F3887" s="319"/>
      <c r="G3887" s="319"/>
      <c r="H3887" s="319"/>
      <c r="I3887" s="724"/>
      <c r="J3887" s="762"/>
      <c r="K3887" s="131">
        <f t="shared" si="866"/>
        <v>0</v>
      </c>
      <c r="L3887" s="335">
        <f t="shared" si="858"/>
        <v>0</v>
      </c>
      <c r="M3887" s="446"/>
      <c r="N3887" s="446"/>
      <c r="O3887" s="446"/>
      <c r="P3887" s="446"/>
      <c r="Q3887" s="110">
        <f t="shared" si="855"/>
        <v>0</v>
      </c>
      <c r="R3887" s="111">
        <f t="shared" si="853"/>
        <v>0</v>
      </c>
      <c r="S3887" s="110"/>
      <c r="T3887" s="110"/>
      <c r="U3887" s="110">
        <f t="shared" si="856"/>
        <v>0</v>
      </c>
      <c r="V3887" s="111">
        <f t="shared" si="854"/>
        <v>0</v>
      </c>
      <c r="W3887" s="110"/>
      <c r="X3887" s="110"/>
      <c r="Y3887" s="110"/>
      <c r="Z3887" s="110"/>
      <c r="AA3887" s="110">
        <f t="shared" ref="AA3887:AE3946" si="867">+$D3887/4</f>
        <v>0</v>
      </c>
      <c r="AB3887" s="111">
        <f t="shared" si="863"/>
        <v>0</v>
      </c>
      <c r="AC3887" s="110"/>
      <c r="AD3887" s="110"/>
      <c r="AE3887" s="110">
        <f t="shared" si="867"/>
        <v>0</v>
      </c>
      <c r="AF3887" s="111">
        <f t="shared" si="859"/>
        <v>0</v>
      </c>
      <c r="AG3887" s="110"/>
      <c r="AH3887" s="110"/>
      <c r="AI3887" s="110"/>
      <c r="AJ3887" s="110"/>
      <c r="AK3887" s="111">
        <f t="shared" si="860"/>
        <v>0</v>
      </c>
      <c r="AL3887" s="446">
        <f t="shared" si="861"/>
        <v>0</v>
      </c>
      <c r="AM3887" s="110">
        <f t="shared" si="862"/>
        <v>0</v>
      </c>
      <c r="AN3887" s="447">
        <f t="shared" si="864"/>
        <v>0</v>
      </c>
      <c r="AO3887" s="436">
        <f>SUM(J3888)</f>
        <v>329885.23</v>
      </c>
      <c r="AP3887" s="111"/>
    </row>
    <row r="3888" spans="1:42" ht="66" x14ac:dyDescent="0.25">
      <c r="A3888" s="80"/>
      <c r="B3888" s="75" t="s">
        <v>1502</v>
      </c>
      <c r="C3888" s="1024"/>
      <c r="D3888" s="869">
        <f>67+12+3+2+10+1+6</f>
        <v>101</v>
      </c>
      <c r="E3888" s="1027" t="s">
        <v>1755</v>
      </c>
      <c r="F3888" s="273" t="s">
        <v>3446</v>
      </c>
      <c r="G3888" s="1040" t="s">
        <v>3463</v>
      </c>
      <c r="H3888" s="273" t="s">
        <v>3462</v>
      </c>
      <c r="I3888" s="720">
        <f>+J3888/D3888</f>
        <v>3266.1903960396039</v>
      </c>
      <c r="J3888" s="756">
        <f>194216.48+31389.6+13515.21+6514.56+49410.4+17438.98+17400</f>
        <v>329885.23</v>
      </c>
      <c r="K3888" s="131">
        <f t="shared" si="866"/>
        <v>329885.23</v>
      </c>
      <c r="L3888" s="335">
        <f t="shared" si="858"/>
        <v>0</v>
      </c>
      <c r="M3888" s="446"/>
      <c r="N3888" s="446"/>
      <c r="O3888" s="446"/>
      <c r="P3888" s="446"/>
      <c r="Q3888" s="110">
        <v>30</v>
      </c>
      <c r="R3888" s="111">
        <f t="shared" ref="R3888:R3951" si="868">+J3888/4</f>
        <v>82471.307499999995</v>
      </c>
      <c r="S3888" s="110"/>
      <c r="T3888" s="110"/>
      <c r="U3888" s="110">
        <v>30</v>
      </c>
      <c r="V3888" s="111">
        <f t="shared" ref="V3888:V3951" si="869">+J3888/4</f>
        <v>82471.307499999995</v>
      </c>
      <c r="W3888" s="110"/>
      <c r="X3888" s="110"/>
      <c r="Y3888" s="110"/>
      <c r="Z3888" s="110"/>
      <c r="AA3888" s="110">
        <v>30</v>
      </c>
      <c r="AB3888" s="111">
        <f t="shared" si="863"/>
        <v>82471.307499999995</v>
      </c>
      <c r="AC3888" s="110"/>
      <c r="AD3888" s="110"/>
      <c r="AE3888" s="110">
        <v>11</v>
      </c>
      <c r="AF3888" s="111">
        <f t="shared" si="859"/>
        <v>82471.307499999995</v>
      </c>
      <c r="AG3888" s="110"/>
      <c r="AH3888" s="110"/>
      <c r="AI3888" s="110"/>
      <c r="AJ3888" s="110"/>
      <c r="AK3888" s="111">
        <f t="shared" si="860"/>
        <v>329885.23</v>
      </c>
      <c r="AL3888" s="446">
        <f t="shared" si="861"/>
        <v>0</v>
      </c>
      <c r="AM3888" s="110">
        <f t="shared" si="862"/>
        <v>101</v>
      </c>
      <c r="AN3888" s="447">
        <f t="shared" si="864"/>
        <v>0</v>
      </c>
      <c r="AO3888"/>
      <c r="AP3888"/>
    </row>
    <row r="3889" spans="1:42" x14ac:dyDescent="0.25">
      <c r="A3889" s="299">
        <v>3600</v>
      </c>
      <c r="B3889" s="469" t="s">
        <v>909</v>
      </c>
      <c r="C3889" s="299"/>
      <c r="D3889" s="909"/>
      <c r="E3889" s="301"/>
      <c r="F3889" s="302"/>
      <c r="G3889" s="302"/>
      <c r="H3889" s="302"/>
      <c r="I3889" s="715"/>
      <c r="J3889" s="751"/>
      <c r="K3889" s="131">
        <f t="shared" si="866"/>
        <v>0</v>
      </c>
      <c r="L3889" s="335">
        <f t="shared" si="858"/>
        <v>0</v>
      </c>
      <c r="M3889" s="453"/>
      <c r="N3889" s="453"/>
      <c r="O3889" s="453"/>
      <c r="P3889" s="453"/>
      <c r="Q3889" s="385">
        <f t="shared" ref="Q3889:Q3952" si="870">+$D3889/4</f>
        <v>0</v>
      </c>
      <c r="R3889" s="303">
        <f t="shared" si="868"/>
        <v>0</v>
      </c>
      <c r="S3889" s="385"/>
      <c r="T3889" s="385"/>
      <c r="U3889" s="385">
        <f t="shared" ref="U3889:U3952" si="871">+$D3889/4</f>
        <v>0</v>
      </c>
      <c r="V3889" s="303">
        <f t="shared" si="869"/>
        <v>0</v>
      </c>
      <c r="W3889" s="385"/>
      <c r="X3889" s="385"/>
      <c r="Y3889" s="385"/>
      <c r="Z3889" s="385"/>
      <c r="AA3889" s="385">
        <f t="shared" si="867"/>
        <v>0</v>
      </c>
      <c r="AB3889" s="303">
        <f t="shared" si="863"/>
        <v>0</v>
      </c>
      <c r="AC3889" s="385"/>
      <c r="AD3889" s="385"/>
      <c r="AE3889" s="385">
        <f t="shared" si="867"/>
        <v>0</v>
      </c>
      <c r="AF3889" s="303">
        <f t="shared" si="859"/>
        <v>0</v>
      </c>
      <c r="AG3889" s="385"/>
      <c r="AH3889" s="385"/>
      <c r="AI3889" s="385"/>
      <c r="AJ3889" s="385"/>
      <c r="AK3889" s="303">
        <f t="shared" si="860"/>
        <v>0</v>
      </c>
      <c r="AL3889" s="453">
        <f t="shared" si="861"/>
        <v>0</v>
      </c>
      <c r="AM3889" s="385">
        <f t="shared" si="862"/>
        <v>0</v>
      </c>
      <c r="AN3889" s="454">
        <f t="shared" si="864"/>
        <v>0</v>
      </c>
      <c r="AO3889" s="304"/>
      <c r="AP3889"/>
    </row>
    <row r="3890" spans="1:42" ht="22.5" x14ac:dyDescent="0.25">
      <c r="A3890" s="376">
        <v>361</v>
      </c>
      <c r="B3890" s="588" t="s">
        <v>910</v>
      </c>
      <c r="C3890" s="376"/>
      <c r="D3890" s="940"/>
      <c r="E3890" s="377"/>
      <c r="F3890" s="378"/>
      <c r="G3890" s="378"/>
      <c r="H3890" s="378"/>
      <c r="I3890" s="734"/>
      <c r="J3890" s="806"/>
      <c r="K3890" s="131">
        <f t="shared" si="866"/>
        <v>0</v>
      </c>
      <c r="L3890" s="335">
        <f t="shared" si="858"/>
        <v>0</v>
      </c>
      <c r="M3890" s="419"/>
      <c r="N3890" s="419"/>
      <c r="O3890" s="419"/>
      <c r="P3890" s="419"/>
      <c r="Q3890" s="418">
        <f t="shared" si="870"/>
        <v>0</v>
      </c>
      <c r="R3890" s="379">
        <f t="shared" si="868"/>
        <v>0</v>
      </c>
      <c r="S3890" s="418"/>
      <c r="T3890" s="418"/>
      <c r="U3890" s="418">
        <f t="shared" si="871"/>
        <v>0</v>
      </c>
      <c r="V3890" s="379">
        <f t="shared" si="869"/>
        <v>0</v>
      </c>
      <c r="W3890" s="418"/>
      <c r="X3890" s="418"/>
      <c r="Y3890" s="418"/>
      <c r="Z3890" s="418"/>
      <c r="AA3890" s="418">
        <f t="shared" si="867"/>
        <v>0</v>
      </c>
      <c r="AB3890" s="379">
        <f t="shared" si="863"/>
        <v>0</v>
      </c>
      <c r="AC3890" s="418"/>
      <c r="AD3890" s="418"/>
      <c r="AE3890" s="418">
        <f t="shared" si="867"/>
        <v>0</v>
      </c>
      <c r="AF3890" s="379">
        <f t="shared" si="859"/>
        <v>0</v>
      </c>
      <c r="AG3890" s="418"/>
      <c r="AH3890" s="418"/>
      <c r="AI3890" s="418"/>
      <c r="AJ3890" s="418"/>
      <c r="AK3890" s="379">
        <f t="shared" si="860"/>
        <v>0</v>
      </c>
      <c r="AL3890" s="446">
        <f t="shared" si="861"/>
        <v>0</v>
      </c>
      <c r="AM3890" s="110">
        <f t="shared" si="862"/>
        <v>0</v>
      </c>
      <c r="AN3890" s="447">
        <f t="shared" si="864"/>
        <v>0</v>
      </c>
      <c r="AO3890" s="108"/>
      <c r="AP3890"/>
    </row>
    <row r="3891" spans="1:42" ht="22.5" x14ac:dyDescent="0.25">
      <c r="A3891" s="315">
        <v>36101</v>
      </c>
      <c r="B3891" s="351" t="s">
        <v>910</v>
      </c>
      <c r="C3891" s="352"/>
      <c r="D3891" s="886"/>
      <c r="E3891" s="318"/>
      <c r="F3891" s="319"/>
      <c r="G3891" s="319"/>
      <c r="H3891" s="319"/>
      <c r="I3891" s="724"/>
      <c r="J3891" s="762"/>
      <c r="K3891" s="131">
        <f t="shared" si="866"/>
        <v>0</v>
      </c>
      <c r="L3891" s="335">
        <f t="shared" si="858"/>
        <v>0</v>
      </c>
      <c r="M3891" s="446"/>
      <c r="N3891" s="446"/>
      <c r="O3891" s="446"/>
      <c r="P3891" s="446"/>
      <c r="Q3891" s="110">
        <f t="shared" si="870"/>
        <v>0</v>
      </c>
      <c r="R3891" s="111">
        <f t="shared" si="868"/>
        <v>0</v>
      </c>
      <c r="S3891" s="110"/>
      <c r="T3891" s="110"/>
      <c r="U3891" s="110">
        <f t="shared" si="871"/>
        <v>0</v>
      </c>
      <c r="V3891" s="111">
        <f t="shared" si="869"/>
        <v>0</v>
      </c>
      <c r="W3891" s="110"/>
      <c r="X3891" s="110"/>
      <c r="Y3891" s="110"/>
      <c r="Z3891" s="110"/>
      <c r="AA3891" s="110">
        <f t="shared" si="867"/>
        <v>0</v>
      </c>
      <c r="AB3891" s="111">
        <f t="shared" si="863"/>
        <v>0</v>
      </c>
      <c r="AC3891" s="110"/>
      <c r="AD3891" s="110"/>
      <c r="AE3891" s="110">
        <f t="shared" si="867"/>
        <v>0</v>
      </c>
      <c r="AF3891" s="111">
        <f t="shared" si="859"/>
        <v>0</v>
      </c>
      <c r="AG3891" s="110"/>
      <c r="AH3891" s="110"/>
      <c r="AI3891" s="110"/>
      <c r="AJ3891" s="110"/>
      <c r="AK3891" s="111">
        <f t="shared" si="860"/>
        <v>0</v>
      </c>
      <c r="AL3891" s="446">
        <f t="shared" si="861"/>
        <v>0</v>
      </c>
      <c r="AM3891" s="110">
        <f t="shared" si="862"/>
        <v>0</v>
      </c>
      <c r="AN3891" s="447">
        <f t="shared" si="864"/>
        <v>0</v>
      </c>
      <c r="AO3891" s="436">
        <f>SUM(J3892:J3901)</f>
        <v>22407.905200000001</v>
      </c>
      <c r="AP3891" s="111"/>
    </row>
    <row r="3892" spans="1:42" ht="66" x14ac:dyDescent="0.25">
      <c r="A3892" s="61"/>
      <c r="B3892" s="37" t="s">
        <v>911</v>
      </c>
      <c r="C3892" s="1024"/>
      <c r="D3892" s="912">
        <v>800</v>
      </c>
      <c r="E3892" s="1027" t="s">
        <v>1721</v>
      </c>
      <c r="F3892" s="273" t="s">
        <v>3446</v>
      </c>
      <c r="G3892" s="1040" t="s">
        <v>3463</v>
      </c>
      <c r="H3892" s="273" t="s">
        <v>3462</v>
      </c>
      <c r="I3892" s="720">
        <f t="shared" ref="I3892:I3901" si="872">+J3892/D3892</f>
        <v>2</v>
      </c>
      <c r="J3892" s="756">
        <v>1600</v>
      </c>
      <c r="K3892" s="131">
        <f t="shared" si="866"/>
        <v>1600</v>
      </c>
      <c r="L3892" s="335">
        <f t="shared" si="858"/>
        <v>0</v>
      </c>
      <c r="M3892" s="446"/>
      <c r="N3892" s="446"/>
      <c r="O3892" s="446"/>
      <c r="P3892" s="446"/>
      <c r="Q3892" s="110">
        <f t="shared" si="870"/>
        <v>200</v>
      </c>
      <c r="R3892" s="111">
        <f t="shared" si="868"/>
        <v>400</v>
      </c>
      <c r="S3892" s="110"/>
      <c r="T3892" s="110"/>
      <c r="U3892" s="110">
        <f t="shared" si="871"/>
        <v>200</v>
      </c>
      <c r="V3892" s="111">
        <f t="shared" si="869"/>
        <v>400</v>
      </c>
      <c r="W3892" s="110"/>
      <c r="X3892" s="110"/>
      <c r="Y3892" s="110"/>
      <c r="Z3892" s="110"/>
      <c r="AA3892" s="110">
        <f t="shared" si="867"/>
        <v>200</v>
      </c>
      <c r="AB3892" s="111">
        <f t="shared" si="863"/>
        <v>400</v>
      </c>
      <c r="AC3892" s="110"/>
      <c r="AD3892" s="110"/>
      <c r="AE3892" s="110">
        <f t="shared" si="867"/>
        <v>200</v>
      </c>
      <c r="AF3892" s="111">
        <f t="shared" si="859"/>
        <v>400</v>
      </c>
      <c r="AG3892" s="110"/>
      <c r="AH3892" s="110"/>
      <c r="AI3892" s="110"/>
      <c r="AJ3892" s="110"/>
      <c r="AK3892" s="111">
        <f t="shared" si="860"/>
        <v>1600</v>
      </c>
      <c r="AL3892" s="446">
        <f t="shared" si="861"/>
        <v>0</v>
      </c>
      <c r="AM3892" s="110">
        <f t="shared" si="862"/>
        <v>800</v>
      </c>
      <c r="AN3892" s="447">
        <f t="shared" si="864"/>
        <v>0</v>
      </c>
      <c r="AO3892"/>
      <c r="AP3892"/>
    </row>
    <row r="3893" spans="1:42" ht="66" x14ac:dyDescent="0.25">
      <c r="A3893" s="61"/>
      <c r="B3893" s="128" t="s">
        <v>1503</v>
      </c>
      <c r="C3893" s="1024"/>
      <c r="D3893" s="912">
        <v>3</v>
      </c>
      <c r="E3893" s="1027" t="s">
        <v>1721</v>
      </c>
      <c r="F3893" s="273" t="s">
        <v>3446</v>
      </c>
      <c r="G3893" s="1040" t="s">
        <v>3463</v>
      </c>
      <c r="H3893" s="273" t="s">
        <v>3462</v>
      </c>
      <c r="I3893" s="720">
        <f t="shared" si="872"/>
        <v>213.74159999999998</v>
      </c>
      <c r="J3893" s="756">
        <v>641.22479999999996</v>
      </c>
      <c r="K3893" s="131">
        <f t="shared" si="866"/>
        <v>641.22479999999996</v>
      </c>
      <c r="L3893" s="335">
        <f t="shared" si="858"/>
        <v>0</v>
      </c>
      <c r="M3893" s="446"/>
      <c r="N3893" s="446"/>
      <c r="O3893" s="446"/>
      <c r="P3893" s="446"/>
      <c r="Q3893" s="130">
        <v>1</v>
      </c>
      <c r="R3893" s="111">
        <f t="shared" si="868"/>
        <v>160.30619999999999</v>
      </c>
      <c r="S3893" s="110"/>
      <c r="T3893" s="110"/>
      <c r="U3893" s="130">
        <v>1</v>
      </c>
      <c r="V3893" s="111">
        <f t="shared" si="869"/>
        <v>160.30619999999999</v>
      </c>
      <c r="W3893" s="110"/>
      <c r="X3893" s="110"/>
      <c r="Y3893" s="110"/>
      <c r="Z3893" s="110"/>
      <c r="AA3893" s="130">
        <v>1</v>
      </c>
      <c r="AB3893" s="111">
        <f t="shared" si="863"/>
        <v>160.30619999999999</v>
      </c>
      <c r="AC3893" s="110"/>
      <c r="AD3893" s="110"/>
      <c r="AE3893" s="130">
        <v>0</v>
      </c>
      <c r="AF3893" s="111">
        <f t="shared" si="859"/>
        <v>160.30619999999999</v>
      </c>
      <c r="AG3893" s="110"/>
      <c r="AH3893" s="110"/>
      <c r="AI3893" s="110"/>
      <c r="AJ3893" s="110"/>
      <c r="AK3893" s="111">
        <f t="shared" si="860"/>
        <v>641.22479999999996</v>
      </c>
      <c r="AL3893" s="446">
        <f t="shared" si="861"/>
        <v>0</v>
      </c>
      <c r="AM3893" s="110">
        <f t="shared" si="862"/>
        <v>3</v>
      </c>
      <c r="AN3893" s="447">
        <f t="shared" si="864"/>
        <v>0</v>
      </c>
      <c r="AO3893"/>
      <c r="AP3893"/>
    </row>
    <row r="3894" spans="1:42" ht="66" x14ac:dyDescent="0.25">
      <c r="A3894" s="61"/>
      <c r="B3894" s="128" t="s">
        <v>1504</v>
      </c>
      <c r="C3894" s="1024"/>
      <c r="D3894" s="912">
        <v>3</v>
      </c>
      <c r="E3894" s="1027" t="s">
        <v>1721</v>
      </c>
      <c r="F3894" s="273" t="s">
        <v>3446</v>
      </c>
      <c r="G3894" s="1040" t="s">
        <v>3463</v>
      </c>
      <c r="H3894" s="273" t="s">
        <v>3462</v>
      </c>
      <c r="I3894" s="720">
        <f t="shared" si="872"/>
        <v>213.74159999999998</v>
      </c>
      <c r="J3894" s="756">
        <v>641.22479999999996</v>
      </c>
      <c r="K3894" s="131">
        <f t="shared" si="866"/>
        <v>641.22479999999996</v>
      </c>
      <c r="L3894" s="335">
        <f t="shared" ref="L3894:L3957" si="873">+J3894-K3894</f>
        <v>0</v>
      </c>
      <c r="M3894" s="446"/>
      <c r="N3894" s="446"/>
      <c r="O3894" s="446"/>
      <c r="P3894" s="446"/>
      <c r="Q3894" s="130">
        <v>1</v>
      </c>
      <c r="R3894" s="111">
        <f t="shared" si="868"/>
        <v>160.30619999999999</v>
      </c>
      <c r="S3894" s="110"/>
      <c r="T3894" s="110"/>
      <c r="U3894" s="130">
        <v>1</v>
      </c>
      <c r="V3894" s="111">
        <f t="shared" si="869"/>
        <v>160.30619999999999</v>
      </c>
      <c r="W3894" s="110"/>
      <c r="X3894" s="110"/>
      <c r="Y3894" s="110"/>
      <c r="Z3894" s="110"/>
      <c r="AA3894" s="130">
        <v>1</v>
      </c>
      <c r="AB3894" s="111">
        <f t="shared" si="863"/>
        <v>160.30619999999999</v>
      </c>
      <c r="AC3894" s="110"/>
      <c r="AD3894" s="110"/>
      <c r="AE3894" s="130">
        <v>0</v>
      </c>
      <c r="AF3894" s="111">
        <f t="shared" ref="AF3894:AF3957" si="874">+J3894/4</f>
        <v>160.30619999999999</v>
      </c>
      <c r="AG3894" s="110"/>
      <c r="AH3894" s="110"/>
      <c r="AI3894" s="110"/>
      <c r="AJ3894" s="110"/>
      <c r="AK3894" s="111">
        <f t="shared" ref="AK3894:AK3957" si="875">+R3894+V3894+AB3894+AF3894</f>
        <v>641.22479999999996</v>
      </c>
      <c r="AL3894" s="446">
        <f t="shared" ref="AL3894:AL3957" si="876">+J3894-AK3894</f>
        <v>0</v>
      </c>
      <c r="AM3894" s="110">
        <f t="shared" ref="AM3894:AM3957" si="877">+Q3894+U3894+AA3894+AE3894</f>
        <v>3</v>
      </c>
      <c r="AN3894" s="447">
        <f t="shared" si="864"/>
        <v>0</v>
      </c>
      <c r="AO3894"/>
      <c r="AP3894"/>
    </row>
    <row r="3895" spans="1:42" ht="66" x14ac:dyDescent="0.25">
      <c r="A3895" s="61"/>
      <c r="B3895" s="128" t="s">
        <v>1505</v>
      </c>
      <c r="C3895" s="1024"/>
      <c r="D3895" s="912">
        <v>3</v>
      </c>
      <c r="E3895" s="1027" t="s">
        <v>1721</v>
      </c>
      <c r="F3895" s="278" t="s">
        <v>3446</v>
      </c>
      <c r="G3895" s="1040" t="s">
        <v>3463</v>
      </c>
      <c r="H3895" s="273" t="s">
        <v>3462</v>
      </c>
      <c r="I3895" s="720">
        <f t="shared" si="872"/>
        <v>1864.6652000000001</v>
      </c>
      <c r="J3895" s="756">
        <v>5593.9956000000002</v>
      </c>
      <c r="K3895" s="131">
        <f t="shared" si="866"/>
        <v>5593.9956000000002</v>
      </c>
      <c r="L3895" s="335">
        <f t="shared" si="873"/>
        <v>0</v>
      </c>
      <c r="M3895" s="446"/>
      <c r="N3895" s="446"/>
      <c r="O3895" s="446"/>
      <c r="P3895" s="446"/>
      <c r="Q3895" s="130">
        <v>1</v>
      </c>
      <c r="R3895" s="111">
        <f t="shared" si="868"/>
        <v>1398.4989</v>
      </c>
      <c r="S3895" s="110"/>
      <c r="T3895" s="110"/>
      <c r="U3895" s="130">
        <v>1</v>
      </c>
      <c r="V3895" s="111">
        <f t="shared" si="869"/>
        <v>1398.4989</v>
      </c>
      <c r="W3895" s="110"/>
      <c r="X3895" s="110"/>
      <c r="Y3895" s="110"/>
      <c r="Z3895" s="110"/>
      <c r="AA3895" s="130">
        <v>1</v>
      </c>
      <c r="AB3895" s="111">
        <f t="shared" si="863"/>
        <v>1398.4989</v>
      </c>
      <c r="AC3895" s="110"/>
      <c r="AD3895" s="110"/>
      <c r="AE3895" s="130">
        <v>0</v>
      </c>
      <c r="AF3895" s="111">
        <f t="shared" si="874"/>
        <v>1398.4989</v>
      </c>
      <c r="AG3895" s="110"/>
      <c r="AH3895" s="110"/>
      <c r="AI3895" s="110"/>
      <c r="AJ3895" s="110"/>
      <c r="AK3895" s="111">
        <f t="shared" si="875"/>
        <v>5593.9956000000002</v>
      </c>
      <c r="AL3895" s="446">
        <f t="shared" si="876"/>
        <v>0</v>
      </c>
      <c r="AM3895" s="110">
        <f t="shared" si="877"/>
        <v>3</v>
      </c>
      <c r="AN3895" s="447">
        <f t="shared" si="864"/>
        <v>0</v>
      </c>
      <c r="AO3895"/>
      <c r="AP3895"/>
    </row>
    <row r="3896" spans="1:42" ht="66" x14ac:dyDescent="0.25">
      <c r="A3896" s="61"/>
      <c r="B3896" s="128" t="s">
        <v>1506</v>
      </c>
      <c r="C3896" s="1028"/>
      <c r="D3896" s="912">
        <v>10</v>
      </c>
      <c r="E3896" s="1027" t="s">
        <v>1721</v>
      </c>
      <c r="F3896" s="273" t="s">
        <v>3446</v>
      </c>
      <c r="G3896" s="1040" t="s">
        <v>3463</v>
      </c>
      <c r="H3896" s="273" t="s">
        <v>3462</v>
      </c>
      <c r="I3896" s="720">
        <f t="shared" si="872"/>
        <v>251.54599999999999</v>
      </c>
      <c r="J3896" s="756">
        <v>2515.46</v>
      </c>
      <c r="K3896" s="131">
        <f t="shared" si="866"/>
        <v>2515.46</v>
      </c>
      <c r="L3896" s="335">
        <f t="shared" si="873"/>
        <v>0</v>
      </c>
      <c r="M3896" s="446"/>
      <c r="N3896" s="446"/>
      <c r="O3896" s="446"/>
      <c r="P3896" s="446"/>
      <c r="Q3896" s="130">
        <v>3</v>
      </c>
      <c r="R3896" s="111">
        <f t="shared" si="868"/>
        <v>628.86500000000001</v>
      </c>
      <c r="S3896" s="110"/>
      <c r="T3896" s="110"/>
      <c r="U3896" s="130">
        <v>3</v>
      </c>
      <c r="V3896" s="111">
        <f t="shared" si="869"/>
        <v>628.86500000000001</v>
      </c>
      <c r="W3896" s="110"/>
      <c r="X3896" s="110"/>
      <c r="Y3896" s="110"/>
      <c r="Z3896" s="110"/>
      <c r="AA3896" s="130">
        <v>2</v>
      </c>
      <c r="AB3896" s="111">
        <f t="shared" si="863"/>
        <v>628.86500000000001</v>
      </c>
      <c r="AC3896" s="110"/>
      <c r="AD3896" s="110"/>
      <c r="AE3896" s="130">
        <v>2</v>
      </c>
      <c r="AF3896" s="111">
        <f t="shared" si="874"/>
        <v>628.86500000000001</v>
      </c>
      <c r="AG3896" s="110"/>
      <c r="AH3896" s="110"/>
      <c r="AI3896" s="110"/>
      <c r="AJ3896" s="110"/>
      <c r="AK3896" s="111">
        <f t="shared" si="875"/>
        <v>2515.46</v>
      </c>
      <c r="AL3896" s="446">
        <f t="shared" si="876"/>
        <v>0</v>
      </c>
      <c r="AM3896" s="110">
        <f t="shared" si="877"/>
        <v>10</v>
      </c>
      <c r="AN3896" s="447">
        <f t="shared" si="864"/>
        <v>0</v>
      </c>
      <c r="AO3896"/>
      <c r="AP3896"/>
    </row>
    <row r="3897" spans="1:42" ht="66" x14ac:dyDescent="0.25">
      <c r="A3897" s="61"/>
      <c r="B3897" s="227" t="s">
        <v>2167</v>
      </c>
      <c r="C3897" s="1024"/>
      <c r="D3897" s="912">
        <v>1</v>
      </c>
      <c r="E3897" s="1027" t="s">
        <v>1721</v>
      </c>
      <c r="F3897" s="273" t="s">
        <v>3446</v>
      </c>
      <c r="G3897" s="1040" t="s">
        <v>3463</v>
      </c>
      <c r="H3897" s="273" t="s">
        <v>3462</v>
      </c>
      <c r="I3897" s="720">
        <f t="shared" si="872"/>
        <v>480</v>
      </c>
      <c r="J3897" s="756">
        <v>480</v>
      </c>
      <c r="K3897" s="131">
        <f t="shared" si="866"/>
        <v>480</v>
      </c>
      <c r="L3897" s="335">
        <f t="shared" si="873"/>
        <v>0</v>
      </c>
      <c r="M3897" s="446"/>
      <c r="N3897" s="446"/>
      <c r="O3897" s="446"/>
      <c r="P3897" s="446"/>
      <c r="Q3897" s="110">
        <v>1</v>
      </c>
      <c r="R3897" s="111">
        <f t="shared" si="868"/>
        <v>120</v>
      </c>
      <c r="S3897" s="110"/>
      <c r="T3897" s="110"/>
      <c r="U3897" s="110">
        <v>0</v>
      </c>
      <c r="V3897" s="111">
        <f t="shared" si="869"/>
        <v>120</v>
      </c>
      <c r="W3897" s="110"/>
      <c r="X3897" s="110"/>
      <c r="Y3897" s="110"/>
      <c r="Z3897" s="110"/>
      <c r="AA3897" s="110">
        <v>0</v>
      </c>
      <c r="AB3897" s="111">
        <f t="shared" si="863"/>
        <v>120</v>
      </c>
      <c r="AC3897" s="110"/>
      <c r="AD3897" s="110"/>
      <c r="AE3897" s="110">
        <v>0</v>
      </c>
      <c r="AF3897" s="111">
        <f t="shared" si="874"/>
        <v>120</v>
      </c>
      <c r="AG3897" s="110"/>
      <c r="AH3897" s="110"/>
      <c r="AI3897" s="110"/>
      <c r="AJ3897" s="110"/>
      <c r="AK3897" s="111">
        <f t="shared" si="875"/>
        <v>480</v>
      </c>
      <c r="AL3897" s="446">
        <f t="shared" si="876"/>
        <v>0</v>
      </c>
      <c r="AM3897" s="110">
        <f t="shared" si="877"/>
        <v>1</v>
      </c>
      <c r="AN3897" s="447">
        <f t="shared" si="864"/>
        <v>0</v>
      </c>
      <c r="AO3897"/>
      <c r="AP3897"/>
    </row>
    <row r="3898" spans="1:42" ht="66" x14ac:dyDescent="0.25">
      <c r="A3898" s="61"/>
      <c r="B3898" s="146" t="s">
        <v>2168</v>
      </c>
      <c r="C3898" s="1024"/>
      <c r="D3898" s="912">
        <v>2</v>
      </c>
      <c r="E3898" s="1027" t="s">
        <v>1721</v>
      </c>
      <c r="F3898" s="273" t="s">
        <v>3446</v>
      </c>
      <c r="G3898" s="1040" t="s">
        <v>3463</v>
      </c>
      <c r="H3898" s="273" t="s">
        <v>3462</v>
      </c>
      <c r="I3898" s="720">
        <f t="shared" si="872"/>
        <v>2800</v>
      </c>
      <c r="J3898" s="756">
        <v>5600</v>
      </c>
      <c r="K3898" s="131">
        <f t="shared" si="866"/>
        <v>5600</v>
      </c>
      <c r="L3898" s="335">
        <f t="shared" si="873"/>
        <v>0</v>
      </c>
      <c r="M3898" s="446"/>
      <c r="N3898" s="446"/>
      <c r="O3898" s="446"/>
      <c r="P3898" s="446"/>
      <c r="Q3898" s="130">
        <v>1</v>
      </c>
      <c r="R3898" s="111">
        <f t="shared" si="868"/>
        <v>1400</v>
      </c>
      <c r="S3898" s="110"/>
      <c r="T3898" s="110"/>
      <c r="U3898" s="130">
        <v>1</v>
      </c>
      <c r="V3898" s="111">
        <f t="shared" si="869"/>
        <v>1400</v>
      </c>
      <c r="W3898" s="110"/>
      <c r="X3898" s="110"/>
      <c r="Y3898" s="110"/>
      <c r="Z3898" s="110"/>
      <c r="AA3898" s="130">
        <v>0</v>
      </c>
      <c r="AB3898" s="111">
        <f t="shared" si="863"/>
        <v>1400</v>
      </c>
      <c r="AC3898" s="110"/>
      <c r="AD3898" s="110"/>
      <c r="AE3898" s="130">
        <v>0</v>
      </c>
      <c r="AF3898" s="111">
        <f t="shared" si="874"/>
        <v>1400</v>
      </c>
      <c r="AG3898" s="110"/>
      <c r="AH3898" s="110"/>
      <c r="AI3898" s="110"/>
      <c r="AJ3898" s="110"/>
      <c r="AK3898" s="111">
        <f t="shared" si="875"/>
        <v>5600</v>
      </c>
      <c r="AL3898" s="446">
        <f t="shared" si="876"/>
        <v>0</v>
      </c>
      <c r="AM3898" s="110">
        <f t="shared" si="877"/>
        <v>2</v>
      </c>
      <c r="AN3898" s="447">
        <f t="shared" si="864"/>
        <v>0</v>
      </c>
      <c r="AO3898"/>
      <c r="AP3898"/>
    </row>
    <row r="3899" spans="1:42" ht="66" x14ac:dyDescent="0.25">
      <c r="A3899" s="61"/>
      <c r="B3899" s="122" t="s">
        <v>2828</v>
      </c>
      <c r="C3899" s="1024"/>
      <c r="D3899" s="882">
        <v>1</v>
      </c>
      <c r="E3899" s="1025" t="s">
        <v>2830</v>
      </c>
      <c r="F3899" s="273" t="s">
        <v>3446</v>
      </c>
      <c r="G3899" s="1040" t="s">
        <v>3463</v>
      </c>
      <c r="H3899" s="273" t="s">
        <v>3462</v>
      </c>
      <c r="I3899" s="720">
        <f t="shared" si="872"/>
        <v>2088</v>
      </c>
      <c r="J3899" s="756">
        <v>2088</v>
      </c>
      <c r="K3899" s="131">
        <f t="shared" si="866"/>
        <v>2088</v>
      </c>
      <c r="L3899" s="335">
        <f t="shared" si="873"/>
        <v>0</v>
      </c>
      <c r="M3899" s="446"/>
      <c r="N3899" s="446"/>
      <c r="O3899" s="446"/>
      <c r="P3899" s="446"/>
      <c r="Q3899" s="110">
        <v>1</v>
      </c>
      <c r="R3899" s="111">
        <f t="shared" si="868"/>
        <v>522</v>
      </c>
      <c r="S3899" s="110"/>
      <c r="T3899" s="110"/>
      <c r="U3899" s="110">
        <v>0</v>
      </c>
      <c r="V3899" s="111">
        <f t="shared" si="869"/>
        <v>522</v>
      </c>
      <c r="W3899" s="110"/>
      <c r="X3899" s="110"/>
      <c r="Y3899" s="110"/>
      <c r="Z3899" s="110"/>
      <c r="AA3899" s="110">
        <v>0</v>
      </c>
      <c r="AB3899" s="111">
        <f t="shared" si="863"/>
        <v>522</v>
      </c>
      <c r="AC3899" s="110"/>
      <c r="AD3899" s="110"/>
      <c r="AE3899" s="110">
        <v>0</v>
      </c>
      <c r="AF3899" s="111">
        <f t="shared" si="874"/>
        <v>522</v>
      </c>
      <c r="AG3899" s="110"/>
      <c r="AH3899" s="110"/>
      <c r="AI3899" s="110"/>
      <c r="AJ3899" s="110"/>
      <c r="AK3899" s="111">
        <f t="shared" si="875"/>
        <v>2088</v>
      </c>
      <c r="AL3899" s="446">
        <f t="shared" si="876"/>
        <v>0</v>
      </c>
      <c r="AM3899" s="110">
        <f t="shared" si="877"/>
        <v>1</v>
      </c>
      <c r="AN3899" s="447">
        <f t="shared" si="864"/>
        <v>0</v>
      </c>
      <c r="AO3899"/>
      <c r="AP3899"/>
    </row>
    <row r="3900" spans="1:42" ht="66" x14ac:dyDescent="0.25">
      <c r="A3900" s="61"/>
      <c r="B3900" s="122" t="s">
        <v>2829</v>
      </c>
      <c r="C3900" s="1024"/>
      <c r="D3900" s="882">
        <v>2</v>
      </c>
      <c r="E3900" s="1025" t="s">
        <v>2831</v>
      </c>
      <c r="F3900" s="273" t="s">
        <v>3446</v>
      </c>
      <c r="G3900" s="1040" t="s">
        <v>3463</v>
      </c>
      <c r="H3900" s="273" t="s">
        <v>3462</v>
      </c>
      <c r="I3900" s="720">
        <f t="shared" si="872"/>
        <v>927.99999999999989</v>
      </c>
      <c r="J3900" s="756">
        <v>1855.9999999999998</v>
      </c>
      <c r="K3900" s="131">
        <f t="shared" si="866"/>
        <v>1855.9999999999998</v>
      </c>
      <c r="L3900" s="335">
        <f t="shared" si="873"/>
        <v>0</v>
      </c>
      <c r="M3900" s="446"/>
      <c r="N3900" s="446"/>
      <c r="O3900" s="446"/>
      <c r="P3900" s="446"/>
      <c r="Q3900" s="130">
        <v>1</v>
      </c>
      <c r="R3900" s="111">
        <f t="shared" si="868"/>
        <v>463.99999999999994</v>
      </c>
      <c r="S3900" s="110"/>
      <c r="T3900" s="110"/>
      <c r="U3900" s="130">
        <v>1</v>
      </c>
      <c r="V3900" s="111">
        <f t="shared" si="869"/>
        <v>463.99999999999994</v>
      </c>
      <c r="W3900" s="110"/>
      <c r="X3900" s="110"/>
      <c r="Y3900" s="110"/>
      <c r="Z3900" s="110"/>
      <c r="AA3900" s="130">
        <v>0</v>
      </c>
      <c r="AB3900" s="111">
        <f t="shared" si="863"/>
        <v>463.99999999999994</v>
      </c>
      <c r="AC3900" s="110"/>
      <c r="AD3900" s="110"/>
      <c r="AE3900" s="130">
        <v>0</v>
      </c>
      <c r="AF3900" s="111">
        <f t="shared" si="874"/>
        <v>463.99999999999994</v>
      </c>
      <c r="AG3900" s="110"/>
      <c r="AH3900" s="110"/>
      <c r="AI3900" s="110"/>
      <c r="AJ3900" s="110"/>
      <c r="AK3900" s="111">
        <f t="shared" si="875"/>
        <v>1855.9999999999998</v>
      </c>
      <c r="AL3900" s="446">
        <f t="shared" si="876"/>
        <v>0</v>
      </c>
      <c r="AM3900" s="110">
        <f t="shared" si="877"/>
        <v>2</v>
      </c>
      <c r="AN3900" s="447">
        <f t="shared" si="864"/>
        <v>0</v>
      </c>
      <c r="AO3900"/>
      <c r="AP3900"/>
    </row>
    <row r="3901" spans="1:42" ht="66" x14ac:dyDescent="0.25">
      <c r="A3901" s="61"/>
      <c r="B3901" s="122" t="s">
        <v>1836</v>
      </c>
      <c r="C3901" s="9"/>
      <c r="D3901" s="882">
        <v>1</v>
      </c>
      <c r="E3901" s="1025" t="s">
        <v>2830</v>
      </c>
      <c r="F3901" s="273" t="s">
        <v>3446</v>
      </c>
      <c r="G3901" s="1040" t="s">
        <v>3463</v>
      </c>
      <c r="H3901" s="273" t="s">
        <v>3462</v>
      </c>
      <c r="I3901" s="720">
        <f t="shared" si="872"/>
        <v>1392</v>
      </c>
      <c r="J3901" s="756">
        <v>1392</v>
      </c>
      <c r="K3901" s="131">
        <f t="shared" si="866"/>
        <v>1392</v>
      </c>
      <c r="L3901" s="335">
        <f t="shared" si="873"/>
        <v>0</v>
      </c>
      <c r="M3901" s="446"/>
      <c r="N3901" s="446"/>
      <c r="O3901" s="446"/>
      <c r="P3901" s="446"/>
      <c r="Q3901" s="110">
        <v>1</v>
      </c>
      <c r="R3901" s="111">
        <f t="shared" si="868"/>
        <v>348</v>
      </c>
      <c r="S3901" s="110"/>
      <c r="T3901" s="110"/>
      <c r="U3901" s="110">
        <v>0</v>
      </c>
      <c r="V3901" s="111">
        <f t="shared" si="869"/>
        <v>348</v>
      </c>
      <c r="W3901" s="110"/>
      <c r="X3901" s="110"/>
      <c r="Y3901" s="110"/>
      <c r="Z3901" s="110"/>
      <c r="AA3901" s="110">
        <v>0</v>
      </c>
      <c r="AB3901" s="111">
        <f t="shared" si="863"/>
        <v>348</v>
      </c>
      <c r="AC3901" s="110"/>
      <c r="AD3901" s="110"/>
      <c r="AE3901" s="110">
        <v>0</v>
      </c>
      <c r="AF3901" s="111">
        <f t="shared" si="874"/>
        <v>348</v>
      </c>
      <c r="AG3901" s="110"/>
      <c r="AH3901" s="110"/>
      <c r="AI3901" s="110"/>
      <c r="AJ3901" s="110"/>
      <c r="AK3901" s="111">
        <f t="shared" si="875"/>
        <v>1392</v>
      </c>
      <c r="AL3901" s="446">
        <f t="shared" si="876"/>
        <v>0</v>
      </c>
      <c r="AM3901" s="110">
        <f t="shared" si="877"/>
        <v>1</v>
      </c>
      <c r="AN3901" s="447">
        <f t="shared" si="864"/>
        <v>0</v>
      </c>
      <c r="AO3901"/>
      <c r="AP3901"/>
    </row>
    <row r="3902" spans="1:42" ht="33.75" x14ac:dyDescent="0.25">
      <c r="A3902" s="376">
        <v>362</v>
      </c>
      <c r="B3902" s="588" t="s">
        <v>912</v>
      </c>
      <c r="C3902" s="376"/>
      <c r="D3902" s="940"/>
      <c r="E3902" s="377"/>
      <c r="F3902" s="378"/>
      <c r="G3902" s="378"/>
      <c r="H3902" s="378"/>
      <c r="I3902" s="734"/>
      <c r="J3902" s="806"/>
      <c r="K3902" s="131">
        <f t="shared" si="866"/>
        <v>0</v>
      </c>
      <c r="L3902" s="335">
        <f t="shared" si="873"/>
        <v>0</v>
      </c>
      <c r="M3902" s="419"/>
      <c r="N3902" s="419"/>
      <c r="O3902" s="419"/>
      <c r="P3902" s="419"/>
      <c r="Q3902" s="418">
        <f t="shared" si="870"/>
        <v>0</v>
      </c>
      <c r="R3902" s="379">
        <f t="shared" si="868"/>
        <v>0</v>
      </c>
      <c r="S3902" s="418"/>
      <c r="T3902" s="418"/>
      <c r="U3902" s="418">
        <f t="shared" si="871"/>
        <v>0</v>
      </c>
      <c r="V3902" s="379">
        <f t="shared" si="869"/>
        <v>0</v>
      </c>
      <c r="W3902" s="418"/>
      <c r="X3902" s="418"/>
      <c r="Y3902" s="418"/>
      <c r="Z3902" s="418"/>
      <c r="AA3902" s="418">
        <f t="shared" si="867"/>
        <v>0</v>
      </c>
      <c r="AB3902" s="379">
        <f t="shared" si="863"/>
        <v>0</v>
      </c>
      <c r="AC3902" s="418"/>
      <c r="AD3902" s="418"/>
      <c r="AE3902" s="418">
        <f t="shared" si="867"/>
        <v>0</v>
      </c>
      <c r="AF3902" s="379">
        <f t="shared" si="874"/>
        <v>0</v>
      </c>
      <c r="AG3902" s="418"/>
      <c r="AH3902" s="418"/>
      <c r="AI3902" s="418"/>
      <c r="AJ3902" s="418"/>
      <c r="AK3902" s="379">
        <f t="shared" si="875"/>
        <v>0</v>
      </c>
      <c r="AL3902" s="446">
        <f t="shared" si="876"/>
        <v>0</v>
      </c>
      <c r="AM3902" s="110">
        <f t="shared" si="877"/>
        <v>0</v>
      </c>
      <c r="AN3902" s="447">
        <f t="shared" si="864"/>
        <v>0</v>
      </c>
      <c r="AO3902" s="108"/>
      <c r="AP3902"/>
    </row>
    <row r="3903" spans="1:42" ht="34.5" thickBot="1" x14ac:dyDescent="0.3">
      <c r="A3903" s="330">
        <v>36201</v>
      </c>
      <c r="B3903" s="350" t="s">
        <v>913</v>
      </c>
      <c r="C3903" s="352"/>
      <c r="D3903" s="886"/>
      <c r="E3903" s="318"/>
      <c r="F3903" s="319"/>
      <c r="G3903" s="319"/>
      <c r="H3903" s="319"/>
      <c r="I3903" s="724"/>
      <c r="J3903" s="762"/>
      <c r="K3903" s="131">
        <f t="shared" si="866"/>
        <v>0</v>
      </c>
      <c r="L3903" s="335">
        <f t="shared" si="873"/>
        <v>0</v>
      </c>
      <c r="M3903" s="446"/>
      <c r="N3903" s="446"/>
      <c r="O3903" s="446"/>
      <c r="P3903" s="446"/>
      <c r="Q3903" s="110">
        <f t="shared" si="870"/>
        <v>0</v>
      </c>
      <c r="R3903" s="111">
        <f t="shared" si="868"/>
        <v>0</v>
      </c>
      <c r="S3903" s="110"/>
      <c r="T3903" s="110"/>
      <c r="U3903" s="110">
        <f t="shared" si="871"/>
        <v>0</v>
      </c>
      <c r="V3903" s="111">
        <f t="shared" si="869"/>
        <v>0</v>
      </c>
      <c r="W3903" s="110"/>
      <c r="X3903" s="110"/>
      <c r="Y3903" s="110"/>
      <c r="Z3903" s="110"/>
      <c r="AA3903" s="110">
        <f t="shared" si="867"/>
        <v>0</v>
      </c>
      <c r="AB3903" s="111">
        <f t="shared" si="863"/>
        <v>0</v>
      </c>
      <c r="AC3903" s="110"/>
      <c r="AD3903" s="110"/>
      <c r="AE3903" s="110">
        <f t="shared" si="867"/>
        <v>0</v>
      </c>
      <c r="AF3903" s="111">
        <f t="shared" si="874"/>
        <v>0</v>
      </c>
      <c r="AG3903" s="110"/>
      <c r="AH3903" s="110"/>
      <c r="AI3903" s="110"/>
      <c r="AJ3903" s="110"/>
      <c r="AK3903" s="111">
        <f t="shared" si="875"/>
        <v>0</v>
      </c>
      <c r="AL3903" s="446">
        <f t="shared" si="876"/>
        <v>0</v>
      </c>
      <c r="AM3903" s="110">
        <f t="shared" si="877"/>
        <v>0</v>
      </c>
      <c r="AN3903" s="447">
        <f t="shared" si="864"/>
        <v>0</v>
      </c>
      <c r="AO3903" s="436">
        <f>SUM(J3904:J3905)</f>
        <v>3128</v>
      </c>
      <c r="AP3903" s="111"/>
    </row>
    <row r="3904" spans="1:42" ht="66" x14ac:dyDescent="0.25">
      <c r="A3904" s="9"/>
      <c r="B3904" s="85" t="s">
        <v>914</v>
      </c>
      <c r="C3904" s="1024"/>
      <c r="D3904" s="869">
        <v>4</v>
      </c>
      <c r="E3904" s="1027" t="s">
        <v>1721</v>
      </c>
      <c r="F3904" s="273" t="s">
        <v>3446</v>
      </c>
      <c r="G3904" s="1040" t="s">
        <v>3463</v>
      </c>
      <c r="H3904" s="273" t="s">
        <v>3462</v>
      </c>
      <c r="I3904" s="720">
        <f>+J3904/D3904</f>
        <v>350</v>
      </c>
      <c r="J3904" s="816">
        <v>1400</v>
      </c>
      <c r="K3904" s="131">
        <f t="shared" si="866"/>
        <v>1400</v>
      </c>
      <c r="L3904" s="335">
        <f t="shared" si="873"/>
        <v>0</v>
      </c>
      <c r="M3904" s="446"/>
      <c r="N3904" s="446"/>
      <c r="O3904" s="446"/>
      <c r="P3904" s="446"/>
      <c r="Q3904" s="110">
        <f t="shared" si="870"/>
        <v>1</v>
      </c>
      <c r="R3904" s="111">
        <f t="shared" si="868"/>
        <v>350</v>
      </c>
      <c r="S3904" s="110"/>
      <c r="T3904" s="110"/>
      <c r="U3904" s="110">
        <f t="shared" si="871"/>
        <v>1</v>
      </c>
      <c r="V3904" s="111">
        <f t="shared" si="869"/>
        <v>350</v>
      </c>
      <c r="W3904" s="110"/>
      <c r="X3904" s="110"/>
      <c r="Y3904" s="110"/>
      <c r="Z3904" s="110"/>
      <c r="AA3904" s="110">
        <f t="shared" si="867"/>
        <v>1</v>
      </c>
      <c r="AB3904" s="111">
        <f t="shared" si="863"/>
        <v>350</v>
      </c>
      <c r="AC3904" s="110"/>
      <c r="AD3904" s="110"/>
      <c r="AE3904" s="110">
        <f t="shared" si="867"/>
        <v>1</v>
      </c>
      <c r="AF3904" s="111">
        <f t="shared" si="874"/>
        <v>350</v>
      </c>
      <c r="AG3904" s="110"/>
      <c r="AH3904" s="110"/>
      <c r="AI3904" s="110"/>
      <c r="AJ3904" s="110"/>
      <c r="AK3904" s="111">
        <f t="shared" si="875"/>
        <v>1400</v>
      </c>
      <c r="AL3904" s="446">
        <f t="shared" si="876"/>
        <v>0</v>
      </c>
      <c r="AM3904" s="110">
        <f t="shared" si="877"/>
        <v>4</v>
      </c>
      <c r="AN3904" s="447">
        <f t="shared" si="864"/>
        <v>0</v>
      </c>
      <c r="AO3904"/>
      <c r="AP3904"/>
    </row>
    <row r="3905" spans="1:42" ht="66" x14ac:dyDescent="0.25">
      <c r="A3905" s="9"/>
      <c r="B3905" s="86" t="s">
        <v>915</v>
      </c>
      <c r="C3905" s="1024"/>
      <c r="D3905" s="869">
        <v>4</v>
      </c>
      <c r="E3905" s="1027" t="s">
        <v>1721</v>
      </c>
      <c r="F3905" s="273" t="s">
        <v>3446</v>
      </c>
      <c r="G3905" s="1040" t="s">
        <v>3463</v>
      </c>
      <c r="H3905" s="273" t="s">
        <v>3462</v>
      </c>
      <c r="I3905" s="720">
        <f>+J3905/D3905</f>
        <v>432</v>
      </c>
      <c r="J3905" s="816">
        <v>1728</v>
      </c>
      <c r="K3905" s="131">
        <f t="shared" si="866"/>
        <v>1728</v>
      </c>
      <c r="L3905" s="335">
        <f t="shared" si="873"/>
        <v>0</v>
      </c>
      <c r="M3905" s="446"/>
      <c r="N3905" s="446"/>
      <c r="O3905" s="446"/>
      <c r="P3905" s="446"/>
      <c r="Q3905" s="110">
        <f t="shared" si="870"/>
        <v>1</v>
      </c>
      <c r="R3905" s="111">
        <f t="shared" si="868"/>
        <v>432</v>
      </c>
      <c r="S3905" s="110"/>
      <c r="T3905" s="110"/>
      <c r="U3905" s="110">
        <f t="shared" si="871"/>
        <v>1</v>
      </c>
      <c r="V3905" s="111">
        <f t="shared" si="869"/>
        <v>432</v>
      </c>
      <c r="W3905" s="110"/>
      <c r="X3905" s="110"/>
      <c r="Y3905" s="110"/>
      <c r="Z3905" s="110"/>
      <c r="AA3905" s="110">
        <f t="shared" si="867"/>
        <v>1</v>
      </c>
      <c r="AB3905" s="111">
        <f t="shared" si="863"/>
        <v>432</v>
      </c>
      <c r="AC3905" s="110"/>
      <c r="AD3905" s="110"/>
      <c r="AE3905" s="110">
        <f t="shared" si="867"/>
        <v>1</v>
      </c>
      <c r="AF3905" s="111">
        <f t="shared" si="874"/>
        <v>432</v>
      </c>
      <c r="AG3905" s="110"/>
      <c r="AH3905" s="110"/>
      <c r="AI3905" s="110"/>
      <c r="AJ3905" s="110"/>
      <c r="AK3905" s="111">
        <f t="shared" si="875"/>
        <v>1728</v>
      </c>
      <c r="AL3905" s="446">
        <f t="shared" si="876"/>
        <v>0</v>
      </c>
      <c r="AM3905" s="110">
        <f t="shared" si="877"/>
        <v>4</v>
      </c>
      <c r="AN3905" s="447">
        <f t="shared" si="864"/>
        <v>0</v>
      </c>
      <c r="AO3905"/>
      <c r="AP3905"/>
    </row>
    <row r="3906" spans="1:42" ht="22.5" x14ac:dyDescent="0.25">
      <c r="A3906" s="376">
        <v>363</v>
      </c>
      <c r="B3906" s="588" t="s">
        <v>916</v>
      </c>
      <c r="C3906" s="376"/>
      <c r="D3906" s="940"/>
      <c r="E3906" s="377"/>
      <c r="F3906" s="378"/>
      <c r="G3906" s="378"/>
      <c r="H3906" s="378"/>
      <c r="I3906" s="734"/>
      <c r="J3906" s="806"/>
      <c r="K3906" s="131">
        <f t="shared" si="866"/>
        <v>0</v>
      </c>
      <c r="L3906" s="335">
        <f t="shared" si="873"/>
        <v>0</v>
      </c>
      <c r="M3906" s="419"/>
      <c r="N3906" s="419"/>
      <c r="O3906" s="419"/>
      <c r="P3906" s="419"/>
      <c r="Q3906" s="418">
        <f t="shared" si="870"/>
        <v>0</v>
      </c>
      <c r="R3906" s="379">
        <f t="shared" si="868"/>
        <v>0</v>
      </c>
      <c r="S3906" s="418"/>
      <c r="T3906" s="418"/>
      <c r="U3906" s="418">
        <f t="shared" si="871"/>
        <v>0</v>
      </c>
      <c r="V3906" s="379">
        <f t="shared" si="869"/>
        <v>0</v>
      </c>
      <c r="W3906" s="418"/>
      <c r="X3906" s="418"/>
      <c r="Y3906" s="418"/>
      <c r="Z3906" s="418"/>
      <c r="AA3906" s="418">
        <f t="shared" si="867"/>
        <v>0</v>
      </c>
      <c r="AB3906" s="379">
        <f t="shared" si="863"/>
        <v>0</v>
      </c>
      <c r="AC3906" s="418"/>
      <c r="AD3906" s="418"/>
      <c r="AE3906" s="418">
        <f t="shared" si="867"/>
        <v>0</v>
      </c>
      <c r="AF3906" s="379">
        <f t="shared" si="874"/>
        <v>0</v>
      </c>
      <c r="AG3906" s="418"/>
      <c r="AH3906" s="418"/>
      <c r="AI3906" s="418"/>
      <c r="AJ3906" s="418"/>
      <c r="AK3906" s="379">
        <f t="shared" si="875"/>
        <v>0</v>
      </c>
      <c r="AL3906" s="446">
        <f t="shared" si="876"/>
        <v>0</v>
      </c>
      <c r="AM3906" s="110">
        <f t="shared" si="877"/>
        <v>0</v>
      </c>
      <c r="AN3906" s="447">
        <f t="shared" si="864"/>
        <v>0</v>
      </c>
      <c r="AO3906" s="108"/>
      <c r="AP3906"/>
    </row>
    <row r="3907" spans="1:42" ht="22.5" x14ac:dyDescent="0.25">
      <c r="A3907" s="310">
        <v>36301</v>
      </c>
      <c r="B3907" s="375" t="s">
        <v>916</v>
      </c>
      <c r="C3907" s="381"/>
      <c r="D3907" s="902"/>
      <c r="E3907" s="312"/>
      <c r="F3907" s="313"/>
      <c r="G3907" s="313"/>
      <c r="H3907" s="313"/>
      <c r="I3907" s="729"/>
      <c r="J3907" s="800"/>
      <c r="K3907" s="131">
        <f t="shared" si="866"/>
        <v>0</v>
      </c>
      <c r="L3907" s="335">
        <f t="shared" si="873"/>
        <v>0</v>
      </c>
      <c r="M3907" s="446"/>
      <c r="N3907" s="446"/>
      <c r="O3907" s="446"/>
      <c r="P3907" s="446"/>
      <c r="Q3907" s="110">
        <f t="shared" si="870"/>
        <v>0</v>
      </c>
      <c r="R3907" s="111">
        <f t="shared" si="868"/>
        <v>0</v>
      </c>
      <c r="S3907" s="110"/>
      <c r="T3907" s="110"/>
      <c r="U3907" s="110">
        <f t="shared" si="871"/>
        <v>0</v>
      </c>
      <c r="V3907" s="111">
        <f t="shared" si="869"/>
        <v>0</v>
      </c>
      <c r="W3907" s="110"/>
      <c r="X3907" s="110"/>
      <c r="Y3907" s="110"/>
      <c r="Z3907" s="110"/>
      <c r="AA3907" s="110">
        <f t="shared" si="867"/>
        <v>0</v>
      </c>
      <c r="AB3907" s="111">
        <f t="shared" si="863"/>
        <v>0</v>
      </c>
      <c r="AC3907" s="110"/>
      <c r="AD3907" s="110"/>
      <c r="AE3907" s="110">
        <f t="shared" si="867"/>
        <v>0</v>
      </c>
      <c r="AF3907" s="111">
        <f t="shared" si="874"/>
        <v>0</v>
      </c>
      <c r="AG3907" s="110"/>
      <c r="AH3907" s="110"/>
      <c r="AI3907" s="110"/>
      <c r="AJ3907" s="110"/>
      <c r="AK3907" s="111">
        <f t="shared" si="875"/>
        <v>0</v>
      </c>
      <c r="AL3907" s="446">
        <f t="shared" si="876"/>
        <v>0</v>
      </c>
      <c r="AM3907" s="110">
        <f t="shared" si="877"/>
        <v>0</v>
      </c>
      <c r="AN3907" s="447">
        <f t="shared" si="864"/>
        <v>0</v>
      </c>
      <c r="AO3907" s="108"/>
      <c r="AP3907"/>
    </row>
    <row r="3908" spans="1:42" s="108" customFormat="1" x14ac:dyDescent="0.25">
      <c r="A3908" s="61"/>
      <c r="B3908" s="698"/>
      <c r="C3908" s="9"/>
      <c r="D3908" s="949"/>
      <c r="E3908" s="114"/>
      <c r="F3908" s="274"/>
      <c r="G3908" s="274"/>
      <c r="H3908" s="274"/>
      <c r="I3908" s="722"/>
      <c r="J3908" s="828"/>
      <c r="K3908" s="131">
        <f t="shared" si="866"/>
        <v>0</v>
      </c>
      <c r="L3908" s="335">
        <f t="shared" si="873"/>
        <v>0</v>
      </c>
      <c r="M3908" s="335"/>
      <c r="N3908" s="335"/>
      <c r="O3908" s="335"/>
      <c r="P3908" s="335"/>
      <c r="Q3908" s="130">
        <f t="shared" si="870"/>
        <v>0</v>
      </c>
      <c r="R3908" s="131">
        <f t="shared" si="868"/>
        <v>0</v>
      </c>
      <c r="S3908" s="130"/>
      <c r="T3908" s="130"/>
      <c r="U3908" s="130">
        <f t="shared" si="871"/>
        <v>0</v>
      </c>
      <c r="V3908" s="131">
        <f t="shared" si="869"/>
        <v>0</v>
      </c>
      <c r="W3908" s="130"/>
      <c r="X3908" s="130"/>
      <c r="Y3908" s="130"/>
      <c r="Z3908" s="130"/>
      <c r="AA3908" s="130">
        <f t="shared" si="867"/>
        <v>0</v>
      </c>
      <c r="AB3908" s="131">
        <f t="shared" si="863"/>
        <v>0</v>
      </c>
      <c r="AC3908" s="130"/>
      <c r="AD3908" s="130"/>
      <c r="AE3908" s="130">
        <f t="shared" si="867"/>
        <v>0</v>
      </c>
      <c r="AF3908" s="131">
        <f t="shared" si="874"/>
        <v>0</v>
      </c>
      <c r="AG3908" s="130"/>
      <c r="AH3908" s="130"/>
      <c r="AI3908" s="130"/>
      <c r="AJ3908" s="130"/>
      <c r="AK3908" s="131">
        <f t="shared" si="875"/>
        <v>0</v>
      </c>
      <c r="AL3908" s="446">
        <f t="shared" si="876"/>
        <v>0</v>
      </c>
      <c r="AM3908" s="110">
        <f t="shared" si="877"/>
        <v>0</v>
      </c>
      <c r="AN3908" s="447">
        <f t="shared" si="864"/>
        <v>0</v>
      </c>
      <c r="AO3908"/>
      <c r="AP3908"/>
    </row>
    <row r="3909" spans="1:42" x14ac:dyDescent="0.25">
      <c r="A3909" s="376">
        <v>364</v>
      </c>
      <c r="B3909" s="588" t="s">
        <v>917</v>
      </c>
      <c r="C3909" s="376"/>
      <c r="D3909" s="940"/>
      <c r="E3909" s="377"/>
      <c r="F3909" s="378"/>
      <c r="G3909" s="378"/>
      <c r="H3909" s="378"/>
      <c r="I3909" s="734"/>
      <c r="J3909" s="806"/>
      <c r="K3909" s="131">
        <f t="shared" si="866"/>
        <v>0</v>
      </c>
      <c r="L3909" s="335">
        <f t="shared" si="873"/>
        <v>0</v>
      </c>
      <c r="M3909" s="419"/>
      <c r="N3909" s="419"/>
      <c r="O3909" s="419"/>
      <c r="P3909" s="419"/>
      <c r="Q3909" s="418">
        <f t="shared" si="870"/>
        <v>0</v>
      </c>
      <c r="R3909" s="379">
        <f t="shared" si="868"/>
        <v>0</v>
      </c>
      <c r="S3909" s="418"/>
      <c r="T3909" s="418"/>
      <c r="U3909" s="418">
        <f t="shared" si="871"/>
        <v>0</v>
      </c>
      <c r="V3909" s="379">
        <f t="shared" si="869"/>
        <v>0</v>
      </c>
      <c r="W3909" s="418"/>
      <c r="X3909" s="418"/>
      <c r="Y3909" s="418"/>
      <c r="Z3909" s="418"/>
      <c r="AA3909" s="418">
        <f t="shared" si="867"/>
        <v>0</v>
      </c>
      <c r="AB3909" s="379">
        <f t="shared" si="863"/>
        <v>0</v>
      </c>
      <c r="AC3909" s="418"/>
      <c r="AD3909" s="418"/>
      <c r="AE3909" s="418">
        <f t="shared" si="867"/>
        <v>0</v>
      </c>
      <c r="AF3909" s="379">
        <f t="shared" si="874"/>
        <v>0</v>
      </c>
      <c r="AG3909" s="418"/>
      <c r="AH3909" s="418"/>
      <c r="AI3909" s="418"/>
      <c r="AJ3909" s="418"/>
      <c r="AK3909" s="379">
        <f t="shared" si="875"/>
        <v>0</v>
      </c>
      <c r="AL3909" s="446">
        <f t="shared" si="876"/>
        <v>0</v>
      </c>
      <c r="AM3909" s="110">
        <f t="shared" si="877"/>
        <v>0</v>
      </c>
      <c r="AN3909" s="447">
        <f t="shared" si="864"/>
        <v>0</v>
      </c>
      <c r="AO3909" s="108"/>
      <c r="AP3909"/>
    </row>
    <row r="3910" spans="1:42" x14ac:dyDescent="0.25">
      <c r="A3910" s="310">
        <v>36401</v>
      </c>
      <c r="B3910" s="375" t="s">
        <v>918</v>
      </c>
      <c r="C3910" s="311"/>
      <c r="D3910" s="902"/>
      <c r="E3910" s="312"/>
      <c r="F3910" s="313"/>
      <c r="G3910" s="313"/>
      <c r="H3910" s="313"/>
      <c r="I3910" s="729"/>
      <c r="J3910" s="800"/>
      <c r="K3910" s="131">
        <f t="shared" si="866"/>
        <v>0</v>
      </c>
      <c r="L3910" s="335">
        <f t="shared" si="873"/>
        <v>0</v>
      </c>
      <c r="M3910" s="446"/>
      <c r="N3910" s="446"/>
      <c r="O3910" s="446"/>
      <c r="P3910" s="446"/>
      <c r="Q3910" s="110">
        <f t="shared" si="870"/>
        <v>0</v>
      </c>
      <c r="R3910" s="111">
        <f t="shared" si="868"/>
        <v>0</v>
      </c>
      <c r="S3910" s="110"/>
      <c r="T3910" s="110"/>
      <c r="U3910" s="110">
        <f t="shared" si="871"/>
        <v>0</v>
      </c>
      <c r="V3910" s="111">
        <f t="shared" si="869"/>
        <v>0</v>
      </c>
      <c r="W3910" s="110"/>
      <c r="X3910" s="110"/>
      <c r="Y3910" s="110"/>
      <c r="Z3910" s="110"/>
      <c r="AA3910" s="110">
        <f t="shared" si="867"/>
        <v>0</v>
      </c>
      <c r="AB3910" s="111">
        <f t="shared" si="863"/>
        <v>0</v>
      </c>
      <c r="AC3910" s="110"/>
      <c r="AD3910" s="110"/>
      <c r="AE3910" s="110">
        <f t="shared" si="867"/>
        <v>0</v>
      </c>
      <c r="AF3910" s="111">
        <f t="shared" si="874"/>
        <v>0</v>
      </c>
      <c r="AG3910" s="110"/>
      <c r="AH3910" s="110"/>
      <c r="AI3910" s="110"/>
      <c r="AJ3910" s="110"/>
      <c r="AK3910" s="111">
        <f t="shared" si="875"/>
        <v>0</v>
      </c>
      <c r="AL3910" s="446">
        <f t="shared" si="876"/>
        <v>0</v>
      </c>
      <c r="AM3910" s="110">
        <f t="shared" si="877"/>
        <v>0</v>
      </c>
      <c r="AN3910" s="447">
        <f t="shared" si="864"/>
        <v>0</v>
      </c>
      <c r="AO3910" s="108"/>
      <c r="AP3910"/>
    </row>
    <row r="3911" spans="1:42" s="108" customFormat="1" x14ac:dyDescent="0.25">
      <c r="A3911" s="60"/>
      <c r="B3911" s="46"/>
      <c r="C3911" s="9"/>
      <c r="D3911" s="869"/>
      <c r="E3911" s="1027"/>
      <c r="F3911" s="272"/>
      <c r="G3911" s="272"/>
      <c r="H3911" s="272"/>
      <c r="I3911" s="722"/>
      <c r="J3911" s="816"/>
      <c r="K3911" s="131">
        <f t="shared" si="866"/>
        <v>0</v>
      </c>
      <c r="L3911" s="335">
        <f t="shared" si="873"/>
        <v>0</v>
      </c>
      <c r="M3911" s="335"/>
      <c r="N3911" s="335"/>
      <c r="O3911" s="335"/>
      <c r="P3911" s="335"/>
      <c r="Q3911" s="130">
        <f t="shared" si="870"/>
        <v>0</v>
      </c>
      <c r="R3911" s="131">
        <f t="shared" si="868"/>
        <v>0</v>
      </c>
      <c r="S3911" s="130"/>
      <c r="T3911" s="130"/>
      <c r="U3911" s="130">
        <f t="shared" si="871"/>
        <v>0</v>
      </c>
      <c r="V3911" s="131">
        <f t="shared" si="869"/>
        <v>0</v>
      </c>
      <c r="W3911" s="130"/>
      <c r="X3911" s="130"/>
      <c r="Y3911" s="130"/>
      <c r="Z3911" s="130"/>
      <c r="AA3911" s="130">
        <f t="shared" si="867"/>
        <v>0</v>
      </c>
      <c r="AB3911" s="131">
        <f t="shared" si="863"/>
        <v>0</v>
      </c>
      <c r="AC3911" s="130"/>
      <c r="AD3911" s="130"/>
      <c r="AE3911" s="130">
        <f t="shared" si="867"/>
        <v>0</v>
      </c>
      <c r="AF3911" s="131">
        <f t="shared" si="874"/>
        <v>0</v>
      </c>
      <c r="AG3911" s="130"/>
      <c r="AH3911" s="130"/>
      <c r="AI3911" s="130"/>
      <c r="AJ3911" s="130"/>
      <c r="AK3911" s="131">
        <f t="shared" si="875"/>
        <v>0</v>
      </c>
      <c r="AL3911" s="446">
        <f t="shared" si="876"/>
        <v>0</v>
      </c>
      <c r="AM3911" s="110">
        <f t="shared" si="877"/>
        <v>0</v>
      </c>
      <c r="AN3911" s="447">
        <f t="shared" si="864"/>
        <v>0</v>
      </c>
      <c r="AO3911"/>
      <c r="AP3911"/>
    </row>
    <row r="3912" spans="1:42" x14ac:dyDescent="0.25">
      <c r="A3912" s="376">
        <v>365</v>
      </c>
      <c r="B3912" s="588" t="s">
        <v>919</v>
      </c>
      <c r="C3912" s="376"/>
      <c r="D3912" s="940"/>
      <c r="E3912" s="377"/>
      <c r="F3912" s="378"/>
      <c r="G3912" s="378"/>
      <c r="H3912" s="378"/>
      <c r="I3912" s="734"/>
      <c r="J3912" s="806"/>
      <c r="K3912" s="131">
        <f t="shared" si="866"/>
        <v>0</v>
      </c>
      <c r="L3912" s="335">
        <f t="shared" si="873"/>
        <v>0</v>
      </c>
      <c r="M3912" s="419"/>
      <c r="N3912" s="419"/>
      <c r="O3912" s="419"/>
      <c r="P3912" s="419"/>
      <c r="Q3912" s="418">
        <f t="shared" si="870"/>
        <v>0</v>
      </c>
      <c r="R3912" s="379">
        <f t="shared" si="868"/>
        <v>0</v>
      </c>
      <c r="S3912" s="418"/>
      <c r="T3912" s="418"/>
      <c r="U3912" s="418">
        <f t="shared" si="871"/>
        <v>0</v>
      </c>
      <c r="V3912" s="379">
        <f t="shared" si="869"/>
        <v>0</v>
      </c>
      <c r="W3912" s="418"/>
      <c r="X3912" s="418"/>
      <c r="Y3912" s="418"/>
      <c r="Z3912" s="418"/>
      <c r="AA3912" s="418">
        <f t="shared" si="867"/>
        <v>0</v>
      </c>
      <c r="AB3912" s="379">
        <f t="shared" si="863"/>
        <v>0</v>
      </c>
      <c r="AC3912" s="418"/>
      <c r="AD3912" s="418"/>
      <c r="AE3912" s="418">
        <f t="shared" si="867"/>
        <v>0</v>
      </c>
      <c r="AF3912" s="379">
        <f t="shared" si="874"/>
        <v>0</v>
      </c>
      <c r="AG3912" s="418"/>
      <c r="AH3912" s="418"/>
      <c r="AI3912" s="418"/>
      <c r="AJ3912" s="418"/>
      <c r="AK3912" s="379">
        <f t="shared" si="875"/>
        <v>0</v>
      </c>
      <c r="AL3912" s="446">
        <f t="shared" si="876"/>
        <v>0</v>
      </c>
      <c r="AM3912" s="110">
        <f t="shared" si="877"/>
        <v>0</v>
      </c>
      <c r="AN3912" s="447">
        <f t="shared" si="864"/>
        <v>0</v>
      </c>
      <c r="AO3912" s="108"/>
      <c r="AP3912"/>
    </row>
    <row r="3913" spans="1:42" x14ac:dyDescent="0.25">
      <c r="A3913" s="7">
        <v>36501</v>
      </c>
      <c r="B3913" s="56" t="s">
        <v>919</v>
      </c>
      <c r="C3913" s="77"/>
      <c r="D3913" s="910"/>
      <c r="E3913" s="1019"/>
      <c r="F3913" s="269"/>
      <c r="G3913" s="269"/>
      <c r="H3913" s="269"/>
      <c r="I3913" s="720"/>
      <c r="J3913" s="798"/>
      <c r="K3913" s="131">
        <f t="shared" si="866"/>
        <v>0</v>
      </c>
      <c r="L3913" s="335">
        <f t="shared" si="873"/>
        <v>0</v>
      </c>
      <c r="M3913" s="446"/>
      <c r="N3913" s="446"/>
      <c r="O3913" s="446"/>
      <c r="P3913" s="446"/>
      <c r="Q3913" s="110">
        <f t="shared" si="870"/>
        <v>0</v>
      </c>
      <c r="R3913" s="111">
        <f t="shared" si="868"/>
        <v>0</v>
      </c>
      <c r="S3913" s="110"/>
      <c r="T3913" s="110"/>
      <c r="U3913" s="110">
        <f t="shared" si="871"/>
        <v>0</v>
      </c>
      <c r="V3913" s="111">
        <f t="shared" si="869"/>
        <v>0</v>
      </c>
      <c r="W3913" s="110"/>
      <c r="X3913" s="110"/>
      <c r="Y3913" s="110"/>
      <c r="Z3913" s="110"/>
      <c r="AA3913" s="110">
        <f t="shared" si="867"/>
        <v>0</v>
      </c>
      <c r="AB3913" s="111">
        <f t="shared" si="863"/>
        <v>0</v>
      </c>
      <c r="AC3913" s="110"/>
      <c r="AD3913" s="110"/>
      <c r="AE3913" s="110">
        <f t="shared" si="867"/>
        <v>0</v>
      </c>
      <c r="AF3913" s="111">
        <f t="shared" si="874"/>
        <v>0</v>
      </c>
      <c r="AG3913" s="110"/>
      <c r="AH3913" s="110"/>
      <c r="AI3913" s="110"/>
      <c r="AJ3913" s="110"/>
      <c r="AK3913" s="111">
        <f t="shared" si="875"/>
        <v>0</v>
      </c>
      <c r="AL3913" s="446">
        <f t="shared" si="876"/>
        <v>0</v>
      </c>
      <c r="AM3913" s="110">
        <f t="shared" si="877"/>
        <v>0</v>
      </c>
      <c r="AN3913" s="447">
        <f t="shared" si="864"/>
        <v>0</v>
      </c>
      <c r="AO3913" s="108"/>
      <c r="AP3913"/>
    </row>
    <row r="3914" spans="1:42" s="108" customFormat="1" x14ac:dyDescent="0.25">
      <c r="A3914" s="60"/>
      <c r="B3914" s="607"/>
      <c r="C3914" s="9"/>
      <c r="D3914" s="875"/>
      <c r="E3914" s="250"/>
      <c r="F3914" s="277"/>
      <c r="G3914" s="277"/>
      <c r="H3914" s="277"/>
      <c r="I3914" s="722"/>
      <c r="J3914" s="812"/>
      <c r="K3914" s="131">
        <f t="shared" si="866"/>
        <v>0</v>
      </c>
      <c r="L3914" s="335">
        <f t="shared" si="873"/>
        <v>0</v>
      </c>
      <c r="M3914" s="335"/>
      <c r="N3914" s="335"/>
      <c r="O3914" s="335"/>
      <c r="P3914" s="335"/>
      <c r="Q3914" s="130">
        <f t="shared" si="870"/>
        <v>0</v>
      </c>
      <c r="R3914" s="131">
        <f t="shared" si="868"/>
        <v>0</v>
      </c>
      <c r="S3914" s="130"/>
      <c r="T3914" s="130"/>
      <c r="U3914" s="130">
        <f t="shared" si="871"/>
        <v>0</v>
      </c>
      <c r="V3914" s="131">
        <f t="shared" si="869"/>
        <v>0</v>
      </c>
      <c r="W3914" s="130"/>
      <c r="X3914" s="130"/>
      <c r="Y3914" s="130"/>
      <c r="Z3914" s="130"/>
      <c r="AA3914" s="130">
        <f t="shared" si="867"/>
        <v>0</v>
      </c>
      <c r="AB3914" s="131">
        <f t="shared" si="863"/>
        <v>0</v>
      </c>
      <c r="AC3914" s="130"/>
      <c r="AD3914" s="130"/>
      <c r="AE3914" s="130">
        <f t="shared" si="867"/>
        <v>0</v>
      </c>
      <c r="AF3914" s="131">
        <f t="shared" si="874"/>
        <v>0</v>
      </c>
      <c r="AG3914" s="130"/>
      <c r="AH3914" s="130"/>
      <c r="AI3914" s="130"/>
      <c r="AJ3914" s="130"/>
      <c r="AK3914" s="131">
        <f t="shared" si="875"/>
        <v>0</v>
      </c>
      <c r="AL3914" s="446">
        <f t="shared" si="876"/>
        <v>0</v>
      </c>
      <c r="AM3914" s="110">
        <f t="shared" si="877"/>
        <v>0</v>
      </c>
      <c r="AN3914" s="447">
        <f t="shared" si="864"/>
        <v>0</v>
      </c>
      <c r="AO3914"/>
      <c r="AP3914"/>
    </row>
    <row r="3915" spans="1:42" ht="22.5" x14ac:dyDescent="0.25">
      <c r="A3915" s="376">
        <v>366</v>
      </c>
      <c r="B3915" s="588" t="s">
        <v>920</v>
      </c>
      <c r="C3915" s="376"/>
      <c r="D3915" s="940"/>
      <c r="E3915" s="377"/>
      <c r="F3915" s="378"/>
      <c r="G3915" s="378"/>
      <c r="H3915" s="378"/>
      <c r="I3915" s="734"/>
      <c r="J3915" s="806"/>
      <c r="K3915" s="131">
        <f t="shared" si="866"/>
        <v>0</v>
      </c>
      <c r="L3915" s="335">
        <f t="shared" si="873"/>
        <v>0</v>
      </c>
      <c r="M3915" s="419"/>
      <c r="N3915" s="419"/>
      <c r="O3915" s="419"/>
      <c r="P3915" s="419"/>
      <c r="Q3915" s="418">
        <f t="shared" si="870"/>
        <v>0</v>
      </c>
      <c r="R3915" s="379">
        <f t="shared" si="868"/>
        <v>0</v>
      </c>
      <c r="S3915" s="418"/>
      <c r="T3915" s="418"/>
      <c r="U3915" s="418">
        <f t="shared" si="871"/>
        <v>0</v>
      </c>
      <c r="V3915" s="379">
        <f t="shared" si="869"/>
        <v>0</v>
      </c>
      <c r="W3915" s="418"/>
      <c r="X3915" s="418"/>
      <c r="Y3915" s="418"/>
      <c r="Z3915" s="418"/>
      <c r="AA3915" s="418">
        <f t="shared" si="867"/>
        <v>0</v>
      </c>
      <c r="AB3915" s="379">
        <f t="shared" si="863"/>
        <v>0</v>
      </c>
      <c r="AC3915" s="418"/>
      <c r="AD3915" s="418"/>
      <c r="AE3915" s="418">
        <f t="shared" si="867"/>
        <v>0</v>
      </c>
      <c r="AF3915" s="379">
        <f t="shared" si="874"/>
        <v>0</v>
      </c>
      <c r="AG3915" s="418"/>
      <c r="AH3915" s="418"/>
      <c r="AI3915" s="418"/>
      <c r="AJ3915" s="418"/>
      <c r="AK3915" s="379">
        <f t="shared" si="875"/>
        <v>0</v>
      </c>
      <c r="AL3915" s="446">
        <f t="shared" si="876"/>
        <v>0</v>
      </c>
      <c r="AM3915" s="110">
        <f t="shared" si="877"/>
        <v>0</v>
      </c>
      <c r="AN3915" s="447">
        <f t="shared" si="864"/>
        <v>0</v>
      </c>
      <c r="AO3915" s="108"/>
      <c r="AP3915"/>
    </row>
    <row r="3916" spans="1:42" ht="22.5" x14ac:dyDescent="0.25">
      <c r="A3916" s="315">
        <v>36601</v>
      </c>
      <c r="B3916" s="351" t="s">
        <v>921</v>
      </c>
      <c r="C3916" s="316"/>
      <c r="D3916" s="886"/>
      <c r="E3916" s="318"/>
      <c r="F3916" s="319"/>
      <c r="G3916" s="319"/>
      <c r="H3916" s="319"/>
      <c r="I3916" s="724"/>
      <c r="J3916" s="762"/>
      <c r="K3916" s="131">
        <f t="shared" si="866"/>
        <v>0</v>
      </c>
      <c r="L3916" s="335">
        <f t="shared" si="873"/>
        <v>0</v>
      </c>
      <c r="M3916" s="446"/>
      <c r="N3916" s="446"/>
      <c r="O3916" s="446"/>
      <c r="P3916" s="446"/>
      <c r="Q3916" s="110">
        <f t="shared" si="870"/>
        <v>0</v>
      </c>
      <c r="R3916" s="111">
        <f t="shared" si="868"/>
        <v>0</v>
      </c>
      <c r="S3916" s="110"/>
      <c r="T3916" s="110"/>
      <c r="U3916" s="110">
        <f t="shared" si="871"/>
        <v>0</v>
      </c>
      <c r="V3916" s="111">
        <f t="shared" si="869"/>
        <v>0</v>
      </c>
      <c r="W3916" s="110"/>
      <c r="X3916" s="110"/>
      <c r="Y3916" s="110"/>
      <c r="Z3916" s="110"/>
      <c r="AA3916" s="110">
        <f t="shared" si="867"/>
        <v>0</v>
      </c>
      <c r="AB3916" s="111">
        <f t="shared" si="863"/>
        <v>0</v>
      </c>
      <c r="AC3916" s="110"/>
      <c r="AD3916" s="110"/>
      <c r="AE3916" s="110">
        <f t="shared" si="867"/>
        <v>0</v>
      </c>
      <c r="AF3916" s="111">
        <f t="shared" si="874"/>
        <v>0</v>
      </c>
      <c r="AG3916" s="110"/>
      <c r="AH3916" s="110"/>
      <c r="AI3916" s="110"/>
      <c r="AJ3916" s="110"/>
      <c r="AK3916" s="111">
        <f t="shared" si="875"/>
        <v>0</v>
      </c>
      <c r="AL3916" s="446">
        <f t="shared" si="876"/>
        <v>0</v>
      </c>
      <c r="AM3916" s="110">
        <f t="shared" si="877"/>
        <v>0</v>
      </c>
      <c r="AN3916" s="447">
        <f t="shared" si="864"/>
        <v>0</v>
      </c>
      <c r="AO3916" s="436">
        <f>SUM(J3917)</f>
        <v>20250</v>
      </c>
      <c r="AP3916" s="111"/>
    </row>
    <row r="3917" spans="1:42" ht="66" x14ac:dyDescent="0.25">
      <c r="A3917" s="78"/>
      <c r="B3917" s="37" t="s">
        <v>922</v>
      </c>
      <c r="C3917" s="162"/>
      <c r="D3917" s="882">
        <v>12</v>
      </c>
      <c r="E3917" s="89" t="s">
        <v>1758</v>
      </c>
      <c r="F3917" s="273" t="s">
        <v>3446</v>
      </c>
      <c r="G3917" s="1040" t="s">
        <v>3463</v>
      </c>
      <c r="H3917" s="273" t="s">
        <v>3462</v>
      </c>
      <c r="I3917" s="720">
        <f>+J3917/D3917</f>
        <v>1687.5</v>
      </c>
      <c r="J3917" s="816">
        <v>20250</v>
      </c>
      <c r="K3917" s="131">
        <f t="shared" si="866"/>
        <v>20250</v>
      </c>
      <c r="L3917" s="335">
        <f t="shared" si="873"/>
        <v>0</v>
      </c>
      <c r="M3917" s="446"/>
      <c r="N3917" s="446"/>
      <c r="O3917" s="446"/>
      <c r="P3917" s="446"/>
      <c r="Q3917" s="110">
        <f t="shared" si="870"/>
        <v>3</v>
      </c>
      <c r="R3917" s="111">
        <f t="shared" si="868"/>
        <v>5062.5</v>
      </c>
      <c r="S3917" s="110"/>
      <c r="T3917" s="110"/>
      <c r="U3917" s="110">
        <f t="shared" si="871"/>
        <v>3</v>
      </c>
      <c r="V3917" s="111">
        <f t="shared" si="869"/>
        <v>5062.5</v>
      </c>
      <c r="W3917" s="110"/>
      <c r="X3917" s="110"/>
      <c r="Y3917" s="110"/>
      <c r="Z3917" s="110"/>
      <c r="AA3917" s="110">
        <f t="shared" si="867"/>
        <v>3</v>
      </c>
      <c r="AB3917" s="111">
        <f t="shared" si="863"/>
        <v>5062.5</v>
      </c>
      <c r="AC3917" s="110"/>
      <c r="AD3917" s="110"/>
      <c r="AE3917" s="110">
        <f t="shared" si="867"/>
        <v>3</v>
      </c>
      <c r="AF3917" s="111">
        <f t="shared" si="874"/>
        <v>5062.5</v>
      </c>
      <c r="AG3917" s="110"/>
      <c r="AH3917" s="110"/>
      <c r="AI3917" s="110"/>
      <c r="AJ3917" s="110"/>
      <c r="AK3917" s="111">
        <f t="shared" si="875"/>
        <v>20250</v>
      </c>
      <c r="AL3917" s="446">
        <f t="shared" si="876"/>
        <v>0</v>
      </c>
      <c r="AM3917" s="110">
        <f t="shared" si="877"/>
        <v>12</v>
      </c>
      <c r="AN3917" s="447">
        <f t="shared" si="864"/>
        <v>0</v>
      </c>
      <c r="AO3917"/>
      <c r="AP3917"/>
    </row>
    <row r="3918" spans="1:42" s="108" customFormat="1" x14ac:dyDescent="0.25">
      <c r="A3918" s="78"/>
      <c r="B3918" s="46"/>
      <c r="C3918" s="9"/>
      <c r="D3918" s="929"/>
      <c r="E3918" s="211"/>
      <c r="F3918" s="284"/>
      <c r="G3918" s="284"/>
      <c r="H3918" s="284"/>
      <c r="I3918" s="722"/>
      <c r="J3918" s="809"/>
      <c r="K3918" s="131">
        <f t="shared" si="866"/>
        <v>0</v>
      </c>
      <c r="L3918" s="335">
        <f t="shared" si="873"/>
        <v>0</v>
      </c>
      <c r="M3918" s="335"/>
      <c r="N3918" s="335"/>
      <c r="O3918" s="335"/>
      <c r="P3918" s="335"/>
      <c r="Q3918" s="130">
        <f t="shared" si="870"/>
        <v>0</v>
      </c>
      <c r="R3918" s="131">
        <f t="shared" si="868"/>
        <v>0</v>
      </c>
      <c r="S3918" s="130"/>
      <c r="T3918" s="130"/>
      <c r="U3918" s="130">
        <f t="shared" si="871"/>
        <v>0</v>
      </c>
      <c r="V3918" s="131">
        <f t="shared" si="869"/>
        <v>0</v>
      </c>
      <c r="W3918" s="130"/>
      <c r="X3918" s="130"/>
      <c r="Y3918" s="130"/>
      <c r="Z3918" s="130"/>
      <c r="AA3918" s="130">
        <f t="shared" si="867"/>
        <v>0</v>
      </c>
      <c r="AB3918" s="131">
        <f t="shared" si="863"/>
        <v>0</v>
      </c>
      <c r="AC3918" s="130"/>
      <c r="AD3918" s="130"/>
      <c r="AE3918" s="130">
        <f t="shared" si="867"/>
        <v>0</v>
      </c>
      <c r="AF3918" s="131">
        <f t="shared" si="874"/>
        <v>0</v>
      </c>
      <c r="AG3918" s="130"/>
      <c r="AH3918" s="130"/>
      <c r="AI3918" s="130"/>
      <c r="AJ3918" s="130"/>
      <c r="AK3918" s="131">
        <f t="shared" si="875"/>
        <v>0</v>
      </c>
      <c r="AL3918" s="446">
        <f t="shared" si="876"/>
        <v>0</v>
      </c>
      <c r="AM3918" s="110">
        <f t="shared" si="877"/>
        <v>0</v>
      </c>
      <c r="AN3918" s="447">
        <f t="shared" si="864"/>
        <v>0</v>
      </c>
      <c r="AO3918"/>
      <c r="AP3918"/>
    </row>
    <row r="3919" spans="1:42" x14ac:dyDescent="0.25">
      <c r="A3919" s="376">
        <v>369</v>
      </c>
      <c r="B3919" s="588" t="s">
        <v>923</v>
      </c>
      <c r="C3919" s="376"/>
      <c r="D3919" s="940"/>
      <c r="E3919" s="377"/>
      <c r="F3919" s="378"/>
      <c r="G3919" s="378"/>
      <c r="H3919" s="378"/>
      <c r="I3919" s="734"/>
      <c r="J3919" s="806"/>
      <c r="K3919" s="131">
        <f t="shared" si="866"/>
        <v>0</v>
      </c>
      <c r="L3919" s="335">
        <f t="shared" si="873"/>
        <v>0</v>
      </c>
      <c r="M3919" s="419"/>
      <c r="N3919" s="419"/>
      <c r="O3919" s="419"/>
      <c r="P3919" s="419"/>
      <c r="Q3919" s="418">
        <f t="shared" si="870"/>
        <v>0</v>
      </c>
      <c r="R3919" s="379">
        <f t="shared" si="868"/>
        <v>0</v>
      </c>
      <c r="S3919" s="418"/>
      <c r="T3919" s="418"/>
      <c r="U3919" s="418">
        <f t="shared" si="871"/>
        <v>0</v>
      </c>
      <c r="V3919" s="379">
        <f t="shared" si="869"/>
        <v>0</v>
      </c>
      <c r="W3919" s="418"/>
      <c r="X3919" s="418"/>
      <c r="Y3919" s="418"/>
      <c r="Z3919" s="418"/>
      <c r="AA3919" s="418">
        <f t="shared" si="867"/>
        <v>0</v>
      </c>
      <c r="AB3919" s="379">
        <f t="shared" si="863"/>
        <v>0</v>
      </c>
      <c r="AC3919" s="418"/>
      <c r="AD3919" s="418"/>
      <c r="AE3919" s="418">
        <f t="shared" si="867"/>
        <v>0</v>
      </c>
      <c r="AF3919" s="379">
        <f t="shared" si="874"/>
        <v>0</v>
      </c>
      <c r="AG3919" s="418"/>
      <c r="AH3919" s="418"/>
      <c r="AI3919" s="418"/>
      <c r="AJ3919" s="418"/>
      <c r="AK3919" s="379">
        <f t="shared" si="875"/>
        <v>0</v>
      </c>
      <c r="AL3919" s="446">
        <f t="shared" si="876"/>
        <v>0</v>
      </c>
      <c r="AM3919" s="110">
        <f t="shared" si="877"/>
        <v>0</v>
      </c>
      <c r="AN3919" s="447">
        <f t="shared" si="864"/>
        <v>0</v>
      </c>
      <c r="AO3919" s="108"/>
      <c r="AP3919"/>
    </row>
    <row r="3920" spans="1:42" x14ac:dyDescent="0.25">
      <c r="A3920" s="7">
        <v>36901</v>
      </c>
      <c r="B3920" s="56" t="s">
        <v>924</v>
      </c>
      <c r="C3920" s="162"/>
      <c r="D3920" s="910"/>
      <c r="E3920" s="1019"/>
      <c r="F3920" s="269"/>
      <c r="G3920" s="269"/>
      <c r="H3920" s="269"/>
      <c r="I3920" s="720"/>
      <c r="J3920" s="798"/>
      <c r="K3920" s="131">
        <f t="shared" si="866"/>
        <v>0</v>
      </c>
      <c r="L3920" s="335">
        <f t="shared" si="873"/>
        <v>0</v>
      </c>
      <c r="M3920" s="446"/>
      <c r="N3920" s="446"/>
      <c r="O3920" s="446"/>
      <c r="P3920" s="446"/>
      <c r="Q3920" s="110">
        <f t="shared" si="870"/>
        <v>0</v>
      </c>
      <c r="R3920" s="111">
        <f t="shared" si="868"/>
        <v>0</v>
      </c>
      <c r="S3920" s="110"/>
      <c r="T3920" s="110"/>
      <c r="U3920" s="110">
        <f t="shared" si="871"/>
        <v>0</v>
      </c>
      <c r="V3920" s="111">
        <f t="shared" si="869"/>
        <v>0</v>
      </c>
      <c r="W3920" s="110"/>
      <c r="X3920" s="110"/>
      <c r="Y3920" s="110"/>
      <c r="Z3920" s="110"/>
      <c r="AA3920" s="110">
        <f t="shared" si="867"/>
        <v>0</v>
      </c>
      <c r="AB3920" s="111">
        <f t="shared" ref="AB3920:AB3983" si="878">+J3920/4</f>
        <v>0</v>
      </c>
      <c r="AC3920" s="110"/>
      <c r="AD3920" s="110"/>
      <c r="AE3920" s="110">
        <f t="shared" si="867"/>
        <v>0</v>
      </c>
      <c r="AF3920" s="111">
        <f t="shared" si="874"/>
        <v>0</v>
      </c>
      <c r="AG3920" s="110"/>
      <c r="AH3920" s="110"/>
      <c r="AI3920" s="110"/>
      <c r="AJ3920" s="110"/>
      <c r="AK3920" s="111">
        <f t="shared" si="875"/>
        <v>0</v>
      </c>
      <c r="AL3920" s="446">
        <f t="shared" si="876"/>
        <v>0</v>
      </c>
      <c r="AM3920" s="110">
        <f t="shared" si="877"/>
        <v>0</v>
      </c>
      <c r="AN3920" s="447">
        <f t="shared" ref="AN3920:AN3929" si="879">+D3920-AM3920</f>
        <v>0</v>
      </c>
      <c r="AO3920" s="108"/>
      <c r="AP3920"/>
    </row>
    <row r="3921" spans="1:42" s="108" customFormat="1" x14ac:dyDescent="0.25">
      <c r="A3921" s="60"/>
      <c r="B3921" s="46"/>
      <c r="C3921" s="9"/>
      <c r="D3921" s="869"/>
      <c r="E3921" s="1027"/>
      <c r="F3921" s="272"/>
      <c r="G3921" s="272"/>
      <c r="H3921" s="272"/>
      <c r="I3921" s="722"/>
      <c r="J3921" s="816"/>
      <c r="K3921" s="131">
        <f t="shared" si="866"/>
        <v>0</v>
      </c>
      <c r="L3921" s="335">
        <f t="shared" si="873"/>
        <v>0</v>
      </c>
      <c r="M3921" s="335"/>
      <c r="N3921" s="335"/>
      <c r="O3921" s="335"/>
      <c r="P3921" s="335"/>
      <c r="Q3921" s="130">
        <f t="shared" si="870"/>
        <v>0</v>
      </c>
      <c r="R3921" s="131">
        <f t="shared" si="868"/>
        <v>0</v>
      </c>
      <c r="S3921" s="130"/>
      <c r="T3921" s="130"/>
      <c r="U3921" s="130">
        <f t="shared" si="871"/>
        <v>0</v>
      </c>
      <c r="V3921" s="131">
        <f t="shared" si="869"/>
        <v>0</v>
      </c>
      <c r="W3921" s="130"/>
      <c r="X3921" s="130"/>
      <c r="Y3921" s="130"/>
      <c r="Z3921" s="130"/>
      <c r="AA3921" s="130">
        <f t="shared" si="867"/>
        <v>0</v>
      </c>
      <c r="AB3921" s="131">
        <f t="shared" si="878"/>
        <v>0</v>
      </c>
      <c r="AC3921" s="130"/>
      <c r="AD3921" s="130"/>
      <c r="AE3921" s="130">
        <f t="shared" si="867"/>
        <v>0</v>
      </c>
      <c r="AF3921" s="131">
        <f t="shared" si="874"/>
        <v>0</v>
      </c>
      <c r="AG3921" s="130"/>
      <c r="AH3921" s="130"/>
      <c r="AI3921" s="130"/>
      <c r="AJ3921" s="130"/>
      <c r="AK3921" s="131">
        <f t="shared" si="875"/>
        <v>0</v>
      </c>
      <c r="AL3921" s="446">
        <f t="shared" si="876"/>
        <v>0</v>
      </c>
      <c r="AM3921" s="110">
        <f t="shared" si="877"/>
        <v>0</v>
      </c>
      <c r="AN3921" s="447">
        <f t="shared" si="879"/>
        <v>0</v>
      </c>
      <c r="AO3921"/>
      <c r="AP3921"/>
    </row>
    <row r="3922" spans="1:42" x14ac:dyDescent="0.25">
      <c r="A3922" s="299">
        <v>3700</v>
      </c>
      <c r="B3922" s="469" t="s">
        <v>925</v>
      </c>
      <c r="C3922" s="299"/>
      <c r="D3922" s="909"/>
      <c r="E3922" s="301"/>
      <c r="F3922" s="302"/>
      <c r="G3922" s="302"/>
      <c r="H3922" s="302"/>
      <c r="I3922" s="715"/>
      <c r="J3922" s="751"/>
      <c r="K3922" s="131">
        <f t="shared" si="866"/>
        <v>0</v>
      </c>
      <c r="L3922" s="335">
        <f t="shared" si="873"/>
        <v>0</v>
      </c>
      <c r="M3922" s="453"/>
      <c r="N3922" s="453"/>
      <c r="O3922" s="453"/>
      <c r="P3922" s="453"/>
      <c r="Q3922" s="385">
        <f t="shared" si="870"/>
        <v>0</v>
      </c>
      <c r="R3922" s="303">
        <f t="shared" si="868"/>
        <v>0</v>
      </c>
      <c r="S3922" s="385"/>
      <c r="T3922" s="385"/>
      <c r="U3922" s="385">
        <f t="shared" si="871"/>
        <v>0</v>
      </c>
      <c r="V3922" s="303">
        <f t="shared" si="869"/>
        <v>0</v>
      </c>
      <c r="W3922" s="385"/>
      <c r="X3922" s="385"/>
      <c r="Y3922" s="385"/>
      <c r="Z3922" s="385"/>
      <c r="AA3922" s="385">
        <f t="shared" si="867"/>
        <v>0</v>
      </c>
      <c r="AB3922" s="303">
        <f t="shared" si="878"/>
        <v>0</v>
      </c>
      <c r="AC3922" s="385"/>
      <c r="AD3922" s="385"/>
      <c r="AE3922" s="385">
        <f t="shared" si="867"/>
        <v>0</v>
      </c>
      <c r="AF3922" s="303">
        <f t="shared" si="874"/>
        <v>0</v>
      </c>
      <c r="AG3922" s="385"/>
      <c r="AH3922" s="385"/>
      <c r="AI3922" s="385"/>
      <c r="AJ3922" s="385"/>
      <c r="AK3922" s="303">
        <f t="shared" si="875"/>
        <v>0</v>
      </c>
      <c r="AL3922" s="453">
        <f t="shared" si="876"/>
        <v>0</v>
      </c>
      <c r="AM3922" s="385">
        <f t="shared" si="877"/>
        <v>0</v>
      </c>
      <c r="AN3922" s="454">
        <f t="shared" si="879"/>
        <v>0</v>
      </c>
      <c r="AO3922" s="304"/>
      <c r="AP3922"/>
    </row>
    <row r="3923" spans="1:42" x14ac:dyDescent="0.25">
      <c r="A3923" s="376">
        <v>371</v>
      </c>
      <c r="B3923" s="588" t="s">
        <v>926</v>
      </c>
      <c r="C3923" s="376"/>
      <c r="D3923" s="940"/>
      <c r="E3923" s="377"/>
      <c r="F3923" s="378"/>
      <c r="G3923" s="378"/>
      <c r="H3923" s="378"/>
      <c r="I3923" s="734"/>
      <c r="J3923" s="806"/>
      <c r="K3923" s="131">
        <f t="shared" si="866"/>
        <v>0</v>
      </c>
      <c r="L3923" s="335">
        <f t="shared" si="873"/>
        <v>0</v>
      </c>
      <c r="M3923" s="419"/>
      <c r="N3923" s="419"/>
      <c r="O3923" s="419"/>
      <c r="P3923" s="419"/>
      <c r="Q3923" s="418">
        <f t="shared" si="870"/>
        <v>0</v>
      </c>
      <c r="R3923" s="379">
        <f t="shared" si="868"/>
        <v>0</v>
      </c>
      <c r="S3923" s="418"/>
      <c r="T3923" s="418"/>
      <c r="U3923" s="418">
        <f t="shared" si="871"/>
        <v>0</v>
      </c>
      <c r="V3923" s="379">
        <f t="shared" si="869"/>
        <v>0</v>
      </c>
      <c r="W3923" s="418"/>
      <c r="X3923" s="418"/>
      <c r="Y3923" s="418"/>
      <c r="Z3923" s="418"/>
      <c r="AA3923" s="418">
        <f t="shared" si="867"/>
        <v>0</v>
      </c>
      <c r="AB3923" s="379">
        <f t="shared" si="878"/>
        <v>0</v>
      </c>
      <c r="AC3923" s="418"/>
      <c r="AD3923" s="418"/>
      <c r="AE3923" s="418">
        <f t="shared" si="867"/>
        <v>0</v>
      </c>
      <c r="AF3923" s="379">
        <f t="shared" si="874"/>
        <v>0</v>
      </c>
      <c r="AG3923" s="418"/>
      <c r="AH3923" s="418"/>
      <c r="AI3923" s="418"/>
      <c r="AJ3923" s="418"/>
      <c r="AK3923" s="379">
        <f t="shared" si="875"/>
        <v>0</v>
      </c>
      <c r="AL3923" s="446">
        <f t="shared" si="876"/>
        <v>0</v>
      </c>
      <c r="AM3923" s="110">
        <f t="shared" si="877"/>
        <v>0</v>
      </c>
      <c r="AN3923" s="447">
        <f t="shared" si="879"/>
        <v>0</v>
      </c>
      <c r="AO3923" s="108"/>
      <c r="AP3923"/>
    </row>
    <row r="3924" spans="1:42" x14ac:dyDescent="0.25">
      <c r="A3924" s="315">
        <v>37101</v>
      </c>
      <c r="B3924" s="351" t="s">
        <v>926</v>
      </c>
      <c r="C3924" s="316"/>
      <c r="D3924" s="886"/>
      <c r="E3924" s="318"/>
      <c r="F3924" s="319"/>
      <c r="G3924" s="319"/>
      <c r="H3924" s="319"/>
      <c r="I3924" s="724"/>
      <c r="J3924" s="762"/>
      <c r="K3924" s="131">
        <f t="shared" si="866"/>
        <v>0</v>
      </c>
      <c r="L3924" s="335">
        <f t="shared" si="873"/>
        <v>0</v>
      </c>
      <c r="M3924" s="446"/>
      <c r="N3924" s="446"/>
      <c r="O3924" s="446"/>
      <c r="P3924" s="446"/>
      <c r="Q3924" s="110">
        <f t="shared" si="870"/>
        <v>0</v>
      </c>
      <c r="R3924" s="111">
        <f t="shared" si="868"/>
        <v>0</v>
      </c>
      <c r="S3924" s="110"/>
      <c r="T3924" s="110"/>
      <c r="U3924" s="110">
        <f t="shared" si="871"/>
        <v>0</v>
      </c>
      <c r="V3924" s="111">
        <f t="shared" si="869"/>
        <v>0</v>
      </c>
      <c r="W3924" s="110"/>
      <c r="X3924" s="110"/>
      <c r="Y3924" s="110"/>
      <c r="Z3924" s="110"/>
      <c r="AA3924" s="110">
        <f t="shared" si="867"/>
        <v>0</v>
      </c>
      <c r="AB3924" s="111">
        <f t="shared" si="878"/>
        <v>0</v>
      </c>
      <c r="AC3924" s="110"/>
      <c r="AD3924" s="110"/>
      <c r="AE3924" s="110">
        <f t="shared" si="867"/>
        <v>0</v>
      </c>
      <c r="AF3924" s="111">
        <f t="shared" si="874"/>
        <v>0</v>
      </c>
      <c r="AG3924" s="110"/>
      <c r="AH3924" s="110"/>
      <c r="AI3924" s="110"/>
      <c r="AJ3924" s="110"/>
      <c r="AK3924" s="111">
        <f t="shared" si="875"/>
        <v>0</v>
      </c>
      <c r="AL3924" s="446">
        <f t="shared" si="876"/>
        <v>0</v>
      </c>
      <c r="AM3924" s="110">
        <f t="shared" si="877"/>
        <v>0</v>
      </c>
      <c r="AN3924" s="447">
        <f t="shared" si="879"/>
        <v>0</v>
      </c>
      <c r="AO3924" s="436">
        <f>SUM(J3925)</f>
        <v>223940</v>
      </c>
      <c r="AP3924" s="111"/>
    </row>
    <row r="3925" spans="1:42" s="108" customFormat="1" ht="66" x14ac:dyDescent="0.25">
      <c r="A3925" s="78"/>
      <c r="B3925" s="88" t="s">
        <v>927</v>
      </c>
      <c r="C3925" s="9"/>
      <c r="D3925" s="869">
        <f>4+10+20+2+22+1+1</f>
        <v>60</v>
      </c>
      <c r="E3925" s="1027" t="s">
        <v>1755</v>
      </c>
      <c r="F3925" s="273" t="s">
        <v>3446</v>
      </c>
      <c r="G3925" s="1040" t="s">
        <v>3463</v>
      </c>
      <c r="H3925" s="273" t="s">
        <v>3462</v>
      </c>
      <c r="I3925" s="722">
        <f>+J3925/D3925</f>
        <v>3732.3333333333335</v>
      </c>
      <c r="J3925" s="813">
        <f>29000+40600+54000+10800+77000+7540+5000</f>
        <v>223940</v>
      </c>
      <c r="K3925" s="131">
        <f t="shared" si="866"/>
        <v>223940</v>
      </c>
      <c r="L3925" s="335">
        <f t="shared" si="873"/>
        <v>0</v>
      </c>
      <c r="M3925" s="335"/>
      <c r="N3925" s="335"/>
      <c r="O3925" s="335"/>
      <c r="P3925" s="335"/>
      <c r="Q3925" s="130">
        <f t="shared" si="870"/>
        <v>15</v>
      </c>
      <c r="R3925" s="131">
        <f t="shared" si="868"/>
        <v>55985</v>
      </c>
      <c r="S3925" s="130"/>
      <c r="T3925" s="130"/>
      <c r="U3925" s="130">
        <f t="shared" si="871"/>
        <v>15</v>
      </c>
      <c r="V3925" s="131">
        <f t="shared" si="869"/>
        <v>55985</v>
      </c>
      <c r="W3925" s="130"/>
      <c r="X3925" s="130"/>
      <c r="Y3925" s="130"/>
      <c r="Z3925" s="130"/>
      <c r="AA3925" s="130">
        <f t="shared" si="867"/>
        <v>15</v>
      </c>
      <c r="AB3925" s="131">
        <f t="shared" si="878"/>
        <v>55985</v>
      </c>
      <c r="AC3925" s="130"/>
      <c r="AD3925" s="130"/>
      <c r="AE3925" s="130">
        <f t="shared" si="867"/>
        <v>15</v>
      </c>
      <c r="AF3925" s="131">
        <f t="shared" si="874"/>
        <v>55985</v>
      </c>
      <c r="AG3925" s="130"/>
      <c r="AH3925" s="130"/>
      <c r="AI3925" s="130"/>
      <c r="AJ3925" s="130"/>
      <c r="AK3925" s="131">
        <f t="shared" si="875"/>
        <v>223940</v>
      </c>
      <c r="AL3925" s="446">
        <f t="shared" si="876"/>
        <v>0</v>
      </c>
      <c r="AM3925" s="110">
        <f t="shared" si="877"/>
        <v>60</v>
      </c>
      <c r="AN3925" s="447">
        <f t="shared" si="879"/>
        <v>0</v>
      </c>
      <c r="AO3925"/>
      <c r="AP3925"/>
    </row>
    <row r="3926" spans="1:42" x14ac:dyDescent="0.25">
      <c r="A3926" s="376">
        <v>372</v>
      </c>
      <c r="B3926" s="588" t="s">
        <v>928</v>
      </c>
      <c r="C3926" s="376"/>
      <c r="D3926" s="940"/>
      <c r="E3926" s="377"/>
      <c r="F3926" s="378"/>
      <c r="G3926" s="378"/>
      <c r="H3926" s="378"/>
      <c r="I3926" s="734"/>
      <c r="J3926" s="806"/>
      <c r="K3926" s="131">
        <f t="shared" si="866"/>
        <v>0</v>
      </c>
      <c r="L3926" s="335">
        <f t="shared" si="873"/>
        <v>0</v>
      </c>
      <c r="M3926" s="419"/>
      <c r="N3926" s="419"/>
      <c r="O3926" s="419"/>
      <c r="P3926" s="419"/>
      <c r="Q3926" s="418">
        <f t="shared" si="870"/>
        <v>0</v>
      </c>
      <c r="R3926" s="379">
        <f t="shared" si="868"/>
        <v>0</v>
      </c>
      <c r="S3926" s="418"/>
      <c r="T3926" s="418"/>
      <c r="U3926" s="418">
        <f t="shared" si="871"/>
        <v>0</v>
      </c>
      <c r="V3926" s="379">
        <f t="shared" si="869"/>
        <v>0</v>
      </c>
      <c r="W3926" s="418"/>
      <c r="X3926" s="418"/>
      <c r="Y3926" s="418"/>
      <c r="Z3926" s="418"/>
      <c r="AA3926" s="418">
        <f t="shared" si="867"/>
        <v>0</v>
      </c>
      <c r="AB3926" s="379">
        <f t="shared" si="878"/>
        <v>0</v>
      </c>
      <c r="AC3926" s="418"/>
      <c r="AD3926" s="418"/>
      <c r="AE3926" s="418">
        <f t="shared" si="867"/>
        <v>0</v>
      </c>
      <c r="AF3926" s="379">
        <f t="shared" si="874"/>
        <v>0</v>
      </c>
      <c r="AG3926" s="418"/>
      <c r="AH3926" s="418"/>
      <c r="AI3926" s="418"/>
      <c r="AJ3926" s="418"/>
      <c r="AK3926" s="379">
        <f t="shared" si="875"/>
        <v>0</v>
      </c>
      <c r="AL3926" s="446">
        <f t="shared" si="876"/>
        <v>0</v>
      </c>
      <c r="AM3926" s="110">
        <f t="shared" si="877"/>
        <v>0</v>
      </c>
      <c r="AN3926" s="447">
        <f t="shared" si="879"/>
        <v>0</v>
      </c>
      <c r="AO3926" s="108"/>
      <c r="AP3926"/>
    </row>
    <row r="3927" spans="1:42" x14ac:dyDescent="0.25">
      <c r="A3927" s="315">
        <v>37201</v>
      </c>
      <c r="B3927" s="351" t="s">
        <v>928</v>
      </c>
      <c r="C3927" s="316"/>
      <c r="D3927" s="886"/>
      <c r="E3927" s="318"/>
      <c r="F3927" s="319"/>
      <c r="G3927" s="319"/>
      <c r="H3927" s="319"/>
      <c r="I3927" s="724"/>
      <c r="J3927" s="836"/>
      <c r="K3927" s="131">
        <f t="shared" si="866"/>
        <v>0</v>
      </c>
      <c r="L3927" s="335">
        <f t="shared" si="873"/>
        <v>0</v>
      </c>
      <c r="M3927" s="446"/>
      <c r="N3927" s="446"/>
      <c r="O3927" s="446"/>
      <c r="P3927" s="446"/>
      <c r="Q3927" s="110">
        <f t="shared" si="870"/>
        <v>0</v>
      </c>
      <c r="R3927" s="111">
        <f t="shared" si="868"/>
        <v>0</v>
      </c>
      <c r="S3927" s="110"/>
      <c r="T3927" s="110"/>
      <c r="U3927" s="110">
        <f t="shared" si="871"/>
        <v>0</v>
      </c>
      <c r="V3927" s="111">
        <f t="shared" si="869"/>
        <v>0</v>
      </c>
      <c r="W3927" s="110"/>
      <c r="X3927" s="110"/>
      <c r="Y3927" s="110"/>
      <c r="Z3927" s="110"/>
      <c r="AA3927" s="110">
        <f t="shared" si="867"/>
        <v>0</v>
      </c>
      <c r="AB3927" s="111">
        <f t="shared" si="878"/>
        <v>0</v>
      </c>
      <c r="AC3927" s="110"/>
      <c r="AD3927" s="110"/>
      <c r="AE3927" s="110">
        <f t="shared" si="867"/>
        <v>0</v>
      </c>
      <c r="AF3927" s="111">
        <f t="shared" si="874"/>
        <v>0</v>
      </c>
      <c r="AG3927" s="110"/>
      <c r="AH3927" s="110"/>
      <c r="AI3927" s="110"/>
      <c r="AJ3927" s="110"/>
      <c r="AK3927" s="111">
        <f t="shared" si="875"/>
        <v>0</v>
      </c>
      <c r="AL3927" s="446">
        <f t="shared" si="876"/>
        <v>0</v>
      </c>
      <c r="AM3927" s="110">
        <f t="shared" si="877"/>
        <v>0</v>
      </c>
      <c r="AN3927" s="447">
        <f t="shared" si="879"/>
        <v>0</v>
      </c>
      <c r="AO3927" s="436">
        <f>SUM(J3928:J3930)</f>
        <v>454093.56000000006</v>
      </c>
      <c r="AP3927" s="111"/>
    </row>
    <row r="3928" spans="1:42" ht="66" x14ac:dyDescent="0.25">
      <c r="A3928" s="9"/>
      <c r="B3928" s="144" t="s">
        <v>928</v>
      </c>
      <c r="C3928" s="1024"/>
      <c r="D3928" s="869">
        <f>97+3+47+20+10+1</f>
        <v>178</v>
      </c>
      <c r="E3928" s="1027" t="s">
        <v>1840</v>
      </c>
      <c r="F3928" s="273" t="s">
        <v>3446</v>
      </c>
      <c r="G3928" s="1040" t="s">
        <v>3463</v>
      </c>
      <c r="H3928" s="273" t="s">
        <v>3462</v>
      </c>
      <c r="I3928" s="720">
        <f>+J3928/D3928</f>
        <v>1142.3887640449439</v>
      </c>
      <c r="J3928" s="813">
        <f>100000+5800+39645.2+21600+25500+10800</f>
        <v>203345.2</v>
      </c>
      <c r="K3928" s="131">
        <f t="shared" si="866"/>
        <v>203345.2</v>
      </c>
      <c r="L3928" s="335">
        <f t="shared" si="873"/>
        <v>0</v>
      </c>
      <c r="M3928" s="446"/>
      <c r="N3928" s="446"/>
      <c r="O3928" s="446"/>
      <c r="P3928" s="446"/>
      <c r="Q3928" s="110">
        <v>50</v>
      </c>
      <c r="R3928" s="111">
        <f t="shared" si="868"/>
        <v>50836.3</v>
      </c>
      <c r="S3928" s="110"/>
      <c r="T3928" s="110"/>
      <c r="U3928" s="110">
        <v>50</v>
      </c>
      <c r="V3928" s="111">
        <f t="shared" si="869"/>
        <v>50836.3</v>
      </c>
      <c r="W3928" s="110"/>
      <c r="X3928" s="110"/>
      <c r="Y3928" s="110"/>
      <c r="Z3928" s="110"/>
      <c r="AA3928" s="110">
        <v>45</v>
      </c>
      <c r="AB3928" s="111">
        <f t="shared" si="878"/>
        <v>50836.3</v>
      </c>
      <c r="AC3928" s="110"/>
      <c r="AD3928" s="110"/>
      <c r="AE3928" s="110">
        <v>33</v>
      </c>
      <c r="AF3928" s="111">
        <f t="shared" si="874"/>
        <v>50836.3</v>
      </c>
      <c r="AG3928" s="110"/>
      <c r="AH3928" s="110"/>
      <c r="AI3928" s="110"/>
      <c r="AJ3928" s="110"/>
      <c r="AK3928" s="111">
        <f t="shared" si="875"/>
        <v>203345.2</v>
      </c>
      <c r="AL3928" s="446">
        <f t="shared" si="876"/>
        <v>0</v>
      </c>
      <c r="AM3928" s="110">
        <f t="shared" si="877"/>
        <v>178</v>
      </c>
      <c r="AN3928" s="447">
        <f t="shared" si="879"/>
        <v>0</v>
      </c>
      <c r="AO3928"/>
      <c r="AP3928"/>
    </row>
    <row r="3929" spans="1:42" ht="66" x14ac:dyDescent="0.25">
      <c r="A3929" s="78"/>
      <c r="B3929" s="147" t="s">
        <v>929</v>
      </c>
      <c r="C3929" s="162"/>
      <c r="D3929" s="882">
        <f>24+88+56+60+34+11+36+76+1+45</f>
        <v>431</v>
      </c>
      <c r="E3929" s="89" t="s">
        <v>1840</v>
      </c>
      <c r="F3929" s="273" t="s">
        <v>3446</v>
      </c>
      <c r="G3929" s="1040" t="s">
        <v>3463</v>
      </c>
      <c r="H3929" s="273" t="s">
        <v>3462</v>
      </c>
      <c r="I3929" s="720">
        <f>+J3929/D3929</f>
        <v>524.03795823665894</v>
      </c>
      <c r="J3929" s="813">
        <f>55680+53713.54+6841.82+18000+29580+11000+3600+40660+1160+5625</f>
        <v>225860.36000000002</v>
      </c>
      <c r="K3929" s="131">
        <f t="shared" si="866"/>
        <v>225860.36000000002</v>
      </c>
      <c r="L3929" s="335">
        <f t="shared" si="873"/>
        <v>0</v>
      </c>
      <c r="M3929" s="446"/>
      <c r="N3929" s="446"/>
      <c r="O3929" s="446"/>
      <c r="P3929" s="446"/>
      <c r="Q3929" s="110">
        <v>110</v>
      </c>
      <c r="R3929" s="111">
        <f t="shared" si="868"/>
        <v>56465.090000000004</v>
      </c>
      <c r="S3929" s="110"/>
      <c r="T3929" s="110"/>
      <c r="U3929" s="110">
        <v>110</v>
      </c>
      <c r="V3929" s="111">
        <f t="shared" si="869"/>
        <v>56465.090000000004</v>
      </c>
      <c r="W3929" s="110"/>
      <c r="X3929" s="110"/>
      <c r="Y3929" s="110"/>
      <c r="Z3929" s="110"/>
      <c r="AA3929" s="110">
        <v>110</v>
      </c>
      <c r="AB3929" s="111">
        <f t="shared" si="878"/>
        <v>56465.090000000004</v>
      </c>
      <c r="AC3929" s="110"/>
      <c r="AD3929" s="110"/>
      <c r="AE3929" s="110">
        <v>101</v>
      </c>
      <c r="AF3929" s="111">
        <f t="shared" si="874"/>
        <v>56465.090000000004</v>
      </c>
      <c r="AG3929" s="110"/>
      <c r="AH3929" s="110"/>
      <c r="AI3929" s="110"/>
      <c r="AJ3929" s="110"/>
      <c r="AK3929" s="111">
        <f t="shared" si="875"/>
        <v>225860.36000000002</v>
      </c>
      <c r="AL3929" s="446">
        <f t="shared" si="876"/>
        <v>0</v>
      </c>
      <c r="AM3929" s="110">
        <f t="shared" si="877"/>
        <v>431</v>
      </c>
      <c r="AN3929" s="447">
        <f t="shared" si="879"/>
        <v>0</v>
      </c>
      <c r="AO3929"/>
      <c r="AP3929"/>
    </row>
    <row r="3930" spans="1:42" ht="66" x14ac:dyDescent="0.25">
      <c r="A3930" s="78"/>
      <c r="B3930" s="608" t="s">
        <v>3439</v>
      </c>
      <c r="C3930" s="162"/>
      <c r="D3930" s="882">
        <v>3</v>
      </c>
      <c r="E3930" s="89" t="s">
        <v>1755</v>
      </c>
      <c r="F3930" s="273" t="s">
        <v>3446</v>
      </c>
      <c r="G3930" s="1040" t="s">
        <v>3463</v>
      </c>
      <c r="H3930" s="273" t="s">
        <v>3462</v>
      </c>
      <c r="I3930" s="720">
        <v>8296</v>
      </c>
      <c r="J3930" s="813">
        <v>24888</v>
      </c>
      <c r="K3930" s="131">
        <f t="shared" si="866"/>
        <v>24888</v>
      </c>
      <c r="L3930" s="335"/>
      <c r="M3930" s="446"/>
      <c r="N3930" s="446"/>
      <c r="O3930" s="446"/>
      <c r="P3930" s="446"/>
      <c r="Q3930" s="130">
        <v>1</v>
      </c>
      <c r="R3930" s="111">
        <v>8296</v>
      </c>
      <c r="S3930" s="110"/>
      <c r="T3930" s="110"/>
      <c r="U3930" s="130">
        <v>1</v>
      </c>
      <c r="V3930" s="111">
        <v>8296</v>
      </c>
      <c r="W3930" s="110"/>
      <c r="X3930" s="110"/>
      <c r="Y3930" s="110"/>
      <c r="Z3930" s="110"/>
      <c r="AA3930" s="130">
        <v>1</v>
      </c>
      <c r="AB3930" s="111">
        <v>8296</v>
      </c>
      <c r="AC3930" s="110"/>
      <c r="AD3930" s="110"/>
      <c r="AE3930" s="130">
        <v>0</v>
      </c>
      <c r="AF3930" s="111">
        <v>0</v>
      </c>
      <c r="AG3930" s="110"/>
      <c r="AH3930" s="110"/>
      <c r="AI3930" s="110"/>
      <c r="AJ3930" s="110"/>
      <c r="AK3930" s="111">
        <f t="shared" si="875"/>
        <v>24888</v>
      </c>
      <c r="AL3930" s="446">
        <f t="shared" si="876"/>
        <v>0</v>
      </c>
      <c r="AM3930" s="110">
        <f t="shared" si="877"/>
        <v>3</v>
      </c>
      <c r="AN3930" s="447"/>
      <c r="AO3930"/>
      <c r="AP3930"/>
    </row>
    <row r="3931" spans="1:42" x14ac:dyDescent="0.25">
      <c r="A3931" s="376">
        <v>373</v>
      </c>
      <c r="B3931" s="588" t="s">
        <v>930</v>
      </c>
      <c r="C3931" s="376"/>
      <c r="D3931" s="940"/>
      <c r="E3931" s="377"/>
      <c r="F3931" s="378"/>
      <c r="G3931" s="378"/>
      <c r="H3931" s="378"/>
      <c r="I3931" s="734"/>
      <c r="J3931" s="806"/>
      <c r="K3931" s="131">
        <f t="shared" si="866"/>
        <v>0</v>
      </c>
      <c r="L3931" s="335">
        <f t="shared" si="873"/>
        <v>0</v>
      </c>
      <c r="M3931" s="419"/>
      <c r="N3931" s="419"/>
      <c r="O3931" s="419"/>
      <c r="P3931" s="419"/>
      <c r="Q3931" s="418">
        <f t="shared" si="870"/>
        <v>0</v>
      </c>
      <c r="R3931" s="379">
        <f t="shared" si="868"/>
        <v>0</v>
      </c>
      <c r="S3931" s="418"/>
      <c r="T3931" s="418"/>
      <c r="U3931" s="418">
        <f t="shared" si="871"/>
        <v>0</v>
      </c>
      <c r="V3931" s="379">
        <f t="shared" si="869"/>
        <v>0</v>
      </c>
      <c r="W3931" s="418"/>
      <c r="X3931" s="418"/>
      <c r="Y3931" s="418"/>
      <c r="Z3931" s="418"/>
      <c r="AA3931" s="418">
        <f t="shared" si="867"/>
        <v>0</v>
      </c>
      <c r="AB3931" s="379">
        <f t="shared" si="878"/>
        <v>0</v>
      </c>
      <c r="AC3931" s="418"/>
      <c r="AD3931" s="418"/>
      <c r="AE3931" s="418">
        <f t="shared" si="867"/>
        <v>0</v>
      </c>
      <c r="AF3931" s="379">
        <f t="shared" si="874"/>
        <v>0</v>
      </c>
      <c r="AG3931" s="418"/>
      <c r="AH3931" s="418"/>
      <c r="AI3931" s="418"/>
      <c r="AJ3931" s="418"/>
      <c r="AK3931" s="379">
        <f t="shared" si="875"/>
        <v>0</v>
      </c>
      <c r="AL3931" s="446">
        <f t="shared" si="876"/>
        <v>0</v>
      </c>
      <c r="AM3931" s="110">
        <f t="shared" si="877"/>
        <v>0</v>
      </c>
      <c r="AN3931" s="447">
        <f t="shared" ref="AN3931:AN3994" si="880">+D3931-AM3931</f>
        <v>0</v>
      </c>
      <c r="AO3931" s="108"/>
      <c r="AP3931"/>
    </row>
    <row r="3932" spans="1:42" x14ac:dyDescent="0.25">
      <c r="A3932" s="315">
        <v>37301</v>
      </c>
      <c r="B3932" s="351" t="s">
        <v>931</v>
      </c>
      <c r="C3932" s="316"/>
      <c r="D3932" s="886"/>
      <c r="E3932" s="318"/>
      <c r="F3932" s="319"/>
      <c r="G3932" s="319"/>
      <c r="H3932" s="319"/>
      <c r="I3932" s="724"/>
      <c r="J3932" s="762"/>
      <c r="K3932" s="131">
        <f t="shared" si="866"/>
        <v>0</v>
      </c>
      <c r="L3932" s="335">
        <f t="shared" si="873"/>
        <v>0</v>
      </c>
      <c r="M3932" s="446"/>
      <c r="N3932" s="446"/>
      <c r="O3932" s="446"/>
      <c r="P3932" s="446"/>
      <c r="Q3932" s="110">
        <f t="shared" si="870"/>
        <v>0</v>
      </c>
      <c r="R3932" s="111">
        <f t="shared" si="868"/>
        <v>0</v>
      </c>
      <c r="S3932" s="110"/>
      <c r="T3932" s="110"/>
      <c r="U3932" s="110">
        <f t="shared" si="871"/>
        <v>0</v>
      </c>
      <c r="V3932" s="111">
        <f t="shared" si="869"/>
        <v>0</v>
      </c>
      <c r="W3932" s="110"/>
      <c r="X3932" s="110"/>
      <c r="Y3932" s="110"/>
      <c r="Z3932" s="110"/>
      <c r="AA3932" s="110">
        <f t="shared" si="867"/>
        <v>0</v>
      </c>
      <c r="AB3932" s="111">
        <f t="shared" si="878"/>
        <v>0</v>
      </c>
      <c r="AC3932" s="110"/>
      <c r="AD3932" s="110"/>
      <c r="AE3932" s="110">
        <f t="shared" si="867"/>
        <v>0</v>
      </c>
      <c r="AF3932" s="111">
        <f t="shared" si="874"/>
        <v>0</v>
      </c>
      <c r="AG3932" s="110"/>
      <c r="AH3932" s="110"/>
      <c r="AI3932" s="110"/>
      <c r="AJ3932" s="110"/>
      <c r="AK3932" s="111">
        <f t="shared" si="875"/>
        <v>0</v>
      </c>
      <c r="AL3932" s="446">
        <f t="shared" si="876"/>
        <v>0</v>
      </c>
      <c r="AM3932" s="110">
        <f t="shared" si="877"/>
        <v>0</v>
      </c>
      <c r="AN3932" s="447">
        <f t="shared" si="880"/>
        <v>0</v>
      </c>
      <c r="AO3932" s="436">
        <f>SUM(J3933)</f>
        <v>3240</v>
      </c>
      <c r="AP3932" s="111"/>
    </row>
    <row r="3933" spans="1:42" ht="66" x14ac:dyDescent="0.25">
      <c r="A3933" s="9"/>
      <c r="B3933" s="57" t="s">
        <v>1885</v>
      </c>
      <c r="C3933" s="1024"/>
      <c r="D3933" s="869">
        <v>1</v>
      </c>
      <c r="E3933" s="1027" t="s">
        <v>1755</v>
      </c>
      <c r="F3933" s="273" t="s">
        <v>3446</v>
      </c>
      <c r="G3933" s="1040" t="s">
        <v>3463</v>
      </c>
      <c r="H3933" s="273" t="s">
        <v>3462</v>
      </c>
      <c r="I3933" s="720">
        <f>+J3933/D3933</f>
        <v>3240</v>
      </c>
      <c r="J3933" s="763">
        <v>3240</v>
      </c>
      <c r="K3933" s="131">
        <f t="shared" ref="K3933:K3996" si="881">+D3933*I3933</f>
        <v>3240</v>
      </c>
      <c r="L3933" s="335">
        <f t="shared" si="873"/>
        <v>0</v>
      </c>
      <c r="M3933" s="446"/>
      <c r="N3933" s="446"/>
      <c r="O3933" s="446"/>
      <c r="P3933" s="446"/>
      <c r="Q3933" s="110">
        <v>1</v>
      </c>
      <c r="R3933" s="111">
        <f t="shared" si="868"/>
        <v>810</v>
      </c>
      <c r="S3933" s="110"/>
      <c r="T3933" s="110"/>
      <c r="U3933" s="110">
        <v>0</v>
      </c>
      <c r="V3933" s="111">
        <f t="shared" si="869"/>
        <v>810</v>
      </c>
      <c r="W3933" s="110"/>
      <c r="X3933" s="110"/>
      <c r="Y3933" s="110"/>
      <c r="Z3933" s="110"/>
      <c r="AA3933" s="110">
        <v>0</v>
      </c>
      <c r="AB3933" s="111">
        <f t="shared" si="878"/>
        <v>810</v>
      </c>
      <c r="AC3933" s="110"/>
      <c r="AD3933" s="110"/>
      <c r="AE3933" s="110">
        <v>0</v>
      </c>
      <c r="AF3933" s="111">
        <f t="shared" si="874"/>
        <v>810</v>
      </c>
      <c r="AG3933" s="110"/>
      <c r="AH3933" s="110"/>
      <c r="AI3933" s="110"/>
      <c r="AJ3933" s="110"/>
      <c r="AK3933" s="111">
        <f t="shared" si="875"/>
        <v>3240</v>
      </c>
      <c r="AL3933" s="446">
        <f t="shared" si="876"/>
        <v>0</v>
      </c>
      <c r="AM3933" s="110">
        <f t="shared" si="877"/>
        <v>1</v>
      </c>
      <c r="AN3933" s="447">
        <f t="shared" si="880"/>
        <v>0</v>
      </c>
      <c r="AO3933"/>
      <c r="AP3933"/>
    </row>
    <row r="3934" spans="1:42" s="108" customFormat="1" x14ac:dyDescent="0.25">
      <c r="A3934" s="60"/>
      <c r="B3934" s="46"/>
      <c r="C3934" s="9"/>
      <c r="D3934" s="869"/>
      <c r="E3934" s="1027"/>
      <c r="F3934" s="272"/>
      <c r="G3934" s="272"/>
      <c r="H3934" s="272"/>
      <c r="I3934" s="722"/>
      <c r="J3934" s="816"/>
      <c r="K3934" s="131">
        <f t="shared" si="881"/>
        <v>0</v>
      </c>
      <c r="L3934" s="335">
        <f t="shared" si="873"/>
        <v>0</v>
      </c>
      <c r="M3934" s="335"/>
      <c r="N3934" s="335"/>
      <c r="O3934" s="335"/>
      <c r="P3934" s="335"/>
      <c r="Q3934" s="130">
        <f t="shared" si="870"/>
        <v>0</v>
      </c>
      <c r="R3934" s="131">
        <f t="shared" si="868"/>
        <v>0</v>
      </c>
      <c r="S3934" s="130"/>
      <c r="T3934" s="130"/>
      <c r="U3934" s="130">
        <f t="shared" si="871"/>
        <v>0</v>
      </c>
      <c r="V3934" s="131">
        <f t="shared" si="869"/>
        <v>0</v>
      </c>
      <c r="W3934" s="130"/>
      <c r="X3934" s="130"/>
      <c r="Y3934" s="130"/>
      <c r="Z3934" s="130"/>
      <c r="AA3934" s="130">
        <f t="shared" si="867"/>
        <v>0</v>
      </c>
      <c r="AB3934" s="131">
        <f t="shared" si="878"/>
        <v>0</v>
      </c>
      <c r="AC3934" s="130"/>
      <c r="AD3934" s="130"/>
      <c r="AE3934" s="130">
        <f t="shared" si="867"/>
        <v>0</v>
      </c>
      <c r="AF3934" s="131">
        <f t="shared" si="874"/>
        <v>0</v>
      </c>
      <c r="AG3934" s="130"/>
      <c r="AH3934" s="130"/>
      <c r="AI3934" s="130"/>
      <c r="AJ3934" s="130"/>
      <c r="AK3934" s="131">
        <f t="shared" si="875"/>
        <v>0</v>
      </c>
      <c r="AL3934" s="446">
        <f t="shared" si="876"/>
        <v>0</v>
      </c>
      <c r="AM3934" s="110">
        <f t="shared" si="877"/>
        <v>0</v>
      </c>
      <c r="AN3934" s="447">
        <f t="shared" si="880"/>
        <v>0</v>
      </c>
      <c r="AO3934"/>
      <c r="AP3934"/>
    </row>
    <row r="3935" spans="1:42" x14ac:dyDescent="0.25">
      <c r="A3935" s="376">
        <v>374</v>
      </c>
      <c r="B3935" s="588" t="s">
        <v>932</v>
      </c>
      <c r="C3935" s="376"/>
      <c r="D3935" s="940"/>
      <c r="E3935" s="377"/>
      <c r="F3935" s="378"/>
      <c r="G3935" s="378"/>
      <c r="H3935" s="378"/>
      <c r="I3935" s="734"/>
      <c r="J3935" s="806"/>
      <c r="K3935" s="131">
        <f t="shared" si="881"/>
        <v>0</v>
      </c>
      <c r="L3935" s="335">
        <f t="shared" si="873"/>
        <v>0</v>
      </c>
      <c r="M3935" s="419"/>
      <c r="N3935" s="419"/>
      <c r="O3935" s="419"/>
      <c r="P3935" s="419"/>
      <c r="Q3935" s="418">
        <f t="shared" si="870"/>
        <v>0</v>
      </c>
      <c r="R3935" s="379">
        <f t="shared" si="868"/>
        <v>0</v>
      </c>
      <c r="S3935" s="418"/>
      <c r="T3935" s="418"/>
      <c r="U3935" s="418">
        <f t="shared" si="871"/>
        <v>0</v>
      </c>
      <c r="V3935" s="379">
        <f t="shared" si="869"/>
        <v>0</v>
      </c>
      <c r="W3935" s="418"/>
      <c r="X3935" s="418"/>
      <c r="Y3935" s="418"/>
      <c r="Z3935" s="418"/>
      <c r="AA3935" s="418">
        <f t="shared" si="867"/>
        <v>0</v>
      </c>
      <c r="AB3935" s="379">
        <f t="shared" si="878"/>
        <v>0</v>
      </c>
      <c r="AC3935" s="418"/>
      <c r="AD3935" s="418"/>
      <c r="AE3935" s="418">
        <f t="shared" si="867"/>
        <v>0</v>
      </c>
      <c r="AF3935" s="379">
        <f t="shared" si="874"/>
        <v>0</v>
      </c>
      <c r="AG3935" s="418"/>
      <c r="AH3935" s="418"/>
      <c r="AI3935" s="418"/>
      <c r="AJ3935" s="418"/>
      <c r="AK3935" s="379">
        <f t="shared" si="875"/>
        <v>0</v>
      </c>
      <c r="AL3935" s="446">
        <f t="shared" si="876"/>
        <v>0</v>
      </c>
      <c r="AM3935" s="110">
        <f t="shared" si="877"/>
        <v>0</v>
      </c>
      <c r="AN3935" s="447">
        <f t="shared" si="880"/>
        <v>0</v>
      </c>
      <c r="AO3935" s="108"/>
      <c r="AP3935"/>
    </row>
    <row r="3936" spans="1:42" x14ac:dyDescent="0.25">
      <c r="A3936" s="643">
        <v>37401</v>
      </c>
      <c r="B3936" s="644" t="s">
        <v>932</v>
      </c>
      <c r="C3936" s="654"/>
      <c r="D3936" s="954"/>
      <c r="E3936" s="645"/>
      <c r="F3936" s="646"/>
      <c r="G3936" s="646"/>
      <c r="H3936" s="646"/>
      <c r="I3936" s="717"/>
      <c r="J3936" s="753"/>
      <c r="K3936" s="131">
        <f t="shared" si="881"/>
        <v>0</v>
      </c>
      <c r="L3936" s="335">
        <f t="shared" si="873"/>
        <v>0</v>
      </c>
      <c r="M3936" s="648"/>
      <c r="N3936" s="648"/>
      <c r="O3936" s="648"/>
      <c r="P3936" s="648"/>
      <c r="Q3936" s="649">
        <f t="shared" si="870"/>
        <v>0</v>
      </c>
      <c r="R3936" s="647">
        <f t="shared" si="868"/>
        <v>0</v>
      </c>
      <c r="S3936" s="649"/>
      <c r="T3936" s="649"/>
      <c r="U3936" s="649">
        <f t="shared" si="871"/>
        <v>0</v>
      </c>
      <c r="V3936" s="647">
        <f t="shared" si="869"/>
        <v>0</v>
      </c>
      <c r="W3936" s="649"/>
      <c r="X3936" s="649"/>
      <c r="Y3936" s="649"/>
      <c r="Z3936" s="649"/>
      <c r="AA3936" s="649">
        <f t="shared" si="867"/>
        <v>0</v>
      </c>
      <c r="AB3936" s="647">
        <f t="shared" si="878"/>
        <v>0</v>
      </c>
      <c r="AC3936" s="649"/>
      <c r="AD3936" s="649"/>
      <c r="AE3936" s="649">
        <f t="shared" si="867"/>
        <v>0</v>
      </c>
      <c r="AF3936" s="647">
        <f t="shared" si="874"/>
        <v>0</v>
      </c>
      <c r="AG3936" s="649"/>
      <c r="AH3936" s="649"/>
      <c r="AI3936" s="649"/>
      <c r="AJ3936" s="649"/>
      <c r="AK3936" s="647">
        <f t="shared" si="875"/>
        <v>0</v>
      </c>
      <c r="AL3936" s="446">
        <f t="shared" si="876"/>
        <v>0</v>
      </c>
      <c r="AM3936" s="110">
        <f t="shared" si="877"/>
        <v>0</v>
      </c>
      <c r="AN3936" s="447">
        <f t="shared" si="880"/>
        <v>0</v>
      </c>
      <c r="AO3936" s="108"/>
      <c r="AP3936"/>
    </row>
    <row r="3937" spans="1:42" s="108" customFormat="1" x14ac:dyDescent="0.25">
      <c r="A3937" s="60"/>
      <c r="B3937" s="46"/>
      <c r="C3937" s="9"/>
      <c r="D3937" s="869"/>
      <c r="E3937" s="1027"/>
      <c r="F3937" s="272"/>
      <c r="G3937" s="272"/>
      <c r="H3937" s="272"/>
      <c r="I3937" s="722"/>
      <c r="J3937" s="816"/>
      <c r="K3937" s="131">
        <f t="shared" si="881"/>
        <v>0</v>
      </c>
      <c r="L3937" s="335">
        <f t="shared" si="873"/>
        <v>0</v>
      </c>
      <c r="M3937" s="335"/>
      <c r="N3937" s="335"/>
      <c r="O3937" s="335"/>
      <c r="P3937" s="335"/>
      <c r="Q3937" s="130">
        <f t="shared" si="870"/>
        <v>0</v>
      </c>
      <c r="R3937" s="131">
        <f t="shared" si="868"/>
        <v>0</v>
      </c>
      <c r="S3937" s="130"/>
      <c r="T3937" s="130"/>
      <c r="U3937" s="130">
        <f t="shared" si="871"/>
        <v>0</v>
      </c>
      <c r="V3937" s="131">
        <f t="shared" si="869"/>
        <v>0</v>
      </c>
      <c r="W3937" s="130"/>
      <c r="X3937" s="130"/>
      <c r="Y3937" s="130"/>
      <c r="Z3937" s="130"/>
      <c r="AA3937" s="130">
        <f t="shared" si="867"/>
        <v>0</v>
      </c>
      <c r="AB3937" s="131">
        <f t="shared" si="878"/>
        <v>0</v>
      </c>
      <c r="AC3937" s="130"/>
      <c r="AD3937" s="130"/>
      <c r="AE3937" s="130">
        <f t="shared" si="867"/>
        <v>0</v>
      </c>
      <c r="AF3937" s="131">
        <f t="shared" si="874"/>
        <v>0</v>
      </c>
      <c r="AG3937" s="130"/>
      <c r="AH3937" s="130"/>
      <c r="AI3937" s="130"/>
      <c r="AJ3937" s="130"/>
      <c r="AK3937" s="131">
        <f t="shared" si="875"/>
        <v>0</v>
      </c>
      <c r="AL3937" s="446">
        <f t="shared" si="876"/>
        <v>0</v>
      </c>
      <c r="AM3937" s="110">
        <f t="shared" si="877"/>
        <v>0</v>
      </c>
      <c r="AN3937" s="447">
        <f t="shared" si="880"/>
        <v>0</v>
      </c>
      <c r="AO3937"/>
      <c r="AP3937"/>
    </row>
    <row r="3938" spans="1:42" x14ac:dyDescent="0.25">
      <c r="A3938" s="376">
        <v>375</v>
      </c>
      <c r="B3938" s="588" t="s">
        <v>933</v>
      </c>
      <c r="C3938" s="376"/>
      <c r="D3938" s="940"/>
      <c r="E3938" s="377"/>
      <c r="F3938" s="378"/>
      <c r="G3938" s="378"/>
      <c r="H3938" s="378"/>
      <c r="I3938" s="734"/>
      <c r="J3938" s="806"/>
      <c r="K3938" s="131">
        <f t="shared" si="881"/>
        <v>0</v>
      </c>
      <c r="L3938" s="335">
        <f t="shared" si="873"/>
        <v>0</v>
      </c>
      <c r="M3938" s="419"/>
      <c r="N3938" s="419"/>
      <c r="O3938" s="419"/>
      <c r="P3938" s="419"/>
      <c r="Q3938" s="418">
        <f t="shared" si="870"/>
        <v>0</v>
      </c>
      <c r="R3938" s="379">
        <f t="shared" si="868"/>
        <v>0</v>
      </c>
      <c r="S3938" s="418"/>
      <c r="T3938" s="418"/>
      <c r="U3938" s="418">
        <f t="shared" si="871"/>
        <v>0</v>
      </c>
      <c r="V3938" s="379">
        <f t="shared" si="869"/>
        <v>0</v>
      </c>
      <c r="W3938" s="418"/>
      <c r="X3938" s="418"/>
      <c r="Y3938" s="418"/>
      <c r="Z3938" s="418"/>
      <c r="AA3938" s="418">
        <f t="shared" si="867"/>
        <v>0</v>
      </c>
      <c r="AB3938" s="379">
        <f t="shared" si="878"/>
        <v>0</v>
      </c>
      <c r="AC3938" s="418"/>
      <c r="AD3938" s="418"/>
      <c r="AE3938" s="418">
        <f t="shared" si="867"/>
        <v>0</v>
      </c>
      <c r="AF3938" s="379">
        <f t="shared" si="874"/>
        <v>0</v>
      </c>
      <c r="AG3938" s="418"/>
      <c r="AH3938" s="418"/>
      <c r="AI3938" s="418"/>
      <c r="AJ3938" s="418"/>
      <c r="AK3938" s="379">
        <f t="shared" si="875"/>
        <v>0</v>
      </c>
      <c r="AL3938" s="446">
        <f t="shared" si="876"/>
        <v>0</v>
      </c>
      <c r="AM3938" s="110">
        <f t="shared" si="877"/>
        <v>0</v>
      </c>
      <c r="AN3938" s="447">
        <f t="shared" si="880"/>
        <v>0</v>
      </c>
      <c r="AO3938" s="108"/>
      <c r="AP3938"/>
    </row>
    <row r="3939" spans="1:42" x14ac:dyDescent="0.25">
      <c r="A3939" s="315">
        <v>37501</v>
      </c>
      <c r="B3939" s="351" t="s">
        <v>933</v>
      </c>
      <c r="C3939" s="316"/>
      <c r="D3939" s="886"/>
      <c r="E3939" s="318"/>
      <c r="F3939" s="319"/>
      <c r="G3939" s="319"/>
      <c r="H3939" s="319"/>
      <c r="I3939" s="724"/>
      <c r="J3939" s="836"/>
      <c r="K3939" s="131">
        <f t="shared" si="881"/>
        <v>0</v>
      </c>
      <c r="L3939" s="335">
        <f t="shared" si="873"/>
        <v>0</v>
      </c>
      <c r="M3939" s="446"/>
      <c r="N3939" s="446"/>
      <c r="O3939" s="446"/>
      <c r="P3939" s="446"/>
      <c r="Q3939" s="110">
        <f t="shared" si="870"/>
        <v>0</v>
      </c>
      <c r="R3939" s="111">
        <f t="shared" si="868"/>
        <v>0</v>
      </c>
      <c r="S3939" s="110"/>
      <c r="T3939" s="110"/>
      <c r="U3939" s="110">
        <f t="shared" si="871"/>
        <v>0</v>
      </c>
      <c r="V3939" s="111">
        <f t="shared" si="869"/>
        <v>0</v>
      </c>
      <c r="W3939" s="110"/>
      <c r="X3939" s="110"/>
      <c r="Y3939" s="110"/>
      <c r="Z3939" s="110"/>
      <c r="AA3939" s="110">
        <f t="shared" si="867"/>
        <v>0</v>
      </c>
      <c r="AB3939" s="111">
        <f t="shared" si="878"/>
        <v>0</v>
      </c>
      <c r="AC3939" s="110"/>
      <c r="AD3939" s="110"/>
      <c r="AE3939" s="110">
        <f t="shared" si="867"/>
        <v>0</v>
      </c>
      <c r="AF3939" s="111">
        <f t="shared" si="874"/>
        <v>0</v>
      </c>
      <c r="AG3939" s="110"/>
      <c r="AH3939" s="110"/>
      <c r="AI3939" s="110"/>
      <c r="AJ3939" s="110"/>
      <c r="AK3939" s="111">
        <f t="shared" si="875"/>
        <v>0</v>
      </c>
      <c r="AL3939" s="446">
        <f t="shared" si="876"/>
        <v>0</v>
      </c>
      <c r="AM3939" s="110">
        <f t="shared" si="877"/>
        <v>0</v>
      </c>
      <c r="AN3939" s="447">
        <f t="shared" si="880"/>
        <v>0</v>
      </c>
      <c r="AO3939" s="436">
        <f>SUM(J3940:J3945)</f>
        <v>1182100.3999999999</v>
      </c>
      <c r="AP3939" s="111"/>
    </row>
    <row r="3940" spans="1:42" ht="66" x14ac:dyDescent="0.25">
      <c r="A3940" s="90"/>
      <c r="B3940" s="46" t="s">
        <v>934</v>
      </c>
      <c r="C3940" s="9"/>
      <c r="D3940" s="912">
        <f>382+420+74+250+39+144+34+88+42+12+128+153+50+2-288+1</f>
        <v>1531</v>
      </c>
      <c r="E3940" s="1027" t="s">
        <v>1755</v>
      </c>
      <c r="F3940" s="278" t="s">
        <v>3446</v>
      </c>
      <c r="G3940" s="1040" t="s">
        <v>3463</v>
      </c>
      <c r="H3940" s="273" t="s">
        <v>3462</v>
      </c>
      <c r="I3940" s="720">
        <f>+J3940/D3940</f>
        <v>736.04467668190716</v>
      </c>
      <c r="J3940" s="756">
        <f>160551.16+252765.92+85944.4+90123+82101.83+45000+25840+33440+136123.2+10479.48+58829.44+76695.09+67250+5800-94059.12+90000</f>
        <v>1126884.3999999999</v>
      </c>
      <c r="K3940" s="131">
        <f t="shared" si="881"/>
        <v>1126884.3999999999</v>
      </c>
      <c r="L3940" s="335">
        <f t="shared" si="873"/>
        <v>0</v>
      </c>
      <c r="M3940" s="446"/>
      <c r="N3940" s="446"/>
      <c r="O3940" s="446"/>
      <c r="P3940" s="446"/>
      <c r="Q3940" s="110">
        <v>390</v>
      </c>
      <c r="R3940" s="111">
        <f t="shared" si="868"/>
        <v>281721.09999999998</v>
      </c>
      <c r="S3940" s="110"/>
      <c r="T3940" s="110"/>
      <c r="U3940" s="110">
        <v>390</v>
      </c>
      <c r="V3940" s="111">
        <f t="shared" si="869"/>
        <v>281721.09999999998</v>
      </c>
      <c r="W3940" s="110"/>
      <c r="X3940" s="110"/>
      <c r="Y3940" s="110"/>
      <c r="Z3940" s="110"/>
      <c r="AA3940" s="110">
        <v>390</v>
      </c>
      <c r="AB3940" s="111">
        <f t="shared" si="878"/>
        <v>281721.09999999998</v>
      </c>
      <c r="AC3940" s="110"/>
      <c r="AD3940" s="110"/>
      <c r="AE3940" s="110">
        <v>361</v>
      </c>
      <c r="AF3940" s="111">
        <f t="shared" si="874"/>
        <v>281721.09999999998</v>
      </c>
      <c r="AG3940" s="110"/>
      <c r="AH3940" s="110"/>
      <c r="AI3940" s="110"/>
      <c r="AJ3940" s="110"/>
      <c r="AK3940" s="111">
        <f t="shared" si="875"/>
        <v>1126884.3999999999</v>
      </c>
      <c r="AL3940" s="446">
        <f t="shared" si="876"/>
        <v>0</v>
      </c>
      <c r="AM3940" s="110">
        <f t="shared" si="877"/>
        <v>1531</v>
      </c>
      <c r="AN3940" s="447">
        <f t="shared" si="880"/>
        <v>0</v>
      </c>
      <c r="AO3940"/>
      <c r="AP3940"/>
    </row>
    <row r="3941" spans="1:42" ht="66" x14ac:dyDescent="0.25">
      <c r="A3941" s="90"/>
      <c r="B3941" s="46" t="s">
        <v>1709</v>
      </c>
      <c r="C3941" s="9"/>
      <c r="D3941" s="912">
        <v>1</v>
      </c>
      <c r="E3941" s="1027" t="s">
        <v>1755</v>
      </c>
      <c r="F3941" s="273" t="s">
        <v>3446</v>
      </c>
      <c r="G3941" s="1040" t="s">
        <v>3463</v>
      </c>
      <c r="H3941" s="273" t="s">
        <v>3462</v>
      </c>
      <c r="I3941" s="720">
        <f>+J3941/D3941</f>
        <v>9280</v>
      </c>
      <c r="J3941" s="756">
        <v>9280</v>
      </c>
      <c r="K3941" s="131">
        <f t="shared" si="881"/>
        <v>9280</v>
      </c>
      <c r="L3941" s="335">
        <f t="shared" si="873"/>
        <v>0</v>
      </c>
      <c r="M3941" s="446"/>
      <c r="N3941" s="446"/>
      <c r="O3941" s="446"/>
      <c r="P3941" s="446"/>
      <c r="Q3941" s="110">
        <v>1</v>
      </c>
      <c r="R3941" s="111">
        <f t="shared" si="868"/>
        <v>2320</v>
      </c>
      <c r="S3941" s="110"/>
      <c r="T3941" s="110"/>
      <c r="U3941" s="110">
        <v>0</v>
      </c>
      <c r="V3941" s="111">
        <f t="shared" si="869"/>
        <v>2320</v>
      </c>
      <c r="W3941" s="110"/>
      <c r="X3941" s="110"/>
      <c r="Y3941" s="110"/>
      <c r="Z3941" s="110"/>
      <c r="AA3941" s="110">
        <v>0</v>
      </c>
      <c r="AB3941" s="111">
        <f t="shared" si="878"/>
        <v>2320</v>
      </c>
      <c r="AC3941" s="110"/>
      <c r="AD3941" s="110"/>
      <c r="AE3941" s="110">
        <v>0</v>
      </c>
      <c r="AF3941" s="111">
        <f>+J3941/4</f>
        <v>2320</v>
      </c>
      <c r="AG3941" s="110"/>
      <c r="AH3941" s="110"/>
      <c r="AI3941" s="110"/>
      <c r="AJ3941" s="110"/>
      <c r="AK3941" s="111">
        <f>+R3941+V3941+AB3941+AF3941</f>
        <v>9280</v>
      </c>
      <c r="AL3941" s="446">
        <f t="shared" si="876"/>
        <v>0</v>
      </c>
      <c r="AM3941" s="110">
        <f t="shared" si="877"/>
        <v>1</v>
      </c>
      <c r="AN3941" s="447">
        <f t="shared" si="880"/>
        <v>0</v>
      </c>
      <c r="AO3941"/>
      <c r="AP3941"/>
    </row>
    <row r="3942" spans="1:42" ht="66" x14ac:dyDescent="0.25">
      <c r="A3942" s="90"/>
      <c r="B3942" s="150" t="s">
        <v>3440</v>
      </c>
      <c r="C3942" s="9"/>
      <c r="D3942" s="955">
        <v>2</v>
      </c>
      <c r="E3942" s="971" t="s">
        <v>1755</v>
      </c>
      <c r="F3942" s="273" t="s">
        <v>3446</v>
      </c>
      <c r="G3942" s="1040" t="s">
        <v>3463</v>
      </c>
      <c r="H3942" s="273" t="s">
        <v>3462</v>
      </c>
      <c r="I3942" s="747">
        <v>6250</v>
      </c>
      <c r="J3942" s="837">
        <v>12500</v>
      </c>
      <c r="K3942" s="131">
        <f t="shared" si="881"/>
        <v>12500</v>
      </c>
      <c r="L3942" s="335"/>
      <c r="M3942" s="446"/>
      <c r="N3942" s="446"/>
      <c r="O3942" s="446"/>
      <c r="P3942" s="446"/>
      <c r="Q3942" s="130">
        <v>1</v>
      </c>
      <c r="R3942" s="111">
        <f t="shared" si="868"/>
        <v>3125</v>
      </c>
      <c r="S3942" s="110"/>
      <c r="T3942" s="110"/>
      <c r="U3942" s="130">
        <v>1</v>
      </c>
      <c r="V3942" s="111">
        <f t="shared" si="869"/>
        <v>3125</v>
      </c>
      <c r="W3942" s="110"/>
      <c r="X3942" s="110"/>
      <c r="Y3942" s="110"/>
      <c r="Z3942" s="110"/>
      <c r="AA3942" s="130">
        <v>0</v>
      </c>
      <c r="AB3942" s="111">
        <f t="shared" si="878"/>
        <v>3125</v>
      </c>
      <c r="AC3942" s="110"/>
      <c r="AD3942" s="110"/>
      <c r="AE3942" s="130">
        <v>0</v>
      </c>
      <c r="AF3942" s="111">
        <f t="shared" ref="AF3942:AF3945" si="882">+J3942/4</f>
        <v>3125</v>
      </c>
      <c r="AG3942" s="110"/>
      <c r="AH3942" s="110"/>
      <c r="AI3942" s="110"/>
      <c r="AJ3942" s="110"/>
      <c r="AK3942" s="111">
        <f t="shared" ref="AK3942:AK3945" si="883">+R3942+V3942+AB3942+AF3942</f>
        <v>12500</v>
      </c>
      <c r="AL3942" s="446">
        <f t="shared" si="876"/>
        <v>0</v>
      </c>
      <c r="AM3942" s="110">
        <f t="shared" si="877"/>
        <v>2</v>
      </c>
      <c r="AN3942" s="447">
        <f t="shared" si="880"/>
        <v>0</v>
      </c>
      <c r="AO3942"/>
      <c r="AP3942"/>
    </row>
    <row r="3943" spans="1:42" ht="66" x14ac:dyDescent="0.25">
      <c r="A3943" s="90"/>
      <c r="B3943" s="692" t="s">
        <v>3441</v>
      </c>
      <c r="C3943" s="9"/>
      <c r="D3943" s="907">
        <v>2</v>
      </c>
      <c r="E3943" s="971" t="s">
        <v>1755</v>
      </c>
      <c r="F3943" s="273" t="s">
        <v>3446</v>
      </c>
      <c r="G3943" s="1040" t="s">
        <v>3463</v>
      </c>
      <c r="H3943" s="273" t="s">
        <v>3462</v>
      </c>
      <c r="I3943" s="747">
        <v>4588</v>
      </c>
      <c r="J3943" s="837">
        <v>9176</v>
      </c>
      <c r="K3943" s="131">
        <f t="shared" si="881"/>
        <v>9176</v>
      </c>
      <c r="L3943" s="335"/>
      <c r="M3943" s="446"/>
      <c r="N3943" s="446"/>
      <c r="O3943" s="446"/>
      <c r="P3943" s="446"/>
      <c r="Q3943" s="130">
        <v>1</v>
      </c>
      <c r="R3943" s="111">
        <f t="shared" si="868"/>
        <v>2294</v>
      </c>
      <c r="S3943" s="110"/>
      <c r="T3943" s="110"/>
      <c r="U3943" s="130">
        <v>1</v>
      </c>
      <c r="V3943" s="111">
        <f t="shared" si="869"/>
        <v>2294</v>
      </c>
      <c r="W3943" s="110"/>
      <c r="X3943" s="110"/>
      <c r="Y3943" s="110"/>
      <c r="Z3943" s="110"/>
      <c r="AA3943" s="130">
        <v>0</v>
      </c>
      <c r="AB3943" s="111">
        <f t="shared" si="878"/>
        <v>2294</v>
      </c>
      <c r="AC3943" s="110"/>
      <c r="AD3943" s="110"/>
      <c r="AE3943" s="130">
        <v>0</v>
      </c>
      <c r="AF3943" s="111">
        <f t="shared" si="882"/>
        <v>2294</v>
      </c>
      <c r="AG3943" s="110"/>
      <c r="AH3943" s="110"/>
      <c r="AI3943" s="110"/>
      <c r="AJ3943" s="110"/>
      <c r="AK3943" s="111">
        <f t="shared" si="883"/>
        <v>9176</v>
      </c>
      <c r="AL3943" s="446">
        <f t="shared" si="876"/>
        <v>0</v>
      </c>
      <c r="AM3943" s="110">
        <f t="shared" si="877"/>
        <v>2</v>
      </c>
      <c r="AN3943" s="447">
        <f t="shared" si="880"/>
        <v>0</v>
      </c>
      <c r="AO3943"/>
      <c r="AP3943"/>
    </row>
    <row r="3944" spans="1:42" ht="66" x14ac:dyDescent="0.25">
      <c r="A3944" s="90"/>
      <c r="B3944" s="692" t="s">
        <v>3442</v>
      </c>
      <c r="C3944" s="9"/>
      <c r="D3944" s="907">
        <v>2</v>
      </c>
      <c r="E3944" s="971" t="s">
        <v>1755</v>
      </c>
      <c r="F3944" s="273" t="s">
        <v>3446</v>
      </c>
      <c r="G3944" s="1040" t="s">
        <v>3463</v>
      </c>
      <c r="H3944" s="273" t="s">
        <v>3462</v>
      </c>
      <c r="I3944" s="747">
        <v>2530</v>
      </c>
      <c r="J3944" s="837">
        <v>5060</v>
      </c>
      <c r="K3944" s="131">
        <f t="shared" si="881"/>
        <v>5060</v>
      </c>
      <c r="L3944" s="335"/>
      <c r="M3944" s="446"/>
      <c r="N3944" s="446"/>
      <c r="O3944" s="446"/>
      <c r="P3944" s="446"/>
      <c r="Q3944" s="130">
        <v>1</v>
      </c>
      <c r="R3944" s="111">
        <f t="shared" si="868"/>
        <v>1265</v>
      </c>
      <c r="S3944" s="110"/>
      <c r="T3944" s="110"/>
      <c r="U3944" s="130">
        <v>1</v>
      </c>
      <c r="V3944" s="111">
        <f t="shared" si="869"/>
        <v>1265</v>
      </c>
      <c r="W3944" s="110"/>
      <c r="X3944" s="110"/>
      <c r="Y3944" s="110"/>
      <c r="Z3944" s="110"/>
      <c r="AA3944" s="130">
        <v>0</v>
      </c>
      <c r="AB3944" s="111">
        <f t="shared" si="878"/>
        <v>1265</v>
      </c>
      <c r="AC3944" s="110"/>
      <c r="AD3944" s="110"/>
      <c r="AE3944" s="130">
        <v>0</v>
      </c>
      <c r="AF3944" s="111">
        <f t="shared" si="882"/>
        <v>1265</v>
      </c>
      <c r="AG3944" s="110"/>
      <c r="AH3944" s="110"/>
      <c r="AI3944" s="110"/>
      <c r="AJ3944" s="110"/>
      <c r="AK3944" s="111">
        <f t="shared" si="883"/>
        <v>5060</v>
      </c>
      <c r="AL3944" s="446">
        <f t="shared" si="876"/>
        <v>0</v>
      </c>
      <c r="AM3944" s="110">
        <f t="shared" si="877"/>
        <v>2</v>
      </c>
      <c r="AN3944" s="447">
        <f t="shared" si="880"/>
        <v>0</v>
      </c>
      <c r="AO3944"/>
      <c r="AP3944"/>
    </row>
    <row r="3945" spans="1:42" ht="66" x14ac:dyDescent="0.25">
      <c r="A3945" s="90"/>
      <c r="B3945" s="692" t="s">
        <v>3443</v>
      </c>
      <c r="C3945" s="9"/>
      <c r="D3945" s="907">
        <v>4</v>
      </c>
      <c r="E3945" s="971" t="s">
        <v>1755</v>
      </c>
      <c r="F3945" s="273" t="s">
        <v>3446</v>
      </c>
      <c r="G3945" s="1040" t="s">
        <v>3463</v>
      </c>
      <c r="H3945" s="273" t="s">
        <v>3462</v>
      </c>
      <c r="I3945" s="747">
        <v>4800</v>
      </c>
      <c r="J3945" s="837">
        <v>19200</v>
      </c>
      <c r="K3945" s="131">
        <f t="shared" si="881"/>
        <v>19200</v>
      </c>
      <c r="L3945" s="335"/>
      <c r="M3945" s="446"/>
      <c r="N3945" s="446"/>
      <c r="O3945" s="446"/>
      <c r="P3945" s="446"/>
      <c r="Q3945" s="110">
        <f t="shared" si="870"/>
        <v>1</v>
      </c>
      <c r="R3945" s="111">
        <f t="shared" si="868"/>
        <v>4800</v>
      </c>
      <c r="S3945" s="110"/>
      <c r="T3945" s="110"/>
      <c r="U3945" s="110">
        <f t="shared" si="871"/>
        <v>1</v>
      </c>
      <c r="V3945" s="111">
        <f t="shared" si="869"/>
        <v>4800</v>
      </c>
      <c r="W3945" s="110"/>
      <c r="X3945" s="110"/>
      <c r="Y3945" s="110"/>
      <c r="Z3945" s="110"/>
      <c r="AA3945" s="110">
        <f t="shared" si="867"/>
        <v>1</v>
      </c>
      <c r="AB3945" s="111">
        <f t="shared" si="878"/>
        <v>4800</v>
      </c>
      <c r="AC3945" s="110"/>
      <c r="AD3945" s="110"/>
      <c r="AE3945" s="110">
        <f t="shared" si="867"/>
        <v>1</v>
      </c>
      <c r="AF3945" s="111">
        <f t="shared" si="882"/>
        <v>4800</v>
      </c>
      <c r="AG3945" s="110"/>
      <c r="AH3945" s="110"/>
      <c r="AI3945" s="110"/>
      <c r="AJ3945" s="110"/>
      <c r="AK3945" s="111">
        <f t="shared" si="883"/>
        <v>19200</v>
      </c>
      <c r="AL3945" s="446">
        <f t="shared" si="876"/>
        <v>0</v>
      </c>
      <c r="AM3945" s="110">
        <f t="shared" si="877"/>
        <v>4</v>
      </c>
      <c r="AN3945" s="447">
        <f t="shared" si="880"/>
        <v>0</v>
      </c>
      <c r="AO3945"/>
      <c r="AP3945"/>
    </row>
    <row r="3946" spans="1:42" x14ac:dyDescent="0.25">
      <c r="A3946" s="376">
        <v>376</v>
      </c>
      <c r="B3946" s="588" t="s">
        <v>935</v>
      </c>
      <c r="C3946" s="376"/>
      <c r="D3946" s="956"/>
      <c r="E3946" s="680"/>
      <c r="F3946" s="681"/>
      <c r="G3946" s="681"/>
      <c r="H3946" s="681"/>
      <c r="I3946" s="734"/>
      <c r="J3946" s="838"/>
      <c r="K3946" s="131">
        <f t="shared" si="881"/>
        <v>0</v>
      </c>
      <c r="L3946" s="335">
        <f t="shared" si="873"/>
        <v>0</v>
      </c>
      <c r="M3946" s="419"/>
      <c r="N3946" s="419"/>
      <c r="O3946" s="419"/>
      <c r="P3946" s="419"/>
      <c r="Q3946" s="418">
        <f t="shared" si="870"/>
        <v>0</v>
      </c>
      <c r="R3946" s="379">
        <f t="shared" si="868"/>
        <v>0</v>
      </c>
      <c r="S3946" s="418"/>
      <c r="T3946" s="418"/>
      <c r="U3946" s="418">
        <f t="shared" si="871"/>
        <v>0</v>
      </c>
      <c r="V3946" s="379">
        <f t="shared" si="869"/>
        <v>0</v>
      </c>
      <c r="W3946" s="418"/>
      <c r="X3946" s="418"/>
      <c r="Y3946" s="418"/>
      <c r="Z3946" s="418"/>
      <c r="AA3946" s="418">
        <f t="shared" si="867"/>
        <v>0</v>
      </c>
      <c r="AB3946" s="379">
        <f t="shared" si="878"/>
        <v>0</v>
      </c>
      <c r="AC3946" s="418"/>
      <c r="AD3946" s="418"/>
      <c r="AE3946" s="418">
        <f t="shared" si="867"/>
        <v>0</v>
      </c>
      <c r="AF3946" s="379">
        <f t="shared" si="874"/>
        <v>0</v>
      </c>
      <c r="AG3946" s="418"/>
      <c r="AH3946" s="418"/>
      <c r="AI3946" s="418"/>
      <c r="AJ3946" s="418"/>
      <c r="AK3946" s="379">
        <f t="shared" si="875"/>
        <v>0</v>
      </c>
      <c r="AL3946" s="446">
        <f t="shared" si="876"/>
        <v>0</v>
      </c>
      <c r="AM3946" s="110">
        <f t="shared" si="877"/>
        <v>0</v>
      </c>
      <c r="AN3946" s="447">
        <f t="shared" si="880"/>
        <v>0</v>
      </c>
      <c r="AO3946" s="108"/>
      <c r="AP3946"/>
    </row>
    <row r="3947" spans="1:42" x14ac:dyDescent="0.25">
      <c r="A3947" s="643">
        <v>37601</v>
      </c>
      <c r="B3947" s="644" t="s">
        <v>935</v>
      </c>
      <c r="C3947" s="654"/>
      <c r="D3947" s="954"/>
      <c r="E3947" s="645"/>
      <c r="F3947" s="646"/>
      <c r="G3947" s="646"/>
      <c r="H3947" s="646"/>
      <c r="I3947" s="717"/>
      <c r="J3947" s="839"/>
      <c r="K3947" s="131">
        <f t="shared" si="881"/>
        <v>0</v>
      </c>
      <c r="L3947" s="335">
        <f t="shared" si="873"/>
        <v>0</v>
      </c>
      <c r="M3947" s="648"/>
      <c r="N3947" s="648"/>
      <c r="O3947" s="648"/>
      <c r="P3947" s="648"/>
      <c r="Q3947" s="649">
        <f t="shared" si="870"/>
        <v>0</v>
      </c>
      <c r="R3947" s="647">
        <f t="shared" si="868"/>
        <v>0</v>
      </c>
      <c r="S3947" s="649"/>
      <c r="T3947" s="649"/>
      <c r="U3947" s="649">
        <f t="shared" si="871"/>
        <v>0</v>
      </c>
      <c r="V3947" s="647">
        <f t="shared" si="869"/>
        <v>0</v>
      </c>
      <c r="W3947" s="649"/>
      <c r="X3947" s="649"/>
      <c r="Y3947" s="649"/>
      <c r="Z3947" s="649"/>
      <c r="AA3947" s="649">
        <f t="shared" ref="AA3947:AE4007" si="884">+$D3947/4</f>
        <v>0</v>
      </c>
      <c r="AB3947" s="647">
        <f t="shared" si="878"/>
        <v>0</v>
      </c>
      <c r="AC3947" s="649"/>
      <c r="AD3947" s="649"/>
      <c r="AE3947" s="649">
        <f t="shared" si="884"/>
        <v>0</v>
      </c>
      <c r="AF3947" s="647">
        <f t="shared" si="874"/>
        <v>0</v>
      </c>
      <c r="AG3947" s="649"/>
      <c r="AH3947" s="649"/>
      <c r="AI3947" s="649"/>
      <c r="AJ3947" s="649"/>
      <c r="AK3947" s="647">
        <f t="shared" si="875"/>
        <v>0</v>
      </c>
      <c r="AL3947" s="446">
        <f t="shared" si="876"/>
        <v>0</v>
      </c>
      <c r="AM3947" s="110">
        <f t="shared" si="877"/>
        <v>0</v>
      </c>
      <c r="AN3947" s="447">
        <f t="shared" si="880"/>
        <v>0</v>
      </c>
      <c r="AO3947" s="436">
        <f>SUM(J3948)</f>
        <v>22100</v>
      </c>
      <c r="AP3947" s="111"/>
    </row>
    <row r="3948" spans="1:42" ht="66" x14ac:dyDescent="0.25">
      <c r="A3948" s="61"/>
      <c r="B3948" s="609" t="s">
        <v>935</v>
      </c>
      <c r="D3948" s="882">
        <f>1+1</f>
        <v>2</v>
      </c>
      <c r="E3948" s="89" t="s">
        <v>1755</v>
      </c>
      <c r="F3948" s="273" t="s">
        <v>3446</v>
      </c>
      <c r="G3948" s="1040" t="s">
        <v>3463</v>
      </c>
      <c r="H3948" s="273" t="s">
        <v>3462</v>
      </c>
      <c r="I3948" s="720">
        <f>+J3948/D3948</f>
        <v>11050</v>
      </c>
      <c r="J3948" s="813">
        <f>500+21600</f>
        <v>22100</v>
      </c>
      <c r="K3948" s="131">
        <f t="shared" si="881"/>
        <v>22100</v>
      </c>
      <c r="L3948" s="335">
        <f t="shared" si="873"/>
        <v>0</v>
      </c>
      <c r="M3948" s="446"/>
      <c r="N3948" s="446"/>
      <c r="O3948" s="446"/>
      <c r="P3948" s="446"/>
      <c r="Q3948" s="130">
        <v>1</v>
      </c>
      <c r="R3948" s="111">
        <f t="shared" si="868"/>
        <v>5525</v>
      </c>
      <c r="S3948" s="110"/>
      <c r="T3948" s="110"/>
      <c r="U3948" s="130">
        <v>1</v>
      </c>
      <c r="V3948" s="111">
        <f t="shared" si="869"/>
        <v>5525</v>
      </c>
      <c r="W3948" s="110"/>
      <c r="X3948" s="110"/>
      <c r="Y3948" s="110"/>
      <c r="Z3948" s="110"/>
      <c r="AA3948" s="130">
        <v>0</v>
      </c>
      <c r="AB3948" s="111">
        <f t="shared" si="878"/>
        <v>5525</v>
      </c>
      <c r="AC3948" s="110"/>
      <c r="AD3948" s="110"/>
      <c r="AE3948" s="130">
        <v>0</v>
      </c>
      <c r="AF3948" s="111">
        <f t="shared" si="874"/>
        <v>5525</v>
      </c>
      <c r="AG3948" s="110"/>
      <c r="AH3948" s="110"/>
      <c r="AI3948" s="110"/>
      <c r="AJ3948" s="110"/>
      <c r="AK3948" s="111">
        <f t="shared" si="875"/>
        <v>22100</v>
      </c>
      <c r="AL3948" s="446">
        <f t="shared" si="876"/>
        <v>0</v>
      </c>
      <c r="AM3948" s="110">
        <f t="shared" si="877"/>
        <v>2</v>
      </c>
      <c r="AN3948" s="447">
        <f t="shared" si="880"/>
        <v>0</v>
      </c>
      <c r="AO3948"/>
      <c r="AP3948"/>
    </row>
    <row r="3949" spans="1:42" x14ac:dyDescent="0.25">
      <c r="A3949" s="376">
        <v>377</v>
      </c>
      <c r="B3949" s="588" t="s">
        <v>936</v>
      </c>
      <c r="C3949" s="376"/>
      <c r="D3949" s="940"/>
      <c r="E3949" s="377"/>
      <c r="F3949" s="378"/>
      <c r="G3949" s="378"/>
      <c r="H3949" s="378"/>
      <c r="I3949" s="734"/>
      <c r="J3949" s="840"/>
      <c r="K3949" s="131">
        <f t="shared" si="881"/>
        <v>0</v>
      </c>
      <c r="L3949" s="335">
        <f t="shared" si="873"/>
        <v>0</v>
      </c>
      <c r="M3949" s="419"/>
      <c r="N3949" s="419"/>
      <c r="O3949" s="419"/>
      <c r="P3949" s="419"/>
      <c r="Q3949" s="418">
        <f t="shared" si="870"/>
        <v>0</v>
      </c>
      <c r="R3949" s="379">
        <f t="shared" si="868"/>
        <v>0</v>
      </c>
      <c r="S3949" s="418"/>
      <c r="T3949" s="418"/>
      <c r="U3949" s="418">
        <f t="shared" si="871"/>
        <v>0</v>
      </c>
      <c r="V3949" s="379">
        <f t="shared" si="869"/>
        <v>0</v>
      </c>
      <c r="W3949" s="418"/>
      <c r="X3949" s="418"/>
      <c r="Y3949" s="418"/>
      <c r="Z3949" s="418"/>
      <c r="AA3949" s="418">
        <f t="shared" si="884"/>
        <v>0</v>
      </c>
      <c r="AB3949" s="379">
        <f t="shared" si="878"/>
        <v>0</v>
      </c>
      <c r="AC3949" s="418"/>
      <c r="AD3949" s="418"/>
      <c r="AE3949" s="418">
        <f t="shared" si="884"/>
        <v>0</v>
      </c>
      <c r="AF3949" s="379">
        <f t="shared" si="874"/>
        <v>0</v>
      </c>
      <c r="AG3949" s="418"/>
      <c r="AH3949" s="418"/>
      <c r="AI3949" s="418"/>
      <c r="AJ3949" s="418"/>
      <c r="AK3949" s="379">
        <f t="shared" si="875"/>
        <v>0</v>
      </c>
      <c r="AL3949" s="446">
        <f t="shared" si="876"/>
        <v>0</v>
      </c>
      <c r="AM3949" s="110">
        <f t="shared" si="877"/>
        <v>0</v>
      </c>
      <c r="AN3949" s="447">
        <f t="shared" si="880"/>
        <v>0</v>
      </c>
      <c r="AO3949" s="108"/>
      <c r="AP3949"/>
    </row>
    <row r="3950" spans="1:42" x14ac:dyDescent="0.25">
      <c r="A3950" s="643">
        <v>37701</v>
      </c>
      <c r="B3950" s="644" t="s">
        <v>936</v>
      </c>
      <c r="C3950" s="643"/>
      <c r="D3950" s="954"/>
      <c r="E3950" s="645"/>
      <c r="F3950" s="646"/>
      <c r="G3950" s="646"/>
      <c r="H3950" s="646"/>
      <c r="I3950" s="717"/>
      <c r="J3950" s="839"/>
      <c r="K3950" s="131">
        <f t="shared" si="881"/>
        <v>0</v>
      </c>
      <c r="L3950" s="335">
        <f t="shared" si="873"/>
        <v>0</v>
      </c>
      <c r="M3950" s="648"/>
      <c r="N3950" s="648"/>
      <c r="O3950" s="648"/>
      <c r="P3950" s="648"/>
      <c r="Q3950" s="649">
        <f t="shared" si="870"/>
        <v>0</v>
      </c>
      <c r="R3950" s="647">
        <f t="shared" si="868"/>
        <v>0</v>
      </c>
      <c r="S3950" s="649"/>
      <c r="T3950" s="649"/>
      <c r="U3950" s="649">
        <f t="shared" si="871"/>
        <v>0</v>
      </c>
      <c r="V3950" s="647">
        <f t="shared" si="869"/>
        <v>0</v>
      </c>
      <c r="W3950" s="649"/>
      <c r="X3950" s="649"/>
      <c r="Y3950" s="649"/>
      <c r="Z3950" s="649"/>
      <c r="AA3950" s="649">
        <f t="shared" si="884"/>
        <v>0</v>
      </c>
      <c r="AB3950" s="647">
        <f t="shared" si="878"/>
        <v>0</v>
      </c>
      <c r="AC3950" s="649"/>
      <c r="AD3950" s="649"/>
      <c r="AE3950" s="649">
        <f t="shared" si="884"/>
        <v>0</v>
      </c>
      <c r="AF3950" s="647">
        <f t="shared" si="874"/>
        <v>0</v>
      </c>
      <c r="AG3950" s="649"/>
      <c r="AH3950" s="649"/>
      <c r="AI3950" s="649"/>
      <c r="AJ3950" s="649"/>
      <c r="AK3950" s="647">
        <f t="shared" si="875"/>
        <v>0</v>
      </c>
      <c r="AL3950" s="446">
        <f t="shared" si="876"/>
        <v>0</v>
      </c>
      <c r="AM3950" s="110">
        <f t="shared" si="877"/>
        <v>0</v>
      </c>
      <c r="AN3950" s="447">
        <f t="shared" si="880"/>
        <v>0</v>
      </c>
      <c r="AO3950" s="108"/>
      <c r="AP3950"/>
    </row>
    <row r="3951" spans="1:42" x14ac:dyDescent="0.25">
      <c r="A3951" s="61"/>
      <c r="B3951" s="608"/>
      <c r="D3951" s="882"/>
      <c r="E3951" s="89"/>
      <c r="F3951" s="280"/>
      <c r="G3951" s="280"/>
      <c r="H3951" s="280"/>
      <c r="I3951" s="720"/>
      <c r="J3951" s="813"/>
      <c r="K3951" s="131">
        <f t="shared" si="881"/>
        <v>0</v>
      </c>
      <c r="L3951" s="335">
        <f t="shared" si="873"/>
        <v>0</v>
      </c>
      <c r="M3951" s="446"/>
      <c r="N3951" s="446"/>
      <c r="O3951" s="446"/>
      <c r="P3951" s="446"/>
      <c r="Q3951" s="110">
        <f t="shared" si="870"/>
        <v>0</v>
      </c>
      <c r="R3951" s="111">
        <f t="shared" si="868"/>
        <v>0</v>
      </c>
      <c r="S3951" s="110"/>
      <c r="T3951" s="110"/>
      <c r="U3951" s="110">
        <f t="shared" si="871"/>
        <v>0</v>
      </c>
      <c r="V3951" s="111">
        <f t="shared" si="869"/>
        <v>0</v>
      </c>
      <c r="W3951" s="110"/>
      <c r="X3951" s="110"/>
      <c r="Y3951" s="110"/>
      <c r="Z3951" s="110"/>
      <c r="AA3951" s="110">
        <f t="shared" si="884"/>
        <v>0</v>
      </c>
      <c r="AB3951" s="111">
        <f t="shared" si="878"/>
        <v>0</v>
      </c>
      <c r="AC3951" s="110"/>
      <c r="AD3951" s="110"/>
      <c r="AE3951" s="110">
        <f t="shared" si="884"/>
        <v>0</v>
      </c>
      <c r="AF3951" s="111">
        <f t="shared" si="874"/>
        <v>0</v>
      </c>
      <c r="AG3951" s="110"/>
      <c r="AH3951" s="110"/>
      <c r="AI3951" s="110"/>
      <c r="AJ3951" s="110"/>
      <c r="AK3951" s="111">
        <f t="shared" si="875"/>
        <v>0</v>
      </c>
      <c r="AL3951" s="446">
        <f t="shared" si="876"/>
        <v>0</v>
      </c>
      <c r="AM3951" s="110">
        <f t="shared" si="877"/>
        <v>0</v>
      </c>
      <c r="AN3951" s="447">
        <f t="shared" si="880"/>
        <v>0</v>
      </c>
      <c r="AO3951"/>
      <c r="AP3951"/>
    </row>
    <row r="3952" spans="1:42" x14ac:dyDescent="0.25">
      <c r="A3952" s="376">
        <v>378</v>
      </c>
      <c r="B3952" s="588" t="s">
        <v>937</v>
      </c>
      <c r="C3952" s="376"/>
      <c r="D3952" s="940"/>
      <c r="E3952" s="377"/>
      <c r="F3952" s="378"/>
      <c r="G3952" s="378"/>
      <c r="H3952" s="378"/>
      <c r="I3952" s="734"/>
      <c r="J3952" s="840"/>
      <c r="K3952" s="131">
        <f t="shared" si="881"/>
        <v>0</v>
      </c>
      <c r="L3952" s="335">
        <f t="shared" si="873"/>
        <v>0</v>
      </c>
      <c r="M3952" s="419"/>
      <c r="N3952" s="419"/>
      <c r="O3952" s="419"/>
      <c r="P3952" s="419"/>
      <c r="Q3952" s="418">
        <f t="shared" si="870"/>
        <v>0</v>
      </c>
      <c r="R3952" s="379">
        <f t="shared" ref="R3952:R4015" si="885">+J3952/4</f>
        <v>0</v>
      </c>
      <c r="S3952" s="418"/>
      <c r="T3952" s="418"/>
      <c r="U3952" s="418">
        <f t="shared" si="871"/>
        <v>0</v>
      </c>
      <c r="V3952" s="379">
        <f t="shared" ref="V3952:V4015" si="886">+J3952/4</f>
        <v>0</v>
      </c>
      <c r="W3952" s="418"/>
      <c r="X3952" s="418"/>
      <c r="Y3952" s="418"/>
      <c r="Z3952" s="418"/>
      <c r="AA3952" s="418">
        <f t="shared" si="884"/>
        <v>0</v>
      </c>
      <c r="AB3952" s="379">
        <f t="shared" si="878"/>
        <v>0</v>
      </c>
      <c r="AC3952" s="418"/>
      <c r="AD3952" s="418"/>
      <c r="AE3952" s="418">
        <f t="shared" si="884"/>
        <v>0</v>
      </c>
      <c r="AF3952" s="379">
        <f t="shared" si="874"/>
        <v>0</v>
      </c>
      <c r="AG3952" s="418"/>
      <c r="AH3952" s="418"/>
      <c r="AI3952" s="418"/>
      <c r="AJ3952" s="418"/>
      <c r="AK3952" s="379">
        <f t="shared" si="875"/>
        <v>0</v>
      </c>
      <c r="AL3952" s="446">
        <f t="shared" si="876"/>
        <v>0</v>
      </c>
      <c r="AM3952" s="110">
        <f t="shared" si="877"/>
        <v>0</v>
      </c>
      <c r="AN3952" s="447">
        <f t="shared" si="880"/>
        <v>0</v>
      </c>
      <c r="AO3952" s="108"/>
      <c r="AP3952"/>
    </row>
    <row r="3953" spans="1:42" ht="33.75" x14ac:dyDescent="0.25">
      <c r="A3953" s="643">
        <v>37801</v>
      </c>
      <c r="B3953" s="644" t="s">
        <v>938</v>
      </c>
      <c r="C3953" s="643"/>
      <c r="D3953" s="954"/>
      <c r="E3953" s="645"/>
      <c r="F3953" s="646"/>
      <c r="G3953" s="646"/>
      <c r="H3953" s="646"/>
      <c r="I3953" s="717"/>
      <c r="J3953" s="839"/>
      <c r="K3953" s="131">
        <f t="shared" si="881"/>
        <v>0</v>
      </c>
      <c r="L3953" s="335">
        <f t="shared" si="873"/>
        <v>0</v>
      </c>
      <c r="M3953" s="648"/>
      <c r="N3953" s="648"/>
      <c r="O3953" s="648"/>
      <c r="P3953" s="648"/>
      <c r="Q3953" s="649">
        <f t="shared" ref="Q3953:Q4016" si="887">+$D3953/4</f>
        <v>0</v>
      </c>
      <c r="R3953" s="647">
        <f t="shared" si="885"/>
        <v>0</v>
      </c>
      <c r="S3953" s="649"/>
      <c r="T3953" s="649"/>
      <c r="U3953" s="649">
        <f t="shared" ref="U3953:U4016" si="888">+$D3953/4</f>
        <v>0</v>
      </c>
      <c r="V3953" s="647">
        <f t="shared" si="886"/>
        <v>0</v>
      </c>
      <c r="W3953" s="649"/>
      <c r="X3953" s="649"/>
      <c r="Y3953" s="649"/>
      <c r="Z3953" s="649"/>
      <c r="AA3953" s="649">
        <f t="shared" si="884"/>
        <v>0</v>
      </c>
      <c r="AB3953" s="647">
        <f t="shared" si="878"/>
        <v>0</v>
      </c>
      <c r="AC3953" s="649"/>
      <c r="AD3953" s="649"/>
      <c r="AE3953" s="649">
        <f t="shared" si="884"/>
        <v>0</v>
      </c>
      <c r="AF3953" s="647">
        <f t="shared" si="874"/>
        <v>0</v>
      </c>
      <c r="AG3953" s="649"/>
      <c r="AH3953" s="649"/>
      <c r="AI3953" s="649"/>
      <c r="AJ3953" s="649"/>
      <c r="AK3953" s="647">
        <f t="shared" si="875"/>
        <v>0</v>
      </c>
      <c r="AL3953" s="446">
        <f t="shared" si="876"/>
        <v>0</v>
      </c>
      <c r="AM3953" s="110">
        <f t="shared" si="877"/>
        <v>0</v>
      </c>
      <c r="AN3953" s="447">
        <f t="shared" si="880"/>
        <v>0</v>
      </c>
      <c r="AO3953" s="108"/>
      <c r="AP3953"/>
    </row>
    <row r="3954" spans="1:42" s="108" customFormat="1" x14ac:dyDescent="0.25">
      <c r="A3954" s="9"/>
      <c r="B3954" s="57"/>
      <c r="C3954" s="9"/>
      <c r="D3954" s="869"/>
      <c r="E3954" s="1027"/>
      <c r="F3954" s="272"/>
      <c r="G3954" s="272"/>
      <c r="H3954" s="272"/>
      <c r="I3954" s="722"/>
      <c r="J3954" s="756"/>
      <c r="K3954" s="131">
        <f t="shared" si="881"/>
        <v>0</v>
      </c>
      <c r="L3954" s="335">
        <f t="shared" si="873"/>
        <v>0</v>
      </c>
      <c r="M3954" s="335"/>
      <c r="N3954" s="335"/>
      <c r="O3954" s="335"/>
      <c r="P3954" s="335"/>
      <c r="Q3954" s="130">
        <f t="shared" si="887"/>
        <v>0</v>
      </c>
      <c r="R3954" s="131">
        <f t="shared" si="885"/>
        <v>0</v>
      </c>
      <c r="S3954" s="130"/>
      <c r="T3954" s="130"/>
      <c r="U3954" s="130">
        <f t="shared" si="888"/>
        <v>0</v>
      </c>
      <c r="V3954" s="131">
        <f t="shared" si="886"/>
        <v>0</v>
      </c>
      <c r="W3954" s="130"/>
      <c r="X3954" s="130"/>
      <c r="Y3954" s="130"/>
      <c r="Z3954" s="130"/>
      <c r="AA3954" s="130">
        <f t="shared" si="884"/>
        <v>0</v>
      </c>
      <c r="AB3954" s="131">
        <f t="shared" si="878"/>
        <v>0</v>
      </c>
      <c r="AC3954" s="130"/>
      <c r="AD3954" s="130"/>
      <c r="AE3954" s="130">
        <f t="shared" si="884"/>
        <v>0</v>
      </c>
      <c r="AF3954" s="131">
        <f t="shared" si="874"/>
        <v>0</v>
      </c>
      <c r="AG3954" s="130"/>
      <c r="AH3954" s="130"/>
      <c r="AI3954" s="130"/>
      <c r="AJ3954" s="130"/>
      <c r="AK3954" s="131">
        <f t="shared" si="875"/>
        <v>0</v>
      </c>
      <c r="AL3954" s="446">
        <f t="shared" si="876"/>
        <v>0</v>
      </c>
      <c r="AM3954" s="110">
        <f t="shared" si="877"/>
        <v>0</v>
      </c>
      <c r="AN3954" s="447">
        <f t="shared" si="880"/>
        <v>0</v>
      </c>
      <c r="AO3954"/>
      <c r="AP3954"/>
    </row>
    <row r="3955" spans="1:42" ht="33.75" x14ac:dyDescent="0.25">
      <c r="A3955" s="643">
        <v>37802</v>
      </c>
      <c r="B3955" s="644" t="s">
        <v>939</v>
      </c>
      <c r="C3955" s="643"/>
      <c r="D3955" s="954"/>
      <c r="E3955" s="645"/>
      <c r="F3955" s="646"/>
      <c r="G3955" s="646"/>
      <c r="H3955" s="646"/>
      <c r="I3955" s="717"/>
      <c r="J3955" s="839"/>
      <c r="K3955" s="131">
        <f t="shared" si="881"/>
        <v>0</v>
      </c>
      <c r="L3955" s="335">
        <f t="shared" si="873"/>
        <v>0</v>
      </c>
      <c r="M3955" s="648"/>
      <c r="N3955" s="648"/>
      <c r="O3955" s="648"/>
      <c r="P3955" s="648"/>
      <c r="Q3955" s="649">
        <f t="shared" si="887"/>
        <v>0</v>
      </c>
      <c r="R3955" s="647">
        <f t="shared" si="885"/>
        <v>0</v>
      </c>
      <c r="S3955" s="649"/>
      <c r="T3955" s="649"/>
      <c r="U3955" s="649">
        <f t="shared" si="888"/>
        <v>0</v>
      </c>
      <c r="V3955" s="647">
        <f t="shared" si="886"/>
        <v>0</v>
      </c>
      <c r="W3955" s="649"/>
      <c r="X3955" s="649"/>
      <c r="Y3955" s="649"/>
      <c r="Z3955" s="649"/>
      <c r="AA3955" s="649">
        <f t="shared" si="884"/>
        <v>0</v>
      </c>
      <c r="AB3955" s="647">
        <f t="shared" si="878"/>
        <v>0</v>
      </c>
      <c r="AC3955" s="649"/>
      <c r="AD3955" s="649"/>
      <c r="AE3955" s="649">
        <f t="shared" si="884"/>
        <v>0</v>
      </c>
      <c r="AF3955" s="647">
        <f t="shared" si="874"/>
        <v>0</v>
      </c>
      <c r="AG3955" s="649"/>
      <c r="AH3955" s="649"/>
      <c r="AI3955" s="649"/>
      <c r="AJ3955" s="649"/>
      <c r="AK3955" s="647">
        <f t="shared" si="875"/>
        <v>0</v>
      </c>
      <c r="AL3955" s="446">
        <f t="shared" si="876"/>
        <v>0</v>
      </c>
      <c r="AM3955" s="110">
        <f t="shared" si="877"/>
        <v>0</v>
      </c>
      <c r="AN3955" s="447">
        <f t="shared" si="880"/>
        <v>0</v>
      </c>
      <c r="AO3955" s="108"/>
      <c r="AP3955"/>
    </row>
    <row r="3956" spans="1:42" s="108" customFormat="1" x14ac:dyDescent="0.25">
      <c r="A3956" s="61"/>
      <c r="B3956" s="584"/>
      <c r="C3956" s="9"/>
      <c r="D3956" s="939"/>
      <c r="E3956" s="79"/>
      <c r="F3956" s="286"/>
      <c r="G3956" s="286"/>
      <c r="H3956" s="286"/>
      <c r="I3956" s="722"/>
      <c r="J3956" s="841"/>
      <c r="K3956" s="131">
        <f t="shared" si="881"/>
        <v>0</v>
      </c>
      <c r="L3956" s="335">
        <f t="shared" si="873"/>
        <v>0</v>
      </c>
      <c r="M3956" s="335"/>
      <c r="N3956" s="335"/>
      <c r="O3956" s="335"/>
      <c r="P3956" s="335"/>
      <c r="Q3956" s="130">
        <f t="shared" si="887"/>
        <v>0</v>
      </c>
      <c r="R3956" s="131">
        <f t="shared" si="885"/>
        <v>0</v>
      </c>
      <c r="S3956" s="130"/>
      <c r="T3956" s="130"/>
      <c r="U3956" s="130">
        <f t="shared" si="888"/>
        <v>0</v>
      </c>
      <c r="V3956" s="131">
        <f t="shared" si="886"/>
        <v>0</v>
      </c>
      <c r="W3956" s="130"/>
      <c r="X3956" s="130"/>
      <c r="Y3956" s="130"/>
      <c r="Z3956" s="130"/>
      <c r="AA3956" s="130">
        <f t="shared" si="884"/>
        <v>0</v>
      </c>
      <c r="AB3956" s="131">
        <f t="shared" si="878"/>
        <v>0</v>
      </c>
      <c r="AC3956" s="130"/>
      <c r="AD3956" s="130"/>
      <c r="AE3956" s="130">
        <f t="shared" si="884"/>
        <v>0</v>
      </c>
      <c r="AF3956" s="131">
        <f t="shared" si="874"/>
        <v>0</v>
      </c>
      <c r="AG3956" s="130"/>
      <c r="AH3956" s="130"/>
      <c r="AI3956" s="130"/>
      <c r="AJ3956" s="130"/>
      <c r="AK3956" s="131">
        <f t="shared" si="875"/>
        <v>0</v>
      </c>
      <c r="AL3956" s="446">
        <f t="shared" si="876"/>
        <v>0</v>
      </c>
      <c r="AM3956" s="110">
        <f t="shared" si="877"/>
        <v>0</v>
      </c>
      <c r="AN3956" s="447">
        <f t="shared" si="880"/>
        <v>0</v>
      </c>
      <c r="AO3956"/>
      <c r="AP3956"/>
    </row>
    <row r="3957" spans="1:42" x14ac:dyDescent="0.25">
      <c r="A3957" s="376">
        <v>379</v>
      </c>
      <c r="B3957" s="588" t="s">
        <v>940</v>
      </c>
      <c r="C3957" s="376"/>
      <c r="D3957" s="940"/>
      <c r="E3957" s="377"/>
      <c r="F3957" s="378"/>
      <c r="G3957" s="378"/>
      <c r="H3957" s="378"/>
      <c r="I3957" s="734"/>
      <c r="J3957" s="840"/>
      <c r="K3957" s="131">
        <f t="shared" si="881"/>
        <v>0</v>
      </c>
      <c r="L3957" s="335">
        <f t="shared" si="873"/>
        <v>0</v>
      </c>
      <c r="M3957" s="419"/>
      <c r="N3957" s="419"/>
      <c r="O3957" s="419"/>
      <c r="P3957" s="419"/>
      <c r="Q3957" s="418">
        <f t="shared" si="887"/>
        <v>0</v>
      </c>
      <c r="R3957" s="379">
        <f t="shared" si="885"/>
        <v>0</v>
      </c>
      <c r="S3957" s="418"/>
      <c r="T3957" s="418"/>
      <c r="U3957" s="418">
        <f t="shared" si="888"/>
        <v>0</v>
      </c>
      <c r="V3957" s="379">
        <f t="shared" si="886"/>
        <v>0</v>
      </c>
      <c r="W3957" s="418"/>
      <c r="X3957" s="418"/>
      <c r="Y3957" s="418"/>
      <c r="Z3957" s="418"/>
      <c r="AA3957" s="418">
        <f t="shared" si="884"/>
        <v>0</v>
      </c>
      <c r="AB3957" s="379">
        <f t="shared" si="878"/>
        <v>0</v>
      </c>
      <c r="AC3957" s="418"/>
      <c r="AD3957" s="418"/>
      <c r="AE3957" s="418">
        <f t="shared" si="884"/>
        <v>0</v>
      </c>
      <c r="AF3957" s="379">
        <f t="shared" si="874"/>
        <v>0</v>
      </c>
      <c r="AG3957" s="418"/>
      <c r="AH3957" s="418"/>
      <c r="AI3957" s="418"/>
      <c r="AJ3957" s="418"/>
      <c r="AK3957" s="379">
        <f t="shared" si="875"/>
        <v>0</v>
      </c>
      <c r="AL3957" s="446">
        <f t="shared" si="876"/>
        <v>0</v>
      </c>
      <c r="AM3957" s="110">
        <f t="shared" si="877"/>
        <v>0</v>
      </c>
      <c r="AN3957" s="447">
        <f t="shared" si="880"/>
        <v>0</v>
      </c>
      <c r="AO3957" s="108"/>
      <c r="AP3957"/>
    </row>
    <row r="3958" spans="1:42" x14ac:dyDescent="0.25">
      <c r="A3958" s="330">
        <v>37901</v>
      </c>
      <c r="B3958" s="350" t="s">
        <v>941</v>
      </c>
      <c r="C3958" s="320"/>
      <c r="D3958" s="889"/>
      <c r="E3958" s="321"/>
      <c r="F3958" s="322"/>
      <c r="G3958" s="322"/>
      <c r="H3958" s="322"/>
      <c r="I3958" s="724"/>
      <c r="J3958" s="842"/>
      <c r="K3958" s="131">
        <f t="shared" si="881"/>
        <v>0</v>
      </c>
      <c r="L3958" s="335">
        <f t="shared" ref="L3958:L4021" si="889">+J3958-K3958</f>
        <v>0</v>
      </c>
      <c r="M3958" s="648"/>
      <c r="N3958" s="648"/>
      <c r="O3958" s="648"/>
      <c r="P3958" s="648"/>
      <c r="Q3958" s="649">
        <f t="shared" si="887"/>
        <v>0</v>
      </c>
      <c r="R3958" s="647">
        <f t="shared" si="885"/>
        <v>0</v>
      </c>
      <c r="S3958" s="649"/>
      <c r="T3958" s="649"/>
      <c r="U3958" s="649">
        <f t="shared" si="888"/>
        <v>0</v>
      </c>
      <c r="V3958" s="647">
        <f t="shared" si="886"/>
        <v>0</v>
      </c>
      <c r="W3958" s="649"/>
      <c r="X3958" s="649"/>
      <c r="Y3958" s="649"/>
      <c r="Z3958" s="649"/>
      <c r="AA3958" s="649">
        <f t="shared" si="884"/>
        <v>0</v>
      </c>
      <c r="AB3958" s="647">
        <f t="shared" si="878"/>
        <v>0</v>
      </c>
      <c r="AC3958" s="649"/>
      <c r="AD3958" s="649"/>
      <c r="AE3958" s="649">
        <f t="shared" si="884"/>
        <v>0</v>
      </c>
      <c r="AF3958" s="647">
        <f t="shared" ref="AF3958:AF4021" si="890">+J3958/4</f>
        <v>0</v>
      </c>
      <c r="AG3958" s="649"/>
      <c r="AH3958" s="649"/>
      <c r="AI3958" s="649"/>
      <c r="AJ3958" s="649"/>
      <c r="AK3958" s="647">
        <f t="shared" ref="AK3958:AK4021" si="891">+R3958+V3958+AB3958+AF3958</f>
        <v>0</v>
      </c>
      <c r="AL3958" s="446">
        <f t="shared" ref="AL3958:AL4021" si="892">+J3958-AK3958</f>
        <v>0</v>
      </c>
      <c r="AM3958" s="110">
        <f t="shared" ref="AM3958:AM4021" si="893">+Q3958+U3958+AA3958+AE3958</f>
        <v>0</v>
      </c>
      <c r="AN3958" s="447">
        <f t="shared" si="880"/>
        <v>0</v>
      </c>
      <c r="AO3958" s="436">
        <f>SUM(J3959)</f>
        <v>121991.12</v>
      </c>
      <c r="AP3958" s="111"/>
    </row>
    <row r="3959" spans="1:42" s="108" customFormat="1" ht="66" x14ac:dyDescent="0.25">
      <c r="A3959" s="9"/>
      <c r="B3959" s="86" t="s">
        <v>941</v>
      </c>
      <c r="C3959" s="9"/>
      <c r="D3959" s="875">
        <f>3+4+24+10+1</f>
        <v>42</v>
      </c>
      <c r="E3959" s="250" t="s">
        <v>1755</v>
      </c>
      <c r="F3959" s="273" t="s">
        <v>3446</v>
      </c>
      <c r="G3959" s="1040" t="s">
        <v>3463</v>
      </c>
      <c r="H3959" s="273" t="s">
        <v>3462</v>
      </c>
      <c r="I3959" s="722">
        <f>+J3959/D3959</f>
        <v>2904.5504761904763</v>
      </c>
      <c r="J3959" s="843">
        <f>30000+4511.12+60000+24000+3480</f>
        <v>121991.12</v>
      </c>
      <c r="K3959" s="131">
        <f t="shared" si="881"/>
        <v>121991.12000000001</v>
      </c>
      <c r="L3959" s="335">
        <f t="shared" si="889"/>
        <v>0</v>
      </c>
      <c r="M3959" s="335"/>
      <c r="N3959" s="335"/>
      <c r="O3959" s="335"/>
      <c r="P3959" s="335"/>
      <c r="Q3959" s="130">
        <v>11</v>
      </c>
      <c r="R3959" s="131">
        <f t="shared" si="885"/>
        <v>30497.78</v>
      </c>
      <c r="S3959" s="130"/>
      <c r="T3959" s="130"/>
      <c r="U3959" s="130">
        <v>11</v>
      </c>
      <c r="V3959" s="131">
        <f t="shared" si="886"/>
        <v>30497.78</v>
      </c>
      <c r="W3959" s="130"/>
      <c r="X3959" s="130"/>
      <c r="Y3959" s="130"/>
      <c r="Z3959" s="130"/>
      <c r="AA3959" s="130">
        <v>10</v>
      </c>
      <c r="AB3959" s="131">
        <f t="shared" si="878"/>
        <v>30497.78</v>
      </c>
      <c r="AC3959" s="130"/>
      <c r="AD3959" s="130"/>
      <c r="AE3959" s="130">
        <v>10</v>
      </c>
      <c r="AF3959" s="131">
        <f t="shared" si="890"/>
        <v>30497.78</v>
      </c>
      <c r="AG3959" s="130"/>
      <c r="AH3959" s="130"/>
      <c r="AI3959" s="130"/>
      <c r="AJ3959" s="130"/>
      <c r="AK3959" s="131">
        <f t="shared" si="891"/>
        <v>121991.12</v>
      </c>
      <c r="AL3959" s="446">
        <f t="shared" si="892"/>
        <v>0</v>
      </c>
      <c r="AM3959" s="110">
        <f t="shared" si="893"/>
        <v>42</v>
      </c>
      <c r="AN3959" s="447">
        <f t="shared" si="880"/>
        <v>0</v>
      </c>
      <c r="AO3959"/>
      <c r="AP3959"/>
    </row>
    <row r="3960" spans="1:42" x14ac:dyDescent="0.25">
      <c r="A3960" s="299">
        <v>3800</v>
      </c>
      <c r="B3960" s="469" t="s">
        <v>942</v>
      </c>
      <c r="C3960" s="299"/>
      <c r="D3960" s="909"/>
      <c r="E3960" s="301"/>
      <c r="F3960" s="302"/>
      <c r="G3960" s="302"/>
      <c r="H3960" s="302"/>
      <c r="I3960" s="715"/>
      <c r="J3960" s="794"/>
      <c r="K3960" s="131">
        <f t="shared" si="881"/>
        <v>0</v>
      </c>
      <c r="L3960" s="335">
        <f t="shared" si="889"/>
        <v>0</v>
      </c>
      <c r="M3960" s="453"/>
      <c r="N3960" s="453"/>
      <c r="O3960" s="453"/>
      <c r="P3960" s="453"/>
      <c r="Q3960" s="385">
        <f t="shared" si="887"/>
        <v>0</v>
      </c>
      <c r="R3960" s="303">
        <f t="shared" si="885"/>
        <v>0</v>
      </c>
      <c r="S3960" s="385"/>
      <c r="T3960" s="385"/>
      <c r="U3960" s="385">
        <f t="shared" si="888"/>
        <v>0</v>
      </c>
      <c r="V3960" s="303">
        <f t="shared" si="886"/>
        <v>0</v>
      </c>
      <c r="W3960" s="385"/>
      <c r="X3960" s="385"/>
      <c r="Y3960" s="385"/>
      <c r="Z3960" s="385"/>
      <c r="AA3960" s="385">
        <f t="shared" si="884"/>
        <v>0</v>
      </c>
      <c r="AB3960" s="303">
        <f t="shared" si="878"/>
        <v>0</v>
      </c>
      <c r="AC3960" s="385"/>
      <c r="AD3960" s="385"/>
      <c r="AE3960" s="385">
        <f t="shared" si="884"/>
        <v>0</v>
      </c>
      <c r="AF3960" s="303">
        <f t="shared" si="890"/>
        <v>0</v>
      </c>
      <c r="AG3960" s="385"/>
      <c r="AH3960" s="385"/>
      <c r="AI3960" s="385"/>
      <c r="AJ3960" s="385"/>
      <c r="AK3960" s="303">
        <f t="shared" si="891"/>
        <v>0</v>
      </c>
      <c r="AL3960" s="453">
        <f t="shared" si="892"/>
        <v>0</v>
      </c>
      <c r="AM3960" s="385">
        <f t="shared" si="893"/>
        <v>0</v>
      </c>
      <c r="AN3960" s="454">
        <f t="shared" si="880"/>
        <v>0</v>
      </c>
      <c r="AO3960" s="304"/>
      <c r="AP3960"/>
    </row>
    <row r="3961" spans="1:42" x14ac:dyDescent="0.25">
      <c r="A3961" s="376">
        <v>381</v>
      </c>
      <c r="B3961" s="588" t="s">
        <v>943</v>
      </c>
      <c r="C3961" s="376"/>
      <c r="D3961" s="940"/>
      <c r="E3961" s="377"/>
      <c r="F3961" s="378"/>
      <c r="G3961" s="378"/>
      <c r="H3961" s="378"/>
      <c r="I3961" s="734"/>
      <c r="J3961" s="840"/>
      <c r="K3961" s="131">
        <f t="shared" si="881"/>
        <v>0</v>
      </c>
      <c r="L3961" s="335">
        <f t="shared" si="889"/>
        <v>0</v>
      </c>
      <c r="M3961" s="419"/>
      <c r="N3961" s="419"/>
      <c r="O3961" s="419"/>
      <c r="P3961" s="419"/>
      <c r="Q3961" s="418">
        <f t="shared" si="887"/>
        <v>0</v>
      </c>
      <c r="R3961" s="379">
        <f t="shared" si="885"/>
        <v>0</v>
      </c>
      <c r="S3961" s="418"/>
      <c r="T3961" s="418"/>
      <c r="U3961" s="418">
        <f t="shared" si="888"/>
        <v>0</v>
      </c>
      <c r="V3961" s="379">
        <f t="shared" si="886"/>
        <v>0</v>
      </c>
      <c r="W3961" s="418"/>
      <c r="X3961" s="418"/>
      <c r="Y3961" s="418"/>
      <c r="Z3961" s="418"/>
      <c r="AA3961" s="418">
        <f t="shared" si="884"/>
        <v>0</v>
      </c>
      <c r="AB3961" s="379">
        <f t="shared" si="878"/>
        <v>0</v>
      </c>
      <c r="AC3961" s="418"/>
      <c r="AD3961" s="418"/>
      <c r="AE3961" s="418">
        <f t="shared" si="884"/>
        <v>0</v>
      </c>
      <c r="AF3961" s="379">
        <f t="shared" si="890"/>
        <v>0</v>
      </c>
      <c r="AG3961" s="418"/>
      <c r="AH3961" s="418"/>
      <c r="AI3961" s="418"/>
      <c r="AJ3961" s="418"/>
      <c r="AK3961" s="379">
        <f t="shared" si="891"/>
        <v>0</v>
      </c>
      <c r="AL3961" s="446">
        <f t="shared" si="892"/>
        <v>0</v>
      </c>
      <c r="AM3961" s="110">
        <f t="shared" si="893"/>
        <v>0</v>
      </c>
      <c r="AN3961" s="447">
        <f t="shared" si="880"/>
        <v>0</v>
      </c>
      <c r="AO3961" s="108"/>
      <c r="AP3961"/>
    </row>
    <row r="3962" spans="1:42" x14ac:dyDescent="0.25">
      <c r="A3962" s="643">
        <v>38101</v>
      </c>
      <c r="B3962" s="644" t="s">
        <v>943</v>
      </c>
      <c r="C3962" s="654"/>
      <c r="D3962" s="954"/>
      <c r="E3962" s="645"/>
      <c r="F3962" s="646"/>
      <c r="G3962" s="646"/>
      <c r="H3962" s="646"/>
      <c r="I3962" s="717"/>
      <c r="J3962" s="839"/>
      <c r="K3962" s="131">
        <f t="shared" si="881"/>
        <v>0</v>
      </c>
      <c r="L3962" s="335">
        <f t="shared" si="889"/>
        <v>0</v>
      </c>
      <c r="M3962" s="648"/>
      <c r="N3962" s="648"/>
      <c r="O3962" s="648"/>
      <c r="P3962" s="648"/>
      <c r="Q3962" s="649">
        <f t="shared" si="887"/>
        <v>0</v>
      </c>
      <c r="R3962" s="647">
        <f t="shared" si="885"/>
        <v>0</v>
      </c>
      <c r="S3962" s="649"/>
      <c r="T3962" s="649"/>
      <c r="U3962" s="649">
        <f t="shared" si="888"/>
        <v>0</v>
      </c>
      <c r="V3962" s="647">
        <f t="shared" si="886"/>
        <v>0</v>
      </c>
      <c r="W3962" s="649"/>
      <c r="X3962" s="649"/>
      <c r="Y3962" s="649"/>
      <c r="Z3962" s="649"/>
      <c r="AA3962" s="649">
        <f t="shared" si="884"/>
        <v>0</v>
      </c>
      <c r="AB3962" s="647">
        <f t="shared" si="878"/>
        <v>0</v>
      </c>
      <c r="AC3962" s="649"/>
      <c r="AD3962" s="649"/>
      <c r="AE3962" s="649">
        <f t="shared" si="884"/>
        <v>0</v>
      </c>
      <c r="AF3962" s="647">
        <f t="shared" si="890"/>
        <v>0</v>
      </c>
      <c r="AG3962" s="649"/>
      <c r="AH3962" s="649"/>
      <c r="AI3962" s="649"/>
      <c r="AJ3962" s="649"/>
      <c r="AK3962" s="647">
        <f t="shared" si="891"/>
        <v>0</v>
      </c>
      <c r="AL3962" s="446">
        <f t="shared" si="892"/>
        <v>0</v>
      </c>
      <c r="AM3962" s="110">
        <f t="shared" si="893"/>
        <v>0</v>
      </c>
      <c r="AN3962" s="447">
        <f t="shared" si="880"/>
        <v>0</v>
      </c>
      <c r="AO3962" s="108"/>
      <c r="AP3962"/>
    </row>
    <row r="3963" spans="1:42" s="108" customFormat="1" x14ac:dyDescent="0.25">
      <c r="A3963" s="61"/>
      <c r="B3963" s="584"/>
      <c r="C3963" s="9"/>
      <c r="D3963" s="869"/>
      <c r="E3963" s="1027"/>
      <c r="F3963" s="272"/>
      <c r="G3963" s="272"/>
      <c r="H3963" s="272"/>
      <c r="I3963" s="722"/>
      <c r="J3963" s="813"/>
      <c r="K3963" s="131">
        <f t="shared" si="881"/>
        <v>0</v>
      </c>
      <c r="L3963" s="335">
        <f t="shared" si="889"/>
        <v>0</v>
      </c>
      <c r="M3963" s="335"/>
      <c r="N3963" s="335"/>
      <c r="O3963" s="335"/>
      <c r="P3963" s="335"/>
      <c r="Q3963" s="130">
        <f t="shared" si="887"/>
        <v>0</v>
      </c>
      <c r="R3963" s="131">
        <f t="shared" si="885"/>
        <v>0</v>
      </c>
      <c r="S3963" s="130"/>
      <c r="T3963" s="130"/>
      <c r="U3963" s="130">
        <f t="shared" si="888"/>
        <v>0</v>
      </c>
      <c r="V3963" s="131">
        <f t="shared" si="886"/>
        <v>0</v>
      </c>
      <c r="W3963" s="130"/>
      <c r="X3963" s="130"/>
      <c r="Y3963" s="130"/>
      <c r="Z3963" s="130"/>
      <c r="AA3963" s="130">
        <f t="shared" si="884"/>
        <v>0</v>
      </c>
      <c r="AB3963" s="131">
        <f t="shared" si="878"/>
        <v>0</v>
      </c>
      <c r="AC3963" s="130"/>
      <c r="AD3963" s="130"/>
      <c r="AE3963" s="130">
        <f t="shared" si="884"/>
        <v>0</v>
      </c>
      <c r="AF3963" s="131">
        <f t="shared" si="890"/>
        <v>0</v>
      </c>
      <c r="AG3963" s="130"/>
      <c r="AH3963" s="130"/>
      <c r="AI3963" s="130"/>
      <c r="AJ3963" s="130"/>
      <c r="AK3963" s="131">
        <f t="shared" si="891"/>
        <v>0</v>
      </c>
      <c r="AL3963" s="446">
        <f t="shared" si="892"/>
        <v>0</v>
      </c>
      <c r="AM3963" s="110">
        <f t="shared" si="893"/>
        <v>0</v>
      </c>
      <c r="AN3963" s="447">
        <f t="shared" si="880"/>
        <v>0</v>
      </c>
      <c r="AO3963"/>
      <c r="AP3963"/>
    </row>
    <row r="3964" spans="1:42" x14ac:dyDescent="0.25">
      <c r="A3964" s="376">
        <v>382</v>
      </c>
      <c r="B3964" s="588" t="s">
        <v>944</v>
      </c>
      <c r="C3964" s="376"/>
      <c r="D3964" s="940"/>
      <c r="E3964" s="377"/>
      <c r="F3964" s="378"/>
      <c r="G3964" s="378"/>
      <c r="H3964" s="378"/>
      <c r="I3964" s="734"/>
      <c r="J3964" s="840"/>
      <c r="K3964" s="131">
        <f t="shared" si="881"/>
        <v>0</v>
      </c>
      <c r="L3964" s="335">
        <f t="shared" si="889"/>
        <v>0</v>
      </c>
      <c r="M3964" s="419"/>
      <c r="N3964" s="419"/>
      <c r="O3964" s="419"/>
      <c r="P3964" s="419"/>
      <c r="Q3964" s="418">
        <f t="shared" si="887"/>
        <v>0</v>
      </c>
      <c r="R3964" s="379">
        <f t="shared" si="885"/>
        <v>0</v>
      </c>
      <c r="S3964" s="418"/>
      <c r="T3964" s="418"/>
      <c r="U3964" s="418">
        <f t="shared" si="888"/>
        <v>0</v>
      </c>
      <c r="V3964" s="379">
        <f t="shared" si="886"/>
        <v>0</v>
      </c>
      <c r="W3964" s="418"/>
      <c r="X3964" s="418"/>
      <c r="Y3964" s="418"/>
      <c r="Z3964" s="418"/>
      <c r="AA3964" s="418">
        <f t="shared" si="884"/>
        <v>0</v>
      </c>
      <c r="AB3964" s="379">
        <f t="shared" si="878"/>
        <v>0</v>
      </c>
      <c r="AC3964" s="418"/>
      <c r="AD3964" s="418"/>
      <c r="AE3964" s="418">
        <f t="shared" si="884"/>
        <v>0</v>
      </c>
      <c r="AF3964" s="379">
        <f t="shared" si="890"/>
        <v>0</v>
      </c>
      <c r="AG3964" s="418"/>
      <c r="AH3964" s="418"/>
      <c r="AI3964" s="418"/>
      <c r="AJ3964" s="418"/>
      <c r="AK3964" s="379">
        <f t="shared" si="891"/>
        <v>0</v>
      </c>
      <c r="AL3964" s="446">
        <f t="shared" si="892"/>
        <v>0</v>
      </c>
      <c r="AM3964" s="110">
        <f t="shared" si="893"/>
        <v>0</v>
      </c>
      <c r="AN3964" s="447">
        <f t="shared" si="880"/>
        <v>0</v>
      </c>
      <c r="AO3964" s="108"/>
      <c r="AP3964"/>
    </row>
    <row r="3965" spans="1:42" x14ac:dyDescent="0.25">
      <c r="A3965" s="315">
        <v>38201</v>
      </c>
      <c r="B3965" s="351" t="s">
        <v>944</v>
      </c>
      <c r="C3965" s="316"/>
      <c r="D3965" s="886"/>
      <c r="E3965" s="318"/>
      <c r="F3965" s="319"/>
      <c r="G3965" s="319"/>
      <c r="H3965" s="319"/>
      <c r="I3965" s="724"/>
      <c r="J3965" s="844"/>
      <c r="K3965" s="131">
        <f t="shared" si="881"/>
        <v>0</v>
      </c>
      <c r="L3965" s="335">
        <f t="shared" si="889"/>
        <v>0</v>
      </c>
      <c r="M3965" s="648"/>
      <c r="N3965" s="648"/>
      <c r="O3965" s="648"/>
      <c r="P3965" s="648"/>
      <c r="Q3965" s="649">
        <f t="shared" si="887"/>
        <v>0</v>
      </c>
      <c r="R3965" s="647">
        <f t="shared" si="885"/>
        <v>0</v>
      </c>
      <c r="S3965" s="649"/>
      <c r="T3965" s="649"/>
      <c r="U3965" s="649">
        <f t="shared" si="888"/>
        <v>0</v>
      </c>
      <c r="V3965" s="647">
        <f t="shared" si="886"/>
        <v>0</v>
      </c>
      <c r="W3965" s="649"/>
      <c r="X3965" s="649"/>
      <c r="Y3965" s="649"/>
      <c r="Z3965" s="649"/>
      <c r="AA3965" s="649">
        <f t="shared" si="884"/>
        <v>0</v>
      </c>
      <c r="AB3965" s="647">
        <f t="shared" si="878"/>
        <v>0</v>
      </c>
      <c r="AC3965" s="649"/>
      <c r="AD3965" s="649"/>
      <c r="AE3965" s="649">
        <f t="shared" si="884"/>
        <v>0</v>
      </c>
      <c r="AF3965" s="647">
        <f t="shared" si="890"/>
        <v>0</v>
      </c>
      <c r="AG3965" s="649"/>
      <c r="AH3965" s="649"/>
      <c r="AI3965" s="649"/>
      <c r="AJ3965" s="649"/>
      <c r="AK3965" s="647">
        <f t="shared" si="891"/>
        <v>0</v>
      </c>
      <c r="AL3965" s="446">
        <f t="shared" si="892"/>
        <v>0</v>
      </c>
      <c r="AM3965" s="110">
        <f t="shared" si="893"/>
        <v>0</v>
      </c>
      <c r="AN3965" s="447">
        <f t="shared" si="880"/>
        <v>0</v>
      </c>
      <c r="AO3965" s="436">
        <f>SUM(J3966:J3973)</f>
        <v>971790.65999999992</v>
      </c>
      <c r="AP3965" s="111"/>
    </row>
    <row r="3966" spans="1:42" s="108" customFormat="1" ht="66" x14ac:dyDescent="0.25">
      <c r="A3966" s="61"/>
      <c r="B3966" s="46" t="s">
        <v>945</v>
      </c>
      <c r="C3966" s="9"/>
      <c r="D3966" s="912">
        <v>4</v>
      </c>
      <c r="E3966" s="1027" t="s">
        <v>1887</v>
      </c>
      <c r="F3966" s="278" t="s">
        <v>3446</v>
      </c>
      <c r="G3966" s="1040" t="s">
        <v>3463</v>
      </c>
      <c r="H3966" s="273" t="s">
        <v>3462</v>
      </c>
      <c r="I3966" s="722">
        <f t="shared" ref="I3966:I3973" si="894">+J3966/D3966</f>
        <v>180962.05499999999</v>
      </c>
      <c r="J3966" s="756">
        <v>723848.22</v>
      </c>
      <c r="K3966" s="131">
        <f t="shared" si="881"/>
        <v>723848.22</v>
      </c>
      <c r="L3966" s="335">
        <f t="shared" si="889"/>
        <v>0</v>
      </c>
      <c r="M3966" s="335"/>
      <c r="N3966" s="335"/>
      <c r="O3966" s="335"/>
      <c r="P3966" s="335"/>
      <c r="Q3966" s="130">
        <f t="shared" si="887"/>
        <v>1</v>
      </c>
      <c r="R3966" s="131">
        <f t="shared" si="885"/>
        <v>180962.05499999999</v>
      </c>
      <c r="S3966" s="130"/>
      <c r="T3966" s="130"/>
      <c r="U3966" s="130">
        <f t="shared" si="888"/>
        <v>1</v>
      </c>
      <c r="V3966" s="131">
        <f t="shared" si="886"/>
        <v>180962.05499999999</v>
      </c>
      <c r="W3966" s="130"/>
      <c r="X3966" s="130"/>
      <c r="Y3966" s="130"/>
      <c r="Z3966" s="130"/>
      <c r="AA3966" s="130">
        <f t="shared" si="884"/>
        <v>1</v>
      </c>
      <c r="AB3966" s="131">
        <f t="shared" si="878"/>
        <v>180962.05499999999</v>
      </c>
      <c r="AC3966" s="130"/>
      <c r="AD3966" s="130"/>
      <c r="AE3966" s="130">
        <f t="shared" si="884"/>
        <v>1</v>
      </c>
      <c r="AF3966" s="131">
        <f t="shared" si="890"/>
        <v>180962.05499999999</v>
      </c>
      <c r="AG3966" s="130"/>
      <c r="AH3966" s="130"/>
      <c r="AI3966" s="130"/>
      <c r="AJ3966" s="130"/>
      <c r="AK3966" s="131">
        <f t="shared" si="891"/>
        <v>723848.22</v>
      </c>
      <c r="AL3966" s="446">
        <f t="shared" si="892"/>
        <v>0</v>
      </c>
      <c r="AM3966" s="110">
        <f t="shared" si="893"/>
        <v>4</v>
      </c>
      <c r="AN3966" s="447">
        <f t="shared" si="880"/>
        <v>0</v>
      </c>
      <c r="AO3966" s="293"/>
      <c r="AP3966"/>
    </row>
    <row r="3967" spans="1:42" s="108" customFormat="1" ht="66" x14ac:dyDescent="0.25">
      <c r="A3967" s="61"/>
      <c r="B3967" s="46" t="s">
        <v>1886</v>
      </c>
      <c r="C3967" s="9"/>
      <c r="D3967" s="912">
        <v>12</v>
      </c>
      <c r="E3967" s="1027" t="s">
        <v>1887</v>
      </c>
      <c r="F3967" s="273" t="s">
        <v>3446</v>
      </c>
      <c r="G3967" s="1040" t="s">
        <v>3463</v>
      </c>
      <c r="H3967" s="273" t="s">
        <v>3462</v>
      </c>
      <c r="I3967" s="722">
        <f t="shared" si="894"/>
        <v>3021.8700000000003</v>
      </c>
      <c r="J3967" s="756">
        <v>36262.44</v>
      </c>
      <c r="K3967" s="131">
        <f t="shared" si="881"/>
        <v>36262.44</v>
      </c>
      <c r="L3967" s="335">
        <f t="shared" si="889"/>
        <v>0</v>
      </c>
      <c r="M3967" s="335"/>
      <c r="N3967" s="335"/>
      <c r="O3967" s="335"/>
      <c r="P3967" s="335"/>
      <c r="Q3967" s="130">
        <f t="shared" si="887"/>
        <v>3</v>
      </c>
      <c r="R3967" s="131">
        <f t="shared" si="885"/>
        <v>9065.61</v>
      </c>
      <c r="S3967" s="130"/>
      <c r="T3967" s="130"/>
      <c r="U3967" s="130">
        <f t="shared" si="888"/>
        <v>3</v>
      </c>
      <c r="V3967" s="131">
        <f t="shared" si="886"/>
        <v>9065.61</v>
      </c>
      <c r="W3967" s="130"/>
      <c r="X3967" s="130"/>
      <c r="Y3967" s="130"/>
      <c r="Z3967" s="130"/>
      <c r="AA3967" s="130">
        <f t="shared" si="884"/>
        <v>3</v>
      </c>
      <c r="AB3967" s="131">
        <f t="shared" si="878"/>
        <v>9065.61</v>
      </c>
      <c r="AC3967" s="130"/>
      <c r="AD3967" s="130"/>
      <c r="AE3967" s="130">
        <f t="shared" si="884"/>
        <v>3</v>
      </c>
      <c r="AF3967" s="131">
        <f t="shared" si="890"/>
        <v>9065.61</v>
      </c>
      <c r="AG3967" s="130"/>
      <c r="AH3967" s="130"/>
      <c r="AI3967" s="130"/>
      <c r="AJ3967" s="130"/>
      <c r="AK3967" s="131">
        <f t="shared" si="891"/>
        <v>36262.44</v>
      </c>
      <c r="AL3967" s="446">
        <f t="shared" si="892"/>
        <v>0</v>
      </c>
      <c r="AM3967" s="110">
        <f t="shared" si="893"/>
        <v>12</v>
      </c>
      <c r="AN3967" s="447">
        <f t="shared" si="880"/>
        <v>0</v>
      </c>
      <c r="AO3967"/>
      <c r="AP3967"/>
    </row>
    <row r="3968" spans="1:42" s="108" customFormat="1" ht="66" x14ac:dyDescent="0.25">
      <c r="A3968" s="61"/>
      <c r="B3968" s="46" t="s">
        <v>2128</v>
      </c>
      <c r="C3968" s="9"/>
      <c r="D3968" s="912">
        <v>1</v>
      </c>
      <c r="E3968" s="1027" t="s">
        <v>1755</v>
      </c>
      <c r="F3968" s="273" t="s">
        <v>3446</v>
      </c>
      <c r="G3968" s="1040" t="s">
        <v>3463</v>
      </c>
      <c r="H3968" s="273" t="s">
        <v>3462</v>
      </c>
      <c r="I3968" s="722">
        <f t="shared" si="894"/>
        <v>30000</v>
      </c>
      <c r="J3968" s="756">
        <v>30000</v>
      </c>
      <c r="K3968" s="131">
        <f t="shared" si="881"/>
        <v>30000</v>
      </c>
      <c r="L3968" s="335">
        <f t="shared" si="889"/>
        <v>0</v>
      </c>
      <c r="M3968" s="335"/>
      <c r="N3968" s="335"/>
      <c r="O3968" s="335"/>
      <c r="P3968" s="335"/>
      <c r="Q3968" s="130">
        <v>1</v>
      </c>
      <c r="R3968" s="131">
        <f t="shared" si="885"/>
        <v>7500</v>
      </c>
      <c r="S3968" s="130"/>
      <c r="T3968" s="130"/>
      <c r="U3968" s="130">
        <v>0</v>
      </c>
      <c r="V3968" s="131">
        <f t="shared" si="886"/>
        <v>7500</v>
      </c>
      <c r="W3968" s="130"/>
      <c r="X3968" s="130"/>
      <c r="Y3968" s="130"/>
      <c r="Z3968" s="130"/>
      <c r="AA3968" s="130">
        <v>0</v>
      </c>
      <c r="AB3968" s="131">
        <f t="shared" si="878"/>
        <v>7500</v>
      </c>
      <c r="AC3968" s="130"/>
      <c r="AD3968" s="130"/>
      <c r="AE3968" s="130">
        <v>0</v>
      </c>
      <c r="AF3968" s="131">
        <f t="shared" si="890"/>
        <v>7500</v>
      </c>
      <c r="AG3968" s="130"/>
      <c r="AH3968" s="130"/>
      <c r="AI3968" s="130"/>
      <c r="AJ3968" s="130"/>
      <c r="AK3968" s="131">
        <f t="shared" si="891"/>
        <v>30000</v>
      </c>
      <c r="AL3968" s="446">
        <f t="shared" si="892"/>
        <v>0</v>
      </c>
      <c r="AM3968" s="110">
        <f t="shared" si="893"/>
        <v>1</v>
      </c>
      <c r="AN3968" s="447">
        <f t="shared" si="880"/>
        <v>0</v>
      </c>
      <c r="AO3968"/>
      <c r="AP3968"/>
    </row>
    <row r="3969" spans="1:42" s="108" customFormat="1" ht="66" x14ac:dyDescent="0.25">
      <c r="A3969" s="61"/>
      <c r="B3969" s="46" t="s">
        <v>2169</v>
      </c>
      <c r="C3969" s="9"/>
      <c r="D3969" s="912">
        <v>2</v>
      </c>
      <c r="E3969" s="1027" t="s">
        <v>1755</v>
      </c>
      <c r="F3969" s="278" t="s">
        <v>3446</v>
      </c>
      <c r="G3969" s="1040" t="s">
        <v>3463</v>
      </c>
      <c r="H3969" s="273" t="s">
        <v>3462</v>
      </c>
      <c r="I3969" s="722">
        <f t="shared" si="894"/>
        <v>53500</v>
      </c>
      <c r="J3969" s="756">
        <v>107000</v>
      </c>
      <c r="K3969" s="131">
        <f t="shared" si="881"/>
        <v>107000</v>
      </c>
      <c r="L3969" s="335">
        <f t="shared" si="889"/>
        <v>0</v>
      </c>
      <c r="M3969" s="335"/>
      <c r="N3969" s="335"/>
      <c r="O3969" s="335"/>
      <c r="P3969" s="335"/>
      <c r="Q3969" s="130">
        <v>1</v>
      </c>
      <c r="R3969" s="131">
        <f t="shared" si="885"/>
        <v>26750</v>
      </c>
      <c r="S3969" s="130"/>
      <c r="T3969" s="130"/>
      <c r="U3969" s="130">
        <v>1</v>
      </c>
      <c r="V3969" s="131">
        <f t="shared" si="886"/>
        <v>26750</v>
      </c>
      <c r="W3969" s="130"/>
      <c r="X3969" s="130"/>
      <c r="Y3969" s="130"/>
      <c r="Z3969" s="130"/>
      <c r="AA3969" s="130">
        <v>0</v>
      </c>
      <c r="AB3969" s="131">
        <f t="shared" si="878"/>
        <v>26750</v>
      </c>
      <c r="AC3969" s="130"/>
      <c r="AD3969" s="130"/>
      <c r="AE3969" s="130">
        <v>0</v>
      </c>
      <c r="AF3969" s="131">
        <f t="shared" si="890"/>
        <v>26750</v>
      </c>
      <c r="AG3969" s="130"/>
      <c r="AH3969" s="130"/>
      <c r="AI3969" s="130"/>
      <c r="AJ3969" s="130"/>
      <c r="AK3969" s="131">
        <f t="shared" si="891"/>
        <v>107000</v>
      </c>
      <c r="AL3969" s="446">
        <f t="shared" si="892"/>
        <v>0</v>
      </c>
      <c r="AM3969" s="110">
        <f t="shared" si="893"/>
        <v>2</v>
      </c>
      <c r="AN3969" s="447">
        <f t="shared" si="880"/>
        <v>0</v>
      </c>
      <c r="AO3969"/>
      <c r="AP3969"/>
    </row>
    <row r="3970" spans="1:42" s="108" customFormat="1" ht="66" x14ac:dyDescent="0.25">
      <c r="A3970" s="61"/>
      <c r="B3970" s="46" t="s">
        <v>2529</v>
      </c>
      <c r="C3970" s="9"/>
      <c r="D3970" s="912">
        <v>100</v>
      </c>
      <c r="E3970" s="1027" t="s">
        <v>1755</v>
      </c>
      <c r="F3970" s="278" t="s">
        <v>3446</v>
      </c>
      <c r="G3970" s="1040" t="s">
        <v>3463</v>
      </c>
      <c r="H3970" s="273" t="s">
        <v>3462</v>
      </c>
      <c r="I3970" s="722">
        <f t="shared" si="894"/>
        <v>130</v>
      </c>
      <c r="J3970" s="756">
        <v>13000</v>
      </c>
      <c r="K3970" s="131">
        <f t="shared" si="881"/>
        <v>13000</v>
      </c>
      <c r="L3970" s="335">
        <f t="shared" si="889"/>
        <v>0</v>
      </c>
      <c r="M3970" s="335"/>
      <c r="N3970" s="335"/>
      <c r="O3970" s="335"/>
      <c r="P3970" s="335"/>
      <c r="Q3970" s="130">
        <f t="shared" si="887"/>
        <v>25</v>
      </c>
      <c r="R3970" s="131">
        <f t="shared" si="885"/>
        <v>3250</v>
      </c>
      <c r="S3970" s="130"/>
      <c r="T3970" s="130"/>
      <c r="U3970" s="130">
        <f t="shared" si="888"/>
        <v>25</v>
      </c>
      <c r="V3970" s="131">
        <f t="shared" si="886"/>
        <v>3250</v>
      </c>
      <c r="W3970" s="130"/>
      <c r="X3970" s="130"/>
      <c r="Y3970" s="130"/>
      <c r="Z3970" s="130"/>
      <c r="AA3970" s="130">
        <f t="shared" si="884"/>
        <v>25</v>
      </c>
      <c r="AB3970" s="131">
        <f t="shared" si="878"/>
        <v>3250</v>
      </c>
      <c r="AC3970" s="130"/>
      <c r="AD3970" s="130"/>
      <c r="AE3970" s="130">
        <f t="shared" si="884"/>
        <v>25</v>
      </c>
      <c r="AF3970" s="131">
        <f t="shared" si="890"/>
        <v>3250</v>
      </c>
      <c r="AG3970" s="130"/>
      <c r="AH3970" s="130"/>
      <c r="AI3970" s="130"/>
      <c r="AJ3970" s="130"/>
      <c r="AK3970" s="131">
        <f t="shared" si="891"/>
        <v>13000</v>
      </c>
      <c r="AL3970" s="446">
        <f t="shared" si="892"/>
        <v>0</v>
      </c>
      <c r="AM3970" s="110">
        <f t="shared" si="893"/>
        <v>100</v>
      </c>
      <c r="AN3970" s="447">
        <f t="shared" si="880"/>
        <v>0</v>
      </c>
      <c r="AO3970"/>
      <c r="AP3970"/>
    </row>
    <row r="3971" spans="1:42" s="108" customFormat="1" ht="66" x14ac:dyDescent="0.25">
      <c r="A3971" s="61"/>
      <c r="B3971" s="46" t="s">
        <v>2530</v>
      </c>
      <c r="C3971" s="9"/>
      <c r="D3971" s="912">
        <v>1</v>
      </c>
      <c r="E3971" s="1027" t="s">
        <v>1887</v>
      </c>
      <c r="F3971" s="273" t="s">
        <v>3446</v>
      </c>
      <c r="G3971" s="1040" t="s">
        <v>3463</v>
      </c>
      <c r="H3971" s="273" t="s">
        <v>3462</v>
      </c>
      <c r="I3971" s="722">
        <f t="shared" si="894"/>
        <v>20000</v>
      </c>
      <c r="J3971" s="756">
        <v>20000</v>
      </c>
      <c r="K3971" s="131">
        <f t="shared" si="881"/>
        <v>20000</v>
      </c>
      <c r="L3971" s="335">
        <f t="shared" si="889"/>
        <v>0</v>
      </c>
      <c r="M3971" s="335"/>
      <c r="N3971" s="335"/>
      <c r="O3971" s="335"/>
      <c r="P3971" s="335"/>
      <c r="Q3971" s="130">
        <v>1</v>
      </c>
      <c r="R3971" s="131">
        <f t="shared" si="885"/>
        <v>5000</v>
      </c>
      <c r="S3971" s="130"/>
      <c r="T3971" s="130"/>
      <c r="U3971" s="130">
        <v>0</v>
      </c>
      <c r="V3971" s="131">
        <f t="shared" si="886"/>
        <v>5000</v>
      </c>
      <c r="W3971" s="130"/>
      <c r="X3971" s="130"/>
      <c r="Y3971" s="130"/>
      <c r="Z3971" s="130"/>
      <c r="AA3971" s="130">
        <v>0</v>
      </c>
      <c r="AB3971" s="131">
        <f t="shared" si="878"/>
        <v>5000</v>
      </c>
      <c r="AC3971" s="130"/>
      <c r="AD3971" s="130"/>
      <c r="AE3971" s="130">
        <v>0</v>
      </c>
      <c r="AF3971" s="131">
        <f t="shared" si="890"/>
        <v>5000</v>
      </c>
      <c r="AG3971" s="130"/>
      <c r="AH3971" s="130"/>
      <c r="AI3971" s="130"/>
      <c r="AJ3971" s="130"/>
      <c r="AK3971" s="131">
        <f t="shared" si="891"/>
        <v>20000</v>
      </c>
      <c r="AL3971" s="446">
        <f t="shared" si="892"/>
        <v>0</v>
      </c>
      <c r="AM3971" s="110">
        <f t="shared" si="893"/>
        <v>1</v>
      </c>
      <c r="AN3971" s="447">
        <f t="shared" si="880"/>
        <v>0</v>
      </c>
      <c r="AO3971"/>
      <c r="AP3971"/>
    </row>
    <row r="3972" spans="1:42" s="108" customFormat="1" ht="66" x14ac:dyDescent="0.25">
      <c r="A3972" s="61"/>
      <c r="B3972" s="46" t="s">
        <v>2832</v>
      </c>
      <c r="C3972" s="9"/>
      <c r="D3972" s="912">
        <v>1</v>
      </c>
      <c r="E3972" s="1027" t="s">
        <v>1887</v>
      </c>
      <c r="F3972" s="278" t="s">
        <v>3446</v>
      </c>
      <c r="G3972" s="1040" t="s">
        <v>3463</v>
      </c>
      <c r="H3972" s="273" t="s">
        <v>3462</v>
      </c>
      <c r="I3972" s="722">
        <f t="shared" si="894"/>
        <v>40600</v>
      </c>
      <c r="J3972" s="756">
        <v>40600</v>
      </c>
      <c r="K3972" s="131">
        <f t="shared" si="881"/>
        <v>40600</v>
      </c>
      <c r="L3972" s="335">
        <f t="shared" si="889"/>
        <v>0</v>
      </c>
      <c r="M3972" s="335"/>
      <c r="N3972" s="335"/>
      <c r="O3972" s="335"/>
      <c r="P3972" s="335"/>
      <c r="Q3972" s="130">
        <v>1</v>
      </c>
      <c r="R3972" s="131">
        <f t="shared" si="885"/>
        <v>10150</v>
      </c>
      <c r="S3972" s="130"/>
      <c r="T3972" s="130"/>
      <c r="U3972" s="130">
        <v>0</v>
      </c>
      <c r="V3972" s="131">
        <f t="shared" si="886"/>
        <v>10150</v>
      </c>
      <c r="W3972" s="130"/>
      <c r="X3972" s="130"/>
      <c r="Y3972" s="130"/>
      <c r="Z3972" s="130"/>
      <c r="AA3972" s="130">
        <v>0</v>
      </c>
      <c r="AB3972" s="131">
        <f t="shared" si="878"/>
        <v>10150</v>
      </c>
      <c r="AC3972" s="130"/>
      <c r="AD3972" s="130"/>
      <c r="AE3972" s="130">
        <v>0</v>
      </c>
      <c r="AF3972" s="131">
        <f t="shared" si="890"/>
        <v>10150</v>
      </c>
      <c r="AG3972" s="130"/>
      <c r="AH3972" s="130"/>
      <c r="AI3972" s="130"/>
      <c r="AJ3972" s="130"/>
      <c r="AK3972" s="131">
        <f t="shared" si="891"/>
        <v>40600</v>
      </c>
      <c r="AL3972" s="446">
        <f t="shared" si="892"/>
        <v>0</v>
      </c>
      <c r="AM3972" s="110">
        <f t="shared" si="893"/>
        <v>1</v>
      </c>
      <c r="AN3972" s="447">
        <f t="shared" si="880"/>
        <v>0</v>
      </c>
      <c r="AO3972"/>
      <c r="AP3972"/>
    </row>
    <row r="3973" spans="1:42" s="108" customFormat="1" ht="66" x14ac:dyDescent="0.25">
      <c r="A3973" s="61"/>
      <c r="B3973" s="46" t="s">
        <v>3354</v>
      </c>
      <c r="C3973" s="9"/>
      <c r="D3973" s="912">
        <v>1</v>
      </c>
      <c r="E3973" s="1027" t="s">
        <v>1887</v>
      </c>
      <c r="F3973" s="278" t="s">
        <v>3446</v>
      </c>
      <c r="G3973" s="1040" t="s">
        <v>3463</v>
      </c>
      <c r="H3973" s="273" t="s">
        <v>3462</v>
      </c>
      <c r="I3973" s="722">
        <f t="shared" si="894"/>
        <v>1080</v>
      </c>
      <c r="J3973" s="756">
        <v>1080</v>
      </c>
      <c r="K3973" s="131">
        <f t="shared" si="881"/>
        <v>1080</v>
      </c>
      <c r="L3973" s="335">
        <f t="shared" si="889"/>
        <v>0</v>
      </c>
      <c r="M3973" s="335"/>
      <c r="N3973" s="335"/>
      <c r="O3973" s="335"/>
      <c r="P3973" s="335"/>
      <c r="Q3973" s="130">
        <v>1</v>
      </c>
      <c r="R3973" s="131">
        <f t="shared" si="885"/>
        <v>270</v>
      </c>
      <c r="S3973" s="130"/>
      <c r="T3973" s="130"/>
      <c r="U3973" s="130">
        <v>0</v>
      </c>
      <c r="V3973" s="131">
        <f t="shared" si="886"/>
        <v>270</v>
      </c>
      <c r="W3973" s="130"/>
      <c r="X3973" s="130"/>
      <c r="Y3973" s="130"/>
      <c r="Z3973" s="130"/>
      <c r="AA3973" s="130">
        <v>0</v>
      </c>
      <c r="AB3973" s="131">
        <f t="shared" si="878"/>
        <v>270</v>
      </c>
      <c r="AC3973" s="130"/>
      <c r="AD3973" s="130"/>
      <c r="AE3973" s="130">
        <v>0</v>
      </c>
      <c r="AF3973" s="131">
        <f t="shared" si="890"/>
        <v>270</v>
      </c>
      <c r="AG3973" s="130"/>
      <c r="AH3973" s="130"/>
      <c r="AI3973" s="130"/>
      <c r="AJ3973" s="130"/>
      <c r="AK3973" s="131">
        <f t="shared" si="891"/>
        <v>1080</v>
      </c>
      <c r="AL3973" s="446">
        <f t="shared" si="892"/>
        <v>0</v>
      </c>
      <c r="AM3973" s="110">
        <f t="shared" si="893"/>
        <v>1</v>
      </c>
      <c r="AN3973" s="447">
        <f t="shared" si="880"/>
        <v>0</v>
      </c>
      <c r="AO3973"/>
      <c r="AP3973"/>
    </row>
    <row r="3974" spans="1:42" x14ac:dyDescent="0.25">
      <c r="A3974" s="376">
        <v>383</v>
      </c>
      <c r="B3974" s="588" t="s">
        <v>946</v>
      </c>
      <c r="C3974" s="632"/>
      <c r="D3974" s="957"/>
      <c r="E3974" s="633"/>
      <c r="F3974" s="634"/>
      <c r="G3974" s="634"/>
      <c r="H3974" s="634"/>
      <c r="I3974" s="734"/>
      <c r="J3974" s="845"/>
      <c r="K3974" s="131">
        <f t="shared" si="881"/>
        <v>0</v>
      </c>
      <c r="L3974" s="335">
        <f t="shared" si="889"/>
        <v>0</v>
      </c>
      <c r="M3974" s="419"/>
      <c r="N3974" s="419"/>
      <c r="O3974" s="419"/>
      <c r="P3974" s="419"/>
      <c r="Q3974" s="418">
        <f t="shared" si="887"/>
        <v>0</v>
      </c>
      <c r="R3974" s="379">
        <f t="shared" si="885"/>
        <v>0</v>
      </c>
      <c r="S3974" s="418"/>
      <c r="T3974" s="418"/>
      <c r="U3974" s="418">
        <f t="shared" si="888"/>
        <v>0</v>
      </c>
      <c r="V3974" s="379">
        <f t="shared" si="886"/>
        <v>0</v>
      </c>
      <c r="W3974" s="418"/>
      <c r="X3974" s="418"/>
      <c r="Y3974" s="418"/>
      <c r="Z3974" s="418"/>
      <c r="AA3974" s="418">
        <f t="shared" si="884"/>
        <v>0</v>
      </c>
      <c r="AB3974" s="379">
        <f t="shared" si="878"/>
        <v>0</v>
      </c>
      <c r="AC3974" s="418"/>
      <c r="AD3974" s="418"/>
      <c r="AE3974" s="418">
        <f t="shared" si="884"/>
        <v>0</v>
      </c>
      <c r="AF3974" s="379">
        <f t="shared" si="890"/>
        <v>0</v>
      </c>
      <c r="AG3974" s="418"/>
      <c r="AH3974" s="418"/>
      <c r="AI3974" s="418"/>
      <c r="AJ3974" s="418"/>
      <c r="AK3974" s="379">
        <f t="shared" si="891"/>
        <v>0</v>
      </c>
      <c r="AL3974" s="446">
        <f t="shared" si="892"/>
        <v>0</v>
      </c>
      <c r="AM3974" s="110">
        <f t="shared" si="893"/>
        <v>0</v>
      </c>
      <c r="AN3974" s="447">
        <f t="shared" si="880"/>
        <v>0</v>
      </c>
      <c r="AO3974" s="108"/>
      <c r="AP3974"/>
    </row>
    <row r="3975" spans="1:42" x14ac:dyDescent="0.25">
      <c r="A3975" s="310">
        <v>38301</v>
      </c>
      <c r="B3975" s="375" t="s">
        <v>946</v>
      </c>
      <c r="C3975" s="310"/>
      <c r="D3975" s="902"/>
      <c r="E3975" s="312"/>
      <c r="F3975" s="313"/>
      <c r="G3975" s="313"/>
      <c r="H3975" s="313"/>
      <c r="I3975" s="729"/>
      <c r="J3975" s="800"/>
      <c r="K3975" s="131">
        <f t="shared" si="881"/>
        <v>0</v>
      </c>
      <c r="L3975" s="335">
        <f t="shared" si="889"/>
        <v>0</v>
      </c>
      <c r="M3975" s="421"/>
      <c r="N3975" s="421"/>
      <c r="O3975" s="421"/>
      <c r="P3975" s="421"/>
      <c r="Q3975" s="387">
        <f t="shared" si="887"/>
        <v>0</v>
      </c>
      <c r="R3975" s="314">
        <f t="shared" si="885"/>
        <v>0</v>
      </c>
      <c r="S3975" s="387"/>
      <c r="T3975" s="387"/>
      <c r="U3975" s="387">
        <f t="shared" si="888"/>
        <v>0</v>
      </c>
      <c r="V3975" s="314">
        <f t="shared" si="886"/>
        <v>0</v>
      </c>
      <c r="W3975" s="387"/>
      <c r="X3975" s="387"/>
      <c r="Y3975" s="387"/>
      <c r="Z3975" s="387"/>
      <c r="AA3975" s="387">
        <f t="shared" si="884"/>
        <v>0</v>
      </c>
      <c r="AB3975" s="314">
        <f t="shared" si="878"/>
        <v>0</v>
      </c>
      <c r="AC3975" s="387"/>
      <c r="AD3975" s="387"/>
      <c r="AE3975" s="387">
        <f t="shared" si="884"/>
        <v>0</v>
      </c>
      <c r="AF3975" s="314">
        <f t="shared" si="890"/>
        <v>0</v>
      </c>
      <c r="AG3975" s="387"/>
      <c r="AH3975" s="387"/>
      <c r="AI3975" s="387"/>
      <c r="AJ3975" s="387"/>
      <c r="AK3975" s="314">
        <f t="shared" si="891"/>
        <v>0</v>
      </c>
      <c r="AL3975" s="446">
        <f t="shared" si="892"/>
        <v>0</v>
      </c>
      <c r="AM3975" s="110">
        <f t="shared" si="893"/>
        <v>0</v>
      </c>
      <c r="AN3975" s="447">
        <f t="shared" si="880"/>
        <v>0</v>
      </c>
      <c r="AO3975" s="108"/>
      <c r="AP3975"/>
    </row>
    <row r="3976" spans="1:42" x14ac:dyDescent="0.25">
      <c r="A3976" s="61"/>
      <c r="B3976" s="608"/>
      <c r="C3976" s="162"/>
      <c r="D3976" s="882"/>
      <c r="E3976" s="89"/>
      <c r="F3976" s="280"/>
      <c r="G3976" s="280"/>
      <c r="H3976" s="280"/>
      <c r="I3976" s="720"/>
      <c r="J3976" s="816"/>
      <c r="K3976" s="131">
        <f t="shared" si="881"/>
        <v>0</v>
      </c>
      <c r="L3976" s="335">
        <f t="shared" si="889"/>
        <v>0</v>
      </c>
      <c r="M3976" s="446"/>
      <c r="N3976" s="446"/>
      <c r="O3976" s="446"/>
      <c r="P3976" s="446"/>
      <c r="Q3976" s="110">
        <f t="shared" si="887"/>
        <v>0</v>
      </c>
      <c r="R3976" s="111">
        <f t="shared" si="885"/>
        <v>0</v>
      </c>
      <c r="S3976" s="110"/>
      <c r="T3976" s="110"/>
      <c r="U3976" s="110">
        <f t="shared" si="888"/>
        <v>0</v>
      </c>
      <c r="V3976" s="111">
        <f t="shared" si="886"/>
        <v>0</v>
      </c>
      <c r="W3976" s="110"/>
      <c r="X3976" s="110"/>
      <c r="Y3976" s="110"/>
      <c r="Z3976" s="110"/>
      <c r="AA3976" s="110">
        <f t="shared" si="884"/>
        <v>0</v>
      </c>
      <c r="AB3976" s="111">
        <f t="shared" si="878"/>
        <v>0</v>
      </c>
      <c r="AC3976" s="110"/>
      <c r="AD3976" s="110"/>
      <c r="AE3976" s="110">
        <f t="shared" si="884"/>
        <v>0</v>
      </c>
      <c r="AF3976" s="111">
        <f t="shared" si="890"/>
        <v>0</v>
      </c>
      <c r="AG3976" s="110"/>
      <c r="AH3976" s="110"/>
      <c r="AI3976" s="110"/>
      <c r="AJ3976" s="110"/>
      <c r="AK3976" s="111">
        <f t="shared" si="891"/>
        <v>0</v>
      </c>
      <c r="AL3976" s="446">
        <f t="shared" si="892"/>
        <v>0</v>
      </c>
      <c r="AM3976" s="110">
        <f t="shared" si="893"/>
        <v>0</v>
      </c>
      <c r="AN3976" s="447">
        <f t="shared" si="880"/>
        <v>0</v>
      </c>
      <c r="AO3976"/>
      <c r="AP3976"/>
    </row>
    <row r="3977" spans="1:42" x14ac:dyDescent="0.25">
      <c r="A3977" s="376">
        <v>384</v>
      </c>
      <c r="B3977" s="588" t="s">
        <v>947</v>
      </c>
      <c r="C3977" s="376"/>
      <c r="D3977" s="940"/>
      <c r="E3977" s="377"/>
      <c r="F3977" s="378"/>
      <c r="G3977" s="378"/>
      <c r="H3977" s="378"/>
      <c r="I3977" s="734"/>
      <c r="J3977" s="806"/>
      <c r="K3977" s="131">
        <f t="shared" si="881"/>
        <v>0</v>
      </c>
      <c r="L3977" s="335">
        <f t="shared" si="889"/>
        <v>0</v>
      </c>
      <c r="M3977" s="419"/>
      <c r="N3977" s="419"/>
      <c r="O3977" s="419"/>
      <c r="P3977" s="419"/>
      <c r="Q3977" s="418">
        <f t="shared" si="887"/>
        <v>0</v>
      </c>
      <c r="R3977" s="379">
        <f t="shared" si="885"/>
        <v>0</v>
      </c>
      <c r="S3977" s="418"/>
      <c r="T3977" s="418"/>
      <c r="U3977" s="418">
        <f t="shared" si="888"/>
        <v>0</v>
      </c>
      <c r="V3977" s="379">
        <f t="shared" si="886"/>
        <v>0</v>
      </c>
      <c r="W3977" s="418"/>
      <c r="X3977" s="418"/>
      <c r="Y3977" s="418"/>
      <c r="Z3977" s="418"/>
      <c r="AA3977" s="418">
        <f t="shared" si="884"/>
        <v>0</v>
      </c>
      <c r="AB3977" s="379">
        <f t="shared" si="878"/>
        <v>0</v>
      </c>
      <c r="AC3977" s="418"/>
      <c r="AD3977" s="418"/>
      <c r="AE3977" s="418">
        <f t="shared" si="884"/>
        <v>0</v>
      </c>
      <c r="AF3977" s="379">
        <f t="shared" si="890"/>
        <v>0</v>
      </c>
      <c r="AG3977" s="418"/>
      <c r="AH3977" s="418"/>
      <c r="AI3977" s="418"/>
      <c r="AJ3977" s="418"/>
      <c r="AK3977" s="379">
        <f t="shared" si="891"/>
        <v>0</v>
      </c>
      <c r="AL3977" s="446">
        <f t="shared" si="892"/>
        <v>0</v>
      </c>
      <c r="AM3977" s="110">
        <f t="shared" si="893"/>
        <v>0</v>
      </c>
      <c r="AN3977" s="447">
        <f t="shared" si="880"/>
        <v>0</v>
      </c>
      <c r="AO3977" s="108"/>
      <c r="AP3977"/>
    </row>
    <row r="3978" spans="1:42" x14ac:dyDescent="0.25">
      <c r="A3978" s="310">
        <v>38401</v>
      </c>
      <c r="B3978" s="375" t="s">
        <v>948</v>
      </c>
      <c r="C3978" s="310"/>
      <c r="D3978" s="902"/>
      <c r="E3978" s="312"/>
      <c r="F3978" s="313"/>
      <c r="G3978" s="313"/>
      <c r="H3978" s="313"/>
      <c r="I3978" s="729"/>
      <c r="J3978" s="800"/>
      <c r="K3978" s="131">
        <f t="shared" si="881"/>
        <v>0</v>
      </c>
      <c r="L3978" s="335">
        <f t="shared" si="889"/>
        <v>0</v>
      </c>
      <c r="M3978" s="421"/>
      <c r="N3978" s="421"/>
      <c r="O3978" s="421"/>
      <c r="P3978" s="421"/>
      <c r="Q3978" s="387">
        <f t="shared" si="887"/>
        <v>0</v>
      </c>
      <c r="R3978" s="314">
        <f t="shared" si="885"/>
        <v>0</v>
      </c>
      <c r="S3978" s="387"/>
      <c r="T3978" s="387"/>
      <c r="U3978" s="387">
        <f t="shared" si="888"/>
        <v>0</v>
      </c>
      <c r="V3978" s="314">
        <f t="shared" si="886"/>
        <v>0</v>
      </c>
      <c r="W3978" s="387"/>
      <c r="X3978" s="387"/>
      <c r="Y3978" s="387"/>
      <c r="Z3978" s="387"/>
      <c r="AA3978" s="387">
        <f t="shared" si="884"/>
        <v>0</v>
      </c>
      <c r="AB3978" s="314">
        <f t="shared" si="878"/>
        <v>0</v>
      </c>
      <c r="AC3978" s="387"/>
      <c r="AD3978" s="387"/>
      <c r="AE3978" s="387">
        <f t="shared" si="884"/>
        <v>0</v>
      </c>
      <c r="AF3978" s="314">
        <f t="shared" si="890"/>
        <v>0</v>
      </c>
      <c r="AG3978" s="387"/>
      <c r="AH3978" s="387"/>
      <c r="AI3978" s="387"/>
      <c r="AJ3978" s="387"/>
      <c r="AK3978" s="314">
        <f t="shared" si="891"/>
        <v>0</v>
      </c>
      <c r="AL3978" s="446">
        <f t="shared" si="892"/>
        <v>0</v>
      </c>
      <c r="AM3978" s="110">
        <f t="shared" si="893"/>
        <v>0</v>
      </c>
      <c r="AN3978" s="447">
        <f t="shared" si="880"/>
        <v>0</v>
      </c>
      <c r="AO3978" s="108"/>
      <c r="AP3978"/>
    </row>
    <row r="3979" spans="1:42" x14ac:dyDescent="0.25">
      <c r="A3979" s="61"/>
      <c r="B3979" s="608"/>
      <c r="C3979" s="162"/>
      <c r="D3979" s="882"/>
      <c r="E3979" s="89"/>
      <c r="F3979" s="280"/>
      <c r="G3979" s="280"/>
      <c r="H3979" s="280"/>
      <c r="I3979" s="720"/>
      <c r="J3979" s="816"/>
      <c r="K3979" s="131">
        <f t="shared" si="881"/>
        <v>0</v>
      </c>
      <c r="L3979" s="335">
        <f t="shared" si="889"/>
        <v>0</v>
      </c>
      <c r="M3979" s="446"/>
      <c r="N3979" s="446"/>
      <c r="O3979" s="446"/>
      <c r="P3979" s="446"/>
      <c r="Q3979" s="110">
        <f t="shared" si="887"/>
        <v>0</v>
      </c>
      <c r="R3979" s="111">
        <f t="shared" si="885"/>
        <v>0</v>
      </c>
      <c r="S3979" s="110"/>
      <c r="T3979" s="110"/>
      <c r="U3979" s="110">
        <f t="shared" si="888"/>
        <v>0</v>
      </c>
      <c r="V3979" s="111">
        <f t="shared" si="886"/>
        <v>0</v>
      </c>
      <c r="W3979" s="110"/>
      <c r="X3979" s="110"/>
      <c r="Y3979" s="110"/>
      <c r="Z3979" s="110"/>
      <c r="AA3979" s="110">
        <f t="shared" si="884"/>
        <v>0</v>
      </c>
      <c r="AB3979" s="111">
        <f t="shared" si="878"/>
        <v>0</v>
      </c>
      <c r="AC3979" s="110"/>
      <c r="AD3979" s="110"/>
      <c r="AE3979" s="110">
        <f t="shared" si="884"/>
        <v>0</v>
      </c>
      <c r="AF3979" s="111">
        <f t="shared" si="890"/>
        <v>0</v>
      </c>
      <c r="AG3979" s="110"/>
      <c r="AH3979" s="110"/>
      <c r="AI3979" s="110"/>
      <c r="AJ3979" s="110"/>
      <c r="AK3979" s="111">
        <f t="shared" si="891"/>
        <v>0</v>
      </c>
      <c r="AL3979" s="446">
        <f t="shared" si="892"/>
        <v>0</v>
      </c>
      <c r="AM3979" s="110">
        <f t="shared" si="893"/>
        <v>0</v>
      </c>
      <c r="AN3979" s="447">
        <f t="shared" si="880"/>
        <v>0</v>
      </c>
      <c r="AO3979"/>
      <c r="AP3979"/>
    </row>
    <row r="3980" spans="1:42" x14ac:dyDescent="0.25">
      <c r="A3980" s="376">
        <v>385</v>
      </c>
      <c r="B3980" s="588" t="s">
        <v>949</v>
      </c>
      <c r="C3980" s="376"/>
      <c r="D3980" s="940"/>
      <c r="E3980" s="377"/>
      <c r="F3980" s="378"/>
      <c r="G3980" s="378"/>
      <c r="H3980" s="378"/>
      <c r="I3980" s="734"/>
      <c r="J3980" s="806"/>
      <c r="K3980" s="131">
        <f t="shared" si="881"/>
        <v>0</v>
      </c>
      <c r="L3980" s="335">
        <f t="shared" si="889"/>
        <v>0</v>
      </c>
      <c r="M3980" s="419"/>
      <c r="N3980" s="419"/>
      <c r="O3980" s="419"/>
      <c r="P3980" s="419"/>
      <c r="Q3980" s="418">
        <f t="shared" si="887"/>
        <v>0</v>
      </c>
      <c r="R3980" s="379">
        <f t="shared" si="885"/>
        <v>0</v>
      </c>
      <c r="S3980" s="418"/>
      <c r="T3980" s="418"/>
      <c r="U3980" s="418">
        <f t="shared" si="888"/>
        <v>0</v>
      </c>
      <c r="V3980" s="379">
        <f t="shared" si="886"/>
        <v>0</v>
      </c>
      <c r="W3980" s="418"/>
      <c r="X3980" s="418"/>
      <c r="Y3980" s="418"/>
      <c r="Z3980" s="418"/>
      <c r="AA3980" s="418">
        <f t="shared" si="884"/>
        <v>0</v>
      </c>
      <c r="AB3980" s="379">
        <f t="shared" si="878"/>
        <v>0</v>
      </c>
      <c r="AC3980" s="418"/>
      <c r="AD3980" s="418"/>
      <c r="AE3980" s="418">
        <f t="shared" si="884"/>
        <v>0</v>
      </c>
      <c r="AF3980" s="379">
        <f t="shared" si="890"/>
        <v>0</v>
      </c>
      <c r="AG3980" s="418"/>
      <c r="AH3980" s="418"/>
      <c r="AI3980" s="418"/>
      <c r="AJ3980" s="418"/>
      <c r="AK3980" s="379">
        <f t="shared" si="891"/>
        <v>0</v>
      </c>
      <c r="AL3980" s="446">
        <f t="shared" si="892"/>
        <v>0</v>
      </c>
      <c r="AM3980" s="110">
        <f t="shared" si="893"/>
        <v>0</v>
      </c>
      <c r="AN3980" s="447">
        <f t="shared" si="880"/>
        <v>0</v>
      </c>
      <c r="AO3980" s="108"/>
      <c r="AP3980"/>
    </row>
    <row r="3981" spans="1:42" x14ac:dyDescent="0.25">
      <c r="A3981" s="310">
        <v>38501</v>
      </c>
      <c r="B3981" s="375" t="s">
        <v>949</v>
      </c>
      <c r="C3981" s="310"/>
      <c r="D3981" s="902"/>
      <c r="E3981" s="312"/>
      <c r="F3981" s="313"/>
      <c r="G3981" s="313"/>
      <c r="H3981" s="313"/>
      <c r="I3981" s="729"/>
      <c r="J3981" s="800"/>
      <c r="K3981" s="131">
        <f t="shared" si="881"/>
        <v>0</v>
      </c>
      <c r="L3981" s="335">
        <f t="shared" si="889"/>
        <v>0</v>
      </c>
      <c r="M3981" s="421"/>
      <c r="N3981" s="421"/>
      <c r="O3981" s="421"/>
      <c r="P3981" s="421"/>
      <c r="Q3981" s="387">
        <f t="shared" si="887"/>
        <v>0</v>
      </c>
      <c r="R3981" s="314">
        <f t="shared" si="885"/>
        <v>0</v>
      </c>
      <c r="S3981" s="387"/>
      <c r="T3981" s="387"/>
      <c r="U3981" s="387">
        <f t="shared" si="888"/>
        <v>0</v>
      </c>
      <c r="V3981" s="314">
        <f t="shared" si="886"/>
        <v>0</v>
      </c>
      <c r="W3981" s="387"/>
      <c r="X3981" s="387"/>
      <c r="Y3981" s="387"/>
      <c r="Z3981" s="387"/>
      <c r="AA3981" s="387">
        <f t="shared" si="884"/>
        <v>0</v>
      </c>
      <c r="AB3981" s="314">
        <f t="shared" si="878"/>
        <v>0</v>
      </c>
      <c r="AC3981" s="387"/>
      <c r="AD3981" s="387"/>
      <c r="AE3981" s="387">
        <f t="shared" si="884"/>
        <v>0</v>
      </c>
      <c r="AF3981" s="314">
        <f t="shared" si="890"/>
        <v>0</v>
      </c>
      <c r="AG3981" s="387"/>
      <c r="AH3981" s="387"/>
      <c r="AI3981" s="387"/>
      <c r="AJ3981" s="387"/>
      <c r="AK3981" s="314">
        <f t="shared" si="891"/>
        <v>0</v>
      </c>
      <c r="AL3981" s="446">
        <f t="shared" si="892"/>
        <v>0</v>
      </c>
      <c r="AM3981" s="110">
        <f t="shared" si="893"/>
        <v>0</v>
      </c>
      <c r="AN3981" s="447">
        <f t="shared" si="880"/>
        <v>0</v>
      </c>
      <c r="AO3981" s="108"/>
      <c r="AP3981"/>
    </row>
    <row r="3982" spans="1:42" x14ac:dyDescent="0.25">
      <c r="A3982" s="61"/>
      <c r="B3982" s="608"/>
      <c r="C3982" s="162"/>
      <c r="D3982" s="882"/>
      <c r="E3982" s="89"/>
      <c r="F3982" s="280"/>
      <c r="G3982" s="280"/>
      <c r="H3982" s="280"/>
      <c r="I3982" s="720"/>
      <c r="J3982" s="816"/>
      <c r="K3982" s="131">
        <f t="shared" si="881"/>
        <v>0</v>
      </c>
      <c r="L3982" s="335">
        <f t="shared" si="889"/>
        <v>0</v>
      </c>
      <c r="M3982" s="446"/>
      <c r="N3982" s="446"/>
      <c r="O3982" s="446"/>
      <c r="P3982" s="446"/>
      <c r="Q3982" s="110">
        <f t="shared" si="887"/>
        <v>0</v>
      </c>
      <c r="R3982" s="111">
        <f t="shared" si="885"/>
        <v>0</v>
      </c>
      <c r="S3982" s="110"/>
      <c r="T3982" s="110"/>
      <c r="U3982" s="110">
        <f t="shared" si="888"/>
        <v>0</v>
      </c>
      <c r="V3982" s="111">
        <f t="shared" si="886"/>
        <v>0</v>
      </c>
      <c r="W3982" s="110"/>
      <c r="X3982" s="110"/>
      <c r="Y3982" s="110"/>
      <c r="Z3982" s="110"/>
      <c r="AA3982" s="110">
        <f t="shared" si="884"/>
        <v>0</v>
      </c>
      <c r="AB3982" s="111">
        <f t="shared" si="878"/>
        <v>0</v>
      </c>
      <c r="AC3982" s="110"/>
      <c r="AD3982" s="110"/>
      <c r="AE3982" s="110">
        <f t="shared" si="884"/>
        <v>0</v>
      </c>
      <c r="AF3982" s="111">
        <f t="shared" si="890"/>
        <v>0</v>
      </c>
      <c r="AG3982" s="110"/>
      <c r="AH3982" s="110"/>
      <c r="AI3982" s="110"/>
      <c r="AJ3982" s="110"/>
      <c r="AK3982" s="111">
        <f t="shared" si="891"/>
        <v>0</v>
      </c>
      <c r="AL3982" s="446">
        <f t="shared" si="892"/>
        <v>0</v>
      </c>
      <c r="AM3982" s="110">
        <f t="shared" si="893"/>
        <v>0</v>
      </c>
      <c r="AN3982" s="447">
        <f t="shared" si="880"/>
        <v>0</v>
      </c>
      <c r="AO3982"/>
      <c r="AP3982"/>
    </row>
    <row r="3983" spans="1:42" x14ac:dyDescent="0.25">
      <c r="A3983" s="299">
        <v>3900</v>
      </c>
      <c r="B3983" s="469" t="s">
        <v>950</v>
      </c>
      <c r="C3983" s="299"/>
      <c r="D3983" s="909"/>
      <c r="E3983" s="301"/>
      <c r="F3983" s="302"/>
      <c r="G3983" s="302"/>
      <c r="H3983" s="302"/>
      <c r="I3983" s="715"/>
      <c r="J3983" s="751"/>
      <c r="K3983" s="131">
        <f t="shared" si="881"/>
        <v>0</v>
      </c>
      <c r="L3983" s="335">
        <f t="shared" si="889"/>
        <v>0</v>
      </c>
      <c r="M3983" s="453"/>
      <c r="N3983" s="453"/>
      <c r="O3983" s="453"/>
      <c r="P3983" s="453"/>
      <c r="Q3983" s="385">
        <f t="shared" si="887"/>
        <v>0</v>
      </c>
      <c r="R3983" s="303">
        <f t="shared" si="885"/>
        <v>0</v>
      </c>
      <c r="S3983" s="385"/>
      <c r="T3983" s="385"/>
      <c r="U3983" s="385">
        <f t="shared" si="888"/>
        <v>0</v>
      </c>
      <c r="V3983" s="303">
        <f t="shared" si="886"/>
        <v>0</v>
      </c>
      <c r="W3983" s="385"/>
      <c r="X3983" s="385"/>
      <c r="Y3983" s="385"/>
      <c r="Z3983" s="385"/>
      <c r="AA3983" s="385">
        <f t="shared" si="884"/>
        <v>0</v>
      </c>
      <c r="AB3983" s="303">
        <f t="shared" si="878"/>
        <v>0</v>
      </c>
      <c r="AC3983" s="385"/>
      <c r="AD3983" s="385"/>
      <c r="AE3983" s="385">
        <f t="shared" si="884"/>
        <v>0</v>
      </c>
      <c r="AF3983" s="303">
        <f t="shared" si="890"/>
        <v>0</v>
      </c>
      <c r="AG3983" s="385"/>
      <c r="AH3983" s="385"/>
      <c r="AI3983" s="385"/>
      <c r="AJ3983" s="385"/>
      <c r="AK3983" s="303">
        <f t="shared" si="891"/>
        <v>0</v>
      </c>
      <c r="AL3983" s="453">
        <f t="shared" si="892"/>
        <v>0</v>
      </c>
      <c r="AM3983" s="385">
        <f t="shared" si="893"/>
        <v>0</v>
      </c>
      <c r="AN3983" s="454">
        <f t="shared" si="880"/>
        <v>0</v>
      </c>
      <c r="AO3983" s="304"/>
      <c r="AP3983"/>
    </row>
    <row r="3984" spans="1:42" x14ac:dyDescent="0.25">
      <c r="A3984" s="376">
        <v>391</v>
      </c>
      <c r="B3984" s="588" t="s">
        <v>951</v>
      </c>
      <c r="C3984" s="376"/>
      <c r="D3984" s="940"/>
      <c r="E3984" s="377"/>
      <c r="F3984" s="378"/>
      <c r="G3984" s="378"/>
      <c r="H3984" s="378"/>
      <c r="I3984" s="734"/>
      <c r="J3984" s="806"/>
      <c r="K3984" s="131">
        <f t="shared" si="881"/>
        <v>0</v>
      </c>
      <c r="L3984" s="335">
        <f t="shared" si="889"/>
        <v>0</v>
      </c>
      <c r="M3984" s="419"/>
      <c r="N3984" s="419"/>
      <c r="O3984" s="419"/>
      <c r="P3984" s="419"/>
      <c r="Q3984" s="418">
        <f t="shared" si="887"/>
        <v>0</v>
      </c>
      <c r="R3984" s="379">
        <f t="shared" si="885"/>
        <v>0</v>
      </c>
      <c r="S3984" s="418"/>
      <c r="T3984" s="418"/>
      <c r="U3984" s="418">
        <f t="shared" si="888"/>
        <v>0</v>
      </c>
      <c r="V3984" s="379">
        <f t="shared" si="886"/>
        <v>0</v>
      </c>
      <c r="W3984" s="418"/>
      <c r="X3984" s="418"/>
      <c r="Y3984" s="418"/>
      <c r="Z3984" s="418"/>
      <c r="AA3984" s="418">
        <f t="shared" si="884"/>
        <v>0</v>
      </c>
      <c r="AB3984" s="379">
        <f t="shared" ref="AB3984:AB4047" si="895">+J3984/4</f>
        <v>0</v>
      </c>
      <c r="AC3984" s="418"/>
      <c r="AD3984" s="418"/>
      <c r="AE3984" s="418">
        <f t="shared" si="884"/>
        <v>0</v>
      </c>
      <c r="AF3984" s="379">
        <f t="shared" si="890"/>
        <v>0</v>
      </c>
      <c r="AG3984" s="418"/>
      <c r="AH3984" s="418"/>
      <c r="AI3984" s="418"/>
      <c r="AJ3984" s="418"/>
      <c r="AK3984" s="379">
        <f t="shared" si="891"/>
        <v>0</v>
      </c>
      <c r="AL3984" s="446">
        <f t="shared" si="892"/>
        <v>0</v>
      </c>
      <c r="AM3984" s="110">
        <f t="shared" si="893"/>
        <v>0</v>
      </c>
      <c r="AN3984" s="447">
        <f t="shared" si="880"/>
        <v>0</v>
      </c>
      <c r="AO3984" s="108"/>
      <c r="AP3984"/>
    </row>
    <row r="3985" spans="1:42" x14ac:dyDescent="0.25">
      <c r="A3985" s="310">
        <v>39101</v>
      </c>
      <c r="B3985" s="375" t="s">
        <v>951</v>
      </c>
      <c r="C3985" s="310"/>
      <c r="D3985" s="902"/>
      <c r="E3985" s="312"/>
      <c r="F3985" s="313"/>
      <c r="G3985" s="313"/>
      <c r="H3985" s="313"/>
      <c r="I3985" s="729"/>
      <c r="J3985" s="800"/>
      <c r="K3985" s="131">
        <f t="shared" si="881"/>
        <v>0</v>
      </c>
      <c r="L3985" s="335">
        <f t="shared" si="889"/>
        <v>0</v>
      </c>
      <c r="M3985" s="421"/>
      <c r="N3985" s="421"/>
      <c r="O3985" s="421"/>
      <c r="P3985" s="421"/>
      <c r="Q3985" s="387">
        <f t="shared" si="887"/>
        <v>0</v>
      </c>
      <c r="R3985" s="314">
        <f t="shared" si="885"/>
        <v>0</v>
      </c>
      <c r="S3985" s="387"/>
      <c r="T3985" s="387"/>
      <c r="U3985" s="387">
        <f t="shared" si="888"/>
        <v>0</v>
      </c>
      <c r="V3985" s="314">
        <f t="shared" si="886"/>
        <v>0</v>
      </c>
      <c r="W3985" s="387"/>
      <c r="X3985" s="387"/>
      <c r="Y3985" s="387"/>
      <c r="Z3985" s="387"/>
      <c r="AA3985" s="387">
        <f t="shared" si="884"/>
        <v>0</v>
      </c>
      <c r="AB3985" s="314">
        <f t="shared" si="895"/>
        <v>0</v>
      </c>
      <c r="AC3985" s="387"/>
      <c r="AD3985" s="387"/>
      <c r="AE3985" s="387">
        <f t="shared" si="884"/>
        <v>0</v>
      </c>
      <c r="AF3985" s="314">
        <f t="shared" si="890"/>
        <v>0</v>
      </c>
      <c r="AG3985" s="387"/>
      <c r="AH3985" s="387"/>
      <c r="AI3985" s="387"/>
      <c r="AJ3985" s="387"/>
      <c r="AK3985" s="314">
        <f t="shared" si="891"/>
        <v>0</v>
      </c>
      <c r="AL3985" s="446">
        <f t="shared" si="892"/>
        <v>0</v>
      </c>
      <c r="AM3985" s="110">
        <f t="shared" si="893"/>
        <v>0</v>
      </c>
      <c r="AN3985" s="447">
        <f t="shared" si="880"/>
        <v>0</v>
      </c>
      <c r="AO3985" s="108"/>
      <c r="AP3985"/>
    </row>
    <row r="3986" spans="1:42" x14ac:dyDescent="0.25">
      <c r="A3986" s="61"/>
      <c r="B3986" s="608"/>
      <c r="C3986" s="162"/>
      <c r="D3986" s="882"/>
      <c r="E3986" s="89"/>
      <c r="F3986" s="280"/>
      <c r="G3986" s="280"/>
      <c r="H3986" s="280"/>
      <c r="I3986" s="720"/>
      <c r="J3986" s="816"/>
      <c r="K3986" s="131">
        <f t="shared" si="881"/>
        <v>0</v>
      </c>
      <c r="L3986" s="335">
        <f t="shared" si="889"/>
        <v>0</v>
      </c>
      <c r="M3986" s="446"/>
      <c r="N3986" s="446"/>
      <c r="O3986" s="446"/>
      <c r="P3986" s="446"/>
      <c r="Q3986" s="110">
        <f t="shared" si="887"/>
        <v>0</v>
      </c>
      <c r="R3986" s="111">
        <f t="shared" si="885"/>
        <v>0</v>
      </c>
      <c r="S3986" s="110"/>
      <c r="T3986" s="110"/>
      <c r="U3986" s="110">
        <f t="shared" si="888"/>
        <v>0</v>
      </c>
      <c r="V3986" s="111">
        <f t="shared" si="886"/>
        <v>0</v>
      </c>
      <c r="W3986" s="110"/>
      <c r="X3986" s="110"/>
      <c r="Y3986" s="110"/>
      <c r="Z3986" s="110"/>
      <c r="AA3986" s="110">
        <f t="shared" si="884"/>
        <v>0</v>
      </c>
      <c r="AB3986" s="111">
        <f t="shared" si="895"/>
        <v>0</v>
      </c>
      <c r="AC3986" s="110"/>
      <c r="AD3986" s="110"/>
      <c r="AE3986" s="110">
        <f t="shared" si="884"/>
        <v>0</v>
      </c>
      <c r="AF3986" s="111">
        <f t="shared" si="890"/>
        <v>0</v>
      </c>
      <c r="AG3986" s="110"/>
      <c r="AH3986" s="110"/>
      <c r="AI3986" s="110"/>
      <c r="AJ3986" s="110"/>
      <c r="AK3986" s="111">
        <f t="shared" si="891"/>
        <v>0</v>
      </c>
      <c r="AL3986" s="446">
        <f t="shared" si="892"/>
        <v>0</v>
      </c>
      <c r="AM3986" s="110">
        <f t="shared" si="893"/>
        <v>0</v>
      </c>
      <c r="AN3986" s="447">
        <f t="shared" si="880"/>
        <v>0</v>
      </c>
      <c r="AO3986"/>
      <c r="AP3986"/>
    </row>
    <row r="3987" spans="1:42" x14ac:dyDescent="0.25">
      <c r="A3987" s="376">
        <v>392</v>
      </c>
      <c r="B3987" s="588" t="s">
        <v>952</v>
      </c>
      <c r="C3987" s="376"/>
      <c r="D3987" s="940"/>
      <c r="E3987" s="377"/>
      <c r="F3987" s="378"/>
      <c r="G3987" s="378"/>
      <c r="H3987" s="378"/>
      <c r="I3987" s="734"/>
      <c r="J3987" s="806"/>
      <c r="K3987" s="131">
        <f t="shared" si="881"/>
        <v>0</v>
      </c>
      <c r="L3987" s="335">
        <f t="shared" si="889"/>
        <v>0</v>
      </c>
      <c r="M3987" s="419"/>
      <c r="N3987" s="419"/>
      <c r="O3987" s="419"/>
      <c r="P3987" s="419"/>
      <c r="Q3987" s="418">
        <f t="shared" si="887"/>
        <v>0</v>
      </c>
      <c r="R3987" s="379">
        <f t="shared" si="885"/>
        <v>0</v>
      </c>
      <c r="S3987" s="418"/>
      <c r="T3987" s="418"/>
      <c r="U3987" s="418">
        <f t="shared" si="888"/>
        <v>0</v>
      </c>
      <c r="V3987" s="379">
        <f t="shared" si="886"/>
        <v>0</v>
      </c>
      <c r="W3987" s="418"/>
      <c r="X3987" s="418"/>
      <c r="Y3987" s="418"/>
      <c r="Z3987" s="418"/>
      <c r="AA3987" s="418">
        <f t="shared" si="884"/>
        <v>0</v>
      </c>
      <c r="AB3987" s="379">
        <f t="shared" si="895"/>
        <v>0</v>
      </c>
      <c r="AC3987" s="418"/>
      <c r="AD3987" s="418"/>
      <c r="AE3987" s="418">
        <f t="shared" si="884"/>
        <v>0</v>
      </c>
      <c r="AF3987" s="379">
        <f t="shared" si="890"/>
        <v>0</v>
      </c>
      <c r="AG3987" s="418"/>
      <c r="AH3987" s="418"/>
      <c r="AI3987" s="418"/>
      <c r="AJ3987" s="418"/>
      <c r="AK3987" s="379">
        <f t="shared" si="891"/>
        <v>0</v>
      </c>
      <c r="AL3987" s="446">
        <f t="shared" si="892"/>
        <v>0</v>
      </c>
      <c r="AM3987" s="110">
        <f t="shared" si="893"/>
        <v>0</v>
      </c>
      <c r="AN3987" s="447">
        <f t="shared" si="880"/>
        <v>0</v>
      </c>
      <c r="AO3987" s="108"/>
      <c r="AP3987"/>
    </row>
    <row r="3988" spans="1:42" x14ac:dyDescent="0.25">
      <c r="A3988" s="310">
        <v>39201</v>
      </c>
      <c r="B3988" s="375" t="s">
        <v>953</v>
      </c>
      <c r="C3988" s="310"/>
      <c r="D3988" s="902"/>
      <c r="E3988" s="312"/>
      <c r="F3988" s="313"/>
      <c r="G3988" s="313"/>
      <c r="H3988" s="313"/>
      <c r="I3988" s="729"/>
      <c r="J3988" s="800"/>
      <c r="K3988" s="131">
        <f t="shared" si="881"/>
        <v>0</v>
      </c>
      <c r="L3988" s="335">
        <f t="shared" si="889"/>
        <v>0</v>
      </c>
      <c r="M3988" s="421"/>
      <c r="N3988" s="421"/>
      <c r="O3988" s="421"/>
      <c r="P3988" s="421"/>
      <c r="Q3988" s="387">
        <f t="shared" si="887"/>
        <v>0</v>
      </c>
      <c r="R3988" s="314">
        <f t="shared" si="885"/>
        <v>0</v>
      </c>
      <c r="S3988" s="387"/>
      <c r="T3988" s="387"/>
      <c r="U3988" s="387">
        <f t="shared" si="888"/>
        <v>0</v>
      </c>
      <c r="V3988" s="314">
        <f t="shared" si="886"/>
        <v>0</v>
      </c>
      <c r="W3988" s="387"/>
      <c r="X3988" s="387"/>
      <c r="Y3988" s="387"/>
      <c r="Z3988" s="387"/>
      <c r="AA3988" s="387">
        <f t="shared" si="884"/>
        <v>0</v>
      </c>
      <c r="AB3988" s="314">
        <f t="shared" si="895"/>
        <v>0</v>
      </c>
      <c r="AC3988" s="387"/>
      <c r="AD3988" s="387"/>
      <c r="AE3988" s="387">
        <f t="shared" si="884"/>
        <v>0</v>
      </c>
      <c r="AF3988" s="314">
        <f t="shared" si="890"/>
        <v>0</v>
      </c>
      <c r="AG3988" s="387"/>
      <c r="AH3988" s="387"/>
      <c r="AI3988" s="387"/>
      <c r="AJ3988" s="387"/>
      <c r="AK3988" s="314">
        <f t="shared" si="891"/>
        <v>0</v>
      </c>
      <c r="AL3988" s="446">
        <f t="shared" si="892"/>
        <v>0</v>
      </c>
      <c r="AM3988" s="110">
        <f t="shared" si="893"/>
        <v>0</v>
      </c>
      <c r="AN3988" s="447">
        <f t="shared" si="880"/>
        <v>0</v>
      </c>
      <c r="AO3988" s="108"/>
      <c r="AP3988"/>
    </row>
    <row r="3989" spans="1:42" x14ac:dyDescent="0.25">
      <c r="A3989" s="61"/>
      <c r="B3989" s="608"/>
      <c r="C3989" s="162"/>
      <c r="D3989" s="882"/>
      <c r="E3989" s="89"/>
      <c r="F3989" s="280"/>
      <c r="G3989" s="280"/>
      <c r="H3989" s="280"/>
      <c r="I3989" s="720"/>
      <c r="J3989" s="816"/>
      <c r="K3989" s="131">
        <f t="shared" si="881"/>
        <v>0</v>
      </c>
      <c r="L3989" s="335">
        <f t="shared" si="889"/>
        <v>0</v>
      </c>
      <c r="M3989" s="446"/>
      <c r="N3989" s="446"/>
      <c r="O3989" s="446"/>
      <c r="P3989" s="446"/>
      <c r="Q3989" s="110">
        <f t="shared" si="887"/>
        <v>0</v>
      </c>
      <c r="R3989" s="111">
        <f t="shared" si="885"/>
        <v>0</v>
      </c>
      <c r="S3989" s="110"/>
      <c r="T3989" s="110"/>
      <c r="U3989" s="110">
        <f t="shared" si="888"/>
        <v>0</v>
      </c>
      <c r="V3989" s="111">
        <f t="shared" si="886"/>
        <v>0</v>
      </c>
      <c r="W3989" s="110"/>
      <c r="X3989" s="110"/>
      <c r="Y3989" s="110"/>
      <c r="Z3989" s="110"/>
      <c r="AA3989" s="110">
        <f t="shared" si="884"/>
        <v>0</v>
      </c>
      <c r="AB3989" s="111">
        <f t="shared" si="895"/>
        <v>0</v>
      </c>
      <c r="AC3989" s="110"/>
      <c r="AD3989" s="110"/>
      <c r="AE3989" s="110">
        <f t="shared" si="884"/>
        <v>0</v>
      </c>
      <c r="AF3989" s="111">
        <f t="shared" si="890"/>
        <v>0</v>
      </c>
      <c r="AG3989" s="110"/>
      <c r="AH3989" s="110"/>
      <c r="AI3989" s="110"/>
      <c r="AJ3989" s="110"/>
      <c r="AK3989" s="111">
        <f t="shared" si="891"/>
        <v>0</v>
      </c>
      <c r="AL3989" s="446">
        <f t="shared" si="892"/>
        <v>0</v>
      </c>
      <c r="AM3989" s="110">
        <f t="shared" si="893"/>
        <v>0</v>
      </c>
      <c r="AN3989" s="447">
        <f t="shared" si="880"/>
        <v>0</v>
      </c>
      <c r="AO3989"/>
      <c r="AP3989"/>
    </row>
    <row r="3990" spans="1:42" x14ac:dyDescent="0.25">
      <c r="A3990" s="310">
        <v>39202</v>
      </c>
      <c r="B3990" s="375" t="s">
        <v>954</v>
      </c>
      <c r="C3990" s="310"/>
      <c r="D3990" s="902"/>
      <c r="E3990" s="312"/>
      <c r="F3990" s="313"/>
      <c r="G3990" s="313"/>
      <c r="H3990" s="313"/>
      <c r="I3990" s="729"/>
      <c r="J3990" s="800"/>
      <c r="K3990" s="131">
        <f t="shared" si="881"/>
        <v>0</v>
      </c>
      <c r="L3990" s="335">
        <f t="shared" si="889"/>
        <v>0</v>
      </c>
      <c r="M3990" s="421"/>
      <c r="N3990" s="421"/>
      <c r="O3990" s="421"/>
      <c r="P3990" s="421"/>
      <c r="Q3990" s="387">
        <f t="shared" si="887"/>
        <v>0</v>
      </c>
      <c r="R3990" s="314">
        <f t="shared" si="885"/>
        <v>0</v>
      </c>
      <c r="S3990" s="387"/>
      <c r="T3990" s="387"/>
      <c r="U3990" s="387">
        <f t="shared" si="888"/>
        <v>0</v>
      </c>
      <c r="V3990" s="314">
        <f t="shared" si="886"/>
        <v>0</v>
      </c>
      <c r="W3990" s="387"/>
      <c r="X3990" s="387"/>
      <c r="Y3990" s="387"/>
      <c r="Z3990" s="387"/>
      <c r="AA3990" s="387">
        <f t="shared" si="884"/>
        <v>0</v>
      </c>
      <c r="AB3990" s="314">
        <f t="shared" si="895"/>
        <v>0</v>
      </c>
      <c r="AC3990" s="387"/>
      <c r="AD3990" s="387"/>
      <c r="AE3990" s="387">
        <f t="shared" si="884"/>
        <v>0</v>
      </c>
      <c r="AF3990" s="314">
        <f t="shared" si="890"/>
        <v>0</v>
      </c>
      <c r="AG3990" s="387"/>
      <c r="AH3990" s="387"/>
      <c r="AI3990" s="387"/>
      <c r="AJ3990" s="387"/>
      <c r="AK3990" s="314">
        <f t="shared" si="891"/>
        <v>0</v>
      </c>
      <c r="AL3990" s="446">
        <f t="shared" si="892"/>
        <v>0</v>
      </c>
      <c r="AM3990" s="110">
        <f t="shared" si="893"/>
        <v>0</v>
      </c>
      <c r="AN3990" s="447">
        <f t="shared" si="880"/>
        <v>0</v>
      </c>
      <c r="AO3990" s="436">
        <f>SUM(J3991:J3992)</f>
        <v>484000</v>
      </c>
      <c r="AP3990" s="111"/>
    </row>
    <row r="3991" spans="1:42" ht="66" x14ac:dyDescent="0.25">
      <c r="A3991" s="9"/>
      <c r="B3991" s="59" t="s">
        <v>954</v>
      </c>
      <c r="C3991" s="1024"/>
      <c r="D3991" s="869">
        <f>10+12</f>
        <v>22</v>
      </c>
      <c r="E3991" s="1024" t="s">
        <v>1755</v>
      </c>
      <c r="F3991" s="273" t="s">
        <v>3446</v>
      </c>
      <c r="G3991" s="1040" t="s">
        <v>3463</v>
      </c>
      <c r="H3991" s="273" t="s">
        <v>3462</v>
      </c>
      <c r="I3991" s="720">
        <f>+J3991/D3991</f>
        <v>1545.4545454545455</v>
      </c>
      <c r="J3991" s="763">
        <f>10000+24000</f>
        <v>34000</v>
      </c>
      <c r="K3991" s="131">
        <f t="shared" si="881"/>
        <v>34000</v>
      </c>
      <c r="L3991" s="335">
        <f t="shared" si="889"/>
        <v>0</v>
      </c>
      <c r="M3991" s="446"/>
      <c r="N3991" s="446"/>
      <c r="O3991" s="446"/>
      <c r="P3991" s="446"/>
      <c r="Q3991" s="110">
        <v>6</v>
      </c>
      <c r="R3991" s="111">
        <f t="shared" si="885"/>
        <v>8500</v>
      </c>
      <c r="S3991" s="110"/>
      <c r="T3991" s="110"/>
      <c r="U3991" s="110">
        <v>6</v>
      </c>
      <c r="V3991" s="111">
        <f t="shared" si="886"/>
        <v>8500</v>
      </c>
      <c r="W3991" s="110"/>
      <c r="X3991" s="110"/>
      <c r="Y3991" s="110"/>
      <c r="Z3991" s="110"/>
      <c r="AA3991" s="110">
        <v>5</v>
      </c>
      <c r="AB3991" s="111">
        <f t="shared" si="895"/>
        <v>8500</v>
      </c>
      <c r="AC3991" s="110"/>
      <c r="AD3991" s="110"/>
      <c r="AE3991" s="110">
        <v>5</v>
      </c>
      <c r="AF3991" s="111">
        <f t="shared" si="890"/>
        <v>8500</v>
      </c>
      <c r="AG3991" s="110"/>
      <c r="AH3991" s="110"/>
      <c r="AI3991" s="110"/>
      <c r="AJ3991" s="110"/>
      <c r="AK3991" s="111">
        <f t="shared" si="891"/>
        <v>34000</v>
      </c>
      <c r="AL3991" s="446">
        <f t="shared" si="892"/>
        <v>0</v>
      </c>
      <c r="AM3991" s="110">
        <f t="shared" si="893"/>
        <v>22</v>
      </c>
      <c r="AN3991" s="447">
        <f t="shared" si="880"/>
        <v>0</v>
      </c>
      <c r="AO3991"/>
      <c r="AP3991"/>
    </row>
    <row r="3992" spans="1:42" ht="66" x14ac:dyDescent="0.25">
      <c r="A3992" s="60"/>
      <c r="B3992" s="37" t="s">
        <v>3386</v>
      </c>
      <c r="C3992" s="117"/>
      <c r="D3992" s="882">
        <v>1</v>
      </c>
      <c r="E3992" s="87" t="s">
        <v>1755</v>
      </c>
      <c r="F3992" s="273" t="s">
        <v>3446</v>
      </c>
      <c r="G3992" s="1040" t="s">
        <v>3463</v>
      </c>
      <c r="H3992" s="273" t="s">
        <v>3462</v>
      </c>
      <c r="I3992" s="720">
        <f>+J3992/D3992</f>
        <v>450000</v>
      </c>
      <c r="J3992" s="816">
        <v>450000</v>
      </c>
      <c r="K3992" s="131">
        <f t="shared" si="881"/>
        <v>450000</v>
      </c>
      <c r="L3992" s="335">
        <f t="shared" si="889"/>
        <v>0</v>
      </c>
      <c r="M3992" s="446"/>
      <c r="N3992" s="446"/>
      <c r="O3992" s="446"/>
      <c r="P3992" s="446"/>
      <c r="Q3992" s="110">
        <v>1</v>
      </c>
      <c r="R3992" s="111">
        <f t="shared" si="885"/>
        <v>112500</v>
      </c>
      <c r="S3992" s="110"/>
      <c r="T3992" s="110"/>
      <c r="U3992" s="110">
        <v>0</v>
      </c>
      <c r="V3992" s="111">
        <f t="shared" si="886"/>
        <v>112500</v>
      </c>
      <c r="W3992" s="110"/>
      <c r="X3992" s="110"/>
      <c r="Y3992" s="110"/>
      <c r="Z3992" s="110"/>
      <c r="AA3992" s="110">
        <v>0</v>
      </c>
      <c r="AB3992" s="111">
        <f t="shared" si="895"/>
        <v>112500</v>
      </c>
      <c r="AC3992" s="110"/>
      <c r="AD3992" s="110"/>
      <c r="AE3992" s="110">
        <v>0</v>
      </c>
      <c r="AF3992" s="111">
        <f t="shared" si="890"/>
        <v>112500</v>
      </c>
      <c r="AG3992" s="110"/>
      <c r="AH3992" s="110"/>
      <c r="AI3992" s="110"/>
      <c r="AJ3992" s="110"/>
      <c r="AK3992" s="111">
        <f t="shared" si="891"/>
        <v>450000</v>
      </c>
      <c r="AL3992" s="446">
        <f t="shared" si="892"/>
        <v>0</v>
      </c>
      <c r="AM3992" s="110">
        <f t="shared" si="893"/>
        <v>1</v>
      </c>
      <c r="AN3992" s="447">
        <f t="shared" si="880"/>
        <v>0</v>
      </c>
      <c r="AO3992"/>
      <c r="AP3992"/>
    </row>
    <row r="3993" spans="1:42" x14ac:dyDescent="0.25">
      <c r="A3993" s="376">
        <v>393</v>
      </c>
      <c r="B3993" s="588" t="s">
        <v>955</v>
      </c>
      <c r="C3993" s="376"/>
      <c r="D3993" s="940"/>
      <c r="E3993" s="377"/>
      <c r="F3993" s="378"/>
      <c r="G3993" s="378"/>
      <c r="H3993" s="378"/>
      <c r="I3993" s="734"/>
      <c r="J3993" s="806"/>
      <c r="K3993" s="131">
        <f t="shared" si="881"/>
        <v>0</v>
      </c>
      <c r="L3993" s="335">
        <f t="shared" si="889"/>
        <v>0</v>
      </c>
      <c r="M3993" s="419"/>
      <c r="N3993" s="419"/>
      <c r="O3993" s="419"/>
      <c r="P3993" s="419"/>
      <c r="Q3993" s="418">
        <f t="shared" si="887"/>
        <v>0</v>
      </c>
      <c r="R3993" s="379">
        <f t="shared" si="885"/>
        <v>0</v>
      </c>
      <c r="S3993" s="418"/>
      <c r="T3993" s="418"/>
      <c r="U3993" s="418">
        <f t="shared" si="888"/>
        <v>0</v>
      </c>
      <c r="V3993" s="379">
        <f t="shared" si="886"/>
        <v>0</v>
      </c>
      <c r="W3993" s="418"/>
      <c r="X3993" s="418"/>
      <c r="Y3993" s="418"/>
      <c r="Z3993" s="418"/>
      <c r="AA3993" s="418">
        <f t="shared" si="884"/>
        <v>0</v>
      </c>
      <c r="AB3993" s="379">
        <f t="shared" si="895"/>
        <v>0</v>
      </c>
      <c r="AC3993" s="418"/>
      <c r="AD3993" s="418"/>
      <c r="AE3993" s="418">
        <f t="shared" si="884"/>
        <v>0</v>
      </c>
      <c r="AF3993" s="379">
        <f t="shared" si="890"/>
        <v>0</v>
      </c>
      <c r="AG3993" s="418"/>
      <c r="AH3993" s="418"/>
      <c r="AI3993" s="418"/>
      <c r="AJ3993" s="418"/>
      <c r="AK3993" s="379">
        <f t="shared" si="891"/>
        <v>0</v>
      </c>
      <c r="AL3993" s="446">
        <f t="shared" si="892"/>
        <v>0</v>
      </c>
      <c r="AM3993" s="110">
        <f t="shared" si="893"/>
        <v>0</v>
      </c>
      <c r="AN3993" s="447">
        <f t="shared" si="880"/>
        <v>0</v>
      </c>
      <c r="AO3993" s="108"/>
      <c r="AP3993"/>
    </row>
    <row r="3994" spans="1:42" x14ac:dyDescent="0.25">
      <c r="A3994" s="310">
        <v>39301</v>
      </c>
      <c r="B3994" s="375" t="s">
        <v>955</v>
      </c>
      <c r="C3994" s="311"/>
      <c r="D3994" s="902"/>
      <c r="E3994" s="312"/>
      <c r="F3994" s="313"/>
      <c r="G3994" s="313"/>
      <c r="H3994" s="313"/>
      <c r="I3994" s="729"/>
      <c r="J3994" s="800"/>
      <c r="K3994" s="131">
        <f t="shared" si="881"/>
        <v>0</v>
      </c>
      <c r="L3994" s="335">
        <f t="shared" si="889"/>
        <v>0</v>
      </c>
      <c r="M3994" s="421"/>
      <c r="N3994" s="421"/>
      <c r="O3994" s="421"/>
      <c r="P3994" s="421"/>
      <c r="Q3994" s="387">
        <f t="shared" si="887"/>
        <v>0</v>
      </c>
      <c r="R3994" s="314">
        <f t="shared" si="885"/>
        <v>0</v>
      </c>
      <c r="S3994" s="387"/>
      <c r="T3994" s="387"/>
      <c r="U3994" s="387">
        <f t="shared" si="888"/>
        <v>0</v>
      </c>
      <c r="V3994" s="314">
        <f t="shared" si="886"/>
        <v>0</v>
      </c>
      <c r="W3994" s="387"/>
      <c r="X3994" s="387"/>
      <c r="Y3994" s="387"/>
      <c r="Z3994" s="387"/>
      <c r="AA3994" s="387">
        <f t="shared" si="884"/>
        <v>0</v>
      </c>
      <c r="AB3994" s="314">
        <f t="shared" si="895"/>
        <v>0</v>
      </c>
      <c r="AC3994" s="387"/>
      <c r="AD3994" s="387"/>
      <c r="AE3994" s="387">
        <f t="shared" si="884"/>
        <v>0</v>
      </c>
      <c r="AF3994" s="314">
        <f t="shared" si="890"/>
        <v>0</v>
      </c>
      <c r="AG3994" s="387"/>
      <c r="AH3994" s="387"/>
      <c r="AI3994" s="387"/>
      <c r="AJ3994" s="387"/>
      <c r="AK3994" s="314">
        <f t="shared" si="891"/>
        <v>0</v>
      </c>
      <c r="AL3994" s="446">
        <f t="shared" si="892"/>
        <v>0</v>
      </c>
      <c r="AM3994" s="110">
        <f t="shared" si="893"/>
        <v>0</v>
      </c>
      <c r="AN3994" s="447">
        <f t="shared" si="880"/>
        <v>0</v>
      </c>
      <c r="AO3994" s="108"/>
      <c r="AP3994"/>
    </row>
    <row r="3995" spans="1:42" x14ac:dyDescent="0.25">
      <c r="A3995" s="61"/>
      <c r="B3995" s="608"/>
      <c r="D3995" s="879"/>
      <c r="I3995" s="720"/>
      <c r="K3995" s="131">
        <f t="shared" si="881"/>
        <v>0</v>
      </c>
      <c r="L3995" s="335">
        <f t="shared" si="889"/>
        <v>0</v>
      </c>
      <c r="M3995" s="446"/>
      <c r="N3995" s="446"/>
      <c r="O3995" s="446"/>
      <c r="P3995" s="446"/>
      <c r="Q3995" s="110">
        <f t="shared" si="887"/>
        <v>0</v>
      </c>
      <c r="R3995" s="111">
        <f t="shared" si="885"/>
        <v>0</v>
      </c>
      <c r="S3995" s="110"/>
      <c r="T3995" s="110"/>
      <c r="U3995" s="110">
        <f t="shared" si="888"/>
        <v>0</v>
      </c>
      <c r="V3995" s="111">
        <f t="shared" si="886"/>
        <v>0</v>
      </c>
      <c r="W3995" s="110"/>
      <c r="X3995" s="110"/>
      <c r="Y3995" s="110"/>
      <c r="Z3995" s="110"/>
      <c r="AA3995" s="110">
        <f t="shared" si="884"/>
        <v>0</v>
      </c>
      <c r="AB3995" s="111">
        <f t="shared" si="895"/>
        <v>0</v>
      </c>
      <c r="AC3995" s="110"/>
      <c r="AD3995" s="110"/>
      <c r="AE3995" s="110">
        <f t="shared" si="884"/>
        <v>0</v>
      </c>
      <c r="AF3995" s="111">
        <f t="shared" si="890"/>
        <v>0</v>
      </c>
      <c r="AG3995" s="110"/>
      <c r="AH3995" s="110"/>
      <c r="AI3995" s="110"/>
      <c r="AJ3995" s="110"/>
      <c r="AK3995" s="111">
        <f t="shared" si="891"/>
        <v>0</v>
      </c>
      <c r="AL3995" s="446">
        <f t="shared" si="892"/>
        <v>0</v>
      </c>
      <c r="AM3995" s="110">
        <f t="shared" si="893"/>
        <v>0</v>
      </c>
      <c r="AN3995" s="447">
        <f t="shared" ref="AN3995:AN4058" si="896">+D3995-AM3995</f>
        <v>0</v>
      </c>
      <c r="AO3995"/>
      <c r="AP3995"/>
    </row>
    <row r="3996" spans="1:42" x14ac:dyDescent="0.25">
      <c r="A3996" s="376">
        <v>394</v>
      </c>
      <c r="B3996" s="588" t="s">
        <v>956</v>
      </c>
      <c r="C3996" s="376"/>
      <c r="D3996" s="940"/>
      <c r="E3996" s="377"/>
      <c r="F3996" s="378"/>
      <c r="G3996" s="378"/>
      <c r="H3996" s="378"/>
      <c r="I3996" s="734"/>
      <c r="J3996" s="806"/>
      <c r="K3996" s="131">
        <f t="shared" si="881"/>
        <v>0</v>
      </c>
      <c r="L3996" s="335">
        <f t="shared" si="889"/>
        <v>0</v>
      </c>
      <c r="M3996" s="419"/>
      <c r="N3996" s="419"/>
      <c r="O3996" s="419"/>
      <c r="P3996" s="419"/>
      <c r="Q3996" s="418">
        <f t="shared" si="887"/>
        <v>0</v>
      </c>
      <c r="R3996" s="379">
        <f t="shared" si="885"/>
        <v>0</v>
      </c>
      <c r="S3996" s="418"/>
      <c r="T3996" s="418"/>
      <c r="U3996" s="418">
        <f t="shared" si="888"/>
        <v>0</v>
      </c>
      <c r="V3996" s="379">
        <f t="shared" si="886"/>
        <v>0</v>
      </c>
      <c r="W3996" s="418"/>
      <c r="X3996" s="418"/>
      <c r="Y3996" s="418"/>
      <c r="Z3996" s="418"/>
      <c r="AA3996" s="418">
        <f t="shared" si="884"/>
        <v>0</v>
      </c>
      <c r="AB3996" s="379">
        <f t="shared" si="895"/>
        <v>0</v>
      </c>
      <c r="AC3996" s="418"/>
      <c r="AD3996" s="418"/>
      <c r="AE3996" s="418">
        <f t="shared" si="884"/>
        <v>0</v>
      </c>
      <c r="AF3996" s="379">
        <f t="shared" si="890"/>
        <v>0</v>
      </c>
      <c r="AG3996" s="418"/>
      <c r="AH3996" s="418"/>
      <c r="AI3996" s="418"/>
      <c r="AJ3996" s="418"/>
      <c r="AK3996" s="379">
        <f t="shared" si="891"/>
        <v>0</v>
      </c>
      <c r="AL3996" s="446">
        <f t="shared" si="892"/>
        <v>0</v>
      </c>
      <c r="AM3996" s="110">
        <f t="shared" si="893"/>
        <v>0</v>
      </c>
      <c r="AN3996" s="447">
        <f t="shared" si="896"/>
        <v>0</v>
      </c>
      <c r="AO3996" s="108"/>
      <c r="AP3996"/>
    </row>
    <row r="3997" spans="1:42" x14ac:dyDescent="0.25">
      <c r="A3997" s="310">
        <v>39401</v>
      </c>
      <c r="B3997" s="375" t="s">
        <v>957</v>
      </c>
      <c r="C3997" s="310"/>
      <c r="D3997" s="902"/>
      <c r="E3997" s="312"/>
      <c r="F3997" s="313"/>
      <c r="G3997" s="313"/>
      <c r="H3997" s="313"/>
      <c r="I3997" s="729"/>
      <c r="J3997" s="800"/>
      <c r="K3997" s="131">
        <f t="shared" ref="K3997:K4060" si="897">+D3997*I3997</f>
        <v>0</v>
      </c>
      <c r="L3997" s="335">
        <f t="shared" si="889"/>
        <v>0</v>
      </c>
      <c r="M3997" s="421"/>
      <c r="N3997" s="421"/>
      <c r="O3997" s="421"/>
      <c r="P3997" s="421"/>
      <c r="Q3997" s="387">
        <f t="shared" si="887"/>
        <v>0</v>
      </c>
      <c r="R3997" s="314">
        <f t="shared" si="885"/>
        <v>0</v>
      </c>
      <c r="S3997" s="387"/>
      <c r="T3997" s="387"/>
      <c r="U3997" s="387">
        <f t="shared" si="888"/>
        <v>0</v>
      </c>
      <c r="V3997" s="314">
        <f t="shared" si="886"/>
        <v>0</v>
      </c>
      <c r="W3997" s="387"/>
      <c r="X3997" s="387"/>
      <c r="Y3997" s="387"/>
      <c r="Z3997" s="387"/>
      <c r="AA3997" s="387">
        <f t="shared" si="884"/>
        <v>0</v>
      </c>
      <c r="AB3997" s="314">
        <f t="shared" si="895"/>
        <v>0</v>
      </c>
      <c r="AC3997" s="387"/>
      <c r="AD3997" s="387"/>
      <c r="AE3997" s="387">
        <f t="shared" si="884"/>
        <v>0</v>
      </c>
      <c r="AF3997" s="314">
        <f t="shared" si="890"/>
        <v>0</v>
      </c>
      <c r="AG3997" s="387"/>
      <c r="AH3997" s="387"/>
      <c r="AI3997" s="387"/>
      <c r="AJ3997" s="387"/>
      <c r="AK3997" s="314">
        <f t="shared" si="891"/>
        <v>0</v>
      </c>
      <c r="AL3997" s="446">
        <f t="shared" si="892"/>
        <v>0</v>
      </c>
      <c r="AM3997" s="110">
        <f t="shared" si="893"/>
        <v>0</v>
      </c>
      <c r="AN3997" s="447">
        <f t="shared" si="896"/>
        <v>0</v>
      </c>
      <c r="AO3997" s="108"/>
      <c r="AP3997"/>
    </row>
    <row r="3998" spans="1:42" x14ac:dyDescent="0.25">
      <c r="A3998" s="61"/>
      <c r="B3998" s="608"/>
      <c r="C3998" s="162"/>
      <c r="D3998" s="882"/>
      <c r="E3998" s="89"/>
      <c r="F3998" s="280"/>
      <c r="G3998" s="280"/>
      <c r="H3998" s="280"/>
      <c r="I3998" s="720"/>
      <c r="J3998" s="816"/>
      <c r="K3998" s="131">
        <f t="shared" si="897"/>
        <v>0</v>
      </c>
      <c r="L3998" s="335">
        <f t="shared" si="889"/>
        <v>0</v>
      </c>
      <c r="M3998" s="446"/>
      <c r="N3998" s="446"/>
      <c r="O3998" s="446"/>
      <c r="P3998" s="446"/>
      <c r="Q3998" s="110">
        <f t="shared" si="887"/>
        <v>0</v>
      </c>
      <c r="R3998" s="111">
        <f t="shared" si="885"/>
        <v>0</v>
      </c>
      <c r="S3998" s="110"/>
      <c r="T3998" s="110"/>
      <c r="U3998" s="110">
        <f t="shared" si="888"/>
        <v>0</v>
      </c>
      <c r="V3998" s="111">
        <f t="shared" si="886"/>
        <v>0</v>
      </c>
      <c r="W3998" s="110"/>
      <c r="X3998" s="110"/>
      <c r="Y3998" s="110"/>
      <c r="Z3998" s="110"/>
      <c r="AA3998" s="110">
        <f t="shared" si="884"/>
        <v>0</v>
      </c>
      <c r="AB3998" s="111">
        <f t="shared" si="895"/>
        <v>0</v>
      </c>
      <c r="AC3998" s="110"/>
      <c r="AD3998" s="110"/>
      <c r="AE3998" s="110">
        <f t="shared" si="884"/>
        <v>0</v>
      </c>
      <c r="AF3998" s="111">
        <f t="shared" si="890"/>
        <v>0</v>
      </c>
      <c r="AG3998" s="110"/>
      <c r="AH3998" s="110"/>
      <c r="AI3998" s="110"/>
      <c r="AJ3998" s="110"/>
      <c r="AK3998" s="111">
        <f t="shared" si="891"/>
        <v>0</v>
      </c>
      <c r="AL3998" s="446">
        <f t="shared" si="892"/>
        <v>0</v>
      </c>
      <c r="AM3998" s="110">
        <f t="shared" si="893"/>
        <v>0</v>
      </c>
      <c r="AN3998" s="447">
        <f t="shared" si="896"/>
        <v>0</v>
      </c>
      <c r="AO3998"/>
      <c r="AP3998"/>
    </row>
    <row r="3999" spans="1:42" x14ac:dyDescent="0.25">
      <c r="A3999" s="310">
        <v>39402</v>
      </c>
      <c r="B3999" s="375" t="s">
        <v>958</v>
      </c>
      <c r="C3999" s="310"/>
      <c r="D3999" s="902"/>
      <c r="E3999" s="312"/>
      <c r="F3999" s="313"/>
      <c r="G3999" s="313"/>
      <c r="H3999" s="313"/>
      <c r="I3999" s="729"/>
      <c r="J3999" s="800"/>
      <c r="K3999" s="131">
        <f t="shared" si="897"/>
        <v>0</v>
      </c>
      <c r="L3999" s="335">
        <f t="shared" si="889"/>
        <v>0</v>
      </c>
      <c r="M3999" s="421"/>
      <c r="N3999" s="421"/>
      <c r="O3999" s="421"/>
      <c r="P3999" s="421"/>
      <c r="Q3999" s="387">
        <f t="shared" si="887"/>
        <v>0</v>
      </c>
      <c r="R3999" s="314">
        <f t="shared" si="885"/>
        <v>0</v>
      </c>
      <c r="S3999" s="387"/>
      <c r="T3999" s="387"/>
      <c r="U3999" s="387">
        <f t="shared" si="888"/>
        <v>0</v>
      </c>
      <c r="V3999" s="314">
        <f t="shared" si="886"/>
        <v>0</v>
      </c>
      <c r="W3999" s="387"/>
      <c r="X3999" s="387"/>
      <c r="Y3999" s="387"/>
      <c r="Z3999" s="387"/>
      <c r="AA3999" s="387">
        <f t="shared" si="884"/>
        <v>0</v>
      </c>
      <c r="AB3999" s="314">
        <f t="shared" si="895"/>
        <v>0</v>
      </c>
      <c r="AC3999" s="387"/>
      <c r="AD3999" s="387"/>
      <c r="AE3999" s="387">
        <f t="shared" si="884"/>
        <v>0</v>
      </c>
      <c r="AF3999" s="314">
        <f t="shared" si="890"/>
        <v>0</v>
      </c>
      <c r="AG3999" s="387"/>
      <c r="AH3999" s="387"/>
      <c r="AI3999" s="387"/>
      <c r="AJ3999" s="387"/>
      <c r="AK3999" s="314">
        <f t="shared" si="891"/>
        <v>0</v>
      </c>
      <c r="AL3999" s="446">
        <f t="shared" si="892"/>
        <v>0</v>
      </c>
      <c r="AM3999" s="110">
        <f t="shared" si="893"/>
        <v>0</v>
      </c>
      <c r="AN3999" s="447">
        <f t="shared" si="896"/>
        <v>0</v>
      </c>
      <c r="AO3999" s="108"/>
      <c r="AP3999"/>
    </row>
    <row r="4000" spans="1:42" x14ac:dyDescent="0.25">
      <c r="A4000" s="61"/>
      <c r="B4000" s="608"/>
      <c r="C4000" s="162"/>
      <c r="D4000" s="882"/>
      <c r="E4000" s="89"/>
      <c r="F4000" s="280"/>
      <c r="G4000" s="280"/>
      <c r="H4000" s="280"/>
      <c r="I4000" s="720"/>
      <c r="J4000" s="816"/>
      <c r="K4000" s="131">
        <f t="shared" si="897"/>
        <v>0</v>
      </c>
      <c r="L4000" s="335">
        <f t="shared" si="889"/>
        <v>0</v>
      </c>
      <c r="M4000" s="446"/>
      <c r="N4000" s="446"/>
      <c r="O4000" s="446"/>
      <c r="P4000" s="446"/>
      <c r="Q4000" s="110">
        <f t="shared" si="887"/>
        <v>0</v>
      </c>
      <c r="R4000" s="111">
        <f t="shared" si="885"/>
        <v>0</v>
      </c>
      <c r="S4000" s="110"/>
      <c r="T4000" s="110"/>
      <c r="U4000" s="110">
        <f t="shared" si="888"/>
        <v>0</v>
      </c>
      <c r="V4000" s="111">
        <f t="shared" si="886"/>
        <v>0</v>
      </c>
      <c r="W4000" s="110"/>
      <c r="X4000" s="110"/>
      <c r="Y4000" s="110"/>
      <c r="Z4000" s="110"/>
      <c r="AA4000" s="110">
        <f t="shared" si="884"/>
        <v>0</v>
      </c>
      <c r="AB4000" s="111">
        <f t="shared" si="895"/>
        <v>0</v>
      </c>
      <c r="AC4000" s="110"/>
      <c r="AD4000" s="110"/>
      <c r="AE4000" s="110">
        <f t="shared" si="884"/>
        <v>0</v>
      </c>
      <c r="AF4000" s="111">
        <f t="shared" si="890"/>
        <v>0</v>
      </c>
      <c r="AG4000" s="110"/>
      <c r="AH4000" s="110"/>
      <c r="AI4000" s="110"/>
      <c r="AJ4000" s="110"/>
      <c r="AK4000" s="111">
        <f t="shared" si="891"/>
        <v>0</v>
      </c>
      <c r="AL4000" s="446">
        <f t="shared" si="892"/>
        <v>0</v>
      </c>
      <c r="AM4000" s="110">
        <f t="shared" si="893"/>
        <v>0</v>
      </c>
      <c r="AN4000" s="447">
        <f t="shared" si="896"/>
        <v>0</v>
      </c>
      <c r="AO4000"/>
      <c r="AP4000"/>
    </row>
    <row r="4001" spans="1:42" x14ac:dyDescent="0.25">
      <c r="A4001" s="376">
        <v>395</v>
      </c>
      <c r="B4001" s="588" t="s">
        <v>959</v>
      </c>
      <c r="C4001" s="376"/>
      <c r="D4001" s="940"/>
      <c r="E4001" s="377"/>
      <c r="F4001" s="378"/>
      <c r="G4001" s="378"/>
      <c r="H4001" s="378"/>
      <c r="I4001" s="734"/>
      <c r="J4001" s="806"/>
      <c r="K4001" s="131">
        <f t="shared" si="897"/>
        <v>0</v>
      </c>
      <c r="L4001" s="335">
        <f t="shared" si="889"/>
        <v>0</v>
      </c>
      <c r="M4001" s="419"/>
      <c r="N4001" s="419"/>
      <c r="O4001" s="419"/>
      <c r="P4001" s="419"/>
      <c r="Q4001" s="418">
        <f t="shared" si="887"/>
        <v>0</v>
      </c>
      <c r="R4001" s="379">
        <f t="shared" si="885"/>
        <v>0</v>
      </c>
      <c r="S4001" s="418"/>
      <c r="T4001" s="418"/>
      <c r="U4001" s="418">
        <f t="shared" si="888"/>
        <v>0</v>
      </c>
      <c r="V4001" s="379">
        <f t="shared" si="886"/>
        <v>0</v>
      </c>
      <c r="W4001" s="418"/>
      <c r="X4001" s="418"/>
      <c r="Y4001" s="418"/>
      <c r="Z4001" s="418"/>
      <c r="AA4001" s="418">
        <f t="shared" si="884"/>
        <v>0</v>
      </c>
      <c r="AB4001" s="379">
        <f t="shared" si="895"/>
        <v>0</v>
      </c>
      <c r="AC4001" s="418"/>
      <c r="AD4001" s="418"/>
      <c r="AE4001" s="418">
        <f t="shared" si="884"/>
        <v>0</v>
      </c>
      <c r="AF4001" s="379">
        <f t="shared" si="890"/>
        <v>0</v>
      </c>
      <c r="AG4001" s="418"/>
      <c r="AH4001" s="418"/>
      <c r="AI4001" s="418"/>
      <c r="AJ4001" s="418"/>
      <c r="AK4001" s="379">
        <f t="shared" si="891"/>
        <v>0</v>
      </c>
      <c r="AL4001" s="446">
        <f t="shared" si="892"/>
        <v>0</v>
      </c>
      <c r="AM4001" s="110">
        <f t="shared" si="893"/>
        <v>0</v>
      </c>
      <c r="AN4001" s="447">
        <f t="shared" si="896"/>
        <v>0</v>
      </c>
      <c r="AO4001" s="108"/>
      <c r="AP4001"/>
    </row>
    <row r="4002" spans="1:42" x14ac:dyDescent="0.25">
      <c r="A4002" s="310">
        <v>39501</v>
      </c>
      <c r="B4002" s="375" t="s">
        <v>959</v>
      </c>
      <c r="C4002" s="310"/>
      <c r="D4002" s="902"/>
      <c r="E4002" s="312"/>
      <c r="F4002" s="313"/>
      <c r="G4002" s="313"/>
      <c r="H4002" s="313"/>
      <c r="I4002" s="729"/>
      <c r="J4002" s="800"/>
      <c r="K4002" s="131">
        <f t="shared" si="897"/>
        <v>0</v>
      </c>
      <c r="L4002" s="335">
        <f t="shared" si="889"/>
        <v>0</v>
      </c>
      <c r="M4002" s="421"/>
      <c r="N4002" s="421"/>
      <c r="O4002" s="421"/>
      <c r="P4002" s="421"/>
      <c r="Q4002" s="387">
        <f t="shared" si="887"/>
        <v>0</v>
      </c>
      <c r="R4002" s="314">
        <f t="shared" si="885"/>
        <v>0</v>
      </c>
      <c r="S4002" s="387"/>
      <c r="T4002" s="387"/>
      <c r="U4002" s="387">
        <f t="shared" si="888"/>
        <v>0</v>
      </c>
      <c r="V4002" s="314">
        <f t="shared" si="886"/>
        <v>0</v>
      </c>
      <c r="W4002" s="387"/>
      <c r="X4002" s="387"/>
      <c r="Y4002" s="387"/>
      <c r="Z4002" s="387"/>
      <c r="AA4002" s="387">
        <f t="shared" si="884"/>
        <v>0</v>
      </c>
      <c r="AB4002" s="314">
        <f t="shared" si="895"/>
        <v>0</v>
      </c>
      <c r="AC4002" s="387"/>
      <c r="AD4002" s="387"/>
      <c r="AE4002" s="387">
        <f t="shared" si="884"/>
        <v>0</v>
      </c>
      <c r="AF4002" s="314">
        <f t="shared" si="890"/>
        <v>0</v>
      </c>
      <c r="AG4002" s="387"/>
      <c r="AH4002" s="387"/>
      <c r="AI4002" s="387"/>
      <c r="AJ4002" s="387"/>
      <c r="AK4002" s="314">
        <f t="shared" si="891"/>
        <v>0</v>
      </c>
      <c r="AL4002" s="446">
        <f t="shared" si="892"/>
        <v>0</v>
      </c>
      <c r="AM4002" s="110">
        <f t="shared" si="893"/>
        <v>0</v>
      </c>
      <c r="AN4002" s="447">
        <f t="shared" si="896"/>
        <v>0</v>
      </c>
      <c r="AO4002" s="108"/>
      <c r="AP4002"/>
    </row>
    <row r="4003" spans="1:42" x14ac:dyDescent="0.25">
      <c r="A4003" s="61"/>
      <c r="B4003" s="608"/>
      <c r="C4003" s="162"/>
      <c r="D4003" s="882"/>
      <c r="E4003" s="89"/>
      <c r="F4003" s="280"/>
      <c r="G4003" s="280"/>
      <c r="H4003" s="280"/>
      <c r="I4003" s="720"/>
      <c r="J4003" s="816"/>
      <c r="K4003" s="131">
        <f t="shared" si="897"/>
        <v>0</v>
      </c>
      <c r="L4003" s="335">
        <f t="shared" si="889"/>
        <v>0</v>
      </c>
      <c r="M4003" s="446"/>
      <c r="N4003" s="446"/>
      <c r="O4003" s="446"/>
      <c r="P4003" s="446"/>
      <c r="Q4003" s="110">
        <f t="shared" si="887"/>
        <v>0</v>
      </c>
      <c r="R4003" s="111">
        <f t="shared" si="885"/>
        <v>0</v>
      </c>
      <c r="S4003" s="110"/>
      <c r="T4003" s="110"/>
      <c r="U4003" s="110">
        <f t="shared" si="888"/>
        <v>0</v>
      </c>
      <c r="V4003" s="111">
        <f t="shared" si="886"/>
        <v>0</v>
      </c>
      <c r="W4003" s="110"/>
      <c r="X4003" s="110"/>
      <c r="Y4003" s="110"/>
      <c r="Z4003" s="110"/>
      <c r="AA4003" s="110">
        <f t="shared" si="884"/>
        <v>0</v>
      </c>
      <c r="AB4003" s="111">
        <f t="shared" si="895"/>
        <v>0</v>
      </c>
      <c r="AC4003" s="110"/>
      <c r="AD4003" s="110"/>
      <c r="AE4003" s="110">
        <f t="shared" si="884"/>
        <v>0</v>
      </c>
      <c r="AF4003" s="111">
        <f t="shared" si="890"/>
        <v>0</v>
      </c>
      <c r="AG4003" s="110"/>
      <c r="AH4003" s="110"/>
      <c r="AI4003" s="110"/>
      <c r="AJ4003" s="110"/>
      <c r="AK4003" s="111">
        <f t="shared" si="891"/>
        <v>0</v>
      </c>
      <c r="AL4003" s="446">
        <f t="shared" si="892"/>
        <v>0</v>
      </c>
      <c r="AM4003" s="110">
        <f t="shared" si="893"/>
        <v>0</v>
      </c>
      <c r="AN4003" s="447">
        <f t="shared" si="896"/>
        <v>0</v>
      </c>
      <c r="AO4003"/>
      <c r="AP4003"/>
    </row>
    <row r="4004" spans="1:42" x14ac:dyDescent="0.25">
      <c r="A4004" s="376">
        <v>396</v>
      </c>
      <c r="B4004" s="588" t="s">
        <v>960</v>
      </c>
      <c r="C4004" s="376"/>
      <c r="D4004" s="940"/>
      <c r="E4004" s="377"/>
      <c r="F4004" s="378"/>
      <c r="G4004" s="378"/>
      <c r="H4004" s="378"/>
      <c r="I4004" s="734"/>
      <c r="J4004" s="806"/>
      <c r="K4004" s="131">
        <f t="shared" si="897"/>
        <v>0</v>
      </c>
      <c r="L4004" s="335">
        <f t="shared" si="889"/>
        <v>0</v>
      </c>
      <c r="M4004" s="419"/>
      <c r="N4004" s="419"/>
      <c r="O4004" s="419"/>
      <c r="P4004" s="419"/>
      <c r="Q4004" s="418">
        <f t="shared" si="887"/>
        <v>0</v>
      </c>
      <c r="R4004" s="379">
        <f t="shared" si="885"/>
        <v>0</v>
      </c>
      <c r="S4004" s="418"/>
      <c r="T4004" s="418"/>
      <c r="U4004" s="418">
        <f t="shared" si="888"/>
        <v>0</v>
      </c>
      <c r="V4004" s="379">
        <f t="shared" si="886"/>
        <v>0</v>
      </c>
      <c r="W4004" s="418"/>
      <c r="X4004" s="418"/>
      <c r="Y4004" s="418"/>
      <c r="Z4004" s="418"/>
      <c r="AA4004" s="418">
        <f t="shared" si="884"/>
        <v>0</v>
      </c>
      <c r="AB4004" s="379">
        <f t="shared" si="895"/>
        <v>0</v>
      </c>
      <c r="AC4004" s="418"/>
      <c r="AD4004" s="418"/>
      <c r="AE4004" s="418">
        <f t="shared" si="884"/>
        <v>0</v>
      </c>
      <c r="AF4004" s="379">
        <f t="shared" si="890"/>
        <v>0</v>
      </c>
      <c r="AG4004" s="418"/>
      <c r="AH4004" s="418"/>
      <c r="AI4004" s="418"/>
      <c r="AJ4004" s="418"/>
      <c r="AK4004" s="379">
        <f t="shared" si="891"/>
        <v>0</v>
      </c>
      <c r="AL4004" s="446">
        <f t="shared" si="892"/>
        <v>0</v>
      </c>
      <c r="AM4004" s="110">
        <f t="shared" si="893"/>
        <v>0</v>
      </c>
      <c r="AN4004" s="447">
        <f t="shared" si="896"/>
        <v>0</v>
      </c>
      <c r="AO4004" s="108"/>
      <c r="AP4004"/>
    </row>
    <row r="4005" spans="1:42" x14ac:dyDescent="0.25">
      <c r="A4005" s="310">
        <v>39601</v>
      </c>
      <c r="B4005" s="375" t="s">
        <v>960</v>
      </c>
      <c r="C4005" s="310"/>
      <c r="D4005" s="902"/>
      <c r="E4005" s="312"/>
      <c r="F4005" s="313"/>
      <c r="G4005" s="313"/>
      <c r="H4005" s="313"/>
      <c r="I4005" s="729"/>
      <c r="J4005" s="800"/>
      <c r="K4005" s="131">
        <f t="shared" si="897"/>
        <v>0</v>
      </c>
      <c r="L4005" s="335">
        <f t="shared" si="889"/>
        <v>0</v>
      </c>
      <c r="M4005" s="421"/>
      <c r="N4005" s="421"/>
      <c r="O4005" s="421"/>
      <c r="P4005" s="421"/>
      <c r="Q4005" s="387">
        <f t="shared" si="887"/>
        <v>0</v>
      </c>
      <c r="R4005" s="314">
        <f t="shared" si="885"/>
        <v>0</v>
      </c>
      <c r="S4005" s="387"/>
      <c r="T4005" s="387"/>
      <c r="U4005" s="387">
        <f t="shared" si="888"/>
        <v>0</v>
      </c>
      <c r="V4005" s="314">
        <f t="shared" si="886"/>
        <v>0</v>
      </c>
      <c r="W4005" s="387"/>
      <c r="X4005" s="387"/>
      <c r="Y4005" s="387"/>
      <c r="Z4005" s="387"/>
      <c r="AA4005" s="387">
        <f t="shared" si="884"/>
        <v>0</v>
      </c>
      <c r="AB4005" s="314">
        <f t="shared" si="895"/>
        <v>0</v>
      </c>
      <c r="AC4005" s="387"/>
      <c r="AD4005" s="387"/>
      <c r="AE4005" s="387">
        <f t="shared" si="884"/>
        <v>0</v>
      </c>
      <c r="AF4005" s="314">
        <f t="shared" si="890"/>
        <v>0</v>
      </c>
      <c r="AG4005" s="387"/>
      <c r="AH4005" s="387"/>
      <c r="AI4005" s="387"/>
      <c r="AJ4005" s="387"/>
      <c r="AK4005" s="314">
        <f t="shared" si="891"/>
        <v>0</v>
      </c>
      <c r="AL4005" s="446">
        <f t="shared" si="892"/>
        <v>0</v>
      </c>
      <c r="AM4005" s="110">
        <f t="shared" si="893"/>
        <v>0</v>
      </c>
      <c r="AN4005" s="447">
        <f t="shared" si="896"/>
        <v>0</v>
      </c>
      <c r="AO4005" s="436">
        <f>SUM(J4006)</f>
        <v>100000</v>
      </c>
      <c r="AP4005" s="111"/>
    </row>
    <row r="4006" spans="1:42" ht="66" x14ac:dyDescent="0.25">
      <c r="A4006" s="61"/>
      <c r="B4006" s="230" t="s">
        <v>3387</v>
      </c>
      <c r="C4006" s="162"/>
      <c r="D4006" s="882">
        <v>1</v>
      </c>
      <c r="E4006" s="89" t="s">
        <v>1755</v>
      </c>
      <c r="F4006" s="273" t="s">
        <v>3446</v>
      </c>
      <c r="G4006" s="1040" t="s">
        <v>3463</v>
      </c>
      <c r="H4006" s="273" t="s">
        <v>3462</v>
      </c>
      <c r="I4006" s="720">
        <v>100000</v>
      </c>
      <c r="J4006" s="816">
        <v>100000</v>
      </c>
      <c r="K4006" s="131">
        <f t="shared" si="897"/>
        <v>100000</v>
      </c>
      <c r="L4006" s="335">
        <f t="shared" si="889"/>
        <v>0</v>
      </c>
      <c r="M4006" s="446"/>
      <c r="N4006" s="446"/>
      <c r="O4006" s="446"/>
      <c r="P4006" s="446"/>
      <c r="Q4006" s="110">
        <v>1</v>
      </c>
      <c r="R4006" s="111">
        <f t="shared" si="885"/>
        <v>25000</v>
      </c>
      <c r="S4006" s="110"/>
      <c r="T4006" s="110"/>
      <c r="U4006" s="110">
        <v>0</v>
      </c>
      <c r="V4006" s="111">
        <f t="shared" si="886"/>
        <v>25000</v>
      </c>
      <c r="W4006" s="110"/>
      <c r="X4006" s="110"/>
      <c r="Y4006" s="110"/>
      <c r="Z4006" s="110"/>
      <c r="AA4006" s="110">
        <v>0</v>
      </c>
      <c r="AB4006" s="111">
        <f t="shared" si="895"/>
        <v>25000</v>
      </c>
      <c r="AC4006" s="110"/>
      <c r="AD4006" s="110"/>
      <c r="AE4006" s="110">
        <v>0</v>
      </c>
      <c r="AF4006" s="111">
        <f t="shared" si="890"/>
        <v>25000</v>
      </c>
      <c r="AG4006" s="110"/>
      <c r="AH4006" s="110"/>
      <c r="AI4006" s="110"/>
      <c r="AJ4006" s="110"/>
      <c r="AK4006" s="111">
        <f t="shared" si="891"/>
        <v>100000</v>
      </c>
      <c r="AL4006" s="446">
        <f t="shared" si="892"/>
        <v>0</v>
      </c>
      <c r="AM4006" s="110">
        <f t="shared" si="893"/>
        <v>1</v>
      </c>
      <c r="AN4006" s="447">
        <f t="shared" si="896"/>
        <v>0</v>
      </c>
      <c r="AO4006"/>
      <c r="AP4006"/>
    </row>
    <row r="4007" spans="1:42" x14ac:dyDescent="0.25">
      <c r="A4007" s="376">
        <v>397</v>
      </c>
      <c r="B4007" s="588" t="s">
        <v>961</v>
      </c>
      <c r="C4007" s="376"/>
      <c r="D4007" s="940"/>
      <c r="E4007" s="377"/>
      <c r="F4007" s="378"/>
      <c r="G4007" s="378"/>
      <c r="H4007" s="378"/>
      <c r="I4007" s="734"/>
      <c r="J4007" s="806"/>
      <c r="K4007" s="131">
        <f t="shared" si="897"/>
        <v>0</v>
      </c>
      <c r="L4007" s="335">
        <f t="shared" si="889"/>
        <v>0</v>
      </c>
      <c r="M4007" s="419"/>
      <c r="N4007" s="419"/>
      <c r="O4007" s="419"/>
      <c r="P4007" s="419"/>
      <c r="Q4007" s="418">
        <f t="shared" si="887"/>
        <v>0</v>
      </c>
      <c r="R4007" s="379">
        <f t="shared" si="885"/>
        <v>0</v>
      </c>
      <c r="S4007" s="418"/>
      <c r="T4007" s="418"/>
      <c r="U4007" s="418">
        <f t="shared" si="888"/>
        <v>0</v>
      </c>
      <c r="V4007" s="379">
        <f t="shared" si="886"/>
        <v>0</v>
      </c>
      <c r="W4007" s="418"/>
      <c r="X4007" s="418"/>
      <c r="Y4007" s="418"/>
      <c r="Z4007" s="418"/>
      <c r="AA4007" s="418">
        <f t="shared" si="884"/>
        <v>0</v>
      </c>
      <c r="AB4007" s="379">
        <f t="shared" si="895"/>
        <v>0</v>
      </c>
      <c r="AC4007" s="418"/>
      <c r="AD4007" s="418"/>
      <c r="AE4007" s="418">
        <f t="shared" si="884"/>
        <v>0</v>
      </c>
      <c r="AF4007" s="379">
        <f t="shared" si="890"/>
        <v>0</v>
      </c>
      <c r="AG4007" s="418"/>
      <c r="AH4007" s="418"/>
      <c r="AI4007" s="418"/>
      <c r="AJ4007" s="418"/>
      <c r="AK4007" s="379">
        <f t="shared" si="891"/>
        <v>0</v>
      </c>
      <c r="AL4007" s="446">
        <f t="shared" si="892"/>
        <v>0</v>
      </c>
      <c r="AM4007" s="110">
        <f t="shared" si="893"/>
        <v>0</v>
      </c>
      <c r="AN4007" s="447">
        <f t="shared" si="896"/>
        <v>0</v>
      </c>
      <c r="AO4007" s="108"/>
      <c r="AP4007"/>
    </row>
    <row r="4008" spans="1:42" x14ac:dyDescent="0.25">
      <c r="A4008" s="310">
        <v>39701</v>
      </c>
      <c r="B4008" s="375" t="s">
        <v>961</v>
      </c>
      <c r="C4008" s="310"/>
      <c r="D4008" s="902"/>
      <c r="E4008" s="312"/>
      <c r="F4008" s="313"/>
      <c r="G4008" s="313"/>
      <c r="H4008" s="313"/>
      <c r="I4008" s="729"/>
      <c r="J4008" s="800"/>
      <c r="K4008" s="131">
        <f t="shared" si="897"/>
        <v>0</v>
      </c>
      <c r="L4008" s="335">
        <f t="shared" si="889"/>
        <v>0</v>
      </c>
      <c r="M4008" s="421"/>
      <c r="N4008" s="421"/>
      <c r="O4008" s="421"/>
      <c r="P4008" s="421"/>
      <c r="Q4008" s="387">
        <f t="shared" si="887"/>
        <v>0</v>
      </c>
      <c r="R4008" s="314">
        <f t="shared" si="885"/>
        <v>0</v>
      </c>
      <c r="S4008" s="387"/>
      <c r="T4008" s="387"/>
      <c r="U4008" s="387">
        <f t="shared" si="888"/>
        <v>0</v>
      </c>
      <c r="V4008" s="314">
        <f t="shared" si="886"/>
        <v>0</v>
      </c>
      <c r="W4008" s="387"/>
      <c r="X4008" s="387"/>
      <c r="Y4008" s="387"/>
      <c r="Z4008" s="387"/>
      <c r="AA4008" s="387">
        <f t="shared" ref="AA4008:AE4071" si="898">+$D4008/4</f>
        <v>0</v>
      </c>
      <c r="AB4008" s="314">
        <f t="shared" si="895"/>
        <v>0</v>
      </c>
      <c r="AC4008" s="387"/>
      <c r="AD4008" s="387"/>
      <c r="AE4008" s="387">
        <f t="shared" si="898"/>
        <v>0</v>
      </c>
      <c r="AF4008" s="314">
        <f t="shared" si="890"/>
        <v>0</v>
      </c>
      <c r="AG4008" s="387"/>
      <c r="AH4008" s="387"/>
      <c r="AI4008" s="387"/>
      <c r="AJ4008" s="387"/>
      <c r="AK4008" s="314">
        <f t="shared" si="891"/>
        <v>0</v>
      </c>
      <c r="AL4008" s="446">
        <f t="shared" si="892"/>
        <v>0</v>
      </c>
      <c r="AM4008" s="110">
        <f t="shared" si="893"/>
        <v>0</v>
      </c>
      <c r="AN4008" s="447">
        <f t="shared" si="896"/>
        <v>0</v>
      </c>
      <c r="AO4008" s="108"/>
      <c r="AP4008"/>
    </row>
    <row r="4009" spans="1:42" x14ac:dyDescent="0.25">
      <c r="A4009" s="61"/>
      <c r="B4009" s="608"/>
      <c r="C4009" s="162"/>
      <c r="D4009" s="882"/>
      <c r="E4009" s="89"/>
      <c r="F4009" s="280"/>
      <c r="G4009" s="280"/>
      <c r="H4009" s="280"/>
      <c r="I4009" s="720"/>
      <c r="J4009" s="816"/>
      <c r="K4009" s="131">
        <f t="shared" si="897"/>
        <v>0</v>
      </c>
      <c r="L4009" s="335">
        <f t="shared" si="889"/>
        <v>0</v>
      </c>
      <c r="M4009" s="446"/>
      <c r="N4009" s="446"/>
      <c r="O4009" s="446"/>
      <c r="P4009" s="446"/>
      <c r="Q4009" s="110">
        <f t="shared" si="887"/>
        <v>0</v>
      </c>
      <c r="R4009" s="111">
        <f t="shared" si="885"/>
        <v>0</v>
      </c>
      <c r="S4009" s="110"/>
      <c r="T4009" s="110"/>
      <c r="U4009" s="110">
        <f t="shared" si="888"/>
        <v>0</v>
      </c>
      <c r="V4009" s="111">
        <f t="shared" si="886"/>
        <v>0</v>
      </c>
      <c r="W4009" s="110"/>
      <c r="X4009" s="110"/>
      <c r="Y4009" s="110"/>
      <c r="Z4009" s="110"/>
      <c r="AA4009" s="110">
        <f t="shared" si="898"/>
        <v>0</v>
      </c>
      <c r="AB4009" s="111">
        <f t="shared" si="895"/>
        <v>0</v>
      </c>
      <c r="AC4009" s="110"/>
      <c r="AD4009" s="110"/>
      <c r="AE4009" s="110">
        <f t="shared" si="898"/>
        <v>0</v>
      </c>
      <c r="AF4009" s="111">
        <f t="shared" si="890"/>
        <v>0</v>
      </c>
      <c r="AG4009" s="110"/>
      <c r="AH4009" s="110"/>
      <c r="AI4009" s="110"/>
      <c r="AJ4009" s="110"/>
      <c r="AK4009" s="111">
        <f t="shared" si="891"/>
        <v>0</v>
      </c>
      <c r="AL4009" s="446">
        <f t="shared" si="892"/>
        <v>0</v>
      </c>
      <c r="AM4009" s="110">
        <f t="shared" si="893"/>
        <v>0</v>
      </c>
      <c r="AN4009" s="447">
        <f t="shared" si="896"/>
        <v>0</v>
      </c>
      <c r="AO4009"/>
      <c r="AP4009"/>
    </row>
    <row r="4010" spans="1:42" ht="22.5" x14ac:dyDescent="0.25">
      <c r="A4010" s="376">
        <v>398</v>
      </c>
      <c r="B4010" s="588" t="s">
        <v>962</v>
      </c>
      <c r="C4010" s="376"/>
      <c r="D4010" s="940"/>
      <c r="E4010" s="377"/>
      <c r="F4010" s="378"/>
      <c r="G4010" s="378"/>
      <c r="H4010" s="378"/>
      <c r="I4010" s="734"/>
      <c r="J4010" s="806"/>
      <c r="K4010" s="131">
        <f t="shared" si="897"/>
        <v>0</v>
      </c>
      <c r="L4010" s="335">
        <f t="shared" si="889"/>
        <v>0</v>
      </c>
      <c r="M4010" s="419"/>
      <c r="N4010" s="419"/>
      <c r="O4010" s="419"/>
      <c r="P4010" s="419"/>
      <c r="Q4010" s="418">
        <f t="shared" si="887"/>
        <v>0</v>
      </c>
      <c r="R4010" s="379">
        <f t="shared" si="885"/>
        <v>0</v>
      </c>
      <c r="S4010" s="418"/>
      <c r="T4010" s="418"/>
      <c r="U4010" s="418">
        <f t="shared" si="888"/>
        <v>0</v>
      </c>
      <c r="V4010" s="379">
        <f t="shared" si="886"/>
        <v>0</v>
      </c>
      <c r="W4010" s="418"/>
      <c r="X4010" s="418"/>
      <c r="Y4010" s="418"/>
      <c r="Z4010" s="418"/>
      <c r="AA4010" s="418">
        <f t="shared" si="898"/>
        <v>0</v>
      </c>
      <c r="AB4010" s="379">
        <f t="shared" si="895"/>
        <v>0</v>
      </c>
      <c r="AC4010" s="418"/>
      <c r="AD4010" s="418"/>
      <c r="AE4010" s="418">
        <f t="shared" si="898"/>
        <v>0</v>
      </c>
      <c r="AF4010" s="379">
        <f t="shared" si="890"/>
        <v>0</v>
      </c>
      <c r="AG4010" s="418"/>
      <c r="AH4010" s="418"/>
      <c r="AI4010" s="418"/>
      <c r="AJ4010" s="418"/>
      <c r="AK4010" s="379">
        <f t="shared" si="891"/>
        <v>0</v>
      </c>
      <c r="AL4010" s="446">
        <f t="shared" si="892"/>
        <v>0</v>
      </c>
      <c r="AM4010" s="110">
        <f t="shared" si="893"/>
        <v>0</v>
      </c>
      <c r="AN4010" s="447">
        <f t="shared" si="896"/>
        <v>0</v>
      </c>
      <c r="AO4010" s="108"/>
      <c r="AP4010"/>
    </row>
    <row r="4011" spans="1:42" ht="22.5" x14ac:dyDescent="0.25">
      <c r="A4011" s="310">
        <v>39801</v>
      </c>
      <c r="B4011" s="375" t="s">
        <v>962</v>
      </c>
      <c r="C4011" s="311"/>
      <c r="D4011" s="902"/>
      <c r="E4011" s="312"/>
      <c r="F4011" s="313"/>
      <c r="G4011" s="313"/>
      <c r="H4011" s="313"/>
      <c r="I4011" s="729"/>
      <c r="J4011" s="800"/>
      <c r="K4011" s="131">
        <f t="shared" si="897"/>
        <v>0</v>
      </c>
      <c r="L4011" s="335">
        <f t="shared" si="889"/>
        <v>0</v>
      </c>
      <c r="M4011" s="421"/>
      <c r="N4011" s="421"/>
      <c r="O4011" s="421"/>
      <c r="P4011" s="421"/>
      <c r="Q4011" s="387">
        <f t="shared" si="887"/>
        <v>0</v>
      </c>
      <c r="R4011" s="314">
        <f t="shared" si="885"/>
        <v>0</v>
      </c>
      <c r="S4011" s="387"/>
      <c r="T4011" s="387"/>
      <c r="U4011" s="387">
        <f t="shared" si="888"/>
        <v>0</v>
      </c>
      <c r="V4011" s="314">
        <f t="shared" si="886"/>
        <v>0</v>
      </c>
      <c r="W4011" s="387"/>
      <c r="X4011" s="387"/>
      <c r="Y4011" s="387"/>
      <c r="Z4011" s="387"/>
      <c r="AA4011" s="387">
        <f t="shared" si="898"/>
        <v>0</v>
      </c>
      <c r="AB4011" s="314">
        <f t="shared" si="895"/>
        <v>0</v>
      </c>
      <c r="AC4011" s="387"/>
      <c r="AD4011" s="387"/>
      <c r="AE4011" s="387">
        <f t="shared" si="898"/>
        <v>0</v>
      </c>
      <c r="AF4011" s="314">
        <f t="shared" si="890"/>
        <v>0</v>
      </c>
      <c r="AG4011" s="387"/>
      <c r="AH4011" s="387"/>
      <c r="AI4011" s="387"/>
      <c r="AJ4011" s="387"/>
      <c r="AK4011" s="314">
        <f t="shared" si="891"/>
        <v>0</v>
      </c>
      <c r="AL4011" s="446">
        <f t="shared" si="892"/>
        <v>0</v>
      </c>
      <c r="AM4011" s="110">
        <f t="shared" si="893"/>
        <v>0</v>
      </c>
      <c r="AN4011" s="447">
        <f t="shared" si="896"/>
        <v>0</v>
      </c>
      <c r="AO4011" s="436">
        <f>SUM(J4012)</f>
        <v>5098576.9124999996</v>
      </c>
      <c r="AP4011" s="296">
        <f>SUBTOTAL(9,AO3569:AO4011)</f>
        <v>20235047.653460003</v>
      </c>
    </row>
    <row r="4012" spans="1:42" ht="66" x14ac:dyDescent="0.25">
      <c r="A4012" s="61"/>
      <c r="B4012" s="41" t="s">
        <v>963</v>
      </c>
      <c r="C4012" s="9"/>
      <c r="D4012" s="912">
        <f>1+12</f>
        <v>13</v>
      </c>
      <c r="E4012" s="1027" t="s">
        <v>1755</v>
      </c>
      <c r="F4012" s="273" t="s">
        <v>3446</v>
      </c>
      <c r="G4012" s="1040" t="s">
        <v>3463</v>
      </c>
      <c r="H4012" s="273" t="s">
        <v>3462</v>
      </c>
      <c r="I4012" s="720">
        <f>+J4012/D4012</f>
        <v>392198.22403846151</v>
      </c>
      <c r="J4012" s="763">
        <f>5064976.9125+33600</f>
        <v>5098576.9124999996</v>
      </c>
      <c r="K4012" s="131">
        <f t="shared" si="897"/>
        <v>5098576.9124999996</v>
      </c>
      <c r="L4012" s="335">
        <f t="shared" si="889"/>
        <v>0</v>
      </c>
      <c r="M4012" s="446"/>
      <c r="N4012" s="446"/>
      <c r="O4012" s="446"/>
      <c r="P4012" s="446"/>
      <c r="Q4012" s="110">
        <v>4</v>
      </c>
      <c r="R4012" s="111">
        <f t="shared" si="885"/>
        <v>1274644.2281249999</v>
      </c>
      <c r="S4012" s="110"/>
      <c r="T4012" s="110"/>
      <c r="U4012" s="110">
        <v>3</v>
      </c>
      <c r="V4012" s="111">
        <f t="shared" si="886"/>
        <v>1274644.2281249999</v>
      </c>
      <c r="W4012" s="110"/>
      <c r="X4012" s="110"/>
      <c r="Y4012" s="110"/>
      <c r="Z4012" s="110"/>
      <c r="AA4012" s="110">
        <v>3</v>
      </c>
      <c r="AB4012" s="111">
        <f t="shared" si="895"/>
        <v>1274644.2281249999</v>
      </c>
      <c r="AC4012" s="110"/>
      <c r="AD4012" s="110"/>
      <c r="AE4012" s="110">
        <v>3</v>
      </c>
      <c r="AF4012" s="111">
        <f t="shared" si="890"/>
        <v>1274644.2281249999</v>
      </c>
      <c r="AG4012" s="110"/>
      <c r="AH4012" s="110"/>
      <c r="AI4012" s="110"/>
      <c r="AJ4012" s="110"/>
      <c r="AK4012" s="111">
        <f t="shared" si="891"/>
        <v>5098576.9124999996</v>
      </c>
      <c r="AL4012" s="446">
        <f t="shared" si="892"/>
        <v>0</v>
      </c>
      <c r="AM4012" s="110">
        <f t="shared" si="893"/>
        <v>13</v>
      </c>
      <c r="AN4012" s="447">
        <f t="shared" si="896"/>
        <v>0</v>
      </c>
      <c r="AO4012"/>
      <c r="AP4012"/>
    </row>
    <row r="4013" spans="1:42" x14ac:dyDescent="0.25">
      <c r="A4013" s="61"/>
      <c r="B4013" s="41"/>
      <c r="C4013" s="9"/>
      <c r="D4013" s="912"/>
      <c r="E4013" s="1027"/>
      <c r="F4013" s="272"/>
      <c r="G4013" s="272"/>
      <c r="H4013" s="272"/>
      <c r="I4013" s="720"/>
      <c r="J4013" s="763"/>
      <c r="K4013" s="131">
        <f t="shared" si="897"/>
        <v>0</v>
      </c>
      <c r="L4013" s="335">
        <f t="shared" si="889"/>
        <v>0</v>
      </c>
      <c r="M4013" s="446"/>
      <c r="N4013" s="446"/>
      <c r="O4013" s="446"/>
      <c r="P4013" s="446"/>
      <c r="Q4013" s="110">
        <f t="shared" si="887"/>
        <v>0</v>
      </c>
      <c r="R4013" s="111">
        <f t="shared" si="885"/>
        <v>0</v>
      </c>
      <c r="S4013" s="110"/>
      <c r="T4013" s="110"/>
      <c r="U4013" s="110">
        <f t="shared" si="888"/>
        <v>0</v>
      </c>
      <c r="V4013" s="111">
        <f t="shared" si="886"/>
        <v>0</v>
      </c>
      <c r="W4013" s="110"/>
      <c r="X4013" s="110"/>
      <c r="Y4013" s="110"/>
      <c r="Z4013" s="110"/>
      <c r="AA4013" s="110">
        <f t="shared" si="898"/>
        <v>0</v>
      </c>
      <c r="AB4013" s="111">
        <f t="shared" si="895"/>
        <v>0</v>
      </c>
      <c r="AC4013" s="110"/>
      <c r="AD4013" s="110"/>
      <c r="AE4013" s="110">
        <f t="shared" si="898"/>
        <v>0</v>
      </c>
      <c r="AF4013" s="111">
        <f t="shared" si="890"/>
        <v>0</v>
      </c>
      <c r="AG4013" s="110"/>
      <c r="AH4013" s="110"/>
      <c r="AI4013" s="110"/>
      <c r="AJ4013" s="110"/>
      <c r="AK4013" s="111">
        <f t="shared" si="891"/>
        <v>0</v>
      </c>
      <c r="AL4013" s="446">
        <f t="shared" si="892"/>
        <v>0</v>
      </c>
      <c r="AM4013" s="110">
        <f t="shared" si="893"/>
        <v>0</v>
      </c>
      <c r="AN4013" s="447">
        <f t="shared" si="896"/>
        <v>0</v>
      </c>
      <c r="AO4013"/>
      <c r="AP4013"/>
    </row>
    <row r="4014" spans="1:42" x14ac:dyDescent="0.25">
      <c r="A4014" s="376">
        <v>399</v>
      </c>
      <c r="B4014" s="588" t="s">
        <v>950</v>
      </c>
      <c r="C4014" s="376"/>
      <c r="D4014" s="921"/>
      <c r="E4014" s="377"/>
      <c r="F4014" s="378"/>
      <c r="G4014" s="378"/>
      <c r="H4014" s="378"/>
      <c r="I4014" s="734"/>
      <c r="J4014" s="806"/>
      <c r="K4014" s="131">
        <f t="shared" si="897"/>
        <v>0</v>
      </c>
      <c r="L4014" s="335">
        <f t="shared" si="889"/>
        <v>0</v>
      </c>
      <c r="M4014" s="419"/>
      <c r="N4014" s="419"/>
      <c r="O4014" s="419"/>
      <c r="P4014" s="419"/>
      <c r="Q4014" s="418">
        <f t="shared" si="887"/>
        <v>0</v>
      </c>
      <c r="R4014" s="379">
        <f t="shared" si="885"/>
        <v>0</v>
      </c>
      <c r="S4014" s="418"/>
      <c r="T4014" s="418"/>
      <c r="U4014" s="418">
        <f t="shared" si="888"/>
        <v>0</v>
      </c>
      <c r="V4014" s="379">
        <f t="shared" si="886"/>
        <v>0</v>
      </c>
      <c r="W4014" s="418"/>
      <c r="X4014" s="418"/>
      <c r="Y4014" s="418"/>
      <c r="Z4014" s="418"/>
      <c r="AA4014" s="418">
        <f t="shared" si="898"/>
        <v>0</v>
      </c>
      <c r="AB4014" s="379">
        <f t="shared" si="895"/>
        <v>0</v>
      </c>
      <c r="AC4014" s="418"/>
      <c r="AD4014" s="418"/>
      <c r="AE4014" s="418">
        <f t="shared" si="898"/>
        <v>0</v>
      </c>
      <c r="AF4014" s="379">
        <f t="shared" si="890"/>
        <v>0</v>
      </c>
      <c r="AG4014" s="418"/>
      <c r="AH4014" s="418"/>
      <c r="AI4014" s="418"/>
      <c r="AJ4014" s="418"/>
      <c r="AK4014" s="379">
        <f t="shared" si="891"/>
        <v>0</v>
      </c>
      <c r="AL4014" s="446">
        <f t="shared" si="892"/>
        <v>0</v>
      </c>
      <c r="AM4014" s="110">
        <f t="shared" si="893"/>
        <v>0</v>
      </c>
      <c r="AN4014" s="447">
        <f t="shared" si="896"/>
        <v>0</v>
      </c>
      <c r="AO4014" s="108"/>
      <c r="AP4014"/>
    </row>
    <row r="4015" spans="1:42" x14ac:dyDescent="0.25">
      <c r="A4015" s="310">
        <v>39901</v>
      </c>
      <c r="B4015" s="375" t="s">
        <v>964</v>
      </c>
      <c r="C4015" s="311"/>
      <c r="D4015" s="902"/>
      <c r="E4015" s="312"/>
      <c r="F4015" s="313"/>
      <c r="G4015" s="313"/>
      <c r="H4015" s="313"/>
      <c r="I4015" s="729"/>
      <c r="J4015" s="847"/>
      <c r="K4015" s="131">
        <f t="shared" si="897"/>
        <v>0</v>
      </c>
      <c r="L4015" s="335">
        <f t="shared" si="889"/>
        <v>0</v>
      </c>
      <c r="M4015" s="421"/>
      <c r="N4015" s="421"/>
      <c r="O4015" s="421"/>
      <c r="P4015" s="421"/>
      <c r="Q4015" s="387">
        <f t="shared" si="887"/>
        <v>0</v>
      </c>
      <c r="R4015" s="314">
        <f t="shared" si="885"/>
        <v>0</v>
      </c>
      <c r="S4015" s="387"/>
      <c r="T4015" s="387"/>
      <c r="U4015" s="387">
        <f t="shared" si="888"/>
        <v>0</v>
      </c>
      <c r="V4015" s="314">
        <f t="shared" si="886"/>
        <v>0</v>
      </c>
      <c r="W4015" s="387"/>
      <c r="X4015" s="387"/>
      <c r="Y4015" s="387"/>
      <c r="Z4015" s="387"/>
      <c r="AA4015" s="387">
        <f t="shared" si="898"/>
        <v>0</v>
      </c>
      <c r="AB4015" s="314">
        <f t="shared" si="895"/>
        <v>0</v>
      </c>
      <c r="AC4015" s="387"/>
      <c r="AD4015" s="387"/>
      <c r="AE4015" s="387">
        <f t="shared" si="898"/>
        <v>0</v>
      </c>
      <c r="AF4015" s="314">
        <f t="shared" si="890"/>
        <v>0</v>
      </c>
      <c r="AG4015" s="387"/>
      <c r="AH4015" s="387"/>
      <c r="AI4015" s="387"/>
      <c r="AJ4015" s="387"/>
      <c r="AK4015" s="314">
        <f t="shared" si="891"/>
        <v>0</v>
      </c>
      <c r="AL4015" s="446">
        <f t="shared" si="892"/>
        <v>0</v>
      </c>
      <c r="AM4015" s="110">
        <f t="shared" si="893"/>
        <v>0</v>
      </c>
      <c r="AN4015" s="447">
        <f t="shared" si="896"/>
        <v>0</v>
      </c>
      <c r="AO4015" s="108"/>
      <c r="AP4015"/>
    </row>
    <row r="4016" spans="1:42" s="108" customFormat="1" x14ac:dyDescent="0.25">
      <c r="A4016" s="61"/>
      <c r="B4016" s="584"/>
      <c r="C4016" s="9"/>
      <c r="D4016" s="869"/>
      <c r="E4016" s="1027"/>
      <c r="F4016" s="272"/>
      <c r="G4016" s="272"/>
      <c r="H4016" s="272"/>
      <c r="I4016" s="722"/>
      <c r="J4016" s="763"/>
      <c r="K4016" s="131">
        <f t="shared" si="897"/>
        <v>0</v>
      </c>
      <c r="L4016" s="335">
        <f t="shared" si="889"/>
        <v>0</v>
      </c>
      <c r="M4016" s="335"/>
      <c r="N4016" s="335"/>
      <c r="O4016" s="335"/>
      <c r="P4016" s="335"/>
      <c r="Q4016" s="130">
        <f t="shared" si="887"/>
        <v>0</v>
      </c>
      <c r="R4016" s="131">
        <f t="shared" ref="R4016:R4079" si="899">+J4016/4</f>
        <v>0</v>
      </c>
      <c r="S4016" s="130"/>
      <c r="T4016" s="130"/>
      <c r="U4016" s="130">
        <f t="shared" si="888"/>
        <v>0</v>
      </c>
      <c r="V4016" s="131">
        <f t="shared" ref="V4016:V4079" si="900">+J4016/4</f>
        <v>0</v>
      </c>
      <c r="W4016" s="130"/>
      <c r="X4016" s="130"/>
      <c r="Y4016" s="130"/>
      <c r="Z4016" s="130"/>
      <c r="AA4016" s="130">
        <f t="shared" si="898"/>
        <v>0</v>
      </c>
      <c r="AB4016" s="131">
        <f t="shared" si="895"/>
        <v>0</v>
      </c>
      <c r="AC4016" s="130"/>
      <c r="AD4016" s="130"/>
      <c r="AE4016" s="130">
        <f t="shared" si="898"/>
        <v>0</v>
      </c>
      <c r="AF4016" s="131">
        <f t="shared" si="890"/>
        <v>0</v>
      </c>
      <c r="AG4016" s="130"/>
      <c r="AH4016" s="130"/>
      <c r="AI4016" s="130"/>
      <c r="AJ4016" s="130"/>
      <c r="AK4016" s="131">
        <f t="shared" si="891"/>
        <v>0</v>
      </c>
      <c r="AL4016" s="446">
        <f t="shared" si="892"/>
        <v>0</v>
      </c>
      <c r="AM4016" s="110">
        <f t="shared" si="893"/>
        <v>0</v>
      </c>
      <c r="AN4016" s="447">
        <f t="shared" si="896"/>
        <v>0</v>
      </c>
      <c r="AO4016"/>
      <c r="AP4016"/>
    </row>
    <row r="4017" spans="1:42" x14ac:dyDescent="0.25">
      <c r="A4017" s="310">
        <v>39902</v>
      </c>
      <c r="B4017" s="375" t="s">
        <v>950</v>
      </c>
      <c r="C4017" s="310"/>
      <c r="D4017" s="902"/>
      <c r="E4017" s="312"/>
      <c r="F4017" s="313"/>
      <c r="G4017" s="313"/>
      <c r="H4017" s="313"/>
      <c r="I4017" s="729"/>
      <c r="J4017" s="800"/>
      <c r="K4017" s="131">
        <f t="shared" si="897"/>
        <v>0</v>
      </c>
      <c r="L4017" s="335">
        <f t="shared" si="889"/>
        <v>0</v>
      </c>
      <c r="M4017" s="421"/>
      <c r="N4017" s="421"/>
      <c r="O4017" s="421"/>
      <c r="P4017" s="421"/>
      <c r="Q4017" s="387">
        <f t="shared" ref="Q4017:Q4080" si="901">+$D4017/4</f>
        <v>0</v>
      </c>
      <c r="R4017" s="314">
        <f t="shared" si="899"/>
        <v>0</v>
      </c>
      <c r="S4017" s="387"/>
      <c r="T4017" s="387"/>
      <c r="U4017" s="387">
        <f t="shared" ref="U4017:U4080" si="902">+$D4017/4</f>
        <v>0</v>
      </c>
      <c r="V4017" s="314">
        <f t="shared" si="900"/>
        <v>0</v>
      </c>
      <c r="W4017" s="387"/>
      <c r="X4017" s="387"/>
      <c r="Y4017" s="387"/>
      <c r="Z4017" s="387"/>
      <c r="AA4017" s="387">
        <f t="shared" si="898"/>
        <v>0</v>
      </c>
      <c r="AB4017" s="314">
        <f t="shared" si="895"/>
        <v>0</v>
      </c>
      <c r="AC4017" s="387"/>
      <c r="AD4017" s="387"/>
      <c r="AE4017" s="387">
        <f t="shared" si="898"/>
        <v>0</v>
      </c>
      <c r="AF4017" s="314">
        <f t="shared" si="890"/>
        <v>0</v>
      </c>
      <c r="AG4017" s="387"/>
      <c r="AH4017" s="387"/>
      <c r="AI4017" s="387"/>
      <c r="AJ4017" s="387"/>
      <c r="AK4017" s="314">
        <f t="shared" si="891"/>
        <v>0</v>
      </c>
      <c r="AL4017" s="446">
        <f t="shared" si="892"/>
        <v>0</v>
      </c>
      <c r="AM4017" s="110">
        <f t="shared" si="893"/>
        <v>0</v>
      </c>
      <c r="AN4017" s="447">
        <f t="shared" si="896"/>
        <v>0</v>
      </c>
      <c r="AO4017" s="108"/>
      <c r="AP4017"/>
    </row>
    <row r="4018" spans="1:42" x14ac:dyDescent="0.25">
      <c r="A4018" s="9"/>
      <c r="B4018" s="71"/>
      <c r="C4018" s="4"/>
      <c r="D4018" s="879"/>
      <c r="I4018" s="720"/>
      <c r="K4018" s="131">
        <f t="shared" si="897"/>
        <v>0</v>
      </c>
      <c r="L4018" s="335">
        <f t="shared" si="889"/>
        <v>0</v>
      </c>
      <c r="M4018" s="446"/>
      <c r="N4018" s="446"/>
      <c r="O4018" s="446"/>
      <c r="P4018" s="446"/>
      <c r="Q4018" s="110">
        <f t="shared" si="901"/>
        <v>0</v>
      </c>
      <c r="R4018" s="111">
        <f t="shared" si="899"/>
        <v>0</v>
      </c>
      <c r="S4018" s="110"/>
      <c r="T4018" s="110"/>
      <c r="U4018" s="110">
        <f t="shared" si="902"/>
        <v>0</v>
      </c>
      <c r="V4018" s="111">
        <f t="shared" si="900"/>
        <v>0</v>
      </c>
      <c r="W4018" s="110"/>
      <c r="X4018" s="110"/>
      <c r="Y4018" s="110"/>
      <c r="Z4018" s="110"/>
      <c r="AA4018" s="110">
        <f t="shared" si="898"/>
        <v>0</v>
      </c>
      <c r="AB4018" s="111">
        <f t="shared" si="895"/>
        <v>0</v>
      </c>
      <c r="AC4018" s="110"/>
      <c r="AD4018" s="110"/>
      <c r="AE4018" s="110">
        <f t="shared" si="898"/>
        <v>0</v>
      </c>
      <c r="AF4018" s="111">
        <f t="shared" si="890"/>
        <v>0</v>
      </c>
      <c r="AG4018" s="110"/>
      <c r="AH4018" s="110"/>
      <c r="AI4018" s="110"/>
      <c r="AJ4018" s="110"/>
      <c r="AK4018" s="111">
        <f t="shared" si="891"/>
        <v>0</v>
      </c>
      <c r="AL4018" s="446">
        <f t="shared" si="892"/>
        <v>0</v>
      </c>
      <c r="AM4018" s="110">
        <f t="shared" si="893"/>
        <v>0</v>
      </c>
      <c r="AN4018" s="447">
        <f t="shared" si="896"/>
        <v>0</v>
      </c>
      <c r="AO4018"/>
      <c r="AP4018"/>
    </row>
    <row r="4019" spans="1:42" x14ac:dyDescent="0.25">
      <c r="A4019" s="100">
        <v>4000</v>
      </c>
      <c r="B4019" s="468" t="s">
        <v>965</v>
      </c>
      <c r="C4019" s="100"/>
      <c r="D4019" s="930"/>
      <c r="E4019" s="18"/>
      <c r="F4019" s="297"/>
      <c r="G4019" s="297"/>
      <c r="H4019" s="297"/>
      <c r="I4019" s="714"/>
      <c r="J4019" s="750"/>
      <c r="K4019" s="131">
        <f t="shared" si="897"/>
        <v>0</v>
      </c>
      <c r="L4019" s="335">
        <f t="shared" si="889"/>
        <v>0</v>
      </c>
      <c r="M4019" s="455"/>
      <c r="N4019" s="455"/>
      <c r="O4019" s="455"/>
      <c r="P4019" s="455"/>
      <c r="Q4019" s="384">
        <f t="shared" si="901"/>
        <v>0</v>
      </c>
      <c r="R4019" s="298">
        <f t="shared" si="899"/>
        <v>0</v>
      </c>
      <c r="S4019" s="384"/>
      <c r="T4019" s="384"/>
      <c r="U4019" s="384">
        <f t="shared" si="902"/>
        <v>0</v>
      </c>
      <c r="V4019" s="298">
        <f t="shared" si="900"/>
        <v>0</v>
      </c>
      <c r="W4019" s="384"/>
      <c r="X4019" s="384"/>
      <c r="Y4019" s="384"/>
      <c r="Z4019" s="384"/>
      <c r="AA4019" s="384">
        <f t="shared" si="898"/>
        <v>0</v>
      </c>
      <c r="AB4019" s="298">
        <f t="shared" si="895"/>
        <v>0</v>
      </c>
      <c r="AC4019" s="384"/>
      <c r="AD4019" s="384"/>
      <c r="AE4019" s="384">
        <f t="shared" si="898"/>
        <v>0</v>
      </c>
      <c r="AF4019" s="298">
        <f t="shared" si="890"/>
        <v>0</v>
      </c>
      <c r="AG4019" s="384"/>
      <c r="AH4019" s="384"/>
      <c r="AI4019" s="384"/>
      <c r="AJ4019" s="384"/>
      <c r="AK4019" s="298">
        <f t="shared" si="891"/>
        <v>0</v>
      </c>
      <c r="AL4019" s="455">
        <f t="shared" si="892"/>
        <v>0</v>
      </c>
      <c r="AM4019" s="384">
        <f t="shared" si="893"/>
        <v>0</v>
      </c>
      <c r="AN4019" s="456">
        <f t="shared" si="896"/>
        <v>0</v>
      </c>
      <c r="AO4019" s="291"/>
      <c r="AP4019"/>
    </row>
    <row r="4020" spans="1:42" x14ac:dyDescent="0.25">
      <c r="A4020" s="376">
        <v>411</v>
      </c>
      <c r="B4020" s="588" t="s">
        <v>966</v>
      </c>
      <c r="C4020" s="376"/>
      <c r="D4020" s="940"/>
      <c r="E4020" s="377"/>
      <c r="F4020" s="378"/>
      <c r="G4020" s="378"/>
      <c r="H4020" s="378"/>
      <c r="I4020" s="734"/>
      <c r="J4020" s="806"/>
      <c r="K4020" s="131">
        <f t="shared" si="897"/>
        <v>0</v>
      </c>
      <c r="L4020" s="335">
        <f t="shared" si="889"/>
        <v>0</v>
      </c>
      <c r="M4020" s="419"/>
      <c r="N4020" s="419"/>
      <c r="O4020" s="419"/>
      <c r="P4020" s="419"/>
      <c r="Q4020" s="418">
        <f t="shared" si="901"/>
        <v>0</v>
      </c>
      <c r="R4020" s="379">
        <f t="shared" si="899"/>
        <v>0</v>
      </c>
      <c r="S4020" s="418"/>
      <c r="T4020" s="418"/>
      <c r="U4020" s="418">
        <f t="shared" si="902"/>
        <v>0</v>
      </c>
      <c r="V4020" s="379">
        <f t="shared" si="900"/>
        <v>0</v>
      </c>
      <c r="W4020" s="418"/>
      <c r="X4020" s="418"/>
      <c r="Y4020" s="418"/>
      <c r="Z4020" s="418"/>
      <c r="AA4020" s="418">
        <f t="shared" si="898"/>
        <v>0</v>
      </c>
      <c r="AB4020" s="379">
        <f t="shared" si="895"/>
        <v>0</v>
      </c>
      <c r="AC4020" s="418"/>
      <c r="AD4020" s="418"/>
      <c r="AE4020" s="418">
        <f t="shared" si="898"/>
        <v>0</v>
      </c>
      <c r="AF4020" s="379">
        <f t="shared" si="890"/>
        <v>0</v>
      </c>
      <c r="AG4020" s="418"/>
      <c r="AH4020" s="418"/>
      <c r="AI4020" s="418"/>
      <c r="AJ4020" s="418"/>
      <c r="AK4020" s="379">
        <f t="shared" si="891"/>
        <v>0</v>
      </c>
      <c r="AL4020" s="446">
        <f t="shared" si="892"/>
        <v>0</v>
      </c>
      <c r="AM4020" s="110">
        <f t="shared" si="893"/>
        <v>0</v>
      </c>
      <c r="AN4020" s="447">
        <f t="shared" si="896"/>
        <v>0</v>
      </c>
      <c r="AO4020" s="108"/>
      <c r="AP4020"/>
    </row>
    <row r="4021" spans="1:42" x14ac:dyDescent="0.25">
      <c r="A4021" s="310">
        <v>41101</v>
      </c>
      <c r="B4021" s="375" t="s">
        <v>966</v>
      </c>
      <c r="C4021" s="310"/>
      <c r="D4021" s="902"/>
      <c r="E4021" s="312"/>
      <c r="F4021" s="313"/>
      <c r="G4021" s="313"/>
      <c r="H4021" s="313"/>
      <c r="I4021" s="729"/>
      <c r="J4021" s="800"/>
      <c r="K4021" s="131">
        <f t="shared" si="897"/>
        <v>0</v>
      </c>
      <c r="L4021" s="335">
        <f t="shared" si="889"/>
        <v>0</v>
      </c>
      <c r="M4021" s="421"/>
      <c r="N4021" s="421"/>
      <c r="O4021" s="421"/>
      <c r="P4021" s="421"/>
      <c r="Q4021" s="387">
        <f t="shared" si="901"/>
        <v>0</v>
      </c>
      <c r="R4021" s="314">
        <f t="shared" si="899"/>
        <v>0</v>
      </c>
      <c r="S4021" s="387"/>
      <c r="T4021" s="387"/>
      <c r="U4021" s="387">
        <f t="shared" si="902"/>
        <v>0</v>
      </c>
      <c r="V4021" s="314">
        <f t="shared" si="900"/>
        <v>0</v>
      </c>
      <c r="W4021" s="387"/>
      <c r="X4021" s="387"/>
      <c r="Y4021" s="387"/>
      <c r="Z4021" s="387"/>
      <c r="AA4021" s="387">
        <f t="shared" si="898"/>
        <v>0</v>
      </c>
      <c r="AB4021" s="314">
        <f t="shared" si="895"/>
        <v>0</v>
      </c>
      <c r="AC4021" s="387"/>
      <c r="AD4021" s="387"/>
      <c r="AE4021" s="387">
        <f t="shared" si="898"/>
        <v>0</v>
      </c>
      <c r="AF4021" s="314">
        <f t="shared" si="890"/>
        <v>0</v>
      </c>
      <c r="AG4021" s="387"/>
      <c r="AH4021" s="387"/>
      <c r="AI4021" s="387"/>
      <c r="AJ4021" s="387"/>
      <c r="AK4021" s="314">
        <f t="shared" si="891"/>
        <v>0</v>
      </c>
      <c r="AL4021" s="446">
        <f t="shared" si="892"/>
        <v>0</v>
      </c>
      <c r="AM4021" s="110">
        <f t="shared" si="893"/>
        <v>0</v>
      </c>
      <c r="AN4021" s="447">
        <f t="shared" si="896"/>
        <v>0</v>
      </c>
      <c r="AO4021" s="108"/>
      <c r="AP4021"/>
    </row>
    <row r="4022" spans="1:42" s="108" customFormat="1" x14ac:dyDescent="0.25">
      <c r="A4022" s="93"/>
      <c r="B4022" s="71"/>
      <c r="C4022" s="9"/>
      <c r="D4022" s="869"/>
      <c r="E4022" s="1027"/>
      <c r="F4022" s="272"/>
      <c r="G4022" s="272"/>
      <c r="H4022" s="272"/>
      <c r="I4022" s="722"/>
      <c r="J4022" s="763"/>
      <c r="K4022" s="131">
        <f t="shared" si="897"/>
        <v>0</v>
      </c>
      <c r="L4022" s="335">
        <f t="shared" ref="L4022:L4085" si="903">+J4022-K4022</f>
        <v>0</v>
      </c>
      <c r="M4022" s="335"/>
      <c r="N4022" s="335"/>
      <c r="O4022" s="335"/>
      <c r="P4022" s="335"/>
      <c r="Q4022" s="130">
        <f t="shared" si="901"/>
        <v>0</v>
      </c>
      <c r="R4022" s="131">
        <f t="shared" si="899"/>
        <v>0</v>
      </c>
      <c r="S4022" s="130"/>
      <c r="T4022" s="130"/>
      <c r="U4022" s="130">
        <f t="shared" si="902"/>
        <v>0</v>
      </c>
      <c r="V4022" s="131">
        <f t="shared" si="900"/>
        <v>0</v>
      </c>
      <c r="W4022" s="130"/>
      <c r="X4022" s="130"/>
      <c r="Y4022" s="130"/>
      <c r="Z4022" s="130"/>
      <c r="AA4022" s="130">
        <f t="shared" si="898"/>
        <v>0</v>
      </c>
      <c r="AB4022" s="131">
        <f t="shared" si="895"/>
        <v>0</v>
      </c>
      <c r="AC4022" s="130"/>
      <c r="AD4022" s="130"/>
      <c r="AE4022" s="130">
        <f t="shared" si="898"/>
        <v>0</v>
      </c>
      <c r="AF4022" s="131">
        <f t="shared" ref="AF4022:AF4085" si="904">+J4022/4</f>
        <v>0</v>
      </c>
      <c r="AG4022" s="130"/>
      <c r="AH4022" s="130"/>
      <c r="AI4022" s="130"/>
      <c r="AJ4022" s="130"/>
      <c r="AK4022" s="131">
        <f t="shared" ref="AK4022:AK4085" si="905">+R4022+V4022+AB4022+AF4022</f>
        <v>0</v>
      </c>
      <c r="AL4022" s="446">
        <f t="shared" ref="AL4022:AL4085" si="906">+J4022-AK4022</f>
        <v>0</v>
      </c>
      <c r="AM4022" s="110">
        <f t="shared" ref="AM4022:AM4085" si="907">+Q4022+U4022+AA4022+AE4022</f>
        <v>0</v>
      </c>
      <c r="AN4022" s="447">
        <f t="shared" si="896"/>
        <v>0</v>
      </c>
      <c r="AO4022"/>
      <c r="AP4022"/>
    </row>
    <row r="4023" spans="1:42" x14ac:dyDescent="0.25">
      <c r="A4023" s="376">
        <v>412</v>
      </c>
      <c r="B4023" s="588" t="s">
        <v>967</v>
      </c>
      <c r="C4023" s="376"/>
      <c r="D4023" s="940"/>
      <c r="E4023" s="377"/>
      <c r="F4023" s="378"/>
      <c r="G4023" s="378"/>
      <c r="H4023" s="378"/>
      <c r="I4023" s="734"/>
      <c r="J4023" s="806"/>
      <c r="K4023" s="131">
        <f t="shared" si="897"/>
        <v>0</v>
      </c>
      <c r="L4023" s="335">
        <f t="shared" si="903"/>
        <v>0</v>
      </c>
      <c r="M4023" s="419"/>
      <c r="N4023" s="419"/>
      <c r="O4023" s="419"/>
      <c r="P4023" s="419"/>
      <c r="Q4023" s="418">
        <f t="shared" si="901"/>
        <v>0</v>
      </c>
      <c r="R4023" s="379">
        <f t="shared" si="899"/>
        <v>0</v>
      </c>
      <c r="S4023" s="418"/>
      <c r="T4023" s="418"/>
      <c r="U4023" s="418">
        <f t="shared" si="902"/>
        <v>0</v>
      </c>
      <c r="V4023" s="379">
        <f t="shared" si="900"/>
        <v>0</v>
      </c>
      <c r="W4023" s="418"/>
      <c r="X4023" s="418"/>
      <c r="Y4023" s="418"/>
      <c r="Z4023" s="418"/>
      <c r="AA4023" s="418">
        <f t="shared" si="898"/>
        <v>0</v>
      </c>
      <c r="AB4023" s="379">
        <f t="shared" si="895"/>
        <v>0</v>
      </c>
      <c r="AC4023" s="418"/>
      <c r="AD4023" s="418"/>
      <c r="AE4023" s="418">
        <f t="shared" si="898"/>
        <v>0</v>
      </c>
      <c r="AF4023" s="379">
        <f t="shared" si="904"/>
        <v>0</v>
      </c>
      <c r="AG4023" s="418"/>
      <c r="AH4023" s="418"/>
      <c r="AI4023" s="418"/>
      <c r="AJ4023" s="418"/>
      <c r="AK4023" s="379">
        <f t="shared" si="905"/>
        <v>0</v>
      </c>
      <c r="AL4023" s="446">
        <f t="shared" si="906"/>
        <v>0</v>
      </c>
      <c r="AM4023" s="110">
        <f t="shared" si="907"/>
        <v>0</v>
      </c>
      <c r="AN4023" s="447">
        <f t="shared" si="896"/>
        <v>0</v>
      </c>
      <c r="AO4023" s="108"/>
      <c r="AP4023"/>
    </row>
    <row r="4024" spans="1:42" x14ac:dyDescent="0.25">
      <c r="A4024" s="310">
        <v>41201</v>
      </c>
      <c r="B4024" s="375" t="s">
        <v>968</v>
      </c>
      <c r="C4024" s="310"/>
      <c r="D4024" s="902"/>
      <c r="E4024" s="312"/>
      <c r="F4024" s="313"/>
      <c r="G4024" s="313"/>
      <c r="H4024" s="313"/>
      <c r="I4024" s="729"/>
      <c r="J4024" s="800"/>
      <c r="K4024" s="131">
        <f t="shared" si="897"/>
        <v>0</v>
      </c>
      <c r="L4024" s="335">
        <f t="shared" si="903"/>
        <v>0</v>
      </c>
      <c r="M4024" s="421"/>
      <c r="N4024" s="421"/>
      <c r="O4024" s="421"/>
      <c r="P4024" s="421"/>
      <c r="Q4024" s="387">
        <f t="shared" si="901"/>
        <v>0</v>
      </c>
      <c r="R4024" s="314">
        <f t="shared" si="899"/>
        <v>0</v>
      </c>
      <c r="S4024" s="387"/>
      <c r="T4024" s="387"/>
      <c r="U4024" s="387">
        <f t="shared" si="902"/>
        <v>0</v>
      </c>
      <c r="V4024" s="314">
        <f t="shared" si="900"/>
        <v>0</v>
      </c>
      <c r="W4024" s="387"/>
      <c r="X4024" s="387"/>
      <c r="Y4024" s="387"/>
      <c r="Z4024" s="387"/>
      <c r="AA4024" s="387">
        <f t="shared" si="898"/>
        <v>0</v>
      </c>
      <c r="AB4024" s="314">
        <f t="shared" si="895"/>
        <v>0</v>
      </c>
      <c r="AC4024" s="387"/>
      <c r="AD4024" s="387"/>
      <c r="AE4024" s="387">
        <f t="shared" si="898"/>
        <v>0</v>
      </c>
      <c r="AF4024" s="314">
        <f t="shared" si="904"/>
        <v>0</v>
      </c>
      <c r="AG4024" s="387"/>
      <c r="AH4024" s="387"/>
      <c r="AI4024" s="387"/>
      <c r="AJ4024" s="387"/>
      <c r="AK4024" s="314">
        <f t="shared" si="905"/>
        <v>0</v>
      </c>
      <c r="AL4024" s="446">
        <f t="shared" si="906"/>
        <v>0</v>
      </c>
      <c r="AM4024" s="110">
        <f t="shared" si="907"/>
        <v>0</v>
      </c>
      <c r="AN4024" s="447">
        <f t="shared" si="896"/>
        <v>0</v>
      </c>
      <c r="AO4024" s="108"/>
      <c r="AP4024"/>
    </row>
    <row r="4025" spans="1:42" s="108" customFormat="1" x14ac:dyDescent="0.25">
      <c r="A4025" s="93"/>
      <c r="B4025" s="57"/>
      <c r="C4025" s="9"/>
      <c r="D4025" s="869"/>
      <c r="E4025" s="1027"/>
      <c r="F4025" s="272"/>
      <c r="G4025" s="272"/>
      <c r="H4025" s="272"/>
      <c r="I4025" s="722"/>
      <c r="J4025" s="763"/>
      <c r="K4025" s="131">
        <f t="shared" si="897"/>
        <v>0</v>
      </c>
      <c r="L4025" s="335">
        <f t="shared" si="903"/>
        <v>0</v>
      </c>
      <c r="M4025" s="335"/>
      <c r="N4025" s="335"/>
      <c r="O4025" s="335"/>
      <c r="P4025" s="335"/>
      <c r="Q4025" s="130">
        <f t="shared" si="901"/>
        <v>0</v>
      </c>
      <c r="R4025" s="131">
        <f t="shared" si="899"/>
        <v>0</v>
      </c>
      <c r="S4025" s="130"/>
      <c r="T4025" s="130"/>
      <c r="U4025" s="130">
        <f t="shared" si="902"/>
        <v>0</v>
      </c>
      <c r="V4025" s="131">
        <f t="shared" si="900"/>
        <v>0</v>
      </c>
      <c r="W4025" s="130"/>
      <c r="X4025" s="130"/>
      <c r="Y4025" s="130"/>
      <c r="Z4025" s="130"/>
      <c r="AA4025" s="130">
        <f t="shared" si="898"/>
        <v>0</v>
      </c>
      <c r="AB4025" s="131">
        <f t="shared" si="895"/>
        <v>0</v>
      </c>
      <c r="AC4025" s="130"/>
      <c r="AD4025" s="130"/>
      <c r="AE4025" s="130">
        <f t="shared" si="898"/>
        <v>0</v>
      </c>
      <c r="AF4025" s="131">
        <f t="shared" si="904"/>
        <v>0</v>
      </c>
      <c r="AG4025" s="130"/>
      <c r="AH4025" s="130"/>
      <c r="AI4025" s="130"/>
      <c r="AJ4025" s="130"/>
      <c r="AK4025" s="131">
        <f t="shared" si="905"/>
        <v>0</v>
      </c>
      <c r="AL4025" s="446">
        <f t="shared" si="906"/>
        <v>0</v>
      </c>
      <c r="AM4025" s="110">
        <f t="shared" si="907"/>
        <v>0</v>
      </c>
      <c r="AN4025" s="447">
        <f t="shared" si="896"/>
        <v>0</v>
      </c>
      <c r="AO4025"/>
      <c r="AP4025"/>
    </row>
    <row r="4026" spans="1:42" x14ac:dyDescent="0.25">
      <c r="A4026" s="310">
        <v>41202</v>
      </c>
      <c r="B4026" s="375" t="s">
        <v>969</v>
      </c>
      <c r="C4026" s="310"/>
      <c r="D4026" s="902"/>
      <c r="E4026" s="312"/>
      <c r="F4026" s="313"/>
      <c r="G4026" s="313"/>
      <c r="H4026" s="313"/>
      <c r="I4026" s="729"/>
      <c r="J4026" s="800"/>
      <c r="K4026" s="131">
        <f t="shared" si="897"/>
        <v>0</v>
      </c>
      <c r="L4026" s="335">
        <f t="shared" si="903"/>
        <v>0</v>
      </c>
      <c r="M4026" s="421"/>
      <c r="N4026" s="421"/>
      <c r="O4026" s="421"/>
      <c r="P4026" s="421"/>
      <c r="Q4026" s="387">
        <f t="shared" si="901"/>
        <v>0</v>
      </c>
      <c r="R4026" s="314">
        <f t="shared" si="899"/>
        <v>0</v>
      </c>
      <c r="S4026" s="387"/>
      <c r="T4026" s="387"/>
      <c r="U4026" s="387">
        <f t="shared" si="902"/>
        <v>0</v>
      </c>
      <c r="V4026" s="314">
        <f t="shared" si="900"/>
        <v>0</v>
      </c>
      <c r="W4026" s="387"/>
      <c r="X4026" s="387"/>
      <c r="Y4026" s="387"/>
      <c r="Z4026" s="387"/>
      <c r="AA4026" s="387">
        <f t="shared" si="898"/>
        <v>0</v>
      </c>
      <c r="AB4026" s="314">
        <f t="shared" si="895"/>
        <v>0</v>
      </c>
      <c r="AC4026" s="387"/>
      <c r="AD4026" s="387"/>
      <c r="AE4026" s="387">
        <f t="shared" si="898"/>
        <v>0</v>
      </c>
      <c r="AF4026" s="314">
        <f t="shared" si="904"/>
        <v>0</v>
      </c>
      <c r="AG4026" s="387"/>
      <c r="AH4026" s="387"/>
      <c r="AI4026" s="387"/>
      <c r="AJ4026" s="387"/>
      <c r="AK4026" s="314">
        <f t="shared" si="905"/>
        <v>0</v>
      </c>
      <c r="AL4026" s="446">
        <f t="shared" si="906"/>
        <v>0</v>
      </c>
      <c r="AM4026" s="110">
        <f t="shared" si="907"/>
        <v>0</v>
      </c>
      <c r="AN4026" s="447">
        <f t="shared" si="896"/>
        <v>0</v>
      </c>
      <c r="AO4026" s="108"/>
      <c r="AP4026"/>
    </row>
    <row r="4027" spans="1:42" s="108" customFormat="1" x14ac:dyDescent="0.25">
      <c r="A4027" s="93"/>
      <c r="B4027" s="57"/>
      <c r="C4027" s="9"/>
      <c r="D4027" s="869"/>
      <c r="E4027" s="1027"/>
      <c r="F4027" s="272"/>
      <c r="G4027" s="272"/>
      <c r="H4027" s="272"/>
      <c r="I4027" s="722"/>
      <c r="J4027" s="763"/>
      <c r="K4027" s="131">
        <f t="shared" si="897"/>
        <v>0</v>
      </c>
      <c r="L4027" s="335">
        <f t="shared" si="903"/>
        <v>0</v>
      </c>
      <c r="M4027" s="335"/>
      <c r="N4027" s="335"/>
      <c r="O4027" s="335"/>
      <c r="P4027" s="335"/>
      <c r="Q4027" s="130">
        <f t="shared" si="901"/>
        <v>0</v>
      </c>
      <c r="R4027" s="131">
        <f t="shared" si="899"/>
        <v>0</v>
      </c>
      <c r="S4027" s="130"/>
      <c r="T4027" s="130"/>
      <c r="U4027" s="130">
        <f t="shared" si="902"/>
        <v>0</v>
      </c>
      <c r="V4027" s="131">
        <f t="shared" si="900"/>
        <v>0</v>
      </c>
      <c r="W4027" s="130"/>
      <c r="X4027" s="130"/>
      <c r="Y4027" s="130"/>
      <c r="Z4027" s="130"/>
      <c r="AA4027" s="130">
        <f t="shared" si="898"/>
        <v>0</v>
      </c>
      <c r="AB4027" s="131">
        <f t="shared" si="895"/>
        <v>0</v>
      </c>
      <c r="AC4027" s="130"/>
      <c r="AD4027" s="130"/>
      <c r="AE4027" s="130">
        <f t="shared" si="898"/>
        <v>0</v>
      </c>
      <c r="AF4027" s="131">
        <f t="shared" si="904"/>
        <v>0</v>
      </c>
      <c r="AG4027" s="130"/>
      <c r="AH4027" s="130"/>
      <c r="AI4027" s="130"/>
      <c r="AJ4027" s="130"/>
      <c r="AK4027" s="131">
        <f t="shared" si="905"/>
        <v>0</v>
      </c>
      <c r="AL4027" s="446">
        <f t="shared" si="906"/>
        <v>0</v>
      </c>
      <c r="AM4027" s="110">
        <f t="shared" si="907"/>
        <v>0</v>
      </c>
      <c r="AN4027" s="447">
        <f t="shared" si="896"/>
        <v>0</v>
      </c>
      <c r="AO4027"/>
      <c r="AP4027"/>
    </row>
    <row r="4028" spans="1:42" x14ac:dyDescent="0.25">
      <c r="A4028" s="376">
        <v>413</v>
      </c>
      <c r="B4028" s="588" t="s">
        <v>970</v>
      </c>
      <c r="C4028" s="376"/>
      <c r="D4028" s="940"/>
      <c r="E4028" s="377"/>
      <c r="F4028" s="378"/>
      <c r="G4028" s="378"/>
      <c r="H4028" s="378"/>
      <c r="I4028" s="734"/>
      <c r="J4028" s="806"/>
      <c r="K4028" s="131">
        <f t="shared" si="897"/>
        <v>0</v>
      </c>
      <c r="L4028" s="335">
        <f t="shared" si="903"/>
        <v>0</v>
      </c>
      <c r="M4028" s="419"/>
      <c r="N4028" s="419"/>
      <c r="O4028" s="419"/>
      <c r="P4028" s="419"/>
      <c r="Q4028" s="418">
        <f t="shared" si="901"/>
        <v>0</v>
      </c>
      <c r="R4028" s="379">
        <f t="shared" si="899"/>
        <v>0</v>
      </c>
      <c r="S4028" s="418"/>
      <c r="T4028" s="418"/>
      <c r="U4028" s="418">
        <f t="shared" si="902"/>
        <v>0</v>
      </c>
      <c r="V4028" s="379">
        <f t="shared" si="900"/>
        <v>0</v>
      </c>
      <c r="W4028" s="418"/>
      <c r="X4028" s="418"/>
      <c r="Y4028" s="418"/>
      <c r="Z4028" s="418"/>
      <c r="AA4028" s="418">
        <f t="shared" si="898"/>
        <v>0</v>
      </c>
      <c r="AB4028" s="379">
        <f t="shared" si="895"/>
        <v>0</v>
      </c>
      <c r="AC4028" s="418"/>
      <c r="AD4028" s="418"/>
      <c r="AE4028" s="418">
        <f t="shared" si="898"/>
        <v>0</v>
      </c>
      <c r="AF4028" s="379">
        <f t="shared" si="904"/>
        <v>0</v>
      </c>
      <c r="AG4028" s="418"/>
      <c r="AH4028" s="418"/>
      <c r="AI4028" s="418"/>
      <c r="AJ4028" s="418"/>
      <c r="AK4028" s="379">
        <f t="shared" si="905"/>
        <v>0</v>
      </c>
      <c r="AL4028" s="446">
        <f t="shared" si="906"/>
        <v>0</v>
      </c>
      <c r="AM4028" s="110">
        <f t="shared" si="907"/>
        <v>0</v>
      </c>
      <c r="AN4028" s="447">
        <f t="shared" si="896"/>
        <v>0</v>
      </c>
      <c r="AO4028" s="108"/>
      <c r="AP4028"/>
    </row>
    <row r="4029" spans="1:42" x14ac:dyDescent="0.25">
      <c r="A4029" s="310">
        <v>41301</v>
      </c>
      <c r="B4029" s="375" t="s">
        <v>970</v>
      </c>
      <c r="C4029" s="310"/>
      <c r="D4029" s="902"/>
      <c r="E4029" s="312"/>
      <c r="F4029" s="313"/>
      <c r="G4029" s="313"/>
      <c r="H4029" s="313"/>
      <c r="I4029" s="729"/>
      <c r="J4029" s="800"/>
      <c r="K4029" s="131">
        <f t="shared" si="897"/>
        <v>0</v>
      </c>
      <c r="L4029" s="335">
        <f t="shared" si="903"/>
        <v>0</v>
      </c>
      <c r="M4029" s="421"/>
      <c r="N4029" s="421"/>
      <c r="O4029" s="421"/>
      <c r="P4029" s="421"/>
      <c r="Q4029" s="387">
        <f t="shared" si="901"/>
        <v>0</v>
      </c>
      <c r="R4029" s="314">
        <f t="shared" si="899"/>
        <v>0</v>
      </c>
      <c r="S4029" s="387"/>
      <c r="T4029" s="387"/>
      <c r="U4029" s="387">
        <f t="shared" si="902"/>
        <v>0</v>
      </c>
      <c r="V4029" s="314">
        <f t="shared" si="900"/>
        <v>0</v>
      </c>
      <c r="W4029" s="387"/>
      <c r="X4029" s="387"/>
      <c r="Y4029" s="387"/>
      <c r="Z4029" s="387"/>
      <c r="AA4029" s="387">
        <f t="shared" si="898"/>
        <v>0</v>
      </c>
      <c r="AB4029" s="314">
        <f t="shared" si="895"/>
        <v>0</v>
      </c>
      <c r="AC4029" s="387"/>
      <c r="AD4029" s="387"/>
      <c r="AE4029" s="387">
        <f t="shared" si="898"/>
        <v>0</v>
      </c>
      <c r="AF4029" s="314">
        <f t="shared" si="904"/>
        <v>0</v>
      </c>
      <c r="AG4029" s="387"/>
      <c r="AH4029" s="387"/>
      <c r="AI4029" s="387"/>
      <c r="AJ4029" s="387"/>
      <c r="AK4029" s="314">
        <f t="shared" si="905"/>
        <v>0</v>
      </c>
      <c r="AL4029" s="446">
        <f t="shared" si="906"/>
        <v>0</v>
      </c>
      <c r="AM4029" s="110">
        <f t="shared" si="907"/>
        <v>0</v>
      </c>
      <c r="AN4029" s="447">
        <f t="shared" si="896"/>
        <v>0</v>
      </c>
      <c r="AO4029" s="108"/>
      <c r="AP4029"/>
    </row>
    <row r="4030" spans="1:42" s="108" customFormat="1" x14ac:dyDescent="0.25">
      <c r="A4030" s="58"/>
      <c r="B4030" s="482"/>
      <c r="C4030" s="9"/>
      <c r="D4030" s="869"/>
      <c r="E4030" s="1027"/>
      <c r="F4030" s="272"/>
      <c r="G4030" s="272"/>
      <c r="H4030" s="272"/>
      <c r="I4030" s="722"/>
      <c r="J4030" s="763"/>
      <c r="K4030" s="131">
        <f t="shared" si="897"/>
        <v>0</v>
      </c>
      <c r="L4030" s="335">
        <f t="shared" si="903"/>
        <v>0</v>
      </c>
      <c r="M4030" s="335"/>
      <c r="N4030" s="335"/>
      <c r="O4030" s="335"/>
      <c r="P4030" s="335"/>
      <c r="Q4030" s="130">
        <f t="shared" si="901"/>
        <v>0</v>
      </c>
      <c r="R4030" s="131">
        <f t="shared" si="899"/>
        <v>0</v>
      </c>
      <c r="S4030" s="130"/>
      <c r="T4030" s="130"/>
      <c r="U4030" s="130">
        <f t="shared" si="902"/>
        <v>0</v>
      </c>
      <c r="V4030" s="131">
        <f t="shared" si="900"/>
        <v>0</v>
      </c>
      <c r="W4030" s="130"/>
      <c r="X4030" s="130"/>
      <c r="Y4030" s="130"/>
      <c r="Z4030" s="130"/>
      <c r="AA4030" s="130">
        <f t="shared" si="898"/>
        <v>0</v>
      </c>
      <c r="AB4030" s="131">
        <f t="shared" si="895"/>
        <v>0</v>
      </c>
      <c r="AC4030" s="130"/>
      <c r="AD4030" s="130"/>
      <c r="AE4030" s="130">
        <f t="shared" si="898"/>
        <v>0</v>
      </c>
      <c r="AF4030" s="131">
        <f t="shared" si="904"/>
        <v>0</v>
      </c>
      <c r="AG4030" s="130"/>
      <c r="AH4030" s="130"/>
      <c r="AI4030" s="130"/>
      <c r="AJ4030" s="130"/>
      <c r="AK4030" s="131">
        <f t="shared" si="905"/>
        <v>0</v>
      </c>
      <c r="AL4030" s="446">
        <f t="shared" si="906"/>
        <v>0</v>
      </c>
      <c r="AM4030" s="110">
        <f t="shared" si="907"/>
        <v>0</v>
      </c>
      <c r="AN4030" s="447">
        <f t="shared" si="896"/>
        <v>0</v>
      </c>
      <c r="AO4030"/>
      <c r="AP4030"/>
    </row>
    <row r="4031" spans="1:42" x14ac:dyDescent="0.25">
      <c r="A4031" s="376">
        <v>414</v>
      </c>
      <c r="B4031" s="588" t="s">
        <v>971</v>
      </c>
      <c r="C4031" s="376"/>
      <c r="D4031" s="940"/>
      <c r="E4031" s="377"/>
      <c r="F4031" s="378"/>
      <c r="G4031" s="378"/>
      <c r="H4031" s="378"/>
      <c r="I4031" s="734"/>
      <c r="J4031" s="806"/>
      <c r="K4031" s="131">
        <f t="shared" si="897"/>
        <v>0</v>
      </c>
      <c r="L4031" s="335">
        <f t="shared" si="903"/>
        <v>0</v>
      </c>
      <c r="M4031" s="419"/>
      <c r="N4031" s="419"/>
      <c r="O4031" s="419"/>
      <c r="P4031" s="419"/>
      <c r="Q4031" s="418">
        <f t="shared" si="901"/>
        <v>0</v>
      </c>
      <c r="R4031" s="379">
        <f t="shared" si="899"/>
        <v>0</v>
      </c>
      <c r="S4031" s="418"/>
      <c r="T4031" s="418"/>
      <c r="U4031" s="418">
        <f t="shared" si="902"/>
        <v>0</v>
      </c>
      <c r="V4031" s="379">
        <f t="shared" si="900"/>
        <v>0</v>
      </c>
      <c r="W4031" s="418"/>
      <c r="X4031" s="418"/>
      <c r="Y4031" s="418"/>
      <c r="Z4031" s="418"/>
      <c r="AA4031" s="418">
        <f t="shared" si="898"/>
        <v>0</v>
      </c>
      <c r="AB4031" s="379">
        <f t="shared" si="895"/>
        <v>0</v>
      </c>
      <c r="AC4031" s="418"/>
      <c r="AD4031" s="418"/>
      <c r="AE4031" s="418">
        <f t="shared" si="898"/>
        <v>0</v>
      </c>
      <c r="AF4031" s="379">
        <f t="shared" si="904"/>
        <v>0</v>
      </c>
      <c r="AG4031" s="418"/>
      <c r="AH4031" s="418"/>
      <c r="AI4031" s="418"/>
      <c r="AJ4031" s="418"/>
      <c r="AK4031" s="379">
        <f t="shared" si="905"/>
        <v>0</v>
      </c>
      <c r="AL4031" s="446">
        <f t="shared" si="906"/>
        <v>0</v>
      </c>
      <c r="AM4031" s="110">
        <f t="shared" si="907"/>
        <v>0</v>
      </c>
      <c r="AN4031" s="447">
        <f t="shared" si="896"/>
        <v>0</v>
      </c>
      <c r="AO4031" s="108"/>
      <c r="AP4031"/>
    </row>
    <row r="4032" spans="1:42" x14ac:dyDescent="0.25">
      <c r="A4032" s="310">
        <v>41401</v>
      </c>
      <c r="B4032" s="375" t="s">
        <v>972</v>
      </c>
      <c r="C4032" s="310"/>
      <c r="D4032" s="902"/>
      <c r="E4032" s="312"/>
      <c r="F4032" s="313"/>
      <c r="G4032" s="313"/>
      <c r="H4032" s="313"/>
      <c r="I4032" s="729"/>
      <c r="J4032" s="800"/>
      <c r="K4032" s="131">
        <f t="shared" si="897"/>
        <v>0</v>
      </c>
      <c r="L4032" s="335">
        <f t="shared" si="903"/>
        <v>0</v>
      </c>
      <c r="M4032" s="421"/>
      <c r="N4032" s="421"/>
      <c r="O4032" s="421"/>
      <c r="P4032" s="421"/>
      <c r="Q4032" s="387">
        <f t="shared" si="901"/>
        <v>0</v>
      </c>
      <c r="R4032" s="314">
        <f t="shared" si="899"/>
        <v>0</v>
      </c>
      <c r="S4032" s="387"/>
      <c r="T4032" s="387"/>
      <c r="U4032" s="387">
        <f t="shared" si="902"/>
        <v>0</v>
      </c>
      <c r="V4032" s="314">
        <f t="shared" si="900"/>
        <v>0</v>
      </c>
      <c r="W4032" s="387"/>
      <c r="X4032" s="387"/>
      <c r="Y4032" s="387"/>
      <c r="Z4032" s="387"/>
      <c r="AA4032" s="387">
        <f t="shared" si="898"/>
        <v>0</v>
      </c>
      <c r="AB4032" s="314">
        <f t="shared" si="895"/>
        <v>0</v>
      </c>
      <c r="AC4032" s="387"/>
      <c r="AD4032" s="387"/>
      <c r="AE4032" s="387">
        <f t="shared" si="898"/>
        <v>0</v>
      </c>
      <c r="AF4032" s="314">
        <f t="shared" si="904"/>
        <v>0</v>
      </c>
      <c r="AG4032" s="387"/>
      <c r="AH4032" s="387"/>
      <c r="AI4032" s="387"/>
      <c r="AJ4032" s="387"/>
      <c r="AK4032" s="314">
        <f t="shared" si="905"/>
        <v>0</v>
      </c>
      <c r="AL4032" s="446">
        <f t="shared" si="906"/>
        <v>0</v>
      </c>
      <c r="AM4032" s="110">
        <f t="shared" si="907"/>
        <v>0</v>
      </c>
      <c r="AN4032" s="447">
        <f t="shared" si="896"/>
        <v>0</v>
      </c>
      <c r="AO4032" s="108"/>
      <c r="AP4032"/>
    </row>
    <row r="4033" spans="1:42" s="108" customFormat="1" x14ac:dyDescent="0.25">
      <c r="A4033" s="58"/>
      <c r="B4033" s="482"/>
      <c r="C4033" s="9"/>
      <c r="D4033" s="869"/>
      <c r="E4033" s="1027"/>
      <c r="F4033" s="272"/>
      <c r="G4033" s="272"/>
      <c r="H4033" s="272"/>
      <c r="I4033" s="722"/>
      <c r="J4033" s="763"/>
      <c r="K4033" s="131">
        <f t="shared" si="897"/>
        <v>0</v>
      </c>
      <c r="L4033" s="335">
        <f t="shared" si="903"/>
        <v>0</v>
      </c>
      <c r="M4033" s="335"/>
      <c r="N4033" s="335"/>
      <c r="O4033" s="335"/>
      <c r="P4033" s="335"/>
      <c r="Q4033" s="130">
        <f t="shared" si="901"/>
        <v>0</v>
      </c>
      <c r="R4033" s="131">
        <f t="shared" si="899"/>
        <v>0</v>
      </c>
      <c r="S4033" s="130"/>
      <c r="T4033" s="130"/>
      <c r="U4033" s="130">
        <f t="shared" si="902"/>
        <v>0</v>
      </c>
      <c r="V4033" s="131">
        <f t="shared" si="900"/>
        <v>0</v>
      </c>
      <c r="W4033" s="130"/>
      <c r="X4033" s="130"/>
      <c r="Y4033" s="130"/>
      <c r="Z4033" s="130"/>
      <c r="AA4033" s="130">
        <f t="shared" si="898"/>
        <v>0</v>
      </c>
      <c r="AB4033" s="131">
        <f t="shared" si="895"/>
        <v>0</v>
      </c>
      <c r="AC4033" s="130"/>
      <c r="AD4033" s="130"/>
      <c r="AE4033" s="130">
        <f t="shared" si="898"/>
        <v>0</v>
      </c>
      <c r="AF4033" s="131">
        <f t="shared" si="904"/>
        <v>0</v>
      </c>
      <c r="AG4033" s="130"/>
      <c r="AH4033" s="130"/>
      <c r="AI4033" s="130"/>
      <c r="AJ4033" s="130"/>
      <c r="AK4033" s="131">
        <f t="shared" si="905"/>
        <v>0</v>
      </c>
      <c r="AL4033" s="446">
        <f t="shared" si="906"/>
        <v>0</v>
      </c>
      <c r="AM4033" s="110">
        <f t="shared" si="907"/>
        <v>0</v>
      </c>
      <c r="AN4033" s="447">
        <f t="shared" si="896"/>
        <v>0</v>
      </c>
      <c r="AO4033"/>
      <c r="AP4033"/>
    </row>
    <row r="4034" spans="1:42" x14ac:dyDescent="0.25">
      <c r="A4034" s="310">
        <v>41402</v>
      </c>
      <c r="B4034" s="375" t="s">
        <v>973</v>
      </c>
      <c r="C4034" s="310"/>
      <c r="D4034" s="902"/>
      <c r="E4034" s="312"/>
      <c r="F4034" s="313"/>
      <c r="G4034" s="313"/>
      <c r="H4034" s="313"/>
      <c r="I4034" s="729"/>
      <c r="J4034" s="800"/>
      <c r="K4034" s="131">
        <f t="shared" si="897"/>
        <v>0</v>
      </c>
      <c r="L4034" s="335">
        <f t="shared" si="903"/>
        <v>0</v>
      </c>
      <c r="M4034" s="421"/>
      <c r="N4034" s="421"/>
      <c r="O4034" s="421"/>
      <c r="P4034" s="421"/>
      <c r="Q4034" s="387">
        <f t="shared" si="901"/>
        <v>0</v>
      </c>
      <c r="R4034" s="314">
        <f t="shared" si="899"/>
        <v>0</v>
      </c>
      <c r="S4034" s="387"/>
      <c r="T4034" s="387"/>
      <c r="U4034" s="387">
        <f t="shared" si="902"/>
        <v>0</v>
      </c>
      <c r="V4034" s="314">
        <f t="shared" si="900"/>
        <v>0</v>
      </c>
      <c r="W4034" s="387"/>
      <c r="X4034" s="387"/>
      <c r="Y4034" s="387"/>
      <c r="Z4034" s="387"/>
      <c r="AA4034" s="387">
        <f t="shared" si="898"/>
        <v>0</v>
      </c>
      <c r="AB4034" s="314">
        <f t="shared" si="895"/>
        <v>0</v>
      </c>
      <c r="AC4034" s="387"/>
      <c r="AD4034" s="387"/>
      <c r="AE4034" s="387">
        <f t="shared" si="898"/>
        <v>0</v>
      </c>
      <c r="AF4034" s="314">
        <f t="shared" si="904"/>
        <v>0</v>
      </c>
      <c r="AG4034" s="387"/>
      <c r="AH4034" s="387"/>
      <c r="AI4034" s="387"/>
      <c r="AJ4034" s="387"/>
      <c r="AK4034" s="314">
        <f t="shared" si="905"/>
        <v>0</v>
      </c>
      <c r="AL4034" s="446">
        <f t="shared" si="906"/>
        <v>0</v>
      </c>
      <c r="AM4034" s="110">
        <f t="shared" si="907"/>
        <v>0</v>
      </c>
      <c r="AN4034" s="447">
        <f t="shared" si="896"/>
        <v>0</v>
      </c>
      <c r="AO4034" s="108"/>
      <c r="AP4034"/>
    </row>
    <row r="4035" spans="1:42" s="108" customFormat="1" x14ac:dyDescent="0.25">
      <c r="A4035" s="58"/>
      <c r="B4035" s="482"/>
      <c r="C4035" s="9"/>
      <c r="D4035" s="939"/>
      <c r="E4035" s="79"/>
      <c r="F4035" s="286"/>
      <c r="G4035" s="286"/>
      <c r="H4035" s="286"/>
      <c r="I4035" s="722"/>
      <c r="J4035" s="841"/>
      <c r="K4035" s="131">
        <f t="shared" si="897"/>
        <v>0</v>
      </c>
      <c r="L4035" s="335">
        <f t="shared" si="903"/>
        <v>0</v>
      </c>
      <c r="M4035" s="335"/>
      <c r="N4035" s="335"/>
      <c r="O4035" s="335"/>
      <c r="P4035" s="335"/>
      <c r="Q4035" s="130">
        <f t="shared" si="901"/>
        <v>0</v>
      </c>
      <c r="R4035" s="131">
        <f t="shared" si="899"/>
        <v>0</v>
      </c>
      <c r="S4035" s="130"/>
      <c r="T4035" s="130"/>
      <c r="U4035" s="130">
        <f t="shared" si="902"/>
        <v>0</v>
      </c>
      <c r="V4035" s="131">
        <f t="shared" si="900"/>
        <v>0</v>
      </c>
      <c r="W4035" s="130"/>
      <c r="X4035" s="130"/>
      <c r="Y4035" s="130"/>
      <c r="Z4035" s="130"/>
      <c r="AA4035" s="130">
        <f t="shared" si="898"/>
        <v>0</v>
      </c>
      <c r="AB4035" s="131">
        <f t="shared" si="895"/>
        <v>0</v>
      </c>
      <c r="AC4035" s="130"/>
      <c r="AD4035" s="130"/>
      <c r="AE4035" s="130">
        <f t="shared" si="898"/>
        <v>0</v>
      </c>
      <c r="AF4035" s="131">
        <f t="shared" si="904"/>
        <v>0</v>
      </c>
      <c r="AG4035" s="130"/>
      <c r="AH4035" s="130"/>
      <c r="AI4035" s="130"/>
      <c r="AJ4035" s="130"/>
      <c r="AK4035" s="131">
        <f t="shared" si="905"/>
        <v>0</v>
      </c>
      <c r="AL4035" s="446">
        <f t="shared" si="906"/>
        <v>0</v>
      </c>
      <c r="AM4035" s="110">
        <f t="shared" si="907"/>
        <v>0</v>
      </c>
      <c r="AN4035" s="447">
        <f t="shared" si="896"/>
        <v>0</v>
      </c>
      <c r="AO4035"/>
      <c r="AP4035"/>
    </row>
    <row r="4036" spans="1:42" ht="22.5" x14ac:dyDescent="0.25">
      <c r="A4036" s="376">
        <v>415</v>
      </c>
      <c r="B4036" s="588" t="s">
        <v>974</v>
      </c>
      <c r="C4036" s="376"/>
      <c r="D4036" s="940"/>
      <c r="E4036" s="377"/>
      <c r="F4036" s="378"/>
      <c r="G4036" s="378"/>
      <c r="H4036" s="378"/>
      <c r="I4036" s="734"/>
      <c r="J4036" s="806"/>
      <c r="K4036" s="131">
        <f t="shared" si="897"/>
        <v>0</v>
      </c>
      <c r="L4036" s="335">
        <f t="shared" si="903"/>
        <v>0</v>
      </c>
      <c r="M4036" s="419"/>
      <c r="N4036" s="419"/>
      <c r="O4036" s="419"/>
      <c r="P4036" s="419"/>
      <c r="Q4036" s="418">
        <f t="shared" si="901"/>
        <v>0</v>
      </c>
      <c r="R4036" s="379">
        <f t="shared" si="899"/>
        <v>0</v>
      </c>
      <c r="S4036" s="418"/>
      <c r="T4036" s="418"/>
      <c r="U4036" s="418">
        <f t="shared" si="902"/>
        <v>0</v>
      </c>
      <c r="V4036" s="379">
        <f t="shared" si="900"/>
        <v>0</v>
      </c>
      <c r="W4036" s="418"/>
      <c r="X4036" s="418"/>
      <c r="Y4036" s="418"/>
      <c r="Z4036" s="418"/>
      <c r="AA4036" s="418">
        <f t="shared" si="898"/>
        <v>0</v>
      </c>
      <c r="AB4036" s="379">
        <f t="shared" si="895"/>
        <v>0</v>
      </c>
      <c r="AC4036" s="418"/>
      <c r="AD4036" s="418"/>
      <c r="AE4036" s="418">
        <f t="shared" si="898"/>
        <v>0</v>
      </c>
      <c r="AF4036" s="379">
        <f t="shared" si="904"/>
        <v>0</v>
      </c>
      <c r="AG4036" s="418"/>
      <c r="AH4036" s="418"/>
      <c r="AI4036" s="418"/>
      <c r="AJ4036" s="418"/>
      <c r="AK4036" s="379">
        <f t="shared" si="905"/>
        <v>0</v>
      </c>
      <c r="AL4036" s="446">
        <f t="shared" si="906"/>
        <v>0</v>
      </c>
      <c r="AM4036" s="110">
        <f t="shared" si="907"/>
        <v>0</v>
      </c>
      <c r="AN4036" s="447">
        <f t="shared" si="896"/>
        <v>0</v>
      </c>
      <c r="AO4036" s="108"/>
      <c r="AP4036"/>
    </row>
    <row r="4037" spans="1:42" ht="22.5" x14ac:dyDescent="0.25">
      <c r="A4037" s="643">
        <v>41501</v>
      </c>
      <c r="B4037" s="644" t="s">
        <v>975</v>
      </c>
      <c r="C4037" s="643"/>
      <c r="D4037" s="954"/>
      <c r="E4037" s="645"/>
      <c r="F4037" s="646"/>
      <c r="G4037" s="646"/>
      <c r="H4037" s="646"/>
      <c r="I4037" s="717"/>
      <c r="J4037" s="753"/>
      <c r="K4037" s="131">
        <f t="shared" si="897"/>
        <v>0</v>
      </c>
      <c r="L4037" s="335">
        <f t="shared" si="903"/>
        <v>0</v>
      </c>
      <c r="M4037" s="648"/>
      <c r="N4037" s="648"/>
      <c r="O4037" s="648"/>
      <c r="P4037" s="648"/>
      <c r="Q4037" s="649">
        <f t="shared" si="901"/>
        <v>0</v>
      </c>
      <c r="R4037" s="647">
        <f t="shared" si="899"/>
        <v>0</v>
      </c>
      <c r="S4037" s="649"/>
      <c r="T4037" s="649"/>
      <c r="U4037" s="649">
        <f t="shared" si="902"/>
        <v>0</v>
      </c>
      <c r="V4037" s="647">
        <f t="shared" si="900"/>
        <v>0</v>
      </c>
      <c r="W4037" s="649"/>
      <c r="X4037" s="649"/>
      <c r="Y4037" s="649"/>
      <c r="Z4037" s="649"/>
      <c r="AA4037" s="649">
        <f t="shared" si="898"/>
        <v>0</v>
      </c>
      <c r="AB4037" s="647">
        <f t="shared" si="895"/>
        <v>0</v>
      </c>
      <c r="AC4037" s="649"/>
      <c r="AD4037" s="649"/>
      <c r="AE4037" s="649">
        <f t="shared" si="898"/>
        <v>0</v>
      </c>
      <c r="AF4037" s="647">
        <f t="shared" si="904"/>
        <v>0</v>
      </c>
      <c r="AG4037" s="649"/>
      <c r="AH4037" s="649"/>
      <c r="AI4037" s="649"/>
      <c r="AJ4037" s="649"/>
      <c r="AK4037" s="647">
        <f t="shared" si="905"/>
        <v>0</v>
      </c>
      <c r="AL4037" s="446">
        <f t="shared" si="906"/>
        <v>0</v>
      </c>
      <c r="AM4037" s="110">
        <f t="shared" si="907"/>
        <v>0</v>
      </c>
      <c r="AN4037" s="447">
        <f t="shared" si="896"/>
        <v>0</v>
      </c>
      <c r="AO4037" s="108"/>
      <c r="AP4037"/>
    </row>
    <row r="4038" spans="1:42" s="108" customFormat="1" x14ac:dyDescent="0.25">
      <c r="A4038" s="93"/>
      <c r="B4038" s="57"/>
      <c r="C4038" s="9"/>
      <c r="D4038" s="869"/>
      <c r="E4038" s="1027"/>
      <c r="F4038" s="272"/>
      <c r="G4038" s="272"/>
      <c r="H4038" s="272"/>
      <c r="I4038" s="722"/>
      <c r="J4038" s="763"/>
      <c r="K4038" s="131">
        <f t="shared" si="897"/>
        <v>0</v>
      </c>
      <c r="L4038" s="335">
        <f t="shared" si="903"/>
        <v>0</v>
      </c>
      <c r="M4038" s="335"/>
      <c r="N4038" s="335"/>
      <c r="O4038" s="335"/>
      <c r="P4038" s="335"/>
      <c r="Q4038" s="130">
        <f t="shared" si="901"/>
        <v>0</v>
      </c>
      <c r="R4038" s="131">
        <f t="shared" si="899"/>
        <v>0</v>
      </c>
      <c r="S4038" s="130"/>
      <c r="T4038" s="130"/>
      <c r="U4038" s="130">
        <f t="shared" si="902"/>
        <v>0</v>
      </c>
      <c r="V4038" s="131">
        <f t="shared" si="900"/>
        <v>0</v>
      </c>
      <c r="W4038" s="130"/>
      <c r="X4038" s="130"/>
      <c r="Y4038" s="130"/>
      <c r="Z4038" s="130"/>
      <c r="AA4038" s="130">
        <f t="shared" si="898"/>
        <v>0</v>
      </c>
      <c r="AB4038" s="131">
        <f t="shared" si="895"/>
        <v>0</v>
      </c>
      <c r="AC4038" s="130"/>
      <c r="AD4038" s="130"/>
      <c r="AE4038" s="130">
        <f t="shared" si="898"/>
        <v>0</v>
      </c>
      <c r="AF4038" s="131">
        <f t="shared" si="904"/>
        <v>0</v>
      </c>
      <c r="AG4038" s="130"/>
      <c r="AH4038" s="130"/>
      <c r="AI4038" s="130"/>
      <c r="AJ4038" s="130"/>
      <c r="AK4038" s="131">
        <f t="shared" si="905"/>
        <v>0</v>
      </c>
      <c r="AL4038" s="446">
        <f t="shared" si="906"/>
        <v>0</v>
      </c>
      <c r="AM4038" s="110">
        <f t="shared" si="907"/>
        <v>0</v>
      </c>
      <c r="AN4038" s="447">
        <f t="shared" si="896"/>
        <v>0</v>
      </c>
      <c r="AO4038"/>
      <c r="AP4038"/>
    </row>
    <row r="4039" spans="1:42" ht="22.5" x14ac:dyDescent="0.25">
      <c r="A4039" s="643">
        <v>41502</v>
      </c>
      <c r="B4039" s="644" t="s">
        <v>976</v>
      </c>
      <c r="C4039" s="643"/>
      <c r="D4039" s="954"/>
      <c r="E4039" s="645"/>
      <c r="F4039" s="646"/>
      <c r="G4039" s="646"/>
      <c r="H4039" s="646"/>
      <c r="I4039" s="717"/>
      <c r="J4039" s="753"/>
      <c r="K4039" s="131">
        <f t="shared" si="897"/>
        <v>0</v>
      </c>
      <c r="L4039" s="335">
        <f t="shared" si="903"/>
        <v>0</v>
      </c>
      <c r="M4039" s="648"/>
      <c r="N4039" s="648"/>
      <c r="O4039" s="648"/>
      <c r="P4039" s="648"/>
      <c r="Q4039" s="649">
        <f t="shared" si="901"/>
        <v>0</v>
      </c>
      <c r="R4039" s="647">
        <f t="shared" si="899"/>
        <v>0</v>
      </c>
      <c r="S4039" s="649"/>
      <c r="T4039" s="649"/>
      <c r="U4039" s="649">
        <f t="shared" si="902"/>
        <v>0</v>
      </c>
      <c r="V4039" s="647">
        <f t="shared" si="900"/>
        <v>0</v>
      </c>
      <c r="W4039" s="649"/>
      <c r="X4039" s="649"/>
      <c r="Y4039" s="649"/>
      <c r="Z4039" s="649"/>
      <c r="AA4039" s="649">
        <f t="shared" si="898"/>
        <v>0</v>
      </c>
      <c r="AB4039" s="647">
        <f t="shared" si="895"/>
        <v>0</v>
      </c>
      <c r="AC4039" s="649"/>
      <c r="AD4039" s="649"/>
      <c r="AE4039" s="649">
        <f t="shared" si="898"/>
        <v>0</v>
      </c>
      <c r="AF4039" s="647">
        <f t="shared" si="904"/>
        <v>0</v>
      </c>
      <c r="AG4039" s="649"/>
      <c r="AH4039" s="649"/>
      <c r="AI4039" s="649"/>
      <c r="AJ4039" s="649"/>
      <c r="AK4039" s="647">
        <f t="shared" si="905"/>
        <v>0</v>
      </c>
      <c r="AL4039" s="446">
        <f t="shared" si="906"/>
        <v>0</v>
      </c>
      <c r="AM4039" s="110">
        <f t="shared" si="907"/>
        <v>0</v>
      </c>
      <c r="AN4039" s="447">
        <f t="shared" si="896"/>
        <v>0</v>
      </c>
      <c r="AO4039" s="108"/>
      <c r="AP4039"/>
    </row>
    <row r="4040" spans="1:42" s="108" customFormat="1" x14ac:dyDescent="0.25">
      <c r="A4040" s="58"/>
      <c r="B4040" s="482"/>
      <c r="C4040" s="9"/>
      <c r="D4040" s="869"/>
      <c r="E4040" s="1027"/>
      <c r="F4040" s="272"/>
      <c r="G4040" s="272"/>
      <c r="H4040" s="272"/>
      <c r="I4040" s="722"/>
      <c r="J4040" s="763"/>
      <c r="K4040" s="131">
        <f t="shared" si="897"/>
        <v>0</v>
      </c>
      <c r="L4040" s="335">
        <f t="shared" si="903"/>
        <v>0</v>
      </c>
      <c r="M4040" s="335"/>
      <c r="N4040" s="335"/>
      <c r="O4040" s="335"/>
      <c r="P4040" s="335"/>
      <c r="Q4040" s="130">
        <f t="shared" si="901"/>
        <v>0</v>
      </c>
      <c r="R4040" s="131">
        <f t="shared" si="899"/>
        <v>0</v>
      </c>
      <c r="S4040" s="130"/>
      <c r="T4040" s="130"/>
      <c r="U4040" s="130">
        <f t="shared" si="902"/>
        <v>0</v>
      </c>
      <c r="V4040" s="131">
        <f t="shared" si="900"/>
        <v>0</v>
      </c>
      <c r="W4040" s="130"/>
      <c r="X4040" s="130"/>
      <c r="Y4040" s="130"/>
      <c r="Z4040" s="130"/>
      <c r="AA4040" s="130">
        <f t="shared" si="898"/>
        <v>0</v>
      </c>
      <c r="AB4040" s="131">
        <f t="shared" si="895"/>
        <v>0</v>
      </c>
      <c r="AC4040" s="130"/>
      <c r="AD4040" s="130"/>
      <c r="AE4040" s="130">
        <f t="shared" si="898"/>
        <v>0</v>
      </c>
      <c r="AF4040" s="131">
        <f t="shared" si="904"/>
        <v>0</v>
      </c>
      <c r="AG4040" s="130"/>
      <c r="AH4040" s="130"/>
      <c r="AI4040" s="130"/>
      <c r="AJ4040" s="130"/>
      <c r="AK4040" s="131">
        <f t="shared" si="905"/>
        <v>0</v>
      </c>
      <c r="AL4040" s="446">
        <f t="shared" si="906"/>
        <v>0</v>
      </c>
      <c r="AM4040" s="110">
        <f t="shared" si="907"/>
        <v>0</v>
      </c>
      <c r="AN4040" s="447">
        <f t="shared" si="896"/>
        <v>0</v>
      </c>
      <c r="AO4040"/>
      <c r="AP4040"/>
    </row>
    <row r="4041" spans="1:42" ht="22.5" x14ac:dyDescent="0.25">
      <c r="A4041" s="376">
        <v>416</v>
      </c>
      <c r="B4041" s="635" t="s">
        <v>977</v>
      </c>
      <c r="C4041" s="376"/>
      <c r="D4041" s="921"/>
      <c r="E4041" s="377"/>
      <c r="F4041" s="378"/>
      <c r="G4041" s="378"/>
      <c r="H4041" s="378"/>
      <c r="I4041" s="734"/>
      <c r="J4041" s="806"/>
      <c r="K4041" s="131">
        <f t="shared" si="897"/>
        <v>0</v>
      </c>
      <c r="L4041" s="335">
        <f t="shared" si="903"/>
        <v>0</v>
      </c>
      <c r="M4041" s="419"/>
      <c r="N4041" s="419"/>
      <c r="O4041" s="419"/>
      <c r="P4041" s="419"/>
      <c r="Q4041" s="418">
        <f t="shared" si="901"/>
        <v>0</v>
      </c>
      <c r="R4041" s="379">
        <f t="shared" si="899"/>
        <v>0</v>
      </c>
      <c r="S4041" s="418"/>
      <c r="T4041" s="418"/>
      <c r="U4041" s="418">
        <f t="shared" si="902"/>
        <v>0</v>
      </c>
      <c r="V4041" s="379">
        <f t="shared" si="900"/>
        <v>0</v>
      </c>
      <c r="W4041" s="418"/>
      <c r="X4041" s="418"/>
      <c r="Y4041" s="418"/>
      <c r="Z4041" s="418"/>
      <c r="AA4041" s="418">
        <f t="shared" si="898"/>
        <v>0</v>
      </c>
      <c r="AB4041" s="379">
        <f t="shared" si="895"/>
        <v>0</v>
      </c>
      <c r="AC4041" s="418"/>
      <c r="AD4041" s="418"/>
      <c r="AE4041" s="418">
        <f t="shared" si="898"/>
        <v>0</v>
      </c>
      <c r="AF4041" s="379">
        <f t="shared" si="904"/>
        <v>0</v>
      </c>
      <c r="AG4041" s="418"/>
      <c r="AH4041" s="418"/>
      <c r="AI4041" s="418"/>
      <c r="AJ4041" s="418"/>
      <c r="AK4041" s="379">
        <f t="shared" si="905"/>
        <v>0</v>
      </c>
      <c r="AL4041" s="446">
        <f t="shared" si="906"/>
        <v>0</v>
      </c>
      <c r="AM4041" s="110">
        <f t="shared" si="907"/>
        <v>0</v>
      </c>
      <c r="AN4041" s="447">
        <f t="shared" si="896"/>
        <v>0</v>
      </c>
      <c r="AO4041" s="108"/>
      <c r="AP4041"/>
    </row>
    <row r="4042" spans="1:42" x14ac:dyDescent="0.25">
      <c r="A4042" s="643">
        <v>41601</v>
      </c>
      <c r="B4042" s="644" t="s">
        <v>978</v>
      </c>
      <c r="C4042" s="643"/>
      <c r="D4042" s="954"/>
      <c r="E4042" s="645"/>
      <c r="F4042" s="646"/>
      <c r="G4042" s="646"/>
      <c r="H4042" s="646"/>
      <c r="I4042" s="717"/>
      <c r="J4042" s="753"/>
      <c r="K4042" s="131">
        <f t="shared" si="897"/>
        <v>0</v>
      </c>
      <c r="L4042" s="335">
        <f t="shared" si="903"/>
        <v>0</v>
      </c>
      <c r="M4042" s="648"/>
      <c r="N4042" s="648"/>
      <c r="O4042" s="648"/>
      <c r="P4042" s="648"/>
      <c r="Q4042" s="649">
        <f t="shared" si="901"/>
        <v>0</v>
      </c>
      <c r="R4042" s="647">
        <f t="shared" si="899"/>
        <v>0</v>
      </c>
      <c r="S4042" s="649"/>
      <c r="T4042" s="649"/>
      <c r="U4042" s="649">
        <f t="shared" si="902"/>
        <v>0</v>
      </c>
      <c r="V4042" s="647">
        <f t="shared" si="900"/>
        <v>0</v>
      </c>
      <c r="W4042" s="649"/>
      <c r="X4042" s="649"/>
      <c r="Y4042" s="649"/>
      <c r="Z4042" s="649"/>
      <c r="AA4042" s="649">
        <f t="shared" si="898"/>
        <v>0</v>
      </c>
      <c r="AB4042" s="647">
        <f t="shared" si="895"/>
        <v>0</v>
      </c>
      <c r="AC4042" s="649"/>
      <c r="AD4042" s="649"/>
      <c r="AE4042" s="649">
        <f t="shared" si="898"/>
        <v>0</v>
      </c>
      <c r="AF4042" s="647">
        <f t="shared" si="904"/>
        <v>0</v>
      </c>
      <c r="AG4042" s="649"/>
      <c r="AH4042" s="649"/>
      <c r="AI4042" s="649"/>
      <c r="AJ4042" s="649"/>
      <c r="AK4042" s="647">
        <f t="shared" si="905"/>
        <v>0</v>
      </c>
      <c r="AL4042" s="446">
        <f t="shared" si="906"/>
        <v>0</v>
      </c>
      <c r="AM4042" s="110">
        <f t="shared" si="907"/>
        <v>0</v>
      </c>
      <c r="AN4042" s="447">
        <f t="shared" si="896"/>
        <v>0</v>
      </c>
      <c r="AO4042" s="108"/>
      <c r="AP4042"/>
    </row>
    <row r="4043" spans="1:42" s="108" customFormat="1" x14ac:dyDescent="0.25">
      <c r="A4043" s="58"/>
      <c r="B4043" s="482"/>
      <c r="C4043" s="9"/>
      <c r="D4043" s="869"/>
      <c r="E4043" s="1027"/>
      <c r="F4043" s="272"/>
      <c r="G4043" s="272"/>
      <c r="H4043" s="272"/>
      <c r="I4043" s="722"/>
      <c r="J4043" s="763"/>
      <c r="K4043" s="131">
        <f t="shared" si="897"/>
        <v>0</v>
      </c>
      <c r="L4043" s="335">
        <f t="shared" si="903"/>
        <v>0</v>
      </c>
      <c r="M4043" s="335"/>
      <c r="N4043" s="335"/>
      <c r="O4043" s="335"/>
      <c r="P4043" s="335"/>
      <c r="Q4043" s="130">
        <f t="shared" si="901"/>
        <v>0</v>
      </c>
      <c r="R4043" s="131">
        <f t="shared" si="899"/>
        <v>0</v>
      </c>
      <c r="S4043" s="130"/>
      <c r="T4043" s="130"/>
      <c r="U4043" s="130">
        <f t="shared" si="902"/>
        <v>0</v>
      </c>
      <c r="V4043" s="131">
        <f t="shared" si="900"/>
        <v>0</v>
      </c>
      <c r="W4043" s="130"/>
      <c r="X4043" s="130"/>
      <c r="Y4043" s="130"/>
      <c r="Z4043" s="130"/>
      <c r="AA4043" s="130">
        <f t="shared" si="898"/>
        <v>0</v>
      </c>
      <c r="AB4043" s="131">
        <f t="shared" si="895"/>
        <v>0</v>
      </c>
      <c r="AC4043" s="130"/>
      <c r="AD4043" s="130"/>
      <c r="AE4043" s="130">
        <f t="shared" si="898"/>
        <v>0</v>
      </c>
      <c r="AF4043" s="131">
        <f t="shared" si="904"/>
        <v>0</v>
      </c>
      <c r="AG4043" s="130"/>
      <c r="AH4043" s="130"/>
      <c r="AI4043" s="130"/>
      <c r="AJ4043" s="130"/>
      <c r="AK4043" s="131">
        <f t="shared" si="905"/>
        <v>0</v>
      </c>
      <c r="AL4043" s="446">
        <f t="shared" si="906"/>
        <v>0</v>
      </c>
      <c r="AM4043" s="110">
        <f t="shared" si="907"/>
        <v>0</v>
      </c>
      <c r="AN4043" s="447">
        <f t="shared" si="896"/>
        <v>0</v>
      </c>
      <c r="AO4043"/>
      <c r="AP4043"/>
    </row>
    <row r="4044" spans="1:42" ht="22.5" x14ac:dyDescent="0.25">
      <c r="A4044" s="643">
        <v>41602</v>
      </c>
      <c r="B4044" s="644" t="s">
        <v>979</v>
      </c>
      <c r="C4044" s="643"/>
      <c r="D4044" s="954"/>
      <c r="E4044" s="645"/>
      <c r="F4044" s="646"/>
      <c r="G4044" s="646"/>
      <c r="H4044" s="646"/>
      <c r="I4044" s="717"/>
      <c r="J4044" s="753"/>
      <c r="K4044" s="131">
        <f t="shared" si="897"/>
        <v>0</v>
      </c>
      <c r="L4044" s="335">
        <f t="shared" si="903"/>
        <v>0</v>
      </c>
      <c r="M4044" s="648"/>
      <c r="N4044" s="648"/>
      <c r="O4044" s="648"/>
      <c r="P4044" s="648"/>
      <c r="Q4044" s="649">
        <f t="shared" si="901"/>
        <v>0</v>
      </c>
      <c r="R4044" s="647">
        <f t="shared" si="899"/>
        <v>0</v>
      </c>
      <c r="S4044" s="649"/>
      <c r="T4044" s="649"/>
      <c r="U4044" s="649">
        <f t="shared" si="902"/>
        <v>0</v>
      </c>
      <c r="V4044" s="647">
        <f t="shared" si="900"/>
        <v>0</v>
      </c>
      <c r="W4044" s="649"/>
      <c r="X4044" s="649"/>
      <c r="Y4044" s="649"/>
      <c r="Z4044" s="649"/>
      <c r="AA4044" s="649">
        <f t="shared" si="898"/>
        <v>0</v>
      </c>
      <c r="AB4044" s="647">
        <f t="shared" si="895"/>
        <v>0</v>
      </c>
      <c r="AC4044" s="649"/>
      <c r="AD4044" s="649"/>
      <c r="AE4044" s="649">
        <f t="shared" si="898"/>
        <v>0</v>
      </c>
      <c r="AF4044" s="647">
        <f t="shared" si="904"/>
        <v>0</v>
      </c>
      <c r="AG4044" s="649"/>
      <c r="AH4044" s="649"/>
      <c r="AI4044" s="649"/>
      <c r="AJ4044" s="649"/>
      <c r="AK4044" s="647">
        <f t="shared" si="905"/>
        <v>0</v>
      </c>
      <c r="AL4044" s="446">
        <f t="shared" si="906"/>
        <v>0</v>
      </c>
      <c r="AM4044" s="110">
        <f t="shared" si="907"/>
        <v>0</v>
      </c>
      <c r="AN4044" s="447">
        <f t="shared" si="896"/>
        <v>0</v>
      </c>
      <c r="AO4044" s="108"/>
      <c r="AP4044"/>
    </row>
    <row r="4045" spans="1:42" s="108" customFormat="1" x14ac:dyDescent="0.25">
      <c r="A4045" s="58"/>
      <c r="B4045" s="482"/>
      <c r="C4045" s="9"/>
      <c r="D4045" s="869"/>
      <c r="E4045" s="1027"/>
      <c r="F4045" s="272"/>
      <c r="G4045" s="272"/>
      <c r="H4045" s="272"/>
      <c r="I4045" s="722"/>
      <c r="J4045" s="763"/>
      <c r="K4045" s="131">
        <f t="shared" si="897"/>
        <v>0</v>
      </c>
      <c r="L4045" s="335">
        <f t="shared" si="903"/>
        <v>0</v>
      </c>
      <c r="M4045" s="335"/>
      <c r="N4045" s="335"/>
      <c r="O4045" s="335"/>
      <c r="P4045" s="335"/>
      <c r="Q4045" s="130">
        <f t="shared" si="901"/>
        <v>0</v>
      </c>
      <c r="R4045" s="131">
        <f t="shared" si="899"/>
        <v>0</v>
      </c>
      <c r="S4045" s="130"/>
      <c r="T4045" s="130"/>
      <c r="U4045" s="130">
        <f t="shared" si="902"/>
        <v>0</v>
      </c>
      <c r="V4045" s="131">
        <f t="shared" si="900"/>
        <v>0</v>
      </c>
      <c r="W4045" s="130"/>
      <c r="X4045" s="130"/>
      <c r="Y4045" s="130"/>
      <c r="Z4045" s="130"/>
      <c r="AA4045" s="130">
        <f t="shared" si="898"/>
        <v>0</v>
      </c>
      <c r="AB4045" s="131">
        <f t="shared" si="895"/>
        <v>0</v>
      </c>
      <c r="AC4045" s="130"/>
      <c r="AD4045" s="130"/>
      <c r="AE4045" s="130">
        <f t="shared" si="898"/>
        <v>0</v>
      </c>
      <c r="AF4045" s="131">
        <f t="shared" si="904"/>
        <v>0</v>
      </c>
      <c r="AG4045" s="130"/>
      <c r="AH4045" s="130"/>
      <c r="AI4045" s="130"/>
      <c r="AJ4045" s="130"/>
      <c r="AK4045" s="131">
        <f t="shared" si="905"/>
        <v>0</v>
      </c>
      <c r="AL4045" s="446">
        <f t="shared" si="906"/>
        <v>0</v>
      </c>
      <c r="AM4045" s="110">
        <f t="shared" si="907"/>
        <v>0</v>
      </c>
      <c r="AN4045" s="447">
        <f t="shared" si="896"/>
        <v>0</v>
      </c>
      <c r="AO4045"/>
      <c r="AP4045"/>
    </row>
    <row r="4046" spans="1:42" ht="22.5" x14ac:dyDescent="0.25">
      <c r="A4046" s="376">
        <v>417</v>
      </c>
      <c r="B4046" s="635" t="s">
        <v>980</v>
      </c>
      <c r="C4046" s="376"/>
      <c r="D4046" s="921"/>
      <c r="E4046" s="377"/>
      <c r="F4046" s="378"/>
      <c r="G4046" s="378"/>
      <c r="H4046" s="378"/>
      <c r="I4046" s="734"/>
      <c r="J4046" s="806"/>
      <c r="K4046" s="131">
        <f t="shared" si="897"/>
        <v>0</v>
      </c>
      <c r="L4046" s="335">
        <f t="shared" si="903"/>
        <v>0</v>
      </c>
      <c r="M4046" s="419"/>
      <c r="N4046" s="419"/>
      <c r="O4046" s="419"/>
      <c r="P4046" s="419"/>
      <c r="Q4046" s="418">
        <f t="shared" si="901"/>
        <v>0</v>
      </c>
      <c r="R4046" s="379">
        <f t="shared" si="899"/>
        <v>0</v>
      </c>
      <c r="S4046" s="418"/>
      <c r="T4046" s="418"/>
      <c r="U4046" s="418">
        <f t="shared" si="902"/>
        <v>0</v>
      </c>
      <c r="V4046" s="379">
        <f t="shared" si="900"/>
        <v>0</v>
      </c>
      <c r="W4046" s="418"/>
      <c r="X4046" s="418"/>
      <c r="Y4046" s="418"/>
      <c r="Z4046" s="418"/>
      <c r="AA4046" s="418">
        <f t="shared" si="898"/>
        <v>0</v>
      </c>
      <c r="AB4046" s="379">
        <f t="shared" si="895"/>
        <v>0</v>
      </c>
      <c r="AC4046" s="418"/>
      <c r="AD4046" s="418"/>
      <c r="AE4046" s="418">
        <f t="shared" si="898"/>
        <v>0</v>
      </c>
      <c r="AF4046" s="379">
        <f t="shared" si="904"/>
        <v>0</v>
      </c>
      <c r="AG4046" s="418"/>
      <c r="AH4046" s="418"/>
      <c r="AI4046" s="418"/>
      <c r="AJ4046" s="418"/>
      <c r="AK4046" s="379">
        <f t="shared" si="905"/>
        <v>0</v>
      </c>
      <c r="AL4046" s="446">
        <f t="shared" si="906"/>
        <v>0</v>
      </c>
      <c r="AM4046" s="110">
        <f t="shared" si="907"/>
        <v>0</v>
      </c>
      <c r="AN4046" s="447">
        <f t="shared" si="896"/>
        <v>0</v>
      </c>
      <c r="AO4046" s="108"/>
      <c r="AP4046"/>
    </row>
    <row r="4047" spans="1:42" ht="22.5" x14ac:dyDescent="0.25">
      <c r="A4047" s="643">
        <v>41701</v>
      </c>
      <c r="B4047" s="644" t="s">
        <v>981</v>
      </c>
      <c r="C4047" s="643"/>
      <c r="D4047" s="954"/>
      <c r="E4047" s="645"/>
      <c r="F4047" s="646"/>
      <c r="G4047" s="646"/>
      <c r="H4047" s="646"/>
      <c r="I4047" s="717"/>
      <c r="J4047" s="753"/>
      <c r="K4047" s="131">
        <f t="shared" si="897"/>
        <v>0</v>
      </c>
      <c r="L4047" s="335">
        <f t="shared" si="903"/>
        <v>0</v>
      </c>
      <c r="M4047" s="648"/>
      <c r="N4047" s="648"/>
      <c r="O4047" s="648"/>
      <c r="P4047" s="648"/>
      <c r="Q4047" s="649">
        <f t="shared" si="901"/>
        <v>0</v>
      </c>
      <c r="R4047" s="647">
        <f t="shared" si="899"/>
        <v>0</v>
      </c>
      <c r="S4047" s="649"/>
      <c r="T4047" s="649"/>
      <c r="U4047" s="649">
        <f t="shared" si="902"/>
        <v>0</v>
      </c>
      <c r="V4047" s="647">
        <f t="shared" si="900"/>
        <v>0</v>
      </c>
      <c r="W4047" s="649"/>
      <c r="X4047" s="649"/>
      <c r="Y4047" s="649"/>
      <c r="Z4047" s="649"/>
      <c r="AA4047" s="649">
        <f t="shared" si="898"/>
        <v>0</v>
      </c>
      <c r="AB4047" s="647">
        <f t="shared" si="895"/>
        <v>0</v>
      </c>
      <c r="AC4047" s="649"/>
      <c r="AD4047" s="649"/>
      <c r="AE4047" s="649">
        <f t="shared" si="898"/>
        <v>0</v>
      </c>
      <c r="AF4047" s="647">
        <f t="shared" si="904"/>
        <v>0</v>
      </c>
      <c r="AG4047" s="649"/>
      <c r="AH4047" s="649"/>
      <c r="AI4047" s="649"/>
      <c r="AJ4047" s="649"/>
      <c r="AK4047" s="647">
        <f t="shared" si="905"/>
        <v>0</v>
      </c>
      <c r="AL4047" s="446">
        <f t="shared" si="906"/>
        <v>0</v>
      </c>
      <c r="AM4047" s="110">
        <f t="shared" si="907"/>
        <v>0</v>
      </c>
      <c r="AN4047" s="447">
        <f t="shared" si="896"/>
        <v>0</v>
      </c>
      <c r="AO4047" s="108"/>
      <c r="AP4047"/>
    </row>
    <row r="4048" spans="1:42" s="108" customFormat="1" x14ac:dyDescent="0.25">
      <c r="A4048" s="58"/>
      <c r="B4048" s="482"/>
      <c r="C4048" s="9"/>
      <c r="D4048" s="869"/>
      <c r="E4048" s="1027"/>
      <c r="F4048" s="272"/>
      <c r="G4048" s="272"/>
      <c r="H4048" s="272"/>
      <c r="I4048" s="722"/>
      <c r="J4048" s="763"/>
      <c r="K4048" s="131">
        <f t="shared" si="897"/>
        <v>0</v>
      </c>
      <c r="L4048" s="335">
        <f t="shared" si="903"/>
        <v>0</v>
      </c>
      <c r="M4048" s="335"/>
      <c r="N4048" s="335"/>
      <c r="O4048" s="335"/>
      <c r="P4048" s="335"/>
      <c r="Q4048" s="130">
        <f t="shared" si="901"/>
        <v>0</v>
      </c>
      <c r="R4048" s="131">
        <f t="shared" si="899"/>
        <v>0</v>
      </c>
      <c r="S4048" s="130"/>
      <c r="T4048" s="130"/>
      <c r="U4048" s="130">
        <f t="shared" si="902"/>
        <v>0</v>
      </c>
      <c r="V4048" s="131">
        <f t="shared" si="900"/>
        <v>0</v>
      </c>
      <c r="W4048" s="130"/>
      <c r="X4048" s="130"/>
      <c r="Y4048" s="130"/>
      <c r="Z4048" s="130"/>
      <c r="AA4048" s="130">
        <f t="shared" si="898"/>
        <v>0</v>
      </c>
      <c r="AB4048" s="131">
        <f t="shared" ref="AB4048:AB4111" si="908">+J4048/4</f>
        <v>0</v>
      </c>
      <c r="AC4048" s="130"/>
      <c r="AD4048" s="130"/>
      <c r="AE4048" s="130">
        <f t="shared" si="898"/>
        <v>0</v>
      </c>
      <c r="AF4048" s="131">
        <f t="shared" si="904"/>
        <v>0</v>
      </c>
      <c r="AG4048" s="130"/>
      <c r="AH4048" s="130"/>
      <c r="AI4048" s="130"/>
      <c r="AJ4048" s="130"/>
      <c r="AK4048" s="131">
        <f t="shared" si="905"/>
        <v>0</v>
      </c>
      <c r="AL4048" s="446">
        <f t="shared" si="906"/>
        <v>0</v>
      </c>
      <c r="AM4048" s="110">
        <f t="shared" si="907"/>
        <v>0</v>
      </c>
      <c r="AN4048" s="447">
        <f t="shared" si="896"/>
        <v>0</v>
      </c>
      <c r="AO4048"/>
      <c r="AP4048"/>
    </row>
    <row r="4049" spans="1:42" ht="22.5" x14ac:dyDescent="0.25">
      <c r="A4049" s="643">
        <v>41702</v>
      </c>
      <c r="B4049" s="644" t="s">
        <v>982</v>
      </c>
      <c r="C4049" s="643"/>
      <c r="D4049" s="954"/>
      <c r="E4049" s="645"/>
      <c r="F4049" s="646"/>
      <c r="G4049" s="646"/>
      <c r="H4049" s="646"/>
      <c r="I4049" s="717"/>
      <c r="J4049" s="753"/>
      <c r="K4049" s="131">
        <f t="shared" si="897"/>
        <v>0</v>
      </c>
      <c r="L4049" s="335">
        <f t="shared" si="903"/>
        <v>0</v>
      </c>
      <c r="M4049" s="648"/>
      <c r="N4049" s="648"/>
      <c r="O4049" s="648"/>
      <c r="P4049" s="648"/>
      <c r="Q4049" s="649">
        <f t="shared" si="901"/>
        <v>0</v>
      </c>
      <c r="R4049" s="647">
        <f t="shared" si="899"/>
        <v>0</v>
      </c>
      <c r="S4049" s="649"/>
      <c r="T4049" s="649"/>
      <c r="U4049" s="649">
        <f t="shared" si="902"/>
        <v>0</v>
      </c>
      <c r="V4049" s="647">
        <f t="shared" si="900"/>
        <v>0</v>
      </c>
      <c r="W4049" s="649"/>
      <c r="X4049" s="649"/>
      <c r="Y4049" s="649"/>
      <c r="Z4049" s="649"/>
      <c r="AA4049" s="649">
        <f t="shared" si="898"/>
        <v>0</v>
      </c>
      <c r="AB4049" s="647">
        <f t="shared" si="908"/>
        <v>0</v>
      </c>
      <c r="AC4049" s="649"/>
      <c r="AD4049" s="649"/>
      <c r="AE4049" s="649">
        <f t="shared" si="898"/>
        <v>0</v>
      </c>
      <c r="AF4049" s="647">
        <f t="shared" si="904"/>
        <v>0</v>
      </c>
      <c r="AG4049" s="649"/>
      <c r="AH4049" s="649"/>
      <c r="AI4049" s="649"/>
      <c r="AJ4049" s="649"/>
      <c r="AK4049" s="647">
        <f t="shared" si="905"/>
        <v>0</v>
      </c>
      <c r="AL4049" s="446">
        <f t="shared" si="906"/>
        <v>0</v>
      </c>
      <c r="AM4049" s="110">
        <f t="shared" si="907"/>
        <v>0</v>
      </c>
      <c r="AN4049" s="447">
        <f t="shared" si="896"/>
        <v>0</v>
      </c>
      <c r="AO4049" s="108"/>
      <c r="AP4049"/>
    </row>
    <row r="4050" spans="1:42" s="108" customFormat="1" x14ac:dyDescent="0.25">
      <c r="A4050" s="58"/>
      <c r="B4050" s="482"/>
      <c r="C4050" s="9"/>
      <c r="D4050" s="869"/>
      <c r="E4050" s="1027"/>
      <c r="F4050" s="272"/>
      <c r="G4050" s="272"/>
      <c r="H4050" s="272"/>
      <c r="I4050" s="722"/>
      <c r="J4050" s="763"/>
      <c r="K4050" s="131">
        <f t="shared" si="897"/>
        <v>0</v>
      </c>
      <c r="L4050" s="335">
        <f t="shared" si="903"/>
        <v>0</v>
      </c>
      <c r="M4050" s="335"/>
      <c r="N4050" s="335"/>
      <c r="O4050" s="335"/>
      <c r="P4050" s="335"/>
      <c r="Q4050" s="130">
        <f t="shared" si="901"/>
        <v>0</v>
      </c>
      <c r="R4050" s="131">
        <f t="shared" si="899"/>
        <v>0</v>
      </c>
      <c r="S4050" s="130"/>
      <c r="T4050" s="130"/>
      <c r="U4050" s="130">
        <f t="shared" si="902"/>
        <v>0</v>
      </c>
      <c r="V4050" s="131">
        <f t="shared" si="900"/>
        <v>0</v>
      </c>
      <c r="W4050" s="130"/>
      <c r="X4050" s="130"/>
      <c r="Y4050" s="130"/>
      <c r="Z4050" s="130"/>
      <c r="AA4050" s="130">
        <f t="shared" si="898"/>
        <v>0</v>
      </c>
      <c r="AB4050" s="131">
        <f t="shared" si="908"/>
        <v>0</v>
      </c>
      <c r="AC4050" s="130"/>
      <c r="AD4050" s="130"/>
      <c r="AE4050" s="130">
        <f t="shared" si="898"/>
        <v>0</v>
      </c>
      <c r="AF4050" s="131">
        <f t="shared" si="904"/>
        <v>0</v>
      </c>
      <c r="AG4050" s="130"/>
      <c r="AH4050" s="130"/>
      <c r="AI4050" s="130"/>
      <c r="AJ4050" s="130"/>
      <c r="AK4050" s="131">
        <f t="shared" si="905"/>
        <v>0</v>
      </c>
      <c r="AL4050" s="446">
        <f t="shared" si="906"/>
        <v>0</v>
      </c>
      <c r="AM4050" s="110">
        <f t="shared" si="907"/>
        <v>0</v>
      </c>
      <c r="AN4050" s="447">
        <f t="shared" si="896"/>
        <v>0</v>
      </c>
      <c r="AO4050"/>
      <c r="AP4050"/>
    </row>
    <row r="4051" spans="1:42" ht="22.5" x14ac:dyDescent="0.25">
      <c r="A4051" s="376">
        <v>418</v>
      </c>
      <c r="B4051" s="635" t="s">
        <v>983</v>
      </c>
      <c r="C4051" s="376"/>
      <c r="D4051" s="921"/>
      <c r="E4051" s="377"/>
      <c r="F4051" s="378"/>
      <c r="G4051" s="378"/>
      <c r="H4051" s="378"/>
      <c r="I4051" s="734"/>
      <c r="J4051" s="806"/>
      <c r="K4051" s="131">
        <f t="shared" si="897"/>
        <v>0</v>
      </c>
      <c r="L4051" s="335">
        <f t="shared" si="903"/>
        <v>0</v>
      </c>
      <c r="M4051" s="419"/>
      <c r="N4051" s="419"/>
      <c r="O4051" s="419"/>
      <c r="P4051" s="419"/>
      <c r="Q4051" s="418">
        <f t="shared" si="901"/>
        <v>0</v>
      </c>
      <c r="R4051" s="379">
        <f t="shared" si="899"/>
        <v>0</v>
      </c>
      <c r="S4051" s="418"/>
      <c r="T4051" s="418"/>
      <c r="U4051" s="418">
        <f t="shared" si="902"/>
        <v>0</v>
      </c>
      <c r="V4051" s="379">
        <f t="shared" si="900"/>
        <v>0</v>
      </c>
      <c r="W4051" s="418"/>
      <c r="X4051" s="418"/>
      <c r="Y4051" s="418"/>
      <c r="Z4051" s="418"/>
      <c r="AA4051" s="418">
        <f t="shared" si="898"/>
        <v>0</v>
      </c>
      <c r="AB4051" s="379">
        <f t="shared" si="908"/>
        <v>0</v>
      </c>
      <c r="AC4051" s="418"/>
      <c r="AD4051" s="418"/>
      <c r="AE4051" s="418">
        <f t="shared" si="898"/>
        <v>0</v>
      </c>
      <c r="AF4051" s="379">
        <f t="shared" si="904"/>
        <v>0</v>
      </c>
      <c r="AG4051" s="418"/>
      <c r="AH4051" s="418"/>
      <c r="AI4051" s="418"/>
      <c r="AJ4051" s="418"/>
      <c r="AK4051" s="379">
        <f t="shared" si="905"/>
        <v>0</v>
      </c>
      <c r="AL4051" s="446">
        <f t="shared" si="906"/>
        <v>0</v>
      </c>
      <c r="AM4051" s="110">
        <f t="shared" si="907"/>
        <v>0</v>
      </c>
      <c r="AN4051" s="447">
        <f t="shared" si="896"/>
        <v>0</v>
      </c>
      <c r="AO4051" s="108"/>
      <c r="AP4051"/>
    </row>
    <row r="4052" spans="1:42" ht="22.5" x14ac:dyDescent="0.25">
      <c r="A4052" s="643">
        <v>41801</v>
      </c>
      <c r="B4052" s="644" t="s">
        <v>983</v>
      </c>
      <c r="C4052" s="643"/>
      <c r="D4052" s="954"/>
      <c r="E4052" s="645"/>
      <c r="F4052" s="646"/>
      <c r="G4052" s="646"/>
      <c r="H4052" s="646"/>
      <c r="I4052" s="717"/>
      <c r="J4052" s="753"/>
      <c r="K4052" s="131">
        <f t="shared" si="897"/>
        <v>0</v>
      </c>
      <c r="L4052" s="335">
        <f t="shared" si="903"/>
        <v>0</v>
      </c>
      <c r="M4052" s="648"/>
      <c r="N4052" s="648"/>
      <c r="O4052" s="648"/>
      <c r="P4052" s="648"/>
      <c r="Q4052" s="649">
        <f t="shared" si="901"/>
        <v>0</v>
      </c>
      <c r="R4052" s="647">
        <f t="shared" si="899"/>
        <v>0</v>
      </c>
      <c r="S4052" s="649"/>
      <c r="T4052" s="649"/>
      <c r="U4052" s="649">
        <f t="shared" si="902"/>
        <v>0</v>
      </c>
      <c r="V4052" s="647">
        <f t="shared" si="900"/>
        <v>0</v>
      </c>
      <c r="W4052" s="649"/>
      <c r="X4052" s="649"/>
      <c r="Y4052" s="649"/>
      <c r="Z4052" s="649"/>
      <c r="AA4052" s="649">
        <f t="shared" si="898"/>
        <v>0</v>
      </c>
      <c r="AB4052" s="647">
        <f t="shared" si="908"/>
        <v>0</v>
      </c>
      <c r="AC4052" s="649"/>
      <c r="AD4052" s="649"/>
      <c r="AE4052" s="649">
        <f t="shared" si="898"/>
        <v>0</v>
      </c>
      <c r="AF4052" s="647">
        <f t="shared" si="904"/>
        <v>0</v>
      </c>
      <c r="AG4052" s="649"/>
      <c r="AH4052" s="649"/>
      <c r="AI4052" s="649"/>
      <c r="AJ4052" s="649"/>
      <c r="AK4052" s="647">
        <f t="shared" si="905"/>
        <v>0</v>
      </c>
      <c r="AL4052" s="446">
        <f t="shared" si="906"/>
        <v>0</v>
      </c>
      <c r="AM4052" s="110">
        <f t="shared" si="907"/>
        <v>0</v>
      </c>
      <c r="AN4052" s="447">
        <f t="shared" si="896"/>
        <v>0</v>
      </c>
      <c r="AO4052" s="108"/>
      <c r="AP4052"/>
    </row>
    <row r="4053" spans="1:42" s="108" customFormat="1" x14ac:dyDescent="0.25">
      <c r="A4053" s="58"/>
      <c r="B4053" s="482"/>
      <c r="C4053" s="9"/>
      <c r="D4053" s="869"/>
      <c r="E4053" s="1027"/>
      <c r="F4053" s="272"/>
      <c r="G4053" s="272"/>
      <c r="H4053" s="272"/>
      <c r="I4053" s="722"/>
      <c r="J4053" s="763"/>
      <c r="K4053" s="131">
        <f t="shared" si="897"/>
        <v>0</v>
      </c>
      <c r="L4053" s="335">
        <f t="shared" si="903"/>
        <v>0</v>
      </c>
      <c r="M4053" s="335"/>
      <c r="N4053" s="335"/>
      <c r="O4053" s="335"/>
      <c r="P4053" s="335"/>
      <c r="Q4053" s="130">
        <f t="shared" si="901"/>
        <v>0</v>
      </c>
      <c r="R4053" s="131">
        <f t="shared" si="899"/>
        <v>0</v>
      </c>
      <c r="S4053" s="130"/>
      <c r="T4053" s="130"/>
      <c r="U4053" s="130">
        <f t="shared" si="902"/>
        <v>0</v>
      </c>
      <c r="V4053" s="131">
        <f t="shared" si="900"/>
        <v>0</v>
      </c>
      <c r="W4053" s="130"/>
      <c r="X4053" s="130"/>
      <c r="Y4053" s="130"/>
      <c r="Z4053" s="130"/>
      <c r="AA4053" s="130">
        <f t="shared" si="898"/>
        <v>0</v>
      </c>
      <c r="AB4053" s="131">
        <f t="shared" si="908"/>
        <v>0</v>
      </c>
      <c r="AC4053" s="130"/>
      <c r="AD4053" s="130"/>
      <c r="AE4053" s="130">
        <f t="shared" si="898"/>
        <v>0</v>
      </c>
      <c r="AF4053" s="131">
        <f t="shared" si="904"/>
        <v>0</v>
      </c>
      <c r="AG4053" s="130"/>
      <c r="AH4053" s="130"/>
      <c r="AI4053" s="130"/>
      <c r="AJ4053" s="130"/>
      <c r="AK4053" s="131">
        <f t="shared" si="905"/>
        <v>0</v>
      </c>
      <c r="AL4053" s="446">
        <f t="shared" si="906"/>
        <v>0</v>
      </c>
      <c r="AM4053" s="110">
        <f t="shared" si="907"/>
        <v>0</v>
      </c>
      <c r="AN4053" s="447">
        <f t="shared" si="896"/>
        <v>0</v>
      </c>
      <c r="AO4053"/>
      <c r="AP4053"/>
    </row>
    <row r="4054" spans="1:42" ht="22.5" x14ac:dyDescent="0.25">
      <c r="A4054" s="643">
        <v>41802</v>
      </c>
      <c r="B4054" s="644" t="s">
        <v>984</v>
      </c>
      <c r="C4054" s="643"/>
      <c r="D4054" s="954"/>
      <c r="E4054" s="645"/>
      <c r="F4054" s="646"/>
      <c r="G4054" s="646"/>
      <c r="H4054" s="646"/>
      <c r="I4054" s="717"/>
      <c r="J4054" s="753"/>
      <c r="K4054" s="131">
        <f t="shared" si="897"/>
        <v>0</v>
      </c>
      <c r="L4054" s="335">
        <f t="shared" si="903"/>
        <v>0</v>
      </c>
      <c r="M4054" s="648"/>
      <c r="N4054" s="648"/>
      <c r="O4054" s="648"/>
      <c r="P4054" s="648"/>
      <c r="Q4054" s="649">
        <f t="shared" si="901"/>
        <v>0</v>
      </c>
      <c r="R4054" s="647">
        <f t="shared" si="899"/>
        <v>0</v>
      </c>
      <c r="S4054" s="649"/>
      <c r="T4054" s="649"/>
      <c r="U4054" s="649">
        <f t="shared" si="902"/>
        <v>0</v>
      </c>
      <c r="V4054" s="647">
        <f t="shared" si="900"/>
        <v>0</v>
      </c>
      <c r="W4054" s="649"/>
      <c r="X4054" s="649"/>
      <c r="Y4054" s="649"/>
      <c r="Z4054" s="649"/>
      <c r="AA4054" s="649">
        <f t="shared" si="898"/>
        <v>0</v>
      </c>
      <c r="AB4054" s="647">
        <f t="shared" si="908"/>
        <v>0</v>
      </c>
      <c r="AC4054" s="649"/>
      <c r="AD4054" s="649"/>
      <c r="AE4054" s="649">
        <f t="shared" si="898"/>
        <v>0</v>
      </c>
      <c r="AF4054" s="647">
        <f t="shared" si="904"/>
        <v>0</v>
      </c>
      <c r="AG4054" s="649"/>
      <c r="AH4054" s="649"/>
      <c r="AI4054" s="649"/>
      <c r="AJ4054" s="649"/>
      <c r="AK4054" s="647">
        <f t="shared" si="905"/>
        <v>0</v>
      </c>
      <c r="AL4054" s="446">
        <f t="shared" si="906"/>
        <v>0</v>
      </c>
      <c r="AM4054" s="110">
        <f t="shared" si="907"/>
        <v>0</v>
      </c>
      <c r="AN4054" s="447">
        <f t="shared" si="896"/>
        <v>0</v>
      </c>
      <c r="AO4054" s="108"/>
      <c r="AP4054"/>
    </row>
    <row r="4055" spans="1:42" s="108" customFormat="1" x14ac:dyDescent="0.25">
      <c r="A4055" s="58"/>
      <c r="B4055" s="482"/>
      <c r="C4055" s="9"/>
      <c r="D4055" s="939"/>
      <c r="E4055" s="79"/>
      <c r="F4055" s="286"/>
      <c r="G4055" s="286"/>
      <c r="H4055" s="286"/>
      <c r="I4055" s="722"/>
      <c r="J4055" s="841"/>
      <c r="K4055" s="131">
        <f t="shared" si="897"/>
        <v>0</v>
      </c>
      <c r="L4055" s="335">
        <f t="shared" si="903"/>
        <v>0</v>
      </c>
      <c r="M4055" s="335"/>
      <c r="N4055" s="335"/>
      <c r="O4055" s="335"/>
      <c r="P4055" s="335"/>
      <c r="Q4055" s="130">
        <f t="shared" si="901"/>
        <v>0</v>
      </c>
      <c r="R4055" s="131">
        <f t="shared" si="899"/>
        <v>0</v>
      </c>
      <c r="S4055" s="130"/>
      <c r="T4055" s="130"/>
      <c r="U4055" s="130">
        <f t="shared" si="902"/>
        <v>0</v>
      </c>
      <c r="V4055" s="131">
        <f t="shared" si="900"/>
        <v>0</v>
      </c>
      <c r="W4055" s="130"/>
      <c r="X4055" s="130"/>
      <c r="Y4055" s="130"/>
      <c r="Z4055" s="130"/>
      <c r="AA4055" s="130">
        <f t="shared" si="898"/>
        <v>0</v>
      </c>
      <c r="AB4055" s="131">
        <f t="shared" si="908"/>
        <v>0</v>
      </c>
      <c r="AC4055" s="130"/>
      <c r="AD4055" s="130"/>
      <c r="AE4055" s="130">
        <f t="shared" si="898"/>
        <v>0</v>
      </c>
      <c r="AF4055" s="131">
        <f t="shared" si="904"/>
        <v>0</v>
      </c>
      <c r="AG4055" s="130"/>
      <c r="AH4055" s="130"/>
      <c r="AI4055" s="130"/>
      <c r="AJ4055" s="130"/>
      <c r="AK4055" s="131">
        <f t="shared" si="905"/>
        <v>0</v>
      </c>
      <c r="AL4055" s="446">
        <f t="shared" si="906"/>
        <v>0</v>
      </c>
      <c r="AM4055" s="110">
        <f t="shared" si="907"/>
        <v>0</v>
      </c>
      <c r="AN4055" s="447">
        <f t="shared" si="896"/>
        <v>0</v>
      </c>
      <c r="AO4055"/>
      <c r="AP4055"/>
    </row>
    <row r="4056" spans="1:42" ht="22.5" x14ac:dyDescent="0.25">
      <c r="A4056" s="376">
        <v>419</v>
      </c>
      <c r="B4056" s="635" t="s">
        <v>985</v>
      </c>
      <c r="C4056" s="376"/>
      <c r="D4056" s="921"/>
      <c r="E4056" s="377"/>
      <c r="F4056" s="378"/>
      <c r="G4056" s="378"/>
      <c r="H4056" s="378"/>
      <c r="I4056" s="734"/>
      <c r="J4056" s="806"/>
      <c r="K4056" s="131">
        <f t="shared" si="897"/>
        <v>0</v>
      </c>
      <c r="L4056" s="335">
        <f t="shared" si="903"/>
        <v>0</v>
      </c>
      <c r="M4056" s="419"/>
      <c r="N4056" s="419"/>
      <c r="O4056" s="419"/>
      <c r="P4056" s="419"/>
      <c r="Q4056" s="418">
        <f t="shared" si="901"/>
        <v>0</v>
      </c>
      <c r="R4056" s="379">
        <f t="shared" si="899"/>
        <v>0</v>
      </c>
      <c r="S4056" s="418"/>
      <c r="T4056" s="418"/>
      <c r="U4056" s="418">
        <f t="shared" si="902"/>
        <v>0</v>
      </c>
      <c r="V4056" s="379">
        <f t="shared" si="900"/>
        <v>0</v>
      </c>
      <c r="W4056" s="418"/>
      <c r="X4056" s="418"/>
      <c r="Y4056" s="418"/>
      <c r="Z4056" s="418"/>
      <c r="AA4056" s="418">
        <f t="shared" si="898"/>
        <v>0</v>
      </c>
      <c r="AB4056" s="379">
        <f t="shared" si="908"/>
        <v>0</v>
      </c>
      <c r="AC4056" s="418"/>
      <c r="AD4056" s="418"/>
      <c r="AE4056" s="418">
        <f t="shared" si="898"/>
        <v>0</v>
      </c>
      <c r="AF4056" s="379">
        <f t="shared" si="904"/>
        <v>0</v>
      </c>
      <c r="AG4056" s="418"/>
      <c r="AH4056" s="418"/>
      <c r="AI4056" s="418"/>
      <c r="AJ4056" s="418"/>
      <c r="AK4056" s="379">
        <f t="shared" si="905"/>
        <v>0</v>
      </c>
      <c r="AL4056" s="446">
        <f t="shared" si="906"/>
        <v>0</v>
      </c>
      <c r="AM4056" s="110">
        <f t="shared" si="907"/>
        <v>0</v>
      </c>
      <c r="AN4056" s="447">
        <f t="shared" si="896"/>
        <v>0</v>
      </c>
      <c r="AO4056" s="108"/>
      <c r="AP4056"/>
    </row>
    <row r="4057" spans="1:42" ht="22.5" x14ac:dyDescent="0.25">
      <c r="A4057" s="643">
        <v>41901</v>
      </c>
      <c r="B4057" s="644" t="s">
        <v>986</v>
      </c>
      <c r="C4057" s="643"/>
      <c r="D4057" s="954"/>
      <c r="E4057" s="645"/>
      <c r="F4057" s="646"/>
      <c r="G4057" s="646"/>
      <c r="H4057" s="646"/>
      <c r="I4057" s="717"/>
      <c r="J4057" s="753"/>
      <c r="K4057" s="131">
        <f t="shared" si="897"/>
        <v>0</v>
      </c>
      <c r="L4057" s="335">
        <f t="shared" si="903"/>
        <v>0</v>
      </c>
      <c r="M4057" s="648"/>
      <c r="N4057" s="648"/>
      <c r="O4057" s="648"/>
      <c r="P4057" s="648"/>
      <c r="Q4057" s="649">
        <f t="shared" si="901"/>
        <v>0</v>
      </c>
      <c r="R4057" s="647">
        <f t="shared" si="899"/>
        <v>0</v>
      </c>
      <c r="S4057" s="649"/>
      <c r="T4057" s="649"/>
      <c r="U4057" s="649">
        <f t="shared" si="902"/>
        <v>0</v>
      </c>
      <c r="V4057" s="647">
        <f t="shared" si="900"/>
        <v>0</v>
      </c>
      <c r="W4057" s="649"/>
      <c r="X4057" s="649"/>
      <c r="Y4057" s="649"/>
      <c r="Z4057" s="649"/>
      <c r="AA4057" s="649">
        <f t="shared" si="898"/>
        <v>0</v>
      </c>
      <c r="AB4057" s="647">
        <f t="shared" si="908"/>
        <v>0</v>
      </c>
      <c r="AC4057" s="649"/>
      <c r="AD4057" s="649"/>
      <c r="AE4057" s="649">
        <f t="shared" si="898"/>
        <v>0</v>
      </c>
      <c r="AF4057" s="647">
        <f t="shared" si="904"/>
        <v>0</v>
      </c>
      <c r="AG4057" s="649"/>
      <c r="AH4057" s="649"/>
      <c r="AI4057" s="649"/>
      <c r="AJ4057" s="649"/>
      <c r="AK4057" s="647">
        <f t="shared" si="905"/>
        <v>0</v>
      </c>
      <c r="AL4057" s="446">
        <f t="shared" si="906"/>
        <v>0</v>
      </c>
      <c r="AM4057" s="110">
        <f t="shared" si="907"/>
        <v>0</v>
      </c>
      <c r="AN4057" s="447">
        <f t="shared" si="896"/>
        <v>0</v>
      </c>
      <c r="AO4057" s="108"/>
      <c r="AP4057"/>
    </row>
    <row r="4058" spans="1:42" s="108" customFormat="1" x14ac:dyDescent="0.25">
      <c r="A4058" s="58"/>
      <c r="B4058" s="482"/>
      <c r="C4058" s="9"/>
      <c r="D4058" s="869"/>
      <c r="E4058" s="1027"/>
      <c r="F4058" s="272"/>
      <c r="G4058" s="272"/>
      <c r="H4058" s="272"/>
      <c r="I4058" s="722"/>
      <c r="J4058" s="763"/>
      <c r="K4058" s="131">
        <f t="shared" si="897"/>
        <v>0</v>
      </c>
      <c r="L4058" s="335">
        <f t="shared" si="903"/>
        <v>0</v>
      </c>
      <c r="M4058" s="335"/>
      <c r="N4058" s="335"/>
      <c r="O4058" s="335"/>
      <c r="P4058" s="335"/>
      <c r="Q4058" s="130">
        <f t="shared" si="901"/>
        <v>0</v>
      </c>
      <c r="R4058" s="131">
        <f t="shared" si="899"/>
        <v>0</v>
      </c>
      <c r="S4058" s="130"/>
      <c r="T4058" s="130"/>
      <c r="U4058" s="130">
        <f t="shared" si="902"/>
        <v>0</v>
      </c>
      <c r="V4058" s="131">
        <f t="shared" si="900"/>
        <v>0</v>
      </c>
      <c r="W4058" s="130"/>
      <c r="X4058" s="130"/>
      <c r="Y4058" s="130"/>
      <c r="Z4058" s="130"/>
      <c r="AA4058" s="130">
        <f t="shared" si="898"/>
        <v>0</v>
      </c>
      <c r="AB4058" s="131">
        <f t="shared" si="908"/>
        <v>0</v>
      </c>
      <c r="AC4058" s="130"/>
      <c r="AD4058" s="130"/>
      <c r="AE4058" s="130">
        <f t="shared" si="898"/>
        <v>0</v>
      </c>
      <c r="AF4058" s="131">
        <f t="shared" si="904"/>
        <v>0</v>
      </c>
      <c r="AG4058" s="130"/>
      <c r="AH4058" s="130"/>
      <c r="AI4058" s="130"/>
      <c r="AJ4058" s="130"/>
      <c r="AK4058" s="131">
        <f t="shared" si="905"/>
        <v>0</v>
      </c>
      <c r="AL4058" s="446">
        <f t="shared" si="906"/>
        <v>0</v>
      </c>
      <c r="AM4058" s="110">
        <f t="shared" si="907"/>
        <v>0</v>
      </c>
      <c r="AN4058" s="447">
        <f t="shared" si="896"/>
        <v>0</v>
      </c>
      <c r="AO4058"/>
      <c r="AP4058"/>
    </row>
    <row r="4059" spans="1:42" ht="22.5" x14ac:dyDescent="0.25">
      <c r="A4059" s="643">
        <v>41902</v>
      </c>
      <c r="B4059" s="644" t="s">
        <v>987</v>
      </c>
      <c r="C4059" s="643"/>
      <c r="D4059" s="954"/>
      <c r="E4059" s="645"/>
      <c r="F4059" s="646"/>
      <c r="G4059" s="646"/>
      <c r="H4059" s="646"/>
      <c r="I4059" s="717"/>
      <c r="J4059" s="753"/>
      <c r="K4059" s="131">
        <f t="shared" si="897"/>
        <v>0</v>
      </c>
      <c r="L4059" s="335">
        <f t="shared" si="903"/>
        <v>0</v>
      </c>
      <c r="M4059" s="648"/>
      <c r="N4059" s="648"/>
      <c r="O4059" s="648"/>
      <c r="P4059" s="648"/>
      <c r="Q4059" s="649">
        <f t="shared" si="901"/>
        <v>0</v>
      </c>
      <c r="R4059" s="647">
        <f t="shared" si="899"/>
        <v>0</v>
      </c>
      <c r="S4059" s="649"/>
      <c r="T4059" s="649"/>
      <c r="U4059" s="649">
        <f t="shared" si="902"/>
        <v>0</v>
      </c>
      <c r="V4059" s="647">
        <f t="shared" si="900"/>
        <v>0</v>
      </c>
      <c r="W4059" s="649"/>
      <c r="X4059" s="649"/>
      <c r="Y4059" s="649"/>
      <c r="Z4059" s="649"/>
      <c r="AA4059" s="649">
        <f t="shared" si="898"/>
        <v>0</v>
      </c>
      <c r="AB4059" s="647">
        <f t="shared" si="908"/>
        <v>0</v>
      </c>
      <c r="AC4059" s="649"/>
      <c r="AD4059" s="649"/>
      <c r="AE4059" s="649">
        <f t="shared" si="898"/>
        <v>0</v>
      </c>
      <c r="AF4059" s="647">
        <f t="shared" si="904"/>
        <v>0</v>
      </c>
      <c r="AG4059" s="649"/>
      <c r="AH4059" s="649"/>
      <c r="AI4059" s="649"/>
      <c r="AJ4059" s="649"/>
      <c r="AK4059" s="647">
        <f t="shared" si="905"/>
        <v>0</v>
      </c>
      <c r="AL4059" s="446">
        <f t="shared" si="906"/>
        <v>0</v>
      </c>
      <c r="AM4059" s="110">
        <f t="shared" si="907"/>
        <v>0</v>
      </c>
      <c r="AN4059" s="447">
        <f t="shared" ref="AN4059:AN4122" si="909">+D4059-AM4059</f>
        <v>0</v>
      </c>
      <c r="AO4059" s="108"/>
      <c r="AP4059"/>
    </row>
    <row r="4060" spans="1:42" s="108" customFormat="1" x14ac:dyDescent="0.25">
      <c r="A4060" s="58"/>
      <c r="B4060" s="482"/>
      <c r="C4060" s="9"/>
      <c r="D4060" s="869"/>
      <c r="E4060" s="1027"/>
      <c r="F4060" s="272"/>
      <c r="G4060" s="272"/>
      <c r="H4060" s="272"/>
      <c r="I4060" s="722"/>
      <c r="J4060" s="763"/>
      <c r="K4060" s="131">
        <f t="shared" si="897"/>
        <v>0</v>
      </c>
      <c r="L4060" s="335">
        <f t="shared" si="903"/>
        <v>0</v>
      </c>
      <c r="M4060" s="335"/>
      <c r="N4060" s="335"/>
      <c r="O4060" s="335"/>
      <c r="P4060" s="335"/>
      <c r="Q4060" s="130">
        <f t="shared" si="901"/>
        <v>0</v>
      </c>
      <c r="R4060" s="131">
        <f t="shared" si="899"/>
        <v>0</v>
      </c>
      <c r="S4060" s="130"/>
      <c r="T4060" s="130"/>
      <c r="U4060" s="130">
        <f t="shared" si="902"/>
        <v>0</v>
      </c>
      <c r="V4060" s="131">
        <f t="shared" si="900"/>
        <v>0</v>
      </c>
      <c r="W4060" s="130"/>
      <c r="X4060" s="130"/>
      <c r="Y4060" s="130"/>
      <c r="Z4060" s="130"/>
      <c r="AA4060" s="130">
        <f t="shared" si="898"/>
        <v>0</v>
      </c>
      <c r="AB4060" s="131">
        <f t="shared" si="908"/>
        <v>0</v>
      </c>
      <c r="AC4060" s="130"/>
      <c r="AD4060" s="130"/>
      <c r="AE4060" s="130">
        <f t="shared" si="898"/>
        <v>0</v>
      </c>
      <c r="AF4060" s="131">
        <f t="shared" si="904"/>
        <v>0</v>
      </c>
      <c r="AG4060" s="130"/>
      <c r="AH4060" s="130"/>
      <c r="AI4060" s="130"/>
      <c r="AJ4060" s="130"/>
      <c r="AK4060" s="131">
        <f t="shared" si="905"/>
        <v>0</v>
      </c>
      <c r="AL4060" s="446">
        <f t="shared" si="906"/>
        <v>0</v>
      </c>
      <c r="AM4060" s="110">
        <f t="shared" si="907"/>
        <v>0</v>
      </c>
      <c r="AN4060" s="447">
        <f t="shared" si="909"/>
        <v>0</v>
      </c>
      <c r="AO4060"/>
      <c r="AP4060"/>
    </row>
    <row r="4061" spans="1:42" x14ac:dyDescent="0.25">
      <c r="A4061" s="299">
        <v>4200</v>
      </c>
      <c r="B4061" s="469" t="s">
        <v>988</v>
      </c>
      <c r="C4061" s="299"/>
      <c r="D4061" s="909"/>
      <c r="E4061" s="301"/>
      <c r="F4061" s="302"/>
      <c r="G4061" s="302"/>
      <c r="H4061" s="302"/>
      <c r="I4061" s="715"/>
      <c r="J4061" s="751"/>
      <c r="K4061" s="131">
        <f t="shared" ref="K4061:K4124" si="910">+D4061*I4061</f>
        <v>0</v>
      </c>
      <c r="L4061" s="335">
        <f t="shared" si="903"/>
        <v>0</v>
      </c>
      <c r="M4061" s="453"/>
      <c r="N4061" s="453"/>
      <c r="O4061" s="453"/>
      <c r="P4061" s="453"/>
      <c r="Q4061" s="385">
        <f t="shared" si="901"/>
        <v>0</v>
      </c>
      <c r="R4061" s="303">
        <f t="shared" si="899"/>
        <v>0</v>
      </c>
      <c r="S4061" s="385"/>
      <c r="T4061" s="385"/>
      <c r="U4061" s="385">
        <f t="shared" si="902"/>
        <v>0</v>
      </c>
      <c r="V4061" s="303">
        <f t="shared" si="900"/>
        <v>0</v>
      </c>
      <c r="W4061" s="385"/>
      <c r="X4061" s="385"/>
      <c r="Y4061" s="385"/>
      <c r="Z4061" s="385"/>
      <c r="AA4061" s="385">
        <f t="shared" si="898"/>
        <v>0</v>
      </c>
      <c r="AB4061" s="303">
        <f t="shared" si="908"/>
        <v>0</v>
      </c>
      <c r="AC4061" s="385"/>
      <c r="AD4061" s="385"/>
      <c r="AE4061" s="385">
        <f t="shared" si="898"/>
        <v>0</v>
      </c>
      <c r="AF4061" s="303">
        <f t="shared" si="904"/>
        <v>0</v>
      </c>
      <c r="AG4061" s="385"/>
      <c r="AH4061" s="385"/>
      <c r="AI4061" s="385"/>
      <c r="AJ4061" s="385"/>
      <c r="AK4061" s="303">
        <f t="shared" si="905"/>
        <v>0</v>
      </c>
      <c r="AL4061" s="453">
        <f t="shared" si="906"/>
        <v>0</v>
      </c>
      <c r="AM4061" s="385">
        <f t="shared" si="907"/>
        <v>0</v>
      </c>
      <c r="AN4061" s="454">
        <f t="shared" si="909"/>
        <v>0</v>
      </c>
      <c r="AO4061" s="304"/>
      <c r="AP4061"/>
    </row>
    <row r="4062" spans="1:42" ht="22.5" x14ac:dyDescent="0.25">
      <c r="A4062" s="376">
        <v>421</v>
      </c>
      <c r="B4062" s="635" t="s">
        <v>989</v>
      </c>
      <c r="C4062" s="376"/>
      <c r="D4062" s="921"/>
      <c r="E4062" s="377"/>
      <c r="F4062" s="378"/>
      <c r="G4062" s="378"/>
      <c r="H4062" s="378"/>
      <c r="I4062" s="734"/>
      <c r="J4062" s="806"/>
      <c r="K4062" s="131">
        <f t="shared" si="910"/>
        <v>0</v>
      </c>
      <c r="L4062" s="335">
        <f t="shared" si="903"/>
        <v>0</v>
      </c>
      <c r="M4062" s="419"/>
      <c r="N4062" s="419"/>
      <c r="O4062" s="419"/>
      <c r="P4062" s="419"/>
      <c r="Q4062" s="418">
        <f t="shared" si="901"/>
        <v>0</v>
      </c>
      <c r="R4062" s="379">
        <f t="shared" si="899"/>
        <v>0</v>
      </c>
      <c r="S4062" s="418"/>
      <c r="T4062" s="418"/>
      <c r="U4062" s="418">
        <f t="shared" si="902"/>
        <v>0</v>
      </c>
      <c r="V4062" s="379">
        <f t="shared" si="900"/>
        <v>0</v>
      </c>
      <c r="W4062" s="418"/>
      <c r="X4062" s="418"/>
      <c r="Y4062" s="418"/>
      <c r="Z4062" s="418"/>
      <c r="AA4062" s="418">
        <f t="shared" si="898"/>
        <v>0</v>
      </c>
      <c r="AB4062" s="379">
        <f t="shared" si="908"/>
        <v>0</v>
      </c>
      <c r="AC4062" s="418"/>
      <c r="AD4062" s="418"/>
      <c r="AE4062" s="418">
        <f t="shared" si="898"/>
        <v>0</v>
      </c>
      <c r="AF4062" s="379">
        <f t="shared" si="904"/>
        <v>0</v>
      </c>
      <c r="AG4062" s="418"/>
      <c r="AH4062" s="418"/>
      <c r="AI4062" s="418"/>
      <c r="AJ4062" s="418"/>
      <c r="AK4062" s="379">
        <f t="shared" si="905"/>
        <v>0</v>
      </c>
      <c r="AL4062" s="446">
        <f t="shared" si="906"/>
        <v>0</v>
      </c>
      <c r="AM4062" s="110">
        <f t="shared" si="907"/>
        <v>0</v>
      </c>
      <c r="AN4062" s="447">
        <f t="shared" si="909"/>
        <v>0</v>
      </c>
      <c r="AO4062" s="108"/>
      <c r="AP4062"/>
    </row>
    <row r="4063" spans="1:42" ht="22.5" x14ac:dyDescent="0.25">
      <c r="A4063" s="643">
        <v>42101</v>
      </c>
      <c r="B4063" s="644" t="s">
        <v>989</v>
      </c>
      <c r="C4063" s="643"/>
      <c r="D4063" s="954"/>
      <c r="E4063" s="645"/>
      <c r="F4063" s="646"/>
      <c r="G4063" s="646"/>
      <c r="H4063" s="646"/>
      <c r="I4063" s="717"/>
      <c r="J4063" s="753"/>
      <c r="K4063" s="131">
        <f t="shared" si="910"/>
        <v>0</v>
      </c>
      <c r="L4063" s="335">
        <f t="shared" si="903"/>
        <v>0</v>
      </c>
      <c r="M4063" s="648"/>
      <c r="N4063" s="648"/>
      <c r="O4063" s="648"/>
      <c r="P4063" s="648"/>
      <c r="Q4063" s="649">
        <f t="shared" si="901"/>
        <v>0</v>
      </c>
      <c r="R4063" s="647">
        <f t="shared" si="899"/>
        <v>0</v>
      </c>
      <c r="S4063" s="649"/>
      <c r="T4063" s="649"/>
      <c r="U4063" s="649">
        <f t="shared" si="902"/>
        <v>0</v>
      </c>
      <c r="V4063" s="647">
        <f t="shared" si="900"/>
        <v>0</v>
      </c>
      <c r="W4063" s="649"/>
      <c r="X4063" s="649"/>
      <c r="Y4063" s="649"/>
      <c r="Z4063" s="649"/>
      <c r="AA4063" s="649">
        <f t="shared" si="898"/>
        <v>0</v>
      </c>
      <c r="AB4063" s="647">
        <f t="shared" si="908"/>
        <v>0</v>
      </c>
      <c r="AC4063" s="649"/>
      <c r="AD4063" s="649"/>
      <c r="AE4063" s="649">
        <f t="shared" si="898"/>
        <v>0</v>
      </c>
      <c r="AF4063" s="647">
        <f t="shared" si="904"/>
        <v>0</v>
      </c>
      <c r="AG4063" s="649"/>
      <c r="AH4063" s="649"/>
      <c r="AI4063" s="649"/>
      <c r="AJ4063" s="649"/>
      <c r="AK4063" s="647">
        <f t="shared" si="905"/>
        <v>0</v>
      </c>
      <c r="AL4063" s="446">
        <f t="shared" si="906"/>
        <v>0</v>
      </c>
      <c r="AM4063" s="110">
        <f t="shared" si="907"/>
        <v>0</v>
      </c>
      <c r="AN4063" s="447">
        <f t="shared" si="909"/>
        <v>0</v>
      </c>
      <c r="AO4063" s="108"/>
      <c r="AP4063"/>
    </row>
    <row r="4064" spans="1:42" s="108" customFormat="1" x14ac:dyDescent="0.25">
      <c r="A4064" s="58"/>
      <c r="B4064" s="482"/>
      <c r="C4064" s="9"/>
      <c r="D4064" s="869"/>
      <c r="E4064" s="1027"/>
      <c r="F4064" s="272"/>
      <c r="G4064" s="272"/>
      <c r="H4064" s="272"/>
      <c r="I4064" s="722"/>
      <c r="J4064" s="763"/>
      <c r="K4064" s="131">
        <f t="shared" si="910"/>
        <v>0</v>
      </c>
      <c r="L4064" s="335">
        <f t="shared" si="903"/>
        <v>0</v>
      </c>
      <c r="M4064" s="335"/>
      <c r="N4064" s="335"/>
      <c r="O4064" s="335"/>
      <c r="P4064" s="335"/>
      <c r="Q4064" s="130">
        <f t="shared" si="901"/>
        <v>0</v>
      </c>
      <c r="R4064" s="131">
        <f t="shared" si="899"/>
        <v>0</v>
      </c>
      <c r="S4064" s="130"/>
      <c r="T4064" s="130"/>
      <c r="U4064" s="130">
        <f t="shared" si="902"/>
        <v>0</v>
      </c>
      <c r="V4064" s="131">
        <f t="shared" si="900"/>
        <v>0</v>
      </c>
      <c r="W4064" s="130"/>
      <c r="X4064" s="130"/>
      <c r="Y4064" s="130"/>
      <c r="Z4064" s="130"/>
      <c r="AA4064" s="130">
        <f t="shared" si="898"/>
        <v>0</v>
      </c>
      <c r="AB4064" s="131">
        <f t="shared" si="908"/>
        <v>0</v>
      </c>
      <c r="AC4064" s="130"/>
      <c r="AD4064" s="130"/>
      <c r="AE4064" s="130">
        <f t="shared" si="898"/>
        <v>0</v>
      </c>
      <c r="AF4064" s="131">
        <f t="shared" si="904"/>
        <v>0</v>
      </c>
      <c r="AG4064" s="130"/>
      <c r="AH4064" s="130"/>
      <c r="AI4064" s="130"/>
      <c r="AJ4064" s="130"/>
      <c r="AK4064" s="131">
        <f t="shared" si="905"/>
        <v>0</v>
      </c>
      <c r="AL4064" s="446">
        <f t="shared" si="906"/>
        <v>0</v>
      </c>
      <c r="AM4064" s="110">
        <f t="shared" si="907"/>
        <v>0</v>
      </c>
      <c r="AN4064" s="447">
        <f t="shared" si="909"/>
        <v>0</v>
      </c>
      <c r="AO4064"/>
      <c r="AP4064"/>
    </row>
    <row r="4065" spans="1:42" ht="22.5" x14ac:dyDescent="0.25">
      <c r="A4065" s="643">
        <v>42102</v>
      </c>
      <c r="B4065" s="644" t="s">
        <v>990</v>
      </c>
      <c r="C4065" s="643"/>
      <c r="D4065" s="954"/>
      <c r="E4065" s="645"/>
      <c r="F4065" s="646"/>
      <c r="G4065" s="646"/>
      <c r="H4065" s="646"/>
      <c r="I4065" s="717"/>
      <c r="J4065" s="753"/>
      <c r="K4065" s="131">
        <f t="shared" si="910"/>
        <v>0</v>
      </c>
      <c r="L4065" s="335">
        <f t="shared" si="903"/>
        <v>0</v>
      </c>
      <c r="M4065" s="648"/>
      <c r="N4065" s="648"/>
      <c r="O4065" s="648"/>
      <c r="P4065" s="648"/>
      <c r="Q4065" s="649">
        <f t="shared" si="901"/>
        <v>0</v>
      </c>
      <c r="R4065" s="647">
        <f t="shared" si="899"/>
        <v>0</v>
      </c>
      <c r="S4065" s="649"/>
      <c r="T4065" s="649"/>
      <c r="U4065" s="649">
        <f t="shared" si="902"/>
        <v>0</v>
      </c>
      <c r="V4065" s="647">
        <f t="shared" si="900"/>
        <v>0</v>
      </c>
      <c r="W4065" s="649"/>
      <c r="X4065" s="649"/>
      <c r="Y4065" s="649"/>
      <c r="Z4065" s="649"/>
      <c r="AA4065" s="649">
        <f t="shared" si="898"/>
        <v>0</v>
      </c>
      <c r="AB4065" s="647">
        <f t="shared" si="908"/>
        <v>0</v>
      </c>
      <c r="AC4065" s="649"/>
      <c r="AD4065" s="649"/>
      <c r="AE4065" s="649">
        <f t="shared" si="898"/>
        <v>0</v>
      </c>
      <c r="AF4065" s="647">
        <f t="shared" si="904"/>
        <v>0</v>
      </c>
      <c r="AG4065" s="649"/>
      <c r="AH4065" s="649"/>
      <c r="AI4065" s="649"/>
      <c r="AJ4065" s="649"/>
      <c r="AK4065" s="647">
        <f t="shared" si="905"/>
        <v>0</v>
      </c>
      <c r="AL4065" s="446">
        <f t="shared" si="906"/>
        <v>0</v>
      </c>
      <c r="AM4065" s="110">
        <f t="shared" si="907"/>
        <v>0</v>
      </c>
      <c r="AN4065" s="447">
        <f t="shared" si="909"/>
        <v>0</v>
      </c>
      <c r="AO4065" s="108"/>
      <c r="AP4065"/>
    </row>
    <row r="4066" spans="1:42" s="108" customFormat="1" x14ac:dyDescent="0.25">
      <c r="A4066" s="58"/>
      <c r="B4066" s="482"/>
      <c r="C4066" s="9"/>
      <c r="D4066" s="869"/>
      <c r="E4066" s="1027"/>
      <c r="F4066" s="272"/>
      <c r="G4066" s="272"/>
      <c r="H4066" s="272"/>
      <c r="I4066" s="722"/>
      <c r="J4066" s="763"/>
      <c r="K4066" s="131">
        <f t="shared" si="910"/>
        <v>0</v>
      </c>
      <c r="L4066" s="335">
        <f t="shared" si="903"/>
        <v>0</v>
      </c>
      <c r="M4066" s="335"/>
      <c r="N4066" s="335"/>
      <c r="O4066" s="335"/>
      <c r="P4066" s="335"/>
      <c r="Q4066" s="130">
        <f t="shared" si="901"/>
        <v>0</v>
      </c>
      <c r="R4066" s="131">
        <f t="shared" si="899"/>
        <v>0</v>
      </c>
      <c r="S4066" s="130"/>
      <c r="T4066" s="130"/>
      <c r="U4066" s="130">
        <f t="shared" si="902"/>
        <v>0</v>
      </c>
      <c r="V4066" s="131">
        <f t="shared" si="900"/>
        <v>0</v>
      </c>
      <c r="W4066" s="130"/>
      <c r="X4066" s="130"/>
      <c r="Y4066" s="130"/>
      <c r="Z4066" s="130"/>
      <c r="AA4066" s="130">
        <f t="shared" si="898"/>
        <v>0</v>
      </c>
      <c r="AB4066" s="131">
        <f t="shared" si="908"/>
        <v>0</v>
      </c>
      <c r="AC4066" s="130"/>
      <c r="AD4066" s="130"/>
      <c r="AE4066" s="130">
        <f t="shared" si="898"/>
        <v>0</v>
      </c>
      <c r="AF4066" s="131">
        <f t="shared" si="904"/>
        <v>0</v>
      </c>
      <c r="AG4066" s="130"/>
      <c r="AH4066" s="130"/>
      <c r="AI4066" s="130"/>
      <c r="AJ4066" s="130"/>
      <c r="AK4066" s="131">
        <f t="shared" si="905"/>
        <v>0</v>
      </c>
      <c r="AL4066" s="446">
        <f t="shared" si="906"/>
        <v>0</v>
      </c>
      <c r="AM4066" s="110">
        <f t="shared" si="907"/>
        <v>0</v>
      </c>
      <c r="AN4066" s="447">
        <f t="shared" si="909"/>
        <v>0</v>
      </c>
      <c r="AO4066"/>
      <c r="AP4066"/>
    </row>
    <row r="4067" spans="1:42" ht="22.5" x14ac:dyDescent="0.25">
      <c r="A4067" s="376">
        <v>422</v>
      </c>
      <c r="B4067" s="635" t="s">
        <v>991</v>
      </c>
      <c r="C4067" s="376"/>
      <c r="D4067" s="921"/>
      <c r="E4067" s="377"/>
      <c r="F4067" s="378"/>
      <c r="G4067" s="378"/>
      <c r="H4067" s="378"/>
      <c r="I4067" s="734"/>
      <c r="J4067" s="806"/>
      <c r="K4067" s="131">
        <f t="shared" si="910"/>
        <v>0</v>
      </c>
      <c r="L4067" s="335">
        <f t="shared" si="903"/>
        <v>0</v>
      </c>
      <c r="M4067" s="419"/>
      <c r="N4067" s="419"/>
      <c r="O4067" s="419"/>
      <c r="P4067" s="419"/>
      <c r="Q4067" s="418">
        <f t="shared" si="901"/>
        <v>0</v>
      </c>
      <c r="R4067" s="379">
        <f t="shared" si="899"/>
        <v>0</v>
      </c>
      <c r="S4067" s="418"/>
      <c r="T4067" s="418"/>
      <c r="U4067" s="418">
        <f t="shared" si="902"/>
        <v>0</v>
      </c>
      <c r="V4067" s="379">
        <f t="shared" si="900"/>
        <v>0</v>
      </c>
      <c r="W4067" s="418"/>
      <c r="X4067" s="418"/>
      <c r="Y4067" s="418"/>
      <c r="Z4067" s="418"/>
      <c r="AA4067" s="418">
        <f t="shared" si="898"/>
        <v>0</v>
      </c>
      <c r="AB4067" s="379">
        <f t="shared" si="908"/>
        <v>0</v>
      </c>
      <c r="AC4067" s="418"/>
      <c r="AD4067" s="418"/>
      <c r="AE4067" s="418">
        <f t="shared" si="898"/>
        <v>0</v>
      </c>
      <c r="AF4067" s="379">
        <f t="shared" si="904"/>
        <v>0</v>
      </c>
      <c r="AG4067" s="418"/>
      <c r="AH4067" s="418"/>
      <c r="AI4067" s="418"/>
      <c r="AJ4067" s="418"/>
      <c r="AK4067" s="379">
        <f t="shared" si="905"/>
        <v>0</v>
      </c>
      <c r="AL4067" s="446">
        <f t="shared" si="906"/>
        <v>0</v>
      </c>
      <c r="AM4067" s="110">
        <f t="shared" si="907"/>
        <v>0</v>
      </c>
      <c r="AN4067" s="447">
        <f t="shared" si="909"/>
        <v>0</v>
      </c>
      <c r="AO4067" s="108"/>
      <c r="AP4067"/>
    </row>
    <row r="4068" spans="1:42" ht="22.5" x14ac:dyDescent="0.25">
      <c r="A4068" s="310">
        <v>42201</v>
      </c>
      <c r="B4068" s="375" t="s">
        <v>991</v>
      </c>
      <c r="C4068" s="310"/>
      <c r="D4068" s="902"/>
      <c r="E4068" s="312"/>
      <c r="F4068" s="313"/>
      <c r="G4068" s="313"/>
      <c r="H4068" s="313"/>
      <c r="I4068" s="729"/>
      <c r="J4068" s="800"/>
      <c r="K4068" s="131">
        <f t="shared" si="910"/>
        <v>0</v>
      </c>
      <c r="L4068" s="335">
        <f t="shared" si="903"/>
        <v>0</v>
      </c>
      <c r="M4068" s="421"/>
      <c r="N4068" s="421"/>
      <c r="O4068" s="421"/>
      <c r="P4068" s="421"/>
      <c r="Q4068" s="387">
        <f t="shared" si="901"/>
        <v>0</v>
      </c>
      <c r="R4068" s="314">
        <f t="shared" si="899"/>
        <v>0</v>
      </c>
      <c r="S4068" s="387"/>
      <c r="T4068" s="387"/>
      <c r="U4068" s="387">
        <f t="shared" si="902"/>
        <v>0</v>
      </c>
      <c r="V4068" s="314">
        <f t="shared" si="900"/>
        <v>0</v>
      </c>
      <c r="W4068" s="387"/>
      <c r="X4068" s="387"/>
      <c r="Y4068" s="387"/>
      <c r="Z4068" s="387"/>
      <c r="AA4068" s="387">
        <f t="shared" si="898"/>
        <v>0</v>
      </c>
      <c r="AB4068" s="314">
        <f t="shared" si="908"/>
        <v>0</v>
      </c>
      <c r="AC4068" s="387"/>
      <c r="AD4068" s="387"/>
      <c r="AE4068" s="387">
        <f t="shared" si="898"/>
        <v>0</v>
      </c>
      <c r="AF4068" s="314">
        <f t="shared" si="904"/>
        <v>0</v>
      </c>
      <c r="AG4068" s="387"/>
      <c r="AH4068" s="387"/>
      <c r="AI4068" s="387"/>
      <c r="AJ4068" s="387"/>
      <c r="AK4068" s="314">
        <f t="shared" si="905"/>
        <v>0</v>
      </c>
      <c r="AL4068" s="421">
        <f t="shared" si="906"/>
        <v>0</v>
      </c>
      <c r="AM4068" s="387">
        <f t="shared" si="907"/>
        <v>0</v>
      </c>
      <c r="AN4068" s="422">
        <f t="shared" si="909"/>
        <v>0</v>
      </c>
      <c r="AO4068" s="108"/>
      <c r="AP4068"/>
    </row>
    <row r="4069" spans="1:42" s="108" customFormat="1" x14ac:dyDescent="0.25">
      <c r="A4069" s="58"/>
      <c r="B4069" s="482"/>
      <c r="C4069" s="9"/>
      <c r="D4069" s="939"/>
      <c r="E4069" s="79"/>
      <c r="F4069" s="286"/>
      <c r="G4069" s="286"/>
      <c r="H4069" s="286"/>
      <c r="I4069" s="722"/>
      <c r="J4069" s="841"/>
      <c r="K4069" s="131">
        <f t="shared" si="910"/>
        <v>0</v>
      </c>
      <c r="L4069" s="335">
        <f t="shared" si="903"/>
        <v>0</v>
      </c>
      <c r="M4069" s="335"/>
      <c r="N4069" s="335"/>
      <c r="O4069" s="335"/>
      <c r="P4069" s="335"/>
      <c r="Q4069" s="130">
        <f t="shared" si="901"/>
        <v>0</v>
      </c>
      <c r="R4069" s="131">
        <f t="shared" si="899"/>
        <v>0</v>
      </c>
      <c r="S4069" s="130"/>
      <c r="T4069" s="130"/>
      <c r="U4069" s="130">
        <f t="shared" si="902"/>
        <v>0</v>
      </c>
      <c r="V4069" s="131">
        <f t="shared" si="900"/>
        <v>0</v>
      </c>
      <c r="W4069" s="130"/>
      <c r="X4069" s="130"/>
      <c r="Y4069" s="130"/>
      <c r="Z4069" s="130"/>
      <c r="AA4069" s="130">
        <f t="shared" si="898"/>
        <v>0</v>
      </c>
      <c r="AB4069" s="131">
        <f t="shared" si="908"/>
        <v>0</v>
      </c>
      <c r="AC4069" s="130"/>
      <c r="AD4069" s="130"/>
      <c r="AE4069" s="130">
        <f t="shared" si="898"/>
        <v>0</v>
      </c>
      <c r="AF4069" s="131">
        <f t="shared" si="904"/>
        <v>0</v>
      </c>
      <c r="AG4069" s="130"/>
      <c r="AH4069" s="130"/>
      <c r="AI4069" s="130"/>
      <c r="AJ4069" s="130"/>
      <c r="AK4069" s="131">
        <f t="shared" si="905"/>
        <v>0</v>
      </c>
      <c r="AL4069" s="446">
        <f t="shared" si="906"/>
        <v>0</v>
      </c>
      <c r="AM4069" s="110">
        <f t="shared" si="907"/>
        <v>0</v>
      </c>
      <c r="AN4069" s="447">
        <f t="shared" si="909"/>
        <v>0</v>
      </c>
      <c r="AO4069"/>
      <c r="AP4069"/>
    </row>
    <row r="4070" spans="1:42" ht="22.5" x14ac:dyDescent="0.25">
      <c r="A4070" s="310">
        <v>42202</v>
      </c>
      <c r="B4070" s="375" t="s">
        <v>992</v>
      </c>
      <c r="C4070" s="310"/>
      <c r="D4070" s="902"/>
      <c r="E4070" s="312"/>
      <c r="F4070" s="313"/>
      <c r="G4070" s="313"/>
      <c r="H4070" s="313"/>
      <c r="I4070" s="729"/>
      <c r="J4070" s="800"/>
      <c r="K4070" s="131">
        <f t="shared" si="910"/>
        <v>0</v>
      </c>
      <c r="L4070" s="335">
        <f t="shared" si="903"/>
        <v>0</v>
      </c>
      <c r="M4070" s="421"/>
      <c r="N4070" s="421"/>
      <c r="O4070" s="421"/>
      <c r="P4070" s="421"/>
      <c r="Q4070" s="387">
        <f t="shared" si="901"/>
        <v>0</v>
      </c>
      <c r="R4070" s="314">
        <f t="shared" si="899"/>
        <v>0</v>
      </c>
      <c r="S4070" s="387"/>
      <c r="T4070" s="387"/>
      <c r="U4070" s="387">
        <f t="shared" si="902"/>
        <v>0</v>
      </c>
      <c r="V4070" s="314">
        <f t="shared" si="900"/>
        <v>0</v>
      </c>
      <c r="W4070" s="387"/>
      <c r="X4070" s="387"/>
      <c r="Y4070" s="387"/>
      <c r="Z4070" s="387"/>
      <c r="AA4070" s="387">
        <f t="shared" si="898"/>
        <v>0</v>
      </c>
      <c r="AB4070" s="314">
        <f t="shared" si="908"/>
        <v>0</v>
      </c>
      <c r="AC4070" s="387"/>
      <c r="AD4070" s="387"/>
      <c r="AE4070" s="387">
        <f t="shared" si="898"/>
        <v>0</v>
      </c>
      <c r="AF4070" s="314">
        <f t="shared" si="904"/>
        <v>0</v>
      </c>
      <c r="AG4070" s="387"/>
      <c r="AH4070" s="387"/>
      <c r="AI4070" s="387"/>
      <c r="AJ4070" s="387"/>
      <c r="AK4070" s="314">
        <f t="shared" si="905"/>
        <v>0</v>
      </c>
      <c r="AL4070" s="421">
        <f t="shared" si="906"/>
        <v>0</v>
      </c>
      <c r="AM4070" s="387">
        <f t="shared" si="907"/>
        <v>0</v>
      </c>
      <c r="AN4070" s="422">
        <f t="shared" si="909"/>
        <v>0</v>
      </c>
      <c r="AO4070" s="108"/>
      <c r="AP4070"/>
    </row>
    <row r="4071" spans="1:42" s="108" customFormat="1" x14ac:dyDescent="0.25">
      <c r="A4071" s="58"/>
      <c r="B4071" s="482"/>
      <c r="C4071" s="9"/>
      <c r="D4071" s="939"/>
      <c r="E4071" s="79"/>
      <c r="F4071" s="286"/>
      <c r="G4071" s="286"/>
      <c r="H4071" s="286"/>
      <c r="I4071" s="722"/>
      <c r="J4071" s="841"/>
      <c r="K4071" s="131">
        <f t="shared" si="910"/>
        <v>0</v>
      </c>
      <c r="L4071" s="335">
        <f t="shared" si="903"/>
        <v>0</v>
      </c>
      <c r="M4071" s="335"/>
      <c r="N4071" s="335"/>
      <c r="O4071" s="335"/>
      <c r="P4071" s="335"/>
      <c r="Q4071" s="130">
        <f t="shared" si="901"/>
        <v>0</v>
      </c>
      <c r="R4071" s="131">
        <f t="shared" si="899"/>
        <v>0</v>
      </c>
      <c r="S4071" s="130"/>
      <c r="T4071" s="130"/>
      <c r="U4071" s="130">
        <f t="shared" si="902"/>
        <v>0</v>
      </c>
      <c r="V4071" s="131">
        <f t="shared" si="900"/>
        <v>0</v>
      </c>
      <c r="W4071" s="130"/>
      <c r="X4071" s="130"/>
      <c r="Y4071" s="130"/>
      <c r="Z4071" s="130"/>
      <c r="AA4071" s="130">
        <f t="shared" si="898"/>
        <v>0</v>
      </c>
      <c r="AB4071" s="131">
        <f t="shared" si="908"/>
        <v>0</v>
      </c>
      <c r="AC4071" s="130"/>
      <c r="AD4071" s="130"/>
      <c r="AE4071" s="130">
        <f t="shared" si="898"/>
        <v>0</v>
      </c>
      <c r="AF4071" s="131">
        <f t="shared" si="904"/>
        <v>0</v>
      </c>
      <c r="AG4071" s="130"/>
      <c r="AH4071" s="130"/>
      <c r="AI4071" s="130"/>
      <c r="AJ4071" s="130"/>
      <c r="AK4071" s="131">
        <f t="shared" si="905"/>
        <v>0</v>
      </c>
      <c r="AL4071" s="446">
        <f t="shared" si="906"/>
        <v>0</v>
      </c>
      <c r="AM4071" s="110">
        <f t="shared" si="907"/>
        <v>0</v>
      </c>
      <c r="AN4071" s="447">
        <f t="shared" si="909"/>
        <v>0</v>
      </c>
      <c r="AO4071"/>
      <c r="AP4071"/>
    </row>
    <row r="4072" spans="1:42" ht="22.5" x14ac:dyDescent="0.25">
      <c r="A4072" s="376">
        <v>423</v>
      </c>
      <c r="B4072" s="635" t="s">
        <v>993</v>
      </c>
      <c r="C4072" s="376"/>
      <c r="D4072" s="921"/>
      <c r="E4072" s="377"/>
      <c r="F4072" s="378"/>
      <c r="G4072" s="378"/>
      <c r="H4072" s="378"/>
      <c r="I4072" s="734"/>
      <c r="J4072" s="806"/>
      <c r="K4072" s="131">
        <f t="shared" si="910"/>
        <v>0</v>
      </c>
      <c r="L4072" s="335">
        <f t="shared" si="903"/>
        <v>0</v>
      </c>
      <c r="M4072" s="419"/>
      <c r="N4072" s="419"/>
      <c r="O4072" s="419"/>
      <c r="P4072" s="419"/>
      <c r="Q4072" s="418">
        <f t="shared" si="901"/>
        <v>0</v>
      </c>
      <c r="R4072" s="379">
        <f t="shared" si="899"/>
        <v>0</v>
      </c>
      <c r="S4072" s="418"/>
      <c r="T4072" s="418"/>
      <c r="U4072" s="418">
        <f t="shared" si="902"/>
        <v>0</v>
      </c>
      <c r="V4072" s="379">
        <f t="shared" si="900"/>
        <v>0</v>
      </c>
      <c r="W4072" s="418"/>
      <c r="X4072" s="418"/>
      <c r="Y4072" s="418"/>
      <c r="Z4072" s="418"/>
      <c r="AA4072" s="418">
        <f t="shared" ref="AA4072:AE4133" si="911">+$D4072/4</f>
        <v>0</v>
      </c>
      <c r="AB4072" s="379">
        <f t="shared" si="908"/>
        <v>0</v>
      </c>
      <c r="AC4072" s="418"/>
      <c r="AD4072" s="418"/>
      <c r="AE4072" s="418">
        <f t="shared" si="911"/>
        <v>0</v>
      </c>
      <c r="AF4072" s="379">
        <f t="shared" si="904"/>
        <v>0</v>
      </c>
      <c r="AG4072" s="418"/>
      <c r="AH4072" s="418"/>
      <c r="AI4072" s="418"/>
      <c r="AJ4072" s="418"/>
      <c r="AK4072" s="379">
        <f t="shared" si="905"/>
        <v>0</v>
      </c>
      <c r="AL4072" s="446">
        <f t="shared" si="906"/>
        <v>0</v>
      </c>
      <c r="AM4072" s="110">
        <f t="shared" si="907"/>
        <v>0</v>
      </c>
      <c r="AN4072" s="447">
        <f t="shared" si="909"/>
        <v>0</v>
      </c>
      <c r="AO4072" s="108"/>
      <c r="AP4072"/>
    </row>
    <row r="4073" spans="1:42" ht="22.5" x14ac:dyDescent="0.25">
      <c r="A4073" s="643">
        <v>42301</v>
      </c>
      <c r="B4073" s="644" t="s">
        <v>993</v>
      </c>
      <c r="C4073" s="643"/>
      <c r="D4073" s="954"/>
      <c r="E4073" s="645"/>
      <c r="F4073" s="646"/>
      <c r="G4073" s="646"/>
      <c r="H4073" s="646"/>
      <c r="I4073" s="717"/>
      <c r="J4073" s="753"/>
      <c r="K4073" s="131">
        <f t="shared" si="910"/>
        <v>0</v>
      </c>
      <c r="L4073" s="335">
        <f t="shared" si="903"/>
        <v>0</v>
      </c>
      <c r="M4073" s="648"/>
      <c r="N4073" s="648"/>
      <c r="O4073" s="648"/>
      <c r="P4073" s="648"/>
      <c r="Q4073" s="649">
        <f t="shared" si="901"/>
        <v>0</v>
      </c>
      <c r="R4073" s="647">
        <f t="shared" si="899"/>
        <v>0</v>
      </c>
      <c r="S4073" s="649"/>
      <c r="T4073" s="649"/>
      <c r="U4073" s="649">
        <f t="shared" si="902"/>
        <v>0</v>
      </c>
      <c r="V4073" s="647">
        <f t="shared" si="900"/>
        <v>0</v>
      </c>
      <c r="W4073" s="649"/>
      <c r="X4073" s="649"/>
      <c r="Y4073" s="649"/>
      <c r="Z4073" s="649"/>
      <c r="AA4073" s="649">
        <f t="shared" si="911"/>
        <v>0</v>
      </c>
      <c r="AB4073" s="647">
        <f t="shared" si="908"/>
        <v>0</v>
      </c>
      <c r="AC4073" s="649"/>
      <c r="AD4073" s="649"/>
      <c r="AE4073" s="649">
        <f t="shared" si="911"/>
        <v>0</v>
      </c>
      <c r="AF4073" s="647">
        <f t="shared" si="904"/>
        <v>0</v>
      </c>
      <c r="AG4073" s="649"/>
      <c r="AH4073" s="649"/>
      <c r="AI4073" s="649"/>
      <c r="AJ4073" s="649"/>
      <c r="AK4073" s="647">
        <f t="shared" si="905"/>
        <v>0</v>
      </c>
      <c r="AL4073" s="446">
        <f t="shared" si="906"/>
        <v>0</v>
      </c>
      <c r="AM4073" s="110">
        <f t="shared" si="907"/>
        <v>0</v>
      </c>
      <c r="AN4073" s="447">
        <f t="shared" si="909"/>
        <v>0</v>
      </c>
      <c r="AO4073" s="108"/>
      <c r="AP4073"/>
    </row>
    <row r="4074" spans="1:42" s="108" customFormat="1" x14ac:dyDescent="0.25">
      <c r="A4074" s="58"/>
      <c r="B4074" s="482"/>
      <c r="C4074" s="9"/>
      <c r="D4074" s="869"/>
      <c r="E4074" s="1027"/>
      <c r="F4074" s="272"/>
      <c r="G4074" s="272"/>
      <c r="H4074" s="272"/>
      <c r="I4074" s="722"/>
      <c r="J4074" s="763"/>
      <c r="K4074" s="131">
        <f t="shared" si="910"/>
        <v>0</v>
      </c>
      <c r="L4074" s="335">
        <f t="shared" si="903"/>
        <v>0</v>
      </c>
      <c r="M4074" s="335"/>
      <c r="N4074" s="335"/>
      <c r="O4074" s="335"/>
      <c r="P4074" s="335"/>
      <c r="Q4074" s="130">
        <f t="shared" si="901"/>
        <v>0</v>
      </c>
      <c r="R4074" s="131">
        <f t="shared" si="899"/>
        <v>0</v>
      </c>
      <c r="S4074" s="130"/>
      <c r="T4074" s="130"/>
      <c r="U4074" s="130">
        <f t="shared" si="902"/>
        <v>0</v>
      </c>
      <c r="V4074" s="131">
        <f t="shared" si="900"/>
        <v>0</v>
      </c>
      <c r="W4074" s="130"/>
      <c r="X4074" s="130"/>
      <c r="Y4074" s="130"/>
      <c r="Z4074" s="130"/>
      <c r="AA4074" s="130">
        <f t="shared" si="911"/>
        <v>0</v>
      </c>
      <c r="AB4074" s="131">
        <f t="shared" si="908"/>
        <v>0</v>
      </c>
      <c r="AC4074" s="130"/>
      <c r="AD4074" s="130"/>
      <c r="AE4074" s="130">
        <f t="shared" si="911"/>
        <v>0</v>
      </c>
      <c r="AF4074" s="131">
        <f t="shared" si="904"/>
        <v>0</v>
      </c>
      <c r="AG4074" s="130"/>
      <c r="AH4074" s="130"/>
      <c r="AI4074" s="130"/>
      <c r="AJ4074" s="130"/>
      <c r="AK4074" s="131">
        <f t="shared" si="905"/>
        <v>0</v>
      </c>
      <c r="AL4074" s="446">
        <f t="shared" si="906"/>
        <v>0</v>
      </c>
      <c r="AM4074" s="110">
        <f t="shared" si="907"/>
        <v>0</v>
      </c>
      <c r="AN4074" s="447">
        <f t="shared" si="909"/>
        <v>0</v>
      </c>
      <c r="AO4074"/>
      <c r="AP4074"/>
    </row>
    <row r="4075" spans="1:42" ht="22.5" x14ac:dyDescent="0.25">
      <c r="A4075" s="643">
        <v>42302</v>
      </c>
      <c r="B4075" s="644" t="s">
        <v>994</v>
      </c>
      <c r="C4075" s="643"/>
      <c r="D4075" s="954"/>
      <c r="E4075" s="645"/>
      <c r="F4075" s="646"/>
      <c r="G4075" s="646"/>
      <c r="H4075" s="646"/>
      <c r="I4075" s="717"/>
      <c r="J4075" s="753"/>
      <c r="K4075" s="131">
        <f t="shared" si="910"/>
        <v>0</v>
      </c>
      <c r="L4075" s="335">
        <f t="shared" si="903"/>
        <v>0</v>
      </c>
      <c r="M4075" s="648"/>
      <c r="N4075" s="648"/>
      <c r="O4075" s="648"/>
      <c r="P4075" s="648"/>
      <c r="Q4075" s="649">
        <f t="shared" si="901"/>
        <v>0</v>
      </c>
      <c r="R4075" s="647">
        <f t="shared" si="899"/>
        <v>0</v>
      </c>
      <c r="S4075" s="649"/>
      <c r="T4075" s="649"/>
      <c r="U4075" s="649">
        <f t="shared" si="902"/>
        <v>0</v>
      </c>
      <c r="V4075" s="647">
        <f t="shared" si="900"/>
        <v>0</v>
      </c>
      <c r="W4075" s="649"/>
      <c r="X4075" s="649"/>
      <c r="Y4075" s="649"/>
      <c r="Z4075" s="649"/>
      <c r="AA4075" s="649">
        <f t="shared" si="911"/>
        <v>0</v>
      </c>
      <c r="AB4075" s="647">
        <f t="shared" si="908"/>
        <v>0</v>
      </c>
      <c r="AC4075" s="649"/>
      <c r="AD4075" s="649"/>
      <c r="AE4075" s="649">
        <f t="shared" si="911"/>
        <v>0</v>
      </c>
      <c r="AF4075" s="647">
        <f t="shared" si="904"/>
        <v>0</v>
      </c>
      <c r="AG4075" s="649"/>
      <c r="AH4075" s="649"/>
      <c r="AI4075" s="649"/>
      <c r="AJ4075" s="649"/>
      <c r="AK4075" s="647">
        <f t="shared" si="905"/>
        <v>0</v>
      </c>
      <c r="AL4075" s="446">
        <f t="shared" si="906"/>
        <v>0</v>
      </c>
      <c r="AM4075" s="110">
        <f t="shared" si="907"/>
        <v>0</v>
      </c>
      <c r="AN4075" s="447">
        <f t="shared" si="909"/>
        <v>0</v>
      </c>
      <c r="AO4075" s="108"/>
      <c r="AP4075"/>
    </row>
    <row r="4076" spans="1:42" s="108" customFormat="1" x14ac:dyDescent="0.25">
      <c r="A4076" s="58"/>
      <c r="B4076" s="482"/>
      <c r="C4076" s="9"/>
      <c r="D4076" s="869"/>
      <c r="E4076" s="1027"/>
      <c r="F4076" s="272"/>
      <c r="G4076" s="272"/>
      <c r="H4076" s="272"/>
      <c r="I4076" s="722"/>
      <c r="J4076" s="763"/>
      <c r="K4076" s="131">
        <f t="shared" si="910"/>
        <v>0</v>
      </c>
      <c r="L4076" s="335">
        <f t="shared" si="903"/>
        <v>0</v>
      </c>
      <c r="M4076" s="335"/>
      <c r="N4076" s="335"/>
      <c r="O4076" s="335"/>
      <c r="P4076" s="335"/>
      <c r="Q4076" s="130">
        <f t="shared" si="901"/>
        <v>0</v>
      </c>
      <c r="R4076" s="131">
        <f t="shared" si="899"/>
        <v>0</v>
      </c>
      <c r="S4076" s="130"/>
      <c r="T4076" s="130"/>
      <c r="U4076" s="130">
        <f t="shared" si="902"/>
        <v>0</v>
      </c>
      <c r="V4076" s="131">
        <f t="shared" si="900"/>
        <v>0</v>
      </c>
      <c r="W4076" s="130"/>
      <c r="X4076" s="130"/>
      <c r="Y4076" s="130"/>
      <c r="Z4076" s="130"/>
      <c r="AA4076" s="130">
        <f t="shared" si="911"/>
        <v>0</v>
      </c>
      <c r="AB4076" s="131">
        <f t="shared" si="908"/>
        <v>0</v>
      </c>
      <c r="AC4076" s="130"/>
      <c r="AD4076" s="130"/>
      <c r="AE4076" s="130">
        <f t="shared" si="911"/>
        <v>0</v>
      </c>
      <c r="AF4076" s="131">
        <f t="shared" si="904"/>
        <v>0</v>
      </c>
      <c r="AG4076" s="130"/>
      <c r="AH4076" s="130"/>
      <c r="AI4076" s="130"/>
      <c r="AJ4076" s="130"/>
      <c r="AK4076" s="131">
        <f t="shared" si="905"/>
        <v>0</v>
      </c>
      <c r="AL4076" s="446">
        <f t="shared" si="906"/>
        <v>0</v>
      </c>
      <c r="AM4076" s="110">
        <f t="shared" si="907"/>
        <v>0</v>
      </c>
      <c r="AN4076" s="447">
        <f t="shared" si="909"/>
        <v>0</v>
      </c>
      <c r="AO4076"/>
      <c r="AP4076"/>
    </row>
    <row r="4077" spans="1:42" ht="22.5" x14ac:dyDescent="0.25">
      <c r="A4077" s="376">
        <v>424</v>
      </c>
      <c r="B4077" s="635" t="s">
        <v>995</v>
      </c>
      <c r="C4077" s="376"/>
      <c r="D4077" s="921"/>
      <c r="E4077" s="377"/>
      <c r="F4077" s="378"/>
      <c r="G4077" s="378"/>
      <c r="H4077" s="378"/>
      <c r="I4077" s="734"/>
      <c r="J4077" s="806"/>
      <c r="K4077" s="131">
        <f t="shared" si="910"/>
        <v>0</v>
      </c>
      <c r="L4077" s="335">
        <f t="shared" si="903"/>
        <v>0</v>
      </c>
      <c r="M4077" s="419"/>
      <c r="N4077" s="419"/>
      <c r="O4077" s="419"/>
      <c r="P4077" s="419"/>
      <c r="Q4077" s="418">
        <f t="shared" si="901"/>
        <v>0</v>
      </c>
      <c r="R4077" s="379">
        <f t="shared" si="899"/>
        <v>0</v>
      </c>
      <c r="S4077" s="418"/>
      <c r="T4077" s="418"/>
      <c r="U4077" s="418">
        <f t="shared" si="902"/>
        <v>0</v>
      </c>
      <c r="V4077" s="379">
        <f t="shared" si="900"/>
        <v>0</v>
      </c>
      <c r="W4077" s="418"/>
      <c r="X4077" s="418"/>
      <c r="Y4077" s="418"/>
      <c r="Z4077" s="418"/>
      <c r="AA4077" s="418">
        <f t="shared" si="911"/>
        <v>0</v>
      </c>
      <c r="AB4077" s="379">
        <f t="shared" si="908"/>
        <v>0</v>
      </c>
      <c r="AC4077" s="418"/>
      <c r="AD4077" s="418"/>
      <c r="AE4077" s="418">
        <f t="shared" si="911"/>
        <v>0</v>
      </c>
      <c r="AF4077" s="379">
        <f t="shared" si="904"/>
        <v>0</v>
      </c>
      <c r="AG4077" s="418"/>
      <c r="AH4077" s="418"/>
      <c r="AI4077" s="418"/>
      <c r="AJ4077" s="418"/>
      <c r="AK4077" s="379">
        <f t="shared" si="905"/>
        <v>0</v>
      </c>
      <c r="AL4077" s="446">
        <f t="shared" si="906"/>
        <v>0</v>
      </c>
      <c r="AM4077" s="110">
        <f t="shared" si="907"/>
        <v>0</v>
      </c>
      <c r="AN4077" s="447">
        <f t="shared" si="909"/>
        <v>0</v>
      </c>
      <c r="AO4077" s="108"/>
      <c r="AP4077"/>
    </row>
    <row r="4078" spans="1:42" x14ac:dyDescent="0.25">
      <c r="A4078" s="643">
        <v>42401</v>
      </c>
      <c r="B4078" s="644" t="s">
        <v>996</v>
      </c>
      <c r="C4078" s="643"/>
      <c r="D4078" s="954"/>
      <c r="E4078" s="645"/>
      <c r="F4078" s="646"/>
      <c r="G4078" s="646"/>
      <c r="H4078" s="646"/>
      <c r="I4078" s="717"/>
      <c r="J4078" s="753"/>
      <c r="K4078" s="131">
        <f t="shared" si="910"/>
        <v>0</v>
      </c>
      <c r="L4078" s="335">
        <f t="shared" si="903"/>
        <v>0</v>
      </c>
      <c r="M4078" s="648"/>
      <c r="N4078" s="648"/>
      <c r="O4078" s="648"/>
      <c r="P4078" s="648"/>
      <c r="Q4078" s="649">
        <f t="shared" si="901"/>
        <v>0</v>
      </c>
      <c r="R4078" s="647">
        <f t="shared" si="899"/>
        <v>0</v>
      </c>
      <c r="S4078" s="649"/>
      <c r="T4078" s="649"/>
      <c r="U4078" s="649">
        <f t="shared" si="902"/>
        <v>0</v>
      </c>
      <c r="V4078" s="647">
        <f t="shared" si="900"/>
        <v>0</v>
      </c>
      <c r="W4078" s="649"/>
      <c r="X4078" s="649"/>
      <c r="Y4078" s="649"/>
      <c r="Z4078" s="649"/>
      <c r="AA4078" s="649">
        <f t="shared" si="911"/>
        <v>0</v>
      </c>
      <c r="AB4078" s="647">
        <f t="shared" si="908"/>
        <v>0</v>
      </c>
      <c r="AC4078" s="649"/>
      <c r="AD4078" s="649"/>
      <c r="AE4078" s="649">
        <f t="shared" si="911"/>
        <v>0</v>
      </c>
      <c r="AF4078" s="647">
        <f t="shared" si="904"/>
        <v>0</v>
      </c>
      <c r="AG4078" s="649"/>
      <c r="AH4078" s="649"/>
      <c r="AI4078" s="649"/>
      <c r="AJ4078" s="649"/>
      <c r="AK4078" s="647">
        <f t="shared" si="905"/>
        <v>0</v>
      </c>
      <c r="AL4078" s="446">
        <f t="shared" si="906"/>
        <v>0</v>
      </c>
      <c r="AM4078" s="110">
        <f t="shared" si="907"/>
        <v>0</v>
      </c>
      <c r="AN4078" s="447">
        <f t="shared" si="909"/>
        <v>0</v>
      </c>
      <c r="AO4078" s="108"/>
      <c r="AP4078"/>
    </row>
    <row r="4079" spans="1:42" s="108" customFormat="1" x14ac:dyDescent="0.25">
      <c r="A4079" s="58"/>
      <c r="B4079" s="482"/>
      <c r="C4079" s="9"/>
      <c r="D4079" s="939"/>
      <c r="E4079" s="79"/>
      <c r="F4079" s="286"/>
      <c r="G4079" s="286"/>
      <c r="H4079" s="286"/>
      <c r="I4079" s="722"/>
      <c r="J4079" s="841"/>
      <c r="K4079" s="131">
        <f t="shared" si="910"/>
        <v>0</v>
      </c>
      <c r="L4079" s="335">
        <f t="shared" si="903"/>
        <v>0</v>
      </c>
      <c r="M4079" s="335"/>
      <c r="N4079" s="335"/>
      <c r="O4079" s="335"/>
      <c r="P4079" s="335"/>
      <c r="Q4079" s="130">
        <f t="shared" si="901"/>
        <v>0</v>
      </c>
      <c r="R4079" s="131">
        <f t="shared" si="899"/>
        <v>0</v>
      </c>
      <c r="S4079" s="130"/>
      <c r="T4079" s="130"/>
      <c r="U4079" s="130">
        <f t="shared" si="902"/>
        <v>0</v>
      </c>
      <c r="V4079" s="131">
        <f t="shared" si="900"/>
        <v>0</v>
      </c>
      <c r="W4079" s="130"/>
      <c r="X4079" s="130"/>
      <c r="Y4079" s="130"/>
      <c r="Z4079" s="130"/>
      <c r="AA4079" s="130">
        <f t="shared" si="911"/>
        <v>0</v>
      </c>
      <c r="AB4079" s="131">
        <f t="shared" si="908"/>
        <v>0</v>
      </c>
      <c r="AC4079" s="130"/>
      <c r="AD4079" s="130"/>
      <c r="AE4079" s="130">
        <f t="shared" si="911"/>
        <v>0</v>
      </c>
      <c r="AF4079" s="131">
        <f t="shared" si="904"/>
        <v>0</v>
      </c>
      <c r="AG4079" s="130"/>
      <c r="AH4079" s="130"/>
      <c r="AI4079" s="130"/>
      <c r="AJ4079" s="130"/>
      <c r="AK4079" s="131">
        <f t="shared" si="905"/>
        <v>0</v>
      </c>
      <c r="AL4079" s="446">
        <f t="shared" si="906"/>
        <v>0</v>
      </c>
      <c r="AM4079" s="110">
        <f t="shared" si="907"/>
        <v>0</v>
      </c>
      <c r="AN4079" s="447">
        <f t="shared" si="909"/>
        <v>0</v>
      </c>
      <c r="AO4079"/>
      <c r="AP4079"/>
    </row>
    <row r="4080" spans="1:42" x14ac:dyDescent="0.25">
      <c r="A4080" s="643">
        <v>42402</v>
      </c>
      <c r="B4080" s="644" t="s">
        <v>997</v>
      </c>
      <c r="C4080" s="643"/>
      <c r="D4080" s="954"/>
      <c r="E4080" s="645"/>
      <c r="F4080" s="646"/>
      <c r="G4080" s="646"/>
      <c r="H4080" s="646"/>
      <c r="I4080" s="717"/>
      <c r="J4080" s="753"/>
      <c r="K4080" s="131">
        <f t="shared" si="910"/>
        <v>0</v>
      </c>
      <c r="L4080" s="335">
        <f t="shared" si="903"/>
        <v>0</v>
      </c>
      <c r="M4080" s="648"/>
      <c r="N4080" s="648"/>
      <c r="O4080" s="648"/>
      <c r="P4080" s="648"/>
      <c r="Q4080" s="649">
        <f t="shared" si="901"/>
        <v>0</v>
      </c>
      <c r="R4080" s="647">
        <f t="shared" ref="R4080:R4143" si="912">+J4080/4</f>
        <v>0</v>
      </c>
      <c r="S4080" s="649"/>
      <c r="T4080" s="649"/>
      <c r="U4080" s="649">
        <f t="shared" si="902"/>
        <v>0</v>
      </c>
      <c r="V4080" s="647">
        <f t="shared" ref="V4080:V4143" si="913">+J4080/4</f>
        <v>0</v>
      </c>
      <c r="W4080" s="649"/>
      <c r="X4080" s="649"/>
      <c r="Y4080" s="649"/>
      <c r="Z4080" s="649"/>
      <c r="AA4080" s="649">
        <f t="shared" si="911"/>
        <v>0</v>
      </c>
      <c r="AB4080" s="647">
        <f t="shared" si="908"/>
        <v>0</v>
      </c>
      <c r="AC4080" s="649"/>
      <c r="AD4080" s="649"/>
      <c r="AE4080" s="649">
        <f t="shared" si="911"/>
        <v>0</v>
      </c>
      <c r="AF4080" s="647">
        <f t="shared" si="904"/>
        <v>0</v>
      </c>
      <c r="AG4080" s="649"/>
      <c r="AH4080" s="649"/>
      <c r="AI4080" s="649"/>
      <c r="AJ4080" s="649"/>
      <c r="AK4080" s="647">
        <f t="shared" si="905"/>
        <v>0</v>
      </c>
      <c r="AL4080" s="446">
        <f t="shared" si="906"/>
        <v>0</v>
      </c>
      <c r="AM4080" s="110">
        <f t="shared" si="907"/>
        <v>0</v>
      </c>
      <c r="AN4080" s="447">
        <f t="shared" si="909"/>
        <v>0</v>
      </c>
      <c r="AO4080" s="108"/>
      <c r="AP4080"/>
    </row>
    <row r="4081" spans="1:42" s="108" customFormat="1" x14ac:dyDescent="0.25">
      <c r="A4081" s="58"/>
      <c r="B4081" s="482"/>
      <c r="C4081" s="9"/>
      <c r="D4081" s="869"/>
      <c r="E4081" s="1027"/>
      <c r="F4081" s="272"/>
      <c r="G4081" s="272"/>
      <c r="H4081" s="272"/>
      <c r="I4081" s="722"/>
      <c r="J4081" s="763"/>
      <c r="K4081" s="131">
        <f t="shared" si="910"/>
        <v>0</v>
      </c>
      <c r="L4081" s="335">
        <f t="shared" si="903"/>
        <v>0</v>
      </c>
      <c r="M4081" s="335"/>
      <c r="N4081" s="335"/>
      <c r="O4081" s="335"/>
      <c r="P4081" s="335"/>
      <c r="Q4081" s="130">
        <f t="shared" ref="Q4081:Q4133" si="914">+$D4081/4</f>
        <v>0</v>
      </c>
      <c r="R4081" s="131">
        <f t="shared" si="912"/>
        <v>0</v>
      </c>
      <c r="S4081" s="130"/>
      <c r="T4081" s="130"/>
      <c r="U4081" s="130">
        <f t="shared" ref="U4081:U4133" si="915">+$D4081/4</f>
        <v>0</v>
      </c>
      <c r="V4081" s="131">
        <f t="shared" si="913"/>
        <v>0</v>
      </c>
      <c r="W4081" s="130"/>
      <c r="X4081" s="130"/>
      <c r="Y4081" s="130"/>
      <c r="Z4081" s="130"/>
      <c r="AA4081" s="130">
        <f t="shared" si="911"/>
        <v>0</v>
      </c>
      <c r="AB4081" s="131">
        <f t="shared" si="908"/>
        <v>0</v>
      </c>
      <c r="AC4081" s="130"/>
      <c r="AD4081" s="130"/>
      <c r="AE4081" s="130">
        <f t="shared" si="911"/>
        <v>0</v>
      </c>
      <c r="AF4081" s="131">
        <f t="shared" si="904"/>
        <v>0</v>
      </c>
      <c r="AG4081" s="130"/>
      <c r="AH4081" s="130"/>
      <c r="AI4081" s="130"/>
      <c r="AJ4081" s="130"/>
      <c r="AK4081" s="131">
        <f t="shared" si="905"/>
        <v>0</v>
      </c>
      <c r="AL4081" s="446">
        <f t="shared" si="906"/>
        <v>0</v>
      </c>
      <c r="AM4081" s="110">
        <f t="shared" si="907"/>
        <v>0</v>
      </c>
      <c r="AN4081" s="447">
        <f t="shared" si="909"/>
        <v>0</v>
      </c>
      <c r="AO4081"/>
      <c r="AP4081"/>
    </row>
    <row r="4082" spans="1:42" ht="22.5" x14ac:dyDescent="0.25">
      <c r="A4082" s="376">
        <v>425</v>
      </c>
      <c r="B4082" s="635" t="s">
        <v>998</v>
      </c>
      <c r="C4082" s="376"/>
      <c r="D4082" s="921"/>
      <c r="E4082" s="377"/>
      <c r="F4082" s="378"/>
      <c r="G4082" s="378"/>
      <c r="H4082" s="378"/>
      <c r="I4082" s="734"/>
      <c r="J4082" s="806"/>
      <c r="K4082" s="131">
        <f t="shared" si="910"/>
        <v>0</v>
      </c>
      <c r="L4082" s="335">
        <f t="shared" si="903"/>
        <v>0</v>
      </c>
      <c r="M4082" s="419"/>
      <c r="N4082" s="419"/>
      <c r="O4082" s="419"/>
      <c r="P4082" s="419"/>
      <c r="Q4082" s="418">
        <f t="shared" si="914"/>
        <v>0</v>
      </c>
      <c r="R4082" s="379">
        <f t="shared" si="912"/>
        <v>0</v>
      </c>
      <c r="S4082" s="418"/>
      <c r="T4082" s="418"/>
      <c r="U4082" s="418">
        <f t="shared" si="915"/>
        <v>0</v>
      </c>
      <c r="V4082" s="379">
        <f t="shared" si="913"/>
        <v>0</v>
      </c>
      <c r="W4082" s="418"/>
      <c r="X4082" s="418"/>
      <c r="Y4082" s="418"/>
      <c r="Z4082" s="418"/>
      <c r="AA4082" s="418">
        <f t="shared" si="911"/>
        <v>0</v>
      </c>
      <c r="AB4082" s="379">
        <f t="shared" si="908"/>
        <v>0</v>
      </c>
      <c r="AC4082" s="418"/>
      <c r="AD4082" s="418"/>
      <c r="AE4082" s="418">
        <f t="shared" si="911"/>
        <v>0</v>
      </c>
      <c r="AF4082" s="379">
        <f t="shared" si="904"/>
        <v>0</v>
      </c>
      <c r="AG4082" s="418"/>
      <c r="AH4082" s="418"/>
      <c r="AI4082" s="418"/>
      <c r="AJ4082" s="418"/>
      <c r="AK4082" s="379">
        <f t="shared" si="905"/>
        <v>0</v>
      </c>
      <c r="AL4082" s="446">
        <f t="shared" si="906"/>
        <v>0</v>
      </c>
      <c r="AM4082" s="110">
        <f t="shared" si="907"/>
        <v>0</v>
      </c>
      <c r="AN4082" s="447">
        <f t="shared" si="909"/>
        <v>0</v>
      </c>
      <c r="AO4082" s="108"/>
      <c r="AP4082"/>
    </row>
    <row r="4083" spans="1:42" x14ac:dyDescent="0.25">
      <c r="A4083" s="643">
        <v>42501</v>
      </c>
      <c r="B4083" s="644" t="s">
        <v>999</v>
      </c>
      <c r="C4083" s="643"/>
      <c r="D4083" s="954"/>
      <c r="E4083" s="645"/>
      <c r="F4083" s="646"/>
      <c r="G4083" s="646"/>
      <c r="H4083" s="646"/>
      <c r="I4083" s="717"/>
      <c r="J4083" s="753"/>
      <c r="K4083" s="131">
        <f t="shared" si="910"/>
        <v>0</v>
      </c>
      <c r="L4083" s="335">
        <f t="shared" si="903"/>
        <v>0</v>
      </c>
      <c r="M4083" s="648"/>
      <c r="N4083" s="648"/>
      <c r="O4083" s="648"/>
      <c r="P4083" s="648"/>
      <c r="Q4083" s="649">
        <f t="shared" si="914"/>
        <v>0</v>
      </c>
      <c r="R4083" s="647">
        <f t="shared" si="912"/>
        <v>0</v>
      </c>
      <c r="S4083" s="649"/>
      <c r="T4083" s="649"/>
      <c r="U4083" s="649">
        <f t="shared" si="915"/>
        <v>0</v>
      </c>
      <c r="V4083" s="647">
        <f t="shared" si="913"/>
        <v>0</v>
      </c>
      <c r="W4083" s="649"/>
      <c r="X4083" s="649"/>
      <c r="Y4083" s="649"/>
      <c r="Z4083" s="649"/>
      <c r="AA4083" s="649">
        <f t="shared" si="911"/>
        <v>0</v>
      </c>
      <c r="AB4083" s="647">
        <f t="shared" si="908"/>
        <v>0</v>
      </c>
      <c r="AC4083" s="649"/>
      <c r="AD4083" s="649"/>
      <c r="AE4083" s="649">
        <f t="shared" si="911"/>
        <v>0</v>
      </c>
      <c r="AF4083" s="647">
        <f t="shared" si="904"/>
        <v>0</v>
      </c>
      <c r="AG4083" s="649"/>
      <c r="AH4083" s="649"/>
      <c r="AI4083" s="649"/>
      <c r="AJ4083" s="649"/>
      <c r="AK4083" s="647">
        <f t="shared" si="905"/>
        <v>0</v>
      </c>
      <c r="AL4083" s="446">
        <f t="shared" si="906"/>
        <v>0</v>
      </c>
      <c r="AM4083" s="110">
        <f t="shared" si="907"/>
        <v>0</v>
      </c>
      <c r="AN4083" s="447">
        <f t="shared" si="909"/>
        <v>0</v>
      </c>
      <c r="AO4083" s="108"/>
      <c r="AP4083"/>
    </row>
    <row r="4084" spans="1:42" s="108" customFormat="1" x14ac:dyDescent="0.25">
      <c r="A4084" s="58"/>
      <c r="B4084" s="482"/>
      <c r="C4084" s="9"/>
      <c r="D4084" s="939"/>
      <c r="E4084" s="79"/>
      <c r="F4084" s="286"/>
      <c r="G4084" s="286"/>
      <c r="H4084" s="286"/>
      <c r="I4084" s="722"/>
      <c r="J4084" s="841"/>
      <c r="K4084" s="131">
        <f t="shared" si="910"/>
        <v>0</v>
      </c>
      <c r="L4084" s="335">
        <f t="shared" si="903"/>
        <v>0</v>
      </c>
      <c r="M4084" s="335"/>
      <c r="N4084" s="335"/>
      <c r="O4084" s="335"/>
      <c r="P4084" s="335"/>
      <c r="Q4084" s="130">
        <f t="shared" si="914"/>
        <v>0</v>
      </c>
      <c r="R4084" s="131">
        <f t="shared" si="912"/>
        <v>0</v>
      </c>
      <c r="S4084" s="130"/>
      <c r="T4084" s="130"/>
      <c r="U4084" s="130">
        <f t="shared" si="915"/>
        <v>0</v>
      </c>
      <c r="V4084" s="131">
        <f t="shared" si="913"/>
        <v>0</v>
      </c>
      <c r="W4084" s="130"/>
      <c r="X4084" s="130"/>
      <c r="Y4084" s="130"/>
      <c r="Z4084" s="130"/>
      <c r="AA4084" s="130">
        <f t="shared" si="911"/>
        <v>0</v>
      </c>
      <c r="AB4084" s="131">
        <f t="shared" si="908"/>
        <v>0</v>
      </c>
      <c r="AC4084" s="130"/>
      <c r="AD4084" s="130"/>
      <c r="AE4084" s="130">
        <f t="shared" si="911"/>
        <v>0</v>
      </c>
      <c r="AF4084" s="131">
        <f t="shared" si="904"/>
        <v>0</v>
      </c>
      <c r="AG4084" s="130"/>
      <c r="AH4084" s="130"/>
      <c r="AI4084" s="130"/>
      <c r="AJ4084" s="130"/>
      <c r="AK4084" s="131">
        <f t="shared" si="905"/>
        <v>0</v>
      </c>
      <c r="AL4084" s="446">
        <f t="shared" si="906"/>
        <v>0</v>
      </c>
      <c r="AM4084" s="110">
        <f t="shared" si="907"/>
        <v>0</v>
      </c>
      <c r="AN4084" s="447">
        <f t="shared" si="909"/>
        <v>0</v>
      </c>
      <c r="AO4084"/>
      <c r="AP4084"/>
    </row>
    <row r="4085" spans="1:42" x14ac:dyDescent="0.25">
      <c r="A4085" s="643">
        <v>42502</v>
      </c>
      <c r="B4085" s="644" t="s">
        <v>1000</v>
      </c>
      <c r="C4085" s="643"/>
      <c r="D4085" s="954"/>
      <c r="E4085" s="645"/>
      <c r="F4085" s="646"/>
      <c r="G4085" s="646"/>
      <c r="H4085" s="646"/>
      <c r="I4085" s="717"/>
      <c r="J4085" s="753"/>
      <c r="K4085" s="131">
        <f t="shared" si="910"/>
        <v>0</v>
      </c>
      <c r="L4085" s="335">
        <f t="shared" si="903"/>
        <v>0</v>
      </c>
      <c r="M4085" s="648"/>
      <c r="N4085" s="648"/>
      <c r="O4085" s="648"/>
      <c r="P4085" s="648"/>
      <c r="Q4085" s="649">
        <f t="shared" si="914"/>
        <v>0</v>
      </c>
      <c r="R4085" s="647">
        <f t="shared" si="912"/>
        <v>0</v>
      </c>
      <c r="S4085" s="649"/>
      <c r="T4085" s="649"/>
      <c r="U4085" s="649">
        <f t="shared" si="915"/>
        <v>0</v>
      </c>
      <c r="V4085" s="647">
        <f t="shared" si="913"/>
        <v>0</v>
      </c>
      <c r="W4085" s="649"/>
      <c r="X4085" s="649"/>
      <c r="Y4085" s="649"/>
      <c r="Z4085" s="649"/>
      <c r="AA4085" s="649">
        <f t="shared" si="911"/>
        <v>0</v>
      </c>
      <c r="AB4085" s="647">
        <f t="shared" si="908"/>
        <v>0</v>
      </c>
      <c r="AC4085" s="649"/>
      <c r="AD4085" s="649"/>
      <c r="AE4085" s="649">
        <f t="shared" si="911"/>
        <v>0</v>
      </c>
      <c r="AF4085" s="647">
        <f t="shared" si="904"/>
        <v>0</v>
      </c>
      <c r="AG4085" s="649"/>
      <c r="AH4085" s="649"/>
      <c r="AI4085" s="649"/>
      <c r="AJ4085" s="649"/>
      <c r="AK4085" s="647">
        <f t="shared" si="905"/>
        <v>0</v>
      </c>
      <c r="AL4085" s="446">
        <f t="shared" si="906"/>
        <v>0</v>
      </c>
      <c r="AM4085" s="110">
        <f t="shared" si="907"/>
        <v>0</v>
      </c>
      <c r="AN4085" s="447">
        <f t="shared" si="909"/>
        <v>0</v>
      </c>
      <c r="AO4085" s="108"/>
      <c r="AP4085"/>
    </row>
    <row r="4086" spans="1:42" s="108" customFormat="1" x14ac:dyDescent="0.25">
      <c r="A4086" s="58"/>
      <c r="B4086" s="482"/>
      <c r="C4086" s="9"/>
      <c r="D4086" s="869"/>
      <c r="E4086" s="1027"/>
      <c r="F4086" s="272"/>
      <c r="G4086" s="272"/>
      <c r="H4086" s="272"/>
      <c r="I4086" s="722"/>
      <c r="J4086" s="763"/>
      <c r="K4086" s="131">
        <f t="shared" si="910"/>
        <v>0</v>
      </c>
      <c r="L4086" s="335">
        <f t="shared" ref="L4086:L4149" si="916">+J4086-K4086</f>
        <v>0</v>
      </c>
      <c r="M4086" s="335"/>
      <c r="N4086" s="335"/>
      <c r="O4086" s="335"/>
      <c r="P4086" s="335"/>
      <c r="Q4086" s="130">
        <f t="shared" si="914"/>
        <v>0</v>
      </c>
      <c r="R4086" s="131">
        <f t="shared" si="912"/>
        <v>0</v>
      </c>
      <c r="S4086" s="130"/>
      <c r="T4086" s="130"/>
      <c r="U4086" s="130">
        <f t="shared" si="915"/>
        <v>0</v>
      </c>
      <c r="V4086" s="131">
        <f t="shared" si="913"/>
        <v>0</v>
      </c>
      <c r="W4086" s="130"/>
      <c r="X4086" s="130"/>
      <c r="Y4086" s="130"/>
      <c r="Z4086" s="130"/>
      <c r="AA4086" s="130">
        <f t="shared" si="911"/>
        <v>0</v>
      </c>
      <c r="AB4086" s="131">
        <f t="shared" si="908"/>
        <v>0</v>
      </c>
      <c r="AC4086" s="130"/>
      <c r="AD4086" s="130"/>
      <c r="AE4086" s="130">
        <f t="shared" si="911"/>
        <v>0</v>
      </c>
      <c r="AF4086" s="131">
        <f t="shared" ref="AF4086:AF4149" si="917">+J4086/4</f>
        <v>0</v>
      </c>
      <c r="AG4086" s="130"/>
      <c r="AH4086" s="130"/>
      <c r="AI4086" s="130"/>
      <c r="AJ4086" s="130"/>
      <c r="AK4086" s="131">
        <f t="shared" ref="AK4086:AK4149" si="918">+R4086+V4086+AB4086+AF4086</f>
        <v>0</v>
      </c>
      <c r="AL4086" s="446">
        <f t="shared" ref="AL4086:AL4149" si="919">+J4086-AK4086</f>
        <v>0</v>
      </c>
      <c r="AM4086" s="110">
        <f t="shared" ref="AM4086:AM4149" si="920">+Q4086+U4086+AA4086+AE4086</f>
        <v>0</v>
      </c>
      <c r="AN4086" s="447">
        <f t="shared" si="909"/>
        <v>0</v>
      </c>
      <c r="AO4086"/>
      <c r="AP4086"/>
    </row>
    <row r="4087" spans="1:42" x14ac:dyDescent="0.25">
      <c r="A4087" s="299">
        <v>4300</v>
      </c>
      <c r="B4087" s="469" t="s">
        <v>1001</v>
      </c>
      <c r="C4087" s="299"/>
      <c r="D4087" s="909"/>
      <c r="E4087" s="301"/>
      <c r="F4087" s="302"/>
      <c r="G4087" s="302"/>
      <c r="H4087" s="302"/>
      <c r="I4087" s="715"/>
      <c r="J4087" s="751"/>
      <c r="K4087" s="131">
        <f t="shared" si="910"/>
        <v>0</v>
      </c>
      <c r="L4087" s="335">
        <f t="shared" si="916"/>
        <v>0</v>
      </c>
      <c r="M4087" s="453"/>
      <c r="N4087" s="453"/>
      <c r="O4087" s="453"/>
      <c r="P4087" s="453"/>
      <c r="Q4087" s="385">
        <f t="shared" si="914"/>
        <v>0</v>
      </c>
      <c r="R4087" s="303">
        <f t="shared" si="912"/>
        <v>0</v>
      </c>
      <c r="S4087" s="385"/>
      <c r="T4087" s="385"/>
      <c r="U4087" s="385">
        <f t="shared" si="915"/>
        <v>0</v>
      </c>
      <c r="V4087" s="303">
        <f t="shared" si="913"/>
        <v>0</v>
      </c>
      <c r="W4087" s="385"/>
      <c r="X4087" s="385"/>
      <c r="Y4087" s="385"/>
      <c r="Z4087" s="385"/>
      <c r="AA4087" s="385">
        <f t="shared" si="911"/>
        <v>0</v>
      </c>
      <c r="AB4087" s="303">
        <f t="shared" si="908"/>
        <v>0</v>
      </c>
      <c r="AC4087" s="385"/>
      <c r="AD4087" s="385"/>
      <c r="AE4087" s="385">
        <f t="shared" si="911"/>
        <v>0</v>
      </c>
      <c r="AF4087" s="303">
        <f t="shared" si="917"/>
        <v>0</v>
      </c>
      <c r="AG4087" s="385"/>
      <c r="AH4087" s="385"/>
      <c r="AI4087" s="385"/>
      <c r="AJ4087" s="385"/>
      <c r="AK4087" s="303">
        <f t="shared" si="918"/>
        <v>0</v>
      </c>
      <c r="AL4087" s="453">
        <f t="shared" si="919"/>
        <v>0</v>
      </c>
      <c r="AM4087" s="385">
        <f t="shared" si="920"/>
        <v>0</v>
      </c>
      <c r="AN4087" s="454">
        <f t="shared" si="909"/>
        <v>0</v>
      </c>
      <c r="AO4087" s="304"/>
      <c r="AP4087"/>
    </row>
    <row r="4088" spans="1:42" x14ac:dyDescent="0.25">
      <c r="A4088" s="1021">
        <v>431</v>
      </c>
      <c r="B4088" s="676" t="s">
        <v>1002</v>
      </c>
      <c r="C4088" s="1021"/>
      <c r="D4088" s="958"/>
      <c r="E4088" s="343"/>
      <c r="F4088" s="344"/>
      <c r="G4088" s="344"/>
      <c r="H4088" s="344"/>
      <c r="I4088" s="737"/>
      <c r="J4088" s="811"/>
      <c r="K4088" s="131">
        <f t="shared" si="910"/>
        <v>0</v>
      </c>
      <c r="L4088" s="335">
        <f t="shared" si="916"/>
        <v>0</v>
      </c>
      <c r="M4088" s="414"/>
      <c r="N4088" s="414"/>
      <c r="O4088" s="414"/>
      <c r="P4088" s="414"/>
      <c r="Q4088" s="413">
        <f t="shared" si="914"/>
        <v>0</v>
      </c>
      <c r="R4088" s="345">
        <f t="shared" si="912"/>
        <v>0</v>
      </c>
      <c r="S4088" s="413"/>
      <c r="T4088" s="413"/>
      <c r="U4088" s="413">
        <f t="shared" si="915"/>
        <v>0</v>
      </c>
      <c r="V4088" s="345">
        <f t="shared" si="913"/>
        <v>0</v>
      </c>
      <c r="W4088" s="413"/>
      <c r="X4088" s="413"/>
      <c r="Y4088" s="413"/>
      <c r="Z4088" s="413"/>
      <c r="AA4088" s="413">
        <f t="shared" si="911"/>
        <v>0</v>
      </c>
      <c r="AB4088" s="345">
        <f t="shared" si="908"/>
        <v>0</v>
      </c>
      <c r="AC4088" s="413"/>
      <c r="AD4088" s="413"/>
      <c r="AE4088" s="413">
        <f t="shared" si="911"/>
        <v>0</v>
      </c>
      <c r="AF4088" s="345">
        <f t="shared" si="917"/>
        <v>0</v>
      </c>
      <c r="AG4088" s="413"/>
      <c r="AH4088" s="413"/>
      <c r="AI4088" s="413"/>
      <c r="AJ4088" s="413"/>
      <c r="AK4088" s="345">
        <f t="shared" si="918"/>
        <v>0</v>
      </c>
      <c r="AL4088" s="446">
        <f t="shared" si="919"/>
        <v>0</v>
      </c>
      <c r="AM4088" s="110">
        <f t="shared" si="920"/>
        <v>0</v>
      </c>
      <c r="AN4088" s="447">
        <f t="shared" si="909"/>
        <v>0</v>
      </c>
      <c r="AO4088" s="108"/>
      <c r="AP4088"/>
    </row>
    <row r="4089" spans="1:42" x14ac:dyDescent="0.25">
      <c r="A4089" s="310">
        <v>43101</v>
      </c>
      <c r="B4089" s="375" t="s">
        <v>1002</v>
      </c>
      <c r="C4089" s="310"/>
      <c r="D4089" s="902"/>
      <c r="E4089" s="312"/>
      <c r="F4089" s="313"/>
      <c r="G4089" s="313"/>
      <c r="H4089" s="313"/>
      <c r="I4089" s="729"/>
      <c r="J4089" s="800"/>
      <c r="K4089" s="131">
        <f t="shared" si="910"/>
        <v>0</v>
      </c>
      <c r="L4089" s="335">
        <f t="shared" si="916"/>
        <v>0</v>
      </c>
      <c r="M4089" s="421"/>
      <c r="N4089" s="421"/>
      <c r="O4089" s="421"/>
      <c r="P4089" s="421"/>
      <c r="Q4089" s="387">
        <f t="shared" si="914"/>
        <v>0</v>
      </c>
      <c r="R4089" s="314">
        <f t="shared" si="912"/>
        <v>0</v>
      </c>
      <c r="S4089" s="387"/>
      <c r="T4089" s="387"/>
      <c r="U4089" s="387">
        <f t="shared" si="915"/>
        <v>0</v>
      </c>
      <c r="V4089" s="314">
        <f t="shared" si="913"/>
        <v>0</v>
      </c>
      <c r="W4089" s="387"/>
      <c r="X4089" s="387"/>
      <c r="Y4089" s="387"/>
      <c r="Z4089" s="387"/>
      <c r="AA4089" s="387">
        <f t="shared" si="911"/>
        <v>0</v>
      </c>
      <c r="AB4089" s="314">
        <f t="shared" si="908"/>
        <v>0</v>
      </c>
      <c r="AC4089" s="387"/>
      <c r="AD4089" s="387"/>
      <c r="AE4089" s="387">
        <f t="shared" si="911"/>
        <v>0</v>
      </c>
      <c r="AF4089" s="314">
        <f t="shared" si="917"/>
        <v>0</v>
      </c>
      <c r="AG4089" s="387"/>
      <c r="AH4089" s="387"/>
      <c r="AI4089" s="387"/>
      <c r="AJ4089" s="387"/>
      <c r="AK4089" s="314">
        <f t="shared" si="918"/>
        <v>0</v>
      </c>
      <c r="AL4089" s="421">
        <f t="shared" si="919"/>
        <v>0</v>
      </c>
      <c r="AM4089" s="387">
        <f t="shared" si="920"/>
        <v>0</v>
      </c>
      <c r="AN4089" s="422">
        <f t="shared" si="909"/>
        <v>0</v>
      </c>
      <c r="AO4089" s="108"/>
      <c r="AP4089"/>
    </row>
    <row r="4090" spans="1:42" s="108" customFormat="1" x14ac:dyDescent="0.25">
      <c r="A4090" s="58"/>
      <c r="B4090" s="482"/>
      <c r="C4090" s="9"/>
      <c r="D4090" s="869"/>
      <c r="E4090" s="1027"/>
      <c r="F4090" s="272"/>
      <c r="G4090" s="272"/>
      <c r="H4090" s="272"/>
      <c r="I4090" s="722"/>
      <c r="J4090" s="763"/>
      <c r="K4090" s="131">
        <f t="shared" si="910"/>
        <v>0</v>
      </c>
      <c r="L4090" s="335">
        <f t="shared" si="916"/>
        <v>0</v>
      </c>
      <c r="M4090" s="335"/>
      <c r="N4090" s="335"/>
      <c r="O4090" s="335"/>
      <c r="P4090" s="335"/>
      <c r="Q4090" s="130">
        <f t="shared" si="914"/>
        <v>0</v>
      </c>
      <c r="R4090" s="131">
        <f t="shared" si="912"/>
        <v>0</v>
      </c>
      <c r="S4090" s="130"/>
      <c r="T4090" s="130"/>
      <c r="U4090" s="130">
        <f t="shared" si="915"/>
        <v>0</v>
      </c>
      <c r="V4090" s="131">
        <f t="shared" si="913"/>
        <v>0</v>
      </c>
      <c r="W4090" s="130"/>
      <c r="X4090" s="130"/>
      <c r="Y4090" s="130"/>
      <c r="Z4090" s="130"/>
      <c r="AA4090" s="130">
        <f t="shared" si="911"/>
        <v>0</v>
      </c>
      <c r="AB4090" s="131">
        <f t="shared" si="908"/>
        <v>0</v>
      </c>
      <c r="AC4090" s="130"/>
      <c r="AD4090" s="130"/>
      <c r="AE4090" s="130">
        <f t="shared" si="911"/>
        <v>0</v>
      </c>
      <c r="AF4090" s="131">
        <f t="shared" si="917"/>
        <v>0</v>
      </c>
      <c r="AG4090" s="130"/>
      <c r="AH4090" s="130"/>
      <c r="AI4090" s="130"/>
      <c r="AJ4090" s="130"/>
      <c r="AK4090" s="131">
        <f t="shared" si="918"/>
        <v>0</v>
      </c>
      <c r="AL4090" s="446">
        <f t="shared" si="919"/>
        <v>0</v>
      </c>
      <c r="AM4090" s="110">
        <f t="shared" si="920"/>
        <v>0</v>
      </c>
      <c r="AN4090" s="447">
        <f t="shared" si="909"/>
        <v>0</v>
      </c>
      <c r="AO4090"/>
      <c r="AP4090"/>
    </row>
    <row r="4091" spans="1:42" x14ac:dyDescent="0.25">
      <c r="A4091" s="1021">
        <v>432</v>
      </c>
      <c r="B4091" s="676" t="s">
        <v>1003</v>
      </c>
      <c r="C4091" s="1021"/>
      <c r="D4091" s="958"/>
      <c r="E4091" s="343"/>
      <c r="F4091" s="344"/>
      <c r="G4091" s="344"/>
      <c r="H4091" s="344"/>
      <c r="I4091" s="737"/>
      <c r="J4091" s="811"/>
      <c r="K4091" s="131">
        <f t="shared" si="910"/>
        <v>0</v>
      </c>
      <c r="L4091" s="335">
        <f t="shared" si="916"/>
        <v>0</v>
      </c>
      <c r="M4091" s="414"/>
      <c r="N4091" s="414"/>
      <c r="O4091" s="414"/>
      <c r="P4091" s="414"/>
      <c r="Q4091" s="413">
        <f t="shared" si="914"/>
        <v>0</v>
      </c>
      <c r="R4091" s="345">
        <f t="shared" si="912"/>
        <v>0</v>
      </c>
      <c r="S4091" s="413"/>
      <c r="T4091" s="413"/>
      <c r="U4091" s="413">
        <f t="shared" si="915"/>
        <v>0</v>
      </c>
      <c r="V4091" s="345">
        <f t="shared" si="913"/>
        <v>0</v>
      </c>
      <c r="W4091" s="413"/>
      <c r="X4091" s="413"/>
      <c r="Y4091" s="413"/>
      <c r="Z4091" s="413"/>
      <c r="AA4091" s="413">
        <f t="shared" si="911"/>
        <v>0</v>
      </c>
      <c r="AB4091" s="345">
        <f t="shared" si="908"/>
        <v>0</v>
      </c>
      <c r="AC4091" s="413"/>
      <c r="AD4091" s="413"/>
      <c r="AE4091" s="413">
        <f t="shared" si="911"/>
        <v>0</v>
      </c>
      <c r="AF4091" s="345">
        <f t="shared" si="917"/>
        <v>0</v>
      </c>
      <c r="AG4091" s="413"/>
      <c r="AH4091" s="413"/>
      <c r="AI4091" s="413"/>
      <c r="AJ4091" s="413"/>
      <c r="AK4091" s="345">
        <f t="shared" si="918"/>
        <v>0</v>
      </c>
      <c r="AL4091" s="446">
        <f t="shared" si="919"/>
        <v>0</v>
      </c>
      <c r="AM4091" s="110">
        <f t="shared" si="920"/>
        <v>0</v>
      </c>
      <c r="AN4091" s="447">
        <f t="shared" si="909"/>
        <v>0</v>
      </c>
      <c r="AO4091" s="108"/>
      <c r="AP4091"/>
    </row>
    <row r="4092" spans="1:42" x14ac:dyDescent="0.25">
      <c r="A4092" s="310">
        <v>43201</v>
      </c>
      <c r="B4092" s="375" t="s">
        <v>1003</v>
      </c>
      <c r="C4092" s="310"/>
      <c r="D4092" s="902"/>
      <c r="E4092" s="312"/>
      <c r="F4092" s="313"/>
      <c r="G4092" s="313"/>
      <c r="H4092" s="313"/>
      <c r="I4092" s="729"/>
      <c r="J4092" s="800"/>
      <c r="K4092" s="131">
        <f t="shared" si="910"/>
        <v>0</v>
      </c>
      <c r="L4092" s="335">
        <f t="shared" si="916"/>
        <v>0</v>
      </c>
      <c r="M4092" s="421"/>
      <c r="N4092" s="421"/>
      <c r="O4092" s="421"/>
      <c r="P4092" s="421"/>
      <c r="Q4092" s="387">
        <f t="shared" si="914"/>
        <v>0</v>
      </c>
      <c r="R4092" s="314">
        <f t="shared" si="912"/>
        <v>0</v>
      </c>
      <c r="S4092" s="387"/>
      <c r="T4092" s="387"/>
      <c r="U4092" s="387">
        <f t="shared" si="915"/>
        <v>0</v>
      </c>
      <c r="V4092" s="314">
        <f t="shared" si="913"/>
        <v>0</v>
      </c>
      <c r="W4092" s="387"/>
      <c r="X4092" s="387"/>
      <c r="Y4092" s="387"/>
      <c r="Z4092" s="387"/>
      <c r="AA4092" s="387">
        <f t="shared" si="911"/>
        <v>0</v>
      </c>
      <c r="AB4092" s="314">
        <f t="shared" si="908"/>
        <v>0</v>
      </c>
      <c r="AC4092" s="387"/>
      <c r="AD4092" s="387"/>
      <c r="AE4092" s="387">
        <f t="shared" si="911"/>
        <v>0</v>
      </c>
      <c r="AF4092" s="314">
        <f t="shared" si="917"/>
        <v>0</v>
      </c>
      <c r="AG4092" s="387"/>
      <c r="AH4092" s="387"/>
      <c r="AI4092" s="387"/>
      <c r="AJ4092" s="387"/>
      <c r="AK4092" s="314">
        <f t="shared" si="918"/>
        <v>0</v>
      </c>
      <c r="AL4092" s="421">
        <f t="shared" si="919"/>
        <v>0</v>
      </c>
      <c r="AM4092" s="387">
        <f t="shared" si="920"/>
        <v>0</v>
      </c>
      <c r="AN4092" s="422">
        <f t="shared" si="909"/>
        <v>0</v>
      </c>
      <c r="AO4092" s="188"/>
      <c r="AP4092"/>
    </row>
    <row r="4093" spans="1:42" s="108" customFormat="1" x14ac:dyDescent="0.25">
      <c r="A4093" s="58"/>
      <c r="B4093" s="482"/>
      <c r="C4093" s="9"/>
      <c r="D4093" s="869"/>
      <c r="E4093" s="1027"/>
      <c r="F4093" s="272"/>
      <c r="G4093" s="272"/>
      <c r="H4093" s="272"/>
      <c r="I4093" s="722"/>
      <c r="J4093" s="763"/>
      <c r="K4093" s="131">
        <f t="shared" si="910"/>
        <v>0</v>
      </c>
      <c r="L4093" s="335">
        <f t="shared" si="916"/>
        <v>0</v>
      </c>
      <c r="M4093" s="335"/>
      <c r="N4093" s="335"/>
      <c r="O4093" s="335"/>
      <c r="P4093" s="335"/>
      <c r="Q4093" s="130">
        <f t="shared" si="914"/>
        <v>0</v>
      </c>
      <c r="R4093" s="131">
        <f t="shared" si="912"/>
        <v>0</v>
      </c>
      <c r="S4093" s="130"/>
      <c r="T4093" s="130"/>
      <c r="U4093" s="130">
        <f t="shared" si="915"/>
        <v>0</v>
      </c>
      <c r="V4093" s="131">
        <f t="shared" si="913"/>
        <v>0</v>
      </c>
      <c r="W4093" s="130"/>
      <c r="X4093" s="130"/>
      <c r="Y4093" s="130"/>
      <c r="Z4093" s="130"/>
      <c r="AA4093" s="130">
        <f t="shared" si="911"/>
        <v>0</v>
      </c>
      <c r="AB4093" s="131">
        <f t="shared" si="908"/>
        <v>0</v>
      </c>
      <c r="AC4093" s="130"/>
      <c r="AD4093" s="130"/>
      <c r="AE4093" s="130">
        <f t="shared" si="911"/>
        <v>0</v>
      </c>
      <c r="AF4093" s="131">
        <f t="shared" si="917"/>
        <v>0</v>
      </c>
      <c r="AG4093" s="130"/>
      <c r="AH4093" s="130"/>
      <c r="AI4093" s="130"/>
      <c r="AJ4093" s="130"/>
      <c r="AK4093" s="131">
        <f t="shared" si="918"/>
        <v>0</v>
      </c>
      <c r="AL4093" s="446">
        <f t="shared" si="919"/>
        <v>0</v>
      </c>
      <c r="AM4093" s="110">
        <f t="shared" si="920"/>
        <v>0</v>
      </c>
      <c r="AN4093" s="447">
        <f t="shared" si="909"/>
        <v>0</v>
      </c>
      <c r="AO4093"/>
      <c r="AP4093"/>
    </row>
    <row r="4094" spans="1:42" x14ac:dyDescent="0.25">
      <c r="A4094" s="1021">
        <v>433</v>
      </c>
      <c r="B4094" s="676" t="s">
        <v>1004</v>
      </c>
      <c r="C4094" s="1021"/>
      <c r="D4094" s="958"/>
      <c r="E4094" s="343"/>
      <c r="F4094" s="344"/>
      <c r="G4094" s="344"/>
      <c r="H4094" s="344"/>
      <c r="I4094" s="737"/>
      <c r="J4094" s="811"/>
      <c r="K4094" s="131">
        <f t="shared" si="910"/>
        <v>0</v>
      </c>
      <c r="L4094" s="335">
        <f t="shared" si="916"/>
        <v>0</v>
      </c>
      <c r="M4094" s="414"/>
      <c r="N4094" s="414"/>
      <c r="O4094" s="414"/>
      <c r="P4094" s="414"/>
      <c r="Q4094" s="413">
        <f t="shared" si="914"/>
        <v>0</v>
      </c>
      <c r="R4094" s="345">
        <f t="shared" si="912"/>
        <v>0</v>
      </c>
      <c r="S4094" s="413"/>
      <c r="T4094" s="413"/>
      <c r="U4094" s="413">
        <f t="shared" si="915"/>
        <v>0</v>
      </c>
      <c r="V4094" s="345">
        <f t="shared" si="913"/>
        <v>0</v>
      </c>
      <c r="W4094" s="413"/>
      <c r="X4094" s="413"/>
      <c r="Y4094" s="413"/>
      <c r="Z4094" s="413"/>
      <c r="AA4094" s="413">
        <f t="shared" si="911"/>
        <v>0</v>
      </c>
      <c r="AB4094" s="345">
        <f t="shared" si="908"/>
        <v>0</v>
      </c>
      <c r="AC4094" s="413"/>
      <c r="AD4094" s="413"/>
      <c r="AE4094" s="413">
        <f t="shared" si="911"/>
        <v>0</v>
      </c>
      <c r="AF4094" s="345">
        <f t="shared" si="917"/>
        <v>0</v>
      </c>
      <c r="AG4094" s="413"/>
      <c r="AH4094" s="413"/>
      <c r="AI4094" s="413"/>
      <c r="AJ4094" s="413"/>
      <c r="AK4094" s="345">
        <f t="shared" si="918"/>
        <v>0</v>
      </c>
      <c r="AL4094" s="446">
        <f t="shared" si="919"/>
        <v>0</v>
      </c>
      <c r="AM4094" s="110">
        <f t="shared" si="920"/>
        <v>0</v>
      </c>
      <c r="AN4094" s="447">
        <f t="shared" si="909"/>
        <v>0</v>
      </c>
      <c r="AO4094" s="108"/>
      <c r="AP4094"/>
    </row>
    <row r="4095" spans="1:42" x14ac:dyDescent="0.25">
      <c r="A4095" s="643">
        <v>43301</v>
      </c>
      <c r="B4095" s="644" t="s">
        <v>1005</v>
      </c>
      <c r="C4095" s="643"/>
      <c r="D4095" s="954"/>
      <c r="E4095" s="645"/>
      <c r="F4095" s="646"/>
      <c r="G4095" s="646"/>
      <c r="H4095" s="646"/>
      <c r="I4095" s="717"/>
      <c r="J4095" s="753"/>
      <c r="K4095" s="131">
        <f t="shared" si="910"/>
        <v>0</v>
      </c>
      <c r="L4095" s="335">
        <f t="shared" si="916"/>
        <v>0</v>
      </c>
      <c r="M4095" s="648"/>
      <c r="N4095" s="648"/>
      <c r="O4095" s="648"/>
      <c r="P4095" s="648"/>
      <c r="Q4095" s="649">
        <f t="shared" si="914"/>
        <v>0</v>
      </c>
      <c r="R4095" s="647">
        <f t="shared" si="912"/>
        <v>0</v>
      </c>
      <c r="S4095" s="649"/>
      <c r="T4095" s="649"/>
      <c r="U4095" s="649">
        <f t="shared" si="915"/>
        <v>0</v>
      </c>
      <c r="V4095" s="647">
        <f t="shared" si="913"/>
        <v>0</v>
      </c>
      <c r="W4095" s="649"/>
      <c r="X4095" s="649"/>
      <c r="Y4095" s="649"/>
      <c r="Z4095" s="649"/>
      <c r="AA4095" s="649">
        <f t="shared" si="911"/>
        <v>0</v>
      </c>
      <c r="AB4095" s="647">
        <f t="shared" si="908"/>
        <v>0</v>
      </c>
      <c r="AC4095" s="649"/>
      <c r="AD4095" s="649"/>
      <c r="AE4095" s="649">
        <f t="shared" si="911"/>
        <v>0</v>
      </c>
      <c r="AF4095" s="647">
        <f t="shared" si="917"/>
        <v>0</v>
      </c>
      <c r="AG4095" s="649"/>
      <c r="AH4095" s="649"/>
      <c r="AI4095" s="649"/>
      <c r="AJ4095" s="649"/>
      <c r="AK4095" s="647">
        <f t="shared" si="918"/>
        <v>0</v>
      </c>
      <c r="AL4095" s="446">
        <f t="shared" si="919"/>
        <v>0</v>
      </c>
      <c r="AM4095" s="110">
        <f t="shared" si="920"/>
        <v>0</v>
      </c>
      <c r="AN4095" s="447">
        <f t="shared" si="909"/>
        <v>0</v>
      </c>
      <c r="AO4095" s="108"/>
      <c r="AP4095"/>
    </row>
    <row r="4096" spans="1:42" s="108" customFormat="1" x14ac:dyDescent="0.25">
      <c r="A4096" s="58"/>
      <c r="B4096" s="482"/>
      <c r="C4096" s="9"/>
      <c r="D4096" s="939"/>
      <c r="E4096" s="79"/>
      <c r="F4096" s="286"/>
      <c r="G4096" s="286"/>
      <c r="H4096" s="286"/>
      <c r="I4096" s="722"/>
      <c r="J4096" s="841"/>
      <c r="K4096" s="131">
        <f t="shared" si="910"/>
        <v>0</v>
      </c>
      <c r="L4096" s="335">
        <f t="shared" si="916"/>
        <v>0</v>
      </c>
      <c r="M4096" s="335"/>
      <c r="N4096" s="335"/>
      <c r="O4096" s="335"/>
      <c r="P4096" s="335"/>
      <c r="Q4096" s="130">
        <f t="shared" si="914"/>
        <v>0</v>
      </c>
      <c r="R4096" s="131">
        <f t="shared" si="912"/>
        <v>0</v>
      </c>
      <c r="S4096" s="130"/>
      <c r="T4096" s="130"/>
      <c r="U4096" s="130">
        <f t="shared" si="915"/>
        <v>0</v>
      </c>
      <c r="V4096" s="131">
        <f t="shared" si="913"/>
        <v>0</v>
      </c>
      <c r="W4096" s="130"/>
      <c r="X4096" s="130"/>
      <c r="Y4096" s="130"/>
      <c r="Z4096" s="130"/>
      <c r="AA4096" s="130">
        <f t="shared" si="911"/>
        <v>0</v>
      </c>
      <c r="AB4096" s="131">
        <f t="shared" si="908"/>
        <v>0</v>
      </c>
      <c r="AC4096" s="130"/>
      <c r="AD4096" s="130"/>
      <c r="AE4096" s="130">
        <f t="shared" si="911"/>
        <v>0</v>
      </c>
      <c r="AF4096" s="131">
        <f t="shared" si="917"/>
        <v>0</v>
      </c>
      <c r="AG4096" s="130"/>
      <c r="AH4096" s="130"/>
      <c r="AI4096" s="130"/>
      <c r="AJ4096" s="130"/>
      <c r="AK4096" s="131">
        <f t="shared" si="918"/>
        <v>0</v>
      </c>
      <c r="AL4096" s="446">
        <f t="shared" si="919"/>
        <v>0</v>
      </c>
      <c r="AM4096" s="110">
        <f t="shared" si="920"/>
        <v>0</v>
      </c>
      <c r="AN4096" s="447">
        <f t="shared" si="909"/>
        <v>0</v>
      </c>
      <c r="AO4096"/>
      <c r="AP4096"/>
    </row>
    <row r="4097" spans="1:42" x14ac:dyDescent="0.25">
      <c r="A4097" s="1021">
        <v>434</v>
      </c>
      <c r="B4097" s="676" t="s">
        <v>1006</v>
      </c>
      <c r="C4097" s="1021"/>
      <c r="D4097" s="959"/>
      <c r="E4097" s="678"/>
      <c r="F4097" s="679"/>
      <c r="G4097" s="679"/>
      <c r="H4097" s="679"/>
      <c r="I4097" s="737"/>
      <c r="J4097" s="848"/>
      <c r="K4097" s="131">
        <f t="shared" si="910"/>
        <v>0</v>
      </c>
      <c r="L4097" s="335">
        <f t="shared" si="916"/>
        <v>0</v>
      </c>
      <c r="M4097" s="414"/>
      <c r="N4097" s="414"/>
      <c r="O4097" s="414"/>
      <c r="P4097" s="414"/>
      <c r="Q4097" s="413">
        <f t="shared" si="914"/>
        <v>0</v>
      </c>
      <c r="R4097" s="345">
        <f t="shared" si="912"/>
        <v>0</v>
      </c>
      <c r="S4097" s="413"/>
      <c r="T4097" s="413"/>
      <c r="U4097" s="413">
        <f t="shared" si="915"/>
        <v>0</v>
      </c>
      <c r="V4097" s="345">
        <f t="shared" si="913"/>
        <v>0</v>
      </c>
      <c r="W4097" s="413"/>
      <c r="X4097" s="413"/>
      <c r="Y4097" s="413"/>
      <c r="Z4097" s="413"/>
      <c r="AA4097" s="413">
        <f t="shared" si="911"/>
        <v>0</v>
      </c>
      <c r="AB4097" s="345">
        <f t="shared" si="908"/>
        <v>0</v>
      </c>
      <c r="AC4097" s="413"/>
      <c r="AD4097" s="413"/>
      <c r="AE4097" s="413">
        <f t="shared" si="911"/>
        <v>0</v>
      </c>
      <c r="AF4097" s="345">
        <f t="shared" si="917"/>
        <v>0</v>
      </c>
      <c r="AG4097" s="413"/>
      <c r="AH4097" s="413"/>
      <c r="AI4097" s="413"/>
      <c r="AJ4097" s="413"/>
      <c r="AK4097" s="345">
        <f t="shared" si="918"/>
        <v>0</v>
      </c>
      <c r="AL4097" s="446">
        <f t="shared" si="919"/>
        <v>0</v>
      </c>
      <c r="AM4097" s="110">
        <f t="shared" si="920"/>
        <v>0</v>
      </c>
      <c r="AN4097" s="447">
        <f t="shared" si="909"/>
        <v>0</v>
      </c>
      <c r="AO4097" s="108"/>
      <c r="AP4097"/>
    </row>
    <row r="4098" spans="1:42" x14ac:dyDescent="0.25">
      <c r="A4098" s="643">
        <v>43401</v>
      </c>
      <c r="B4098" s="644" t="s">
        <v>1006</v>
      </c>
      <c r="C4098" s="643"/>
      <c r="D4098" s="954"/>
      <c r="E4098" s="645"/>
      <c r="F4098" s="646"/>
      <c r="G4098" s="646"/>
      <c r="H4098" s="646"/>
      <c r="I4098" s="717"/>
      <c r="J4098" s="753"/>
      <c r="K4098" s="131">
        <f t="shared" si="910"/>
        <v>0</v>
      </c>
      <c r="L4098" s="335">
        <f t="shared" si="916"/>
        <v>0</v>
      </c>
      <c r="M4098" s="648"/>
      <c r="N4098" s="648"/>
      <c r="O4098" s="648"/>
      <c r="P4098" s="648"/>
      <c r="Q4098" s="649">
        <f t="shared" si="914"/>
        <v>0</v>
      </c>
      <c r="R4098" s="647">
        <f t="shared" si="912"/>
        <v>0</v>
      </c>
      <c r="S4098" s="649"/>
      <c r="T4098" s="649"/>
      <c r="U4098" s="649">
        <f t="shared" si="915"/>
        <v>0</v>
      </c>
      <c r="V4098" s="647">
        <f t="shared" si="913"/>
        <v>0</v>
      </c>
      <c r="W4098" s="649"/>
      <c r="X4098" s="649"/>
      <c r="Y4098" s="649"/>
      <c r="Z4098" s="649"/>
      <c r="AA4098" s="649">
        <f t="shared" si="911"/>
        <v>0</v>
      </c>
      <c r="AB4098" s="647">
        <f t="shared" si="908"/>
        <v>0</v>
      </c>
      <c r="AC4098" s="649"/>
      <c r="AD4098" s="649"/>
      <c r="AE4098" s="649">
        <f t="shared" si="911"/>
        <v>0</v>
      </c>
      <c r="AF4098" s="647">
        <f t="shared" si="917"/>
        <v>0</v>
      </c>
      <c r="AG4098" s="649"/>
      <c r="AH4098" s="649"/>
      <c r="AI4098" s="649"/>
      <c r="AJ4098" s="649"/>
      <c r="AK4098" s="647">
        <f t="shared" si="918"/>
        <v>0</v>
      </c>
      <c r="AL4098" s="446">
        <f t="shared" si="919"/>
        <v>0</v>
      </c>
      <c r="AM4098" s="110">
        <f t="shared" si="920"/>
        <v>0</v>
      </c>
      <c r="AN4098" s="447">
        <f t="shared" si="909"/>
        <v>0</v>
      </c>
      <c r="AO4098" s="108"/>
      <c r="AP4098"/>
    </row>
    <row r="4099" spans="1:42" s="108" customFormat="1" x14ac:dyDescent="0.25">
      <c r="A4099" s="58"/>
      <c r="B4099" s="607"/>
      <c r="C4099" s="9"/>
      <c r="D4099" s="939"/>
      <c r="E4099" s="79"/>
      <c r="F4099" s="286"/>
      <c r="G4099" s="286"/>
      <c r="H4099" s="286"/>
      <c r="I4099" s="722"/>
      <c r="J4099" s="841"/>
      <c r="K4099" s="131">
        <f t="shared" si="910"/>
        <v>0</v>
      </c>
      <c r="L4099" s="335">
        <f t="shared" si="916"/>
        <v>0</v>
      </c>
      <c r="M4099" s="335"/>
      <c r="N4099" s="335"/>
      <c r="O4099" s="335"/>
      <c r="P4099" s="335"/>
      <c r="Q4099" s="130">
        <f t="shared" si="914"/>
        <v>0</v>
      </c>
      <c r="R4099" s="131">
        <f t="shared" si="912"/>
        <v>0</v>
      </c>
      <c r="S4099" s="130"/>
      <c r="T4099" s="130"/>
      <c r="U4099" s="130">
        <f t="shared" si="915"/>
        <v>0</v>
      </c>
      <c r="V4099" s="131">
        <f t="shared" si="913"/>
        <v>0</v>
      </c>
      <c r="W4099" s="130"/>
      <c r="X4099" s="130"/>
      <c r="Y4099" s="130"/>
      <c r="Z4099" s="130"/>
      <c r="AA4099" s="130">
        <f t="shared" si="911"/>
        <v>0</v>
      </c>
      <c r="AB4099" s="131">
        <f t="shared" si="908"/>
        <v>0</v>
      </c>
      <c r="AC4099" s="130"/>
      <c r="AD4099" s="130"/>
      <c r="AE4099" s="130">
        <f t="shared" si="911"/>
        <v>0</v>
      </c>
      <c r="AF4099" s="131">
        <f t="shared" si="917"/>
        <v>0</v>
      </c>
      <c r="AG4099" s="130"/>
      <c r="AH4099" s="130"/>
      <c r="AI4099" s="130"/>
      <c r="AJ4099" s="130"/>
      <c r="AK4099" s="131">
        <f t="shared" si="918"/>
        <v>0</v>
      </c>
      <c r="AL4099" s="446">
        <f t="shared" si="919"/>
        <v>0</v>
      </c>
      <c r="AM4099" s="110">
        <f t="shared" si="920"/>
        <v>0</v>
      </c>
      <c r="AN4099" s="447">
        <f t="shared" si="909"/>
        <v>0</v>
      </c>
      <c r="AO4099"/>
      <c r="AP4099"/>
    </row>
    <row r="4100" spans="1:42" x14ac:dyDescent="0.25">
      <c r="A4100" s="1021">
        <v>435</v>
      </c>
      <c r="B4100" s="676" t="s">
        <v>1007</v>
      </c>
      <c r="C4100" s="1021"/>
      <c r="D4100" s="958"/>
      <c r="E4100" s="343"/>
      <c r="F4100" s="344"/>
      <c r="G4100" s="344"/>
      <c r="H4100" s="344"/>
      <c r="I4100" s="737"/>
      <c r="J4100" s="811"/>
      <c r="K4100" s="131">
        <f t="shared" si="910"/>
        <v>0</v>
      </c>
      <c r="L4100" s="335">
        <f t="shared" si="916"/>
        <v>0</v>
      </c>
      <c r="M4100" s="414"/>
      <c r="N4100" s="414"/>
      <c r="O4100" s="414"/>
      <c r="P4100" s="414"/>
      <c r="Q4100" s="413">
        <f t="shared" si="914"/>
        <v>0</v>
      </c>
      <c r="R4100" s="345">
        <f t="shared" si="912"/>
        <v>0</v>
      </c>
      <c r="S4100" s="413"/>
      <c r="T4100" s="413"/>
      <c r="U4100" s="413">
        <f t="shared" si="915"/>
        <v>0</v>
      </c>
      <c r="V4100" s="345">
        <f t="shared" si="913"/>
        <v>0</v>
      </c>
      <c r="W4100" s="413"/>
      <c r="X4100" s="413"/>
      <c r="Y4100" s="413"/>
      <c r="Z4100" s="413"/>
      <c r="AA4100" s="413">
        <f t="shared" si="911"/>
        <v>0</v>
      </c>
      <c r="AB4100" s="345">
        <f t="shared" si="908"/>
        <v>0</v>
      </c>
      <c r="AC4100" s="413"/>
      <c r="AD4100" s="413"/>
      <c r="AE4100" s="413">
        <f t="shared" si="911"/>
        <v>0</v>
      </c>
      <c r="AF4100" s="345">
        <f t="shared" si="917"/>
        <v>0</v>
      </c>
      <c r="AG4100" s="413"/>
      <c r="AH4100" s="413"/>
      <c r="AI4100" s="413"/>
      <c r="AJ4100" s="413"/>
      <c r="AK4100" s="345">
        <f t="shared" si="918"/>
        <v>0</v>
      </c>
      <c r="AL4100" s="446">
        <f t="shared" si="919"/>
        <v>0</v>
      </c>
      <c r="AM4100" s="110">
        <f t="shared" si="920"/>
        <v>0</v>
      </c>
      <c r="AN4100" s="447">
        <f t="shared" si="909"/>
        <v>0</v>
      </c>
      <c r="AO4100" s="108"/>
      <c r="AP4100"/>
    </row>
    <row r="4101" spans="1:42" x14ac:dyDescent="0.25">
      <c r="A4101" s="643">
        <v>43501</v>
      </c>
      <c r="B4101" s="644" t="s">
        <v>1007</v>
      </c>
      <c r="C4101" s="643"/>
      <c r="D4101" s="954"/>
      <c r="E4101" s="645"/>
      <c r="F4101" s="646"/>
      <c r="G4101" s="646"/>
      <c r="H4101" s="646"/>
      <c r="I4101" s="717"/>
      <c r="J4101" s="753"/>
      <c r="K4101" s="131">
        <f t="shared" si="910"/>
        <v>0</v>
      </c>
      <c r="L4101" s="335">
        <f t="shared" si="916"/>
        <v>0</v>
      </c>
      <c r="M4101" s="648"/>
      <c r="N4101" s="648"/>
      <c r="O4101" s="648"/>
      <c r="P4101" s="648"/>
      <c r="Q4101" s="649">
        <f t="shared" si="914"/>
        <v>0</v>
      </c>
      <c r="R4101" s="647">
        <f t="shared" si="912"/>
        <v>0</v>
      </c>
      <c r="S4101" s="649"/>
      <c r="T4101" s="649"/>
      <c r="U4101" s="649">
        <f t="shared" si="915"/>
        <v>0</v>
      </c>
      <c r="V4101" s="647">
        <f t="shared" si="913"/>
        <v>0</v>
      </c>
      <c r="W4101" s="649"/>
      <c r="X4101" s="649"/>
      <c r="Y4101" s="649"/>
      <c r="Z4101" s="649"/>
      <c r="AA4101" s="649">
        <f t="shared" si="911"/>
        <v>0</v>
      </c>
      <c r="AB4101" s="647">
        <f t="shared" si="908"/>
        <v>0</v>
      </c>
      <c r="AC4101" s="649"/>
      <c r="AD4101" s="649"/>
      <c r="AE4101" s="649">
        <f t="shared" si="911"/>
        <v>0</v>
      </c>
      <c r="AF4101" s="647">
        <f t="shared" si="917"/>
        <v>0</v>
      </c>
      <c r="AG4101" s="649"/>
      <c r="AH4101" s="649"/>
      <c r="AI4101" s="649"/>
      <c r="AJ4101" s="649"/>
      <c r="AK4101" s="647">
        <f t="shared" si="918"/>
        <v>0</v>
      </c>
      <c r="AL4101" s="446">
        <f t="shared" si="919"/>
        <v>0</v>
      </c>
      <c r="AM4101" s="110">
        <f t="shared" si="920"/>
        <v>0</v>
      </c>
      <c r="AN4101" s="447">
        <f t="shared" si="909"/>
        <v>0</v>
      </c>
      <c r="AO4101" s="108"/>
      <c r="AP4101"/>
    </row>
    <row r="4102" spans="1:42" s="108" customFormat="1" x14ac:dyDescent="0.25">
      <c r="A4102" s="58"/>
      <c r="B4102" s="482"/>
      <c r="C4102" s="9"/>
      <c r="D4102" s="869"/>
      <c r="E4102" s="1027"/>
      <c r="F4102" s="272"/>
      <c r="G4102" s="272"/>
      <c r="H4102" s="272"/>
      <c r="I4102" s="722"/>
      <c r="J4102" s="763"/>
      <c r="K4102" s="131">
        <f t="shared" si="910"/>
        <v>0</v>
      </c>
      <c r="L4102" s="335">
        <f t="shared" si="916"/>
        <v>0</v>
      </c>
      <c r="M4102" s="335"/>
      <c r="N4102" s="335"/>
      <c r="O4102" s="335"/>
      <c r="P4102" s="335"/>
      <c r="Q4102" s="130">
        <f t="shared" si="914"/>
        <v>0</v>
      </c>
      <c r="R4102" s="131">
        <f t="shared" si="912"/>
        <v>0</v>
      </c>
      <c r="S4102" s="130"/>
      <c r="T4102" s="130"/>
      <c r="U4102" s="130">
        <f t="shared" si="915"/>
        <v>0</v>
      </c>
      <c r="V4102" s="131">
        <f t="shared" si="913"/>
        <v>0</v>
      </c>
      <c r="W4102" s="130"/>
      <c r="X4102" s="130"/>
      <c r="Y4102" s="130"/>
      <c r="Z4102" s="130"/>
      <c r="AA4102" s="130">
        <f t="shared" si="911"/>
        <v>0</v>
      </c>
      <c r="AB4102" s="131">
        <f t="shared" si="908"/>
        <v>0</v>
      </c>
      <c r="AC4102" s="130"/>
      <c r="AD4102" s="130"/>
      <c r="AE4102" s="130">
        <f t="shared" si="911"/>
        <v>0</v>
      </c>
      <c r="AF4102" s="131">
        <f t="shared" si="917"/>
        <v>0</v>
      </c>
      <c r="AG4102" s="130"/>
      <c r="AH4102" s="130"/>
      <c r="AI4102" s="130"/>
      <c r="AJ4102" s="130"/>
      <c r="AK4102" s="131">
        <f t="shared" si="918"/>
        <v>0</v>
      </c>
      <c r="AL4102" s="446">
        <f t="shared" si="919"/>
        <v>0</v>
      </c>
      <c r="AM4102" s="110">
        <f t="shared" si="920"/>
        <v>0</v>
      </c>
      <c r="AN4102" s="447">
        <f t="shared" si="909"/>
        <v>0</v>
      </c>
      <c r="AO4102"/>
      <c r="AP4102"/>
    </row>
    <row r="4103" spans="1:42" x14ac:dyDescent="0.25">
      <c r="A4103" s="1021">
        <v>436</v>
      </c>
      <c r="B4103" s="676" t="s">
        <v>1008</v>
      </c>
      <c r="C4103" s="1021"/>
      <c r="D4103" s="958"/>
      <c r="E4103" s="343"/>
      <c r="F4103" s="344"/>
      <c r="G4103" s="344"/>
      <c r="H4103" s="344"/>
      <c r="I4103" s="737"/>
      <c r="J4103" s="811"/>
      <c r="K4103" s="131">
        <f t="shared" si="910"/>
        <v>0</v>
      </c>
      <c r="L4103" s="335">
        <f t="shared" si="916"/>
        <v>0</v>
      </c>
      <c r="M4103" s="414"/>
      <c r="N4103" s="414"/>
      <c r="O4103" s="414"/>
      <c r="P4103" s="414"/>
      <c r="Q4103" s="413">
        <f t="shared" si="914"/>
        <v>0</v>
      </c>
      <c r="R4103" s="345">
        <f t="shared" si="912"/>
        <v>0</v>
      </c>
      <c r="S4103" s="413"/>
      <c r="T4103" s="413"/>
      <c r="U4103" s="413">
        <f t="shared" si="915"/>
        <v>0</v>
      </c>
      <c r="V4103" s="345">
        <f t="shared" si="913"/>
        <v>0</v>
      </c>
      <c r="W4103" s="413"/>
      <c r="X4103" s="413"/>
      <c r="Y4103" s="413"/>
      <c r="Z4103" s="413"/>
      <c r="AA4103" s="413">
        <f t="shared" si="911"/>
        <v>0</v>
      </c>
      <c r="AB4103" s="345">
        <f t="shared" si="908"/>
        <v>0</v>
      </c>
      <c r="AC4103" s="413"/>
      <c r="AD4103" s="413"/>
      <c r="AE4103" s="413">
        <f t="shared" si="911"/>
        <v>0</v>
      </c>
      <c r="AF4103" s="345">
        <f t="shared" si="917"/>
        <v>0</v>
      </c>
      <c r="AG4103" s="413"/>
      <c r="AH4103" s="413"/>
      <c r="AI4103" s="413"/>
      <c r="AJ4103" s="413"/>
      <c r="AK4103" s="345">
        <f t="shared" si="918"/>
        <v>0</v>
      </c>
      <c r="AL4103" s="446">
        <f t="shared" si="919"/>
        <v>0</v>
      </c>
      <c r="AM4103" s="110">
        <f t="shared" si="920"/>
        <v>0</v>
      </c>
      <c r="AN4103" s="447">
        <f t="shared" si="909"/>
        <v>0</v>
      </c>
      <c r="AO4103" s="108"/>
      <c r="AP4103"/>
    </row>
    <row r="4104" spans="1:42" x14ac:dyDescent="0.25">
      <c r="A4104" s="643">
        <v>43601</v>
      </c>
      <c r="B4104" s="644" t="s">
        <v>1008</v>
      </c>
      <c r="C4104" s="643"/>
      <c r="D4104" s="954"/>
      <c r="E4104" s="645"/>
      <c r="F4104" s="646"/>
      <c r="G4104" s="646"/>
      <c r="H4104" s="646"/>
      <c r="I4104" s="717"/>
      <c r="J4104" s="753"/>
      <c r="K4104" s="131">
        <f t="shared" si="910"/>
        <v>0</v>
      </c>
      <c r="L4104" s="335">
        <f t="shared" si="916"/>
        <v>0</v>
      </c>
      <c r="M4104" s="648"/>
      <c r="N4104" s="648"/>
      <c r="O4104" s="648"/>
      <c r="P4104" s="648"/>
      <c r="Q4104" s="649">
        <f t="shared" si="914"/>
        <v>0</v>
      </c>
      <c r="R4104" s="647">
        <f t="shared" si="912"/>
        <v>0</v>
      </c>
      <c r="S4104" s="649"/>
      <c r="T4104" s="649"/>
      <c r="U4104" s="649">
        <f t="shared" si="915"/>
        <v>0</v>
      </c>
      <c r="V4104" s="647">
        <f t="shared" si="913"/>
        <v>0</v>
      </c>
      <c r="W4104" s="649"/>
      <c r="X4104" s="649"/>
      <c r="Y4104" s="649"/>
      <c r="Z4104" s="649"/>
      <c r="AA4104" s="649">
        <f t="shared" si="911"/>
        <v>0</v>
      </c>
      <c r="AB4104" s="647">
        <f t="shared" si="908"/>
        <v>0</v>
      </c>
      <c r="AC4104" s="649"/>
      <c r="AD4104" s="649"/>
      <c r="AE4104" s="649">
        <f t="shared" si="911"/>
        <v>0</v>
      </c>
      <c r="AF4104" s="647">
        <f t="shared" si="917"/>
        <v>0</v>
      </c>
      <c r="AG4104" s="649"/>
      <c r="AH4104" s="649"/>
      <c r="AI4104" s="649"/>
      <c r="AJ4104" s="649"/>
      <c r="AK4104" s="647">
        <f t="shared" si="918"/>
        <v>0</v>
      </c>
      <c r="AL4104" s="446">
        <f t="shared" si="919"/>
        <v>0</v>
      </c>
      <c r="AM4104" s="110">
        <f t="shared" si="920"/>
        <v>0</v>
      </c>
      <c r="AN4104" s="447">
        <f t="shared" si="909"/>
        <v>0</v>
      </c>
      <c r="AO4104" s="108"/>
      <c r="AP4104"/>
    </row>
    <row r="4105" spans="1:42" s="108" customFormat="1" x14ac:dyDescent="0.25">
      <c r="A4105" s="58"/>
      <c r="B4105" s="482"/>
      <c r="C4105" s="9"/>
      <c r="D4105" s="869"/>
      <c r="E4105" s="1027"/>
      <c r="F4105" s="272"/>
      <c r="G4105" s="272"/>
      <c r="H4105" s="272"/>
      <c r="I4105" s="722"/>
      <c r="J4105" s="763"/>
      <c r="K4105" s="131">
        <f t="shared" si="910"/>
        <v>0</v>
      </c>
      <c r="L4105" s="335">
        <f t="shared" si="916"/>
        <v>0</v>
      </c>
      <c r="M4105" s="335"/>
      <c r="N4105" s="335"/>
      <c r="O4105" s="335"/>
      <c r="P4105" s="335"/>
      <c r="Q4105" s="130">
        <f t="shared" si="914"/>
        <v>0</v>
      </c>
      <c r="R4105" s="131">
        <f t="shared" si="912"/>
        <v>0</v>
      </c>
      <c r="S4105" s="130"/>
      <c r="T4105" s="130"/>
      <c r="U4105" s="130">
        <f t="shared" si="915"/>
        <v>0</v>
      </c>
      <c r="V4105" s="131">
        <f t="shared" si="913"/>
        <v>0</v>
      </c>
      <c r="W4105" s="130"/>
      <c r="X4105" s="130"/>
      <c r="Y4105" s="130"/>
      <c r="Z4105" s="130"/>
      <c r="AA4105" s="130">
        <f t="shared" si="911"/>
        <v>0</v>
      </c>
      <c r="AB4105" s="131">
        <f t="shared" si="908"/>
        <v>0</v>
      </c>
      <c r="AC4105" s="130"/>
      <c r="AD4105" s="130"/>
      <c r="AE4105" s="130">
        <f t="shared" si="911"/>
        <v>0</v>
      </c>
      <c r="AF4105" s="131">
        <f t="shared" si="917"/>
        <v>0</v>
      </c>
      <c r="AG4105" s="130"/>
      <c r="AH4105" s="130"/>
      <c r="AI4105" s="130"/>
      <c r="AJ4105" s="130"/>
      <c r="AK4105" s="131">
        <f t="shared" si="918"/>
        <v>0</v>
      </c>
      <c r="AL4105" s="446">
        <f t="shared" si="919"/>
        <v>0</v>
      </c>
      <c r="AM4105" s="110">
        <f t="shared" si="920"/>
        <v>0</v>
      </c>
      <c r="AN4105" s="447">
        <f t="shared" si="909"/>
        <v>0</v>
      </c>
      <c r="AO4105"/>
      <c r="AP4105"/>
    </row>
    <row r="4106" spans="1:42" x14ac:dyDescent="0.25">
      <c r="A4106" s="1021">
        <v>438</v>
      </c>
      <c r="B4106" s="676" t="s">
        <v>1009</v>
      </c>
      <c r="C4106" s="1021"/>
      <c r="D4106" s="958"/>
      <c r="E4106" s="343"/>
      <c r="F4106" s="344"/>
      <c r="G4106" s="344"/>
      <c r="H4106" s="344"/>
      <c r="I4106" s="737"/>
      <c r="J4106" s="811"/>
      <c r="K4106" s="131">
        <f t="shared" si="910"/>
        <v>0</v>
      </c>
      <c r="L4106" s="335">
        <f t="shared" si="916"/>
        <v>0</v>
      </c>
      <c r="M4106" s="414"/>
      <c r="N4106" s="414"/>
      <c r="O4106" s="414"/>
      <c r="P4106" s="414"/>
      <c r="Q4106" s="413">
        <f t="shared" si="914"/>
        <v>0</v>
      </c>
      <c r="R4106" s="345">
        <f t="shared" si="912"/>
        <v>0</v>
      </c>
      <c r="S4106" s="413"/>
      <c r="T4106" s="413"/>
      <c r="U4106" s="413">
        <f t="shared" si="915"/>
        <v>0</v>
      </c>
      <c r="V4106" s="345">
        <f t="shared" si="913"/>
        <v>0</v>
      </c>
      <c r="W4106" s="413"/>
      <c r="X4106" s="413"/>
      <c r="Y4106" s="413"/>
      <c r="Z4106" s="413"/>
      <c r="AA4106" s="413">
        <f t="shared" si="911"/>
        <v>0</v>
      </c>
      <c r="AB4106" s="345">
        <f t="shared" si="908"/>
        <v>0</v>
      </c>
      <c r="AC4106" s="413"/>
      <c r="AD4106" s="413"/>
      <c r="AE4106" s="413">
        <f t="shared" si="911"/>
        <v>0</v>
      </c>
      <c r="AF4106" s="345">
        <f t="shared" si="917"/>
        <v>0</v>
      </c>
      <c r="AG4106" s="413"/>
      <c r="AH4106" s="413"/>
      <c r="AI4106" s="413"/>
      <c r="AJ4106" s="413"/>
      <c r="AK4106" s="345">
        <f t="shared" si="918"/>
        <v>0</v>
      </c>
      <c r="AL4106" s="446">
        <f t="shared" si="919"/>
        <v>0</v>
      </c>
      <c r="AM4106" s="110">
        <f t="shared" si="920"/>
        <v>0</v>
      </c>
      <c r="AN4106" s="447">
        <f t="shared" si="909"/>
        <v>0</v>
      </c>
      <c r="AO4106" s="108"/>
      <c r="AP4106"/>
    </row>
    <row r="4107" spans="1:42" x14ac:dyDescent="0.25">
      <c r="A4107" s="643">
        <v>43801</v>
      </c>
      <c r="B4107" s="644" t="s">
        <v>1010</v>
      </c>
      <c r="C4107" s="643"/>
      <c r="D4107" s="954"/>
      <c r="E4107" s="645"/>
      <c r="F4107" s="646"/>
      <c r="G4107" s="646"/>
      <c r="H4107" s="646"/>
      <c r="I4107" s="717"/>
      <c r="J4107" s="753"/>
      <c r="K4107" s="131">
        <f t="shared" si="910"/>
        <v>0</v>
      </c>
      <c r="L4107" s="335">
        <f t="shared" si="916"/>
        <v>0</v>
      </c>
      <c r="M4107" s="648"/>
      <c r="N4107" s="648"/>
      <c r="O4107" s="648"/>
      <c r="P4107" s="648"/>
      <c r="Q4107" s="649">
        <f t="shared" si="914"/>
        <v>0</v>
      </c>
      <c r="R4107" s="647">
        <f t="shared" si="912"/>
        <v>0</v>
      </c>
      <c r="S4107" s="649"/>
      <c r="T4107" s="649"/>
      <c r="U4107" s="649">
        <f t="shared" si="915"/>
        <v>0</v>
      </c>
      <c r="V4107" s="647">
        <f t="shared" si="913"/>
        <v>0</v>
      </c>
      <c r="W4107" s="649"/>
      <c r="X4107" s="649"/>
      <c r="Y4107" s="649"/>
      <c r="Z4107" s="649"/>
      <c r="AA4107" s="649">
        <f t="shared" si="911"/>
        <v>0</v>
      </c>
      <c r="AB4107" s="647">
        <f t="shared" si="908"/>
        <v>0</v>
      </c>
      <c r="AC4107" s="649"/>
      <c r="AD4107" s="649"/>
      <c r="AE4107" s="649">
        <f t="shared" si="911"/>
        <v>0</v>
      </c>
      <c r="AF4107" s="647">
        <f t="shared" si="917"/>
        <v>0</v>
      </c>
      <c r="AG4107" s="649"/>
      <c r="AH4107" s="649"/>
      <c r="AI4107" s="649"/>
      <c r="AJ4107" s="649"/>
      <c r="AK4107" s="647">
        <f t="shared" si="918"/>
        <v>0</v>
      </c>
      <c r="AL4107" s="446">
        <f t="shared" si="919"/>
        <v>0</v>
      </c>
      <c r="AM4107" s="110">
        <f t="shared" si="920"/>
        <v>0</v>
      </c>
      <c r="AN4107" s="447">
        <f t="shared" si="909"/>
        <v>0</v>
      </c>
      <c r="AO4107" s="108"/>
      <c r="AP4107"/>
    </row>
    <row r="4108" spans="1:42" s="108" customFormat="1" x14ac:dyDescent="0.25">
      <c r="A4108" s="58"/>
      <c r="B4108" s="482"/>
      <c r="C4108" s="9"/>
      <c r="D4108" s="869"/>
      <c r="E4108" s="1027"/>
      <c r="F4108" s="272"/>
      <c r="G4108" s="272"/>
      <c r="H4108" s="272"/>
      <c r="I4108" s="722"/>
      <c r="J4108" s="763"/>
      <c r="K4108" s="131">
        <f t="shared" si="910"/>
        <v>0</v>
      </c>
      <c r="L4108" s="335">
        <f t="shared" si="916"/>
        <v>0</v>
      </c>
      <c r="M4108" s="335"/>
      <c r="N4108" s="335"/>
      <c r="O4108" s="335"/>
      <c r="P4108" s="335"/>
      <c r="Q4108" s="130">
        <f t="shared" si="914"/>
        <v>0</v>
      </c>
      <c r="R4108" s="131">
        <f t="shared" si="912"/>
        <v>0</v>
      </c>
      <c r="S4108" s="130"/>
      <c r="T4108" s="130"/>
      <c r="U4108" s="130">
        <f t="shared" si="915"/>
        <v>0</v>
      </c>
      <c r="V4108" s="131">
        <f t="shared" si="913"/>
        <v>0</v>
      </c>
      <c r="W4108" s="130"/>
      <c r="X4108" s="130"/>
      <c r="Y4108" s="130"/>
      <c r="Z4108" s="130"/>
      <c r="AA4108" s="130">
        <f t="shared" si="911"/>
        <v>0</v>
      </c>
      <c r="AB4108" s="131">
        <f t="shared" si="908"/>
        <v>0</v>
      </c>
      <c r="AC4108" s="130"/>
      <c r="AD4108" s="130"/>
      <c r="AE4108" s="130">
        <f t="shared" si="911"/>
        <v>0</v>
      </c>
      <c r="AF4108" s="131">
        <f t="shared" si="917"/>
        <v>0</v>
      </c>
      <c r="AG4108" s="130"/>
      <c r="AH4108" s="130"/>
      <c r="AI4108" s="130"/>
      <c r="AJ4108" s="130"/>
      <c r="AK4108" s="131">
        <f t="shared" si="918"/>
        <v>0</v>
      </c>
      <c r="AL4108" s="446">
        <f t="shared" si="919"/>
        <v>0</v>
      </c>
      <c r="AM4108" s="110">
        <f t="shared" si="920"/>
        <v>0</v>
      </c>
      <c r="AN4108" s="447">
        <f t="shared" si="909"/>
        <v>0</v>
      </c>
      <c r="AO4108"/>
      <c r="AP4108"/>
    </row>
    <row r="4109" spans="1:42" x14ac:dyDescent="0.25">
      <c r="A4109" s="643">
        <v>43802</v>
      </c>
      <c r="B4109" s="644" t="s">
        <v>1011</v>
      </c>
      <c r="C4109" s="643"/>
      <c r="D4109" s="954"/>
      <c r="E4109" s="645"/>
      <c r="F4109" s="646"/>
      <c r="G4109" s="646"/>
      <c r="H4109" s="646"/>
      <c r="I4109" s="717"/>
      <c r="J4109" s="753"/>
      <c r="K4109" s="131">
        <f t="shared" si="910"/>
        <v>0</v>
      </c>
      <c r="L4109" s="335">
        <f t="shared" si="916"/>
        <v>0</v>
      </c>
      <c r="M4109" s="648"/>
      <c r="N4109" s="648"/>
      <c r="O4109" s="648"/>
      <c r="P4109" s="648"/>
      <c r="Q4109" s="649">
        <f t="shared" si="914"/>
        <v>0</v>
      </c>
      <c r="R4109" s="647">
        <f t="shared" si="912"/>
        <v>0</v>
      </c>
      <c r="S4109" s="649"/>
      <c r="T4109" s="649"/>
      <c r="U4109" s="649">
        <f t="shared" si="915"/>
        <v>0</v>
      </c>
      <c r="V4109" s="647">
        <f t="shared" si="913"/>
        <v>0</v>
      </c>
      <c r="W4109" s="649"/>
      <c r="X4109" s="649"/>
      <c r="Y4109" s="649"/>
      <c r="Z4109" s="649"/>
      <c r="AA4109" s="649">
        <f t="shared" si="911"/>
        <v>0</v>
      </c>
      <c r="AB4109" s="647">
        <f t="shared" si="908"/>
        <v>0</v>
      </c>
      <c r="AC4109" s="649"/>
      <c r="AD4109" s="649"/>
      <c r="AE4109" s="649">
        <f t="shared" si="911"/>
        <v>0</v>
      </c>
      <c r="AF4109" s="647">
        <f t="shared" si="917"/>
        <v>0</v>
      </c>
      <c r="AG4109" s="649"/>
      <c r="AH4109" s="649"/>
      <c r="AI4109" s="649"/>
      <c r="AJ4109" s="649"/>
      <c r="AK4109" s="647">
        <f t="shared" si="918"/>
        <v>0</v>
      </c>
      <c r="AL4109" s="446">
        <f t="shared" si="919"/>
        <v>0</v>
      </c>
      <c r="AM4109" s="110">
        <f t="shared" si="920"/>
        <v>0</v>
      </c>
      <c r="AN4109" s="447">
        <f t="shared" si="909"/>
        <v>0</v>
      </c>
      <c r="AO4109" s="108"/>
      <c r="AP4109"/>
    </row>
    <row r="4110" spans="1:42" s="108" customFormat="1" x14ac:dyDescent="0.25">
      <c r="A4110" s="58"/>
      <c r="B4110" s="482"/>
      <c r="C4110" s="9"/>
      <c r="D4110" s="869"/>
      <c r="E4110" s="1027"/>
      <c r="F4110" s="272"/>
      <c r="G4110" s="272"/>
      <c r="H4110" s="272"/>
      <c r="I4110" s="722"/>
      <c r="J4110" s="763"/>
      <c r="K4110" s="131">
        <f t="shared" si="910"/>
        <v>0</v>
      </c>
      <c r="L4110" s="335">
        <f t="shared" si="916"/>
        <v>0</v>
      </c>
      <c r="M4110" s="335"/>
      <c r="N4110" s="335"/>
      <c r="O4110" s="335"/>
      <c r="P4110" s="335"/>
      <c r="Q4110" s="130">
        <f t="shared" si="914"/>
        <v>0</v>
      </c>
      <c r="R4110" s="131">
        <f t="shared" si="912"/>
        <v>0</v>
      </c>
      <c r="S4110" s="130"/>
      <c r="T4110" s="130"/>
      <c r="U4110" s="130">
        <f t="shared" si="915"/>
        <v>0</v>
      </c>
      <c r="V4110" s="131">
        <f t="shared" si="913"/>
        <v>0</v>
      </c>
      <c r="W4110" s="130"/>
      <c r="X4110" s="130"/>
      <c r="Y4110" s="130"/>
      <c r="Z4110" s="130"/>
      <c r="AA4110" s="130">
        <f t="shared" si="911"/>
        <v>0</v>
      </c>
      <c r="AB4110" s="131">
        <f t="shared" si="908"/>
        <v>0</v>
      </c>
      <c r="AC4110" s="130"/>
      <c r="AD4110" s="130"/>
      <c r="AE4110" s="130">
        <f t="shared" si="911"/>
        <v>0</v>
      </c>
      <c r="AF4110" s="131">
        <f t="shared" si="917"/>
        <v>0</v>
      </c>
      <c r="AG4110" s="130"/>
      <c r="AH4110" s="130"/>
      <c r="AI4110" s="130"/>
      <c r="AJ4110" s="130"/>
      <c r="AK4110" s="131">
        <f t="shared" si="918"/>
        <v>0</v>
      </c>
      <c r="AL4110" s="446">
        <f t="shared" si="919"/>
        <v>0</v>
      </c>
      <c r="AM4110" s="110">
        <f t="shared" si="920"/>
        <v>0</v>
      </c>
      <c r="AN4110" s="447">
        <f t="shared" si="909"/>
        <v>0</v>
      </c>
      <c r="AO4110"/>
      <c r="AP4110"/>
    </row>
    <row r="4111" spans="1:42" x14ac:dyDescent="0.25">
      <c r="A4111" s="1021">
        <v>439</v>
      </c>
      <c r="B4111" s="676" t="s">
        <v>1012</v>
      </c>
      <c r="C4111" s="1021"/>
      <c r="D4111" s="958"/>
      <c r="E4111" s="343"/>
      <c r="F4111" s="344"/>
      <c r="G4111" s="344"/>
      <c r="H4111" s="344"/>
      <c r="I4111" s="737"/>
      <c r="J4111" s="811"/>
      <c r="K4111" s="131">
        <f t="shared" si="910"/>
        <v>0</v>
      </c>
      <c r="L4111" s="335">
        <f t="shared" si="916"/>
        <v>0</v>
      </c>
      <c r="M4111" s="414"/>
      <c r="N4111" s="414"/>
      <c r="O4111" s="414"/>
      <c r="P4111" s="414"/>
      <c r="Q4111" s="413">
        <f t="shared" si="914"/>
        <v>0</v>
      </c>
      <c r="R4111" s="345">
        <f t="shared" si="912"/>
        <v>0</v>
      </c>
      <c r="S4111" s="413"/>
      <c r="T4111" s="413"/>
      <c r="U4111" s="413">
        <f t="shared" si="915"/>
        <v>0</v>
      </c>
      <c r="V4111" s="345">
        <f t="shared" si="913"/>
        <v>0</v>
      </c>
      <c r="W4111" s="413"/>
      <c r="X4111" s="413"/>
      <c r="Y4111" s="413"/>
      <c r="Z4111" s="413"/>
      <c r="AA4111" s="413">
        <f t="shared" si="911"/>
        <v>0</v>
      </c>
      <c r="AB4111" s="345">
        <f t="shared" si="908"/>
        <v>0</v>
      </c>
      <c r="AC4111" s="413"/>
      <c r="AD4111" s="413"/>
      <c r="AE4111" s="413">
        <f t="shared" si="911"/>
        <v>0</v>
      </c>
      <c r="AF4111" s="345">
        <f t="shared" si="917"/>
        <v>0</v>
      </c>
      <c r="AG4111" s="413"/>
      <c r="AH4111" s="413"/>
      <c r="AI4111" s="413"/>
      <c r="AJ4111" s="413"/>
      <c r="AK4111" s="345">
        <f t="shared" si="918"/>
        <v>0</v>
      </c>
      <c r="AL4111" s="446">
        <f t="shared" si="919"/>
        <v>0</v>
      </c>
      <c r="AM4111" s="110">
        <f t="shared" si="920"/>
        <v>0</v>
      </c>
      <c r="AN4111" s="447">
        <f t="shared" si="909"/>
        <v>0</v>
      </c>
      <c r="AO4111" s="108"/>
      <c r="AP4111"/>
    </row>
    <row r="4112" spans="1:42" x14ac:dyDescent="0.25">
      <c r="A4112" s="643">
        <v>43901</v>
      </c>
      <c r="B4112" s="644" t="s">
        <v>1012</v>
      </c>
      <c r="C4112" s="643"/>
      <c r="D4112" s="954"/>
      <c r="E4112" s="645"/>
      <c r="F4112" s="646"/>
      <c r="G4112" s="646"/>
      <c r="H4112" s="646"/>
      <c r="I4112" s="717"/>
      <c r="J4112" s="753"/>
      <c r="K4112" s="131">
        <f t="shared" si="910"/>
        <v>0</v>
      </c>
      <c r="L4112" s="335">
        <f t="shared" si="916"/>
        <v>0</v>
      </c>
      <c r="M4112" s="648"/>
      <c r="N4112" s="648"/>
      <c r="O4112" s="648"/>
      <c r="P4112" s="648"/>
      <c r="Q4112" s="649">
        <f t="shared" si="914"/>
        <v>0</v>
      </c>
      <c r="R4112" s="647">
        <f t="shared" si="912"/>
        <v>0</v>
      </c>
      <c r="S4112" s="649"/>
      <c r="T4112" s="649"/>
      <c r="U4112" s="649">
        <f t="shared" si="915"/>
        <v>0</v>
      </c>
      <c r="V4112" s="647">
        <f t="shared" si="913"/>
        <v>0</v>
      </c>
      <c r="W4112" s="649"/>
      <c r="X4112" s="649"/>
      <c r="Y4112" s="649"/>
      <c r="Z4112" s="649"/>
      <c r="AA4112" s="649">
        <f t="shared" si="911"/>
        <v>0</v>
      </c>
      <c r="AB4112" s="647">
        <f t="shared" ref="AB4112:AB4175" si="921">+J4112/4</f>
        <v>0</v>
      </c>
      <c r="AC4112" s="649"/>
      <c r="AD4112" s="649"/>
      <c r="AE4112" s="649">
        <f t="shared" si="911"/>
        <v>0</v>
      </c>
      <c r="AF4112" s="647">
        <f t="shared" si="917"/>
        <v>0</v>
      </c>
      <c r="AG4112" s="649"/>
      <c r="AH4112" s="649"/>
      <c r="AI4112" s="649"/>
      <c r="AJ4112" s="649"/>
      <c r="AK4112" s="647">
        <f t="shared" si="918"/>
        <v>0</v>
      </c>
      <c r="AL4112" s="446">
        <f t="shared" si="919"/>
        <v>0</v>
      </c>
      <c r="AM4112" s="110">
        <f t="shared" si="920"/>
        <v>0</v>
      </c>
      <c r="AN4112" s="447">
        <f t="shared" si="909"/>
        <v>0</v>
      </c>
      <c r="AO4112" s="108"/>
      <c r="AP4112"/>
    </row>
    <row r="4113" spans="1:42" s="108" customFormat="1" x14ac:dyDescent="0.25">
      <c r="A4113" s="93"/>
      <c r="B4113" s="57"/>
      <c r="C4113" s="9"/>
      <c r="D4113" s="869"/>
      <c r="E4113" s="1027"/>
      <c r="F4113" s="272"/>
      <c r="G4113" s="272"/>
      <c r="H4113" s="272"/>
      <c r="I4113" s="722"/>
      <c r="J4113" s="763"/>
      <c r="K4113" s="131">
        <f t="shared" si="910"/>
        <v>0</v>
      </c>
      <c r="L4113" s="335">
        <f t="shared" si="916"/>
        <v>0</v>
      </c>
      <c r="M4113" s="335"/>
      <c r="N4113" s="335"/>
      <c r="O4113" s="335"/>
      <c r="P4113" s="335"/>
      <c r="Q4113" s="130">
        <f t="shared" si="914"/>
        <v>0</v>
      </c>
      <c r="R4113" s="131">
        <f t="shared" si="912"/>
        <v>0</v>
      </c>
      <c r="S4113" s="130"/>
      <c r="T4113" s="130"/>
      <c r="U4113" s="130">
        <f t="shared" si="915"/>
        <v>0</v>
      </c>
      <c r="V4113" s="131">
        <f t="shared" si="913"/>
        <v>0</v>
      </c>
      <c r="W4113" s="130"/>
      <c r="X4113" s="130"/>
      <c r="Y4113" s="130"/>
      <c r="Z4113" s="130"/>
      <c r="AA4113" s="130">
        <f t="shared" si="911"/>
        <v>0</v>
      </c>
      <c r="AB4113" s="131">
        <f t="shared" si="921"/>
        <v>0</v>
      </c>
      <c r="AC4113" s="130"/>
      <c r="AD4113" s="130"/>
      <c r="AE4113" s="130">
        <f t="shared" si="911"/>
        <v>0</v>
      </c>
      <c r="AF4113" s="131">
        <f t="shared" si="917"/>
        <v>0</v>
      </c>
      <c r="AG4113" s="130"/>
      <c r="AH4113" s="130"/>
      <c r="AI4113" s="130"/>
      <c r="AJ4113" s="130"/>
      <c r="AK4113" s="131">
        <f t="shared" si="918"/>
        <v>0</v>
      </c>
      <c r="AL4113" s="446">
        <f t="shared" si="919"/>
        <v>0</v>
      </c>
      <c r="AM4113" s="110">
        <f t="shared" si="920"/>
        <v>0</v>
      </c>
      <c r="AN4113" s="447">
        <f t="shared" si="909"/>
        <v>0</v>
      </c>
      <c r="AO4113"/>
      <c r="AP4113"/>
    </row>
    <row r="4114" spans="1:42" x14ac:dyDescent="0.25">
      <c r="A4114" s="299">
        <v>4400</v>
      </c>
      <c r="B4114" s="469" t="s">
        <v>1013</v>
      </c>
      <c r="C4114" s="299"/>
      <c r="D4114" s="909"/>
      <c r="E4114" s="301"/>
      <c r="F4114" s="302"/>
      <c r="G4114" s="302"/>
      <c r="H4114" s="302"/>
      <c r="I4114" s="715"/>
      <c r="J4114" s="751"/>
      <c r="K4114" s="131">
        <f t="shared" si="910"/>
        <v>0</v>
      </c>
      <c r="L4114" s="335">
        <f t="shared" si="916"/>
        <v>0</v>
      </c>
      <c r="M4114" s="453"/>
      <c r="N4114" s="453"/>
      <c r="O4114" s="453"/>
      <c r="P4114" s="453"/>
      <c r="Q4114" s="385">
        <f t="shared" si="914"/>
        <v>0</v>
      </c>
      <c r="R4114" s="303">
        <f t="shared" si="912"/>
        <v>0</v>
      </c>
      <c r="S4114" s="385"/>
      <c r="T4114" s="385"/>
      <c r="U4114" s="385">
        <f t="shared" si="915"/>
        <v>0</v>
      </c>
      <c r="V4114" s="303">
        <f t="shared" si="913"/>
        <v>0</v>
      </c>
      <c r="W4114" s="385"/>
      <c r="X4114" s="385"/>
      <c r="Y4114" s="385"/>
      <c r="Z4114" s="385"/>
      <c r="AA4114" s="385">
        <f t="shared" si="911"/>
        <v>0</v>
      </c>
      <c r="AB4114" s="303">
        <f t="shared" si="921"/>
        <v>0</v>
      </c>
      <c r="AC4114" s="385"/>
      <c r="AD4114" s="385"/>
      <c r="AE4114" s="385">
        <f t="shared" si="911"/>
        <v>0</v>
      </c>
      <c r="AF4114" s="303">
        <f t="shared" si="917"/>
        <v>0</v>
      </c>
      <c r="AG4114" s="385"/>
      <c r="AH4114" s="385"/>
      <c r="AI4114" s="385"/>
      <c r="AJ4114" s="385"/>
      <c r="AK4114" s="303">
        <f t="shared" si="918"/>
        <v>0</v>
      </c>
      <c r="AL4114" s="453">
        <f t="shared" si="919"/>
        <v>0</v>
      </c>
      <c r="AM4114" s="385">
        <f t="shared" si="920"/>
        <v>0</v>
      </c>
      <c r="AN4114" s="454">
        <f t="shared" si="909"/>
        <v>0</v>
      </c>
      <c r="AO4114" s="304"/>
      <c r="AP4114"/>
    </row>
    <row r="4115" spans="1:42" x14ac:dyDescent="0.25">
      <c r="A4115" s="1021">
        <v>441</v>
      </c>
      <c r="B4115" s="676" t="s">
        <v>1014</v>
      </c>
      <c r="C4115" s="1021"/>
      <c r="D4115" s="958"/>
      <c r="E4115" s="343"/>
      <c r="F4115" s="344"/>
      <c r="G4115" s="344"/>
      <c r="H4115" s="344"/>
      <c r="I4115" s="737"/>
      <c r="J4115" s="811"/>
      <c r="K4115" s="131">
        <f t="shared" si="910"/>
        <v>0</v>
      </c>
      <c r="L4115" s="335">
        <f t="shared" si="916"/>
        <v>0</v>
      </c>
      <c r="M4115" s="414"/>
      <c r="N4115" s="414"/>
      <c r="O4115" s="414"/>
      <c r="P4115" s="414"/>
      <c r="Q4115" s="413">
        <f t="shared" si="914"/>
        <v>0</v>
      </c>
      <c r="R4115" s="345">
        <f t="shared" si="912"/>
        <v>0</v>
      </c>
      <c r="S4115" s="413"/>
      <c r="T4115" s="413"/>
      <c r="U4115" s="413">
        <f t="shared" si="915"/>
        <v>0</v>
      </c>
      <c r="V4115" s="345">
        <f t="shared" si="913"/>
        <v>0</v>
      </c>
      <c r="W4115" s="413"/>
      <c r="X4115" s="413"/>
      <c r="Y4115" s="413"/>
      <c r="Z4115" s="413"/>
      <c r="AA4115" s="413">
        <f t="shared" si="911"/>
        <v>0</v>
      </c>
      <c r="AB4115" s="345">
        <f t="shared" si="921"/>
        <v>0</v>
      </c>
      <c r="AC4115" s="413"/>
      <c r="AD4115" s="413"/>
      <c r="AE4115" s="413">
        <f t="shared" si="911"/>
        <v>0</v>
      </c>
      <c r="AF4115" s="345">
        <f t="shared" si="917"/>
        <v>0</v>
      </c>
      <c r="AG4115" s="413"/>
      <c r="AH4115" s="413"/>
      <c r="AI4115" s="413"/>
      <c r="AJ4115" s="413"/>
      <c r="AK4115" s="345">
        <f t="shared" si="918"/>
        <v>0</v>
      </c>
      <c r="AL4115" s="446">
        <f t="shared" si="919"/>
        <v>0</v>
      </c>
      <c r="AM4115" s="110">
        <f t="shared" si="920"/>
        <v>0</v>
      </c>
      <c r="AN4115" s="447">
        <f t="shared" si="909"/>
        <v>0</v>
      </c>
      <c r="AO4115" s="108"/>
      <c r="AP4115"/>
    </row>
    <row r="4116" spans="1:42" x14ac:dyDescent="0.25">
      <c r="A4116" s="643">
        <v>44101</v>
      </c>
      <c r="B4116" s="644" t="s">
        <v>1015</v>
      </c>
      <c r="C4116" s="643"/>
      <c r="D4116" s="954"/>
      <c r="E4116" s="645"/>
      <c r="F4116" s="646"/>
      <c r="G4116" s="646"/>
      <c r="H4116" s="646"/>
      <c r="I4116" s="717"/>
      <c r="J4116" s="753"/>
      <c r="K4116" s="131">
        <f t="shared" si="910"/>
        <v>0</v>
      </c>
      <c r="L4116" s="335">
        <f t="shared" si="916"/>
        <v>0</v>
      </c>
      <c r="M4116" s="648"/>
      <c r="N4116" s="648"/>
      <c r="O4116" s="648"/>
      <c r="P4116" s="648"/>
      <c r="Q4116" s="649">
        <f t="shared" si="914"/>
        <v>0</v>
      </c>
      <c r="R4116" s="647">
        <f t="shared" si="912"/>
        <v>0</v>
      </c>
      <c r="S4116" s="649"/>
      <c r="T4116" s="649"/>
      <c r="U4116" s="649">
        <f t="shared" si="915"/>
        <v>0</v>
      </c>
      <c r="V4116" s="647">
        <f t="shared" si="913"/>
        <v>0</v>
      </c>
      <c r="W4116" s="649"/>
      <c r="X4116" s="649"/>
      <c r="Y4116" s="649"/>
      <c r="Z4116" s="649"/>
      <c r="AA4116" s="649">
        <f t="shared" si="911"/>
        <v>0</v>
      </c>
      <c r="AB4116" s="647">
        <f t="shared" si="921"/>
        <v>0</v>
      </c>
      <c r="AC4116" s="649"/>
      <c r="AD4116" s="649"/>
      <c r="AE4116" s="649">
        <f t="shared" si="911"/>
        <v>0</v>
      </c>
      <c r="AF4116" s="647">
        <f t="shared" si="917"/>
        <v>0</v>
      </c>
      <c r="AG4116" s="649"/>
      <c r="AH4116" s="649"/>
      <c r="AI4116" s="649"/>
      <c r="AJ4116" s="649"/>
      <c r="AK4116" s="647">
        <f t="shared" si="918"/>
        <v>0</v>
      </c>
      <c r="AL4116" s="446">
        <f t="shared" si="919"/>
        <v>0</v>
      </c>
      <c r="AM4116" s="110">
        <f t="shared" si="920"/>
        <v>0</v>
      </c>
      <c r="AN4116" s="447">
        <f t="shared" si="909"/>
        <v>0</v>
      </c>
      <c r="AO4116" s="108"/>
      <c r="AP4116"/>
    </row>
    <row r="4117" spans="1:42" s="108" customFormat="1" x14ac:dyDescent="0.25">
      <c r="A4117" s="61"/>
      <c r="B4117" s="71"/>
      <c r="C4117" s="9"/>
      <c r="D4117" s="939"/>
      <c r="E4117" s="79"/>
      <c r="F4117" s="286"/>
      <c r="G4117" s="286"/>
      <c r="H4117" s="286"/>
      <c r="I4117" s="722"/>
      <c r="J4117" s="841"/>
      <c r="K4117" s="131">
        <f t="shared" si="910"/>
        <v>0</v>
      </c>
      <c r="L4117" s="335">
        <f t="shared" si="916"/>
        <v>0</v>
      </c>
      <c r="M4117" s="335"/>
      <c r="N4117" s="335"/>
      <c r="O4117" s="335"/>
      <c r="P4117" s="335"/>
      <c r="Q4117" s="130">
        <f t="shared" si="914"/>
        <v>0</v>
      </c>
      <c r="R4117" s="131">
        <f t="shared" si="912"/>
        <v>0</v>
      </c>
      <c r="S4117" s="130"/>
      <c r="T4117" s="130"/>
      <c r="U4117" s="130">
        <f t="shared" si="915"/>
        <v>0</v>
      </c>
      <c r="V4117" s="131">
        <f t="shared" si="913"/>
        <v>0</v>
      </c>
      <c r="W4117" s="130"/>
      <c r="X4117" s="130"/>
      <c r="Y4117" s="130"/>
      <c r="Z4117" s="130"/>
      <c r="AA4117" s="130">
        <f t="shared" si="911"/>
        <v>0</v>
      </c>
      <c r="AB4117" s="131">
        <f t="shared" si="921"/>
        <v>0</v>
      </c>
      <c r="AC4117" s="130"/>
      <c r="AD4117" s="130"/>
      <c r="AE4117" s="130">
        <f t="shared" si="911"/>
        <v>0</v>
      </c>
      <c r="AF4117" s="131">
        <f t="shared" si="917"/>
        <v>0</v>
      </c>
      <c r="AG4117" s="130"/>
      <c r="AH4117" s="130"/>
      <c r="AI4117" s="130"/>
      <c r="AJ4117" s="130"/>
      <c r="AK4117" s="131">
        <f t="shared" si="918"/>
        <v>0</v>
      </c>
      <c r="AL4117" s="446">
        <f t="shared" si="919"/>
        <v>0</v>
      </c>
      <c r="AM4117" s="110">
        <f t="shared" si="920"/>
        <v>0</v>
      </c>
      <c r="AN4117" s="447">
        <f t="shared" si="909"/>
        <v>0</v>
      </c>
      <c r="AO4117"/>
      <c r="AP4117"/>
    </row>
    <row r="4118" spans="1:42" x14ac:dyDescent="0.25">
      <c r="A4118" s="315">
        <v>44102</v>
      </c>
      <c r="B4118" s="351" t="s">
        <v>1016</v>
      </c>
      <c r="C4118" s="315"/>
      <c r="D4118" s="886"/>
      <c r="E4118" s="318"/>
      <c r="F4118" s="319"/>
      <c r="G4118" s="319"/>
      <c r="H4118" s="319"/>
      <c r="I4118" s="717"/>
      <c r="J4118" s="753"/>
      <c r="K4118" s="131">
        <f t="shared" si="910"/>
        <v>0</v>
      </c>
      <c r="L4118" s="335">
        <f t="shared" si="916"/>
        <v>0</v>
      </c>
      <c r="M4118" s="648"/>
      <c r="N4118" s="648"/>
      <c r="O4118" s="648"/>
      <c r="P4118" s="648"/>
      <c r="Q4118" s="649">
        <f t="shared" si="914"/>
        <v>0</v>
      </c>
      <c r="R4118" s="647">
        <f t="shared" si="912"/>
        <v>0</v>
      </c>
      <c r="S4118" s="649"/>
      <c r="T4118" s="649"/>
      <c r="U4118" s="649">
        <f t="shared" si="915"/>
        <v>0</v>
      </c>
      <c r="V4118" s="647">
        <f t="shared" si="913"/>
        <v>0</v>
      </c>
      <c r="W4118" s="649"/>
      <c r="X4118" s="649"/>
      <c r="Y4118" s="649"/>
      <c r="Z4118" s="649"/>
      <c r="AA4118" s="649">
        <f t="shared" si="911"/>
        <v>0</v>
      </c>
      <c r="AB4118" s="647">
        <f t="shared" si="921"/>
        <v>0</v>
      </c>
      <c r="AC4118" s="649"/>
      <c r="AD4118" s="649"/>
      <c r="AE4118" s="649">
        <f t="shared" si="911"/>
        <v>0</v>
      </c>
      <c r="AF4118" s="647">
        <f t="shared" si="917"/>
        <v>0</v>
      </c>
      <c r="AG4118" s="649"/>
      <c r="AH4118" s="649"/>
      <c r="AI4118" s="649"/>
      <c r="AJ4118" s="649"/>
      <c r="AK4118" s="647">
        <f t="shared" si="918"/>
        <v>0</v>
      </c>
      <c r="AL4118" s="446">
        <f t="shared" si="919"/>
        <v>0</v>
      </c>
      <c r="AM4118" s="110">
        <f t="shared" si="920"/>
        <v>0</v>
      </c>
      <c r="AN4118" s="447">
        <f t="shared" si="909"/>
        <v>0</v>
      </c>
      <c r="AO4118" s="436">
        <f>SUM(J4119:J4178)</f>
        <v>2661674.2720000003</v>
      </c>
      <c r="AP4118" s="111"/>
    </row>
    <row r="4119" spans="1:42" s="108" customFormat="1" ht="66" x14ac:dyDescent="0.25">
      <c r="A4119" s="61"/>
      <c r="B4119" s="59" t="s">
        <v>1016</v>
      </c>
      <c r="C4119" s="54"/>
      <c r="D4119" s="869">
        <f>72+610+27</f>
        <v>709</v>
      </c>
      <c r="E4119" s="1027"/>
      <c r="F4119" s="273" t="s">
        <v>3446</v>
      </c>
      <c r="G4119" s="1040" t="s">
        <v>3463</v>
      </c>
      <c r="H4119" s="273" t="s">
        <v>3462</v>
      </c>
      <c r="I4119" s="722">
        <f>+J4119/D4119</f>
        <v>2606.0051904090269</v>
      </c>
      <c r="J4119" s="756">
        <f>291157.68+1543000+13500</f>
        <v>1847657.68</v>
      </c>
      <c r="K4119" s="131">
        <f t="shared" si="910"/>
        <v>1847657.6800000002</v>
      </c>
      <c r="L4119" s="335">
        <f t="shared" si="916"/>
        <v>0</v>
      </c>
      <c r="M4119" s="335"/>
      <c r="N4119" s="335"/>
      <c r="O4119" s="335"/>
      <c r="P4119" s="335"/>
      <c r="Q4119" s="130">
        <f t="shared" si="914"/>
        <v>177.25</v>
      </c>
      <c r="R4119" s="131">
        <f t="shared" si="912"/>
        <v>461914.42</v>
      </c>
      <c r="S4119" s="130"/>
      <c r="T4119" s="130"/>
      <c r="U4119" s="130">
        <f t="shared" si="915"/>
        <v>177.25</v>
      </c>
      <c r="V4119" s="131">
        <f t="shared" si="913"/>
        <v>461914.42</v>
      </c>
      <c r="W4119" s="130"/>
      <c r="X4119" s="130"/>
      <c r="Y4119" s="130"/>
      <c r="Z4119" s="130"/>
      <c r="AA4119" s="130">
        <f t="shared" si="911"/>
        <v>177.25</v>
      </c>
      <c r="AB4119" s="131">
        <f t="shared" si="921"/>
        <v>461914.42</v>
      </c>
      <c r="AC4119" s="130"/>
      <c r="AD4119" s="130"/>
      <c r="AE4119" s="130">
        <f t="shared" si="911"/>
        <v>177.25</v>
      </c>
      <c r="AF4119" s="131">
        <f t="shared" si="917"/>
        <v>461914.42</v>
      </c>
      <c r="AG4119" s="130"/>
      <c r="AH4119" s="130"/>
      <c r="AI4119" s="130"/>
      <c r="AJ4119" s="130"/>
      <c r="AK4119" s="131">
        <f t="shared" si="918"/>
        <v>1847657.68</v>
      </c>
      <c r="AL4119" s="446">
        <f t="shared" si="919"/>
        <v>0</v>
      </c>
      <c r="AM4119" s="110">
        <f t="shared" si="920"/>
        <v>709</v>
      </c>
      <c r="AN4119" s="447">
        <f t="shared" si="909"/>
        <v>0</v>
      </c>
      <c r="AO4119"/>
      <c r="AP4119"/>
    </row>
    <row r="4120" spans="1:42" ht="66" x14ac:dyDescent="0.25">
      <c r="A4120" s="94"/>
      <c r="B4120" s="146" t="s">
        <v>1507</v>
      </c>
      <c r="C4120" s="1028"/>
      <c r="D4120" s="869">
        <v>11</v>
      </c>
      <c r="E4120" s="1027" t="s">
        <v>1721</v>
      </c>
      <c r="F4120" s="273" t="s">
        <v>3446</v>
      </c>
      <c r="G4120" s="1040" t="s">
        <v>3463</v>
      </c>
      <c r="H4120" s="273" t="s">
        <v>3462</v>
      </c>
      <c r="I4120" s="720">
        <f t="shared" ref="I4120:I4178" si="922">+J4120/D4120</f>
        <v>1044</v>
      </c>
      <c r="J4120" s="756">
        <v>11484</v>
      </c>
      <c r="K4120" s="131">
        <f t="shared" si="910"/>
        <v>11484</v>
      </c>
      <c r="L4120" s="335">
        <f t="shared" si="916"/>
        <v>0</v>
      </c>
      <c r="M4120" s="446"/>
      <c r="N4120" s="446"/>
      <c r="O4120" s="446"/>
      <c r="P4120" s="446"/>
      <c r="Q4120" s="110">
        <v>3</v>
      </c>
      <c r="R4120" s="111">
        <f t="shared" si="912"/>
        <v>2871</v>
      </c>
      <c r="S4120" s="110"/>
      <c r="T4120" s="110"/>
      <c r="U4120" s="110">
        <v>3</v>
      </c>
      <c r="V4120" s="111">
        <f t="shared" si="913"/>
        <v>2871</v>
      </c>
      <c r="W4120" s="110"/>
      <c r="X4120" s="110"/>
      <c r="Y4120" s="110"/>
      <c r="Z4120" s="110"/>
      <c r="AA4120" s="110">
        <v>3</v>
      </c>
      <c r="AB4120" s="111">
        <f t="shared" si="921"/>
        <v>2871</v>
      </c>
      <c r="AC4120" s="110"/>
      <c r="AD4120" s="110"/>
      <c r="AE4120" s="110">
        <v>2</v>
      </c>
      <c r="AF4120" s="111">
        <f t="shared" si="917"/>
        <v>2871</v>
      </c>
      <c r="AG4120" s="110"/>
      <c r="AH4120" s="110"/>
      <c r="AI4120" s="110"/>
      <c r="AJ4120" s="110"/>
      <c r="AK4120" s="111">
        <f t="shared" si="918"/>
        <v>11484</v>
      </c>
      <c r="AL4120" s="446">
        <f t="shared" si="919"/>
        <v>0</v>
      </c>
      <c r="AM4120" s="110">
        <f t="shared" si="920"/>
        <v>11</v>
      </c>
      <c r="AN4120" s="447">
        <f t="shared" si="909"/>
        <v>0</v>
      </c>
      <c r="AO4120"/>
      <c r="AP4120"/>
    </row>
    <row r="4121" spans="1:42" ht="66" x14ac:dyDescent="0.25">
      <c r="A4121" s="94"/>
      <c r="B4121" s="34" t="s">
        <v>1647</v>
      </c>
      <c r="C4121" s="1028"/>
      <c r="D4121" s="869">
        <v>21</v>
      </c>
      <c r="E4121" s="1027" t="s">
        <v>1721</v>
      </c>
      <c r="F4121" s="273" t="s">
        <v>3446</v>
      </c>
      <c r="G4121" s="1040" t="s">
        <v>3463</v>
      </c>
      <c r="H4121" s="273" t="s">
        <v>3462</v>
      </c>
      <c r="I4121" s="720">
        <f t="shared" si="922"/>
        <v>754</v>
      </c>
      <c r="J4121" s="756">
        <v>15834</v>
      </c>
      <c r="K4121" s="131">
        <f t="shared" si="910"/>
        <v>15834</v>
      </c>
      <c r="L4121" s="335">
        <f t="shared" si="916"/>
        <v>0</v>
      </c>
      <c r="M4121" s="446"/>
      <c r="N4121" s="446"/>
      <c r="O4121" s="446"/>
      <c r="P4121" s="446"/>
      <c r="Q4121" s="110">
        <v>6</v>
      </c>
      <c r="R4121" s="111">
        <f t="shared" si="912"/>
        <v>3958.5</v>
      </c>
      <c r="S4121" s="110"/>
      <c r="T4121" s="110"/>
      <c r="U4121" s="110">
        <v>5</v>
      </c>
      <c r="V4121" s="111">
        <f t="shared" si="913"/>
        <v>3958.5</v>
      </c>
      <c r="W4121" s="110"/>
      <c r="X4121" s="110"/>
      <c r="Y4121" s="110"/>
      <c r="Z4121" s="110"/>
      <c r="AA4121" s="110">
        <v>5</v>
      </c>
      <c r="AB4121" s="111">
        <f t="shared" si="921"/>
        <v>3958.5</v>
      </c>
      <c r="AC4121" s="110"/>
      <c r="AD4121" s="110"/>
      <c r="AE4121" s="110">
        <v>5</v>
      </c>
      <c r="AF4121" s="111">
        <f t="shared" si="917"/>
        <v>3958.5</v>
      </c>
      <c r="AG4121" s="110"/>
      <c r="AH4121" s="110"/>
      <c r="AI4121" s="110"/>
      <c r="AJ4121" s="110"/>
      <c r="AK4121" s="111">
        <f t="shared" si="918"/>
        <v>15834</v>
      </c>
      <c r="AL4121" s="446">
        <f t="shared" si="919"/>
        <v>0</v>
      </c>
      <c r="AM4121" s="110">
        <f t="shared" si="920"/>
        <v>21</v>
      </c>
      <c r="AN4121" s="447">
        <f t="shared" si="909"/>
        <v>0</v>
      </c>
      <c r="AO4121"/>
      <c r="AP4121"/>
    </row>
    <row r="4122" spans="1:42" ht="66" x14ac:dyDescent="0.25">
      <c r="A4122" s="94"/>
      <c r="B4122" s="41" t="s">
        <v>1648</v>
      </c>
      <c r="C4122" s="1028"/>
      <c r="D4122" s="869">
        <v>26</v>
      </c>
      <c r="E4122" s="1027" t="s">
        <v>1721</v>
      </c>
      <c r="F4122" s="273" t="s">
        <v>3446</v>
      </c>
      <c r="G4122" s="1040" t="s">
        <v>3463</v>
      </c>
      <c r="H4122" s="273" t="s">
        <v>3462</v>
      </c>
      <c r="I4122" s="720">
        <f t="shared" si="922"/>
        <v>1855.9999999999998</v>
      </c>
      <c r="J4122" s="756">
        <v>48255.999999999993</v>
      </c>
      <c r="K4122" s="131">
        <f t="shared" si="910"/>
        <v>48255.999999999993</v>
      </c>
      <c r="L4122" s="335">
        <f t="shared" si="916"/>
        <v>0</v>
      </c>
      <c r="M4122" s="446"/>
      <c r="N4122" s="446"/>
      <c r="O4122" s="446"/>
      <c r="P4122" s="446"/>
      <c r="Q4122" s="110">
        <v>10</v>
      </c>
      <c r="R4122" s="111">
        <f t="shared" si="912"/>
        <v>12063.999999999998</v>
      </c>
      <c r="S4122" s="110"/>
      <c r="T4122" s="110"/>
      <c r="U4122" s="110">
        <v>10</v>
      </c>
      <c r="V4122" s="111">
        <f t="shared" si="913"/>
        <v>12063.999999999998</v>
      </c>
      <c r="W4122" s="110"/>
      <c r="X4122" s="110"/>
      <c r="Y4122" s="110"/>
      <c r="Z4122" s="110"/>
      <c r="AA4122" s="110">
        <v>6</v>
      </c>
      <c r="AB4122" s="111">
        <f t="shared" si="921"/>
        <v>12063.999999999998</v>
      </c>
      <c r="AC4122" s="110"/>
      <c r="AD4122" s="110"/>
      <c r="AE4122" s="110">
        <v>0</v>
      </c>
      <c r="AF4122" s="111">
        <f t="shared" si="917"/>
        <v>12063.999999999998</v>
      </c>
      <c r="AG4122" s="110"/>
      <c r="AH4122" s="110"/>
      <c r="AI4122" s="110"/>
      <c r="AJ4122" s="110"/>
      <c r="AK4122" s="111">
        <f t="shared" si="918"/>
        <v>48255.999999999993</v>
      </c>
      <c r="AL4122" s="446">
        <f t="shared" si="919"/>
        <v>0</v>
      </c>
      <c r="AM4122" s="110">
        <f t="shared" si="920"/>
        <v>26</v>
      </c>
      <c r="AN4122" s="447">
        <f t="shared" si="909"/>
        <v>0</v>
      </c>
      <c r="AO4122"/>
      <c r="AP4122"/>
    </row>
    <row r="4123" spans="1:42" ht="66" x14ac:dyDescent="0.25">
      <c r="A4123" s="94"/>
      <c r="B4123" s="41" t="s">
        <v>1649</v>
      </c>
      <c r="C4123" s="1028"/>
      <c r="D4123" s="869">
        <v>20</v>
      </c>
      <c r="E4123" s="1027" t="s">
        <v>1721</v>
      </c>
      <c r="F4123" s="273" t="s">
        <v>3446</v>
      </c>
      <c r="G4123" s="1040" t="s">
        <v>3463</v>
      </c>
      <c r="H4123" s="273" t="s">
        <v>3462</v>
      </c>
      <c r="I4123" s="720">
        <f t="shared" si="922"/>
        <v>2204</v>
      </c>
      <c r="J4123" s="756">
        <v>44080</v>
      </c>
      <c r="K4123" s="131">
        <f t="shared" si="910"/>
        <v>44080</v>
      </c>
      <c r="L4123" s="335">
        <f t="shared" si="916"/>
        <v>0</v>
      </c>
      <c r="M4123" s="446"/>
      <c r="N4123" s="446"/>
      <c r="O4123" s="446"/>
      <c r="P4123" s="446"/>
      <c r="Q4123" s="110">
        <f t="shared" si="914"/>
        <v>5</v>
      </c>
      <c r="R4123" s="111">
        <f t="shared" si="912"/>
        <v>11020</v>
      </c>
      <c r="S4123" s="110"/>
      <c r="T4123" s="110"/>
      <c r="U4123" s="110">
        <f t="shared" si="915"/>
        <v>5</v>
      </c>
      <c r="V4123" s="111">
        <f t="shared" si="913"/>
        <v>11020</v>
      </c>
      <c r="W4123" s="110"/>
      <c r="X4123" s="110"/>
      <c r="Y4123" s="110"/>
      <c r="Z4123" s="110"/>
      <c r="AA4123" s="110">
        <f t="shared" si="911"/>
        <v>5</v>
      </c>
      <c r="AB4123" s="111">
        <f t="shared" si="921"/>
        <v>11020</v>
      </c>
      <c r="AC4123" s="110"/>
      <c r="AD4123" s="110"/>
      <c r="AE4123" s="110">
        <f t="shared" si="911"/>
        <v>5</v>
      </c>
      <c r="AF4123" s="111">
        <f t="shared" si="917"/>
        <v>11020</v>
      </c>
      <c r="AG4123" s="110"/>
      <c r="AH4123" s="110"/>
      <c r="AI4123" s="110"/>
      <c r="AJ4123" s="110"/>
      <c r="AK4123" s="111">
        <f t="shared" si="918"/>
        <v>44080</v>
      </c>
      <c r="AL4123" s="446">
        <f t="shared" si="919"/>
        <v>0</v>
      </c>
      <c r="AM4123" s="110">
        <f t="shared" si="920"/>
        <v>20</v>
      </c>
      <c r="AN4123" s="447">
        <f t="shared" ref="AN4123:AN4186" si="923">+D4123-AM4123</f>
        <v>0</v>
      </c>
      <c r="AO4123"/>
      <c r="AP4123"/>
    </row>
    <row r="4124" spans="1:42" ht="66" x14ac:dyDescent="0.25">
      <c r="A4124" s="94"/>
      <c r="B4124" s="34" t="s">
        <v>1650</v>
      </c>
      <c r="C4124" s="1028"/>
      <c r="D4124" s="869">
        <v>3</v>
      </c>
      <c r="E4124" s="1027" t="s">
        <v>1721</v>
      </c>
      <c r="F4124" s="273" t="s">
        <v>3446</v>
      </c>
      <c r="G4124" s="1040" t="s">
        <v>3463</v>
      </c>
      <c r="H4124" s="273" t="s">
        <v>3462</v>
      </c>
      <c r="I4124" s="720">
        <f t="shared" si="922"/>
        <v>11774</v>
      </c>
      <c r="J4124" s="756">
        <v>35322</v>
      </c>
      <c r="K4124" s="131">
        <f t="shared" si="910"/>
        <v>35322</v>
      </c>
      <c r="L4124" s="335">
        <f t="shared" si="916"/>
        <v>0</v>
      </c>
      <c r="M4124" s="446"/>
      <c r="N4124" s="446"/>
      <c r="O4124" s="446"/>
      <c r="P4124" s="446"/>
      <c r="Q4124" s="130">
        <v>1</v>
      </c>
      <c r="R4124" s="111">
        <f t="shared" si="912"/>
        <v>8830.5</v>
      </c>
      <c r="S4124" s="110"/>
      <c r="T4124" s="110"/>
      <c r="U4124" s="130">
        <v>1</v>
      </c>
      <c r="V4124" s="111">
        <f t="shared" si="913"/>
        <v>8830.5</v>
      </c>
      <c r="W4124" s="110"/>
      <c r="X4124" s="110"/>
      <c r="Y4124" s="110"/>
      <c r="Z4124" s="110"/>
      <c r="AA4124" s="130">
        <v>1</v>
      </c>
      <c r="AB4124" s="111">
        <f t="shared" si="921"/>
        <v>8830.5</v>
      </c>
      <c r="AC4124" s="110"/>
      <c r="AD4124" s="110"/>
      <c r="AE4124" s="130">
        <v>0</v>
      </c>
      <c r="AF4124" s="111">
        <f t="shared" si="917"/>
        <v>8830.5</v>
      </c>
      <c r="AG4124" s="110"/>
      <c r="AH4124" s="110"/>
      <c r="AI4124" s="110"/>
      <c r="AJ4124" s="110"/>
      <c r="AK4124" s="111">
        <f t="shared" si="918"/>
        <v>35322</v>
      </c>
      <c r="AL4124" s="446">
        <f t="shared" si="919"/>
        <v>0</v>
      </c>
      <c r="AM4124" s="110">
        <f t="shared" si="920"/>
        <v>3</v>
      </c>
      <c r="AN4124" s="447">
        <f t="shared" si="923"/>
        <v>0</v>
      </c>
      <c r="AO4124"/>
      <c r="AP4124"/>
    </row>
    <row r="4125" spans="1:42" ht="66" x14ac:dyDescent="0.25">
      <c r="A4125" s="94"/>
      <c r="B4125" s="34" t="s">
        <v>1651</v>
      </c>
      <c r="C4125" s="1028"/>
      <c r="D4125" s="869">
        <v>3</v>
      </c>
      <c r="E4125" s="1027" t="s">
        <v>1721</v>
      </c>
      <c r="F4125" s="273" t="s">
        <v>3446</v>
      </c>
      <c r="G4125" s="1040" t="s">
        <v>3463</v>
      </c>
      <c r="H4125" s="273" t="s">
        <v>3462</v>
      </c>
      <c r="I4125" s="720">
        <f t="shared" si="922"/>
        <v>5800</v>
      </c>
      <c r="J4125" s="756">
        <v>17400</v>
      </c>
      <c r="K4125" s="131">
        <f t="shared" ref="K4125:K4188" si="924">+D4125*I4125</f>
        <v>17400</v>
      </c>
      <c r="L4125" s="335">
        <f t="shared" si="916"/>
        <v>0</v>
      </c>
      <c r="M4125" s="446"/>
      <c r="N4125" s="446"/>
      <c r="O4125" s="446"/>
      <c r="P4125" s="446"/>
      <c r="Q4125" s="130">
        <v>1</v>
      </c>
      <c r="R4125" s="111">
        <f t="shared" si="912"/>
        <v>4350</v>
      </c>
      <c r="S4125" s="110"/>
      <c r="T4125" s="110"/>
      <c r="U4125" s="130">
        <v>1</v>
      </c>
      <c r="V4125" s="111">
        <f t="shared" si="913"/>
        <v>4350</v>
      </c>
      <c r="W4125" s="110"/>
      <c r="X4125" s="110"/>
      <c r="Y4125" s="110"/>
      <c r="Z4125" s="110"/>
      <c r="AA4125" s="130">
        <v>1</v>
      </c>
      <c r="AB4125" s="111">
        <f t="shared" si="921"/>
        <v>4350</v>
      </c>
      <c r="AC4125" s="110"/>
      <c r="AD4125" s="110"/>
      <c r="AE4125" s="130">
        <v>0</v>
      </c>
      <c r="AF4125" s="111">
        <f t="shared" si="917"/>
        <v>4350</v>
      </c>
      <c r="AG4125" s="110"/>
      <c r="AH4125" s="110"/>
      <c r="AI4125" s="110"/>
      <c r="AJ4125" s="110"/>
      <c r="AK4125" s="111">
        <f t="shared" si="918"/>
        <v>17400</v>
      </c>
      <c r="AL4125" s="446">
        <f t="shared" si="919"/>
        <v>0</v>
      </c>
      <c r="AM4125" s="110">
        <f t="shared" si="920"/>
        <v>3</v>
      </c>
      <c r="AN4125" s="447">
        <f t="shared" si="923"/>
        <v>0</v>
      </c>
      <c r="AO4125"/>
      <c r="AP4125"/>
    </row>
    <row r="4126" spans="1:42" ht="66" x14ac:dyDescent="0.25">
      <c r="A4126" s="94"/>
      <c r="B4126" s="34" t="s">
        <v>1652</v>
      </c>
      <c r="C4126" s="1028"/>
      <c r="D4126" s="869">
        <v>2</v>
      </c>
      <c r="E4126" s="1027" t="s">
        <v>1721</v>
      </c>
      <c r="F4126" s="273" t="s">
        <v>3446</v>
      </c>
      <c r="G4126" s="1040" t="s">
        <v>3463</v>
      </c>
      <c r="H4126" s="273" t="s">
        <v>3462</v>
      </c>
      <c r="I4126" s="720">
        <f t="shared" si="922"/>
        <v>13571.999999999998</v>
      </c>
      <c r="J4126" s="756">
        <v>27143.999999999996</v>
      </c>
      <c r="K4126" s="131">
        <f t="shared" si="924"/>
        <v>27143.999999999996</v>
      </c>
      <c r="L4126" s="335">
        <f t="shared" si="916"/>
        <v>0</v>
      </c>
      <c r="M4126" s="446"/>
      <c r="N4126" s="446"/>
      <c r="O4126" s="446"/>
      <c r="P4126" s="446"/>
      <c r="Q4126" s="130">
        <v>1</v>
      </c>
      <c r="R4126" s="111">
        <f t="shared" si="912"/>
        <v>6785.9999999999991</v>
      </c>
      <c r="S4126" s="110"/>
      <c r="T4126" s="110"/>
      <c r="U4126" s="130">
        <v>1</v>
      </c>
      <c r="V4126" s="111">
        <f t="shared" si="913"/>
        <v>6785.9999999999991</v>
      </c>
      <c r="W4126" s="110"/>
      <c r="X4126" s="110"/>
      <c r="Y4126" s="110"/>
      <c r="Z4126" s="110"/>
      <c r="AA4126" s="130">
        <v>0</v>
      </c>
      <c r="AB4126" s="111">
        <f t="shared" si="921"/>
        <v>6785.9999999999991</v>
      </c>
      <c r="AC4126" s="110"/>
      <c r="AD4126" s="110"/>
      <c r="AE4126" s="130">
        <v>0</v>
      </c>
      <c r="AF4126" s="111">
        <f t="shared" si="917"/>
        <v>6785.9999999999991</v>
      </c>
      <c r="AG4126" s="110"/>
      <c r="AH4126" s="110"/>
      <c r="AI4126" s="110"/>
      <c r="AJ4126" s="110"/>
      <c r="AK4126" s="111">
        <f t="shared" si="918"/>
        <v>27143.999999999996</v>
      </c>
      <c r="AL4126" s="446">
        <f t="shared" si="919"/>
        <v>0</v>
      </c>
      <c r="AM4126" s="110">
        <f t="shared" si="920"/>
        <v>2</v>
      </c>
      <c r="AN4126" s="447">
        <f t="shared" si="923"/>
        <v>0</v>
      </c>
      <c r="AO4126"/>
      <c r="AP4126"/>
    </row>
    <row r="4127" spans="1:42" ht="66" x14ac:dyDescent="0.25">
      <c r="A4127" s="94"/>
      <c r="B4127" s="34" t="s">
        <v>1653</v>
      </c>
      <c r="C4127" s="1028"/>
      <c r="D4127" s="869">
        <v>1</v>
      </c>
      <c r="E4127" s="1027" t="s">
        <v>1721</v>
      </c>
      <c r="F4127" s="273" t="s">
        <v>3446</v>
      </c>
      <c r="G4127" s="1040" t="s">
        <v>3463</v>
      </c>
      <c r="H4127" s="273" t="s">
        <v>3462</v>
      </c>
      <c r="I4127" s="720">
        <f t="shared" si="922"/>
        <v>6959.9999999999991</v>
      </c>
      <c r="J4127" s="756">
        <v>6959.9999999999991</v>
      </c>
      <c r="K4127" s="131">
        <f t="shared" si="924"/>
        <v>6959.9999999999991</v>
      </c>
      <c r="L4127" s="335">
        <f t="shared" si="916"/>
        <v>0</v>
      </c>
      <c r="M4127" s="446"/>
      <c r="N4127" s="446"/>
      <c r="O4127" s="446"/>
      <c r="P4127" s="446"/>
      <c r="Q4127" s="110">
        <v>1</v>
      </c>
      <c r="R4127" s="111">
        <f t="shared" si="912"/>
        <v>1739.9999999999998</v>
      </c>
      <c r="S4127" s="110"/>
      <c r="T4127" s="110"/>
      <c r="U4127" s="110">
        <v>0</v>
      </c>
      <c r="V4127" s="111">
        <f t="shared" si="913"/>
        <v>1739.9999999999998</v>
      </c>
      <c r="W4127" s="110"/>
      <c r="X4127" s="110"/>
      <c r="Y4127" s="110"/>
      <c r="Z4127" s="110"/>
      <c r="AA4127" s="110">
        <v>0</v>
      </c>
      <c r="AB4127" s="111">
        <f t="shared" si="921"/>
        <v>1739.9999999999998</v>
      </c>
      <c r="AC4127" s="110"/>
      <c r="AD4127" s="110"/>
      <c r="AE4127" s="110">
        <v>0</v>
      </c>
      <c r="AF4127" s="111">
        <f t="shared" si="917"/>
        <v>1739.9999999999998</v>
      </c>
      <c r="AG4127" s="110"/>
      <c r="AH4127" s="110"/>
      <c r="AI4127" s="110"/>
      <c r="AJ4127" s="110"/>
      <c r="AK4127" s="111">
        <f t="shared" si="918"/>
        <v>6959.9999999999991</v>
      </c>
      <c r="AL4127" s="446">
        <f t="shared" si="919"/>
        <v>0</v>
      </c>
      <c r="AM4127" s="110">
        <f t="shared" si="920"/>
        <v>1</v>
      </c>
      <c r="AN4127" s="447">
        <f t="shared" si="923"/>
        <v>0</v>
      </c>
      <c r="AO4127"/>
      <c r="AP4127"/>
    </row>
    <row r="4128" spans="1:42" ht="66" x14ac:dyDescent="0.25">
      <c r="A4128" s="94"/>
      <c r="B4128" s="34" t="s">
        <v>1654</v>
      </c>
      <c r="C4128" s="1028"/>
      <c r="D4128" s="869">
        <v>10</v>
      </c>
      <c r="E4128" s="1027" t="s">
        <v>1721</v>
      </c>
      <c r="F4128" s="273" t="s">
        <v>3446</v>
      </c>
      <c r="G4128" s="1040" t="s">
        <v>3463</v>
      </c>
      <c r="H4128" s="273" t="s">
        <v>3462</v>
      </c>
      <c r="I4128" s="720">
        <f t="shared" si="922"/>
        <v>5800</v>
      </c>
      <c r="J4128" s="756">
        <v>58000</v>
      </c>
      <c r="K4128" s="131">
        <f t="shared" si="924"/>
        <v>58000</v>
      </c>
      <c r="L4128" s="335">
        <f t="shared" si="916"/>
        <v>0</v>
      </c>
      <c r="M4128" s="446"/>
      <c r="N4128" s="446"/>
      <c r="O4128" s="446"/>
      <c r="P4128" s="446"/>
      <c r="Q4128" s="130">
        <v>3</v>
      </c>
      <c r="R4128" s="111">
        <f t="shared" si="912"/>
        <v>14500</v>
      </c>
      <c r="S4128" s="110"/>
      <c r="T4128" s="110"/>
      <c r="U4128" s="130">
        <v>3</v>
      </c>
      <c r="V4128" s="111">
        <f t="shared" si="913"/>
        <v>14500</v>
      </c>
      <c r="W4128" s="110"/>
      <c r="X4128" s="110"/>
      <c r="Y4128" s="110"/>
      <c r="Z4128" s="110"/>
      <c r="AA4128" s="130">
        <v>2</v>
      </c>
      <c r="AB4128" s="111">
        <f t="shared" si="921"/>
        <v>14500</v>
      </c>
      <c r="AC4128" s="110"/>
      <c r="AD4128" s="110"/>
      <c r="AE4128" s="130">
        <v>2</v>
      </c>
      <c r="AF4128" s="111">
        <f t="shared" si="917"/>
        <v>14500</v>
      </c>
      <c r="AG4128" s="110"/>
      <c r="AH4128" s="110"/>
      <c r="AI4128" s="110"/>
      <c r="AJ4128" s="110"/>
      <c r="AK4128" s="111">
        <f t="shared" si="918"/>
        <v>58000</v>
      </c>
      <c r="AL4128" s="446">
        <f t="shared" si="919"/>
        <v>0</v>
      </c>
      <c r="AM4128" s="110">
        <f t="shared" si="920"/>
        <v>10</v>
      </c>
      <c r="AN4128" s="447">
        <f t="shared" si="923"/>
        <v>0</v>
      </c>
      <c r="AO4128"/>
      <c r="AP4128"/>
    </row>
    <row r="4129" spans="1:42" ht="66" x14ac:dyDescent="0.25">
      <c r="A4129" s="94"/>
      <c r="B4129" s="34" t="s">
        <v>1655</v>
      </c>
      <c r="C4129" s="1028"/>
      <c r="D4129" s="869">
        <v>20</v>
      </c>
      <c r="E4129" s="1027" t="s">
        <v>1721</v>
      </c>
      <c r="F4129" s="273" t="s">
        <v>3446</v>
      </c>
      <c r="G4129" s="1040" t="s">
        <v>3463</v>
      </c>
      <c r="H4129" s="273" t="s">
        <v>3462</v>
      </c>
      <c r="I4129" s="720">
        <f t="shared" si="922"/>
        <v>1971.9999999999995</v>
      </c>
      <c r="J4129" s="756">
        <v>39439.999999999993</v>
      </c>
      <c r="K4129" s="131">
        <f t="shared" si="924"/>
        <v>39439.999999999993</v>
      </c>
      <c r="L4129" s="335">
        <f t="shared" si="916"/>
        <v>0</v>
      </c>
      <c r="M4129" s="446"/>
      <c r="N4129" s="446"/>
      <c r="O4129" s="446"/>
      <c r="P4129" s="446"/>
      <c r="Q4129" s="110">
        <f t="shared" si="914"/>
        <v>5</v>
      </c>
      <c r="R4129" s="111">
        <f t="shared" si="912"/>
        <v>9859.9999999999982</v>
      </c>
      <c r="S4129" s="110"/>
      <c r="T4129" s="110"/>
      <c r="U4129" s="110">
        <f t="shared" si="915"/>
        <v>5</v>
      </c>
      <c r="V4129" s="111">
        <f t="shared" si="913"/>
        <v>9859.9999999999982</v>
      </c>
      <c r="W4129" s="110"/>
      <c r="X4129" s="110"/>
      <c r="Y4129" s="110"/>
      <c r="Z4129" s="110"/>
      <c r="AA4129" s="110">
        <f t="shared" si="911"/>
        <v>5</v>
      </c>
      <c r="AB4129" s="111">
        <f t="shared" si="921"/>
        <v>9859.9999999999982</v>
      </c>
      <c r="AC4129" s="110"/>
      <c r="AD4129" s="110"/>
      <c r="AE4129" s="110">
        <f t="shared" si="911"/>
        <v>5</v>
      </c>
      <c r="AF4129" s="111">
        <f t="shared" si="917"/>
        <v>9859.9999999999982</v>
      </c>
      <c r="AG4129" s="110"/>
      <c r="AH4129" s="110"/>
      <c r="AI4129" s="110"/>
      <c r="AJ4129" s="110"/>
      <c r="AK4129" s="111">
        <f t="shared" si="918"/>
        <v>39439.999999999993</v>
      </c>
      <c r="AL4129" s="446">
        <f t="shared" si="919"/>
        <v>0</v>
      </c>
      <c r="AM4129" s="110">
        <f t="shared" si="920"/>
        <v>20</v>
      </c>
      <c r="AN4129" s="447">
        <f t="shared" si="923"/>
        <v>0</v>
      </c>
      <c r="AO4129"/>
      <c r="AP4129"/>
    </row>
    <row r="4130" spans="1:42" ht="66" x14ac:dyDescent="0.25">
      <c r="A4130" s="94"/>
      <c r="B4130" s="41" t="s">
        <v>1656</v>
      </c>
      <c r="C4130" s="1028"/>
      <c r="D4130" s="869">
        <v>10</v>
      </c>
      <c r="E4130" s="1027" t="s">
        <v>1721</v>
      </c>
      <c r="F4130" s="273" t="s">
        <v>3446</v>
      </c>
      <c r="G4130" s="1040" t="s">
        <v>3463</v>
      </c>
      <c r="H4130" s="273" t="s">
        <v>3462</v>
      </c>
      <c r="I4130" s="720">
        <f t="shared" si="922"/>
        <v>2088</v>
      </c>
      <c r="J4130" s="756">
        <v>20880</v>
      </c>
      <c r="K4130" s="131">
        <f t="shared" si="924"/>
        <v>20880</v>
      </c>
      <c r="L4130" s="335">
        <f t="shared" si="916"/>
        <v>0</v>
      </c>
      <c r="M4130" s="446"/>
      <c r="N4130" s="446"/>
      <c r="O4130" s="446"/>
      <c r="P4130" s="446"/>
      <c r="Q4130" s="130">
        <v>3</v>
      </c>
      <c r="R4130" s="111">
        <f t="shared" si="912"/>
        <v>5220</v>
      </c>
      <c r="S4130" s="110"/>
      <c r="T4130" s="110"/>
      <c r="U4130" s="130">
        <v>3</v>
      </c>
      <c r="V4130" s="111">
        <f t="shared" si="913"/>
        <v>5220</v>
      </c>
      <c r="W4130" s="110"/>
      <c r="X4130" s="110"/>
      <c r="Y4130" s="110"/>
      <c r="Z4130" s="110"/>
      <c r="AA4130" s="130">
        <v>2</v>
      </c>
      <c r="AB4130" s="111">
        <f t="shared" si="921"/>
        <v>5220</v>
      </c>
      <c r="AC4130" s="110"/>
      <c r="AD4130" s="110"/>
      <c r="AE4130" s="130">
        <v>2</v>
      </c>
      <c r="AF4130" s="111">
        <f t="shared" si="917"/>
        <v>5220</v>
      </c>
      <c r="AG4130" s="110"/>
      <c r="AH4130" s="110"/>
      <c r="AI4130" s="110"/>
      <c r="AJ4130" s="110"/>
      <c r="AK4130" s="111">
        <f t="shared" si="918"/>
        <v>20880</v>
      </c>
      <c r="AL4130" s="446">
        <f t="shared" si="919"/>
        <v>0</v>
      </c>
      <c r="AM4130" s="110">
        <f t="shared" si="920"/>
        <v>10</v>
      </c>
      <c r="AN4130" s="447">
        <f t="shared" si="923"/>
        <v>0</v>
      </c>
      <c r="AO4130"/>
      <c r="AP4130"/>
    </row>
    <row r="4131" spans="1:42" ht="66" x14ac:dyDescent="0.25">
      <c r="A4131" s="94"/>
      <c r="B4131" s="41" t="s">
        <v>1657</v>
      </c>
      <c r="C4131" s="1028"/>
      <c r="D4131" s="869">
        <v>10</v>
      </c>
      <c r="E4131" s="1027" t="s">
        <v>1721</v>
      </c>
      <c r="F4131" s="273" t="s">
        <v>3446</v>
      </c>
      <c r="G4131" s="1040" t="s">
        <v>3463</v>
      </c>
      <c r="H4131" s="273" t="s">
        <v>3462</v>
      </c>
      <c r="I4131" s="720">
        <f t="shared" si="922"/>
        <v>1102</v>
      </c>
      <c r="J4131" s="756">
        <v>11020</v>
      </c>
      <c r="K4131" s="131">
        <f t="shared" si="924"/>
        <v>11020</v>
      </c>
      <c r="L4131" s="335">
        <f t="shared" si="916"/>
        <v>0</v>
      </c>
      <c r="M4131" s="446"/>
      <c r="N4131" s="446"/>
      <c r="O4131" s="446"/>
      <c r="P4131" s="446"/>
      <c r="Q4131" s="130">
        <v>3</v>
      </c>
      <c r="R4131" s="111">
        <f t="shared" si="912"/>
        <v>2755</v>
      </c>
      <c r="S4131" s="110"/>
      <c r="T4131" s="110"/>
      <c r="U4131" s="130">
        <v>3</v>
      </c>
      <c r="V4131" s="111">
        <f t="shared" si="913"/>
        <v>2755</v>
      </c>
      <c r="W4131" s="110"/>
      <c r="X4131" s="110"/>
      <c r="Y4131" s="110"/>
      <c r="Z4131" s="110"/>
      <c r="AA4131" s="130">
        <v>2</v>
      </c>
      <c r="AB4131" s="111">
        <f t="shared" si="921"/>
        <v>2755</v>
      </c>
      <c r="AC4131" s="110"/>
      <c r="AD4131" s="110"/>
      <c r="AE4131" s="130">
        <v>2</v>
      </c>
      <c r="AF4131" s="111">
        <f t="shared" si="917"/>
        <v>2755</v>
      </c>
      <c r="AG4131" s="110"/>
      <c r="AH4131" s="110"/>
      <c r="AI4131" s="110"/>
      <c r="AJ4131" s="110"/>
      <c r="AK4131" s="111">
        <f t="shared" si="918"/>
        <v>11020</v>
      </c>
      <c r="AL4131" s="446">
        <f t="shared" si="919"/>
        <v>0</v>
      </c>
      <c r="AM4131" s="110">
        <f t="shared" si="920"/>
        <v>10</v>
      </c>
      <c r="AN4131" s="447">
        <f t="shared" si="923"/>
        <v>0</v>
      </c>
      <c r="AO4131"/>
      <c r="AP4131"/>
    </row>
    <row r="4132" spans="1:42" ht="66" x14ac:dyDescent="0.25">
      <c r="A4132" s="94"/>
      <c r="B4132" s="34" t="s">
        <v>1658</v>
      </c>
      <c r="C4132" s="1028"/>
      <c r="D4132" s="869">
        <v>11</v>
      </c>
      <c r="E4132" s="1027" t="s">
        <v>1721</v>
      </c>
      <c r="F4132" s="273" t="s">
        <v>3446</v>
      </c>
      <c r="G4132" s="1040" t="s">
        <v>3463</v>
      </c>
      <c r="H4132" s="273" t="s">
        <v>3462</v>
      </c>
      <c r="I4132" s="720">
        <f t="shared" si="922"/>
        <v>13223.999999999998</v>
      </c>
      <c r="J4132" s="756">
        <v>145463.99999999997</v>
      </c>
      <c r="K4132" s="131">
        <f t="shared" si="924"/>
        <v>145463.99999999997</v>
      </c>
      <c r="L4132" s="335">
        <f t="shared" si="916"/>
        <v>0</v>
      </c>
      <c r="M4132" s="446"/>
      <c r="N4132" s="446"/>
      <c r="O4132" s="446"/>
      <c r="P4132" s="446"/>
      <c r="Q4132" s="110">
        <v>3</v>
      </c>
      <c r="R4132" s="111">
        <f t="shared" si="912"/>
        <v>36365.999999999993</v>
      </c>
      <c r="S4132" s="110"/>
      <c r="T4132" s="110"/>
      <c r="U4132" s="110">
        <v>3</v>
      </c>
      <c r="V4132" s="111">
        <f t="shared" si="913"/>
        <v>36365.999999999993</v>
      </c>
      <c r="W4132" s="110"/>
      <c r="X4132" s="110"/>
      <c r="Y4132" s="110"/>
      <c r="Z4132" s="110"/>
      <c r="AA4132" s="110">
        <v>3</v>
      </c>
      <c r="AB4132" s="111">
        <f t="shared" si="921"/>
        <v>36365.999999999993</v>
      </c>
      <c r="AC4132" s="110"/>
      <c r="AD4132" s="110"/>
      <c r="AE4132" s="110">
        <v>2</v>
      </c>
      <c r="AF4132" s="111">
        <f t="shared" si="917"/>
        <v>36365.999999999993</v>
      </c>
      <c r="AG4132" s="110"/>
      <c r="AH4132" s="110"/>
      <c r="AI4132" s="110"/>
      <c r="AJ4132" s="110"/>
      <c r="AK4132" s="111">
        <f t="shared" si="918"/>
        <v>145463.99999999997</v>
      </c>
      <c r="AL4132" s="446">
        <f t="shared" si="919"/>
        <v>0</v>
      </c>
      <c r="AM4132" s="110">
        <f t="shared" si="920"/>
        <v>11</v>
      </c>
      <c r="AN4132" s="447">
        <f t="shared" si="923"/>
        <v>0</v>
      </c>
      <c r="AO4132"/>
      <c r="AP4132"/>
    </row>
    <row r="4133" spans="1:42" ht="66" x14ac:dyDescent="0.25">
      <c r="A4133" s="94"/>
      <c r="B4133" s="34" t="s">
        <v>1659</v>
      </c>
      <c r="C4133" s="1028"/>
      <c r="D4133" s="869">
        <v>20</v>
      </c>
      <c r="E4133" s="1027" t="s">
        <v>1721</v>
      </c>
      <c r="F4133" s="273" t="s">
        <v>3446</v>
      </c>
      <c r="G4133" s="1040" t="s">
        <v>3463</v>
      </c>
      <c r="H4133" s="273" t="s">
        <v>3462</v>
      </c>
      <c r="I4133" s="720">
        <f t="shared" si="922"/>
        <v>1855.9999999999995</v>
      </c>
      <c r="J4133" s="756">
        <v>37119.999999999993</v>
      </c>
      <c r="K4133" s="131">
        <f t="shared" si="924"/>
        <v>37119.999999999993</v>
      </c>
      <c r="L4133" s="335">
        <f t="shared" si="916"/>
        <v>0</v>
      </c>
      <c r="M4133" s="446"/>
      <c r="N4133" s="446"/>
      <c r="O4133" s="446"/>
      <c r="P4133" s="446"/>
      <c r="Q4133" s="110">
        <f t="shared" si="914"/>
        <v>5</v>
      </c>
      <c r="R4133" s="111">
        <f t="shared" si="912"/>
        <v>9279.9999999999982</v>
      </c>
      <c r="S4133" s="110"/>
      <c r="T4133" s="110"/>
      <c r="U4133" s="110">
        <f t="shared" si="915"/>
        <v>5</v>
      </c>
      <c r="V4133" s="111">
        <f t="shared" si="913"/>
        <v>9279.9999999999982</v>
      </c>
      <c r="W4133" s="110"/>
      <c r="X4133" s="110"/>
      <c r="Y4133" s="110"/>
      <c r="Z4133" s="110"/>
      <c r="AA4133" s="110">
        <f t="shared" si="911"/>
        <v>5</v>
      </c>
      <c r="AB4133" s="111">
        <f t="shared" si="921"/>
        <v>9279.9999999999982</v>
      </c>
      <c r="AC4133" s="110"/>
      <c r="AD4133" s="110"/>
      <c r="AE4133" s="110">
        <f t="shared" si="911"/>
        <v>5</v>
      </c>
      <c r="AF4133" s="111">
        <f t="shared" si="917"/>
        <v>9279.9999999999982</v>
      </c>
      <c r="AG4133" s="110"/>
      <c r="AH4133" s="110"/>
      <c r="AI4133" s="110"/>
      <c r="AJ4133" s="110"/>
      <c r="AK4133" s="111">
        <f t="shared" si="918"/>
        <v>37119.999999999993</v>
      </c>
      <c r="AL4133" s="446">
        <f t="shared" si="919"/>
        <v>0</v>
      </c>
      <c r="AM4133" s="110">
        <f t="shared" si="920"/>
        <v>20</v>
      </c>
      <c r="AN4133" s="447">
        <f t="shared" si="923"/>
        <v>0</v>
      </c>
      <c r="AO4133"/>
      <c r="AP4133"/>
    </row>
    <row r="4134" spans="1:42" ht="66" x14ac:dyDescent="0.25">
      <c r="A4134" s="94"/>
      <c r="B4134" s="227" t="s">
        <v>1660</v>
      </c>
      <c r="C4134" s="1028"/>
      <c r="D4134" s="869">
        <v>70</v>
      </c>
      <c r="E4134" s="1027" t="s">
        <v>1721</v>
      </c>
      <c r="F4134" s="273" t="s">
        <v>3446</v>
      </c>
      <c r="G4134" s="1040" t="s">
        <v>3463</v>
      </c>
      <c r="H4134" s="273" t="s">
        <v>3462</v>
      </c>
      <c r="I4134" s="720">
        <f t="shared" si="922"/>
        <v>149.70959999999999</v>
      </c>
      <c r="J4134" s="756">
        <v>10479.672</v>
      </c>
      <c r="K4134" s="131">
        <f t="shared" si="924"/>
        <v>10479.672</v>
      </c>
      <c r="L4134" s="335">
        <f t="shared" si="916"/>
        <v>0</v>
      </c>
      <c r="M4134" s="446"/>
      <c r="N4134" s="446"/>
      <c r="O4134" s="446"/>
      <c r="P4134" s="446"/>
      <c r="Q4134" s="110">
        <v>18</v>
      </c>
      <c r="R4134" s="111">
        <f t="shared" si="912"/>
        <v>2619.9180000000001</v>
      </c>
      <c r="S4134" s="110"/>
      <c r="T4134" s="110"/>
      <c r="U4134" s="110">
        <v>18</v>
      </c>
      <c r="V4134" s="111">
        <f t="shared" si="913"/>
        <v>2619.9180000000001</v>
      </c>
      <c r="W4134" s="110"/>
      <c r="X4134" s="110"/>
      <c r="Y4134" s="110"/>
      <c r="Z4134" s="110"/>
      <c r="AA4134" s="110">
        <v>17</v>
      </c>
      <c r="AB4134" s="111">
        <f t="shared" si="921"/>
        <v>2619.9180000000001</v>
      </c>
      <c r="AC4134" s="110"/>
      <c r="AD4134" s="110"/>
      <c r="AE4134" s="110">
        <v>17</v>
      </c>
      <c r="AF4134" s="111">
        <f t="shared" si="917"/>
        <v>2619.9180000000001</v>
      </c>
      <c r="AG4134" s="110"/>
      <c r="AH4134" s="110"/>
      <c r="AI4134" s="110"/>
      <c r="AJ4134" s="110"/>
      <c r="AK4134" s="111">
        <f t="shared" si="918"/>
        <v>10479.672</v>
      </c>
      <c r="AL4134" s="446">
        <f t="shared" si="919"/>
        <v>0</v>
      </c>
      <c r="AM4134" s="110">
        <f t="shared" si="920"/>
        <v>70</v>
      </c>
      <c r="AN4134" s="447">
        <f t="shared" si="923"/>
        <v>0</v>
      </c>
      <c r="AO4134"/>
      <c r="AP4134"/>
    </row>
    <row r="4135" spans="1:42" ht="66" x14ac:dyDescent="0.25">
      <c r="A4135" s="94"/>
      <c r="B4135" s="227" t="s">
        <v>1661</v>
      </c>
      <c r="C4135" s="1028"/>
      <c r="D4135" s="869">
        <v>70</v>
      </c>
      <c r="E4135" s="1027" t="s">
        <v>1721</v>
      </c>
      <c r="F4135" s="273" t="s">
        <v>3446</v>
      </c>
      <c r="G4135" s="1040" t="s">
        <v>3463</v>
      </c>
      <c r="H4135" s="273" t="s">
        <v>3462</v>
      </c>
      <c r="I4135" s="720">
        <f t="shared" si="922"/>
        <v>162.44639999999998</v>
      </c>
      <c r="J4135" s="756">
        <v>11371.248</v>
      </c>
      <c r="K4135" s="131">
        <f t="shared" si="924"/>
        <v>11371.248</v>
      </c>
      <c r="L4135" s="335">
        <f t="shared" si="916"/>
        <v>0</v>
      </c>
      <c r="M4135" s="446"/>
      <c r="N4135" s="446"/>
      <c r="O4135" s="446"/>
      <c r="P4135" s="446"/>
      <c r="Q4135" s="110">
        <v>18</v>
      </c>
      <c r="R4135" s="111">
        <f t="shared" si="912"/>
        <v>2842.8119999999999</v>
      </c>
      <c r="S4135" s="110"/>
      <c r="T4135" s="110"/>
      <c r="U4135" s="110">
        <v>18</v>
      </c>
      <c r="V4135" s="111">
        <f t="shared" si="913"/>
        <v>2842.8119999999999</v>
      </c>
      <c r="W4135" s="110"/>
      <c r="X4135" s="110"/>
      <c r="Y4135" s="110"/>
      <c r="Z4135" s="110"/>
      <c r="AA4135" s="110">
        <v>17</v>
      </c>
      <c r="AB4135" s="111">
        <f t="shared" si="921"/>
        <v>2842.8119999999999</v>
      </c>
      <c r="AC4135" s="110"/>
      <c r="AD4135" s="110"/>
      <c r="AE4135" s="110">
        <v>17</v>
      </c>
      <c r="AF4135" s="111">
        <f t="shared" si="917"/>
        <v>2842.8119999999999</v>
      </c>
      <c r="AG4135" s="110"/>
      <c r="AH4135" s="110"/>
      <c r="AI4135" s="110"/>
      <c r="AJ4135" s="110"/>
      <c r="AK4135" s="111">
        <f t="shared" si="918"/>
        <v>11371.248</v>
      </c>
      <c r="AL4135" s="446">
        <f t="shared" si="919"/>
        <v>0</v>
      </c>
      <c r="AM4135" s="110">
        <f t="shared" si="920"/>
        <v>70</v>
      </c>
      <c r="AN4135" s="447">
        <f t="shared" si="923"/>
        <v>0</v>
      </c>
      <c r="AO4135"/>
      <c r="AP4135"/>
    </row>
    <row r="4136" spans="1:42" ht="66" x14ac:dyDescent="0.25">
      <c r="A4136" s="94"/>
      <c r="B4136" s="227" t="s">
        <v>1662</v>
      </c>
      <c r="C4136" s="1028"/>
      <c r="D4136" s="869">
        <v>70</v>
      </c>
      <c r="E4136" s="1027" t="s">
        <v>1721</v>
      </c>
      <c r="F4136" s="273" t="s">
        <v>3446</v>
      </c>
      <c r="G4136" s="1040" t="s">
        <v>3463</v>
      </c>
      <c r="H4136" s="273" t="s">
        <v>3462</v>
      </c>
      <c r="I4136" s="720">
        <f t="shared" si="922"/>
        <v>149.70959999999999</v>
      </c>
      <c r="J4136" s="756">
        <v>10479.672</v>
      </c>
      <c r="K4136" s="131">
        <f t="shared" si="924"/>
        <v>10479.672</v>
      </c>
      <c r="L4136" s="335">
        <f t="shared" si="916"/>
        <v>0</v>
      </c>
      <c r="M4136" s="446"/>
      <c r="N4136" s="446"/>
      <c r="O4136" s="446"/>
      <c r="P4136" s="446"/>
      <c r="Q4136" s="110">
        <v>18</v>
      </c>
      <c r="R4136" s="111">
        <f t="shared" si="912"/>
        <v>2619.9180000000001</v>
      </c>
      <c r="S4136" s="110"/>
      <c r="T4136" s="110"/>
      <c r="U4136" s="110">
        <v>18</v>
      </c>
      <c r="V4136" s="111">
        <f t="shared" si="913"/>
        <v>2619.9180000000001</v>
      </c>
      <c r="W4136" s="110"/>
      <c r="X4136" s="110"/>
      <c r="Y4136" s="110"/>
      <c r="Z4136" s="110"/>
      <c r="AA4136" s="110">
        <v>17</v>
      </c>
      <c r="AB4136" s="111">
        <f t="shared" si="921"/>
        <v>2619.9180000000001</v>
      </c>
      <c r="AC4136" s="110"/>
      <c r="AD4136" s="110"/>
      <c r="AE4136" s="110">
        <v>17</v>
      </c>
      <c r="AF4136" s="111">
        <f t="shared" si="917"/>
        <v>2619.9180000000001</v>
      </c>
      <c r="AG4136" s="110"/>
      <c r="AH4136" s="110"/>
      <c r="AI4136" s="110"/>
      <c r="AJ4136" s="110"/>
      <c r="AK4136" s="111">
        <f t="shared" si="918"/>
        <v>10479.672</v>
      </c>
      <c r="AL4136" s="446">
        <f t="shared" si="919"/>
        <v>0</v>
      </c>
      <c r="AM4136" s="110">
        <f t="shared" si="920"/>
        <v>70</v>
      </c>
      <c r="AN4136" s="447">
        <f t="shared" si="923"/>
        <v>0</v>
      </c>
      <c r="AO4136"/>
      <c r="AP4136"/>
    </row>
    <row r="4137" spans="1:42" ht="66" x14ac:dyDescent="0.25">
      <c r="A4137" s="94"/>
      <c r="B4137" s="227" t="s">
        <v>1663</v>
      </c>
      <c r="C4137" s="1028"/>
      <c r="D4137" s="869">
        <v>70</v>
      </c>
      <c r="E4137" s="1027" t="s">
        <v>1721</v>
      </c>
      <c r="F4137" s="273" t="s">
        <v>3446</v>
      </c>
      <c r="G4137" s="1040" t="s">
        <v>3463</v>
      </c>
      <c r="H4137" s="273" t="s">
        <v>3462</v>
      </c>
      <c r="I4137" s="720">
        <f t="shared" si="922"/>
        <v>162.44639999999998</v>
      </c>
      <c r="J4137" s="756">
        <v>11371.248</v>
      </c>
      <c r="K4137" s="131">
        <f t="shared" si="924"/>
        <v>11371.248</v>
      </c>
      <c r="L4137" s="335">
        <f t="shared" si="916"/>
        <v>0</v>
      </c>
      <c r="M4137" s="446"/>
      <c r="N4137" s="446"/>
      <c r="O4137" s="446"/>
      <c r="P4137" s="446"/>
      <c r="Q4137" s="110">
        <v>18</v>
      </c>
      <c r="R4137" s="111">
        <f t="shared" si="912"/>
        <v>2842.8119999999999</v>
      </c>
      <c r="S4137" s="110"/>
      <c r="T4137" s="110"/>
      <c r="U4137" s="110">
        <v>18</v>
      </c>
      <c r="V4137" s="111">
        <f t="shared" si="913"/>
        <v>2842.8119999999999</v>
      </c>
      <c r="W4137" s="110"/>
      <c r="X4137" s="110"/>
      <c r="Y4137" s="110"/>
      <c r="Z4137" s="110"/>
      <c r="AA4137" s="110">
        <v>17</v>
      </c>
      <c r="AB4137" s="111">
        <f t="shared" si="921"/>
        <v>2842.8119999999999</v>
      </c>
      <c r="AC4137" s="110"/>
      <c r="AD4137" s="110"/>
      <c r="AE4137" s="110">
        <v>17</v>
      </c>
      <c r="AF4137" s="111">
        <f t="shared" si="917"/>
        <v>2842.8119999999999</v>
      </c>
      <c r="AG4137" s="110"/>
      <c r="AH4137" s="110"/>
      <c r="AI4137" s="110"/>
      <c r="AJ4137" s="110"/>
      <c r="AK4137" s="111">
        <f t="shared" si="918"/>
        <v>11371.248</v>
      </c>
      <c r="AL4137" s="446">
        <f t="shared" si="919"/>
        <v>0</v>
      </c>
      <c r="AM4137" s="110">
        <f t="shared" si="920"/>
        <v>70</v>
      </c>
      <c r="AN4137" s="447">
        <f t="shared" si="923"/>
        <v>0</v>
      </c>
      <c r="AO4137"/>
      <c r="AP4137"/>
    </row>
    <row r="4138" spans="1:42" ht="66" x14ac:dyDescent="0.25">
      <c r="A4138" s="94"/>
      <c r="B4138" s="227" t="s">
        <v>1664</v>
      </c>
      <c r="C4138" s="1028"/>
      <c r="D4138" s="869">
        <v>70</v>
      </c>
      <c r="E4138" s="1027" t="s">
        <v>1721</v>
      </c>
      <c r="F4138" s="273" t="s">
        <v>3446</v>
      </c>
      <c r="G4138" s="1040" t="s">
        <v>3463</v>
      </c>
      <c r="H4138" s="273" t="s">
        <v>3462</v>
      </c>
      <c r="I4138" s="720">
        <f t="shared" si="922"/>
        <v>162.44639999999998</v>
      </c>
      <c r="J4138" s="756">
        <v>11371.248</v>
      </c>
      <c r="K4138" s="131">
        <f t="shared" si="924"/>
        <v>11371.248</v>
      </c>
      <c r="L4138" s="335">
        <f t="shared" si="916"/>
        <v>0</v>
      </c>
      <c r="M4138" s="446"/>
      <c r="N4138" s="446"/>
      <c r="O4138" s="446"/>
      <c r="P4138" s="446"/>
      <c r="Q4138" s="110">
        <v>18</v>
      </c>
      <c r="R4138" s="111">
        <f t="shared" si="912"/>
        <v>2842.8119999999999</v>
      </c>
      <c r="S4138" s="110"/>
      <c r="T4138" s="110"/>
      <c r="U4138" s="110">
        <v>18</v>
      </c>
      <c r="V4138" s="111">
        <f t="shared" si="913"/>
        <v>2842.8119999999999</v>
      </c>
      <c r="W4138" s="110"/>
      <c r="X4138" s="110"/>
      <c r="Y4138" s="110"/>
      <c r="Z4138" s="110"/>
      <c r="AA4138" s="110">
        <v>17</v>
      </c>
      <c r="AB4138" s="111">
        <f t="shared" si="921"/>
        <v>2842.8119999999999</v>
      </c>
      <c r="AC4138" s="110"/>
      <c r="AD4138" s="110"/>
      <c r="AE4138" s="110">
        <v>17</v>
      </c>
      <c r="AF4138" s="111">
        <f t="shared" si="917"/>
        <v>2842.8119999999999</v>
      </c>
      <c r="AG4138" s="110"/>
      <c r="AH4138" s="110"/>
      <c r="AI4138" s="110"/>
      <c r="AJ4138" s="110"/>
      <c r="AK4138" s="111">
        <f t="shared" si="918"/>
        <v>11371.248</v>
      </c>
      <c r="AL4138" s="446">
        <f t="shared" si="919"/>
        <v>0</v>
      </c>
      <c r="AM4138" s="110">
        <f t="shared" si="920"/>
        <v>70</v>
      </c>
      <c r="AN4138" s="447">
        <f t="shared" si="923"/>
        <v>0</v>
      </c>
      <c r="AO4138"/>
      <c r="AP4138"/>
    </row>
    <row r="4139" spans="1:42" ht="66" x14ac:dyDescent="0.25">
      <c r="A4139" s="94"/>
      <c r="B4139" s="227" t="s">
        <v>1665</v>
      </c>
      <c r="C4139" s="1028"/>
      <c r="D4139" s="869">
        <v>300</v>
      </c>
      <c r="E4139" s="1027" t="s">
        <v>1721</v>
      </c>
      <c r="F4139" s="273" t="s">
        <v>3446</v>
      </c>
      <c r="G4139" s="1040" t="s">
        <v>3463</v>
      </c>
      <c r="H4139" s="273" t="s">
        <v>3462</v>
      </c>
      <c r="I4139" s="720">
        <f t="shared" si="922"/>
        <v>24.429599999999997</v>
      </c>
      <c r="J4139" s="756">
        <v>7328.8799999999992</v>
      </c>
      <c r="K4139" s="131">
        <f t="shared" si="924"/>
        <v>7328.8799999999992</v>
      </c>
      <c r="L4139" s="335">
        <f t="shared" si="916"/>
        <v>0</v>
      </c>
      <c r="M4139" s="446"/>
      <c r="N4139" s="446"/>
      <c r="O4139" s="446"/>
      <c r="P4139" s="446"/>
      <c r="Q4139" s="110">
        <f t="shared" ref="Q4139:Q4191" si="925">+$D4139/4</f>
        <v>75</v>
      </c>
      <c r="R4139" s="111">
        <f t="shared" si="912"/>
        <v>1832.2199999999998</v>
      </c>
      <c r="S4139" s="110"/>
      <c r="T4139" s="110"/>
      <c r="U4139" s="110">
        <f t="shared" ref="U4139:U4191" si="926">+$D4139/4</f>
        <v>75</v>
      </c>
      <c r="V4139" s="111">
        <f t="shared" si="913"/>
        <v>1832.2199999999998</v>
      </c>
      <c r="W4139" s="110"/>
      <c r="X4139" s="110"/>
      <c r="Y4139" s="110"/>
      <c r="Z4139" s="110"/>
      <c r="AA4139" s="110">
        <f t="shared" ref="AA4139:AE4191" si="927">+$D4139/4</f>
        <v>75</v>
      </c>
      <c r="AB4139" s="111">
        <f t="shared" si="921"/>
        <v>1832.2199999999998</v>
      </c>
      <c r="AC4139" s="110"/>
      <c r="AD4139" s="110"/>
      <c r="AE4139" s="110">
        <f t="shared" si="927"/>
        <v>75</v>
      </c>
      <c r="AF4139" s="111">
        <f t="shared" si="917"/>
        <v>1832.2199999999998</v>
      </c>
      <c r="AG4139" s="110"/>
      <c r="AH4139" s="110"/>
      <c r="AI4139" s="110"/>
      <c r="AJ4139" s="110"/>
      <c r="AK4139" s="111">
        <f t="shared" si="918"/>
        <v>7328.8799999999992</v>
      </c>
      <c r="AL4139" s="446">
        <f t="shared" si="919"/>
        <v>0</v>
      </c>
      <c r="AM4139" s="110">
        <f t="shared" si="920"/>
        <v>300</v>
      </c>
      <c r="AN4139" s="447">
        <f t="shared" si="923"/>
        <v>0</v>
      </c>
      <c r="AO4139"/>
      <c r="AP4139"/>
    </row>
    <row r="4140" spans="1:42" ht="66" x14ac:dyDescent="0.25">
      <c r="A4140" s="94"/>
      <c r="B4140" s="227" t="s">
        <v>1666</v>
      </c>
      <c r="C4140" s="1028"/>
      <c r="D4140" s="869">
        <v>300</v>
      </c>
      <c r="E4140" s="1027" t="s">
        <v>1721</v>
      </c>
      <c r="F4140" s="273" t="s">
        <v>3446</v>
      </c>
      <c r="G4140" s="1040" t="s">
        <v>3463</v>
      </c>
      <c r="H4140" s="273" t="s">
        <v>3462</v>
      </c>
      <c r="I4140" s="720">
        <f t="shared" si="922"/>
        <v>24.429599999999997</v>
      </c>
      <c r="J4140" s="756">
        <v>7328.8799999999992</v>
      </c>
      <c r="K4140" s="131">
        <f t="shared" si="924"/>
        <v>7328.8799999999992</v>
      </c>
      <c r="L4140" s="335">
        <f t="shared" si="916"/>
        <v>0</v>
      </c>
      <c r="M4140" s="446"/>
      <c r="N4140" s="446"/>
      <c r="O4140" s="446"/>
      <c r="P4140" s="446"/>
      <c r="Q4140" s="110">
        <f t="shared" si="925"/>
        <v>75</v>
      </c>
      <c r="R4140" s="111">
        <f t="shared" si="912"/>
        <v>1832.2199999999998</v>
      </c>
      <c r="S4140" s="110"/>
      <c r="T4140" s="110"/>
      <c r="U4140" s="110">
        <f t="shared" si="926"/>
        <v>75</v>
      </c>
      <c r="V4140" s="111">
        <f t="shared" si="913"/>
        <v>1832.2199999999998</v>
      </c>
      <c r="W4140" s="110"/>
      <c r="X4140" s="110"/>
      <c r="Y4140" s="110"/>
      <c r="Z4140" s="110"/>
      <c r="AA4140" s="110">
        <f t="shared" si="927"/>
        <v>75</v>
      </c>
      <c r="AB4140" s="111">
        <f t="shared" si="921"/>
        <v>1832.2199999999998</v>
      </c>
      <c r="AC4140" s="110"/>
      <c r="AD4140" s="110"/>
      <c r="AE4140" s="110">
        <f t="shared" si="927"/>
        <v>75</v>
      </c>
      <c r="AF4140" s="111">
        <f t="shared" si="917"/>
        <v>1832.2199999999998</v>
      </c>
      <c r="AG4140" s="110"/>
      <c r="AH4140" s="110"/>
      <c r="AI4140" s="110"/>
      <c r="AJ4140" s="110"/>
      <c r="AK4140" s="111">
        <f t="shared" si="918"/>
        <v>7328.8799999999992</v>
      </c>
      <c r="AL4140" s="446">
        <f t="shared" si="919"/>
        <v>0</v>
      </c>
      <c r="AM4140" s="110">
        <f t="shared" si="920"/>
        <v>300</v>
      </c>
      <c r="AN4140" s="447">
        <f t="shared" si="923"/>
        <v>0</v>
      </c>
      <c r="AO4140"/>
      <c r="AP4140"/>
    </row>
    <row r="4141" spans="1:42" ht="66" x14ac:dyDescent="0.25">
      <c r="A4141" s="94"/>
      <c r="B4141" s="227" t="s">
        <v>1667</v>
      </c>
      <c r="C4141" s="1028"/>
      <c r="D4141" s="869">
        <v>100</v>
      </c>
      <c r="E4141" s="1027" t="s">
        <v>1721</v>
      </c>
      <c r="F4141" s="273" t="s">
        <v>3446</v>
      </c>
      <c r="G4141" s="1040" t="s">
        <v>3463</v>
      </c>
      <c r="H4141" s="273" t="s">
        <v>3462</v>
      </c>
      <c r="I4141" s="720">
        <f t="shared" si="922"/>
        <v>73.915199999999999</v>
      </c>
      <c r="J4141" s="756">
        <v>7391.5199999999995</v>
      </c>
      <c r="K4141" s="131">
        <f t="shared" si="924"/>
        <v>7391.5199999999995</v>
      </c>
      <c r="L4141" s="335">
        <f t="shared" si="916"/>
        <v>0</v>
      </c>
      <c r="M4141" s="446"/>
      <c r="N4141" s="446"/>
      <c r="O4141" s="446"/>
      <c r="P4141" s="446"/>
      <c r="Q4141" s="110">
        <f t="shared" si="925"/>
        <v>25</v>
      </c>
      <c r="R4141" s="111">
        <f t="shared" si="912"/>
        <v>1847.8799999999999</v>
      </c>
      <c r="S4141" s="110"/>
      <c r="T4141" s="110"/>
      <c r="U4141" s="110">
        <f t="shared" si="926"/>
        <v>25</v>
      </c>
      <c r="V4141" s="111">
        <f t="shared" si="913"/>
        <v>1847.8799999999999</v>
      </c>
      <c r="W4141" s="110"/>
      <c r="X4141" s="110"/>
      <c r="Y4141" s="110"/>
      <c r="Z4141" s="110"/>
      <c r="AA4141" s="110">
        <f t="shared" si="927"/>
        <v>25</v>
      </c>
      <c r="AB4141" s="111">
        <f t="shared" si="921"/>
        <v>1847.8799999999999</v>
      </c>
      <c r="AC4141" s="110"/>
      <c r="AD4141" s="110"/>
      <c r="AE4141" s="110">
        <f t="shared" si="927"/>
        <v>25</v>
      </c>
      <c r="AF4141" s="111">
        <f t="shared" si="917"/>
        <v>1847.8799999999999</v>
      </c>
      <c r="AG4141" s="110"/>
      <c r="AH4141" s="110"/>
      <c r="AI4141" s="110"/>
      <c r="AJ4141" s="110"/>
      <c r="AK4141" s="111">
        <f t="shared" si="918"/>
        <v>7391.5199999999995</v>
      </c>
      <c r="AL4141" s="446">
        <f t="shared" si="919"/>
        <v>0</v>
      </c>
      <c r="AM4141" s="110">
        <f t="shared" si="920"/>
        <v>100</v>
      </c>
      <c r="AN4141" s="447">
        <f t="shared" si="923"/>
        <v>0</v>
      </c>
      <c r="AO4141"/>
      <c r="AP4141"/>
    </row>
    <row r="4142" spans="1:42" ht="66" x14ac:dyDescent="0.25">
      <c r="A4142" s="94"/>
      <c r="B4142" s="227" t="s">
        <v>1668</v>
      </c>
      <c r="C4142" s="1028"/>
      <c r="D4142" s="869">
        <v>50</v>
      </c>
      <c r="E4142" s="1027" t="s">
        <v>1721</v>
      </c>
      <c r="F4142" s="273" t="s">
        <v>3446</v>
      </c>
      <c r="G4142" s="1040" t="s">
        <v>3463</v>
      </c>
      <c r="H4142" s="273" t="s">
        <v>3462</v>
      </c>
      <c r="I4142" s="720">
        <f t="shared" si="922"/>
        <v>43.847999999999999</v>
      </c>
      <c r="J4142" s="756">
        <v>2192.4</v>
      </c>
      <c r="K4142" s="131">
        <f t="shared" si="924"/>
        <v>2192.4</v>
      </c>
      <c r="L4142" s="335">
        <f t="shared" si="916"/>
        <v>0</v>
      </c>
      <c r="M4142" s="446"/>
      <c r="N4142" s="446"/>
      <c r="O4142" s="446"/>
      <c r="P4142" s="446"/>
      <c r="Q4142" s="110">
        <v>13</v>
      </c>
      <c r="R4142" s="111">
        <f t="shared" si="912"/>
        <v>548.1</v>
      </c>
      <c r="S4142" s="110"/>
      <c r="T4142" s="110"/>
      <c r="U4142" s="110">
        <v>12</v>
      </c>
      <c r="V4142" s="111">
        <f t="shared" si="913"/>
        <v>548.1</v>
      </c>
      <c r="W4142" s="110"/>
      <c r="X4142" s="110"/>
      <c r="Y4142" s="110"/>
      <c r="Z4142" s="110"/>
      <c r="AA4142" s="110">
        <v>12</v>
      </c>
      <c r="AB4142" s="111">
        <f t="shared" si="921"/>
        <v>548.1</v>
      </c>
      <c r="AC4142" s="110"/>
      <c r="AD4142" s="110"/>
      <c r="AE4142" s="110">
        <v>13</v>
      </c>
      <c r="AF4142" s="111">
        <f t="shared" si="917"/>
        <v>548.1</v>
      </c>
      <c r="AG4142" s="110"/>
      <c r="AH4142" s="110"/>
      <c r="AI4142" s="110"/>
      <c r="AJ4142" s="110"/>
      <c r="AK4142" s="111">
        <f t="shared" si="918"/>
        <v>2192.4</v>
      </c>
      <c r="AL4142" s="446">
        <f t="shared" si="919"/>
        <v>0</v>
      </c>
      <c r="AM4142" s="110">
        <f t="shared" si="920"/>
        <v>50</v>
      </c>
      <c r="AN4142" s="447">
        <f t="shared" si="923"/>
        <v>0</v>
      </c>
      <c r="AO4142"/>
      <c r="AP4142"/>
    </row>
    <row r="4143" spans="1:42" ht="66" x14ac:dyDescent="0.25">
      <c r="A4143" s="94"/>
      <c r="B4143" s="227" t="s">
        <v>1669</v>
      </c>
      <c r="C4143" s="1028"/>
      <c r="D4143" s="869">
        <v>50</v>
      </c>
      <c r="E4143" s="1027" t="s">
        <v>1721</v>
      </c>
      <c r="F4143" s="273" t="s">
        <v>3446</v>
      </c>
      <c r="G4143" s="1040" t="s">
        <v>3463</v>
      </c>
      <c r="H4143" s="273" t="s">
        <v>3462</v>
      </c>
      <c r="I4143" s="720">
        <f t="shared" si="922"/>
        <v>68.903999999999996</v>
      </c>
      <c r="J4143" s="756">
        <v>3445.2</v>
      </c>
      <c r="K4143" s="131">
        <f t="shared" si="924"/>
        <v>3445.2</v>
      </c>
      <c r="L4143" s="335">
        <f t="shared" si="916"/>
        <v>0</v>
      </c>
      <c r="M4143" s="446"/>
      <c r="N4143" s="446"/>
      <c r="O4143" s="446"/>
      <c r="P4143" s="446"/>
      <c r="Q4143" s="110">
        <v>13</v>
      </c>
      <c r="R4143" s="111">
        <f t="shared" si="912"/>
        <v>861.3</v>
      </c>
      <c r="S4143" s="110"/>
      <c r="T4143" s="110"/>
      <c r="U4143" s="110">
        <v>12</v>
      </c>
      <c r="V4143" s="111">
        <f t="shared" si="913"/>
        <v>861.3</v>
      </c>
      <c r="W4143" s="110"/>
      <c r="X4143" s="110"/>
      <c r="Y4143" s="110"/>
      <c r="Z4143" s="110"/>
      <c r="AA4143" s="110">
        <v>12</v>
      </c>
      <c r="AB4143" s="111">
        <f t="shared" si="921"/>
        <v>861.3</v>
      </c>
      <c r="AC4143" s="110"/>
      <c r="AD4143" s="110"/>
      <c r="AE4143" s="110">
        <v>13</v>
      </c>
      <c r="AF4143" s="111">
        <f t="shared" si="917"/>
        <v>861.3</v>
      </c>
      <c r="AG4143" s="110"/>
      <c r="AH4143" s="110"/>
      <c r="AI4143" s="110"/>
      <c r="AJ4143" s="110"/>
      <c r="AK4143" s="111">
        <f t="shared" si="918"/>
        <v>3445.2</v>
      </c>
      <c r="AL4143" s="446">
        <f t="shared" si="919"/>
        <v>0</v>
      </c>
      <c r="AM4143" s="110">
        <f t="shared" si="920"/>
        <v>50</v>
      </c>
      <c r="AN4143" s="447">
        <f t="shared" si="923"/>
        <v>0</v>
      </c>
      <c r="AO4143"/>
      <c r="AP4143"/>
    </row>
    <row r="4144" spans="1:42" ht="66" x14ac:dyDescent="0.25">
      <c r="A4144" s="94"/>
      <c r="B4144" s="227" t="s">
        <v>1670</v>
      </c>
      <c r="C4144" s="1028"/>
      <c r="D4144" s="869">
        <v>50</v>
      </c>
      <c r="E4144" s="1027" t="s">
        <v>1721</v>
      </c>
      <c r="F4144" s="273" t="s">
        <v>3446</v>
      </c>
      <c r="G4144" s="1040" t="s">
        <v>3463</v>
      </c>
      <c r="H4144" s="273" t="s">
        <v>3462</v>
      </c>
      <c r="I4144" s="720">
        <f t="shared" si="922"/>
        <v>68.903999999999996</v>
      </c>
      <c r="J4144" s="756">
        <v>3445.2</v>
      </c>
      <c r="K4144" s="131">
        <f t="shared" si="924"/>
        <v>3445.2</v>
      </c>
      <c r="L4144" s="335">
        <f t="shared" si="916"/>
        <v>0</v>
      </c>
      <c r="M4144" s="446"/>
      <c r="N4144" s="446"/>
      <c r="O4144" s="446"/>
      <c r="P4144" s="446"/>
      <c r="Q4144" s="110">
        <v>13</v>
      </c>
      <c r="R4144" s="111">
        <f t="shared" ref="R4144:R4193" si="928">+J4144/4</f>
        <v>861.3</v>
      </c>
      <c r="S4144" s="110"/>
      <c r="T4144" s="110"/>
      <c r="U4144" s="110">
        <v>12</v>
      </c>
      <c r="V4144" s="111">
        <f t="shared" ref="V4144:V4193" si="929">+J4144/4</f>
        <v>861.3</v>
      </c>
      <c r="W4144" s="110"/>
      <c r="X4144" s="110"/>
      <c r="Y4144" s="110"/>
      <c r="Z4144" s="110"/>
      <c r="AA4144" s="110">
        <v>12</v>
      </c>
      <c r="AB4144" s="111">
        <f t="shared" si="921"/>
        <v>861.3</v>
      </c>
      <c r="AC4144" s="110"/>
      <c r="AD4144" s="110"/>
      <c r="AE4144" s="110">
        <v>13</v>
      </c>
      <c r="AF4144" s="111">
        <f t="shared" si="917"/>
        <v>861.3</v>
      </c>
      <c r="AG4144" s="110"/>
      <c r="AH4144" s="110"/>
      <c r="AI4144" s="110"/>
      <c r="AJ4144" s="110"/>
      <c r="AK4144" s="111">
        <f t="shared" si="918"/>
        <v>3445.2</v>
      </c>
      <c r="AL4144" s="446">
        <f t="shared" si="919"/>
        <v>0</v>
      </c>
      <c r="AM4144" s="110">
        <f t="shared" si="920"/>
        <v>50</v>
      </c>
      <c r="AN4144" s="447">
        <f t="shared" si="923"/>
        <v>0</v>
      </c>
      <c r="AO4144"/>
      <c r="AP4144"/>
    </row>
    <row r="4145" spans="1:42" ht="66" x14ac:dyDescent="0.25">
      <c r="A4145" s="94"/>
      <c r="B4145" s="227" t="s">
        <v>1671</v>
      </c>
      <c r="C4145" s="1028"/>
      <c r="D4145" s="869">
        <v>50</v>
      </c>
      <c r="E4145" s="1027" t="s">
        <v>1721</v>
      </c>
      <c r="F4145" s="273" t="s">
        <v>3446</v>
      </c>
      <c r="G4145" s="1040" t="s">
        <v>3463</v>
      </c>
      <c r="H4145" s="273" t="s">
        <v>3462</v>
      </c>
      <c r="I4145" s="720">
        <f t="shared" si="922"/>
        <v>75.167999999999992</v>
      </c>
      <c r="J4145" s="756">
        <v>3758.3999999999996</v>
      </c>
      <c r="K4145" s="131">
        <f t="shared" si="924"/>
        <v>3758.3999999999996</v>
      </c>
      <c r="L4145" s="335">
        <f t="shared" si="916"/>
        <v>0</v>
      </c>
      <c r="M4145" s="446"/>
      <c r="N4145" s="446"/>
      <c r="O4145" s="446"/>
      <c r="P4145" s="446"/>
      <c r="Q4145" s="110">
        <v>13</v>
      </c>
      <c r="R4145" s="111">
        <f t="shared" si="928"/>
        <v>939.59999999999991</v>
      </c>
      <c r="S4145" s="110"/>
      <c r="T4145" s="110"/>
      <c r="U4145" s="110">
        <v>12</v>
      </c>
      <c r="V4145" s="111">
        <f t="shared" si="929"/>
        <v>939.59999999999991</v>
      </c>
      <c r="W4145" s="110"/>
      <c r="X4145" s="110"/>
      <c r="Y4145" s="110"/>
      <c r="Z4145" s="110"/>
      <c r="AA4145" s="110">
        <v>12</v>
      </c>
      <c r="AB4145" s="111">
        <f t="shared" si="921"/>
        <v>939.59999999999991</v>
      </c>
      <c r="AC4145" s="110"/>
      <c r="AD4145" s="110"/>
      <c r="AE4145" s="110">
        <v>13</v>
      </c>
      <c r="AF4145" s="111">
        <f t="shared" si="917"/>
        <v>939.59999999999991</v>
      </c>
      <c r="AG4145" s="110"/>
      <c r="AH4145" s="110"/>
      <c r="AI4145" s="110"/>
      <c r="AJ4145" s="110"/>
      <c r="AK4145" s="111">
        <f t="shared" si="918"/>
        <v>3758.3999999999996</v>
      </c>
      <c r="AL4145" s="446">
        <f t="shared" si="919"/>
        <v>0</v>
      </c>
      <c r="AM4145" s="110">
        <f t="shared" si="920"/>
        <v>50</v>
      </c>
      <c r="AN4145" s="447">
        <f t="shared" si="923"/>
        <v>0</v>
      </c>
      <c r="AO4145"/>
      <c r="AP4145"/>
    </row>
    <row r="4146" spans="1:42" ht="66" x14ac:dyDescent="0.25">
      <c r="A4146" s="94"/>
      <c r="B4146" s="227" t="s">
        <v>1672</v>
      </c>
      <c r="C4146" s="1028"/>
      <c r="D4146" s="869">
        <v>50</v>
      </c>
      <c r="E4146" s="1027" t="s">
        <v>1721</v>
      </c>
      <c r="F4146" s="273" t="s">
        <v>3446</v>
      </c>
      <c r="G4146" s="1040" t="s">
        <v>3463</v>
      </c>
      <c r="H4146" s="273" t="s">
        <v>3462</v>
      </c>
      <c r="I4146" s="720">
        <f t="shared" si="922"/>
        <v>86.44319999999999</v>
      </c>
      <c r="J4146" s="756">
        <v>4322.16</v>
      </c>
      <c r="K4146" s="131">
        <f t="shared" si="924"/>
        <v>4322.16</v>
      </c>
      <c r="L4146" s="335">
        <f t="shared" si="916"/>
        <v>0</v>
      </c>
      <c r="M4146" s="446"/>
      <c r="N4146" s="446"/>
      <c r="O4146" s="446"/>
      <c r="P4146" s="446"/>
      <c r="Q4146" s="110">
        <v>13</v>
      </c>
      <c r="R4146" s="111">
        <f t="shared" si="928"/>
        <v>1080.54</v>
      </c>
      <c r="S4146" s="110"/>
      <c r="T4146" s="110"/>
      <c r="U4146" s="110">
        <v>12</v>
      </c>
      <c r="V4146" s="111">
        <f t="shared" si="929"/>
        <v>1080.54</v>
      </c>
      <c r="W4146" s="110"/>
      <c r="X4146" s="110"/>
      <c r="Y4146" s="110"/>
      <c r="Z4146" s="110"/>
      <c r="AA4146" s="110">
        <v>12</v>
      </c>
      <c r="AB4146" s="111">
        <f t="shared" si="921"/>
        <v>1080.54</v>
      </c>
      <c r="AC4146" s="110"/>
      <c r="AD4146" s="110"/>
      <c r="AE4146" s="110">
        <v>13</v>
      </c>
      <c r="AF4146" s="111">
        <f t="shared" si="917"/>
        <v>1080.54</v>
      </c>
      <c r="AG4146" s="110"/>
      <c r="AH4146" s="110"/>
      <c r="AI4146" s="110"/>
      <c r="AJ4146" s="110"/>
      <c r="AK4146" s="111">
        <f t="shared" si="918"/>
        <v>4322.16</v>
      </c>
      <c r="AL4146" s="446">
        <f t="shared" si="919"/>
        <v>0</v>
      </c>
      <c r="AM4146" s="110">
        <f t="shared" si="920"/>
        <v>50</v>
      </c>
      <c r="AN4146" s="447">
        <f t="shared" si="923"/>
        <v>0</v>
      </c>
      <c r="AO4146"/>
      <c r="AP4146"/>
    </row>
    <row r="4147" spans="1:42" ht="66" x14ac:dyDescent="0.25">
      <c r="A4147" s="94"/>
      <c r="B4147" s="227" t="s">
        <v>1673</v>
      </c>
      <c r="C4147" s="1028"/>
      <c r="D4147" s="869">
        <v>50</v>
      </c>
      <c r="E4147" s="1027" t="s">
        <v>1721</v>
      </c>
      <c r="F4147" s="273" t="s">
        <v>3446</v>
      </c>
      <c r="G4147" s="1040" t="s">
        <v>3463</v>
      </c>
      <c r="H4147" s="273" t="s">
        <v>3462</v>
      </c>
      <c r="I4147" s="720">
        <f t="shared" si="922"/>
        <v>86.44319999999999</v>
      </c>
      <c r="J4147" s="756">
        <v>4322.16</v>
      </c>
      <c r="K4147" s="131">
        <f t="shared" si="924"/>
        <v>4322.16</v>
      </c>
      <c r="L4147" s="335">
        <f t="shared" si="916"/>
        <v>0</v>
      </c>
      <c r="M4147" s="446"/>
      <c r="N4147" s="446"/>
      <c r="O4147" s="446"/>
      <c r="P4147" s="446"/>
      <c r="Q4147" s="110">
        <v>13</v>
      </c>
      <c r="R4147" s="111">
        <f t="shared" si="928"/>
        <v>1080.54</v>
      </c>
      <c r="S4147" s="110"/>
      <c r="T4147" s="110"/>
      <c r="U4147" s="110">
        <v>12</v>
      </c>
      <c r="V4147" s="111">
        <f t="shared" si="929"/>
        <v>1080.54</v>
      </c>
      <c r="W4147" s="110"/>
      <c r="X4147" s="110"/>
      <c r="Y4147" s="110"/>
      <c r="Z4147" s="110"/>
      <c r="AA4147" s="110">
        <v>12</v>
      </c>
      <c r="AB4147" s="111">
        <f t="shared" si="921"/>
        <v>1080.54</v>
      </c>
      <c r="AC4147" s="110"/>
      <c r="AD4147" s="110"/>
      <c r="AE4147" s="110">
        <v>13</v>
      </c>
      <c r="AF4147" s="111">
        <f t="shared" si="917"/>
        <v>1080.54</v>
      </c>
      <c r="AG4147" s="110"/>
      <c r="AH4147" s="110"/>
      <c r="AI4147" s="110"/>
      <c r="AJ4147" s="110"/>
      <c r="AK4147" s="111">
        <f t="shared" si="918"/>
        <v>4322.16</v>
      </c>
      <c r="AL4147" s="446">
        <f t="shared" si="919"/>
        <v>0</v>
      </c>
      <c r="AM4147" s="110">
        <f t="shared" si="920"/>
        <v>50</v>
      </c>
      <c r="AN4147" s="447">
        <f t="shared" si="923"/>
        <v>0</v>
      </c>
      <c r="AO4147"/>
      <c r="AP4147"/>
    </row>
    <row r="4148" spans="1:42" ht="66" x14ac:dyDescent="0.25">
      <c r="A4148" s="94"/>
      <c r="B4148" s="227" t="s">
        <v>1674</v>
      </c>
      <c r="C4148" s="1028"/>
      <c r="D4148" s="869">
        <v>50</v>
      </c>
      <c r="E4148" s="1027" t="s">
        <v>1721</v>
      </c>
      <c r="F4148" s="273" t="s">
        <v>3446</v>
      </c>
      <c r="G4148" s="1040" t="s">
        <v>3463</v>
      </c>
      <c r="H4148" s="273" t="s">
        <v>3462</v>
      </c>
      <c r="I4148" s="720">
        <f t="shared" si="922"/>
        <v>86.44319999999999</v>
      </c>
      <c r="J4148" s="756">
        <v>4322.16</v>
      </c>
      <c r="K4148" s="131">
        <f t="shared" si="924"/>
        <v>4322.16</v>
      </c>
      <c r="L4148" s="335">
        <f t="shared" si="916"/>
        <v>0</v>
      </c>
      <c r="M4148" s="446"/>
      <c r="N4148" s="446"/>
      <c r="O4148" s="446"/>
      <c r="P4148" s="446"/>
      <c r="Q4148" s="110">
        <v>13</v>
      </c>
      <c r="R4148" s="111">
        <f t="shared" si="928"/>
        <v>1080.54</v>
      </c>
      <c r="S4148" s="110"/>
      <c r="T4148" s="110"/>
      <c r="U4148" s="110">
        <v>12</v>
      </c>
      <c r="V4148" s="111">
        <f t="shared" si="929"/>
        <v>1080.54</v>
      </c>
      <c r="W4148" s="110"/>
      <c r="X4148" s="110"/>
      <c r="Y4148" s="110"/>
      <c r="Z4148" s="110"/>
      <c r="AA4148" s="110">
        <v>12</v>
      </c>
      <c r="AB4148" s="111">
        <f t="shared" si="921"/>
        <v>1080.54</v>
      </c>
      <c r="AC4148" s="110"/>
      <c r="AD4148" s="110"/>
      <c r="AE4148" s="110">
        <v>13</v>
      </c>
      <c r="AF4148" s="111">
        <f t="shared" si="917"/>
        <v>1080.54</v>
      </c>
      <c r="AG4148" s="110"/>
      <c r="AH4148" s="110"/>
      <c r="AI4148" s="110"/>
      <c r="AJ4148" s="110"/>
      <c r="AK4148" s="111">
        <f t="shared" si="918"/>
        <v>4322.16</v>
      </c>
      <c r="AL4148" s="446">
        <f t="shared" si="919"/>
        <v>0</v>
      </c>
      <c r="AM4148" s="110">
        <f t="shared" si="920"/>
        <v>50</v>
      </c>
      <c r="AN4148" s="447">
        <f t="shared" si="923"/>
        <v>0</v>
      </c>
      <c r="AO4148"/>
      <c r="AP4148"/>
    </row>
    <row r="4149" spans="1:42" ht="66" x14ac:dyDescent="0.25">
      <c r="A4149" s="94"/>
      <c r="B4149" s="227" t="s">
        <v>1675</v>
      </c>
      <c r="C4149" s="1028"/>
      <c r="D4149" s="869">
        <v>30</v>
      </c>
      <c r="E4149" s="1027" t="s">
        <v>1721</v>
      </c>
      <c r="F4149" s="273" t="s">
        <v>3446</v>
      </c>
      <c r="G4149" s="1040" t="s">
        <v>3463</v>
      </c>
      <c r="H4149" s="273" t="s">
        <v>3462</v>
      </c>
      <c r="I4149" s="720">
        <f t="shared" si="922"/>
        <v>111.4992</v>
      </c>
      <c r="J4149" s="756">
        <v>3344.9760000000001</v>
      </c>
      <c r="K4149" s="131">
        <f t="shared" si="924"/>
        <v>3344.9760000000001</v>
      </c>
      <c r="L4149" s="335">
        <f t="shared" si="916"/>
        <v>0</v>
      </c>
      <c r="M4149" s="446"/>
      <c r="N4149" s="446"/>
      <c r="O4149" s="446"/>
      <c r="P4149" s="446"/>
      <c r="Q4149" s="110">
        <v>8</v>
      </c>
      <c r="R4149" s="111">
        <f t="shared" si="928"/>
        <v>836.24400000000003</v>
      </c>
      <c r="S4149" s="110"/>
      <c r="T4149" s="110"/>
      <c r="U4149" s="110">
        <v>8</v>
      </c>
      <c r="V4149" s="111">
        <f t="shared" si="929"/>
        <v>836.24400000000003</v>
      </c>
      <c r="W4149" s="110"/>
      <c r="X4149" s="110"/>
      <c r="Y4149" s="110"/>
      <c r="Z4149" s="110"/>
      <c r="AA4149" s="110">
        <v>7</v>
      </c>
      <c r="AB4149" s="111">
        <f t="shared" si="921"/>
        <v>836.24400000000003</v>
      </c>
      <c r="AC4149" s="110"/>
      <c r="AD4149" s="110"/>
      <c r="AE4149" s="110">
        <v>7</v>
      </c>
      <c r="AF4149" s="111">
        <f t="shared" si="917"/>
        <v>836.24400000000003</v>
      </c>
      <c r="AG4149" s="110"/>
      <c r="AH4149" s="110"/>
      <c r="AI4149" s="110"/>
      <c r="AJ4149" s="110"/>
      <c r="AK4149" s="111">
        <f t="shared" si="918"/>
        <v>3344.9760000000001</v>
      </c>
      <c r="AL4149" s="446">
        <f t="shared" si="919"/>
        <v>0</v>
      </c>
      <c r="AM4149" s="110">
        <f t="shared" si="920"/>
        <v>30</v>
      </c>
      <c r="AN4149" s="447">
        <f t="shared" si="923"/>
        <v>0</v>
      </c>
      <c r="AO4149"/>
      <c r="AP4149"/>
    </row>
    <row r="4150" spans="1:42" ht="66" x14ac:dyDescent="0.25">
      <c r="A4150" s="94"/>
      <c r="B4150" s="227" t="s">
        <v>1676</v>
      </c>
      <c r="C4150" s="1028"/>
      <c r="D4150" s="869">
        <v>30</v>
      </c>
      <c r="E4150" s="1027" t="s">
        <v>1721</v>
      </c>
      <c r="F4150" s="273" t="s">
        <v>3446</v>
      </c>
      <c r="G4150" s="1040" t="s">
        <v>3463</v>
      </c>
      <c r="H4150" s="273" t="s">
        <v>3462</v>
      </c>
      <c r="I4150" s="720">
        <f t="shared" si="922"/>
        <v>111.4992</v>
      </c>
      <c r="J4150" s="756">
        <v>3344.9760000000001</v>
      </c>
      <c r="K4150" s="131">
        <f t="shared" si="924"/>
        <v>3344.9760000000001</v>
      </c>
      <c r="L4150" s="335">
        <f t="shared" ref="L4150:L4213" si="930">+J4150-K4150</f>
        <v>0</v>
      </c>
      <c r="M4150" s="446"/>
      <c r="N4150" s="446"/>
      <c r="O4150" s="446"/>
      <c r="P4150" s="446"/>
      <c r="Q4150" s="110">
        <v>8</v>
      </c>
      <c r="R4150" s="111">
        <f t="shared" si="928"/>
        <v>836.24400000000003</v>
      </c>
      <c r="S4150" s="110"/>
      <c r="T4150" s="110"/>
      <c r="U4150" s="110">
        <v>8</v>
      </c>
      <c r="V4150" s="111">
        <f t="shared" si="929"/>
        <v>836.24400000000003</v>
      </c>
      <c r="W4150" s="110"/>
      <c r="X4150" s="110"/>
      <c r="Y4150" s="110"/>
      <c r="Z4150" s="110"/>
      <c r="AA4150" s="110">
        <v>7</v>
      </c>
      <c r="AB4150" s="111">
        <f t="shared" si="921"/>
        <v>836.24400000000003</v>
      </c>
      <c r="AC4150" s="110"/>
      <c r="AD4150" s="110"/>
      <c r="AE4150" s="110">
        <v>7</v>
      </c>
      <c r="AF4150" s="111">
        <f t="shared" ref="AF4150:AF4213" si="931">+J4150/4</f>
        <v>836.24400000000003</v>
      </c>
      <c r="AG4150" s="110"/>
      <c r="AH4150" s="110"/>
      <c r="AI4150" s="110"/>
      <c r="AJ4150" s="110"/>
      <c r="AK4150" s="111">
        <f t="shared" ref="AK4150:AK4213" si="932">+R4150+V4150+AB4150+AF4150</f>
        <v>3344.9760000000001</v>
      </c>
      <c r="AL4150" s="446">
        <f t="shared" ref="AL4150:AL4213" si="933">+J4150-AK4150</f>
        <v>0</v>
      </c>
      <c r="AM4150" s="110">
        <f t="shared" ref="AM4150:AM4213" si="934">+Q4150+U4150+AA4150+AE4150</f>
        <v>30</v>
      </c>
      <c r="AN4150" s="447">
        <f t="shared" si="923"/>
        <v>0</v>
      </c>
      <c r="AO4150"/>
      <c r="AP4150"/>
    </row>
    <row r="4151" spans="1:42" ht="66" x14ac:dyDescent="0.25">
      <c r="A4151" s="94"/>
      <c r="B4151" s="227" t="s">
        <v>1677</v>
      </c>
      <c r="C4151" s="1028"/>
      <c r="D4151" s="869">
        <v>30</v>
      </c>
      <c r="E4151" s="1027" t="s">
        <v>1721</v>
      </c>
      <c r="F4151" s="273" t="s">
        <v>3446</v>
      </c>
      <c r="G4151" s="1040" t="s">
        <v>3463</v>
      </c>
      <c r="H4151" s="273" t="s">
        <v>3462</v>
      </c>
      <c r="I4151" s="720">
        <f t="shared" si="922"/>
        <v>111.4992</v>
      </c>
      <c r="J4151" s="756">
        <v>3344.9760000000001</v>
      </c>
      <c r="K4151" s="131">
        <f t="shared" si="924"/>
        <v>3344.9760000000001</v>
      </c>
      <c r="L4151" s="335">
        <f t="shared" si="930"/>
        <v>0</v>
      </c>
      <c r="M4151" s="446"/>
      <c r="N4151" s="446"/>
      <c r="O4151" s="446"/>
      <c r="P4151" s="446"/>
      <c r="Q4151" s="110">
        <v>8</v>
      </c>
      <c r="R4151" s="111">
        <f t="shared" si="928"/>
        <v>836.24400000000003</v>
      </c>
      <c r="S4151" s="110"/>
      <c r="T4151" s="110"/>
      <c r="U4151" s="110">
        <v>8</v>
      </c>
      <c r="V4151" s="111">
        <f t="shared" si="929"/>
        <v>836.24400000000003</v>
      </c>
      <c r="W4151" s="110"/>
      <c r="X4151" s="110"/>
      <c r="Y4151" s="110"/>
      <c r="Z4151" s="110"/>
      <c r="AA4151" s="110">
        <v>7</v>
      </c>
      <c r="AB4151" s="111">
        <f t="shared" si="921"/>
        <v>836.24400000000003</v>
      </c>
      <c r="AC4151" s="110"/>
      <c r="AD4151" s="110"/>
      <c r="AE4151" s="110">
        <v>7</v>
      </c>
      <c r="AF4151" s="111">
        <f t="shared" si="931"/>
        <v>836.24400000000003</v>
      </c>
      <c r="AG4151" s="110"/>
      <c r="AH4151" s="110"/>
      <c r="AI4151" s="110"/>
      <c r="AJ4151" s="110"/>
      <c r="AK4151" s="111">
        <f t="shared" si="932"/>
        <v>3344.9760000000001</v>
      </c>
      <c r="AL4151" s="446">
        <f t="shared" si="933"/>
        <v>0</v>
      </c>
      <c r="AM4151" s="110">
        <f t="shared" si="934"/>
        <v>30</v>
      </c>
      <c r="AN4151" s="447">
        <f t="shared" si="923"/>
        <v>0</v>
      </c>
      <c r="AO4151"/>
      <c r="AP4151"/>
    </row>
    <row r="4152" spans="1:42" ht="66" x14ac:dyDescent="0.25">
      <c r="A4152" s="94"/>
      <c r="B4152" s="227" t="s">
        <v>1678</v>
      </c>
      <c r="C4152" s="1028"/>
      <c r="D4152" s="869">
        <v>30</v>
      </c>
      <c r="E4152" s="1027" t="s">
        <v>1721</v>
      </c>
      <c r="F4152" s="273" t="s">
        <v>3446</v>
      </c>
      <c r="G4152" s="1040" t="s">
        <v>3463</v>
      </c>
      <c r="H4152" s="273" t="s">
        <v>3462</v>
      </c>
      <c r="I4152" s="720">
        <f t="shared" si="922"/>
        <v>111.4992</v>
      </c>
      <c r="J4152" s="756">
        <v>3344.9760000000001</v>
      </c>
      <c r="K4152" s="131">
        <f t="shared" si="924"/>
        <v>3344.9760000000001</v>
      </c>
      <c r="L4152" s="335">
        <f t="shared" si="930"/>
        <v>0</v>
      </c>
      <c r="M4152" s="446"/>
      <c r="N4152" s="446"/>
      <c r="O4152" s="446"/>
      <c r="P4152" s="446"/>
      <c r="Q4152" s="110">
        <v>8</v>
      </c>
      <c r="R4152" s="111">
        <f t="shared" si="928"/>
        <v>836.24400000000003</v>
      </c>
      <c r="S4152" s="110"/>
      <c r="T4152" s="110"/>
      <c r="U4152" s="110">
        <v>8</v>
      </c>
      <c r="V4152" s="111">
        <f t="shared" si="929"/>
        <v>836.24400000000003</v>
      </c>
      <c r="W4152" s="110"/>
      <c r="X4152" s="110"/>
      <c r="Y4152" s="110"/>
      <c r="Z4152" s="110"/>
      <c r="AA4152" s="110">
        <v>7</v>
      </c>
      <c r="AB4152" s="111">
        <f t="shared" si="921"/>
        <v>836.24400000000003</v>
      </c>
      <c r="AC4152" s="110"/>
      <c r="AD4152" s="110"/>
      <c r="AE4152" s="110">
        <v>7</v>
      </c>
      <c r="AF4152" s="111">
        <f t="shared" si="931"/>
        <v>836.24400000000003</v>
      </c>
      <c r="AG4152" s="110"/>
      <c r="AH4152" s="110"/>
      <c r="AI4152" s="110"/>
      <c r="AJ4152" s="110"/>
      <c r="AK4152" s="111">
        <f t="shared" si="932"/>
        <v>3344.9760000000001</v>
      </c>
      <c r="AL4152" s="446">
        <f t="shared" si="933"/>
        <v>0</v>
      </c>
      <c r="AM4152" s="110">
        <f t="shared" si="934"/>
        <v>30</v>
      </c>
      <c r="AN4152" s="447">
        <f t="shared" si="923"/>
        <v>0</v>
      </c>
      <c r="AO4152"/>
      <c r="AP4152"/>
    </row>
    <row r="4153" spans="1:42" ht="66" x14ac:dyDescent="0.25">
      <c r="A4153" s="94"/>
      <c r="B4153" s="227" t="s">
        <v>1679</v>
      </c>
      <c r="C4153" s="1028"/>
      <c r="D4153" s="869">
        <v>50</v>
      </c>
      <c r="E4153" s="1027" t="s">
        <v>1721</v>
      </c>
      <c r="F4153" s="273" t="s">
        <v>3446</v>
      </c>
      <c r="G4153" s="1040" t="s">
        <v>3463</v>
      </c>
      <c r="H4153" s="273" t="s">
        <v>3462</v>
      </c>
      <c r="I4153" s="720">
        <f t="shared" si="922"/>
        <v>77.673599999999993</v>
      </c>
      <c r="J4153" s="756">
        <v>3883.68</v>
      </c>
      <c r="K4153" s="131">
        <f t="shared" si="924"/>
        <v>3883.68</v>
      </c>
      <c r="L4153" s="335">
        <f t="shared" si="930"/>
        <v>0</v>
      </c>
      <c r="M4153" s="446"/>
      <c r="N4153" s="446"/>
      <c r="O4153" s="446"/>
      <c r="P4153" s="446"/>
      <c r="Q4153" s="110">
        <v>13</v>
      </c>
      <c r="R4153" s="111">
        <f t="shared" si="928"/>
        <v>970.92</v>
      </c>
      <c r="S4153" s="110"/>
      <c r="T4153" s="110"/>
      <c r="U4153" s="110">
        <v>12</v>
      </c>
      <c r="V4153" s="111">
        <f t="shared" si="929"/>
        <v>970.92</v>
      </c>
      <c r="W4153" s="110"/>
      <c r="X4153" s="110"/>
      <c r="Y4153" s="110"/>
      <c r="Z4153" s="110"/>
      <c r="AA4153" s="110">
        <v>12</v>
      </c>
      <c r="AB4153" s="111">
        <f t="shared" si="921"/>
        <v>970.92</v>
      </c>
      <c r="AC4153" s="110"/>
      <c r="AD4153" s="110"/>
      <c r="AE4153" s="110">
        <v>13</v>
      </c>
      <c r="AF4153" s="111">
        <f t="shared" si="931"/>
        <v>970.92</v>
      </c>
      <c r="AG4153" s="110"/>
      <c r="AH4153" s="110"/>
      <c r="AI4153" s="110"/>
      <c r="AJ4153" s="110"/>
      <c r="AK4153" s="111">
        <f t="shared" si="932"/>
        <v>3883.68</v>
      </c>
      <c r="AL4153" s="446">
        <f t="shared" si="933"/>
        <v>0</v>
      </c>
      <c r="AM4153" s="110">
        <f t="shared" si="934"/>
        <v>50</v>
      </c>
      <c r="AN4153" s="447">
        <f t="shared" si="923"/>
        <v>0</v>
      </c>
      <c r="AO4153"/>
      <c r="AP4153"/>
    </row>
    <row r="4154" spans="1:42" ht="66" x14ac:dyDescent="0.25">
      <c r="A4154" s="94"/>
      <c r="B4154" s="227" t="s">
        <v>1680</v>
      </c>
      <c r="C4154" s="1028"/>
      <c r="D4154" s="869">
        <v>50</v>
      </c>
      <c r="E4154" s="1027" t="s">
        <v>1721</v>
      </c>
      <c r="F4154" s="273" t="s">
        <v>3446</v>
      </c>
      <c r="G4154" s="1040" t="s">
        <v>3463</v>
      </c>
      <c r="H4154" s="273" t="s">
        <v>3462</v>
      </c>
      <c r="I4154" s="720">
        <f t="shared" si="922"/>
        <v>77.673599999999993</v>
      </c>
      <c r="J4154" s="756">
        <v>3883.68</v>
      </c>
      <c r="K4154" s="131">
        <f t="shared" si="924"/>
        <v>3883.68</v>
      </c>
      <c r="L4154" s="335">
        <f t="shared" si="930"/>
        <v>0</v>
      </c>
      <c r="M4154" s="446"/>
      <c r="N4154" s="446"/>
      <c r="O4154" s="446"/>
      <c r="P4154" s="446"/>
      <c r="Q4154" s="110">
        <v>13</v>
      </c>
      <c r="R4154" s="111">
        <f t="shared" si="928"/>
        <v>970.92</v>
      </c>
      <c r="S4154" s="110"/>
      <c r="T4154" s="110"/>
      <c r="U4154" s="110">
        <v>12</v>
      </c>
      <c r="V4154" s="111">
        <f t="shared" si="929"/>
        <v>970.92</v>
      </c>
      <c r="W4154" s="110"/>
      <c r="X4154" s="110"/>
      <c r="Y4154" s="110"/>
      <c r="Z4154" s="110"/>
      <c r="AA4154" s="110">
        <v>12</v>
      </c>
      <c r="AB4154" s="111">
        <f t="shared" si="921"/>
        <v>970.92</v>
      </c>
      <c r="AC4154" s="110"/>
      <c r="AD4154" s="110"/>
      <c r="AE4154" s="110">
        <v>13</v>
      </c>
      <c r="AF4154" s="111">
        <f t="shared" si="931"/>
        <v>970.92</v>
      </c>
      <c r="AG4154" s="110"/>
      <c r="AH4154" s="110"/>
      <c r="AI4154" s="110"/>
      <c r="AJ4154" s="110"/>
      <c r="AK4154" s="111">
        <f t="shared" si="932"/>
        <v>3883.68</v>
      </c>
      <c r="AL4154" s="446">
        <f t="shared" si="933"/>
        <v>0</v>
      </c>
      <c r="AM4154" s="110">
        <f t="shared" si="934"/>
        <v>50</v>
      </c>
      <c r="AN4154" s="447">
        <f t="shared" si="923"/>
        <v>0</v>
      </c>
      <c r="AO4154"/>
      <c r="AP4154"/>
    </row>
    <row r="4155" spans="1:42" ht="66" x14ac:dyDescent="0.25">
      <c r="A4155" s="94"/>
      <c r="B4155" s="227" t="s">
        <v>1681</v>
      </c>
      <c r="C4155" s="1028"/>
      <c r="D4155" s="869">
        <v>50</v>
      </c>
      <c r="E4155" s="1027" t="s">
        <v>1721</v>
      </c>
      <c r="F4155" s="273" t="s">
        <v>3446</v>
      </c>
      <c r="G4155" s="1040" t="s">
        <v>3463</v>
      </c>
      <c r="H4155" s="273" t="s">
        <v>3462</v>
      </c>
      <c r="I4155" s="720">
        <f t="shared" si="922"/>
        <v>87.695999999999998</v>
      </c>
      <c r="J4155" s="756">
        <v>4384.8</v>
      </c>
      <c r="K4155" s="131">
        <f t="shared" si="924"/>
        <v>4384.8</v>
      </c>
      <c r="L4155" s="335">
        <f t="shared" si="930"/>
        <v>0</v>
      </c>
      <c r="M4155" s="446"/>
      <c r="N4155" s="446"/>
      <c r="O4155" s="446"/>
      <c r="P4155" s="446"/>
      <c r="Q4155" s="110">
        <v>13</v>
      </c>
      <c r="R4155" s="111">
        <f t="shared" si="928"/>
        <v>1096.2</v>
      </c>
      <c r="S4155" s="110"/>
      <c r="T4155" s="110"/>
      <c r="U4155" s="110">
        <v>12</v>
      </c>
      <c r="V4155" s="111">
        <f t="shared" si="929"/>
        <v>1096.2</v>
      </c>
      <c r="W4155" s="110"/>
      <c r="X4155" s="110"/>
      <c r="Y4155" s="110"/>
      <c r="Z4155" s="110"/>
      <c r="AA4155" s="110">
        <v>12</v>
      </c>
      <c r="AB4155" s="111">
        <f t="shared" si="921"/>
        <v>1096.2</v>
      </c>
      <c r="AC4155" s="110"/>
      <c r="AD4155" s="110"/>
      <c r="AE4155" s="110">
        <v>13</v>
      </c>
      <c r="AF4155" s="111">
        <f t="shared" si="931"/>
        <v>1096.2</v>
      </c>
      <c r="AG4155" s="110"/>
      <c r="AH4155" s="110"/>
      <c r="AI4155" s="110"/>
      <c r="AJ4155" s="110"/>
      <c r="AK4155" s="111">
        <f t="shared" si="932"/>
        <v>4384.8</v>
      </c>
      <c r="AL4155" s="446">
        <f t="shared" si="933"/>
        <v>0</v>
      </c>
      <c r="AM4155" s="110">
        <f t="shared" si="934"/>
        <v>50</v>
      </c>
      <c r="AN4155" s="447">
        <f t="shared" si="923"/>
        <v>0</v>
      </c>
      <c r="AO4155"/>
      <c r="AP4155"/>
    </row>
    <row r="4156" spans="1:42" ht="66" x14ac:dyDescent="0.25">
      <c r="A4156" s="94"/>
      <c r="B4156" s="227" t="s">
        <v>1682</v>
      </c>
      <c r="C4156" s="1028"/>
      <c r="D4156" s="869">
        <v>50</v>
      </c>
      <c r="E4156" s="1027" t="s">
        <v>1721</v>
      </c>
      <c r="F4156" s="273" t="s">
        <v>3446</v>
      </c>
      <c r="G4156" s="1040" t="s">
        <v>3463</v>
      </c>
      <c r="H4156" s="273" t="s">
        <v>3462</v>
      </c>
      <c r="I4156" s="720">
        <f t="shared" si="922"/>
        <v>98.971199999999996</v>
      </c>
      <c r="J4156" s="756">
        <v>4948.5599999999995</v>
      </c>
      <c r="K4156" s="131">
        <f t="shared" si="924"/>
        <v>4948.5599999999995</v>
      </c>
      <c r="L4156" s="335">
        <f t="shared" si="930"/>
        <v>0</v>
      </c>
      <c r="M4156" s="446"/>
      <c r="N4156" s="446"/>
      <c r="O4156" s="446"/>
      <c r="P4156" s="446"/>
      <c r="Q4156" s="110">
        <v>13</v>
      </c>
      <c r="R4156" s="111">
        <f t="shared" si="928"/>
        <v>1237.1399999999999</v>
      </c>
      <c r="S4156" s="110"/>
      <c r="T4156" s="110"/>
      <c r="U4156" s="110">
        <v>12</v>
      </c>
      <c r="V4156" s="111">
        <f t="shared" si="929"/>
        <v>1237.1399999999999</v>
      </c>
      <c r="W4156" s="110"/>
      <c r="X4156" s="110"/>
      <c r="Y4156" s="110"/>
      <c r="Z4156" s="110"/>
      <c r="AA4156" s="110">
        <v>12</v>
      </c>
      <c r="AB4156" s="111">
        <f t="shared" si="921"/>
        <v>1237.1399999999999</v>
      </c>
      <c r="AC4156" s="110"/>
      <c r="AD4156" s="110"/>
      <c r="AE4156" s="110">
        <v>13</v>
      </c>
      <c r="AF4156" s="111">
        <f t="shared" si="931"/>
        <v>1237.1399999999999</v>
      </c>
      <c r="AG4156" s="110"/>
      <c r="AH4156" s="110"/>
      <c r="AI4156" s="110"/>
      <c r="AJ4156" s="110"/>
      <c r="AK4156" s="111">
        <f t="shared" si="932"/>
        <v>4948.5599999999995</v>
      </c>
      <c r="AL4156" s="446">
        <f t="shared" si="933"/>
        <v>0</v>
      </c>
      <c r="AM4156" s="110">
        <f t="shared" si="934"/>
        <v>50</v>
      </c>
      <c r="AN4156" s="447">
        <f t="shared" si="923"/>
        <v>0</v>
      </c>
      <c r="AO4156"/>
      <c r="AP4156"/>
    </row>
    <row r="4157" spans="1:42" ht="66" x14ac:dyDescent="0.25">
      <c r="A4157" s="94"/>
      <c r="B4157" s="227" t="s">
        <v>1683</v>
      </c>
      <c r="C4157" s="1028"/>
      <c r="D4157" s="869">
        <v>50</v>
      </c>
      <c r="E4157" s="1027" t="s">
        <v>1721</v>
      </c>
      <c r="F4157" s="273" t="s">
        <v>3446</v>
      </c>
      <c r="G4157" s="1040" t="s">
        <v>3463</v>
      </c>
      <c r="H4157" s="273" t="s">
        <v>3462</v>
      </c>
      <c r="I4157" s="720">
        <f t="shared" si="922"/>
        <v>98.971199999999996</v>
      </c>
      <c r="J4157" s="756">
        <v>4948.5599999999995</v>
      </c>
      <c r="K4157" s="131">
        <f t="shared" si="924"/>
        <v>4948.5599999999995</v>
      </c>
      <c r="L4157" s="335">
        <f t="shared" si="930"/>
        <v>0</v>
      </c>
      <c r="M4157" s="446"/>
      <c r="N4157" s="446"/>
      <c r="O4157" s="446"/>
      <c r="P4157" s="446"/>
      <c r="Q4157" s="110">
        <v>13</v>
      </c>
      <c r="R4157" s="111">
        <f t="shared" si="928"/>
        <v>1237.1399999999999</v>
      </c>
      <c r="S4157" s="110"/>
      <c r="T4157" s="110"/>
      <c r="U4157" s="110">
        <v>12</v>
      </c>
      <c r="V4157" s="111">
        <f t="shared" si="929"/>
        <v>1237.1399999999999</v>
      </c>
      <c r="W4157" s="110"/>
      <c r="X4157" s="110"/>
      <c r="Y4157" s="110"/>
      <c r="Z4157" s="110"/>
      <c r="AA4157" s="110">
        <v>12</v>
      </c>
      <c r="AB4157" s="111">
        <f t="shared" si="921"/>
        <v>1237.1399999999999</v>
      </c>
      <c r="AC4157" s="110"/>
      <c r="AD4157" s="110"/>
      <c r="AE4157" s="110">
        <v>13</v>
      </c>
      <c r="AF4157" s="111">
        <f t="shared" si="931"/>
        <v>1237.1399999999999</v>
      </c>
      <c r="AG4157" s="110"/>
      <c r="AH4157" s="110"/>
      <c r="AI4157" s="110"/>
      <c r="AJ4157" s="110"/>
      <c r="AK4157" s="111">
        <f t="shared" si="932"/>
        <v>4948.5599999999995</v>
      </c>
      <c r="AL4157" s="446">
        <f t="shared" si="933"/>
        <v>0</v>
      </c>
      <c r="AM4157" s="110">
        <f t="shared" si="934"/>
        <v>50</v>
      </c>
      <c r="AN4157" s="447">
        <f t="shared" si="923"/>
        <v>0</v>
      </c>
      <c r="AO4157"/>
      <c r="AP4157"/>
    </row>
    <row r="4158" spans="1:42" ht="66" x14ac:dyDescent="0.25">
      <c r="A4158" s="94"/>
      <c r="B4158" s="227" t="s">
        <v>1684</v>
      </c>
      <c r="C4158" s="1028"/>
      <c r="D4158" s="869">
        <v>50</v>
      </c>
      <c r="E4158" s="1027" t="s">
        <v>1721</v>
      </c>
      <c r="F4158" s="273" t="s">
        <v>3446</v>
      </c>
      <c r="G4158" s="1040" t="s">
        <v>3463</v>
      </c>
      <c r="H4158" s="273" t="s">
        <v>3462</v>
      </c>
      <c r="I4158" s="720">
        <f t="shared" si="922"/>
        <v>98.971199999999996</v>
      </c>
      <c r="J4158" s="756">
        <v>4948.5599999999995</v>
      </c>
      <c r="K4158" s="131">
        <f t="shared" si="924"/>
        <v>4948.5599999999995</v>
      </c>
      <c r="L4158" s="335">
        <f t="shared" si="930"/>
        <v>0</v>
      </c>
      <c r="M4158" s="446"/>
      <c r="N4158" s="446"/>
      <c r="O4158" s="446"/>
      <c r="P4158" s="446"/>
      <c r="Q4158" s="110">
        <v>13</v>
      </c>
      <c r="R4158" s="111">
        <f t="shared" si="928"/>
        <v>1237.1399999999999</v>
      </c>
      <c r="S4158" s="110"/>
      <c r="T4158" s="110"/>
      <c r="U4158" s="110">
        <v>12</v>
      </c>
      <c r="V4158" s="111">
        <f t="shared" si="929"/>
        <v>1237.1399999999999</v>
      </c>
      <c r="W4158" s="110"/>
      <c r="X4158" s="110"/>
      <c r="Y4158" s="110"/>
      <c r="Z4158" s="110"/>
      <c r="AA4158" s="110">
        <v>12</v>
      </c>
      <c r="AB4158" s="111">
        <f t="shared" si="921"/>
        <v>1237.1399999999999</v>
      </c>
      <c r="AC4158" s="110"/>
      <c r="AD4158" s="110"/>
      <c r="AE4158" s="110">
        <v>13</v>
      </c>
      <c r="AF4158" s="111">
        <f t="shared" si="931"/>
        <v>1237.1399999999999</v>
      </c>
      <c r="AG4158" s="110"/>
      <c r="AH4158" s="110"/>
      <c r="AI4158" s="110"/>
      <c r="AJ4158" s="110"/>
      <c r="AK4158" s="111">
        <f t="shared" si="932"/>
        <v>4948.5599999999995</v>
      </c>
      <c r="AL4158" s="446">
        <f t="shared" si="933"/>
        <v>0</v>
      </c>
      <c r="AM4158" s="110">
        <f t="shared" si="934"/>
        <v>50</v>
      </c>
      <c r="AN4158" s="447">
        <f t="shared" si="923"/>
        <v>0</v>
      </c>
      <c r="AO4158"/>
      <c r="AP4158"/>
    </row>
    <row r="4159" spans="1:42" ht="66" x14ac:dyDescent="0.25">
      <c r="A4159" s="94"/>
      <c r="B4159" s="227" t="s">
        <v>1685</v>
      </c>
      <c r="C4159" s="1028"/>
      <c r="D4159" s="869">
        <v>50</v>
      </c>
      <c r="E4159" s="1027" t="s">
        <v>1721</v>
      </c>
      <c r="F4159" s="273" t="s">
        <v>3446</v>
      </c>
      <c r="G4159" s="1040" t="s">
        <v>3463</v>
      </c>
      <c r="H4159" s="273" t="s">
        <v>3462</v>
      </c>
      <c r="I4159" s="720">
        <f t="shared" si="922"/>
        <v>117.7632</v>
      </c>
      <c r="J4159" s="756">
        <v>5888.16</v>
      </c>
      <c r="K4159" s="131">
        <f t="shared" si="924"/>
        <v>5888.16</v>
      </c>
      <c r="L4159" s="335">
        <f t="shared" si="930"/>
        <v>0</v>
      </c>
      <c r="M4159" s="446"/>
      <c r="N4159" s="446"/>
      <c r="O4159" s="446"/>
      <c r="P4159" s="446"/>
      <c r="Q4159" s="110">
        <v>13</v>
      </c>
      <c r="R4159" s="111">
        <f t="shared" si="928"/>
        <v>1472.04</v>
      </c>
      <c r="S4159" s="110"/>
      <c r="T4159" s="110"/>
      <c r="U4159" s="110">
        <v>12</v>
      </c>
      <c r="V4159" s="111">
        <f t="shared" si="929"/>
        <v>1472.04</v>
      </c>
      <c r="W4159" s="110"/>
      <c r="X4159" s="110"/>
      <c r="Y4159" s="110"/>
      <c r="Z4159" s="110"/>
      <c r="AA4159" s="110">
        <v>12</v>
      </c>
      <c r="AB4159" s="111">
        <f t="shared" si="921"/>
        <v>1472.04</v>
      </c>
      <c r="AC4159" s="110"/>
      <c r="AD4159" s="110"/>
      <c r="AE4159" s="110">
        <v>13</v>
      </c>
      <c r="AF4159" s="111">
        <f t="shared" si="931"/>
        <v>1472.04</v>
      </c>
      <c r="AG4159" s="110"/>
      <c r="AH4159" s="110"/>
      <c r="AI4159" s="110"/>
      <c r="AJ4159" s="110"/>
      <c r="AK4159" s="111">
        <f t="shared" si="932"/>
        <v>5888.16</v>
      </c>
      <c r="AL4159" s="446">
        <f t="shared" si="933"/>
        <v>0</v>
      </c>
      <c r="AM4159" s="110">
        <f t="shared" si="934"/>
        <v>50</v>
      </c>
      <c r="AN4159" s="447">
        <f t="shared" si="923"/>
        <v>0</v>
      </c>
      <c r="AO4159"/>
      <c r="AP4159"/>
    </row>
    <row r="4160" spans="1:42" ht="66" x14ac:dyDescent="0.25">
      <c r="A4160" s="94"/>
      <c r="B4160" s="227" t="s">
        <v>1686</v>
      </c>
      <c r="C4160" s="1028"/>
      <c r="D4160" s="869">
        <v>50</v>
      </c>
      <c r="E4160" s="1027" t="s">
        <v>1721</v>
      </c>
      <c r="F4160" s="273" t="s">
        <v>3446</v>
      </c>
      <c r="G4160" s="1040" t="s">
        <v>3463</v>
      </c>
      <c r="H4160" s="273" t="s">
        <v>3462</v>
      </c>
      <c r="I4160" s="720">
        <f t="shared" si="922"/>
        <v>117.7632</v>
      </c>
      <c r="J4160" s="756">
        <v>5888.16</v>
      </c>
      <c r="K4160" s="131">
        <f t="shared" si="924"/>
        <v>5888.16</v>
      </c>
      <c r="L4160" s="335">
        <f t="shared" si="930"/>
        <v>0</v>
      </c>
      <c r="M4160" s="446"/>
      <c r="N4160" s="446"/>
      <c r="O4160" s="446"/>
      <c r="P4160" s="446"/>
      <c r="Q4160" s="110">
        <v>13</v>
      </c>
      <c r="R4160" s="111">
        <f t="shared" si="928"/>
        <v>1472.04</v>
      </c>
      <c r="S4160" s="110"/>
      <c r="T4160" s="110"/>
      <c r="U4160" s="110">
        <v>12</v>
      </c>
      <c r="V4160" s="111">
        <f t="shared" si="929"/>
        <v>1472.04</v>
      </c>
      <c r="W4160" s="110"/>
      <c r="X4160" s="110"/>
      <c r="Y4160" s="110"/>
      <c r="Z4160" s="110"/>
      <c r="AA4160" s="110">
        <v>12</v>
      </c>
      <c r="AB4160" s="111">
        <f t="shared" si="921"/>
        <v>1472.04</v>
      </c>
      <c r="AC4160" s="110"/>
      <c r="AD4160" s="110"/>
      <c r="AE4160" s="110">
        <v>13</v>
      </c>
      <c r="AF4160" s="111">
        <f t="shared" si="931"/>
        <v>1472.04</v>
      </c>
      <c r="AG4160" s="110"/>
      <c r="AH4160" s="110"/>
      <c r="AI4160" s="110"/>
      <c r="AJ4160" s="110"/>
      <c r="AK4160" s="111">
        <f t="shared" si="932"/>
        <v>5888.16</v>
      </c>
      <c r="AL4160" s="446">
        <f t="shared" si="933"/>
        <v>0</v>
      </c>
      <c r="AM4160" s="110">
        <f t="shared" si="934"/>
        <v>50</v>
      </c>
      <c r="AN4160" s="447">
        <f t="shared" si="923"/>
        <v>0</v>
      </c>
      <c r="AO4160"/>
      <c r="AP4160"/>
    </row>
    <row r="4161" spans="1:42" ht="66" x14ac:dyDescent="0.25">
      <c r="A4161" s="94"/>
      <c r="B4161" s="227" t="s">
        <v>1687</v>
      </c>
      <c r="C4161" s="1028"/>
      <c r="D4161" s="869">
        <v>50</v>
      </c>
      <c r="E4161" s="1027" t="s">
        <v>1721</v>
      </c>
      <c r="F4161" s="273" t="s">
        <v>3446</v>
      </c>
      <c r="G4161" s="1040" t="s">
        <v>3463</v>
      </c>
      <c r="H4161" s="273" t="s">
        <v>3462</v>
      </c>
      <c r="I4161" s="720">
        <f t="shared" si="922"/>
        <v>117.7632</v>
      </c>
      <c r="J4161" s="756">
        <v>5888.16</v>
      </c>
      <c r="K4161" s="131">
        <f t="shared" si="924"/>
        <v>5888.16</v>
      </c>
      <c r="L4161" s="335">
        <f t="shared" si="930"/>
        <v>0</v>
      </c>
      <c r="M4161" s="446"/>
      <c r="N4161" s="446"/>
      <c r="O4161" s="446"/>
      <c r="P4161" s="446"/>
      <c r="Q4161" s="110">
        <v>13</v>
      </c>
      <c r="R4161" s="111">
        <f t="shared" si="928"/>
        <v>1472.04</v>
      </c>
      <c r="S4161" s="110"/>
      <c r="T4161" s="110"/>
      <c r="U4161" s="110">
        <v>12</v>
      </c>
      <c r="V4161" s="111">
        <f t="shared" si="929"/>
        <v>1472.04</v>
      </c>
      <c r="W4161" s="110"/>
      <c r="X4161" s="110"/>
      <c r="Y4161" s="110"/>
      <c r="Z4161" s="110"/>
      <c r="AA4161" s="110">
        <v>12</v>
      </c>
      <c r="AB4161" s="111">
        <f t="shared" si="921"/>
        <v>1472.04</v>
      </c>
      <c r="AC4161" s="110"/>
      <c r="AD4161" s="110"/>
      <c r="AE4161" s="110">
        <v>13</v>
      </c>
      <c r="AF4161" s="111">
        <f t="shared" si="931"/>
        <v>1472.04</v>
      </c>
      <c r="AG4161" s="110"/>
      <c r="AH4161" s="110"/>
      <c r="AI4161" s="110"/>
      <c r="AJ4161" s="110"/>
      <c r="AK4161" s="111">
        <f t="shared" si="932"/>
        <v>5888.16</v>
      </c>
      <c r="AL4161" s="446">
        <f t="shared" si="933"/>
        <v>0</v>
      </c>
      <c r="AM4161" s="110">
        <f t="shared" si="934"/>
        <v>50</v>
      </c>
      <c r="AN4161" s="447">
        <f t="shared" si="923"/>
        <v>0</v>
      </c>
      <c r="AO4161"/>
      <c r="AP4161"/>
    </row>
    <row r="4162" spans="1:42" ht="66" x14ac:dyDescent="0.25">
      <c r="A4162" s="94"/>
      <c r="B4162" s="227" t="s">
        <v>1688</v>
      </c>
      <c r="C4162" s="1028"/>
      <c r="D4162" s="869">
        <v>40</v>
      </c>
      <c r="E4162" s="1027" t="s">
        <v>1721</v>
      </c>
      <c r="F4162" s="273" t="s">
        <v>3446</v>
      </c>
      <c r="G4162" s="1040" t="s">
        <v>3463</v>
      </c>
      <c r="H4162" s="273" t="s">
        <v>3462</v>
      </c>
      <c r="I4162" s="720">
        <f t="shared" si="922"/>
        <v>149.08320000000001</v>
      </c>
      <c r="J4162" s="756">
        <v>5963.3280000000004</v>
      </c>
      <c r="K4162" s="131">
        <f t="shared" si="924"/>
        <v>5963.3280000000004</v>
      </c>
      <c r="L4162" s="335">
        <f t="shared" si="930"/>
        <v>0</v>
      </c>
      <c r="M4162" s="446"/>
      <c r="N4162" s="446"/>
      <c r="O4162" s="446"/>
      <c r="P4162" s="446"/>
      <c r="Q4162" s="110">
        <f t="shared" si="925"/>
        <v>10</v>
      </c>
      <c r="R4162" s="111">
        <f t="shared" si="928"/>
        <v>1490.8320000000001</v>
      </c>
      <c r="S4162" s="110"/>
      <c r="T4162" s="110"/>
      <c r="U4162" s="110">
        <f t="shared" si="926"/>
        <v>10</v>
      </c>
      <c r="V4162" s="111">
        <f t="shared" si="929"/>
        <v>1490.8320000000001</v>
      </c>
      <c r="W4162" s="110"/>
      <c r="X4162" s="110"/>
      <c r="Y4162" s="110"/>
      <c r="Z4162" s="110"/>
      <c r="AA4162" s="110">
        <f t="shared" si="927"/>
        <v>10</v>
      </c>
      <c r="AB4162" s="111">
        <f t="shared" si="921"/>
        <v>1490.8320000000001</v>
      </c>
      <c r="AC4162" s="110"/>
      <c r="AD4162" s="110"/>
      <c r="AE4162" s="110">
        <f t="shared" si="927"/>
        <v>10</v>
      </c>
      <c r="AF4162" s="111">
        <f t="shared" si="931"/>
        <v>1490.8320000000001</v>
      </c>
      <c r="AG4162" s="110"/>
      <c r="AH4162" s="110"/>
      <c r="AI4162" s="110"/>
      <c r="AJ4162" s="110"/>
      <c r="AK4162" s="111">
        <f t="shared" si="932"/>
        <v>5963.3280000000004</v>
      </c>
      <c r="AL4162" s="446">
        <f t="shared" si="933"/>
        <v>0</v>
      </c>
      <c r="AM4162" s="110">
        <f t="shared" si="934"/>
        <v>40</v>
      </c>
      <c r="AN4162" s="447">
        <f t="shared" si="923"/>
        <v>0</v>
      </c>
      <c r="AO4162"/>
      <c r="AP4162"/>
    </row>
    <row r="4163" spans="1:42" ht="66" x14ac:dyDescent="0.25">
      <c r="A4163" s="94"/>
      <c r="B4163" s="227" t="s">
        <v>1689</v>
      </c>
      <c r="C4163" s="1028"/>
      <c r="D4163" s="869">
        <v>40</v>
      </c>
      <c r="E4163" s="1027" t="s">
        <v>1721</v>
      </c>
      <c r="F4163" s="273" t="s">
        <v>3446</v>
      </c>
      <c r="G4163" s="1040" t="s">
        <v>3463</v>
      </c>
      <c r="H4163" s="273" t="s">
        <v>3462</v>
      </c>
      <c r="I4163" s="720">
        <f t="shared" si="922"/>
        <v>81.223199999999991</v>
      </c>
      <c r="J4163" s="756">
        <v>3248.9279999999999</v>
      </c>
      <c r="K4163" s="131">
        <f t="shared" si="924"/>
        <v>3248.9279999999999</v>
      </c>
      <c r="L4163" s="335">
        <f t="shared" si="930"/>
        <v>0</v>
      </c>
      <c r="M4163" s="446"/>
      <c r="N4163" s="446"/>
      <c r="O4163" s="446"/>
      <c r="P4163" s="446"/>
      <c r="Q4163" s="110">
        <f t="shared" si="925"/>
        <v>10</v>
      </c>
      <c r="R4163" s="111">
        <f t="shared" si="928"/>
        <v>812.23199999999997</v>
      </c>
      <c r="S4163" s="110"/>
      <c r="T4163" s="110"/>
      <c r="U4163" s="110">
        <f t="shared" si="926"/>
        <v>10</v>
      </c>
      <c r="V4163" s="111">
        <f t="shared" si="929"/>
        <v>812.23199999999997</v>
      </c>
      <c r="W4163" s="110"/>
      <c r="X4163" s="110"/>
      <c r="Y4163" s="110"/>
      <c r="Z4163" s="110"/>
      <c r="AA4163" s="110">
        <f t="shared" si="927"/>
        <v>10</v>
      </c>
      <c r="AB4163" s="111">
        <f t="shared" si="921"/>
        <v>812.23199999999997</v>
      </c>
      <c r="AC4163" s="110"/>
      <c r="AD4163" s="110"/>
      <c r="AE4163" s="110">
        <f t="shared" si="927"/>
        <v>10</v>
      </c>
      <c r="AF4163" s="111">
        <f t="shared" si="931"/>
        <v>812.23199999999997</v>
      </c>
      <c r="AG4163" s="110"/>
      <c r="AH4163" s="110"/>
      <c r="AI4163" s="110"/>
      <c r="AJ4163" s="110"/>
      <c r="AK4163" s="111">
        <f t="shared" si="932"/>
        <v>3248.9279999999999</v>
      </c>
      <c r="AL4163" s="446">
        <f t="shared" si="933"/>
        <v>0</v>
      </c>
      <c r="AM4163" s="110">
        <f t="shared" si="934"/>
        <v>40</v>
      </c>
      <c r="AN4163" s="447">
        <f t="shared" si="923"/>
        <v>0</v>
      </c>
      <c r="AO4163"/>
      <c r="AP4163"/>
    </row>
    <row r="4164" spans="1:42" ht="66" x14ac:dyDescent="0.25">
      <c r="A4164" s="94"/>
      <c r="B4164" s="227" t="s">
        <v>1690</v>
      </c>
      <c r="C4164" s="1028"/>
      <c r="D4164" s="869">
        <v>40</v>
      </c>
      <c r="E4164" s="1027" t="s">
        <v>1721</v>
      </c>
      <c r="F4164" s="273" t="s">
        <v>3446</v>
      </c>
      <c r="G4164" s="1040" t="s">
        <v>3463</v>
      </c>
      <c r="H4164" s="273" t="s">
        <v>3462</v>
      </c>
      <c r="I4164" s="720">
        <f t="shared" si="922"/>
        <v>150.31280000000001</v>
      </c>
      <c r="J4164" s="756">
        <v>6012.5120000000006</v>
      </c>
      <c r="K4164" s="131">
        <f t="shared" si="924"/>
        <v>6012.5120000000006</v>
      </c>
      <c r="L4164" s="335">
        <f t="shared" si="930"/>
        <v>0</v>
      </c>
      <c r="M4164" s="446"/>
      <c r="N4164" s="446"/>
      <c r="O4164" s="446"/>
      <c r="P4164" s="446"/>
      <c r="Q4164" s="110">
        <f t="shared" si="925"/>
        <v>10</v>
      </c>
      <c r="R4164" s="111">
        <f t="shared" si="928"/>
        <v>1503.1280000000002</v>
      </c>
      <c r="S4164" s="110"/>
      <c r="T4164" s="110"/>
      <c r="U4164" s="110">
        <f t="shared" si="926"/>
        <v>10</v>
      </c>
      <c r="V4164" s="111">
        <f t="shared" si="929"/>
        <v>1503.1280000000002</v>
      </c>
      <c r="W4164" s="110"/>
      <c r="X4164" s="110"/>
      <c r="Y4164" s="110"/>
      <c r="Z4164" s="110"/>
      <c r="AA4164" s="110">
        <f t="shared" si="927"/>
        <v>10</v>
      </c>
      <c r="AB4164" s="111">
        <f t="shared" si="921"/>
        <v>1503.1280000000002</v>
      </c>
      <c r="AC4164" s="110"/>
      <c r="AD4164" s="110"/>
      <c r="AE4164" s="110">
        <f t="shared" si="927"/>
        <v>10</v>
      </c>
      <c r="AF4164" s="111">
        <f t="shared" si="931"/>
        <v>1503.1280000000002</v>
      </c>
      <c r="AG4164" s="110"/>
      <c r="AH4164" s="110"/>
      <c r="AI4164" s="110"/>
      <c r="AJ4164" s="110"/>
      <c r="AK4164" s="111">
        <f t="shared" si="932"/>
        <v>6012.5120000000006</v>
      </c>
      <c r="AL4164" s="446">
        <f t="shared" si="933"/>
        <v>0</v>
      </c>
      <c r="AM4164" s="110">
        <f t="shared" si="934"/>
        <v>40</v>
      </c>
      <c r="AN4164" s="447">
        <f t="shared" si="923"/>
        <v>0</v>
      </c>
      <c r="AO4164"/>
      <c r="AP4164"/>
    </row>
    <row r="4165" spans="1:42" ht="66" x14ac:dyDescent="0.25">
      <c r="A4165" s="94"/>
      <c r="B4165" s="227" t="s">
        <v>1691</v>
      </c>
      <c r="C4165" s="1028"/>
      <c r="D4165" s="869">
        <v>20</v>
      </c>
      <c r="E4165" s="1027" t="s">
        <v>1721</v>
      </c>
      <c r="F4165" s="273" t="s">
        <v>3446</v>
      </c>
      <c r="G4165" s="1040" t="s">
        <v>3463</v>
      </c>
      <c r="H4165" s="273" t="s">
        <v>3462</v>
      </c>
      <c r="I4165" s="720">
        <f t="shared" si="922"/>
        <v>250.56</v>
      </c>
      <c r="J4165" s="756">
        <v>5011.2</v>
      </c>
      <c r="K4165" s="131">
        <f t="shared" si="924"/>
        <v>5011.2</v>
      </c>
      <c r="L4165" s="335">
        <f t="shared" si="930"/>
        <v>0</v>
      </c>
      <c r="M4165" s="446"/>
      <c r="N4165" s="446"/>
      <c r="O4165" s="446"/>
      <c r="P4165" s="446"/>
      <c r="Q4165" s="110">
        <f t="shared" si="925"/>
        <v>5</v>
      </c>
      <c r="R4165" s="111">
        <f t="shared" si="928"/>
        <v>1252.8</v>
      </c>
      <c r="S4165" s="110"/>
      <c r="T4165" s="110"/>
      <c r="U4165" s="110">
        <f t="shared" si="926"/>
        <v>5</v>
      </c>
      <c r="V4165" s="111">
        <f t="shared" si="929"/>
        <v>1252.8</v>
      </c>
      <c r="W4165" s="110"/>
      <c r="X4165" s="110"/>
      <c r="Y4165" s="110"/>
      <c r="Z4165" s="110"/>
      <c r="AA4165" s="110">
        <f t="shared" si="927"/>
        <v>5</v>
      </c>
      <c r="AB4165" s="111">
        <f t="shared" si="921"/>
        <v>1252.8</v>
      </c>
      <c r="AC4165" s="110"/>
      <c r="AD4165" s="110"/>
      <c r="AE4165" s="110">
        <f t="shared" si="927"/>
        <v>5</v>
      </c>
      <c r="AF4165" s="111">
        <f t="shared" si="931"/>
        <v>1252.8</v>
      </c>
      <c r="AG4165" s="110"/>
      <c r="AH4165" s="110"/>
      <c r="AI4165" s="110"/>
      <c r="AJ4165" s="110"/>
      <c r="AK4165" s="111">
        <f t="shared" si="932"/>
        <v>5011.2</v>
      </c>
      <c r="AL4165" s="446">
        <f t="shared" si="933"/>
        <v>0</v>
      </c>
      <c r="AM4165" s="110">
        <f t="shared" si="934"/>
        <v>20</v>
      </c>
      <c r="AN4165" s="447">
        <f t="shared" si="923"/>
        <v>0</v>
      </c>
      <c r="AO4165"/>
      <c r="AP4165"/>
    </row>
    <row r="4166" spans="1:42" ht="66" x14ac:dyDescent="0.25">
      <c r="A4166" s="94"/>
      <c r="B4166" s="227" t="s">
        <v>1692</v>
      </c>
      <c r="C4166" s="1028"/>
      <c r="D4166" s="869">
        <v>50</v>
      </c>
      <c r="E4166" s="1027" t="s">
        <v>1721</v>
      </c>
      <c r="F4166" s="273" t="s">
        <v>3446</v>
      </c>
      <c r="G4166" s="1040" t="s">
        <v>3463</v>
      </c>
      <c r="H4166" s="273" t="s">
        <v>3462</v>
      </c>
      <c r="I4166" s="720">
        <f t="shared" si="922"/>
        <v>124.02719999999999</v>
      </c>
      <c r="J4166" s="756">
        <v>6201.36</v>
      </c>
      <c r="K4166" s="131">
        <f t="shared" si="924"/>
        <v>6201.36</v>
      </c>
      <c r="L4166" s="335">
        <f t="shared" si="930"/>
        <v>0</v>
      </c>
      <c r="M4166" s="446"/>
      <c r="N4166" s="446"/>
      <c r="O4166" s="446"/>
      <c r="P4166" s="446"/>
      <c r="Q4166" s="110">
        <v>13</v>
      </c>
      <c r="R4166" s="111">
        <f t="shared" si="928"/>
        <v>1550.34</v>
      </c>
      <c r="S4166" s="110"/>
      <c r="T4166" s="110"/>
      <c r="U4166" s="110">
        <v>12</v>
      </c>
      <c r="V4166" s="111">
        <f t="shared" si="929"/>
        <v>1550.34</v>
      </c>
      <c r="W4166" s="110"/>
      <c r="X4166" s="110"/>
      <c r="Y4166" s="110"/>
      <c r="Z4166" s="110"/>
      <c r="AA4166" s="110">
        <v>12</v>
      </c>
      <c r="AB4166" s="111">
        <f t="shared" si="921"/>
        <v>1550.34</v>
      </c>
      <c r="AC4166" s="110"/>
      <c r="AD4166" s="110"/>
      <c r="AE4166" s="110">
        <v>13</v>
      </c>
      <c r="AF4166" s="111">
        <f t="shared" si="931"/>
        <v>1550.34</v>
      </c>
      <c r="AG4166" s="110"/>
      <c r="AH4166" s="110"/>
      <c r="AI4166" s="110"/>
      <c r="AJ4166" s="110"/>
      <c r="AK4166" s="111">
        <f t="shared" si="932"/>
        <v>6201.36</v>
      </c>
      <c r="AL4166" s="446">
        <f t="shared" si="933"/>
        <v>0</v>
      </c>
      <c r="AM4166" s="110">
        <f t="shared" si="934"/>
        <v>50</v>
      </c>
      <c r="AN4166" s="447">
        <f t="shared" si="923"/>
        <v>0</v>
      </c>
      <c r="AO4166"/>
      <c r="AP4166"/>
    </row>
    <row r="4167" spans="1:42" ht="66" x14ac:dyDescent="0.25">
      <c r="A4167" s="94"/>
      <c r="B4167" s="227" t="s">
        <v>1693</v>
      </c>
      <c r="C4167" s="1028"/>
      <c r="D4167" s="869">
        <v>50</v>
      </c>
      <c r="E4167" s="1027" t="s">
        <v>1721</v>
      </c>
      <c r="F4167" s="273" t="s">
        <v>3446</v>
      </c>
      <c r="G4167" s="1040" t="s">
        <v>3463</v>
      </c>
      <c r="H4167" s="273" t="s">
        <v>3462</v>
      </c>
      <c r="I4167" s="720">
        <f t="shared" si="922"/>
        <v>124.02719999999999</v>
      </c>
      <c r="J4167" s="756">
        <v>6201.36</v>
      </c>
      <c r="K4167" s="131">
        <f t="shared" si="924"/>
        <v>6201.36</v>
      </c>
      <c r="L4167" s="335">
        <f t="shared" si="930"/>
        <v>0</v>
      </c>
      <c r="M4167" s="446"/>
      <c r="N4167" s="446"/>
      <c r="O4167" s="446"/>
      <c r="P4167" s="446"/>
      <c r="Q4167" s="110">
        <v>13</v>
      </c>
      <c r="R4167" s="111">
        <f t="shared" si="928"/>
        <v>1550.34</v>
      </c>
      <c r="S4167" s="110"/>
      <c r="T4167" s="110"/>
      <c r="U4167" s="110">
        <v>12</v>
      </c>
      <c r="V4167" s="111">
        <f t="shared" si="929"/>
        <v>1550.34</v>
      </c>
      <c r="W4167" s="110"/>
      <c r="X4167" s="110"/>
      <c r="Y4167" s="110"/>
      <c r="Z4167" s="110"/>
      <c r="AA4167" s="110">
        <v>12</v>
      </c>
      <c r="AB4167" s="111">
        <f t="shared" si="921"/>
        <v>1550.34</v>
      </c>
      <c r="AC4167" s="110"/>
      <c r="AD4167" s="110"/>
      <c r="AE4167" s="110">
        <v>13</v>
      </c>
      <c r="AF4167" s="111">
        <f t="shared" si="931"/>
        <v>1550.34</v>
      </c>
      <c r="AG4167" s="110"/>
      <c r="AH4167" s="110"/>
      <c r="AI4167" s="110"/>
      <c r="AJ4167" s="110"/>
      <c r="AK4167" s="111">
        <f t="shared" si="932"/>
        <v>6201.36</v>
      </c>
      <c r="AL4167" s="446">
        <f t="shared" si="933"/>
        <v>0</v>
      </c>
      <c r="AM4167" s="110">
        <f t="shared" si="934"/>
        <v>50</v>
      </c>
      <c r="AN4167" s="447">
        <f t="shared" si="923"/>
        <v>0</v>
      </c>
      <c r="AO4167"/>
      <c r="AP4167"/>
    </row>
    <row r="4168" spans="1:42" ht="66" x14ac:dyDescent="0.25">
      <c r="A4168" s="94"/>
      <c r="B4168" s="227" t="s">
        <v>1694</v>
      </c>
      <c r="C4168" s="1028"/>
      <c r="D4168" s="869">
        <v>60</v>
      </c>
      <c r="E4168" s="1027" t="s">
        <v>1721</v>
      </c>
      <c r="F4168" s="273" t="s">
        <v>3446</v>
      </c>
      <c r="G4168" s="1040" t="s">
        <v>3463</v>
      </c>
      <c r="H4168" s="273" t="s">
        <v>3462</v>
      </c>
      <c r="I4168" s="720">
        <f t="shared" si="922"/>
        <v>313.2</v>
      </c>
      <c r="J4168" s="756">
        <v>18792</v>
      </c>
      <c r="K4168" s="131">
        <f t="shared" si="924"/>
        <v>18792</v>
      </c>
      <c r="L4168" s="335">
        <f t="shared" si="930"/>
        <v>0</v>
      </c>
      <c r="M4168" s="446"/>
      <c r="N4168" s="446"/>
      <c r="O4168" s="446"/>
      <c r="P4168" s="446"/>
      <c r="Q4168" s="110">
        <f t="shared" si="925"/>
        <v>15</v>
      </c>
      <c r="R4168" s="111">
        <f t="shared" si="928"/>
        <v>4698</v>
      </c>
      <c r="S4168" s="110"/>
      <c r="T4168" s="110"/>
      <c r="U4168" s="110">
        <f t="shared" si="926"/>
        <v>15</v>
      </c>
      <c r="V4168" s="111">
        <f t="shared" si="929"/>
        <v>4698</v>
      </c>
      <c r="W4168" s="110"/>
      <c r="X4168" s="110"/>
      <c r="Y4168" s="110"/>
      <c r="Z4168" s="110"/>
      <c r="AA4168" s="110">
        <f t="shared" si="927"/>
        <v>15</v>
      </c>
      <c r="AB4168" s="111">
        <f t="shared" si="921"/>
        <v>4698</v>
      </c>
      <c r="AC4168" s="110"/>
      <c r="AD4168" s="110"/>
      <c r="AE4168" s="110">
        <f t="shared" si="927"/>
        <v>15</v>
      </c>
      <c r="AF4168" s="111">
        <f t="shared" si="931"/>
        <v>4698</v>
      </c>
      <c r="AG4168" s="110"/>
      <c r="AH4168" s="110"/>
      <c r="AI4168" s="110"/>
      <c r="AJ4168" s="110"/>
      <c r="AK4168" s="111">
        <f t="shared" si="932"/>
        <v>18792</v>
      </c>
      <c r="AL4168" s="446">
        <f t="shared" si="933"/>
        <v>0</v>
      </c>
      <c r="AM4168" s="110">
        <f t="shared" si="934"/>
        <v>60</v>
      </c>
      <c r="AN4168" s="447">
        <f t="shared" si="923"/>
        <v>0</v>
      </c>
      <c r="AO4168"/>
      <c r="AP4168"/>
    </row>
    <row r="4169" spans="1:42" ht="66" x14ac:dyDescent="0.25">
      <c r="A4169" s="94"/>
      <c r="B4169" s="227" t="s">
        <v>1695</v>
      </c>
      <c r="C4169" s="1028"/>
      <c r="D4169" s="869">
        <v>60</v>
      </c>
      <c r="E4169" s="1027" t="s">
        <v>2248</v>
      </c>
      <c r="F4169" s="273" t="s">
        <v>3446</v>
      </c>
      <c r="G4169" s="1040" t="s">
        <v>3463</v>
      </c>
      <c r="H4169" s="273" t="s">
        <v>3462</v>
      </c>
      <c r="I4169" s="720">
        <f t="shared" si="922"/>
        <v>313.2</v>
      </c>
      <c r="J4169" s="756">
        <v>18792</v>
      </c>
      <c r="K4169" s="131">
        <f t="shared" si="924"/>
        <v>18792</v>
      </c>
      <c r="L4169" s="335">
        <f t="shared" si="930"/>
        <v>0</v>
      </c>
      <c r="M4169" s="446"/>
      <c r="N4169" s="446"/>
      <c r="O4169" s="446"/>
      <c r="P4169" s="446"/>
      <c r="Q4169" s="110">
        <f t="shared" si="925"/>
        <v>15</v>
      </c>
      <c r="R4169" s="111">
        <f t="shared" si="928"/>
        <v>4698</v>
      </c>
      <c r="S4169" s="110"/>
      <c r="T4169" s="110"/>
      <c r="U4169" s="110">
        <f t="shared" si="926"/>
        <v>15</v>
      </c>
      <c r="V4169" s="111">
        <f t="shared" si="929"/>
        <v>4698</v>
      </c>
      <c r="W4169" s="110"/>
      <c r="X4169" s="110"/>
      <c r="Y4169" s="110"/>
      <c r="Z4169" s="110"/>
      <c r="AA4169" s="110">
        <f t="shared" si="927"/>
        <v>15</v>
      </c>
      <c r="AB4169" s="111">
        <f t="shared" si="921"/>
        <v>4698</v>
      </c>
      <c r="AC4169" s="110"/>
      <c r="AD4169" s="110"/>
      <c r="AE4169" s="110">
        <f t="shared" si="927"/>
        <v>15</v>
      </c>
      <c r="AF4169" s="111">
        <f t="shared" si="931"/>
        <v>4698</v>
      </c>
      <c r="AG4169" s="110"/>
      <c r="AH4169" s="110"/>
      <c r="AI4169" s="110"/>
      <c r="AJ4169" s="110"/>
      <c r="AK4169" s="111">
        <f t="shared" si="932"/>
        <v>18792</v>
      </c>
      <c r="AL4169" s="446">
        <f t="shared" si="933"/>
        <v>0</v>
      </c>
      <c r="AM4169" s="110">
        <f t="shared" si="934"/>
        <v>60</v>
      </c>
      <c r="AN4169" s="447">
        <f t="shared" si="923"/>
        <v>0</v>
      </c>
      <c r="AO4169"/>
      <c r="AP4169"/>
    </row>
    <row r="4170" spans="1:42" ht="66" x14ac:dyDescent="0.25">
      <c r="A4170" s="94"/>
      <c r="B4170" s="227" t="s">
        <v>1696</v>
      </c>
      <c r="C4170" s="1028"/>
      <c r="D4170" s="869">
        <v>100</v>
      </c>
      <c r="E4170" s="1027" t="s">
        <v>2248</v>
      </c>
      <c r="F4170" s="273" t="s">
        <v>3446</v>
      </c>
      <c r="G4170" s="1040" t="s">
        <v>3463</v>
      </c>
      <c r="H4170" s="273" t="s">
        <v>3462</v>
      </c>
      <c r="I4170" s="720">
        <f t="shared" si="922"/>
        <v>98.971199999999996</v>
      </c>
      <c r="J4170" s="756">
        <v>9897.119999999999</v>
      </c>
      <c r="K4170" s="131">
        <f t="shared" si="924"/>
        <v>9897.119999999999</v>
      </c>
      <c r="L4170" s="335">
        <f t="shared" si="930"/>
        <v>0</v>
      </c>
      <c r="M4170" s="446"/>
      <c r="N4170" s="446"/>
      <c r="O4170" s="446"/>
      <c r="P4170" s="446"/>
      <c r="Q4170" s="110">
        <f t="shared" si="925"/>
        <v>25</v>
      </c>
      <c r="R4170" s="111">
        <f t="shared" si="928"/>
        <v>2474.2799999999997</v>
      </c>
      <c r="S4170" s="110"/>
      <c r="T4170" s="110"/>
      <c r="U4170" s="110">
        <f t="shared" si="926"/>
        <v>25</v>
      </c>
      <c r="V4170" s="111">
        <f t="shared" si="929"/>
        <v>2474.2799999999997</v>
      </c>
      <c r="W4170" s="110"/>
      <c r="X4170" s="110"/>
      <c r="Y4170" s="110"/>
      <c r="Z4170" s="110"/>
      <c r="AA4170" s="110">
        <f t="shared" si="927"/>
        <v>25</v>
      </c>
      <c r="AB4170" s="111">
        <f t="shared" si="921"/>
        <v>2474.2799999999997</v>
      </c>
      <c r="AC4170" s="110"/>
      <c r="AD4170" s="110"/>
      <c r="AE4170" s="110">
        <f t="shared" si="927"/>
        <v>25</v>
      </c>
      <c r="AF4170" s="111">
        <f t="shared" si="931"/>
        <v>2474.2799999999997</v>
      </c>
      <c r="AG4170" s="110"/>
      <c r="AH4170" s="110"/>
      <c r="AI4170" s="110"/>
      <c r="AJ4170" s="110"/>
      <c r="AK4170" s="111">
        <f t="shared" si="932"/>
        <v>9897.119999999999</v>
      </c>
      <c r="AL4170" s="446">
        <f t="shared" si="933"/>
        <v>0</v>
      </c>
      <c r="AM4170" s="110">
        <f t="shared" si="934"/>
        <v>100</v>
      </c>
      <c r="AN4170" s="447">
        <f t="shared" si="923"/>
        <v>0</v>
      </c>
      <c r="AO4170"/>
      <c r="AP4170"/>
    </row>
    <row r="4171" spans="1:42" ht="66" x14ac:dyDescent="0.25">
      <c r="A4171" s="94"/>
      <c r="B4171" s="227" t="s">
        <v>1697</v>
      </c>
      <c r="C4171" s="1028"/>
      <c r="D4171" s="869">
        <v>80</v>
      </c>
      <c r="E4171" s="1027" t="s">
        <v>2248</v>
      </c>
      <c r="F4171" s="273" t="s">
        <v>3446</v>
      </c>
      <c r="G4171" s="1040" t="s">
        <v>3463</v>
      </c>
      <c r="H4171" s="273" t="s">
        <v>3462</v>
      </c>
      <c r="I4171" s="720">
        <f t="shared" si="922"/>
        <v>99.806400000000011</v>
      </c>
      <c r="J4171" s="756">
        <v>7984.5120000000006</v>
      </c>
      <c r="K4171" s="131">
        <f t="shared" si="924"/>
        <v>7984.5120000000006</v>
      </c>
      <c r="L4171" s="335">
        <f t="shared" si="930"/>
        <v>0</v>
      </c>
      <c r="M4171" s="446"/>
      <c r="N4171" s="446"/>
      <c r="O4171" s="446"/>
      <c r="P4171" s="446"/>
      <c r="Q4171" s="110">
        <f t="shared" si="925"/>
        <v>20</v>
      </c>
      <c r="R4171" s="111">
        <f t="shared" si="928"/>
        <v>1996.1280000000002</v>
      </c>
      <c r="S4171" s="110"/>
      <c r="T4171" s="110"/>
      <c r="U4171" s="110">
        <f t="shared" si="926"/>
        <v>20</v>
      </c>
      <c r="V4171" s="111">
        <f t="shared" si="929"/>
        <v>1996.1280000000002</v>
      </c>
      <c r="W4171" s="110"/>
      <c r="X4171" s="110"/>
      <c r="Y4171" s="110"/>
      <c r="Z4171" s="110"/>
      <c r="AA4171" s="110">
        <f t="shared" si="927"/>
        <v>20</v>
      </c>
      <c r="AB4171" s="111">
        <f t="shared" si="921"/>
        <v>1996.1280000000002</v>
      </c>
      <c r="AC4171" s="110"/>
      <c r="AD4171" s="110"/>
      <c r="AE4171" s="110">
        <f t="shared" si="927"/>
        <v>20</v>
      </c>
      <c r="AF4171" s="111">
        <f t="shared" si="931"/>
        <v>1996.1280000000002</v>
      </c>
      <c r="AG4171" s="110"/>
      <c r="AH4171" s="110"/>
      <c r="AI4171" s="110"/>
      <c r="AJ4171" s="110"/>
      <c r="AK4171" s="111">
        <f t="shared" si="932"/>
        <v>7984.5120000000006</v>
      </c>
      <c r="AL4171" s="446">
        <f t="shared" si="933"/>
        <v>0</v>
      </c>
      <c r="AM4171" s="110">
        <f t="shared" si="934"/>
        <v>80</v>
      </c>
      <c r="AN4171" s="447">
        <f t="shared" si="923"/>
        <v>0</v>
      </c>
      <c r="AO4171"/>
      <c r="AP4171"/>
    </row>
    <row r="4172" spans="1:42" ht="66" x14ac:dyDescent="0.25">
      <c r="A4172" s="94"/>
      <c r="B4172" s="75" t="s">
        <v>1777</v>
      </c>
      <c r="C4172" s="1024"/>
      <c r="D4172" s="869">
        <v>200</v>
      </c>
      <c r="E4172" s="1027" t="s">
        <v>1721</v>
      </c>
      <c r="F4172" s="278" t="s">
        <v>3446</v>
      </c>
      <c r="G4172" s="1040" t="s">
        <v>3463</v>
      </c>
      <c r="H4172" s="273" t="s">
        <v>3462</v>
      </c>
      <c r="I4172" s="720">
        <f t="shared" si="922"/>
        <v>37.799999999999997</v>
      </c>
      <c r="J4172" s="756">
        <v>7560</v>
      </c>
      <c r="K4172" s="131">
        <f t="shared" si="924"/>
        <v>7559.9999999999991</v>
      </c>
      <c r="L4172" s="335">
        <f t="shared" si="930"/>
        <v>0</v>
      </c>
      <c r="M4172" s="446"/>
      <c r="N4172" s="446"/>
      <c r="O4172" s="446"/>
      <c r="P4172" s="446"/>
      <c r="Q4172" s="110">
        <f t="shared" si="925"/>
        <v>50</v>
      </c>
      <c r="R4172" s="111">
        <f t="shared" si="928"/>
        <v>1890</v>
      </c>
      <c r="S4172" s="110"/>
      <c r="T4172" s="110"/>
      <c r="U4172" s="110">
        <f t="shared" si="926"/>
        <v>50</v>
      </c>
      <c r="V4172" s="111">
        <f t="shared" si="929"/>
        <v>1890</v>
      </c>
      <c r="W4172" s="110"/>
      <c r="X4172" s="110"/>
      <c r="Y4172" s="110"/>
      <c r="Z4172" s="110"/>
      <c r="AA4172" s="110">
        <f t="shared" si="927"/>
        <v>50</v>
      </c>
      <c r="AB4172" s="111">
        <f t="shared" si="921"/>
        <v>1890</v>
      </c>
      <c r="AC4172" s="110"/>
      <c r="AD4172" s="110"/>
      <c r="AE4172" s="110">
        <f t="shared" si="927"/>
        <v>50</v>
      </c>
      <c r="AF4172" s="111">
        <f t="shared" si="931"/>
        <v>1890</v>
      </c>
      <c r="AG4172" s="110"/>
      <c r="AH4172" s="110"/>
      <c r="AI4172" s="110"/>
      <c r="AJ4172" s="110"/>
      <c r="AK4172" s="111">
        <f t="shared" si="932"/>
        <v>7560</v>
      </c>
      <c r="AL4172" s="446">
        <f t="shared" si="933"/>
        <v>0</v>
      </c>
      <c r="AM4172" s="110">
        <f t="shared" si="934"/>
        <v>200</v>
      </c>
      <c r="AN4172" s="447">
        <f t="shared" si="923"/>
        <v>0</v>
      </c>
      <c r="AO4172"/>
      <c r="AP4172"/>
    </row>
    <row r="4173" spans="1:42" ht="66" x14ac:dyDescent="0.25">
      <c r="A4173" s="94"/>
      <c r="B4173" s="229" t="s">
        <v>2833</v>
      </c>
      <c r="C4173" s="1024"/>
      <c r="D4173" s="880">
        <v>25</v>
      </c>
      <c r="E4173" s="261" t="s">
        <v>1723</v>
      </c>
      <c r="F4173" s="273" t="s">
        <v>3446</v>
      </c>
      <c r="G4173" s="1040" t="s">
        <v>3463</v>
      </c>
      <c r="H4173" s="273" t="s">
        <v>3462</v>
      </c>
      <c r="I4173" s="720">
        <f t="shared" si="922"/>
        <v>290</v>
      </c>
      <c r="J4173" s="756">
        <v>7250</v>
      </c>
      <c r="K4173" s="131">
        <f t="shared" si="924"/>
        <v>7250</v>
      </c>
      <c r="L4173" s="335">
        <f t="shared" si="930"/>
        <v>0</v>
      </c>
      <c r="M4173" s="446"/>
      <c r="N4173" s="446"/>
      <c r="O4173" s="446"/>
      <c r="P4173" s="446"/>
      <c r="Q4173" s="110">
        <v>25</v>
      </c>
      <c r="R4173" s="111">
        <f t="shared" si="928"/>
        <v>1812.5</v>
      </c>
      <c r="S4173" s="110"/>
      <c r="T4173" s="110"/>
      <c r="U4173" s="110">
        <v>0</v>
      </c>
      <c r="V4173" s="111">
        <f t="shared" si="929"/>
        <v>1812.5</v>
      </c>
      <c r="W4173" s="110"/>
      <c r="X4173" s="110"/>
      <c r="Y4173" s="110"/>
      <c r="Z4173" s="110"/>
      <c r="AA4173" s="110">
        <v>0</v>
      </c>
      <c r="AB4173" s="111">
        <f t="shared" si="921"/>
        <v>1812.5</v>
      </c>
      <c r="AC4173" s="110"/>
      <c r="AD4173" s="110"/>
      <c r="AE4173" s="110">
        <v>0</v>
      </c>
      <c r="AF4173" s="111">
        <f t="shared" si="931"/>
        <v>1812.5</v>
      </c>
      <c r="AG4173" s="110"/>
      <c r="AH4173" s="110"/>
      <c r="AI4173" s="110"/>
      <c r="AJ4173" s="110"/>
      <c r="AK4173" s="111">
        <f t="shared" si="932"/>
        <v>7250</v>
      </c>
      <c r="AL4173" s="446">
        <f t="shared" si="933"/>
        <v>0</v>
      </c>
      <c r="AM4173" s="110">
        <f t="shared" si="934"/>
        <v>25</v>
      </c>
      <c r="AN4173" s="447">
        <f t="shared" si="923"/>
        <v>0</v>
      </c>
      <c r="AO4173"/>
      <c r="AP4173"/>
    </row>
    <row r="4174" spans="1:42" ht="66" x14ac:dyDescent="0.25">
      <c r="A4174" s="94"/>
      <c r="B4174" s="610" t="s">
        <v>2834</v>
      </c>
      <c r="C4174" s="1024"/>
      <c r="D4174" s="880">
        <v>25</v>
      </c>
      <c r="E4174" s="249" t="s">
        <v>1723</v>
      </c>
      <c r="F4174" s="273" t="s">
        <v>3446</v>
      </c>
      <c r="G4174" s="1040" t="s">
        <v>3463</v>
      </c>
      <c r="H4174" s="273" t="s">
        <v>3462</v>
      </c>
      <c r="I4174" s="720">
        <f t="shared" si="922"/>
        <v>197.2</v>
      </c>
      <c r="J4174" s="756">
        <v>4930</v>
      </c>
      <c r="K4174" s="131">
        <f t="shared" si="924"/>
        <v>4930</v>
      </c>
      <c r="L4174" s="335">
        <f t="shared" si="930"/>
        <v>0</v>
      </c>
      <c r="M4174" s="446"/>
      <c r="N4174" s="446"/>
      <c r="O4174" s="446"/>
      <c r="P4174" s="446"/>
      <c r="Q4174" s="110">
        <v>25</v>
      </c>
      <c r="R4174" s="111">
        <f t="shared" si="928"/>
        <v>1232.5</v>
      </c>
      <c r="S4174" s="110"/>
      <c r="T4174" s="110"/>
      <c r="U4174" s="110">
        <v>0</v>
      </c>
      <c r="V4174" s="111">
        <f t="shared" si="929"/>
        <v>1232.5</v>
      </c>
      <c r="W4174" s="110"/>
      <c r="X4174" s="110"/>
      <c r="Y4174" s="110"/>
      <c r="Z4174" s="110"/>
      <c r="AA4174" s="110">
        <v>0</v>
      </c>
      <c r="AB4174" s="111">
        <f t="shared" si="921"/>
        <v>1232.5</v>
      </c>
      <c r="AC4174" s="110"/>
      <c r="AD4174" s="110"/>
      <c r="AE4174" s="110">
        <v>0</v>
      </c>
      <c r="AF4174" s="111">
        <f t="shared" si="931"/>
        <v>1232.5</v>
      </c>
      <c r="AG4174" s="110"/>
      <c r="AH4174" s="110"/>
      <c r="AI4174" s="110"/>
      <c r="AJ4174" s="110"/>
      <c r="AK4174" s="111">
        <f t="shared" si="932"/>
        <v>4930</v>
      </c>
      <c r="AL4174" s="446">
        <f t="shared" si="933"/>
        <v>0</v>
      </c>
      <c r="AM4174" s="110">
        <f t="shared" si="934"/>
        <v>25</v>
      </c>
      <c r="AN4174" s="447">
        <f t="shared" si="923"/>
        <v>0</v>
      </c>
      <c r="AO4174"/>
      <c r="AP4174"/>
    </row>
    <row r="4175" spans="1:42" ht="66" x14ac:dyDescent="0.25">
      <c r="A4175" s="94"/>
      <c r="B4175" s="611" t="s">
        <v>2835</v>
      </c>
      <c r="C4175" s="1024"/>
      <c r="D4175" s="880">
        <v>35</v>
      </c>
      <c r="E4175" s="249" t="s">
        <v>1723</v>
      </c>
      <c r="F4175" s="273" t="s">
        <v>3446</v>
      </c>
      <c r="G4175" s="1040" t="s">
        <v>3463</v>
      </c>
      <c r="H4175" s="273" t="s">
        <v>3462</v>
      </c>
      <c r="I4175" s="720">
        <f t="shared" si="922"/>
        <v>220.39999999999998</v>
      </c>
      <c r="J4175" s="756">
        <v>7713.9999999999991</v>
      </c>
      <c r="K4175" s="131">
        <f t="shared" si="924"/>
        <v>7713.9999999999991</v>
      </c>
      <c r="L4175" s="335">
        <f t="shared" si="930"/>
        <v>0</v>
      </c>
      <c r="M4175" s="446"/>
      <c r="N4175" s="446"/>
      <c r="O4175" s="446"/>
      <c r="P4175" s="446"/>
      <c r="Q4175" s="110">
        <v>35</v>
      </c>
      <c r="R4175" s="111">
        <f t="shared" si="928"/>
        <v>1928.4999999999998</v>
      </c>
      <c r="S4175" s="110"/>
      <c r="T4175" s="110"/>
      <c r="U4175" s="110">
        <v>0</v>
      </c>
      <c r="V4175" s="111">
        <f t="shared" si="929"/>
        <v>1928.4999999999998</v>
      </c>
      <c r="W4175" s="110"/>
      <c r="X4175" s="110"/>
      <c r="Y4175" s="110"/>
      <c r="Z4175" s="110"/>
      <c r="AA4175" s="110">
        <v>0</v>
      </c>
      <c r="AB4175" s="111">
        <f t="shared" si="921"/>
        <v>1928.4999999999998</v>
      </c>
      <c r="AC4175" s="110"/>
      <c r="AD4175" s="110"/>
      <c r="AE4175" s="110">
        <v>0</v>
      </c>
      <c r="AF4175" s="111">
        <f t="shared" si="931"/>
        <v>1928.4999999999998</v>
      </c>
      <c r="AG4175" s="110"/>
      <c r="AH4175" s="110"/>
      <c r="AI4175" s="110"/>
      <c r="AJ4175" s="110"/>
      <c r="AK4175" s="111">
        <f t="shared" si="932"/>
        <v>7713.9999999999991</v>
      </c>
      <c r="AL4175" s="446">
        <f t="shared" si="933"/>
        <v>0</v>
      </c>
      <c r="AM4175" s="110">
        <f t="shared" si="934"/>
        <v>35</v>
      </c>
      <c r="AN4175" s="447">
        <f t="shared" si="923"/>
        <v>0</v>
      </c>
      <c r="AO4175"/>
      <c r="AP4175"/>
    </row>
    <row r="4176" spans="1:42" ht="66" x14ac:dyDescent="0.25">
      <c r="A4176" s="94"/>
      <c r="B4176" s="611" t="s">
        <v>2836</v>
      </c>
      <c r="C4176" s="1024"/>
      <c r="D4176" s="880">
        <v>35</v>
      </c>
      <c r="E4176" s="249" t="s">
        <v>1723</v>
      </c>
      <c r="F4176" s="273" t="s">
        <v>3446</v>
      </c>
      <c r="G4176" s="1040" t="s">
        <v>3463</v>
      </c>
      <c r="H4176" s="273" t="s">
        <v>3462</v>
      </c>
      <c r="I4176" s="720">
        <f t="shared" si="922"/>
        <v>231.99999999999997</v>
      </c>
      <c r="J4176" s="756">
        <v>8119.9999999999991</v>
      </c>
      <c r="K4176" s="131">
        <f t="shared" si="924"/>
        <v>8119.9999999999991</v>
      </c>
      <c r="L4176" s="335">
        <f t="shared" si="930"/>
        <v>0</v>
      </c>
      <c r="M4176" s="446"/>
      <c r="N4176" s="446"/>
      <c r="O4176" s="446"/>
      <c r="P4176" s="446"/>
      <c r="Q4176" s="110">
        <v>35</v>
      </c>
      <c r="R4176" s="111">
        <f t="shared" si="928"/>
        <v>2029.9999999999998</v>
      </c>
      <c r="S4176" s="110"/>
      <c r="T4176" s="110"/>
      <c r="U4176" s="110">
        <v>0</v>
      </c>
      <c r="V4176" s="111">
        <f t="shared" si="929"/>
        <v>2029.9999999999998</v>
      </c>
      <c r="W4176" s="110"/>
      <c r="X4176" s="110"/>
      <c r="Y4176" s="110"/>
      <c r="Z4176" s="110"/>
      <c r="AA4176" s="110">
        <v>0</v>
      </c>
      <c r="AB4176" s="111">
        <f t="shared" ref="AB4176:AB4239" si="935">+J4176/4</f>
        <v>2029.9999999999998</v>
      </c>
      <c r="AC4176" s="110"/>
      <c r="AD4176" s="110"/>
      <c r="AE4176" s="110">
        <v>0</v>
      </c>
      <c r="AF4176" s="111">
        <f t="shared" si="931"/>
        <v>2029.9999999999998</v>
      </c>
      <c r="AG4176" s="110"/>
      <c r="AH4176" s="110"/>
      <c r="AI4176" s="110"/>
      <c r="AJ4176" s="110"/>
      <c r="AK4176" s="111">
        <f t="shared" si="932"/>
        <v>8119.9999999999991</v>
      </c>
      <c r="AL4176" s="446">
        <f t="shared" si="933"/>
        <v>0</v>
      </c>
      <c r="AM4176" s="110">
        <f t="shared" si="934"/>
        <v>35</v>
      </c>
      <c r="AN4176" s="447">
        <f t="shared" si="923"/>
        <v>0</v>
      </c>
      <c r="AO4176"/>
      <c r="AP4176"/>
    </row>
    <row r="4177" spans="1:42" ht="66" x14ac:dyDescent="0.25">
      <c r="A4177" s="94"/>
      <c r="B4177" s="611" t="s">
        <v>2837</v>
      </c>
      <c r="C4177" s="1024"/>
      <c r="D4177" s="880">
        <v>35</v>
      </c>
      <c r="E4177" s="249" t="s">
        <v>1723</v>
      </c>
      <c r="F4177" s="273" t="s">
        <v>3446</v>
      </c>
      <c r="G4177" s="1040" t="s">
        <v>3463</v>
      </c>
      <c r="H4177" s="273" t="s">
        <v>3462</v>
      </c>
      <c r="I4177" s="720">
        <f t="shared" si="922"/>
        <v>81.199999999999989</v>
      </c>
      <c r="J4177" s="756">
        <v>2841.9999999999995</v>
      </c>
      <c r="K4177" s="131">
        <f t="shared" si="924"/>
        <v>2841.9999999999995</v>
      </c>
      <c r="L4177" s="335">
        <f t="shared" si="930"/>
        <v>0</v>
      </c>
      <c r="M4177" s="446"/>
      <c r="N4177" s="446"/>
      <c r="O4177" s="446"/>
      <c r="P4177" s="446"/>
      <c r="Q4177" s="110">
        <v>35</v>
      </c>
      <c r="R4177" s="111">
        <f t="shared" si="928"/>
        <v>710.49999999999989</v>
      </c>
      <c r="S4177" s="110"/>
      <c r="T4177" s="110"/>
      <c r="U4177" s="110">
        <v>0</v>
      </c>
      <c r="V4177" s="111">
        <f t="shared" si="929"/>
        <v>710.49999999999989</v>
      </c>
      <c r="W4177" s="110"/>
      <c r="X4177" s="110"/>
      <c r="Y4177" s="110"/>
      <c r="Z4177" s="110"/>
      <c r="AA4177" s="110">
        <v>0</v>
      </c>
      <c r="AB4177" s="111">
        <f t="shared" si="935"/>
        <v>710.49999999999989</v>
      </c>
      <c r="AC4177" s="110"/>
      <c r="AD4177" s="110"/>
      <c r="AE4177" s="110">
        <v>0</v>
      </c>
      <c r="AF4177" s="111">
        <f t="shared" si="931"/>
        <v>710.49999999999989</v>
      </c>
      <c r="AG4177" s="110"/>
      <c r="AH4177" s="110"/>
      <c r="AI4177" s="110"/>
      <c r="AJ4177" s="110"/>
      <c r="AK4177" s="111">
        <f t="shared" si="932"/>
        <v>2841.9999999999995</v>
      </c>
      <c r="AL4177" s="446">
        <f t="shared" si="933"/>
        <v>0</v>
      </c>
      <c r="AM4177" s="110">
        <f t="shared" si="934"/>
        <v>35</v>
      </c>
      <c r="AN4177" s="447">
        <f t="shared" si="923"/>
        <v>0</v>
      </c>
      <c r="AO4177"/>
      <c r="AP4177"/>
    </row>
    <row r="4178" spans="1:42" ht="66" x14ac:dyDescent="0.25">
      <c r="A4178" s="94"/>
      <c r="B4178" s="611" t="s">
        <v>2838</v>
      </c>
      <c r="C4178" s="1024"/>
      <c r="D4178" s="880">
        <v>35</v>
      </c>
      <c r="E4178" s="249" t="s">
        <v>1723</v>
      </c>
      <c r="F4178" s="273" t="s">
        <v>3446</v>
      </c>
      <c r="G4178" s="1040" t="s">
        <v>3463</v>
      </c>
      <c r="H4178" s="273" t="s">
        <v>3462</v>
      </c>
      <c r="I4178" s="720">
        <f t="shared" si="922"/>
        <v>231.99999999999997</v>
      </c>
      <c r="J4178" s="756">
        <v>8119.9999999999991</v>
      </c>
      <c r="K4178" s="131">
        <f t="shared" si="924"/>
        <v>8119.9999999999991</v>
      </c>
      <c r="L4178" s="335">
        <f t="shared" si="930"/>
        <v>0</v>
      </c>
      <c r="M4178" s="446"/>
      <c r="N4178" s="446"/>
      <c r="O4178" s="446"/>
      <c r="P4178" s="446"/>
      <c r="Q4178" s="110">
        <v>35</v>
      </c>
      <c r="R4178" s="111">
        <f t="shared" si="928"/>
        <v>2029.9999999999998</v>
      </c>
      <c r="S4178" s="110"/>
      <c r="T4178" s="110"/>
      <c r="U4178" s="110">
        <v>0</v>
      </c>
      <c r="V4178" s="111">
        <f t="shared" si="929"/>
        <v>2029.9999999999998</v>
      </c>
      <c r="W4178" s="110"/>
      <c r="X4178" s="110"/>
      <c r="Y4178" s="110"/>
      <c r="Z4178" s="110"/>
      <c r="AA4178" s="110">
        <v>0</v>
      </c>
      <c r="AB4178" s="111">
        <f t="shared" si="935"/>
        <v>2029.9999999999998</v>
      </c>
      <c r="AC4178" s="110"/>
      <c r="AD4178" s="110"/>
      <c r="AE4178" s="110">
        <v>0</v>
      </c>
      <c r="AF4178" s="111">
        <f t="shared" si="931"/>
        <v>2029.9999999999998</v>
      </c>
      <c r="AG4178" s="110"/>
      <c r="AH4178" s="110"/>
      <c r="AI4178" s="110"/>
      <c r="AJ4178" s="110"/>
      <c r="AK4178" s="111">
        <f t="shared" si="932"/>
        <v>8119.9999999999991</v>
      </c>
      <c r="AL4178" s="446">
        <f t="shared" si="933"/>
        <v>0</v>
      </c>
      <c r="AM4178" s="110">
        <f t="shared" si="934"/>
        <v>35</v>
      </c>
      <c r="AN4178" s="447">
        <f t="shared" si="923"/>
        <v>0</v>
      </c>
      <c r="AO4178"/>
      <c r="AP4178"/>
    </row>
    <row r="4179" spans="1:42" x14ac:dyDescent="0.25">
      <c r="A4179" s="643">
        <v>44103</v>
      </c>
      <c r="B4179" s="644" t="s">
        <v>1017</v>
      </c>
      <c r="C4179" s="643"/>
      <c r="D4179" s="954"/>
      <c r="E4179" s="645"/>
      <c r="F4179" s="646"/>
      <c r="G4179" s="646"/>
      <c r="H4179" s="646"/>
      <c r="I4179" s="717"/>
      <c r="J4179" s="753"/>
      <c r="K4179" s="131">
        <f t="shared" si="924"/>
        <v>0</v>
      </c>
      <c r="L4179" s="335">
        <f t="shared" si="930"/>
        <v>0</v>
      </c>
      <c r="M4179" s="648"/>
      <c r="N4179" s="648"/>
      <c r="O4179" s="648"/>
      <c r="P4179" s="648"/>
      <c r="Q4179" s="649">
        <f t="shared" si="925"/>
        <v>0</v>
      </c>
      <c r="R4179" s="647">
        <f t="shared" si="928"/>
        <v>0</v>
      </c>
      <c r="S4179" s="649"/>
      <c r="T4179" s="649"/>
      <c r="U4179" s="649">
        <f t="shared" si="926"/>
        <v>0</v>
      </c>
      <c r="V4179" s="647">
        <f t="shared" si="929"/>
        <v>0</v>
      </c>
      <c r="W4179" s="649"/>
      <c r="X4179" s="649"/>
      <c r="Y4179" s="649"/>
      <c r="Z4179" s="649"/>
      <c r="AA4179" s="649">
        <f t="shared" si="927"/>
        <v>0</v>
      </c>
      <c r="AB4179" s="647">
        <f t="shared" si="935"/>
        <v>0</v>
      </c>
      <c r="AC4179" s="649"/>
      <c r="AD4179" s="649"/>
      <c r="AE4179" s="649">
        <f t="shared" si="927"/>
        <v>0</v>
      </c>
      <c r="AF4179" s="647">
        <f t="shared" si="931"/>
        <v>0</v>
      </c>
      <c r="AG4179" s="649"/>
      <c r="AH4179" s="649"/>
      <c r="AI4179" s="649"/>
      <c r="AJ4179" s="649"/>
      <c r="AK4179" s="647">
        <f t="shared" si="932"/>
        <v>0</v>
      </c>
      <c r="AL4179" s="446">
        <f t="shared" si="933"/>
        <v>0</v>
      </c>
      <c r="AM4179" s="110">
        <f t="shared" si="934"/>
        <v>0</v>
      </c>
      <c r="AN4179" s="447">
        <f t="shared" si="923"/>
        <v>0</v>
      </c>
      <c r="AO4179" s="108"/>
      <c r="AP4179"/>
    </row>
    <row r="4180" spans="1:42" x14ac:dyDescent="0.25">
      <c r="A4180" s="9"/>
      <c r="B4180" s="57"/>
      <c r="D4180" s="929"/>
      <c r="E4180" s="211"/>
      <c r="F4180" s="284"/>
      <c r="G4180" s="284"/>
      <c r="H4180" s="284"/>
      <c r="I4180" s="720"/>
      <c r="J4180" s="809"/>
      <c r="K4180" s="131">
        <f t="shared" si="924"/>
        <v>0</v>
      </c>
      <c r="L4180" s="335">
        <f t="shared" si="930"/>
        <v>0</v>
      </c>
      <c r="M4180" s="446"/>
      <c r="N4180" s="446"/>
      <c r="O4180" s="446"/>
      <c r="P4180" s="446"/>
      <c r="Q4180" s="110">
        <f t="shared" si="925"/>
        <v>0</v>
      </c>
      <c r="R4180" s="111">
        <f t="shared" si="928"/>
        <v>0</v>
      </c>
      <c r="S4180" s="110"/>
      <c r="T4180" s="110"/>
      <c r="U4180" s="110">
        <f t="shared" si="926"/>
        <v>0</v>
      </c>
      <c r="V4180" s="111">
        <f t="shared" si="929"/>
        <v>0</v>
      </c>
      <c r="W4180" s="110"/>
      <c r="X4180" s="110"/>
      <c r="Y4180" s="110"/>
      <c r="Z4180" s="110"/>
      <c r="AA4180" s="110">
        <f t="shared" si="927"/>
        <v>0</v>
      </c>
      <c r="AB4180" s="111">
        <f t="shared" si="935"/>
        <v>0</v>
      </c>
      <c r="AC4180" s="110"/>
      <c r="AD4180" s="110"/>
      <c r="AE4180" s="110">
        <f t="shared" si="927"/>
        <v>0</v>
      </c>
      <c r="AF4180" s="111">
        <f t="shared" si="931"/>
        <v>0</v>
      </c>
      <c r="AG4180" s="110"/>
      <c r="AH4180" s="110"/>
      <c r="AI4180" s="110"/>
      <c r="AJ4180" s="110"/>
      <c r="AK4180" s="111">
        <f t="shared" si="932"/>
        <v>0</v>
      </c>
      <c r="AL4180" s="446">
        <f t="shared" si="933"/>
        <v>0</v>
      </c>
      <c r="AM4180" s="110">
        <f t="shared" si="934"/>
        <v>0</v>
      </c>
      <c r="AN4180" s="447">
        <f t="shared" si="923"/>
        <v>0</v>
      </c>
      <c r="AO4180"/>
      <c r="AP4180"/>
    </row>
    <row r="4181" spans="1:42" ht="22.5" x14ac:dyDescent="0.25">
      <c r="A4181" s="643">
        <v>44104</v>
      </c>
      <c r="B4181" s="644" t="s">
        <v>1018</v>
      </c>
      <c r="C4181" s="643"/>
      <c r="D4181" s="954"/>
      <c r="E4181" s="645"/>
      <c r="F4181" s="646"/>
      <c r="G4181" s="646"/>
      <c r="H4181" s="646"/>
      <c r="I4181" s="717"/>
      <c r="J4181" s="753"/>
      <c r="K4181" s="131">
        <f t="shared" si="924"/>
        <v>0</v>
      </c>
      <c r="L4181" s="335">
        <f t="shared" si="930"/>
        <v>0</v>
      </c>
      <c r="M4181" s="648"/>
      <c r="N4181" s="648"/>
      <c r="O4181" s="648"/>
      <c r="P4181" s="648"/>
      <c r="Q4181" s="649">
        <f t="shared" si="925"/>
        <v>0</v>
      </c>
      <c r="R4181" s="647">
        <f t="shared" si="928"/>
        <v>0</v>
      </c>
      <c r="S4181" s="649"/>
      <c r="T4181" s="649"/>
      <c r="U4181" s="649">
        <f t="shared" si="926"/>
        <v>0</v>
      </c>
      <c r="V4181" s="647">
        <f t="shared" si="929"/>
        <v>0</v>
      </c>
      <c r="W4181" s="649"/>
      <c r="X4181" s="649"/>
      <c r="Y4181" s="649"/>
      <c r="Z4181" s="649"/>
      <c r="AA4181" s="649">
        <f t="shared" si="927"/>
        <v>0</v>
      </c>
      <c r="AB4181" s="647">
        <f t="shared" si="935"/>
        <v>0</v>
      </c>
      <c r="AC4181" s="649"/>
      <c r="AD4181" s="649"/>
      <c r="AE4181" s="649">
        <f t="shared" si="927"/>
        <v>0</v>
      </c>
      <c r="AF4181" s="647">
        <f t="shared" si="931"/>
        <v>0</v>
      </c>
      <c r="AG4181" s="649"/>
      <c r="AH4181" s="649"/>
      <c r="AI4181" s="649"/>
      <c r="AJ4181" s="649"/>
      <c r="AK4181" s="647">
        <f t="shared" si="932"/>
        <v>0</v>
      </c>
      <c r="AL4181" s="446">
        <f t="shared" si="933"/>
        <v>0</v>
      </c>
      <c r="AM4181" s="110">
        <f t="shared" si="934"/>
        <v>0</v>
      </c>
      <c r="AN4181" s="447">
        <f t="shared" si="923"/>
        <v>0</v>
      </c>
      <c r="AO4181" s="108"/>
      <c r="AP4181"/>
    </row>
    <row r="4182" spans="1:42" x14ac:dyDescent="0.25">
      <c r="A4182" s="9"/>
      <c r="B4182" s="57"/>
      <c r="C4182" s="9"/>
      <c r="D4182" s="929"/>
      <c r="E4182" s="211"/>
      <c r="F4182" s="284"/>
      <c r="G4182" s="284"/>
      <c r="H4182" s="284"/>
      <c r="I4182" s="720"/>
      <c r="J4182" s="809"/>
      <c r="K4182" s="131">
        <f t="shared" si="924"/>
        <v>0</v>
      </c>
      <c r="L4182" s="335">
        <f t="shared" si="930"/>
        <v>0</v>
      </c>
      <c r="M4182" s="446"/>
      <c r="N4182" s="446"/>
      <c r="O4182" s="446"/>
      <c r="P4182" s="446"/>
      <c r="Q4182" s="110">
        <f t="shared" si="925"/>
        <v>0</v>
      </c>
      <c r="R4182" s="111">
        <f t="shared" si="928"/>
        <v>0</v>
      </c>
      <c r="S4182" s="110"/>
      <c r="T4182" s="110"/>
      <c r="U4182" s="110">
        <f t="shared" si="926"/>
        <v>0</v>
      </c>
      <c r="V4182" s="111">
        <f t="shared" si="929"/>
        <v>0</v>
      </c>
      <c r="W4182" s="110"/>
      <c r="X4182" s="110"/>
      <c r="Y4182" s="110"/>
      <c r="Z4182" s="110"/>
      <c r="AA4182" s="110">
        <f t="shared" si="927"/>
        <v>0</v>
      </c>
      <c r="AB4182" s="111">
        <f t="shared" si="935"/>
        <v>0</v>
      </c>
      <c r="AC4182" s="110"/>
      <c r="AD4182" s="110"/>
      <c r="AE4182" s="110">
        <f t="shared" si="927"/>
        <v>0</v>
      </c>
      <c r="AF4182" s="111">
        <f t="shared" si="931"/>
        <v>0</v>
      </c>
      <c r="AG4182" s="110"/>
      <c r="AH4182" s="110"/>
      <c r="AI4182" s="110"/>
      <c r="AJ4182" s="110"/>
      <c r="AK4182" s="111">
        <f t="shared" si="932"/>
        <v>0</v>
      </c>
      <c r="AL4182" s="446">
        <f t="shared" si="933"/>
        <v>0</v>
      </c>
      <c r="AM4182" s="110">
        <f t="shared" si="934"/>
        <v>0</v>
      </c>
      <c r="AN4182" s="447">
        <f t="shared" si="923"/>
        <v>0</v>
      </c>
      <c r="AO4182"/>
      <c r="AP4182"/>
    </row>
    <row r="4183" spans="1:42" ht="22.5" x14ac:dyDescent="0.25">
      <c r="A4183" s="643">
        <v>44105</v>
      </c>
      <c r="B4183" s="644" t="s">
        <v>1019</v>
      </c>
      <c r="C4183" s="643"/>
      <c r="D4183" s="954"/>
      <c r="E4183" s="645"/>
      <c r="F4183" s="646"/>
      <c r="G4183" s="646"/>
      <c r="H4183" s="646"/>
      <c r="I4183" s="717"/>
      <c r="J4183" s="753"/>
      <c r="K4183" s="131">
        <f t="shared" si="924"/>
        <v>0</v>
      </c>
      <c r="L4183" s="335">
        <f t="shared" si="930"/>
        <v>0</v>
      </c>
      <c r="M4183" s="648"/>
      <c r="N4183" s="648"/>
      <c r="O4183" s="648"/>
      <c r="P4183" s="648"/>
      <c r="Q4183" s="649">
        <f t="shared" si="925"/>
        <v>0</v>
      </c>
      <c r="R4183" s="647">
        <f t="shared" si="928"/>
        <v>0</v>
      </c>
      <c r="S4183" s="649"/>
      <c r="T4183" s="649"/>
      <c r="U4183" s="649">
        <f t="shared" si="926"/>
        <v>0</v>
      </c>
      <c r="V4183" s="647">
        <f t="shared" si="929"/>
        <v>0</v>
      </c>
      <c r="W4183" s="649"/>
      <c r="X4183" s="649"/>
      <c r="Y4183" s="649"/>
      <c r="Z4183" s="649"/>
      <c r="AA4183" s="649">
        <f t="shared" si="927"/>
        <v>0</v>
      </c>
      <c r="AB4183" s="647">
        <f t="shared" si="935"/>
        <v>0</v>
      </c>
      <c r="AC4183" s="649"/>
      <c r="AD4183" s="649"/>
      <c r="AE4183" s="649">
        <f t="shared" si="927"/>
        <v>0</v>
      </c>
      <c r="AF4183" s="647">
        <f t="shared" si="931"/>
        <v>0</v>
      </c>
      <c r="AG4183" s="649"/>
      <c r="AH4183" s="649"/>
      <c r="AI4183" s="649"/>
      <c r="AJ4183" s="649"/>
      <c r="AK4183" s="647">
        <f t="shared" si="932"/>
        <v>0</v>
      </c>
      <c r="AL4183" s="446">
        <f t="shared" si="933"/>
        <v>0</v>
      </c>
      <c r="AM4183" s="110">
        <f t="shared" si="934"/>
        <v>0</v>
      </c>
      <c r="AN4183" s="447">
        <f t="shared" si="923"/>
        <v>0</v>
      </c>
      <c r="AO4183" s="108"/>
      <c r="AP4183"/>
    </row>
    <row r="4184" spans="1:42" x14ac:dyDescent="0.25">
      <c r="A4184" s="61"/>
      <c r="B4184" s="71"/>
      <c r="D4184" s="879"/>
      <c r="I4184" s="720"/>
      <c r="K4184" s="131">
        <f t="shared" si="924"/>
        <v>0</v>
      </c>
      <c r="L4184" s="335">
        <f t="shared" si="930"/>
        <v>0</v>
      </c>
      <c r="M4184" s="446"/>
      <c r="N4184" s="446"/>
      <c r="O4184" s="446"/>
      <c r="P4184" s="446"/>
      <c r="Q4184" s="110">
        <f t="shared" si="925"/>
        <v>0</v>
      </c>
      <c r="R4184" s="111">
        <f t="shared" si="928"/>
        <v>0</v>
      </c>
      <c r="S4184" s="110"/>
      <c r="T4184" s="110"/>
      <c r="U4184" s="110">
        <f t="shared" si="926"/>
        <v>0</v>
      </c>
      <c r="V4184" s="111">
        <f t="shared" si="929"/>
        <v>0</v>
      </c>
      <c r="W4184" s="110"/>
      <c r="X4184" s="110"/>
      <c r="Y4184" s="110"/>
      <c r="Z4184" s="110"/>
      <c r="AA4184" s="110">
        <f t="shared" si="927"/>
        <v>0</v>
      </c>
      <c r="AB4184" s="111">
        <f t="shared" si="935"/>
        <v>0</v>
      </c>
      <c r="AC4184" s="110"/>
      <c r="AD4184" s="110"/>
      <c r="AE4184" s="110">
        <f t="shared" si="927"/>
        <v>0</v>
      </c>
      <c r="AF4184" s="111">
        <f t="shared" si="931"/>
        <v>0</v>
      </c>
      <c r="AG4184" s="110"/>
      <c r="AH4184" s="110"/>
      <c r="AI4184" s="110"/>
      <c r="AJ4184" s="110"/>
      <c r="AK4184" s="111">
        <f t="shared" si="932"/>
        <v>0</v>
      </c>
      <c r="AL4184" s="446">
        <f t="shared" si="933"/>
        <v>0</v>
      </c>
      <c r="AM4184" s="110">
        <f t="shared" si="934"/>
        <v>0</v>
      </c>
      <c r="AN4184" s="447">
        <f t="shared" si="923"/>
        <v>0</v>
      </c>
      <c r="AO4184"/>
      <c r="AP4184"/>
    </row>
    <row r="4185" spans="1:42" x14ac:dyDescent="0.25">
      <c r="A4185" s="376">
        <v>445</v>
      </c>
      <c r="B4185" s="635" t="s">
        <v>1020</v>
      </c>
      <c r="C4185" s="376"/>
      <c r="D4185" s="921"/>
      <c r="E4185" s="377"/>
      <c r="F4185" s="378"/>
      <c r="G4185" s="378"/>
      <c r="H4185" s="378"/>
      <c r="I4185" s="734"/>
      <c r="J4185" s="806"/>
      <c r="K4185" s="131">
        <f t="shared" si="924"/>
        <v>0</v>
      </c>
      <c r="L4185" s="335">
        <f t="shared" si="930"/>
        <v>0</v>
      </c>
      <c r="M4185" s="419"/>
      <c r="N4185" s="419"/>
      <c r="O4185" s="419"/>
      <c r="P4185" s="419"/>
      <c r="Q4185" s="418">
        <f t="shared" si="925"/>
        <v>0</v>
      </c>
      <c r="R4185" s="379">
        <f t="shared" si="928"/>
        <v>0</v>
      </c>
      <c r="S4185" s="418"/>
      <c r="T4185" s="418"/>
      <c r="U4185" s="418">
        <f t="shared" si="926"/>
        <v>0</v>
      </c>
      <c r="V4185" s="379">
        <f t="shared" si="929"/>
        <v>0</v>
      </c>
      <c r="W4185" s="418"/>
      <c r="X4185" s="418"/>
      <c r="Y4185" s="418"/>
      <c r="Z4185" s="418"/>
      <c r="AA4185" s="418">
        <f t="shared" si="927"/>
        <v>0</v>
      </c>
      <c r="AB4185" s="379">
        <f t="shared" si="935"/>
        <v>0</v>
      </c>
      <c r="AC4185" s="418"/>
      <c r="AD4185" s="418"/>
      <c r="AE4185" s="418">
        <f t="shared" si="927"/>
        <v>0</v>
      </c>
      <c r="AF4185" s="379">
        <f t="shared" si="931"/>
        <v>0</v>
      </c>
      <c r="AG4185" s="418"/>
      <c r="AH4185" s="418"/>
      <c r="AI4185" s="418"/>
      <c r="AJ4185" s="418"/>
      <c r="AK4185" s="379">
        <f t="shared" si="932"/>
        <v>0</v>
      </c>
      <c r="AL4185" s="446">
        <f t="shared" si="933"/>
        <v>0</v>
      </c>
      <c r="AM4185" s="110">
        <f t="shared" si="934"/>
        <v>0</v>
      </c>
      <c r="AN4185" s="447">
        <f t="shared" si="923"/>
        <v>0</v>
      </c>
      <c r="AO4185" s="108"/>
      <c r="AP4185"/>
    </row>
    <row r="4186" spans="1:42" x14ac:dyDescent="0.25">
      <c r="A4186" s="315">
        <v>44501</v>
      </c>
      <c r="B4186" s="351" t="s">
        <v>1021</v>
      </c>
      <c r="C4186" s="315"/>
      <c r="D4186" s="886"/>
      <c r="E4186" s="318"/>
      <c r="F4186" s="319"/>
      <c r="G4186" s="319"/>
      <c r="H4186" s="319"/>
      <c r="I4186" s="724"/>
      <c r="J4186" s="753"/>
      <c r="K4186" s="131">
        <f t="shared" si="924"/>
        <v>0</v>
      </c>
      <c r="L4186" s="335">
        <f t="shared" si="930"/>
        <v>0</v>
      </c>
      <c r="M4186" s="648"/>
      <c r="N4186" s="648"/>
      <c r="O4186" s="648"/>
      <c r="P4186" s="648"/>
      <c r="Q4186" s="649">
        <f t="shared" si="925"/>
        <v>0</v>
      </c>
      <c r="R4186" s="647">
        <f t="shared" si="928"/>
        <v>0</v>
      </c>
      <c r="S4186" s="649"/>
      <c r="T4186" s="649"/>
      <c r="U4186" s="649">
        <f t="shared" si="926"/>
        <v>0</v>
      </c>
      <c r="V4186" s="647">
        <f t="shared" si="929"/>
        <v>0</v>
      </c>
      <c r="W4186" s="649"/>
      <c r="X4186" s="649"/>
      <c r="Y4186" s="649"/>
      <c r="Z4186" s="649"/>
      <c r="AA4186" s="649">
        <f t="shared" si="927"/>
        <v>0</v>
      </c>
      <c r="AB4186" s="647">
        <f t="shared" si="935"/>
        <v>0</v>
      </c>
      <c r="AC4186" s="649"/>
      <c r="AD4186" s="649"/>
      <c r="AE4186" s="649">
        <f t="shared" si="927"/>
        <v>0</v>
      </c>
      <c r="AF4186" s="647">
        <f t="shared" si="931"/>
        <v>0</v>
      </c>
      <c r="AG4186" s="649"/>
      <c r="AH4186" s="649"/>
      <c r="AI4186" s="649"/>
      <c r="AJ4186" s="649"/>
      <c r="AK4186" s="647">
        <f t="shared" si="932"/>
        <v>0</v>
      </c>
      <c r="AL4186" s="446">
        <f t="shared" si="933"/>
        <v>0</v>
      </c>
      <c r="AM4186" s="110">
        <f t="shared" si="934"/>
        <v>0</v>
      </c>
      <c r="AN4186" s="447">
        <f t="shared" si="923"/>
        <v>0</v>
      </c>
      <c r="AO4186" s="436">
        <f>SUM(J4187)</f>
        <v>248215.92</v>
      </c>
      <c r="AP4186" s="296">
        <f>SUBTOTAL(9,AO4118:AO4186)</f>
        <v>2909890.1920000003</v>
      </c>
    </row>
    <row r="4187" spans="1:42" ht="66" x14ac:dyDescent="0.25">
      <c r="A4187" s="9"/>
      <c r="B4187" s="75" t="s">
        <v>1888</v>
      </c>
      <c r="C4187" s="9"/>
      <c r="D4187" s="869">
        <v>12</v>
      </c>
      <c r="E4187" s="1027" t="s">
        <v>1887</v>
      </c>
      <c r="F4187" s="273" t="s">
        <v>3446</v>
      </c>
      <c r="G4187" s="1040" t="s">
        <v>3463</v>
      </c>
      <c r="H4187" s="273" t="s">
        <v>3462</v>
      </c>
      <c r="I4187" s="720">
        <f>+J4187/D4187</f>
        <v>20684.66</v>
      </c>
      <c r="J4187" s="763">
        <v>248215.92</v>
      </c>
      <c r="K4187" s="131">
        <f t="shared" si="924"/>
        <v>248215.91999999998</v>
      </c>
      <c r="L4187" s="335">
        <f t="shared" si="930"/>
        <v>0</v>
      </c>
      <c r="M4187" s="446"/>
      <c r="N4187" s="446"/>
      <c r="O4187" s="446"/>
      <c r="P4187" s="446"/>
      <c r="Q4187" s="110">
        <f t="shared" si="925"/>
        <v>3</v>
      </c>
      <c r="R4187" s="111">
        <f t="shared" si="928"/>
        <v>62053.98</v>
      </c>
      <c r="S4187" s="110"/>
      <c r="T4187" s="110"/>
      <c r="U4187" s="110">
        <f t="shared" si="926"/>
        <v>3</v>
      </c>
      <c r="V4187" s="111">
        <f t="shared" si="929"/>
        <v>62053.98</v>
      </c>
      <c r="W4187" s="110"/>
      <c r="X4187" s="110"/>
      <c r="Y4187" s="110"/>
      <c r="Z4187" s="110"/>
      <c r="AA4187" s="110">
        <f t="shared" si="927"/>
        <v>3</v>
      </c>
      <c r="AB4187" s="111">
        <f t="shared" si="935"/>
        <v>62053.98</v>
      </c>
      <c r="AC4187" s="110"/>
      <c r="AD4187" s="110"/>
      <c r="AE4187" s="110">
        <f t="shared" si="927"/>
        <v>3</v>
      </c>
      <c r="AF4187" s="111">
        <f t="shared" si="931"/>
        <v>62053.98</v>
      </c>
      <c r="AG4187" s="110"/>
      <c r="AH4187" s="110"/>
      <c r="AI4187" s="110"/>
      <c r="AJ4187" s="110"/>
      <c r="AK4187" s="111">
        <f t="shared" si="932"/>
        <v>248215.92</v>
      </c>
      <c r="AL4187" s="446">
        <f t="shared" si="933"/>
        <v>0</v>
      </c>
      <c r="AM4187" s="110">
        <f t="shared" si="934"/>
        <v>12</v>
      </c>
      <c r="AN4187" s="447">
        <f t="shared" ref="AN4187:AN4193" si="936">+D4187-AM4187</f>
        <v>0</v>
      </c>
      <c r="AO4187"/>
      <c r="AP4187"/>
    </row>
    <row r="4188" spans="1:42" x14ac:dyDescent="0.25">
      <c r="A4188" s="100">
        <v>5000</v>
      </c>
      <c r="B4188" s="468" t="s">
        <v>1022</v>
      </c>
      <c r="C4188" s="100"/>
      <c r="D4188" s="930"/>
      <c r="E4188" s="18"/>
      <c r="F4188" s="297"/>
      <c r="G4188" s="297"/>
      <c r="H4188" s="297"/>
      <c r="I4188" s="714"/>
      <c r="J4188" s="750"/>
      <c r="K4188" s="131">
        <f t="shared" si="924"/>
        <v>0</v>
      </c>
      <c r="L4188" s="335">
        <f t="shared" si="930"/>
        <v>0</v>
      </c>
      <c r="M4188" s="455"/>
      <c r="N4188" s="455"/>
      <c r="O4188" s="455"/>
      <c r="P4188" s="455"/>
      <c r="Q4188" s="384">
        <f t="shared" si="925"/>
        <v>0</v>
      </c>
      <c r="R4188" s="298">
        <f t="shared" si="928"/>
        <v>0</v>
      </c>
      <c r="S4188" s="384"/>
      <c r="T4188" s="384"/>
      <c r="U4188" s="384">
        <f t="shared" si="926"/>
        <v>0</v>
      </c>
      <c r="V4188" s="298">
        <f t="shared" si="929"/>
        <v>0</v>
      </c>
      <c r="W4188" s="384"/>
      <c r="X4188" s="384"/>
      <c r="Y4188" s="384"/>
      <c r="Z4188" s="384"/>
      <c r="AA4188" s="384">
        <f t="shared" si="927"/>
        <v>0</v>
      </c>
      <c r="AB4188" s="298">
        <f t="shared" si="935"/>
        <v>0</v>
      </c>
      <c r="AC4188" s="384"/>
      <c r="AD4188" s="384"/>
      <c r="AE4188" s="384">
        <f t="shared" si="927"/>
        <v>0</v>
      </c>
      <c r="AF4188" s="298">
        <f t="shared" si="931"/>
        <v>0</v>
      </c>
      <c r="AG4188" s="384"/>
      <c r="AH4188" s="384"/>
      <c r="AI4188" s="384"/>
      <c r="AJ4188" s="384"/>
      <c r="AK4188" s="298">
        <f t="shared" si="932"/>
        <v>0</v>
      </c>
      <c r="AL4188" s="455">
        <f t="shared" si="933"/>
        <v>0</v>
      </c>
      <c r="AM4188" s="384">
        <f t="shared" si="934"/>
        <v>0</v>
      </c>
      <c r="AN4188" s="456">
        <f t="shared" si="936"/>
        <v>0</v>
      </c>
      <c r="AO4188" s="291"/>
      <c r="AP4188"/>
    </row>
    <row r="4189" spans="1:42" x14ac:dyDescent="0.25">
      <c r="A4189" s="299">
        <v>5100</v>
      </c>
      <c r="B4189" s="469" t="s">
        <v>1023</v>
      </c>
      <c r="C4189" s="300"/>
      <c r="D4189" s="909"/>
      <c r="E4189" s="301"/>
      <c r="F4189" s="302"/>
      <c r="G4189" s="302"/>
      <c r="H4189" s="302"/>
      <c r="I4189" s="715"/>
      <c r="J4189" s="751"/>
      <c r="K4189" s="131">
        <f t="shared" ref="K4189:K4193" si="937">+D4189*I4189</f>
        <v>0</v>
      </c>
      <c r="L4189" s="335">
        <f t="shared" si="930"/>
        <v>0</v>
      </c>
      <c r="M4189" s="453"/>
      <c r="N4189" s="453"/>
      <c r="O4189" s="453"/>
      <c r="P4189" s="453"/>
      <c r="Q4189" s="385">
        <f t="shared" si="925"/>
        <v>0</v>
      </c>
      <c r="R4189" s="303">
        <f t="shared" si="928"/>
        <v>0</v>
      </c>
      <c r="S4189" s="385"/>
      <c r="T4189" s="385"/>
      <c r="U4189" s="385">
        <f t="shared" si="926"/>
        <v>0</v>
      </c>
      <c r="V4189" s="303">
        <f t="shared" si="929"/>
        <v>0</v>
      </c>
      <c r="W4189" s="385"/>
      <c r="X4189" s="385"/>
      <c r="Y4189" s="385"/>
      <c r="Z4189" s="385"/>
      <c r="AA4189" s="385">
        <f t="shared" si="927"/>
        <v>0</v>
      </c>
      <c r="AB4189" s="303">
        <f t="shared" si="935"/>
        <v>0</v>
      </c>
      <c r="AC4189" s="385"/>
      <c r="AD4189" s="385"/>
      <c r="AE4189" s="385">
        <f t="shared" si="927"/>
        <v>0</v>
      </c>
      <c r="AF4189" s="303">
        <f t="shared" si="931"/>
        <v>0</v>
      </c>
      <c r="AG4189" s="385"/>
      <c r="AH4189" s="385"/>
      <c r="AI4189" s="385"/>
      <c r="AJ4189" s="385"/>
      <c r="AK4189" s="303">
        <f t="shared" si="932"/>
        <v>0</v>
      </c>
      <c r="AL4189" s="446">
        <f t="shared" si="933"/>
        <v>0</v>
      </c>
      <c r="AM4189" s="110">
        <f t="shared" si="934"/>
        <v>0</v>
      </c>
      <c r="AN4189" s="447">
        <f t="shared" si="936"/>
        <v>0</v>
      </c>
      <c r="AO4189" s="108"/>
      <c r="AP4189"/>
    </row>
    <row r="4190" spans="1:42" x14ac:dyDescent="0.25">
      <c r="A4190" s="1021">
        <v>511</v>
      </c>
      <c r="B4190" s="676" t="s">
        <v>1024</v>
      </c>
      <c r="C4190" s="342"/>
      <c r="D4190" s="958"/>
      <c r="E4190" s="343"/>
      <c r="F4190" s="344"/>
      <c r="G4190" s="344"/>
      <c r="H4190" s="344"/>
      <c r="I4190" s="737"/>
      <c r="J4190" s="811"/>
      <c r="K4190" s="131">
        <f t="shared" si="937"/>
        <v>0</v>
      </c>
      <c r="L4190" s="335">
        <f t="shared" si="930"/>
        <v>0</v>
      </c>
      <c r="M4190" s="414"/>
      <c r="N4190" s="414"/>
      <c r="O4190" s="414"/>
      <c r="P4190" s="414"/>
      <c r="Q4190" s="413">
        <f t="shared" si="925"/>
        <v>0</v>
      </c>
      <c r="R4190" s="345">
        <f t="shared" si="928"/>
        <v>0</v>
      </c>
      <c r="S4190" s="413"/>
      <c r="T4190" s="413"/>
      <c r="U4190" s="413">
        <f t="shared" si="926"/>
        <v>0</v>
      </c>
      <c r="V4190" s="345">
        <f t="shared" si="929"/>
        <v>0</v>
      </c>
      <c r="W4190" s="413"/>
      <c r="X4190" s="413"/>
      <c r="Y4190" s="413"/>
      <c r="Z4190" s="413"/>
      <c r="AA4190" s="413">
        <f t="shared" si="927"/>
        <v>0</v>
      </c>
      <c r="AB4190" s="345">
        <f t="shared" si="935"/>
        <v>0</v>
      </c>
      <c r="AC4190" s="413"/>
      <c r="AD4190" s="413"/>
      <c r="AE4190" s="413">
        <f t="shared" si="927"/>
        <v>0</v>
      </c>
      <c r="AF4190" s="345">
        <f t="shared" si="931"/>
        <v>0</v>
      </c>
      <c r="AG4190" s="413"/>
      <c r="AH4190" s="413"/>
      <c r="AI4190" s="413"/>
      <c r="AJ4190" s="413"/>
      <c r="AK4190" s="345">
        <f t="shared" si="932"/>
        <v>0</v>
      </c>
      <c r="AL4190" s="446">
        <f t="shared" si="933"/>
        <v>0</v>
      </c>
      <c r="AM4190" s="110">
        <f t="shared" si="934"/>
        <v>0</v>
      </c>
      <c r="AN4190" s="447">
        <f t="shared" si="936"/>
        <v>0</v>
      </c>
      <c r="AO4190" s="108"/>
      <c r="AP4190"/>
    </row>
    <row r="4191" spans="1:42" x14ac:dyDescent="0.25">
      <c r="A4191" s="315">
        <v>51101</v>
      </c>
      <c r="B4191" s="351" t="s">
        <v>1025</v>
      </c>
      <c r="C4191" s="316"/>
      <c r="D4191" s="886"/>
      <c r="E4191" s="318"/>
      <c r="F4191" s="319"/>
      <c r="G4191" s="319"/>
      <c r="H4191" s="319"/>
      <c r="I4191" s="724"/>
      <c r="J4191" s="753"/>
      <c r="K4191" s="131">
        <f t="shared" si="937"/>
        <v>0</v>
      </c>
      <c r="L4191" s="335">
        <f t="shared" si="930"/>
        <v>0</v>
      </c>
      <c r="M4191" s="648"/>
      <c r="N4191" s="648"/>
      <c r="O4191" s="648"/>
      <c r="P4191" s="648"/>
      <c r="Q4191" s="649">
        <f t="shared" si="925"/>
        <v>0</v>
      </c>
      <c r="R4191" s="647">
        <f t="shared" si="928"/>
        <v>0</v>
      </c>
      <c r="S4191" s="649"/>
      <c r="T4191" s="649"/>
      <c r="U4191" s="649">
        <f t="shared" si="926"/>
        <v>0</v>
      </c>
      <c r="V4191" s="647">
        <f t="shared" si="929"/>
        <v>0</v>
      </c>
      <c r="W4191" s="649"/>
      <c r="X4191" s="649"/>
      <c r="Y4191" s="649"/>
      <c r="Z4191" s="649"/>
      <c r="AA4191" s="649">
        <f t="shared" si="927"/>
        <v>0</v>
      </c>
      <c r="AB4191" s="647">
        <f t="shared" si="935"/>
        <v>0</v>
      </c>
      <c r="AC4191" s="649"/>
      <c r="AD4191" s="649"/>
      <c r="AE4191" s="649">
        <f t="shared" si="927"/>
        <v>0</v>
      </c>
      <c r="AF4191" s="647">
        <f t="shared" si="931"/>
        <v>0</v>
      </c>
      <c r="AG4191" s="649"/>
      <c r="AH4191" s="649"/>
      <c r="AI4191" s="649"/>
      <c r="AJ4191" s="649"/>
      <c r="AK4191" s="647">
        <f t="shared" si="932"/>
        <v>0</v>
      </c>
      <c r="AL4191" s="446">
        <f t="shared" si="933"/>
        <v>0</v>
      </c>
      <c r="AM4191" s="110">
        <f t="shared" si="934"/>
        <v>0</v>
      </c>
      <c r="AN4191" s="447">
        <f t="shared" si="936"/>
        <v>0</v>
      </c>
      <c r="AO4191" s="436">
        <f>SUM(J4192:J4193)</f>
        <v>13292.72</v>
      </c>
      <c r="AP4191" s="111"/>
    </row>
    <row r="4192" spans="1:42" ht="66" x14ac:dyDescent="0.25">
      <c r="A4192" s="9"/>
      <c r="B4192" s="612" t="s">
        <v>2839</v>
      </c>
      <c r="C4192" s="1024"/>
      <c r="D4192" s="869">
        <v>1</v>
      </c>
      <c r="E4192" s="1027" t="s">
        <v>1721</v>
      </c>
      <c r="F4192" s="273" t="s">
        <v>3446</v>
      </c>
      <c r="G4192" s="1040" t="s">
        <v>3463</v>
      </c>
      <c r="H4192" s="273" t="s">
        <v>3462</v>
      </c>
      <c r="I4192" s="720">
        <f>+J4192/D4192</f>
        <v>8292.7199999999993</v>
      </c>
      <c r="J4192" s="763">
        <v>8292.7199999999993</v>
      </c>
      <c r="K4192" s="131">
        <f t="shared" si="937"/>
        <v>8292.7199999999993</v>
      </c>
      <c r="L4192" s="335">
        <f t="shared" si="930"/>
        <v>0</v>
      </c>
      <c r="M4192" s="446"/>
      <c r="N4192" s="446"/>
      <c r="O4192" s="446"/>
      <c r="P4192" s="446"/>
      <c r="Q4192" s="110">
        <v>1</v>
      </c>
      <c r="R4192" s="111">
        <f t="shared" si="928"/>
        <v>2073.1799999999998</v>
      </c>
      <c r="S4192" s="110"/>
      <c r="T4192" s="110"/>
      <c r="U4192" s="110">
        <v>0</v>
      </c>
      <c r="V4192" s="111">
        <f t="shared" si="929"/>
        <v>2073.1799999999998</v>
      </c>
      <c r="W4192" s="110"/>
      <c r="X4192" s="110"/>
      <c r="Y4192" s="110"/>
      <c r="Z4192" s="110"/>
      <c r="AA4192" s="110">
        <v>0</v>
      </c>
      <c r="AB4192" s="111">
        <f t="shared" si="935"/>
        <v>2073.1799999999998</v>
      </c>
      <c r="AC4192" s="110"/>
      <c r="AD4192" s="110"/>
      <c r="AE4192" s="110">
        <v>0</v>
      </c>
      <c r="AF4192" s="111">
        <f t="shared" si="931"/>
        <v>2073.1799999999998</v>
      </c>
      <c r="AG4192" s="110"/>
      <c r="AH4192" s="110"/>
      <c r="AI4192" s="110"/>
      <c r="AJ4192" s="110"/>
      <c r="AK4192" s="111">
        <f t="shared" si="932"/>
        <v>8292.7199999999993</v>
      </c>
      <c r="AL4192" s="446">
        <f t="shared" si="933"/>
        <v>0</v>
      </c>
      <c r="AM4192" s="110">
        <f t="shared" si="934"/>
        <v>1</v>
      </c>
      <c r="AN4192" s="447">
        <f t="shared" si="936"/>
        <v>0</v>
      </c>
      <c r="AO4192"/>
      <c r="AP4192"/>
    </row>
    <row r="4193" spans="1:42" ht="66" x14ac:dyDescent="0.25">
      <c r="A4193" s="9"/>
      <c r="B4193" s="154" t="s">
        <v>3355</v>
      </c>
      <c r="C4193" s="1024"/>
      <c r="D4193" s="869">
        <v>1</v>
      </c>
      <c r="E4193" s="1027" t="s">
        <v>1721</v>
      </c>
      <c r="F4193" s="273" t="s">
        <v>3446</v>
      </c>
      <c r="G4193" s="1040" t="s">
        <v>3463</v>
      </c>
      <c r="H4193" s="273" t="s">
        <v>3462</v>
      </c>
      <c r="I4193" s="720">
        <f>+J4193/D4193</f>
        <v>5000</v>
      </c>
      <c r="J4193" s="763">
        <v>5000</v>
      </c>
      <c r="K4193" s="131">
        <f t="shared" si="937"/>
        <v>5000</v>
      </c>
      <c r="L4193" s="335">
        <f t="shared" si="930"/>
        <v>0</v>
      </c>
      <c r="M4193" s="446"/>
      <c r="N4193" s="446"/>
      <c r="O4193" s="446"/>
      <c r="P4193" s="446"/>
      <c r="Q4193" s="110">
        <v>1</v>
      </c>
      <c r="R4193" s="111">
        <f t="shared" si="928"/>
        <v>1250</v>
      </c>
      <c r="S4193" s="110"/>
      <c r="T4193" s="110"/>
      <c r="U4193" s="110">
        <v>0</v>
      </c>
      <c r="V4193" s="111">
        <f t="shared" si="929"/>
        <v>1250</v>
      </c>
      <c r="W4193" s="110"/>
      <c r="X4193" s="110"/>
      <c r="Y4193" s="110"/>
      <c r="Z4193" s="110"/>
      <c r="AA4193" s="110">
        <v>0</v>
      </c>
      <c r="AB4193" s="111">
        <f t="shared" si="935"/>
        <v>1250</v>
      </c>
      <c r="AC4193" s="110"/>
      <c r="AD4193" s="110"/>
      <c r="AE4193" s="110">
        <v>0</v>
      </c>
      <c r="AF4193" s="111">
        <f t="shared" si="931"/>
        <v>1250</v>
      </c>
      <c r="AG4193" s="110"/>
      <c r="AH4193" s="110"/>
      <c r="AI4193" s="110"/>
      <c r="AJ4193" s="110"/>
      <c r="AK4193" s="111">
        <f t="shared" si="932"/>
        <v>5000</v>
      </c>
      <c r="AL4193" s="446">
        <f t="shared" si="933"/>
        <v>0</v>
      </c>
      <c r="AM4193" s="110">
        <f t="shared" si="934"/>
        <v>1</v>
      </c>
      <c r="AN4193" s="447">
        <f t="shared" si="936"/>
        <v>0</v>
      </c>
      <c r="AO4193"/>
      <c r="AP4193"/>
    </row>
    <row r="4194" spans="1:42" x14ac:dyDescent="0.25">
      <c r="A4194" s="9"/>
      <c r="B4194" s="154"/>
      <c r="C4194" s="1024"/>
      <c r="D4194" s="869"/>
      <c r="E4194" s="1027"/>
      <c r="F4194" s="272"/>
      <c r="G4194" s="272"/>
      <c r="H4194" s="272"/>
      <c r="I4194" s="720"/>
      <c r="J4194" s="763"/>
      <c r="K4194" s="131"/>
      <c r="L4194" s="335"/>
      <c r="M4194" s="446"/>
      <c r="N4194" s="446"/>
      <c r="O4194" s="446"/>
      <c r="P4194" s="446"/>
      <c r="Q4194" s="110"/>
      <c r="R4194" s="111"/>
      <c r="S4194" s="110"/>
      <c r="T4194" s="110"/>
      <c r="U4194" s="110"/>
      <c r="V4194" s="111"/>
      <c r="W4194" s="110"/>
      <c r="X4194" s="110"/>
      <c r="Y4194" s="110"/>
      <c r="Z4194" s="110"/>
      <c r="AA4194" s="110"/>
      <c r="AB4194" s="111"/>
      <c r="AC4194" s="110"/>
      <c r="AD4194" s="110"/>
      <c r="AE4194" s="110"/>
      <c r="AF4194" s="111"/>
      <c r="AG4194" s="110"/>
      <c r="AH4194" s="110"/>
      <c r="AI4194" s="110"/>
      <c r="AJ4194" s="110"/>
      <c r="AK4194" s="111"/>
      <c r="AL4194" s="446"/>
      <c r="AM4194" s="110"/>
      <c r="AN4194" s="447"/>
      <c r="AO4194"/>
      <c r="AP4194"/>
    </row>
    <row r="4195" spans="1:42" ht="22.5" x14ac:dyDescent="0.25">
      <c r="A4195" s="315">
        <v>51102</v>
      </c>
      <c r="B4195" s="351" t="s">
        <v>1710</v>
      </c>
      <c r="C4195" s="316"/>
      <c r="D4195" s="886"/>
      <c r="E4195" s="318"/>
      <c r="F4195" s="319"/>
      <c r="G4195" s="319"/>
      <c r="H4195" s="319"/>
      <c r="I4195" s="724"/>
      <c r="J4195" s="753"/>
      <c r="K4195" s="131">
        <f t="shared" ref="K4195:K4258" si="938">+D4195*I4195</f>
        <v>0</v>
      </c>
      <c r="L4195" s="335">
        <f t="shared" si="930"/>
        <v>0</v>
      </c>
      <c r="M4195" s="648"/>
      <c r="N4195" s="648"/>
      <c r="O4195" s="648"/>
      <c r="P4195" s="648"/>
      <c r="Q4195" s="649">
        <f t="shared" ref="Q4195:Q4245" si="939">+$D4195/4</f>
        <v>0</v>
      </c>
      <c r="R4195" s="647">
        <f t="shared" ref="R4195:R4258" si="940">+J4195/4</f>
        <v>0</v>
      </c>
      <c r="S4195" s="649"/>
      <c r="T4195" s="649"/>
      <c r="U4195" s="649">
        <f t="shared" ref="U4195:U4245" si="941">+$D4195/4</f>
        <v>0</v>
      </c>
      <c r="V4195" s="647">
        <f t="shared" ref="V4195:V4258" si="942">+J4195/4</f>
        <v>0</v>
      </c>
      <c r="W4195" s="649"/>
      <c r="X4195" s="649"/>
      <c r="Y4195" s="649"/>
      <c r="Z4195" s="649"/>
      <c r="AA4195" s="649">
        <f t="shared" ref="AA4195:AE4245" si="943">+$D4195/4</f>
        <v>0</v>
      </c>
      <c r="AB4195" s="647">
        <f t="shared" si="935"/>
        <v>0</v>
      </c>
      <c r="AC4195" s="649"/>
      <c r="AD4195" s="649"/>
      <c r="AE4195" s="649">
        <f t="shared" si="943"/>
        <v>0</v>
      </c>
      <c r="AF4195" s="647">
        <f t="shared" si="931"/>
        <v>0</v>
      </c>
      <c r="AG4195" s="649"/>
      <c r="AH4195" s="649"/>
      <c r="AI4195" s="649"/>
      <c r="AJ4195" s="649"/>
      <c r="AK4195" s="647">
        <f t="shared" si="932"/>
        <v>0</v>
      </c>
      <c r="AL4195" s="446">
        <f t="shared" si="933"/>
        <v>0</v>
      </c>
      <c r="AM4195" s="110">
        <f t="shared" si="934"/>
        <v>0</v>
      </c>
      <c r="AN4195" s="447">
        <f t="shared" ref="AN4195:AN4258" si="944">+D4195-AM4195</f>
        <v>0</v>
      </c>
      <c r="AO4195" s="436">
        <f>SUM(J4196)</f>
        <v>8328.7999999999993</v>
      </c>
      <c r="AP4195" s="111"/>
    </row>
    <row r="4196" spans="1:42" ht="66" x14ac:dyDescent="0.25">
      <c r="A4196" s="9"/>
      <c r="B4196" s="172" t="s">
        <v>1711</v>
      </c>
      <c r="C4196" s="1024"/>
      <c r="D4196" s="869">
        <v>1</v>
      </c>
      <c r="E4196" s="1027" t="s">
        <v>1721</v>
      </c>
      <c r="F4196" s="273" t="s">
        <v>3446</v>
      </c>
      <c r="G4196" s="1040" t="s">
        <v>3463</v>
      </c>
      <c r="H4196" s="273" t="s">
        <v>3462</v>
      </c>
      <c r="I4196" s="720">
        <f>+J4196/D4196</f>
        <v>8328.7999999999993</v>
      </c>
      <c r="J4196" s="756">
        <v>8328.7999999999993</v>
      </c>
      <c r="K4196" s="131">
        <f t="shared" si="938"/>
        <v>8328.7999999999993</v>
      </c>
      <c r="L4196" s="335">
        <f t="shared" si="930"/>
        <v>0</v>
      </c>
      <c r="M4196" s="446"/>
      <c r="N4196" s="446"/>
      <c r="O4196" s="446"/>
      <c r="P4196" s="446"/>
      <c r="Q4196" s="110">
        <v>1</v>
      </c>
      <c r="R4196" s="111">
        <f t="shared" si="940"/>
        <v>2082.1999999999998</v>
      </c>
      <c r="S4196" s="110"/>
      <c r="T4196" s="110"/>
      <c r="U4196" s="110">
        <v>0</v>
      </c>
      <c r="V4196" s="111">
        <f t="shared" si="942"/>
        <v>2082.1999999999998</v>
      </c>
      <c r="W4196" s="110"/>
      <c r="X4196" s="110"/>
      <c r="Y4196" s="110"/>
      <c r="Z4196" s="110"/>
      <c r="AA4196" s="110">
        <v>0</v>
      </c>
      <c r="AB4196" s="111">
        <f t="shared" si="935"/>
        <v>2082.1999999999998</v>
      </c>
      <c r="AC4196" s="110"/>
      <c r="AD4196" s="110"/>
      <c r="AE4196" s="110">
        <v>0</v>
      </c>
      <c r="AF4196" s="111">
        <f t="shared" si="931"/>
        <v>2082.1999999999998</v>
      </c>
      <c r="AG4196" s="110"/>
      <c r="AH4196" s="110"/>
      <c r="AI4196" s="110"/>
      <c r="AJ4196" s="110"/>
      <c r="AK4196" s="111">
        <f t="shared" si="932"/>
        <v>8328.7999999999993</v>
      </c>
      <c r="AL4196" s="446">
        <f t="shared" si="933"/>
        <v>0</v>
      </c>
      <c r="AM4196" s="110">
        <f t="shared" si="934"/>
        <v>1</v>
      </c>
      <c r="AN4196" s="447">
        <f t="shared" si="944"/>
        <v>0</v>
      </c>
      <c r="AO4196"/>
      <c r="AP4196"/>
    </row>
    <row r="4197" spans="1:42" ht="22.5" x14ac:dyDescent="0.25">
      <c r="A4197" s="315">
        <v>51105</v>
      </c>
      <c r="B4197" s="354" t="s">
        <v>1889</v>
      </c>
      <c r="C4197" s="315"/>
      <c r="D4197" s="886"/>
      <c r="E4197" s="318"/>
      <c r="F4197" s="319"/>
      <c r="G4197" s="319"/>
      <c r="H4197" s="319"/>
      <c r="I4197" s="724"/>
      <c r="J4197" s="753"/>
      <c r="K4197" s="131">
        <f t="shared" si="938"/>
        <v>0</v>
      </c>
      <c r="L4197" s="335">
        <f t="shared" si="930"/>
        <v>0</v>
      </c>
      <c r="M4197" s="648"/>
      <c r="N4197" s="648"/>
      <c r="O4197" s="648"/>
      <c r="P4197" s="648"/>
      <c r="Q4197" s="649">
        <f t="shared" si="939"/>
        <v>0</v>
      </c>
      <c r="R4197" s="647">
        <f t="shared" si="940"/>
        <v>0</v>
      </c>
      <c r="S4197" s="649"/>
      <c r="T4197" s="649"/>
      <c r="U4197" s="649">
        <f t="shared" si="941"/>
        <v>0</v>
      </c>
      <c r="V4197" s="647">
        <f t="shared" si="942"/>
        <v>0</v>
      </c>
      <c r="W4197" s="649"/>
      <c r="X4197" s="649"/>
      <c r="Y4197" s="649"/>
      <c r="Z4197" s="649"/>
      <c r="AA4197" s="649">
        <f t="shared" si="943"/>
        <v>0</v>
      </c>
      <c r="AB4197" s="647">
        <f t="shared" si="935"/>
        <v>0</v>
      </c>
      <c r="AC4197" s="649"/>
      <c r="AD4197" s="649"/>
      <c r="AE4197" s="649">
        <f t="shared" si="943"/>
        <v>0</v>
      </c>
      <c r="AF4197" s="647">
        <f t="shared" si="931"/>
        <v>0</v>
      </c>
      <c r="AG4197" s="649"/>
      <c r="AH4197" s="649"/>
      <c r="AI4197" s="649"/>
      <c r="AJ4197" s="649"/>
      <c r="AK4197" s="647">
        <f t="shared" si="932"/>
        <v>0</v>
      </c>
      <c r="AL4197" s="446">
        <f t="shared" si="933"/>
        <v>0</v>
      </c>
      <c r="AM4197" s="110">
        <f t="shared" si="934"/>
        <v>0</v>
      </c>
      <c r="AN4197" s="447">
        <f t="shared" si="944"/>
        <v>0</v>
      </c>
      <c r="AO4197" s="436">
        <f>SUM(J4198)</f>
        <v>84824</v>
      </c>
      <c r="AP4197" s="111"/>
    </row>
    <row r="4198" spans="1:42" ht="66" x14ac:dyDescent="0.25">
      <c r="A4198" s="9"/>
      <c r="B4198" s="613" t="s">
        <v>1890</v>
      </c>
      <c r="C4198" s="1024"/>
      <c r="D4198" s="872">
        <v>1</v>
      </c>
      <c r="E4198" s="265" t="s">
        <v>1725</v>
      </c>
      <c r="F4198" s="278" t="s">
        <v>3446</v>
      </c>
      <c r="G4198" s="1040" t="s">
        <v>3463</v>
      </c>
      <c r="H4198" s="273" t="s">
        <v>3462</v>
      </c>
      <c r="I4198" s="720">
        <f>+J4198/D4198</f>
        <v>84824</v>
      </c>
      <c r="J4198" s="756">
        <v>84824</v>
      </c>
      <c r="K4198" s="131">
        <f t="shared" si="938"/>
        <v>84824</v>
      </c>
      <c r="L4198" s="335">
        <f t="shared" si="930"/>
        <v>0</v>
      </c>
      <c r="M4198" s="446"/>
      <c r="N4198" s="446"/>
      <c r="O4198" s="446"/>
      <c r="P4198" s="446"/>
      <c r="Q4198" s="110">
        <v>1</v>
      </c>
      <c r="R4198" s="111">
        <f t="shared" si="940"/>
        <v>21206</v>
      </c>
      <c r="S4198" s="110"/>
      <c r="T4198" s="110"/>
      <c r="U4198" s="110">
        <v>0</v>
      </c>
      <c r="V4198" s="111">
        <f t="shared" si="942"/>
        <v>21206</v>
      </c>
      <c r="W4198" s="110"/>
      <c r="X4198" s="110"/>
      <c r="Y4198" s="110"/>
      <c r="Z4198" s="110"/>
      <c r="AA4198" s="110">
        <v>0</v>
      </c>
      <c r="AB4198" s="111">
        <f t="shared" si="935"/>
        <v>21206</v>
      </c>
      <c r="AC4198" s="110"/>
      <c r="AD4198" s="110"/>
      <c r="AE4198" s="110">
        <v>0</v>
      </c>
      <c r="AF4198" s="111">
        <f t="shared" si="931"/>
        <v>21206</v>
      </c>
      <c r="AG4198" s="110"/>
      <c r="AH4198" s="110"/>
      <c r="AI4198" s="110"/>
      <c r="AJ4198" s="110"/>
      <c r="AK4198" s="111">
        <f t="shared" si="932"/>
        <v>84824</v>
      </c>
      <c r="AL4198" s="446">
        <f t="shared" si="933"/>
        <v>0</v>
      </c>
      <c r="AM4198" s="110">
        <f t="shared" si="934"/>
        <v>1</v>
      </c>
      <c r="AN4198" s="447">
        <f t="shared" si="944"/>
        <v>0</v>
      </c>
      <c r="AO4198"/>
      <c r="AP4198"/>
    </row>
    <row r="4199" spans="1:42" x14ac:dyDescent="0.25">
      <c r="A4199" s="315">
        <v>51107</v>
      </c>
      <c r="B4199" s="351" t="s">
        <v>1026</v>
      </c>
      <c r="C4199" s="315"/>
      <c r="D4199" s="868"/>
      <c r="E4199" s="355"/>
      <c r="F4199" s="356"/>
      <c r="G4199" s="356"/>
      <c r="H4199" s="356"/>
      <c r="I4199" s="724"/>
      <c r="J4199" s="753"/>
      <c r="K4199" s="131">
        <f t="shared" si="938"/>
        <v>0</v>
      </c>
      <c r="L4199" s="335">
        <f t="shared" si="930"/>
        <v>0</v>
      </c>
      <c r="M4199" s="648"/>
      <c r="N4199" s="648"/>
      <c r="O4199" s="648"/>
      <c r="P4199" s="648"/>
      <c r="Q4199" s="649">
        <f t="shared" si="939"/>
        <v>0</v>
      </c>
      <c r="R4199" s="647">
        <f t="shared" si="940"/>
        <v>0</v>
      </c>
      <c r="S4199" s="649"/>
      <c r="T4199" s="649"/>
      <c r="U4199" s="649">
        <f t="shared" si="941"/>
        <v>0</v>
      </c>
      <c r="V4199" s="647">
        <f t="shared" si="942"/>
        <v>0</v>
      </c>
      <c r="W4199" s="649"/>
      <c r="X4199" s="649"/>
      <c r="Y4199" s="649"/>
      <c r="Z4199" s="649"/>
      <c r="AA4199" s="649">
        <f t="shared" si="943"/>
        <v>0</v>
      </c>
      <c r="AB4199" s="647">
        <f t="shared" si="935"/>
        <v>0</v>
      </c>
      <c r="AC4199" s="649"/>
      <c r="AD4199" s="649"/>
      <c r="AE4199" s="649">
        <f t="shared" si="943"/>
        <v>0</v>
      </c>
      <c r="AF4199" s="647">
        <f t="shared" si="931"/>
        <v>0</v>
      </c>
      <c r="AG4199" s="649"/>
      <c r="AH4199" s="649"/>
      <c r="AI4199" s="649"/>
      <c r="AJ4199" s="649"/>
      <c r="AK4199" s="647">
        <f t="shared" si="932"/>
        <v>0</v>
      </c>
      <c r="AL4199" s="446">
        <f t="shared" si="933"/>
        <v>0</v>
      </c>
      <c r="AM4199" s="110">
        <f t="shared" si="934"/>
        <v>0</v>
      </c>
      <c r="AN4199" s="447">
        <f t="shared" si="944"/>
        <v>0</v>
      </c>
      <c r="AO4199" s="436">
        <f>SUM(J4200:J4244)</f>
        <v>499385.83472000004</v>
      </c>
      <c r="AP4199" s="111"/>
    </row>
    <row r="4200" spans="1:42" ht="66" x14ac:dyDescent="0.25">
      <c r="A4200" s="90"/>
      <c r="B4200" s="122" t="s">
        <v>1113</v>
      </c>
      <c r="C4200" s="162"/>
      <c r="D4200" s="882">
        <f>1</f>
        <v>1</v>
      </c>
      <c r="E4200" s="1027" t="s">
        <v>1721</v>
      </c>
      <c r="F4200" s="273" t="s">
        <v>3446</v>
      </c>
      <c r="G4200" s="1040" t="s">
        <v>3463</v>
      </c>
      <c r="H4200" s="273" t="s">
        <v>3462</v>
      </c>
      <c r="I4200" s="720">
        <f t="shared" ref="I4200:I4212" si="945">+J4200/D4200</f>
        <v>4316.1499999999996</v>
      </c>
      <c r="J4200" s="843">
        <f>4316.15</f>
        <v>4316.1499999999996</v>
      </c>
      <c r="K4200" s="131">
        <f t="shared" si="938"/>
        <v>4316.1499999999996</v>
      </c>
      <c r="L4200" s="335">
        <f t="shared" si="930"/>
        <v>0</v>
      </c>
      <c r="M4200" s="446"/>
      <c r="N4200" s="446"/>
      <c r="O4200" s="446"/>
      <c r="P4200" s="446"/>
      <c r="Q4200" s="110">
        <v>1</v>
      </c>
      <c r="R4200" s="111">
        <f t="shared" si="940"/>
        <v>1079.0374999999999</v>
      </c>
      <c r="S4200" s="110"/>
      <c r="T4200" s="110"/>
      <c r="U4200" s="110">
        <v>0</v>
      </c>
      <c r="V4200" s="111">
        <f t="shared" si="942"/>
        <v>1079.0374999999999</v>
      </c>
      <c r="W4200" s="110"/>
      <c r="X4200" s="110"/>
      <c r="Y4200" s="110"/>
      <c r="Z4200" s="110"/>
      <c r="AA4200" s="110">
        <v>0</v>
      </c>
      <c r="AB4200" s="111">
        <f t="shared" si="935"/>
        <v>1079.0374999999999</v>
      </c>
      <c r="AC4200" s="110"/>
      <c r="AD4200" s="110"/>
      <c r="AE4200" s="110">
        <v>0</v>
      </c>
      <c r="AF4200" s="111">
        <f t="shared" si="931"/>
        <v>1079.0374999999999</v>
      </c>
      <c r="AG4200" s="110"/>
      <c r="AH4200" s="110"/>
      <c r="AI4200" s="110"/>
      <c r="AJ4200" s="110"/>
      <c r="AK4200" s="111">
        <f t="shared" si="932"/>
        <v>4316.1499999999996</v>
      </c>
      <c r="AL4200" s="446">
        <f t="shared" si="933"/>
        <v>0</v>
      </c>
      <c r="AM4200" s="110">
        <f t="shared" si="934"/>
        <v>1</v>
      </c>
      <c r="AN4200" s="447">
        <f t="shared" si="944"/>
        <v>0</v>
      </c>
      <c r="AO4200"/>
      <c r="AP4200"/>
    </row>
    <row r="4201" spans="1:42" ht="66" x14ac:dyDescent="0.25">
      <c r="A4201" s="90"/>
      <c r="B4201" s="614" t="s">
        <v>1028</v>
      </c>
      <c r="C4201" s="162"/>
      <c r="D4201" s="882">
        <f>2</f>
        <v>2</v>
      </c>
      <c r="E4201" s="1027" t="s">
        <v>1721</v>
      </c>
      <c r="F4201" s="273" t="s">
        <v>3446</v>
      </c>
      <c r="G4201" s="1040" t="s">
        <v>3463</v>
      </c>
      <c r="H4201" s="273" t="s">
        <v>3462</v>
      </c>
      <c r="I4201" s="720">
        <f t="shared" si="945"/>
        <v>1176.1199999999999</v>
      </c>
      <c r="J4201" s="843">
        <f>2352.24</f>
        <v>2352.2399999999998</v>
      </c>
      <c r="K4201" s="131">
        <f t="shared" si="938"/>
        <v>2352.2399999999998</v>
      </c>
      <c r="L4201" s="335">
        <f t="shared" si="930"/>
        <v>0</v>
      </c>
      <c r="M4201" s="446"/>
      <c r="N4201" s="446"/>
      <c r="O4201" s="446"/>
      <c r="P4201" s="446"/>
      <c r="Q4201" s="130">
        <v>1</v>
      </c>
      <c r="R4201" s="111">
        <f t="shared" si="940"/>
        <v>588.05999999999995</v>
      </c>
      <c r="S4201" s="110"/>
      <c r="T4201" s="110"/>
      <c r="U4201" s="130">
        <v>1</v>
      </c>
      <c r="V4201" s="111">
        <f t="shared" si="942"/>
        <v>588.05999999999995</v>
      </c>
      <c r="W4201" s="110"/>
      <c r="X4201" s="110"/>
      <c r="Y4201" s="110"/>
      <c r="Z4201" s="110"/>
      <c r="AA4201" s="130">
        <v>0</v>
      </c>
      <c r="AB4201" s="111">
        <f t="shared" si="935"/>
        <v>588.05999999999995</v>
      </c>
      <c r="AC4201" s="110"/>
      <c r="AD4201" s="110"/>
      <c r="AE4201" s="130">
        <v>0</v>
      </c>
      <c r="AF4201" s="111">
        <f t="shared" si="931"/>
        <v>588.05999999999995</v>
      </c>
      <c r="AG4201" s="110"/>
      <c r="AH4201" s="110"/>
      <c r="AI4201" s="110"/>
      <c r="AJ4201" s="110"/>
      <c r="AK4201" s="111">
        <f t="shared" si="932"/>
        <v>2352.2399999999998</v>
      </c>
      <c r="AL4201" s="446">
        <f t="shared" si="933"/>
        <v>0</v>
      </c>
      <c r="AM4201" s="110">
        <f t="shared" si="934"/>
        <v>2</v>
      </c>
      <c r="AN4201" s="447">
        <f t="shared" si="944"/>
        <v>0</v>
      </c>
      <c r="AO4201"/>
      <c r="AP4201"/>
    </row>
    <row r="4202" spans="1:42" ht="66" x14ac:dyDescent="0.25">
      <c r="A4202" s="95"/>
      <c r="B4202" s="267" t="s">
        <v>1029</v>
      </c>
      <c r="C4202" s="162"/>
      <c r="D4202" s="882">
        <f>1+1</f>
        <v>2</v>
      </c>
      <c r="E4202" s="1027" t="s">
        <v>1721</v>
      </c>
      <c r="F4202" s="273" t="s">
        <v>3446</v>
      </c>
      <c r="G4202" s="1040" t="s">
        <v>3463</v>
      </c>
      <c r="H4202" s="273" t="s">
        <v>3462</v>
      </c>
      <c r="I4202" s="720">
        <f t="shared" si="945"/>
        <v>4560.16</v>
      </c>
      <c r="J4202" s="843">
        <f>4897.95+4222.37</f>
        <v>9120.32</v>
      </c>
      <c r="K4202" s="131">
        <f t="shared" si="938"/>
        <v>9120.32</v>
      </c>
      <c r="L4202" s="335">
        <f t="shared" si="930"/>
        <v>0</v>
      </c>
      <c r="M4202" s="446"/>
      <c r="N4202" s="446"/>
      <c r="O4202" s="446"/>
      <c r="P4202" s="446"/>
      <c r="Q4202" s="130">
        <v>1</v>
      </c>
      <c r="R4202" s="111">
        <f t="shared" si="940"/>
        <v>2280.08</v>
      </c>
      <c r="S4202" s="110"/>
      <c r="T4202" s="110"/>
      <c r="U4202" s="130">
        <v>1</v>
      </c>
      <c r="V4202" s="111">
        <f t="shared" si="942"/>
        <v>2280.08</v>
      </c>
      <c r="W4202" s="110"/>
      <c r="X4202" s="110"/>
      <c r="Y4202" s="110"/>
      <c r="Z4202" s="110"/>
      <c r="AA4202" s="130">
        <v>0</v>
      </c>
      <c r="AB4202" s="111">
        <f t="shared" si="935"/>
        <v>2280.08</v>
      </c>
      <c r="AC4202" s="110"/>
      <c r="AD4202" s="110"/>
      <c r="AE4202" s="130">
        <v>0</v>
      </c>
      <c r="AF4202" s="111">
        <f t="shared" si="931"/>
        <v>2280.08</v>
      </c>
      <c r="AG4202" s="110"/>
      <c r="AH4202" s="110"/>
      <c r="AI4202" s="110"/>
      <c r="AJ4202" s="110"/>
      <c r="AK4202" s="111">
        <f t="shared" si="932"/>
        <v>9120.32</v>
      </c>
      <c r="AL4202" s="446">
        <f t="shared" si="933"/>
        <v>0</v>
      </c>
      <c r="AM4202" s="110">
        <f t="shared" si="934"/>
        <v>2</v>
      </c>
      <c r="AN4202" s="447">
        <f t="shared" si="944"/>
        <v>0</v>
      </c>
      <c r="AO4202"/>
      <c r="AP4202"/>
    </row>
    <row r="4203" spans="1:42" ht="66" x14ac:dyDescent="0.25">
      <c r="A4203" s="95"/>
      <c r="B4203" s="267" t="s">
        <v>1030</v>
      </c>
      <c r="C4203" s="1024"/>
      <c r="D4203" s="869">
        <f>2</f>
        <v>2</v>
      </c>
      <c r="E4203" s="1027" t="s">
        <v>1721</v>
      </c>
      <c r="F4203" s="273" t="s">
        <v>3446</v>
      </c>
      <c r="G4203" s="1040" t="s">
        <v>3463</v>
      </c>
      <c r="H4203" s="273" t="s">
        <v>3462</v>
      </c>
      <c r="I4203" s="720">
        <f t="shared" si="945"/>
        <v>3615.84</v>
      </c>
      <c r="J4203" s="843">
        <f>7231.68</f>
        <v>7231.68</v>
      </c>
      <c r="K4203" s="131">
        <f t="shared" si="938"/>
        <v>7231.68</v>
      </c>
      <c r="L4203" s="335">
        <f t="shared" si="930"/>
        <v>0</v>
      </c>
      <c r="M4203" s="446"/>
      <c r="N4203" s="446"/>
      <c r="O4203" s="446"/>
      <c r="P4203" s="446"/>
      <c r="Q4203" s="130">
        <v>1</v>
      </c>
      <c r="R4203" s="111">
        <f t="shared" si="940"/>
        <v>1807.92</v>
      </c>
      <c r="S4203" s="110"/>
      <c r="T4203" s="110"/>
      <c r="U4203" s="130">
        <v>1</v>
      </c>
      <c r="V4203" s="111">
        <f t="shared" si="942"/>
        <v>1807.92</v>
      </c>
      <c r="W4203" s="110"/>
      <c r="X4203" s="110"/>
      <c r="Y4203" s="110"/>
      <c r="Z4203" s="110"/>
      <c r="AA4203" s="130">
        <v>0</v>
      </c>
      <c r="AB4203" s="111">
        <f t="shared" si="935"/>
        <v>1807.92</v>
      </c>
      <c r="AC4203" s="110"/>
      <c r="AD4203" s="110"/>
      <c r="AE4203" s="130">
        <v>0</v>
      </c>
      <c r="AF4203" s="111">
        <f t="shared" si="931"/>
        <v>1807.92</v>
      </c>
      <c r="AG4203" s="110"/>
      <c r="AH4203" s="110"/>
      <c r="AI4203" s="110"/>
      <c r="AJ4203" s="110"/>
      <c r="AK4203" s="111">
        <f t="shared" si="932"/>
        <v>7231.68</v>
      </c>
      <c r="AL4203" s="446">
        <f t="shared" si="933"/>
        <v>0</v>
      </c>
      <c r="AM4203" s="110">
        <f t="shared" si="934"/>
        <v>2</v>
      </c>
      <c r="AN4203" s="447">
        <f t="shared" si="944"/>
        <v>0</v>
      </c>
      <c r="AO4203"/>
      <c r="AP4203"/>
    </row>
    <row r="4204" spans="1:42" ht="66" x14ac:dyDescent="0.25">
      <c r="A4204" s="95"/>
      <c r="B4204" s="45" t="s">
        <v>1031</v>
      </c>
      <c r="C4204" s="1024"/>
      <c r="D4204" s="869">
        <f>1+1</f>
        <v>2</v>
      </c>
      <c r="E4204" s="1027" t="s">
        <v>1721</v>
      </c>
      <c r="F4204" s="273" t="s">
        <v>3446</v>
      </c>
      <c r="G4204" s="1040" t="s">
        <v>3463</v>
      </c>
      <c r="H4204" s="273" t="s">
        <v>3462</v>
      </c>
      <c r="I4204" s="720">
        <f t="shared" si="945"/>
        <v>5425.0550000000003</v>
      </c>
      <c r="J4204" s="843">
        <f>5618.81+5231.3</f>
        <v>10850.11</v>
      </c>
      <c r="K4204" s="131">
        <f t="shared" si="938"/>
        <v>10850.11</v>
      </c>
      <c r="L4204" s="335">
        <f t="shared" si="930"/>
        <v>0</v>
      </c>
      <c r="M4204" s="446"/>
      <c r="N4204" s="446"/>
      <c r="O4204" s="446"/>
      <c r="P4204" s="446"/>
      <c r="Q4204" s="130">
        <v>1</v>
      </c>
      <c r="R4204" s="111">
        <f t="shared" si="940"/>
        <v>2712.5275000000001</v>
      </c>
      <c r="S4204" s="110"/>
      <c r="T4204" s="110"/>
      <c r="U4204" s="130">
        <v>1</v>
      </c>
      <c r="V4204" s="111">
        <f t="shared" si="942"/>
        <v>2712.5275000000001</v>
      </c>
      <c r="W4204" s="110"/>
      <c r="X4204" s="110"/>
      <c r="Y4204" s="110"/>
      <c r="Z4204" s="110"/>
      <c r="AA4204" s="130">
        <v>0</v>
      </c>
      <c r="AB4204" s="111">
        <f t="shared" si="935"/>
        <v>2712.5275000000001</v>
      </c>
      <c r="AC4204" s="110"/>
      <c r="AD4204" s="110"/>
      <c r="AE4204" s="130">
        <v>0</v>
      </c>
      <c r="AF4204" s="111">
        <f t="shared" si="931"/>
        <v>2712.5275000000001</v>
      </c>
      <c r="AG4204" s="110"/>
      <c r="AH4204" s="110"/>
      <c r="AI4204" s="110"/>
      <c r="AJ4204" s="110"/>
      <c r="AK4204" s="111">
        <f t="shared" si="932"/>
        <v>10850.11</v>
      </c>
      <c r="AL4204" s="446">
        <f t="shared" si="933"/>
        <v>0</v>
      </c>
      <c r="AM4204" s="110">
        <f t="shared" si="934"/>
        <v>2</v>
      </c>
      <c r="AN4204" s="447">
        <f t="shared" si="944"/>
        <v>0</v>
      </c>
      <c r="AO4204"/>
      <c r="AP4204"/>
    </row>
    <row r="4205" spans="1:42" ht="66" x14ac:dyDescent="0.25">
      <c r="A4205" s="95"/>
      <c r="B4205" s="45" t="s">
        <v>1108</v>
      </c>
      <c r="C4205" s="1024"/>
      <c r="D4205" s="869">
        <f>1</f>
        <v>1</v>
      </c>
      <c r="E4205" s="1027" t="s">
        <v>1721</v>
      </c>
      <c r="F4205" s="273" t="s">
        <v>3446</v>
      </c>
      <c r="G4205" s="1040" t="s">
        <v>3463</v>
      </c>
      <c r="H4205" s="273" t="s">
        <v>3462</v>
      </c>
      <c r="I4205" s="720">
        <f t="shared" si="945"/>
        <v>4665.6000000000004</v>
      </c>
      <c r="J4205" s="843">
        <f>4665.6</f>
        <v>4665.6000000000004</v>
      </c>
      <c r="K4205" s="131">
        <f t="shared" si="938"/>
        <v>4665.6000000000004</v>
      </c>
      <c r="L4205" s="335">
        <f t="shared" si="930"/>
        <v>0</v>
      </c>
      <c r="M4205" s="446"/>
      <c r="N4205" s="446"/>
      <c r="O4205" s="446"/>
      <c r="P4205" s="446"/>
      <c r="Q4205" s="110">
        <v>1</v>
      </c>
      <c r="R4205" s="111">
        <f t="shared" si="940"/>
        <v>1166.4000000000001</v>
      </c>
      <c r="S4205" s="110"/>
      <c r="T4205" s="110"/>
      <c r="U4205" s="110">
        <v>0</v>
      </c>
      <c r="V4205" s="111">
        <f t="shared" si="942"/>
        <v>1166.4000000000001</v>
      </c>
      <c r="W4205" s="110"/>
      <c r="X4205" s="110"/>
      <c r="Y4205" s="110"/>
      <c r="Z4205" s="110"/>
      <c r="AA4205" s="110">
        <v>0</v>
      </c>
      <c r="AB4205" s="111">
        <f t="shared" si="935"/>
        <v>1166.4000000000001</v>
      </c>
      <c r="AC4205" s="110"/>
      <c r="AD4205" s="110"/>
      <c r="AE4205" s="110">
        <v>0</v>
      </c>
      <c r="AF4205" s="111">
        <f t="shared" si="931"/>
        <v>1166.4000000000001</v>
      </c>
      <c r="AG4205" s="110"/>
      <c r="AH4205" s="110"/>
      <c r="AI4205" s="110"/>
      <c r="AJ4205" s="110"/>
      <c r="AK4205" s="111">
        <f t="shared" si="932"/>
        <v>4665.6000000000004</v>
      </c>
      <c r="AL4205" s="446">
        <f t="shared" si="933"/>
        <v>0</v>
      </c>
      <c r="AM4205" s="110">
        <f t="shared" si="934"/>
        <v>1</v>
      </c>
      <c r="AN4205" s="447">
        <f t="shared" si="944"/>
        <v>0</v>
      </c>
      <c r="AO4205"/>
      <c r="AP4205"/>
    </row>
    <row r="4206" spans="1:42" s="108" customFormat="1" ht="66" x14ac:dyDescent="0.25">
      <c r="A4206" s="701"/>
      <c r="B4206" s="152" t="s">
        <v>1109</v>
      </c>
      <c r="C4206" s="1028"/>
      <c r="D4206" s="869">
        <f>2</f>
        <v>2</v>
      </c>
      <c r="E4206" s="1027" t="s">
        <v>1721</v>
      </c>
      <c r="F4206" s="278" t="s">
        <v>3446</v>
      </c>
      <c r="G4206" s="1040" t="s">
        <v>3463</v>
      </c>
      <c r="H4206" s="273" t="s">
        <v>3462</v>
      </c>
      <c r="I4206" s="722">
        <f t="shared" si="945"/>
        <v>4123.2250000000004</v>
      </c>
      <c r="J4206" s="843">
        <f>8246.45</f>
        <v>8246.4500000000007</v>
      </c>
      <c r="K4206" s="131">
        <f t="shared" si="938"/>
        <v>8246.4500000000007</v>
      </c>
      <c r="L4206" s="335">
        <f t="shared" si="930"/>
        <v>0</v>
      </c>
      <c r="M4206" s="335"/>
      <c r="N4206" s="335"/>
      <c r="O4206" s="335"/>
      <c r="P4206" s="335"/>
      <c r="Q4206" s="130">
        <v>1</v>
      </c>
      <c r="R4206" s="131">
        <f t="shared" si="940"/>
        <v>2061.6125000000002</v>
      </c>
      <c r="S4206" s="130"/>
      <c r="T4206" s="130"/>
      <c r="U4206" s="130">
        <v>1</v>
      </c>
      <c r="V4206" s="131">
        <f t="shared" si="942"/>
        <v>2061.6125000000002</v>
      </c>
      <c r="W4206" s="130"/>
      <c r="X4206" s="130"/>
      <c r="Y4206" s="130"/>
      <c r="Z4206" s="130"/>
      <c r="AA4206" s="130">
        <v>0</v>
      </c>
      <c r="AB4206" s="131">
        <f t="shared" si="935"/>
        <v>2061.6125000000002</v>
      </c>
      <c r="AC4206" s="130"/>
      <c r="AD4206" s="130"/>
      <c r="AE4206" s="130">
        <v>0</v>
      </c>
      <c r="AF4206" s="131">
        <f t="shared" si="931"/>
        <v>2061.6125000000002</v>
      </c>
      <c r="AG4206" s="130"/>
      <c r="AH4206" s="130"/>
      <c r="AI4206" s="130"/>
      <c r="AJ4206" s="130"/>
      <c r="AK4206" s="131">
        <f t="shared" si="932"/>
        <v>8246.4500000000007</v>
      </c>
      <c r="AL4206" s="446">
        <f t="shared" si="933"/>
        <v>0</v>
      </c>
      <c r="AM4206" s="110">
        <f t="shared" si="934"/>
        <v>2</v>
      </c>
      <c r="AN4206" s="447">
        <f t="shared" si="944"/>
        <v>0</v>
      </c>
      <c r="AO4206"/>
      <c r="AP4206"/>
    </row>
    <row r="4207" spans="1:42" s="108" customFormat="1" ht="66" x14ac:dyDescent="0.25">
      <c r="A4207" s="701"/>
      <c r="B4207" s="43" t="s">
        <v>1033</v>
      </c>
      <c r="C4207" s="1028"/>
      <c r="D4207" s="869">
        <f>1</f>
        <v>1</v>
      </c>
      <c r="E4207" s="1027" t="s">
        <v>1721</v>
      </c>
      <c r="F4207" s="278" t="s">
        <v>3446</v>
      </c>
      <c r="G4207" s="1040" t="s">
        <v>3463</v>
      </c>
      <c r="H4207" s="273" t="s">
        <v>3462</v>
      </c>
      <c r="I4207" s="722">
        <f t="shared" si="945"/>
        <v>1392</v>
      </c>
      <c r="J4207" s="843">
        <f>1392</f>
        <v>1392</v>
      </c>
      <c r="K4207" s="131">
        <f t="shared" si="938"/>
        <v>1392</v>
      </c>
      <c r="L4207" s="335">
        <f t="shared" si="930"/>
        <v>0</v>
      </c>
      <c r="M4207" s="335"/>
      <c r="N4207" s="335"/>
      <c r="O4207" s="335"/>
      <c r="P4207" s="335"/>
      <c r="Q4207" s="130">
        <v>1</v>
      </c>
      <c r="R4207" s="131">
        <f t="shared" si="940"/>
        <v>348</v>
      </c>
      <c r="S4207" s="130"/>
      <c r="T4207" s="130"/>
      <c r="U4207" s="130">
        <v>0</v>
      </c>
      <c r="V4207" s="131">
        <f t="shared" si="942"/>
        <v>348</v>
      </c>
      <c r="W4207" s="130"/>
      <c r="X4207" s="130"/>
      <c r="Y4207" s="130"/>
      <c r="Z4207" s="130"/>
      <c r="AA4207" s="130">
        <v>0</v>
      </c>
      <c r="AB4207" s="131">
        <f t="shared" si="935"/>
        <v>348</v>
      </c>
      <c r="AC4207" s="130"/>
      <c r="AD4207" s="130"/>
      <c r="AE4207" s="130">
        <v>0</v>
      </c>
      <c r="AF4207" s="131">
        <f t="shared" si="931"/>
        <v>348</v>
      </c>
      <c r="AG4207" s="130"/>
      <c r="AH4207" s="130"/>
      <c r="AI4207" s="130"/>
      <c r="AJ4207" s="130"/>
      <c r="AK4207" s="131">
        <f t="shared" si="932"/>
        <v>1392</v>
      </c>
      <c r="AL4207" s="446">
        <f t="shared" si="933"/>
        <v>0</v>
      </c>
      <c r="AM4207" s="110">
        <f t="shared" si="934"/>
        <v>1</v>
      </c>
      <c r="AN4207" s="447">
        <f t="shared" si="944"/>
        <v>0</v>
      </c>
      <c r="AO4207"/>
      <c r="AP4207"/>
    </row>
    <row r="4208" spans="1:42" s="108" customFormat="1" ht="66" x14ac:dyDescent="0.25">
      <c r="A4208" s="701"/>
      <c r="B4208" s="41" t="s">
        <v>1034</v>
      </c>
      <c r="C4208" s="1028"/>
      <c r="D4208" s="869">
        <f>1+10+2</f>
        <v>13</v>
      </c>
      <c r="E4208" s="1027" t="s">
        <v>1721</v>
      </c>
      <c r="F4208" s="278" t="s">
        <v>3446</v>
      </c>
      <c r="G4208" s="1040" t="s">
        <v>3463</v>
      </c>
      <c r="H4208" s="273" t="s">
        <v>3462</v>
      </c>
      <c r="I4208" s="722">
        <f t="shared" si="945"/>
        <v>3088.9723076923078</v>
      </c>
      <c r="J4208" s="843">
        <f>2916+32480+4760.64</f>
        <v>40156.639999999999</v>
      </c>
      <c r="K4208" s="131">
        <f t="shared" si="938"/>
        <v>40156.639999999999</v>
      </c>
      <c r="L4208" s="335">
        <f t="shared" si="930"/>
        <v>0</v>
      </c>
      <c r="M4208" s="335"/>
      <c r="N4208" s="335"/>
      <c r="O4208" s="335"/>
      <c r="P4208" s="335"/>
      <c r="Q4208" s="130">
        <v>4</v>
      </c>
      <c r="R4208" s="131">
        <f t="shared" si="940"/>
        <v>10039.16</v>
      </c>
      <c r="S4208" s="130"/>
      <c r="T4208" s="130"/>
      <c r="U4208" s="130">
        <v>3</v>
      </c>
      <c r="V4208" s="131">
        <f t="shared" si="942"/>
        <v>10039.16</v>
      </c>
      <c r="W4208" s="130"/>
      <c r="X4208" s="130"/>
      <c r="Y4208" s="130"/>
      <c r="Z4208" s="130"/>
      <c r="AA4208" s="130">
        <v>3</v>
      </c>
      <c r="AB4208" s="131">
        <f t="shared" si="935"/>
        <v>10039.16</v>
      </c>
      <c r="AC4208" s="130"/>
      <c r="AD4208" s="130"/>
      <c r="AE4208" s="130">
        <v>3</v>
      </c>
      <c r="AF4208" s="131">
        <f t="shared" si="931"/>
        <v>10039.16</v>
      </c>
      <c r="AG4208" s="130"/>
      <c r="AH4208" s="130"/>
      <c r="AI4208" s="130"/>
      <c r="AJ4208" s="130"/>
      <c r="AK4208" s="131">
        <f t="shared" si="932"/>
        <v>40156.639999999999</v>
      </c>
      <c r="AL4208" s="446">
        <f t="shared" si="933"/>
        <v>0</v>
      </c>
      <c r="AM4208" s="110">
        <f t="shared" si="934"/>
        <v>13</v>
      </c>
      <c r="AN4208" s="447">
        <f t="shared" si="944"/>
        <v>0</v>
      </c>
      <c r="AO4208"/>
      <c r="AP4208"/>
    </row>
    <row r="4209" spans="1:42" s="108" customFormat="1" ht="66" x14ac:dyDescent="0.25">
      <c r="A4209" s="701"/>
      <c r="B4209" s="43" t="s">
        <v>1841</v>
      </c>
      <c r="C4209" s="1028"/>
      <c r="D4209" s="869">
        <v>10</v>
      </c>
      <c r="E4209" s="1027" t="s">
        <v>1721</v>
      </c>
      <c r="F4209" s="278" t="s">
        <v>3446</v>
      </c>
      <c r="G4209" s="1040" t="s">
        <v>3463</v>
      </c>
      <c r="H4209" s="273" t="s">
        <v>3462</v>
      </c>
      <c r="I4209" s="722">
        <f t="shared" si="945"/>
        <v>2500</v>
      </c>
      <c r="J4209" s="843">
        <v>25000</v>
      </c>
      <c r="K4209" s="131">
        <f t="shared" si="938"/>
        <v>25000</v>
      </c>
      <c r="L4209" s="335">
        <f t="shared" si="930"/>
        <v>0</v>
      </c>
      <c r="M4209" s="335"/>
      <c r="N4209" s="335"/>
      <c r="O4209" s="335"/>
      <c r="P4209" s="335"/>
      <c r="Q4209" s="130">
        <v>3</v>
      </c>
      <c r="R4209" s="131">
        <f t="shared" si="940"/>
        <v>6250</v>
      </c>
      <c r="S4209" s="130"/>
      <c r="T4209" s="130"/>
      <c r="U4209" s="130">
        <v>3</v>
      </c>
      <c r="V4209" s="131">
        <f t="shared" si="942"/>
        <v>6250</v>
      </c>
      <c r="W4209" s="130"/>
      <c r="X4209" s="130"/>
      <c r="Y4209" s="130"/>
      <c r="Z4209" s="130"/>
      <c r="AA4209" s="130">
        <v>2</v>
      </c>
      <c r="AB4209" s="131">
        <f t="shared" si="935"/>
        <v>6250</v>
      </c>
      <c r="AC4209" s="130"/>
      <c r="AD4209" s="130"/>
      <c r="AE4209" s="130">
        <v>2</v>
      </c>
      <c r="AF4209" s="131">
        <f t="shared" si="931"/>
        <v>6250</v>
      </c>
      <c r="AG4209" s="130"/>
      <c r="AH4209" s="130"/>
      <c r="AI4209" s="130"/>
      <c r="AJ4209" s="130"/>
      <c r="AK4209" s="131">
        <f t="shared" si="932"/>
        <v>25000</v>
      </c>
      <c r="AL4209" s="446">
        <f t="shared" si="933"/>
        <v>0</v>
      </c>
      <c r="AM4209" s="110">
        <f t="shared" si="934"/>
        <v>10</v>
      </c>
      <c r="AN4209" s="447">
        <f t="shared" si="944"/>
        <v>0</v>
      </c>
      <c r="AO4209"/>
      <c r="AP4209"/>
    </row>
    <row r="4210" spans="1:42" s="108" customFormat="1" ht="66" x14ac:dyDescent="0.25">
      <c r="A4210" s="701"/>
      <c r="B4210" s="43" t="s">
        <v>1035</v>
      </c>
      <c r="C4210" s="1028"/>
      <c r="D4210" s="869">
        <f>1</f>
        <v>1</v>
      </c>
      <c r="E4210" s="1027" t="s">
        <v>1721</v>
      </c>
      <c r="F4210" s="278" t="s">
        <v>3446</v>
      </c>
      <c r="G4210" s="1040" t="s">
        <v>3463</v>
      </c>
      <c r="H4210" s="273" t="s">
        <v>3462</v>
      </c>
      <c r="I4210" s="722">
        <f t="shared" si="945"/>
        <v>4060</v>
      </c>
      <c r="J4210" s="843">
        <f>4060</f>
        <v>4060</v>
      </c>
      <c r="K4210" s="131">
        <f t="shared" si="938"/>
        <v>4060</v>
      </c>
      <c r="L4210" s="335">
        <f t="shared" si="930"/>
        <v>0</v>
      </c>
      <c r="M4210" s="335"/>
      <c r="N4210" s="335"/>
      <c r="O4210" s="335"/>
      <c r="P4210" s="335"/>
      <c r="Q4210" s="130">
        <v>1</v>
      </c>
      <c r="R4210" s="131">
        <f t="shared" si="940"/>
        <v>1015</v>
      </c>
      <c r="S4210" s="130"/>
      <c r="T4210" s="130"/>
      <c r="U4210" s="130">
        <v>0</v>
      </c>
      <c r="V4210" s="131">
        <f t="shared" si="942"/>
        <v>1015</v>
      </c>
      <c r="W4210" s="130"/>
      <c r="X4210" s="130"/>
      <c r="Y4210" s="130"/>
      <c r="Z4210" s="130"/>
      <c r="AA4210" s="130">
        <v>0</v>
      </c>
      <c r="AB4210" s="131">
        <f t="shared" si="935"/>
        <v>1015</v>
      </c>
      <c r="AC4210" s="130"/>
      <c r="AD4210" s="130"/>
      <c r="AE4210" s="130">
        <v>0</v>
      </c>
      <c r="AF4210" s="131">
        <f t="shared" si="931"/>
        <v>1015</v>
      </c>
      <c r="AG4210" s="130"/>
      <c r="AH4210" s="130"/>
      <c r="AI4210" s="130"/>
      <c r="AJ4210" s="130"/>
      <c r="AK4210" s="131">
        <f t="shared" si="932"/>
        <v>4060</v>
      </c>
      <c r="AL4210" s="446">
        <f t="shared" si="933"/>
        <v>0</v>
      </c>
      <c r="AM4210" s="110">
        <f t="shared" si="934"/>
        <v>1</v>
      </c>
      <c r="AN4210" s="447">
        <f t="shared" si="944"/>
        <v>0</v>
      </c>
      <c r="AO4210"/>
      <c r="AP4210"/>
    </row>
    <row r="4211" spans="1:42" s="108" customFormat="1" ht="66" x14ac:dyDescent="0.25">
      <c r="A4211" s="90"/>
      <c r="B4211" s="702" t="s">
        <v>1055</v>
      </c>
      <c r="C4211" s="1028"/>
      <c r="D4211" s="869">
        <f>4+6</f>
        <v>10</v>
      </c>
      <c r="E4211" s="1027" t="s">
        <v>1721</v>
      </c>
      <c r="F4211" s="278" t="s">
        <v>3446</v>
      </c>
      <c r="G4211" s="1040" t="s">
        <v>3463</v>
      </c>
      <c r="H4211" s="273" t="s">
        <v>3462</v>
      </c>
      <c r="I4211" s="722">
        <f t="shared" si="945"/>
        <v>1265.904</v>
      </c>
      <c r="J4211" s="843">
        <f>5602.32+7056.72</f>
        <v>12659.04</v>
      </c>
      <c r="K4211" s="131">
        <f t="shared" si="938"/>
        <v>12659.04</v>
      </c>
      <c r="L4211" s="335">
        <f t="shared" si="930"/>
        <v>0</v>
      </c>
      <c r="M4211" s="335"/>
      <c r="N4211" s="335"/>
      <c r="O4211" s="335"/>
      <c r="P4211" s="335"/>
      <c r="Q4211" s="130">
        <v>3</v>
      </c>
      <c r="R4211" s="131">
        <f t="shared" si="940"/>
        <v>3164.76</v>
      </c>
      <c r="S4211" s="130"/>
      <c r="T4211" s="130"/>
      <c r="U4211" s="130">
        <v>3</v>
      </c>
      <c r="V4211" s="131">
        <f t="shared" si="942"/>
        <v>3164.76</v>
      </c>
      <c r="W4211" s="130"/>
      <c r="X4211" s="130"/>
      <c r="Y4211" s="130"/>
      <c r="Z4211" s="130"/>
      <c r="AA4211" s="130">
        <v>2</v>
      </c>
      <c r="AB4211" s="131">
        <f t="shared" si="935"/>
        <v>3164.76</v>
      </c>
      <c r="AC4211" s="130"/>
      <c r="AD4211" s="130"/>
      <c r="AE4211" s="130">
        <v>2</v>
      </c>
      <c r="AF4211" s="131">
        <f t="shared" si="931"/>
        <v>3164.76</v>
      </c>
      <c r="AG4211" s="130"/>
      <c r="AH4211" s="130"/>
      <c r="AI4211" s="130"/>
      <c r="AJ4211" s="130"/>
      <c r="AK4211" s="131">
        <f t="shared" si="932"/>
        <v>12659.04</v>
      </c>
      <c r="AL4211" s="446">
        <f t="shared" si="933"/>
        <v>0</v>
      </c>
      <c r="AM4211" s="110">
        <f t="shared" si="934"/>
        <v>10</v>
      </c>
      <c r="AN4211" s="447">
        <f t="shared" si="944"/>
        <v>0</v>
      </c>
      <c r="AO4211"/>
      <c r="AP4211"/>
    </row>
    <row r="4212" spans="1:42" s="108" customFormat="1" ht="66" x14ac:dyDescent="0.25">
      <c r="A4212" s="90"/>
      <c r="B4212" s="613" t="s">
        <v>1891</v>
      </c>
      <c r="C4212" s="1028"/>
      <c r="D4212" s="869">
        <v>2</v>
      </c>
      <c r="E4212" s="1027" t="s">
        <v>1721</v>
      </c>
      <c r="F4212" s="278" t="s">
        <v>3446</v>
      </c>
      <c r="G4212" s="1040" t="s">
        <v>3463</v>
      </c>
      <c r="H4212" s="273" t="s">
        <v>3462</v>
      </c>
      <c r="I4212" s="722">
        <f t="shared" si="945"/>
        <v>1969</v>
      </c>
      <c r="J4212" s="843">
        <v>3938</v>
      </c>
      <c r="K4212" s="131">
        <f t="shared" si="938"/>
        <v>3938</v>
      </c>
      <c r="L4212" s="335">
        <f t="shared" si="930"/>
        <v>0</v>
      </c>
      <c r="M4212" s="335"/>
      <c r="N4212" s="335"/>
      <c r="O4212" s="335"/>
      <c r="P4212" s="335"/>
      <c r="Q4212" s="130">
        <v>1</v>
      </c>
      <c r="R4212" s="131">
        <f t="shared" si="940"/>
        <v>984.5</v>
      </c>
      <c r="S4212" s="130"/>
      <c r="T4212" s="130"/>
      <c r="U4212" s="130">
        <v>1</v>
      </c>
      <c r="V4212" s="131">
        <f t="shared" si="942"/>
        <v>984.5</v>
      </c>
      <c r="W4212" s="130"/>
      <c r="X4212" s="130"/>
      <c r="Y4212" s="130"/>
      <c r="Z4212" s="130"/>
      <c r="AA4212" s="130">
        <v>0</v>
      </c>
      <c r="AB4212" s="131">
        <f t="shared" si="935"/>
        <v>984.5</v>
      </c>
      <c r="AC4212" s="130"/>
      <c r="AD4212" s="130"/>
      <c r="AE4212" s="130">
        <v>0</v>
      </c>
      <c r="AF4212" s="131">
        <f t="shared" si="931"/>
        <v>984.5</v>
      </c>
      <c r="AG4212" s="130"/>
      <c r="AH4212" s="130"/>
      <c r="AI4212" s="130"/>
      <c r="AJ4212" s="130"/>
      <c r="AK4212" s="131">
        <f t="shared" si="932"/>
        <v>3938</v>
      </c>
      <c r="AL4212" s="446">
        <f t="shared" si="933"/>
        <v>0</v>
      </c>
      <c r="AM4212" s="110">
        <f t="shared" si="934"/>
        <v>2</v>
      </c>
      <c r="AN4212" s="447">
        <f t="shared" si="944"/>
        <v>0</v>
      </c>
      <c r="AO4212"/>
      <c r="AP4212"/>
    </row>
    <row r="4213" spans="1:42" s="108" customFormat="1" ht="66" x14ac:dyDescent="0.25">
      <c r="A4213" s="90"/>
      <c r="B4213" s="703" t="s">
        <v>3388</v>
      </c>
      <c r="C4213" s="1024"/>
      <c r="D4213" s="869">
        <v>1</v>
      </c>
      <c r="E4213" s="1027" t="s">
        <v>1721</v>
      </c>
      <c r="F4213" s="278" t="s">
        <v>3446</v>
      </c>
      <c r="G4213" s="1040" t="s">
        <v>3463</v>
      </c>
      <c r="H4213" s="273" t="s">
        <v>3462</v>
      </c>
      <c r="I4213" s="722">
        <v>3240</v>
      </c>
      <c r="J4213" s="843">
        <v>3240</v>
      </c>
      <c r="K4213" s="131">
        <f t="shared" si="938"/>
        <v>3240</v>
      </c>
      <c r="L4213" s="335">
        <f t="shared" si="930"/>
        <v>0</v>
      </c>
      <c r="M4213" s="335"/>
      <c r="N4213" s="335"/>
      <c r="O4213" s="335"/>
      <c r="P4213" s="335"/>
      <c r="Q4213" s="130">
        <v>1</v>
      </c>
      <c r="R4213" s="131">
        <f t="shared" si="940"/>
        <v>810</v>
      </c>
      <c r="S4213" s="130"/>
      <c r="T4213" s="130"/>
      <c r="U4213" s="130">
        <v>0</v>
      </c>
      <c r="V4213" s="131">
        <f t="shared" si="942"/>
        <v>810</v>
      </c>
      <c r="W4213" s="130"/>
      <c r="X4213" s="130"/>
      <c r="Y4213" s="130"/>
      <c r="Z4213" s="130"/>
      <c r="AA4213" s="130">
        <v>0</v>
      </c>
      <c r="AB4213" s="131">
        <f t="shared" si="935"/>
        <v>810</v>
      </c>
      <c r="AC4213" s="130"/>
      <c r="AD4213" s="130"/>
      <c r="AE4213" s="130">
        <v>0</v>
      </c>
      <c r="AF4213" s="131">
        <f t="shared" si="931"/>
        <v>810</v>
      </c>
      <c r="AG4213" s="130"/>
      <c r="AH4213" s="130"/>
      <c r="AI4213" s="130"/>
      <c r="AJ4213" s="130"/>
      <c r="AK4213" s="131">
        <f t="shared" si="932"/>
        <v>3240</v>
      </c>
      <c r="AL4213" s="446">
        <f t="shared" si="933"/>
        <v>0</v>
      </c>
      <c r="AM4213" s="110">
        <f t="shared" si="934"/>
        <v>1</v>
      </c>
      <c r="AN4213" s="447">
        <f t="shared" si="944"/>
        <v>0</v>
      </c>
      <c r="AO4213"/>
      <c r="AP4213"/>
    </row>
    <row r="4214" spans="1:42" s="108" customFormat="1" ht="66" x14ac:dyDescent="0.25">
      <c r="A4214" s="90"/>
      <c r="B4214" s="45" t="s">
        <v>1111</v>
      </c>
      <c r="C4214" s="1024"/>
      <c r="D4214" s="869">
        <f>4+2</f>
        <v>6</v>
      </c>
      <c r="E4214" s="1027" t="s">
        <v>1721</v>
      </c>
      <c r="F4214" s="278" t="s">
        <v>3446</v>
      </c>
      <c r="G4214" s="1040" t="s">
        <v>3463</v>
      </c>
      <c r="H4214" s="273" t="s">
        <v>3462</v>
      </c>
      <c r="I4214" s="722">
        <f t="shared" ref="I4214:I4243" si="946">+J4214/D4214</f>
        <v>4672.7566666666671</v>
      </c>
      <c r="J4214" s="843">
        <f>19591.8+8444.74</f>
        <v>28036.54</v>
      </c>
      <c r="K4214" s="131">
        <f t="shared" si="938"/>
        <v>28036.54</v>
      </c>
      <c r="L4214" s="335">
        <f t="shared" ref="L4214:L4277" si="947">+J4214-K4214</f>
        <v>0</v>
      </c>
      <c r="M4214" s="335"/>
      <c r="N4214" s="335"/>
      <c r="O4214" s="335"/>
      <c r="P4214" s="335"/>
      <c r="Q4214" s="130">
        <v>2</v>
      </c>
      <c r="R4214" s="131">
        <f t="shared" si="940"/>
        <v>7009.1350000000002</v>
      </c>
      <c r="S4214" s="130"/>
      <c r="T4214" s="130"/>
      <c r="U4214" s="130">
        <v>2</v>
      </c>
      <c r="V4214" s="131">
        <f t="shared" si="942"/>
        <v>7009.1350000000002</v>
      </c>
      <c r="W4214" s="130"/>
      <c r="X4214" s="130"/>
      <c r="Y4214" s="130"/>
      <c r="Z4214" s="130"/>
      <c r="AA4214" s="130">
        <v>1</v>
      </c>
      <c r="AB4214" s="131">
        <f t="shared" si="935"/>
        <v>7009.1350000000002</v>
      </c>
      <c r="AC4214" s="130"/>
      <c r="AD4214" s="130"/>
      <c r="AE4214" s="130">
        <v>1</v>
      </c>
      <c r="AF4214" s="131">
        <f t="shared" ref="AF4214:AF4277" si="948">+J4214/4</f>
        <v>7009.1350000000002</v>
      </c>
      <c r="AG4214" s="130"/>
      <c r="AH4214" s="130"/>
      <c r="AI4214" s="130"/>
      <c r="AJ4214" s="130"/>
      <c r="AK4214" s="131">
        <f t="shared" ref="AK4214:AK4277" si="949">+R4214+V4214+AB4214+AF4214</f>
        <v>28036.54</v>
      </c>
      <c r="AL4214" s="446">
        <f t="shared" ref="AL4214:AL4277" si="950">+J4214-AK4214</f>
        <v>0</v>
      </c>
      <c r="AM4214" s="110">
        <f t="shared" ref="AM4214:AM4277" si="951">+Q4214+U4214+AA4214+AE4214</f>
        <v>6</v>
      </c>
      <c r="AN4214" s="447">
        <f t="shared" si="944"/>
        <v>0</v>
      </c>
      <c r="AO4214"/>
      <c r="AP4214"/>
    </row>
    <row r="4215" spans="1:42" s="108" customFormat="1" ht="66" x14ac:dyDescent="0.25">
      <c r="A4215" s="90"/>
      <c r="B4215" s="96" t="s">
        <v>1038</v>
      </c>
      <c r="C4215" s="1024"/>
      <c r="D4215" s="869">
        <f>1+1</f>
        <v>2</v>
      </c>
      <c r="E4215" s="1027" t="s">
        <v>1721</v>
      </c>
      <c r="F4215" s="278" t="s">
        <v>3446</v>
      </c>
      <c r="G4215" s="1040" t="s">
        <v>3463</v>
      </c>
      <c r="H4215" s="273" t="s">
        <v>3462</v>
      </c>
      <c r="I4215" s="722">
        <f t="shared" si="946"/>
        <v>3383.7250000000004</v>
      </c>
      <c r="J4215" s="843">
        <f>2099.52+4667.93</f>
        <v>6767.4500000000007</v>
      </c>
      <c r="K4215" s="131">
        <f t="shared" si="938"/>
        <v>6767.4500000000007</v>
      </c>
      <c r="L4215" s="335">
        <f t="shared" si="947"/>
        <v>0</v>
      </c>
      <c r="M4215" s="335"/>
      <c r="N4215" s="335"/>
      <c r="O4215" s="335"/>
      <c r="P4215" s="335"/>
      <c r="Q4215" s="130">
        <v>1</v>
      </c>
      <c r="R4215" s="131">
        <f t="shared" si="940"/>
        <v>1691.8625000000002</v>
      </c>
      <c r="S4215" s="130"/>
      <c r="T4215" s="130"/>
      <c r="U4215" s="130">
        <v>1</v>
      </c>
      <c r="V4215" s="131">
        <f t="shared" si="942"/>
        <v>1691.8625000000002</v>
      </c>
      <c r="W4215" s="130"/>
      <c r="X4215" s="130"/>
      <c r="Y4215" s="130"/>
      <c r="Z4215" s="130"/>
      <c r="AA4215" s="130">
        <v>0</v>
      </c>
      <c r="AB4215" s="131">
        <f t="shared" si="935"/>
        <v>1691.8625000000002</v>
      </c>
      <c r="AC4215" s="130"/>
      <c r="AD4215" s="130"/>
      <c r="AE4215" s="130">
        <v>0</v>
      </c>
      <c r="AF4215" s="131">
        <f t="shared" si="948"/>
        <v>1691.8625000000002</v>
      </c>
      <c r="AG4215" s="130"/>
      <c r="AH4215" s="130"/>
      <c r="AI4215" s="130"/>
      <c r="AJ4215" s="130"/>
      <c r="AK4215" s="131">
        <f t="shared" si="949"/>
        <v>6767.4500000000007</v>
      </c>
      <c r="AL4215" s="446">
        <f t="shared" si="950"/>
        <v>0</v>
      </c>
      <c r="AM4215" s="110">
        <f t="shared" si="951"/>
        <v>2</v>
      </c>
      <c r="AN4215" s="447">
        <f t="shared" si="944"/>
        <v>0</v>
      </c>
      <c r="AO4215"/>
      <c r="AP4215"/>
    </row>
    <row r="4216" spans="1:42" s="108" customFormat="1" ht="66" x14ac:dyDescent="0.25">
      <c r="A4216" s="90"/>
      <c r="B4216" s="152" t="s">
        <v>1112</v>
      </c>
      <c r="C4216" s="1024"/>
      <c r="D4216" s="869">
        <f>2</f>
        <v>2</v>
      </c>
      <c r="E4216" s="1027" t="s">
        <v>1721</v>
      </c>
      <c r="F4216" s="278" t="s">
        <v>3446</v>
      </c>
      <c r="G4216" s="1040" t="s">
        <v>3463</v>
      </c>
      <c r="H4216" s="273" t="s">
        <v>3462</v>
      </c>
      <c r="I4216" s="722">
        <f t="shared" si="946"/>
        <v>2850.01</v>
      </c>
      <c r="J4216" s="843">
        <f>5700.02</f>
        <v>5700.02</v>
      </c>
      <c r="K4216" s="131">
        <f t="shared" si="938"/>
        <v>5700.02</v>
      </c>
      <c r="L4216" s="335">
        <f t="shared" si="947"/>
        <v>0</v>
      </c>
      <c r="M4216" s="335"/>
      <c r="N4216" s="335"/>
      <c r="O4216" s="335"/>
      <c r="P4216" s="335"/>
      <c r="Q4216" s="130">
        <v>1</v>
      </c>
      <c r="R4216" s="131">
        <f t="shared" si="940"/>
        <v>1425.0050000000001</v>
      </c>
      <c r="S4216" s="130"/>
      <c r="T4216" s="130"/>
      <c r="U4216" s="130">
        <v>1</v>
      </c>
      <c r="V4216" s="131">
        <f t="shared" si="942"/>
        <v>1425.0050000000001</v>
      </c>
      <c r="W4216" s="130"/>
      <c r="X4216" s="130"/>
      <c r="Y4216" s="130"/>
      <c r="Z4216" s="130"/>
      <c r="AA4216" s="130">
        <v>0</v>
      </c>
      <c r="AB4216" s="131">
        <f t="shared" si="935"/>
        <v>1425.0050000000001</v>
      </c>
      <c r="AC4216" s="130"/>
      <c r="AD4216" s="130"/>
      <c r="AE4216" s="130">
        <v>0</v>
      </c>
      <c r="AF4216" s="131">
        <f t="shared" si="948"/>
        <v>1425.0050000000001</v>
      </c>
      <c r="AG4216" s="130"/>
      <c r="AH4216" s="130"/>
      <c r="AI4216" s="130"/>
      <c r="AJ4216" s="130"/>
      <c r="AK4216" s="131">
        <f t="shared" si="949"/>
        <v>5700.02</v>
      </c>
      <c r="AL4216" s="446">
        <f t="shared" si="950"/>
        <v>0</v>
      </c>
      <c r="AM4216" s="110">
        <f t="shared" si="951"/>
        <v>2</v>
      </c>
      <c r="AN4216" s="447">
        <f t="shared" si="944"/>
        <v>0</v>
      </c>
      <c r="AO4216"/>
      <c r="AP4216"/>
    </row>
    <row r="4217" spans="1:42" s="108" customFormat="1" ht="66" x14ac:dyDescent="0.25">
      <c r="A4217" s="90"/>
      <c r="B4217" s="704" t="s">
        <v>1040</v>
      </c>
      <c r="C4217" s="1024"/>
      <c r="D4217" s="869">
        <f>3</f>
        <v>3</v>
      </c>
      <c r="E4217" s="1027" t="s">
        <v>1721</v>
      </c>
      <c r="F4217" s="278" t="s">
        <v>3446</v>
      </c>
      <c r="G4217" s="1040" t="s">
        <v>3463</v>
      </c>
      <c r="H4217" s="273" t="s">
        <v>3462</v>
      </c>
      <c r="I4217" s="722">
        <f t="shared" si="946"/>
        <v>4222.37</v>
      </c>
      <c r="J4217" s="843">
        <f>12667.11</f>
        <v>12667.11</v>
      </c>
      <c r="K4217" s="131">
        <f t="shared" si="938"/>
        <v>12667.11</v>
      </c>
      <c r="L4217" s="335">
        <f t="shared" si="947"/>
        <v>0</v>
      </c>
      <c r="M4217" s="335"/>
      <c r="N4217" s="335"/>
      <c r="O4217" s="335"/>
      <c r="P4217" s="335"/>
      <c r="Q4217" s="130">
        <v>1</v>
      </c>
      <c r="R4217" s="131">
        <f t="shared" si="940"/>
        <v>3166.7775000000001</v>
      </c>
      <c r="S4217" s="130"/>
      <c r="T4217" s="130"/>
      <c r="U4217" s="130">
        <v>1</v>
      </c>
      <c r="V4217" s="131">
        <f t="shared" si="942"/>
        <v>3166.7775000000001</v>
      </c>
      <c r="W4217" s="130"/>
      <c r="X4217" s="130"/>
      <c r="Y4217" s="130"/>
      <c r="Z4217" s="130"/>
      <c r="AA4217" s="130">
        <v>1</v>
      </c>
      <c r="AB4217" s="131">
        <f t="shared" si="935"/>
        <v>3166.7775000000001</v>
      </c>
      <c r="AC4217" s="130"/>
      <c r="AD4217" s="130"/>
      <c r="AE4217" s="130">
        <v>0</v>
      </c>
      <c r="AF4217" s="131">
        <f t="shared" si="948"/>
        <v>3166.7775000000001</v>
      </c>
      <c r="AG4217" s="130"/>
      <c r="AH4217" s="130"/>
      <c r="AI4217" s="130"/>
      <c r="AJ4217" s="130"/>
      <c r="AK4217" s="131">
        <f t="shared" si="949"/>
        <v>12667.11</v>
      </c>
      <c r="AL4217" s="446">
        <f t="shared" si="950"/>
        <v>0</v>
      </c>
      <c r="AM4217" s="110">
        <f t="shared" si="951"/>
        <v>3</v>
      </c>
      <c r="AN4217" s="447">
        <f t="shared" si="944"/>
        <v>0</v>
      </c>
      <c r="AO4217"/>
      <c r="AP4217"/>
    </row>
    <row r="4218" spans="1:42" s="108" customFormat="1" ht="66" x14ac:dyDescent="0.25">
      <c r="A4218" s="90"/>
      <c r="B4218" s="704" t="s">
        <v>1037</v>
      </c>
      <c r="C4218" s="1024"/>
      <c r="D4218" s="869">
        <f>3</f>
        <v>3</v>
      </c>
      <c r="E4218" s="1027" t="s">
        <v>1721</v>
      </c>
      <c r="F4218" s="278" t="s">
        <v>3446</v>
      </c>
      <c r="G4218" s="1040" t="s">
        <v>3463</v>
      </c>
      <c r="H4218" s="273" t="s">
        <v>3462</v>
      </c>
      <c r="I4218" s="722">
        <f t="shared" si="946"/>
        <v>3382.56</v>
      </c>
      <c r="J4218" s="843">
        <f>10147.68</f>
        <v>10147.68</v>
      </c>
      <c r="K4218" s="131">
        <f t="shared" si="938"/>
        <v>10147.68</v>
      </c>
      <c r="L4218" s="335">
        <f t="shared" si="947"/>
        <v>0</v>
      </c>
      <c r="M4218" s="335"/>
      <c r="N4218" s="335"/>
      <c r="O4218" s="335"/>
      <c r="P4218" s="335"/>
      <c r="Q4218" s="130">
        <v>1</v>
      </c>
      <c r="R4218" s="131">
        <f t="shared" si="940"/>
        <v>2536.92</v>
      </c>
      <c r="S4218" s="130"/>
      <c r="T4218" s="130"/>
      <c r="U4218" s="130">
        <v>1</v>
      </c>
      <c r="V4218" s="131">
        <f t="shared" si="942"/>
        <v>2536.92</v>
      </c>
      <c r="W4218" s="130"/>
      <c r="X4218" s="130"/>
      <c r="Y4218" s="130"/>
      <c r="Z4218" s="130"/>
      <c r="AA4218" s="130">
        <v>1</v>
      </c>
      <c r="AB4218" s="131">
        <f t="shared" si="935"/>
        <v>2536.92</v>
      </c>
      <c r="AC4218" s="130"/>
      <c r="AD4218" s="130"/>
      <c r="AE4218" s="130">
        <v>0</v>
      </c>
      <c r="AF4218" s="131">
        <f t="shared" si="948"/>
        <v>2536.92</v>
      </c>
      <c r="AG4218" s="130"/>
      <c r="AH4218" s="130"/>
      <c r="AI4218" s="130"/>
      <c r="AJ4218" s="130"/>
      <c r="AK4218" s="131">
        <f t="shared" si="949"/>
        <v>10147.68</v>
      </c>
      <c r="AL4218" s="446">
        <f t="shared" si="950"/>
        <v>0</v>
      </c>
      <c r="AM4218" s="110">
        <f t="shared" si="951"/>
        <v>3</v>
      </c>
      <c r="AN4218" s="447">
        <f t="shared" si="944"/>
        <v>0</v>
      </c>
      <c r="AO4218"/>
      <c r="AP4218"/>
    </row>
    <row r="4219" spans="1:42" s="108" customFormat="1" ht="66" x14ac:dyDescent="0.25">
      <c r="A4219" s="90"/>
      <c r="B4219" s="704" t="s">
        <v>1110</v>
      </c>
      <c r="C4219" s="1024"/>
      <c r="D4219" s="869">
        <f>3</f>
        <v>3</v>
      </c>
      <c r="E4219" s="1027" t="s">
        <v>1721</v>
      </c>
      <c r="F4219" s="278" t="s">
        <v>3446</v>
      </c>
      <c r="G4219" s="1040" t="s">
        <v>3463</v>
      </c>
      <c r="H4219" s="273" t="s">
        <v>3462</v>
      </c>
      <c r="I4219" s="722">
        <f t="shared" si="946"/>
        <v>2333.9666666666667</v>
      </c>
      <c r="J4219" s="843">
        <f>7001.9</f>
        <v>7001.9</v>
      </c>
      <c r="K4219" s="131">
        <f t="shared" si="938"/>
        <v>7001.9</v>
      </c>
      <c r="L4219" s="335">
        <f t="shared" si="947"/>
        <v>0</v>
      </c>
      <c r="M4219" s="335"/>
      <c r="N4219" s="335"/>
      <c r="O4219" s="335"/>
      <c r="P4219" s="335"/>
      <c r="Q4219" s="130">
        <v>1</v>
      </c>
      <c r="R4219" s="131">
        <f t="shared" si="940"/>
        <v>1750.4749999999999</v>
      </c>
      <c r="S4219" s="130"/>
      <c r="T4219" s="130"/>
      <c r="U4219" s="130">
        <v>1</v>
      </c>
      <c r="V4219" s="131">
        <f t="shared" si="942"/>
        <v>1750.4749999999999</v>
      </c>
      <c r="W4219" s="130"/>
      <c r="X4219" s="130"/>
      <c r="Y4219" s="130"/>
      <c r="Z4219" s="130"/>
      <c r="AA4219" s="130">
        <v>1</v>
      </c>
      <c r="AB4219" s="131">
        <f t="shared" si="935"/>
        <v>1750.4749999999999</v>
      </c>
      <c r="AC4219" s="130"/>
      <c r="AD4219" s="130"/>
      <c r="AE4219" s="130">
        <v>0</v>
      </c>
      <c r="AF4219" s="131">
        <f t="shared" si="948"/>
        <v>1750.4749999999999</v>
      </c>
      <c r="AG4219" s="130"/>
      <c r="AH4219" s="130"/>
      <c r="AI4219" s="130"/>
      <c r="AJ4219" s="130"/>
      <c r="AK4219" s="131">
        <f t="shared" si="949"/>
        <v>7001.9</v>
      </c>
      <c r="AL4219" s="446">
        <f t="shared" si="950"/>
        <v>0</v>
      </c>
      <c r="AM4219" s="110">
        <f t="shared" si="951"/>
        <v>3</v>
      </c>
      <c r="AN4219" s="447">
        <f t="shared" si="944"/>
        <v>0</v>
      </c>
      <c r="AO4219"/>
      <c r="AP4219"/>
    </row>
    <row r="4220" spans="1:42" s="108" customFormat="1" ht="66" x14ac:dyDescent="0.25">
      <c r="A4220" s="90"/>
      <c r="B4220" s="152" t="s">
        <v>1027</v>
      </c>
      <c r="C4220" s="1024"/>
      <c r="D4220" s="869">
        <v>1</v>
      </c>
      <c r="E4220" s="1027" t="s">
        <v>1721</v>
      </c>
      <c r="F4220" s="278" t="s">
        <v>3446</v>
      </c>
      <c r="G4220" s="1040" t="s">
        <v>3463</v>
      </c>
      <c r="H4220" s="273" t="s">
        <v>3462</v>
      </c>
      <c r="I4220" s="722">
        <f t="shared" si="946"/>
        <v>6900.42</v>
      </c>
      <c r="J4220" s="849">
        <v>6900.42</v>
      </c>
      <c r="K4220" s="131">
        <f t="shared" si="938"/>
        <v>6900.42</v>
      </c>
      <c r="L4220" s="335">
        <f t="shared" si="947"/>
        <v>0</v>
      </c>
      <c r="M4220" s="335"/>
      <c r="N4220" s="335"/>
      <c r="O4220" s="335"/>
      <c r="P4220" s="335"/>
      <c r="Q4220" s="130">
        <v>1</v>
      </c>
      <c r="R4220" s="131">
        <f t="shared" si="940"/>
        <v>1725.105</v>
      </c>
      <c r="S4220" s="130"/>
      <c r="T4220" s="130"/>
      <c r="U4220" s="130">
        <v>0</v>
      </c>
      <c r="V4220" s="131">
        <f t="shared" si="942"/>
        <v>1725.105</v>
      </c>
      <c r="W4220" s="130"/>
      <c r="X4220" s="130"/>
      <c r="Y4220" s="130"/>
      <c r="Z4220" s="130"/>
      <c r="AA4220" s="130">
        <v>0</v>
      </c>
      <c r="AB4220" s="131">
        <f t="shared" si="935"/>
        <v>1725.105</v>
      </c>
      <c r="AC4220" s="130"/>
      <c r="AD4220" s="130"/>
      <c r="AE4220" s="130">
        <v>0</v>
      </c>
      <c r="AF4220" s="131">
        <f t="shared" si="948"/>
        <v>1725.105</v>
      </c>
      <c r="AG4220" s="130"/>
      <c r="AH4220" s="130"/>
      <c r="AI4220" s="130"/>
      <c r="AJ4220" s="130"/>
      <c r="AK4220" s="131">
        <f t="shared" si="949"/>
        <v>6900.42</v>
      </c>
      <c r="AL4220" s="446">
        <f t="shared" si="950"/>
        <v>0</v>
      </c>
      <c r="AM4220" s="110">
        <f t="shared" si="951"/>
        <v>1</v>
      </c>
      <c r="AN4220" s="447">
        <f t="shared" si="944"/>
        <v>0</v>
      </c>
      <c r="AO4220"/>
      <c r="AP4220"/>
    </row>
    <row r="4221" spans="1:42" s="108" customFormat="1" ht="66" x14ac:dyDescent="0.25">
      <c r="A4221" s="90"/>
      <c r="B4221" s="1031" t="s">
        <v>1387</v>
      </c>
      <c r="C4221" s="1024"/>
      <c r="D4221" s="869">
        <v>4</v>
      </c>
      <c r="E4221" s="1027" t="s">
        <v>1721</v>
      </c>
      <c r="F4221" s="278" t="s">
        <v>3446</v>
      </c>
      <c r="G4221" s="1040" t="s">
        <v>3463</v>
      </c>
      <c r="H4221" s="273" t="s">
        <v>3462</v>
      </c>
      <c r="I4221" s="722">
        <f t="shared" si="946"/>
        <v>5006.7339999999995</v>
      </c>
      <c r="J4221" s="849">
        <v>20026.935999999998</v>
      </c>
      <c r="K4221" s="131">
        <f t="shared" si="938"/>
        <v>20026.935999999998</v>
      </c>
      <c r="L4221" s="335">
        <f t="shared" si="947"/>
        <v>0</v>
      </c>
      <c r="M4221" s="335"/>
      <c r="N4221" s="335"/>
      <c r="O4221" s="335"/>
      <c r="P4221" s="335"/>
      <c r="Q4221" s="130">
        <f t="shared" si="939"/>
        <v>1</v>
      </c>
      <c r="R4221" s="131">
        <f t="shared" si="940"/>
        <v>5006.7339999999995</v>
      </c>
      <c r="S4221" s="130"/>
      <c r="T4221" s="130"/>
      <c r="U4221" s="130">
        <f t="shared" si="941"/>
        <v>1</v>
      </c>
      <c r="V4221" s="131">
        <f t="shared" si="942"/>
        <v>5006.7339999999995</v>
      </c>
      <c r="W4221" s="130"/>
      <c r="X4221" s="130"/>
      <c r="Y4221" s="130"/>
      <c r="Z4221" s="130"/>
      <c r="AA4221" s="130">
        <f t="shared" si="943"/>
        <v>1</v>
      </c>
      <c r="AB4221" s="131">
        <f t="shared" si="935"/>
        <v>5006.7339999999995</v>
      </c>
      <c r="AC4221" s="130"/>
      <c r="AD4221" s="130"/>
      <c r="AE4221" s="130">
        <f t="shared" si="943"/>
        <v>1</v>
      </c>
      <c r="AF4221" s="131">
        <f t="shared" si="948"/>
        <v>5006.7339999999995</v>
      </c>
      <c r="AG4221" s="130"/>
      <c r="AH4221" s="130"/>
      <c r="AI4221" s="130"/>
      <c r="AJ4221" s="130"/>
      <c r="AK4221" s="131">
        <f t="shared" si="949"/>
        <v>20026.935999999998</v>
      </c>
      <c r="AL4221" s="446">
        <f t="shared" si="950"/>
        <v>0</v>
      </c>
      <c r="AM4221" s="110">
        <f t="shared" si="951"/>
        <v>4</v>
      </c>
      <c r="AN4221" s="447">
        <f t="shared" si="944"/>
        <v>0</v>
      </c>
      <c r="AO4221"/>
      <c r="AP4221"/>
    </row>
    <row r="4222" spans="1:42" s="108" customFormat="1" ht="66" x14ac:dyDescent="0.25">
      <c r="A4222" s="90"/>
      <c r="B4222" s="704" t="s">
        <v>1028</v>
      </c>
      <c r="C4222" s="1024"/>
      <c r="D4222" s="869">
        <v>3</v>
      </c>
      <c r="E4222" s="1027" t="s">
        <v>1721</v>
      </c>
      <c r="F4222" s="278" t="s">
        <v>3446</v>
      </c>
      <c r="G4222" s="1040" t="s">
        <v>3463</v>
      </c>
      <c r="H4222" s="273" t="s">
        <v>3462</v>
      </c>
      <c r="I4222" s="722">
        <f t="shared" si="946"/>
        <v>1624.4399999999998</v>
      </c>
      <c r="J4222" s="849">
        <v>4873.32</v>
      </c>
      <c r="K4222" s="131">
        <f t="shared" si="938"/>
        <v>4873.32</v>
      </c>
      <c r="L4222" s="335">
        <f t="shared" si="947"/>
        <v>0</v>
      </c>
      <c r="M4222" s="335"/>
      <c r="N4222" s="335"/>
      <c r="O4222" s="335"/>
      <c r="P4222" s="335"/>
      <c r="Q4222" s="130">
        <v>1</v>
      </c>
      <c r="R4222" s="131">
        <f t="shared" si="940"/>
        <v>1218.33</v>
      </c>
      <c r="S4222" s="130"/>
      <c r="T4222" s="130"/>
      <c r="U4222" s="130">
        <v>1</v>
      </c>
      <c r="V4222" s="131">
        <f t="shared" si="942"/>
        <v>1218.33</v>
      </c>
      <c r="W4222" s="130"/>
      <c r="X4222" s="130"/>
      <c r="Y4222" s="130"/>
      <c r="Z4222" s="130"/>
      <c r="AA4222" s="130">
        <v>1</v>
      </c>
      <c r="AB4222" s="131">
        <f t="shared" si="935"/>
        <v>1218.33</v>
      </c>
      <c r="AC4222" s="130"/>
      <c r="AD4222" s="130"/>
      <c r="AE4222" s="130">
        <v>0</v>
      </c>
      <c r="AF4222" s="131">
        <f t="shared" si="948"/>
        <v>1218.33</v>
      </c>
      <c r="AG4222" s="130"/>
      <c r="AH4222" s="130"/>
      <c r="AI4222" s="130"/>
      <c r="AJ4222" s="130"/>
      <c r="AK4222" s="131">
        <f t="shared" si="949"/>
        <v>4873.32</v>
      </c>
      <c r="AL4222" s="446">
        <f t="shared" si="950"/>
        <v>0</v>
      </c>
      <c r="AM4222" s="110">
        <f t="shared" si="951"/>
        <v>3</v>
      </c>
      <c r="AN4222" s="447">
        <f t="shared" si="944"/>
        <v>0</v>
      </c>
      <c r="AO4222"/>
      <c r="AP4222"/>
    </row>
    <row r="4223" spans="1:42" s="108" customFormat="1" ht="66" x14ac:dyDescent="0.25">
      <c r="A4223" s="90"/>
      <c r="B4223" s="705" t="s">
        <v>1388</v>
      </c>
      <c r="C4223" s="1024"/>
      <c r="D4223" s="869">
        <v>4</v>
      </c>
      <c r="E4223" s="1027" t="s">
        <v>1721</v>
      </c>
      <c r="F4223" s="278" t="s">
        <v>3446</v>
      </c>
      <c r="G4223" s="1040" t="s">
        <v>3463</v>
      </c>
      <c r="H4223" s="273" t="s">
        <v>3462</v>
      </c>
      <c r="I4223" s="722">
        <f t="shared" si="946"/>
        <v>5681.6219999999994</v>
      </c>
      <c r="J4223" s="849">
        <v>22726.487999999998</v>
      </c>
      <c r="K4223" s="131">
        <f t="shared" si="938"/>
        <v>22726.487999999998</v>
      </c>
      <c r="L4223" s="335">
        <f t="shared" si="947"/>
        <v>0</v>
      </c>
      <c r="M4223" s="335"/>
      <c r="N4223" s="335"/>
      <c r="O4223" s="335"/>
      <c r="P4223" s="335"/>
      <c r="Q4223" s="130">
        <f t="shared" si="939"/>
        <v>1</v>
      </c>
      <c r="R4223" s="131">
        <f t="shared" si="940"/>
        <v>5681.6219999999994</v>
      </c>
      <c r="S4223" s="130"/>
      <c r="T4223" s="130"/>
      <c r="U4223" s="130">
        <f t="shared" si="941"/>
        <v>1</v>
      </c>
      <c r="V4223" s="131">
        <f t="shared" si="942"/>
        <v>5681.6219999999994</v>
      </c>
      <c r="W4223" s="130"/>
      <c r="X4223" s="130"/>
      <c r="Y4223" s="130"/>
      <c r="Z4223" s="130"/>
      <c r="AA4223" s="130">
        <f t="shared" si="943"/>
        <v>1</v>
      </c>
      <c r="AB4223" s="131">
        <f t="shared" si="935"/>
        <v>5681.6219999999994</v>
      </c>
      <c r="AC4223" s="130"/>
      <c r="AD4223" s="130"/>
      <c r="AE4223" s="130">
        <f t="shared" si="943"/>
        <v>1</v>
      </c>
      <c r="AF4223" s="131">
        <f t="shared" si="948"/>
        <v>5681.6219999999994</v>
      </c>
      <c r="AG4223" s="130"/>
      <c r="AH4223" s="130"/>
      <c r="AI4223" s="130"/>
      <c r="AJ4223" s="130"/>
      <c r="AK4223" s="131">
        <f t="shared" si="949"/>
        <v>22726.487999999998</v>
      </c>
      <c r="AL4223" s="446">
        <f t="shared" si="950"/>
        <v>0</v>
      </c>
      <c r="AM4223" s="110">
        <f t="shared" si="951"/>
        <v>4</v>
      </c>
      <c r="AN4223" s="447">
        <f t="shared" si="944"/>
        <v>0</v>
      </c>
      <c r="AO4223"/>
      <c r="AP4223"/>
    </row>
    <row r="4224" spans="1:42" s="108" customFormat="1" ht="66" x14ac:dyDescent="0.25">
      <c r="A4224" s="90"/>
      <c r="B4224" s="152" t="s">
        <v>1032</v>
      </c>
      <c r="C4224" s="1024"/>
      <c r="D4224" s="869">
        <f>1+1</f>
        <v>2</v>
      </c>
      <c r="E4224" s="1027" t="s">
        <v>1721</v>
      </c>
      <c r="F4224" s="278" t="s">
        <v>3446</v>
      </c>
      <c r="G4224" s="1040" t="s">
        <v>3463</v>
      </c>
      <c r="H4224" s="273" t="s">
        <v>3462</v>
      </c>
      <c r="I4224" s="722">
        <f t="shared" si="946"/>
        <v>6291.5599999999995</v>
      </c>
      <c r="J4224" s="849">
        <f>4194.37+8388.75</f>
        <v>12583.119999999999</v>
      </c>
      <c r="K4224" s="131">
        <f t="shared" si="938"/>
        <v>12583.119999999999</v>
      </c>
      <c r="L4224" s="335">
        <f t="shared" si="947"/>
        <v>0</v>
      </c>
      <c r="M4224" s="335"/>
      <c r="N4224" s="335"/>
      <c r="O4224" s="335"/>
      <c r="P4224" s="335"/>
      <c r="Q4224" s="130">
        <v>1</v>
      </c>
      <c r="R4224" s="131">
        <f t="shared" si="940"/>
        <v>3145.7799999999997</v>
      </c>
      <c r="S4224" s="130"/>
      <c r="T4224" s="130"/>
      <c r="U4224" s="130">
        <v>1</v>
      </c>
      <c r="V4224" s="131">
        <f t="shared" si="942"/>
        <v>3145.7799999999997</v>
      </c>
      <c r="W4224" s="130"/>
      <c r="X4224" s="130"/>
      <c r="Y4224" s="130"/>
      <c r="Z4224" s="130"/>
      <c r="AA4224" s="130">
        <v>0</v>
      </c>
      <c r="AB4224" s="131">
        <f t="shared" si="935"/>
        <v>3145.7799999999997</v>
      </c>
      <c r="AC4224" s="130"/>
      <c r="AD4224" s="130"/>
      <c r="AE4224" s="130">
        <v>0</v>
      </c>
      <c r="AF4224" s="131">
        <f t="shared" si="948"/>
        <v>3145.7799999999997</v>
      </c>
      <c r="AG4224" s="130"/>
      <c r="AH4224" s="130"/>
      <c r="AI4224" s="130"/>
      <c r="AJ4224" s="130"/>
      <c r="AK4224" s="131">
        <f t="shared" si="949"/>
        <v>12583.119999999999</v>
      </c>
      <c r="AL4224" s="446">
        <f t="shared" si="950"/>
        <v>0</v>
      </c>
      <c r="AM4224" s="110">
        <f t="shared" si="951"/>
        <v>2</v>
      </c>
      <c r="AN4224" s="447">
        <f t="shared" si="944"/>
        <v>0</v>
      </c>
      <c r="AO4224"/>
      <c r="AP4224"/>
    </row>
    <row r="4225" spans="1:42" s="108" customFormat="1" ht="66" x14ac:dyDescent="0.25">
      <c r="A4225" s="90"/>
      <c r="B4225" s="703" t="s">
        <v>1036</v>
      </c>
      <c r="C4225" s="1024"/>
      <c r="D4225" s="869">
        <v>4</v>
      </c>
      <c r="E4225" s="1027" t="s">
        <v>1721</v>
      </c>
      <c r="F4225" s="278" t="s">
        <v>3446</v>
      </c>
      <c r="G4225" s="1040" t="s">
        <v>3463</v>
      </c>
      <c r="H4225" s="273" t="s">
        <v>3462</v>
      </c>
      <c r="I4225" s="722">
        <f t="shared" si="946"/>
        <v>3147.4728599999999</v>
      </c>
      <c r="J4225" s="849">
        <v>12589.891439999999</v>
      </c>
      <c r="K4225" s="131">
        <f t="shared" si="938"/>
        <v>12589.891439999999</v>
      </c>
      <c r="L4225" s="335">
        <f t="shared" si="947"/>
        <v>0</v>
      </c>
      <c r="M4225" s="335"/>
      <c r="N4225" s="335"/>
      <c r="O4225" s="335"/>
      <c r="P4225" s="335"/>
      <c r="Q4225" s="130">
        <f t="shared" si="939"/>
        <v>1</v>
      </c>
      <c r="R4225" s="131">
        <f t="shared" si="940"/>
        <v>3147.4728599999999</v>
      </c>
      <c r="S4225" s="130"/>
      <c r="T4225" s="130"/>
      <c r="U4225" s="130">
        <f t="shared" si="941"/>
        <v>1</v>
      </c>
      <c r="V4225" s="131">
        <f t="shared" si="942"/>
        <v>3147.4728599999999</v>
      </c>
      <c r="W4225" s="130"/>
      <c r="X4225" s="130"/>
      <c r="Y4225" s="130"/>
      <c r="Z4225" s="130"/>
      <c r="AA4225" s="130">
        <f t="shared" si="943"/>
        <v>1</v>
      </c>
      <c r="AB4225" s="131">
        <f t="shared" si="935"/>
        <v>3147.4728599999999</v>
      </c>
      <c r="AC4225" s="130"/>
      <c r="AD4225" s="130"/>
      <c r="AE4225" s="130">
        <f t="shared" si="943"/>
        <v>1</v>
      </c>
      <c r="AF4225" s="131">
        <f t="shared" si="948"/>
        <v>3147.4728599999999</v>
      </c>
      <c r="AG4225" s="130"/>
      <c r="AH4225" s="130"/>
      <c r="AI4225" s="130"/>
      <c r="AJ4225" s="130"/>
      <c r="AK4225" s="131">
        <f t="shared" si="949"/>
        <v>12589.891439999999</v>
      </c>
      <c r="AL4225" s="446">
        <f t="shared" si="950"/>
        <v>0</v>
      </c>
      <c r="AM4225" s="110">
        <f t="shared" si="951"/>
        <v>4</v>
      </c>
      <c r="AN4225" s="447">
        <f t="shared" si="944"/>
        <v>0</v>
      </c>
      <c r="AO4225"/>
      <c r="AP4225"/>
    </row>
    <row r="4226" spans="1:42" s="108" customFormat="1" ht="66" x14ac:dyDescent="0.25">
      <c r="A4226" s="90"/>
      <c r="B4226" s="96" t="s">
        <v>1038</v>
      </c>
      <c r="C4226" s="1024"/>
      <c r="D4226" s="869">
        <v>9</v>
      </c>
      <c r="E4226" s="1027" t="s">
        <v>1721</v>
      </c>
      <c r="F4226" s="278" t="s">
        <v>3446</v>
      </c>
      <c r="G4226" s="1040" t="s">
        <v>3463</v>
      </c>
      <c r="H4226" s="273" t="s">
        <v>3462</v>
      </c>
      <c r="I4226" s="722">
        <f t="shared" si="946"/>
        <v>2752.7994755555555</v>
      </c>
      <c r="J4226" s="849">
        <v>24775.19528</v>
      </c>
      <c r="K4226" s="131">
        <f t="shared" si="938"/>
        <v>24775.19528</v>
      </c>
      <c r="L4226" s="335">
        <f t="shared" si="947"/>
        <v>0</v>
      </c>
      <c r="M4226" s="335"/>
      <c r="N4226" s="335"/>
      <c r="O4226" s="335"/>
      <c r="P4226" s="335"/>
      <c r="Q4226" s="130">
        <v>3</v>
      </c>
      <c r="R4226" s="131">
        <f t="shared" si="940"/>
        <v>6193.79882</v>
      </c>
      <c r="S4226" s="130"/>
      <c r="T4226" s="130"/>
      <c r="U4226" s="130">
        <v>2</v>
      </c>
      <c r="V4226" s="131">
        <f t="shared" si="942"/>
        <v>6193.79882</v>
      </c>
      <c r="W4226" s="130"/>
      <c r="X4226" s="130"/>
      <c r="Y4226" s="130"/>
      <c r="Z4226" s="130"/>
      <c r="AA4226" s="130">
        <v>2</v>
      </c>
      <c r="AB4226" s="131">
        <f t="shared" si="935"/>
        <v>6193.79882</v>
      </c>
      <c r="AC4226" s="130"/>
      <c r="AD4226" s="130"/>
      <c r="AE4226" s="130">
        <v>2</v>
      </c>
      <c r="AF4226" s="131">
        <f t="shared" si="948"/>
        <v>6193.79882</v>
      </c>
      <c r="AG4226" s="130"/>
      <c r="AH4226" s="130"/>
      <c r="AI4226" s="130"/>
      <c r="AJ4226" s="130"/>
      <c r="AK4226" s="131">
        <f t="shared" si="949"/>
        <v>24775.19528</v>
      </c>
      <c r="AL4226" s="446">
        <f t="shared" si="950"/>
        <v>0</v>
      </c>
      <c r="AM4226" s="110">
        <f t="shared" si="951"/>
        <v>9</v>
      </c>
      <c r="AN4226" s="447">
        <f t="shared" si="944"/>
        <v>0</v>
      </c>
      <c r="AO4226"/>
      <c r="AP4226"/>
    </row>
    <row r="4227" spans="1:42" s="108" customFormat="1" ht="66" x14ac:dyDescent="0.25">
      <c r="A4227" s="90"/>
      <c r="B4227" s="152" t="s">
        <v>1039</v>
      </c>
      <c r="C4227" s="1024"/>
      <c r="D4227" s="869">
        <v>3</v>
      </c>
      <c r="E4227" s="1027" t="s">
        <v>1721</v>
      </c>
      <c r="F4227" s="278" t="s">
        <v>3446</v>
      </c>
      <c r="G4227" s="1040" t="s">
        <v>3463</v>
      </c>
      <c r="H4227" s="273" t="s">
        <v>3462</v>
      </c>
      <c r="I4227" s="722">
        <f t="shared" si="946"/>
        <v>2435.44</v>
      </c>
      <c r="J4227" s="849">
        <v>7306.32</v>
      </c>
      <c r="K4227" s="131">
        <f t="shared" si="938"/>
        <v>7306.32</v>
      </c>
      <c r="L4227" s="335">
        <f t="shared" si="947"/>
        <v>0</v>
      </c>
      <c r="M4227" s="335"/>
      <c r="N4227" s="335"/>
      <c r="O4227" s="335"/>
      <c r="P4227" s="335"/>
      <c r="Q4227" s="130">
        <v>1</v>
      </c>
      <c r="R4227" s="131">
        <f t="shared" si="940"/>
        <v>1826.58</v>
      </c>
      <c r="S4227" s="130"/>
      <c r="T4227" s="130"/>
      <c r="U4227" s="130">
        <v>1</v>
      </c>
      <c r="V4227" s="131">
        <f t="shared" si="942"/>
        <v>1826.58</v>
      </c>
      <c r="W4227" s="130"/>
      <c r="X4227" s="130"/>
      <c r="Y4227" s="130"/>
      <c r="Z4227" s="130"/>
      <c r="AA4227" s="130">
        <v>1</v>
      </c>
      <c r="AB4227" s="131">
        <f t="shared" si="935"/>
        <v>1826.58</v>
      </c>
      <c r="AC4227" s="130"/>
      <c r="AD4227" s="130"/>
      <c r="AE4227" s="130">
        <v>0</v>
      </c>
      <c r="AF4227" s="131">
        <f t="shared" si="948"/>
        <v>1826.58</v>
      </c>
      <c r="AG4227" s="130"/>
      <c r="AH4227" s="130"/>
      <c r="AI4227" s="130"/>
      <c r="AJ4227" s="130"/>
      <c r="AK4227" s="131">
        <f t="shared" si="949"/>
        <v>7306.32</v>
      </c>
      <c r="AL4227" s="446">
        <f t="shared" si="950"/>
        <v>0</v>
      </c>
      <c r="AM4227" s="110">
        <f t="shared" si="951"/>
        <v>3</v>
      </c>
      <c r="AN4227" s="447">
        <f t="shared" si="944"/>
        <v>0</v>
      </c>
      <c r="AO4227"/>
      <c r="AP4227"/>
    </row>
    <row r="4228" spans="1:42" s="108" customFormat="1" ht="66" x14ac:dyDescent="0.25">
      <c r="A4228" s="90"/>
      <c r="B4228" s="152" t="s">
        <v>1027</v>
      </c>
      <c r="C4228" s="1024"/>
      <c r="D4228" s="869">
        <v>1</v>
      </c>
      <c r="E4228" s="1027" t="s">
        <v>1721</v>
      </c>
      <c r="F4228" s="278" t="s">
        <v>3446</v>
      </c>
      <c r="G4228" s="1040" t="s">
        <v>3463</v>
      </c>
      <c r="H4228" s="273" t="s">
        <v>3462</v>
      </c>
      <c r="I4228" s="722">
        <f t="shared" si="946"/>
        <v>6999.42</v>
      </c>
      <c r="J4228" s="849">
        <v>6999.42</v>
      </c>
      <c r="K4228" s="131">
        <f t="shared" si="938"/>
        <v>6999.42</v>
      </c>
      <c r="L4228" s="335">
        <f t="shared" si="947"/>
        <v>0</v>
      </c>
      <c r="M4228" s="335"/>
      <c r="N4228" s="335"/>
      <c r="O4228" s="335"/>
      <c r="P4228" s="335"/>
      <c r="Q4228" s="130">
        <v>1</v>
      </c>
      <c r="R4228" s="131">
        <f t="shared" si="940"/>
        <v>1749.855</v>
      </c>
      <c r="S4228" s="130"/>
      <c r="T4228" s="130"/>
      <c r="U4228" s="130">
        <v>0</v>
      </c>
      <c r="V4228" s="131">
        <f t="shared" si="942"/>
        <v>1749.855</v>
      </c>
      <c r="W4228" s="130"/>
      <c r="X4228" s="130"/>
      <c r="Y4228" s="130"/>
      <c r="Z4228" s="130"/>
      <c r="AA4228" s="130">
        <v>0</v>
      </c>
      <c r="AB4228" s="131">
        <f t="shared" si="935"/>
        <v>1749.855</v>
      </c>
      <c r="AC4228" s="130"/>
      <c r="AD4228" s="130"/>
      <c r="AE4228" s="130">
        <v>0</v>
      </c>
      <c r="AF4228" s="131">
        <f t="shared" si="948"/>
        <v>1749.855</v>
      </c>
      <c r="AG4228" s="130"/>
      <c r="AH4228" s="130"/>
      <c r="AI4228" s="130"/>
      <c r="AJ4228" s="130"/>
      <c r="AK4228" s="131">
        <f t="shared" si="949"/>
        <v>6999.42</v>
      </c>
      <c r="AL4228" s="446">
        <f t="shared" si="950"/>
        <v>0</v>
      </c>
      <c r="AM4228" s="110">
        <f t="shared" si="951"/>
        <v>1</v>
      </c>
      <c r="AN4228" s="447">
        <f t="shared" si="944"/>
        <v>0</v>
      </c>
      <c r="AO4228"/>
      <c r="AP4228"/>
    </row>
    <row r="4229" spans="1:42" s="108" customFormat="1" ht="66" x14ac:dyDescent="0.25">
      <c r="A4229" s="90"/>
      <c r="B4229" s="152" t="s">
        <v>1039</v>
      </c>
      <c r="C4229" s="1024"/>
      <c r="D4229" s="869">
        <v>1</v>
      </c>
      <c r="E4229" s="1027" t="s">
        <v>1721</v>
      </c>
      <c r="F4229" s="278" t="s">
        <v>3446</v>
      </c>
      <c r="G4229" s="1040" t="s">
        <v>3463</v>
      </c>
      <c r="H4229" s="273" t="s">
        <v>3462</v>
      </c>
      <c r="I4229" s="722">
        <f t="shared" si="946"/>
        <v>4408.4799999999996</v>
      </c>
      <c r="J4229" s="849">
        <v>4408.4799999999996</v>
      </c>
      <c r="K4229" s="131">
        <f t="shared" si="938"/>
        <v>4408.4799999999996</v>
      </c>
      <c r="L4229" s="335">
        <f t="shared" si="947"/>
        <v>0</v>
      </c>
      <c r="M4229" s="335"/>
      <c r="N4229" s="335"/>
      <c r="O4229" s="335"/>
      <c r="P4229" s="335"/>
      <c r="Q4229" s="130">
        <v>1</v>
      </c>
      <c r="R4229" s="131">
        <f t="shared" si="940"/>
        <v>1102.1199999999999</v>
      </c>
      <c r="S4229" s="130"/>
      <c r="T4229" s="130"/>
      <c r="U4229" s="130">
        <v>0</v>
      </c>
      <c r="V4229" s="131">
        <f t="shared" si="942"/>
        <v>1102.1199999999999</v>
      </c>
      <c r="W4229" s="130"/>
      <c r="X4229" s="130"/>
      <c r="Y4229" s="130"/>
      <c r="Z4229" s="130"/>
      <c r="AA4229" s="130">
        <v>0</v>
      </c>
      <c r="AB4229" s="131">
        <f t="shared" si="935"/>
        <v>1102.1199999999999</v>
      </c>
      <c r="AC4229" s="130"/>
      <c r="AD4229" s="130"/>
      <c r="AE4229" s="130">
        <v>0</v>
      </c>
      <c r="AF4229" s="131">
        <f t="shared" si="948"/>
        <v>1102.1199999999999</v>
      </c>
      <c r="AG4229" s="130"/>
      <c r="AH4229" s="130"/>
      <c r="AI4229" s="130"/>
      <c r="AJ4229" s="130"/>
      <c r="AK4229" s="131">
        <f t="shared" si="949"/>
        <v>4408.4799999999996</v>
      </c>
      <c r="AL4229" s="446">
        <f t="shared" si="950"/>
        <v>0</v>
      </c>
      <c r="AM4229" s="110">
        <f t="shared" si="951"/>
        <v>1</v>
      </c>
      <c r="AN4229" s="447">
        <f t="shared" si="944"/>
        <v>0</v>
      </c>
      <c r="AO4229"/>
      <c r="AP4229"/>
    </row>
    <row r="4230" spans="1:42" s="108" customFormat="1" ht="66" x14ac:dyDescent="0.25">
      <c r="A4230" s="90"/>
      <c r="B4230" s="152" t="s">
        <v>1032</v>
      </c>
      <c r="C4230" s="1024"/>
      <c r="D4230" s="869">
        <v>1</v>
      </c>
      <c r="E4230" s="1027" t="s">
        <v>1721</v>
      </c>
      <c r="F4230" s="278" t="s">
        <v>3446</v>
      </c>
      <c r="G4230" s="1040" t="s">
        <v>3463</v>
      </c>
      <c r="H4230" s="273" t="s">
        <v>3462</v>
      </c>
      <c r="I4230" s="722">
        <f t="shared" si="946"/>
        <v>4897.95</v>
      </c>
      <c r="J4230" s="849">
        <v>4897.95</v>
      </c>
      <c r="K4230" s="131">
        <f t="shared" si="938"/>
        <v>4897.95</v>
      </c>
      <c r="L4230" s="335">
        <f t="shared" si="947"/>
        <v>0</v>
      </c>
      <c r="M4230" s="335"/>
      <c r="N4230" s="335"/>
      <c r="O4230" s="335"/>
      <c r="P4230" s="335"/>
      <c r="Q4230" s="130">
        <v>1</v>
      </c>
      <c r="R4230" s="131">
        <f t="shared" si="940"/>
        <v>1224.4875</v>
      </c>
      <c r="S4230" s="130"/>
      <c r="T4230" s="130"/>
      <c r="U4230" s="130">
        <v>0</v>
      </c>
      <c r="V4230" s="131">
        <f t="shared" si="942"/>
        <v>1224.4875</v>
      </c>
      <c r="W4230" s="130"/>
      <c r="X4230" s="130"/>
      <c r="Y4230" s="130"/>
      <c r="Z4230" s="130"/>
      <c r="AA4230" s="130">
        <v>0</v>
      </c>
      <c r="AB4230" s="131">
        <f t="shared" si="935"/>
        <v>1224.4875</v>
      </c>
      <c r="AC4230" s="130"/>
      <c r="AD4230" s="130"/>
      <c r="AE4230" s="130">
        <v>0</v>
      </c>
      <c r="AF4230" s="131">
        <f t="shared" si="948"/>
        <v>1224.4875</v>
      </c>
      <c r="AG4230" s="130"/>
      <c r="AH4230" s="130"/>
      <c r="AI4230" s="130"/>
      <c r="AJ4230" s="130"/>
      <c r="AK4230" s="131">
        <f t="shared" si="949"/>
        <v>4897.95</v>
      </c>
      <c r="AL4230" s="446">
        <f t="shared" si="950"/>
        <v>0</v>
      </c>
      <c r="AM4230" s="110">
        <f t="shared" si="951"/>
        <v>1</v>
      </c>
      <c r="AN4230" s="447">
        <f t="shared" si="944"/>
        <v>0</v>
      </c>
      <c r="AO4230"/>
      <c r="AP4230"/>
    </row>
    <row r="4231" spans="1:42" s="108" customFormat="1" ht="66" x14ac:dyDescent="0.25">
      <c r="A4231" s="90"/>
      <c r="B4231" s="616" t="s">
        <v>1032</v>
      </c>
      <c r="C4231" s="1024"/>
      <c r="D4231" s="867">
        <v>10</v>
      </c>
      <c r="E4231" s="1027" t="s">
        <v>1721</v>
      </c>
      <c r="F4231" s="278" t="s">
        <v>3446</v>
      </c>
      <c r="G4231" s="1040" t="s">
        <v>3463</v>
      </c>
      <c r="H4231" s="273" t="s">
        <v>3462</v>
      </c>
      <c r="I4231" s="722">
        <f t="shared" si="946"/>
        <v>2099.52</v>
      </c>
      <c r="J4231" s="849">
        <v>20995.200000000001</v>
      </c>
      <c r="K4231" s="131">
        <f t="shared" si="938"/>
        <v>20995.200000000001</v>
      </c>
      <c r="L4231" s="335">
        <f t="shared" si="947"/>
        <v>0</v>
      </c>
      <c r="M4231" s="335"/>
      <c r="N4231" s="335"/>
      <c r="O4231" s="335"/>
      <c r="P4231" s="335"/>
      <c r="Q4231" s="130">
        <v>3</v>
      </c>
      <c r="R4231" s="131">
        <f t="shared" si="940"/>
        <v>5248.8</v>
      </c>
      <c r="S4231" s="130"/>
      <c r="T4231" s="130"/>
      <c r="U4231" s="130">
        <v>3</v>
      </c>
      <c r="V4231" s="131">
        <f t="shared" si="942"/>
        <v>5248.8</v>
      </c>
      <c r="W4231" s="130"/>
      <c r="X4231" s="130"/>
      <c r="Y4231" s="130"/>
      <c r="Z4231" s="130"/>
      <c r="AA4231" s="130">
        <v>2</v>
      </c>
      <c r="AB4231" s="131">
        <f t="shared" si="935"/>
        <v>5248.8</v>
      </c>
      <c r="AC4231" s="130"/>
      <c r="AD4231" s="130"/>
      <c r="AE4231" s="130">
        <v>2</v>
      </c>
      <c r="AF4231" s="131">
        <f t="shared" si="948"/>
        <v>5248.8</v>
      </c>
      <c r="AG4231" s="130"/>
      <c r="AH4231" s="130"/>
      <c r="AI4231" s="130"/>
      <c r="AJ4231" s="130"/>
      <c r="AK4231" s="131">
        <f t="shared" si="949"/>
        <v>20995.200000000001</v>
      </c>
      <c r="AL4231" s="446">
        <f t="shared" si="950"/>
        <v>0</v>
      </c>
      <c r="AM4231" s="110">
        <f t="shared" si="951"/>
        <v>10</v>
      </c>
      <c r="AN4231" s="447">
        <f t="shared" si="944"/>
        <v>0</v>
      </c>
      <c r="AO4231"/>
      <c r="AP4231"/>
    </row>
    <row r="4232" spans="1:42" s="108" customFormat="1" ht="66" x14ac:dyDescent="0.25">
      <c r="A4232" s="90"/>
      <c r="B4232" s="616" t="s">
        <v>1956</v>
      </c>
      <c r="C4232" s="1024"/>
      <c r="D4232" s="867">
        <f>3+1</f>
        <v>4</v>
      </c>
      <c r="E4232" s="1027" t="s">
        <v>1721</v>
      </c>
      <c r="F4232" s="278" t="s">
        <v>3446</v>
      </c>
      <c r="G4232" s="1040" t="s">
        <v>3463</v>
      </c>
      <c r="H4232" s="273" t="s">
        <v>3462</v>
      </c>
      <c r="I4232" s="722">
        <f t="shared" si="946"/>
        <v>2531.8449999999998</v>
      </c>
      <c r="J4232" s="849">
        <f>7691.94+2435.44</f>
        <v>10127.379999999999</v>
      </c>
      <c r="K4232" s="131">
        <f t="shared" si="938"/>
        <v>10127.379999999999</v>
      </c>
      <c r="L4232" s="335">
        <f t="shared" si="947"/>
        <v>0</v>
      </c>
      <c r="M4232" s="335"/>
      <c r="N4232" s="335"/>
      <c r="O4232" s="335"/>
      <c r="P4232" s="335"/>
      <c r="Q4232" s="130">
        <f t="shared" si="939"/>
        <v>1</v>
      </c>
      <c r="R4232" s="131">
        <f t="shared" si="940"/>
        <v>2531.8449999999998</v>
      </c>
      <c r="S4232" s="130"/>
      <c r="T4232" s="130"/>
      <c r="U4232" s="130">
        <f t="shared" si="941"/>
        <v>1</v>
      </c>
      <c r="V4232" s="131">
        <f t="shared" si="942"/>
        <v>2531.8449999999998</v>
      </c>
      <c r="W4232" s="130"/>
      <c r="X4232" s="130"/>
      <c r="Y4232" s="130"/>
      <c r="Z4232" s="130"/>
      <c r="AA4232" s="130">
        <f t="shared" si="943"/>
        <v>1</v>
      </c>
      <c r="AB4232" s="131">
        <f t="shared" si="935"/>
        <v>2531.8449999999998</v>
      </c>
      <c r="AC4232" s="130"/>
      <c r="AD4232" s="130"/>
      <c r="AE4232" s="130">
        <f t="shared" si="943"/>
        <v>1</v>
      </c>
      <c r="AF4232" s="131">
        <f t="shared" si="948"/>
        <v>2531.8449999999998</v>
      </c>
      <c r="AG4232" s="130"/>
      <c r="AH4232" s="130"/>
      <c r="AI4232" s="130"/>
      <c r="AJ4232" s="130"/>
      <c r="AK4232" s="131">
        <f t="shared" si="949"/>
        <v>10127.379999999999</v>
      </c>
      <c r="AL4232" s="446">
        <f t="shared" si="950"/>
        <v>0</v>
      </c>
      <c r="AM4232" s="110">
        <f t="shared" si="951"/>
        <v>4</v>
      </c>
      <c r="AN4232" s="447">
        <f t="shared" si="944"/>
        <v>0</v>
      </c>
      <c r="AO4232"/>
      <c r="AP4232"/>
    </row>
    <row r="4233" spans="1:42" s="108" customFormat="1" ht="66" x14ac:dyDescent="0.25">
      <c r="A4233" s="90"/>
      <c r="B4233" s="616" t="s">
        <v>1957</v>
      </c>
      <c r="C4233" s="1024"/>
      <c r="D4233" s="867">
        <v>1</v>
      </c>
      <c r="E4233" s="1027" t="s">
        <v>1721</v>
      </c>
      <c r="F4233" s="278" t="s">
        <v>3446</v>
      </c>
      <c r="G4233" s="1040" t="s">
        <v>3463</v>
      </c>
      <c r="H4233" s="273" t="s">
        <v>3462</v>
      </c>
      <c r="I4233" s="722">
        <f t="shared" si="946"/>
        <v>4316.1499999999996</v>
      </c>
      <c r="J4233" s="849">
        <v>4316.1499999999996</v>
      </c>
      <c r="K4233" s="131">
        <f t="shared" si="938"/>
        <v>4316.1499999999996</v>
      </c>
      <c r="L4233" s="335">
        <f t="shared" si="947"/>
        <v>0</v>
      </c>
      <c r="M4233" s="335"/>
      <c r="N4233" s="335"/>
      <c r="O4233" s="335"/>
      <c r="P4233" s="335"/>
      <c r="Q4233" s="130">
        <v>1</v>
      </c>
      <c r="R4233" s="131">
        <f t="shared" si="940"/>
        <v>1079.0374999999999</v>
      </c>
      <c r="S4233" s="130"/>
      <c r="T4233" s="130"/>
      <c r="U4233" s="130">
        <v>0</v>
      </c>
      <c r="V4233" s="131">
        <f t="shared" si="942"/>
        <v>1079.0374999999999</v>
      </c>
      <c r="W4233" s="130"/>
      <c r="X4233" s="130"/>
      <c r="Y4233" s="130"/>
      <c r="Z4233" s="130"/>
      <c r="AA4233" s="130">
        <v>0</v>
      </c>
      <c r="AB4233" s="131">
        <f t="shared" si="935"/>
        <v>1079.0374999999999</v>
      </c>
      <c r="AC4233" s="130"/>
      <c r="AD4233" s="130"/>
      <c r="AE4233" s="130">
        <v>0</v>
      </c>
      <c r="AF4233" s="131">
        <f t="shared" si="948"/>
        <v>1079.0374999999999</v>
      </c>
      <c r="AG4233" s="130"/>
      <c r="AH4233" s="130"/>
      <c r="AI4233" s="130"/>
      <c r="AJ4233" s="130"/>
      <c r="AK4233" s="131">
        <f t="shared" si="949"/>
        <v>4316.1499999999996</v>
      </c>
      <c r="AL4233" s="446">
        <f t="shared" si="950"/>
        <v>0</v>
      </c>
      <c r="AM4233" s="110">
        <f t="shared" si="951"/>
        <v>1</v>
      </c>
      <c r="AN4233" s="447">
        <f t="shared" si="944"/>
        <v>0</v>
      </c>
      <c r="AO4233"/>
      <c r="AP4233"/>
    </row>
    <row r="4234" spans="1:42" s="108" customFormat="1" ht="66" x14ac:dyDescent="0.25">
      <c r="A4234" s="90"/>
      <c r="B4234" s="617" t="s">
        <v>1958</v>
      </c>
      <c r="C4234" s="1024"/>
      <c r="D4234" s="867">
        <v>1</v>
      </c>
      <c r="E4234" s="1027" t="s">
        <v>1721</v>
      </c>
      <c r="F4234" s="278" t="s">
        <v>3446</v>
      </c>
      <c r="G4234" s="1040" t="s">
        <v>3463</v>
      </c>
      <c r="H4234" s="273" t="s">
        <v>3462</v>
      </c>
      <c r="I4234" s="722">
        <f t="shared" si="946"/>
        <v>7722</v>
      </c>
      <c r="J4234" s="849">
        <v>7722</v>
      </c>
      <c r="K4234" s="131">
        <f t="shared" si="938"/>
        <v>7722</v>
      </c>
      <c r="L4234" s="335">
        <f t="shared" si="947"/>
        <v>0</v>
      </c>
      <c r="M4234" s="335"/>
      <c r="N4234" s="335"/>
      <c r="O4234" s="335"/>
      <c r="P4234" s="335"/>
      <c r="Q4234" s="130">
        <v>1</v>
      </c>
      <c r="R4234" s="131">
        <f t="shared" si="940"/>
        <v>1930.5</v>
      </c>
      <c r="S4234" s="130"/>
      <c r="T4234" s="130"/>
      <c r="U4234" s="130">
        <v>0</v>
      </c>
      <c r="V4234" s="131">
        <f t="shared" si="942"/>
        <v>1930.5</v>
      </c>
      <c r="W4234" s="130"/>
      <c r="X4234" s="130"/>
      <c r="Y4234" s="130"/>
      <c r="Z4234" s="130"/>
      <c r="AA4234" s="130">
        <v>0</v>
      </c>
      <c r="AB4234" s="131">
        <f t="shared" si="935"/>
        <v>1930.5</v>
      </c>
      <c r="AC4234" s="130"/>
      <c r="AD4234" s="130"/>
      <c r="AE4234" s="130">
        <v>0</v>
      </c>
      <c r="AF4234" s="131">
        <f t="shared" si="948"/>
        <v>1930.5</v>
      </c>
      <c r="AG4234" s="130"/>
      <c r="AH4234" s="130"/>
      <c r="AI4234" s="130"/>
      <c r="AJ4234" s="130"/>
      <c r="AK4234" s="131">
        <f t="shared" si="949"/>
        <v>7722</v>
      </c>
      <c r="AL4234" s="446">
        <f t="shared" si="950"/>
        <v>0</v>
      </c>
      <c r="AM4234" s="110">
        <f t="shared" si="951"/>
        <v>1</v>
      </c>
      <c r="AN4234" s="447">
        <f t="shared" si="944"/>
        <v>0</v>
      </c>
      <c r="AO4234"/>
      <c r="AP4234"/>
    </row>
    <row r="4235" spans="1:42" s="108" customFormat="1" ht="66" x14ac:dyDescent="0.25">
      <c r="A4235" s="90"/>
      <c r="B4235" s="616" t="s">
        <v>1055</v>
      </c>
      <c r="C4235" s="1024"/>
      <c r="D4235" s="867">
        <v>25</v>
      </c>
      <c r="E4235" s="1027" t="s">
        <v>1721</v>
      </c>
      <c r="F4235" s="278" t="s">
        <v>3446</v>
      </c>
      <c r="G4235" s="1040" t="s">
        <v>3463</v>
      </c>
      <c r="H4235" s="273" t="s">
        <v>3462</v>
      </c>
      <c r="I4235" s="722">
        <f t="shared" si="946"/>
        <v>1207.22</v>
      </c>
      <c r="J4235" s="849">
        <v>30180.5</v>
      </c>
      <c r="K4235" s="131">
        <f t="shared" si="938"/>
        <v>30180.5</v>
      </c>
      <c r="L4235" s="335">
        <f t="shared" si="947"/>
        <v>0</v>
      </c>
      <c r="M4235" s="335"/>
      <c r="N4235" s="335"/>
      <c r="O4235" s="335"/>
      <c r="P4235" s="335"/>
      <c r="Q4235" s="130">
        <v>7</v>
      </c>
      <c r="R4235" s="131">
        <f t="shared" si="940"/>
        <v>7545.125</v>
      </c>
      <c r="S4235" s="130"/>
      <c r="T4235" s="130"/>
      <c r="U4235" s="130">
        <v>6</v>
      </c>
      <c r="V4235" s="131">
        <f t="shared" si="942"/>
        <v>7545.125</v>
      </c>
      <c r="W4235" s="130"/>
      <c r="X4235" s="130"/>
      <c r="Y4235" s="130"/>
      <c r="Z4235" s="130"/>
      <c r="AA4235" s="130">
        <v>6</v>
      </c>
      <c r="AB4235" s="131">
        <f t="shared" si="935"/>
        <v>7545.125</v>
      </c>
      <c r="AC4235" s="130"/>
      <c r="AD4235" s="130"/>
      <c r="AE4235" s="130">
        <v>6</v>
      </c>
      <c r="AF4235" s="131">
        <f t="shared" si="948"/>
        <v>7545.125</v>
      </c>
      <c r="AG4235" s="130"/>
      <c r="AH4235" s="130"/>
      <c r="AI4235" s="130"/>
      <c r="AJ4235" s="130"/>
      <c r="AK4235" s="131">
        <f t="shared" si="949"/>
        <v>30180.5</v>
      </c>
      <c r="AL4235" s="446">
        <f t="shared" si="950"/>
        <v>0</v>
      </c>
      <c r="AM4235" s="110">
        <f t="shared" si="951"/>
        <v>25</v>
      </c>
      <c r="AN4235" s="447">
        <f t="shared" si="944"/>
        <v>0</v>
      </c>
      <c r="AO4235"/>
      <c r="AP4235"/>
    </row>
    <row r="4236" spans="1:42" s="108" customFormat="1" ht="66" x14ac:dyDescent="0.25">
      <c r="A4236" s="90"/>
      <c r="B4236" s="620" t="s">
        <v>2129</v>
      </c>
      <c r="C4236" s="1024"/>
      <c r="D4236" s="869">
        <v>1</v>
      </c>
      <c r="E4236" s="1027" t="s">
        <v>1721</v>
      </c>
      <c r="F4236" s="278" t="s">
        <v>3446</v>
      </c>
      <c r="G4236" s="1040" t="s">
        <v>3463</v>
      </c>
      <c r="H4236" s="273" t="s">
        <v>3462</v>
      </c>
      <c r="I4236" s="722">
        <f t="shared" si="946"/>
        <v>25000</v>
      </c>
      <c r="J4236" s="849">
        <v>25000</v>
      </c>
      <c r="K4236" s="131">
        <f t="shared" si="938"/>
        <v>25000</v>
      </c>
      <c r="L4236" s="335">
        <f t="shared" si="947"/>
        <v>0</v>
      </c>
      <c r="M4236" s="335"/>
      <c r="N4236" s="335"/>
      <c r="O4236" s="335"/>
      <c r="P4236" s="335"/>
      <c r="Q4236" s="130">
        <v>1</v>
      </c>
      <c r="R4236" s="131">
        <f t="shared" si="940"/>
        <v>6250</v>
      </c>
      <c r="S4236" s="130"/>
      <c r="T4236" s="130"/>
      <c r="U4236" s="130">
        <v>0</v>
      </c>
      <c r="V4236" s="131">
        <f t="shared" si="942"/>
        <v>6250</v>
      </c>
      <c r="W4236" s="130"/>
      <c r="X4236" s="130"/>
      <c r="Y4236" s="130"/>
      <c r="Z4236" s="130"/>
      <c r="AA4236" s="130">
        <v>0</v>
      </c>
      <c r="AB4236" s="131">
        <f t="shared" si="935"/>
        <v>6250</v>
      </c>
      <c r="AC4236" s="130"/>
      <c r="AD4236" s="130"/>
      <c r="AE4236" s="130">
        <v>0</v>
      </c>
      <c r="AF4236" s="131">
        <f t="shared" si="948"/>
        <v>6250</v>
      </c>
      <c r="AG4236" s="130"/>
      <c r="AH4236" s="130"/>
      <c r="AI4236" s="130"/>
      <c r="AJ4236" s="130"/>
      <c r="AK4236" s="131">
        <f t="shared" si="949"/>
        <v>25000</v>
      </c>
      <c r="AL4236" s="446">
        <f t="shared" si="950"/>
        <v>0</v>
      </c>
      <c r="AM4236" s="110">
        <f t="shared" si="951"/>
        <v>1</v>
      </c>
      <c r="AN4236" s="447">
        <f t="shared" si="944"/>
        <v>0</v>
      </c>
      <c r="AO4236"/>
      <c r="AP4236"/>
    </row>
    <row r="4237" spans="1:42" s="108" customFormat="1" ht="66" x14ac:dyDescent="0.25">
      <c r="A4237" s="90"/>
      <c r="B4237" s="620" t="s">
        <v>2130</v>
      </c>
      <c r="C4237" s="1024"/>
      <c r="D4237" s="869">
        <v>1</v>
      </c>
      <c r="E4237" s="1027" t="s">
        <v>1721</v>
      </c>
      <c r="F4237" s="278" t="s">
        <v>3446</v>
      </c>
      <c r="G4237" s="1040" t="s">
        <v>3463</v>
      </c>
      <c r="H4237" s="273" t="s">
        <v>3462</v>
      </c>
      <c r="I4237" s="722">
        <f t="shared" si="946"/>
        <v>4500</v>
      </c>
      <c r="J4237" s="849">
        <v>4500</v>
      </c>
      <c r="K4237" s="131">
        <f t="shared" si="938"/>
        <v>4500</v>
      </c>
      <c r="L4237" s="335">
        <f t="shared" si="947"/>
        <v>0</v>
      </c>
      <c r="M4237" s="335"/>
      <c r="N4237" s="335"/>
      <c r="O4237" s="335"/>
      <c r="P4237" s="335"/>
      <c r="Q4237" s="130">
        <v>1</v>
      </c>
      <c r="R4237" s="131">
        <f t="shared" si="940"/>
        <v>1125</v>
      </c>
      <c r="S4237" s="130"/>
      <c r="T4237" s="130"/>
      <c r="U4237" s="130">
        <v>0</v>
      </c>
      <c r="V4237" s="131">
        <f t="shared" si="942"/>
        <v>1125</v>
      </c>
      <c r="W4237" s="130"/>
      <c r="X4237" s="130"/>
      <c r="Y4237" s="130"/>
      <c r="Z4237" s="130"/>
      <c r="AA4237" s="130">
        <v>0</v>
      </c>
      <c r="AB4237" s="131">
        <f t="shared" si="935"/>
        <v>1125</v>
      </c>
      <c r="AC4237" s="130"/>
      <c r="AD4237" s="130"/>
      <c r="AE4237" s="130">
        <v>0</v>
      </c>
      <c r="AF4237" s="131">
        <f t="shared" si="948"/>
        <v>1125</v>
      </c>
      <c r="AG4237" s="130"/>
      <c r="AH4237" s="130"/>
      <c r="AI4237" s="130"/>
      <c r="AJ4237" s="130"/>
      <c r="AK4237" s="131">
        <f t="shared" si="949"/>
        <v>4500</v>
      </c>
      <c r="AL4237" s="446">
        <f t="shared" si="950"/>
        <v>0</v>
      </c>
      <c r="AM4237" s="110">
        <f t="shared" si="951"/>
        <v>1</v>
      </c>
      <c r="AN4237" s="447">
        <f t="shared" si="944"/>
        <v>0</v>
      </c>
      <c r="AO4237"/>
      <c r="AP4237"/>
    </row>
    <row r="4238" spans="1:42" s="108" customFormat="1" ht="66" x14ac:dyDescent="0.25">
      <c r="A4238" s="90"/>
      <c r="B4238" s="620" t="s">
        <v>2131</v>
      </c>
      <c r="C4238" s="1024"/>
      <c r="D4238" s="869">
        <v>2</v>
      </c>
      <c r="E4238" s="1027" t="s">
        <v>1721</v>
      </c>
      <c r="F4238" s="278" t="s">
        <v>3446</v>
      </c>
      <c r="G4238" s="1040" t="s">
        <v>3463</v>
      </c>
      <c r="H4238" s="273" t="s">
        <v>3462</v>
      </c>
      <c r="I4238" s="722">
        <f t="shared" si="946"/>
        <v>2500</v>
      </c>
      <c r="J4238" s="849">
        <v>5000</v>
      </c>
      <c r="K4238" s="131">
        <f t="shared" si="938"/>
        <v>5000</v>
      </c>
      <c r="L4238" s="335">
        <f t="shared" si="947"/>
        <v>0</v>
      </c>
      <c r="M4238" s="335"/>
      <c r="N4238" s="335"/>
      <c r="O4238" s="335"/>
      <c r="P4238" s="335"/>
      <c r="Q4238" s="130">
        <v>1</v>
      </c>
      <c r="R4238" s="131">
        <f t="shared" si="940"/>
        <v>1250</v>
      </c>
      <c r="S4238" s="130"/>
      <c r="T4238" s="130"/>
      <c r="U4238" s="130">
        <v>1</v>
      </c>
      <c r="V4238" s="131">
        <f t="shared" si="942"/>
        <v>1250</v>
      </c>
      <c r="W4238" s="130"/>
      <c r="X4238" s="130"/>
      <c r="Y4238" s="130"/>
      <c r="Z4238" s="130"/>
      <c r="AA4238" s="130">
        <v>0</v>
      </c>
      <c r="AB4238" s="131">
        <f t="shared" si="935"/>
        <v>1250</v>
      </c>
      <c r="AC4238" s="130"/>
      <c r="AD4238" s="130"/>
      <c r="AE4238" s="130">
        <v>0</v>
      </c>
      <c r="AF4238" s="131">
        <f t="shared" si="948"/>
        <v>1250</v>
      </c>
      <c r="AG4238" s="130"/>
      <c r="AH4238" s="130"/>
      <c r="AI4238" s="130"/>
      <c r="AJ4238" s="130"/>
      <c r="AK4238" s="131">
        <f t="shared" si="949"/>
        <v>5000</v>
      </c>
      <c r="AL4238" s="446">
        <f t="shared" si="950"/>
        <v>0</v>
      </c>
      <c r="AM4238" s="110">
        <f t="shared" si="951"/>
        <v>2</v>
      </c>
      <c r="AN4238" s="447">
        <f t="shared" si="944"/>
        <v>0</v>
      </c>
      <c r="AO4238"/>
      <c r="AP4238"/>
    </row>
    <row r="4239" spans="1:42" s="108" customFormat="1" ht="66" x14ac:dyDescent="0.25">
      <c r="A4239" s="90"/>
      <c r="B4239" s="618" t="s">
        <v>1040</v>
      </c>
      <c r="C4239" s="1024"/>
      <c r="D4239" s="875">
        <v>4</v>
      </c>
      <c r="E4239" s="972" t="s">
        <v>1721</v>
      </c>
      <c r="F4239" s="278" t="s">
        <v>3446</v>
      </c>
      <c r="G4239" s="1040" t="s">
        <v>3463</v>
      </c>
      <c r="H4239" s="273" t="s">
        <v>3462</v>
      </c>
      <c r="I4239" s="722">
        <f t="shared" si="946"/>
        <v>5681.6219999999994</v>
      </c>
      <c r="J4239" s="849">
        <v>22726.487999999998</v>
      </c>
      <c r="K4239" s="131">
        <f t="shared" si="938"/>
        <v>22726.487999999998</v>
      </c>
      <c r="L4239" s="335">
        <f t="shared" si="947"/>
        <v>0</v>
      </c>
      <c r="M4239" s="335"/>
      <c r="N4239" s="335"/>
      <c r="O4239" s="335"/>
      <c r="P4239" s="335"/>
      <c r="Q4239" s="130">
        <f t="shared" si="939"/>
        <v>1</v>
      </c>
      <c r="R4239" s="131">
        <f t="shared" si="940"/>
        <v>5681.6219999999994</v>
      </c>
      <c r="S4239" s="130"/>
      <c r="T4239" s="130"/>
      <c r="U4239" s="130">
        <f t="shared" si="941"/>
        <v>1</v>
      </c>
      <c r="V4239" s="131">
        <f t="shared" si="942"/>
        <v>5681.6219999999994</v>
      </c>
      <c r="W4239" s="130"/>
      <c r="X4239" s="130"/>
      <c r="Y4239" s="130"/>
      <c r="Z4239" s="130"/>
      <c r="AA4239" s="130">
        <f t="shared" si="943"/>
        <v>1</v>
      </c>
      <c r="AB4239" s="131">
        <f t="shared" si="935"/>
        <v>5681.6219999999994</v>
      </c>
      <c r="AC4239" s="130"/>
      <c r="AD4239" s="130"/>
      <c r="AE4239" s="130">
        <f t="shared" si="943"/>
        <v>1</v>
      </c>
      <c r="AF4239" s="131">
        <f t="shared" si="948"/>
        <v>5681.6219999999994</v>
      </c>
      <c r="AG4239" s="130"/>
      <c r="AH4239" s="130"/>
      <c r="AI4239" s="130"/>
      <c r="AJ4239" s="130"/>
      <c r="AK4239" s="131">
        <f t="shared" si="949"/>
        <v>22726.487999999998</v>
      </c>
      <c r="AL4239" s="446">
        <f t="shared" si="950"/>
        <v>0</v>
      </c>
      <c r="AM4239" s="110">
        <f t="shared" si="951"/>
        <v>4</v>
      </c>
      <c r="AN4239" s="447">
        <f t="shared" si="944"/>
        <v>0</v>
      </c>
      <c r="AO4239"/>
      <c r="AP4239"/>
    </row>
    <row r="4240" spans="1:42" s="108" customFormat="1" ht="66" x14ac:dyDescent="0.25">
      <c r="A4240" s="90"/>
      <c r="B4240" s="618" t="s">
        <v>1029</v>
      </c>
      <c r="C4240" s="1024"/>
      <c r="D4240" s="875">
        <v>1</v>
      </c>
      <c r="E4240" s="250" t="s">
        <v>1721</v>
      </c>
      <c r="F4240" s="278" t="s">
        <v>3446</v>
      </c>
      <c r="G4240" s="1040" t="s">
        <v>3463</v>
      </c>
      <c r="H4240" s="273" t="s">
        <v>3462</v>
      </c>
      <c r="I4240" s="722">
        <f t="shared" si="946"/>
        <v>5681.6219999999994</v>
      </c>
      <c r="J4240" s="849">
        <v>5681.6219999999994</v>
      </c>
      <c r="K4240" s="131">
        <f t="shared" si="938"/>
        <v>5681.6219999999994</v>
      </c>
      <c r="L4240" s="335">
        <f t="shared" si="947"/>
        <v>0</v>
      </c>
      <c r="M4240" s="335"/>
      <c r="N4240" s="335"/>
      <c r="O4240" s="335"/>
      <c r="P4240" s="335"/>
      <c r="Q4240" s="130">
        <v>1</v>
      </c>
      <c r="R4240" s="131">
        <f t="shared" si="940"/>
        <v>1420.4054999999998</v>
      </c>
      <c r="S4240" s="130"/>
      <c r="T4240" s="130"/>
      <c r="U4240" s="130">
        <v>0</v>
      </c>
      <c r="V4240" s="131">
        <f t="shared" si="942"/>
        <v>1420.4054999999998</v>
      </c>
      <c r="W4240" s="130"/>
      <c r="X4240" s="130"/>
      <c r="Y4240" s="130"/>
      <c r="Z4240" s="130"/>
      <c r="AA4240" s="130">
        <v>0</v>
      </c>
      <c r="AB4240" s="131">
        <f t="shared" ref="AB4240:AB4303" si="952">+J4240/4</f>
        <v>1420.4054999999998</v>
      </c>
      <c r="AC4240" s="130"/>
      <c r="AD4240" s="130"/>
      <c r="AE4240" s="130">
        <v>0</v>
      </c>
      <c r="AF4240" s="131">
        <f t="shared" si="948"/>
        <v>1420.4054999999998</v>
      </c>
      <c r="AG4240" s="130"/>
      <c r="AH4240" s="130"/>
      <c r="AI4240" s="130"/>
      <c r="AJ4240" s="130"/>
      <c r="AK4240" s="131">
        <f t="shared" si="949"/>
        <v>5681.6219999999994</v>
      </c>
      <c r="AL4240" s="446">
        <f t="shared" si="950"/>
        <v>0</v>
      </c>
      <c r="AM4240" s="110">
        <f t="shared" si="951"/>
        <v>1</v>
      </c>
      <c r="AN4240" s="447">
        <f t="shared" si="944"/>
        <v>0</v>
      </c>
      <c r="AO4240"/>
      <c r="AP4240"/>
    </row>
    <row r="4241" spans="1:42" s="108" customFormat="1" ht="66" x14ac:dyDescent="0.25">
      <c r="A4241" s="90"/>
      <c r="B4241" s="618" t="s">
        <v>1957</v>
      </c>
      <c r="C4241" s="1024"/>
      <c r="D4241" s="875">
        <v>1</v>
      </c>
      <c r="E4241" s="250" t="s">
        <v>1721</v>
      </c>
      <c r="F4241" s="278" t="s">
        <v>3446</v>
      </c>
      <c r="G4241" s="1040" t="s">
        <v>3463</v>
      </c>
      <c r="H4241" s="273" t="s">
        <v>3462</v>
      </c>
      <c r="I4241" s="722">
        <f t="shared" si="946"/>
        <v>5006.7339999999995</v>
      </c>
      <c r="J4241" s="849">
        <v>5006.7339999999995</v>
      </c>
      <c r="K4241" s="131">
        <f t="shared" si="938"/>
        <v>5006.7339999999995</v>
      </c>
      <c r="L4241" s="335">
        <f t="shared" si="947"/>
        <v>0</v>
      </c>
      <c r="M4241" s="335"/>
      <c r="N4241" s="335"/>
      <c r="O4241" s="335"/>
      <c r="P4241" s="335"/>
      <c r="Q4241" s="130">
        <v>1</v>
      </c>
      <c r="R4241" s="131">
        <f t="shared" si="940"/>
        <v>1251.6834999999999</v>
      </c>
      <c r="S4241" s="130"/>
      <c r="T4241" s="130"/>
      <c r="U4241" s="130">
        <v>0</v>
      </c>
      <c r="V4241" s="131">
        <f t="shared" si="942"/>
        <v>1251.6834999999999</v>
      </c>
      <c r="W4241" s="130"/>
      <c r="X4241" s="130"/>
      <c r="Y4241" s="130"/>
      <c r="Z4241" s="130"/>
      <c r="AA4241" s="130">
        <v>0</v>
      </c>
      <c r="AB4241" s="131">
        <f t="shared" si="952"/>
        <v>1251.6834999999999</v>
      </c>
      <c r="AC4241" s="130"/>
      <c r="AD4241" s="130"/>
      <c r="AE4241" s="130">
        <v>0</v>
      </c>
      <c r="AF4241" s="131">
        <f t="shared" si="948"/>
        <v>1251.6834999999999</v>
      </c>
      <c r="AG4241" s="130"/>
      <c r="AH4241" s="130"/>
      <c r="AI4241" s="130"/>
      <c r="AJ4241" s="130"/>
      <c r="AK4241" s="131">
        <f t="shared" si="949"/>
        <v>5006.7339999999995</v>
      </c>
      <c r="AL4241" s="446">
        <f t="shared" si="950"/>
        <v>0</v>
      </c>
      <c r="AM4241" s="110">
        <f t="shared" si="951"/>
        <v>1</v>
      </c>
      <c r="AN4241" s="447">
        <f t="shared" si="944"/>
        <v>0</v>
      </c>
      <c r="AO4241"/>
      <c r="AP4241"/>
    </row>
    <row r="4242" spans="1:42" s="108" customFormat="1" ht="66" x14ac:dyDescent="0.25">
      <c r="A4242" s="90"/>
      <c r="B4242" s="152" t="s">
        <v>1036</v>
      </c>
      <c r="C4242" s="1024"/>
      <c r="D4242" s="875">
        <v>5</v>
      </c>
      <c r="E4242" s="250" t="s">
        <v>1721</v>
      </c>
      <c r="F4242" s="278" t="s">
        <v>3446</v>
      </c>
      <c r="G4242" s="1040" t="s">
        <v>3463</v>
      </c>
      <c r="H4242" s="273" t="s">
        <v>3462</v>
      </c>
      <c r="I4242" s="722">
        <f t="shared" si="946"/>
        <v>2210.33</v>
      </c>
      <c r="J4242" s="849">
        <v>11051.65</v>
      </c>
      <c r="K4242" s="131">
        <f t="shared" si="938"/>
        <v>11051.65</v>
      </c>
      <c r="L4242" s="335">
        <f t="shared" si="947"/>
        <v>0</v>
      </c>
      <c r="M4242" s="335"/>
      <c r="N4242" s="335"/>
      <c r="O4242" s="335"/>
      <c r="P4242" s="335"/>
      <c r="Q4242" s="130">
        <v>2</v>
      </c>
      <c r="R4242" s="131">
        <f t="shared" si="940"/>
        <v>2762.9124999999999</v>
      </c>
      <c r="S4242" s="130"/>
      <c r="T4242" s="130"/>
      <c r="U4242" s="130">
        <v>1</v>
      </c>
      <c r="V4242" s="131">
        <f t="shared" si="942"/>
        <v>2762.9124999999999</v>
      </c>
      <c r="W4242" s="130"/>
      <c r="X4242" s="130"/>
      <c r="Y4242" s="130"/>
      <c r="Z4242" s="130"/>
      <c r="AA4242" s="130">
        <v>1</v>
      </c>
      <c r="AB4242" s="131">
        <f t="shared" si="952"/>
        <v>2762.9124999999999</v>
      </c>
      <c r="AC4242" s="130"/>
      <c r="AD4242" s="130"/>
      <c r="AE4242" s="130">
        <v>1</v>
      </c>
      <c r="AF4242" s="131">
        <f t="shared" si="948"/>
        <v>2762.9124999999999</v>
      </c>
      <c r="AG4242" s="130"/>
      <c r="AH4242" s="130"/>
      <c r="AI4242" s="130"/>
      <c r="AJ4242" s="130"/>
      <c r="AK4242" s="131">
        <f t="shared" si="949"/>
        <v>11051.65</v>
      </c>
      <c r="AL4242" s="446">
        <f t="shared" si="950"/>
        <v>0</v>
      </c>
      <c r="AM4242" s="110">
        <f t="shared" si="951"/>
        <v>5</v>
      </c>
      <c r="AN4242" s="447">
        <f t="shared" si="944"/>
        <v>0</v>
      </c>
      <c r="AO4242"/>
      <c r="AP4242"/>
    </row>
    <row r="4243" spans="1:42" s="108" customFormat="1" ht="66" x14ac:dyDescent="0.25">
      <c r="A4243" s="90"/>
      <c r="B4243" s="34" t="s">
        <v>2460</v>
      </c>
      <c r="C4243" s="1024"/>
      <c r="D4243" s="875">
        <v>5</v>
      </c>
      <c r="E4243" s="250" t="s">
        <v>1721</v>
      </c>
      <c r="F4243" s="278" t="s">
        <v>3446</v>
      </c>
      <c r="G4243" s="1040" t="s">
        <v>3463</v>
      </c>
      <c r="H4243" s="273" t="s">
        <v>3462</v>
      </c>
      <c r="I4243" s="722">
        <f t="shared" si="946"/>
        <v>800</v>
      </c>
      <c r="J4243" s="849">
        <v>4000</v>
      </c>
      <c r="K4243" s="131">
        <f t="shared" si="938"/>
        <v>4000</v>
      </c>
      <c r="L4243" s="335">
        <f t="shared" si="947"/>
        <v>0</v>
      </c>
      <c r="M4243" s="335"/>
      <c r="N4243" s="335"/>
      <c r="O4243" s="335"/>
      <c r="P4243" s="335"/>
      <c r="Q4243" s="130">
        <v>2</v>
      </c>
      <c r="R4243" s="131">
        <f t="shared" si="940"/>
        <v>1000</v>
      </c>
      <c r="S4243" s="130"/>
      <c r="T4243" s="130"/>
      <c r="U4243" s="130">
        <v>1</v>
      </c>
      <c r="V4243" s="131">
        <f t="shared" si="942"/>
        <v>1000</v>
      </c>
      <c r="W4243" s="130"/>
      <c r="X4243" s="130"/>
      <c r="Y4243" s="130"/>
      <c r="Z4243" s="130"/>
      <c r="AA4243" s="130">
        <v>1</v>
      </c>
      <c r="AB4243" s="131">
        <f t="shared" si="952"/>
        <v>1000</v>
      </c>
      <c r="AC4243" s="130"/>
      <c r="AD4243" s="130"/>
      <c r="AE4243" s="130">
        <v>1</v>
      </c>
      <c r="AF4243" s="131">
        <f t="shared" si="948"/>
        <v>1000</v>
      </c>
      <c r="AG4243" s="130"/>
      <c r="AH4243" s="130"/>
      <c r="AI4243" s="130"/>
      <c r="AJ4243" s="130"/>
      <c r="AK4243" s="131">
        <f t="shared" si="949"/>
        <v>4000</v>
      </c>
      <c r="AL4243" s="446">
        <f t="shared" si="950"/>
        <v>0</v>
      </c>
      <c r="AM4243" s="110">
        <f t="shared" si="951"/>
        <v>5</v>
      </c>
      <c r="AN4243" s="447">
        <f t="shared" si="944"/>
        <v>0</v>
      </c>
      <c r="AO4243"/>
      <c r="AP4243"/>
    </row>
    <row r="4244" spans="1:42" s="108" customFormat="1" ht="66" x14ac:dyDescent="0.25">
      <c r="A4244" s="90"/>
      <c r="B4244" s="152" t="s">
        <v>3444</v>
      </c>
      <c r="C4244" s="1024"/>
      <c r="D4244" s="883">
        <v>2</v>
      </c>
      <c r="E4244" s="250" t="s">
        <v>1721</v>
      </c>
      <c r="F4244" s="278" t="s">
        <v>3446</v>
      </c>
      <c r="G4244" s="1040" t="s">
        <v>3463</v>
      </c>
      <c r="H4244" s="273" t="s">
        <v>3462</v>
      </c>
      <c r="I4244" s="746">
        <v>3720.82</v>
      </c>
      <c r="J4244" s="849">
        <v>7441.64</v>
      </c>
      <c r="K4244" s="131">
        <f t="shared" si="938"/>
        <v>7441.64</v>
      </c>
      <c r="L4244" s="335"/>
      <c r="M4244" s="335"/>
      <c r="N4244" s="335"/>
      <c r="O4244" s="335"/>
      <c r="P4244" s="335"/>
      <c r="Q4244" s="130">
        <v>1</v>
      </c>
      <c r="R4244" s="131">
        <f t="shared" si="940"/>
        <v>1860.41</v>
      </c>
      <c r="S4244" s="130"/>
      <c r="T4244" s="130"/>
      <c r="U4244" s="130">
        <v>1</v>
      </c>
      <c r="V4244" s="131">
        <f t="shared" si="942"/>
        <v>1860.41</v>
      </c>
      <c r="W4244" s="130"/>
      <c r="X4244" s="130"/>
      <c r="Y4244" s="130"/>
      <c r="Z4244" s="130"/>
      <c r="AA4244" s="130">
        <v>0</v>
      </c>
      <c r="AB4244" s="131">
        <f t="shared" si="952"/>
        <v>1860.41</v>
      </c>
      <c r="AC4244" s="130"/>
      <c r="AD4244" s="130"/>
      <c r="AE4244" s="130">
        <v>0</v>
      </c>
      <c r="AF4244" s="131">
        <f t="shared" si="948"/>
        <v>1860.41</v>
      </c>
      <c r="AG4244" s="130"/>
      <c r="AH4244" s="130"/>
      <c r="AI4244" s="130"/>
      <c r="AJ4244" s="130"/>
      <c r="AK4244" s="131">
        <f t="shared" si="949"/>
        <v>7441.64</v>
      </c>
      <c r="AL4244" s="446">
        <f t="shared" si="950"/>
        <v>0</v>
      </c>
      <c r="AM4244" s="110">
        <f t="shared" si="951"/>
        <v>2</v>
      </c>
      <c r="AN4244" s="447">
        <f t="shared" si="944"/>
        <v>0</v>
      </c>
      <c r="AO4244"/>
      <c r="AP4244"/>
    </row>
    <row r="4245" spans="1:42" x14ac:dyDescent="0.25">
      <c r="A4245" s="315">
        <v>51503</v>
      </c>
      <c r="B4245" s="351" t="s">
        <v>1041</v>
      </c>
      <c r="C4245" s="315"/>
      <c r="D4245" s="886"/>
      <c r="E4245" s="318"/>
      <c r="F4245" s="319"/>
      <c r="G4245" s="319"/>
      <c r="H4245" s="319"/>
      <c r="I4245" s="724"/>
      <c r="J4245" s="753"/>
      <c r="K4245" s="131">
        <f t="shared" si="938"/>
        <v>0</v>
      </c>
      <c r="L4245" s="335">
        <f t="shared" si="947"/>
        <v>0</v>
      </c>
      <c r="M4245" s="648"/>
      <c r="N4245" s="648"/>
      <c r="O4245" s="648"/>
      <c r="P4245" s="648"/>
      <c r="Q4245" s="649">
        <f t="shared" si="939"/>
        <v>0</v>
      </c>
      <c r="R4245" s="647">
        <f t="shared" si="940"/>
        <v>0</v>
      </c>
      <c r="S4245" s="649"/>
      <c r="T4245" s="649"/>
      <c r="U4245" s="649">
        <f t="shared" si="941"/>
        <v>0</v>
      </c>
      <c r="V4245" s="647">
        <f t="shared" si="942"/>
        <v>0</v>
      </c>
      <c r="W4245" s="649"/>
      <c r="X4245" s="649"/>
      <c r="Y4245" s="649"/>
      <c r="Z4245" s="649"/>
      <c r="AA4245" s="649">
        <f t="shared" si="943"/>
        <v>0</v>
      </c>
      <c r="AB4245" s="647">
        <f t="shared" si="952"/>
        <v>0</v>
      </c>
      <c r="AC4245" s="649"/>
      <c r="AD4245" s="649"/>
      <c r="AE4245" s="649">
        <f t="shared" si="943"/>
        <v>0</v>
      </c>
      <c r="AF4245" s="647">
        <f t="shared" si="948"/>
        <v>0</v>
      </c>
      <c r="AG4245" s="110"/>
      <c r="AH4245" s="110"/>
      <c r="AI4245" s="110"/>
      <c r="AJ4245" s="110"/>
      <c r="AK4245" s="111">
        <f t="shared" si="949"/>
        <v>0</v>
      </c>
      <c r="AL4245" s="446">
        <f t="shared" si="950"/>
        <v>0</v>
      </c>
      <c r="AM4245" s="110">
        <f t="shared" si="951"/>
        <v>0</v>
      </c>
      <c r="AN4245" s="447">
        <f t="shared" si="944"/>
        <v>0</v>
      </c>
      <c r="AO4245" s="436">
        <f>SUM(J4246:J4281)</f>
        <v>1192169.8468480001</v>
      </c>
      <c r="AP4245" s="111"/>
    </row>
    <row r="4246" spans="1:42" ht="66" x14ac:dyDescent="0.25">
      <c r="A4246" s="9"/>
      <c r="B4246" s="43" t="s">
        <v>1042</v>
      </c>
      <c r="C4246" s="9"/>
      <c r="D4246" s="869">
        <f>1</f>
        <v>1</v>
      </c>
      <c r="E4246" s="1025" t="s">
        <v>1721</v>
      </c>
      <c r="F4246" s="273" t="s">
        <v>3446</v>
      </c>
      <c r="G4246" s="1040" t="s">
        <v>3463</v>
      </c>
      <c r="H4246" s="273" t="s">
        <v>3462</v>
      </c>
      <c r="I4246" s="720">
        <f t="shared" ref="I4246:I4281" si="953">+J4246/D4246</f>
        <v>5192.21</v>
      </c>
      <c r="J4246" s="756">
        <f>5192.21</f>
        <v>5192.21</v>
      </c>
      <c r="K4246" s="131">
        <f t="shared" si="938"/>
        <v>5192.21</v>
      </c>
      <c r="L4246" s="335">
        <f t="shared" si="947"/>
        <v>0</v>
      </c>
      <c r="M4246" s="446"/>
      <c r="N4246" s="446"/>
      <c r="O4246" s="446"/>
      <c r="P4246" s="446"/>
      <c r="Q4246" s="110">
        <v>1</v>
      </c>
      <c r="R4246" s="111">
        <f t="shared" si="940"/>
        <v>1298.0525</v>
      </c>
      <c r="S4246" s="110"/>
      <c r="T4246" s="110"/>
      <c r="U4246" s="110">
        <v>0</v>
      </c>
      <c r="V4246" s="111">
        <f t="shared" si="942"/>
        <v>1298.0525</v>
      </c>
      <c r="W4246" s="110"/>
      <c r="X4246" s="110"/>
      <c r="Y4246" s="110"/>
      <c r="Z4246" s="110"/>
      <c r="AA4246" s="110">
        <v>0</v>
      </c>
      <c r="AB4246" s="111">
        <f t="shared" si="952"/>
        <v>1298.0525</v>
      </c>
      <c r="AC4246" s="110"/>
      <c r="AD4246" s="110"/>
      <c r="AE4246" s="110">
        <v>0</v>
      </c>
      <c r="AF4246" s="111">
        <f t="shared" si="948"/>
        <v>1298.0525</v>
      </c>
      <c r="AG4246" s="110"/>
      <c r="AH4246" s="110"/>
      <c r="AI4246" s="110"/>
      <c r="AJ4246" s="110"/>
      <c r="AK4246" s="111">
        <f t="shared" si="949"/>
        <v>5192.21</v>
      </c>
      <c r="AL4246" s="446">
        <f t="shared" si="950"/>
        <v>0</v>
      </c>
      <c r="AM4246" s="110">
        <f t="shared" si="951"/>
        <v>1</v>
      </c>
      <c r="AN4246" s="447">
        <f t="shared" si="944"/>
        <v>0</v>
      </c>
      <c r="AO4246"/>
      <c r="AP4246"/>
    </row>
    <row r="4247" spans="1:42" ht="66" x14ac:dyDescent="0.25">
      <c r="A4247" s="9"/>
      <c r="B4247" s="149" t="s">
        <v>1114</v>
      </c>
      <c r="C4247" s="9"/>
      <c r="D4247" s="869">
        <f>1</f>
        <v>1</v>
      </c>
      <c r="E4247" s="1025" t="s">
        <v>1721</v>
      </c>
      <c r="F4247" s="273" t="s">
        <v>3446</v>
      </c>
      <c r="G4247" s="1040" t="s">
        <v>3463</v>
      </c>
      <c r="H4247" s="273" t="s">
        <v>3462</v>
      </c>
      <c r="I4247" s="720">
        <f t="shared" si="953"/>
        <v>26000</v>
      </c>
      <c r="J4247" s="756">
        <f>26000</f>
        <v>26000</v>
      </c>
      <c r="K4247" s="131">
        <f t="shared" si="938"/>
        <v>26000</v>
      </c>
      <c r="L4247" s="335">
        <f t="shared" si="947"/>
        <v>0</v>
      </c>
      <c r="M4247" s="446"/>
      <c r="N4247" s="446"/>
      <c r="O4247" s="446"/>
      <c r="P4247" s="446"/>
      <c r="Q4247" s="110">
        <v>1</v>
      </c>
      <c r="R4247" s="111">
        <f t="shared" si="940"/>
        <v>6500</v>
      </c>
      <c r="S4247" s="110"/>
      <c r="T4247" s="110"/>
      <c r="U4247" s="110">
        <v>0</v>
      </c>
      <c r="V4247" s="111">
        <f t="shared" si="942"/>
        <v>6500</v>
      </c>
      <c r="W4247" s="110"/>
      <c r="X4247" s="110"/>
      <c r="Y4247" s="110"/>
      <c r="Z4247" s="110"/>
      <c r="AA4247" s="110">
        <v>0</v>
      </c>
      <c r="AB4247" s="111">
        <f t="shared" si="952"/>
        <v>6500</v>
      </c>
      <c r="AC4247" s="110"/>
      <c r="AD4247" s="110"/>
      <c r="AE4247" s="110">
        <v>0</v>
      </c>
      <c r="AF4247" s="111">
        <f t="shared" si="948"/>
        <v>6500</v>
      </c>
      <c r="AG4247" s="110"/>
      <c r="AH4247" s="110"/>
      <c r="AI4247" s="110"/>
      <c r="AJ4247" s="110"/>
      <c r="AK4247" s="111">
        <f t="shared" si="949"/>
        <v>26000</v>
      </c>
      <c r="AL4247" s="446">
        <f t="shared" si="950"/>
        <v>0</v>
      </c>
      <c r="AM4247" s="110">
        <f t="shared" si="951"/>
        <v>1</v>
      </c>
      <c r="AN4247" s="447">
        <f t="shared" si="944"/>
        <v>0</v>
      </c>
      <c r="AO4247"/>
      <c r="AP4247"/>
    </row>
    <row r="4248" spans="1:42" ht="66" x14ac:dyDescent="0.25">
      <c r="A4248" s="9"/>
      <c r="B4248" s="149" t="s">
        <v>1115</v>
      </c>
      <c r="C4248" s="9"/>
      <c r="D4248" s="869">
        <f>1</f>
        <v>1</v>
      </c>
      <c r="E4248" s="1025" t="s">
        <v>1721</v>
      </c>
      <c r="F4248" s="273" t="s">
        <v>3446</v>
      </c>
      <c r="G4248" s="1040" t="s">
        <v>3463</v>
      </c>
      <c r="H4248" s="273" t="s">
        <v>3462</v>
      </c>
      <c r="I4248" s="720">
        <f t="shared" si="953"/>
        <v>20000</v>
      </c>
      <c r="J4248" s="756">
        <f>20000</f>
        <v>20000</v>
      </c>
      <c r="K4248" s="131">
        <f t="shared" si="938"/>
        <v>20000</v>
      </c>
      <c r="L4248" s="335">
        <f t="shared" si="947"/>
        <v>0</v>
      </c>
      <c r="M4248" s="446"/>
      <c r="N4248" s="446"/>
      <c r="O4248" s="446"/>
      <c r="P4248" s="446"/>
      <c r="Q4248" s="110">
        <v>1</v>
      </c>
      <c r="R4248" s="111">
        <f t="shared" si="940"/>
        <v>5000</v>
      </c>
      <c r="S4248" s="110"/>
      <c r="T4248" s="110"/>
      <c r="U4248" s="110">
        <v>0</v>
      </c>
      <c r="V4248" s="111">
        <f t="shared" si="942"/>
        <v>5000</v>
      </c>
      <c r="W4248" s="110"/>
      <c r="X4248" s="110"/>
      <c r="Y4248" s="110"/>
      <c r="Z4248" s="110"/>
      <c r="AA4248" s="110">
        <v>0</v>
      </c>
      <c r="AB4248" s="111">
        <f t="shared" si="952"/>
        <v>5000</v>
      </c>
      <c r="AC4248" s="110"/>
      <c r="AD4248" s="110"/>
      <c r="AE4248" s="110">
        <v>0</v>
      </c>
      <c r="AF4248" s="111">
        <f t="shared" si="948"/>
        <v>5000</v>
      </c>
      <c r="AG4248" s="110"/>
      <c r="AH4248" s="110"/>
      <c r="AI4248" s="110"/>
      <c r="AJ4248" s="110"/>
      <c r="AK4248" s="111">
        <f t="shared" si="949"/>
        <v>20000</v>
      </c>
      <c r="AL4248" s="446">
        <f t="shared" si="950"/>
        <v>0</v>
      </c>
      <c r="AM4248" s="110">
        <f t="shared" si="951"/>
        <v>1</v>
      </c>
      <c r="AN4248" s="447">
        <f t="shared" si="944"/>
        <v>0</v>
      </c>
      <c r="AO4248"/>
      <c r="AP4248"/>
    </row>
    <row r="4249" spans="1:42" ht="66" x14ac:dyDescent="0.25">
      <c r="A4249" s="9"/>
      <c r="B4249" s="43" t="s">
        <v>1121</v>
      </c>
      <c r="C4249" s="9"/>
      <c r="D4249" s="869">
        <f>1</f>
        <v>1</v>
      </c>
      <c r="E4249" s="1025" t="s">
        <v>1721</v>
      </c>
      <c r="F4249" s="273" t="s">
        <v>3446</v>
      </c>
      <c r="G4249" s="1040" t="s">
        <v>3463</v>
      </c>
      <c r="H4249" s="273" t="s">
        <v>3462</v>
      </c>
      <c r="I4249" s="720">
        <f t="shared" si="953"/>
        <v>13500</v>
      </c>
      <c r="J4249" s="756">
        <f>13500</f>
        <v>13500</v>
      </c>
      <c r="K4249" s="131">
        <f t="shared" si="938"/>
        <v>13500</v>
      </c>
      <c r="L4249" s="335">
        <f t="shared" si="947"/>
        <v>0</v>
      </c>
      <c r="M4249" s="446"/>
      <c r="N4249" s="446"/>
      <c r="O4249" s="446"/>
      <c r="P4249" s="446"/>
      <c r="Q4249" s="110">
        <v>1</v>
      </c>
      <c r="R4249" s="111">
        <f t="shared" si="940"/>
        <v>3375</v>
      </c>
      <c r="S4249" s="110"/>
      <c r="T4249" s="110"/>
      <c r="U4249" s="110">
        <v>0</v>
      </c>
      <c r="V4249" s="111">
        <f t="shared" si="942"/>
        <v>3375</v>
      </c>
      <c r="W4249" s="110"/>
      <c r="X4249" s="110"/>
      <c r="Y4249" s="110"/>
      <c r="Z4249" s="110"/>
      <c r="AA4249" s="110">
        <v>0</v>
      </c>
      <c r="AB4249" s="111">
        <f t="shared" si="952"/>
        <v>3375</v>
      </c>
      <c r="AC4249" s="110"/>
      <c r="AD4249" s="110"/>
      <c r="AE4249" s="110">
        <v>0</v>
      </c>
      <c r="AF4249" s="111">
        <f t="shared" si="948"/>
        <v>3375</v>
      </c>
      <c r="AG4249" s="110"/>
      <c r="AH4249" s="110"/>
      <c r="AI4249" s="110"/>
      <c r="AJ4249" s="110"/>
      <c r="AK4249" s="111">
        <f t="shared" si="949"/>
        <v>13500</v>
      </c>
      <c r="AL4249" s="446">
        <f t="shared" si="950"/>
        <v>0</v>
      </c>
      <c r="AM4249" s="110">
        <f t="shared" si="951"/>
        <v>1</v>
      </c>
      <c r="AN4249" s="447">
        <f t="shared" si="944"/>
        <v>0</v>
      </c>
      <c r="AO4249"/>
      <c r="AP4249"/>
    </row>
    <row r="4250" spans="1:42" ht="66" x14ac:dyDescent="0.25">
      <c r="A4250" s="95"/>
      <c r="B4250" s="149" t="s">
        <v>1043</v>
      </c>
      <c r="C4250" s="162"/>
      <c r="D4250" s="882">
        <f>1</f>
        <v>1</v>
      </c>
      <c r="E4250" s="1025" t="s">
        <v>1721</v>
      </c>
      <c r="F4250" s="273" t="s">
        <v>3446</v>
      </c>
      <c r="G4250" s="1040" t="s">
        <v>3463</v>
      </c>
      <c r="H4250" s="273" t="s">
        <v>3462</v>
      </c>
      <c r="I4250" s="720">
        <f t="shared" si="953"/>
        <v>1500</v>
      </c>
      <c r="J4250" s="849">
        <f>1500</f>
        <v>1500</v>
      </c>
      <c r="K4250" s="131">
        <f t="shared" si="938"/>
        <v>1500</v>
      </c>
      <c r="L4250" s="335">
        <f t="shared" si="947"/>
        <v>0</v>
      </c>
      <c r="M4250" s="446"/>
      <c r="N4250" s="446"/>
      <c r="O4250" s="446"/>
      <c r="P4250" s="446"/>
      <c r="Q4250" s="110">
        <v>1</v>
      </c>
      <c r="R4250" s="111">
        <f t="shared" si="940"/>
        <v>375</v>
      </c>
      <c r="S4250" s="110"/>
      <c r="T4250" s="110"/>
      <c r="U4250" s="110">
        <v>0</v>
      </c>
      <c r="V4250" s="111">
        <f t="shared" si="942"/>
        <v>375</v>
      </c>
      <c r="W4250" s="110"/>
      <c r="X4250" s="110"/>
      <c r="Y4250" s="110"/>
      <c r="Z4250" s="110"/>
      <c r="AA4250" s="110">
        <v>0</v>
      </c>
      <c r="AB4250" s="111">
        <f t="shared" si="952"/>
        <v>375</v>
      </c>
      <c r="AC4250" s="110"/>
      <c r="AD4250" s="110"/>
      <c r="AE4250" s="110">
        <v>0</v>
      </c>
      <c r="AF4250" s="111">
        <f t="shared" si="948"/>
        <v>375</v>
      </c>
      <c r="AG4250" s="110"/>
      <c r="AH4250" s="110"/>
      <c r="AI4250" s="110"/>
      <c r="AJ4250" s="110"/>
      <c r="AK4250" s="111">
        <f t="shared" si="949"/>
        <v>1500</v>
      </c>
      <c r="AL4250" s="446">
        <f t="shared" si="950"/>
        <v>0</v>
      </c>
      <c r="AM4250" s="110">
        <f t="shared" si="951"/>
        <v>1</v>
      </c>
      <c r="AN4250" s="447">
        <f t="shared" si="944"/>
        <v>0</v>
      </c>
      <c r="AO4250"/>
      <c r="AP4250"/>
    </row>
    <row r="4251" spans="1:42" ht="66" x14ac:dyDescent="0.25">
      <c r="A4251" s="95"/>
      <c r="B4251" s="96" t="s">
        <v>1116</v>
      </c>
      <c r="C4251" s="162"/>
      <c r="D4251" s="882">
        <f>1</f>
        <v>1</v>
      </c>
      <c r="E4251" s="1025" t="s">
        <v>1721</v>
      </c>
      <c r="F4251" s="273" t="s">
        <v>3446</v>
      </c>
      <c r="G4251" s="1040" t="s">
        <v>3463</v>
      </c>
      <c r="H4251" s="273" t="s">
        <v>3462</v>
      </c>
      <c r="I4251" s="720">
        <f t="shared" si="953"/>
        <v>16000</v>
      </c>
      <c r="J4251" s="849">
        <f>16000</f>
        <v>16000</v>
      </c>
      <c r="K4251" s="131">
        <f t="shared" si="938"/>
        <v>16000</v>
      </c>
      <c r="L4251" s="335">
        <f t="shared" si="947"/>
        <v>0</v>
      </c>
      <c r="M4251" s="446"/>
      <c r="N4251" s="446"/>
      <c r="O4251" s="446"/>
      <c r="P4251" s="446"/>
      <c r="Q4251" s="110">
        <v>1</v>
      </c>
      <c r="R4251" s="111">
        <f t="shared" si="940"/>
        <v>4000</v>
      </c>
      <c r="S4251" s="110"/>
      <c r="T4251" s="110"/>
      <c r="U4251" s="110">
        <v>0</v>
      </c>
      <c r="V4251" s="111">
        <f t="shared" si="942"/>
        <v>4000</v>
      </c>
      <c r="W4251" s="110"/>
      <c r="X4251" s="110"/>
      <c r="Y4251" s="110"/>
      <c r="Z4251" s="110"/>
      <c r="AA4251" s="110">
        <v>0</v>
      </c>
      <c r="AB4251" s="111">
        <f t="shared" si="952"/>
        <v>4000</v>
      </c>
      <c r="AC4251" s="110"/>
      <c r="AD4251" s="110"/>
      <c r="AE4251" s="110">
        <v>0</v>
      </c>
      <c r="AF4251" s="111">
        <f t="shared" si="948"/>
        <v>4000</v>
      </c>
      <c r="AG4251" s="110"/>
      <c r="AH4251" s="110"/>
      <c r="AI4251" s="110"/>
      <c r="AJ4251" s="110"/>
      <c r="AK4251" s="111">
        <f t="shared" si="949"/>
        <v>16000</v>
      </c>
      <c r="AL4251" s="446">
        <f t="shared" si="950"/>
        <v>0</v>
      </c>
      <c r="AM4251" s="110">
        <f t="shared" si="951"/>
        <v>1</v>
      </c>
      <c r="AN4251" s="447">
        <f t="shared" si="944"/>
        <v>0</v>
      </c>
      <c r="AO4251"/>
      <c r="AP4251"/>
    </row>
    <row r="4252" spans="1:42" ht="66" x14ac:dyDescent="0.25">
      <c r="A4252" s="95"/>
      <c r="B4252" s="96" t="s">
        <v>1117</v>
      </c>
      <c r="C4252" s="162"/>
      <c r="D4252" s="882">
        <f>1</f>
        <v>1</v>
      </c>
      <c r="E4252" s="1025" t="s">
        <v>1721</v>
      </c>
      <c r="F4252" s="273" t="s">
        <v>3446</v>
      </c>
      <c r="G4252" s="1040" t="s">
        <v>3463</v>
      </c>
      <c r="H4252" s="273" t="s">
        <v>3462</v>
      </c>
      <c r="I4252" s="720">
        <f t="shared" si="953"/>
        <v>11594.83</v>
      </c>
      <c r="J4252" s="849">
        <f>11594.83</f>
        <v>11594.83</v>
      </c>
      <c r="K4252" s="131">
        <f t="shared" si="938"/>
        <v>11594.83</v>
      </c>
      <c r="L4252" s="335">
        <f t="shared" si="947"/>
        <v>0</v>
      </c>
      <c r="M4252" s="446"/>
      <c r="N4252" s="446"/>
      <c r="O4252" s="446"/>
      <c r="P4252" s="446"/>
      <c r="Q4252" s="110">
        <v>1</v>
      </c>
      <c r="R4252" s="111">
        <f t="shared" si="940"/>
        <v>2898.7075</v>
      </c>
      <c r="S4252" s="110"/>
      <c r="T4252" s="110"/>
      <c r="U4252" s="110">
        <v>0</v>
      </c>
      <c r="V4252" s="111">
        <f t="shared" si="942"/>
        <v>2898.7075</v>
      </c>
      <c r="W4252" s="110"/>
      <c r="X4252" s="110"/>
      <c r="Y4252" s="110"/>
      <c r="Z4252" s="110"/>
      <c r="AA4252" s="110">
        <v>0</v>
      </c>
      <c r="AB4252" s="111">
        <f t="shared" si="952"/>
        <v>2898.7075</v>
      </c>
      <c r="AC4252" s="110"/>
      <c r="AD4252" s="110"/>
      <c r="AE4252" s="110">
        <v>0</v>
      </c>
      <c r="AF4252" s="111">
        <f t="shared" si="948"/>
        <v>2898.7075</v>
      </c>
      <c r="AG4252" s="110"/>
      <c r="AH4252" s="110"/>
      <c r="AI4252" s="110"/>
      <c r="AJ4252" s="110"/>
      <c r="AK4252" s="111">
        <f t="shared" si="949"/>
        <v>11594.83</v>
      </c>
      <c r="AL4252" s="446">
        <f t="shared" si="950"/>
        <v>0</v>
      </c>
      <c r="AM4252" s="110">
        <f t="shared" si="951"/>
        <v>1</v>
      </c>
      <c r="AN4252" s="447">
        <f t="shared" si="944"/>
        <v>0</v>
      </c>
      <c r="AO4252"/>
      <c r="AP4252"/>
    </row>
    <row r="4253" spans="1:42" ht="66" x14ac:dyDescent="0.25">
      <c r="A4253" s="95"/>
      <c r="B4253" s="96" t="s">
        <v>1118</v>
      </c>
      <c r="C4253" s="162"/>
      <c r="D4253" s="882">
        <f>1+1</f>
        <v>2</v>
      </c>
      <c r="E4253" s="1025" t="s">
        <v>1721</v>
      </c>
      <c r="F4253" s="273" t="s">
        <v>3446</v>
      </c>
      <c r="G4253" s="1040" t="s">
        <v>3463</v>
      </c>
      <c r="H4253" s="273" t="s">
        <v>3462</v>
      </c>
      <c r="I4253" s="720">
        <f t="shared" si="953"/>
        <v>23741.379999999997</v>
      </c>
      <c r="J4253" s="849">
        <f>21982.76+25500</f>
        <v>47482.759999999995</v>
      </c>
      <c r="K4253" s="131">
        <f t="shared" si="938"/>
        <v>47482.759999999995</v>
      </c>
      <c r="L4253" s="335">
        <f t="shared" si="947"/>
        <v>0</v>
      </c>
      <c r="M4253" s="446"/>
      <c r="N4253" s="446"/>
      <c r="O4253" s="446"/>
      <c r="P4253" s="446"/>
      <c r="Q4253" s="130">
        <v>1</v>
      </c>
      <c r="R4253" s="111">
        <f t="shared" si="940"/>
        <v>11870.689999999999</v>
      </c>
      <c r="S4253" s="110"/>
      <c r="T4253" s="110"/>
      <c r="U4253" s="130">
        <v>1</v>
      </c>
      <c r="V4253" s="111">
        <f t="shared" si="942"/>
        <v>11870.689999999999</v>
      </c>
      <c r="W4253" s="110"/>
      <c r="X4253" s="110"/>
      <c r="Y4253" s="110"/>
      <c r="Z4253" s="110"/>
      <c r="AA4253" s="130">
        <v>0</v>
      </c>
      <c r="AB4253" s="111">
        <f t="shared" si="952"/>
        <v>11870.689999999999</v>
      </c>
      <c r="AC4253" s="110"/>
      <c r="AD4253" s="110"/>
      <c r="AE4253" s="130">
        <v>0</v>
      </c>
      <c r="AF4253" s="111">
        <f t="shared" si="948"/>
        <v>11870.689999999999</v>
      </c>
      <c r="AG4253" s="110"/>
      <c r="AH4253" s="110"/>
      <c r="AI4253" s="110"/>
      <c r="AJ4253" s="110"/>
      <c r="AK4253" s="111">
        <f t="shared" si="949"/>
        <v>47482.759999999995</v>
      </c>
      <c r="AL4253" s="446">
        <f t="shared" si="950"/>
        <v>0</v>
      </c>
      <c r="AM4253" s="110">
        <f t="shared" si="951"/>
        <v>2</v>
      </c>
      <c r="AN4253" s="447">
        <f t="shared" si="944"/>
        <v>0</v>
      </c>
      <c r="AO4253"/>
      <c r="AP4253"/>
    </row>
    <row r="4254" spans="1:42" ht="66" x14ac:dyDescent="0.25">
      <c r="A4254" s="95"/>
      <c r="B4254" s="96" t="s">
        <v>1120</v>
      </c>
      <c r="C4254" s="162"/>
      <c r="D4254" s="882">
        <f>2+2+1</f>
        <v>5</v>
      </c>
      <c r="E4254" s="1025" t="s">
        <v>1721</v>
      </c>
      <c r="F4254" s="273" t="s">
        <v>3446</v>
      </c>
      <c r="G4254" s="1040" t="s">
        <v>3463</v>
      </c>
      <c r="H4254" s="273" t="s">
        <v>3462</v>
      </c>
      <c r="I4254" s="720">
        <f t="shared" si="953"/>
        <v>18215.366000000002</v>
      </c>
      <c r="J4254" s="849">
        <f>32686.2+37915.99+20474.64</f>
        <v>91076.83</v>
      </c>
      <c r="K4254" s="131">
        <f t="shared" si="938"/>
        <v>91076.830000000016</v>
      </c>
      <c r="L4254" s="335">
        <f t="shared" si="947"/>
        <v>0</v>
      </c>
      <c r="M4254" s="446"/>
      <c r="N4254" s="446"/>
      <c r="O4254" s="446"/>
      <c r="P4254" s="446"/>
      <c r="Q4254" s="110">
        <v>2</v>
      </c>
      <c r="R4254" s="111">
        <f t="shared" si="940"/>
        <v>22769.2075</v>
      </c>
      <c r="S4254" s="110"/>
      <c r="T4254" s="110"/>
      <c r="U4254" s="110">
        <v>1</v>
      </c>
      <c r="V4254" s="111">
        <f t="shared" si="942"/>
        <v>22769.2075</v>
      </c>
      <c r="W4254" s="110"/>
      <c r="X4254" s="110"/>
      <c r="Y4254" s="110"/>
      <c r="Z4254" s="110"/>
      <c r="AA4254" s="110">
        <v>1</v>
      </c>
      <c r="AB4254" s="111">
        <f t="shared" si="952"/>
        <v>22769.2075</v>
      </c>
      <c r="AC4254" s="110"/>
      <c r="AD4254" s="110"/>
      <c r="AE4254" s="110">
        <v>1</v>
      </c>
      <c r="AF4254" s="111">
        <f t="shared" si="948"/>
        <v>22769.2075</v>
      </c>
      <c r="AG4254" s="110"/>
      <c r="AH4254" s="110"/>
      <c r="AI4254" s="110"/>
      <c r="AJ4254" s="110"/>
      <c r="AK4254" s="111">
        <f t="shared" si="949"/>
        <v>91076.83</v>
      </c>
      <c r="AL4254" s="446">
        <f t="shared" si="950"/>
        <v>0</v>
      </c>
      <c r="AM4254" s="110">
        <f t="shared" si="951"/>
        <v>5</v>
      </c>
      <c r="AN4254" s="447">
        <f t="shared" si="944"/>
        <v>0</v>
      </c>
      <c r="AO4254"/>
      <c r="AP4254"/>
    </row>
    <row r="4255" spans="1:42" ht="66" x14ac:dyDescent="0.25">
      <c r="A4255" s="95"/>
      <c r="B4255" s="96" t="s">
        <v>1119</v>
      </c>
      <c r="C4255" s="1024"/>
      <c r="D4255" s="882">
        <f>2</f>
        <v>2</v>
      </c>
      <c r="E4255" s="1025" t="s">
        <v>1721</v>
      </c>
      <c r="F4255" s="273" t="s">
        <v>3446</v>
      </c>
      <c r="G4255" s="1040" t="s">
        <v>3463</v>
      </c>
      <c r="H4255" s="273" t="s">
        <v>3462</v>
      </c>
      <c r="I4255" s="720">
        <f t="shared" si="953"/>
        <v>7409.48</v>
      </c>
      <c r="J4255" s="849">
        <f>14818.96</f>
        <v>14818.96</v>
      </c>
      <c r="K4255" s="131">
        <f t="shared" si="938"/>
        <v>14818.96</v>
      </c>
      <c r="L4255" s="335">
        <f t="shared" si="947"/>
        <v>0</v>
      </c>
      <c r="M4255" s="446"/>
      <c r="N4255" s="446"/>
      <c r="O4255" s="446"/>
      <c r="P4255" s="446"/>
      <c r="Q4255" s="130">
        <v>1</v>
      </c>
      <c r="R4255" s="111">
        <f t="shared" si="940"/>
        <v>3704.74</v>
      </c>
      <c r="S4255" s="110"/>
      <c r="T4255" s="110"/>
      <c r="U4255" s="130">
        <v>1</v>
      </c>
      <c r="V4255" s="111">
        <f t="shared" si="942"/>
        <v>3704.74</v>
      </c>
      <c r="W4255" s="110"/>
      <c r="X4255" s="110"/>
      <c r="Y4255" s="110"/>
      <c r="Z4255" s="110"/>
      <c r="AA4255" s="130">
        <v>0</v>
      </c>
      <c r="AB4255" s="111">
        <f t="shared" si="952"/>
        <v>3704.74</v>
      </c>
      <c r="AC4255" s="110"/>
      <c r="AD4255" s="110"/>
      <c r="AE4255" s="130">
        <v>0</v>
      </c>
      <c r="AF4255" s="111">
        <f t="shared" si="948"/>
        <v>3704.74</v>
      </c>
      <c r="AG4255" s="110"/>
      <c r="AH4255" s="110"/>
      <c r="AI4255" s="110"/>
      <c r="AJ4255" s="110"/>
      <c r="AK4255" s="111">
        <f t="shared" si="949"/>
        <v>14818.96</v>
      </c>
      <c r="AL4255" s="446">
        <f t="shared" si="950"/>
        <v>0</v>
      </c>
      <c r="AM4255" s="110">
        <f t="shared" si="951"/>
        <v>2</v>
      </c>
      <c r="AN4255" s="447">
        <f t="shared" si="944"/>
        <v>0</v>
      </c>
      <c r="AO4255"/>
      <c r="AP4255"/>
    </row>
    <row r="4256" spans="1:42" ht="66" x14ac:dyDescent="0.25">
      <c r="A4256" s="95"/>
      <c r="B4256" s="97" t="s">
        <v>1044</v>
      </c>
      <c r="C4256" s="162"/>
      <c r="D4256" s="882">
        <v>1</v>
      </c>
      <c r="E4256" s="1025" t="s">
        <v>1721</v>
      </c>
      <c r="F4256" s="273" t="s">
        <v>3446</v>
      </c>
      <c r="G4256" s="1040" t="s">
        <v>3463</v>
      </c>
      <c r="H4256" s="273" t="s">
        <v>3462</v>
      </c>
      <c r="I4256" s="720">
        <f t="shared" si="953"/>
        <v>7002.73</v>
      </c>
      <c r="J4256" s="849">
        <v>7002.73</v>
      </c>
      <c r="K4256" s="131">
        <f t="shared" si="938"/>
        <v>7002.73</v>
      </c>
      <c r="L4256" s="335">
        <f t="shared" si="947"/>
        <v>0</v>
      </c>
      <c r="M4256" s="446"/>
      <c r="N4256" s="446"/>
      <c r="O4256" s="446"/>
      <c r="P4256" s="446"/>
      <c r="Q4256" s="110">
        <v>1</v>
      </c>
      <c r="R4256" s="111">
        <f t="shared" si="940"/>
        <v>1750.6824999999999</v>
      </c>
      <c r="S4256" s="110"/>
      <c r="T4256" s="110"/>
      <c r="U4256" s="110">
        <v>0</v>
      </c>
      <c r="V4256" s="111">
        <f t="shared" si="942"/>
        <v>1750.6824999999999</v>
      </c>
      <c r="W4256" s="110"/>
      <c r="X4256" s="110"/>
      <c r="Y4256" s="110"/>
      <c r="Z4256" s="110"/>
      <c r="AA4256" s="110">
        <v>0</v>
      </c>
      <c r="AB4256" s="111">
        <f t="shared" si="952"/>
        <v>1750.6824999999999</v>
      </c>
      <c r="AC4256" s="110"/>
      <c r="AD4256" s="110"/>
      <c r="AE4256" s="110">
        <v>0</v>
      </c>
      <c r="AF4256" s="111">
        <f t="shared" si="948"/>
        <v>1750.6824999999999</v>
      </c>
      <c r="AG4256" s="110"/>
      <c r="AH4256" s="110"/>
      <c r="AI4256" s="110"/>
      <c r="AJ4256" s="110"/>
      <c r="AK4256" s="111">
        <f t="shared" si="949"/>
        <v>7002.73</v>
      </c>
      <c r="AL4256" s="446">
        <f t="shared" si="950"/>
        <v>0</v>
      </c>
      <c r="AM4256" s="110">
        <f t="shared" si="951"/>
        <v>1</v>
      </c>
      <c r="AN4256" s="447">
        <f t="shared" si="944"/>
        <v>0</v>
      </c>
      <c r="AO4256"/>
      <c r="AP4256"/>
    </row>
    <row r="4257" spans="1:42" ht="66" x14ac:dyDescent="0.25">
      <c r="A4257" s="95"/>
      <c r="B4257" s="37" t="s">
        <v>1045</v>
      </c>
      <c r="C4257" s="162"/>
      <c r="D4257" s="882">
        <v>1</v>
      </c>
      <c r="E4257" s="1025" t="s">
        <v>1721</v>
      </c>
      <c r="F4257" s="273" t="s">
        <v>3446</v>
      </c>
      <c r="G4257" s="1040" t="s">
        <v>3463</v>
      </c>
      <c r="H4257" s="273" t="s">
        <v>3462</v>
      </c>
      <c r="I4257" s="720">
        <f t="shared" si="953"/>
        <v>23262.3</v>
      </c>
      <c r="J4257" s="849">
        <v>23262.3</v>
      </c>
      <c r="K4257" s="131">
        <f t="shared" si="938"/>
        <v>23262.3</v>
      </c>
      <c r="L4257" s="335">
        <f t="shared" si="947"/>
        <v>0</v>
      </c>
      <c r="M4257" s="446"/>
      <c r="N4257" s="446"/>
      <c r="O4257" s="446"/>
      <c r="P4257" s="446"/>
      <c r="Q4257" s="110">
        <v>1</v>
      </c>
      <c r="R4257" s="111">
        <f t="shared" si="940"/>
        <v>5815.5749999999998</v>
      </c>
      <c r="S4257" s="110"/>
      <c r="T4257" s="110"/>
      <c r="U4257" s="110">
        <v>0</v>
      </c>
      <c r="V4257" s="111">
        <f t="shared" si="942"/>
        <v>5815.5749999999998</v>
      </c>
      <c r="W4257" s="110"/>
      <c r="X4257" s="110"/>
      <c r="Y4257" s="110"/>
      <c r="Z4257" s="110"/>
      <c r="AA4257" s="110">
        <v>0</v>
      </c>
      <c r="AB4257" s="111">
        <f t="shared" si="952"/>
        <v>5815.5749999999998</v>
      </c>
      <c r="AC4257" s="110"/>
      <c r="AD4257" s="110"/>
      <c r="AE4257" s="110">
        <v>0</v>
      </c>
      <c r="AF4257" s="111">
        <f t="shared" si="948"/>
        <v>5815.5749999999998</v>
      </c>
      <c r="AG4257" s="110"/>
      <c r="AH4257" s="110"/>
      <c r="AI4257" s="110"/>
      <c r="AJ4257" s="110"/>
      <c r="AK4257" s="111">
        <f t="shared" si="949"/>
        <v>23262.3</v>
      </c>
      <c r="AL4257" s="446">
        <f t="shared" si="950"/>
        <v>0</v>
      </c>
      <c r="AM4257" s="110">
        <f t="shared" si="951"/>
        <v>1</v>
      </c>
      <c r="AN4257" s="447">
        <f t="shared" si="944"/>
        <v>0</v>
      </c>
      <c r="AO4257"/>
      <c r="AP4257"/>
    </row>
    <row r="4258" spans="1:42" ht="66" x14ac:dyDescent="0.25">
      <c r="A4258" s="95"/>
      <c r="B4258" s="37" t="s">
        <v>1389</v>
      </c>
      <c r="C4258" s="162"/>
      <c r="D4258" s="882">
        <f>20+1+1+2</f>
        <v>24</v>
      </c>
      <c r="E4258" s="1025" t="s">
        <v>1721</v>
      </c>
      <c r="F4258" s="273" t="s">
        <v>3446</v>
      </c>
      <c r="G4258" s="1040" t="s">
        <v>3463</v>
      </c>
      <c r="H4258" s="273" t="s">
        <v>3462</v>
      </c>
      <c r="I4258" s="720">
        <f t="shared" si="953"/>
        <v>14541.79515</v>
      </c>
      <c r="J4258" s="849">
        <f>287777.5936+17820+21628.37+21777.12</f>
        <v>349003.08360000001</v>
      </c>
      <c r="K4258" s="131">
        <f t="shared" si="938"/>
        <v>349003.08360000001</v>
      </c>
      <c r="L4258" s="335">
        <f t="shared" si="947"/>
        <v>0</v>
      </c>
      <c r="M4258" s="446"/>
      <c r="N4258" s="446"/>
      <c r="O4258" s="446"/>
      <c r="P4258" s="446"/>
      <c r="Q4258" s="110">
        <f t="shared" ref="Q4258:Q4299" si="954">+$D4258/4</f>
        <v>6</v>
      </c>
      <c r="R4258" s="111">
        <f t="shared" si="940"/>
        <v>87250.770900000003</v>
      </c>
      <c r="S4258" s="110"/>
      <c r="T4258" s="110"/>
      <c r="U4258" s="110">
        <f t="shared" ref="U4258:U4299" si="955">+$D4258/4</f>
        <v>6</v>
      </c>
      <c r="V4258" s="111">
        <f t="shared" si="942"/>
        <v>87250.770900000003</v>
      </c>
      <c r="W4258" s="110"/>
      <c r="X4258" s="110"/>
      <c r="Y4258" s="110"/>
      <c r="Z4258" s="110"/>
      <c r="AA4258" s="110">
        <f t="shared" ref="AA4258:AE4299" si="956">+$D4258/4</f>
        <v>6</v>
      </c>
      <c r="AB4258" s="111">
        <f t="shared" si="952"/>
        <v>87250.770900000003</v>
      </c>
      <c r="AC4258" s="110"/>
      <c r="AD4258" s="110"/>
      <c r="AE4258" s="110">
        <f t="shared" si="956"/>
        <v>6</v>
      </c>
      <c r="AF4258" s="111">
        <f t="shared" si="948"/>
        <v>87250.770900000003</v>
      </c>
      <c r="AG4258" s="110"/>
      <c r="AH4258" s="110"/>
      <c r="AI4258" s="110"/>
      <c r="AJ4258" s="110"/>
      <c r="AK4258" s="111">
        <f t="shared" si="949"/>
        <v>349003.08360000001</v>
      </c>
      <c r="AL4258" s="446">
        <f t="shared" si="950"/>
        <v>0</v>
      </c>
      <c r="AM4258" s="110">
        <f t="shared" si="951"/>
        <v>24</v>
      </c>
      <c r="AN4258" s="447">
        <f t="shared" si="944"/>
        <v>0</v>
      </c>
      <c r="AO4258"/>
      <c r="AP4258"/>
    </row>
    <row r="4259" spans="1:42" ht="66" x14ac:dyDescent="0.25">
      <c r="A4259" s="95"/>
      <c r="B4259" s="96" t="s">
        <v>1046</v>
      </c>
      <c r="C4259" s="162"/>
      <c r="D4259" s="882">
        <f>6+2</f>
        <v>8</v>
      </c>
      <c r="E4259" s="1025" t="s">
        <v>1721</v>
      </c>
      <c r="F4259" s="273" t="s">
        <v>3446</v>
      </c>
      <c r="G4259" s="1040" t="s">
        <v>3463</v>
      </c>
      <c r="H4259" s="273" t="s">
        <v>3462</v>
      </c>
      <c r="I4259" s="720">
        <f t="shared" si="953"/>
        <v>22356.002906000002</v>
      </c>
      <c r="J4259" s="849">
        <f>134136.013248+44712.01</f>
        <v>178848.02324800001</v>
      </c>
      <c r="K4259" s="131">
        <f t="shared" ref="K4259:K4322" si="957">+D4259*I4259</f>
        <v>178848.02324800001</v>
      </c>
      <c r="L4259" s="335">
        <f t="shared" si="947"/>
        <v>0</v>
      </c>
      <c r="M4259" s="446"/>
      <c r="N4259" s="446"/>
      <c r="O4259" s="446"/>
      <c r="P4259" s="446"/>
      <c r="Q4259" s="110">
        <f t="shared" si="954"/>
        <v>2</v>
      </c>
      <c r="R4259" s="111">
        <f t="shared" ref="R4259:R4322" si="958">+J4259/4</f>
        <v>44712.005812000003</v>
      </c>
      <c r="S4259" s="110"/>
      <c r="T4259" s="110"/>
      <c r="U4259" s="110">
        <f t="shared" si="955"/>
        <v>2</v>
      </c>
      <c r="V4259" s="111">
        <f t="shared" ref="V4259:V4322" si="959">+J4259/4</f>
        <v>44712.005812000003</v>
      </c>
      <c r="W4259" s="110"/>
      <c r="X4259" s="110"/>
      <c r="Y4259" s="110"/>
      <c r="Z4259" s="110"/>
      <c r="AA4259" s="110">
        <f t="shared" si="956"/>
        <v>2</v>
      </c>
      <c r="AB4259" s="111">
        <f t="shared" si="952"/>
        <v>44712.005812000003</v>
      </c>
      <c r="AC4259" s="110"/>
      <c r="AD4259" s="110"/>
      <c r="AE4259" s="110">
        <f t="shared" si="956"/>
        <v>2</v>
      </c>
      <c r="AF4259" s="111">
        <f t="shared" si="948"/>
        <v>44712.005812000003</v>
      </c>
      <c r="AG4259" s="110"/>
      <c r="AH4259" s="110"/>
      <c r="AI4259" s="110"/>
      <c r="AJ4259" s="110"/>
      <c r="AK4259" s="111">
        <f t="shared" si="949"/>
        <v>178848.02324800001</v>
      </c>
      <c r="AL4259" s="446">
        <f t="shared" si="950"/>
        <v>0</v>
      </c>
      <c r="AM4259" s="110">
        <f t="shared" si="951"/>
        <v>8</v>
      </c>
      <c r="AN4259" s="447">
        <f t="shared" ref="AN4259:AN4322" si="960">+D4259-AM4259</f>
        <v>0</v>
      </c>
      <c r="AO4259"/>
      <c r="AP4259"/>
    </row>
    <row r="4260" spans="1:42" ht="66" x14ac:dyDescent="0.25">
      <c r="A4260" s="95"/>
      <c r="B4260" s="128" t="s">
        <v>1508</v>
      </c>
      <c r="C4260" s="162"/>
      <c r="D4260" s="882">
        <v>1</v>
      </c>
      <c r="E4260" s="1025" t="s">
        <v>1721</v>
      </c>
      <c r="F4260" s="273" t="s">
        <v>3446</v>
      </c>
      <c r="G4260" s="1040" t="s">
        <v>3463</v>
      </c>
      <c r="H4260" s="273" t="s">
        <v>3462</v>
      </c>
      <c r="I4260" s="720">
        <f t="shared" si="953"/>
        <v>2364.79</v>
      </c>
      <c r="J4260" s="849">
        <v>2364.79</v>
      </c>
      <c r="K4260" s="131">
        <f t="shared" si="957"/>
        <v>2364.79</v>
      </c>
      <c r="L4260" s="335">
        <f t="shared" si="947"/>
        <v>0</v>
      </c>
      <c r="M4260" s="446"/>
      <c r="N4260" s="446"/>
      <c r="O4260" s="446"/>
      <c r="P4260" s="446"/>
      <c r="Q4260" s="110">
        <v>1</v>
      </c>
      <c r="R4260" s="111">
        <f t="shared" si="958"/>
        <v>591.19749999999999</v>
      </c>
      <c r="S4260" s="110"/>
      <c r="T4260" s="110"/>
      <c r="U4260" s="110">
        <v>0</v>
      </c>
      <c r="V4260" s="111">
        <f t="shared" si="959"/>
        <v>591.19749999999999</v>
      </c>
      <c r="W4260" s="110"/>
      <c r="X4260" s="110"/>
      <c r="Y4260" s="110"/>
      <c r="Z4260" s="110"/>
      <c r="AA4260" s="110">
        <v>0</v>
      </c>
      <c r="AB4260" s="111">
        <f t="shared" si="952"/>
        <v>591.19749999999999</v>
      </c>
      <c r="AC4260" s="110"/>
      <c r="AD4260" s="110"/>
      <c r="AE4260" s="110">
        <v>0</v>
      </c>
      <c r="AF4260" s="111">
        <f t="shared" si="948"/>
        <v>591.19749999999999</v>
      </c>
      <c r="AG4260" s="110"/>
      <c r="AH4260" s="110"/>
      <c r="AI4260" s="110"/>
      <c r="AJ4260" s="110"/>
      <c r="AK4260" s="111">
        <f t="shared" si="949"/>
        <v>2364.79</v>
      </c>
      <c r="AL4260" s="446">
        <f t="shared" si="950"/>
        <v>0</v>
      </c>
      <c r="AM4260" s="110">
        <f t="shared" si="951"/>
        <v>1</v>
      </c>
      <c r="AN4260" s="447">
        <f t="shared" si="960"/>
        <v>0</v>
      </c>
      <c r="AO4260"/>
      <c r="AP4260"/>
    </row>
    <row r="4261" spans="1:42" ht="66" x14ac:dyDescent="0.25">
      <c r="A4261" s="95"/>
      <c r="B4261" s="37" t="s">
        <v>1045</v>
      </c>
      <c r="C4261" s="162"/>
      <c r="D4261" s="882">
        <v>6</v>
      </c>
      <c r="E4261" s="1025" t="s">
        <v>1721</v>
      </c>
      <c r="F4261" s="273" t="s">
        <v>3446</v>
      </c>
      <c r="G4261" s="1040" t="s">
        <v>3463</v>
      </c>
      <c r="H4261" s="273" t="s">
        <v>3462</v>
      </c>
      <c r="I4261" s="720">
        <f t="shared" si="953"/>
        <v>14526.006666666666</v>
      </c>
      <c r="J4261" s="849">
        <v>87156.04</v>
      </c>
      <c r="K4261" s="131">
        <f t="shared" si="957"/>
        <v>87156.04</v>
      </c>
      <c r="L4261" s="335">
        <f t="shared" si="947"/>
        <v>0</v>
      </c>
      <c r="M4261" s="446"/>
      <c r="N4261" s="446"/>
      <c r="O4261" s="446"/>
      <c r="P4261" s="446"/>
      <c r="Q4261" s="130">
        <v>2</v>
      </c>
      <c r="R4261" s="111">
        <f t="shared" si="958"/>
        <v>21789.01</v>
      </c>
      <c r="S4261" s="110"/>
      <c r="T4261" s="110"/>
      <c r="U4261" s="130">
        <v>2</v>
      </c>
      <c r="V4261" s="111">
        <f t="shared" si="959"/>
        <v>21789.01</v>
      </c>
      <c r="W4261" s="110"/>
      <c r="X4261" s="110"/>
      <c r="Y4261" s="110"/>
      <c r="Z4261" s="110"/>
      <c r="AA4261" s="130">
        <v>1</v>
      </c>
      <c r="AB4261" s="111">
        <f t="shared" si="952"/>
        <v>21789.01</v>
      </c>
      <c r="AC4261" s="110"/>
      <c r="AD4261" s="110"/>
      <c r="AE4261" s="130">
        <v>1</v>
      </c>
      <c r="AF4261" s="111">
        <f t="shared" si="948"/>
        <v>21789.01</v>
      </c>
      <c r="AG4261" s="110"/>
      <c r="AH4261" s="110"/>
      <c r="AI4261" s="110"/>
      <c r="AJ4261" s="110"/>
      <c r="AK4261" s="111">
        <f t="shared" si="949"/>
        <v>87156.04</v>
      </c>
      <c r="AL4261" s="446">
        <f t="shared" si="950"/>
        <v>0</v>
      </c>
      <c r="AM4261" s="110">
        <f t="shared" si="951"/>
        <v>6</v>
      </c>
      <c r="AN4261" s="447">
        <f t="shared" si="960"/>
        <v>0</v>
      </c>
      <c r="AO4261"/>
      <c r="AP4261"/>
    </row>
    <row r="4262" spans="1:42" ht="66" x14ac:dyDescent="0.25">
      <c r="A4262" s="95"/>
      <c r="B4262" s="37" t="s">
        <v>1737</v>
      </c>
      <c r="C4262" s="162"/>
      <c r="D4262" s="882">
        <v>1</v>
      </c>
      <c r="E4262" s="1025" t="s">
        <v>1721</v>
      </c>
      <c r="F4262" s="273" t="s">
        <v>3446</v>
      </c>
      <c r="G4262" s="1040" t="s">
        <v>3463</v>
      </c>
      <c r="H4262" s="273" t="s">
        <v>3462</v>
      </c>
      <c r="I4262" s="720">
        <f t="shared" si="953"/>
        <v>3790.8</v>
      </c>
      <c r="J4262" s="849">
        <v>3790.8</v>
      </c>
      <c r="K4262" s="131">
        <f t="shared" si="957"/>
        <v>3790.8</v>
      </c>
      <c r="L4262" s="335">
        <f t="shared" si="947"/>
        <v>0</v>
      </c>
      <c r="M4262" s="446"/>
      <c r="N4262" s="446"/>
      <c r="O4262" s="446"/>
      <c r="P4262" s="446"/>
      <c r="Q4262" s="110">
        <v>1</v>
      </c>
      <c r="R4262" s="111">
        <f t="shared" si="958"/>
        <v>947.7</v>
      </c>
      <c r="S4262" s="110"/>
      <c r="T4262" s="110"/>
      <c r="U4262" s="110">
        <v>0</v>
      </c>
      <c r="V4262" s="111">
        <f t="shared" si="959"/>
        <v>947.7</v>
      </c>
      <c r="W4262" s="110"/>
      <c r="X4262" s="110"/>
      <c r="Y4262" s="110"/>
      <c r="Z4262" s="110"/>
      <c r="AA4262" s="110">
        <v>0</v>
      </c>
      <c r="AB4262" s="111">
        <f t="shared" si="952"/>
        <v>947.7</v>
      </c>
      <c r="AC4262" s="110"/>
      <c r="AD4262" s="110"/>
      <c r="AE4262" s="110">
        <v>0</v>
      </c>
      <c r="AF4262" s="111">
        <f t="shared" si="948"/>
        <v>947.7</v>
      </c>
      <c r="AG4262" s="110"/>
      <c r="AH4262" s="110"/>
      <c r="AI4262" s="110"/>
      <c r="AJ4262" s="110"/>
      <c r="AK4262" s="111">
        <f t="shared" si="949"/>
        <v>3790.8</v>
      </c>
      <c r="AL4262" s="446">
        <f t="shared" si="950"/>
        <v>0</v>
      </c>
      <c r="AM4262" s="110">
        <f t="shared" si="951"/>
        <v>1</v>
      </c>
      <c r="AN4262" s="447">
        <f t="shared" si="960"/>
        <v>0</v>
      </c>
      <c r="AO4262"/>
      <c r="AP4262"/>
    </row>
    <row r="4263" spans="1:42" ht="66" x14ac:dyDescent="0.25">
      <c r="A4263" s="95"/>
      <c r="B4263" s="267" t="s">
        <v>1759</v>
      </c>
      <c r="C4263" s="162"/>
      <c r="D4263" s="882">
        <v>3</v>
      </c>
      <c r="E4263" s="1025" t="s">
        <v>1721</v>
      </c>
      <c r="F4263" s="273" t="s">
        <v>3446</v>
      </c>
      <c r="G4263" s="1040" t="s">
        <v>3463</v>
      </c>
      <c r="H4263" s="273" t="s">
        <v>3462</v>
      </c>
      <c r="I4263" s="720">
        <f t="shared" si="953"/>
        <v>7500</v>
      </c>
      <c r="J4263" s="849">
        <v>22500</v>
      </c>
      <c r="K4263" s="131">
        <f t="shared" si="957"/>
        <v>22500</v>
      </c>
      <c r="L4263" s="335">
        <f t="shared" si="947"/>
        <v>0</v>
      </c>
      <c r="M4263" s="446"/>
      <c r="N4263" s="446"/>
      <c r="O4263" s="446"/>
      <c r="P4263" s="446"/>
      <c r="Q4263" s="130">
        <v>1</v>
      </c>
      <c r="R4263" s="111">
        <f t="shared" si="958"/>
        <v>5625</v>
      </c>
      <c r="S4263" s="110"/>
      <c r="T4263" s="110"/>
      <c r="U4263" s="130">
        <v>1</v>
      </c>
      <c r="V4263" s="111">
        <f t="shared" si="959"/>
        <v>5625</v>
      </c>
      <c r="W4263" s="110"/>
      <c r="X4263" s="110"/>
      <c r="Y4263" s="110"/>
      <c r="Z4263" s="110"/>
      <c r="AA4263" s="130">
        <v>1</v>
      </c>
      <c r="AB4263" s="111">
        <f t="shared" si="952"/>
        <v>5625</v>
      </c>
      <c r="AC4263" s="110"/>
      <c r="AD4263" s="110"/>
      <c r="AE4263" s="130">
        <v>0</v>
      </c>
      <c r="AF4263" s="111">
        <f t="shared" si="948"/>
        <v>5625</v>
      </c>
      <c r="AG4263" s="110"/>
      <c r="AH4263" s="110"/>
      <c r="AI4263" s="110"/>
      <c r="AJ4263" s="110"/>
      <c r="AK4263" s="111">
        <f t="shared" si="949"/>
        <v>22500</v>
      </c>
      <c r="AL4263" s="446">
        <f t="shared" si="950"/>
        <v>0</v>
      </c>
      <c r="AM4263" s="110">
        <f t="shared" si="951"/>
        <v>3</v>
      </c>
      <c r="AN4263" s="447">
        <f t="shared" si="960"/>
        <v>0</v>
      </c>
      <c r="AO4263"/>
      <c r="AP4263"/>
    </row>
    <row r="4264" spans="1:42" ht="66" x14ac:dyDescent="0.25">
      <c r="A4264" s="95"/>
      <c r="B4264" s="267" t="s">
        <v>1043</v>
      </c>
      <c r="C4264" s="162"/>
      <c r="D4264" s="882">
        <v>3</v>
      </c>
      <c r="E4264" s="1025" t="s">
        <v>1721</v>
      </c>
      <c r="F4264" s="273" t="s">
        <v>3446</v>
      </c>
      <c r="G4264" s="1040" t="s">
        <v>3463</v>
      </c>
      <c r="H4264" s="273" t="s">
        <v>3462</v>
      </c>
      <c r="I4264" s="720">
        <f t="shared" si="953"/>
        <v>3500</v>
      </c>
      <c r="J4264" s="849">
        <v>10500</v>
      </c>
      <c r="K4264" s="131">
        <f t="shared" si="957"/>
        <v>10500</v>
      </c>
      <c r="L4264" s="335">
        <f t="shared" si="947"/>
        <v>0</v>
      </c>
      <c r="M4264" s="446"/>
      <c r="N4264" s="446"/>
      <c r="O4264" s="446"/>
      <c r="P4264" s="446"/>
      <c r="Q4264" s="130">
        <v>1</v>
      </c>
      <c r="R4264" s="111">
        <f t="shared" si="958"/>
        <v>2625</v>
      </c>
      <c r="S4264" s="110"/>
      <c r="T4264" s="110"/>
      <c r="U4264" s="130">
        <v>1</v>
      </c>
      <c r="V4264" s="111">
        <f t="shared" si="959"/>
        <v>2625</v>
      </c>
      <c r="W4264" s="110"/>
      <c r="X4264" s="110"/>
      <c r="Y4264" s="110"/>
      <c r="Z4264" s="110"/>
      <c r="AA4264" s="130">
        <v>1</v>
      </c>
      <c r="AB4264" s="111">
        <f t="shared" si="952"/>
        <v>2625</v>
      </c>
      <c r="AC4264" s="110"/>
      <c r="AD4264" s="110"/>
      <c r="AE4264" s="130">
        <v>0</v>
      </c>
      <c r="AF4264" s="111">
        <f t="shared" si="948"/>
        <v>2625</v>
      </c>
      <c r="AG4264" s="110"/>
      <c r="AH4264" s="110"/>
      <c r="AI4264" s="110"/>
      <c r="AJ4264" s="110"/>
      <c r="AK4264" s="111">
        <f t="shared" si="949"/>
        <v>10500</v>
      </c>
      <c r="AL4264" s="446">
        <f t="shared" si="950"/>
        <v>0</v>
      </c>
      <c r="AM4264" s="110">
        <f t="shared" si="951"/>
        <v>3</v>
      </c>
      <c r="AN4264" s="447">
        <f t="shared" si="960"/>
        <v>0</v>
      </c>
      <c r="AO4264"/>
      <c r="AP4264"/>
    </row>
    <row r="4265" spans="1:42" ht="66" x14ac:dyDescent="0.25">
      <c r="A4265" s="95"/>
      <c r="B4265" s="267" t="s">
        <v>1760</v>
      </c>
      <c r="C4265" s="162"/>
      <c r="D4265" s="882">
        <v>3</v>
      </c>
      <c r="E4265" s="1025" t="s">
        <v>1721</v>
      </c>
      <c r="F4265" s="273" t="s">
        <v>3446</v>
      </c>
      <c r="G4265" s="1040" t="s">
        <v>3463</v>
      </c>
      <c r="H4265" s="273" t="s">
        <v>3462</v>
      </c>
      <c r="I4265" s="720">
        <f t="shared" si="953"/>
        <v>5000</v>
      </c>
      <c r="J4265" s="849">
        <v>15000</v>
      </c>
      <c r="K4265" s="131">
        <f t="shared" si="957"/>
        <v>15000</v>
      </c>
      <c r="L4265" s="335">
        <f t="shared" si="947"/>
        <v>0</v>
      </c>
      <c r="M4265" s="446"/>
      <c r="N4265" s="446"/>
      <c r="O4265" s="446"/>
      <c r="P4265" s="446"/>
      <c r="Q4265" s="130">
        <v>1</v>
      </c>
      <c r="R4265" s="111">
        <f t="shared" si="958"/>
        <v>3750</v>
      </c>
      <c r="S4265" s="110"/>
      <c r="T4265" s="110"/>
      <c r="U4265" s="130">
        <v>1</v>
      </c>
      <c r="V4265" s="111">
        <f t="shared" si="959"/>
        <v>3750</v>
      </c>
      <c r="W4265" s="110"/>
      <c r="X4265" s="110"/>
      <c r="Y4265" s="110"/>
      <c r="Z4265" s="110"/>
      <c r="AA4265" s="130">
        <v>1</v>
      </c>
      <c r="AB4265" s="111">
        <f t="shared" si="952"/>
        <v>3750</v>
      </c>
      <c r="AC4265" s="110"/>
      <c r="AD4265" s="110"/>
      <c r="AE4265" s="130">
        <v>0</v>
      </c>
      <c r="AF4265" s="111">
        <f t="shared" si="948"/>
        <v>3750</v>
      </c>
      <c r="AG4265" s="110"/>
      <c r="AH4265" s="110"/>
      <c r="AI4265" s="110"/>
      <c r="AJ4265" s="110"/>
      <c r="AK4265" s="111">
        <f t="shared" si="949"/>
        <v>15000</v>
      </c>
      <c r="AL4265" s="446">
        <f t="shared" si="950"/>
        <v>0</v>
      </c>
      <c r="AM4265" s="110">
        <f t="shared" si="951"/>
        <v>3</v>
      </c>
      <c r="AN4265" s="447">
        <f t="shared" si="960"/>
        <v>0</v>
      </c>
      <c r="AO4265"/>
      <c r="AP4265"/>
    </row>
    <row r="4266" spans="1:42" ht="66" x14ac:dyDescent="0.25">
      <c r="A4266" s="95"/>
      <c r="B4266" s="619" t="s">
        <v>1761</v>
      </c>
      <c r="C4266" s="162"/>
      <c r="D4266" s="882">
        <v>1</v>
      </c>
      <c r="E4266" s="1025" t="s">
        <v>1721</v>
      </c>
      <c r="F4266" s="273" t="s">
        <v>3446</v>
      </c>
      <c r="G4266" s="1040" t="s">
        <v>3463</v>
      </c>
      <c r="H4266" s="273" t="s">
        <v>3462</v>
      </c>
      <c r="I4266" s="720">
        <f t="shared" si="953"/>
        <v>8000</v>
      </c>
      <c r="J4266" s="849">
        <v>8000</v>
      </c>
      <c r="K4266" s="131">
        <f t="shared" si="957"/>
        <v>8000</v>
      </c>
      <c r="L4266" s="335">
        <f t="shared" si="947"/>
        <v>0</v>
      </c>
      <c r="M4266" s="446"/>
      <c r="N4266" s="446"/>
      <c r="O4266" s="446"/>
      <c r="P4266" s="446"/>
      <c r="Q4266" s="110">
        <v>1</v>
      </c>
      <c r="R4266" s="111">
        <f t="shared" si="958"/>
        <v>2000</v>
      </c>
      <c r="S4266" s="110"/>
      <c r="T4266" s="110"/>
      <c r="U4266" s="110">
        <v>0</v>
      </c>
      <c r="V4266" s="111">
        <f t="shared" si="959"/>
        <v>2000</v>
      </c>
      <c r="W4266" s="110"/>
      <c r="X4266" s="110"/>
      <c r="Y4266" s="110"/>
      <c r="Z4266" s="110"/>
      <c r="AA4266" s="110">
        <v>0</v>
      </c>
      <c r="AB4266" s="111">
        <f t="shared" si="952"/>
        <v>2000</v>
      </c>
      <c r="AC4266" s="110"/>
      <c r="AD4266" s="110"/>
      <c r="AE4266" s="110">
        <v>0</v>
      </c>
      <c r="AF4266" s="111">
        <f t="shared" si="948"/>
        <v>2000</v>
      </c>
      <c r="AG4266" s="110"/>
      <c r="AH4266" s="110"/>
      <c r="AI4266" s="110"/>
      <c r="AJ4266" s="110"/>
      <c r="AK4266" s="111">
        <f t="shared" si="949"/>
        <v>8000</v>
      </c>
      <c r="AL4266" s="446">
        <f t="shared" si="950"/>
        <v>0</v>
      </c>
      <c r="AM4266" s="110">
        <f t="shared" si="951"/>
        <v>1</v>
      </c>
      <c r="AN4266" s="447">
        <f t="shared" si="960"/>
        <v>0</v>
      </c>
      <c r="AO4266"/>
      <c r="AP4266"/>
    </row>
    <row r="4267" spans="1:42" ht="66" x14ac:dyDescent="0.25">
      <c r="A4267" s="95"/>
      <c r="B4267" s="227" t="s">
        <v>1842</v>
      </c>
      <c r="C4267" s="162"/>
      <c r="D4267" s="882">
        <v>1</v>
      </c>
      <c r="E4267" s="1025" t="s">
        <v>1721</v>
      </c>
      <c r="F4267" s="273" t="s">
        <v>3446</v>
      </c>
      <c r="G4267" s="1040" t="s">
        <v>3463</v>
      </c>
      <c r="H4267" s="273" t="s">
        <v>3462</v>
      </c>
      <c r="I4267" s="720">
        <f t="shared" si="953"/>
        <v>13000</v>
      </c>
      <c r="J4267" s="849">
        <v>13000</v>
      </c>
      <c r="K4267" s="131">
        <f t="shared" si="957"/>
        <v>13000</v>
      </c>
      <c r="L4267" s="335">
        <f t="shared" si="947"/>
        <v>0</v>
      </c>
      <c r="M4267" s="446"/>
      <c r="N4267" s="446"/>
      <c r="O4267" s="446"/>
      <c r="P4267" s="446"/>
      <c r="Q4267" s="110">
        <v>1</v>
      </c>
      <c r="R4267" s="111">
        <f t="shared" si="958"/>
        <v>3250</v>
      </c>
      <c r="S4267" s="110"/>
      <c r="T4267" s="110"/>
      <c r="U4267" s="110">
        <v>0</v>
      </c>
      <c r="V4267" s="111">
        <f t="shared" si="959"/>
        <v>3250</v>
      </c>
      <c r="W4267" s="110"/>
      <c r="X4267" s="110"/>
      <c r="Y4267" s="110"/>
      <c r="Z4267" s="110"/>
      <c r="AA4267" s="110">
        <v>0</v>
      </c>
      <c r="AB4267" s="111">
        <f t="shared" si="952"/>
        <v>3250</v>
      </c>
      <c r="AC4267" s="110"/>
      <c r="AD4267" s="110"/>
      <c r="AE4267" s="110">
        <v>0</v>
      </c>
      <c r="AF4267" s="111">
        <f t="shared" si="948"/>
        <v>3250</v>
      </c>
      <c r="AG4267" s="110"/>
      <c r="AH4267" s="110"/>
      <c r="AI4267" s="110"/>
      <c r="AJ4267" s="110"/>
      <c r="AK4267" s="111">
        <f t="shared" si="949"/>
        <v>13000</v>
      </c>
      <c r="AL4267" s="446">
        <f t="shared" si="950"/>
        <v>0</v>
      </c>
      <c r="AM4267" s="110">
        <f t="shared" si="951"/>
        <v>1</v>
      </c>
      <c r="AN4267" s="447">
        <f t="shared" si="960"/>
        <v>0</v>
      </c>
      <c r="AO4267"/>
      <c r="AP4267"/>
    </row>
    <row r="4268" spans="1:42" ht="66" x14ac:dyDescent="0.25">
      <c r="A4268" s="95"/>
      <c r="B4268" s="227" t="s">
        <v>1843</v>
      </c>
      <c r="C4268" s="162"/>
      <c r="D4268" s="882">
        <v>1</v>
      </c>
      <c r="E4268" s="1025" t="s">
        <v>1721</v>
      </c>
      <c r="F4268" s="273" t="s">
        <v>3446</v>
      </c>
      <c r="G4268" s="1040" t="s">
        <v>3463</v>
      </c>
      <c r="H4268" s="273" t="s">
        <v>3462</v>
      </c>
      <c r="I4268" s="720">
        <f t="shared" si="953"/>
        <v>15000</v>
      </c>
      <c r="J4268" s="849">
        <v>15000</v>
      </c>
      <c r="K4268" s="131">
        <f t="shared" si="957"/>
        <v>15000</v>
      </c>
      <c r="L4268" s="335">
        <f t="shared" si="947"/>
        <v>0</v>
      </c>
      <c r="M4268" s="446"/>
      <c r="N4268" s="446"/>
      <c r="O4268" s="446"/>
      <c r="P4268" s="446"/>
      <c r="Q4268" s="110">
        <v>1</v>
      </c>
      <c r="R4268" s="111">
        <f t="shared" si="958"/>
        <v>3750</v>
      </c>
      <c r="S4268" s="110"/>
      <c r="T4268" s="110"/>
      <c r="U4268" s="110">
        <v>0</v>
      </c>
      <c r="V4268" s="111">
        <f t="shared" si="959"/>
        <v>3750</v>
      </c>
      <c r="W4268" s="110"/>
      <c r="X4268" s="110"/>
      <c r="Y4268" s="110"/>
      <c r="Z4268" s="110"/>
      <c r="AA4268" s="110">
        <v>0</v>
      </c>
      <c r="AB4268" s="111">
        <f t="shared" si="952"/>
        <v>3750</v>
      </c>
      <c r="AC4268" s="110"/>
      <c r="AD4268" s="110"/>
      <c r="AE4268" s="110">
        <v>0</v>
      </c>
      <c r="AF4268" s="111">
        <f t="shared" si="948"/>
        <v>3750</v>
      </c>
      <c r="AG4268" s="110"/>
      <c r="AH4268" s="110"/>
      <c r="AI4268" s="110"/>
      <c r="AJ4268" s="110"/>
      <c r="AK4268" s="111">
        <f t="shared" si="949"/>
        <v>15000</v>
      </c>
      <c r="AL4268" s="446">
        <f t="shared" si="950"/>
        <v>0</v>
      </c>
      <c r="AM4268" s="110">
        <f t="shared" si="951"/>
        <v>1</v>
      </c>
      <c r="AN4268" s="447">
        <f t="shared" si="960"/>
        <v>0</v>
      </c>
      <c r="AO4268"/>
      <c r="AP4268"/>
    </row>
    <row r="4269" spans="1:42" ht="66" x14ac:dyDescent="0.25">
      <c r="A4269" s="95"/>
      <c r="B4269" s="204" t="s">
        <v>1045</v>
      </c>
      <c r="C4269" s="162"/>
      <c r="D4269" s="882">
        <v>1</v>
      </c>
      <c r="E4269" s="1025" t="s">
        <v>1721</v>
      </c>
      <c r="F4269" s="273" t="s">
        <v>3446</v>
      </c>
      <c r="G4269" s="1040" t="s">
        <v>3463</v>
      </c>
      <c r="H4269" s="273" t="s">
        <v>3462</v>
      </c>
      <c r="I4269" s="720">
        <f t="shared" si="953"/>
        <v>16686.009999999998</v>
      </c>
      <c r="J4269" s="849">
        <v>16686.009999999998</v>
      </c>
      <c r="K4269" s="131">
        <f t="shared" si="957"/>
        <v>16686.009999999998</v>
      </c>
      <c r="L4269" s="335">
        <f t="shared" si="947"/>
        <v>0</v>
      </c>
      <c r="M4269" s="446"/>
      <c r="N4269" s="446"/>
      <c r="O4269" s="446"/>
      <c r="P4269" s="446"/>
      <c r="Q4269" s="110">
        <v>1</v>
      </c>
      <c r="R4269" s="111">
        <f t="shared" si="958"/>
        <v>4171.5024999999996</v>
      </c>
      <c r="S4269" s="110"/>
      <c r="T4269" s="110"/>
      <c r="U4269" s="110">
        <v>0</v>
      </c>
      <c r="V4269" s="111">
        <f t="shared" si="959"/>
        <v>4171.5024999999996</v>
      </c>
      <c r="W4269" s="110"/>
      <c r="X4269" s="110"/>
      <c r="Y4269" s="110"/>
      <c r="Z4269" s="110"/>
      <c r="AA4269" s="110">
        <v>0</v>
      </c>
      <c r="AB4269" s="111">
        <f t="shared" si="952"/>
        <v>4171.5024999999996</v>
      </c>
      <c r="AC4269" s="110"/>
      <c r="AD4269" s="110"/>
      <c r="AE4269" s="110">
        <v>0</v>
      </c>
      <c r="AF4269" s="111">
        <f t="shared" si="948"/>
        <v>4171.5024999999996</v>
      </c>
      <c r="AG4269" s="110"/>
      <c r="AH4269" s="110"/>
      <c r="AI4269" s="110"/>
      <c r="AJ4269" s="110"/>
      <c r="AK4269" s="111">
        <f t="shared" si="949"/>
        <v>16686.009999999998</v>
      </c>
      <c r="AL4269" s="446">
        <f t="shared" si="950"/>
        <v>0</v>
      </c>
      <c r="AM4269" s="110">
        <f t="shared" si="951"/>
        <v>1</v>
      </c>
      <c r="AN4269" s="447">
        <f t="shared" si="960"/>
        <v>0</v>
      </c>
      <c r="AO4269"/>
      <c r="AP4269"/>
    </row>
    <row r="4270" spans="1:42" ht="66" x14ac:dyDescent="0.25">
      <c r="A4270" s="95"/>
      <c r="B4270" s="205" t="s">
        <v>1897</v>
      </c>
      <c r="C4270" s="162"/>
      <c r="D4270" s="882">
        <v>1</v>
      </c>
      <c r="E4270" s="1025" t="s">
        <v>1721</v>
      </c>
      <c r="F4270" s="273" t="s">
        <v>3446</v>
      </c>
      <c r="G4270" s="1040" t="s">
        <v>3463</v>
      </c>
      <c r="H4270" s="273" t="s">
        <v>3462</v>
      </c>
      <c r="I4270" s="720">
        <f t="shared" si="953"/>
        <v>22680</v>
      </c>
      <c r="J4270" s="849">
        <v>22680</v>
      </c>
      <c r="K4270" s="131">
        <f t="shared" si="957"/>
        <v>22680</v>
      </c>
      <c r="L4270" s="335">
        <f t="shared" si="947"/>
        <v>0</v>
      </c>
      <c r="M4270" s="446"/>
      <c r="N4270" s="446"/>
      <c r="O4270" s="446"/>
      <c r="P4270" s="446"/>
      <c r="Q4270" s="110">
        <v>1</v>
      </c>
      <c r="R4270" s="111">
        <f t="shared" si="958"/>
        <v>5670</v>
      </c>
      <c r="S4270" s="110"/>
      <c r="T4270" s="110"/>
      <c r="U4270" s="110">
        <v>0</v>
      </c>
      <c r="V4270" s="111">
        <f t="shared" si="959"/>
        <v>5670</v>
      </c>
      <c r="W4270" s="110"/>
      <c r="X4270" s="110"/>
      <c r="Y4270" s="110"/>
      <c r="Z4270" s="110"/>
      <c r="AA4270" s="110">
        <v>0</v>
      </c>
      <c r="AB4270" s="111">
        <f t="shared" si="952"/>
        <v>5670</v>
      </c>
      <c r="AC4270" s="110"/>
      <c r="AD4270" s="110"/>
      <c r="AE4270" s="110">
        <v>0</v>
      </c>
      <c r="AF4270" s="111">
        <f t="shared" si="948"/>
        <v>5670</v>
      </c>
      <c r="AG4270" s="110"/>
      <c r="AH4270" s="110"/>
      <c r="AI4270" s="110"/>
      <c r="AJ4270" s="110"/>
      <c r="AK4270" s="111">
        <f t="shared" si="949"/>
        <v>22680</v>
      </c>
      <c r="AL4270" s="446">
        <f t="shared" si="950"/>
        <v>0</v>
      </c>
      <c r="AM4270" s="110">
        <f t="shared" si="951"/>
        <v>1</v>
      </c>
      <c r="AN4270" s="447">
        <f t="shared" si="960"/>
        <v>0</v>
      </c>
      <c r="AO4270"/>
      <c r="AP4270"/>
    </row>
    <row r="4271" spans="1:42" ht="66" x14ac:dyDescent="0.25">
      <c r="A4271" s="95"/>
      <c r="B4271" s="212" t="s">
        <v>2025</v>
      </c>
      <c r="C4271" s="162"/>
      <c r="D4271" s="882">
        <v>1</v>
      </c>
      <c r="E4271" s="1025" t="s">
        <v>1721</v>
      </c>
      <c r="F4271" s="273" t="s">
        <v>3446</v>
      </c>
      <c r="G4271" s="1040" t="s">
        <v>3463</v>
      </c>
      <c r="H4271" s="273" t="s">
        <v>3462</v>
      </c>
      <c r="I4271" s="720">
        <f t="shared" si="953"/>
        <v>18569.349999999999</v>
      </c>
      <c r="J4271" s="849">
        <v>18569.349999999999</v>
      </c>
      <c r="K4271" s="131">
        <f t="shared" si="957"/>
        <v>18569.349999999999</v>
      </c>
      <c r="L4271" s="335">
        <f t="shared" si="947"/>
        <v>0</v>
      </c>
      <c r="M4271" s="446"/>
      <c r="N4271" s="446"/>
      <c r="O4271" s="446"/>
      <c r="P4271" s="446"/>
      <c r="Q4271" s="110">
        <v>1</v>
      </c>
      <c r="R4271" s="111">
        <f t="shared" si="958"/>
        <v>4642.3374999999996</v>
      </c>
      <c r="S4271" s="110"/>
      <c r="T4271" s="110"/>
      <c r="U4271" s="110">
        <v>0</v>
      </c>
      <c r="V4271" s="111">
        <f t="shared" si="959"/>
        <v>4642.3374999999996</v>
      </c>
      <c r="W4271" s="110"/>
      <c r="X4271" s="110"/>
      <c r="Y4271" s="110"/>
      <c r="Z4271" s="110"/>
      <c r="AA4271" s="110">
        <v>0</v>
      </c>
      <c r="AB4271" s="111">
        <f t="shared" si="952"/>
        <v>4642.3374999999996</v>
      </c>
      <c r="AC4271" s="110"/>
      <c r="AD4271" s="110"/>
      <c r="AE4271" s="110">
        <v>0</v>
      </c>
      <c r="AF4271" s="111">
        <f t="shared" si="948"/>
        <v>4642.3374999999996</v>
      </c>
      <c r="AG4271" s="110"/>
      <c r="AH4271" s="110"/>
      <c r="AI4271" s="110"/>
      <c r="AJ4271" s="110"/>
      <c r="AK4271" s="111">
        <f t="shared" si="949"/>
        <v>18569.349999999999</v>
      </c>
      <c r="AL4271" s="446">
        <f t="shared" si="950"/>
        <v>0</v>
      </c>
      <c r="AM4271" s="110">
        <f t="shared" si="951"/>
        <v>1</v>
      </c>
      <c r="AN4271" s="447">
        <f t="shared" si="960"/>
        <v>0</v>
      </c>
      <c r="AO4271"/>
      <c r="AP4271"/>
    </row>
    <row r="4272" spans="1:42" ht="66" x14ac:dyDescent="0.25">
      <c r="A4272" s="95"/>
      <c r="B4272" s="217" t="s">
        <v>2132</v>
      </c>
      <c r="C4272" s="162"/>
      <c r="D4272" s="882">
        <f>1+2</f>
        <v>3</v>
      </c>
      <c r="E4272" s="1025" t="s">
        <v>1721</v>
      </c>
      <c r="F4272" s="273" t="s">
        <v>3446</v>
      </c>
      <c r="G4272" s="1040" t="s">
        <v>3463</v>
      </c>
      <c r="H4272" s="273" t="s">
        <v>3462</v>
      </c>
      <c r="I4272" s="720">
        <f t="shared" si="953"/>
        <v>19498.28</v>
      </c>
      <c r="J4272" s="849">
        <f>19950+38544.84</f>
        <v>58494.84</v>
      </c>
      <c r="K4272" s="131">
        <f t="shared" si="957"/>
        <v>58494.84</v>
      </c>
      <c r="L4272" s="335">
        <f t="shared" si="947"/>
        <v>0</v>
      </c>
      <c r="M4272" s="446"/>
      <c r="N4272" s="446"/>
      <c r="O4272" s="446"/>
      <c r="P4272" s="446"/>
      <c r="Q4272" s="130">
        <v>1</v>
      </c>
      <c r="R4272" s="111">
        <f t="shared" si="958"/>
        <v>14623.71</v>
      </c>
      <c r="S4272" s="110"/>
      <c r="T4272" s="110"/>
      <c r="U4272" s="130">
        <v>1</v>
      </c>
      <c r="V4272" s="111">
        <f t="shared" si="959"/>
        <v>14623.71</v>
      </c>
      <c r="W4272" s="110"/>
      <c r="X4272" s="110"/>
      <c r="Y4272" s="110"/>
      <c r="Z4272" s="110"/>
      <c r="AA4272" s="130">
        <v>1</v>
      </c>
      <c r="AB4272" s="111">
        <f t="shared" si="952"/>
        <v>14623.71</v>
      </c>
      <c r="AC4272" s="110"/>
      <c r="AD4272" s="110"/>
      <c r="AE4272" s="130">
        <v>0</v>
      </c>
      <c r="AF4272" s="111">
        <f t="shared" si="948"/>
        <v>14623.71</v>
      </c>
      <c r="AG4272" s="110"/>
      <c r="AH4272" s="110"/>
      <c r="AI4272" s="110"/>
      <c r="AJ4272" s="110"/>
      <c r="AK4272" s="111">
        <f t="shared" si="949"/>
        <v>58494.84</v>
      </c>
      <c r="AL4272" s="446">
        <f t="shared" si="950"/>
        <v>0</v>
      </c>
      <c r="AM4272" s="110">
        <f t="shared" si="951"/>
        <v>3</v>
      </c>
      <c r="AN4272" s="447">
        <f t="shared" si="960"/>
        <v>0</v>
      </c>
      <c r="AO4272"/>
      <c r="AP4272"/>
    </row>
    <row r="4273" spans="1:42" ht="66" x14ac:dyDescent="0.25">
      <c r="A4273" s="199"/>
      <c r="B4273" s="149" t="s">
        <v>2170</v>
      </c>
      <c r="C4273" s="1026"/>
      <c r="D4273" s="882">
        <v>2</v>
      </c>
      <c r="E4273" s="1025" t="s">
        <v>1721</v>
      </c>
      <c r="F4273" s="273" t="s">
        <v>3446</v>
      </c>
      <c r="G4273" s="1040" t="s">
        <v>3463</v>
      </c>
      <c r="H4273" s="273" t="s">
        <v>3462</v>
      </c>
      <c r="I4273" s="720">
        <f t="shared" si="953"/>
        <v>17931.724999999999</v>
      </c>
      <c r="J4273" s="849">
        <v>35863.449999999997</v>
      </c>
      <c r="K4273" s="131">
        <f t="shared" si="957"/>
        <v>35863.449999999997</v>
      </c>
      <c r="L4273" s="335">
        <f t="shared" si="947"/>
        <v>0</v>
      </c>
      <c r="M4273" s="446"/>
      <c r="N4273" s="446"/>
      <c r="O4273" s="446"/>
      <c r="P4273" s="446"/>
      <c r="Q4273" s="130">
        <v>1</v>
      </c>
      <c r="R4273" s="111">
        <f t="shared" si="958"/>
        <v>8965.8624999999993</v>
      </c>
      <c r="S4273" s="110"/>
      <c r="T4273" s="110"/>
      <c r="U4273" s="130">
        <v>1</v>
      </c>
      <c r="V4273" s="111">
        <f t="shared" si="959"/>
        <v>8965.8624999999993</v>
      </c>
      <c r="W4273" s="110"/>
      <c r="X4273" s="110"/>
      <c r="Y4273" s="110"/>
      <c r="Z4273" s="110"/>
      <c r="AA4273" s="130">
        <v>0</v>
      </c>
      <c r="AB4273" s="111">
        <f t="shared" si="952"/>
        <v>8965.8624999999993</v>
      </c>
      <c r="AC4273" s="110"/>
      <c r="AD4273" s="110"/>
      <c r="AE4273" s="130">
        <v>0</v>
      </c>
      <c r="AF4273" s="111">
        <f t="shared" si="948"/>
        <v>8965.8624999999993</v>
      </c>
      <c r="AG4273" s="110"/>
      <c r="AH4273" s="110"/>
      <c r="AI4273" s="110"/>
      <c r="AJ4273" s="110"/>
      <c r="AK4273" s="111">
        <f t="shared" si="949"/>
        <v>35863.449999999997</v>
      </c>
      <c r="AL4273" s="446">
        <f t="shared" si="950"/>
        <v>0</v>
      </c>
      <c r="AM4273" s="110">
        <f t="shared" si="951"/>
        <v>2</v>
      </c>
      <c r="AN4273" s="447">
        <f t="shared" si="960"/>
        <v>0</v>
      </c>
      <c r="AO4273"/>
      <c r="AP4273"/>
    </row>
    <row r="4274" spans="1:42" ht="66" x14ac:dyDescent="0.25">
      <c r="A4274" s="199"/>
      <c r="B4274" s="149" t="s">
        <v>2171</v>
      </c>
      <c r="C4274" s="1026"/>
      <c r="D4274" s="882">
        <v>1</v>
      </c>
      <c r="E4274" s="1025" t="s">
        <v>1721</v>
      </c>
      <c r="F4274" s="273" t="s">
        <v>3446</v>
      </c>
      <c r="G4274" s="1040" t="s">
        <v>3463</v>
      </c>
      <c r="H4274" s="273" t="s">
        <v>3462</v>
      </c>
      <c r="I4274" s="720">
        <f t="shared" si="953"/>
        <v>6036.83</v>
      </c>
      <c r="J4274" s="849">
        <v>6036.83</v>
      </c>
      <c r="K4274" s="131">
        <f t="shared" si="957"/>
        <v>6036.83</v>
      </c>
      <c r="L4274" s="335">
        <f t="shared" si="947"/>
        <v>0</v>
      </c>
      <c r="M4274" s="446"/>
      <c r="N4274" s="446"/>
      <c r="O4274" s="446"/>
      <c r="P4274" s="446"/>
      <c r="Q4274" s="110">
        <v>1</v>
      </c>
      <c r="R4274" s="111">
        <f t="shared" si="958"/>
        <v>1509.2075</v>
      </c>
      <c r="S4274" s="110"/>
      <c r="T4274" s="110"/>
      <c r="U4274" s="110">
        <v>0</v>
      </c>
      <c r="V4274" s="111">
        <f t="shared" si="959"/>
        <v>1509.2075</v>
      </c>
      <c r="W4274" s="110"/>
      <c r="X4274" s="110"/>
      <c r="Y4274" s="110"/>
      <c r="Z4274" s="110"/>
      <c r="AA4274" s="110">
        <v>0</v>
      </c>
      <c r="AB4274" s="111">
        <f t="shared" si="952"/>
        <v>1509.2075</v>
      </c>
      <c r="AC4274" s="110"/>
      <c r="AD4274" s="110"/>
      <c r="AE4274" s="110">
        <v>0</v>
      </c>
      <c r="AF4274" s="111">
        <f t="shared" si="948"/>
        <v>1509.2075</v>
      </c>
      <c r="AG4274" s="110"/>
      <c r="AH4274" s="110"/>
      <c r="AI4274" s="110"/>
      <c r="AJ4274" s="110"/>
      <c r="AK4274" s="111">
        <f t="shared" si="949"/>
        <v>6036.83</v>
      </c>
      <c r="AL4274" s="446">
        <f t="shared" si="950"/>
        <v>0</v>
      </c>
      <c r="AM4274" s="110">
        <f t="shared" si="951"/>
        <v>1</v>
      </c>
      <c r="AN4274" s="447">
        <f t="shared" si="960"/>
        <v>0</v>
      </c>
      <c r="AO4274"/>
      <c r="AP4274"/>
    </row>
    <row r="4275" spans="1:42" ht="66" x14ac:dyDescent="0.25">
      <c r="A4275" s="199"/>
      <c r="B4275" s="618" t="s">
        <v>2204</v>
      </c>
      <c r="C4275" s="1026"/>
      <c r="D4275" s="882">
        <v>1</v>
      </c>
      <c r="E4275" s="1025" t="s">
        <v>1721</v>
      </c>
      <c r="F4275" s="273" t="s">
        <v>3446</v>
      </c>
      <c r="G4275" s="1040" t="s">
        <v>3463</v>
      </c>
      <c r="H4275" s="273" t="s">
        <v>3462</v>
      </c>
      <c r="I4275" s="720">
        <f t="shared" si="953"/>
        <v>1740</v>
      </c>
      <c r="J4275" s="849">
        <v>1740</v>
      </c>
      <c r="K4275" s="131">
        <f t="shared" si="957"/>
        <v>1740</v>
      </c>
      <c r="L4275" s="335">
        <f t="shared" si="947"/>
        <v>0</v>
      </c>
      <c r="M4275" s="446"/>
      <c r="N4275" s="446"/>
      <c r="O4275" s="446"/>
      <c r="P4275" s="446"/>
      <c r="Q4275" s="110">
        <v>1</v>
      </c>
      <c r="R4275" s="111">
        <f t="shared" si="958"/>
        <v>435</v>
      </c>
      <c r="S4275" s="110"/>
      <c r="T4275" s="110"/>
      <c r="U4275" s="110">
        <v>0</v>
      </c>
      <c r="V4275" s="111">
        <f t="shared" si="959"/>
        <v>435</v>
      </c>
      <c r="W4275" s="110"/>
      <c r="X4275" s="110"/>
      <c r="Y4275" s="110"/>
      <c r="Z4275" s="110"/>
      <c r="AA4275" s="110">
        <v>0</v>
      </c>
      <c r="AB4275" s="111">
        <f t="shared" si="952"/>
        <v>435</v>
      </c>
      <c r="AC4275" s="110"/>
      <c r="AD4275" s="110"/>
      <c r="AE4275" s="110">
        <v>0</v>
      </c>
      <c r="AF4275" s="111">
        <f t="shared" si="948"/>
        <v>435</v>
      </c>
      <c r="AG4275" s="110"/>
      <c r="AH4275" s="110"/>
      <c r="AI4275" s="110"/>
      <c r="AJ4275" s="110"/>
      <c r="AK4275" s="111">
        <f t="shared" si="949"/>
        <v>1740</v>
      </c>
      <c r="AL4275" s="446">
        <f t="shared" si="950"/>
        <v>0</v>
      </c>
      <c r="AM4275" s="110">
        <f t="shared" si="951"/>
        <v>1</v>
      </c>
      <c r="AN4275" s="447">
        <f t="shared" si="960"/>
        <v>0</v>
      </c>
      <c r="AO4275"/>
      <c r="AP4275"/>
    </row>
    <row r="4276" spans="1:42" ht="66" x14ac:dyDescent="0.25">
      <c r="A4276" s="95"/>
      <c r="B4276" s="122" t="s">
        <v>2461</v>
      </c>
      <c r="C4276" s="162"/>
      <c r="D4276" s="882">
        <v>2</v>
      </c>
      <c r="E4276" s="1025" t="s">
        <v>1721</v>
      </c>
      <c r="F4276" s="273" t="s">
        <v>3446</v>
      </c>
      <c r="G4276" s="1040" t="s">
        <v>3463</v>
      </c>
      <c r="H4276" s="273" t="s">
        <v>3462</v>
      </c>
      <c r="I4276" s="720">
        <f t="shared" si="953"/>
        <v>1782</v>
      </c>
      <c r="J4276" s="849">
        <v>3564</v>
      </c>
      <c r="K4276" s="131">
        <f t="shared" si="957"/>
        <v>3564</v>
      </c>
      <c r="L4276" s="335">
        <f t="shared" si="947"/>
        <v>0</v>
      </c>
      <c r="M4276" s="446"/>
      <c r="N4276" s="446"/>
      <c r="O4276" s="446"/>
      <c r="P4276" s="446"/>
      <c r="Q4276" s="130">
        <v>1</v>
      </c>
      <c r="R4276" s="111">
        <f t="shared" si="958"/>
        <v>891</v>
      </c>
      <c r="S4276" s="110"/>
      <c r="T4276" s="110"/>
      <c r="U4276" s="130">
        <v>1</v>
      </c>
      <c r="V4276" s="111">
        <f t="shared" si="959"/>
        <v>891</v>
      </c>
      <c r="W4276" s="110"/>
      <c r="X4276" s="110"/>
      <c r="Y4276" s="110"/>
      <c r="Z4276" s="110"/>
      <c r="AA4276" s="130">
        <v>0</v>
      </c>
      <c r="AB4276" s="111">
        <f t="shared" si="952"/>
        <v>891</v>
      </c>
      <c r="AC4276" s="110"/>
      <c r="AD4276" s="110"/>
      <c r="AE4276" s="130">
        <v>0</v>
      </c>
      <c r="AF4276" s="111">
        <f t="shared" si="948"/>
        <v>891</v>
      </c>
      <c r="AG4276" s="110"/>
      <c r="AH4276" s="110"/>
      <c r="AI4276" s="110"/>
      <c r="AJ4276" s="110"/>
      <c r="AK4276" s="111">
        <f t="shared" si="949"/>
        <v>3564</v>
      </c>
      <c r="AL4276" s="446">
        <f t="shared" si="950"/>
        <v>0</v>
      </c>
      <c r="AM4276" s="110">
        <f t="shared" si="951"/>
        <v>2</v>
      </c>
      <c r="AN4276" s="447">
        <f t="shared" si="960"/>
        <v>0</v>
      </c>
      <c r="AO4276"/>
      <c r="AP4276"/>
    </row>
    <row r="4277" spans="1:42" s="108" customFormat="1" ht="66" x14ac:dyDescent="0.25">
      <c r="A4277" s="90"/>
      <c r="B4277" s="34" t="s">
        <v>1119</v>
      </c>
      <c r="C4277" s="1024"/>
      <c r="D4277" s="869">
        <v>2</v>
      </c>
      <c r="E4277" s="1027" t="s">
        <v>1721</v>
      </c>
      <c r="F4277" s="278" t="s">
        <v>3446</v>
      </c>
      <c r="G4277" s="1040" t="s">
        <v>3463</v>
      </c>
      <c r="H4277" s="273" t="s">
        <v>3462</v>
      </c>
      <c r="I4277" s="722">
        <f t="shared" si="953"/>
        <v>10220.644999999999</v>
      </c>
      <c r="J4277" s="843">
        <f>22680.44-2239.15</f>
        <v>20441.289999999997</v>
      </c>
      <c r="K4277" s="131">
        <f t="shared" si="957"/>
        <v>20441.289999999997</v>
      </c>
      <c r="L4277" s="335">
        <f t="shared" si="947"/>
        <v>0</v>
      </c>
      <c r="M4277" s="335"/>
      <c r="N4277" s="335"/>
      <c r="O4277" s="335"/>
      <c r="P4277" s="335"/>
      <c r="Q4277" s="130">
        <v>1</v>
      </c>
      <c r="R4277" s="131">
        <f t="shared" si="958"/>
        <v>5110.3224999999993</v>
      </c>
      <c r="S4277" s="130"/>
      <c r="T4277" s="130"/>
      <c r="U4277" s="130">
        <v>1</v>
      </c>
      <c r="V4277" s="131">
        <f t="shared" si="959"/>
        <v>5110.3224999999993</v>
      </c>
      <c r="W4277" s="130"/>
      <c r="X4277" s="130"/>
      <c r="Y4277" s="130"/>
      <c r="Z4277" s="130"/>
      <c r="AA4277" s="130">
        <v>0</v>
      </c>
      <c r="AB4277" s="131">
        <f t="shared" si="952"/>
        <v>5110.3224999999993</v>
      </c>
      <c r="AC4277" s="130"/>
      <c r="AD4277" s="130"/>
      <c r="AE4277" s="130">
        <v>0</v>
      </c>
      <c r="AF4277" s="131">
        <f t="shared" si="948"/>
        <v>5110.3224999999993</v>
      </c>
      <c r="AG4277" s="130"/>
      <c r="AH4277" s="130"/>
      <c r="AI4277" s="130"/>
      <c r="AJ4277" s="130"/>
      <c r="AK4277" s="131">
        <f t="shared" si="949"/>
        <v>20441.289999999997</v>
      </c>
      <c r="AL4277" s="335">
        <f t="shared" si="950"/>
        <v>0</v>
      </c>
      <c r="AM4277" s="130">
        <f t="shared" si="951"/>
        <v>2</v>
      </c>
      <c r="AN4277" s="336">
        <f t="shared" si="960"/>
        <v>0</v>
      </c>
    </row>
    <row r="4278" spans="1:42" ht="66" x14ac:dyDescent="0.25">
      <c r="A4278" s="95"/>
      <c r="B4278" s="528" t="s">
        <v>3356</v>
      </c>
      <c r="C4278" s="162"/>
      <c r="D4278" s="882">
        <v>1</v>
      </c>
      <c r="E4278" s="251" t="s">
        <v>1767</v>
      </c>
      <c r="F4278" s="273" t="s">
        <v>3446</v>
      </c>
      <c r="G4278" s="1040" t="s">
        <v>3463</v>
      </c>
      <c r="H4278" s="273" t="s">
        <v>3462</v>
      </c>
      <c r="I4278" s="720">
        <f t="shared" si="953"/>
        <v>7530</v>
      </c>
      <c r="J4278" s="843">
        <v>7530</v>
      </c>
      <c r="K4278" s="131">
        <f t="shared" si="957"/>
        <v>7530</v>
      </c>
      <c r="L4278" s="335">
        <f t="shared" ref="L4278:L4341" si="961">+J4278-K4278</f>
        <v>0</v>
      </c>
      <c r="M4278" s="446"/>
      <c r="N4278" s="446"/>
      <c r="O4278" s="446"/>
      <c r="P4278" s="446"/>
      <c r="Q4278" s="110">
        <v>1</v>
      </c>
      <c r="R4278" s="111">
        <f t="shared" si="958"/>
        <v>1882.5</v>
      </c>
      <c r="S4278" s="110"/>
      <c r="T4278" s="110"/>
      <c r="U4278" s="110">
        <v>0</v>
      </c>
      <c r="V4278" s="111">
        <f t="shared" si="959"/>
        <v>1882.5</v>
      </c>
      <c r="W4278" s="110"/>
      <c r="X4278" s="110"/>
      <c r="Y4278" s="110"/>
      <c r="Z4278" s="110"/>
      <c r="AA4278" s="110">
        <v>0</v>
      </c>
      <c r="AB4278" s="111">
        <f t="shared" si="952"/>
        <v>1882.5</v>
      </c>
      <c r="AC4278" s="110"/>
      <c r="AD4278" s="110"/>
      <c r="AE4278" s="110">
        <v>0</v>
      </c>
      <c r="AF4278" s="111">
        <f t="shared" ref="AF4278:AF4341" si="962">+J4278/4</f>
        <v>1882.5</v>
      </c>
      <c r="AG4278" s="110"/>
      <c r="AH4278" s="110"/>
      <c r="AI4278" s="110"/>
      <c r="AJ4278" s="110"/>
      <c r="AK4278" s="111">
        <f t="shared" ref="AK4278:AK4341" si="963">+R4278+V4278+AB4278+AF4278</f>
        <v>7530</v>
      </c>
      <c r="AL4278" s="446">
        <f t="shared" ref="AL4278:AL4341" si="964">+J4278-AK4278</f>
        <v>0</v>
      </c>
      <c r="AM4278" s="110">
        <f t="shared" ref="AM4278:AM4341" si="965">+Q4278+U4278+AA4278+AE4278</f>
        <v>1</v>
      </c>
      <c r="AN4278" s="447">
        <f t="shared" si="960"/>
        <v>0</v>
      </c>
      <c r="AO4278"/>
      <c r="AP4278"/>
    </row>
    <row r="4279" spans="1:42" ht="66" x14ac:dyDescent="0.25">
      <c r="A4279" s="95"/>
      <c r="B4279" s="528" t="s">
        <v>3357</v>
      </c>
      <c r="C4279" s="162"/>
      <c r="D4279" s="882">
        <v>1</v>
      </c>
      <c r="E4279" s="1025" t="s">
        <v>1767</v>
      </c>
      <c r="F4279" s="273" t="s">
        <v>3446</v>
      </c>
      <c r="G4279" s="1040" t="s">
        <v>3463</v>
      </c>
      <c r="H4279" s="273" t="s">
        <v>3462</v>
      </c>
      <c r="I4279" s="720">
        <f t="shared" si="953"/>
        <v>6000</v>
      </c>
      <c r="J4279" s="843">
        <v>6000</v>
      </c>
      <c r="K4279" s="131">
        <f t="shared" si="957"/>
        <v>6000</v>
      </c>
      <c r="L4279" s="335">
        <f t="shared" si="961"/>
        <v>0</v>
      </c>
      <c r="M4279" s="446"/>
      <c r="N4279" s="446"/>
      <c r="O4279" s="446"/>
      <c r="P4279" s="446"/>
      <c r="Q4279" s="110">
        <v>1</v>
      </c>
      <c r="R4279" s="111">
        <f t="shared" si="958"/>
        <v>1500</v>
      </c>
      <c r="S4279" s="110"/>
      <c r="T4279" s="110"/>
      <c r="U4279" s="110">
        <v>0</v>
      </c>
      <c r="V4279" s="111">
        <f t="shared" si="959"/>
        <v>1500</v>
      </c>
      <c r="W4279" s="110"/>
      <c r="X4279" s="110"/>
      <c r="Y4279" s="110"/>
      <c r="Z4279" s="110"/>
      <c r="AA4279" s="110">
        <v>0</v>
      </c>
      <c r="AB4279" s="111">
        <f t="shared" si="952"/>
        <v>1500</v>
      </c>
      <c r="AC4279" s="110"/>
      <c r="AD4279" s="110"/>
      <c r="AE4279" s="110">
        <v>0</v>
      </c>
      <c r="AF4279" s="111">
        <f t="shared" si="962"/>
        <v>1500</v>
      </c>
      <c r="AG4279" s="110"/>
      <c r="AH4279" s="110"/>
      <c r="AI4279" s="110"/>
      <c r="AJ4279" s="110"/>
      <c r="AK4279" s="111">
        <f t="shared" si="963"/>
        <v>6000</v>
      </c>
      <c r="AL4279" s="446">
        <f t="shared" si="964"/>
        <v>0</v>
      </c>
      <c r="AM4279" s="110">
        <f t="shared" si="965"/>
        <v>1</v>
      </c>
      <c r="AN4279" s="447">
        <f t="shared" si="960"/>
        <v>0</v>
      </c>
      <c r="AO4279"/>
      <c r="AP4279"/>
    </row>
    <row r="4280" spans="1:42" ht="66" x14ac:dyDescent="0.25">
      <c r="A4280" s="95"/>
      <c r="B4280" s="528" t="s">
        <v>3358</v>
      </c>
      <c r="C4280" s="162"/>
      <c r="D4280" s="882">
        <v>1</v>
      </c>
      <c r="E4280" s="251" t="s">
        <v>1767</v>
      </c>
      <c r="F4280" s="273" t="s">
        <v>3446</v>
      </c>
      <c r="G4280" s="1040" t="s">
        <v>3463</v>
      </c>
      <c r="H4280" s="273" t="s">
        <v>3462</v>
      </c>
      <c r="I4280" s="720">
        <f t="shared" si="953"/>
        <v>1728</v>
      </c>
      <c r="J4280" s="843">
        <v>1728</v>
      </c>
      <c r="K4280" s="131">
        <f t="shared" si="957"/>
        <v>1728</v>
      </c>
      <c r="L4280" s="335">
        <f t="shared" si="961"/>
        <v>0</v>
      </c>
      <c r="M4280" s="446"/>
      <c r="N4280" s="446"/>
      <c r="O4280" s="446"/>
      <c r="P4280" s="446"/>
      <c r="Q4280" s="110">
        <v>1</v>
      </c>
      <c r="R4280" s="111">
        <f t="shared" si="958"/>
        <v>432</v>
      </c>
      <c r="S4280" s="110"/>
      <c r="T4280" s="110"/>
      <c r="U4280" s="110">
        <v>0</v>
      </c>
      <c r="V4280" s="111">
        <f t="shared" si="959"/>
        <v>432</v>
      </c>
      <c r="W4280" s="110"/>
      <c r="X4280" s="110"/>
      <c r="Y4280" s="110"/>
      <c r="Z4280" s="110"/>
      <c r="AA4280" s="110">
        <v>0</v>
      </c>
      <c r="AB4280" s="111">
        <f t="shared" si="952"/>
        <v>432</v>
      </c>
      <c r="AC4280" s="110"/>
      <c r="AD4280" s="110"/>
      <c r="AE4280" s="110">
        <v>0</v>
      </c>
      <c r="AF4280" s="111">
        <f t="shared" si="962"/>
        <v>432</v>
      </c>
      <c r="AG4280" s="110"/>
      <c r="AH4280" s="110"/>
      <c r="AI4280" s="110"/>
      <c r="AJ4280" s="110"/>
      <c r="AK4280" s="111">
        <f t="shared" si="963"/>
        <v>1728</v>
      </c>
      <c r="AL4280" s="446">
        <f t="shared" si="964"/>
        <v>0</v>
      </c>
      <c r="AM4280" s="110">
        <f t="shared" si="965"/>
        <v>1</v>
      </c>
      <c r="AN4280" s="447">
        <f t="shared" si="960"/>
        <v>0</v>
      </c>
      <c r="AO4280"/>
      <c r="AP4280"/>
    </row>
    <row r="4281" spans="1:42" ht="66" x14ac:dyDescent="0.25">
      <c r="A4281" s="95"/>
      <c r="B4281" s="528" t="s">
        <v>3359</v>
      </c>
      <c r="C4281" s="162"/>
      <c r="D4281" s="882">
        <v>1</v>
      </c>
      <c r="E4281" s="251" t="s">
        <v>1767</v>
      </c>
      <c r="F4281" s="273" t="s">
        <v>3446</v>
      </c>
      <c r="G4281" s="1040" t="s">
        <v>3463</v>
      </c>
      <c r="H4281" s="273" t="s">
        <v>3462</v>
      </c>
      <c r="I4281" s="720">
        <f t="shared" si="953"/>
        <v>10242.719999999999</v>
      </c>
      <c r="J4281" s="843">
        <v>10242.719999999999</v>
      </c>
      <c r="K4281" s="131">
        <f t="shared" si="957"/>
        <v>10242.719999999999</v>
      </c>
      <c r="L4281" s="335">
        <f t="shared" si="961"/>
        <v>0</v>
      </c>
      <c r="M4281" s="446"/>
      <c r="N4281" s="446"/>
      <c r="O4281" s="446"/>
      <c r="P4281" s="446"/>
      <c r="Q4281" s="110">
        <v>1</v>
      </c>
      <c r="R4281" s="111">
        <f t="shared" si="958"/>
        <v>2560.6799999999998</v>
      </c>
      <c r="S4281" s="110"/>
      <c r="T4281" s="110"/>
      <c r="U4281" s="110">
        <v>0</v>
      </c>
      <c r="V4281" s="111">
        <f t="shared" si="959"/>
        <v>2560.6799999999998</v>
      </c>
      <c r="W4281" s="110"/>
      <c r="X4281" s="110"/>
      <c r="Y4281" s="110"/>
      <c r="Z4281" s="110"/>
      <c r="AA4281" s="110">
        <v>0</v>
      </c>
      <c r="AB4281" s="111">
        <f t="shared" si="952"/>
        <v>2560.6799999999998</v>
      </c>
      <c r="AC4281" s="110"/>
      <c r="AD4281" s="110"/>
      <c r="AE4281" s="110">
        <v>0</v>
      </c>
      <c r="AF4281" s="111">
        <f t="shared" si="962"/>
        <v>2560.6799999999998</v>
      </c>
      <c r="AG4281" s="110"/>
      <c r="AH4281" s="110"/>
      <c r="AI4281" s="110"/>
      <c r="AJ4281" s="110"/>
      <c r="AK4281" s="111">
        <f t="shared" si="963"/>
        <v>10242.719999999999</v>
      </c>
      <c r="AL4281" s="446">
        <f t="shared" si="964"/>
        <v>0</v>
      </c>
      <c r="AM4281" s="110">
        <f t="shared" si="965"/>
        <v>1</v>
      </c>
      <c r="AN4281" s="447">
        <f t="shared" si="960"/>
        <v>0</v>
      </c>
      <c r="AO4281"/>
      <c r="AP4281"/>
    </row>
    <row r="4282" spans="1:42" x14ac:dyDescent="0.25">
      <c r="A4282" s="95"/>
      <c r="B4282" s="37"/>
      <c r="C4282" s="162"/>
      <c r="D4282" s="882"/>
      <c r="E4282" s="1025"/>
      <c r="F4282" s="271"/>
      <c r="G4282" s="271"/>
      <c r="H4282" s="271"/>
      <c r="I4282" s="720"/>
      <c r="J4282" s="843"/>
      <c r="K4282" s="131">
        <f t="shared" si="957"/>
        <v>0</v>
      </c>
      <c r="L4282" s="335">
        <f t="shared" si="961"/>
        <v>0</v>
      </c>
      <c r="M4282" s="446"/>
      <c r="N4282" s="446"/>
      <c r="O4282" s="446"/>
      <c r="P4282" s="446"/>
      <c r="Q4282" s="110">
        <f t="shared" si="954"/>
        <v>0</v>
      </c>
      <c r="R4282" s="111">
        <f t="shared" si="958"/>
        <v>0</v>
      </c>
      <c r="S4282" s="110"/>
      <c r="T4282" s="110"/>
      <c r="U4282" s="110">
        <f t="shared" si="955"/>
        <v>0</v>
      </c>
      <c r="V4282" s="111">
        <f t="shared" si="959"/>
        <v>0</v>
      </c>
      <c r="W4282" s="110"/>
      <c r="X4282" s="110"/>
      <c r="Y4282" s="110"/>
      <c r="Z4282" s="110"/>
      <c r="AA4282" s="110">
        <f t="shared" si="956"/>
        <v>0</v>
      </c>
      <c r="AB4282" s="111">
        <f t="shared" si="952"/>
        <v>0</v>
      </c>
      <c r="AC4282" s="110"/>
      <c r="AD4282" s="110"/>
      <c r="AE4282" s="110">
        <f t="shared" si="956"/>
        <v>0</v>
      </c>
      <c r="AF4282" s="111">
        <f t="shared" si="962"/>
        <v>0</v>
      </c>
      <c r="AG4282" s="110"/>
      <c r="AH4282" s="110"/>
      <c r="AI4282" s="110"/>
      <c r="AJ4282" s="110"/>
      <c r="AK4282" s="111">
        <f t="shared" si="963"/>
        <v>0</v>
      </c>
      <c r="AL4282" s="446">
        <f t="shared" si="964"/>
        <v>0</v>
      </c>
      <c r="AM4282" s="110">
        <f t="shared" si="965"/>
        <v>0</v>
      </c>
      <c r="AN4282" s="447">
        <f t="shared" si="960"/>
        <v>0</v>
      </c>
      <c r="AO4282"/>
      <c r="AP4282"/>
    </row>
    <row r="4283" spans="1:42" x14ac:dyDescent="0.25">
      <c r="A4283" s="315">
        <v>51504</v>
      </c>
      <c r="B4283" s="351" t="s">
        <v>1738</v>
      </c>
      <c r="C4283" s="315"/>
      <c r="D4283" s="886"/>
      <c r="E4283" s="318"/>
      <c r="F4283" s="319"/>
      <c r="G4283" s="319"/>
      <c r="H4283" s="319"/>
      <c r="I4283" s="724"/>
      <c r="J4283" s="753"/>
      <c r="K4283" s="131">
        <f t="shared" si="957"/>
        <v>0</v>
      </c>
      <c r="L4283" s="335">
        <f t="shared" si="961"/>
        <v>0</v>
      </c>
      <c r="M4283" s="648"/>
      <c r="N4283" s="648"/>
      <c r="O4283" s="648"/>
      <c r="P4283" s="648"/>
      <c r="Q4283" s="649">
        <f t="shared" si="954"/>
        <v>0</v>
      </c>
      <c r="R4283" s="647">
        <f t="shared" si="958"/>
        <v>0</v>
      </c>
      <c r="S4283" s="649"/>
      <c r="T4283" s="649"/>
      <c r="U4283" s="649">
        <f t="shared" si="955"/>
        <v>0</v>
      </c>
      <c r="V4283" s="647">
        <f t="shared" si="959"/>
        <v>0</v>
      </c>
      <c r="W4283" s="649"/>
      <c r="X4283" s="649"/>
      <c r="Y4283" s="649"/>
      <c r="Z4283" s="649"/>
      <c r="AA4283" s="649">
        <f t="shared" si="956"/>
        <v>0</v>
      </c>
      <c r="AB4283" s="647">
        <f t="shared" si="952"/>
        <v>0</v>
      </c>
      <c r="AC4283" s="649"/>
      <c r="AD4283" s="649"/>
      <c r="AE4283" s="649">
        <f t="shared" si="956"/>
        <v>0</v>
      </c>
      <c r="AF4283" s="647">
        <f t="shared" si="962"/>
        <v>0</v>
      </c>
      <c r="AG4283" s="649"/>
      <c r="AH4283" s="649"/>
      <c r="AI4283" s="649"/>
      <c r="AJ4283" s="649"/>
      <c r="AK4283" s="647">
        <f t="shared" si="963"/>
        <v>0</v>
      </c>
      <c r="AL4283" s="446">
        <f t="shared" si="964"/>
        <v>0</v>
      </c>
      <c r="AM4283" s="110">
        <f t="shared" si="965"/>
        <v>0</v>
      </c>
      <c r="AN4283" s="447">
        <f t="shared" si="960"/>
        <v>0</v>
      </c>
      <c r="AO4283" s="436">
        <f>SUM(J4284)</f>
        <v>11880</v>
      </c>
      <c r="AP4283" s="111"/>
    </row>
    <row r="4284" spans="1:42" s="108" customFormat="1" ht="66" x14ac:dyDescent="0.25">
      <c r="A4284" s="9"/>
      <c r="B4284" s="34" t="s">
        <v>1739</v>
      </c>
      <c r="C4284" s="9"/>
      <c r="D4284" s="869">
        <v>2</v>
      </c>
      <c r="E4284" s="1027" t="s">
        <v>1721</v>
      </c>
      <c r="F4284" s="278" t="s">
        <v>3446</v>
      </c>
      <c r="G4284" s="1040" t="s">
        <v>3463</v>
      </c>
      <c r="H4284" s="273" t="s">
        <v>3462</v>
      </c>
      <c r="I4284" s="722">
        <f>+J4284/D4284</f>
        <v>5940</v>
      </c>
      <c r="J4284" s="760">
        <v>11880</v>
      </c>
      <c r="K4284" s="131">
        <f t="shared" si="957"/>
        <v>11880</v>
      </c>
      <c r="L4284" s="335">
        <f t="shared" si="961"/>
        <v>0</v>
      </c>
      <c r="M4284" s="335"/>
      <c r="N4284" s="335"/>
      <c r="O4284" s="335"/>
      <c r="P4284" s="335"/>
      <c r="Q4284" s="130">
        <v>1</v>
      </c>
      <c r="R4284" s="131">
        <f t="shared" si="958"/>
        <v>2970</v>
      </c>
      <c r="S4284" s="130"/>
      <c r="T4284" s="130"/>
      <c r="U4284" s="130">
        <v>1</v>
      </c>
      <c r="V4284" s="131">
        <f t="shared" si="959"/>
        <v>2970</v>
      </c>
      <c r="W4284" s="130"/>
      <c r="X4284" s="130"/>
      <c r="Y4284" s="130"/>
      <c r="Z4284" s="130"/>
      <c r="AA4284" s="130">
        <v>0</v>
      </c>
      <c r="AB4284" s="131">
        <f t="shared" si="952"/>
        <v>2970</v>
      </c>
      <c r="AC4284" s="130"/>
      <c r="AD4284" s="130"/>
      <c r="AE4284" s="130">
        <v>0</v>
      </c>
      <c r="AF4284" s="131">
        <f t="shared" si="962"/>
        <v>2970</v>
      </c>
      <c r="AG4284" s="130"/>
      <c r="AH4284" s="130"/>
      <c r="AI4284" s="130"/>
      <c r="AJ4284" s="130"/>
      <c r="AK4284" s="131">
        <f t="shared" si="963"/>
        <v>11880</v>
      </c>
      <c r="AL4284" s="446">
        <f t="shared" si="964"/>
        <v>0</v>
      </c>
      <c r="AM4284" s="110">
        <f t="shared" si="965"/>
        <v>2</v>
      </c>
      <c r="AN4284" s="447">
        <f t="shared" si="960"/>
        <v>0</v>
      </c>
      <c r="AO4284"/>
      <c r="AP4284"/>
    </row>
    <row r="4285" spans="1:42" s="108" customFormat="1" x14ac:dyDescent="0.25">
      <c r="A4285" s="1021">
        <v>519</v>
      </c>
      <c r="B4285" s="676" t="s">
        <v>1047</v>
      </c>
      <c r="C4285" s="1021"/>
      <c r="D4285" s="958"/>
      <c r="E4285" s="343"/>
      <c r="F4285" s="344"/>
      <c r="G4285" s="344"/>
      <c r="H4285" s="344"/>
      <c r="I4285" s="737"/>
      <c r="J4285" s="811"/>
      <c r="K4285" s="131">
        <f t="shared" si="957"/>
        <v>0</v>
      </c>
      <c r="L4285" s="335">
        <f t="shared" si="961"/>
        <v>0</v>
      </c>
      <c r="M4285" s="414"/>
      <c r="N4285" s="414"/>
      <c r="O4285" s="414"/>
      <c r="P4285" s="414"/>
      <c r="Q4285" s="413">
        <f t="shared" si="954"/>
        <v>0</v>
      </c>
      <c r="R4285" s="345">
        <f t="shared" si="958"/>
        <v>0</v>
      </c>
      <c r="S4285" s="413"/>
      <c r="T4285" s="413"/>
      <c r="U4285" s="413">
        <f t="shared" si="955"/>
        <v>0</v>
      </c>
      <c r="V4285" s="345">
        <f t="shared" si="959"/>
        <v>0</v>
      </c>
      <c r="W4285" s="413"/>
      <c r="X4285" s="413"/>
      <c r="Y4285" s="413"/>
      <c r="Z4285" s="413"/>
      <c r="AA4285" s="413">
        <f t="shared" si="956"/>
        <v>0</v>
      </c>
      <c r="AB4285" s="345">
        <f t="shared" si="952"/>
        <v>0</v>
      </c>
      <c r="AC4285" s="413"/>
      <c r="AD4285" s="413"/>
      <c r="AE4285" s="413">
        <f t="shared" si="956"/>
        <v>0</v>
      </c>
      <c r="AF4285" s="345">
        <f t="shared" si="962"/>
        <v>0</v>
      </c>
      <c r="AG4285" s="413"/>
      <c r="AH4285" s="413"/>
      <c r="AI4285" s="413"/>
      <c r="AJ4285" s="413"/>
      <c r="AK4285" s="345">
        <f t="shared" si="963"/>
        <v>0</v>
      </c>
      <c r="AL4285" s="446">
        <f t="shared" si="964"/>
        <v>0</v>
      </c>
      <c r="AM4285" s="110">
        <f t="shared" si="965"/>
        <v>0</v>
      </c>
      <c r="AN4285" s="447">
        <f t="shared" si="960"/>
        <v>0</v>
      </c>
      <c r="AO4285" s="292"/>
      <c r="AP4285"/>
    </row>
    <row r="4286" spans="1:42" x14ac:dyDescent="0.25">
      <c r="A4286" s="315">
        <v>51901</v>
      </c>
      <c r="B4286" s="351" t="s">
        <v>1048</v>
      </c>
      <c r="C4286" s="315"/>
      <c r="D4286" s="886"/>
      <c r="E4286" s="318"/>
      <c r="F4286" s="319"/>
      <c r="G4286" s="319"/>
      <c r="H4286" s="319"/>
      <c r="I4286" s="724"/>
      <c r="J4286" s="753"/>
      <c r="K4286" s="131">
        <f t="shared" si="957"/>
        <v>0</v>
      </c>
      <c r="L4286" s="335">
        <f t="shared" si="961"/>
        <v>0</v>
      </c>
      <c r="M4286" s="648"/>
      <c r="N4286" s="648"/>
      <c r="O4286" s="648"/>
      <c r="P4286" s="648"/>
      <c r="Q4286" s="649">
        <f t="shared" si="954"/>
        <v>0</v>
      </c>
      <c r="R4286" s="647">
        <f t="shared" si="958"/>
        <v>0</v>
      </c>
      <c r="S4286" s="649"/>
      <c r="T4286" s="649"/>
      <c r="U4286" s="649">
        <f t="shared" si="955"/>
        <v>0</v>
      </c>
      <c r="V4286" s="647">
        <f t="shared" si="959"/>
        <v>0</v>
      </c>
      <c r="W4286" s="649"/>
      <c r="X4286" s="649"/>
      <c r="Y4286" s="649"/>
      <c r="Z4286" s="649"/>
      <c r="AA4286" s="649">
        <f t="shared" si="956"/>
        <v>0</v>
      </c>
      <c r="AB4286" s="647">
        <f t="shared" si="952"/>
        <v>0</v>
      </c>
      <c r="AC4286" s="649"/>
      <c r="AD4286" s="649"/>
      <c r="AE4286" s="649">
        <f t="shared" si="956"/>
        <v>0</v>
      </c>
      <c r="AF4286" s="647">
        <f t="shared" si="962"/>
        <v>0</v>
      </c>
      <c r="AG4286" s="649"/>
      <c r="AH4286" s="649"/>
      <c r="AI4286" s="649"/>
      <c r="AJ4286" s="649"/>
      <c r="AK4286" s="647">
        <f t="shared" si="963"/>
        <v>0</v>
      </c>
      <c r="AL4286" s="446">
        <f t="shared" si="964"/>
        <v>0</v>
      </c>
      <c r="AM4286" s="110">
        <f t="shared" si="965"/>
        <v>0</v>
      </c>
      <c r="AN4286" s="447">
        <f t="shared" si="960"/>
        <v>0</v>
      </c>
      <c r="AO4286" s="436">
        <f>SUM(J4287:J4290)</f>
        <v>28103.06</v>
      </c>
      <c r="AP4286" s="111"/>
    </row>
    <row r="4287" spans="1:42" ht="66" x14ac:dyDescent="0.25">
      <c r="A4287" s="98"/>
      <c r="B4287" s="620" t="s">
        <v>1049</v>
      </c>
      <c r="C4287" s="162"/>
      <c r="D4287" s="882">
        <f>1+1</f>
        <v>2</v>
      </c>
      <c r="E4287" s="1025" t="s">
        <v>1721</v>
      </c>
      <c r="F4287" s="273" t="s">
        <v>3446</v>
      </c>
      <c r="G4287" s="1040" t="s">
        <v>3463</v>
      </c>
      <c r="H4287" s="273" t="s">
        <v>3462</v>
      </c>
      <c r="I4287" s="720">
        <f>+J4287/D4287</f>
        <v>2051.5300000000002</v>
      </c>
      <c r="J4287" s="843">
        <f>1823.03+2280.03</f>
        <v>4103.0600000000004</v>
      </c>
      <c r="K4287" s="131">
        <f t="shared" si="957"/>
        <v>4103.0600000000004</v>
      </c>
      <c r="L4287" s="335">
        <f t="shared" si="961"/>
        <v>0</v>
      </c>
      <c r="M4287" s="446"/>
      <c r="N4287" s="446"/>
      <c r="O4287" s="446"/>
      <c r="P4287" s="446"/>
      <c r="Q4287" s="130">
        <v>1</v>
      </c>
      <c r="R4287" s="111">
        <f t="shared" si="958"/>
        <v>1025.7650000000001</v>
      </c>
      <c r="S4287" s="110"/>
      <c r="T4287" s="110"/>
      <c r="U4287" s="130">
        <v>1</v>
      </c>
      <c r="V4287" s="111">
        <f t="shared" si="959"/>
        <v>1025.7650000000001</v>
      </c>
      <c r="W4287" s="110"/>
      <c r="X4287" s="110"/>
      <c r="Y4287" s="110"/>
      <c r="Z4287" s="110"/>
      <c r="AA4287" s="130">
        <v>0</v>
      </c>
      <c r="AB4287" s="111">
        <f t="shared" si="952"/>
        <v>1025.7650000000001</v>
      </c>
      <c r="AC4287" s="110"/>
      <c r="AD4287" s="110"/>
      <c r="AE4287" s="130">
        <v>0</v>
      </c>
      <c r="AF4287" s="111">
        <f t="shared" si="962"/>
        <v>1025.7650000000001</v>
      </c>
      <c r="AG4287" s="110"/>
      <c r="AH4287" s="110"/>
      <c r="AI4287" s="110"/>
      <c r="AJ4287" s="110"/>
      <c r="AK4287" s="111">
        <f t="shared" si="963"/>
        <v>4103.0600000000004</v>
      </c>
      <c r="AL4287" s="446">
        <f t="shared" si="964"/>
        <v>0</v>
      </c>
      <c r="AM4287" s="110">
        <f t="shared" si="965"/>
        <v>2</v>
      </c>
      <c r="AN4287" s="447">
        <f t="shared" si="960"/>
        <v>0</v>
      </c>
      <c r="AO4287"/>
      <c r="AP4287"/>
    </row>
    <row r="4288" spans="1:42" ht="66" x14ac:dyDescent="0.25">
      <c r="A4288" s="95"/>
      <c r="B4288" s="581" t="s">
        <v>1050</v>
      </c>
      <c r="C4288" s="162"/>
      <c r="D4288" s="882">
        <v>1</v>
      </c>
      <c r="E4288" s="1025" t="s">
        <v>1721</v>
      </c>
      <c r="F4288" s="273" t="s">
        <v>3446</v>
      </c>
      <c r="G4288" s="1040" t="s">
        <v>3463</v>
      </c>
      <c r="H4288" s="273" t="s">
        <v>3462</v>
      </c>
      <c r="I4288" s="720">
        <f>+J4288/D4288</f>
        <v>9000</v>
      </c>
      <c r="J4288" s="843">
        <v>9000</v>
      </c>
      <c r="K4288" s="131">
        <f t="shared" si="957"/>
        <v>9000</v>
      </c>
      <c r="L4288" s="335">
        <f t="shared" si="961"/>
        <v>0</v>
      </c>
      <c r="M4288" s="446"/>
      <c r="N4288" s="446"/>
      <c r="O4288" s="446"/>
      <c r="P4288" s="446"/>
      <c r="Q4288" s="110">
        <v>1</v>
      </c>
      <c r="R4288" s="111">
        <f t="shared" si="958"/>
        <v>2250</v>
      </c>
      <c r="S4288" s="110"/>
      <c r="T4288" s="110"/>
      <c r="U4288" s="110">
        <v>0</v>
      </c>
      <c r="V4288" s="111">
        <f t="shared" si="959"/>
        <v>2250</v>
      </c>
      <c r="W4288" s="110"/>
      <c r="X4288" s="110"/>
      <c r="Y4288" s="110"/>
      <c r="Z4288" s="110"/>
      <c r="AA4288" s="110">
        <v>0</v>
      </c>
      <c r="AB4288" s="111">
        <f t="shared" si="952"/>
        <v>2250</v>
      </c>
      <c r="AC4288" s="110"/>
      <c r="AD4288" s="110"/>
      <c r="AE4288" s="110">
        <v>0</v>
      </c>
      <c r="AF4288" s="111">
        <f t="shared" si="962"/>
        <v>2250</v>
      </c>
      <c r="AG4288" s="110"/>
      <c r="AH4288" s="110"/>
      <c r="AI4288" s="110"/>
      <c r="AJ4288" s="110"/>
      <c r="AK4288" s="111">
        <f t="shared" si="963"/>
        <v>9000</v>
      </c>
      <c r="AL4288" s="446">
        <f t="shared" si="964"/>
        <v>0</v>
      </c>
      <c r="AM4288" s="110">
        <f t="shared" si="965"/>
        <v>1</v>
      </c>
      <c r="AN4288" s="447">
        <f t="shared" si="960"/>
        <v>0</v>
      </c>
      <c r="AO4288"/>
      <c r="AP4288"/>
    </row>
    <row r="4289" spans="1:42" ht="66" x14ac:dyDescent="0.25">
      <c r="A4289" s="95"/>
      <c r="B4289" s="621" t="s">
        <v>1051</v>
      </c>
      <c r="C4289" s="162"/>
      <c r="D4289" s="882">
        <v>1</v>
      </c>
      <c r="E4289" s="1025" t="s">
        <v>1721</v>
      </c>
      <c r="F4289" s="273" t="s">
        <v>3446</v>
      </c>
      <c r="G4289" s="1040" t="s">
        <v>3463</v>
      </c>
      <c r="H4289" s="273" t="s">
        <v>3462</v>
      </c>
      <c r="I4289" s="720">
        <f>+J4289/D4289</f>
        <v>9000</v>
      </c>
      <c r="J4289" s="843">
        <v>9000</v>
      </c>
      <c r="K4289" s="131">
        <f t="shared" si="957"/>
        <v>9000</v>
      </c>
      <c r="L4289" s="335">
        <f t="shared" si="961"/>
        <v>0</v>
      </c>
      <c r="M4289" s="446"/>
      <c r="N4289" s="446"/>
      <c r="O4289" s="446"/>
      <c r="P4289" s="446"/>
      <c r="Q4289" s="110">
        <v>1</v>
      </c>
      <c r="R4289" s="111">
        <f t="shared" si="958"/>
        <v>2250</v>
      </c>
      <c r="S4289" s="110"/>
      <c r="T4289" s="110"/>
      <c r="U4289" s="110">
        <v>0</v>
      </c>
      <c r="V4289" s="111">
        <f t="shared" si="959"/>
        <v>2250</v>
      </c>
      <c r="W4289" s="110"/>
      <c r="X4289" s="110"/>
      <c r="Y4289" s="110"/>
      <c r="Z4289" s="110"/>
      <c r="AA4289" s="110">
        <v>0</v>
      </c>
      <c r="AB4289" s="111">
        <f t="shared" si="952"/>
        <v>2250</v>
      </c>
      <c r="AC4289" s="110"/>
      <c r="AD4289" s="110"/>
      <c r="AE4289" s="110">
        <v>0</v>
      </c>
      <c r="AF4289" s="111">
        <f t="shared" si="962"/>
        <v>2250</v>
      </c>
      <c r="AG4289" s="110"/>
      <c r="AH4289" s="110"/>
      <c r="AI4289" s="110"/>
      <c r="AJ4289" s="110"/>
      <c r="AK4289" s="111">
        <f t="shared" si="963"/>
        <v>9000</v>
      </c>
      <c r="AL4289" s="446">
        <f t="shared" si="964"/>
        <v>0</v>
      </c>
      <c r="AM4289" s="110">
        <f t="shared" si="965"/>
        <v>1</v>
      </c>
      <c r="AN4289" s="447">
        <f t="shared" si="960"/>
        <v>0</v>
      </c>
      <c r="AO4289"/>
      <c r="AP4289"/>
    </row>
    <row r="4290" spans="1:42" s="108" customFormat="1" ht="66" x14ac:dyDescent="0.25">
      <c r="A4290" s="90"/>
      <c r="B4290" s="536" t="s">
        <v>1052</v>
      </c>
      <c r="C4290" s="1024"/>
      <c r="D4290" s="869">
        <v>1</v>
      </c>
      <c r="E4290" s="1027" t="s">
        <v>1721</v>
      </c>
      <c r="F4290" s="278" t="s">
        <v>3446</v>
      </c>
      <c r="G4290" s="1040" t="s">
        <v>3463</v>
      </c>
      <c r="H4290" s="273" t="s">
        <v>3462</v>
      </c>
      <c r="I4290" s="722">
        <f>+J4290/D4290</f>
        <v>6000</v>
      </c>
      <c r="J4290" s="843">
        <v>6000</v>
      </c>
      <c r="K4290" s="131">
        <f t="shared" si="957"/>
        <v>6000</v>
      </c>
      <c r="L4290" s="335">
        <f t="shared" si="961"/>
        <v>0</v>
      </c>
      <c r="M4290" s="335"/>
      <c r="N4290" s="335"/>
      <c r="O4290" s="335"/>
      <c r="P4290" s="335"/>
      <c r="Q4290" s="130">
        <v>1</v>
      </c>
      <c r="R4290" s="131">
        <f t="shared" si="958"/>
        <v>1500</v>
      </c>
      <c r="S4290" s="130"/>
      <c r="T4290" s="130"/>
      <c r="U4290" s="130">
        <v>0</v>
      </c>
      <c r="V4290" s="131">
        <f t="shared" si="959"/>
        <v>1500</v>
      </c>
      <c r="W4290" s="130"/>
      <c r="X4290" s="130"/>
      <c r="Y4290" s="130"/>
      <c r="Z4290" s="130"/>
      <c r="AA4290" s="130">
        <v>0</v>
      </c>
      <c r="AB4290" s="131">
        <f t="shared" si="952"/>
        <v>1500</v>
      </c>
      <c r="AC4290" s="130"/>
      <c r="AD4290" s="130"/>
      <c r="AE4290" s="130">
        <v>0</v>
      </c>
      <c r="AF4290" s="131">
        <f t="shared" si="962"/>
        <v>1500</v>
      </c>
      <c r="AG4290" s="130"/>
      <c r="AH4290" s="130"/>
      <c r="AI4290" s="130"/>
      <c r="AJ4290" s="130"/>
      <c r="AK4290" s="131">
        <f t="shared" si="963"/>
        <v>6000</v>
      </c>
      <c r="AL4290" s="446">
        <f t="shared" si="964"/>
        <v>0</v>
      </c>
      <c r="AM4290" s="110">
        <f t="shared" si="965"/>
        <v>1</v>
      </c>
      <c r="AN4290" s="447">
        <f t="shared" si="960"/>
        <v>0</v>
      </c>
      <c r="AO4290"/>
      <c r="AP4290"/>
    </row>
    <row r="4291" spans="1:42" x14ac:dyDescent="0.25">
      <c r="A4291" s="315">
        <v>51903</v>
      </c>
      <c r="B4291" s="351" t="s">
        <v>1390</v>
      </c>
      <c r="C4291" s="315"/>
      <c r="D4291" s="886"/>
      <c r="E4291" s="318"/>
      <c r="F4291" s="319"/>
      <c r="G4291" s="319"/>
      <c r="H4291" s="319"/>
      <c r="I4291" s="724"/>
      <c r="J4291" s="753"/>
      <c r="K4291" s="131">
        <f t="shared" si="957"/>
        <v>0</v>
      </c>
      <c r="L4291" s="335">
        <f t="shared" si="961"/>
        <v>0</v>
      </c>
      <c r="M4291" s="648"/>
      <c r="N4291" s="648"/>
      <c r="O4291" s="648"/>
      <c r="P4291" s="648"/>
      <c r="Q4291" s="649">
        <f t="shared" si="954"/>
        <v>0</v>
      </c>
      <c r="R4291" s="647">
        <f t="shared" si="958"/>
        <v>0</v>
      </c>
      <c r="S4291" s="649"/>
      <c r="T4291" s="649"/>
      <c r="U4291" s="649">
        <f t="shared" si="955"/>
        <v>0</v>
      </c>
      <c r="V4291" s="647">
        <f t="shared" si="959"/>
        <v>0</v>
      </c>
      <c r="W4291" s="649"/>
      <c r="X4291" s="649"/>
      <c r="Y4291" s="649"/>
      <c r="Z4291" s="649"/>
      <c r="AA4291" s="649">
        <f t="shared" si="956"/>
        <v>0</v>
      </c>
      <c r="AB4291" s="647">
        <f t="shared" si="952"/>
        <v>0</v>
      </c>
      <c r="AC4291" s="649"/>
      <c r="AD4291" s="649"/>
      <c r="AE4291" s="649">
        <f t="shared" si="956"/>
        <v>0</v>
      </c>
      <c r="AF4291" s="647">
        <f t="shared" si="962"/>
        <v>0</v>
      </c>
      <c r="AG4291" s="649"/>
      <c r="AH4291" s="649"/>
      <c r="AI4291" s="649"/>
      <c r="AJ4291" s="649"/>
      <c r="AK4291" s="647">
        <f t="shared" si="963"/>
        <v>0</v>
      </c>
      <c r="AL4291" s="446">
        <f t="shared" si="964"/>
        <v>0</v>
      </c>
      <c r="AM4291" s="110">
        <f t="shared" si="965"/>
        <v>0</v>
      </c>
      <c r="AN4291" s="447">
        <f t="shared" si="960"/>
        <v>0</v>
      </c>
      <c r="AO4291" s="436">
        <f>SUM(J4292:J4294)</f>
        <v>68689.440000000002</v>
      </c>
      <c r="AP4291" s="111"/>
    </row>
    <row r="4292" spans="1:42" s="108" customFormat="1" ht="66" x14ac:dyDescent="0.25">
      <c r="A4292" s="90"/>
      <c r="B4292" s="622" t="s">
        <v>1391</v>
      </c>
      <c r="C4292" s="1024"/>
      <c r="D4292" s="869">
        <v>12</v>
      </c>
      <c r="E4292" s="1027" t="s">
        <v>1721</v>
      </c>
      <c r="F4292" s="278" t="s">
        <v>3446</v>
      </c>
      <c r="G4292" s="1040" t="s">
        <v>3463</v>
      </c>
      <c r="H4292" s="273" t="s">
        <v>3462</v>
      </c>
      <c r="I4292" s="722">
        <f>+J4292/D4292</f>
        <v>4872</v>
      </c>
      <c r="J4292" s="816">
        <v>58464</v>
      </c>
      <c r="K4292" s="131">
        <f t="shared" si="957"/>
        <v>58464</v>
      </c>
      <c r="L4292" s="335">
        <f t="shared" si="961"/>
        <v>0</v>
      </c>
      <c r="M4292" s="335"/>
      <c r="N4292" s="335"/>
      <c r="O4292" s="335"/>
      <c r="P4292" s="335"/>
      <c r="Q4292" s="130">
        <f t="shared" si="954"/>
        <v>3</v>
      </c>
      <c r="R4292" s="131">
        <f t="shared" si="958"/>
        <v>14616</v>
      </c>
      <c r="S4292" s="130"/>
      <c r="T4292" s="130"/>
      <c r="U4292" s="130">
        <f t="shared" si="955"/>
        <v>3</v>
      </c>
      <c r="V4292" s="131">
        <f t="shared" si="959"/>
        <v>14616</v>
      </c>
      <c r="W4292" s="130"/>
      <c r="X4292" s="130"/>
      <c r="Y4292" s="130"/>
      <c r="Z4292" s="130"/>
      <c r="AA4292" s="130">
        <f t="shared" si="956"/>
        <v>3</v>
      </c>
      <c r="AB4292" s="131">
        <f t="shared" si="952"/>
        <v>14616</v>
      </c>
      <c r="AC4292" s="130"/>
      <c r="AD4292" s="130"/>
      <c r="AE4292" s="130">
        <f t="shared" si="956"/>
        <v>3</v>
      </c>
      <c r="AF4292" s="131">
        <f t="shared" si="962"/>
        <v>14616</v>
      </c>
      <c r="AG4292" s="130"/>
      <c r="AH4292" s="130"/>
      <c r="AI4292" s="130"/>
      <c r="AJ4292" s="130"/>
      <c r="AK4292" s="131">
        <f t="shared" si="963"/>
        <v>58464</v>
      </c>
      <c r="AL4292" s="446">
        <f t="shared" si="964"/>
        <v>0</v>
      </c>
      <c r="AM4292" s="110">
        <f t="shared" si="965"/>
        <v>12</v>
      </c>
      <c r="AN4292" s="447">
        <f t="shared" si="960"/>
        <v>0</v>
      </c>
      <c r="AO4292"/>
      <c r="AP4292"/>
    </row>
    <row r="4293" spans="1:42" s="108" customFormat="1" ht="66" x14ac:dyDescent="0.25">
      <c r="A4293" s="90"/>
      <c r="B4293" s="34" t="s">
        <v>1740</v>
      </c>
      <c r="C4293" s="1024"/>
      <c r="D4293" s="869">
        <v>1</v>
      </c>
      <c r="E4293" s="1027" t="s">
        <v>1721</v>
      </c>
      <c r="F4293" s="278" t="s">
        <v>3446</v>
      </c>
      <c r="G4293" s="1040" t="s">
        <v>3463</v>
      </c>
      <c r="H4293" s="273" t="s">
        <v>3462</v>
      </c>
      <c r="I4293" s="722">
        <f>+J4293/D4293</f>
        <v>6985.44</v>
      </c>
      <c r="J4293" s="816">
        <v>6985.44</v>
      </c>
      <c r="K4293" s="131">
        <f t="shared" si="957"/>
        <v>6985.44</v>
      </c>
      <c r="L4293" s="335">
        <f t="shared" si="961"/>
        <v>0</v>
      </c>
      <c r="M4293" s="335"/>
      <c r="N4293" s="335"/>
      <c r="O4293" s="335"/>
      <c r="P4293" s="335"/>
      <c r="Q4293" s="130">
        <v>1</v>
      </c>
      <c r="R4293" s="131">
        <f t="shared" si="958"/>
        <v>1746.36</v>
      </c>
      <c r="S4293" s="130"/>
      <c r="T4293" s="130"/>
      <c r="U4293" s="130">
        <v>0</v>
      </c>
      <c r="V4293" s="131">
        <f t="shared" si="959"/>
        <v>1746.36</v>
      </c>
      <c r="W4293" s="130"/>
      <c r="X4293" s="130"/>
      <c r="Y4293" s="130"/>
      <c r="Z4293" s="130"/>
      <c r="AA4293" s="130">
        <v>0</v>
      </c>
      <c r="AB4293" s="131">
        <f t="shared" si="952"/>
        <v>1746.36</v>
      </c>
      <c r="AC4293" s="130"/>
      <c r="AD4293" s="130"/>
      <c r="AE4293" s="130">
        <v>0</v>
      </c>
      <c r="AF4293" s="131">
        <f t="shared" si="962"/>
        <v>1746.36</v>
      </c>
      <c r="AG4293" s="130"/>
      <c r="AH4293" s="130"/>
      <c r="AI4293" s="130"/>
      <c r="AJ4293" s="130"/>
      <c r="AK4293" s="131">
        <f t="shared" si="963"/>
        <v>6985.44</v>
      </c>
      <c r="AL4293" s="446">
        <f t="shared" si="964"/>
        <v>0</v>
      </c>
      <c r="AM4293" s="110">
        <f t="shared" si="965"/>
        <v>1</v>
      </c>
      <c r="AN4293" s="447">
        <f t="shared" si="960"/>
        <v>0</v>
      </c>
      <c r="AO4293"/>
      <c r="AP4293"/>
    </row>
    <row r="4294" spans="1:42" s="108" customFormat="1" ht="66" x14ac:dyDescent="0.25">
      <c r="A4294" s="90"/>
      <c r="B4294" s="684" t="s">
        <v>3360</v>
      </c>
      <c r="C4294" s="1024"/>
      <c r="D4294" s="869">
        <v>1</v>
      </c>
      <c r="E4294" s="1027" t="s">
        <v>1721</v>
      </c>
      <c r="F4294" s="278" t="s">
        <v>3446</v>
      </c>
      <c r="G4294" s="1040" t="s">
        <v>3463</v>
      </c>
      <c r="H4294" s="273" t="s">
        <v>3462</v>
      </c>
      <c r="I4294" s="722">
        <f>+J4294/D4294</f>
        <v>3240</v>
      </c>
      <c r="J4294" s="828">
        <v>3240</v>
      </c>
      <c r="K4294" s="131">
        <f t="shared" si="957"/>
        <v>3240</v>
      </c>
      <c r="L4294" s="335">
        <f t="shared" si="961"/>
        <v>0</v>
      </c>
      <c r="M4294" s="335"/>
      <c r="N4294" s="335"/>
      <c r="O4294" s="335"/>
      <c r="P4294" s="335"/>
      <c r="Q4294" s="130">
        <v>1</v>
      </c>
      <c r="R4294" s="131">
        <f t="shared" si="958"/>
        <v>810</v>
      </c>
      <c r="S4294" s="130"/>
      <c r="T4294" s="130"/>
      <c r="U4294" s="130">
        <v>0</v>
      </c>
      <c r="V4294" s="131">
        <f t="shared" si="959"/>
        <v>810</v>
      </c>
      <c r="W4294" s="130"/>
      <c r="X4294" s="130"/>
      <c r="Y4294" s="130"/>
      <c r="Z4294" s="130"/>
      <c r="AA4294" s="130">
        <v>0</v>
      </c>
      <c r="AB4294" s="131">
        <f t="shared" si="952"/>
        <v>810</v>
      </c>
      <c r="AC4294" s="130"/>
      <c r="AD4294" s="130"/>
      <c r="AE4294" s="130">
        <v>0</v>
      </c>
      <c r="AF4294" s="131">
        <f t="shared" si="962"/>
        <v>810</v>
      </c>
      <c r="AG4294" s="130"/>
      <c r="AH4294" s="130"/>
      <c r="AI4294" s="130"/>
      <c r="AJ4294" s="130"/>
      <c r="AK4294" s="131">
        <f t="shared" si="963"/>
        <v>3240</v>
      </c>
      <c r="AL4294" s="446">
        <f t="shared" si="964"/>
        <v>0</v>
      </c>
      <c r="AM4294" s="110">
        <f t="shared" si="965"/>
        <v>1</v>
      </c>
      <c r="AN4294" s="447">
        <f t="shared" si="960"/>
        <v>0</v>
      </c>
      <c r="AO4294"/>
      <c r="AP4294"/>
    </row>
    <row r="4295" spans="1:42" x14ac:dyDescent="0.25">
      <c r="A4295" s="357">
        <v>51907</v>
      </c>
      <c r="B4295" s="623" t="s">
        <v>2840</v>
      </c>
      <c r="C4295" s="316"/>
      <c r="D4295" s="886"/>
      <c r="E4295" s="318"/>
      <c r="F4295" s="319"/>
      <c r="G4295" s="319"/>
      <c r="H4295" s="319"/>
      <c r="I4295" s="724"/>
      <c r="J4295" s="753"/>
      <c r="K4295" s="131">
        <f t="shared" si="957"/>
        <v>0</v>
      </c>
      <c r="L4295" s="335">
        <f t="shared" si="961"/>
        <v>0</v>
      </c>
      <c r="M4295" s="648"/>
      <c r="N4295" s="648"/>
      <c r="O4295" s="648"/>
      <c r="P4295" s="648"/>
      <c r="Q4295" s="649">
        <f t="shared" si="954"/>
        <v>0</v>
      </c>
      <c r="R4295" s="647">
        <f t="shared" si="958"/>
        <v>0</v>
      </c>
      <c r="S4295" s="649"/>
      <c r="T4295" s="649"/>
      <c r="U4295" s="649">
        <f t="shared" si="955"/>
        <v>0</v>
      </c>
      <c r="V4295" s="647">
        <f t="shared" si="959"/>
        <v>0</v>
      </c>
      <c r="W4295" s="649"/>
      <c r="X4295" s="649"/>
      <c r="Y4295" s="649"/>
      <c r="Z4295" s="649"/>
      <c r="AA4295" s="649">
        <f t="shared" si="956"/>
        <v>0</v>
      </c>
      <c r="AB4295" s="647">
        <f t="shared" si="952"/>
        <v>0</v>
      </c>
      <c r="AC4295" s="649"/>
      <c r="AD4295" s="649"/>
      <c r="AE4295" s="649">
        <f t="shared" si="956"/>
        <v>0</v>
      </c>
      <c r="AF4295" s="647">
        <f t="shared" si="962"/>
        <v>0</v>
      </c>
      <c r="AG4295" s="649"/>
      <c r="AH4295" s="649"/>
      <c r="AI4295" s="649"/>
      <c r="AJ4295" s="649"/>
      <c r="AK4295" s="647">
        <f t="shared" si="963"/>
        <v>0</v>
      </c>
      <c r="AL4295" s="446">
        <f t="shared" si="964"/>
        <v>0</v>
      </c>
      <c r="AM4295" s="110">
        <f t="shared" si="965"/>
        <v>0</v>
      </c>
      <c r="AN4295" s="447">
        <f t="shared" si="960"/>
        <v>0</v>
      </c>
      <c r="AO4295" s="436">
        <f>SUM(J4296)</f>
        <v>4019.4</v>
      </c>
      <c r="AP4295" s="111"/>
    </row>
    <row r="4296" spans="1:42" ht="66" x14ac:dyDescent="0.25">
      <c r="A4296" s="95"/>
      <c r="B4296" s="45" t="s">
        <v>2841</v>
      </c>
      <c r="C4296" s="1024"/>
      <c r="D4296" s="869">
        <v>1</v>
      </c>
      <c r="E4296" s="1027" t="s">
        <v>1721</v>
      </c>
      <c r="F4296" s="278" t="s">
        <v>3446</v>
      </c>
      <c r="G4296" s="1040" t="s">
        <v>3463</v>
      </c>
      <c r="H4296" s="273" t="s">
        <v>3462</v>
      </c>
      <c r="I4296" s="720">
        <f>+J4296/D4296</f>
        <v>4019.4</v>
      </c>
      <c r="J4296" s="828">
        <v>4019.4</v>
      </c>
      <c r="K4296" s="131">
        <f t="shared" si="957"/>
        <v>4019.4</v>
      </c>
      <c r="L4296" s="335">
        <f t="shared" si="961"/>
        <v>0</v>
      </c>
      <c r="M4296" s="446"/>
      <c r="N4296" s="446"/>
      <c r="O4296" s="446"/>
      <c r="P4296" s="446"/>
      <c r="Q4296" s="110">
        <v>1</v>
      </c>
      <c r="R4296" s="111">
        <f t="shared" si="958"/>
        <v>1004.85</v>
      </c>
      <c r="S4296" s="110"/>
      <c r="T4296" s="110"/>
      <c r="U4296" s="110">
        <v>0</v>
      </c>
      <c r="V4296" s="111">
        <f t="shared" si="959"/>
        <v>1004.85</v>
      </c>
      <c r="W4296" s="110"/>
      <c r="X4296" s="110"/>
      <c r="Y4296" s="110"/>
      <c r="Z4296" s="110"/>
      <c r="AA4296" s="110">
        <v>0</v>
      </c>
      <c r="AB4296" s="111">
        <f t="shared" si="952"/>
        <v>1004.85</v>
      </c>
      <c r="AC4296" s="110"/>
      <c r="AD4296" s="110"/>
      <c r="AE4296" s="110">
        <v>0</v>
      </c>
      <c r="AF4296" s="111">
        <f t="shared" si="962"/>
        <v>1004.85</v>
      </c>
      <c r="AG4296" s="110"/>
      <c r="AH4296" s="110"/>
      <c r="AI4296" s="110"/>
      <c r="AJ4296" s="110"/>
      <c r="AK4296" s="111">
        <f t="shared" si="963"/>
        <v>4019.4</v>
      </c>
      <c r="AL4296" s="446">
        <f t="shared" si="964"/>
        <v>0</v>
      </c>
      <c r="AM4296" s="110">
        <f t="shared" si="965"/>
        <v>1</v>
      </c>
      <c r="AN4296" s="447">
        <f t="shared" si="960"/>
        <v>0</v>
      </c>
      <c r="AO4296"/>
      <c r="AP4296"/>
    </row>
    <row r="4297" spans="1:42" x14ac:dyDescent="0.25">
      <c r="A4297" s="315">
        <v>51908</v>
      </c>
      <c r="B4297" s="351" t="s">
        <v>1053</v>
      </c>
      <c r="C4297" s="315"/>
      <c r="D4297" s="886"/>
      <c r="E4297" s="318"/>
      <c r="F4297" s="319"/>
      <c r="G4297" s="319"/>
      <c r="H4297" s="319"/>
      <c r="I4297" s="724"/>
      <c r="J4297" s="753"/>
      <c r="K4297" s="131">
        <f t="shared" si="957"/>
        <v>0</v>
      </c>
      <c r="L4297" s="335">
        <f t="shared" si="961"/>
        <v>0</v>
      </c>
      <c r="M4297" s="648"/>
      <c r="N4297" s="648"/>
      <c r="O4297" s="648"/>
      <c r="P4297" s="648"/>
      <c r="Q4297" s="649">
        <f t="shared" si="954"/>
        <v>0</v>
      </c>
      <c r="R4297" s="647">
        <f t="shared" si="958"/>
        <v>0</v>
      </c>
      <c r="S4297" s="649"/>
      <c r="T4297" s="649"/>
      <c r="U4297" s="649">
        <f t="shared" si="955"/>
        <v>0</v>
      </c>
      <c r="V4297" s="647">
        <f t="shared" si="959"/>
        <v>0</v>
      </c>
      <c r="W4297" s="649"/>
      <c r="X4297" s="649"/>
      <c r="Y4297" s="649"/>
      <c r="Z4297" s="649"/>
      <c r="AA4297" s="649">
        <f t="shared" si="956"/>
        <v>0</v>
      </c>
      <c r="AB4297" s="647">
        <f t="shared" si="952"/>
        <v>0</v>
      </c>
      <c r="AC4297" s="649"/>
      <c r="AD4297" s="649"/>
      <c r="AE4297" s="649">
        <f t="shared" si="956"/>
        <v>0</v>
      </c>
      <c r="AF4297" s="647">
        <f t="shared" si="962"/>
        <v>0</v>
      </c>
      <c r="AG4297" s="649"/>
      <c r="AH4297" s="649"/>
      <c r="AI4297" s="649"/>
      <c r="AJ4297" s="649"/>
      <c r="AK4297" s="647">
        <f t="shared" si="963"/>
        <v>0</v>
      </c>
      <c r="AL4297" s="446">
        <f t="shared" si="964"/>
        <v>0</v>
      </c>
      <c r="AM4297" s="110">
        <f t="shared" si="965"/>
        <v>0</v>
      </c>
      <c r="AN4297" s="447">
        <f t="shared" si="960"/>
        <v>0</v>
      </c>
      <c r="AO4297" s="436">
        <f>SUM(J4298:J4313)</f>
        <v>195391.22999999998</v>
      </c>
      <c r="AP4297" s="111"/>
    </row>
    <row r="4298" spans="1:42" ht="66" x14ac:dyDescent="0.25">
      <c r="A4298" s="9"/>
      <c r="B4298" s="99" t="s">
        <v>1054</v>
      </c>
      <c r="C4298" s="9"/>
      <c r="D4298" s="869">
        <f>1+1+2+1</f>
        <v>5</v>
      </c>
      <c r="E4298" s="1027" t="s">
        <v>1721</v>
      </c>
      <c r="F4298" s="273" t="s">
        <v>3446</v>
      </c>
      <c r="G4298" s="1040" t="s">
        <v>3463</v>
      </c>
      <c r="H4298" s="273" t="s">
        <v>3462</v>
      </c>
      <c r="I4298" s="720">
        <f t="shared" ref="I4298:I4313" si="966">+J4298/D4298</f>
        <v>12692</v>
      </c>
      <c r="J4298" s="756">
        <f>17000+11600+28380+6480</f>
        <v>63460</v>
      </c>
      <c r="K4298" s="131">
        <f t="shared" si="957"/>
        <v>63460</v>
      </c>
      <c r="L4298" s="335">
        <f t="shared" si="961"/>
        <v>0</v>
      </c>
      <c r="M4298" s="446"/>
      <c r="N4298" s="446"/>
      <c r="O4298" s="446"/>
      <c r="P4298" s="446"/>
      <c r="Q4298" s="110">
        <v>2</v>
      </c>
      <c r="R4298" s="111">
        <f t="shared" si="958"/>
        <v>15865</v>
      </c>
      <c r="S4298" s="110"/>
      <c r="T4298" s="110"/>
      <c r="U4298" s="110">
        <v>1</v>
      </c>
      <c r="V4298" s="111">
        <f t="shared" si="959"/>
        <v>15865</v>
      </c>
      <c r="W4298" s="110"/>
      <c r="X4298" s="110"/>
      <c r="Y4298" s="110"/>
      <c r="Z4298" s="110"/>
      <c r="AA4298" s="110">
        <v>1</v>
      </c>
      <c r="AB4298" s="111">
        <f t="shared" si="952"/>
        <v>15865</v>
      </c>
      <c r="AC4298" s="110"/>
      <c r="AD4298" s="110"/>
      <c r="AE4298" s="110">
        <v>1</v>
      </c>
      <c r="AF4298" s="111">
        <f t="shared" si="962"/>
        <v>15865</v>
      </c>
      <c r="AG4298" s="110"/>
      <c r="AH4298" s="110"/>
      <c r="AI4298" s="110"/>
      <c r="AJ4298" s="110"/>
      <c r="AK4298" s="111">
        <f t="shared" si="963"/>
        <v>63460</v>
      </c>
      <c r="AL4298" s="446">
        <f t="shared" si="964"/>
        <v>0</v>
      </c>
      <c r="AM4298" s="110">
        <f t="shared" si="965"/>
        <v>5</v>
      </c>
      <c r="AN4298" s="447">
        <f t="shared" si="960"/>
        <v>0</v>
      </c>
      <c r="AO4298"/>
      <c r="AP4298"/>
    </row>
    <row r="4299" spans="1:42" ht="66" x14ac:dyDescent="0.25">
      <c r="A4299" s="9"/>
      <c r="B4299" s="624" t="s">
        <v>1055</v>
      </c>
      <c r="C4299" s="9"/>
      <c r="D4299" s="869">
        <v>4</v>
      </c>
      <c r="E4299" s="1027" t="s">
        <v>1721</v>
      </c>
      <c r="F4299" s="273" t="s">
        <v>3446</v>
      </c>
      <c r="G4299" s="1040" t="s">
        <v>3463</v>
      </c>
      <c r="H4299" s="273" t="s">
        <v>3462</v>
      </c>
      <c r="I4299" s="720">
        <f t="shared" si="966"/>
        <v>1400.38</v>
      </c>
      <c r="J4299" s="756">
        <v>5601.52</v>
      </c>
      <c r="K4299" s="131">
        <f t="shared" si="957"/>
        <v>5601.52</v>
      </c>
      <c r="L4299" s="335">
        <f t="shared" si="961"/>
        <v>0</v>
      </c>
      <c r="M4299" s="446"/>
      <c r="N4299" s="446"/>
      <c r="O4299" s="446"/>
      <c r="P4299" s="446"/>
      <c r="Q4299" s="110">
        <f t="shared" si="954"/>
        <v>1</v>
      </c>
      <c r="R4299" s="111">
        <f t="shared" si="958"/>
        <v>1400.38</v>
      </c>
      <c r="S4299" s="110"/>
      <c r="T4299" s="110"/>
      <c r="U4299" s="110">
        <f t="shared" si="955"/>
        <v>1</v>
      </c>
      <c r="V4299" s="111">
        <f t="shared" si="959"/>
        <v>1400.38</v>
      </c>
      <c r="W4299" s="110"/>
      <c r="X4299" s="110"/>
      <c r="Y4299" s="110"/>
      <c r="Z4299" s="110"/>
      <c r="AA4299" s="110">
        <f t="shared" si="956"/>
        <v>1</v>
      </c>
      <c r="AB4299" s="111">
        <f t="shared" si="952"/>
        <v>1400.38</v>
      </c>
      <c r="AC4299" s="110"/>
      <c r="AD4299" s="110"/>
      <c r="AE4299" s="110">
        <f t="shared" si="956"/>
        <v>1</v>
      </c>
      <c r="AF4299" s="111">
        <f t="shared" si="962"/>
        <v>1400.38</v>
      </c>
      <c r="AG4299" s="110"/>
      <c r="AH4299" s="110"/>
      <c r="AI4299" s="110"/>
      <c r="AJ4299" s="110"/>
      <c r="AK4299" s="111">
        <f t="shared" si="963"/>
        <v>5601.52</v>
      </c>
      <c r="AL4299" s="446">
        <f t="shared" si="964"/>
        <v>0</v>
      </c>
      <c r="AM4299" s="110">
        <f t="shared" si="965"/>
        <v>4</v>
      </c>
      <c r="AN4299" s="447">
        <f t="shared" si="960"/>
        <v>0</v>
      </c>
      <c r="AO4299"/>
      <c r="AP4299"/>
    </row>
    <row r="4300" spans="1:42" ht="66" x14ac:dyDescent="0.25">
      <c r="A4300" s="9"/>
      <c r="B4300" s="624" t="s">
        <v>1122</v>
      </c>
      <c r="C4300" s="9"/>
      <c r="D4300" s="869">
        <f>1</f>
        <v>1</v>
      </c>
      <c r="E4300" s="1027" t="s">
        <v>1721</v>
      </c>
      <c r="F4300" s="273" t="s">
        <v>3446</v>
      </c>
      <c r="G4300" s="1040" t="s">
        <v>3463</v>
      </c>
      <c r="H4300" s="273" t="s">
        <v>3462</v>
      </c>
      <c r="I4300" s="720">
        <f t="shared" si="966"/>
        <v>6415.2</v>
      </c>
      <c r="J4300" s="756">
        <f>6415.2</f>
        <v>6415.2</v>
      </c>
      <c r="K4300" s="131">
        <f t="shared" si="957"/>
        <v>6415.2</v>
      </c>
      <c r="L4300" s="335">
        <f t="shared" si="961"/>
        <v>0</v>
      </c>
      <c r="M4300" s="446"/>
      <c r="N4300" s="446"/>
      <c r="O4300" s="446"/>
      <c r="P4300" s="446"/>
      <c r="Q4300" s="110">
        <v>1</v>
      </c>
      <c r="R4300" s="111">
        <f t="shared" si="958"/>
        <v>1603.8</v>
      </c>
      <c r="S4300" s="110"/>
      <c r="T4300" s="110"/>
      <c r="U4300" s="110">
        <v>0</v>
      </c>
      <c r="V4300" s="111">
        <f t="shared" si="959"/>
        <v>1603.8</v>
      </c>
      <c r="W4300" s="110"/>
      <c r="X4300" s="110"/>
      <c r="Y4300" s="110"/>
      <c r="Z4300" s="110"/>
      <c r="AA4300" s="110">
        <v>0</v>
      </c>
      <c r="AB4300" s="111">
        <f t="shared" si="952"/>
        <v>1603.8</v>
      </c>
      <c r="AC4300" s="110"/>
      <c r="AD4300" s="110"/>
      <c r="AE4300" s="110">
        <v>0</v>
      </c>
      <c r="AF4300" s="111">
        <f t="shared" si="962"/>
        <v>1603.8</v>
      </c>
      <c r="AG4300" s="110"/>
      <c r="AH4300" s="110"/>
      <c r="AI4300" s="110"/>
      <c r="AJ4300" s="110"/>
      <c r="AK4300" s="111">
        <f t="shared" si="963"/>
        <v>6415.2</v>
      </c>
      <c r="AL4300" s="446">
        <f t="shared" si="964"/>
        <v>0</v>
      </c>
      <c r="AM4300" s="110">
        <f t="shared" si="965"/>
        <v>1</v>
      </c>
      <c r="AN4300" s="447">
        <f t="shared" si="960"/>
        <v>0</v>
      </c>
      <c r="AO4300"/>
      <c r="AP4300"/>
    </row>
    <row r="4301" spans="1:42" ht="66" x14ac:dyDescent="0.25">
      <c r="A4301" s="9"/>
      <c r="B4301" s="615" t="s">
        <v>1056</v>
      </c>
      <c r="C4301" s="9"/>
      <c r="D4301" s="869">
        <v>2</v>
      </c>
      <c r="E4301" s="1027" t="s">
        <v>1721</v>
      </c>
      <c r="F4301" s="273" t="s">
        <v>3446</v>
      </c>
      <c r="G4301" s="1040" t="s">
        <v>3463</v>
      </c>
      <c r="H4301" s="273" t="s">
        <v>3462</v>
      </c>
      <c r="I4301" s="720">
        <f t="shared" si="966"/>
        <v>3911.64</v>
      </c>
      <c r="J4301" s="756">
        <f>4823.28+3000</f>
        <v>7823.28</v>
      </c>
      <c r="K4301" s="131">
        <f t="shared" si="957"/>
        <v>7823.28</v>
      </c>
      <c r="L4301" s="335">
        <f t="shared" si="961"/>
        <v>0</v>
      </c>
      <c r="M4301" s="446"/>
      <c r="N4301" s="446"/>
      <c r="O4301" s="446"/>
      <c r="P4301" s="446"/>
      <c r="Q4301" s="130">
        <v>1</v>
      </c>
      <c r="R4301" s="111">
        <f t="shared" si="958"/>
        <v>1955.82</v>
      </c>
      <c r="S4301" s="110"/>
      <c r="T4301" s="110"/>
      <c r="U4301" s="130">
        <v>1</v>
      </c>
      <c r="V4301" s="111">
        <f t="shared" si="959"/>
        <v>1955.82</v>
      </c>
      <c r="W4301" s="110"/>
      <c r="X4301" s="110"/>
      <c r="Y4301" s="110"/>
      <c r="Z4301" s="110"/>
      <c r="AA4301" s="130">
        <v>0</v>
      </c>
      <c r="AB4301" s="111">
        <f t="shared" si="952"/>
        <v>1955.82</v>
      </c>
      <c r="AC4301" s="110"/>
      <c r="AD4301" s="110"/>
      <c r="AE4301" s="130">
        <v>0</v>
      </c>
      <c r="AF4301" s="111">
        <f t="shared" si="962"/>
        <v>1955.82</v>
      </c>
      <c r="AG4301" s="110"/>
      <c r="AH4301" s="110"/>
      <c r="AI4301" s="110"/>
      <c r="AJ4301" s="110"/>
      <c r="AK4301" s="111">
        <f t="shared" si="963"/>
        <v>7823.28</v>
      </c>
      <c r="AL4301" s="446">
        <f t="shared" si="964"/>
        <v>0</v>
      </c>
      <c r="AM4301" s="110">
        <f t="shared" si="965"/>
        <v>2</v>
      </c>
      <c r="AN4301" s="447">
        <f t="shared" si="960"/>
        <v>0</v>
      </c>
      <c r="AO4301"/>
      <c r="AP4301"/>
    </row>
    <row r="4302" spans="1:42" ht="66" x14ac:dyDescent="0.25">
      <c r="A4302" s="95"/>
      <c r="B4302" s="625" t="s">
        <v>1123</v>
      </c>
      <c r="C4302" s="1024"/>
      <c r="D4302" s="869">
        <f>1</f>
        <v>1</v>
      </c>
      <c r="E4302" s="1027" t="s">
        <v>1721</v>
      </c>
      <c r="F4302" s="273" t="s">
        <v>3446</v>
      </c>
      <c r="G4302" s="1040" t="s">
        <v>3463</v>
      </c>
      <c r="H4302" s="273" t="s">
        <v>3462</v>
      </c>
      <c r="I4302" s="720">
        <f t="shared" si="966"/>
        <v>3277.24</v>
      </c>
      <c r="J4302" s="849">
        <f>3277.24</f>
        <v>3277.24</v>
      </c>
      <c r="K4302" s="131">
        <f t="shared" si="957"/>
        <v>3277.24</v>
      </c>
      <c r="L4302" s="335">
        <f t="shared" si="961"/>
        <v>0</v>
      </c>
      <c r="M4302" s="446"/>
      <c r="N4302" s="446"/>
      <c r="O4302" s="446"/>
      <c r="P4302" s="446"/>
      <c r="Q4302" s="110">
        <v>1</v>
      </c>
      <c r="R4302" s="111">
        <f t="shared" si="958"/>
        <v>819.31</v>
      </c>
      <c r="S4302" s="110"/>
      <c r="T4302" s="110"/>
      <c r="U4302" s="110">
        <v>0</v>
      </c>
      <c r="V4302" s="111">
        <f t="shared" si="959"/>
        <v>819.31</v>
      </c>
      <c r="W4302" s="110"/>
      <c r="X4302" s="110"/>
      <c r="Y4302" s="110"/>
      <c r="Z4302" s="110"/>
      <c r="AA4302" s="110">
        <v>0</v>
      </c>
      <c r="AB4302" s="111">
        <f t="shared" si="952"/>
        <v>819.31</v>
      </c>
      <c r="AC4302" s="110"/>
      <c r="AD4302" s="110"/>
      <c r="AE4302" s="110">
        <v>0</v>
      </c>
      <c r="AF4302" s="111">
        <f t="shared" si="962"/>
        <v>819.31</v>
      </c>
      <c r="AG4302" s="110"/>
      <c r="AH4302" s="110"/>
      <c r="AI4302" s="110"/>
      <c r="AJ4302" s="110"/>
      <c r="AK4302" s="111">
        <f t="shared" si="963"/>
        <v>3277.24</v>
      </c>
      <c r="AL4302" s="446">
        <f t="shared" si="964"/>
        <v>0</v>
      </c>
      <c r="AM4302" s="110">
        <f t="shared" si="965"/>
        <v>1</v>
      </c>
      <c r="AN4302" s="447">
        <f t="shared" si="960"/>
        <v>0</v>
      </c>
      <c r="AO4302"/>
      <c r="AP4302"/>
    </row>
    <row r="4303" spans="1:42" s="108" customFormat="1" ht="66" x14ac:dyDescent="0.25">
      <c r="A4303" s="90"/>
      <c r="B4303" s="45" t="s">
        <v>1058</v>
      </c>
      <c r="C4303" s="1024"/>
      <c r="D4303" s="869">
        <f>1</f>
        <v>1</v>
      </c>
      <c r="E4303" s="1027" t="s">
        <v>1721</v>
      </c>
      <c r="F4303" s="278" t="s">
        <v>3446</v>
      </c>
      <c r="G4303" s="1040" t="s">
        <v>3463</v>
      </c>
      <c r="H4303" s="273" t="s">
        <v>3462</v>
      </c>
      <c r="I4303" s="722">
        <f t="shared" si="966"/>
        <v>11455.72</v>
      </c>
      <c r="J4303" s="849">
        <f>11455.72</f>
        <v>11455.72</v>
      </c>
      <c r="K4303" s="131">
        <f t="shared" si="957"/>
        <v>11455.72</v>
      </c>
      <c r="L4303" s="335">
        <f t="shared" si="961"/>
        <v>0</v>
      </c>
      <c r="M4303" s="335"/>
      <c r="N4303" s="335"/>
      <c r="O4303" s="335"/>
      <c r="P4303" s="335"/>
      <c r="Q4303" s="130">
        <v>1</v>
      </c>
      <c r="R4303" s="131">
        <f t="shared" si="958"/>
        <v>2863.93</v>
      </c>
      <c r="S4303" s="130"/>
      <c r="T4303" s="130"/>
      <c r="U4303" s="130">
        <v>0</v>
      </c>
      <c r="V4303" s="131">
        <f t="shared" si="959"/>
        <v>2863.93</v>
      </c>
      <c r="W4303" s="130"/>
      <c r="X4303" s="130"/>
      <c r="Y4303" s="130"/>
      <c r="Z4303" s="130"/>
      <c r="AA4303" s="130">
        <v>0</v>
      </c>
      <c r="AB4303" s="131">
        <f t="shared" si="952"/>
        <v>2863.93</v>
      </c>
      <c r="AC4303" s="130"/>
      <c r="AD4303" s="130"/>
      <c r="AE4303" s="130">
        <v>0</v>
      </c>
      <c r="AF4303" s="131">
        <f t="shared" si="962"/>
        <v>2863.93</v>
      </c>
      <c r="AG4303" s="130"/>
      <c r="AH4303" s="130"/>
      <c r="AI4303" s="130"/>
      <c r="AJ4303" s="130"/>
      <c r="AK4303" s="131">
        <f t="shared" si="963"/>
        <v>11455.72</v>
      </c>
      <c r="AL4303" s="446">
        <f t="shared" si="964"/>
        <v>0</v>
      </c>
      <c r="AM4303" s="110">
        <f t="shared" si="965"/>
        <v>1</v>
      </c>
      <c r="AN4303" s="447">
        <f t="shared" si="960"/>
        <v>0</v>
      </c>
      <c r="AO4303"/>
      <c r="AP4303"/>
    </row>
    <row r="4304" spans="1:42" s="108" customFormat="1" ht="66" x14ac:dyDescent="0.25">
      <c r="A4304" s="90"/>
      <c r="B4304" s="620" t="s">
        <v>1059</v>
      </c>
      <c r="C4304" s="1024"/>
      <c r="D4304" s="869">
        <f>1</f>
        <v>1</v>
      </c>
      <c r="E4304" s="1027" t="s">
        <v>1721</v>
      </c>
      <c r="F4304" s="278" t="s">
        <v>3446</v>
      </c>
      <c r="G4304" s="1040" t="s">
        <v>3463</v>
      </c>
      <c r="H4304" s="273" t="s">
        <v>3462</v>
      </c>
      <c r="I4304" s="722">
        <f t="shared" si="966"/>
        <v>1740</v>
      </c>
      <c r="J4304" s="849">
        <f>1740</f>
        <v>1740</v>
      </c>
      <c r="K4304" s="131">
        <f t="shared" si="957"/>
        <v>1740</v>
      </c>
      <c r="L4304" s="335">
        <f t="shared" si="961"/>
        <v>0</v>
      </c>
      <c r="M4304" s="335"/>
      <c r="N4304" s="335"/>
      <c r="O4304" s="335"/>
      <c r="P4304" s="335"/>
      <c r="Q4304" s="130">
        <v>1</v>
      </c>
      <c r="R4304" s="131">
        <f t="shared" si="958"/>
        <v>435</v>
      </c>
      <c r="S4304" s="130"/>
      <c r="T4304" s="130"/>
      <c r="U4304" s="130">
        <v>0</v>
      </c>
      <c r="V4304" s="131">
        <f t="shared" si="959"/>
        <v>435</v>
      </c>
      <c r="W4304" s="130"/>
      <c r="X4304" s="130"/>
      <c r="Y4304" s="130"/>
      <c r="Z4304" s="130"/>
      <c r="AA4304" s="130">
        <v>0</v>
      </c>
      <c r="AB4304" s="131">
        <f t="shared" ref="AB4304:AB4367" si="967">+J4304/4</f>
        <v>435</v>
      </c>
      <c r="AC4304" s="130"/>
      <c r="AD4304" s="130"/>
      <c r="AE4304" s="130">
        <v>0</v>
      </c>
      <c r="AF4304" s="131">
        <f t="shared" si="962"/>
        <v>435</v>
      </c>
      <c r="AG4304" s="130"/>
      <c r="AH4304" s="130"/>
      <c r="AI4304" s="130"/>
      <c r="AJ4304" s="130"/>
      <c r="AK4304" s="131">
        <f t="shared" si="963"/>
        <v>1740</v>
      </c>
      <c r="AL4304" s="446">
        <f t="shared" si="964"/>
        <v>0</v>
      </c>
      <c r="AM4304" s="110">
        <f t="shared" si="965"/>
        <v>1</v>
      </c>
      <c r="AN4304" s="447">
        <f t="shared" si="960"/>
        <v>0</v>
      </c>
      <c r="AO4304"/>
      <c r="AP4304"/>
    </row>
    <row r="4305" spans="1:42" s="108" customFormat="1" ht="66" x14ac:dyDescent="0.25">
      <c r="A4305" s="90"/>
      <c r="B4305" s="96" t="s">
        <v>1060</v>
      </c>
      <c r="C4305" s="1024"/>
      <c r="D4305" s="869">
        <f>2</f>
        <v>2</v>
      </c>
      <c r="E4305" s="1027" t="s">
        <v>1721</v>
      </c>
      <c r="F4305" s="278" t="s">
        <v>3446</v>
      </c>
      <c r="G4305" s="1040" t="s">
        <v>3463</v>
      </c>
      <c r="H4305" s="273" t="s">
        <v>3462</v>
      </c>
      <c r="I4305" s="722">
        <f t="shared" si="966"/>
        <v>2803.08</v>
      </c>
      <c r="J4305" s="849">
        <f>5606.16</f>
        <v>5606.16</v>
      </c>
      <c r="K4305" s="131">
        <f t="shared" si="957"/>
        <v>5606.16</v>
      </c>
      <c r="L4305" s="335">
        <f t="shared" si="961"/>
        <v>0</v>
      </c>
      <c r="M4305" s="335"/>
      <c r="N4305" s="335"/>
      <c r="O4305" s="335"/>
      <c r="P4305" s="335"/>
      <c r="Q4305" s="130">
        <v>1</v>
      </c>
      <c r="R4305" s="131">
        <f t="shared" si="958"/>
        <v>1401.54</v>
      </c>
      <c r="S4305" s="130"/>
      <c r="T4305" s="130"/>
      <c r="U4305" s="130">
        <v>1</v>
      </c>
      <c r="V4305" s="131">
        <f t="shared" si="959"/>
        <v>1401.54</v>
      </c>
      <c r="W4305" s="130"/>
      <c r="X4305" s="130"/>
      <c r="Y4305" s="130"/>
      <c r="Z4305" s="130"/>
      <c r="AA4305" s="130">
        <v>0</v>
      </c>
      <c r="AB4305" s="131">
        <f t="shared" si="967"/>
        <v>1401.54</v>
      </c>
      <c r="AC4305" s="130"/>
      <c r="AD4305" s="130"/>
      <c r="AE4305" s="130">
        <v>0</v>
      </c>
      <c r="AF4305" s="131">
        <f t="shared" si="962"/>
        <v>1401.54</v>
      </c>
      <c r="AG4305" s="130"/>
      <c r="AH4305" s="130"/>
      <c r="AI4305" s="130"/>
      <c r="AJ4305" s="130"/>
      <c r="AK4305" s="131">
        <f t="shared" si="963"/>
        <v>5606.16</v>
      </c>
      <c r="AL4305" s="446">
        <f t="shared" si="964"/>
        <v>0</v>
      </c>
      <c r="AM4305" s="110">
        <f t="shared" si="965"/>
        <v>2</v>
      </c>
      <c r="AN4305" s="447">
        <f t="shared" si="960"/>
        <v>0</v>
      </c>
      <c r="AO4305"/>
      <c r="AP4305"/>
    </row>
    <row r="4306" spans="1:42" s="108" customFormat="1" ht="66" x14ac:dyDescent="0.25">
      <c r="A4306" s="90"/>
      <c r="B4306" s="96" t="s">
        <v>1124</v>
      </c>
      <c r="C4306" s="1024"/>
      <c r="D4306" s="869">
        <f>2</f>
        <v>2</v>
      </c>
      <c r="E4306" s="1027" t="s">
        <v>1721</v>
      </c>
      <c r="F4306" s="278" t="s">
        <v>3446</v>
      </c>
      <c r="G4306" s="1040" t="s">
        <v>3463</v>
      </c>
      <c r="H4306" s="273" t="s">
        <v>3462</v>
      </c>
      <c r="I4306" s="722">
        <f t="shared" si="966"/>
        <v>4490.6400000000003</v>
      </c>
      <c r="J4306" s="849">
        <f>8981.28</f>
        <v>8981.2800000000007</v>
      </c>
      <c r="K4306" s="131">
        <f t="shared" si="957"/>
        <v>8981.2800000000007</v>
      </c>
      <c r="L4306" s="335">
        <f t="shared" si="961"/>
        <v>0</v>
      </c>
      <c r="M4306" s="335"/>
      <c r="N4306" s="335"/>
      <c r="O4306" s="335"/>
      <c r="P4306" s="335"/>
      <c r="Q4306" s="130">
        <v>1</v>
      </c>
      <c r="R4306" s="131">
        <f t="shared" si="958"/>
        <v>2245.3200000000002</v>
      </c>
      <c r="S4306" s="130"/>
      <c r="T4306" s="130"/>
      <c r="U4306" s="130">
        <v>1</v>
      </c>
      <c r="V4306" s="131">
        <f t="shared" si="959"/>
        <v>2245.3200000000002</v>
      </c>
      <c r="W4306" s="130"/>
      <c r="X4306" s="130"/>
      <c r="Y4306" s="130"/>
      <c r="Z4306" s="130"/>
      <c r="AA4306" s="130">
        <v>0</v>
      </c>
      <c r="AB4306" s="131">
        <f t="shared" si="967"/>
        <v>2245.3200000000002</v>
      </c>
      <c r="AC4306" s="130"/>
      <c r="AD4306" s="130"/>
      <c r="AE4306" s="130">
        <v>0</v>
      </c>
      <c r="AF4306" s="131">
        <f t="shared" si="962"/>
        <v>2245.3200000000002</v>
      </c>
      <c r="AG4306" s="130"/>
      <c r="AH4306" s="130"/>
      <c r="AI4306" s="130"/>
      <c r="AJ4306" s="130"/>
      <c r="AK4306" s="131">
        <f t="shared" si="963"/>
        <v>8981.2800000000007</v>
      </c>
      <c r="AL4306" s="446">
        <f t="shared" si="964"/>
        <v>0</v>
      </c>
      <c r="AM4306" s="110">
        <f t="shared" si="965"/>
        <v>2</v>
      </c>
      <c r="AN4306" s="447">
        <f t="shared" si="960"/>
        <v>0</v>
      </c>
      <c r="AO4306"/>
      <c r="AP4306"/>
    </row>
    <row r="4307" spans="1:42" s="108" customFormat="1" ht="66" x14ac:dyDescent="0.25">
      <c r="A4307" s="90"/>
      <c r="B4307" s="96" t="s">
        <v>1061</v>
      </c>
      <c r="C4307" s="1024"/>
      <c r="D4307" s="869">
        <f>1+10+2</f>
        <v>13</v>
      </c>
      <c r="E4307" s="1027" t="s">
        <v>1721</v>
      </c>
      <c r="F4307" s="278" t="s">
        <v>3446</v>
      </c>
      <c r="G4307" s="1040" t="s">
        <v>3463</v>
      </c>
      <c r="H4307" s="273" t="s">
        <v>3462</v>
      </c>
      <c r="I4307" s="722">
        <f t="shared" si="966"/>
        <v>2633.2061538461539</v>
      </c>
      <c r="J4307" s="849">
        <f>4989.6+19242.08+10000</f>
        <v>34231.68</v>
      </c>
      <c r="K4307" s="131">
        <f t="shared" si="957"/>
        <v>34231.68</v>
      </c>
      <c r="L4307" s="335">
        <f t="shared" si="961"/>
        <v>0</v>
      </c>
      <c r="M4307" s="335"/>
      <c r="N4307" s="335"/>
      <c r="O4307" s="335"/>
      <c r="P4307" s="335"/>
      <c r="Q4307" s="130">
        <v>4</v>
      </c>
      <c r="R4307" s="131">
        <f t="shared" si="958"/>
        <v>8557.92</v>
      </c>
      <c r="S4307" s="130"/>
      <c r="T4307" s="130"/>
      <c r="U4307" s="130">
        <v>3</v>
      </c>
      <c r="V4307" s="131">
        <f t="shared" si="959"/>
        <v>8557.92</v>
      </c>
      <c r="W4307" s="130"/>
      <c r="X4307" s="130"/>
      <c r="Y4307" s="130"/>
      <c r="Z4307" s="130"/>
      <c r="AA4307" s="130">
        <v>3</v>
      </c>
      <c r="AB4307" s="131">
        <f t="shared" si="967"/>
        <v>8557.92</v>
      </c>
      <c r="AC4307" s="130"/>
      <c r="AD4307" s="130"/>
      <c r="AE4307" s="130">
        <v>3</v>
      </c>
      <c r="AF4307" s="131">
        <f t="shared" si="962"/>
        <v>8557.92</v>
      </c>
      <c r="AG4307" s="130"/>
      <c r="AH4307" s="130"/>
      <c r="AI4307" s="130"/>
      <c r="AJ4307" s="130"/>
      <c r="AK4307" s="131">
        <f t="shared" si="963"/>
        <v>34231.68</v>
      </c>
      <c r="AL4307" s="446">
        <f t="shared" si="964"/>
        <v>0</v>
      </c>
      <c r="AM4307" s="110">
        <f t="shared" si="965"/>
        <v>13</v>
      </c>
      <c r="AN4307" s="447">
        <f t="shared" si="960"/>
        <v>0</v>
      </c>
      <c r="AO4307"/>
      <c r="AP4307"/>
    </row>
    <row r="4308" spans="1:42" s="108" customFormat="1" ht="66" x14ac:dyDescent="0.25">
      <c r="A4308" s="90"/>
      <c r="B4308" s="624" t="s">
        <v>1057</v>
      </c>
      <c r="C4308" s="1024"/>
      <c r="D4308" s="869">
        <v>3</v>
      </c>
      <c r="E4308" s="1027" t="s">
        <v>1721</v>
      </c>
      <c r="F4308" s="278" t="s">
        <v>3446</v>
      </c>
      <c r="G4308" s="1040" t="s">
        <v>3463</v>
      </c>
      <c r="H4308" s="273" t="s">
        <v>3462</v>
      </c>
      <c r="I4308" s="722">
        <f t="shared" si="966"/>
        <v>2011.3500000000001</v>
      </c>
      <c r="J4308" s="849">
        <v>6034.05</v>
      </c>
      <c r="K4308" s="131">
        <f t="shared" si="957"/>
        <v>6034.05</v>
      </c>
      <c r="L4308" s="335">
        <f t="shared" si="961"/>
        <v>0</v>
      </c>
      <c r="M4308" s="335"/>
      <c r="N4308" s="335"/>
      <c r="O4308" s="335"/>
      <c r="P4308" s="335"/>
      <c r="Q4308" s="130">
        <v>1</v>
      </c>
      <c r="R4308" s="131">
        <f t="shared" si="958"/>
        <v>1508.5125</v>
      </c>
      <c r="S4308" s="130"/>
      <c r="T4308" s="130"/>
      <c r="U4308" s="130">
        <v>1</v>
      </c>
      <c r="V4308" s="131">
        <f t="shared" si="959"/>
        <v>1508.5125</v>
      </c>
      <c r="W4308" s="130"/>
      <c r="X4308" s="130"/>
      <c r="Y4308" s="130"/>
      <c r="Z4308" s="130"/>
      <c r="AA4308" s="130">
        <v>1</v>
      </c>
      <c r="AB4308" s="131">
        <f t="shared" si="967"/>
        <v>1508.5125</v>
      </c>
      <c r="AC4308" s="130"/>
      <c r="AD4308" s="130"/>
      <c r="AE4308" s="130">
        <v>0</v>
      </c>
      <c r="AF4308" s="131">
        <f t="shared" si="962"/>
        <v>1508.5125</v>
      </c>
      <c r="AG4308" s="130"/>
      <c r="AH4308" s="130"/>
      <c r="AI4308" s="130"/>
      <c r="AJ4308" s="130"/>
      <c r="AK4308" s="131">
        <f t="shared" si="963"/>
        <v>6034.05</v>
      </c>
      <c r="AL4308" s="446">
        <f t="shared" si="964"/>
        <v>0</v>
      </c>
      <c r="AM4308" s="110">
        <f t="shared" si="965"/>
        <v>3</v>
      </c>
      <c r="AN4308" s="447">
        <f t="shared" si="960"/>
        <v>0</v>
      </c>
      <c r="AO4308"/>
      <c r="AP4308"/>
    </row>
    <row r="4309" spans="1:42" s="108" customFormat="1" ht="66" x14ac:dyDescent="0.25">
      <c r="A4309" s="90"/>
      <c r="B4309" s="152" t="s">
        <v>1392</v>
      </c>
      <c r="C4309" s="1024"/>
      <c r="D4309" s="869">
        <v>3</v>
      </c>
      <c r="E4309" s="1027" t="s">
        <v>1721</v>
      </c>
      <c r="F4309" s="278" t="s">
        <v>3446</v>
      </c>
      <c r="G4309" s="1040" t="s">
        <v>3463</v>
      </c>
      <c r="H4309" s="273" t="s">
        <v>3462</v>
      </c>
      <c r="I4309" s="722">
        <f t="shared" si="966"/>
        <v>1875</v>
      </c>
      <c r="J4309" s="849">
        <v>5625</v>
      </c>
      <c r="K4309" s="131">
        <f t="shared" si="957"/>
        <v>5625</v>
      </c>
      <c r="L4309" s="335">
        <f t="shared" si="961"/>
        <v>0</v>
      </c>
      <c r="M4309" s="335"/>
      <c r="N4309" s="335"/>
      <c r="O4309" s="335"/>
      <c r="P4309" s="335"/>
      <c r="Q4309" s="130">
        <v>1</v>
      </c>
      <c r="R4309" s="131">
        <f t="shared" si="958"/>
        <v>1406.25</v>
      </c>
      <c r="S4309" s="130"/>
      <c r="T4309" s="130"/>
      <c r="U4309" s="130">
        <v>1</v>
      </c>
      <c r="V4309" s="131">
        <f t="shared" si="959"/>
        <v>1406.25</v>
      </c>
      <c r="W4309" s="130"/>
      <c r="X4309" s="130"/>
      <c r="Y4309" s="130"/>
      <c r="Z4309" s="130"/>
      <c r="AA4309" s="130">
        <v>1</v>
      </c>
      <c r="AB4309" s="131">
        <f t="shared" si="967"/>
        <v>1406.25</v>
      </c>
      <c r="AC4309" s="130"/>
      <c r="AD4309" s="130"/>
      <c r="AE4309" s="130">
        <v>0</v>
      </c>
      <c r="AF4309" s="131">
        <f t="shared" si="962"/>
        <v>1406.25</v>
      </c>
      <c r="AG4309" s="130"/>
      <c r="AH4309" s="130"/>
      <c r="AI4309" s="130"/>
      <c r="AJ4309" s="130"/>
      <c r="AK4309" s="131">
        <f t="shared" si="963"/>
        <v>5625</v>
      </c>
      <c r="AL4309" s="446">
        <f t="shared" si="964"/>
        <v>0</v>
      </c>
      <c r="AM4309" s="110">
        <f t="shared" si="965"/>
        <v>3</v>
      </c>
      <c r="AN4309" s="447">
        <f t="shared" si="960"/>
        <v>0</v>
      </c>
      <c r="AO4309"/>
      <c r="AP4309"/>
    </row>
    <row r="4310" spans="1:42" s="108" customFormat="1" ht="66" x14ac:dyDescent="0.25">
      <c r="A4310" s="90"/>
      <c r="B4310" s="152" t="s">
        <v>1393</v>
      </c>
      <c r="C4310" s="1024"/>
      <c r="D4310" s="869">
        <v>1</v>
      </c>
      <c r="E4310" s="1027" t="s">
        <v>1721</v>
      </c>
      <c r="F4310" s="278" t="s">
        <v>3446</v>
      </c>
      <c r="G4310" s="1040" t="s">
        <v>3463</v>
      </c>
      <c r="H4310" s="273" t="s">
        <v>3462</v>
      </c>
      <c r="I4310" s="722">
        <f t="shared" si="966"/>
        <v>18374.400000000001</v>
      </c>
      <c r="J4310" s="849">
        <v>18374.400000000001</v>
      </c>
      <c r="K4310" s="131">
        <f t="shared" si="957"/>
        <v>18374.400000000001</v>
      </c>
      <c r="L4310" s="335">
        <f t="shared" si="961"/>
        <v>0</v>
      </c>
      <c r="M4310" s="335"/>
      <c r="N4310" s="335"/>
      <c r="O4310" s="335"/>
      <c r="P4310" s="335"/>
      <c r="Q4310" s="130">
        <v>1</v>
      </c>
      <c r="R4310" s="131">
        <f t="shared" si="958"/>
        <v>4593.6000000000004</v>
      </c>
      <c r="S4310" s="130"/>
      <c r="T4310" s="130"/>
      <c r="U4310" s="130">
        <v>0</v>
      </c>
      <c r="V4310" s="131">
        <f t="shared" si="959"/>
        <v>4593.6000000000004</v>
      </c>
      <c r="W4310" s="130"/>
      <c r="X4310" s="130"/>
      <c r="Y4310" s="130"/>
      <c r="Z4310" s="130"/>
      <c r="AA4310" s="130">
        <v>0</v>
      </c>
      <c r="AB4310" s="131">
        <f t="shared" si="967"/>
        <v>4593.6000000000004</v>
      </c>
      <c r="AC4310" s="130"/>
      <c r="AD4310" s="130"/>
      <c r="AE4310" s="130">
        <v>0</v>
      </c>
      <c r="AF4310" s="131">
        <f t="shared" si="962"/>
        <v>4593.6000000000004</v>
      </c>
      <c r="AG4310" s="130"/>
      <c r="AH4310" s="130"/>
      <c r="AI4310" s="130"/>
      <c r="AJ4310" s="130"/>
      <c r="AK4310" s="131">
        <f t="shared" si="963"/>
        <v>18374.400000000001</v>
      </c>
      <c r="AL4310" s="446">
        <f t="shared" si="964"/>
        <v>0</v>
      </c>
      <c r="AM4310" s="110">
        <f t="shared" si="965"/>
        <v>1</v>
      </c>
      <c r="AN4310" s="447">
        <f t="shared" si="960"/>
        <v>0</v>
      </c>
      <c r="AO4310"/>
      <c r="AP4310"/>
    </row>
    <row r="4311" spans="1:42" s="108" customFormat="1" ht="66" x14ac:dyDescent="0.25">
      <c r="A4311" s="90"/>
      <c r="B4311" s="152" t="s">
        <v>1892</v>
      </c>
      <c r="C4311" s="1024"/>
      <c r="D4311" s="869">
        <f>1+1</f>
        <v>2</v>
      </c>
      <c r="E4311" s="1027" t="s">
        <v>1721</v>
      </c>
      <c r="F4311" s="278" t="s">
        <v>3446</v>
      </c>
      <c r="G4311" s="1040" t="s">
        <v>3463</v>
      </c>
      <c r="H4311" s="273" t="s">
        <v>3462</v>
      </c>
      <c r="I4311" s="722">
        <f t="shared" si="966"/>
        <v>3894.5</v>
      </c>
      <c r="J4311" s="849">
        <f>3889+3900</f>
        <v>7789</v>
      </c>
      <c r="K4311" s="131">
        <f t="shared" si="957"/>
        <v>7789</v>
      </c>
      <c r="L4311" s="335">
        <f t="shared" si="961"/>
        <v>0</v>
      </c>
      <c r="M4311" s="335"/>
      <c r="N4311" s="335"/>
      <c r="O4311" s="335"/>
      <c r="P4311" s="335"/>
      <c r="Q4311" s="130">
        <v>1</v>
      </c>
      <c r="R4311" s="131">
        <f t="shared" si="958"/>
        <v>1947.25</v>
      </c>
      <c r="S4311" s="130"/>
      <c r="T4311" s="130"/>
      <c r="U4311" s="130">
        <v>1</v>
      </c>
      <c r="V4311" s="131">
        <f t="shared" si="959"/>
        <v>1947.25</v>
      </c>
      <c r="W4311" s="130"/>
      <c r="X4311" s="130"/>
      <c r="Y4311" s="130"/>
      <c r="Z4311" s="130"/>
      <c r="AA4311" s="130">
        <v>0</v>
      </c>
      <c r="AB4311" s="131">
        <f t="shared" si="967"/>
        <v>1947.25</v>
      </c>
      <c r="AC4311" s="130"/>
      <c r="AD4311" s="130"/>
      <c r="AE4311" s="130">
        <v>0</v>
      </c>
      <c r="AF4311" s="131">
        <f t="shared" si="962"/>
        <v>1947.25</v>
      </c>
      <c r="AG4311" s="130"/>
      <c r="AH4311" s="130"/>
      <c r="AI4311" s="130"/>
      <c r="AJ4311" s="130"/>
      <c r="AK4311" s="131">
        <f t="shared" si="963"/>
        <v>7789</v>
      </c>
      <c r="AL4311" s="446">
        <f t="shared" si="964"/>
        <v>0</v>
      </c>
      <c r="AM4311" s="110">
        <f t="shared" si="965"/>
        <v>2</v>
      </c>
      <c r="AN4311" s="447">
        <f t="shared" si="960"/>
        <v>0</v>
      </c>
      <c r="AO4311"/>
      <c r="AP4311"/>
    </row>
    <row r="4312" spans="1:42" s="108" customFormat="1" ht="66" x14ac:dyDescent="0.25">
      <c r="A4312" s="90"/>
      <c r="B4312" s="687" t="s">
        <v>2026</v>
      </c>
      <c r="C4312" s="1024"/>
      <c r="D4312" s="869">
        <v>1</v>
      </c>
      <c r="E4312" s="1027" t="s">
        <v>1721</v>
      </c>
      <c r="F4312" s="278" t="s">
        <v>3446</v>
      </c>
      <c r="G4312" s="1040" t="s">
        <v>3463</v>
      </c>
      <c r="H4312" s="273" t="s">
        <v>3462</v>
      </c>
      <c r="I4312" s="722">
        <f t="shared" si="966"/>
        <v>1577.18</v>
      </c>
      <c r="J4312" s="849">
        <v>1577.18</v>
      </c>
      <c r="K4312" s="131">
        <f t="shared" si="957"/>
        <v>1577.18</v>
      </c>
      <c r="L4312" s="335">
        <f t="shared" si="961"/>
        <v>0</v>
      </c>
      <c r="M4312" s="335"/>
      <c r="N4312" s="335"/>
      <c r="O4312" s="335"/>
      <c r="P4312" s="335"/>
      <c r="Q4312" s="130">
        <v>1</v>
      </c>
      <c r="R4312" s="131">
        <f t="shared" si="958"/>
        <v>394.29500000000002</v>
      </c>
      <c r="S4312" s="130"/>
      <c r="T4312" s="130"/>
      <c r="U4312" s="130">
        <v>0</v>
      </c>
      <c r="V4312" s="131">
        <f t="shared" si="959"/>
        <v>394.29500000000002</v>
      </c>
      <c r="W4312" s="130"/>
      <c r="X4312" s="130"/>
      <c r="Y4312" s="130"/>
      <c r="Z4312" s="130"/>
      <c r="AA4312" s="130">
        <v>0</v>
      </c>
      <c r="AB4312" s="131">
        <f t="shared" si="967"/>
        <v>394.29500000000002</v>
      </c>
      <c r="AC4312" s="130"/>
      <c r="AD4312" s="130"/>
      <c r="AE4312" s="130">
        <v>0</v>
      </c>
      <c r="AF4312" s="131">
        <f t="shared" si="962"/>
        <v>394.29500000000002</v>
      </c>
      <c r="AG4312" s="130"/>
      <c r="AH4312" s="130"/>
      <c r="AI4312" s="130"/>
      <c r="AJ4312" s="130"/>
      <c r="AK4312" s="131">
        <f t="shared" si="963"/>
        <v>1577.18</v>
      </c>
      <c r="AL4312" s="446">
        <f t="shared" si="964"/>
        <v>0</v>
      </c>
      <c r="AM4312" s="110">
        <f t="shared" si="965"/>
        <v>1</v>
      </c>
      <c r="AN4312" s="447">
        <f t="shared" si="960"/>
        <v>0</v>
      </c>
      <c r="AO4312"/>
      <c r="AP4312"/>
    </row>
    <row r="4313" spans="1:42" s="108" customFormat="1" ht="66" x14ac:dyDescent="0.25">
      <c r="A4313" s="90"/>
      <c r="B4313" s="693" t="s">
        <v>2842</v>
      </c>
      <c r="C4313" s="1024"/>
      <c r="D4313" s="869">
        <v>1</v>
      </c>
      <c r="E4313" s="1027" t="s">
        <v>1721</v>
      </c>
      <c r="F4313" s="278" t="s">
        <v>3446</v>
      </c>
      <c r="G4313" s="1040" t="s">
        <v>3463</v>
      </c>
      <c r="H4313" s="273" t="s">
        <v>3462</v>
      </c>
      <c r="I4313" s="722">
        <f t="shared" si="966"/>
        <v>7399.52</v>
      </c>
      <c r="J4313" s="849">
        <v>7399.52</v>
      </c>
      <c r="K4313" s="131">
        <f t="shared" si="957"/>
        <v>7399.52</v>
      </c>
      <c r="L4313" s="335">
        <f t="shared" si="961"/>
        <v>0</v>
      </c>
      <c r="M4313" s="335"/>
      <c r="N4313" s="335"/>
      <c r="O4313" s="335"/>
      <c r="P4313" s="335"/>
      <c r="Q4313" s="130">
        <v>1</v>
      </c>
      <c r="R4313" s="131">
        <f t="shared" si="958"/>
        <v>1849.88</v>
      </c>
      <c r="S4313" s="130"/>
      <c r="T4313" s="130"/>
      <c r="U4313" s="130">
        <v>0</v>
      </c>
      <c r="V4313" s="131">
        <f t="shared" si="959"/>
        <v>1849.88</v>
      </c>
      <c r="W4313" s="130"/>
      <c r="X4313" s="130"/>
      <c r="Y4313" s="130"/>
      <c r="Z4313" s="130"/>
      <c r="AA4313" s="130">
        <v>0</v>
      </c>
      <c r="AB4313" s="131">
        <f t="shared" si="967"/>
        <v>1849.88</v>
      </c>
      <c r="AC4313" s="130"/>
      <c r="AD4313" s="130"/>
      <c r="AE4313" s="130">
        <v>0</v>
      </c>
      <c r="AF4313" s="131">
        <f t="shared" si="962"/>
        <v>1849.88</v>
      </c>
      <c r="AG4313" s="130"/>
      <c r="AH4313" s="130"/>
      <c r="AI4313" s="130"/>
      <c r="AJ4313" s="130"/>
      <c r="AK4313" s="131">
        <f t="shared" si="963"/>
        <v>7399.52</v>
      </c>
      <c r="AL4313" s="446">
        <f t="shared" si="964"/>
        <v>0</v>
      </c>
      <c r="AM4313" s="110">
        <f t="shared" si="965"/>
        <v>1</v>
      </c>
      <c r="AN4313" s="447">
        <f t="shared" si="960"/>
        <v>0</v>
      </c>
      <c r="AO4313"/>
      <c r="AP4313"/>
    </row>
    <row r="4314" spans="1:42" s="108" customFormat="1" x14ac:dyDescent="0.25">
      <c r="A4314" s="9">
        <v>5200</v>
      </c>
      <c r="B4314" s="57" t="s">
        <v>1062</v>
      </c>
      <c r="C4314" s="9"/>
      <c r="D4314" s="869"/>
      <c r="E4314" s="1027"/>
      <c r="F4314" s="272"/>
      <c r="G4314" s="272"/>
      <c r="H4314" s="272"/>
      <c r="I4314" s="722"/>
      <c r="J4314" s="763"/>
      <c r="K4314" s="131">
        <f t="shared" si="957"/>
        <v>0</v>
      </c>
      <c r="L4314" s="335">
        <f t="shared" si="961"/>
        <v>0</v>
      </c>
      <c r="M4314" s="335"/>
      <c r="N4314" s="335"/>
      <c r="O4314" s="335"/>
      <c r="P4314" s="335"/>
      <c r="Q4314" s="130">
        <f t="shared" ref="Q4314:Q4356" si="968">+$D4314/4</f>
        <v>0</v>
      </c>
      <c r="R4314" s="131">
        <f t="shared" si="958"/>
        <v>0</v>
      </c>
      <c r="S4314" s="130"/>
      <c r="T4314" s="130"/>
      <c r="U4314" s="130">
        <f t="shared" ref="U4314:U4356" si="969">+$D4314/4</f>
        <v>0</v>
      </c>
      <c r="V4314" s="131">
        <f t="shared" si="959"/>
        <v>0</v>
      </c>
      <c r="W4314" s="130"/>
      <c r="X4314" s="130"/>
      <c r="Y4314" s="130"/>
      <c r="Z4314" s="130"/>
      <c r="AA4314" s="130">
        <f t="shared" ref="AA4314:AE4356" si="970">+$D4314/4</f>
        <v>0</v>
      </c>
      <c r="AB4314" s="131">
        <f t="shared" si="967"/>
        <v>0</v>
      </c>
      <c r="AC4314" s="130"/>
      <c r="AD4314" s="130"/>
      <c r="AE4314" s="130">
        <f t="shared" si="970"/>
        <v>0</v>
      </c>
      <c r="AF4314" s="131">
        <f t="shared" si="962"/>
        <v>0</v>
      </c>
      <c r="AG4314" s="130"/>
      <c r="AH4314" s="130"/>
      <c r="AI4314" s="130"/>
      <c r="AJ4314" s="130"/>
      <c r="AK4314" s="131">
        <f t="shared" si="963"/>
        <v>0</v>
      </c>
      <c r="AL4314" s="446">
        <f t="shared" si="964"/>
        <v>0</v>
      </c>
      <c r="AM4314" s="110">
        <f t="shared" si="965"/>
        <v>0</v>
      </c>
      <c r="AN4314" s="447">
        <f t="shared" si="960"/>
        <v>0</v>
      </c>
      <c r="AP4314"/>
    </row>
    <row r="4315" spans="1:42" x14ac:dyDescent="0.25">
      <c r="A4315" s="1021">
        <v>521</v>
      </c>
      <c r="B4315" s="676" t="s">
        <v>1063</v>
      </c>
      <c r="C4315" s="1021"/>
      <c r="D4315" s="958"/>
      <c r="E4315" s="343"/>
      <c r="F4315" s="344"/>
      <c r="G4315" s="344"/>
      <c r="H4315" s="344"/>
      <c r="I4315" s="737"/>
      <c r="J4315" s="811"/>
      <c r="K4315" s="131">
        <f t="shared" si="957"/>
        <v>0</v>
      </c>
      <c r="L4315" s="335">
        <f t="shared" si="961"/>
        <v>0</v>
      </c>
      <c r="M4315" s="414"/>
      <c r="N4315" s="414"/>
      <c r="O4315" s="414"/>
      <c r="P4315" s="414"/>
      <c r="Q4315" s="413">
        <f t="shared" si="968"/>
        <v>0</v>
      </c>
      <c r="R4315" s="345">
        <f t="shared" si="958"/>
        <v>0</v>
      </c>
      <c r="S4315" s="413"/>
      <c r="T4315" s="413"/>
      <c r="U4315" s="413">
        <f t="shared" si="969"/>
        <v>0</v>
      </c>
      <c r="V4315" s="345">
        <f t="shared" si="959"/>
        <v>0</v>
      </c>
      <c r="W4315" s="413"/>
      <c r="X4315" s="413"/>
      <c r="Y4315" s="413"/>
      <c r="Z4315" s="413"/>
      <c r="AA4315" s="413">
        <f t="shared" si="970"/>
        <v>0</v>
      </c>
      <c r="AB4315" s="345">
        <f t="shared" si="967"/>
        <v>0</v>
      </c>
      <c r="AC4315" s="413"/>
      <c r="AD4315" s="413"/>
      <c r="AE4315" s="413">
        <f t="shared" si="970"/>
        <v>0</v>
      </c>
      <c r="AF4315" s="345">
        <f t="shared" si="962"/>
        <v>0</v>
      </c>
      <c r="AG4315" s="413"/>
      <c r="AH4315" s="413"/>
      <c r="AI4315" s="413"/>
      <c r="AJ4315" s="413"/>
      <c r="AK4315" s="345">
        <f t="shared" si="963"/>
        <v>0</v>
      </c>
      <c r="AL4315" s="446">
        <f t="shared" si="964"/>
        <v>0</v>
      </c>
      <c r="AM4315" s="110">
        <f t="shared" si="965"/>
        <v>0</v>
      </c>
      <c r="AN4315" s="447">
        <f t="shared" si="960"/>
        <v>0</v>
      </c>
      <c r="AO4315" s="108"/>
      <c r="AP4315"/>
    </row>
    <row r="4316" spans="1:42" x14ac:dyDescent="0.25">
      <c r="A4316" s="315">
        <v>52101</v>
      </c>
      <c r="B4316" s="351" t="s">
        <v>1064</v>
      </c>
      <c r="C4316" s="315"/>
      <c r="D4316" s="886"/>
      <c r="E4316" s="318"/>
      <c r="F4316" s="319"/>
      <c r="G4316" s="319"/>
      <c r="H4316" s="319"/>
      <c r="I4316" s="724"/>
      <c r="J4316" s="753"/>
      <c r="K4316" s="131">
        <f t="shared" si="957"/>
        <v>0</v>
      </c>
      <c r="L4316" s="335">
        <f t="shared" si="961"/>
        <v>0</v>
      </c>
      <c r="M4316" s="648"/>
      <c r="N4316" s="648"/>
      <c r="O4316" s="648"/>
      <c r="P4316" s="648"/>
      <c r="Q4316" s="649">
        <f t="shared" si="968"/>
        <v>0</v>
      </c>
      <c r="R4316" s="647">
        <f t="shared" si="958"/>
        <v>0</v>
      </c>
      <c r="S4316" s="649"/>
      <c r="T4316" s="649"/>
      <c r="U4316" s="649">
        <f t="shared" si="969"/>
        <v>0</v>
      </c>
      <c r="V4316" s="647">
        <f t="shared" si="959"/>
        <v>0</v>
      </c>
      <c r="W4316" s="649"/>
      <c r="X4316" s="649"/>
      <c r="Y4316" s="649"/>
      <c r="Z4316" s="649"/>
      <c r="AA4316" s="649">
        <f t="shared" si="970"/>
        <v>0</v>
      </c>
      <c r="AB4316" s="647">
        <f t="shared" si="967"/>
        <v>0</v>
      </c>
      <c r="AC4316" s="649"/>
      <c r="AD4316" s="649"/>
      <c r="AE4316" s="649">
        <f t="shared" si="970"/>
        <v>0</v>
      </c>
      <c r="AF4316" s="647">
        <f t="shared" si="962"/>
        <v>0</v>
      </c>
      <c r="AG4316" s="649"/>
      <c r="AH4316" s="649"/>
      <c r="AI4316" s="649"/>
      <c r="AJ4316" s="649"/>
      <c r="AK4316" s="647">
        <f t="shared" si="963"/>
        <v>0</v>
      </c>
      <c r="AL4316" s="446">
        <f t="shared" si="964"/>
        <v>0</v>
      </c>
      <c r="AM4316" s="110">
        <f t="shared" si="965"/>
        <v>0</v>
      </c>
      <c r="AN4316" s="447">
        <f t="shared" si="960"/>
        <v>0</v>
      </c>
      <c r="AO4316" s="436">
        <f>SUM(J4317:J4320)</f>
        <v>27599.34</v>
      </c>
      <c r="AP4316" s="111"/>
    </row>
    <row r="4317" spans="1:42" ht="66" x14ac:dyDescent="0.25">
      <c r="A4317" s="90"/>
      <c r="B4317" s="41" t="s">
        <v>1065</v>
      </c>
      <c r="C4317" s="1024"/>
      <c r="D4317" s="869">
        <f>1</f>
        <v>1</v>
      </c>
      <c r="E4317" s="1027" t="s">
        <v>1721</v>
      </c>
      <c r="F4317" s="273" t="s">
        <v>3446</v>
      </c>
      <c r="G4317" s="1040" t="s">
        <v>3463</v>
      </c>
      <c r="H4317" s="273" t="s">
        <v>3462</v>
      </c>
      <c r="I4317" s="720">
        <f>+J4317/D4317</f>
        <v>5220</v>
      </c>
      <c r="J4317" s="849">
        <f>5220</f>
        <v>5220</v>
      </c>
      <c r="K4317" s="131">
        <f t="shared" si="957"/>
        <v>5220</v>
      </c>
      <c r="L4317" s="335">
        <f t="shared" si="961"/>
        <v>0</v>
      </c>
      <c r="M4317" s="446"/>
      <c r="N4317" s="446"/>
      <c r="O4317" s="446"/>
      <c r="P4317" s="446"/>
      <c r="Q4317" s="110">
        <v>1</v>
      </c>
      <c r="R4317" s="111">
        <f t="shared" si="958"/>
        <v>1305</v>
      </c>
      <c r="S4317" s="110"/>
      <c r="T4317" s="110"/>
      <c r="U4317" s="110">
        <v>0</v>
      </c>
      <c r="V4317" s="111">
        <f t="shared" si="959"/>
        <v>1305</v>
      </c>
      <c r="W4317" s="110"/>
      <c r="X4317" s="110"/>
      <c r="Y4317" s="110"/>
      <c r="Z4317" s="110"/>
      <c r="AA4317" s="110">
        <v>0</v>
      </c>
      <c r="AB4317" s="111">
        <f t="shared" si="967"/>
        <v>1305</v>
      </c>
      <c r="AC4317" s="110"/>
      <c r="AD4317" s="110"/>
      <c r="AE4317" s="110">
        <v>0</v>
      </c>
      <c r="AF4317" s="111">
        <f t="shared" si="962"/>
        <v>1305</v>
      </c>
      <c r="AG4317" s="110"/>
      <c r="AH4317" s="110"/>
      <c r="AI4317" s="110"/>
      <c r="AJ4317" s="110"/>
      <c r="AK4317" s="111">
        <f t="shared" si="963"/>
        <v>5220</v>
      </c>
      <c r="AL4317" s="446">
        <f t="shared" si="964"/>
        <v>0</v>
      </c>
      <c r="AM4317" s="110">
        <f t="shared" si="965"/>
        <v>1</v>
      </c>
      <c r="AN4317" s="447">
        <f t="shared" si="960"/>
        <v>0</v>
      </c>
      <c r="AO4317"/>
      <c r="AP4317"/>
    </row>
    <row r="4318" spans="1:42" ht="66" x14ac:dyDescent="0.25">
      <c r="A4318" s="90"/>
      <c r="B4318" s="626" t="s">
        <v>1125</v>
      </c>
      <c r="C4318" s="1024"/>
      <c r="D4318" s="869">
        <f>1</f>
        <v>1</v>
      </c>
      <c r="E4318" s="1027" t="s">
        <v>1721</v>
      </c>
      <c r="F4318" s="273" t="s">
        <v>3446</v>
      </c>
      <c r="G4318" s="1040" t="s">
        <v>3463</v>
      </c>
      <c r="H4318" s="273" t="s">
        <v>3462</v>
      </c>
      <c r="I4318" s="720">
        <f>+J4318/D4318</f>
        <v>2758.65</v>
      </c>
      <c r="J4318" s="849">
        <f>2758.65</f>
        <v>2758.65</v>
      </c>
      <c r="K4318" s="131">
        <f t="shared" si="957"/>
        <v>2758.65</v>
      </c>
      <c r="L4318" s="335">
        <f t="shared" si="961"/>
        <v>0</v>
      </c>
      <c r="M4318" s="446"/>
      <c r="N4318" s="446"/>
      <c r="O4318" s="446"/>
      <c r="P4318" s="446"/>
      <c r="Q4318" s="110">
        <v>1</v>
      </c>
      <c r="R4318" s="111">
        <f t="shared" si="958"/>
        <v>689.66250000000002</v>
      </c>
      <c r="S4318" s="110"/>
      <c r="T4318" s="110"/>
      <c r="U4318" s="110">
        <v>0</v>
      </c>
      <c r="V4318" s="111">
        <f t="shared" si="959"/>
        <v>689.66250000000002</v>
      </c>
      <c r="W4318" s="110"/>
      <c r="X4318" s="110"/>
      <c r="Y4318" s="110"/>
      <c r="Z4318" s="110"/>
      <c r="AA4318" s="110">
        <v>0</v>
      </c>
      <c r="AB4318" s="111">
        <f t="shared" si="967"/>
        <v>689.66250000000002</v>
      </c>
      <c r="AC4318" s="110"/>
      <c r="AD4318" s="110"/>
      <c r="AE4318" s="110">
        <v>0</v>
      </c>
      <c r="AF4318" s="111">
        <f t="shared" si="962"/>
        <v>689.66250000000002</v>
      </c>
      <c r="AG4318" s="110"/>
      <c r="AH4318" s="110"/>
      <c r="AI4318" s="110"/>
      <c r="AJ4318" s="110"/>
      <c r="AK4318" s="111">
        <f t="shared" si="963"/>
        <v>2758.65</v>
      </c>
      <c r="AL4318" s="446">
        <f t="shared" si="964"/>
        <v>0</v>
      </c>
      <c r="AM4318" s="110">
        <f t="shared" si="965"/>
        <v>1</v>
      </c>
      <c r="AN4318" s="447">
        <f t="shared" si="960"/>
        <v>0</v>
      </c>
      <c r="AO4318"/>
      <c r="AP4318"/>
    </row>
    <row r="4319" spans="1:42" ht="66" x14ac:dyDescent="0.25">
      <c r="A4319" s="77"/>
      <c r="B4319" s="626" t="s">
        <v>1126</v>
      </c>
      <c r="C4319" s="1024"/>
      <c r="D4319" s="869">
        <f>1</f>
        <v>1</v>
      </c>
      <c r="E4319" s="1027" t="s">
        <v>1721</v>
      </c>
      <c r="F4319" s="273" t="s">
        <v>3446</v>
      </c>
      <c r="G4319" s="1040" t="s">
        <v>3463</v>
      </c>
      <c r="H4319" s="273" t="s">
        <v>3462</v>
      </c>
      <c r="I4319" s="720">
        <f>+J4319/D4319</f>
        <v>11120.69</v>
      </c>
      <c r="J4319" s="849">
        <f>11120.69</f>
        <v>11120.69</v>
      </c>
      <c r="K4319" s="131">
        <f t="shared" si="957"/>
        <v>11120.69</v>
      </c>
      <c r="L4319" s="335">
        <f t="shared" si="961"/>
        <v>0</v>
      </c>
      <c r="M4319" s="446"/>
      <c r="N4319" s="446"/>
      <c r="O4319" s="446"/>
      <c r="P4319" s="446"/>
      <c r="Q4319" s="110">
        <v>1</v>
      </c>
      <c r="R4319" s="111">
        <f t="shared" si="958"/>
        <v>2780.1725000000001</v>
      </c>
      <c r="S4319" s="110"/>
      <c r="T4319" s="110"/>
      <c r="U4319" s="110">
        <v>0</v>
      </c>
      <c r="V4319" s="111">
        <f t="shared" si="959"/>
        <v>2780.1725000000001</v>
      </c>
      <c r="W4319" s="110"/>
      <c r="X4319" s="110"/>
      <c r="Y4319" s="110"/>
      <c r="Z4319" s="110"/>
      <c r="AA4319" s="110">
        <v>0</v>
      </c>
      <c r="AB4319" s="111">
        <f t="shared" si="967"/>
        <v>2780.1725000000001</v>
      </c>
      <c r="AC4319" s="110"/>
      <c r="AD4319" s="110"/>
      <c r="AE4319" s="110">
        <v>0</v>
      </c>
      <c r="AF4319" s="111">
        <f t="shared" si="962"/>
        <v>2780.1725000000001</v>
      </c>
      <c r="AG4319" s="110"/>
      <c r="AH4319" s="110"/>
      <c r="AI4319" s="110"/>
      <c r="AJ4319" s="110"/>
      <c r="AK4319" s="111">
        <f t="shared" si="963"/>
        <v>11120.69</v>
      </c>
      <c r="AL4319" s="446">
        <f t="shared" si="964"/>
        <v>0</v>
      </c>
      <c r="AM4319" s="110">
        <f t="shared" si="965"/>
        <v>1</v>
      </c>
      <c r="AN4319" s="447">
        <f t="shared" si="960"/>
        <v>0</v>
      </c>
      <c r="AO4319"/>
      <c r="AP4319"/>
    </row>
    <row r="4320" spans="1:42" ht="66" x14ac:dyDescent="0.25">
      <c r="A4320" s="77"/>
      <c r="B4320" s="482" t="s">
        <v>1844</v>
      </c>
      <c r="C4320" s="1024"/>
      <c r="D4320" s="869">
        <v>1</v>
      </c>
      <c r="E4320" s="1027" t="s">
        <v>1721</v>
      </c>
      <c r="F4320" s="273" t="s">
        <v>3446</v>
      </c>
      <c r="G4320" s="1040" t="s">
        <v>3463</v>
      </c>
      <c r="H4320" s="273" t="s">
        <v>3462</v>
      </c>
      <c r="I4320" s="720">
        <f>+J4320/D4320</f>
        <v>8500</v>
      </c>
      <c r="J4320" s="849">
        <v>8500</v>
      </c>
      <c r="K4320" s="131">
        <f t="shared" si="957"/>
        <v>8500</v>
      </c>
      <c r="L4320" s="335">
        <f t="shared" si="961"/>
        <v>0</v>
      </c>
      <c r="M4320" s="446"/>
      <c r="N4320" s="446"/>
      <c r="O4320" s="446"/>
      <c r="P4320" s="446"/>
      <c r="Q4320" s="110">
        <v>1</v>
      </c>
      <c r="R4320" s="111">
        <f t="shared" si="958"/>
        <v>2125</v>
      </c>
      <c r="S4320" s="110"/>
      <c r="T4320" s="110"/>
      <c r="U4320" s="110">
        <v>0</v>
      </c>
      <c r="V4320" s="111">
        <f t="shared" si="959"/>
        <v>2125</v>
      </c>
      <c r="W4320" s="110"/>
      <c r="X4320" s="110"/>
      <c r="Y4320" s="110"/>
      <c r="Z4320" s="110"/>
      <c r="AA4320" s="110">
        <v>0</v>
      </c>
      <c r="AB4320" s="111">
        <f t="shared" si="967"/>
        <v>2125</v>
      </c>
      <c r="AC4320" s="110"/>
      <c r="AD4320" s="110"/>
      <c r="AE4320" s="110">
        <v>0</v>
      </c>
      <c r="AF4320" s="111">
        <f t="shared" si="962"/>
        <v>2125</v>
      </c>
      <c r="AG4320" s="110"/>
      <c r="AH4320" s="110"/>
      <c r="AI4320" s="110"/>
      <c r="AJ4320" s="110"/>
      <c r="AK4320" s="111">
        <f t="shared" si="963"/>
        <v>8500</v>
      </c>
      <c r="AL4320" s="446">
        <f t="shared" si="964"/>
        <v>0</v>
      </c>
      <c r="AM4320" s="110">
        <f t="shared" si="965"/>
        <v>1</v>
      </c>
      <c r="AN4320" s="447">
        <f t="shared" si="960"/>
        <v>0</v>
      </c>
      <c r="AO4320"/>
      <c r="AP4320"/>
    </row>
    <row r="4321" spans="1:42" x14ac:dyDescent="0.25">
      <c r="A4321" s="1021">
        <v>522</v>
      </c>
      <c r="B4321" s="676" t="s">
        <v>2843</v>
      </c>
      <c r="C4321" s="342"/>
      <c r="D4321" s="958"/>
      <c r="E4321" s="343"/>
      <c r="F4321" s="344"/>
      <c r="G4321" s="344"/>
      <c r="H4321" s="344"/>
      <c r="I4321" s="737"/>
      <c r="J4321" s="850"/>
      <c r="K4321" s="131">
        <f t="shared" si="957"/>
        <v>0</v>
      </c>
      <c r="L4321" s="335">
        <f t="shared" si="961"/>
        <v>0</v>
      </c>
      <c r="M4321" s="414"/>
      <c r="N4321" s="414"/>
      <c r="O4321" s="414"/>
      <c r="P4321" s="414"/>
      <c r="Q4321" s="413">
        <f t="shared" si="968"/>
        <v>0</v>
      </c>
      <c r="R4321" s="345">
        <f t="shared" si="958"/>
        <v>0</v>
      </c>
      <c r="S4321" s="413"/>
      <c r="T4321" s="413"/>
      <c r="U4321" s="413">
        <f t="shared" si="969"/>
        <v>0</v>
      </c>
      <c r="V4321" s="345">
        <f t="shared" si="959"/>
        <v>0</v>
      </c>
      <c r="W4321" s="413"/>
      <c r="X4321" s="413"/>
      <c r="Y4321" s="413"/>
      <c r="Z4321" s="413"/>
      <c r="AA4321" s="413">
        <f t="shared" si="970"/>
        <v>0</v>
      </c>
      <c r="AB4321" s="345">
        <f t="shared" si="967"/>
        <v>0</v>
      </c>
      <c r="AC4321" s="413"/>
      <c r="AD4321" s="413"/>
      <c r="AE4321" s="413">
        <f t="shared" si="970"/>
        <v>0</v>
      </c>
      <c r="AF4321" s="345">
        <f t="shared" si="962"/>
        <v>0</v>
      </c>
      <c r="AG4321" s="413"/>
      <c r="AH4321" s="413"/>
      <c r="AI4321" s="413"/>
      <c r="AJ4321" s="413"/>
      <c r="AK4321" s="345">
        <f t="shared" si="963"/>
        <v>0</v>
      </c>
      <c r="AL4321" s="446">
        <f t="shared" si="964"/>
        <v>0</v>
      </c>
      <c r="AM4321" s="110">
        <f t="shared" si="965"/>
        <v>0</v>
      </c>
      <c r="AN4321" s="447">
        <f t="shared" si="960"/>
        <v>0</v>
      </c>
      <c r="AO4321" s="108"/>
      <c r="AP4321"/>
    </row>
    <row r="4322" spans="1:42" x14ac:dyDescent="0.25">
      <c r="A4322" s="636">
        <v>52201</v>
      </c>
      <c r="B4322" s="637" t="s">
        <v>2843</v>
      </c>
      <c r="C4322" s="677"/>
      <c r="D4322" s="960"/>
      <c r="E4322" s="638"/>
      <c r="F4322" s="639"/>
      <c r="G4322" s="639"/>
      <c r="H4322" s="639"/>
      <c r="I4322" s="748"/>
      <c r="J4322" s="851"/>
      <c r="K4322" s="131">
        <f t="shared" si="957"/>
        <v>0</v>
      </c>
      <c r="L4322" s="335">
        <f t="shared" si="961"/>
        <v>0</v>
      </c>
      <c r="M4322" s="641"/>
      <c r="N4322" s="641"/>
      <c r="O4322" s="641"/>
      <c r="P4322" s="641"/>
      <c r="Q4322" s="642">
        <f t="shared" si="968"/>
        <v>0</v>
      </c>
      <c r="R4322" s="640">
        <f t="shared" si="958"/>
        <v>0</v>
      </c>
      <c r="S4322" s="642"/>
      <c r="T4322" s="642"/>
      <c r="U4322" s="642">
        <f t="shared" si="969"/>
        <v>0</v>
      </c>
      <c r="V4322" s="640">
        <f t="shared" si="959"/>
        <v>0</v>
      </c>
      <c r="W4322" s="642"/>
      <c r="X4322" s="642"/>
      <c r="Y4322" s="642"/>
      <c r="Z4322" s="642"/>
      <c r="AA4322" s="642">
        <f t="shared" si="970"/>
        <v>0</v>
      </c>
      <c r="AB4322" s="640">
        <f t="shared" si="967"/>
        <v>0</v>
      </c>
      <c r="AC4322" s="642"/>
      <c r="AD4322" s="642"/>
      <c r="AE4322" s="642">
        <f t="shared" si="970"/>
        <v>0</v>
      </c>
      <c r="AF4322" s="640">
        <f t="shared" si="962"/>
        <v>0</v>
      </c>
      <c r="AG4322" s="642"/>
      <c r="AH4322" s="642"/>
      <c r="AI4322" s="642"/>
      <c r="AJ4322" s="642"/>
      <c r="AK4322" s="640">
        <f t="shared" si="963"/>
        <v>0</v>
      </c>
      <c r="AL4322" s="421">
        <f t="shared" si="964"/>
        <v>0</v>
      </c>
      <c r="AM4322" s="387">
        <f t="shared" si="965"/>
        <v>0</v>
      </c>
      <c r="AN4322" s="422">
        <f t="shared" si="960"/>
        <v>0</v>
      </c>
      <c r="AO4322" s="436">
        <f>SUM(J4323)</f>
        <v>15078.84</v>
      </c>
      <c r="AP4322" s="111"/>
    </row>
    <row r="4323" spans="1:42" x14ac:dyDescent="0.25">
      <c r="A4323" s="77"/>
      <c r="B4323" s="482" t="s">
        <v>2844</v>
      </c>
      <c r="C4323" s="1024"/>
      <c r="D4323" s="869">
        <v>1</v>
      </c>
      <c r="E4323" s="1027" t="s">
        <v>1721</v>
      </c>
      <c r="F4323" s="272"/>
      <c r="G4323" s="272"/>
      <c r="H4323" s="272"/>
      <c r="I4323" s="720">
        <f>+J4323/D4323</f>
        <v>15078.84</v>
      </c>
      <c r="J4323" s="849">
        <v>15078.84</v>
      </c>
      <c r="K4323" s="131">
        <f t="shared" ref="K4323:K4359" si="971">+D4323*I4323</f>
        <v>15078.84</v>
      </c>
      <c r="L4323" s="335">
        <f t="shared" si="961"/>
        <v>0</v>
      </c>
      <c r="M4323" s="446"/>
      <c r="N4323" s="446"/>
      <c r="O4323" s="446"/>
      <c r="P4323" s="446"/>
      <c r="Q4323" s="110">
        <v>1</v>
      </c>
      <c r="R4323" s="111">
        <f t="shared" ref="R4323:R4371" si="972">+J4323/4</f>
        <v>3769.71</v>
      </c>
      <c r="S4323" s="110"/>
      <c r="T4323" s="110"/>
      <c r="U4323" s="110">
        <v>0</v>
      </c>
      <c r="V4323" s="111">
        <f t="shared" ref="V4323:V4371" si="973">+J4323/4</f>
        <v>3769.71</v>
      </c>
      <c r="W4323" s="110"/>
      <c r="X4323" s="110"/>
      <c r="Y4323" s="110"/>
      <c r="Z4323" s="110"/>
      <c r="AA4323" s="110">
        <v>0</v>
      </c>
      <c r="AB4323" s="111">
        <f t="shared" si="967"/>
        <v>3769.71</v>
      </c>
      <c r="AC4323" s="110"/>
      <c r="AD4323" s="110"/>
      <c r="AE4323" s="110">
        <v>0</v>
      </c>
      <c r="AF4323" s="111">
        <f t="shared" si="962"/>
        <v>3769.71</v>
      </c>
      <c r="AG4323" s="110"/>
      <c r="AH4323" s="110"/>
      <c r="AI4323" s="110"/>
      <c r="AJ4323" s="110"/>
      <c r="AK4323" s="111">
        <f t="shared" si="963"/>
        <v>15078.84</v>
      </c>
      <c r="AL4323" s="446">
        <f t="shared" si="964"/>
        <v>0</v>
      </c>
      <c r="AM4323" s="110">
        <f t="shared" si="965"/>
        <v>1</v>
      </c>
      <c r="AN4323" s="447">
        <f t="shared" ref="AN4323:AN4371" si="974">+D4323-AM4323</f>
        <v>0</v>
      </c>
      <c r="AO4323"/>
      <c r="AP4323"/>
    </row>
    <row r="4324" spans="1:42" x14ac:dyDescent="0.25">
      <c r="A4324" s="1021">
        <v>523</v>
      </c>
      <c r="B4324" s="676" t="s">
        <v>1762</v>
      </c>
      <c r="C4324" s="342"/>
      <c r="D4324" s="958"/>
      <c r="E4324" s="343"/>
      <c r="F4324" s="344"/>
      <c r="G4324" s="344"/>
      <c r="H4324" s="344"/>
      <c r="I4324" s="737"/>
      <c r="J4324" s="850"/>
      <c r="K4324" s="131">
        <f t="shared" si="971"/>
        <v>0</v>
      </c>
      <c r="L4324" s="335">
        <f t="shared" si="961"/>
        <v>0</v>
      </c>
      <c r="M4324" s="414"/>
      <c r="N4324" s="414"/>
      <c r="O4324" s="414"/>
      <c r="P4324" s="414"/>
      <c r="Q4324" s="413">
        <f t="shared" si="968"/>
        <v>0</v>
      </c>
      <c r="R4324" s="345">
        <f t="shared" si="972"/>
        <v>0</v>
      </c>
      <c r="S4324" s="413"/>
      <c r="T4324" s="413"/>
      <c r="U4324" s="413">
        <f t="shared" si="969"/>
        <v>0</v>
      </c>
      <c r="V4324" s="345">
        <f t="shared" si="973"/>
        <v>0</v>
      </c>
      <c r="W4324" s="413"/>
      <c r="X4324" s="413"/>
      <c r="Y4324" s="413"/>
      <c r="Z4324" s="413"/>
      <c r="AA4324" s="413">
        <f t="shared" si="970"/>
        <v>0</v>
      </c>
      <c r="AB4324" s="345">
        <f t="shared" si="967"/>
        <v>0</v>
      </c>
      <c r="AC4324" s="413"/>
      <c r="AD4324" s="413"/>
      <c r="AE4324" s="413">
        <f t="shared" si="970"/>
        <v>0</v>
      </c>
      <c r="AF4324" s="345">
        <f t="shared" si="962"/>
        <v>0</v>
      </c>
      <c r="AG4324" s="413"/>
      <c r="AH4324" s="413"/>
      <c r="AI4324" s="413"/>
      <c r="AJ4324" s="413"/>
      <c r="AK4324" s="345">
        <f t="shared" si="963"/>
        <v>0</v>
      </c>
      <c r="AL4324" s="446">
        <f t="shared" si="964"/>
        <v>0</v>
      </c>
      <c r="AM4324" s="110">
        <f t="shared" si="965"/>
        <v>0</v>
      </c>
      <c r="AN4324" s="447">
        <f t="shared" si="974"/>
        <v>0</v>
      </c>
      <c r="AO4324" s="108"/>
      <c r="AP4324"/>
    </row>
    <row r="4325" spans="1:42" x14ac:dyDescent="0.25">
      <c r="A4325" s="636">
        <v>52301</v>
      </c>
      <c r="B4325" s="637" t="s">
        <v>1762</v>
      </c>
      <c r="C4325" s="677"/>
      <c r="D4325" s="960"/>
      <c r="E4325" s="638"/>
      <c r="F4325" s="639"/>
      <c r="G4325" s="639"/>
      <c r="H4325" s="639"/>
      <c r="I4325" s="748"/>
      <c r="J4325" s="851"/>
      <c r="K4325" s="131">
        <f t="shared" si="971"/>
        <v>0</v>
      </c>
      <c r="L4325" s="335">
        <f t="shared" si="961"/>
        <v>0</v>
      </c>
      <c r="M4325" s="641"/>
      <c r="N4325" s="641"/>
      <c r="O4325" s="641"/>
      <c r="P4325" s="641"/>
      <c r="Q4325" s="642">
        <f t="shared" si="968"/>
        <v>0</v>
      </c>
      <c r="R4325" s="640">
        <f t="shared" si="972"/>
        <v>0</v>
      </c>
      <c r="S4325" s="642"/>
      <c r="T4325" s="642"/>
      <c r="U4325" s="642">
        <f t="shared" si="969"/>
        <v>0</v>
      </c>
      <c r="V4325" s="640">
        <f t="shared" si="973"/>
        <v>0</v>
      </c>
      <c r="W4325" s="642"/>
      <c r="X4325" s="642"/>
      <c r="Y4325" s="642"/>
      <c r="Z4325" s="642"/>
      <c r="AA4325" s="642">
        <f t="shared" si="970"/>
        <v>0</v>
      </c>
      <c r="AB4325" s="640">
        <f t="shared" si="967"/>
        <v>0</v>
      </c>
      <c r="AC4325" s="642"/>
      <c r="AD4325" s="642"/>
      <c r="AE4325" s="642">
        <f t="shared" si="970"/>
        <v>0</v>
      </c>
      <c r="AF4325" s="640">
        <f t="shared" si="962"/>
        <v>0</v>
      </c>
      <c r="AG4325" s="642"/>
      <c r="AH4325" s="642"/>
      <c r="AI4325" s="642"/>
      <c r="AJ4325" s="642"/>
      <c r="AK4325" s="640">
        <f t="shared" si="963"/>
        <v>0</v>
      </c>
      <c r="AL4325" s="446">
        <f t="shared" si="964"/>
        <v>0</v>
      </c>
      <c r="AM4325" s="110">
        <f t="shared" si="965"/>
        <v>0</v>
      </c>
      <c r="AN4325" s="447">
        <f t="shared" si="974"/>
        <v>0</v>
      </c>
      <c r="AO4325" s="436">
        <f>SUM(J4326:J4327)</f>
        <v>18000</v>
      </c>
      <c r="AP4325" s="111"/>
    </row>
    <row r="4326" spans="1:42" ht="66" x14ac:dyDescent="0.25">
      <c r="A4326" s="77"/>
      <c r="B4326" s="626" t="s">
        <v>1763</v>
      </c>
      <c r="C4326" s="1024"/>
      <c r="D4326" s="882">
        <v>1</v>
      </c>
      <c r="E4326" s="1025" t="s">
        <v>1721</v>
      </c>
      <c r="F4326" s="273" t="s">
        <v>3446</v>
      </c>
      <c r="G4326" s="1040" t="s">
        <v>3463</v>
      </c>
      <c r="H4326" s="273" t="s">
        <v>3462</v>
      </c>
      <c r="I4326" s="720">
        <f>+J4326/D4326</f>
        <v>8000</v>
      </c>
      <c r="J4326" s="849">
        <v>8000</v>
      </c>
      <c r="K4326" s="131">
        <f t="shared" si="971"/>
        <v>8000</v>
      </c>
      <c r="L4326" s="335">
        <f t="shared" si="961"/>
        <v>0</v>
      </c>
      <c r="M4326" s="446"/>
      <c r="N4326" s="446"/>
      <c r="O4326" s="446"/>
      <c r="P4326" s="446"/>
      <c r="Q4326" s="110">
        <v>1</v>
      </c>
      <c r="R4326" s="111">
        <f t="shared" si="972"/>
        <v>2000</v>
      </c>
      <c r="S4326" s="110"/>
      <c r="T4326" s="110"/>
      <c r="U4326" s="110">
        <v>0</v>
      </c>
      <c r="V4326" s="111">
        <f t="shared" si="973"/>
        <v>2000</v>
      </c>
      <c r="W4326" s="110"/>
      <c r="X4326" s="110"/>
      <c r="Y4326" s="110"/>
      <c r="Z4326" s="110"/>
      <c r="AA4326" s="110">
        <v>0</v>
      </c>
      <c r="AB4326" s="111">
        <f t="shared" si="967"/>
        <v>2000</v>
      </c>
      <c r="AC4326" s="110"/>
      <c r="AD4326" s="110"/>
      <c r="AE4326" s="110">
        <v>0</v>
      </c>
      <c r="AF4326" s="111">
        <f t="shared" si="962"/>
        <v>2000</v>
      </c>
      <c r="AG4326" s="110"/>
      <c r="AH4326" s="110"/>
      <c r="AI4326" s="110"/>
      <c r="AJ4326" s="110"/>
      <c r="AK4326" s="111">
        <f t="shared" si="963"/>
        <v>8000</v>
      </c>
      <c r="AL4326" s="446">
        <f t="shared" si="964"/>
        <v>0</v>
      </c>
      <c r="AM4326" s="110">
        <f t="shared" si="965"/>
        <v>1</v>
      </c>
      <c r="AN4326" s="447">
        <f t="shared" si="974"/>
        <v>0</v>
      </c>
      <c r="AO4326"/>
      <c r="AP4326"/>
    </row>
    <row r="4327" spans="1:42" ht="66" x14ac:dyDescent="0.25">
      <c r="A4327" s="77"/>
      <c r="B4327" s="267" t="s">
        <v>1764</v>
      </c>
      <c r="C4327" s="1024"/>
      <c r="D4327" s="882">
        <v>1</v>
      </c>
      <c r="E4327" s="1025" t="s">
        <v>1721</v>
      </c>
      <c r="F4327" s="273" t="s">
        <v>3446</v>
      </c>
      <c r="G4327" s="1040" t="s">
        <v>3463</v>
      </c>
      <c r="H4327" s="273" t="s">
        <v>3462</v>
      </c>
      <c r="I4327" s="720">
        <f>+J4327/D4327</f>
        <v>10000</v>
      </c>
      <c r="J4327" s="849">
        <v>10000</v>
      </c>
      <c r="K4327" s="131">
        <f t="shared" si="971"/>
        <v>10000</v>
      </c>
      <c r="L4327" s="335">
        <f t="shared" si="961"/>
        <v>0</v>
      </c>
      <c r="M4327" s="446"/>
      <c r="N4327" s="446"/>
      <c r="O4327" s="446"/>
      <c r="P4327" s="446"/>
      <c r="Q4327" s="110">
        <v>1</v>
      </c>
      <c r="R4327" s="111">
        <f t="shared" si="972"/>
        <v>2500</v>
      </c>
      <c r="S4327" s="110"/>
      <c r="T4327" s="110"/>
      <c r="U4327" s="110">
        <v>0</v>
      </c>
      <c r="V4327" s="111">
        <f t="shared" si="973"/>
        <v>2500</v>
      </c>
      <c r="W4327" s="110"/>
      <c r="X4327" s="110"/>
      <c r="Y4327" s="110"/>
      <c r="Z4327" s="110"/>
      <c r="AA4327" s="110">
        <v>0</v>
      </c>
      <c r="AB4327" s="111">
        <f t="shared" si="967"/>
        <v>2500</v>
      </c>
      <c r="AC4327" s="110"/>
      <c r="AD4327" s="110"/>
      <c r="AE4327" s="110">
        <v>0</v>
      </c>
      <c r="AF4327" s="111">
        <f t="shared" si="962"/>
        <v>2500</v>
      </c>
      <c r="AG4327" s="110"/>
      <c r="AH4327" s="110"/>
      <c r="AI4327" s="110"/>
      <c r="AJ4327" s="110"/>
      <c r="AK4327" s="111">
        <f t="shared" si="963"/>
        <v>10000</v>
      </c>
      <c r="AL4327" s="446">
        <f t="shared" si="964"/>
        <v>0</v>
      </c>
      <c r="AM4327" s="110">
        <f t="shared" si="965"/>
        <v>1</v>
      </c>
      <c r="AN4327" s="447">
        <f t="shared" si="974"/>
        <v>0</v>
      </c>
      <c r="AO4327"/>
      <c r="AP4327"/>
    </row>
    <row r="4328" spans="1:42" x14ac:dyDescent="0.25">
      <c r="A4328" s="393">
        <v>5300</v>
      </c>
      <c r="B4328" s="627" t="s">
        <v>1127</v>
      </c>
      <c r="C4328" s="300"/>
      <c r="D4328" s="909"/>
      <c r="E4328" s="301"/>
      <c r="F4328" s="302"/>
      <c r="G4328" s="302"/>
      <c r="H4328" s="302"/>
      <c r="I4328" s="715"/>
      <c r="J4328" s="852"/>
      <c r="K4328" s="131">
        <f t="shared" si="971"/>
        <v>0</v>
      </c>
      <c r="L4328" s="335">
        <f t="shared" si="961"/>
        <v>0</v>
      </c>
      <c r="M4328" s="453"/>
      <c r="N4328" s="453"/>
      <c r="O4328" s="453"/>
      <c r="P4328" s="453"/>
      <c r="Q4328" s="385">
        <f t="shared" si="968"/>
        <v>0</v>
      </c>
      <c r="R4328" s="303">
        <f t="shared" si="972"/>
        <v>0</v>
      </c>
      <c r="S4328" s="385"/>
      <c r="T4328" s="385"/>
      <c r="U4328" s="385">
        <f t="shared" si="969"/>
        <v>0</v>
      </c>
      <c r="V4328" s="303">
        <f t="shared" si="973"/>
        <v>0</v>
      </c>
      <c r="W4328" s="385"/>
      <c r="X4328" s="385"/>
      <c r="Y4328" s="385"/>
      <c r="Z4328" s="385"/>
      <c r="AA4328" s="385">
        <f t="shared" si="970"/>
        <v>0</v>
      </c>
      <c r="AB4328" s="303">
        <f t="shared" si="967"/>
        <v>0</v>
      </c>
      <c r="AC4328" s="385"/>
      <c r="AD4328" s="385"/>
      <c r="AE4328" s="385">
        <f t="shared" si="970"/>
        <v>0</v>
      </c>
      <c r="AF4328" s="303">
        <f t="shared" si="962"/>
        <v>0</v>
      </c>
      <c r="AG4328" s="385"/>
      <c r="AH4328" s="385"/>
      <c r="AI4328" s="385"/>
      <c r="AJ4328" s="385"/>
      <c r="AK4328" s="303">
        <f t="shared" si="963"/>
        <v>0</v>
      </c>
      <c r="AL4328" s="453">
        <f t="shared" si="964"/>
        <v>0</v>
      </c>
      <c r="AM4328" s="385">
        <f t="shared" si="965"/>
        <v>0</v>
      </c>
      <c r="AN4328" s="454">
        <f t="shared" si="974"/>
        <v>0</v>
      </c>
      <c r="AO4328" s="304"/>
      <c r="AP4328"/>
    </row>
    <row r="4329" spans="1:42" x14ac:dyDescent="0.25">
      <c r="A4329" s="661">
        <v>531</v>
      </c>
      <c r="B4329" s="668" t="s">
        <v>1128</v>
      </c>
      <c r="C4329" s="416"/>
      <c r="D4329" s="961"/>
      <c r="E4329" s="671"/>
      <c r="F4329" s="672"/>
      <c r="G4329" s="672"/>
      <c r="H4329" s="672"/>
      <c r="I4329" s="734"/>
      <c r="J4329" s="853"/>
      <c r="K4329" s="131">
        <f t="shared" si="971"/>
        <v>0</v>
      </c>
      <c r="L4329" s="335">
        <f t="shared" si="961"/>
        <v>0</v>
      </c>
      <c r="M4329" s="419"/>
      <c r="N4329" s="419"/>
      <c r="O4329" s="419"/>
      <c r="P4329" s="419"/>
      <c r="Q4329" s="418">
        <f t="shared" si="968"/>
        <v>0</v>
      </c>
      <c r="R4329" s="379">
        <f t="shared" si="972"/>
        <v>0</v>
      </c>
      <c r="S4329" s="418"/>
      <c r="T4329" s="418"/>
      <c r="U4329" s="418">
        <f t="shared" si="969"/>
        <v>0</v>
      </c>
      <c r="V4329" s="379">
        <f t="shared" si="973"/>
        <v>0</v>
      </c>
      <c r="W4329" s="418"/>
      <c r="X4329" s="418"/>
      <c r="Y4329" s="418"/>
      <c r="Z4329" s="418"/>
      <c r="AA4329" s="418">
        <f t="shared" si="970"/>
        <v>0</v>
      </c>
      <c r="AB4329" s="379">
        <f t="shared" si="967"/>
        <v>0</v>
      </c>
      <c r="AC4329" s="418"/>
      <c r="AD4329" s="418"/>
      <c r="AE4329" s="418">
        <f t="shared" si="970"/>
        <v>0</v>
      </c>
      <c r="AF4329" s="379">
        <f t="shared" si="962"/>
        <v>0</v>
      </c>
      <c r="AG4329" s="418"/>
      <c r="AH4329" s="418"/>
      <c r="AI4329" s="418"/>
      <c r="AJ4329" s="418"/>
      <c r="AK4329" s="379">
        <f t="shared" si="963"/>
        <v>0</v>
      </c>
      <c r="AL4329" s="446">
        <f t="shared" si="964"/>
        <v>0</v>
      </c>
      <c r="AM4329" s="110">
        <f t="shared" si="965"/>
        <v>0</v>
      </c>
      <c r="AN4329" s="447">
        <f t="shared" si="974"/>
        <v>0</v>
      </c>
      <c r="AO4329" s="108"/>
      <c r="AP4329"/>
    </row>
    <row r="4330" spans="1:42" x14ac:dyDescent="0.25">
      <c r="A4330" s="394">
        <v>53102</v>
      </c>
      <c r="B4330" s="628" t="s">
        <v>1128</v>
      </c>
      <c r="C4330" s="311"/>
      <c r="D4330" s="902"/>
      <c r="E4330" s="312"/>
      <c r="F4330" s="313"/>
      <c r="G4330" s="313"/>
      <c r="H4330" s="313"/>
      <c r="I4330" s="729"/>
      <c r="J4330" s="800"/>
      <c r="K4330" s="131">
        <f t="shared" si="971"/>
        <v>0</v>
      </c>
      <c r="L4330" s="335">
        <f t="shared" si="961"/>
        <v>0</v>
      </c>
      <c r="M4330" s="421"/>
      <c r="N4330" s="421"/>
      <c r="O4330" s="421"/>
      <c r="P4330" s="421"/>
      <c r="Q4330" s="387">
        <f t="shared" si="968"/>
        <v>0</v>
      </c>
      <c r="R4330" s="314">
        <f t="shared" si="972"/>
        <v>0</v>
      </c>
      <c r="S4330" s="387"/>
      <c r="T4330" s="387"/>
      <c r="U4330" s="387">
        <f t="shared" si="969"/>
        <v>0</v>
      </c>
      <c r="V4330" s="314">
        <f t="shared" si="973"/>
        <v>0</v>
      </c>
      <c r="W4330" s="387"/>
      <c r="X4330" s="387"/>
      <c r="Y4330" s="387"/>
      <c r="Z4330" s="387"/>
      <c r="AA4330" s="387">
        <f t="shared" si="970"/>
        <v>0</v>
      </c>
      <c r="AB4330" s="314">
        <f t="shared" si="967"/>
        <v>0</v>
      </c>
      <c r="AC4330" s="387"/>
      <c r="AD4330" s="387"/>
      <c r="AE4330" s="387">
        <f t="shared" si="970"/>
        <v>0</v>
      </c>
      <c r="AF4330" s="314">
        <f t="shared" si="962"/>
        <v>0</v>
      </c>
      <c r="AG4330" s="387"/>
      <c r="AH4330" s="387"/>
      <c r="AI4330" s="387"/>
      <c r="AJ4330" s="387"/>
      <c r="AK4330" s="314">
        <f t="shared" si="963"/>
        <v>0</v>
      </c>
      <c r="AL4330" s="421">
        <f t="shared" si="964"/>
        <v>0</v>
      </c>
      <c r="AM4330" s="387">
        <f t="shared" si="965"/>
        <v>0</v>
      </c>
      <c r="AN4330" s="422">
        <f t="shared" si="974"/>
        <v>0</v>
      </c>
      <c r="AO4330" s="436">
        <f>SUM(J4331:J4336)</f>
        <v>45722.729999999996</v>
      </c>
      <c r="AP4330" s="111"/>
    </row>
    <row r="4331" spans="1:42" ht="66" x14ac:dyDescent="0.25">
      <c r="A4331" s="90"/>
      <c r="B4331" s="629" t="s">
        <v>2462</v>
      </c>
      <c r="C4331" s="1024"/>
      <c r="D4331" s="869">
        <v>2</v>
      </c>
      <c r="E4331" s="1027" t="s">
        <v>1721</v>
      </c>
      <c r="F4331" s="273" t="s">
        <v>3446</v>
      </c>
      <c r="G4331" s="1040" t="s">
        <v>3463</v>
      </c>
      <c r="H4331" s="273" t="s">
        <v>3462</v>
      </c>
      <c r="I4331" s="720">
        <f t="shared" ref="I4331:I4336" si="975">+J4331/D4331</f>
        <v>800</v>
      </c>
      <c r="J4331" s="843">
        <v>1600</v>
      </c>
      <c r="K4331" s="131">
        <f t="shared" si="971"/>
        <v>1600</v>
      </c>
      <c r="L4331" s="335">
        <f t="shared" si="961"/>
        <v>0</v>
      </c>
      <c r="M4331" s="446"/>
      <c r="N4331" s="446"/>
      <c r="O4331" s="446"/>
      <c r="P4331" s="446"/>
      <c r="Q4331" s="130">
        <v>1</v>
      </c>
      <c r="R4331" s="111">
        <f t="shared" si="972"/>
        <v>400</v>
      </c>
      <c r="S4331" s="110"/>
      <c r="T4331" s="110"/>
      <c r="U4331" s="130">
        <v>1</v>
      </c>
      <c r="V4331" s="111">
        <f t="shared" si="973"/>
        <v>400</v>
      </c>
      <c r="W4331" s="110"/>
      <c r="X4331" s="110"/>
      <c r="Y4331" s="110"/>
      <c r="Z4331" s="110"/>
      <c r="AA4331" s="130">
        <v>0</v>
      </c>
      <c r="AB4331" s="111">
        <f t="shared" si="967"/>
        <v>400</v>
      </c>
      <c r="AC4331" s="110"/>
      <c r="AD4331" s="110"/>
      <c r="AE4331" s="130">
        <v>0</v>
      </c>
      <c r="AF4331" s="111">
        <f t="shared" si="962"/>
        <v>400</v>
      </c>
      <c r="AG4331" s="110"/>
      <c r="AH4331" s="110"/>
      <c r="AI4331" s="110"/>
      <c r="AJ4331" s="110"/>
      <c r="AK4331" s="111">
        <f t="shared" si="963"/>
        <v>1600</v>
      </c>
      <c r="AL4331" s="446">
        <f t="shared" si="964"/>
        <v>0</v>
      </c>
      <c r="AM4331" s="110">
        <f t="shared" si="965"/>
        <v>2</v>
      </c>
      <c r="AN4331" s="447">
        <f t="shared" si="974"/>
        <v>0</v>
      </c>
      <c r="AO4331"/>
      <c r="AP4331"/>
    </row>
    <row r="4332" spans="1:42" ht="66" x14ac:dyDescent="0.25">
      <c r="A4332" s="90"/>
      <c r="B4332" s="231" t="s">
        <v>2845</v>
      </c>
      <c r="C4332" s="1024"/>
      <c r="D4332" s="880">
        <v>2</v>
      </c>
      <c r="E4332" s="1027" t="s">
        <v>1721</v>
      </c>
      <c r="F4332" s="273" t="s">
        <v>3446</v>
      </c>
      <c r="G4332" s="1040" t="s">
        <v>3463</v>
      </c>
      <c r="H4332" s="273" t="s">
        <v>3462</v>
      </c>
      <c r="I4332" s="720">
        <f t="shared" si="975"/>
        <v>13339.999999999998</v>
      </c>
      <c r="J4332" s="756">
        <v>26679.999999999996</v>
      </c>
      <c r="K4332" s="131">
        <f t="shared" si="971"/>
        <v>26679.999999999996</v>
      </c>
      <c r="L4332" s="335">
        <f t="shared" si="961"/>
        <v>0</v>
      </c>
      <c r="M4332" s="446"/>
      <c r="N4332" s="446"/>
      <c r="O4332" s="446"/>
      <c r="P4332" s="446"/>
      <c r="Q4332" s="130">
        <v>1</v>
      </c>
      <c r="R4332" s="111">
        <f t="shared" si="972"/>
        <v>6669.9999999999991</v>
      </c>
      <c r="S4332" s="110"/>
      <c r="T4332" s="110"/>
      <c r="U4332" s="130">
        <v>1</v>
      </c>
      <c r="V4332" s="111">
        <f t="shared" si="973"/>
        <v>6669.9999999999991</v>
      </c>
      <c r="W4332" s="110"/>
      <c r="X4332" s="110"/>
      <c r="Y4332" s="110"/>
      <c r="Z4332" s="110"/>
      <c r="AA4332" s="130">
        <v>0</v>
      </c>
      <c r="AB4332" s="111">
        <f t="shared" si="967"/>
        <v>6669.9999999999991</v>
      </c>
      <c r="AC4332" s="110"/>
      <c r="AD4332" s="110"/>
      <c r="AE4332" s="130">
        <v>0</v>
      </c>
      <c r="AF4332" s="111">
        <f t="shared" si="962"/>
        <v>6669.9999999999991</v>
      </c>
      <c r="AG4332" s="110"/>
      <c r="AH4332" s="110"/>
      <c r="AI4332" s="110"/>
      <c r="AJ4332" s="110"/>
      <c r="AK4332" s="111">
        <f t="shared" si="963"/>
        <v>26679.999999999996</v>
      </c>
      <c r="AL4332" s="446">
        <f t="shared" si="964"/>
        <v>0</v>
      </c>
      <c r="AM4332" s="110">
        <f t="shared" si="965"/>
        <v>2</v>
      </c>
      <c r="AN4332" s="447">
        <f t="shared" si="974"/>
        <v>0</v>
      </c>
      <c r="AO4332"/>
      <c r="AP4332"/>
    </row>
    <row r="4333" spans="1:42" ht="66" x14ac:dyDescent="0.25">
      <c r="A4333" s="90"/>
      <c r="B4333" s="231" t="s">
        <v>2846</v>
      </c>
      <c r="C4333" s="1024"/>
      <c r="D4333" s="880">
        <v>1</v>
      </c>
      <c r="E4333" s="1027" t="s">
        <v>1721</v>
      </c>
      <c r="F4333" s="273" t="s">
        <v>3446</v>
      </c>
      <c r="G4333" s="1040" t="s">
        <v>3463</v>
      </c>
      <c r="H4333" s="273" t="s">
        <v>3462</v>
      </c>
      <c r="I4333" s="720">
        <f t="shared" si="975"/>
        <v>9333.9399999999987</v>
      </c>
      <c r="J4333" s="756">
        <v>9333.9399999999987</v>
      </c>
      <c r="K4333" s="131">
        <f t="shared" si="971"/>
        <v>9333.9399999999987</v>
      </c>
      <c r="L4333" s="335">
        <f t="shared" si="961"/>
        <v>0</v>
      </c>
      <c r="M4333" s="446"/>
      <c r="N4333" s="446"/>
      <c r="O4333" s="446"/>
      <c r="P4333" s="446"/>
      <c r="Q4333" s="110">
        <v>1</v>
      </c>
      <c r="R4333" s="111">
        <f t="shared" si="972"/>
        <v>2333.4849999999997</v>
      </c>
      <c r="S4333" s="110"/>
      <c r="T4333" s="110"/>
      <c r="U4333" s="110">
        <v>0</v>
      </c>
      <c r="V4333" s="111">
        <f t="shared" si="973"/>
        <v>2333.4849999999997</v>
      </c>
      <c r="W4333" s="110"/>
      <c r="X4333" s="110"/>
      <c r="Y4333" s="110"/>
      <c r="Z4333" s="110"/>
      <c r="AA4333" s="110">
        <v>0</v>
      </c>
      <c r="AB4333" s="111">
        <f t="shared" si="967"/>
        <v>2333.4849999999997</v>
      </c>
      <c r="AC4333" s="110"/>
      <c r="AD4333" s="110"/>
      <c r="AE4333" s="110">
        <v>0</v>
      </c>
      <c r="AF4333" s="111">
        <f t="shared" si="962"/>
        <v>2333.4849999999997</v>
      </c>
      <c r="AG4333" s="110"/>
      <c r="AH4333" s="110"/>
      <c r="AI4333" s="110"/>
      <c r="AJ4333" s="110"/>
      <c r="AK4333" s="111">
        <f t="shared" si="963"/>
        <v>9333.9399999999987</v>
      </c>
      <c r="AL4333" s="446">
        <f t="shared" si="964"/>
        <v>0</v>
      </c>
      <c r="AM4333" s="110">
        <f t="shared" si="965"/>
        <v>1</v>
      </c>
      <c r="AN4333" s="447">
        <f t="shared" si="974"/>
        <v>0</v>
      </c>
      <c r="AO4333"/>
      <c r="AP4333"/>
    </row>
    <row r="4334" spans="1:42" ht="66" x14ac:dyDescent="0.25">
      <c r="A4334" s="90"/>
      <c r="B4334" s="231" t="s">
        <v>2847</v>
      </c>
      <c r="C4334" s="1024"/>
      <c r="D4334" s="880">
        <v>1</v>
      </c>
      <c r="E4334" s="1027" t="s">
        <v>1721</v>
      </c>
      <c r="F4334" s="273" t="s">
        <v>3446</v>
      </c>
      <c r="G4334" s="1040" t="s">
        <v>3463</v>
      </c>
      <c r="H4334" s="273" t="s">
        <v>3462</v>
      </c>
      <c r="I4334" s="720">
        <f t="shared" si="975"/>
        <v>4872</v>
      </c>
      <c r="J4334" s="756">
        <v>4872</v>
      </c>
      <c r="K4334" s="131">
        <f t="shared" si="971"/>
        <v>4872</v>
      </c>
      <c r="L4334" s="335">
        <f t="shared" si="961"/>
        <v>0</v>
      </c>
      <c r="M4334" s="446"/>
      <c r="N4334" s="446"/>
      <c r="O4334" s="446"/>
      <c r="P4334" s="446"/>
      <c r="Q4334" s="110">
        <v>1</v>
      </c>
      <c r="R4334" s="111">
        <f t="shared" si="972"/>
        <v>1218</v>
      </c>
      <c r="S4334" s="110"/>
      <c r="T4334" s="110"/>
      <c r="U4334" s="110">
        <v>0</v>
      </c>
      <c r="V4334" s="111">
        <f t="shared" si="973"/>
        <v>1218</v>
      </c>
      <c r="W4334" s="110"/>
      <c r="X4334" s="110"/>
      <c r="Y4334" s="110"/>
      <c r="Z4334" s="110"/>
      <c r="AA4334" s="110">
        <v>0</v>
      </c>
      <c r="AB4334" s="111">
        <f t="shared" si="967"/>
        <v>1218</v>
      </c>
      <c r="AC4334" s="110"/>
      <c r="AD4334" s="110"/>
      <c r="AE4334" s="110">
        <v>0</v>
      </c>
      <c r="AF4334" s="111">
        <f t="shared" si="962"/>
        <v>1218</v>
      </c>
      <c r="AG4334" s="110"/>
      <c r="AH4334" s="110"/>
      <c r="AI4334" s="110"/>
      <c r="AJ4334" s="110"/>
      <c r="AK4334" s="111">
        <f t="shared" si="963"/>
        <v>4872</v>
      </c>
      <c r="AL4334" s="446">
        <f t="shared" si="964"/>
        <v>0</v>
      </c>
      <c r="AM4334" s="110">
        <f t="shared" si="965"/>
        <v>1</v>
      </c>
      <c r="AN4334" s="447">
        <f t="shared" si="974"/>
        <v>0</v>
      </c>
      <c r="AO4334"/>
      <c r="AP4334"/>
    </row>
    <row r="4335" spans="1:42" ht="66" x14ac:dyDescent="0.25">
      <c r="A4335" s="90"/>
      <c r="B4335" s="528" t="s">
        <v>3361</v>
      </c>
      <c r="C4335" s="1024"/>
      <c r="D4335" s="869">
        <v>1</v>
      </c>
      <c r="E4335" s="1027" t="s">
        <v>1721</v>
      </c>
      <c r="F4335" s="273" t="s">
        <v>3446</v>
      </c>
      <c r="G4335" s="1040" t="s">
        <v>3463</v>
      </c>
      <c r="H4335" s="273" t="s">
        <v>3462</v>
      </c>
      <c r="I4335" s="720">
        <f t="shared" si="975"/>
        <v>747.69</v>
      </c>
      <c r="J4335" s="843">
        <v>747.69</v>
      </c>
      <c r="K4335" s="131">
        <f t="shared" si="971"/>
        <v>747.69</v>
      </c>
      <c r="L4335" s="335">
        <f t="shared" si="961"/>
        <v>0</v>
      </c>
      <c r="M4335" s="446"/>
      <c r="N4335" s="446"/>
      <c r="O4335" s="446"/>
      <c r="P4335" s="446"/>
      <c r="Q4335" s="110">
        <v>1</v>
      </c>
      <c r="R4335" s="111">
        <f t="shared" si="972"/>
        <v>186.92250000000001</v>
      </c>
      <c r="S4335" s="110"/>
      <c r="T4335" s="110"/>
      <c r="U4335" s="110">
        <v>0</v>
      </c>
      <c r="V4335" s="111">
        <f t="shared" si="973"/>
        <v>186.92250000000001</v>
      </c>
      <c r="W4335" s="110"/>
      <c r="X4335" s="110"/>
      <c r="Y4335" s="110"/>
      <c r="Z4335" s="110"/>
      <c r="AA4335" s="110">
        <v>0</v>
      </c>
      <c r="AB4335" s="111">
        <f t="shared" si="967"/>
        <v>186.92250000000001</v>
      </c>
      <c r="AC4335" s="110"/>
      <c r="AD4335" s="110"/>
      <c r="AE4335" s="110">
        <v>0</v>
      </c>
      <c r="AF4335" s="111">
        <f t="shared" si="962"/>
        <v>186.92250000000001</v>
      </c>
      <c r="AG4335" s="110"/>
      <c r="AH4335" s="110"/>
      <c r="AI4335" s="110"/>
      <c r="AJ4335" s="110"/>
      <c r="AK4335" s="111">
        <f t="shared" si="963"/>
        <v>747.69</v>
      </c>
      <c r="AL4335" s="446">
        <f t="shared" si="964"/>
        <v>0</v>
      </c>
      <c r="AM4335" s="110">
        <f t="shared" si="965"/>
        <v>1</v>
      </c>
      <c r="AN4335" s="447">
        <f t="shared" si="974"/>
        <v>0</v>
      </c>
      <c r="AO4335"/>
      <c r="AP4335"/>
    </row>
    <row r="4336" spans="1:42" ht="66" x14ac:dyDescent="0.25">
      <c r="A4336" s="90"/>
      <c r="B4336" s="528" t="s">
        <v>3362</v>
      </c>
      <c r="C4336" s="1024"/>
      <c r="D4336" s="869">
        <v>1</v>
      </c>
      <c r="E4336" s="1027" t="s">
        <v>1721</v>
      </c>
      <c r="F4336" s="273" t="s">
        <v>3446</v>
      </c>
      <c r="G4336" s="1040" t="s">
        <v>3463</v>
      </c>
      <c r="H4336" s="273" t="s">
        <v>3462</v>
      </c>
      <c r="I4336" s="720">
        <f t="shared" si="975"/>
        <v>2489.1</v>
      </c>
      <c r="J4336" s="843">
        <v>2489.1</v>
      </c>
      <c r="K4336" s="131">
        <f t="shared" si="971"/>
        <v>2489.1</v>
      </c>
      <c r="L4336" s="335">
        <f t="shared" si="961"/>
        <v>0</v>
      </c>
      <c r="M4336" s="446"/>
      <c r="N4336" s="446"/>
      <c r="O4336" s="446"/>
      <c r="P4336" s="446"/>
      <c r="Q4336" s="110">
        <v>1</v>
      </c>
      <c r="R4336" s="111">
        <f t="shared" si="972"/>
        <v>622.27499999999998</v>
      </c>
      <c r="S4336" s="110"/>
      <c r="T4336" s="110"/>
      <c r="U4336" s="110">
        <v>0</v>
      </c>
      <c r="V4336" s="111">
        <f t="shared" si="973"/>
        <v>622.27499999999998</v>
      </c>
      <c r="W4336" s="110"/>
      <c r="X4336" s="110"/>
      <c r="Y4336" s="110"/>
      <c r="Z4336" s="110"/>
      <c r="AA4336" s="110">
        <v>0</v>
      </c>
      <c r="AB4336" s="111">
        <f t="shared" si="967"/>
        <v>622.27499999999998</v>
      </c>
      <c r="AC4336" s="110"/>
      <c r="AD4336" s="110"/>
      <c r="AE4336" s="110">
        <v>0</v>
      </c>
      <c r="AF4336" s="111">
        <f t="shared" si="962"/>
        <v>622.27499999999998</v>
      </c>
      <c r="AG4336" s="110"/>
      <c r="AH4336" s="110"/>
      <c r="AI4336" s="110"/>
      <c r="AJ4336" s="110"/>
      <c r="AK4336" s="111">
        <f t="shared" si="963"/>
        <v>2489.1</v>
      </c>
      <c r="AL4336" s="446">
        <f t="shared" si="964"/>
        <v>0</v>
      </c>
      <c r="AM4336" s="110">
        <f t="shared" si="965"/>
        <v>1</v>
      </c>
      <c r="AN4336" s="447">
        <f t="shared" si="974"/>
        <v>0</v>
      </c>
      <c r="AO4336"/>
      <c r="AP4336"/>
    </row>
    <row r="4337" spans="1:42" x14ac:dyDescent="0.25">
      <c r="A4337" s="669">
        <v>532</v>
      </c>
      <c r="B4337" s="670" t="s">
        <v>2463</v>
      </c>
      <c r="C4337" s="416"/>
      <c r="D4337" s="921"/>
      <c r="E4337" s="377" t="s">
        <v>1721</v>
      </c>
      <c r="F4337" s="378"/>
      <c r="G4337" s="378"/>
      <c r="H4337" s="378"/>
      <c r="I4337" s="734"/>
      <c r="J4337" s="845"/>
      <c r="K4337" s="131">
        <f t="shared" si="971"/>
        <v>0</v>
      </c>
      <c r="L4337" s="335">
        <f t="shared" si="961"/>
        <v>0</v>
      </c>
      <c r="M4337" s="419"/>
      <c r="N4337" s="419"/>
      <c r="O4337" s="419"/>
      <c r="P4337" s="419"/>
      <c r="Q4337" s="418">
        <f t="shared" si="968"/>
        <v>0</v>
      </c>
      <c r="R4337" s="379">
        <f t="shared" si="972"/>
        <v>0</v>
      </c>
      <c r="S4337" s="418"/>
      <c r="T4337" s="418"/>
      <c r="U4337" s="418">
        <f t="shared" si="969"/>
        <v>0</v>
      </c>
      <c r="V4337" s="379">
        <f t="shared" si="973"/>
        <v>0</v>
      </c>
      <c r="W4337" s="418"/>
      <c r="X4337" s="418"/>
      <c r="Y4337" s="418"/>
      <c r="Z4337" s="418"/>
      <c r="AA4337" s="418">
        <f t="shared" si="970"/>
        <v>0</v>
      </c>
      <c r="AB4337" s="379">
        <f t="shared" si="967"/>
        <v>0</v>
      </c>
      <c r="AC4337" s="418"/>
      <c r="AD4337" s="418"/>
      <c r="AE4337" s="418">
        <f t="shared" si="970"/>
        <v>0</v>
      </c>
      <c r="AF4337" s="379">
        <f t="shared" si="962"/>
        <v>0</v>
      </c>
      <c r="AG4337" s="418"/>
      <c r="AH4337" s="418"/>
      <c r="AI4337" s="418"/>
      <c r="AJ4337" s="418"/>
      <c r="AK4337" s="379">
        <f t="shared" si="963"/>
        <v>0</v>
      </c>
      <c r="AL4337" s="446">
        <f t="shared" si="964"/>
        <v>0</v>
      </c>
      <c r="AM4337" s="110">
        <f t="shared" si="965"/>
        <v>0</v>
      </c>
      <c r="AN4337" s="447">
        <f t="shared" si="974"/>
        <v>0</v>
      </c>
      <c r="AO4337" s="108"/>
      <c r="AP4337"/>
    </row>
    <row r="4338" spans="1:42" x14ac:dyDescent="0.25">
      <c r="A4338" s="658">
        <v>53201</v>
      </c>
      <c r="B4338" s="644" t="s">
        <v>2464</v>
      </c>
      <c r="C4338" s="654"/>
      <c r="D4338" s="962"/>
      <c r="E4338" s="659"/>
      <c r="F4338" s="660"/>
      <c r="G4338" s="660"/>
      <c r="H4338" s="660"/>
      <c r="I4338" s="717"/>
      <c r="J4338" s="753"/>
      <c r="K4338" s="131">
        <f t="shared" si="971"/>
        <v>0</v>
      </c>
      <c r="L4338" s="335">
        <f t="shared" si="961"/>
        <v>0</v>
      </c>
      <c r="M4338" s="648"/>
      <c r="N4338" s="648"/>
      <c r="O4338" s="648"/>
      <c r="P4338" s="648"/>
      <c r="Q4338" s="649">
        <f t="shared" si="968"/>
        <v>0</v>
      </c>
      <c r="R4338" s="647">
        <f t="shared" si="972"/>
        <v>0</v>
      </c>
      <c r="S4338" s="649"/>
      <c r="T4338" s="649"/>
      <c r="U4338" s="649">
        <f t="shared" si="969"/>
        <v>0</v>
      </c>
      <c r="V4338" s="647">
        <f t="shared" si="973"/>
        <v>0</v>
      </c>
      <c r="W4338" s="649"/>
      <c r="X4338" s="649"/>
      <c r="Y4338" s="649"/>
      <c r="Z4338" s="649"/>
      <c r="AA4338" s="649">
        <f t="shared" si="970"/>
        <v>0</v>
      </c>
      <c r="AB4338" s="647">
        <f t="shared" si="967"/>
        <v>0</v>
      </c>
      <c r="AC4338" s="649"/>
      <c r="AD4338" s="649"/>
      <c r="AE4338" s="649">
        <f t="shared" si="970"/>
        <v>0</v>
      </c>
      <c r="AF4338" s="647">
        <f t="shared" si="962"/>
        <v>0</v>
      </c>
      <c r="AG4338" s="649"/>
      <c r="AH4338" s="649"/>
      <c r="AI4338" s="649"/>
      <c r="AJ4338" s="649"/>
      <c r="AK4338" s="647">
        <f t="shared" si="963"/>
        <v>0</v>
      </c>
      <c r="AL4338" s="446">
        <f t="shared" si="964"/>
        <v>0</v>
      </c>
      <c r="AM4338" s="110">
        <f t="shared" si="965"/>
        <v>0</v>
      </c>
      <c r="AN4338" s="447">
        <f t="shared" si="974"/>
        <v>0</v>
      </c>
      <c r="AO4338" s="436">
        <f>SUM(J4339)</f>
        <v>1400</v>
      </c>
      <c r="AP4338" s="111"/>
    </row>
    <row r="4339" spans="1:42" ht="66" x14ac:dyDescent="0.25">
      <c r="A4339" s="90"/>
      <c r="B4339" s="626" t="s">
        <v>2465</v>
      </c>
      <c r="C4339" s="1024"/>
      <c r="D4339" s="869">
        <v>2</v>
      </c>
      <c r="E4339" s="1027" t="s">
        <v>1721</v>
      </c>
      <c r="F4339" s="273" t="s">
        <v>3446</v>
      </c>
      <c r="G4339" s="1040" t="s">
        <v>3463</v>
      </c>
      <c r="H4339" s="273" t="s">
        <v>3462</v>
      </c>
      <c r="I4339" s="720">
        <f>+J4339/D4339</f>
        <v>700</v>
      </c>
      <c r="J4339" s="843">
        <v>1400</v>
      </c>
      <c r="K4339" s="131">
        <f t="shared" si="971"/>
        <v>1400</v>
      </c>
      <c r="L4339" s="335">
        <f t="shared" si="961"/>
        <v>0</v>
      </c>
      <c r="M4339" s="446"/>
      <c r="N4339" s="446"/>
      <c r="O4339" s="446"/>
      <c r="P4339" s="446"/>
      <c r="Q4339" s="130">
        <v>1</v>
      </c>
      <c r="R4339" s="111">
        <f t="shared" si="972"/>
        <v>350</v>
      </c>
      <c r="S4339" s="110"/>
      <c r="T4339" s="110"/>
      <c r="U4339" s="130">
        <v>1</v>
      </c>
      <c r="V4339" s="111">
        <f t="shared" si="973"/>
        <v>350</v>
      </c>
      <c r="W4339" s="110"/>
      <c r="X4339" s="110"/>
      <c r="Y4339" s="110"/>
      <c r="Z4339" s="110"/>
      <c r="AA4339" s="130">
        <v>0</v>
      </c>
      <c r="AB4339" s="111">
        <f t="shared" si="967"/>
        <v>350</v>
      </c>
      <c r="AC4339" s="110"/>
      <c r="AD4339" s="110"/>
      <c r="AE4339" s="130">
        <v>0</v>
      </c>
      <c r="AF4339" s="111">
        <f t="shared" si="962"/>
        <v>350</v>
      </c>
      <c r="AG4339" s="110"/>
      <c r="AH4339" s="110"/>
      <c r="AI4339" s="110"/>
      <c r="AJ4339" s="110"/>
      <c r="AK4339" s="111">
        <f t="shared" si="963"/>
        <v>1400</v>
      </c>
      <c r="AL4339" s="446">
        <f t="shared" si="964"/>
        <v>0</v>
      </c>
      <c r="AM4339" s="110">
        <f t="shared" si="965"/>
        <v>2</v>
      </c>
      <c r="AN4339" s="447">
        <f t="shared" si="974"/>
        <v>0</v>
      </c>
      <c r="AO4339"/>
      <c r="AP4339"/>
    </row>
    <row r="4340" spans="1:42" ht="22.5" x14ac:dyDescent="0.25">
      <c r="A4340" s="98">
        <v>5600</v>
      </c>
      <c r="B4340" s="630" t="s">
        <v>1066</v>
      </c>
      <c r="C4340" s="1024"/>
      <c r="D4340" s="869"/>
      <c r="E4340" s="1027"/>
      <c r="F4340" s="272"/>
      <c r="G4340" s="272"/>
      <c r="H4340" s="272"/>
      <c r="I4340" s="720"/>
      <c r="J4340" s="843"/>
      <c r="K4340" s="131">
        <f t="shared" si="971"/>
        <v>0</v>
      </c>
      <c r="L4340" s="335">
        <f t="shared" si="961"/>
        <v>0</v>
      </c>
      <c r="M4340" s="446"/>
      <c r="N4340" s="446"/>
      <c r="O4340" s="446"/>
      <c r="P4340" s="446"/>
      <c r="Q4340" s="110">
        <f t="shared" si="968"/>
        <v>0</v>
      </c>
      <c r="R4340" s="111">
        <f t="shared" si="972"/>
        <v>0</v>
      </c>
      <c r="S4340" s="110"/>
      <c r="T4340" s="110"/>
      <c r="U4340" s="110">
        <f t="shared" si="969"/>
        <v>0</v>
      </c>
      <c r="V4340" s="111">
        <f t="shared" si="973"/>
        <v>0</v>
      </c>
      <c r="W4340" s="110"/>
      <c r="X4340" s="110"/>
      <c r="Y4340" s="110"/>
      <c r="Z4340" s="110"/>
      <c r="AA4340" s="110">
        <f t="shared" si="970"/>
        <v>0</v>
      </c>
      <c r="AB4340" s="111">
        <f t="shared" si="967"/>
        <v>0</v>
      </c>
      <c r="AC4340" s="110"/>
      <c r="AD4340" s="110"/>
      <c r="AE4340" s="110">
        <f t="shared" si="970"/>
        <v>0</v>
      </c>
      <c r="AF4340" s="111">
        <f t="shared" si="962"/>
        <v>0</v>
      </c>
      <c r="AG4340" s="110"/>
      <c r="AH4340" s="110"/>
      <c r="AI4340" s="110"/>
      <c r="AJ4340" s="110"/>
      <c r="AK4340" s="111">
        <f t="shared" si="963"/>
        <v>0</v>
      </c>
      <c r="AL4340" s="446">
        <f t="shared" si="964"/>
        <v>0</v>
      </c>
      <c r="AM4340" s="110">
        <f t="shared" si="965"/>
        <v>0</v>
      </c>
      <c r="AN4340" s="447">
        <f t="shared" si="974"/>
        <v>0</v>
      </c>
      <c r="AO4340" s="108"/>
      <c r="AP4340"/>
    </row>
    <row r="4341" spans="1:42" x14ac:dyDescent="0.25">
      <c r="A4341" s="661">
        <v>561</v>
      </c>
      <c r="B4341" s="668" t="s">
        <v>1394</v>
      </c>
      <c r="C4341" s="376"/>
      <c r="D4341" s="921"/>
      <c r="E4341" s="377"/>
      <c r="F4341" s="378"/>
      <c r="G4341" s="378"/>
      <c r="H4341" s="378"/>
      <c r="I4341" s="734"/>
      <c r="J4341" s="806"/>
      <c r="K4341" s="131">
        <f t="shared" si="971"/>
        <v>0</v>
      </c>
      <c r="L4341" s="335">
        <f t="shared" si="961"/>
        <v>0</v>
      </c>
      <c r="M4341" s="419"/>
      <c r="N4341" s="419"/>
      <c r="O4341" s="419"/>
      <c r="P4341" s="419"/>
      <c r="Q4341" s="418">
        <f t="shared" si="968"/>
        <v>0</v>
      </c>
      <c r="R4341" s="379">
        <f t="shared" si="972"/>
        <v>0</v>
      </c>
      <c r="S4341" s="418"/>
      <c r="T4341" s="418"/>
      <c r="U4341" s="418">
        <f t="shared" si="969"/>
        <v>0</v>
      </c>
      <c r="V4341" s="379">
        <f t="shared" si="973"/>
        <v>0</v>
      </c>
      <c r="W4341" s="418"/>
      <c r="X4341" s="418"/>
      <c r="Y4341" s="418"/>
      <c r="Z4341" s="418"/>
      <c r="AA4341" s="418">
        <f t="shared" si="970"/>
        <v>0</v>
      </c>
      <c r="AB4341" s="379">
        <f t="shared" si="967"/>
        <v>0</v>
      </c>
      <c r="AC4341" s="418"/>
      <c r="AD4341" s="418"/>
      <c r="AE4341" s="418">
        <f t="shared" si="970"/>
        <v>0</v>
      </c>
      <c r="AF4341" s="379">
        <f t="shared" si="962"/>
        <v>0</v>
      </c>
      <c r="AG4341" s="418"/>
      <c r="AH4341" s="418"/>
      <c r="AI4341" s="418"/>
      <c r="AJ4341" s="418"/>
      <c r="AK4341" s="379">
        <f t="shared" si="963"/>
        <v>0</v>
      </c>
      <c r="AL4341" s="446">
        <f t="shared" si="964"/>
        <v>0</v>
      </c>
      <c r="AM4341" s="110">
        <f t="shared" si="965"/>
        <v>0</v>
      </c>
      <c r="AN4341" s="447">
        <f t="shared" si="974"/>
        <v>0</v>
      </c>
      <c r="AO4341" s="108"/>
      <c r="AP4341"/>
    </row>
    <row r="4342" spans="1:42" x14ac:dyDescent="0.25">
      <c r="A4342" s="651">
        <v>56102</v>
      </c>
      <c r="B4342" s="657" t="s">
        <v>1395</v>
      </c>
      <c r="C4342" s="654"/>
      <c r="D4342" s="954"/>
      <c r="E4342" s="645"/>
      <c r="F4342" s="646"/>
      <c r="G4342" s="646"/>
      <c r="H4342" s="646"/>
      <c r="I4342" s="717"/>
      <c r="J4342" s="854"/>
      <c r="K4342" s="131">
        <f t="shared" si="971"/>
        <v>0</v>
      </c>
      <c r="L4342" s="335">
        <f t="shared" ref="L4342:L4371" si="976">+J4342-K4342</f>
        <v>0</v>
      </c>
      <c r="M4342" s="648"/>
      <c r="N4342" s="648"/>
      <c r="O4342" s="648"/>
      <c r="P4342" s="648"/>
      <c r="Q4342" s="649">
        <f t="shared" si="968"/>
        <v>0</v>
      </c>
      <c r="R4342" s="647">
        <f t="shared" si="972"/>
        <v>0</v>
      </c>
      <c r="S4342" s="649"/>
      <c r="T4342" s="649"/>
      <c r="U4342" s="649">
        <f t="shared" si="969"/>
        <v>0</v>
      </c>
      <c r="V4342" s="647">
        <f t="shared" si="973"/>
        <v>0</v>
      </c>
      <c r="W4342" s="649"/>
      <c r="X4342" s="649"/>
      <c r="Y4342" s="649"/>
      <c r="Z4342" s="649"/>
      <c r="AA4342" s="649">
        <f t="shared" si="970"/>
        <v>0</v>
      </c>
      <c r="AB4342" s="647">
        <f t="shared" si="967"/>
        <v>0</v>
      </c>
      <c r="AC4342" s="649"/>
      <c r="AD4342" s="649"/>
      <c r="AE4342" s="649">
        <f t="shared" si="970"/>
        <v>0</v>
      </c>
      <c r="AF4342" s="647">
        <f t="shared" ref="AF4342:AF4371" si="977">+J4342/4</f>
        <v>0</v>
      </c>
      <c r="AG4342" s="649"/>
      <c r="AH4342" s="649"/>
      <c r="AI4342" s="649"/>
      <c r="AJ4342" s="649"/>
      <c r="AK4342" s="647">
        <f t="shared" ref="AK4342:AK4371" si="978">+R4342+V4342+AB4342+AF4342</f>
        <v>0</v>
      </c>
      <c r="AL4342" s="446">
        <f t="shared" ref="AL4342:AL4371" si="979">+J4342-AK4342</f>
        <v>0</v>
      </c>
      <c r="AM4342" s="110">
        <f t="shared" ref="AM4342:AM4371" si="980">+Q4342+U4342+AA4342+AE4342</f>
        <v>0</v>
      </c>
      <c r="AN4342" s="447">
        <f t="shared" si="974"/>
        <v>0</v>
      </c>
      <c r="AO4342" s="436">
        <f>SUM(J4343)</f>
        <v>14746.15</v>
      </c>
      <c r="AP4342" s="111"/>
    </row>
    <row r="4343" spans="1:42" ht="66" x14ac:dyDescent="0.25">
      <c r="A4343" s="95"/>
      <c r="B4343" s="620" t="s">
        <v>1068</v>
      </c>
      <c r="C4343" s="9"/>
      <c r="D4343" s="869">
        <f>1+1</f>
        <v>2</v>
      </c>
      <c r="E4343" s="1027" t="s">
        <v>1721</v>
      </c>
      <c r="F4343" s="273" t="s">
        <v>3446</v>
      </c>
      <c r="G4343" s="1040" t="s">
        <v>3463</v>
      </c>
      <c r="H4343" s="273" t="s">
        <v>3462</v>
      </c>
      <c r="I4343" s="720">
        <f>+J4343/D4343</f>
        <v>7373.0749999999998</v>
      </c>
      <c r="J4343" s="849">
        <f>6960+7786.15</f>
        <v>14746.15</v>
      </c>
      <c r="K4343" s="131">
        <f t="shared" si="971"/>
        <v>14746.15</v>
      </c>
      <c r="L4343" s="335">
        <f t="shared" si="976"/>
        <v>0</v>
      </c>
      <c r="M4343" s="446"/>
      <c r="N4343" s="446"/>
      <c r="O4343" s="446"/>
      <c r="P4343" s="446"/>
      <c r="Q4343" s="130">
        <v>1</v>
      </c>
      <c r="R4343" s="111">
        <f t="shared" si="972"/>
        <v>3686.5374999999999</v>
      </c>
      <c r="S4343" s="110"/>
      <c r="T4343" s="110"/>
      <c r="U4343" s="130">
        <v>1</v>
      </c>
      <c r="V4343" s="111">
        <f t="shared" si="973"/>
        <v>3686.5374999999999</v>
      </c>
      <c r="W4343" s="110"/>
      <c r="X4343" s="110"/>
      <c r="Y4343" s="110"/>
      <c r="Z4343" s="110"/>
      <c r="AA4343" s="130">
        <v>0</v>
      </c>
      <c r="AB4343" s="111">
        <f t="shared" si="967"/>
        <v>3686.5374999999999</v>
      </c>
      <c r="AC4343" s="110"/>
      <c r="AD4343" s="110"/>
      <c r="AE4343" s="130">
        <v>0</v>
      </c>
      <c r="AF4343" s="111">
        <f t="shared" si="977"/>
        <v>3686.5374999999999</v>
      </c>
      <c r="AG4343" s="110"/>
      <c r="AH4343" s="110"/>
      <c r="AI4343" s="110"/>
      <c r="AJ4343" s="110"/>
      <c r="AK4343" s="111">
        <f t="shared" si="978"/>
        <v>14746.15</v>
      </c>
      <c r="AL4343" s="446">
        <f t="shared" si="979"/>
        <v>0</v>
      </c>
      <c r="AM4343" s="110">
        <f t="shared" si="980"/>
        <v>2</v>
      </c>
      <c r="AN4343" s="447">
        <f t="shared" si="974"/>
        <v>0</v>
      </c>
      <c r="AO4343"/>
      <c r="AP4343"/>
    </row>
    <row r="4344" spans="1:42" x14ac:dyDescent="0.25">
      <c r="A4344" s="661">
        <v>562</v>
      </c>
      <c r="B4344" s="665" t="s">
        <v>1067</v>
      </c>
      <c r="C4344" s="663"/>
      <c r="D4344" s="963"/>
      <c r="E4344" s="666"/>
      <c r="F4344" s="667"/>
      <c r="G4344" s="667"/>
      <c r="H4344" s="667"/>
      <c r="I4344" s="734"/>
      <c r="J4344" s="855"/>
      <c r="K4344" s="131">
        <f t="shared" si="971"/>
        <v>0</v>
      </c>
      <c r="L4344" s="335">
        <f t="shared" si="976"/>
        <v>0</v>
      </c>
      <c r="M4344" s="419"/>
      <c r="N4344" s="419"/>
      <c r="O4344" s="419"/>
      <c r="P4344" s="419"/>
      <c r="Q4344" s="418">
        <f t="shared" si="968"/>
        <v>0</v>
      </c>
      <c r="R4344" s="379">
        <f t="shared" si="972"/>
        <v>0</v>
      </c>
      <c r="S4344" s="418"/>
      <c r="T4344" s="418"/>
      <c r="U4344" s="418">
        <f t="shared" si="969"/>
        <v>0</v>
      </c>
      <c r="V4344" s="379">
        <f t="shared" si="973"/>
        <v>0</v>
      </c>
      <c r="W4344" s="418"/>
      <c r="X4344" s="418"/>
      <c r="Y4344" s="418"/>
      <c r="Z4344" s="418"/>
      <c r="AA4344" s="418">
        <f t="shared" si="970"/>
        <v>0</v>
      </c>
      <c r="AB4344" s="379">
        <f t="shared" si="967"/>
        <v>0</v>
      </c>
      <c r="AC4344" s="418"/>
      <c r="AD4344" s="418"/>
      <c r="AE4344" s="418">
        <f t="shared" si="970"/>
        <v>0</v>
      </c>
      <c r="AF4344" s="379">
        <f t="shared" si="977"/>
        <v>0</v>
      </c>
      <c r="AG4344" s="418"/>
      <c r="AH4344" s="418"/>
      <c r="AI4344" s="418"/>
      <c r="AJ4344" s="418"/>
      <c r="AK4344" s="379">
        <f t="shared" si="978"/>
        <v>0</v>
      </c>
      <c r="AL4344" s="446">
        <f t="shared" si="979"/>
        <v>0</v>
      </c>
      <c r="AM4344" s="110">
        <f t="shared" si="980"/>
        <v>0</v>
      </c>
      <c r="AN4344" s="447">
        <f t="shared" si="974"/>
        <v>0</v>
      </c>
      <c r="AO4344" s="108"/>
      <c r="AP4344"/>
    </row>
    <row r="4345" spans="1:42" x14ac:dyDescent="0.25">
      <c r="A4345" s="357">
        <v>56206</v>
      </c>
      <c r="B4345" s="656" t="s">
        <v>1396</v>
      </c>
      <c r="C4345" s="653"/>
      <c r="D4345" s="954"/>
      <c r="E4345" s="645"/>
      <c r="F4345" s="646"/>
      <c r="G4345" s="646"/>
      <c r="H4345" s="646"/>
      <c r="I4345" s="717"/>
      <c r="J4345" s="854"/>
      <c r="K4345" s="131">
        <f t="shared" si="971"/>
        <v>0</v>
      </c>
      <c r="L4345" s="335">
        <f t="shared" si="976"/>
        <v>0</v>
      </c>
      <c r="M4345" s="648"/>
      <c r="N4345" s="648"/>
      <c r="O4345" s="648"/>
      <c r="P4345" s="648"/>
      <c r="Q4345" s="649">
        <f t="shared" si="968"/>
        <v>0</v>
      </c>
      <c r="R4345" s="647">
        <f t="shared" si="972"/>
        <v>0</v>
      </c>
      <c r="S4345" s="649"/>
      <c r="T4345" s="649"/>
      <c r="U4345" s="649">
        <f t="shared" si="969"/>
        <v>0</v>
      </c>
      <c r="V4345" s="647">
        <f t="shared" si="973"/>
        <v>0</v>
      </c>
      <c r="W4345" s="649"/>
      <c r="X4345" s="649"/>
      <c r="Y4345" s="649"/>
      <c r="Z4345" s="649"/>
      <c r="AA4345" s="649">
        <f t="shared" si="970"/>
        <v>0</v>
      </c>
      <c r="AB4345" s="647">
        <f t="shared" si="967"/>
        <v>0</v>
      </c>
      <c r="AC4345" s="649"/>
      <c r="AD4345" s="649"/>
      <c r="AE4345" s="649">
        <f t="shared" si="970"/>
        <v>0</v>
      </c>
      <c r="AF4345" s="647">
        <f t="shared" si="977"/>
        <v>0</v>
      </c>
      <c r="AG4345" s="649"/>
      <c r="AH4345" s="649"/>
      <c r="AI4345" s="649"/>
      <c r="AJ4345" s="649"/>
      <c r="AK4345" s="647">
        <f t="shared" si="978"/>
        <v>0</v>
      </c>
      <c r="AL4345" s="446">
        <f t="shared" si="979"/>
        <v>0</v>
      </c>
      <c r="AM4345" s="110">
        <f t="shared" si="980"/>
        <v>0</v>
      </c>
      <c r="AN4345" s="447">
        <f t="shared" si="974"/>
        <v>0</v>
      </c>
      <c r="AO4345" s="436">
        <f>SUM(J4346:J4351)</f>
        <v>19896</v>
      </c>
      <c r="AP4345" s="111"/>
    </row>
    <row r="4346" spans="1:42" ht="66" x14ac:dyDescent="0.25">
      <c r="A4346" s="90"/>
      <c r="B4346" s="1031" t="s">
        <v>1397</v>
      </c>
      <c r="C4346" s="101"/>
      <c r="D4346" s="869">
        <v>1</v>
      </c>
      <c r="E4346" s="1027" t="s">
        <v>1721</v>
      </c>
      <c r="F4346" s="273" t="s">
        <v>3446</v>
      </c>
      <c r="G4346" s="1040" t="s">
        <v>3463</v>
      </c>
      <c r="H4346" s="273" t="s">
        <v>3462</v>
      </c>
      <c r="I4346" s="720">
        <f>+J4346/D4346</f>
        <v>4060</v>
      </c>
      <c r="J4346" s="813">
        <v>4060</v>
      </c>
      <c r="K4346" s="131">
        <f t="shared" si="971"/>
        <v>4060</v>
      </c>
      <c r="L4346" s="335">
        <f t="shared" si="976"/>
        <v>0</v>
      </c>
      <c r="M4346" s="446"/>
      <c r="N4346" s="446"/>
      <c r="O4346" s="446"/>
      <c r="P4346" s="446"/>
      <c r="Q4346" s="110">
        <v>1</v>
      </c>
      <c r="R4346" s="111">
        <f t="shared" si="972"/>
        <v>1015</v>
      </c>
      <c r="S4346" s="110"/>
      <c r="T4346" s="110"/>
      <c r="U4346" s="110">
        <v>0</v>
      </c>
      <c r="V4346" s="111">
        <f t="shared" si="973"/>
        <v>1015</v>
      </c>
      <c r="W4346" s="110"/>
      <c r="X4346" s="110"/>
      <c r="Y4346" s="110"/>
      <c r="Z4346" s="110"/>
      <c r="AA4346" s="110">
        <v>0</v>
      </c>
      <c r="AB4346" s="111">
        <f t="shared" si="967"/>
        <v>1015</v>
      </c>
      <c r="AC4346" s="110"/>
      <c r="AD4346" s="110"/>
      <c r="AE4346" s="110">
        <v>0</v>
      </c>
      <c r="AF4346" s="111">
        <f t="shared" si="977"/>
        <v>1015</v>
      </c>
      <c r="AG4346" s="110"/>
      <c r="AH4346" s="110"/>
      <c r="AI4346" s="110"/>
      <c r="AJ4346" s="110"/>
      <c r="AK4346" s="111">
        <f t="shared" si="978"/>
        <v>4060</v>
      </c>
      <c r="AL4346" s="446">
        <f t="shared" si="979"/>
        <v>0</v>
      </c>
      <c r="AM4346" s="110">
        <f t="shared" si="980"/>
        <v>1</v>
      </c>
      <c r="AN4346" s="447">
        <f t="shared" si="974"/>
        <v>0</v>
      </c>
      <c r="AO4346"/>
      <c r="AP4346"/>
    </row>
    <row r="4347" spans="1:42" ht="66" x14ac:dyDescent="0.25">
      <c r="A4347" s="90"/>
      <c r="B4347" s="495" t="s">
        <v>3363</v>
      </c>
      <c r="C4347" s="101"/>
      <c r="D4347" s="882">
        <v>1</v>
      </c>
      <c r="E4347" s="251" t="s">
        <v>1767</v>
      </c>
      <c r="F4347" s="273" t="s">
        <v>3446</v>
      </c>
      <c r="G4347" s="1040" t="s">
        <v>3463</v>
      </c>
      <c r="H4347" s="273" t="s">
        <v>3462</v>
      </c>
      <c r="I4347" s="720">
        <f>+J4347/D4347</f>
        <v>1000</v>
      </c>
      <c r="J4347" s="813">
        <v>1000</v>
      </c>
      <c r="K4347" s="131">
        <f t="shared" si="971"/>
        <v>1000</v>
      </c>
      <c r="L4347" s="335">
        <f t="shared" si="976"/>
        <v>0</v>
      </c>
      <c r="M4347" s="446"/>
      <c r="N4347" s="446"/>
      <c r="O4347" s="446"/>
      <c r="P4347" s="446"/>
      <c r="Q4347" s="110">
        <v>1</v>
      </c>
      <c r="R4347" s="111">
        <f t="shared" si="972"/>
        <v>250</v>
      </c>
      <c r="S4347" s="110"/>
      <c r="T4347" s="110"/>
      <c r="U4347" s="110">
        <v>0</v>
      </c>
      <c r="V4347" s="111">
        <f t="shared" si="973"/>
        <v>250</v>
      </c>
      <c r="W4347" s="110"/>
      <c r="X4347" s="110"/>
      <c r="Y4347" s="110"/>
      <c r="Z4347" s="110"/>
      <c r="AA4347" s="110">
        <v>0</v>
      </c>
      <c r="AB4347" s="111">
        <f t="shared" si="967"/>
        <v>250</v>
      </c>
      <c r="AC4347" s="110"/>
      <c r="AD4347" s="110"/>
      <c r="AE4347" s="110">
        <v>0</v>
      </c>
      <c r="AF4347" s="111">
        <f t="shared" si="977"/>
        <v>250</v>
      </c>
      <c r="AG4347" s="110"/>
      <c r="AH4347" s="110"/>
      <c r="AI4347" s="110"/>
      <c r="AJ4347" s="110"/>
      <c r="AK4347" s="111">
        <f t="shared" si="978"/>
        <v>1000</v>
      </c>
      <c r="AL4347" s="446">
        <f t="shared" si="979"/>
        <v>0</v>
      </c>
      <c r="AM4347" s="110">
        <f t="shared" si="980"/>
        <v>1</v>
      </c>
      <c r="AN4347" s="447">
        <f t="shared" si="974"/>
        <v>0</v>
      </c>
      <c r="AO4347"/>
      <c r="AP4347"/>
    </row>
    <row r="4348" spans="1:42" ht="66" x14ac:dyDescent="0.25">
      <c r="A4348" s="90"/>
      <c r="B4348" s="495" t="s">
        <v>3364</v>
      </c>
      <c r="C4348" s="101"/>
      <c r="D4348" s="882">
        <v>1</v>
      </c>
      <c r="E4348" s="251" t="s">
        <v>1767</v>
      </c>
      <c r="F4348" s="273" t="s">
        <v>3446</v>
      </c>
      <c r="G4348" s="1040" t="s">
        <v>3463</v>
      </c>
      <c r="H4348" s="273" t="s">
        <v>3462</v>
      </c>
      <c r="I4348" s="720">
        <f>+J4348/D4348</f>
        <v>1000</v>
      </c>
      <c r="J4348" s="813">
        <v>1000</v>
      </c>
      <c r="K4348" s="131">
        <f t="shared" si="971"/>
        <v>1000</v>
      </c>
      <c r="L4348" s="335">
        <f t="shared" si="976"/>
        <v>0</v>
      </c>
      <c r="M4348" s="446"/>
      <c r="N4348" s="446"/>
      <c r="O4348" s="446"/>
      <c r="P4348" s="446"/>
      <c r="Q4348" s="110">
        <v>1</v>
      </c>
      <c r="R4348" s="111">
        <f t="shared" si="972"/>
        <v>250</v>
      </c>
      <c r="S4348" s="110"/>
      <c r="T4348" s="110"/>
      <c r="U4348" s="110">
        <v>0</v>
      </c>
      <c r="V4348" s="111">
        <f t="shared" si="973"/>
        <v>250</v>
      </c>
      <c r="W4348" s="110"/>
      <c r="X4348" s="110"/>
      <c r="Y4348" s="110"/>
      <c r="Z4348" s="110"/>
      <c r="AA4348" s="110">
        <v>0</v>
      </c>
      <c r="AB4348" s="111">
        <f t="shared" si="967"/>
        <v>250</v>
      </c>
      <c r="AC4348" s="110"/>
      <c r="AD4348" s="110"/>
      <c r="AE4348" s="110">
        <v>0</v>
      </c>
      <c r="AF4348" s="111">
        <f t="shared" si="977"/>
        <v>250</v>
      </c>
      <c r="AG4348" s="110"/>
      <c r="AH4348" s="110"/>
      <c r="AI4348" s="110"/>
      <c r="AJ4348" s="110"/>
      <c r="AK4348" s="111">
        <f t="shared" si="978"/>
        <v>1000</v>
      </c>
      <c r="AL4348" s="446">
        <f t="shared" si="979"/>
        <v>0</v>
      </c>
      <c r="AM4348" s="110">
        <f t="shared" si="980"/>
        <v>1</v>
      </c>
      <c r="AN4348" s="447">
        <f t="shared" si="974"/>
        <v>0</v>
      </c>
      <c r="AO4348"/>
      <c r="AP4348"/>
    </row>
    <row r="4349" spans="1:42" ht="66" x14ac:dyDescent="0.25">
      <c r="A4349" s="90"/>
      <c r="B4349" s="37" t="s">
        <v>3389</v>
      </c>
      <c r="C4349" s="101"/>
      <c r="D4349" s="869">
        <v>1</v>
      </c>
      <c r="E4349" s="1027" t="s">
        <v>1721</v>
      </c>
      <c r="F4349" s="273" t="s">
        <v>3446</v>
      </c>
      <c r="G4349" s="1040" t="s">
        <v>3463</v>
      </c>
      <c r="H4349" s="273" t="s">
        <v>3462</v>
      </c>
      <c r="I4349" s="720">
        <v>1836</v>
      </c>
      <c r="J4349" s="813">
        <v>1836</v>
      </c>
      <c r="K4349" s="131">
        <f t="shared" si="971"/>
        <v>1836</v>
      </c>
      <c r="L4349" s="335">
        <f t="shared" si="976"/>
        <v>0</v>
      </c>
      <c r="M4349" s="446"/>
      <c r="N4349" s="446"/>
      <c r="O4349" s="446"/>
      <c r="P4349" s="446"/>
      <c r="Q4349" s="110">
        <v>1</v>
      </c>
      <c r="R4349" s="111">
        <f t="shared" si="972"/>
        <v>459</v>
      </c>
      <c r="S4349" s="110"/>
      <c r="T4349" s="110"/>
      <c r="U4349" s="110">
        <v>0</v>
      </c>
      <c r="V4349" s="111">
        <f t="shared" si="973"/>
        <v>459</v>
      </c>
      <c r="W4349" s="110"/>
      <c r="X4349" s="110"/>
      <c r="Y4349" s="110"/>
      <c r="Z4349" s="110"/>
      <c r="AA4349" s="110">
        <v>0</v>
      </c>
      <c r="AB4349" s="111">
        <f t="shared" si="967"/>
        <v>459</v>
      </c>
      <c r="AC4349" s="110"/>
      <c r="AD4349" s="110"/>
      <c r="AE4349" s="110">
        <v>0</v>
      </c>
      <c r="AF4349" s="111">
        <f t="shared" si="977"/>
        <v>459</v>
      </c>
      <c r="AG4349" s="110"/>
      <c r="AH4349" s="110"/>
      <c r="AI4349" s="110"/>
      <c r="AJ4349" s="110"/>
      <c r="AK4349" s="111">
        <f t="shared" si="978"/>
        <v>1836</v>
      </c>
      <c r="AL4349" s="446">
        <f t="shared" si="979"/>
        <v>0</v>
      </c>
      <c r="AM4349" s="110">
        <f t="shared" si="980"/>
        <v>1</v>
      </c>
      <c r="AN4349" s="447">
        <f t="shared" si="974"/>
        <v>0</v>
      </c>
      <c r="AO4349"/>
      <c r="AP4349"/>
    </row>
    <row r="4350" spans="1:42" ht="66" x14ac:dyDescent="0.25">
      <c r="A4350" s="90"/>
      <c r="B4350" s="59" t="s">
        <v>3390</v>
      </c>
      <c r="C4350" s="101"/>
      <c r="D4350" s="869">
        <v>1</v>
      </c>
      <c r="E4350" s="1027" t="s">
        <v>1721</v>
      </c>
      <c r="F4350" s="273" t="s">
        <v>3446</v>
      </c>
      <c r="G4350" s="1040" t="s">
        <v>3463</v>
      </c>
      <c r="H4350" s="273" t="s">
        <v>3462</v>
      </c>
      <c r="I4350" s="720">
        <v>12000</v>
      </c>
      <c r="J4350" s="813">
        <v>12000</v>
      </c>
      <c r="K4350" s="131">
        <f t="shared" si="971"/>
        <v>12000</v>
      </c>
      <c r="L4350" s="335"/>
      <c r="M4350" s="446"/>
      <c r="N4350" s="446"/>
      <c r="O4350" s="446"/>
      <c r="P4350" s="446"/>
      <c r="Q4350" s="110">
        <v>1</v>
      </c>
      <c r="R4350" s="111">
        <f t="shared" si="972"/>
        <v>3000</v>
      </c>
      <c r="S4350" s="110"/>
      <c r="T4350" s="110"/>
      <c r="U4350" s="110">
        <v>0</v>
      </c>
      <c r="V4350" s="111">
        <f t="shared" si="973"/>
        <v>3000</v>
      </c>
      <c r="W4350" s="110"/>
      <c r="X4350" s="110"/>
      <c r="Y4350" s="110"/>
      <c r="Z4350" s="110"/>
      <c r="AA4350" s="110">
        <v>0</v>
      </c>
      <c r="AB4350" s="111">
        <f t="shared" si="967"/>
        <v>3000</v>
      </c>
      <c r="AC4350" s="110"/>
      <c r="AD4350" s="110"/>
      <c r="AE4350" s="110">
        <v>0</v>
      </c>
      <c r="AF4350" s="111">
        <f t="shared" si="977"/>
        <v>3000</v>
      </c>
      <c r="AG4350" s="110"/>
      <c r="AH4350" s="110"/>
      <c r="AI4350" s="110"/>
      <c r="AJ4350" s="110"/>
      <c r="AK4350" s="111">
        <f t="shared" si="978"/>
        <v>12000</v>
      </c>
      <c r="AL4350" s="446">
        <f t="shared" si="979"/>
        <v>0</v>
      </c>
      <c r="AM4350" s="110">
        <f t="shared" si="980"/>
        <v>1</v>
      </c>
      <c r="AN4350" s="447">
        <f t="shared" si="974"/>
        <v>0</v>
      </c>
      <c r="AO4350"/>
      <c r="AP4350"/>
    </row>
    <row r="4351" spans="1:42" x14ac:dyDescent="0.25">
      <c r="A4351" s="661">
        <v>563</v>
      </c>
      <c r="B4351" s="664" t="s">
        <v>2581</v>
      </c>
      <c r="C4351" s="663"/>
      <c r="D4351" s="921"/>
      <c r="E4351" s="377"/>
      <c r="F4351" s="378"/>
      <c r="G4351" s="378"/>
      <c r="H4351" s="378"/>
      <c r="I4351" s="734"/>
      <c r="J4351" s="856"/>
      <c r="K4351" s="131">
        <f t="shared" si="971"/>
        <v>0</v>
      </c>
      <c r="L4351" s="335">
        <f t="shared" si="976"/>
        <v>0</v>
      </c>
      <c r="M4351" s="419"/>
      <c r="N4351" s="419"/>
      <c r="O4351" s="419"/>
      <c r="P4351" s="419"/>
      <c r="Q4351" s="418">
        <f t="shared" si="968"/>
        <v>0</v>
      </c>
      <c r="R4351" s="379">
        <f t="shared" si="972"/>
        <v>0</v>
      </c>
      <c r="S4351" s="418"/>
      <c r="T4351" s="418"/>
      <c r="U4351" s="418">
        <f t="shared" si="969"/>
        <v>0</v>
      </c>
      <c r="V4351" s="379">
        <f t="shared" si="973"/>
        <v>0</v>
      </c>
      <c r="W4351" s="418"/>
      <c r="X4351" s="418"/>
      <c r="Y4351" s="418"/>
      <c r="Z4351" s="418"/>
      <c r="AA4351" s="418">
        <f t="shared" si="970"/>
        <v>0</v>
      </c>
      <c r="AB4351" s="379">
        <f t="shared" si="967"/>
        <v>0</v>
      </c>
      <c r="AC4351" s="418"/>
      <c r="AD4351" s="418"/>
      <c r="AE4351" s="418">
        <f t="shared" si="970"/>
        <v>0</v>
      </c>
      <c r="AF4351" s="379">
        <f t="shared" si="977"/>
        <v>0</v>
      </c>
      <c r="AG4351" s="418"/>
      <c r="AH4351" s="418"/>
      <c r="AI4351" s="418"/>
      <c r="AJ4351" s="418"/>
      <c r="AK4351" s="379">
        <f t="shared" si="978"/>
        <v>0</v>
      </c>
      <c r="AL4351" s="446">
        <f t="shared" si="979"/>
        <v>0</v>
      </c>
      <c r="AM4351" s="110">
        <f t="shared" si="980"/>
        <v>0</v>
      </c>
      <c r="AN4351" s="447">
        <f t="shared" si="974"/>
        <v>0</v>
      </c>
      <c r="AO4351" s="108"/>
      <c r="AP4351"/>
    </row>
    <row r="4352" spans="1:42" x14ac:dyDescent="0.25">
      <c r="A4352" s="643">
        <v>56302</v>
      </c>
      <c r="B4352" s="644" t="s">
        <v>2582</v>
      </c>
      <c r="C4352" s="654"/>
      <c r="D4352" s="964"/>
      <c r="E4352" s="973"/>
      <c r="F4352" s="655"/>
      <c r="G4352" s="655"/>
      <c r="H4352" s="655"/>
      <c r="I4352" s="717"/>
      <c r="J4352" s="839"/>
      <c r="K4352" s="131">
        <f t="shared" si="971"/>
        <v>0</v>
      </c>
      <c r="L4352" s="335">
        <f t="shared" si="976"/>
        <v>0</v>
      </c>
      <c r="M4352" s="648"/>
      <c r="N4352" s="648"/>
      <c r="O4352" s="648"/>
      <c r="P4352" s="648"/>
      <c r="Q4352" s="649">
        <f t="shared" si="968"/>
        <v>0</v>
      </c>
      <c r="R4352" s="647">
        <f t="shared" si="972"/>
        <v>0</v>
      </c>
      <c r="S4352" s="649"/>
      <c r="T4352" s="649"/>
      <c r="U4352" s="649">
        <f t="shared" si="969"/>
        <v>0</v>
      </c>
      <c r="V4352" s="647">
        <f t="shared" si="973"/>
        <v>0</v>
      </c>
      <c r="W4352" s="649"/>
      <c r="X4352" s="649"/>
      <c r="Y4352" s="649"/>
      <c r="Z4352" s="649"/>
      <c r="AA4352" s="649">
        <f t="shared" si="970"/>
        <v>0</v>
      </c>
      <c r="AB4352" s="647">
        <f t="shared" si="967"/>
        <v>0</v>
      </c>
      <c r="AC4352" s="649"/>
      <c r="AD4352" s="649"/>
      <c r="AE4352" s="649">
        <f t="shared" si="970"/>
        <v>0</v>
      </c>
      <c r="AF4352" s="647">
        <f t="shared" si="977"/>
        <v>0</v>
      </c>
      <c r="AG4352" s="649"/>
      <c r="AH4352" s="649"/>
      <c r="AI4352" s="649"/>
      <c r="AJ4352" s="649"/>
      <c r="AK4352" s="647">
        <f t="shared" si="978"/>
        <v>0</v>
      </c>
      <c r="AL4352" s="446">
        <f t="shared" si="979"/>
        <v>0</v>
      </c>
      <c r="AM4352" s="110">
        <f t="shared" si="980"/>
        <v>0</v>
      </c>
      <c r="AN4352" s="447">
        <f t="shared" si="974"/>
        <v>0</v>
      </c>
      <c r="AO4352" s="436">
        <f>SUM(J4353)</f>
        <v>5500</v>
      </c>
      <c r="AP4352" s="111"/>
    </row>
    <row r="4353" spans="1:42" ht="66" x14ac:dyDescent="0.25">
      <c r="A4353" s="90"/>
      <c r="B4353" s="45" t="s">
        <v>2580</v>
      </c>
      <c r="C4353" s="101"/>
      <c r="D4353" s="869">
        <v>1</v>
      </c>
      <c r="E4353" s="1027" t="s">
        <v>1721</v>
      </c>
      <c r="F4353" s="273" t="s">
        <v>3446</v>
      </c>
      <c r="G4353" s="1040" t="s">
        <v>3463</v>
      </c>
      <c r="H4353" s="273" t="s">
        <v>3462</v>
      </c>
      <c r="I4353" s="720">
        <f>+J4353/D4353</f>
        <v>5500</v>
      </c>
      <c r="J4353" s="816">
        <v>5500</v>
      </c>
      <c r="K4353" s="131">
        <f t="shared" si="971"/>
        <v>5500</v>
      </c>
      <c r="L4353" s="335">
        <f t="shared" si="976"/>
        <v>0</v>
      </c>
      <c r="M4353" s="446"/>
      <c r="N4353" s="446"/>
      <c r="O4353" s="446"/>
      <c r="P4353" s="446"/>
      <c r="Q4353" s="110">
        <v>1</v>
      </c>
      <c r="R4353" s="111">
        <f t="shared" si="972"/>
        <v>1375</v>
      </c>
      <c r="S4353" s="110"/>
      <c r="T4353" s="110"/>
      <c r="U4353" s="110">
        <v>0</v>
      </c>
      <c r="V4353" s="111">
        <f t="shared" si="973"/>
        <v>1375</v>
      </c>
      <c r="W4353" s="110"/>
      <c r="X4353" s="110"/>
      <c r="Y4353" s="110"/>
      <c r="Z4353" s="110"/>
      <c r="AA4353" s="110">
        <v>0</v>
      </c>
      <c r="AB4353" s="111">
        <f t="shared" si="967"/>
        <v>1375</v>
      </c>
      <c r="AC4353" s="110"/>
      <c r="AD4353" s="110"/>
      <c r="AE4353" s="110">
        <v>0</v>
      </c>
      <c r="AF4353" s="111">
        <f t="shared" si="977"/>
        <v>1375</v>
      </c>
      <c r="AG4353" s="110"/>
      <c r="AH4353" s="110"/>
      <c r="AI4353" s="110"/>
      <c r="AJ4353" s="110"/>
      <c r="AK4353" s="111">
        <f>+R4353+V4353+AB4353+AF4353</f>
        <v>5500</v>
      </c>
      <c r="AL4353" s="446">
        <f t="shared" si="979"/>
        <v>0</v>
      </c>
      <c r="AM4353" s="110">
        <f t="shared" si="980"/>
        <v>1</v>
      </c>
      <c r="AN4353" s="447">
        <f t="shared" si="974"/>
        <v>0</v>
      </c>
      <c r="AO4353"/>
      <c r="AP4353"/>
    </row>
    <row r="4354" spans="1:42" x14ac:dyDescent="0.25">
      <c r="A4354" s="90"/>
      <c r="B4354" s="96"/>
      <c r="C4354" s="101"/>
      <c r="D4354" s="869"/>
      <c r="E4354" s="1027"/>
      <c r="F4354" s="272"/>
      <c r="G4354" s="272"/>
      <c r="H4354" s="272"/>
      <c r="I4354" s="720"/>
      <c r="J4354" s="816"/>
      <c r="K4354" s="131">
        <f t="shared" si="971"/>
        <v>0</v>
      </c>
      <c r="L4354" s="335">
        <f t="shared" si="976"/>
        <v>0</v>
      </c>
      <c r="M4354" s="446"/>
      <c r="N4354" s="446"/>
      <c r="O4354" s="446"/>
      <c r="P4354" s="446"/>
      <c r="Q4354" s="110">
        <f t="shared" si="968"/>
        <v>0</v>
      </c>
      <c r="R4354" s="111">
        <f t="shared" si="972"/>
        <v>0</v>
      </c>
      <c r="S4354" s="110"/>
      <c r="T4354" s="110"/>
      <c r="U4354" s="110">
        <f t="shared" si="969"/>
        <v>0</v>
      </c>
      <c r="V4354" s="111">
        <f t="shared" si="973"/>
        <v>0</v>
      </c>
      <c r="W4354" s="110"/>
      <c r="X4354" s="110"/>
      <c r="Y4354" s="110"/>
      <c r="Z4354" s="110"/>
      <c r="AA4354" s="110">
        <f t="shared" si="970"/>
        <v>0</v>
      </c>
      <c r="AB4354" s="111">
        <f t="shared" si="967"/>
        <v>0</v>
      </c>
      <c r="AC4354" s="110"/>
      <c r="AD4354" s="110"/>
      <c r="AE4354" s="110">
        <f t="shared" si="970"/>
        <v>0</v>
      </c>
      <c r="AF4354" s="111">
        <f t="shared" si="977"/>
        <v>0</v>
      </c>
      <c r="AG4354" s="110"/>
      <c r="AH4354" s="110"/>
      <c r="AI4354" s="110"/>
      <c r="AJ4354" s="110"/>
      <c r="AK4354" s="111">
        <f t="shared" si="978"/>
        <v>0</v>
      </c>
      <c r="AL4354" s="446">
        <f t="shared" si="979"/>
        <v>0</v>
      </c>
      <c r="AM4354" s="110">
        <f t="shared" si="980"/>
        <v>0</v>
      </c>
      <c r="AN4354" s="447">
        <f t="shared" si="974"/>
        <v>0</v>
      </c>
      <c r="AO4354"/>
      <c r="AP4354"/>
    </row>
    <row r="4355" spans="1:42" ht="22.5" x14ac:dyDescent="0.25">
      <c r="A4355" s="376">
        <v>566</v>
      </c>
      <c r="B4355" s="635" t="s">
        <v>2848</v>
      </c>
      <c r="C4355" s="663"/>
      <c r="D4355" s="921"/>
      <c r="E4355" s="377"/>
      <c r="F4355" s="378"/>
      <c r="G4355" s="378"/>
      <c r="H4355" s="378"/>
      <c r="I4355" s="734"/>
      <c r="J4355" s="856"/>
      <c r="K4355" s="131">
        <f t="shared" si="971"/>
        <v>0</v>
      </c>
      <c r="L4355" s="335">
        <f t="shared" si="976"/>
        <v>0</v>
      </c>
      <c r="M4355" s="419"/>
      <c r="N4355" s="419"/>
      <c r="O4355" s="419"/>
      <c r="P4355" s="419"/>
      <c r="Q4355" s="418">
        <f t="shared" si="968"/>
        <v>0</v>
      </c>
      <c r="R4355" s="379">
        <f t="shared" si="972"/>
        <v>0</v>
      </c>
      <c r="S4355" s="418"/>
      <c r="T4355" s="418"/>
      <c r="U4355" s="418">
        <f t="shared" si="969"/>
        <v>0</v>
      </c>
      <c r="V4355" s="379">
        <f t="shared" si="973"/>
        <v>0</v>
      </c>
      <c r="W4355" s="418"/>
      <c r="X4355" s="418"/>
      <c r="Y4355" s="418"/>
      <c r="Z4355" s="418"/>
      <c r="AA4355" s="418">
        <f t="shared" si="970"/>
        <v>0</v>
      </c>
      <c r="AB4355" s="379">
        <f t="shared" si="967"/>
        <v>0</v>
      </c>
      <c r="AC4355" s="418"/>
      <c r="AD4355" s="418"/>
      <c r="AE4355" s="418">
        <f t="shared" si="970"/>
        <v>0</v>
      </c>
      <c r="AF4355" s="379">
        <f t="shared" si="977"/>
        <v>0</v>
      </c>
      <c r="AG4355" s="418"/>
      <c r="AH4355" s="418"/>
      <c r="AI4355" s="418"/>
      <c r="AJ4355" s="418"/>
      <c r="AK4355" s="379">
        <f t="shared" si="978"/>
        <v>0</v>
      </c>
      <c r="AL4355" s="446">
        <f t="shared" si="979"/>
        <v>0</v>
      </c>
      <c r="AM4355" s="110">
        <f t="shared" si="980"/>
        <v>0</v>
      </c>
      <c r="AN4355" s="447">
        <f t="shared" si="974"/>
        <v>0</v>
      </c>
      <c r="AO4355" s="108"/>
      <c r="AP4355"/>
    </row>
    <row r="4356" spans="1:42" x14ac:dyDescent="0.25">
      <c r="A4356" s="643">
        <v>56604</v>
      </c>
      <c r="B4356" s="644" t="s">
        <v>2849</v>
      </c>
      <c r="C4356" s="653"/>
      <c r="D4356" s="954"/>
      <c r="E4356" s="645"/>
      <c r="F4356" s="646"/>
      <c r="G4356" s="646"/>
      <c r="H4356" s="646"/>
      <c r="I4356" s="717"/>
      <c r="J4356" s="854"/>
      <c r="K4356" s="131">
        <f t="shared" si="971"/>
        <v>0</v>
      </c>
      <c r="L4356" s="335">
        <f t="shared" si="976"/>
        <v>0</v>
      </c>
      <c r="M4356" s="648"/>
      <c r="N4356" s="648"/>
      <c r="O4356" s="648"/>
      <c r="P4356" s="648"/>
      <c r="Q4356" s="649">
        <f t="shared" si="968"/>
        <v>0</v>
      </c>
      <c r="R4356" s="647">
        <f t="shared" si="972"/>
        <v>0</v>
      </c>
      <c r="S4356" s="649"/>
      <c r="T4356" s="649"/>
      <c r="U4356" s="649">
        <f t="shared" si="969"/>
        <v>0</v>
      </c>
      <c r="V4356" s="647">
        <f t="shared" si="973"/>
        <v>0</v>
      </c>
      <c r="W4356" s="649"/>
      <c r="X4356" s="649"/>
      <c r="Y4356" s="649"/>
      <c r="Z4356" s="649"/>
      <c r="AA4356" s="649">
        <f t="shared" si="970"/>
        <v>0</v>
      </c>
      <c r="AB4356" s="647">
        <f t="shared" si="967"/>
        <v>0</v>
      </c>
      <c r="AC4356" s="649"/>
      <c r="AD4356" s="649"/>
      <c r="AE4356" s="649">
        <f t="shared" si="970"/>
        <v>0</v>
      </c>
      <c r="AF4356" s="647">
        <f t="shared" si="977"/>
        <v>0</v>
      </c>
      <c r="AG4356" s="649"/>
      <c r="AH4356" s="649"/>
      <c r="AI4356" s="649"/>
      <c r="AJ4356" s="649"/>
      <c r="AK4356" s="647">
        <f t="shared" si="978"/>
        <v>0</v>
      </c>
      <c r="AL4356" s="446">
        <f t="shared" si="979"/>
        <v>0</v>
      </c>
      <c r="AM4356" s="110">
        <f t="shared" si="980"/>
        <v>0</v>
      </c>
      <c r="AN4356" s="447">
        <f t="shared" si="974"/>
        <v>0</v>
      </c>
      <c r="AO4356" s="445">
        <f>SUM(J4357:J4359)</f>
        <v>38677.54</v>
      </c>
      <c r="AP4356" s="111"/>
    </row>
    <row r="4357" spans="1:42" ht="66" x14ac:dyDescent="0.25">
      <c r="A4357" s="90"/>
      <c r="B4357" s="43" t="s">
        <v>2850</v>
      </c>
      <c r="C4357" s="9"/>
      <c r="D4357" s="869">
        <v>1</v>
      </c>
      <c r="E4357" s="1027" t="s">
        <v>1721</v>
      </c>
      <c r="F4357" s="273" t="s">
        <v>3446</v>
      </c>
      <c r="G4357" s="1040" t="s">
        <v>3463</v>
      </c>
      <c r="H4357" s="273" t="s">
        <v>3462</v>
      </c>
      <c r="I4357" s="720">
        <f>+J4357/D4357</f>
        <v>28957.54</v>
      </c>
      <c r="J4357" s="816">
        <v>28957.54</v>
      </c>
      <c r="K4357" s="131">
        <f t="shared" si="971"/>
        <v>28957.54</v>
      </c>
      <c r="L4357" s="335">
        <f t="shared" si="976"/>
        <v>0</v>
      </c>
      <c r="M4357" s="446"/>
      <c r="N4357" s="446"/>
      <c r="O4357" s="446"/>
      <c r="P4357" s="446"/>
      <c r="Q4357" s="110">
        <v>1</v>
      </c>
      <c r="R4357" s="111">
        <f t="shared" si="972"/>
        <v>7239.3850000000002</v>
      </c>
      <c r="S4357" s="110"/>
      <c r="T4357" s="110"/>
      <c r="U4357" s="110">
        <v>0</v>
      </c>
      <c r="V4357" s="111">
        <f t="shared" si="973"/>
        <v>7239.3850000000002</v>
      </c>
      <c r="W4357" s="110"/>
      <c r="X4357" s="110"/>
      <c r="Y4357" s="110"/>
      <c r="Z4357" s="110"/>
      <c r="AA4357" s="110">
        <v>0</v>
      </c>
      <c r="AB4357" s="111">
        <f t="shared" si="967"/>
        <v>7239.3850000000002</v>
      </c>
      <c r="AC4357" s="110"/>
      <c r="AD4357" s="110"/>
      <c r="AE4357" s="110">
        <v>0</v>
      </c>
      <c r="AF4357" s="111">
        <f t="shared" si="977"/>
        <v>7239.3850000000002</v>
      </c>
      <c r="AG4357" s="110"/>
      <c r="AH4357" s="110"/>
      <c r="AI4357" s="110"/>
      <c r="AJ4357" s="110"/>
      <c r="AK4357" s="111">
        <f t="shared" si="978"/>
        <v>28957.54</v>
      </c>
      <c r="AL4357" s="446">
        <f t="shared" si="979"/>
        <v>0</v>
      </c>
      <c r="AM4357" s="110">
        <f t="shared" si="980"/>
        <v>1</v>
      </c>
      <c r="AN4357" s="447">
        <f t="shared" si="974"/>
        <v>0</v>
      </c>
      <c r="AO4357"/>
      <c r="AP4357"/>
    </row>
    <row r="4358" spans="1:42" ht="66" x14ac:dyDescent="0.25">
      <c r="A4358" s="90"/>
      <c r="B4358" s="149" t="s">
        <v>3391</v>
      </c>
      <c r="C4358" s="9"/>
      <c r="D4358" s="869">
        <v>1</v>
      </c>
      <c r="E4358" s="1027" t="s">
        <v>1721</v>
      </c>
      <c r="F4358" s="273" t="s">
        <v>3446</v>
      </c>
      <c r="G4358" s="1040" t="s">
        <v>3463</v>
      </c>
      <c r="H4358" s="273" t="s">
        <v>3462</v>
      </c>
      <c r="I4358" s="720">
        <v>4860</v>
      </c>
      <c r="J4358" s="813">
        <v>4860</v>
      </c>
      <c r="K4358" s="131">
        <f t="shared" si="971"/>
        <v>4860</v>
      </c>
      <c r="L4358" s="335"/>
      <c r="M4358" s="446"/>
      <c r="N4358" s="446"/>
      <c r="O4358" s="446"/>
      <c r="P4358" s="446"/>
      <c r="Q4358" s="110">
        <v>1</v>
      </c>
      <c r="R4358" s="111">
        <f t="shared" si="972"/>
        <v>1215</v>
      </c>
      <c r="S4358" s="110"/>
      <c r="T4358" s="110"/>
      <c r="U4358" s="110">
        <v>0</v>
      </c>
      <c r="V4358" s="111">
        <f t="shared" si="973"/>
        <v>1215</v>
      </c>
      <c r="W4358" s="110"/>
      <c r="X4358" s="110"/>
      <c r="Y4358" s="110"/>
      <c r="Z4358" s="110"/>
      <c r="AA4358" s="110">
        <v>0</v>
      </c>
      <c r="AB4358" s="111">
        <f t="shared" si="967"/>
        <v>1215</v>
      </c>
      <c r="AC4358" s="110"/>
      <c r="AD4358" s="110"/>
      <c r="AE4358" s="110">
        <v>0</v>
      </c>
      <c r="AF4358" s="111">
        <f t="shared" si="977"/>
        <v>1215</v>
      </c>
      <c r="AG4358" s="110"/>
      <c r="AH4358" s="110"/>
      <c r="AI4358" s="110"/>
      <c r="AJ4358" s="110"/>
      <c r="AK4358" s="111">
        <f t="shared" si="978"/>
        <v>4860</v>
      </c>
      <c r="AL4358" s="446">
        <f t="shared" si="979"/>
        <v>0</v>
      </c>
      <c r="AM4358" s="110">
        <f t="shared" si="980"/>
        <v>1</v>
      </c>
      <c r="AN4358" s="447">
        <f t="shared" si="974"/>
        <v>0</v>
      </c>
      <c r="AO4358"/>
      <c r="AP4358"/>
    </row>
    <row r="4359" spans="1:42" ht="66" x14ac:dyDescent="0.25">
      <c r="A4359" s="90"/>
      <c r="B4359" s="149" t="s">
        <v>3392</v>
      </c>
      <c r="C4359" s="9"/>
      <c r="D4359" s="869">
        <v>1</v>
      </c>
      <c r="E4359" s="1027" t="s">
        <v>1721</v>
      </c>
      <c r="F4359" s="273" t="s">
        <v>3446</v>
      </c>
      <c r="G4359" s="1040" t="s">
        <v>3463</v>
      </c>
      <c r="H4359" s="273" t="s">
        <v>3462</v>
      </c>
      <c r="I4359" s="718">
        <v>4860</v>
      </c>
      <c r="J4359" s="813">
        <v>4860</v>
      </c>
      <c r="K4359" s="131">
        <f t="shared" si="971"/>
        <v>4860</v>
      </c>
      <c r="L4359" s="335"/>
      <c r="M4359" s="446"/>
      <c r="N4359" s="446"/>
      <c r="O4359" s="446"/>
      <c r="P4359" s="446"/>
      <c r="Q4359" s="110">
        <v>1</v>
      </c>
      <c r="R4359" s="111">
        <f t="shared" si="972"/>
        <v>1215</v>
      </c>
      <c r="S4359" s="110"/>
      <c r="T4359" s="110"/>
      <c r="U4359" s="110">
        <v>0</v>
      </c>
      <c r="V4359" s="111">
        <f t="shared" si="973"/>
        <v>1215</v>
      </c>
      <c r="W4359" s="110"/>
      <c r="X4359" s="110"/>
      <c r="Y4359" s="110"/>
      <c r="Z4359" s="110"/>
      <c r="AA4359" s="110">
        <v>0</v>
      </c>
      <c r="AB4359" s="111">
        <f t="shared" si="967"/>
        <v>1215</v>
      </c>
      <c r="AC4359" s="110"/>
      <c r="AD4359" s="110"/>
      <c r="AE4359" s="110">
        <v>0</v>
      </c>
      <c r="AF4359" s="111">
        <f t="shared" si="977"/>
        <v>1215</v>
      </c>
      <c r="AG4359" s="110"/>
      <c r="AH4359" s="110"/>
      <c r="AI4359" s="110"/>
      <c r="AJ4359" s="110"/>
      <c r="AK4359" s="111">
        <f t="shared" si="978"/>
        <v>4860</v>
      </c>
      <c r="AL4359" s="446">
        <f t="shared" si="979"/>
        <v>0</v>
      </c>
      <c r="AM4359" s="110">
        <f t="shared" si="980"/>
        <v>1</v>
      </c>
      <c r="AN4359" s="447">
        <f t="shared" si="974"/>
        <v>0</v>
      </c>
      <c r="AO4359"/>
      <c r="AP4359"/>
    </row>
    <row r="4360" spans="1:42" ht="66" x14ac:dyDescent="0.25">
      <c r="A4360" s="661">
        <v>567</v>
      </c>
      <c r="B4360" s="662" t="s">
        <v>1069</v>
      </c>
      <c r="C4360" s="663"/>
      <c r="D4360" s="921"/>
      <c r="E4360" s="377"/>
      <c r="F4360" s="417" t="s">
        <v>3446</v>
      </c>
      <c r="G4360" s="417"/>
      <c r="H4360" s="417"/>
      <c r="I4360" s="734"/>
      <c r="J4360" s="857"/>
      <c r="K4360" s="131"/>
      <c r="L4360" s="335">
        <f t="shared" si="976"/>
        <v>0</v>
      </c>
      <c r="M4360" s="419"/>
      <c r="N4360" s="419"/>
      <c r="O4360" s="419"/>
      <c r="P4360" s="419"/>
      <c r="Q4360" s="418">
        <f t="shared" ref="Q4360:Q4370" si="981">+$D4360/4</f>
        <v>0</v>
      </c>
      <c r="R4360" s="379">
        <f t="shared" si="972"/>
        <v>0</v>
      </c>
      <c r="S4360" s="418"/>
      <c r="T4360" s="418"/>
      <c r="U4360" s="418">
        <f t="shared" ref="U4360:U4370" si="982">+$D4360/4</f>
        <v>0</v>
      </c>
      <c r="V4360" s="379">
        <f t="shared" si="973"/>
        <v>0</v>
      </c>
      <c r="W4360" s="418"/>
      <c r="X4360" s="418"/>
      <c r="Y4360" s="418"/>
      <c r="Z4360" s="418"/>
      <c r="AA4360" s="418">
        <f t="shared" ref="AA4360:AE4370" si="983">+$D4360/4</f>
        <v>0</v>
      </c>
      <c r="AB4360" s="379">
        <f t="shared" si="967"/>
        <v>0</v>
      </c>
      <c r="AC4360" s="418"/>
      <c r="AD4360" s="418"/>
      <c r="AE4360" s="418">
        <f t="shared" si="983"/>
        <v>0</v>
      </c>
      <c r="AF4360" s="379">
        <f t="shared" si="977"/>
        <v>0</v>
      </c>
      <c r="AG4360" s="418"/>
      <c r="AH4360" s="418"/>
      <c r="AI4360" s="418"/>
      <c r="AJ4360" s="418"/>
      <c r="AK4360" s="379">
        <f t="shared" si="978"/>
        <v>0</v>
      </c>
      <c r="AL4360" s="446">
        <f t="shared" si="979"/>
        <v>0</v>
      </c>
      <c r="AM4360" s="110">
        <f t="shared" si="980"/>
        <v>0</v>
      </c>
      <c r="AN4360" s="447">
        <f t="shared" si="974"/>
        <v>0</v>
      </c>
      <c r="AO4360" s="108"/>
      <c r="AP4360"/>
    </row>
    <row r="4361" spans="1:42" x14ac:dyDescent="0.25">
      <c r="A4361" s="651">
        <v>56702</v>
      </c>
      <c r="B4361" s="652" t="s">
        <v>1398</v>
      </c>
      <c r="C4361" s="653"/>
      <c r="D4361" s="954"/>
      <c r="E4361" s="645"/>
      <c r="F4361" s="646"/>
      <c r="G4361" s="646"/>
      <c r="H4361" s="646"/>
      <c r="I4361" s="717"/>
      <c r="J4361" s="854"/>
      <c r="K4361" s="131"/>
      <c r="L4361" s="335">
        <f t="shared" si="976"/>
        <v>0</v>
      </c>
      <c r="M4361" s="648"/>
      <c r="N4361" s="648"/>
      <c r="O4361" s="648"/>
      <c r="P4361" s="648"/>
      <c r="Q4361" s="649">
        <f t="shared" si="981"/>
        <v>0</v>
      </c>
      <c r="R4361" s="647">
        <f t="shared" si="972"/>
        <v>0</v>
      </c>
      <c r="S4361" s="649"/>
      <c r="T4361" s="649"/>
      <c r="U4361" s="649">
        <f t="shared" si="982"/>
        <v>0</v>
      </c>
      <c r="V4361" s="647">
        <f t="shared" si="973"/>
        <v>0</v>
      </c>
      <c r="W4361" s="649"/>
      <c r="X4361" s="649"/>
      <c r="Y4361" s="649"/>
      <c r="Z4361" s="649"/>
      <c r="AA4361" s="649">
        <f t="shared" si="983"/>
        <v>0</v>
      </c>
      <c r="AB4361" s="647">
        <f t="shared" si="967"/>
        <v>0</v>
      </c>
      <c r="AC4361" s="649"/>
      <c r="AD4361" s="649"/>
      <c r="AE4361" s="649">
        <f t="shared" si="983"/>
        <v>0</v>
      </c>
      <c r="AF4361" s="647">
        <f t="shared" si="977"/>
        <v>0</v>
      </c>
      <c r="AG4361" s="649"/>
      <c r="AH4361" s="649"/>
      <c r="AI4361" s="649"/>
      <c r="AJ4361" s="649"/>
      <c r="AK4361" s="647">
        <f t="shared" si="978"/>
        <v>0</v>
      </c>
      <c r="AL4361" s="446">
        <f t="shared" si="979"/>
        <v>0</v>
      </c>
      <c r="AM4361" s="110">
        <f t="shared" si="980"/>
        <v>0</v>
      </c>
      <c r="AN4361" s="447">
        <f t="shared" si="974"/>
        <v>0</v>
      </c>
      <c r="AO4361" s="445">
        <f>SUM(J4362:J4364)</f>
        <v>37288.949999999997</v>
      </c>
      <c r="AP4361" s="111"/>
    </row>
    <row r="4362" spans="1:42" ht="66" x14ac:dyDescent="0.25">
      <c r="A4362" s="90"/>
      <c r="B4362" s="37" t="s">
        <v>2173</v>
      </c>
      <c r="C4362" s="9"/>
      <c r="D4362" s="965">
        <v>1</v>
      </c>
      <c r="E4362" s="1024" t="s">
        <v>1721</v>
      </c>
      <c r="F4362" s="273" t="s">
        <v>3446</v>
      </c>
      <c r="G4362" s="1040" t="s">
        <v>3463</v>
      </c>
      <c r="H4362" s="273" t="s">
        <v>3462</v>
      </c>
      <c r="I4362" s="720">
        <f>+J4362/D4362</f>
        <v>21566.95</v>
      </c>
      <c r="J4362" s="812">
        <v>21566.95</v>
      </c>
      <c r="K4362" s="131">
        <f t="shared" ref="K4362:K4371" si="984">+D4362*I4362</f>
        <v>21566.95</v>
      </c>
      <c r="L4362" s="335">
        <f t="shared" si="976"/>
        <v>0</v>
      </c>
      <c r="M4362" s="446"/>
      <c r="N4362" s="446"/>
      <c r="O4362" s="446"/>
      <c r="P4362" s="446"/>
      <c r="Q4362" s="110">
        <v>1</v>
      </c>
      <c r="R4362" s="111">
        <f t="shared" si="972"/>
        <v>5391.7375000000002</v>
      </c>
      <c r="S4362" s="110"/>
      <c r="T4362" s="110"/>
      <c r="U4362" s="110">
        <v>0</v>
      </c>
      <c r="V4362" s="111">
        <f t="shared" si="973"/>
        <v>5391.7375000000002</v>
      </c>
      <c r="W4362" s="110"/>
      <c r="X4362" s="110"/>
      <c r="Y4362" s="110"/>
      <c r="Z4362" s="110"/>
      <c r="AA4362" s="110">
        <v>0</v>
      </c>
      <c r="AB4362" s="111">
        <f t="shared" si="967"/>
        <v>5391.7375000000002</v>
      </c>
      <c r="AC4362" s="110"/>
      <c r="AD4362" s="110"/>
      <c r="AE4362" s="110">
        <v>0</v>
      </c>
      <c r="AF4362" s="111">
        <f t="shared" si="977"/>
        <v>5391.7375000000002</v>
      </c>
      <c r="AG4362" s="110"/>
      <c r="AH4362" s="110"/>
      <c r="AI4362" s="110"/>
      <c r="AJ4362" s="110"/>
      <c r="AK4362" s="111">
        <f t="shared" si="978"/>
        <v>21566.95</v>
      </c>
      <c r="AL4362" s="446">
        <f t="shared" si="979"/>
        <v>0</v>
      </c>
      <c r="AM4362" s="110">
        <f t="shared" si="980"/>
        <v>1</v>
      </c>
      <c r="AN4362" s="447">
        <f t="shared" si="974"/>
        <v>0</v>
      </c>
      <c r="AO4362"/>
      <c r="AP4362"/>
    </row>
    <row r="4363" spans="1:42" ht="66" x14ac:dyDescent="0.25">
      <c r="A4363" s="90"/>
      <c r="B4363" s="37" t="s">
        <v>1399</v>
      </c>
      <c r="C4363" s="9"/>
      <c r="D4363" s="869">
        <v>1</v>
      </c>
      <c r="E4363" s="1024" t="s">
        <v>1721</v>
      </c>
      <c r="F4363" s="273" t="s">
        <v>3446</v>
      </c>
      <c r="G4363" s="1040" t="s">
        <v>3463</v>
      </c>
      <c r="H4363" s="273" t="s">
        <v>3462</v>
      </c>
      <c r="I4363" s="720">
        <f>+J4363/D4363</f>
        <v>4000</v>
      </c>
      <c r="J4363" s="816">
        <v>4000</v>
      </c>
      <c r="K4363" s="131">
        <f t="shared" si="984"/>
        <v>4000</v>
      </c>
      <c r="L4363" s="335">
        <f t="shared" si="976"/>
        <v>0</v>
      </c>
      <c r="M4363" s="446"/>
      <c r="N4363" s="446"/>
      <c r="O4363" s="446"/>
      <c r="P4363" s="446"/>
      <c r="Q4363" s="110">
        <v>1</v>
      </c>
      <c r="R4363" s="111">
        <f t="shared" si="972"/>
        <v>1000</v>
      </c>
      <c r="S4363" s="110"/>
      <c r="T4363" s="110"/>
      <c r="U4363" s="110">
        <v>0</v>
      </c>
      <c r="V4363" s="111">
        <f t="shared" si="973"/>
        <v>1000</v>
      </c>
      <c r="W4363" s="110"/>
      <c r="X4363" s="110"/>
      <c r="Y4363" s="110"/>
      <c r="Z4363" s="110"/>
      <c r="AA4363" s="110">
        <v>0</v>
      </c>
      <c r="AB4363" s="111">
        <f t="shared" si="967"/>
        <v>1000</v>
      </c>
      <c r="AC4363" s="110"/>
      <c r="AD4363" s="110"/>
      <c r="AE4363" s="110">
        <v>0</v>
      </c>
      <c r="AF4363" s="111">
        <f t="shared" si="977"/>
        <v>1000</v>
      </c>
      <c r="AG4363" s="110"/>
      <c r="AH4363" s="110"/>
      <c r="AI4363" s="110"/>
      <c r="AJ4363" s="110"/>
      <c r="AK4363" s="111">
        <f t="shared" si="978"/>
        <v>4000</v>
      </c>
      <c r="AL4363" s="446">
        <f t="shared" si="979"/>
        <v>0</v>
      </c>
      <c r="AM4363" s="110">
        <f t="shared" si="980"/>
        <v>1</v>
      </c>
      <c r="AN4363" s="447">
        <f t="shared" si="974"/>
        <v>0</v>
      </c>
      <c r="AO4363"/>
      <c r="AP4363"/>
    </row>
    <row r="4364" spans="1:42" ht="66" x14ac:dyDescent="0.25">
      <c r="A4364" s="90"/>
      <c r="B4364" s="154" t="s">
        <v>3393</v>
      </c>
      <c r="C4364" s="9"/>
      <c r="D4364" s="869">
        <v>1</v>
      </c>
      <c r="E4364" s="1024" t="s">
        <v>1721</v>
      </c>
      <c r="F4364" s="273" t="s">
        <v>3446</v>
      </c>
      <c r="G4364" s="1040" t="s">
        <v>3463</v>
      </c>
      <c r="H4364" s="273" t="s">
        <v>3462</v>
      </c>
      <c r="I4364" s="720">
        <v>11722</v>
      </c>
      <c r="J4364" s="828">
        <v>11722</v>
      </c>
      <c r="K4364" s="131">
        <f t="shared" si="984"/>
        <v>11722</v>
      </c>
      <c r="L4364" s="335">
        <f t="shared" si="976"/>
        <v>0</v>
      </c>
      <c r="M4364" s="446"/>
      <c r="N4364" s="446"/>
      <c r="O4364" s="446"/>
      <c r="P4364" s="446"/>
      <c r="Q4364" s="110">
        <v>1</v>
      </c>
      <c r="R4364" s="111">
        <f t="shared" si="972"/>
        <v>2930.5</v>
      </c>
      <c r="S4364" s="110"/>
      <c r="T4364" s="110"/>
      <c r="U4364" s="110">
        <v>0</v>
      </c>
      <c r="V4364" s="111">
        <f t="shared" si="973"/>
        <v>2930.5</v>
      </c>
      <c r="W4364" s="110"/>
      <c r="X4364" s="110"/>
      <c r="Y4364" s="110"/>
      <c r="Z4364" s="110"/>
      <c r="AA4364" s="110">
        <v>0</v>
      </c>
      <c r="AB4364" s="111">
        <f t="shared" si="967"/>
        <v>2930.5</v>
      </c>
      <c r="AC4364" s="110"/>
      <c r="AD4364" s="110"/>
      <c r="AE4364" s="110">
        <v>0</v>
      </c>
      <c r="AF4364" s="111">
        <f t="shared" si="977"/>
        <v>2930.5</v>
      </c>
      <c r="AG4364" s="110"/>
      <c r="AH4364" s="110"/>
      <c r="AI4364" s="110"/>
      <c r="AJ4364" s="110"/>
      <c r="AK4364" s="111">
        <f t="shared" si="978"/>
        <v>11722</v>
      </c>
      <c r="AL4364" s="446">
        <f t="shared" si="979"/>
        <v>0</v>
      </c>
      <c r="AM4364" s="110">
        <f t="shared" si="980"/>
        <v>1</v>
      </c>
      <c r="AN4364" s="447">
        <f t="shared" si="974"/>
        <v>0</v>
      </c>
      <c r="AO4364"/>
      <c r="AP4364"/>
    </row>
    <row r="4365" spans="1:42" x14ac:dyDescent="0.25">
      <c r="A4365" s="651">
        <v>56704</v>
      </c>
      <c r="B4365" s="652" t="s">
        <v>1698</v>
      </c>
      <c r="C4365" s="653"/>
      <c r="D4365" s="954"/>
      <c r="E4365" s="645"/>
      <c r="F4365" s="646"/>
      <c r="G4365" s="646"/>
      <c r="H4365" s="646"/>
      <c r="I4365" s="717"/>
      <c r="J4365" s="854"/>
      <c r="K4365" s="131">
        <f t="shared" si="984"/>
        <v>0</v>
      </c>
      <c r="L4365" s="335">
        <f t="shared" si="976"/>
        <v>0</v>
      </c>
      <c r="M4365" s="648"/>
      <c r="N4365" s="648"/>
      <c r="O4365" s="648"/>
      <c r="P4365" s="648"/>
      <c r="Q4365" s="649">
        <f t="shared" si="981"/>
        <v>0</v>
      </c>
      <c r="R4365" s="647">
        <f t="shared" si="972"/>
        <v>0</v>
      </c>
      <c r="S4365" s="649"/>
      <c r="T4365" s="649"/>
      <c r="U4365" s="649">
        <f t="shared" si="982"/>
        <v>0</v>
      </c>
      <c r="V4365" s="647">
        <f t="shared" si="973"/>
        <v>0</v>
      </c>
      <c r="W4365" s="649"/>
      <c r="X4365" s="649"/>
      <c r="Y4365" s="649"/>
      <c r="Z4365" s="649"/>
      <c r="AA4365" s="649">
        <f t="shared" si="983"/>
        <v>0</v>
      </c>
      <c r="AB4365" s="647">
        <f t="shared" si="967"/>
        <v>0</v>
      </c>
      <c r="AC4365" s="649"/>
      <c r="AD4365" s="649"/>
      <c r="AE4365" s="649">
        <f t="shared" si="983"/>
        <v>0</v>
      </c>
      <c r="AF4365" s="647">
        <f t="shared" si="977"/>
        <v>0</v>
      </c>
      <c r="AG4365" s="649"/>
      <c r="AH4365" s="649"/>
      <c r="AI4365" s="649"/>
      <c r="AJ4365" s="649"/>
      <c r="AK4365" s="647">
        <f t="shared" si="978"/>
        <v>0</v>
      </c>
      <c r="AL4365" s="446">
        <f t="shared" si="979"/>
        <v>0</v>
      </c>
      <c r="AM4365" s="110">
        <f t="shared" si="980"/>
        <v>0</v>
      </c>
      <c r="AN4365" s="447">
        <f t="shared" si="974"/>
        <v>0</v>
      </c>
      <c r="AO4365" s="445">
        <f>SUM(J4366)</f>
        <v>3156</v>
      </c>
      <c r="AP4365" s="111"/>
    </row>
    <row r="4366" spans="1:42" ht="66" x14ac:dyDescent="0.25">
      <c r="A4366" s="90"/>
      <c r="B4366" s="650" t="s">
        <v>3365</v>
      </c>
      <c r="C4366" s="101"/>
      <c r="D4366" s="869">
        <v>1</v>
      </c>
      <c r="E4366" s="1027" t="s">
        <v>1721</v>
      </c>
      <c r="F4366" s="273" t="s">
        <v>3446</v>
      </c>
      <c r="G4366" s="1040" t="s">
        <v>3463</v>
      </c>
      <c r="H4366" s="273" t="s">
        <v>3462</v>
      </c>
      <c r="I4366" s="720">
        <f>+J4366/D4366</f>
        <v>3156</v>
      </c>
      <c r="J4366" s="816">
        <v>3156</v>
      </c>
      <c r="K4366" s="131">
        <f t="shared" si="984"/>
        <v>3156</v>
      </c>
      <c r="L4366" s="335">
        <f t="shared" si="976"/>
        <v>0</v>
      </c>
      <c r="M4366" s="446"/>
      <c r="N4366" s="446"/>
      <c r="O4366" s="446"/>
      <c r="P4366" s="446"/>
      <c r="Q4366" s="110">
        <v>1</v>
      </c>
      <c r="R4366" s="111">
        <f t="shared" si="972"/>
        <v>789</v>
      </c>
      <c r="S4366" s="110"/>
      <c r="T4366" s="110"/>
      <c r="U4366" s="110">
        <v>0</v>
      </c>
      <c r="V4366" s="111">
        <f t="shared" si="973"/>
        <v>789</v>
      </c>
      <c r="W4366" s="110"/>
      <c r="X4366" s="110"/>
      <c r="Y4366" s="110"/>
      <c r="Z4366" s="110"/>
      <c r="AA4366" s="110">
        <v>0</v>
      </c>
      <c r="AB4366" s="111">
        <f t="shared" si="967"/>
        <v>789</v>
      </c>
      <c r="AC4366" s="110"/>
      <c r="AD4366" s="110"/>
      <c r="AE4366" s="110">
        <v>0</v>
      </c>
      <c r="AF4366" s="111">
        <f t="shared" si="977"/>
        <v>789</v>
      </c>
      <c r="AG4366" s="110"/>
      <c r="AH4366" s="110"/>
      <c r="AI4366" s="110"/>
      <c r="AJ4366" s="110"/>
      <c r="AK4366" s="111">
        <f t="shared" si="978"/>
        <v>3156</v>
      </c>
      <c r="AL4366" s="446">
        <f t="shared" si="979"/>
        <v>0</v>
      </c>
      <c r="AM4366" s="110">
        <f t="shared" si="980"/>
        <v>1</v>
      </c>
      <c r="AN4366" s="447">
        <f t="shared" si="974"/>
        <v>0</v>
      </c>
      <c r="AO4366"/>
      <c r="AP4366"/>
    </row>
    <row r="4367" spans="1:42" x14ac:dyDescent="0.25">
      <c r="A4367" s="661">
        <v>569</v>
      </c>
      <c r="B4367" s="662" t="s">
        <v>2466</v>
      </c>
      <c r="C4367" s="663"/>
      <c r="D4367" s="921"/>
      <c r="E4367" s="377"/>
      <c r="F4367" s="378"/>
      <c r="G4367" s="378"/>
      <c r="H4367" s="378"/>
      <c r="I4367" s="734"/>
      <c r="J4367" s="858"/>
      <c r="K4367" s="131">
        <f t="shared" si="984"/>
        <v>0</v>
      </c>
      <c r="L4367" s="335">
        <f t="shared" si="976"/>
        <v>0</v>
      </c>
      <c r="M4367" s="419"/>
      <c r="N4367" s="419"/>
      <c r="O4367" s="419"/>
      <c r="P4367" s="419"/>
      <c r="Q4367" s="418">
        <f t="shared" si="981"/>
        <v>0</v>
      </c>
      <c r="R4367" s="379">
        <f t="shared" si="972"/>
        <v>0</v>
      </c>
      <c r="S4367" s="418"/>
      <c r="T4367" s="418"/>
      <c r="U4367" s="418">
        <f t="shared" si="982"/>
        <v>0</v>
      </c>
      <c r="V4367" s="379">
        <f t="shared" si="973"/>
        <v>0</v>
      </c>
      <c r="W4367" s="418"/>
      <c r="X4367" s="418"/>
      <c r="Y4367" s="418"/>
      <c r="Z4367" s="418"/>
      <c r="AA4367" s="418">
        <f t="shared" si="983"/>
        <v>0</v>
      </c>
      <c r="AB4367" s="379">
        <f t="shared" si="967"/>
        <v>0</v>
      </c>
      <c r="AC4367" s="418"/>
      <c r="AD4367" s="418"/>
      <c r="AE4367" s="418">
        <f t="shared" si="983"/>
        <v>0</v>
      </c>
      <c r="AF4367" s="379">
        <f t="shared" si="977"/>
        <v>0</v>
      </c>
      <c r="AG4367" s="418"/>
      <c r="AH4367" s="418"/>
      <c r="AI4367" s="418"/>
      <c r="AJ4367" s="418"/>
      <c r="AK4367" s="379">
        <f t="shared" si="978"/>
        <v>0</v>
      </c>
      <c r="AL4367" s="446">
        <f t="shared" si="979"/>
        <v>0</v>
      </c>
      <c r="AM4367" s="110">
        <f t="shared" si="980"/>
        <v>0</v>
      </c>
      <c r="AN4367" s="447">
        <f t="shared" si="974"/>
        <v>0</v>
      </c>
      <c r="AO4367" s="436">
        <f>SUM(J4369:J4371)</f>
        <v>16620</v>
      </c>
      <c r="AP4367" s="296">
        <f>SUBTOTAL(9,AO4191:AO4367)</f>
        <v>2349769.8815679997</v>
      </c>
    </row>
    <row r="4368" spans="1:42" ht="23.25" x14ac:dyDescent="0.25">
      <c r="A4368" s="651">
        <v>56901</v>
      </c>
      <c r="B4368" s="673" t="s">
        <v>2467</v>
      </c>
      <c r="C4368" s="653"/>
      <c r="D4368" s="954"/>
      <c r="E4368" s="645"/>
      <c r="F4368" s="646"/>
      <c r="G4368" s="646"/>
      <c r="H4368" s="646"/>
      <c r="I4368" s="717"/>
      <c r="J4368" s="859"/>
      <c r="K4368" s="131">
        <f t="shared" si="984"/>
        <v>0</v>
      </c>
      <c r="L4368" s="335">
        <f t="shared" si="976"/>
        <v>0</v>
      </c>
      <c r="M4368" s="648"/>
      <c r="N4368" s="648"/>
      <c r="O4368" s="648"/>
      <c r="P4368" s="648"/>
      <c r="Q4368" s="649">
        <f t="shared" si="981"/>
        <v>0</v>
      </c>
      <c r="R4368" s="647">
        <f t="shared" si="972"/>
        <v>0</v>
      </c>
      <c r="S4368" s="649"/>
      <c r="T4368" s="649"/>
      <c r="U4368" s="649">
        <f t="shared" si="982"/>
        <v>0</v>
      </c>
      <c r="V4368" s="647">
        <f t="shared" si="973"/>
        <v>0</v>
      </c>
      <c r="W4368" s="649"/>
      <c r="X4368" s="649"/>
      <c r="Y4368" s="649"/>
      <c r="Z4368" s="649"/>
      <c r="AA4368" s="649">
        <f t="shared" si="983"/>
        <v>0</v>
      </c>
      <c r="AB4368" s="647">
        <f t="shared" ref="AB4368:AB4371" si="985">+J4368/4</f>
        <v>0</v>
      </c>
      <c r="AC4368" s="649"/>
      <c r="AD4368" s="649"/>
      <c r="AE4368" s="649">
        <f t="shared" si="983"/>
        <v>0</v>
      </c>
      <c r="AF4368" s="647">
        <f t="shared" si="977"/>
        <v>0</v>
      </c>
      <c r="AG4368" s="649"/>
      <c r="AH4368" s="649"/>
      <c r="AI4368" s="649"/>
      <c r="AJ4368" s="649"/>
      <c r="AK4368" s="647">
        <f t="shared" si="978"/>
        <v>0</v>
      </c>
      <c r="AL4368" s="446">
        <f t="shared" si="979"/>
        <v>0</v>
      </c>
      <c r="AM4368" s="110">
        <f t="shared" si="980"/>
        <v>0</v>
      </c>
      <c r="AN4368" s="447">
        <f t="shared" si="974"/>
        <v>0</v>
      </c>
      <c r="AO4368"/>
      <c r="AP4368"/>
    </row>
    <row r="4369" spans="1:42" ht="66" x14ac:dyDescent="0.25">
      <c r="A4369" s="90"/>
      <c r="B4369" s="41" t="s">
        <v>2468</v>
      </c>
      <c r="C4369" s="9"/>
      <c r="D4369" s="869">
        <v>4</v>
      </c>
      <c r="E4369" s="1027" t="s">
        <v>1721</v>
      </c>
      <c r="F4369" s="273" t="s">
        <v>3446</v>
      </c>
      <c r="G4369" s="1040" t="s">
        <v>3463</v>
      </c>
      <c r="H4369" s="273" t="s">
        <v>3462</v>
      </c>
      <c r="I4369" s="720">
        <f>+J4369/D4369</f>
        <v>800</v>
      </c>
      <c r="J4369" s="816">
        <v>3200</v>
      </c>
      <c r="K4369" s="131">
        <f t="shared" si="984"/>
        <v>3200</v>
      </c>
      <c r="L4369" s="335">
        <f t="shared" si="976"/>
        <v>0</v>
      </c>
      <c r="M4369" s="446"/>
      <c r="N4369" s="446"/>
      <c r="O4369" s="446"/>
      <c r="P4369" s="446"/>
      <c r="Q4369" s="110">
        <f t="shared" si="981"/>
        <v>1</v>
      </c>
      <c r="R4369" s="111">
        <f t="shared" si="972"/>
        <v>800</v>
      </c>
      <c r="S4369" s="110"/>
      <c r="T4369" s="110"/>
      <c r="U4369" s="110">
        <f t="shared" si="982"/>
        <v>1</v>
      </c>
      <c r="V4369" s="111">
        <f t="shared" si="973"/>
        <v>800</v>
      </c>
      <c r="W4369" s="110"/>
      <c r="X4369" s="110"/>
      <c r="Y4369" s="110"/>
      <c r="Z4369" s="110"/>
      <c r="AA4369" s="110">
        <f t="shared" si="983"/>
        <v>1</v>
      </c>
      <c r="AB4369" s="111">
        <f t="shared" si="985"/>
        <v>800</v>
      </c>
      <c r="AC4369" s="110"/>
      <c r="AD4369" s="110"/>
      <c r="AE4369" s="110">
        <f t="shared" si="983"/>
        <v>1</v>
      </c>
      <c r="AF4369" s="111">
        <f t="shared" si="977"/>
        <v>800</v>
      </c>
      <c r="AG4369" s="110"/>
      <c r="AH4369" s="110"/>
      <c r="AI4369" s="110"/>
      <c r="AJ4369" s="110"/>
      <c r="AK4369" s="111">
        <f t="shared" si="978"/>
        <v>3200</v>
      </c>
      <c r="AL4369" s="446">
        <f t="shared" si="979"/>
        <v>0</v>
      </c>
      <c r="AM4369" s="110">
        <f t="shared" si="980"/>
        <v>4</v>
      </c>
      <c r="AN4369" s="447">
        <f t="shared" si="974"/>
        <v>0</v>
      </c>
      <c r="AO4369"/>
      <c r="AP4369"/>
    </row>
    <row r="4370" spans="1:42" ht="66" x14ac:dyDescent="0.25">
      <c r="A4370" s="90"/>
      <c r="B4370" s="41" t="s">
        <v>2469</v>
      </c>
      <c r="C4370" s="9"/>
      <c r="D4370" s="869">
        <v>4</v>
      </c>
      <c r="E4370" s="1027" t="s">
        <v>1721</v>
      </c>
      <c r="F4370" s="273" t="s">
        <v>3446</v>
      </c>
      <c r="G4370" s="1040" t="s">
        <v>3463</v>
      </c>
      <c r="H4370" s="273" t="s">
        <v>3462</v>
      </c>
      <c r="I4370" s="720">
        <f>+J4370/D4370</f>
        <v>250</v>
      </c>
      <c r="J4370" s="816">
        <v>1000</v>
      </c>
      <c r="K4370" s="131">
        <f t="shared" si="984"/>
        <v>1000</v>
      </c>
      <c r="L4370" s="335">
        <f t="shared" si="976"/>
        <v>0</v>
      </c>
      <c r="M4370" s="446"/>
      <c r="N4370" s="446"/>
      <c r="O4370" s="446"/>
      <c r="P4370" s="446"/>
      <c r="Q4370" s="110">
        <f t="shared" si="981"/>
        <v>1</v>
      </c>
      <c r="R4370" s="111">
        <f t="shared" si="972"/>
        <v>250</v>
      </c>
      <c r="S4370" s="110"/>
      <c r="T4370" s="110"/>
      <c r="U4370" s="110">
        <f t="shared" si="982"/>
        <v>1</v>
      </c>
      <c r="V4370" s="111">
        <f t="shared" si="973"/>
        <v>250</v>
      </c>
      <c r="W4370" s="110"/>
      <c r="X4370" s="110"/>
      <c r="Y4370" s="110"/>
      <c r="Z4370" s="110"/>
      <c r="AA4370" s="110">
        <f t="shared" si="983"/>
        <v>1</v>
      </c>
      <c r="AB4370" s="111">
        <f t="shared" si="985"/>
        <v>250</v>
      </c>
      <c r="AC4370" s="110"/>
      <c r="AD4370" s="110"/>
      <c r="AE4370" s="110">
        <f t="shared" si="983"/>
        <v>1</v>
      </c>
      <c r="AF4370" s="111">
        <f t="shared" si="977"/>
        <v>250</v>
      </c>
      <c r="AG4370" s="110"/>
      <c r="AH4370" s="110"/>
      <c r="AI4370" s="110"/>
      <c r="AJ4370" s="110"/>
      <c r="AK4370" s="111">
        <f t="shared" si="978"/>
        <v>1000</v>
      </c>
      <c r="AL4370" s="446">
        <f t="shared" si="979"/>
        <v>0</v>
      </c>
      <c r="AM4370" s="110">
        <f t="shared" si="980"/>
        <v>4</v>
      </c>
      <c r="AN4370" s="447">
        <f t="shared" si="974"/>
        <v>0</v>
      </c>
      <c r="AO4370"/>
      <c r="AP4370"/>
    </row>
    <row r="4371" spans="1:42" ht="66" x14ac:dyDescent="0.25">
      <c r="A4371" s="90"/>
      <c r="B4371" s="34" t="s">
        <v>3366</v>
      </c>
      <c r="C4371" s="9"/>
      <c r="D4371" s="869">
        <v>1</v>
      </c>
      <c r="E4371" s="1027" t="s">
        <v>1721</v>
      </c>
      <c r="F4371" s="273" t="s">
        <v>3446</v>
      </c>
      <c r="G4371" s="1040" t="s">
        <v>3463</v>
      </c>
      <c r="H4371" s="273" t="s">
        <v>3462</v>
      </c>
      <c r="I4371" s="720">
        <f>+J4371/D4371</f>
        <v>12420</v>
      </c>
      <c r="J4371" s="816">
        <v>12420</v>
      </c>
      <c r="K4371" s="131">
        <f t="shared" si="984"/>
        <v>12420</v>
      </c>
      <c r="L4371" s="335">
        <f t="shared" si="976"/>
        <v>0</v>
      </c>
      <c r="M4371" s="446"/>
      <c r="N4371" s="446"/>
      <c r="O4371" s="446"/>
      <c r="P4371" s="446"/>
      <c r="Q4371" s="110">
        <v>1</v>
      </c>
      <c r="R4371" s="111">
        <f t="shared" si="972"/>
        <v>3105</v>
      </c>
      <c r="S4371" s="110"/>
      <c r="T4371" s="110"/>
      <c r="U4371" s="110">
        <v>0</v>
      </c>
      <c r="V4371" s="111">
        <f t="shared" si="973"/>
        <v>3105</v>
      </c>
      <c r="W4371" s="110"/>
      <c r="X4371" s="110"/>
      <c r="Y4371" s="110"/>
      <c r="Z4371" s="110"/>
      <c r="AA4371" s="110">
        <v>0</v>
      </c>
      <c r="AB4371" s="111">
        <f t="shared" si="985"/>
        <v>3105</v>
      </c>
      <c r="AC4371" s="110"/>
      <c r="AD4371" s="110"/>
      <c r="AE4371" s="110">
        <v>0</v>
      </c>
      <c r="AF4371" s="111">
        <f t="shared" si="977"/>
        <v>3105</v>
      </c>
      <c r="AG4371" s="110"/>
      <c r="AH4371" s="110"/>
      <c r="AI4371" s="110"/>
      <c r="AJ4371" s="110"/>
      <c r="AK4371" s="111">
        <f t="shared" si="978"/>
        <v>12420</v>
      </c>
      <c r="AL4371" s="446">
        <f t="shared" si="979"/>
        <v>0</v>
      </c>
      <c r="AM4371" s="110">
        <f t="shared" si="980"/>
        <v>1</v>
      </c>
      <c r="AN4371" s="447">
        <f t="shared" si="974"/>
        <v>0</v>
      </c>
      <c r="AO4371"/>
      <c r="AP4371"/>
    </row>
    <row r="4372" spans="1:42" ht="16.5" thickBot="1" x14ac:dyDescent="0.3">
      <c r="A4372" s="102"/>
      <c r="B4372" s="1332" t="s">
        <v>1070</v>
      </c>
      <c r="C4372" s="1333"/>
      <c r="D4372" s="1333"/>
      <c r="E4372" s="1333"/>
      <c r="F4372" s="1333"/>
      <c r="G4372" s="1333"/>
      <c r="H4372" s="1334"/>
      <c r="I4372" s="714"/>
      <c r="J4372" s="1038">
        <f>SUM(J12:J4371)</f>
        <v>40236432.366364323</v>
      </c>
      <c r="K4372" s="1034">
        <f>SUM(K12:K4371)</f>
        <v>40236432.366364323</v>
      </c>
      <c r="L4372" s="1035"/>
      <c r="M4372" s="1036"/>
      <c r="N4372" s="1036"/>
      <c r="O4372" s="1036"/>
      <c r="P4372" s="1036"/>
      <c r="Q4372" s="1035"/>
      <c r="R4372" s="1037">
        <f>SUM(R12:R4371)</f>
        <v>10852503.731126551</v>
      </c>
      <c r="S4372" s="1034"/>
      <c r="T4372" s="1034"/>
      <c r="U4372" s="1034"/>
      <c r="V4372" s="1037">
        <f>SUM(V12:V4371)</f>
        <v>9864140.4083483722</v>
      </c>
      <c r="W4372" s="1034"/>
      <c r="X4372" s="1034"/>
      <c r="Y4372" s="1034"/>
      <c r="Z4372" s="1034"/>
      <c r="AA4372" s="1034"/>
      <c r="AB4372" s="1037">
        <f>SUM(AB12:AB4371)</f>
        <v>9812971.61881564</v>
      </c>
      <c r="AC4372" s="1034"/>
      <c r="AD4372" s="1034"/>
      <c r="AE4372" s="1034"/>
      <c r="AF4372" s="1037">
        <f>SUM(AF12:AF4371)</f>
        <v>9695096.6456769072</v>
      </c>
      <c r="AG4372" s="1035"/>
      <c r="AH4372" s="1037">
        <f>SUM(AH12:AH4371)</f>
        <v>11720</v>
      </c>
      <c r="AI4372" s="1036"/>
      <c r="AJ4372" s="1036"/>
      <c r="AK4372" s="1039">
        <f>SUM(AK12:AK4371)</f>
        <v>40236432.403967477</v>
      </c>
      <c r="AO4372" s="248"/>
      <c r="AP4372" s="248"/>
    </row>
    <row r="4373" spans="1:42" ht="15.75" thickTop="1" x14ac:dyDescent="0.25">
      <c r="A4373" s="103"/>
      <c r="B4373" s="1032"/>
      <c r="C4373" s="104"/>
      <c r="D4373" s="966"/>
      <c r="E4373" s="104"/>
      <c r="F4373" s="290"/>
      <c r="G4373" s="290"/>
      <c r="H4373" s="290"/>
      <c r="J4373" s="860"/>
      <c r="AO4373"/>
      <c r="AP4373"/>
    </row>
    <row r="4374" spans="1:42" x14ac:dyDescent="0.25">
      <c r="D4374" s="879"/>
      <c r="I4374" s="749"/>
      <c r="J4374" s="861"/>
      <c r="AO4374" s="108"/>
      <c r="AP4374"/>
    </row>
    <row r="4375" spans="1:42" x14ac:dyDescent="0.25">
      <c r="D4375" s="879"/>
      <c r="I4375" s="749"/>
      <c r="J4375" s="861"/>
      <c r="AK4375" s="161">
        <f>J4372-AK4372</f>
        <v>-3.760315477848053E-2</v>
      </c>
      <c r="AO4375" s="108"/>
      <c r="AP4375"/>
    </row>
    <row r="4376" spans="1:42" x14ac:dyDescent="0.25">
      <c r="D4376" s="879"/>
      <c r="Y4376" s="166">
        <f>R4372+V4372+AB4372+AF4372</f>
        <v>40224712.40396747</v>
      </c>
      <c r="AO4376"/>
      <c r="AP4376"/>
    </row>
    <row r="4377" spans="1:42" x14ac:dyDescent="0.25">
      <c r="AO4377" s="295"/>
      <c r="AP4377"/>
    </row>
    <row r="4380" spans="1:42" x14ac:dyDescent="0.25">
      <c r="J4380" s="1065"/>
    </row>
    <row r="4381" spans="1:42" x14ac:dyDescent="0.25">
      <c r="J4381" s="1065"/>
    </row>
  </sheetData>
  <mergeCells count="49">
    <mergeCell ref="S5:T5"/>
    <mergeCell ref="AE5:AF5"/>
    <mergeCell ref="U6:U7"/>
    <mergeCell ref="V6:V7"/>
    <mergeCell ref="F1:Z4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M5:N5"/>
    <mergeCell ref="O5:P5"/>
    <mergeCell ref="Q5:R5"/>
    <mergeCell ref="AB6:AB7"/>
    <mergeCell ref="U5:V5"/>
    <mergeCell ref="AI5:AJ5"/>
    <mergeCell ref="AK5:AK7"/>
    <mergeCell ref="M6:M7"/>
    <mergeCell ref="N6:N7"/>
    <mergeCell ref="O6:O7"/>
    <mergeCell ref="P6:P7"/>
    <mergeCell ref="Q6:Q7"/>
    <mergeCell ref="R6:R7"/>
    <mergeCell ref="S6:S7"/>
    <mergeCell ref="T6:T7"/>
    <mergeCell ref="W5:X5"/>
    <mergeCell ref="Y5:Z5"/>
    <mergeCell ref="AA5:AB5"/>
    <mergeCell ref="AC5:AD5"/>
    <mergeCell ref="J5:J7"/>
    <mergeCell ref="AG5:AH5"/>
    <mergeCell ref="AI6:AI7"/>
    <mergeCell ref="AJ6:AJ7"/>
    <mergeCell ref="B4372:H4372"/>
    <mergeCell ref="AC6:AC7"/>
    <mergeCell ref="AD6:AD7"/>
    <mergeCell ref="AE6:AE7"/>
    <mergeCell ref="AF6:AF7"/>
    <mergeCell ref="AG6:AG7"/>
    <mergeCell ref="AH6:AH7"/>
    <mergeCell ref="W6:W7"/>
    <mergeCell ref="X6:X7"/>
    <mergeCell ref="Y6:Y7"/>
    <mergeCell ref="Z6:Z7"/>
    <mergeCell ref="AA6:AA7"/>
  </mergeCells>
  <conditionalFormatting sqref="B1658">
    <cfRule type="duplicateValues" dxfId="96" priority="90"/>
  </conditionalFormatting>
  <conditionalFormatting sqref="B1680">
    <cfRule type="duplicateValues" dxfId="95" priority="89"/>
  </conditionalFormatting>
  <conditionalFormatting sqref="B1681">
    <cfRule type="duplicateValues" dxfId="94" priority="88"/>
  </conditionalFormatting>
  <conditionalFormatting sqref="B1682">
    <cfRule type="duplicateValues" dxfId="93" priority="87"/>
  </conditionalFormatting>
  <conditionalFormatting sqref="B1683">
    <cfRule type="duplicateValues" dxfId="92" priority="91"/>
  </conditionalFormatting>
  <conditionalFormatting sqref="B1815">
    <cfRule type="duplicateValues" dxfId="91" priority="86"/>
  </conditionalFormatting>
  <conditionalFormatting sqref="B1820">
    <cfRule type="duplicateValues" dxfId="90" priority="85"/>
  </conditionalFormatting>
  <conditionalFormatting sqref="B1821">
    <cfRule type="duplicateValues" dxfId="89" priority="84"/>
  </conditionalFormatting>
  <conditionalFormatting sqref="B1822">
    <cfRule type="duplicateValues" dxfId="88" priority="83"/>
  </conditionalFormatting>
  <conditionalFormatting sqref="B1825">
    <cfRule type="duplicateValues" dxfId="87" priority="82"/>
  </conditionalFormatting>
  <conditionalFormatting sqref="B1832">
    <cfRule type="duplicateValues" dxfId="86" priority="81"/>
  </conditionalFormatting>
  <conditionalFormatting sqref="B1856">
    <cfRule type="duplicateValues" dxfId="85" priority="80"/>
  </conditionalFormatting>
  <conditionalFormatting sqref="B1810:B1811 B1806:B1807">
    <cfRule type="duplicateValues" dxfId="84" priority="92"/>
  </conditionalFormatting>
  <conditionalFormatting sqref="B1812:B1814">
    <cfRule type="duplicateValues" dxfId="83" priority="93"/>
  </conditionalFormatting>
  <conditionalFormatting sqref="B1831 B1829 B1826">
    <cfRule type="duplicateValues" dxfId="82" priority="94"/>
  </conditionalFormatting>
  <conditionalFormatting sqref="B1816:B1819">
    <cfRule type="duplicateValues" dxfId="81" priority="95"/>
  </conditionalFormatting>
  <conditionalFormatting sqref="B2418:B2423">
    <cfRule type="duplicateValues" dxfId="80" priority="79"/>
  </conditionalFormatting>
  <conditionalFormatting sqref="B2455">
    <cfRule type="duplicateValues" dxfId="79" priority="78"/>
  </conditionalFormatting>
  <conditionalFormatting sqref="B2689">
    <cfRule type="duplicateValues" dxfId="78" priority="77"/>
  </conditionalFormatting>
  <conditionalFormatting sqref="B1664">
    <cfRule type="duplicateValues" dxfId="77" priority="76"/>
  </conditionalFormatting>
  <conditionalFormatting sqref="B1803">
    <cfRule type="duplicateValues" dxfId="76" priority="75"/>
  </conditionalFormatting>
  <conditionalFormatting sqref="B1982:B1983">
    <cfRule type="duplicateValues" dxfId="75" priority="74"/>
  </conditionalFormatting>
  <conditionalFormatting sqref="B2438">
    <cfRule type="duplicateValues" dxfId="74" priority="72"/>
  </conditionalFormatting>
  <conditionalFormatting sqref="B2439">
    <cfRule type="duplicateValues" dxfId="73" priority="71"/>
  </conditionalFormatting>
  <conditionalFormatting sqref="B2440">
    <cfRule type="duplicateValues" dxfId="72" priority="70"/>
  </conditionalFormatting>
  <conditionalFormatting sqref="B2441">
    <cfRule type="duplicateValues" dxfId="71" priority="69"/>
  </conditionalFormatting>
  <conditionalFormatting sqref="B2442">
    <cfRule type="duplicateValues" dxfId="70" priority="68"/>
  </conditionalFormatting>
  <conditionalFormatting sqref="B2443">
    <cfRule type="duplicateValues" dxfId="69" priority="67"/>
  </conditionalFormatting>
  <conditionalFormatting sqref="B2444">
    <cfRule type="duplicateValues" dxfId="68" priority="66"/>
  </conditionalFormatting>
  <conditionalFormatting sqref="B2445">
    <cfRule type="duplicateValues" dxfId="67" priority="65"/>
  </conditionalFormatting>
  <conditionalFormatting sqref="B2446">
    <cfRule type="duplicateValues" dxfId="66" priority="64"/>
  </conditionalFormatting>
  <conditionalFormatting sqref="B2447">
    <cfRule type="duplicateValues" dxfId="65" priority="63"/>
  </conditionalFormatting>
  <conditionalFormatting sqref="B2448">
    <cfRule type="duplicateValues" dxfId="64" priority="62"/>
  </conditionalFormatting>
  <conditionalFormatting sqref="B2449">
    <cfRule type="duplicateValues" dxfId="63" priority="61"/>
  </conditionalFormatting>
  <conditionalFormatting sqref="B2450">
    <cfRule type="duplicateValues" dxfId="62" priority="60"/>
  </conditionalFormatting>
  <conditionalFormatting sqref="B2451">
    <cfRule type="duplicateValues" dxfId="61" priority="59"/>
  </conditionalFormatting>
  <conditionalFormatting sqref="B2452">
    <cfRule type="duplicateValues" dxfId="60" priority="58"/>
  </conditionalFormatting>
  <conditionalFormatting sqref="B2453">
    <cfRule type="duplicateValues" dxfId="59" priority="57"/>
  </conditionalFormatting>
  <conditionalFormatting sqref="B2454">
    <cfRule type="duplicateValues" dxfId="58" priority="73"/>
  </conditionalFormatting>
  <conditionalFormatting sqref="B2694">
    <cfRule type="duplicateValues" dxfId="57" priority="51"/>
  </conditionalFormatting>
  <conditionalFormatting sqref="B2700">
    <cfRule type="duplicateValues" dxfId="56" priority="50"/>
  </conditionalFormatting>
  <conditionalFormatting sqref="B2702">
    <cfRule type="duplicateValues" dxfId="55" priority="53"/>
    <cfRule type="duplicateValues" dxfId="54" priority="54"/>
  </conditionalFormatting>
  <conditionalFormatting sqref="B2703">
    <cfRule type="duplicateValues" dxfId="53" priority="52"/>
  </conditionalFormatting>
  <conditionalFormatting sqref="B2704">
    <cfRule type="duplicateValues" dxfId="52" priority="55"/>
    <cfRule type="duplicateValues" dxfId="51" priority="56"/>
  </conditionalFormatting>
  <conditionalFormatting sqref="B2456">
    <cfRule type="duplicateValues" dxfId="50" priority="47"/>
  </conditionalFormatting>
  <conditionalFormatting sqref="B2457">
    <cfRule type="duplicateValues" dxfId="49" priority="46"/>
  </conditionalFormatting>
  <conditionalFormatting sqref="B2458">
    <cfRule type="duplicateValues" dxfId="48" priority="45"/>
  </conditionalFormatting>
  <conditionalFormatting sqref="B2459:B2462">
    <cfRule type="duplicateValues" dxfId="47" priority="44"/>
  </conditionalFormatting>
  <conditionalFormatting sqref="B2463">
    <cfRule type="duplicateValues" dxfId="46" priority="43"/>
  </conditionalFormatting>
  <conditionalFormatting sqref="B2464">
    <cfRule type="duplicateValues" dxfId="45" priority="42"/>
  </conditionalFormatting>
  <conditionalFormatting sqref="B2465:B2468">
    <cfRule type="duplicateValues" dxfId="44" priority="41"/>
  </conditionalFormatting>
  <conditionalFormatting sqref="B2469">
    <cfRule type="duplicateValues" dxfId="43" priority="40"/>
  </conditionalFormatting>
  <conditionalFormatting sqref="B2470:B2479">
    <cfRule type="duplicateValues" dxfId="42" priority="39"/>
  </conditionalFormatting>
  <conditionalFormatting sqref="B2480:B2481">
    <cfRule type="duplicateValues" dxfId="41" priority="38"/>
  </conditionalFormatting>
  <conditionalFormatting sqref="B2482:B2485">
    <cfRule type="duplicateValues" dxfId="40" priority="37"/>
  </conditionalFormatting>
  <conditionalFormatting sqref="B2486">
    <cfRule type="duplicateValues" dxfId="39" priority="36"/>
  </conditionalFormatting>
  <conditionalFormatting sqref="B2487:B2489">
    <cfRule type="duplicateValues" dxfId="38" priority="35"/>
  </conditionalFormatting>
  <conditionalFormatting sqref="B2490:B2495">
    <cfRule type="duplicateValues" dxfId="37" priority="34"/>
  </conditionalFormatting>
  <conditionalFormatting sqref="B2496">
    <cfRule type="duplicateValues" dxfId="36" priority="33"/>
  </conditionalFormatting>
  <conditionalFormatting sqref="B2497:B2500">
    <cfRule type="duplicateValues" dxfId="35" priority="32"/>
  </conditionalFormatting>
  <conditionalFormatting sqref="B2501">
    <cfRule type="duplicateValues" dxfId="34" priority="31"/>
  </conditionalFormatting>
  <conditionalFormatting sqref="B2502">
    <cfRule type="duplicateValues" dxfId="33" priority="30"/>
  </conditionalFormatting>
  <conditionalFormatting sqref="B2503:B2517">
    <cfRule type="duplicateValues" dxfId="32" priority="48"/>
  </conditionalFormatting>
  <conditionalFormatting sqref="B2518:B2532">
    <cfRule type="duplicateValues" dxfId="31" priority="49"/>
  </conditionalFormatting>
  <conditionalFormatting sqref="B2722:B2723">
    <cfRule type="duplicateValues" dxfId="30" priority="27"/>
  </conditionalFormatting>
  <conditionalFormatting sqref="B2724">
    <cfRule type="duplicateValues" dxfId="29" priority="26"/>
  </conditionalFormatting>
  <conditionalFormatting sqref="B2725">
    <cfRule type="duplicateValues" dxfId="28" priority="25"/>
  </conditionalFormatting>
  <conditionalFormatting sqref="B2726:B2729">
    <cfRule type="duplicateValues" dxfId="27" priority="28"/>
  </conditionalFormatting>
  <conditionalFormatting sqref="B2730">
    <cfRule type="duplicateValues" dxfId="26" priority="24"/>
  </conditionalFormatting>
  <conditionalFormatting sqref="B2731">
    <cfRule type="duplicateValues" dxfId="25" priority="23"/>
  </conditionalFormatting>
  <conditionalFormatting sqref="B2732">
    <cfRule type="duplicateValues" dxfId="24" priority="22"/>
  </conditionalFormatting>
  <conditionalFormatting sqref="B2706:B2721">
    <cfRule type="duplicateValues" dxfId="23" priority="29"/>
  </conditionalFormatting>
  <conditionalFormatting sqref="B2739">
    <cfRule type="duplicateValues" dxfId="22" priority="21"/>
  </conditionalFormatting>
  <conditionalFormatting sqref="B2740">
    <cfRule type="duplicateValues" dxfId="21" priority="20"/>
  </conditionalFormatting>
  <conditionalFormatting sqref="B2555">
    <cfRule type="duplicateValues" dxfId="20" priority="19"/>
  </conditionalFormatting>
  <conditionalFormatting sqref="B1745">
    <cfRule type="duplicateValues" dxfId="19" priority="18"/>
  </conditionalFormatting>
  <conditionalFormatting sqref="B1904:B1905">
    <cfRule type="duplicateValues" dxfId="18" priority="17"/>
  </conditionalFormatting>
  <conditionalFormatting sqref="B1910">
    <cfRule type="duplicateValues" dxfId="17" priority="16"/>
  </conditionalFormatting>
  <conditionalFormatting sqref="B1912">
    <cfRule type="duplicateValues" dxfId="16" priority="15"/>
  </conditionalFormatting>
  <conditionalFormatting sqref="B1917">
    <cfRule type="duplicateValues" dxfId="15" priority="14"/>
  </conditionalFormatting>
  <conditionalFormatting sqref="B1918">
    <cfRule type="duplicateValues" dxfId="14" priority="13"/>
  </conditionalFormatting>
  <conditionalFormatting sqref="B1919">
    <cfRule type="duplicateValues" dxfId="13" priority="12"/>
  </conditionalFormatting>
  <conditionalFormatting sqref="B1942">
    <cfRule type="duplicateValues" dxfId="12" priority="11"/>
  </conditionalFormatting>
  <conditionalFormatting sqref="B2626">
    <cfRule type="duplicateValues" dxfId="11" priority="10"/>
  </conditionalFormatting>
  <conditionalFormatting sqref="B2865:B2866">
    <cfRule type="duplicateValues" dxfId="10" priority="9"/>
  </conditionalFormatting>
  <conditionalFormatting sqref="B2867">
    <cfRule type="duplicateValues" dxfId="9" priority="8"/>
  </conditionalFormatting>
  <conditionalFormatting sqref="B2868">
    <cfRule type="duplicateValues" dxfId="8" priority="7"/>
  </conditionalFormatting>
  <conditionalFormatting sqref="B2869">
    <cfRule type="duplicateValues" dxfId="7" priority="6"/>
  </conditionalFormatting>
  <conditionalFormatting sqref="B2872">
    <cfRule type="duplicateValues" dxfId="6" priority="5"/>
  </conditionalFormatting>
  <conditionalFormatting sqref="B2875">
    <cfRule type="duplicateValues" dxfId="5" priority="4"/>
  </conditionalFormatting>
  <conditionalFormatting sqref="B2876:B2877">
    <cfRule type="duplicateValues" dxfId="4" priority="3"/>
  </conditionalFormatting>
  <conditionalFormatting sqref="B2878">
    <cfRule type="duplicateValues" dxfId="3" priority="2"/>
  </conditionalFormatting>
  <conditionalFormatting sqref="B2879">
    <cfRule type="duplicateValues" dxfId="2" priority="1"/>
  </conditionalFormatting>
  <conditionalFormatting sqref="B2424">
    <cfRule type="duplicateValues" dxfId="1" priority="96"/>
  </conditionalFormatting>
  <conditionalFormatting sqref="B1943:B1955">
    <cfRule type="duplicateValues" dxfId="0" priority="97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J1169"/>
  <sheetViews>
    <sheetView topLeftCell="C1156" workbookViewId="0">
      <selection activeCell="J1171" sqref="J1171"/>
    </sheetView>
  </sheetViews>
  <sheetFormatPr baseColWidth="10" defaultRowHeight="15" x14ac:dyDescent="0.25"/>
  <cols>
    <col min="1" max="1" width="26.28515625" style="460" customWidth="1"/>
    <col min="2" max="2" width="69.85546875" customWidth="1"/>
    <col min="3" max="3" width="14.7109375" customWidth="1"/>
    <col min="4" max="4" width="11.42578125" style="460"/>
    <col min="5" max="5" width="11.5703125" style="223" customWidth="1"/>
    <col min="6" max="6" width="33.28515625" style="460" bestFit="1" customWidth="1"/>
    <col min="7" max="7" width="13.140625" customWidth="1"/>
    <col min="8" max="8" width="38.140625" style="460" customWidth="1"/>
    <col min="9" max="9" width="14.140625" style="106" bestFit="1" customWidth="1"/>
    <col min="10" max="10" width="24.140625" style="106" customWidth="1"/>
    <col min="11" max="16" width="0" hidden="1" customWidth="1"/>
    <col min="17" max="17" width="11.42578125" style="460"/>
    <col min="18" max="18" width="15.140625" style="106" bestFit="1" customWidth="1"/>
    <col min="19" max="22" width="0" hidden="1" customWidth="1"/>
    <col min="23" max="23" width="11.42578125" style="460"/>
    <col min="24" max="24" width="15.140625" style="106" bestFit="1" customWidth="1"/>
    <col min="25" max="28" width="0" hidden="1" customWidth="1"/>
    <col min="29" max="29" width="11.42578125" style="460"/>
    <col min="30" max="30" width="15.140625" style="106" bestFit="1" customWidth="1"/>
    <col min="31" max="34" width="11.42578125" hidden="1" customWidth="1"/>
    <col min="36" max="36" width="14.140625" bestFit="1" customWidth="1"/>
  </cols>
  <sheetData>
    <row r="1" spans="1:34" ht="15" customHeight="1" x14ac:dyDescent="0.25">
      <c r="C1" s="1350" t="s">
        <v>3461</v>
      </c>
      <c r="D1" s="1350"/>
      <c r="E1" s="1350"/>
      <c r="F1" s="1350"/>
      <c r="G1" s="1350"/>
      <c r="H1" s="1350"/>
      <c r="I1" s="1350"/>
      <c r="J1" s="1350"/>
      <c r="K1" s="1062"/>
      <c r="L1" s="1062"/>
      <c r="M1" s="1062"/>
      <c r="N1" s="1062"/>
      <c r="O1" s="1062"/>
      <c r="P1" s="1062"/>
      <c r="Q1" s="1062"/>
      <c r="R1" s="1179"/>
      <c r="S1" s="1062"/>
      <c r="T1" s="1062"/>
      <c r="U1" s="1062"/>
      <c r="V1" s="1062"/>
      <c r="W1" s="1062"/>
    </row>
    <row r="2" spans="1:34" x14ac:dyDescent="0.25">
      <c r="C2" s="1350"/>
      <c r="D2" s="1350"/>
      <c r="E2" s="1350"/>
      <c r="F2" s="1350"/>
      <c r="G2" s="1350"/>
      <c r="H2" s="1350"/>
      <c r="I2" s="1350"/>
      <c r="J2" s="1350"/>
      <c r="K2" s="1062"/>
      <c r="L2" s="1062"/>
      <c r="M2" s="1062"/>
      <c r="N2" s="1062"/>
      <c r="O2" s="1062"/>
      <c r="P2" s="1062"/>
      <c r="Q2" s="1062"/>
      <c r="R2" s="1179"/>
      <c r="S2" s="1062"/>
      <c r="T2" s="1062"/>
      <c r="U2" s="1062"/>
      <c r="V2" s="1062"/>
      <c r="W2" s="1062"/>
    </row>
    <row r="3" spans="1:34" x14ac:dyDescent="0.25">
      <c r="C3" s="1350"/>
      <c r="D3" s="1350"/>
      <c r="E3" s="1350"/>
      <c r="F3" s="1350"/>
      <c r="G3" s="1350"/>
      <c r="H3" s="1350"/>
      <c r="I3" s="1350"/>
      <c r="J3" s="1350"/>
      <c r="K3" s="1062"/>
      <c r="L3" s="1062"/>
      <c r="M3" s="1062"/>
      <c r="N3" s="1062"/>
      <c r="O3" s="1062"/>
      <c r="P3" s="1062"/>
      <c r="Q3" s="1062"/>
      <c r="R3" s="1179"/>
      <c r="S3" s="1062"/>
      <c r="T3" s="1062"/>
      <c r="U3" s="1062"/>
      <c r="V3" s="1062"/>
      <c r="W3" s="1062"/>
    </row>
    <row r="4" spans="1:34" x14ac:dyDescent="0.25">
      <c r="C4" s="1350"/>
      <c r="D4" s="1350"/>
      <c r="E4" s="1350"/>
      <c r="F4" s="1350"/>
      <c r="G4" s="1350"/>
      <c r="H4" s="1350"/>
      <c r="I4" s="1350"/>
      <c r="J4" s="1350"/>
      <c r="K4" s="1063"/>
      <c r="L4" s="1063"/>
      <c r="M4" s="1063"/>
      <c r="N4" s="1063"/>
      <c r="O4" s="1063"/>
      <c r="P4" s="1063"/>
      <c r="Q4" s="1064"/>
      <c r="R4" s="1180"/>
      <c r="S4" s="1064"/>
      <c r="T4" s="1064"/>
      <c r="U4" s="1064"/>
      <c r="V4" s="1064"/>
      <c r="W4" s="1064"/>
    </row>
    <row r="5" spans="1:34" ht="15.75" thickBot="1" x14ac:dyDescent="0.3"/>
    <row r="6" spans="1:34" ht="15" customHeight="1" x14ac:dyDescent="0.25">
      <c r="A6" s="1372" t="s">
        <v>3464</v>
      </c>
      <c r="B6" s="1353" t="s">
        <v>1</v>
      </c>
      <c r="C6" s="1375" t="s">
        <v>2</v>
      </c>
      <c r="D6" s="1353" t="s">
        <v>3</v>
      </c>
      <c r="E6" s="1353" t="s">
        <v>4</v>
      </c>
      <c r="F6" s="1353" t="s">
        <v>5</v>
      </c>
      <c r="G6" s="1353" t="s">
        <v>6</v>
      </c>
      <c r="H6" s="1353" t="s">
        <v>7</v>
      </c>
      <c r="I6" s="1356" t="s">
        <v>4303</v>
      </c>
      <c r="J6" s="1359" t="s">
        <v>3465</v>
      </c>
      <c r="K6" s="1351" t="s">
        <v>3466</v>
      </c>
      <c r="L6" s="1351"/>
      <c r="M6" s="1351" t="s">
        <v>3467</v>
      </c>
      <c r="N6" s="1351"/>
      <c r="O6" s="1351" t="s">
        <v>3468</v>
      </c>
      <c r="P6" s="1351"/>
      <c r="Q6" s="1364" t="s">
        <v>3455</v>
      </c>
      <c r="R6" s="1365"/>
      <c r="S6" s="1351" t="s">
        <v>3469</v>
      </c>
      <c r="T6" s="1351"/>
      <c r="U6" s="1351" t="s">
        <v>3470</v>
      </c>
      <c r="V6" s="1351"/>
      <c r="W6" s="1364" t="s">
        <v>3457</v>
      </c>
      <c r="X6" s="1365"/>
      <c r="Y6" s="1351" t="s">
        <v>3471</v>
      </c>
      <c r="Z6" s="1351"/>
      <c r="AA6" s="1351" t="s">
        <v>3472</v>
      </c>
      <c r="AB6" s="1351"/>
      <c r="AC6" s="1364" t="s">
        <v>3371</v>
      </c>
      <c r="AD6" s="1365"/>
      <c r="AE6" s="1351" t="s">
        <v>3473</v>
      </c>
      <c r="AF6" s="1351"/>
      <c r="AG6" s="1351" t="s">
        <v>3474</v>
      </c>
      <c r="AH6" s="1362"/>
    </row>
    <row r="7" spans="1:34" ht="15" customHeight="1" x14ac:dyDescent="0.25">
      <c r="A7" s="1373"/>
      <c r="B7" s="1354"/>
      <c r="C7" s="1376"/>
      <c r="D7" s="1354"/>
      <c r="E7" s="1354"/>
      <c r="F7" s="1354"/>
      <c r="G7" s="1354"/>
      <c r="H7" s="1354"/>
      <c r="I7" s="1357"/>
      <c r="J7" s="1360"/>
      <c r="K7" s="1352"/>
      <c r="L7" s="1352"/>
      <c r="M7" s="1352"/>
      <c r="N7" s="1352"/>
      <c r="O7" s="1352"/>
      <c r="P7" s="1352"/>
      <c r="Q7" s="1366" t="s">
        <v>4304</v>
      </c>
      <c r="R7" s="1369" t="s">
        <v>4305</v>
      </c>
      <c r="S7" s="1352"/>
      <c r="T7" s="1352"/>
      <c r="U7" s="1352"/>
      <c r="V7" s="1352"/>
      <c r="W7" s="1366" t="s">
        <v>4304</v>
      </c>
      <c r="X7" s="1369" t="s">
        <v>4305</v>
      </c>
      <c r="Y7" s="1352"/>
      <c r="Z7" s="1352"/>
      <c r="AA7" s="1352"/>
      <c r="AB7" s="1352"/>
      <c r="AC7" s="1366" t="s">
        <v>4304</v>
      </c>
      <c r="AD7" s="1369" t="s">
        <v>4305</v>
      </c>
      <c r="AE7" s="1352"/>
      <c r="AF7" s="1352"/>
      <c r="AG7" s="1352"/>
      <c r="AH7" s="1363"/>
    </row>
    <row r="8" spans="1:34" ht="15" customHeight="1" x14ac:dyDescent="0.25">
      <c r="A8" s="1373"/>
      <c r="B8" s="1354"/>
      <c r="C8" s="1376"/>
      <c r="D8" s="1354"/>
      <c r="E8" s="1354"/>
      <c r="F8" s="1354"/>
      <c r="G8" s="1354"/>
      <c r="H8" s="1354"/>
      <c r="I8" s="1357"/>
      <c r="J8" s="1360"/>
      <c r="K8" s="1352"/>
      <c r="L8" s="1352"/>
      <c r="M8" s="1352"/>
      <c r="N8" s="1352"/>
      <c r="O8" s="1352"/>
      <c r="P8" s="1352"/>
      <c r="Q8" s="1367"/>
      <c r="R8" s="1370"/>
      <c r="S8" s="1352"/>
      <c r="T8" s="1352"/>
      <c r="U8" s="1352"/>
      <c r="V8" s="1352"/>
      <c r="W8" s="1367"/>
      <c r="X8" s="1370"/>
      <c r="Y8" s="1352"/>
      <c r="Z8" s="1352"/>
      <c r="AA8" s="1352"/>
      <c r="AB8" s="1352"/>
      <c r="AC8" s="1367"/>
      <c r="AD8" s="1370"/>
      <c r="AE8" s="1352"/>
      <c r="AF8" s="1352"/>
      <c r="AG8" s="1352"/>
      <c r="AH8" s="1363"/>
    </row>
    <row r="9" spans="1:34" ht="16.5" customHeight="1" thickBot="1" x14ac:dyDescent="0.3">
      <c r="A9" s="1374"/>
      <c r="B9" s="1355"/>
      <c r="C9" s="1377"/>
      <c r="D9" s="1355"/>
      <c r="E9" s="1355"/>
      <c r="F9" s="1355"/>
      <c r="G9" s="1355"/>
      <c r="H9" s="1355"/>
      <c r="I9" s="1358"/>
      <c r="J9" s="1361"/>
      <c r="K9" s="1041" t="s">
        <v>3475</v>
      </c>
      <c r="L9" s="1041" t="s">
        <v>3476</v>
      </c>
      <c r="M9" s="1041" t="s">
        <v>3475</v>
      </c>
      <c r="N9" s="1041" t="s">
        <v>3476</v>
      </c>
      <c r="O9" s="1041" t="s">
        <v>3475</v>
      </c>
      <c r="P9" s="1041" t="s">
        <v>3476</v>
      </c>
      <c r="Q9" s="1368"/>
      <c r="R9" s="1371"/>
      <c r="S9" s="1041" t="s">
        <v>3475</v>
      </c>
      <c r="T9" s="1041" t="s">
        <v>3476</v>
      </c>
      <c r="U9" s="1041" t="s">
        <v>3475</v>
      </c>
      <c r="V9" s="1041" t="s">
        <v>3476</v>
      </c>
      <c r="W9" s="1368"/>
      <c r="X9" s="1371"/>
      <c r="Y9" s="1041" t="s">
        <v>3475</v>
      </c>
      <c r="Z9" s="1041" t="s">
        <v>3476</v>
      </c>
      <c r="AA9" s="1041" t="s">
        <v>3475</v>
      </c>
      <c r="AB9" s="1041" t="s">
        <v>3476</v>
      </c>
      <c r="AC9" s="1368"/>
      <c r="AD9" s="1371"/>
      <c r="AE9" s="1041" t="s">
        <v>3475</v>
      </c>
      <c r="AF9" s="1041" t="s">
        <v>3476</v>
      </c>
      <c r="AG9" s="1041" t="s">
        <v>3475</v>
      </c>
      <c r="AH9" s="1042" t="s">
        <v>3476</v>
      </c>
    </row>
    <row r="10" spans="1:34" x14ac:dyDescent="0.25">
      <c r="A10" s="1060">
        <v>2000</v>
      </c>
      <c r="B10" s="1061" t="s">
        <v>10</v>
      </c>
      <c r="C10" s="1043"/>
      <c r="D10" s="1044"/>
      <c r="E10" s="1045"/>
      <c r="F10" s="1044"/>
      <c r="G10" s="1043"/>
      <c r="H10" s="1044"/>
      <c r="I10" s="1053"/>
      <c r="J10" s="1053"/>
      <c r="K10" s="1043"/>
      <c r="L10" s="1043"/>
      <c r="M10" s="1043"/>
      <c r="N10" s="1043"/>
      <c r="O10" s="1043"/>
      <c r="P10" s="1043"/>
      <c r="Q10" s="1044"/>
      <c r="R10" s="1053"/>
      <c r="S10" s="1043"/>
      <c r="T10" s="1043"/>
      <c r="U10" s="1043"/>
      <c r="V10" s="1043"/>
      <c r="W10" s="1044"/>
      <c r="X10" s="1053"/>
      <c r="Y10" s="1043"/>
      <c r="Z10" s="1043"/>
      <c r="AA10" s="1043"/>
      <c r="AB10" s="1043"/>
      <c r="AC10" s="1044"/>
      <c r="AD10" s="1053"/>
      <c r="AE10" s="1043"/>
      <c r="AF10" s="1043"/>
      <c r="AG10" s="1043"/>
      <c r="AH10" s="1046"/>
    </row>
    <row r="11" spans="1:34" x14ac:dyDescent="0.25">
      <c r="A11" s="1058">
        <v>21102</v>
      </c>
      <c r="B11" s="187" t="s">
        <v>14</v>
      </c>
      <c r="C11" s="110"/>
      <c r="D11" s="433"/>
      <c r="E11" s="207"/>
      <c r="F11" s="433"/>
      <c r="G11" s="110"/>
      <c r="H11" s="433"/>
      <c r="I11" s="111"/>
      <c r="J11" s="111"/>
      <c r="K11" s="110"/>
      <c r="L11" s="110"/>
      <c r="M11" s="110"/>
      <c r="N11" s="110"/>
      <c r="O11" s="110"/>
      <c r="P11" s="110"/>
      <c r="Q11" s="433"/>
      <c r="R11" s="111"/>
      <c r="S11" s="110"/>
      <c r="T11" s="110"/>
      <c r="U11" s="110"/>
      <c r="V11" s="110"/>
      <c r="W11" s="433"/>
      <c r="X11" s="111"/>
      <c r="Y11" s="110"/>
      <c r="Z11" s="110"/>
      <c r="AA11" s="110"/>
      <c r="AB11" s="110"/>
      <c r="AC11" s="433"/>
      <c r="AD11" s="111"/>
      <c r="AE11" s="110"/>
      <c r="AF11" s="110"/>
      <c r="AG11" s="110"/>
      <c r="AH11" s="1048"/>
    </row>
    <row r="12" spans="1:34" ht="45" x14ac:dyDescent="0.25">
      <c r="A12" s="1047"/>
      <c r="B12" s="110" t="s">
        <v>3477</v>
      </c>
      <c r="C12" s="110"/>
      <c r="D12" s="433">
        <v>9</v>
      </c>
      <c r="E12" s="207" t="s">
        <v>1767</v>
      </c>
      <c r="F12" s="1178" t="s">
        <v>4353</v>
      </c>
      <c r="G12" s="1056" t="s">
        <v>4306</v>
      </c>
      <c r="H12" s="433" t="s">
        <v>3478</v>
      </c>
      <c r="I12" s="111">
        <v>16.365381688888888</v>
      </c>
      <c r="J12" s="111">
        <v>147.28843519999998</v>
      </c>
      <c r="K12" s="110"/>
      <c r="L12" s="110"/>
      <c r="M12" s="110"/>
      <c r="N12" s="110"/>
      <c r="O12" s="110"/>
      <c r="P12" s="110"/>
      <c r="Q12" s="433">
        <v>4</v>
      </c>
      <c r="R12" s="111">
        <v>49.096145066666658</v>
      </c>
      <c r="S12" s="110"/>
      <c r="T12" s="110"/>
      <c r="U12" s="110"/>
      <c r="V12" s="110"/>
      <c r="W12" s="433">
        <v>3</v>
      </c>
      <c r="X12" s="111">
        <v>49.096145066666658</v>
      </c>
      <c r="Y12" s="110"/>
      <c r="Z12" s="110"/>
      <c r="AA12" s="110"/>
      <c r="AB12" s="110"/>
      <c r="AC12" s="433">
        <v>2</v>
      </c>
      <c r="AD12" s="111">
        <v>49.096145066666658</v>
      </c>
      <c r="AE12" s="110"/>
      <c r="AF12" s="110"/>
      <c r="AG12" s="110"/>
      <c r="AH12" s="1048"/>
    </row>
    <row r="13" spans="1:34" ht="45" x14ac:dyDescent="0.25">
      <c r="A13" s="1047"/>
      <c r="B13" s="110" t="s">
        <v>3479</v>
      </c>
      <c r="C13" s="110"/>
      <c r="D13" s="433">
        <v>77</v>
      </c>
      <c r="E13" s="207" t="s">
        <v>1767</v>
      </c>
      <c r="F13" s="1178" t="s">
        <v>4353</v>
      </c>
      <c r="G13" s="1056" t="s">
        <v>4306</v>
      </c>
      <c r="H13" s="433" t="s">
        <v>3478</v>
      </c>
      <c r="I13" s="111">
        <v>17.186756779220779</v>
      </c>
      <c r="J13" s="111">
        <v>1323.3802719999999</v>
      </c>
      <c r="K13" s="110"/>
      <c r="L13" s="110"/>
      <c r="M13" s="110"/>
      <c r="N13" s="110"/>
      <c r="O13" s="110"/>
      <c r="P13" s="110"/>
      <c r="Q13" s="433">
        <v>40</v>
      </c>
      <c r="R13" s="111">
        <v>441.12675733333327</v>
      </c>
      <c r="S13" s="110"/>
      <c r="T13" s="110"/>
      <c r="U13" s="110"/>
      <c r="V13" s="110"/>
      <c r="W13" s="433">
        <v>21</v>
      </c>
      <c r="X13" s="111">
        <v>441.12675733333327</v>
      </c>
      <c r="Y13" s="110"/>
      <c r="Z13" s="110"/>
      <c r="AA13" s="110"/>
      <c r="AB13" s="110"/>
      <c r="AC13" s="433">
        <v>16</v>
      </c>
      <c r="AD13" s="111">
        <v>441.12675733333327</v>
      </c>
      <c r="AE13" s="110"/>
      <c r="AF13" s="110"/>
      <c r="AG13" s="110"/>
      <c r="AH13" s="1048"/>
    </row>
    <row r="14" spans="1:34" ht="45" x14ac:dyDescent="0.25">
      <c r="A14" s="1047"/>
      <c r="B14" s="110" t="s">
        <v>3480</v>
      </c>
      <c r="C14" s="110"/>
      <c r="D14" s="433">
        <v>25</v>
      </c>
      <c r="E14" s="207" t="s">
        <v>1767</v>
      </c>
      <c r="F14" s="1178" t="s">
        <v>4353</v>
      </c>
      <c r="G14" s="1056" t="s">
        <v>4306</v>
      </c>
      <c r="H14" s="433" t="s">
        <v>3478</v>
      </c>
      <c r="I14" s="111">
        <v>16.397449600000002</v>
      </c>
      <c r="J14" s="111">
        <v>409.93624</v>
      </c>
      <c r="K14" s="110"/>
      <c r="L14" s="110"/>
      <c r="M14" s="110"/>
      <c r="N14" s="110"/>
      <c r="O14" s="110"/>
      <c r="P14" s="110"/>
      <c r="Q14" s="433">
        <v>15</v>
      </c>
      <c r="R14" s="111">
        <v>136.64541333333332</v>
      </c>
      <c r="S14" s="110"/>
      <c r="T14" s="110"/>
      <c r="U14" s="110"/>
      <c r="V14" s="110"/>
      <c r="W14" s="433">
        <v>10</v>
      </c>
      <c r="X14" s="111">
        <v>136.64541333333332</v>
      </c>
      <c r="Y14" s="110"/>
      <c r="Z14" s="110"/>
      <c r="AA14" s="110"/>
      <c r="AB14" s="110"/>
      <c r="AC14" s="433">
        <v>10</v>
      </c>
      <c r="AD14" s="111">
        <v>136.64541333333332</v>
      </c>
      <c r="AE14" s="110"/>
      <c r="AF14" s="110"/>
      <c r="AG14" s="110"/>
      <c r="AH14" s="1048"/>
    </row>
    <row r="15" spans="1:34" ht="45" x14ac:dyDescent="0.25">
      <c r="A15" s="1047"/>
      <c r="B15" s="110" t="s">
        <v>3481</v>
      </c>
      <c r="C15" s="110"/>
      <c r="D15" s="433">
        <v>19</v>
      </c>
      <c r="E15" s="207" t="s">
        <v>1772</v>
      </c>
      <c r="F15" s="1178" t="s">
        <v>4353</v>
      </c>
      <c r="G15" s="1056" t="s">
        <v>4306</v>
      </c>
      <c r="H15" s="433" t="s">
        <v>3478</v>
      </c>
      <c r="I15" s="111">
        <v>88.193810526315787</v>
      </c>
      <c r="J15" s="111">
        <v>1675.6823999999999</v>
      </c>
      <c r="K15" s="110"/>
      <c r="L15" s="110"/>
      <c r="M15" s="110"/>
      <c r="N15" s="110"/>
      <c r="O15" s="110"/>
      <c r="P15" s="110"/>
      <c r="Q15" s="433">
        <v>9</v>
      </c>
      <c r="R15" s="111">
        <v>558.56079999999997</v>
      </c>
      <c r="S15" s="110"/>
      <c r="T15" s="110"/>
      <c r="U15" s="110"/>
      <c r="V15" s="110"/>
      <c r="W15" s="433">
        <v>6</v>
      </c>
      <c r="X15" s="111">
        <v>558.56079999999997</v>
      </c>
      <c r="Y15" s="110"/>
      <c r="Z15" s="110"/>
      <c r="AA15" s="110"/>
      <c r="AB15" s="110"/>
      <c r="AC15" s="433">
        <v>4</v>
      </c>
      <c r="AD15" s="111">
        <v>558.56079999999997</v>
      </c>
      <c r="AE15" s="110"/>
      <c r="AF15" s="110"/>
      <c r="AG15" s="110"/>
      <c r="AH15" s="1048"/>
    </row>
    <row r="16" spans="1:34" ht="45" x14ac:dyDescent="0.25">
      <c r="A16" s="1047"/>
      <c r="B16" s="110" t="s">
        <v>3482</v>
      </c>
      <c r="C16" s="110"/>
      <c r="D16" s="433">
        <v>7</v>
      </c>
      <c r="E16" s="207" t="s">
        <v>1767</v>
      </c>
      <c r="F16" s="1178" t="s">
        <v>4353</v>
      </c>
      <c r="G16" s="1056" t="s">
        <v>4306</v>
      </c>
      <c r="H16" s="433" t="s">
        <v>3478</v>
      </c>
      <c r="I16" s="111">
        <v>45.807142857142864</v>
      </c>
      <c r="J16" s="111">
        <v>320.65000000000003</v>
      </c>
      <c r="K16" s="110"/>
      <c r="L16" s="110"/>
      <c r="M16" s="110"/>
      <c r="N16" s="110"/>
      <c r="O16" s="110"/>
      <c r="P16" s="110"/>
      <c r="Q16" s="433">
        <v>3</v>
      </c>
      <c r="R16" s="111">
        <v>106.88333333333334</v>
      </c>
      <c r="S16" s="110"/>
      <c r="T16" s="110"/>
      <c r="U16" s="110"/>
      <c r="V16" s="110"/>
      <c r="W16" s="433">
        <v>2</v>
      </c>
      <c r="X16" s="111">
        <v>106.88333333333334</v>
      </c>
      <c r="Y16" s="110"/>
      <c r="Z16" s="110"/>
      <c r="AA16" s="110"/>
      <c r="AB16" s="110"/>
      <c r="AC16" s="433">
        <v>2</v>
      </c>
      <c r="AD16" s="111">
        <v>106.88333333333334</v>
      </c>
      <c r="AE16" s="110"/>
      <c r="AF16" s="110"/>
      <c r="AG16" s="110"/>
      <c r="AH16" s="1048"/>
    </row>
    <row r="17" spans="1:34" ht="45" x14ac:dyDescent="0.25">
      <c r="A17" s="1047"/>
      <c r="B17" s="110" t="s">
        <v>3483</v>
      </c>
      <c r="C17" s="110"/>
      <c r="D17" s="433">
        <v>43</v>
      </c>
      <c r="E17" s="207" t="s">
        <v>1767</v>
      </c>
      <c r="F17" s="1178" t="s">
        <v>4353</v>
      </c>
      <c r="G17" s="1056" t="s">
        <v>4306</v>
      </c>
      <c r="H17" s="433" t="s">
        <v>3478</v>
      </c>
      <c r="I17" s="111">
        <v>16.471627906976742</v>
      </c>
      <c r="J17" s="111">
        <v>708.28</v>
      </c>
      <c r="K17" s="110"/>
      <c r="L17" s="110"/>
      <c r="M17" s="110"/>
      <c r="N17" s="110"/>
      <c r="O17" s="110"/>
      <c r="P17" s="110"/>
      <c r="Q17" s="433">
        <v>20</v>
      </c>
      <c r="R17" s="111">
        <v>236.09333333333333</v>
      </c>
      <c r="S17" s="110"/>
      <c r="T17" s="110"/>
      <c r="U17" s="110"/>
      <c r="V17" s="110"/>
      <c r="W17" s="433">
        <v>12</v>
      </c>
      <c r="X17" s="111">
        <v>236.09333333333333</v>
      </c>
      <c r="Y17" s="110"/>
      <c r="Z17" s="110"/>
      <c r="AA17" s="110"/>
      <c r="AB17" s="110"/>
      <c r="AC17" s="433">
        <v>11</v>
      </c>
      <c r="AD17" s="111">
        <v>236.09333333333333</v>
      </c>
      <c r="AE17" s="110"/>
      <c r="AF17" s="110"/>
      <c r="AG17" s="110"/>
      <c r="AH17" s="1048"/>
    </row>
    <row r="18" spans="1:34" ht="45" x14ac:dyDescent="0.25">
      <c r="A18" s="1047"/>
      <c r="B18" s="110" t="s">
        <v>3484</v>
      </c>
      <c r="C18" s="110"/>
      <c r="D18" s="433">
        <v>8</v>
      </c>
      <c r="E18" s="207" t="s">
        <v>1772</v>
      </c>
      <c r="F18" s="1178" t="s">
        <v>4353</v>
      </c>
      <c r="G18" s="1056" t="s">
        <v>4306</v>
      </c>
      <c r="H18" s="433" t="s">
        <v>3478</v>
      </c>
      <c r="I18" s="111">
        <v>91.766080000000017</v>
      </c>
      <c r="J18" s="111">
        <v>734.12864000000013</v>
      </c>
      <c r="K18" s="110"/>
      <c r="L18" s="110"/>
      <c r="M18" s="110"/>
      <c r="N18" s="110"/>
      <c r="O18" s="110"/>
      <c r="P18" s="110"/>
      <c r="Q18" s="433">
        <v>3</v>
      </c>
      <c r="R18" s="111">
        <v>244.70954666666671</v>
      </c>
      <c r="S18" s="110"/>
      <c r="T18" s="110"/>
      <c r="U18" s="110"/>
      <c r="V18" s="110"/>
      <c r="W18" s="433">
        <v>3</v>
      </c>
      <c r="X18" s="111">
        <v>244.70954666666671</v>
      </c>
      <c r="Y18" s="110"/>
      <c r="Z18" s="110"/>
      <c r="AA18" s="110"/>
      <c r="AB18" s="110"/>
      <c r="AC18" s="433">
        <v>2</v>
      </c>
      <c r="AD18" s="111">
        <v>244.70954666666671</v>
      </c>
      <c r="AE18" s="110"/>
      <c r="AF18" s="110"/>
      <c r="AG18" s="110"/>
      <c r="AH18" s="1048"/>
    </row>
    <row r="19" spans="1:34" ht="45" x14ac:dyDescent="0.25">
      <c r="A19" s="1047"/>
      <c r="B19" s="110" t="s">
        <v>3485</v>
      </c>
      <c r="C19" s="110"/>
      <c r="D19" s="433">
        <v>3</v>
      </c>
      <c r="E19" s="207" t="s">
        <v>1772</v>
      </c>
      <c r="F19" s="1178" t="s">
        <v>4353</v>
      </c>
      <c r="G19" s="1056" t="s">
        <v>4306</v>
      </c>
      <c r="H19" s="433" t="s">
        <v>3478</v>
      </c>
      <c r="I19" s="111">
        <v>16.697706666666665</v>
      </c>
      <c r="J19" s="111">
        <v>50.093119999999999</v>
      </c>
      <c r="K19" s="110"/>
      <c r="L19" s="110"/>
      <c r="M19" s="110"/>
      <c r="N19" s="110"/>
      <c r="O19" s="110"/>
      <c r="P19" s="110"/>
      <c r="Q19" s="433">
        <v>1</v>
      </c>
      <c r="R19" s="111">
        <v>16.697706666666665</v>
      </c>
      <c r="S19" s="110"/>
      <c r="T19" s="110"/>
      <c r="U19" s="110"/>
      <c r="V19" s="110"/>
      <c r="W19" s="433">
        <v>1</v>
      </c>
      <c r="X19" s="111">
        <v>16.697706666666665</v>
      </c>
      <c r="Y19" s="110"/>
      <c r="Z19" s="110"/>
      <c r="AA19" s="110"/>
      <c r="AB19" s="110"/>
      <c r="AC19" s="433">
        <v>1</v>
      </c>
      <c r="AD19" s="111">
        <v>16.697706666666665</v>
      </c>
      <c r="AE19" s="110"/>
      <c r="AF19" s="110"/>
      <c r="AG19" s="110"/>
      <c r="AH19" s="1048"/>
    </row>
    <row r="20" spans="1:34" ht="45" x14ac:dyDescent="0.25">
      <c r="A20" s="1047"/>
      <c r="B20" s="110" t="s">
        <v>3486</v>
      </c>
      <c r="C20" s="110"/>
      <c r="D20" s="433">
        <v>3</v>
      </c>
      <c r="E20" s="207" t="s">
        <v>1772</v>
      </c>
      <c r="F20" s="1178" t="s">
        <v>4353</v>
      </c>
      <c r="G20" s="1056" t="s">
        <v>4306</v>
      </c>
      <c r="H20" s="433" t="s">
        <v>3478</v>
      </c>
      <c r="I20" s="111">
        <v>16.697706666666665</v>
      </c>
      <c r="J20" s="111">
        <v>50.093119999999999</v>
      </c>
      <c r="K20" s="110"/>
      <c r="L20" s="110"/>
      <c r="M20" s="110"/>
      <c r="N20" s="110"/>
      <c r="O20" s="110"/>
      <c r="P20" s="110"/>
      <c r="Q20" s="433">
        <v>1</v>
      </c>
      <c r="R20" s="111">
        <v>16.697706666666665</v>
      </c>
      <c r="S20" s="110"/>
      <c r="T20" s="110"/>
      <c r="U20" s="110"/>
      <c r="V20" s="110"/>
      <c r="W20" s="433">
        <v>1</v>
      </c>
      <c r="X20" s="111">
        <v>16.697706666666665</v>
      </c>
      <c r="Y20" s="110"/>
      <c r="Z20" s="110"/>
      <c r="AA20" s="110"/>
      <c r="AB20" s="110"/>
      <c r="AC20" s="433">
        <v>1</v>
      </c>
      <c r="AD20" s="111">
        <v>16.697706666666665</v>
      </c>
      <c r="AE20" s="110"/>
      <c r="AF20" s="110"/>
      <c r="AG20" s="110"/>
      <c r="AH20" s="1048"/>
    </row>
    <row r="21" spans="1:34" ht="45" x14ac:dyDescent="0.25">
      <c r="A21" s="1047"/>
      <c r="B21" s="110" t="s">
        <v>3487</v>
      </c>
      <c r="C21" s="110"/>
      <c r="D21" s="433">
        <v>3</v>
      </c>
      <c r="E21" s="207" t="s">
        <v>1772</v>
      </c>
      <c r="F21" s="1178" t="s">
        <v>4353</v>
      </c>
      <c r="G21" s="1056" t="s">
        <v>4306</v>
      </c>
      <c r="H21" s="433" t="s">
        <v>3478</v>
      </c>
      <c r="I21" s="111">
        <v>16.697706666666665</v>
      </c>
      <c r="J21" s="111">
        <v>50.093119999999999</v>
      </c>
      <c r="K21" s="110"/>
      <c r="L21" s="110"/>
      <c r="M21" s="110"/>
      <c r="N21" s="110"/>
      <c r="O21" s="110"/>
      <c r="P21" s="110"/>
      <c r="Q21" s="433">
        <v>1</v>
      </c>
      <c r="R21" s="111">
        <v>16.697706666666665</v>
      </c>
      <c r="S21" s="110"/>
      <c r="T21" s="110"/>
      <c r="U21" s="110"/>
      <c r="V21" s="110"/>
      <c r="W21" s="433">
        <v>1</v>
      </c>
      <c r="X21" s="111">
        <v>16.697706666666665</v>
      </c>
      <c r="Y21" s="110"/>
      <c r="Z21" s="110"/>
      <c r="AA21" s="110"/>
      <c r="AB21" s="110"/>
      <c r="AC21" s="433">
        <v>1</v>
      </c>
      <c r="AD21" s="111">
        <v>16.697706666666665</v>
      </c>
      <c r="AE21" s="110"/>
      <c r="AF21" s="110"/>
      <c r="AG21" s="110"/>
      <c r="AH21" s="1048"/>
    </row>
    <row r="22" spans="1:34" ht="45" x14ac:dyDescent="0.25">
      <c r="A22" s="1047"/>
      <c r="B22" s="110" t="s">
        <v>3488</v>
      </c>
      <c r="C22" s="110"/>
      <c r="D22" s="433">
        <v>2</v>
      </c>
      <c r="E22" s="207" t="s">
        <v>1766</v>
      </c>
      <c r="F22" s="1178" t="s">
        <v>4353</v>
      </c>
      <c r="G22" s="1056" t="s">
        <v>4306</v>
      </c>
      <c r="H22" s="433" t="s">
        <v>3478</v>
      </c>
      <c r="I22" s="111">
        <v>134.21496000000002</v>
      </c>
      <c r="J22" s="111">
        <v>268.42992000000004</v>
      </c>
      <c r="K22" s="110"/>
      <c r="L22" s="110"/>
      <c r="M22" s="110"/>
      <c r="N22" s="110"/>
      <c r="O22" s="110"/>
      <c r="P22" s="110"/>
      <c r="Q22" s="433">
        <v>1</v>
      </c>
      <c r="R22" s="111">
        <v>89.476640000000017</v>
      </c>
      <c r="S22" s="110"/>
      <c r="T22" s="110"/>
      <c r="U22" s="110"/>
      <c r="V22" s="110"/>
      <c r="W22" s="433">
        <v>1</v>
      </c>
      <c r="X22" s="111">
        <v>89.476640000000017</v>
      </c>
      <c r="Y22" s="110"/>
      <c r="Z22" s="110"/>
      <c r="AA22" s="110"/>
      <c r="AB22" s="110"/>
      <c r="AC22" s="433">
        <v>0</v>
      </c>
      <c r="AD22" s="111">
        <v>89.476640000000017</v>
      </c>
      <c r="AE22" s="110"/>
      <c r="AF22" s="110"/>
      <c r="AG22" s="110"/>
      <c r="AH22" s="1048"/>
    </row>
    <row r="23" spans="1:34" ht="45" x14ac:dyDescent="0.25">
      <c r="A23" s="1047"/>
      <c r="B23" s="110" t="s">
        <v>3489</v>
      </c>
      <c r="C23" s="110"/>
      <c r="D23" s="433">
        <v>224</v>
      </c>
      <c r="E23" s="207" t="s">
        <v>1766</v>
      </c>
      <c r="F23" s="1178" t="s">
        <v>4353</v>
      </c>
      <c r="G23" s="1056" t="s">
        <v>4306</v>
      </c>
      <c r="H23" s="433" t="s">
        <v>3478</v>
      </c>
      <c r="I23" s="111">
        <v>7.4501005357142862</v>
      </c>
      <c r="J23" s="111">
        <v>1668.8225200000002</v>
      </c>
      <c r="K23" s="110"/>
      <c r="L23" s="110"/>
      <c r="M23" s="110"/>
      <c r="N23" s="110"/>
      <c r="O23" s="110"/>
      <c r="P23" s="110"/>
      <c r="Q23" s="433">
        <v>124</v>
      </c>
      <c r="R23" s="111">
        <v>556.27417333333335</v>
      </c>
      <c r="S23" s="110"/>
      <c r="T23" s="110"/>
      <c r="U23" s="110"/>
      <c r="V23" s="110"/>
      <c r="W23" s="433">
        <v>50</v>
      </c>
      <c r="X23" s="111">
        <v>556.27417333333335</v>
      </c>
      <c r="Y23" s="110"/>
      <c r="Z23" s="110"/>
      <c r="AA23" s="110"/>
      <c r="AB23" s="110"/>
      <c r="AC23" s="433">
        <v>50</v>
      </c>
      <c r="AD23" s="111">
        <v>556.27417333333335</v>
      </c>
      <c r="AE23" s="110"/>
      <c r="AF23" s="110"/>
      <c r="AG23" s="110"/>
      <c r="AH23" s="1048"/>
    </row>
    <row r="24" spans="1:34" ht="45" x14ac:dyDescent="0.25">
      <c r="A24" s="1047"/>
      <c r="B24" s="110" t="s">
        <v>3490</v>
      </c>
      <c r="C24" s="110"/>
      <c r="D24" s="433">
        <v>30</v>
      </c>
      <c r="E24" s="207" t="s">
        <v>1766</v>
      </c>
      <c r="F24" s="1178" t="s">
        <v>4353</v>
      </c>
      <c r="G24" s="1056" t="s">
        <v>4306</v>
      </c>
      <c r="H24" s="433" t="s">
        <v>3478</v>
      </c>
      <c r="I24" s="111">
        <v>35.934028000000005</v>
      </c>
      <c r="J24" s="111">
        <v>1078.0208400000001</v>
      </c>
      <c r="K24" s="110"/>
      <c r="L24" s="110"/>
      <c r="M24" s="110"/>
      <c r="N24" s="110"/>
      <c r="O24" s="110"/>
      <c r="P24" s="110"/>
      <c r="Q24" s="433">
        <v>15</v>
      </c>
      <c r="R24" s="111">
        <v>359.34028000000006</v>
      </c>
      <c r="S24" s="110"/>
      <c r="T24" s="110"/>
      <c r="U24" s="110"/>
      <c r="V24" s="110"/>
      <c r="W24" s="433">
        <v>8</v>
      </c>
      <c r="X24" s="111">
        <v>359.34028000000006</v>
      </c>
      <c r="Y24" s="110"/>
      <c r="Z24" s="110"/>
      <c r="AA24" s="110"/>
      <c r="AB24" s="110"/>
      <c r="AC24" s="433">
        <v>7</v>
      </c>
      <c r="AD24" s="111">
        <v>359.34028000000006</v>
      </c>
      <c r="AE24" s="110"/>
      <c r="AF24" s="110"/>
      <c r="AG24" s="110"/>
      <c r="AH24" s="1048"/>
    </row>
    <row r="25" spans="1:34" ht="45" x14ac:dyDescent="0.25">
      <c r="A25" s="1047"/>
      <c r="B25" s="110" t="s">
        <v>3491</v>
      </c>
      <c r="C25" s="110"/>
      <c r="D25" s="433">
        <v>35</v>
      </c>
      <c r="E25" s="207" t="s">
        <v>1766</v>
      </c>
      <c r="F25" s="1178" t="s">
        <v>4353</v>
      </c>
      <c r="G25" s="1056" t="s">
        <v>4306</v>
      </c>
      <c r="H25" s="433" t="s">
        <v>3478</v>
      </c>
      <c r="I25" s="111">
        <v>51.678933942857135</v>
      </c>
      <c r="J25" s="111">
        <v>1808.7626879999998</v>
      </c>
      <c r="K25" s="110"/>
      <c r="L25" s="110"/>
      <c r="M25" s="110"/>
      <c r="N25" s="110"/>
      <c r="O25" s="110"/>
      <c r="P25" s="110"/>
      <c r="Q25" s="433">
        <v>19</v>
      </c>
      <c r="R25" s="111">
        <v>602.92089599999997</v>
      </c>
      <c r="S25" s="110"/>
      <c r="T25" s="110"/>
      <c r="U25" s="110"/>
      <c r="V25" s="110"/>
      <c r="W25" s="433">
        <v>8</v>
      </c>
      <c r="X25" s="111">
        <v>602.92089599999997</v>
      </c>
      <c r="Y25" s="110"/>
      <c r="Z25" s="110"/>
      <c r="AA25" s="110"/>
      <c r="AB25" s="110"/>
      <c r="AC25" s="433">
        <v>8</v>
      </c>
      <c r="AD25" s="111">
        <v>602.92089599999997</v>
      </c>
      <c r="AE25" s="110"/>
      <c r="AF25" s="110"/>
      <c r="AG25" s="110"/>
      <c r="AH25" s="1048"/>
    </row>
    <row r="26" spans="1:34" ht="45" x14ac:dyDescent="0.25">
      <c r="A26" s="1047"/>
      <c r="B26" s="110" t="s">
        <v>3492</v>
      </c>
      <c r="C26" s="110"/>
      <c r="D26" s="433">
        <v>6</v>
      </c>
      <c r="E26" s="207" t="s">
        <v>1772</v>
      </c>
      <c r="F26" s="1178" t="s">
        <v>4353</v>
      </c>
      <c r="G26" s="1056" t="s">
        <v>4306</v>
      </c>
      <c r="H26" s="433" t="s">
        <v>3478</v>
      </c>
      <c r="I26" s="111">
        <v>26.818000000000001</v>
      </c>
      <c r="J26" s="111">
        <v>160.90800000000002</v>
      </c>
      <c r="K26" s="110"/>
      <c r="L26" s="110"/>
      <c r="M26" s="110"/>
      <c r="N26" s="110"/>
      <c r="O26" s="110"/>
      <c r="P26" s="110"/>
      <c r="Q26" s="433">
        <v>2</v>
      </c>
      <c r="R26" s="111">
        <v>53.636000000000003</v>
      </c>
      <c r="S26" s="110"/>
      <c r="T26" s="110"/>
      <c r="U26" s="110"/>
      <c r="V26" s="110"/>
      <c r="W26" s="433">
        <v>2</v>
      </c>
      <c r="X26" s="111">
        <v>53.636000000000003</v>
      </c>
      <c r="Y26" s="110"/>
      <c r="Z26" s="110"/>
      <c r="AA26" s="110"/>
      <c r="AB26" s="110"/>
      <c r="AC26" s="433">
        <v>2</v>
      </c>
      <c r="AD26" s="111">
        <v>53.636000000000003</v>
      </c>
      <c r="AE26" s="110"/>
      <c r="AF26" s="110"/>
      <c r="AG26" s="110"/>
      <c r="AH26" s="1048"/>
    </row>
    <row r="27" spans="1:34" ht="45" x14ac:dyDescent="0.25">
      <c r="A27" s="1047"/>
      <c r="B27" s="110" t="s">
        <v>2038</v>
      </c>
      <c r="C27" s="110"/>
      <c r="D27" s="433">
        <v>2</v>
      </c>
      <c r="E27" s="207" t="s">
        <v>1767</v>
      </c>
      <c r="F27" s="1178" t="s">
        <v>4353</v>
      </c>
      <c r="G27" s="1056" t="s">
        <v>4306</v>
      </c>
      <c r="H27" s="433" t="s">
        <v>3478</v>
      </c>
      <c r="I27" s="111">
        <v>280</v>
      </c>
      <c r="J27" s="111">
        <v>560</v>
      </c>
      <c r="K27" s="110"/>
      <c r="L27" s="110"/>
      <c r="M27" s="110"/>
      <c r="N27" s="110"/>
      <c r="O27" s="110"/>
      <c r="P27" s="110"/>
      <c r="Q27" s="433">
        <v>1</v>
      </c>
      <c r="R27" s="111">
        <v>186.66666666666666</v>
      </c>
      <c r="S27" s="110"/>
      <c r="T27" s="110"/>
      <c r="U27" s="110"/>
      <c r="V27" s="110"/>
      <c r="W27" s="433">
        <v>1</v>
      </c>
      <c r="X27" s="111">
        <v>186.66666666666666</v>
      </c>
      <c r="Y27" s="110"/>
      <c r="Z27" s="110"/>
      <c r="AA27" s="110"/>
      <c r="AB27" s="110"/>
      <c r="AC27" s="433">
        <v>0</v>
      </c>
      <c r="AD27" s="111">
        <v>186.66666666666666</v>
      </c>
      <c r="AE27" s="110"/>
      <c r="AF27" s="110"/>
      <c r="AG27" s="110"/>
      <c r="AH27" s="1048"/>
    </row>
    <row r="28" spans="1:34" ht="45" x14ac:dyDescent="0.25">
      <c r="A28" s="1047"/>
      <c r="B28" s="110" t="s">
        <v>57</v>
      </c>
      <c r="C28" s="110"/>
      <c r="D28" s="433">
        <v>21</v>
      </c>
      <c r="E28" s="207" t="s">
        <v>1766</v>
      </c>
      <c r="F28" s="1178" t="s">
        <v>4353</v>
      </c>
      <c r="G28" s="1056" t="s">
        <v>4306</v>
      </c>
      <c r="H28" s="433" t="s">
        <v>3478</v>
      </c>
      <c r="I28" s="111">
        <v>29.910788571428572</v>
      </c>
      <c r="J28" s="111">
        <v>628.12656000000004</v>
      </c>
      <c r="K28" s="110"/>
      <c r="L28" s="110"/>
      <c r="M28" s="110"/>
      <c r="N28" s="110"/>
      <c r="O28" s="110"/>
      <c r="P28" s="110"/>
      <c r="Q28" s="433">
        <v>10</v>
      </c>
      <c r="R28" s="111">
        <v>209.37552000000002</v>
      </c>
      <c r="S28" s="110"/>
      <c r="T28" s="110"/>
      <c r="U28" s="110"/>
      <c r="V28" s="110"/>
      <c r="W28" s="433">
        <v>6</v>
      </c>
      <c r="X28" s="111">
        <v>209.37552000000002</v>
      </c>
      <c r="Y28" s="110"/>
      <c r="Z28" s="110"/>
      <c r="AA28" s="110"/>
      <c r="AB28" s="110"/>
      <c r="AC28" s="433">
        <v>5</v>
      </c>
      <c r="AD28" s="111">
        <v>209.37552000000002</v>
      </c>
      <c r="AE28" s="110"/>
      <c r="AF28" s="110"/>
      <c r="AG28" s="110"/>
      <c r="AH28" s="1048"/>
    </row>
    <row r="29" spans="1:34" ht="45" x14ac:dyDescent="0.25">
      <c r="A29" s="1047"/>
      <c r="B29" s="110" t="s">
        <v>125</v>
      </c>
      <c r="C29" s="110"/>
      <c r="D29" s="433">
        <v>35</v>
      </c>
      <c r="E29" s="207" t="s">
        <v>1767</v>
      </c>
      <c r="F29" s="1178" t="s">
        <v>4353</v>
      </c>
      <c r="G29" s="1056" t="s">
        <v>4306</v>
      </c>
      <c r="H29" s="433" t="s">
        <v>3478</v>
      </c>
      <c r="I29" s="111">
        <v>92.917714285714283</v>
      </c>
      <c r="J29" s="111">
        <v>3252.12</v>
      </c>
      <c r="K29" s="110"/>
      <c r="L29" s="110"/>
      <c r="M29" s="110"/>
      <c r="N29" s="110"/>
      <c r="O29" s="110"/>
      <c r="P29" s="110"/>
      <c r="Q29" s="433">
        <v>19</v>
      </c>
      <c r="R29" s="111">
        <v>1084.04</v>
      </c>
      <c r="S29" s="110"/>
      <c r="T29" s="110"/>
      <c r="U29" s="110"/>
      <c r="V29" s="110"/>
      <c r="W29" s="433">
        <v>8</v>
      </c>
      <c r="X29" s="111">
        <v>1084.04</v>
      </c>
      <c r="Y29" s="110"/>
      <c r="Z29" s="110"/>
      <c r="AA29" s="110"/>
      <c r="AB29" s="110"/>
      <c r="AC29" s="433">
        <v>8</v>
      </c>
      <c r="AD29" s="111">
        <v>1084.04</v>
      </c>
      <c r="AE29" s="110"/>
      <c r="AF29" s="110"/>
      <c r="AG29" s="110"/>
      <c r="AH29" s="1048"/>
    </row>
    <row r="30" spans="1:34" ht="45" x14ac:dyDescent="0.25">
      <c r="A30" s="1047"/>
      <c r="B30" s="110" t="s">
        <v>126</v>
      </c>
      <c r="C30" s="110"/>
      <c r="D30" s="433">
        <v>30</v>
      </c>
      <c r="E30" s="207" t="s">
        <v>1767</v>
      </c>
      <c r="F30" s="1178" t="s">
        <v>4353</v>
      </c>
      <c r="G30" s="1056" t="s">
        <v>4306</v>
      </c>
      <c r="H30" s="433" t="s">
        <v>3478</v>
      </c>
      <c r="I30" s="111">
        <v>87.24</v>
      </c>
      <c r="J30" s="111">
        <v>2617.1999999999998</v>
      </c>
      <c r="K30" s="110"/>
      <c r="L30" s="110"/>
      <c r="M30" s="110"/>
      <c r="N30" s="110"/>
      <c r="O30" s="110"/>
      <c r="P30" s="110"/>
      <c r="Q30" s="433">
        <v>15</v>
      </c>
      <c r="R30" s="111">
        <v>872.4</v>
      </c>
      <c r="S30" s="110"/>
      <c r="T30" s="110"/>
      <c r="U30" s="110"/>
      <c r="V30" s="110"/>
      <c r="W30" s="433">
        <v>8</v>
      </c>
      <c r="X30" s="111">
        <v>872.4</v>
      </c>
      <c r="Y30" s="110"/>
      <c r="Z30" s="110"/>
      <c r="AA30" s="110"/>
      <c r="AB30" s="110"/>
      <c r="AC30" s="433">
        <v>7</v>
      </c>
      <c r="AD30" s="111">
        <v>872.4</v>
      </c>
      <c r="AE30" s="110"/>
      <c r="AF30" s="110"/>
      <c r="AG30" s="110"/>
      <c r="AH30" s="1048"/>
    </row>
    <row r="31" spans="1:34" ht="45" x14ac:dyDescent="0.25">
      <c r="A31" s="1047"/>
      <c r="B31" s="110" t="s">
        <v>95</v>
      </c>
      <c r="C31" s="110"/>
      <c r="D31" s="433">
        <v>23</v>
      </c>
      <c r="E31" s="207" t="s">
        <v>1767</v>
      </c>
      <c r="F31" s="1178" t="s">
        <v>4353</v>
      </c>
      <c r="G31" s="1056" t="s">
        <v>4306</v>
      </c>
      <c r="H31" s="433" t="s">
        <v>3478</v>
      </c>
      <c r="I31" s="111">
        <v>31.175617391304346</v>
      </c>
      <c r="J31" s="111">
        <v>717.03919999999994</v>
      </c>
      <c r="K31" s="110"/>
      <c r="L31" s="110"/>
      <c r="M31" s="110"/>
      <c r="N31" s="110"/>
      <c r="O31" s="110"/>
      <c r="P31" s="110"/>
      <c r="Q31" s="433">
        <v>10</v>
      </c>
      <c r="R31" s="111">
        <v>239.01306666666665</v>
      </c>
      <c r="S31" s="110"/>
      <c r="T31" s="110"/>
      <c r="U31" s="110"/>
      <c r="V31" s="110"/>
      <c r="W31" s="433">
        <v>7</v>
      </c>
      <c r="X31" s="111">
        <v>239.01306666666665</v>
      </c>
      <c r="Y31" s="110"/>
      <c r="Z31" s="110"/>
      <c r="AA31" s="110"/>
      <c r="AB31" s="110"/>
      <c r="AC31" s="433">
        <v>6</v>
      </c>
      <c r="AD31" s="111">
        <v>239.01306666666665</v>
      </c>
      <c r="AE31" s="110"/>
      <c r="AF31" s="110"/>
      <c r="AG31" s="110"/>
      <c r="AH31" s="1048"/>
    </row>
    <row r="32" spans="1:34" ht="45" x14ac:dyDescent="0.25">
      <c r="A32" s="1047"/>
      <c r="B32" s="110" t="s">
        <v>1745</v>
      </c>
      <c r="C32" s="110"/>
      <c r="D32" s="433">
        <v>2</v>
      </c>
      <c r="E32" s="207" t="s">
        <v>1767</v>
      </c>
      <c r="F32" s="1178" t="s">
        <v>4353</v>
      </c>
      <c r="G32" s="1056" t="s">
        <v>4306</v>
      </c>
      <c r="H32" s="433" t="s">
        <v>3478</v>
      </c>
      <c r="I32" s="111">
        <v>29.7</v>
      </c>
      <c r="J32" s="111">
        <v>59.4</v>
      </c>
      <c r="K32" s="110"/>
      <c r="L32" s="110"/>
      <c r="M32" s="110"/>
      <c r="N32" s="110"/>
      <c r="O32" s="110"/>
      <c r="P32" s="110"/>
      <c r="Q32" s="433">
        <v>1</v>
      </c>
      <c r="R32" s="111">
        <v>19.8</v>
      </c>
      <c r="S32" s="110"/>
      <c r="T32" s="110"/>
      <c r="U32" s="110"/>
      <c r="V32" s="110"/>
      <c r="W32" s="433">
        <v>1</v>
      </c>
      <c r="X32" s="111">
        <v>19.8</v>
      </c>
      <c r="Y32" s="110"/>
      <c r="Z32" s="110"/>
      <c r="AA32" s="110"/>
      <c r="AB32" s="110"/>
      <c r="AC32" s="433">
        <v>0</v>
      </c>
      <c r="AD32" s="111">
        <v>19.8</v>
      </c>
      <c r="AE32" s="110"/>
      <c r="AF32" s="110"/>
      <c r="AG32" s="110"/>
      <c r="AH32" s="1048"/>
    </row>
    <row r="33" spans="1:34" ht="45" x14ac:dyDescent="0.25">
      <c r="A33" s="1047"/>
      <c r="B33" s="110" t="s">
        <v>3493</v>
      </c>
      <c r="C33" s="110"/>
      <c r="D33" s="433">
        <v>2</v>
      </c>
      <c r="E33" s="207" t="s">
        <v>1767</v>
      </c>
      <c r="F33" s="1178" t="s">
        <v>4353</v>
      </c>
      <c r="G33" s="1056" t="s">
        <v>4306</v>
      </c>
      <c r="H33" s="433" t="s">
        <v>3478</v>
      </c>
      <c r="I33" s="111">
        <v>29.7</v>
      </c>
      <c r="J33" s="111">
        <v>59.4</v>
      </c>
      <c r="K33" s="110"/>
      <c r="L33" s="110"/>
      <c r="M33" s="110"/>
      <c r="N33" s="110"/>
      <c r="O33" s="110"/>
      <c r="P33" s="110"/>
      <c r="Q33" s="433">
        <v>1</v>
      </c>
      <c r="R33" s="111">
        <v>19.8</v>
      </c>
      <c r="S33" s="110"/>
      <c r="T33" s="110"/>
      <c r="U33" s="110"/>
      <c r="V33" s="110"/>
      <c r="W33" s="433">
        <v>1</v>
      </c>
      <c r="X33" s="111">
        <v>19.8</v>
      </c>
      <c r="Y33" s="110"/>
      <c r="Z33" s="110"/>
      <c r="AA33" s="110"/>
      <c r="AB33" s="110"/>
      <c r="AC33" s="433">
        <v>0</v>
      </c>
      <c r="AD33" s="111">
        <v>19.8</v>
      </c>
      <c r="AE33" s="110"/>
      <c r="AF33" s="110"/>
      <c r="AG33" s="110"/>
      <c r="AH33" s="1048"/>
    </row>
    <row r="34" spans="1:34" ht="45" x14ac:dyDescent="0.25">
      <c r="A34" s="1047"/>
      <c r="B34" s="110" t="s">
        <v>3494</v>
      </c>
      <c r="C34" s="110"/>
      <c r="D34" s="433">
        <v>6</v>
      </c>
      <c r="E34" s="207" t="s">
        <v>1767</v>
      </c>
      <c r="F34" s="1178" t="s">
        <v>4353</v>
      </c>
      <c r="G34" s="1056" t="s">
        <v>4306</v>
      </c>
      <c r="H34" s="433" t="s">
        <v>3478</v>
      </c>
      <c r="I34" s="111">
        <v>4.0999999999999996</v>
      </c>
      <c r="J34" s="111">
        <v>24.599999999999998</v>
      </c>
      <c r="K34" s="110"/>
      <c r="L34" s="110"/>
      <c r="M34" s="110"/>
      <c r="N34" s="110"/>
      <c r="O34" s="110"/>
      <c r="P34" s="110"/>
      <c r="Q34" s="433">
        <v>2</v>
      </c>
      <c r="R34" s="111">
        <v>8.1999999999999993</v>
      </c>
      <c r="S34" s="110"/>
      <c r="T34" s="110"/>
      <c r="U34" s="110"/>
      <c r="V34" s="110"/>
      <c r="W34" s="433">
        <v>2</v>
      </c>
      <c r="X34" s="111">
        <v>8.1999999999999993</v>
      </c>
      <c r="Y34" s="110"/>
      <c r="Z34" s="110"/>
      <c r="AA34" s="110"/>
      <c r="AB34" s="110"/>
      <c r="AC34" s="433">
        <v>2</v>
      </c>
      <c r="AD34" s="111">
        <v>8.1999999999999993</v>
      </c>
      <c r="AE34" s="110"/>
      <c r="AF34" s="110"/>
      <c r="AG34" s="110"/>
      <c r="AH34" s="1048"/>
    </row>
    <row r="35" spans="1:34" ht="45" x14ac:dyDescent="0.25">
      <c r="A35" s="1047"/>
      <c r="B35" s="110" t="s">
        <v>44</v>
      </c>
      <c r="C35" s="110"/>
      <c r="D35" s="433">
        <v>18</v>
      </c>
      <c r="E35" s="207" t="s">
        <v>1767</v>
      </c>
      <c r="F35" s="1178" t="s">
        <v>4353</v>
      </c>
      <c r="G35" s="1056" t="s">
        <v>4306</v>
      </c>
      <c r="H35" s="433" t="s">
        <v>3478</v>
      </c>
      <c r="I35" s="111">
        <v>24.078888888888887</v>
      </c>
      <c r="J35" s="111">
        <v>433.41999999999996</v>
      </c>
      <c r="K35" s="110"/>
      <c r="L35" s="110"/>
      <c r="M35" s="110"/>
      <c r="N35" s="110"/>
      <c r="O35" s="110"/>
      <c r="P35" s="110"/>
      <c r="Q35" s="433">
        <v>9</v>
      </c>
      <c r="R35" s="111">
        <v>144.47333333333333</v>
      </c>
      <c r="S35" s="110"/>
      <c r="T35" s="110"/>
      <c r="U35" s="110"/>
      <c r="V35" s="110"/>
      <c r="W35" s="433">
        <v>5</v>
      </c>
      <c r="X35" s="111">
        <v>144.47333333333333</v>
      </c>
      <c r="Y35" s="110"/>
      <c r="Z35" s="110"/>
      <c r="AA35" s="110"/>
      <c r="AB35" s="110"/>
      <c r="AC35" s="433">
        <v>4</v>
      </c>
      <c r="AD35" s="111">
        <v>144.47333333333333</v>
      </c>
      <c r="AE35" s="110"/>
      <c r="AF35" s="110"/>
      <c r="AG35" s="110"/>
      <c r="AH35" s="1048"/>
    </row>
    <row r="36" spans="1:34" ht="45" x14ac:dyDescent="0.25">
      <c r="A36" s="1047"/>
      <c r="B36" s="110" t="s">
        <v>65</v>
      </c>
      <c r="C36" s="110"/>
      <c r="D36" s="433">
        <v>1</v>
      </c>
      <c r="E36" s="207" t="s">
        <v>1767</v>
      </c>
      <c r="F36" s="1178" t="s">
        <v>4353</v>
      </c>
      <c r="G36" s="1056" t="s">
        <v>4306</v>
      </c>
      <c r="H36" s="433" t="s">
        <v>3478</v>
      </c>
      <c r="I36" s="111">
        <v>59.04</v>
      </c>
      <c r="J36" s="111">
        <v>59.04</v>
      </c>
      <c r="K36" s="110"/>
      <c r="L36" s="110"/>
      <c r="M36" s="110"/>
      <c r="N36" s="110"/>
      <c r="O36" s="110"/>
      <c r="P36" s="110"/>
      <c r="Q36" s="433">
        <v>1</v>
      </c>
      <c r="R36" s="111">
        <v>19.68</v>
      </c>
      <c r="S36" s="110"/>
      <c r="T36" s="110"/>
      <c r="U36" s="110"/>
      <c r="V36" s="110"/>
      <c r="W36" s="433">
        <v>0</v>
      </c>
      <c r="X36" s="111">
        <v>19.68</v>
      </c>
      <c r="Y36" s="110"/>
      <c r="Z36" s="110"/>
      <c r="AA36" s="110"/>
      <c r="AB36" s="110"/>
      <c r="AC36" s="433">
        <v>0</v>
      </c>
      <c r="AD36" s="111">
        <v>19.68</v>
      </c>
      <c r="AE36" s="110"/>
      <c r="AF36" s="110"/>
      <c r="AG36" s="110"/>
      <c r="AH36" s="1048"/>
    </row>
    <row r="37" spans="1:34" ht="45" x14ac:dyDescent="0.25">
      <c r="A37" s="1047"/>
      <c r="B37" s="110" t="s">
        <v>94</v>
      </c>
      <c r="C37" s="110"/>
      <c r="D37" s="433">
        <v>6</v>
      </c>
      <c r="E37" s="207" t="s">
        <v>1767</v>
      </c>
      <c r="F37" s="1178" t="s">
        <v>4353</v>
      </c>
      <c r="G37" s="1056" t="s">
        <v>4306</v>
      </c>
      <c r="H37" s="433" t="s">
        <v>3478</v>
      </c>
      <c r="I37" s="111">
        <v>85.54</v>
      </c>
      <c r="J37" s="111">
        <v>513.24</v>
      </c>
      <c r="K37" s="110"/>
      <c r="L37" s="110"/>
      <c r="M37" s="110"/>
      <c r="N37" s="110"/>
      <c r="O37" s="110"/>
      <c r="P37" s="110"/>
      <c r="Q37" s="433">
        <v>2</v>
      </c>
      <c r="R37" s="111">
        <v>171.08</v>
      </c>
      <c r="S37" s="110"/>
      <c r="T37" s="110"/>
      <c r="U37" s="110"/>
      <c r="V37" s="110"/>
      <c r="W37" s="433">
        <v>2</v>
      </c>
      <c r="X37" s="111">
        <v>171.08</v>
      </c>
      <c r="Y37" s="110"/>
      <c r="Z37" s="110"/>
      <c r="AA37" s="110"/>
      <c r="AB37" s="110"/>
      <c r="AC37" s="433">
        <v>2</v>
      </c>
      <c r="AD37" s="111">
        <v>171.08</v>
      </c>
      <c r="AE37" s="110"/>
      <c r="AF37" s="110"/>
      <c r="AG37" s="110"/>
      <c r="AH37" s="1048"/>
    </row>
    <row r="38" spans="1:34" ht="45" x14ac:dyDescent="0.25">
      <c r="A38" s="1047"/>
      <c r="B38" s="110" t="s">
        <v>1074</v>
      </c>
      <c r="C38" s="110"/>
      <c r="D38" s="433">
        <v>38</v>
      </c>
      <c r="E38" s="207" t="s">
        <v>1767</v>
      </c>
      <c r="F38" s="1178" t="s">
        <v>4353</v>
      </c>
      <c r="G38" s="1056" t="s">
        <v>4306</v>
      </c>
      <c r="H38" s="433" t="s">
        <v>3478</v>
      </c>
      <c r="I38" s="111">
        <v>91.7</v>
      </c>
      <c r="J38" s="111">
        <v>3484.6</v>
      </c>
      <c r="K38" s="110"/>
      <c r="L38" s="110"/>
      <c r="M38" s="110"/>
      <c r="N38" s="110"/>
      <c r="O38" s="110"/>
      <c r="P38" s="110"/>
      <c r="Q38" s="433">
        <v>22</v>
      </c>
      <c r="R38" s="111">
        <v>1161.5333333333333</v>
      </c>
      <c r="S38" s="110"/>
      <c r="T38" s="110"/>
      <c r="U38" s="110"/>
      <c r="V38" s="110"/>
      <c r="W38" s="433">
        <v>8</v>
      </c>
      <c r="X38" s="111">
        <v>1161.5333333333333</v>
      </c>
      <c r="Y38" s="110"/>
      <c r="Z38" s="110"/>
      <c r="AA38" s="110"/>
      <c r="AB38" s="110"/>
      <c r="AC38" s="433">
        <v>8</v>
      </c>
      <c r="AD38" s="111">
        <v>1161.5333333333333</v>
      </c>
      <c r="AE38" s="110"/>
      <c r="AF38" s="110"/>
      <c r="AG38" s="110"/>
      <c r="AH38" s="1048"/>
    </row>
    <row r="39" spans="1:34" ht="45" x14ac:dyDescent="0.25">
      <c r="A39" s="1047"/>
      <c r="B39" s="110" t="s">
        <v>25</v>
      </c>
      <c r="C39" s="110"/>
      <c r="D39" s="433">
        <v>27</v>
      </c>
      <c r="E39" s="207" t="s">
        <v>1766</v>
      </c>
      <c r="F39" s="1178" t="s">
        <v>4353</v>
      </c>
      <c r="G39" s="1056" t="s">
        <v>4306</v>
      </c>
      <c r="H39" s="433" t="s">
        <v>3478</v>
      </c>
      <c r="I39" s="111">
        <v>22.396417777777781</v>
      </c>
      <c r="J39" s="111">
        <v>604.70328000000006</v>
      </c>
      <c r="K39" s="110"/>
      <c r="L39" s="110"/>
      <c r="M39" s="110"/>
      <c r="N39" s="110"/>
      <c r="O39" s="110"/>
      <c r="P39" s="110"/>
      <c r="Q39" s="433">
        <v>14</v>
      </c>
      <c r="R39" s="111">
        <v>201.56776000000002</v>
      </c>
      <c r="S39" s="110"/>
      <c r="T39" s="110"/>
      <c r="U39" s="110"/>
      <c r="V39" s="110"/>
      <c r="W39" s="433">
        <v>8</v>
      </c>
      <c r="X39" s="111">
        <v>201.56776000000002</v>
      </c>
      <c r="Y39" s="110"/>
      <c r="Z39" s="110"/>
      <c r="AA39" s="110"/>
      <c r="AB39" s="110"/>
      <c r="AC39" s="433">
        <v>5</v>
      </c>
      <c r="AD39" s="111">
        <v>201.56776000000002</v>
      </c>
      <c r="AE39" s="110"/>
      <c r="AF39" s="110"/>
      <c r="AG39" s="110"/>
      <c r="AH39" s="1048"/>
    </row>
    <row r="40" spans="1:34" ht="45" x14ac:dyDescent="0.25">
      <c r="A40" s="1047"/>
      <c r="B40" s="110" t="s">
        <v>32</v>
      </c>
      <c r="C40" s="110"/>
      <c r="D40" s="433">
        <v>83</v>
      </c>
      <c r="E40" s="207" t="s">
        <v>1767</v>
      </c>
      <c r="F40" s="1178" t="s">
        <v>4353</v>
      </c>
      <c r="G40" s="1056" t="s">
        <v>4306</v>
      </c>
      <c r="H40" s="433" t="s">
        <v>3478</v>
      </c>
      <c r="I40" s="111">
        <v>18.331347469879521</v>
      </c>
      <c r="J40" s="111">
        <v>1521.5018400000001</v>
      </c>
      <c r="K40" s="110"/>
      <c r="L40" s="110"/>
      <c r="M40" s="110"/>
      <c r="N40" s="110"/>
      <c r="O40" s="110"/>
      <c r="P40" s="110"/>
      <c r="Q40" s="433">
        <v>40</v>
      </c>
      <c r="R40" s="111">
        <v>507.16728000000006</v>
      </c>
      <c r="S40" s="110"/>
      <c r="T40" s="110"/>
      <c r="U40" s="110"/>
      <c r="V40" s="110"/>
      <c r="W40" s="433">
        <v>20</v>
      </c>
      <c r="X40" s="111">
        <v>507.16728000000006</v>
      </c>
      <c r="Y40" s="110"/>
      <c r="Z40" s="110"/>
      <c r="AA40" s="110"/>
      <c r="AB40" s="110"/>
      <c r="AC40" s="433">
        <v>23</v>
      </c>
      <c r="AD40" s="111">
        <v>507.16728000000006</v>
      </c>
      <c r="AE40" s="110"/>
      <c r="AF40" s="110"/>
      <c r="AG40" s="110"/>
      <c r="AH40" s="1048"/>
    </row>
    <row r="41" spans="1:34" ht="45" x14ac:dyDescent="0.25">
      <c r="A41" s="1047"/>
      <c r="B41" s="110" t="s">
        <v>1714</v>
      </c>
      <c r="C41" s="110"/>
      <c r="D41" s="433">
        <v>35</v>
      </c>
      <c r="E41" s="207" t="s">
        <v>1766</v>
      </c>
      <c r="F41" s="1178" t="s">
        <v>4353</v>
      </c>
      <c r="G41" s="1056" t="s">
        <v>4306</v>
      </c>
      <c r="H41" s="433" t="s">
        <v>3478</v>
      </c>
      <c r="I41" s="111">
        <v>28.19633142857143</v>
      </c>
      <c r="J41" s="111">
        <v>986.87160000000006</v>
      </c>
      <c r="K41" s="110"/>
      <c r="L41" s="110"/>
      <c r="M41" s="110"/>
      <c r="N41" s="110"/>
      <c r="O41" s="110"/>
      <c r="P41" s="110"/>
      <c r="Q41" s="433">
        <v>19</v>
      </c>
      <c r="R41" s="111">
        <v>328.9572</v>
      </c>
      <c r="S41" s="110"/>
      <c r="T41" s="110"/>
      <c r="U41" s="110"/>
      <c r="V41" s="110"/>
      <c r="W41" s="433">
        <v>8</v>
      </c>
      <c r="X41" s="111">
        <v>328.9572</v>
      </c>
      <c r="Y41" s="110"/>
      <c r="Z41" s="110"/>
      <c r="AA41" s="110"/>
      <c r="AB41" s="110"/>
      <c r="AC41" s="433">
        <v>8</v>
      </c>
      <c r="AD41" s="111">
        <v>328.9572</v>
      </c>
      <c r="AE41" s="110"/>
      <c r="AF41" s="110"/>
      <c r="AG41" s="110"/>
      <c r="AH41" s="1048"/>
    </row>
    <row r="42" spans="1:34" ht="45" x14ac:dyDescent="0.25">
      <c r="A42" s="1047"/>
      <c r="B42" s="110" t="s">
        <v>48</v>
      </c>
      <c r="C42" s="110"/>
      <c r="D42" s="433">
        <v>21</v>
      </c>
      <c r="E42" s="207" t="s">
        <v>1766</v>
      </c>
      <c r="F42" s="1178" t="s">
        <v>4353</v>
      </c>
      <c r="G42" s="1056" t="s">
        <v>4306</v>
      </c>
      <c r="H42" s="433" t="s">
        <v>3478</v>
      </c>
      <c r="I42" s="111">
        <v>38.898514285714285</v>
      </c>
      <c r="J42" s="111">
        <v>816.86879999999996</v>
      </c>
      <c r="K42" s="110"/>
      <c r="L42" s="110"/>
      <c r="M42" s="110"/>
      <c r="N42" s="110"/>
      <c r="O42" s="110"/>
      <c r="P42" s="110"/>
      <c r="Q42" s="433">
        <v>10</v>
      </c>
      <c r="R42" s="111">
        <v>272.28960000000001</v>
      </c>
      <c r="S42" s="110"/>
      <c r="T42" s="110"/>
      <c r="U42" s="110"/>
      <c r="V42" s="110"/>
      <c r="W42" s="433">
        <v>6</v>
      </c>
      <c r="X42" s="111">
        <v>272.28960000000001</v>
      </c>
      <c r="Y42" s="110"/>
      <c r="Z42" s="110"/>
      <c r="AA42" s="110"/>
      <c r="AB42" s="110"/>
      <c r="AC42" s="433">
        <v>5</v>
      </c>
      <c r="AD42" s="111">
        <v>272.28960000000001</v>
      </c>
      <c r="AE42" s="110"/>
      <c r="AF42" s="110"/>
      <c r="AG42" s="110"/>
      <c r="AH42" s="1048"/>
    </row>
    <row r="43" spans="1:34" ht="45" x14ac:dyDescent="0.25">
      <c r="A43" s="1047"/>
      <c r="B43" s="110" t="s">
        <v>40</v>
      </c>
      <c r="C43" s="110"/>
      <c r="D43" s="433">
        <v>30</v>
      </c>
      <c r="E43" s="207" t="s">
        <v>1767</v>
      </c>
      <c r="F43" s="1178" t="s">
        <v>4353</v>
      </c>
      <c r="G43" s="1056" t="s">
        <v>4306</v>
      </c>
      <c r="H43" s="433" t="s">
        <v>3478</v>
      </c>
      <c r="I43" s="111">
        <v>16.352298666666666</v>
      </c>
      <c r="J43" s="111">
        <v>490.56896</v>
      </c>
      <c r="K43" s="110"/>
      <c r="L43" s="110"/>
      <c r="M43" s="110"/>
      <c r="N43" s="110"/>
      <c r="O43" s="110"/>
      <c r="P43" s="110"/>
      <c r="Q43" s="433">
        <v>15</v>
      </c>
      <c r="R43" s="111">
        <v>163.52298666666667</v>
      </c>
      <c r="S43" s="110"/>
      <c r="T43" s="110"/>
      <c r="U43" s="110"/>
      <c r="V43" s="110"/>
      <c r="W43" s="433">
        <v>8</v>
      </c>
      <c r="X43" s="111">
        <v>163.52298666666667</v>
      </c>
      <c r="Y43" s="110"/>
      <c r="Z43" s="110"/>
      <c r="AA43" s="110"/>
      <c r="AB43" s="110"/>
      <c r="AC43" s="433">
        <v>7</v>
      </c>
      <c r="AD43" s="111">
        <v>163.52298666666667</v>
      </c>
      <c r="AE43" s="110"/>
      <c r="AF43" s="110"/>
      <c r="AG43" s="110"/>
      <c r="AH43" s="1048"/>
    </row>
    <row r="44" spans="1:34" ht="45" x14ac:dyDescent="0.25">
      <c r="A44" s="1047"/>
      <c r="B44" s="1057" t="s">
        <v>51</v>
      </c>
      <c r="C44" s="110"/>
      <c r="D44" s="433">
        <v>8</v>
      </c>
      <c r="E44" s="207" t="s">
        <v>1767</v>
      </c>
      <c r="F44" s="1178" t="s">
        <v>4353</v>
      </c>
      <c r="G44" s="1056" t="s">
        <v>4306</v>
      </c>
      <c r="H44" s="433" t="s">
        <v>3478</v>
      </c>
      <c r="I44" s="111">
        <v>350.34500000000003</v>
      </c>
      <c r="J44" s="111">
        <v>2802.76</v>
      </c>
      <c r="K44" s="110"/>
      <c r="L44" s="110"/>
      <c r="M44" s="110"/>
      <c r="N44" s="110"/>
      <c r="O44" s="110"/>
      <c r="P44" s="110"/>
      <c r="Q44" s="433">
        <v>3</v>
      </c>
      <c r="R44" s="111">
        <v>934.25333333333344</v>
      </c>
      <c r="S44" s="110"/>
      <c r="T44" s="110"/>
      <c r="U44" s="110"/>
      <c r="V44" s="110"/>
      <c r="W44" s="433">
        <v>3</v>
      </c>
      <c r="X44" s="111">
        <v>934.25333333333344</v>
      </c>
      <c r="Y44" s="110"/>
      <c r="Z44" s="110"/>
      <c r="AA44" s="110"/>
      <c r="AB44" s="110"/>
      <c r="AC44" s="433">
        <v>2</v>
      </c>
      <c r="AD44" s="111">
        <v>934.25333333333344</v>
      </c>
      <c r="AE44" s="110"/>
      <c r="AF44" s="110"/>
      <c r="AG44" s="110"/>
      <c r="AH44" s="1048"/>
    </row>
    <row r="45" spans="1:34" ht="45" x14ac:dyDescent="0.25">
      <c r="A45" s="1047"/>
      <c r="B45" s="110" t="s">
        <v>1071</v>
      </c>
      <c r="C45" s="110"/>
      <c r="D45" s="433">
        <v>5</v>
      </c>
      <c r="E45" s="207" t="s">
        <v>1766</v>
      </c>
      <c r="F45" s="1178" t="s">
        <v>4353</v>
      </c>
      <c r="G45" s="1056" t="s">
        <v>4306</v>
      </c>
      <c r="H45" s="433" t="s">
        <v>3478</v>
      </c>
      <c r="I45" s="111">
        <v>33.103999999999999</v>
      </c>
      <c r="J45" s="111">
        <v>165.51999999999998</v>
      </c>
      <c r="K45" s="110"/>
      <c r="L45" s="110"/>
      <c r="M45" s="110"/>
      <c r="N45" s="110"/>
      <c r="O45" s="110"/>
      <c r="P45" s="110"/>
      <c r="Q45" s="433">
        <v>2</v>
      </c>
      <c r="R45" s="111">
        <v>55.173333333333325</v>
      </c>
      <c r="S45" s="110"/>
      <c r="T45" s="110"/>
      <c r="U45" s="110"/>
      <c r="V45" s="110"/>
      <c r="W45" s="433">
        <v>2</v>
      </c>
      <c r="X45" s="111">
        <v>55.173333333333325</v>
      </c>
      <c r="Y45" s="110"/>
      <c r="Z45" s="110"/>
      <c r="AA45" s="110"/>
      <c r="AB45" s="110"/>
      <c r="AC45" s="433">
        <v>1</v>
      </c>
      <c r="AD45" s="111">
        <v>55.173333333333325</v>
      </c>
      <c r="AE45" s="110"/>
      <c r="AF45" s="110"/>
      <c r="AG45" s="110"/>
      <c r="AH45" s="1048"/>
    </row>
    <row r="46" spans="1:34" ht="45" x14ac:dyDescent="0.25">
      <c r="A46" s="1047"/>
      <c r="B46" s="110" t="s">
        <v>92</v>
      </c>
      <c r="C46" s="110"/>
      <c r="D46" s="433">
        <v>26</v>
      </c>
      <c r="E46" s="207" t="s">
        <v>1772</v>
      </c>
      <c r="F46" s="1178" t="s">
        <v>4353</v>
      </c>
      <c r="G46" s="1056" t="s">
        <v>4306</v>
      </c>
      <c r="H46" s="433" t="s">
        <v>3478</v>
      </c>
      <c r="I46" s="111">
        <v>37.833230769230767</v>
      </c>
      <c r="J46" s="111">
        <v>983.66399999999999</v>
      </c>
      <c r="K46" s="110"/>
      <c r="L46" s="110"/>
      <c r="M46" s="110"/>
      <c r="N46" s="110"/>
      <c r="O46" s="110"/>
      <c r="P46" s="110"/>
      <c r="Q46" s="433">
        <v>13</v>
      </c>
      <c r="R46" s="111">
        <v>327.88799999999998</v>
      </c>
      <c r="S46" s="110"/>
      <c r="T46" s="110"/>
      <c r="U46" s="110"/>
      <c r="V46" s="110"/>
      <c r="W46" s="433">
        <v>7</v>
      </c>
      <c r="X46" s="111">
        <v>327.88799999999998</v>
      </c>
      <c r="Y46" s="110"/>
      <c r="Z46" s="110"/>
      <c r="AA46" s="110"/>
      <c r="AB46" s="110"/>
      <c r="AC46" s="433">
        <v>6</v>
      </c>
      <c r="AD46" s="111">
        <v>327.88799999999998</v>
      </c>
      <c r="AE46" s="110"/>
      <c r="AF46" s="110"/>
      <c r="AG46" s="110"/>
      <c r="AH46" s="1048"/>
    </row>
    <row r="47" spans="1:34" ht="45" x14ac:dyDescent="0.25">
      <c r="A47" s="1047"/>
      <c r="B47" s="110" t="s">
        <v>91</v>
      </c>
      <c r="C47" s="110"/>
      <c r="D47" s="433">
        <v>24</v>
      </c>
      <c r="E47" s="207" t="s">
        <v>1772</v>
      </c>
      <c r="F47" s="1178" t="s">
        <v>4353</v>
      </c>
      <c r="G47" s="1056" t="s">
        <v>4306</v>
      </c>
      <c r="H47" s="433" t="s">
        <v>3478</v>
      </c>
      <c r="I47" s="111">
        <v>19.007999999999999</v>
      </c>
      <c r="J47" s="111">
        <v>456.19200000000001</v>
      </c>
      <c r="K47" s="110"/>
      <c r="L47" s="110"/>
      <c r="M47" s="110"/>
      <c r="N47" s="110"/>
      <c r="O47" s="110"/>
      <c r="P47" s="110"/>
      <c r="Q47" s="433">
        <v>12</v>
      </c>
      <c r="R47" s="111">
        <v>152.06399999999999</v>
      </c>
      <c r="S47" s="110"/>
      <c r="T47" s="110"/>
      <c r="U47" s="110"/>
      <c r="V47" s="110"/>
      <c r="W47" s="433">
        <v>6</v>
      </c>
      <c r="X47" s="111">
        <v>152.06399999999999</v>
      </c>
      <c r="Y47" s="110"/>
      <c r="Z47" s="110"/>
      <c r="AA47" s="110"/>
      <c r="AB47" s="110"/>
      <c r="AC47" s="433">
        <v>6</v>
      </c>
      <c r="AD47" s="111">
        <v>152.06399999999999</v>
      </c>
      <c r="AE47" s="110"/>
      <c r="AF47" s="110"/>
      <c r="AG47" s="110"/>
      <c r="AH47" s="1048"/>
    </row>
    <row r="48" spans="1:34" ht="45" x14ac:dyDescent="0.25">
      <c r="A48" s="1047"/>
      <c r="B48" s="110" t="s">
        <v>3495</v>
      </c>
      <c r="C48" s="110"/>
      <c r="D48" s="433">
        <v>3</v>
      </c>
      <c r="E48" s="207" t="s">
        <v>1767</v>
      </c>
      <c r="F48" s="1178" t="s">
        <v>4353</v>
      </c>
      <c r="G48" s="1056" t="s">
        <v>4306</v>
      </c>
      <c r="H48" s="433" t="s">
        <v>3478</v>
      </c>
      <c r="I48" s="111">
        <v>57.813333333333333</v>
      </c>
      <c r="J48" s="111">
        <v>173.44</v>
      </c>
      <c r="K48" s="110"/>
      <c r="L48" s="110"/>
      <c r="M48" s="110"/>
      <c r="N48" s="110"/>
      <c r="O48" s="110"/>
      <c r="P48" s="110"/>
      <c r="Q48" s="433">
        <v>1</v>
      </c>
      <c r="R48" s="111">
        <v>57.813333333333333</v>
      </c>
      <c r="S48" s="110"/>
      <c r="T48" s="110"/>
      <c r="U48" s="110"/>
      <c r="V48" s="110"/>
      <c r="W48" s="433">
        <v>1</v>
      </c>
      <c r="X48" s="111">
        <v>57.813333333333333</v>
      </c>
      <c r="Y48" s="110"/>
      <c r="Z48" s="110"/>
      <c r="AA48" s="110"/>
      <c r="AB48" s="110"/>
      <c r="AC48" s="433">
        <v>1</v>
      </c>
      <c r="AD48" s="111">
        <v>57.813333333333333</v>
      </c>
      <c r="AE48" s="110"/>
      <c r="AF48" s="110"/>
      <c r="AG48" s="110"/>
      <c r="AH48" s="1048"/>
    </row>
    <row r="49" spans="1:34" ht="45" x14ac:dyDescent="0.25">
      <c r="A49" s="1047"/>
      <c r="B49" s="110" t="s">
        <v>3496</v>
      </c>
      <c r="C49" s="110"/>
      <c r="D49" s="433">
        <v>30</v>
      </c>
      <c r="E49" s="207" t="s">
        <v>1767</v>
      </c>
      <c r="F49" s="1178" t="s">
        <v>4353</v>
      </c>
      <c r="G49" s="1056" t="s">
        <v>4306</v>
      </c>
      <c r="H49" s="433" t="s">
        <v>3478</v>
      </c>
      <c r="I49" s="111">
        <v>86.745333333333321</v>
      </c>
      <c r="J49" s="111">
        <v>2602.3599999999997</v>
      </c>
      <c r="K49" s="110"/>
      <c r="L49" s="110"/>
      <c r="M49" s="110"/>
      <c r="N49" s="110"/>
      <c r="O49" s="110"/>
      <c r="P49" s="110"/>
      <c r="Q49" s="433">
        <v>15</v>
      </c>
      <c r="R49" s="111">
        <v>867.45333333333326</v>
      </c>
      <c r="S49" s="110"/>
      <c r="T49" s="110"/>
      <c r="U49" s="110"/>
      <c r="V49" s="110"/>
      <c r="W49" s="433">
        <v>8</v>
      </c>
      <c r="X49" s="111">
        <v>867.45333333333326</v>
      </c>
      <c r="Y49" s="110"/>
      <c r="Z49" s="110"/>
      <c r="AA49" s="110"/>
      <c r="AB49" s="110"/>
      <c r="AC49" s="433">
        <v>7</v>
      </c>
      <c r="AD49" s="111">
        <v>867.45333333333326</v>
      </c>
      <c r="AE49" s="110"/>
      <c r="AF49" s="110"/>
      <c r="AG49" s="110"/>
      <c r="AH49" s="1048"/>
    </row>
    <row r="50" spans="1:34" ht="45" x14ac:dyDescent="0.25">
      <c r="A50" s="1047"/>
      <c r="B50" s="110" t="s">
        <v>3497</v>
      </c>
      <c r="C50" s="110"/>
      <c r="D50" s="433">
        <v>9</v>
      </c>
      <c r="E50" s="207" t="s">
        <v>1767</v>
      </c>
      <c r="F50" s="1178" t="s">
        <v>4353</v>
      </c>
      <c r="G50" s="1056" t="s">
        <v>4306</v>
      </c>
      <c r="H50" s="433" t="s">
        <v>3478</v>
      </c>
      <c r="I50" s="111">
        <v>27.598755555555563</v>
      </c>
      <c r="J50" s="111">
        <v>248.38880000000006</v>
      </c>
      <c r="K50" s="110"/>
      <c r="L50" s="110"/>
      <c r="M50" s="110"/>
      <c r="N50" s="110"/>
      <c r="O50" s="110"/>
      <c r="P50" s="110"/>
      <c r="Q50" s="433">
        <v>4</v>
      </c>
      <c r="R50" s="111">
        <v>82.796266666666682</v>
      </c>
      <c r="S50" s="110"/>
      <c r="T50" s="110"/>
      <c r="U50" s="110"/>
      <c r="V50" s="110"/>
      <c r="W50" s="433">
        <v>3</v>
      </c>
      <c r="X50" s="111">
        <v>82.796266666666682</v>
      </c>
      <c r="Y50" s="110"/>
      <c r="Z50" s="110"/>
      <c r="AA50" s="110"/>
      <c r="AB50" s="110"/>
      <c r="AC50" s="433">
        <v>2</v>
      </c>
      <c r="AD50" s="111">
        <v>82.796266666666682</v>
      </c>
      <c r="AE50" s="110"/>
      <c r="AF50" s="110"/>
      <c r="AG50" s="110"/>
      <c r="AH50" s="1048"/>
    </row>
    <row r="51" spans="1:34" ht="45" x14ac:dyDescent="0.25">
      <c r="A51" s="1047"/>
      <c r="B51" s="110" t="s">
        <v>3498</v>
      </c>
      <c r="C51" s="110"/>
      <c r="D51" s="433">
        <v>6</v>
      </c>
      <c r="E51" s="207" t="s">
        <v>1767</v>
      </c>
      <c r="F51" s="1178" t="s">
        <v>4353</v>
      </c>
      <c r="G51" s="1056" t="s">
        <v>4306</v>
      </c>
      <c r="H51" s="433" t="s">
        <v>3478</v>
      </c>
      <c r="I51" s="111">
        <v>12.418306666666668</v>
      </c>
      <c r="J51" s="111">
        <v>74.509840000000011</v>
      </c>
      <c r="K51" s="110"/>
      <c r="L51" s="110"/>
      <c r="M51" s="110"/>
      <c r="N51" s="110"/>
      <c r="O51" s="110"/>
      <c r="P51" s="110"/>
      <c r="Q51" s="433">
        <v>2</v>
      </c>
      <c r="R51" s="111">
        <v>24.836613333333336</v>
      </c>
      <c r="S51" s="110"/>
      <c r="T51" s="110"/>
      <c r="U51" s="110"/>
      <c r="V51" s="110"/>
      <c r="W51" s="433">
        <v>2</v>
      </c>
      <c r="X51" s="111">
        <v>24.836613333333336</v>
      </c>
      <c r="Y51" s="110"/>
      <c r="Z51" s="110"/>
      <c r="AA51" s="110"/>
      <c r="AB51" s="110"/>
      <c r="AC51" s="433">
        <v>2</v>
      </c>
      <c r="AD51" s="111">
        <v>24.836613333333336</v>
      </c>
      <c r="AE51" s="110"/>
      <c r="AF51" s="110"/>
      <c r="AG51" s="110"/>
      <c r="AH51" s="1048"/>
    </row>
    <row r="52" spans="1:34" ht="45" x14ac:dyDescent="0.25">
      <c r="A52" s="1047"/>
      <c r="B52" s="110" t="s">
        <v>3499</v>
      </c>
      <c r="C52" s="110"/>
      <c r="D52" s="433">
        <v>4</v>
      </c>
      <c r="E52" s="207" t="s">
        <v>1767</v>
      </c>
      <c r="F52" s="1178" t="s">
        <v>4353</v>
      </c>
      <c r="G52" s="1056" t="s">
        <v>4306</v>
      </c>
      <c r="H52" s="433" t="s">
        <v>3478</v>
      </c>
      <c r="I52" s="111">
        <v>459</v>
      </c>
      <c r="J52" s="111">
        <v>1836</v>
      </c>
      <c r="K52" s="110"/>
      <c r="L52" s="110"/>
      <c r="M52" s="110"/>
      <c r="N52" s="110"/>
      <c r="O52" s="110"/>
      <c r="P52" s="110"/>
      <c r="Q52" s="433">
        <v>2</v>
      </c>
      <c r="R52" s="111">
        <v>612</v>
      </c>
      <c r="S52" s="110"/>
      <c r="T52" s="110"/>
      <c r="U52" s="110"/>
      <c r="V52" s="110"/>
      <c r="W52" s="433">
        <v>1</v>
      </c>
      <c r="X52" s="111">
        <v>612</v>
      </c>
      <c r="Y52" s="110"/>
      <c r="Z52" s="110"/>
      <c r="AA52" s="110"/>
      <c r="AB52" s="110"/>
      <c r="AC52" s="433">
        <v>1</v>
      </c>
      <c r="AD52" s="111">
        <v>612</v>
      </c>
      <c r="AE52" s="110"/>
      <c r="AF52" s="110"/>
      <c r="AG52" s="110"/>
      <c r="AH52" s="1048"/>
    </row>
    <row r="53" spans="1:34" ht="45" x14ac:dyDescent="0.25">
      <c r="A53" s="1047"/>
      <c r="B53" s="110" t="s">
        <v>23</v>
      </c>
      <c r="C53" s="110"/>
      <c r="D53" s="433">
        <v>50</v>
      </c>
      <c r="E53" s="207" t="s">
        <v>1767</v>
      </c>
      <c r="F53" s="1178" t="s">
        <v>4353</v>
      </c>
      <c r="G53" s="1056" t="s">
        <v>4306</v>
      </c>
      <c r="H53" s="433" t="s">
        <v>3478</v>
      </c>
      <c r="I53" s="111">
        <v>5.1231619839999993</v>
      </c>
      <c r="J53" s="111">
        <v>256.15809919999998</v>
      </c>
      <c r="K53" s="110"/>
      <c r="L53" s="110"/>
      <c r="M53" s="110"/>
      <c r="N53" s="110"/>
      <c r="O53" s="110"/>
      <c r="P53" s="110"/>
      <c r="Q53" s="433">
        <v>25</v>
      </c>
      <c r="R53" s="111">
        <v>85.386033066666656</v>
      </c>
      <c r="S53" s="110"/>
      <c r="T53" s="110"/>
      <c r="U53" s="110"/>
      <c r="V53" s="110"/>
      <c r="W53" s="433">
        <v>13</v>
      </c>
      <c r="X53" s="111">
        <v>85.386033066666656</v>
      </c>
      <c r="Y53" s="110"/>
      <c r="Z53" s="110"/>
      <c r="AA53" s="110"/>
      <c r="AB53" s="110"/>
      <c r="AC53" s="433">
        <v>12</v>
      </c>
      <c r="AD53" s="111">
        <v>85.386033066666656</v>
      </c>
      <c r="AE53" s="110"/>
      <c r="AF53" s="110"/>
      <c r="AG53" s="110"/>
      <c r="AH53" s="1048"/>
    </row>
    <row r="54" spans="1:34" ht="45" x14ac:dyDescent="0.25">
      <c r="A54" s="1047"/>
      <c r="B54" s="110" t="s">
        <v>81</v>
      </c>
      <c r="C54" s="110"/>
      <c r="D54" s="433">
        <v>13</v>
      </c>
      <c r="E54" s="207" t="s">
        <v>1767</v>
      </c>
      <c r="F54" s="1178" t="s">
        <v>4353</v>
      </c>
      <c r="G54" s="1056" t="s">
        <v>4306</v>
      </c>
      <c r="H54" s="433" t="s">
        <v>3478</v>
      </c>
      <c r="I54" s="111">
        <v>17.34</v>
      </c>
      <c r="J54" s="111">
        <v>225.42000000000002</v>
      </c>
      <c r="K54" s="110"/>
      <c r="L54" s="110"/>
      <c r="M54" s="110"/>
      <c r="N54" s="110"/>
      <c r="O54" s="110"/>
      <c r="P54" s="110"/>
      <c r="Q54" s="433">
        <v>6</v>
      </c>
      <c r="R54" s="111">
        <v>75.14</v>
      </c>
      <c r="S54" s="110"/>
      <c r="T54" s="110"/>
      <c r="U54" s="110"/>
      <c r="V54" s="110"/>
      <c r="W54" s="433">
        <v>4</v>
      </c>
      <c r="X54" s="111">
        <v>75.14</v>
      </c>
      <c r="Y54" s="110"/>
      <c r="Z54" s="110"/>
      <c r="AA54" s="110"/>
      <c r="AB54" s="110"/>
      <c r="AC54" s="433">
        <v>3</v>
      </c>
      <c r="AD54" s="111">
        <v>75.14</v>
      </c>
      <c r="AE54" s="110"/>
      <c r="AF54" s="110"/>
      <c r="AG54" s="110"/>
      <c r="AH54" s="1048"/>
    </row>
    <row r="55" spans="1:34" ht="45" x14ac:dyDescent="0.25">
      <c r="A55" s="1047"/>
      <c r="B55" s="110" t="s">
        <v>28</v>
      </c>
      <c r="C55" s="110"/>
      <c r="D55" s="433">
        <v>12</v>
      </c>
      <c r="E55" s="207" t="s">
        <v>1767</v>
      </c>
      <c r="F55" s="1178" t="s">
        <v>4353</v>
      </c>
      <c r="G55" s="1056" t="s">
        <v>4306</v>
      </c>
      <c r="H55" s="433" t="s">
        <v>3478</v>
      </c>
      <c r="I55" s="111">
        <v>109.79953333333333</v>
      </c>
      <c r="J55" s="111">
        <v>1317.5944</v>
      </c>
      <c r="K55" s="110"/>
      <c r="L55" s="110"/>
      <c r="M55" s="110"/>
      <c r="N55" s="110"/>
      <c r="O55" s="110"/>
      <c r="P55" s="110"/>
      <c r="Q55" s="433">
        <v>6</v>
      </c>
      <c r="R55" s="111">
        <v>439.19813333333332</v>
      </c>
      <c r="S55" s="110"/>
      <c r="T55" s="110"/>
      <c r="U55" s="110"/>
      <c r="V55" s="110"/>
      <c r="W55" s="433">
        <v>3</v>
      </c>
      <c r="X55" s="111">
        <v>439.19813333333332</v>
      </c>
      <c r="Y55" s="110"/>
      <c r="Z55" s="110"/>
      <c r="AA55" s="110"/>
      <c r="AB55" s="110"/>
      <c r="AC55" s="433">
        <v>3</v>
      </c>
      <c r="AD55" s="111">
        <v>439.19813333333332</v>
      </c>
      <c r="AE55" s="110"/>
      <c r="AF55" s="110"/>
      <c r="AG55" s="110"/>
      <c r="AH55" s="1048"/>
    </row>
    <row r="56" spans="1:34" ht="45" x14ac:dyDescent="0.25">
      <c r="A56" s="1047"/>
      <c r="B56" s="110" t="s">
        <v>3500</v>
      </c>
      <c r="C56" s="110"/>
      <c r="D56" s="433">
        <v>5</v>
      </c>
      <c r="E56" s="207" t="s">
        <v>1767</v>
      </c>
      <c r="F56" s="1178" t="s">
        <v>4353</v>
      </c>
      <c r="G56" s="1056" t="s">
        <v>4306</v>
      </c>
      <c r="H56" s="433" t="s">
        <v>3478</v>
      </c>
      <c r="I56" s="111">
        <v>15.279999999999998</v>
      </c>
      <c r="J56" s="111">
        <v>76.399999999999991</v>
      </c>
      <c r="K56" s="110"/>
      <c r="L56" s="110"/>
      <c r="M56" s="110"/>
      <c r="N56" s="110"/>
      <c r="O56" s="110"/>
      <c r="P56" s="110"/>
      <c r="Q56" s="433">
        <v>2</v>
      </c>
      <c r="R56" s="111">
        <v>25.466666666666665</v>
      </c>
      <c r="S56" s="110"/>
      <c r="T56" s="110"/>
      <c r="U56" s="110"/>
      <c r="V56" s="110"/>
      <c r="W56" s="433">
        <v>2</v>
      </c>
      <c r="X56" s="111">
        <v>25.466666666666665</v>
      </c>
      <c r="Y56" s="110"/>
      <c r="Z56" s="110"/>
      <c r="AA56" s="110"/>
      <c r="AB56" s="110"/>
      <c r="AC56" s="433">
        <v>1</v>
      </c>
      <c r="AD56" s="111">
        <v>25.466666666666665</v>
      </c>
      <c r="AE56" s="110"/>
      <c r="AF56" s="110"/>
      <c r="AG56" s="110"/>
      <c r="AH56" s="1048"/>
    </row>
    <row r="57" spans="1:34" ht="45" x14ac:dyDescent="0.25">
      <c r="A57" s="1047"/>
      <c r="B57" s="110" t="s">
        <v>3501</v>
      </c>
      <c r="C57" s="110"/>
      <c r="D57" s="433">
        <v>11</v>
      </c>
      <c r="E57" s="207" t="s">
        <v>1767</v>
      </c>
      <c r="F57" s="1178" t="s">
        <v>4353</v>
      </c>
      <c r="G57" s="1056" t="s">
        <v>4306</v>
      </c>
      <c r="H57" s="433" t="s">
        <v>3478</v>
      </c>
      <c r="I57" s="111">
        <v>20.55</v>
      </c>
      <c r="J57" s="111">
        <v>226.05</v>
      </c>
      <c r="K57" s="110"/>
      <c r="L57" s="110"/>
      <c r="M57" s="110"/>
      <c r="N57" s="110"/>
      <c r="O57" s="110"/>
      <c r="P57" s="110"/>
      <c r="Q57" s="433">
        <v>5</v>
      </c>
      <c r="R57" s="111">
        <v>75.350000000000009</v>
      </c>
      <c r="S57" s="110"/>
      <c r="T57" s="110"/>
      <c r="U57" s="110"/>
      <c r="V57" s="110"/>
      <c r="W57" s="433">
        <v>3</v>
      </c>
      <c r="X57" s="111">
        <v>75.350000000000009</v>
      </c>
      <c r="Y57" s="110"/>
      <c r="Z57" s="110"/>
      <c r="AA57" s="110"/>
      <c r="AB57" s="110"/>
      <c r="AC57" s="433">
        <v>3</v>
      </c>
      <c r="AD57" s="111">
        <v>75.350000000000009</v>
      </c>
      <c r="AE57" s="110"/>
      <c r="AF57" s="110"/>
      <c r="AG57" s="110"/>
      <c r="AH57" s="1048"/>
    </row>
    <row r="58" spans="1:34" ht="45" x14ac:dyDescent="0.25">
      <c r="A58" s="1047"/>
      <c r="B58" s="110" t="s">
        <v>3502</v>
      </c>
      <c r="C58" s="110"/>
      <c r="D58" s="433">
        <v>15</v>
      </c>
      <c r="E58" s="207" t="s">
        <v>1767</v>
      </c>
      <c r="F58" s="1178" t="s">
        <v>4353</v>
      </c>
      <c r="G58" s="1056" t="s">
        <v>4306</v>
      </c>
      <c r="H58" s="433" t="s">
        <v>3478</v>
      </c>
      <c r="I58" s="111">
        <v>20.55</v>
      </c>
      <c r="J58" s="111">
        <v>308.25</v>
      </c>
      <c r="K58" s="110"/>
      <c r="L58" s="110"/>
      <c r="M58" s="110"/>
      <c r="N58" s="110"/>
      <c r="O58" s="110"/>
      <c r="P58" s="110"/>
      <c r="Q58" s="433">
        <v>8</v>
      </c>
      <c r="R58" s="111">
        <v>102.75</v>
      </c>
      <c r="S58" s="110"/>
      <c r="T58" s="110"/>
      <c r="U58" s="110"/>
      <c r="V58" s="110"/>
      <c r="W58" s="433">
        <v>4</v>
      </c>
      <c r="X58" s="111">
        <v>102.75</v>
      </c>
      <c r="Y58" s="110"/>
      <c r="Z58" s="110"/>
      <c r="AA58" s="110"/>
      <c r="AB58" s="110"/>
      <c r="AC58" s="433">
        <v>3</v>
      </c>
      <c r="AD58" s="111">
        <v>102.75</v>
      </c>
      <c r="AE58" s="110"/>
      <c r="AF58" s="110"/>
      <c r="AG58" s="110"/>
      <c r="AH58" s="1048"/>
    </row>
    <row r="59" spans="1:34" ht="45" x14ac:dyDescent="0.25">
      <c r="A59" s="1047"/>
      <c r="B59" s="110" t="s">
        <v>3503</v>
      </c>
      <c r="C59" s="110"/>
      <c r="D59" s="433">
        <v>13</v>
      </c>
      <c r="E59" s="207" t="s">
        <v>1767</v>
      </c>
      <c r="F59" s="1178" t="s">
        <v>4353</v>
      </c>
      <c r="G59" s="1056" t="s">
        <v>4306</v>
      </c>
      <c r="H59" s="433" t="s">
        <v>3478</v>
      </c>
      <c r="I59" s="111">
        <v>26.73</v>
      </c>
      <c r="J59" s="111">
        <v>347.49</v>
      </c>
      <c r="K59" s="110"/>
      <c r="L59" s="110"/>
      <c r="M59" s="110"/>
      <c r="N59" s="110"/>
      <c r="O59" s="110"/>
      <c r="P59" s="110"/>
      <c r="Q59" s="433">
        <v>6</v>
      </c>
      <c r="R59" s="111">
        <v>115.83</v>
      </c>
      <c r="S59" s="110"/>
      <c r="T59" s="110"/>
      <c r="U59" s="110"/>
      <c r="V59" s="110"/>
      <c r="W59" s="433">
        <v>4</v>
      </c>
      <c r="X59" s="111">
        <v>115.83</v>
      </c>
      <c r="Y59" s="110"/>
      <c r="Z59" s="110"/>
      <c r="AA59" s="110"/>
      <c r="AB59" s="110"/>
      <c r="AC59" s="433">
        <v>3</v>
      </c>
      <c r="AD59" s="111">
        <v>115.83</v>
      </c>
      <c r="AE59" s="110"/>
      <c r="AF59" s="110"/>
      <c r="AG59" s="110"/>
      <c r="AH59" s="1048"/>
    </row>
    <row r="60" spans="1:34" ht="45" x14ac:dyDescent="0.25">
      <c r="A60" s="1047"/>
      <c r="B60" s="110" t="s">
        <v>31</v>
      </c>
      <c r="C60" s="110"/>
      <c r="D60" s="433">
        <v>15</v>
      </c>
      <c r="E60" s="207" t="s">
        <v>1767</v>
      </c>
      <c r="F60" s="1178" t="s">
        <v>4353</v>
      </c>
      <c r="G60" s="1056" t="s">
        <v>4306</v>
      </c>
      <c r="H60" s="433" t="s">
        <v>3478</v>
      </c>
      <c r="I60" s="111">
        <v>22.111306666666664</v>
      </c>
      <c r="J60" s="111">
        <v>331.66959999999995</v>
      </c>
      <c r="K60" s="110"/>
      <c r="L60" s="110"/>
      <c r="M60" s="110"/>
      <c r="N60" s="110"/>
      <c r="O60" s="110"/>
      <c r="P60" s="110"/>
      <c r="Q60" s="433">
        <v>8</v>
      </c>
      <c r="R60" s="111">
        <v>110.55653333333332</v>
      </c>
      <c r="S60" s="110"/>
      <c r="T60" s="110"/>
      <c r="U60" s="110"/>
      <c r="V60" s="110"/>
      <c r="W60" s="433">
        <v>4</v>
      </c>
      <c r="X60" s="111">
        <v>110.55653333333332</v>
      </c>
      <c r="Y60" s="110"/>
      <c r="Z60" s="110"/>
      <c r="AA60" s="110"/>
      <c r="AB60" s="110"/>
      <c r="AC60" s="433">
        <v>3</v>
      </c>
      <c r="AD60" s="111">
        <v>110.55653333333332</v>
      </c>
      <c r="AE60" s="110"/>
      <c r="AF60" s="110"/>
      <c r="AG60" s="110"/>
      <c r="AH60" s="1048"/>
    </row>
    <row r="61" spans="1:34" ht="45" x14ac:dyDescent="0.25">
      <c r="A61" s="1047"/>
      <c r="B61" s="110" t="s">
        <v>56</v>
      </c>
      <c r="C61" s="110"/>
      <c r="D61" s="433">
        <v>10</v>
      </c>
      <c r="E61" s="207" t="s">
        <v>1767</v>
      </c>
      <c r="F61" s="1178" t="s">
        <v>4353</v>
      </c>
      <c r="G61" s="1056" t="s">
        <v>4306</v>
      </c>
      <c r="H61" s="433" t="s">
        <v>3478</v>
      </c>
      <c r="I61" s="111">
        <v>10.57</v>
      </c>
      <c r="J61" s="111">
        <v>105.7</v>
      </c>
      <c r="K61" s="110"/>
      <c r="L61" s="110"/>
      <c r="M61" s="110"/>
      <c r="N61" s="110"/>
      <c r="O61" s="110"/>
      <c r="P61" s="110"/>
      <c r="Q61" s="433">
        <v>5</v>
      </c>
      <c r="R61" s="111">
        <v>35.233333333333334</v>
      </c>
      <c r="S61" s="110"/>
      <c r="T61" s="110"/>
      <c r="U61" s="110"/>
      <c r="V61" s="110"/>
      <c r="W61" s="433">
        <v>3</v>
      </c>
      <c r="X61" s="111">
        <v>35.233333333333334</v>
      </c>
      <c r="Y61" s="110"/>
      <c r="Z61" s="110"/>
      <c r="AA61" s="110"/>
      <c r="AB61" s="110"/>
      <c r="AC61" s="433">
        <v>2</v>
      </c>
      <c r="AD61" s="111">
        <v>35.233333333333334</v>
      </c>
      <c r="AE61" s="110"/>
      <c r="AF61" s="110"/>
      <c r="AG61" s="110"/>
      <c r="AH61" s="1048"/>
    </row>
    <row r="62" spans="1:34" ht="45" x14ac:dyDescent="0.25">
      <c r="A62" s="1047"/>
      <c r="B62" s="110" t="s">
        <v>1717</v>
      </c>
      <c r="C62" s="110"/>
      <c r="D62" s="433">
        <v>11</v>
      </c>
      <c r="E62" s="207" t="s">
        <v>1766</v>
      </c>
      <c r="F62" s="1178" t="s">
        <v>4353</v>
      </c>
      <c r="G62" s="1056" t="s">
        <v>4306</v>
      </c>
      <c r="H62" s="433" t="s">
        <v>3478</v>
      </c>
      <c r="I62" s="111">
        <v>68.347272727272724</v>
      </c>
      <c r="J62" s="111">
        <v>751.81999999999994</v>
      </c>
      <c r="K62" s="110"/>
      <c r="L62" s="110"/>
      <c r="M62" s="110"/>
      <c r="N62" s="110"/>
      <c r="O62" s="110"/>
      <c r="P62" s="110"/>
      <c r="Q62" s="433">
        <v>5</v>
      </c>
      <c r="R62" s="111">
        <v>250.60666666666665</v>
      </c>
      <c r="S62" s="110"/>
      <c r="T62" s="110"/>
      <c r="U62" s="110"/>
      <c r="V62" s="110"/>
      <c r="W62" s="433">
        <v>3</v>
      </c>
      <c r="X62" s="111">
        <v>250.60666666666665</v>
      </c>
      <c r="Y62" s="110"/>
      <c r="Z62" s="110"/>
      <c r="AA62" s="110"/>
      <c r="AB62" s="110"/>
      <c r="AC62" s="433">
        <v>3</v>
      </c>
      <c r="AD62" s="111">
        <v>250.60666666666665</v>
      </c>
      <c r="AE62" s="110"/>
      <c r="AF62" s="110"/>
      <c r="AG62" s="110"/>
      <c r="AH62" s="1048"/>
    </row>
    <row r="63" spans="1:34" ht="45" x14ac:dyDescent="0.25">
      <c r="A63" s="1047"/>
      <c r="B63" s="110" t="s">
        <v>75</v>
      </c>
      <c r="C63" s="110"/>
      <c r="D63" s="433">
        <v>16</v>
      </c>
      <c r="E63" s="207" t="s">
        <v>1767</v>
      </c>
      <c r="F63" s="1178" t="s">
        <v>4353</v>
      </c>
      <c r="G63" s="1056" t="s">
        <v>4306</v>
      </c>
      <c r="H63" s="433" t="s">
        <v>3478</v>
      </c>
      <c r="I63" s="111">
        <v>29.7</v>
      </c>
      <c r="J63" s="111">
        <v>475.2</v>
      </c>
      <c r="K63" s="110"/>
      <c r="L63" s="110"/>
      <c r="M63" s="110"/>
      <c r="N63" s="110"/>
      <c r="O63" s="110"/>
      <c r="P63" s="110"/>
      <c r="Q63" s="433">
        <v>8</v>
      </c>
      <c r="R63" s="111">
        <v>158.4</v>
      </c>
      <c r="S63" s="110"/>
      <c r="T63" s="110"/>
      <c r="U63" s="110"/>
      <c r="V63" s="110"/>
      <c r="W63" s="433">
        <v>6</v>
      </c>
      <c r="X63" s="111">
        <v>158.4</v>
      </c>
      <c r="Y63" s="110"/>
      <c r="Z63" s="110"/>
      <c r="AA63" s="110"/>
      <c r="AB63" s="110"/>
      <c r="AC63" s="433">
        <v>2</v>
      </c>
      <c r="AD63" s="111">
        <v>158.4</v>
      </c>
      <c r="AE63" s="110"/>
      <c r="AF63" s="110"/>
      <c r="AG63" s="110"/>
      <c r="AH63" s="1048"/>
    </row>
    <row r="64" spans="1:34" ht="45" x14ac:dyDescent="0.25">
      <c r="A64" s="1047"/>
      <c r="B64" s="110" t="s">
        <v>3504</v>
      </c>
      <c r="C64" s="110"/>
      <c r="D64" s="433">
        <v>6</v>
      </c>
      <c r="E64" s="207" t="s">
        <v>1767</v>
      </c>
      <c r="F64" s="1178" t="s">
        <v>4353</v>
      </c>
      <c r="G64" s="1056" t="s">
        <v>4306</v>
      </c>
      <c r="H64" s="433" t="s">
        <v>3478</v>
      </c>
      <c r="I64" s="111">
        <v>187.21098666666668</v>
      </c>
      <c r="J64" s="111">
        <v>1123.2659200000001</v>
      </c>
      <c r="K64" s="110"/>
      <c r="L64" s="110"/>
      <c r="M64" s="110"/>
      <c r="N64" s="110"/>
      <c r="O64" s="110"/>
      <c r="P64" s="110"/>
      <c r="Q64" s="433">
        <v>2</v>
      </c>
      <c r="R64" s="111">
        <v>374.42197333333337</v>
      </c>
      <c r="S64" s="110"/>
      <c r="T64" s="110"/>
      <c r="U64" s="110"/>
      <c r="V64" s="110"/>
      <c r="W64" s="433">
        <v>2</v>
      </c>
      <c r="X64" s="111">
        <v>374.42197333333337</v>
      </c>
      <c r="Y64" s="110"/>
      <c r="Z64" s="110"/>
      <c r="AA64" s="110"/>
      <c r="AB64" s="110"/>
      <c r="AC64" s="433">
        <v>2</v>
      </c>
      <c r="AD64" s="111">
        <v>374.42197333333337</v>
      </c>
      <c r="AE64" s="110"/>
      <c r="AF64" s="110"/>
      <c r="AG64" s="110"/>
      <c r="AH64" s="1048"/>
    </row>
    <row r="65" spans="1:34" ht="45" x14ac:dyDescent="0.25">
      <c r="A65" s="1047"/>
      <c r="B65" s="110" t="s">
        <v>3505</v>
      </c>
      <c r="C65" s="110"/>
      <c r="D65" s="433">
        <v>1</v>
      </c>
      <c r="E65" s="207" t="s">
        <v>1767</v>
      </c>
      <c r="F65" s="1178" t="s">
        <v>4353</v>
      </c>
      <c r="G65" s="1056" t="s">
        <v>4306</v>
      </c>
      <c r="H65" s="433" t="s">
        <v>3478</v>
      </c>
      <c r="I65" s="111">
        <v>987</v>
      </c>
      <c r="J65" s="111">
        <v>987</v>
      </c>
      <c r="K65" s="110"/>
      <c r="L65" s="110"/>
      <c r="M65" s="110"/>
      <c r="N65" s="110"/>
      <c r="O65" s="110"/>
      <c r="P65" s="110"/>
      <c r="Q65" s="433">
        <v>1</v>
      </c>
      <c r="R65" s="111">
        <v>329</v>
      </c>
      <c r="S65" s="110"/>
      <c r="T65" s="110"/>
      <c r="U65" s="110"/>
      <c r="V65" s="110"/>
      <c r="W65" s="433">
        <v>0</v>
      </c>
      <c r="X65" s="111">
        <v>329</v>
      </c>
      <c r="Y65" s="110"/>
      <c r="Z65" s="110"/>
      <c r="AA65" s="110"/>
      <c r="AB65" s="110"/>
      <c r="AC65" s="433">
        <v>0</v>
      </c>
      <c r="AD65" s="111">
        <v>329</v>
      </c>
      <c r="AE65" s="110"/>
      <c r="AF65" s="110"/>
      <c r="AG65" s="110"/>
      <c r="AH65" s="1048"/>
    </row>
    <row r="66" spans="1:34" ht="45" x14ac:dyDescent="0.25">
      <c r="A66" s="1047"/>
      <c r="B66" s="110" t="s">
        <v>63</v>
      </c>
      <c r="C66" s="110"/>
      <c r="D66" s="433">
        <v>20</v>
      </c>
      <c r="E66" s="207" t="s">
        <v>1767</v>
      </c>
      <c r="F66" s="1178" t="s">
        <v>4353</v>
      </c>
      <c r="G66" s="1056" t="s">
        <v>4306</v>
      </c>
      <c r="H66" s="433" t="s">
        <v>3478</v>
      </c>
      <c r="I66" s="111">
        <v>44.83</v>
      </c>
      <c r="J66" s="111">
        <v>896.59999999999991</v>
      </c>
      <c r="K66" s="110"/>
      <c r="L66" s="110"/>
      <c r="M66" s="110"/>
      <c r="N66" s="110"/>
      <c r="O66" s="110"/>
      <c r="P66" s="110"/>
      <c r="Q66" s="433">
        <v>10</v>
      </c>
      <c r="R66" s="111">
        <v>298.86666666666662</v>
      </c>
      <c r="S66" s="110"/>
      <c r="T66" s="110"/>
      <c r="U66" s="110"/>
      <c r="V66" s="110"/>
      <c r="W66" s="433">
        <v>5</v>
      </c>
      <c r="X66" s="111">
        <v>298.86666666666662</v>
      </c>
      <c r="Y66" s="110"/>
      <c r="Z66" s="110"/>
      <c r="AA66" s="110"/>
      <c r="AB66" s="110"/>
      <c r="AC66" s="433">
        <v>5</v>
      </c>
      <c r="AD66" s="111">
        <v>298.86666666666662</v>
      </c>
      <c r="AE66" s="110"/>
      <c r="AF66" s="110"/>
      <c r="AG66" s="110"/>
      <c r="AH66" s="1048"/>
    </row>
    <row r="67" spans="1:34" ht="45" x14ac:dyDescent="0.25">
      <c r="A67" s="1047"/>
      <c r="B67" s="110" t="s">
        <v>25</v>
      </c>
      <c r="C67" s="110"/>
      <c r="D67" s="433">
        <v>2</v>
      </c>
      <c r="E67" s="207" t="s">
        <v>1766</v>
      </c>
      <c r="F67" s="1178" t="s">
        <v>4353</v>
      </c>
      <c r="G67" s="1056" t="s">
        <v>4306</v>
      </c>
      <c r="H67" s="433" t="s">
        <v>3478</v>
      </c>
      <c r="I67" s="111">
        <v>45.476640000000017</v>
      </c>
      <c r="J67" s="111">
        <v>90.953280000000035</v>
      </c>
      <c r="K67" s="110"/>
      <c r="L67" s="110"/>
      <c r="M67" s="110"/>
      <c r="N67" s="110"/>
      <c r="O67" s="110"/>
      <c r="P67" s="110"/>
      <c r="Q67" s="433">
        <v>1</v>
      </c>
      <c r="R67" s="111">
        <v>30.31776000000001</v>
      </c>
      <c r="S67" s="110"/>
      <c r="T67" s="110"/>
      <c r="U67" s="110"/>
      <c r="V67" s="110"/>
      <c r="W67" s="433">
        <v>1</v>
      </c>
      <c r="X67" s="111">
        <v>30.31776000000001</v>
      </c>
      <c r="Y67" s="110"/>
      <c r="Z67" s="110"/>
      <c r="AA67" s="110"/>
      <c r="AB67" s="110"/>
      <c r="AC67" s="433">
        <v>0</v>
      </c>
      <c r="AD67" s="111">
        <v>30.31776000000001</v>
      </c>
      <c r="AE67" s="110"/>
      <c r="AF67" s="110"/>
      <c r="AG67" s="110"/>
      <c r="AH67" s="1048"/>
    </row>
    <row r="68" spans="1:34" ht="45" x14ac:dyDescent="0.25">
      <c r="A68" s="1047"/>
      <c r="B68" s="110" t="s">
        <v>45</v>
      </c>
      <c r="C68" s="110"/>
      <c r="D68" s="433">
        <v>19</v>
      </c>
      <c r="E68" s="207" t="s">
        <v>1766</v>
      </c>
      <c r="F68" s="1178" t="s">
        <v>4353</v>
      </c>
      <c r="G68" s="1056" t="s">
        <v>4306</v>
      </c>
      <c r="H68" s="433" t="s">
        <v>3478</v>
      </c>
      <c r="I68" s="111">
        <v>17.913684210526316</v>
      </c>
      <c r="J68" s="111">
        <v>340.36</v>
      </c>
      <c r="K68" s="110"/>
      <c r="L68" s="110"/>
      <c r="M68" s="110"/>
      <c r="N68" s="110"/>
      <c r="O68" s="110"/>
      <c r="P68" s="110"/>
      <c r="Q68" s="433">
        <v>9</v>
      </c>
      <c r="R68" s="111">
        <v>113.45333333333333</v>
      </c>
      <c r="S68" s="110"/>
      <c r="T68" s="110"/>
      <c r="U68" s="110"/>
      <c r="V68" s="110"/>
      <c r="W68" s="433">
        <v>6</v>
      </c>
      <c r="X68" s="111">
        <v>113.45333333333333</v>
      </c>
      <c r="Y68" s="110"/>
      <c r="Z68" s="110"/>
      <c r="AA68" s="110"/>
      <c r="AB68" s="110"/>
      <c r="AC68" s="433">
        <v>4</v>
      </c>
      <c r="AD68" s="111">
        <v>113.45333333333333</v>
      </c>
      <c r="AE68" s="110"/>
      <c r="AF68" s="110"/>
      <c r="AG68" s="110"/>
      <c r="AH68" s="1048"/>
    </row>
    <row r="69" spans="1:34" ht="45" x14ac:dyDescent="0.25">
      <c r="A69" s="1047"/>
      <c r="B69" s="110" t="s">
        <v>46</v>
      </c>
      <c r="C69" s="110"/>
      <c r="D69" s="433">
        <v>30</v>
      </c>
      <c r="E69" s="207" t="s">
        <v>1766</v>
      </c>
      <c r="F69" s="1178" t="s">
        <v>4353</v>
      </c>
      <c r="G69" s="1056" t="s">
        <v>4306</v>
      </c>
      <c r="H69" s="433" t="s">
        <v>3478</v>
      </c>
      <c r="I69" s="111">
        <v>29.971679999999999</v>
      </c>
      <c r="J69" s="111">
        <v>899.15039999999999</v>
      </c>
      <c r="K69" s="110"/>
      <c r="L69" s="110"/>
      <c r="M69" s="110"/>
      <c r="N69" s="110"/>
      <c r="O69" s="110"/>
      <c r="P69" s="110"/>
      <c r="Q69" s="433">
        <v>15</v>
      </c>
      <c r="R69" s="111">
        <v>299.71679999999998</v>
      </c>
      <c r="S69" s="110"/>
      <c r="T69" s="110"/>
      <c r="U69" s="110"/>
      <c r="V69" s="110"/>
      <c r="W69" s="433">
        <v>8</v>
      </c>
      <c r="X69" s="111">
        <v>299.71679999999998</v>
      </c>
      <c r="Y69" s="110"/>
      <c r="Z69" s="110"/>
      <c r="AA69" s="110"/>
      <c r="AB69" s="110"/>
      <c r="AC69" s="433">
        <v>7</v>
      </c>
      <c r="AD69" s="111">
        <v>299.71679999999998</v>
      </c>
      <c r="AE69" s="110"/>
      <c r="AF69" s="110"/>
      <c r="AG69" s="110"/>
      <c r="AH69" s="1048"/>
    </row>
    <row r="70" spans="1:34" ht="45" x14ac:dyDescent="0.25">
      <c r="A70" s="1047"/>
      <c r="B70" s="110" t="s">
        <v>70</v>
      </c>
      <c r="C70" s="110"/>
      <c r="D70" s="433">
        <v>39</v>
      </c>
      <c r="E70" s="207" t="s">
        <v>1766</v>
      </c>
      <c r="F70" s="1178" t="s">
        <v>4353</v>
      </c>
      <c r="G70" s="1056" t="s">
        <v>4306</v>
      </c>
      <c r="H70" s="433" t="s">
        <v>3478</v>
      </c>
      <c r="I70" s="111">
        <v>43.19822769230769</v>
      </c>
      <c r="J70" s="111">
        <v>1684.7308799999998</v>
      </c>
      <c r="K70" s="110"/>
      <c r="L70" s="110"/>
      <c r="M70" s="110"/>
      <c r="N70" s="110"/>
      <c r="O70" s="110"/>
      <c r="P70" s="110"/>
      <c r="Q70" s="433">
        <v>23</v>
      </c>
      <c r="R70" s="111">
        <v>561.57695999999999</v>
      </c>
      <c r="S70" s="110"/>
      <c r="T70" s="110"/>
      <c r="U70" s="110"/>
      <c r="V70" s="110"/>
      <c r="W70" s="433">
        <v>9</v>
      </c>
      <c r="X70" s="111">
        <v>561.57695999999999</v>
      </c>
      <c r="Y70" s="110"/>
      <c r="Z70" s="110"/>
      <c r="AA70" s="110"/>
      <c r="AB70" s="110"/>
      <c r="AC70" s="433">
        <v>7</v>
      </c>
      <c r="AD70" s="111">
        <v>561.57695999999999</v>
      </c>
      <c r="AE70" s="110"/>
      <c r="AF70" s="110"/>
      <c r="AG70" s="110"/>
      <c r="AH70" s="1048"/>
    </row>
    <row r="71" spans="1:34" ht="45" x14ac:dyDescent="0.25">
      <c r="A71" s="1047"/>
      <c r="B71" s="110" t="s">
        <v>73</v>
      </c>
      <c r="C71" s="110"/>
      <c r="D71" s="433">
        <v>34</v>
      </c>
      <c r="E71" s="207" t="s">
        <v>1766</v>
      </c>
      <c r="F71" s="1178" t="s">
        <v>4353</v>
      </c>
      <c r="G71" s="1056" t="s">
        <v>4306</v>
      </c>
      <c r="H71" s="433" t="s">
        <v>3478</v>
      </c>
      <c r="I71" s="111">
        <v>27.837933176470585</v>
      </c>
      <c r="J71" s="111">
        <v>946.4897279999999</v>
      </c>
      <c r="K71" s="110"/>
      <c r="L71" s="110"/>
      <c r="M71" s="110"/>
      <c r="N71" s="110"/>
      <c r="O71" s="110"/>
      <c r="P71" s="110"/>
      <c r="Q71" s="433">
        <v>18</v>
      </c>
      <c r="R71" s="111">
        <v>315.49657599999995</v>
      </c>
      <c r="S71" s="110"/>
      <c r="T71" s="110"/>
      <c r="U71" s="110"/>
      <c r="V71" s="110"/>
      <c r="W71" s="433">
        <v>8</v>
      </c>
      <c r="X71" s="111">
        <v>315.49657599999995</v>
      </c>
      <c r="Y71" s="110"/>
      <c r="Z71" s="110"/>
      <c r="AA71" s="110"/>
      <c r="AB71" s="110"/>
      <c r="AC71" s="433">
        <v>8</v>
      </c>
      <c r="AD71" s="111">
        <v>315.49657599999995</v>
      </c>
      <c r="AE71" s="110"/>
      <c r="AF71" s="110"/>
      <c r="AG71" s="110"/>
      <c r="AH71" s="1048"/>
    </row>
    <row r="72" spans="1:34" ht="45" x14ac:dyDescent="0.25">
      <c r="A72" s="1047"/>
      <c r="B72" s="110" t="s">
        <v>217</v>
      </c>
      <c r="C72" s="110"/>
      <c r="D72" s="433">
        <v>25</v>
      </c>
      <c r="E72" s="207" t="s">
        <v>1767</v>
      </c>
      <c r="F72" s="1178" t="s">
        <v>4353</v>
      </c>
      <c r="G72" s="1056" t="s">
        <v>4306</v>
      </c>
      <c r="H72" s="433" t="s">
        <v>3478</v>
      </c>
      <c r="I72" s="111">
        <v>25.713519680000001</v>
      </c>
      <c r="J72" s="111">
        <v>642.83799199999999</v>
      </c>
      <c r="K72" s="110"/>
      <c r="L72" s="110"/>
      <c r="M72" s="110"/>
      <c r="N72" s="110"/>
      <c r="O72" s="110"/>
      <c r="P72" s="110"/>
      <c r="Q72" s="433"/>
      <c r="R72" s="111">
        <v>214.27933066666665</v>
      </c>
      <c r="S72" s="110"/>
      <c r="T72" s="110"/>
      <c r="U72" s="110"/>
      <c r="V72" s="110"/>
      <c r="W72" s="433"/>
      <c r="X72" s="111">
        <v>214.27933066666665</v>
      </c>
      <c r="Y72" s="110"/>
      <c r="Z72" s="110"/>
      <c r="AA72" s="110"/>
      <c r="AB72" s="110"/>
      <c r="AC72" s="433"/>
      <c r="AD72" s="111">
        <v>214.27933066666665</v>
      </c>
      <c r="AE72" s="110"/>
      <c r="AF72" s="110"/>
      <c r="AG72" s="110"/>
      <c r="AH72" s="1048"/>
    </row>
    <row r="73" spans="1:34" ht="45" x14ac:dyDescent="0.25">
      <c r="A73" s="1047"/>
      <c r="B73" s="110" t="s">
        <v>1700</v>
      </c>
      <c r="C73" s="110"/>
      <c r="D73" s="433">
        <v>16</v>
      </c>
      <c r="E73" s="207" t="s">
        <v>1772</v>
      </c>
      <c r="F73" s="1178" t="s">
        <v>4353</v>
      </c>
      <c r="G73" s="1056" t="s">
        <v>4306</v>
      </c>
      <c r="H73" s="433" t="s">
        <v>3478</v>
      </c>
      <c r="I73" s="111">
        <v>65.485060000000004</v>
      </c>
      <c r="J73" s="111">
        <v>1047.7609600000001</v>
      </c>
      <c r="K73" s="110"/>
      <c r="L73" s="110"/>
      <c r="M73" s="110"/>
      <c r="N73" s="110"/>
      <c r="O73" s="110"/>
      <c r="P73" s="110"/>
      <c r="Q73" s="433">
        <v>8</v>
      </c>
      <c r="R73" s="111">
        <v>349.25365333333338</v>
      </c>
      <c r="S73" s="110"/>
      <c r="T73" s="110"/>
      <c r="U73" s="110"/>
      <c r="V73" s="110"/>
      <c r="W73" s="433">
        <v>6</v>
      </c>
      <c r="X73" s="111">
        <v>349.25365333333338</v>
      </c>
      <c r="Y73" s="110"/>
      <c r="Z73" s="110"/>
      <c r="AA73" s="110"/>
      <c r="AB73" s="110"/>
      <c r="AC73" s="433">
        <v>2</v>
      </c>
      <c r="AD73" s="111">
        <v>349.25365333333338</v>
      </c>
      <c r="AE73" s="110"/>
      <c r="AF73" s="110"/>
      <c r="AG73" s="110"/>
      <c r="AH73" s="1048"/>
    </row>
    <row r="74" spans="1:34" ht="45" x14ac:dyDescent="0.25">
      <c r="A74" s="1047"/>
      <c r="B74" s="110" t="s">
        <v>3506</v>
      </c>
      <c r="C74" s="110"/>
      <c r="D74" s="433">
        <v>13</v>
      </c>
      <c r="E74" s="207" t="s">
        <v>1767</v>
      </c>
      <c r="F74" s="1178" t="s">
        <v>4353</v>
      </c>
      <c r="G74" s="1056" t="s">
        <v>4306</v>
      </c>
      <c r="H74" s="433" t="s">
        <v>3478</v>
      </c>
      <c r="I74" s="111">
        <v>12.931501538461539</v>
      </c>
      <c r="J74" s="111">
        <v>168.10952</v>
      </c>
      <c r="K74" s="110"/>
      <c r="L74" s="110"/>
      <c r="M74" s="110"/>
      <c r="N74" s="110"/>
      <c r="O74" s="110"/>
      <c r="P74" s="110"/>
      <c r="Q74" s="433">
        <v>6</v>
      </c>
      <c r="R74" s="111">
        <v>56.036506666666668</v>
      </c>
      <c r="S74" s="110"/>
      <c r="T74" s="110"/>
      <c r="U74" s="110"/>
      <c r="V74" s="110"/>
      <c r="W74" s="433">
        <v>4</v>
      </c>
      <c r="X74" s="111">
        <v>56.036506666666668</v>
      </c>
      <c r="Y74" s="110"/>
      <c r="Z74" s="110"/>
      <c r="AA74" s="110"/>
      <c r="AB74" s="110"/>
      <c r="AC74" s="433">
        <v>3</v>
      </c>
      <c r="AD74" s="111">
        <v>56.036506666666668</v>
      </c>
      <c r="AE74" s="110"/>
      <c r="AF74" s="110"/>
      <c r="AG74" s="110"/>
      <c r="AH74" s="1048"/>
    </row>
    <row r="75" spans="1:34" ht="45" x14ac:dyDescent="0.25">
      <c r="A75" s="1047"/>
      <c r="B75" s="110" t="s">
        <v>3507</v>
      </c>
      <c r="C75" s="110"/>
      <c r="D75" s="433">
        <v>2</v>
      </c>
      <c r="E75" s="207" t="s">
        <v>1767</v>
      </c>
      <c r="F75" s="1178" t="s">
        <v>4353</v>
      </c>
      <c r="G75" s="1056" t="s">
        <v>4306</v>
      </c>
      <c r="H75" s="433" t="s">
        <v>3478</v>
      </c>
      <c r="I75" s="111">
        <v>38.586240000000004</v>
      </c>
      <c r="J75" s="111">
        <v>77.172480000000007</v>
      </c>
      <c r="K75" s="110"/>
      <c r="L75" s="110"/>
      <c r="M75" s="110"/>
      <c r="N75" s="110"/>
      <c r="O75" s="110"/>
      <c r="P75" s="110"/>
      <c r="Q75" s="433">
        <v>1</v>
      </c>
      <c r="R75" s="111">
        <v>25.724160000000001</v>
      </c>
      <c r="S75" s="110"/>
      <c r="T75" s="110"/>
      <c r="U75" s="110"/>
      <c r="V75" s="110"/>
      <c r="W75" s="433">
        <v>1</v>
      </c>
      <c r="X75" s="111">
        <v>25.724160000000001</v>
      </c>
      <c r="Y75" s="110"/>
      <c r="Z75" s="110"/>
      <c r="AA75" s="110"/>
      <c r="AB75" s="110"/>
      <c r="AC75" s="433">
        <v>0</v>
      </c>
      <c r="AD75" s="111">
        <v>25.724160000000001</v>
      </c>
      <c r="AE75" s="110"/>
      <c r="AF75" s="110"/>
      <c r="AG75" s="110"/>
      <c r="AH75" s="1048"/>
    </row>
    <row r="76" spans="1:34" ht="45" x14ac:dyDescent="0.25">
      <c r="A76" s="1047"/>
      <c r="B76" s="110" t="s">
        <v>74</v>
      </c>
      <c r="C76" s="110"/>
      <c r="D76" s="433">
        <v>4</v>
      </c>
      <c r="E76" s="207" t="s">
        <v>1772</v>
      </c>
      <c r="F76" s="1178" t="s">
        <v>4353</v>
      </c>
      <c r="G76" s="1056" t="s">
        <v>4306</v>
      </c>
      <c r="H76" s="433" t="s">
        <v>3478</v>
      </c>
      <c r="I76" s="111">
        <v>26.183520000000001</v>
      </c>
      <c r="J76" s="111">
        <v>104.73408000000001</v>
      </c>
      <c r="K76" s="110"/>
      <c r="L76" s="110"/>
      <c r="M76" s="110"/>
      <c r="N76" s="110"/>
      <c r="O76" s="110"/>
      <c r="P76" s="110"/>
      <c r="Q76" s="433">
        <v>2</v>
      </c>
      <c r="R76" s="111">
        <v>34.911360000000002</v>
      </c>
      <c r="S76" s="110"/>
      <c r="T76" s="110"/>
      <c r="U76" s="110"/>
      <c r="V76" s="110"/>
      <c r="W76" s="433">
        <v>1</v>
      </c>
      <c r="X76" s="111">
        <v>34.911360000000002</v>
      </c>
      <c r="Y76" s="110"/>
      <c r="Z76" s="110"/>
      <c r="AA76" s="110"/>
      <c r="AB76" s="110"/>
      <c r="AC76" s="433">
        <v>1</v>
      </c>
      <c r="AD76" s="111">
        <v>34.911360000000002</v>
      </c>
      <c r="AE76" s="110"/>
      <c r="AF76" s="110"/>
      <c r="AG76" s="110"/>
      <c r="AH76" s="1048"/>
    </row>
    <row r="77" spans="1:34" ht="45" x14ac:dyDescent="0.25">
      <c r="A77" s="1047"/>
      <c r="B77" s="110" t="s">
        <v>3508</v>
      </c>
      <c r="C77" s="110"/>
      <c r="D77" s="433">
        <v>4</v>
      </c>
      <c r="E77" s="207" t="s">
        <v>1767</v>
      </c>
      <c r="F77" s="1178" t="s">
        <v>4353</v>
      </c>
      <c r="G77" s="1056" t="s">
        <v>4306</v>
      </c>
      <c r="H77" s="433" t="s">
        <v>3478</v>
      </c>
      <c r="I77" s="111">
        <v>238</v>
      </c>
      <c r="J77" s="111">
        <v>952</v>
      </c>
      <c r="K77" s="110"/>
      <c r="L77" s="110"/>
      <c r="M77" s="110"/>
      <c r="N77" s="110"/>
      <c r="O77" s="110"/>
      <c r="P77" s="110"/>
      <c r="Q77" s="433">
        <v>2</v>
      </c>
      <c r="R77" s="111">
        <v>317.33333333333331</v>
      </c>
      <c r="S77" s="110"/>
      <c r="T77" s="110"/>
      <c r="U77" s="110"/>
      <c r="V77" s="110"/>
      <c r="W77" s="433">
        <v>1</v>
      </c>
      <c r="X77" s="111">
        <v>317.33333333333331</v>
      </c>
      <c r="Y77" s="110"/>
      <c r="Z77" s="110"/>
      <c r="AA77" s="110"/>
      <c r="AB77" s="110"/>
      <c r="AC77" s="433">
        <v>1</v>
      </c>
      <c r="AD77" s="111">
        <v>317.33333333333331</v>
      </c>
      <c r="AE77" s="110"/>
      <c r="AF77" s="110"/>
      <c r="AG77" s="110"/>
      <c r="AH77" s="1048"/>
    </row>
    <row r="78" spans="1:34" ht="45" x14ac:dyDescent="0.25">
      <c r="A78" s="1047"/>
      <c r="B78" s="110" t="s">
        <v>3509</v>
      </c>
      <c r="C78" s="110"/>
      <c r="D78" s="433">
        <v>8</v>
      </c>
      <c r="E78" s="207" t="s">
        <v>1767</v>
      </c>
      <c r="F78" s="1178" t="s">
        <v>4353</v>
      </c>
      <c r="G78" s="1056" t="s">
        <v>4306</v>
      </c>
      <c r="H78" s="433" t="s">
        <v>3478</v>
      </c>
      <c r="I78" s="111">
        <v>14.2125</v>
      </c>
      <c r="J78" s="111">
        <v>113.7</v>
      </c>
      <c r="K78" s="110"/>
      <c r="L78" s="110"/>
      <c r="M78" s="110"/>
      <c r="N78" s="110"/>
      <c r="O78" s="110"/>
      <c r="P78" s="110"/>
      <c r="Q78" s="433">
        <v>3</v>
      </c>
      <c r="R78" s="111">
        <v>37.9</v>
      </c>
      <c r="S78" s="110"/>
      <c r="T78" s="110"/>
      <c r="U78" s="110"/>
      <c r="V78" s="110"/>
      <c r="W78" s="433">
        <v>3</v>
      </c>
      <c r="X78" s="111">
        <v>37.9</v>
      </c>
      <c r="Y78" s="110"/>
      <c r="Z78" s="110"/>
      <c r="AA78" s="110"/>
      <c r="AB78" s="110"/>
      <c r="AC78" s="433">
        <v>2</v>
      </c>
      <c r="AD78" s="111">
        <v>37.9</v>
      </c>
      <c r="AE78" s="110"/>
      <c r="AF78" s="110"/>
      <c r="AG78" s="110"/>
      <c r="AH78" s="1048"/>
    </row>
    <row r="79" spans="1:34" ht="45" x14ac:dyDescent="0.25">
      <c r="A79" s="1047"/>
      <c r="B79" s="110" t="s">
        <v>3510</v>
      </c>
      <c r="C79" s="110"/>
      <c r="D79" s="433">
        <v>10</v>
      </c>
      <c r="E79" s="207" t="s">
        <v>1767</v>
      </c>
      <c r="F79" s="1178" t="s">
        <v>4353</v>
      </c>
      <c r="G79" s="1056" t="s">
        <v>4306</v>
      </c>
      <c r="H79" s="433" t="s">
        <v>3478</v>
      </c>
      <c r="I79" s="111">
        <v>15.680000000000001</v>
      </c>
      <c r="J79" s="111">
        <v>156.80000000000001</v>
      </c>
      <c r="K79" s="110"/>
      <c r="L79" s="110"/>
      <c r="M79" s="110"/>
      <c r="N79" s="110"/>
      <c r="O79" s="110"/>
      <c r="P79" s="110"/>
      <c r="Q79" s="433">
        <v>5</v>
      </c>
      <c r="R79" s="111">
        <v>52.266666666666673</v>
      </c>
      <c r="S79" s="110"/>
      <c r="T79" s="110"/>
      <c r="U79" s="110"/>
      <c r="V79" s="110"/>
      <c r="W79" s="433">
        <v>3</v>
      </c>
      <c r="X79" s="111">
        <v>52.266666666666673</v>
      </c>
      <c r="Y79" s="110"/>
      <c r="Z79" s="110"/>
      <c r="AA79" s="110"/>
      <c r="AB79" s="110"/>
      <c r="AC79" s="433">
        <v>2</v>
      </c>
      <c r="AD79" s="111">
        <v>52.266666666666673</v>
      </c>
      <c r="AE79" s="110"/>
      <c r="AF79" s="110"/>
      <c r="AG79" s="110"/>
      <c r="AH79" s="1048"/>
    </row>
    <row r="80" spans="1:34" ht="45" x14ac:dyDescent="0.25">
      <c r="A80" s="1047"/>
      <c r="B80" s="110" t="s">
        <v>3511</v>
      </c>
      <c r="C80" s="110"/>
      <c r="D80" s="433">
        <v>7</v>
      </c>
      <c r="E80" s="207" t="s">
        <v>1766</v>
      </c>
      <c r="F80" s="1178" t="s">
        <v>4353</v>
      </c>
      <c r="G80" s="1056" t="s">
        <v>4306</v>
      </c>
      <c r="H80" s="433" t="s">
        <v>3478</v>
      </c>
      <c r="I80" s="111">
        <v>50.771725714285715</v>
      </c>
      <c r="J80" s="111">
        <v>355.40208000000001</v>
      </c>
      <c r="K80" s="110"/>
      <c r="L80" s="110"/>
      <c r="M80" s="110"/>
      <c r="N80" s="110"/>
      <c r="O80" s="110"/>
      <c r="P80" s="110"/>
      <c r="Q80" s="433">
        <v>3</v>
      </c>
      <c r="R80" s="111">
        <v>118.46736</v>
      </c>
      <c r="S80" s="110"/>
      <c r="T80" s="110"/>
      <c r="U80" s="110"/>
      <c r="V80" s="110"/>
      <c r="W80" s="433">
        <v>2</v>
      </c>
      <c r="X80" s="111">
        <v>118.46736</v>
      </c>
      <c r="Y80" s="110"/>
      <c r="Z80" s="110"/>
      <c r="AA80" s="110"/>
      <c r="AB80" s="110"/>
      <c r="AC80" s="433">
        <v>2</v>
      </c>
      <c r="AD80" s="111">
        <v>118.46736</v>
      </c>
      <c r="AE80" s="110"/>
      <c r="AF80" s="110"/>
      <c r="AG80" s="110"/>
      <c r="AH80" s="1048"/>
    </row>
    <row r="81" spans="1:34" ht="45" x14ac:dyDescent="0.25">
      <c r="A81" s="1047"/>
      <c r="B81" s="110" t="s">
        <v>3512</v>
      </c>
      <c r="C81" s="110"/>
      <c r="D81" s="433">
        <v>11</v>
      </c>
      <c r="E81" s="207" t="s">
        <v>1772</v>
      </c>
      <c r="F81" s="1178" t="s">
        <v>4353</v>
      </c>
      <c r="G81" s="1056" t="s">
        <v>4306</v>
      </c>
      <c r="H81" s="433" t="s">
        <v>3478</v>
      </c>
      <c r="I81" s="111">
        <v>21.798545454545454</v>
      </c>
      <c r="J81" s="111">
        <v>239.78399999999999</v>
      </c>
      <c r="K81" s="110"/>
      <c r="L81" s="110"/>
      <c r="M81" s="110"/>
      <c r="N81" s="110"/>
      <c r="O81" s="110"/>
      <c r="P81" s="110"/>
      <c r="Q81" s="433">
        <v>5</v>
      </c>
      <c r="R81" s="111">
        <v>79.927999999999997</v>
      </c>
      <c r="S81" s="110"/>
      <c r="T81" s="110"/>
      <c r="U81" s="110"/>
      <c r="V81" s="110"/>
      <c r="W81" s="433">
        <v>3</v>
      </c>
      <c r="X81" s="111">
        <v>79.927999999999997</v>
      </c>
      <c r="Y81" s="110"/>
      <c r="Z81" s="110"/>
      <c r="AA81" s="110"/>
      <c r="AB81" s="110"/>
      <c r="AC81" s="433">
        <v>3</v>
      </c>
      <c r="AD81" s="111">
        <v>79.927999999999997</v>
      </c>
      <c r="AE81" s="110"/>
      <c r="AF81" s="110"/>
      <c r="AG81" s="110"/>
      <c r="AH81" s="1048"/>
    </row>
    <row r="82" spans="1:34" ht="45" x14ac:dyDescent="0.25">
      <c r="A82" s="1047"/>
      <c r="B82" s="110" t="s">
        <v>3513</v>
      </c>
      <c r="C82" s="110"/>
      <c r="D82" s="433">
        <v>3</v>
      </c>
      <c r="E82" s="207" t="s">
        <v>1767</v>
      </c>
      <c r="F82" s="1178" t="s">
        <v>4353</v>
      </c>
      <c r="G82" s="1056" t="s">
        <v>4306</v>
      </c>
      <c r="H82" s="433" t="s">
        <v>3478</v>
      </c>
      <c r="I82" s="111">
        <v>17</v>
      </c>
      <c r="J82" s="111">
        <v>51</v>
      </c>
      <c r="K82" s="110"/>
      <c r="L82" s="110"/>
      <c r="M82" s="110"/>
      <c r="N82" s="110"/>
      <c r="O82" s="110"/>
      <c r="P82" s="110"/>
      <c r="Q82" s="433">
        <v>1</v>
      </c>
      <c r="R82" s="111">
        <v>17</v>
      </c>
      <c r="S82" s="110"/>
      <c r="T82" s="110"/>
      <c r="U82" s="110"/>
      <c r="V82" s="110"/>
      <c r="W82" s="433">
        <v>1</v>
      </c>
      <c r="X82" s="111">
        <v>17</v>
      </c>
      <c r="Y82" s="110"/>
      <c r="Z82" s="110"/>
      <c r="AA82" s="110"/>
      <c r="AB82" s="110"/>
      <c r="AC82" s="433">
        <v>1</v>
      </c>
      <c r="AD82" s="111">
        <v>17</v>
      </c>
      <c r="AE82" s="110"/>
      <c r="AF82" s="110"/>
      <c r="AG82" s="110"/>
      <c r="AH82" s="1048"/>
    </row>
    <row r="83" spans="1:34" ht="45" x14ac:dyDescent="0.25">
      <c r="A83" s="1047"/>
      <c r="B83" s="110" t="s">
        <v>3514</v>
      </c>
      <c r="C83" s="110"/>
      <c r="D83" s="433">
        <v>1</v>
      </c>
      <c r="E83" s="207" t="s">
        <v>1767</v>
      </c>
      <c r="F83" s="1178" t="s">
        <v>4353</v>
      </c>
      <c r="G83" s="1056" t="s">
        <v>4306</v>
      </c>
      <c r="H83" s="433" t="s">
        <v>3478</v>
      </c>
      <c r="I83" s="111">
        <v>1581</v>
      </c>
      <c r="J83" s="111">
        <v>1581</v>
      </c>
      <c r="K83" s="110"/>
      <c r="L83" s="110"/>
      <c r="M83" s="110"/>
      <c r="N83" s="110"/>
      <c r="O83" s="110"/>
      <c r="P83" s="110"/>
      <c r="Q83" s="433">
        <v>1</v>
      </c>
      <c r="R83" s="111">
        <v>527</v>
      </c>
      <c r="S83" s="110"/>
      <c r="T83" s="110"/>
      <c r="U83" s="110"/>
      <c r="V83" s="110"/>
      <c r="W83" s="433">
        <v>0</v>
      </c>
      <c r="X83" s="111">
        <v>527</v>
      </c>
      <c r="Y83" s="110"/>
      <c r="Z83" s="110"/>
      <c r="AA83" s="110"/>
      <c r="AB83" s="110"/>
      <c r="AC83" s="433">
        <v>0</v>
      </c>
      <c r="AD83" s="111">
        <v>527</v>
      </c>
      <c r="AE83" s="110"/>
      <c r="AF83" s="110"/>
      <c r="AG83" s="110"/>
      <c r="AH83" s="1048"/>
    </row>
    <row r="84" spans="1:34" ht="45" x14ac:dyDescent="0.25">
      <c r="A84" s="1047"/>
      <c r="B84" s="110" t="s">
        <v>3515</v>
      </c>
      <c r="C84" s="110"/>
      <c r="D84" s="433">
        <v>1</v>
      </c>
      <c r="E84" s="207" t="s">
        <v>1767</v>
      </c>
      <c r="F84" s="1178" t="s">
        <v>4353</v>
      </c>
      <c r="G84" s="1056" t="s">
        <v>4306</v>
      </c>
      <c r="H84" s="433" t="s">
        <v>3478</v>
      </c>
      <c r="I84" s="111">
        <v>239</v>
      </c>
      <c r="J84" s="111">
        <v>239</v>
      </c>
      <c r="K84" s="110"/>
      <c r="L84" s="110"/>
      <c r="M84" s="110"/>
      <c r="N84" s="110"/>
      <c r="O84" s="110"/>
      <c r="P84" s="110"/>
      <c r="Q84" s="433">
        <v>1</v>
      </c>
      <c r="R84" s="111">
        <v>79.666666666666671</v>
      </c>
      <c r="S84" s="110"/>
      <c r="T84" s="110"/>
      <c r="U84" s="110"/>
      <c r="V84" s="110"/>
      <c r="W84" s="433">
        <v>0</v>
      </c>
      <c r="X84" s="111">
        <v>79.666666666666671</v>
      </c>
      <c r="Y84" s="110"/>
      <c r="Z84" s="110"/>
      <c r="AA84" s="110"/>
      <c r="AB84" s="110"/>
      <c r="AC84" s="433">
        <v>0</v>
      </c>
      <c r="AD84" s="111">
        <v>79.666666666666671</v>
      </c>
      <c r="AE84" s="110"/>
      <c r="AF84" s="110"/>
      <c r="AG84" s="110"/>
      <c r="AH84" s="1048"/>
    </row>
    <row r="85" spans="1:34" ht="45" x14ac:dyDescent="0.25">
      <c r="A85" s="1047"/>
      <c r="B85" s="110" t="s">
        <v>3516</v>
      </c>
      <c r="C85" s="110"/>
      <c r="D85" s="433">
        <v>2</v>
      </c>
      <c r="E85" s="207" t="s">
        <v>1772</v>
      </c>
      <c r="F85" s="1178" t="s">
        <v>4353</v>
      </c>
      <c r="G85" s="1056" t="s">
        <v>4306</v>
      </c>
      <c r="H85" s="433" t="s">
        <v>3478</v>
      </c>
      <c r="I85" s="111">
        <v>133</v>
      </c>
      <c r="J85" s="111">
        <v>266</v>
      </c>
      <c r="K85" s="110"/>
      <c r="L85" s="110"/>
      <c r="M85" s="110"/>
      <c r="N85" s="110"/>
      <c r="O85" s="110"/>
      <c r="P85" s="110"/>
      <c r="Q85" s="433">
        <v>1</v>
      </c>
      <c r="R85" s="111">
        <v>88.666666666666671</v>
      </c>
      <c r="S85" s="110"/>
      <c r="T85" s="110"/>
      <c r="U85" s="110"/>
      <c r="V85" s="110"/>
      <c r="W85" s="433">
        <v>1</v>
      </c>
      <c r="X85" s="111">
        <v>88.666666666666671</v>
      </c>
      <c r="Y85" s="110"/>
      <c r="Z85" s="110"/>
      <c r="AA85" s="110"/>
      <c r="AB85" s="110"/>
      <c r="AC85" s="433">
        <v>0</v>
      </c>
      <c r="AD85" s="111">
        <v>88.666666666666671</v>
      </c>
      <c r="AE85" s="110"/>
      <c r="AF85" s="110"/>
      <c r="AG85" s="110"/>
      <c r="AH85" s="1048"/>
    </row>
    <row r="86" spans="1:34" ht="45" x14ac:dyDescent="0.25">
      <c r="A86" s="1047"/>
      <c r="B86" s="110" t="s">
        <v>3517</v>
      </c>
      <c r="C86" s="110"/>
      <c r="D86" s="433">
        <v>25</v>
      </c>
      <c r="E86" s="207" t="s">
        <v>1766</v>
      </c>
      <c r="F86" s="1178" t="s">
        <v>4353</v>
      </c>
      <c r="G86" s="1056" t="s">
        <v>4306</v>
      </c>
      <c r="H86" s="433" t="s">
        <v>3478</v>
      </c>
      <c r="I86" s="111">
        <v>41</v>
      </c>
      <c r="J86" s="111">
        <v>1025</v>
      </c>
      <c r="K86" s="110"/>
      <c r="L86" s="110"/>
      <c r="M86" s="110"/>
      <c r="N86" s="110"/>
      <c r="O86" s="110"/>
      <c r="P86" s="110"/>
      <c r="Q86" s="433"/>
      <c r="R86" s="111">
        <v>341.66666666666669</v>
      </c>
      <c r="S86" s="110"/>
      <c r="T86" s="110"/>
      <c r="U86" s="110"/>
      <c r="V86" s="110"/>
      <c r="W86" s="433"/>
      <c r="X86" s="111">
        <v>341.66666666666669</v>
      </c>
      <c r="Y86" s="110"/>
      <c r="Z86" s="110"/>
      <c r="AA86" s="110"/>
      <c r="AB86" s="110"/>
      <c r="AC86" s="433"/>
      <c r="AD86" s="111">
        <v>341.66666666666669</v>
      </c>
      <c r="AE86" s="110"/>
      <c r="AF86" s="110"/>
      <c r="AG86" s="110"/>
      <c r="AH86" s="1048"/>
    </row>
    <row r="87" spans="1:34" ht="45" x14ac:dyDescent="0.25">
      <c r="A87" s="1047"/>
      <c r="B87" s="110" t="s">
        <v>3518</v>
      </c>
      <c r="C87" s="110"/>
      <c r="D87" s="433">
        <v>7</v>
      </c>
      <c r="E87" s="207" t="s">
        <v>1767</v>
      </c>
      <c r="F87" s="1178" t="s">
        <v>4353</v>
      </c>
      <c r="G87" s="1056" t="s">
        <v>4306</v>
      </c>
      <c r="H87" s="433" t="s">
        <v>3478</v>
      </c>
      <c r="I87" s="111">
        <v>68.203428571428574</v>
      </c>
      <c r="J87" s="111">
        <v>477.42399999999998</v>
      </c>
      <c r="K87" s="110"/>
      <c r="L87" s="110"/>
      <c r="M87" s="110"/>
      <c r="N87" s="110"/>
      <c r="O87" s="110"/>
      <c r="P87" s="110"/>
      <c r="Q87" s="433">
        <v>3</v>
      </c>
      <c r="R87" s="111">
        <v>159.14133333333334</v>
      </c>
      <c r="S87" s="110"/>
      <c r="T87" s="110"/>
      <c r="U87" s="110"/>
      <c r="V87" s="110"/>
      <c r="W87" s="433">
        <v>2</v>
      </c>
      <c r="X87" s="111">
        <v>159.14133333333334</v>
      </c>
      <c r="Y87" s="110"/>
      <c r="Z87" s="110"/>
      <c r="AA87" s="110"/>
      <c r="AB87" s="110"/>
      <c r="AC87" s="433">
        <v>2</v>
      </c>
      <c r="AD87" s="111">
        <v>159.14133333333334</v>
      </c>
      <c r="AE87" s="110"/>
      <c r="AF87" s="110"/>
      <c r="AG87" s="110"/>
      <c r="AH87" s="1048"/>
    </row>
    <row r="88" spans="1:34" ht="45" x14ac:dyDescent="0.25">
      <c r="A88" s="1047"/>
      <c r="B88" s="110" t="s">
        <v>3519</v>
      </c>
      <c r="C88" s="110"/>
      <c r="D88" s="433">
        <v>6</v>
      </c>
      <c r="E88" s="207" t="s">
        <v>1766</v>
      </c>
      <c r="F88" s="1178" t="s">
        <v>4353</v>
      </c>
      <c r="G88" s="1056" t="s">
        <v>4306</v>
      </c>
      <c r="H88" s="433" t="s">
        <v>3478</v>
      </c>
      <c r="I88" s="111">
        <v>36</v>
      </c>
      <c r="J88" s="111">
        <v>216</v>
      </c>
      <c r="K88" s="110"/>
      <c r="L88" s="110"/>
      <c r="M88" s="110"/>
      <c r="N88" s="110"/>
      <c r="O88" s="110"/>
      <c r="P88" s="110"/>
      <c r="Q88" s="433">
        <v>2</v>
      </c>
      <c r="R88" s="111">
        <v>72</v>
      </c>
      <c r="S88" s="110"/>
      <c r="T88" s="110"/>
      <c r="U88" s="110"/>
      <c r="V88" s="110"/>
      <c r="W88" s="433">
        <v>2</v>
      </c>
      <c r="X88" s="111">
        <v>72</v>
      </c>
      <c r="Y88" s="110"/>
      <c r="Z88" s="110"/>
      <c r="AA88" s="110"/>
      <c r="AB88" s="110"/>
      <c r="AC88" s="433">
        <v>2</v>
      </c>
      <c r="AD88" s="111">
        <v>72</v>
      </c>
      <c r="AE88" s="110"/>
      <c r="AF88" s="110"/>
      <c r="AG88" s="110"/>
      <c r="AH88" s="1048"/>
    </row>
    <row r="89" spans="1:34" ht="45" x14ac:dyDescent="0.25">
      <c r="A89" s="1047"/>
      <c r="B89" s="110" t="s">
        <v>3520</v>
      </c>
      <c r="C89" s="110"/>
      <c r="D89" s="433">
        <v>6</v>
      </c>
      <c r="E89" s="207" t="s">
        <v>1766</v>
      </c>
      <c r="F89" s="1178" t="s">
        <v>4353</v>
      </c>
      <c r="G89" s="1056" t="s">
        <v>4306</v>
      </c>
      <c r="H89" s="433" t="s">
        <v>3478</v>
      </c>
      <c r="I89" s="111">
        <v>330</v>
      </c>
      <c r="J89" s="111">
        <v>1980</v>
      </c>
      <c r="K89" s="110"/>
      <c r="L89" s="110"/>
      <c r="M89" s="110"/>
      <c r="N89" s="110"/>
      <c r="O89" s="110"/>
      <c r="P89" s="110"/>
      <c r="Q89" s="433">
        <v>2</v>
      </c>
      <c r="R89" s="111">
        <v>660</v>
      </c>
      <c r="S89" s="110"/>
      <c r="T89" s="110"/>
      <c r="U89" s="110"/>
      <c r="V89" s="110"/>
      <c r="W89" s="433">
        <v>2</v>
      </c>
      <c r="X89" s="111">
        <v>660</v>
      </c>
      <c r="Y89" s="110"/>
      <c r="Z89" s="110"/>
      <c r="AA89" s="110"/>
      <c r="AB89" s="110"/>
      <c r="AC89" s="433">
        <v>2</v>
      </c>
      <c r="AD89" s="111">
        <v>660</v>
      </c>
      <c r="AE89" s="110"/>
      <c r="AF89" s="110"/>
      <c r="AG89" s="110"/>
      <c r="AH89" s="1048"/>
    </row>
    <row r="90" spans="1:34" ht="45" x14ac:dyDescent="0.25">
      <c r="A90" s="1047"/>
      <c r="B90" s="110" t="s">
        <v>3521</v>
      </c>
      <c r="C90" s="110"/>
      <c r="D90" s="433">
        <v>25</v>
      </c>
      <c r="E90" s="207" t="s">
        <v>1766</v>
      </c>
      <c r="F90" s="1178" t="s">
        <v>4353</v>
      </c>
      <c r="G90" s="1056" t="s">
        <v>4306</v>
      </c>
      <c r="H90" s="433" t="s">
        <v>3478</v>
      </c>
      <c r="I90" s="111">
        <v>130</v>
      </c>
      <c r="J90" s="111">
        <v>3250</v>
      </c>
      <c r="K90" s="110"/>
      <c r="L90" s="110"/>
      <c r="M90" s="110"/>
      <c r="N90" s="110"/>
      <c r="O90" s="110"/>
      <c r="P90" s="110"/>
      <c r="Q90" s="433"/>
      <c r="R90" s="111">
        <v>1083.3333333333333</v>
      </c>
      <c r="S90" s="110"/>
      <c r="T90" s="110"/>
      <c r="U90" s="110"/>
      <c r="V90" s="110"/>
      <c r="W90" s="433"/>
      <c r="X90" s="111">
        <v>1083.3333333333333</v>
      </c>
      <c r="Y90" s="110"/>
      <c r="Z90" s="110"/>
      <c r="AA90" s="110"/>
      <c r="AB90" s="110"/>
      <c r="AC90" s="433"/>
      <c r="AD90" s="111">
        <v>1083.3333333333333</v>
      </c>
      <c r="AE90" s="110"/>
      <c r="AF90" s="110"/>
      <c r="AG90" s="110"/>
      <c r="AH90" s="1048"/>
    </row>
    <row r="91" spans="1:34" ht="45" x14ac:dyDescent="0.25">
      <c r="A91" s="1047"/>
      <c r="B91" s="110" t="s">
        <v>3522</v>
      </c>
      <c r="C91" s="110"/>
      <c r="D91" s="433">
        <v>5</v>
      </c>
      <c r="E91" s="207" t="s">
        <v>1949</v>
      </c>
      <c r="F91" s="1178" t="s">
        <v>4353</v>
      </c>
      <c r="G91" s="1056" t="s">
        <v>4306</v>
      </c>
      <c r="H91" s="433" t="s">
        <v>3478</v>
      </c>
      <c r="I91" s="111">
        <v>154.05959999999999</v>
      </c>
      <c r="J91" s="111">
        <v>770.298</v>
      </c>
      <c r="K91" s="110"/>
      <c r="L91" s="110"/>
      <c r="M91" s="110"/>
      <c r="N91" s="110"/>
      <c r="O91" s="110"/>
      <c r="P91" s="110"/>
      <c r="Q91" s="433">
        <v>2</v>
      </c>
      <c r="R91" s="111">
        <v>256.76600000000002</v>
      </c>
      <c r="S91" s="110"/>
      <c r="T91" s="110"/>
      <c r="U91" s="110"/>
      <c r="V91" s="110"/>
      <c r="W91" s="433">
        <v>2</v>
      </c>
      <c r="X91" s="111">
        <v>256.76600000000002</v>
      </c>
      <c r="Y91" s="110"/>
      <c r="Z91" s="110"/>
      <c r="AA91" s="110"/>
      <c r="AB91" s="110"/>
      <c r="AC91" s="433">
        <v>1</v>
      </c>
      <c r="AD91" s="111">
        <v>256.76600000000002</v>
      </c>
      <c r="AE91" s="110"/>
      <c r="AF91" s="110"/>
      <c r="AG91" s="110"/>
      <c r="AH91" s="1048"/>
    </row>
    <row r="92" spans="1:34" ht="45" x14ac:dyDescent="0.25">
      <c r="A92" s="1047"/>
      <c r="B92" s="110" t="s">
        <v>3523</v>
      </c>
      <c r="C92" s="110"/>
      <c r="D92" s="433">
        <v>6</v>
      </c>
      <c r="E92" s="207" t="s">
        <v>1767</v>
      </c>
      <c r="F92" s="1178" t="s">
        <v>4353</v>
      </c>
      <c r="G92" s="1056" t="s">
        <v>4306</v>
      </c>
      <c r="H92" s="433" t="s">
        <v>3478</v>
      </c>
      <c r="I92" s="111">
        <v>229.67999999999998</v>
      </c>
      <c r="J92" s="111">
        <v>1378.08</v>
      </c>
      <c r="K92" s="110"/>
      <c r="L92" s="110"/>
      <c r="M92" s="110"/>
      <c r="N92" s="110"/>
      <c r="O92" s="110"/>
      <c r="P92" s="110"/>
      <c r="Q92" s="433">
        <v>2</v>
      </c>
      <c r="R92" s="111">
        <v>459.35999999999996</v>
      </c>
      <c r="S92" s="110"/>
      <c r="T92" s="110"/>
      <c r="U92" s="110"/>
      <c r="V92" s="110"/>
      <c r="W92" s="433">
        <v>2</v>
      </c>
      <c r="X92" s="111">
        <v>459.35999999999996</v>
      </c>
      <c r="Y92" s="110"/>
      <c r="Z92" s="110"/>
      <c r="AA92" s="110"/>
      <c r="AB92" s="110"/>
      <c r="AC92" s="433">
        <v>2</v>
      </c>
      <c r="AD92" s="111">
        <v>459.35999999999996</v>
      </c>
      <c r="AE92" s="110"/>
      <c r="AF92" s="110"/>
      <c r="AG92" s="110"/>
      <c r="AH92" s="1048"/>
    </row>
    <row r="93" spans="1:34" ht="45" x14ac:dyDescent="0.25">
      <c r="A93" s="1047"/>
      <c r="B93" s="110" t="s">
        <v>3524</v>
      </c>
      <c r="C93" s="110"/>
      <c r="D93" s="433">
        <v>4</v>
      </c>
      <c r="E93" s="207" t="s">
        <v>1766</v>
      </c>
      <c r="F93" s="1178" t="s">
        <v>4353</v>
      </c>
      <c r="G93" s="1056" t="s">
        <v>4306</v>
      </c>
      <c r="H93" s="433" t="s">
        <v>3478</v>
      </c>
      <c r="I93" s="111">
        <v>165.29999999999998</v>
      </c>
      <c r="J93" s="111">
        <v>661.19999999999993</v>
      </c>
      <c r="K93" s="110"/>
      <c r="L93" s="110"/>
      <c r="M93" s="110"/>
      <c r="N93" s="110"/>
      <c r="O93" s="110"/>
      <c r="P93" s="110"/>
      <c r="Q93" s="433">
        <v>2</v>
      </c>
      <c r="R93" s="111">
        <v>220.39999999999998</v>
      </c>
      <c r="S93" s="110"/>
      <c r="T93" s="110"/>
      <c r="U93" s="110"/>
      <c r="V93" s="110"/>
      <c r="W93" s="433">
        <v>1</v>
      </c>
      <c r="X93" s="111">
        <v>220.39999999999998</v>
      </c>
      <c r="Y93" s="110"/>
      <c r="Z93" s="110"/>
      <c r="AA93" s="110"/>
      <c r="AB93" s="110"/>
      <c r="AC93" s="433">
        <v>1</v>
      </c>
      <c r="AD93" s="111">
        <v>220.39999999999998</v>
      </c>
      <c r="AE93" s="110"/>
      <c r="AF93" s="110"/>
      <c r="AG93" s="110"/>
      <c r="AH93" s="1048"/>
    </row>
    <row r="94" spans="1:34" ht="45" x14ac:dyDescent="0.25">
      <c r="A94" s="1047"/>
      <c r="B94" s="110" t="s">
        <v>3525</v>
      </c>
      <c r="C94" s="110"/>
      <c r="D94" s="433">
        <v>1</v>
      </c>
      <c r="E94" s="207" t="s">
        <v>1767</v>
      </c>
      <c r="F94" s="1178" t="s">
        <v>4353</v>
      </c>
      <c r="G94" s="1056" t="s">
        <v>4306</v>
      </c>
      <c r="H94" s="433" t="s">
        <v>3478</v>
      </c>
      <c r="I94" s="111">
        <v>578.74</v>
      </c>
      <c r="J94" s="111">
        <v>578.74</v>
      </c>
      <c r="K94" s="110"/>
      <c r="L94" s="110"/>
      <c r="M94" s="110"/>
      <c r="N94" s="110"/>
      <c r="O94" s="110"/>
      <c r="P94" s="110"/>
      <c r="Q94" s="433">
        <v>1</v>
      </c>
      <c r="R94" s="111">
        <v>192.91333333333333</v>
      </c>
      <c r="S94" s="110"/>
      <c r="T94" s="110"/>
      <c r="U94" s="110"/>
      <c r="V94" s="110"/>
      <c r="W94" s="433">
        <v>0</v>
      </c>
      <c r="X94" s="111">
        <v>192.91333333333333</v>
      </c>
      <c r="Y94" s="110"/>
      <c r="Z94" s="110"/>
      <c r="AA94" s="110"/>
      <c r="AB94" s="110"/>
      <c r="AC94" s="433">
        <v>0</v>
      </c>
      <c r="AD94" s="111">
        <v>192.91333333333333</v>
      </c>
      <c r="AE94" s="110"/>
      <c r="AF94" s="110"/>
      <c r="AG94" s="110"/>
      <c r="AH94" s="1048"/>
    </row>
    <row r="95" spans="1:34" x14ac:dyDescent="0.25">
      <c r="A95" s="1058">
        <v>21106</v>
      </c>
      <c r="B95" s="187" t="s">
        <v>102</v>
      </c>
      <c r="C95" s="110"/>
      <c r="D95" s="433"/>
      <c r="E95" s="207"/>
      <c r="F95" s="433"/>
      <c r="G95" s="1056"/>
      <c r="H95" s="433"/>
      <c r="I95" s="111"/>
      <c r="J95" s="111"/>
      <c r="K95" s="110"/>
      <c r="L95" s="110"/>
      <c r="M95" s="110"/>
      <c r="N95" s="110"/>
      <c r="O95" s="110"/>
      <c r="P95" s="110"/>
      <c r="Q95" s="433"/>
      <c r="R95" s="111"/>
      <c r="S95" s="110"/>
      <c r="T95" s="110"/>
      <c r="U95" s="110"/>
      <c r="V95" s="110"/>
      <c r="W95" s="433"/>
      <c r="X95" s="111"/>
      <c r="Y95" s="110"/>
      <c r="Z95" s="110"/>
      <c r="AA95" s="110"/>
      <c r="AB95" s="110"/>
      <c r="AC95" s="433"/>
      <c r="AD95" s="111"/>
      <c r="AE95" s="110"/>
      <c r="AF95" s="110"/>
      <c r="AG95" s="110"/>
      <c r="AH95" s="1048"/>
    </row>
    <row r="96" spans="1:34" ht="45" x14ac:dyDescent="0.25">
      <c r="A96" s="1047"/>
      <c r="B96" s="1057" t="s">
        <v>3526</v>
      </c>
      <c r="C96" s="110"/>
      <c r="D96" s="433">
        <v>231</v>
      </c>
      <c r="E96" s="207" t="s">
        <v>1772</v>
      </c>
      <c r="F96" s="1178" t="s">
        <v>4353</v>
      </c>
      <c r="G96" s="1056" t="s">
        <v>4306</v>
      </c>
      <c r="H96" s="433" t="s">
        <v>3478</v>
      </c>
      <c r="I96" s="111">
        <v>145.71797056277055</v>
      </c>
      <c r="J96" s="111">
        <v>33660.851199999997</v>
      </c>
      <c r="K96" s="110"/>
      <c r="L96" s="110"/>
      <c r="M96" s="110"/>
      <c r="N96" s="110"/>
      <c r="O96" s="110"/>
      <c r="P96" s="110"/>
      <c r="Q96" s="433">
        <v>131</v>
      </c>
      <c r="R96" s="111">
        <v>11220.283733333332</v>
      </c>
      <c r="S96" s="110"/>
      <c r="T96" s="110"/>
      <c r="U96" s="110"/>
      <c r="V96" s="110"/>
      <c r="W96" s="433">
        <v>50</v>
      </c>
      <c r="X96" s="111">
        <v>11220.283733333332</v>
      </c>
      <c r="Y96" s="110"/>
      <c r="Z96" s="110"/>
      <c r="AA96" s="110"/>
      <c r="AB96" s="110"/>
      <c r="AC96" s="433">
        <v>50</v>
      </c>
      <c r="AD96" s="111">
        <v>11220.283733333332</v>
      </c>
      <c r="AE96" s="110"/>
      <c r="AF96" s="110"/>
      <c r="AG96" s="110"/>
      <c r="AH96" s="1048"/>
    </row>
    <row r="97" spans="1:34" ht="45" x14ac:dyDescent="0.25">
      <c r="A97" s="1047"/>
      <c r="B97" s="1057" t="s">
        <v>3527</v>
      </c>
      <c r="C97" s="110"/>
      <c r="D97" s="433">
        <v>45</v>
      </c>
      <c r="E97" s="207" t="s">
        <v>1772</v>
      </c>
      <c r="F97" s="1178" t="s">
        <v>4353</v>
      </c>
      <c r="G97" s="1056" t="s">
        <v>4306</v>
      </c>
      <c r="H97" s="433" t="s">
        <v>3478</v>
      </c>
      <c r="I97" s="111">
        <v>243.70139448888892</v>
      </c>
      <c r="J97" s="111">
        <v>10966.562752000002</v>
      </c>
      <c r="K97" s="110"/>
      <c r="L97" s="110"/>
      <c r="M97" s="110"/>
      <c r="N97" s="110"/>
      <c r="O97" s="110"/>
      <c r="P97" s="110"/>
      <c r="Q97" s="433">
        <v>25</v>
      </c>
      <c r="R97" s="111">
        <v>3655.5209173333337</v>
      </c>
      <c r="S97" s="110"/>
      <c r="T97" s="110"/>
      <c r="U97" s="110"/>
      <c r="V97" s="110"/>
      <c r="W97" s="433">
        <v>10</v>
      </c>
      <c r="X97" s="111">
        <v>3655.5209173333337</v>
      </c>
      <c r="Y97" s="110"/>
      <c r="Z97" s="110"/>
      <c r="AA97" s="110"/>
      <c r="AB97" s="110"/>
      <c r="AC97" s="433">
        <v>10</v>
      </c>
      <c r="AD97" s="111">
        <v>3655.5209173333337</v>
      </c>
      <c r="AE97" s="110"/>
      <c r="AF97" s="110"/>
      <c r="AG97" s="110"/>
      <c r="AH97" s="1048"/>
    </row>
    <row r="98" spans="1:34" ht="45" x14ac:dyDescent="0.25">
      <c r="A98" s="1047"/>
      <c r="B98" s="110" t="s">
        <v>3528</v>
      </c>
      <c r="C98" s="110"/>
      <c r="D98" s="433">
        <v>32</v>
      </c>
      <c r="E98" s="207" t="s">
        <v>1772</v>
      </c>
      <c r="F98" s="1178" t="s">
        <v>4353</v>
      </c>
      <c r="G98" s="1056" t="s">
        <v>4306</v>
      </c>
      <c r="H98" s="433" t="s">
        <v>3478</v>
      </c>
      <c r="I98" s="111">
        <v>187.3741</v>
      </c>
      <c r="J98" s="111">
        <v>5995.9712</v>
      </c>
      <c r="K98" s="110"/>
      <c r="L98" s="110"/>
      <c r="M98" s="110"/>
      <c r="N98" s="110"/>
      <c r="O98" s="110"/>
      <c r="P98" s="110"/>
      <c r="Q98" s="433">
        <v>16</v>
      </c>
      <c r="R98" s="111">
        <v>1998.6570666666667</v>
      </c>
      <c r="S98" s="110"/>
      <c r="T98" s="110"/>
      <c r="U98" s="110"/>
      <c r="V98" s="110"/>
      <c r="W98" s="433">
        <v>8</v>
      </c>
      <c r="X98" s="111">
        <v>1998.6570666666667</v>
      </c>
      <c r="Y98" s="110"/>
      <c r="Z98" s="110"/>
      <c r="AA98" s="110"/>
      <c r="AB98" s="110"/>
      <c r="AC98" s="433">
        <v>8</v>
      </c>
      <c r="AD98" s="111">
        <v>1998.6570666666667</v>
      </c>
      <c r="AE98" s="110"/>
      <c r="AF98" s="110"/>
      <c r="AG98" s="110"/>
      <c r="AH98" s="1048"/>
    </row>
    <row r="99" spans="1:34" ht="45" x14ac:dyDescent="0.25">
      <c r="A99" s="1047"/>
      <c r="B99" s="110" t="s">
        <v>103</v>
      </c>
      <c r="C99" s="110"/>
      <c r="D99" s="433">
        <v>91</v>
      </c>
      <c r="E99" s="207" t="s">
        <v>1767</v>
      </c>
      <c r="F99" s="1178" t="s">
        <v>4353</v>
      </c>
      <c r="G99" s="1056" t="s">
        <v>4306</v>
      </c>
      <c r="H99" s="433" t="s">
        <v>3478</v>
      </c>
      <c r="I99" s="111">
        <v>69.645516483516502</v>
      </c>
      <c r="J99" s="111">
        <v>6337.7420000000011</v>
      </c>
      <c r="K99" s="110"/>
      <c r="L99" s="110"/>
      <c r="M99" s="110"/>
      <c r="N99" s="110"/>
      <c r="O99" s="110"/>
      <c r="P99" s="110"/>
      <c r="Q99" s="433">
        <v>31</v>
      </c>
      <c r="R99" s="111">
        <v>2112.5806666666672</v>
      </c>
      <c r="S99" s="110"/>
      <c r="T99" s="110"/>
      <c r="U99" s="110"/>
      <c r="V99" s="110"/>
      <c r="W99" s="433">
        <v>30</v>
      </c>
      <c r="X99" s="111">
        <v>2112.5806666666672</v>
      </c>
      <c r="Y99" s="110"/>
      <c r="Z99" s="110"/>
      <c r="AA99" s="110"/>
      <c r="AB99" s="110"/>
      <c r="AC99" s="433">
        <v>30</v>
      </c>
      <c r="AD99" s="111">
        <v>2112.5806666666672</v>
      </c>
      <c r="AE99" s="110"/>
      <c r="AF99" s="110"/>
      <c r="AG99" s="110"/>
      <c r="AH99" s="1048"/>
    </row>
    <row r="100" spans="1:34" ht="45" x14ac:dyDescent="0.25">
      <c r="A100" s="1047"/>
      <c r="B100" s="110" t="s">
        <v>104</v>
      </c>
      <c r="C100" s="110"/>
      <c r="D100" s="433">
        <v>48</v>
      </c>
      <c r="E100" s="207" t="s">
        <v>1767</v>
      </c>
      <c r="F100" s="1178" t="s">
        <v>4353</v>
      </c>
      <c r="G100" s="1056" t="s">
        <v>4306</v>
      </c>
      <c r="H100" s="433" t="s">
        <v>3478</v>
      </c>
      <c r="I100" s="111">
        <v>111.24124999999999</v>
      </c>
      <c r="J100" s="111">
        <v>5339.58</v>
      </c>
      <c r="K100" s="110"/>
      <c r="L100" s="110"/>
      <c r="M100" s="110"/>
      <c r="N100" s="110"/>
      <c r="O100" s="110"/>
      <c r="P100" s="110"/>
      <c r="Q100" s="433">
        <v>28</v>
      </c>
      <c r="R100" s="111">
        <v>1779.86</v>
      </c>
      <c r="S100" s="110"/>
      <c r="T100" s="110"/>
      <c r="U100" s="110"/>
      <c r="V100" s="110"/>
      <c r="W100" s="433">
        <v>10</v>
      </c>
      <c r="X100" s="111">
        <v>1779.86</v>
      </c>
      <c r="Y100" s="110"/>
      <c r="Z100" s="110"/>
      <c r="AA100" s="110"/>
      <c r="AB100" s="110"/>
      <c r="AC100" s="433">
        <v>10</v>
      </c>
      <c r="AD100" s="111">
        <v>1779.86</v>
      </c>
      <c r="AE100" s="110"/>
      <c r="AF100" s="110"/>
      <c r="AG100" s="110"/>
      <c r="AH100" s="1048"/>
    </row>
    <row r="101" spans="1:34" ht="45" x14ac:dyDescent="0.25">
      <c r="A101" s="1047"/>
      <c r="B101" s="110" t="s">
        <v>125</v>
      </c>
      <c r="C101" s="110"/>
      <c r="D101" s="433">
        <v>33</v>
      </c>
      <c r="E101" s="207" t="s">
        <v>1767</v>
      </c>
      <c r="F101" s="1178" t="s">
        <v>4353</v>
      </c>
      <c r="G101" s="1056" t="s">
        <v>4306</v>
      </c>
      <c r="H101" s="433" t="s">
        <v>3478</v>
      </c>
      <c r="I101" s="111">
        <v>54.054836363636362</v>
      </c>
      <c r="J101" s="111">
        <v>1783.8096</v>
      </c>
      <c r="K101" s="110"/>
      <c r="L101" s="110"/>
      <c r="M101" s="110"/>
      <c r="N101" s="110"/>
      <c r="O101" s="110"/>
      <c r="P101" s="110"/>
      <c r="Q101" s="433">
        <v>17</v>
      </c>
      <c r="R101" s="111">
        <v>594.60320000000002</v>
      </c>
      <c r="S101" s="110"/>
      <c r="T101" s="110"/>
      <c r="U101" s="110"/>
      <c r="V101" s="110"/>
      <c r="W101" s="433">
        <v>8</v>
      </c>
      <c r="X101" s="111">
        <v>594.60320000000002</v>
      </c>
      <c r="Y101" s="110"/>
      <c r="Z101" s="110"/>
      <c r="AA101" s="110"/>
      <c r="AB101" s="110"/>
      <c r="AC101" s="433">
        <v>8</v>
      </c>
      <c r="AD101" s="111">
        <v>594.60320000000002</v>
      </c>
      <c r="AE101" s="110"/>
      <c r="AF101" s="110"/>
      <c r="AG101" s="110"/>
      <c r="AH101" s="1048"/>
    </row>
    <row r="102" spans="1:34" ht="45" x14ac:dyDescent="0.25">
      <c r="A102" s="1047"/>
      <c r="B102" s="110" t="s">
        <v>126</v>
      </c>
      <c r="C102" s="110"/>
      <c r="D102" s="433">
        <v>39</v>
      </c>
      <c r="E102" s="207" t="s">
        <v>1767</v>
      </c>
      <c r="F102" s="1178" t="s">
        <v>4353</v>
      </c>
      <c r="G102" s="1056" t="s">
        <v>4306</v>
      </c>
      <c r="H102" s="433" t="s">
        <v>3478</v>
      </c>
      <c r="I102" s="111">
        <v>61.977107692307705</v>
      </c>
      <c r="J102" s="111">
        <v>2417.1072000000004</v>
      </c>
      <c r="K102" s="110"/>
      <c r="L102" s="110"/>
      <c r="M102" s="110"/>
      <c r="N102" s="110"/>
      <c r="O102" s="110"/>
      <c r="P102" s="110"/>
      <c r="Q102" s="433">
        <v>23</v>
      </c>
      <c r="R102" s="111">
        <v>805.70240000000013</v>
      </c>
      <c r="S102" s="110"/>
      <c r="T102" s="110"/>
      <c r="U102" s="110"/>
      <c r="V102" s="110"/>
      <c r="W102" s="433">
        <v>9</v>
      </c>
      <c r="X102" s="111">
        <v>805.70240000000013</v>
      </c>
      <c r="Y102" s="110"/>
      <c r="Z102" s="110"/>
      <c r="AA102" s="110"/>
      <c r="AB102" s="110"/>
      <c r="AC102" s="433">
        <v>7</v>
      </c>
      <c r="AD102" s="111">
        <v>805.70240000000013</v>
      </c>
      <c r="AE102" s="110"/>
      <c r="AF102" s="110"/>
      <c r="AG102" s="110"/>
      <c r="AH102" s="1048"/>
    </row>
    <row r="103" spans="1:34" ht="45" x14ac:dyDescent="0.25">
      <c r="A103" s="1047"/>
      <c r="B103" s="110" t="s">
        <v>1729</v>
      </c>
      <c r="C103" s="110"/>
      <c r="D103" s="433">
        <v>106</v>
      </c>
      <c r="E103" s="207" t="s">
        <v>1772</v>
      </c>
      <c r="F103" s="1178" t="s">
        <v>4353</v>
      </c>
      <c r="G103" s="1056" t="s">
        <v>4306</v>
      </c>
      <c r="H103" s="433" t="s">
        <v>3478</v>
      </c>
      <c r="I103" s="111">
        <v>94.014309433962282</v>
      </c>
      <c r="J103" s="111">
        <v>9965.5168000000012</v>
      </c>
      <c r="K103" s="110"/>
      <c r="L103" s="110"/>
      <c r="M103" s="110"/>
      <c r="N103" s="110"/>
      <c r="O103" s="110"/>
      <c r="P103" s="110"/>
      <c r="Q103" s="433">
        <v>66</v>
      </c>
      <c r="R103" s="111">
        <v>3321.8389333333339</v>
      </c>
      <c r="S103" s="110"/>
      <c r="T103" s="110"/>
      <c r="U103" s="110"/>
      <c r="V103" s="110"/>
      <c r="W103" s="433">
        <v>20</v>
      </c>
      <c r="X103" s="111">
        <v>3321.8389333333339</v>
      </c>
      <c r="Y103" s="110"/>
      <c r="Z103" s="110"/>
      <c r="AA103" s="110"/>
      <c r="AB103" s="110"/>
      <c r="AC103" s="433">
        <v>20</v>
      </c>
      <c r="AD103" s="111">
        <v>3321.8389333333339</v>
      </c>
      <c r="AE103" s="110"/>
      <c r="AF103" s="110"/>
      <c r="AG103" s="110"/>
      <c r="AH103" s="1048"/>
    </row>
    <row r="104" spans="1:34" ht="45" x14ac:dyDescent="0.25">
      <c r="A104" s="1047"/>
      <c r="B104" s="110" t="s">
        <v>267</v>
      </c>
      <c r="C104" s="110"/>
      <c r="D104" s="433">
        <v>2</v>
      </c>
      <c r="E104" s="207" t="s">
        <v>1772</v>
      </c>
      <c r="F104" s="1178" t="s">
        <v>4353</v>
      </c>
      <c r="G104" s="1056" t="s">
        <v>4306</v>
      </c>
      <c r="H104" s="433" t="s">
        <v>3478</v>
      </c>
      <c r="I104" s="111">
        <v>194.83</v>
      </c>
      <c r="J104" s="111">
        <v>389.66</v>
      </c>
      <c r="K104" s="110"/>
      <c r="L104" s="110"/>
      <c r="M104" s="110"/>
      <c r="N104" s="110"/>
      <c r="O104" s="110"/>
      <c r="P104" s="110"/>
      <c r="Q104" s="433">
        <v>1</v>
      </c>
      <c r="R104" s="111">
        <v>129.88666666666668</v>
      </c>
      <c r="S104" s="110"/>
      <c r="T104" s="110"/>
      <c r="U104" s="110"/>
      <c r="V104" s="110"/>
      <c r="W104" s="433">
        <v>1</v>
      </c>
      <c r="X104" s="111">
        <v>129.88666666666668</v>
      </c>
      <c r="Y104" s="110"/>
      <c r="Z104" s="110"/>
      <c r="AA104" s="110"/>
      <c r="AB104" s="110"/>
      <c r="AC104" s="433">
        <v>0</v>
      </c>
      <c r="AD104" s="111">
        <v>129.88666666666668</v>
      </c>
      <c r="AE104" s="110"/>
      <c r="AF104" s="110"/>
      <c r="AG104" s="110"/>
      <c r="AH104" s="1048"/>
    </row>
    <row r="105" spans="1:34" ht="45" x14ac:dyDescent="0.25">
      <c r="A105" s="1047"/>
      <c r="B105" s="110" t="s">
        <v>1768</v>
      </c>
      <c r="C105" s="110"/>
      <c r="D105" s="433">
        <v>23</v>
      </c>
      <c r="E105" s="207" t="s">
        <v>1772</v>
      </c>
      <c r="F105" s="1178" t="s">
        <v>4353</v>
      </c>
      <c r="G105" s="1056" t="s">
        <v>4306</v>
      </c>
      <c r="H105" s="433" t="s">
        <v>3478</v>
      </c>
      <c r="I105" s="111">
        <v>128.77530434782608</v>
      </c>
      <c r="J105" s="111">
        <v>2961.8319999999999</v>
      </c>
      <c r="K105" s="110"/>
      <c r="L105" s="110"/>
      <c r="M105" s="110"/>
      <c r="N105" s="110"/>
      <c r="O105" s="110"/>
      <c r="P105" s="110"/>
      <c r="Q105" s="433">
        <v>10</v>
      </c>
      <c r="R105" s="111">
        <v>987.27733333333333</v>
      </c>
      <c r="S105" s="110"/>
      <c r="T105" s="110"/>
      <c r="U105" s="110"/>
      <c r="V105" s="110"/>
      <c r="W105" s="433">
        <v>7</v>
      </c>
      <c r="X105" s="111">
        <v>987.27733333333333</v>
      </c>
      <c r="Y105" s="110"/>
      <c r="Z105" s="110"/>
      <c r="AA105" s="110"/>
      <c r="AB105" s="110"/>
      <c r="AC105" s="433">
        <v>6</v>
      </c>
      <c r="AD105" s="111">
        <v>987.27733333333333</v>
      </c>
      <c r="AE105" s="110"/>
      <c r="AF105" s="110"/>
      <c r="AG105" s="110"/>
      <c r="AH105" s="1048"/>
    </row>
    <row r="106" spans="1:34" ht="45" x14ac:dyDescent="0.25">
      <c r="A106" s="1047"/>
      <c r="B106" s="110" t="s">
        <v>116</v>
      </c>
      <c r="C106" s="110"/>
      <c r="D106" s="433">
        <v>48</v>
      </c>
      <c r="E106" s="207" t="s">
        <v>1772</v>
      </c>
      <c r="F106" s="1178" t="s">
        <v>4353</v>
      </c>
      <c r="G106" s="1056" t="s">
        <v>4306</v>
      </c>
      <c r="H106" s="433" t="s">
        <v>3478</v>
      </c>
      <c r="I106" s="111">
        <v>48.477849999999997</v>
      </c>
      <c r="J106" s="111">
        <v>2326.9367999999999</v>
      </c>
      <c r="K106" s="110"/>
      <c r="L106" s="110"/>
      <c r="M106" s="110"/>
      <c r="N106" s="110"/>
      <c r="O106" s="110"/>
      <c r="P106" s="110"/>
      <c r="Q106" s="433">
        <v>28</v>
      </c>
      <c r="R106" s="111">
        <v>775.64559999999994</v>
      </c>
      <c r="S106" s="110"/>
      <c r="T106" s="110"/>
      <c r="U106" s="110"/>
      <c r="V106" s="110"/>
      <c r="W106" s="433">
        <v>10</v>
      </c>
      <c r="X106" s="111">
        <v>775.64559999999994</v>
      </c>
      <c r="Y106" s="110"/>
      <c r="Z106" s="110"/>
      <c r="AA106" s="110"/>
      <c r="AB106" s="110"/>
      <c r="AC106" s="433">
        <v>10</v>
      </c>
      <c r="AD106" s="111">
        <v>775.64559999999994</v>
      </c>
      <c r="AE106" s="110"/>
      <c r="AF106" s="110"/>
      <c r="AG106" s="110"/>
      <c r="AH106" s="1048"/>
    </row>
    <row r="107" spans="1:34" ht="45" x14ac:dyDescent="0.25">
      <c r="A107" s="1047"/>
      <c r="B107" s="110" t="s">
        <v>105</v>
      </c>
      <c r="C107" s="110"/>
      <c r="D107" s="433">
        <v>27</v>
      </c>
      <c r="E107" s="207" t="s">
        <v>1772</v>
      </c>
      <c r="F107" s="1178" t="s">
        <v>4353</v>
      </c>
      <c r="G107" s="1056" t="s">
        <v>4306</v>
      </c>
      <c r="H107" s="433" t="s">
        <v>3478</v>
      </c>
      <c r="I107" s="111">
        <v>95.977777777777774</v>
      </c>
      <c r="J107" s="111">
        <v>2591.4</v>
      </c>
      <c r="K107" s="110"/>
      <c r="L107" s="110"/>
      <c r="M107" s="110"/>
      <c r="N107" s="110"/>
      <c r="O107" s="110"/>
      <c r="P107" s="110"/>
      <c r="Q107" s="433">
        <v>14</v>
      </c>
      <c r="R107" s="111">
        <v>863.80000000000007</v>
      </c>
      <c r="S107" s="110"/>
      <c r="T107" s="110"/>
      <c r="U107" s="110"/>
      <c r="V107" s="110"/>
      <c r="W107" s="433">
        <v>8</v>
      </c>
      <c r="X107" s="111">
        <v>863.80000000000007</v>
      </c>
      <c r="Y107" s="110"/>
      <c r="Z107" s="110"/>
      <c r="AA107" s="110"/>
      <c r="AB107" s="110"/>
      <c r="AC107" s="433">
        <v>5</v>
      </c>
      <c r="AD107" s="111">
        <v>863.80000000000007</v>
      </c>
      <c r="AE107" s="110"/>
      <c r="AF107" s="110"/>
      <c r="AG107" s="110"/>
      <c r="AH107" s="1048"/>
    </row>
    <row r="108" spans="1:34" ht="45" x14ac:dyDescent="0.25">
      <c r="A108" s="1047"/>
      <c r="B108" s="110" t="s">
        <v>109</v>
      </c>
      <c r="C108" s="110"/>
      <c r="D108" s="433">
        <v>17</v>
      </c>
      <c r="E108" s="207" t="s">
        <v>1772</v>
      </c>
      <c r="F108" s="1178" t="s">
        <v>4353</v>
      </c>
      <c r="G108" s="1056" t="s">
        <v>4306</v>
      </c>
      <c r="H108" s="433" t="s">
        <v>3478</v>
      </c>
      <c r="I108" s="111">
        <v>242.81948235294124</v>
      </c>
      <c r="J108" s="111">
        <v>4127.9312000000009</v>
      </c>
      <c r="K108" s="110"/>
      <c r="L108" s="110"/>
      <c r="M108" s="110"/>
      <c r="N108" s="110"/>
      <c r="O108" s="110"/>
      <c r="P108" s="110"/>
      <c r="Q108" s="433">
        <v>9</v>
      </c>
      <c r="R108" s="111">
        <v>1375.977066666667</v>
      </c>
      <c r="S108" s="110"/>
      <c r="T108" s="110"/>
      <c r="U108" s="110"/>
      <c r="V108" s="110"/>
      <c r="W108" s="433">
        <v>4</v>
      </c>
      <c r="X108" s="111">
        <v>1375.977066666667</v>
      </c>
      <c r="Y108" s="110"/>
      <c r="Z108" s="110"/>
      <c r="AA108" s="110"/>
      <c r="AB108" s="110"/>
      <c r="AC108" s="433">
        <v>4</v>
      </c>
      <c r="AD108" s="111">
        <v>1375.977066666667</v>
      </c>
      <c r="AE108" s="110"/>
      <c r="AF108" s="110"/>
      <c r="AG108" s="110"/>
      <c r="AH108" s="1048"/>
    </row>
    <row r="109" spans="1:34" ht="45" x14ac:dyDescent="0.25">
      <c r="A109" s="1047"/>
      <c r="B109" s="110" t="s">
        <v>3529</v>
      </c>
      <c r="C109" s="110"/>
      <c r="D109" s="433">
        <v>6</v>
      </c>
      <c r="E109" s="207" t="s">
        <v>2992</v>
      </c>
      <c r="F109" s="1178" t="s">
        <v>4353</v>
      </c>
      <c r="G109" s="1056" t="s">
        <v>4306</v>
      </c>
      <c r="H109" s="433" t="s">
        <v>3478</v>
      </c>
      <c r="I109" s="111">
        <v>299</v>
      </c>
      <c r="J109" s="111">
        <v>1794</v>
      </c>
      <c r="K109" s="110"/>
      <c r="L109" s="110"/>
      <c r="M109" s="110"/>
      <c r="N109" s="110"/>
      <c r="O109" s="110"/>
      <c r="P109" s="110"/>
      <c r="Q109" s="433">
        <v>2</v>
      </c>
      <c r="R109" s="111">
        <v>598</v>
      </c>
      <c r="S109" s="110"/>
      <c r="T109" s="110"/>
      <c r="U109" s="110"/>
      <c r="V109" s="110"/>
      <c r="W109" s="433">
        <v>2</v>
      </c>
      <c r="X109" s="111">
        <v>598</v>
      </c>
      <c r="Y109" s="110"/>
      <c r="Z109" s="110"/>
      <c r="AA109" s="110"/>
      <c r="AB109" s="110"/>
      <c r="AC109" s="433">
        <v>2</v>
      </c>
      <c r="AD109" s="111">
        <v>598</v>
      </c>
      <c r="AE109" s="110"/>
      <c r="AF109" s="110"/>
      <c r="AG109" s="110"/>
      <c r="AH109" s="1048"/>
    </row>
    <row r="110" spans="1:34" ht="45" x14ac:dyDescent="0.25">
      <c r="A110" s="1047"/>
      <c r="B110" s="110" t="s">
        <v>3530</v>
      </c>
      <c r="C110" s="110"/>
      <c r="D110" s="433">
        <v>5</v>
      </c>
      <c r="E110" s="207" t="s">
        <v>1772</v>
      </c>
      <c r="F110" s="1178" t="s">
        <v>4353</v>
      </c>
      <c r="G110" s="1056" t="s">
        <v>4306</v>
      </c>
      <c r="H110" s="433" t="s">
        <v>3478</v>
      </c>
      <c r="I110" s="111">
        <v>225</v>
      </c>
      <c r="J110" s="111">
        <v>1125</v>
      </c>
      <c r="K110" s="110"/>
      <c r="L110" s="110"/>
      <c r="M110" s="110"/>
      <c r="N110" s="110"/>
      <c r="O110" s="110"/>
      <c r="P110" s="110"/>
      <c r="Q110" s="433">
        <v>2</v>
      </c>
      <c r="R110" s="111">
        <v>375</v>
      </c>
      <c r="S110" s="110"/>
      <c r="T110" s="110"/>
      <c r="U110" s="110"/>
      <c r="V110" s="110"/>
      <c r="W110" s="433">
        <v>2</v>
      </c>
      <c r="X110" s="111">
        <v>375</v>
      </c>
      <c r="Y110" s="110"/>
      <c r="Z110" s="110"/>
      <c r="AA110" s="110"/>
      <c r="AB110" s="110"/>
      <c r="AC110" s="433">
        <v>1</v>
      </c>
      <c r="AD110" s="111">
        <v>375</v>
      </c>
      <c r="AE110" s="110"/>
      <c r="AF110" s="110"/>
      <c r="AG110" s="110"/>
      <c r="AH110" s="1048"/>
    </row>
    <row r="111" spans="1:34" ht="45" x14ac:dyDescent="0.25">
      <c r="A111" s="1047"/>
      <c r="B111" s="110" t="s">
        <v>3531</v>
      </c>
      <c r="C111" s="110"/>
      <c r="D111" s="433">
        <v>50</v>
      </c>
      <c r="E111" s="207" t="s">
        <v>1767</v>
      </c>
      <c r="F111" s="1178" t="s">
        <v>4353</v>
      </c>
      <c r="G111" s="1056" t="s">
        <v>4306</v>
      </c>
      <c r="H111" s="433" t="s">
        <v>3478</v>
      </c>
      <c r="I111" s="111">
        <v>14</v>
      </c>
      <c r="J111" s="111">
        <v>700</v>
      </c>
      <c r="K111" s="110"/>
      <c r="L111" s="110"/>
      <c r="M111" s="110"/>
      <c r="N111" s="110"/>
      <c r="O111" s="110"/>
      <c r="P111" s="110"/>
      <c r="Q111" s="433">
        <v>25</v>
      </c>
      <c r="R111" s="111">
        <v>233.33333333333334</v>
      </c>
      <c r="S111" s="110"/>
      <c r="T111" s="110"/>
      <c r="U111" s="110"/>
      <c r="V111" s="110"/>
      <c r="W111" s="433">
        <v>13</v>
      </c>
      <c r="X111" s="111">
        <v>233.33333333333334</v>
      </c>
      <c r="Y111" s="110"/>
      <c r="Z111" s="110"/>
      <c r="AA111" s="110"/>
      <c r="AB111" s="110"/>
      <c r="AC111" s="433">
        <v>12</v>
      </c>
      <c r="AD111" s="111">
        <v>233.33333333333334</v>
      </c>
      <c r="AE111" s="110"/>
      <c r="AF111" s="110"/>
      <c r="AG111" s="110"/>
      <c r="AH111" s="1048"/>
    </row>
    <row r="112" spans="1:34" ht="45" x14ac:dyDescent="0.25">
      <c r="A112" s="1047"/>
      <c r="B112" s="110" t="s">
        <v>3532</v>
      </c>
      <c r="C112" s="110"/>
      <c r="D112" s="433">
        <v>3</v>
      </c>
      <c r="E112" s="207" t="s">
        <v>1767</v>
      </c>
      <c r="F112" s="1178" t="s">
        <v>4353</v>
      </c>
      <c r="G112" s="1056" t="s">
        <v>4306</v>
      </c>
      <c r="H112" s="433" t="s">
        <v>3478</v>
      </c>
      <c r="I112" s="111">
        <v>180</v>
      </c>
      <c r="J112" s="111">
        <v>540</v>
      </c>
      <c r="K112" s="110"/>
      <c r="L112" s="110"/>
      <c r="M112" s="110"/>
      <c r="N112" s="110"/>
      <c r="O112" s="110"/>
      <c r="P112" s="110"/>
      <c r="Q112" s="433">
        <v>1</v>
      </c>
      <c r="R112" s="111">
        <v>180</v>
      </c>
      <c r="S112" s="110"/>
      <c r="T112" s="110"/>
      <c r="U112" s="110"/>
      <c r="V112" s="110"/>
      <c r="W112" s="433">
        <v>1</v>
      </c>
      <c r="X112" s="111">
        <v>180</v>
      </c>
      <c r="Y112" s="110"/>
      <c r="Z112" s="110"/>
      <c r="AA112" s="110"/>
      <c r="AB112" s="110"/>
      <c r="AC112" s="433">
        <v>1</v>
      </c>
      <c r="AD112" s="111">
        <v>180</v>
      </c>
      <c r="AE112" s="110"/>
      <c r="AF112" s="110"/>
      <c r="AG112" s="110"/>
      <c r="AH112" s="1048"/>
    </row>
    <row r="113" spans="1:34" ht="45" x14ac:dyDescent="0.25">
      <c r="A113" s="1047"/>
      <c r="B113" s="110" t="s">
        <v>3533</v>
      </c>
      <c r="C113" s="110"/>
      <c r="D113" s="433">
        <v>50</v>
      </c>
      <c r="E113" s="207" t="s">
        <v>1767</v>
      </c>
      <c r="F113" s="1178" t="s">
        <v>4353</v>
      </c>
      <c r="G113" s="1056" t="s">
        <v>4306</v>
      </c>
      <c r="H113" s="433" t="s">
        <v>3478</v>
      </c>
      <c r="I113" s="111">
        <v>6</v>
      </c>
      <c r="J113" s="111">
        <v>300</v>
      </c>
      <c r="K113" s="110"/>
      <c r="L113" s="110"/>
      <c r="M113" s="110"/>
      <c r="N113" s="110"/>
      <c r="O113" s="110"/>
      <c r="P113" s="110"/>
      <c r="Q113" s="433">
        <v>25</v>
      </c>
      <c r="R113" s="111">
        <v>100</v>
      </c>
      <c r="S113" s="110"/>
      <c r="T113" s="110"/>
      <c r="U113" s="110"/>
      <c r="V113" s="110"/>
      <c r="W113" s="433">
        <v>13</v>
      </c>
      <c r="X113" s="111">
        <v>100</v>
      </c>
      <c r="Y113" s="110"/>
      <c r="Z113" s="110"/>
      <c r="AA113" s="110"/>
      <c r="AB113" s="110"/>
      <c r="AC113" s="433">
        <v>12</v>
      </c>
      <c r="AD113" s="111">
        <v>100</v>
      </c>
      <c r="AE113" s="110"/>
      <c r="AF113" s="110"/>
      <c r="AG113" s="110"/>
      <c r="AH113" s="1048"/>
    </row>
    <row r="114" spans="1:34" ht="45" x14ac:dyDescent="0.25">
      <c r="A114" s="1047"/>
      <c r="B114" s="110" t="s">
        <v>3534</v>
      </c>
      <c r="C114" s="110"/>
      <c r="D114" s="433">
        <v>30</v>
      </c>
      <c r="E114" s="207" t="s">
        <v>1767</v>
      </c>
      <c r="F114" s="1178" t="s">
        <v>4353</v>
      </c>
      <c r="G114" s="1056" t="s">
        <v>4306</v>
      </c>
      <c r="H114" s="433" t="s">
        <v>3478</v>
      </c>
      <c r="I114" s="111">
        <v>2</v>
      </c>
      <c r="J114" s="111">
        <v>60</v>
      </c>
      <c r="K114" s="110"/>
      <c r="L114" s="110"/>
      <c r="M114" s="110"/>
      <c r="N114" s="110"/>
      <c r="O114" s="110"/>
      <c r="P114" s="110"/>
      <c r="Q114" s="433">
        <v>15</v>
      </c>
      <c r="R114" s="111">
        <v>20</v>
      </c>
      <c r="S114" s="110"/>
      <c r="T114" s="110"/>
      <c r="U114" s="110"/>
      <c r="V114" s="110"/>
      <c r="W114" s="433">
        <v>8</v>
      </c>
      <c r="X114" s="111">
        <v>20</v>
      </c>
      <c r="Y114" s="110"/>
      <c r="Z114" s="110"/>
      <c r="AA114" s="110"/>
      <c r="AB114" s="110"/>
      <c r="AC114" s="433">
        <v>7</v>
      </c>
      <c r="AD114" s="111">
        <v>20</v>
      </c>
      <c r="AE114" s="110"/>
      <c r="AF114" s="110"/>
      <c r="AG114" s="110"/>
      <c r="AH114" s="1048"/>
    </row>
    <row r="115" spans="1:34" ht="45" x14ac:dyDescent="0.25">
      <c r="A115" s="1047"/>
      <c r="B115" s="110" t="s">
        <v>3535</v>
      </c>
      <c r="C115" s="110"/>
      <c r="D115" s="433">
        <v>3</v>
      </c>
      <c r="E115" s="207" t="s">
        <v>1772</v>
      </c>
      <c r="F115" s="1178" t="s">
        <v>4353</v>
      </c>
      <c r="G115" s="1056" t="s">
        <v>4306</v>
      </c>
      <c r="H115" s="433" t="s">
        <v>3478</v>
      </c>
      <c r="I115" s="111">
        <v>154</v>
      </c>
      <c r="J115" s="111">
        <v>462</v>
      </c>
      <c r="K115" s="110"/>
      <c r="L115" s="110"/>
      <c r="M115" s="110"/>
      <c r="N115" s="110"/>
      <c r="O115" s="110"/>
      <c r="P115" s="110"/>
      <c r="Q115" s="433">
        <v>1</v>
      </c>
      <c r="R115" s="111">
        <v>154</v>
      </c>
      <c r="S115" s="110"/>
      <c r="T115" s="110"/>
      <c r="U115" s="110"/>
      <c r="V115" s="110"/>
      <c r="W115" s="433">
        <v>1</v>
      </c>
      <c r="X115" s="111">
        <v>154</v>
      </c>
      <c r="Y115" s="110"/>
      <c r="Z115" s="110"/>
      <c r="AA115" s="110"/>
      <c r="AB115" s="110"/>
      <c r="AC115" s="433">
        <v>1</v>
      </c>
      <c r="AD115" s="111">
        <v>154</v>
      </c>
      <c r="AE115" s="110"/>
      <c r="AF115" s="110"/>
      <c r="AG115" s="110"/>
      <c r="AH115" s="1048"/>
    </row>
    <row r="116" spans="1:34" ht="45" x14ac:dyDescent="0.25">
      <c r="A116" s="1047"/>
      <c r="B116" s="110" t="s">
        <v>267</v>
      </c>
      <c r="C116" s="110"/>
      <c r="D116" s="433">
        <v>20</v>
      </c>
      <c r="E116" s="207" t="s">
        <v>1772</v>
      </c>
      <c r="F116" s="1178" t="s">
        <v>4353</v>
      </c>
      <c r="G116" s="1056" t="s">
        <v>4306</v>
      </c>
      <c r="H116" s="433" t="s">
        <v>3478</v>
      </c>
      <c r="I116" s="111">
        <v>356</v>
      </c>
      <c r="J116" s="111">
        <v>7120</v>
      </c>
      <c r="K116" s="110"/>
      <c r="L116" s="110"/>
      <c r="M116" s="110"/>
      <c r="N116" s="110"/>
      <c r="O116" s="110"/>
      <c r="P116" s="110"/>
      <c r="Q116" s="433">
        <v>10</v>
      </c>
      <c r="R116" s="111">
        <v>2373.3333333333335</v>
      </c>
      <c r="S116" s="110"/>
      <c r="T116" s="110"/>
      <c r="U116" s="110"/>
      <c r="V116" s="110"/>
      <c r="W116" s="433">
        <v>5</v>
      </c>
      <c r="X116" s="111">
        <v>2373.3333333333335</v>
      </c>
      <c r="Y116" s="110"/>
      <c r="Z116" s="110"/>
      <c r="AA116" s="110"/>
      <c r="AB116" s="110"/>
      <c r="AC116" s="433">
        <v>5</v>
      </c>
      <c r="AD116" s="111">
        <v>2373.3333333333335</v>
      </c>
      <c r="AE116" s="110"/>
      <c r="AF116" s="110"/>
      <c r="AG116" s="110"/>
      <c r="AH116" s="1048"/>
    </row>
    <row r="117" spans="1:34" ht="45" x14ac:dyDescent="0.25">
      <c r="A117" s="1047"/>
      <c r="B117" s="110" t="s">
        <v>3536</v>
      </c>
      <c r="C117" s="110"/>
      <c r="D117" s="433">
        <v>20</v>
      </c>
      <c r="E117" s="207" t="s">
        <v>1767</v>
      </c>
      <c r="F117" s="1178" t="s">
        <v>4353</v>
      </c>
      <c r="G117" s="1056" t="s">
        <v>4306</v>
      </c>
      <c r="H117" s="433" t="s">
        <v>3478</v>
      </c>
      <c r="I117" s="111">
        <v>14</v>
      </c>
      <c r="J117" s="111">
        <v>280</v>
      </c>
      <c r="K117" s="110"/>
      <c r="L117" s="110"/>
      <c r="M117" s="110"/>
      <c r="N117" s="110"/>
      <c r="O117" s="110"/>
      <c r="P117" s="110"/>
      <c r="Q117" s="433">
        <v>10</v>
      </c>
      <c r="R117" s="111">
        <v>93.333333333333329</v>
      </c>
      <c r="S117" s="110"/>
      <c r="T117" s="110"/>
      <c r="U117" s="110"/>
      <c r="V117" s="110"/>
      <c r="W117" s="433">
        <v>5</v>
      </c>
      <c r="X117" s="111">
        <v>93.333333333333329</v>
      </c>
      <c r="Y117" s="110"/>
      <c r="Z117" s="110"/>
      <c r="AA117" s="110"/>
      <c r="AB117" s="110"/>
      <c r="AC117" s="433">
        <v>5</v>
      </c>
      <c r="AD117" s="111">
        <v>93.333333333333329</v>
      </c>
      <c r="AE117" s="110"/>
      <c r="AF117" s="110"/>
      <c r="AG117" s="110"/>
      <c r="AH117" s="1048"/>
    </row>
    <row r="118" spans="1:34" ht="45" x14ac:dyDescent="0.25">
      <c r="A118" s="1047"/>
      <c r="B118" s="110" t="s">
        <v>268</v>
      </c>
      <c r="C118" s="110"/>
      <c r="D118" s="433">
        <v>20</v>
      </c>
      <c r="E118" s="207" t="s">
        <v>1772</v>
      </c>
      <c r="F118" s="1178" t="s">
        <v>4353</v>
      </c>
      <c r="G118" s="1056" t="s">
        <v>4306</v>
      </c>
      <c r="H118" s="433" t="s">
        <v>3478</v>
      </c>
      <c r="I118" s="111">
        <v>27</v>
      </c>
      <c r="J118" s="111">
        <v>540</v>
      </c>
      <c r="K118" s="110"/>
      <c r="L118" s="110"/>
      <c r="M118" s="110"/>
      <c r="N118" s="110"/>
      <c r="O118" s="110"/>
      <c r="P118" s="110"/>
      <c r="Q118" s="433">
        <v>10</v>
      </c>
      <c r="R118" s="111">
        <v>180</v>
      </c>
      <c r="S118" s="110"/>
      <c r="T118" s="110"/>
      <c r="U118" s="110"/>
      <c r="V118" s="110"/>
      <c r="W118" s="433">
        <v>5</v>
      </c>
      <c r="X118" s="111">
        <v>180</v>
      </c>
      <c r="Y118" s="110"/>
      <c r="Z118" s="110"/>
      <c r="AA118" s="110"/>
      <c r="AB118" s="110"/>
      <c r="AC118" s="433">
        <v>5</v>
      </c>
      <c r="AD118" s="111">
        <v>180</v>
      </c>
      <c r="AE118" s="110"/>
      <c r="AF118" s="110"/>
      <c r="AG118" s="110"/>
      <c r="AH118" s="1048"/>
    </row>
    <row r="119" spans="1:34" ht="45" x14ac:dyDescent="0.25">
      <c r="A119" s="1047"/>
      <c r="B119" s="1057" t="s">
        <v>112</v>
      </c>
      <c r="C119" s="110"/>
      <c r="D119" s="433">
        <v>7</v>
      </c>
      <c r="E119" s="207" t="s">
        <v>1767</v>
      </c>
      <c r="F119" s="1178" t="s">
        <v>4353</v>
      </c>
      <c r="G119" s="1056" t="s">
        <v>4306</v>
      </c>
      <c r="H119" s="433" t="s">
        <v>3478</v>
      </c>
      <c r="I119" s="111">
        <v>263.09142857142854</v>
      </c>
      <c r="J119" s="111">
        <v>1841.6399999999999</v>
      </c>
      <c r="K119" s="110"/>
      <c r="L119" s="110"/>
      <c r="M119" s="110"/>
      <c r="N119" s="110"/>
      <c r="O119" s="110"/>
      <c r="P119" s="110"/>
      <c r="Q119" s="433">
        <v>3</v>
      </c>
      <c r="R119" s="111">
        <v>613.88</v>
      </c>
      <c r="S119" s="110"/>
      <c r="T119" s="110"/>
      <c r="U119" s="110"/>
      <c r="V119" s="110"/>
      <c r="W119" s="433">
        <v>2</v>
      </c>
      <c r="X119" s="111">
        <v>613.88</v>
      </c>
      <c r="Y119" s="110"/>
      <c r="Z119" s="110"/>
      <c r="AA119" s="110"/>
      <c r="AB119" s="110"/>
      <c r="AC119" s="433">
        <v>2</v>
      </c>
      <c r="AD119" s="111">
        <v>613.88</v>
      </c>
      <c r="AE119" s="110"/>
      <c r="AF119" s="110"/>
      <c r="AG119" s="110"/>
      <c r="AH119" s="1048"/>
    </row>
    <row r="120" spans="1:34" ht="45" x14ac:dyDescent="0.25">
      <c r="A120" s="1047"/>
      <c r="B120" s="110" t="s">
        <v>115</v>
      </c>
      <c r="C120" s="110"/>
      <c r="D120" s="433">
        <v>17</v>
      </c>
      <c r="E120" s="207" t="s">
        <v>1772</v>
      </c>
      <c r="F120" s="1178" t="s">
        <v>4353</v>
      </c>
      <c r="G120" s="1056" t="s">
        <v>4306</v>
      </c>
      <c r="H120" s="433" t="s">
        <v>3478</v>
      </c>
      <c r="I120" s="111">
        <v>23.542352941176471</v>
      </c>
      <c r="J120" s="111">
        <v>400.22</v>
      </c>
      <c r="K120" s="110"/>
      <c r="L120" s="110"/>
      <c r="M120" s="110"/>
      <c r="N120" s="110"/>
      <c r="O120" s="110"/>
      <c r="P120" s="110"/>
      <c r="Q120" s="433">
        <v>9</v>
      </c>
      <c r="R120" s="111">
        <v>133.40666666666667</v>
      </c>
      <c r="S120" s="110"/>
      <c r="T120" s="110"/>
      <c r="U120" s="110"/>
      <c r="V120" s="110"/>
      <c r="W120" s="433">
        <v>4</v>
      </c>
      <c r="X120" s="111">
        <v>133.40666666666667</v>
      </c>
      <c r="Y120" s="110"/>
      <c r="Z120" s="110"/>
      <c r="AA120" s="110"/>
      <c r="AB120" s="110"/>
      <c r="AC120" s="433">
        <v>4</v>
      </c>
      <c r="AD120" s="111">
        <v>133.40666666666667</v>
      </c>
      <c r="AE120" s="110"/>
      <c r="AF120" s="110"/>
      <c r="AG120" s="110"/>
      <c r="AH120" s="1048"/>
    </row>
    <row r="121" spans="1:34" ht="45" x14ac:dyDescent="0.25">
      <c r="A121" s="1047"/>
      <c r="B121" s="110" t="s">
        <v>3537</v>
      </c>
      <c r="C121" s="110"/>
      <c r="D121" s="433">
        <v>30</v>
      </c>
      <c r="E121" s="207" t="s">
        <v>1767</v>
      </c>
      <c r="F121" s="1178" t="s">
        <v>4353</v>
      </c>
      <c r="G121" s="1056" t="s">
        <v>4306</v>
      </c>
      <c r="H121" s="433" t="s">
        <v>3478</v>
      </c>
      <c r="I121" s="111">
        <v>4</v>
      </c>
      <c r="J121" s="111">
        <v>120</v>
      </c>
      <c r="K121" s="110"/>
      <c r="L121" s="110"/>
      <c r="M121" s="110"/>
      <c r="N121" s="110"/>
      <c r="O121" s="110"/>
      <c r="P121" s="110"/>
      <c r="Q121" s="433">
        <v>15</v>
      </c>
      <c r="R121" s="111">
        <v>40</v>
      </c>
      <c r="S121" s="110"/>
      <c r="T121" s="110"/>
      <c r="U121" s="110"/>
      <c r="V121" s="110"/>
      <c r="W121" s="433">
        <v>8</v>
      </c>
      <c r="X121" s="111">
        <v>40</v>
      </c>
      <c r="Y121" s="110"/>
      <c r="Z121" s="110"/>
      <c r="AA121" s="110"/>
      <c r="AB121" s="110"/>
      <c r="AC121" s="433">
        <v>7</v>
      </c>
      <c r="AD121" s="111">
        <v>40</v>
      </c>
      <c r="AE121" s="110"/>
      <c r="AF121" s="110"/>
      <c r="AG121" s="110"/>
      <c r="AH121" s="1048"/>
    </row>
    <row r="122" spans="1:34" ht="45" x14ac:dyDescent="0.25">
      <c r="A122" s="1047"/>
      <c r="B122" s="110" t="s">
        <v>3538</v>
      </c>
      <c r="C122" s="110"/>
      <c r="D122" s="433">
        <v>80</v>
      </c>
      <c r="E122" s="207" t="s">
        <v>1767</v>
      </c>
      <c r="F122" s="1178" t="s">
        <v>4353</v>
      </c>
      <c r="G122" s="1056" t="s">
        <v>4306</v>
      </c>
      <c r="H122" s="433" t="s">
        <v>3478</v>
      </c>
      <c r="I122" s="111">
        <v>10</v>
      </c>
      <c r="J122" s="111">
        <v>800</v>
      </c>
      <c r="K122" s="110"/>
      <c r="L122" s="110"/>
      <c r="M122" s="110"/>
      <c r="N122" s="110"/>
      <c r="O122" s="110"/>
      <c r="P122" s="110"/>
      <c r="Q122" s="433">
        <v>40</v>
      </c>
      <c r="R122" s="111">
        <v>266.66666666666669</v>
      </c>
      <c r="S122" s="110"/>
      <c r="T122" s="110"/>
      <c r="U122" s="110"/>
      <c r="V122" s="110"/>
      <c r="W122" s="433">
        <v>20</v>
      </c>
      <c r="X122" s="111">
        <v>266.66666666666669</v>
      </c>
      <c r="Y122" s="110"/>
      <c r="Z122" s="110"/>
      <c r="AA122" s="110"/>
      <c r="AB122" s="110"/>
      <c r="AC122" s="433">
        <v>20</v>
      </c>
      <c r="AD122" s="111">
        <v>266.66666666666669</v>
      </c>
      <c r="AE122" s="110"/>
      <c r="AF122" s="110"/>
      <c r="AG122" s="110"/>
      <c r="AH122" s="1048"/>
    </row>
    <row r="123" spans="1:34" ht="45" x14ac:dyDescent="0.25">
      <c r="A123" s="1047"/>
      <c r="B123" s="110" t="s">
        <v>1408</v>
      </c>
      <c r="C123" s="110"/>
      <c r="D123" s="433">
        <v>50</v>
      </c>
      <c r="E123" s="207" t="s">
        <v>1772</v>
      </c>
      <c r="F123" s="1178" t="s">
        <v>4353</v>
      </c>
      <c r="G123" s="1056" t="s">
        <v>4306</v>
      </c>
      <c r="H123" s="433" t="s">
        <v>3478</v>
      </c>
      <c r="I123" s="111">
        <v>4</v>
      </c>
      <c r="J123" s="111">
        <v>200</v>
      </c>
      <c r="K123" s="110"/>
      <c r="L123" s="110"/>
      <c r="M123" s="110"/>
      <c r="N123" s="110"/>
      <c r="O123" s="110"/>
      <c r="P123" s="110"/>
      <c r="Q123" s="433">
        <v>25</v>
      </c>
      <c r="R123" s="111">
        <v>66.666666666666671</v>
      </c>
      <c r="S123" s="110"/>
      <c r="T123" s="110"/>
      <c r="U123" s="110"/>
      <c r="V123" s="110"/>
      <c r="W123" s="433">
        <v>13</v>
      </c>
      <c r="X123" s="111">
        <v>66.666666666666671</v>
      </c>
      <c r="Y123" s="110"/>
      <c r="Z123" s="110"/>
      <c r="AA123" s="110"/>
      <c r="AB123" s="110"/>
      <c r="AC123" s="433">
        <v>12</v>
      </c>
      <c r="AD123" s="111">
        <v>66.666666666666671</v>
      </c>
      <c r="AE123" s="110"/>
      <c r="AF123" s="110"/>
      <c r="AG123" s="110"/>
      <c r="AH123" s="1048"/>
    </row>
    <row r="124" spans="1:34" ht="45" x14ac:dyDescent="0.25">
      <c r="A124" s="1047"/>
      <c r="B124" s="110" t="s">
        <v>117</v>
      </c>
      <c r="C124" s="110"/>
      <c r="D124" s="433">
        <v>3</v>
      </c>
      <c r="E124" s="207" t="s">
        <v>1772</v>
      </c>
      <c r="F124" s="1178" t="s">
        <v>4353</v>
      </c>
      <c r="G124" s="1056" t="s">
        <v>4306</v>
      </c>
      <c r="H124" s="433" t="s">
        <v>3478</v>
      </c>
      <c r="I124" s="111">
        <v>137.80800000000002</v>
      </c>
      <c r="J124" s="111">
        <v>413.42400000000009</v>
      </c>
      <c r="K124" s="110"/>
      <c r="L124" s="110"/>
      <c r="M124" s="110"/>
      <c r="N124" s="110"/>
      <c r="O124" s="110"/>
      <c r="P124" s="110"/>
      <c r="Q124" s="433">
        <v>1</v>
      </c>
      <c r="R124" s="111">
        <v>137.80800000000002</v>
      </c>
      <c r="S124" s="110"/>
      <c r="T124" s="110"/>
      <c r="U124" s="110"/>
      <c r="V124" s="110"/>
      <c r="W124" s="433">
        <v>1</v>
      </c>
      <c r="X124" s="111">
        <v>137.80800000000002</v>
      </c>
      <c r="Y124" s="110"/>
      <c r="Z124" s="110"/>
      <c r="AA124" s="110"/>
      <c r="AB124" s="110"/>
      <c r="AC124" s="433">
        <v>1</v>
      </c>
      <c r="AD124" s="111">
        <v>137.80800000000002</v>
      </c>
      <c r="AE124" s="110"/>
      <c r="AF124" s="110"/>
      <c r="AG124" s="110"/>
      <c r="AH124" s="1048"/>
    </row>
    <row r="125" spans="1:34" ht="45" x14ac:dyDescent="0.25">
      <c r="A125" s="1047"/>
      <c r="B125" s="110" t="s">
        <v>3539</v>
      </c>
      <c r="C125" s="110"/>
      <c r="D125" s="433">
        <v>402</v>
      </c>
      <c r="E125" s="207" t="s">
        <v>1767</v>
      </c>
      <c r="F125" s="1178" t="s">
        <v>4353</v>
      </c>
      <c r="G125" s="1056" t="s">
        <v>4306</v>
      </c>
      <c r="H125" s="433" t="s">
        <v>3478</v>
      </c>
      <c r="I125" s="111">
        <v>2.428507462686567</v>
      </c>
      <c r="J125" s="111">
        <v>976.26</v>
      </c>
      <c r="K125" s="110"/>
      <c r="L125" s="110"/>
      <c r="M125" s="110"/>
      <c r="N125" s="110"/>
      <c r="O125" s="110"/>
      <c r="P125" s="110"/>
      <c r="Q125" s="433">
        <v>202</v>
      </c>
      <c r="R125" s="111">
        <v>325.42</v>
      </c>
      <c r="S125" s="110"/>
      <c r="T125" s="110"/>
      <c r="U125" s="110"/>
      <c r="V125" s="110"/>
      <c r="W125" s="433">
        <v>100</v>
      </c>
      <c r="X125" s="111">
        <v>325.42</v>
      </c>
      <c r="Y125" s="110"/>
      <c r="Z125" s="110"/>
      <c r="AA125" s="110"/>
      <c r="AB125" s="110"/>
      <c r="AC125" s="433">
        <v>100</v>
      </c>
      <c r="AD125" s="111">
        <v>325.42</v>
      </c>
      <c r="AE125" s="110"/>
      <c r="AF125" s="110"/>
      <c r="AG125" s="110"/>
      <c r="AH125" s="1048"/>
    </row>
    <row r="126" spans="1:34" ht="45" x14ac:dyDescent="0.25">
      <c r="A126" s="1047"/>
      <c r="B126" s="110" t="s">
        <v>3540</v>
      </c>
      <c r="C126" s="110"/>
      <c r="D126" s="433">
        <v>4000</v>
      </c>
      <c r="E126" s="207" t="s">
        <v>1772</v>
      </c>
      <c r="F126" s="1178" t="s">
        <v>4353</v>
      </c>
      <c r="G126" s="1056" t="s">
        <v>4306</v>
      </c>
      <c r="H126" s="433" t="s">
        <v>3478</v>
      </c>
      <c r="I126" s="111">
        <v>3.94</v>
      </c>
      <c r="J126" s="111">
        <v>15760</v>
      </c>
      <c r="K126" s="110"/>
      <c r="L126" s="110"/>
      <c r="M126" s="110"/>
      <c r="N126" s="110"/>
      <c r="O126" s="110"/>
      <c r="P126" s="110"/>
      <c r="Q126" s="433">
        <v>2000</v>
      </c>
      <c r="R126" s="111">
        <v>5253.333333333333</v>
      </c>
      <c r="S126" s="110"/>
      <c r="T126" s="110"/>
      <c r="U126" s="110"/>
      <c r="V126" s="110"/>
      <c r="W126" s="433">
        <v>1000</v>
      </c>
      <c r="X126" s="111">
        <v>5253.333333333333</v>
      </c>
      <c r="Y126" s="110"/>
      <c r="Z126" s="110"/>
      <c r="AA126" s="110"/>
      <c r="AB126" s="110"/>
      <c r="AC126" s="433">
        <v>1000</v>
      </c>
      <c r="AD126" s="111">
        <v>5253.333333333333</v>
      </c>
      <c r="AE126" s="110"/>
      <c r="AF126" s="110"/>
      <c r="AG126" s="110"/>
      <c r="AH126" s="1048"/>
    </row>
    <row r="127" spans="1:34" ht="45" x14ac:dyDescent="0.25">
      <c r="A127" s="1047"/>
      <c r="B127" s="110" t="s">
        <v>3541</v>
      </c>
      <c r="C127" s="110"/>
      <c r="D127" s="433">
        <v>800</v>
      </c>
      <c r="E127" s="207" t="s">
        <v>1772</v>
      </c>
      <c r="F127" s="1178" t="s">
        <v>4353</v>
      </c>
      <c r="G127" s="1056" t="s">
        <v>4306</v>
      </c>
      <c r="H127" s="433" t="s">
        <v>3478</v>
      </c>
      <c r="I127" s="111">
        <v>5.64</v>
      </c>
      <c r="J127" s="111">
        <v>4512</v>
      </c>
      <c r="K127" s="110"/>
      <c r="L127" s="110"/>
      <c r="M127" s="110"/>
      <c r="N127" s="110"/>
      <c r="O127" s="110"/>
      <c r="P127" s="110"/>
      <c r="Q127" s="433">
        <v>400</v>
      </c>
      <c r="R127" s="111">
        <v>1504</v>
      </c>
      <c r="S127" s="110"/>
      <c r="T127" s="110"/>
      <c r="U127" s="110"/>
      <c r="V127" s="110"/>
      <c r="W127" s="433">
        <v>200</v>
      </c>
      <c r="X127" s="111">
        <v>1504</v>
      </c>
      <c r="Y127" s="110"/>
      <c r="Z127" s="110"/>
      <c r="AA127" s="110"/>
      <c r="AB127" s="110"/>
      <c r="AC127" s="433">
        <v>200</v>
      </c>
      <c r="AD127" s="111">
        <v>1504</v>
      </c>
      <c r="AE127" s="110"/>
      <c r="AF127" s="110"/>
      <c r="AG127" s="110"/>
      <c r="AH127" s="1048"/>
    </row>
    <row r="128" spans="1:34" ht="45" x14ac:dyDescent="0.25">
      <c r="A128" s="1047"/>
      <c r="B128" s="110" t="s">
        <v>3542</v>
      </c>
      <c r="C128" s="110"/>
      <c r="D128" s="433">
        <v>10</v>
      </c>
      <c r="E128" s="207" t="s">
        <v>1772</v>
      </c>
      <c r="F128" s="1178" t="s">
        <v>4353</v>
      </c>
      <c r="G128" s="1056" t="s">
        <v>4306</v>
      </c>
      <c r="H128" s="433" t="s">
        <v>3478</v>
      </c>
      <c r="I128" s="111">
        <v>53.89</v>
      </c>
      <c r="J128" s="111">
        <v>538.9</v>
      </c>
      <c r="K128" s="110"/>
      <c r="L128" s="110"/>
      <c r="M128" s="110"/>
      <c r="N128" s="110"/>
      <c r="O128" s="110"/>
      <c r="P128" s="110"/>
      <c r="Q128" s="433">
        <v>5</v>
      </c>
      <c r="R128" s="111">
        <v>179.63333333333333</v>
      </c>
      <c r="S128" s="110"/>
      <c r="T128" s="110"/>
      <c r="U128" s="110"/>
      <c r="V128" s="110"/>
      <c r="W128" s="433">
        <v>3</v>
      </c>
      <c r="X128" s="111">
        <v>179.63333333333333</v>
      </c>
      <c r="Y128" s="110"/>
      <c r="Z128" s="110"/>
      <c r="AA128" s="110"/>
      <c r="AB128" s="110"/>
      <c r="AC128" s="433">
        <v>2</v>
      </c>
      <c r="AD128" s="111">
        <v>179.63333333333333</v>
      </c>
      <c r="AE128" s="110"/>
      <c r="AF128" s="110"/>
      <c r="AG128" s="110"/>
      <c r="AH128" s="1048"/>
    </row>
    <row r="129" spans="1:34" ht="45" x14ac:dyDescent="0.25">
      <c r="A129" s="1047"/>
      <c r="B129" s="110" t="s">
        <v>3543</v>
      </c>
      <c r="C129" s="110"/>
      <c r="D129" s="433">
        <v>2</v>
      </c>
      <c r="E129" s="207" t="s">
        <v>1772</v>
      </c>
      <c r="F129" s="1178" t="s">
        <v>4353</v>
      </c>
      <c r="G129" s="1056" t="s">
        <v>4306</v>
      </c>
      <c r="H129" s="433" t="s">
        <v>3478</v>
      </c>
      <c r="I129" s="111">
        <v>262.17</v>
      </c>
      <c r="J129" s="111">
        <v>524.34</v>
      </c>
      <c r="K129" s="110"/>
      <c r="L129" s="110"/>
      <c r="M129" s="110"/>
      <c r="N129" s="110"/>
      <c r="O129" s="110"/>
      <c r="P129" s="110"/>
      <c r="Q129" s="433">
        <v>1</v>
      </c>
      <c r="R129" s="111">
        <v>174.78</v>
      </c>
      <c r="S129" s="110"/>
      <c r="T129" s="110"/>
      <c r="U129" s="110"/>
      <c r="V129" s="110"/>
      <c r="W129" s="433">
        <v>1</v>
      </c>
      <c r="X129" s="111">
        <v>174.78</v>
      </c>
      <c r="Y129" s="110"/>
      <c r="Z129" s="110"/>
      <c r="AA129" s="110"/>
      <c r="AB129" s="110"/>
      <c r="AC129" s="433">
        <v>0</v>
      </c>
      <c r="AD129" s="111">
        <v>174.78</v>
      </c>
      <c r="AE129" s="110"/>
      <c r="AF129" s="110"/>
      <c r="AG129" s="110"/>
      <c r="AH129" s="1048"/>
    </row>
    <row r="130" spans="1:34" ht="45" x14ac:dyDescent="0.25">
      <c r="A130" s="1047"/>
      <c r="B130" s="110" t="s">
        <v>3544</v>
      </c>
      <c r="C130" s="110"/>
      <c r="D130" s="433">
        <v>6</v>
      </c>
      <c r="E130" s="207" t="s">
        <v>1772</v>
      </c>
      <c r="F130" s="1178" t="s">
        <v>4353</v>
      </c>
      <c r="G130" s="1056" t="s">
        <v>4306</v>
      </c>
      <c r="H130" s="433" t="s">
        <v>3478</v>
      </c>
      <c r="I130" s="111">
        <v>34.799999999999997</v>
      </c>
      <c r="J130" s="111">
        <v>208.79999999999998</v>
      </c>
      <c r="K130" s="110"/>
      <c r="L130" s="110"/>
      <c r="M130" s="110"/>
      <c r="N130" s="110"/>
      <c r="O130" s="110"/>
      <c r="P130" s="110"/>
      <c r="Q130" s="433">
        <v>2</v>
      </c>
      <c r="R130" s="111">
        <v>69.599999999999994</v>
      </c>
      <c r="S130" s="110"/>
      <c r="T130" s="110"/>
      <c r="U130" s="110"/>
      <c r="V130" s="110"/>
      <c r="W130" s="433">
        <v>2</v>
      </c>
      <c r="X130" s="111">
        <v>69.599999999999994</v>
      </c>
      <c r="Y130" s="110"/>
      <c r="Z130" s="110"/>
      <c r="AA130" s="110"/>
      <c r="AB130" s="110"/>
      <c r="AC130" s="433">
        <v>2</v>
      </c>
      <c r="AD130" s="111">
        <v>69.599999999999994</v>
      </c>
      <c r="AE130" s="110"/>
      <c r="AF130" s="110"/>
      <c r="AG130" s="110"/>
      <c r="AH130" s="1048"/>
    </row>
    <row r="131" spans="1:34" ht="45" x14ac:dyDescent="0.25">
      <c r="A131" s="1047"/>
      <c r="B131" s="110" t="s">
        <v>3545</v>
      </c>
      <c r="C131" s="110"/>
      <c r="D131" s="433">
        <v>2</v>
      </c>
      <c r="E131" s="207" t="s">
        <v>1722</v>
      </c>
      <c r="F131" s="1178" t="s">
        <v>4353</v>
      </c>
      <c r="G131" s="1056" t="s">
        <v>4306</v>
      </c>
      <c r="H131" s="433" t="s">
        <v>3478</v>
      </c>
      <c r="I131" s="111">
        <v>24.116399999999999</v>
      </c>
      <c r="J131" s="111">
        <v>48.232799999999997</v>
      </c>
      <c r="K131" s="110"/>
      <c r="L131" s="110"/>
      <c r="M131" s="110"/>
      <c r="N131" s="110"/>
      <c r="O131" s="110"/>
      <c r="P131" s="110"/>
      <c r="Q131" s="433">
        <v>1</v>
      </c>
      <c r="R131" s="111">
        <v>16.0776</v>
      </c>
      <c r="S131" s="110"/>
      <c r="T131" s="110"/>
      <c r="U131" s="110"/>
      <c r="V131" s="110"/>
      <c r="W131" s="433">
        <v>1</v>
      </c>
      <c r="X131" s="111">
        <v>16.0776</v>
      </c>
      <c r="Y131" s="110"/>
      <c r="Z131" s="110"/>
      <c r="AA131" s="110"/>
      <c r="AB131" s="110"/>
      <c r="AC131" s="433">
        <v>0</v>
      </c>
      <c r="AD131" s="111">
        <v>16.0776</v>
      </c>
      <c r="AE131" s="110"/>
      <c r="AF131" s="110"/>
      <c r="AG131" s="110"/>
      <c r="AH131" s="1048"/>
    </row>
    <row r="132" spans="1:34" ht="45" x14ac:dyDescent="0.25">
      <c r="A132" s="1047"/>
      <c r="B132" s="110" t="s">
        <v>114</v>
      </c>
      <c r="C132" s="110"/>
      <c r="D132" s="433">
        <v>2</v>
      </c>
      <c r="E132" s="207" t="s">
        <v>1722</v>
      </c>
      <c r="F132" s="1178" t="s">
        <v>4353</v>
      </c>
      <c r="G132" s="1056" t="s">
        <v>4306</v>
      </c>
      <c r="H132" s="433" t="s">
        <v>3478</v>
      </c>
      <c r="I132" s="111">
        <v>24.116399999999999</v>
      </c>
      <c r="J132" s="111">
        <v>48.232799999999997</v>
      </c>
      <c r="K132" s="110"/>
      <c r="L132" s="110"/>
      <c r="M132" s="110"/>
      <c r="N132" s="110"/>
      <c r="O132" s="110"/>
      <c r="P132" s="110"/>
      <c r="Q132" s="433">
        <v>1</v>
      </c>
      <c r="R132" s="111">
        <v>16.0776</v>
      </c>
      <c r="S132" s="110"/>
      <c r="T132" s="110"/>
      <c r="U132" s="110"/>
      <c r="V132" s="110"/>
      <c r="W132" s="433">
        <v>1</v>
      </c>
      <c r="X132" s="111">
        <v>16.0776</v>
      </c>
      <c r="Y132" s="110"/>
      <c r="Z132" s="110"/>
      <c r="AA132" s="110"/>
      <c r="AB132" s="110"/>
      <c r="AC132" s="433">
        <v>0</v>
      </c>
      <c r="AD132" s="111">
        <v>16.0776</v>
      </c>
      <c r="AE132" s="110"/>
      <c r="AF132" s="110"/>
      <c r="AG132" s="110"/>
      <c r="AH132" s="1048"/>
    </row>
    <row r="133" spans="1:34" x14ac:dyDescent="0.25">
      <c r="A133" s="1058">
        <v>21401</v>
      </c>
      <c r="B133" s="187" t="s">
        <v>146</v>
      </c>
      <c r="C133" s="110"/>
      <c r="D133" s="433"/>
      <c r="E133" s="207"/>
      <c r="F133" s="433"/>
      <c r="G133" s="1056"/>
      <c r="H133" s="433"/>
      <c r="I133" s="111"/>
      <c r="J133" s="111"/>
      <c r="K133" s="110"/>
      <c r="L133" s="110"/>
      <c r="M133" s="110"/>
      <c r="N133" s="110"/>
      <c r="O133" s="110"/>
      <c r="P133" s="110"/>
      <c r="Q133" s="433"/>
      <c r="R133" s="111"/>
      <c r="S133" s="110"/>
      <c r="T133" s="110"/>
      <c r="U133" s="110"/>
      <c r="V133" s="110"/>
      <c r="W133" s="433"/>
      <c r="X133" s="111"/>
      <c r="Y133" s="110"/>
      <c r="Z133" s="110"/>
      <c r="AA133" s="110"/>
      <c r="AB133" s="110"/>
      <c r="AC133" s="433"/>
      <c r="AD133" s="111"/>
      <c r="AE133" s="110"/>
      <c r="AF133" s="110"/>
      <c r="AG133" s="110"/>
      <c r="AH133" s="1048"/>
    </row>
    <row r="134" spans="1:34" ht="45" x14ac:dyDescent="0.25">
      <c r="A134" s="1047"/>
      <c r="B134" s="110" t="s">
        <v>3546</v>
      </c>
      <c r="C134" s="110"/>
      <c r="D134" s="433">
        <v>4</v>
      </c>
      <c r="E134" s="207" t="s">
        <v>1767</v>
      </c>
      <c r="F134" s="1178" t="s">
        <v>4353</v>
      </c>
      <c r="G134" s="1056" t="s">
        <v>4306</v>
      </c>
      <c r="H134" s="433" t="s">
        <v>3478</v>
      </c>
      <c r="I134" s="111">
        <v>850</v>
      </c>
      <c r="J134" s="111">
        <v>3400</v>
      </c>
      <c r="K134" s="110"/>
      <c r="L134" s="110"/>
      <c r="M134" s="110"/>
      <c r="N134" s="110"/>
      <c r="O134" s="110"/>
      <c r="P134" s="110"/>
      <c r="Q134" s="433">
        <v>2</v>
      </c>
      <c r="R134" s="111">
        <v>1133.3333333333333</v>
      </c>
      <c r="S134" s="110"/>
      <c r="T134" s="110"/>
      <c r="U134" s="110"/>
      <c r="V134" s="110"/>
      <c r="W134" s="433">
        <v>1</v>
      </c>
      <c r="X134" s="111">
        <v>1133.3333333333333</v>
      </c>
      <c r="Y134" s="110"/>
      <c r="Z134" s="110"/>
      <c r="AA134" s="110"/>
      <c r="AB134" s="110"/>
      <c r="AC134" s="433">
        <v>1</v>
      </c>
      <c r="AD134" s="111">
        <v>1133.3333333333333</v>
      </c>
      <c r="AE134" s="110"/>
      <c r="AF134" s="110"/>
      <c r="AG134" s="110"/>
      <c r="AH134" s="1048"/>
    </row>
    <row r="135" spans="1:34" ht="45" x14ac:dyDescent="0.25">
      <c r="A135" s="1047"/>
      <c r="B135" s="110" t="s">
        <v>3547</v>
      </c>
      <c r="C135" s="110"/>
      <c r="D135" s="433">
        <v>4</v>
      </c>
      <c r="E135" s="207" t="s">
        <v>1767</v>
      </c>
      <c r="F135" s="1178" t="s">
        <v>4353</v>
      </c>
      <c r="G135" s="1056" t="s">
        <v>4306</v>
      </c>
      <c r="H135" s="433" t="s">
        <v>3478</v>
      </c>
      <c r="I135" s="111">
        <v>850</v>
      </c>
      <c r="J135" s="111">
        <v>3400</v>
      </c>
      <c r="K135" s="110"/>
      <c r="L135" s="110"/>
      <c r="M135" s="110"/>
      <c r="N135" s="110"/>
      <c r="O135" s="110"/>
      <c r="P135" s="110"/>
      <c r="Q135" s="433">
        <v>2</v>
      </c>
      <c r="R135" s="111">
        <v>1133.3333333333333</v>
      </c>
      <c r="S135" s="110"/>
      <c r="T135" s="110"/>
      <c r="U135" s="110"/>
      <c r="V135" s="110"/>
      <c r="W135" s="433">
        <v>1</v>
      </c>
      <c r="X135" s="111">
        <v>1133.3333333333333</v>
      </c>
      <c r="Y135" s="110"/>
      <c r="Z135" s="110"/>
      <c r="AA135" s="110"/>
      <c r="AB135" s="110"/>
      <c r="AC135" s="433">
        <v>1</v>
      </c>
      <c r="AD135" s="111">
        <v>1133.3333333333333</v>
      </c>
      <c r="AE135" s="110"/>
      <c r="AF135" s="110"/>
      <c r="AG135" s="110"/>
      <c r="AH135" s="1048"/>
    </row>
    <row r="136" spans="1:34" ht="45" x14ac:dyDescent="0.25">
      <c r="A136" s="1047"/>
      <c r="B136" s="110" t="s">
        <v>1420</v>
      </c>
      <c r="C136" s="110"/>
      <c r="D136" s="433">
        <v>4</v>
      </c>
      <c r="E136" s="207" t="s">
        <v>1767</v>
      </c>
      <c r="F136" s="1178" t="s">
        <v>4353</v>
      </c>
      <c r="G136" s="1056" t="s">
        <v>4306</v>
      </c>
      <c r="H136" s="433" t="s">
        <v>3478</v>
      </c>
      <c r="I136" s="111">
        <v>2552</v>
      </c>
      <c r="J136" s="111">
        <v>10208</v>
      </c>
      <c r="K136" s="110"/>
      <c r="L136" s="110"/>
      <c r="M136" s="110"/>
      <c r="N136" s="110"/>
      <c r="O136" s="110"/>
      <c r="P136" s="110"/>
      <c r="Q136" s="433">
        <v>2</v>
      </c>
      <c r="R136" s="111">
        <v>3402.6666666666665</v>
      </c>
      <c r="S136" s="110"/>
      <c r="T136" s="110"/>
      <c r="U136" s="110"/>
      <c r="V136" s="110"/>
      <c r="W136" s="433">
        <v>1</v>
      </c>
      <c r="X136" s="111">
        <v>3402.6666666666665</v>
      </c>
      <c r="Y136" s="110"/>
      <c r="Z136" s="110"/>
      <c r="AA136" s="110"/>
      <c r="AB136" s="110"/>
      <c r="AC136" s="433">
        <v>1</v>
      </c>
      <c r="AD136" s="111">
        <v>3402.6666666666665</v>
      </c>
      <c r="AE136" s="110"/>
      <c r="AF136" s="110"/>
      <c r="AG136" s="110"/>
      <c r="AH136" s="1048"/>
    </row>
    <row r="137" spans="1:34" ht="45" x14ac:dyDescent="0.25">
      <c r="A137" s="1047"/>
      <c r="B137" s="110" t="s">
        <v>3548</v>
      </c>
      <c r="C137" s="110"/>
      <c r="D137" s="433">
        <v>10</v>
      </c>
      <c r="E137" s="207" t="s">
        <v>1721</v>
      </c>
      <c r="F137" s="1178" t="s">
        <v>4353</v>
      </c>
      <c r="G137" s="1056" t="s">
        <v>4306</v>
      </c>
      <c r="H137" s="433" t="s">
        <v>3478</v>
      </c>
      <c r="I137" s="111">
        <v>406</v>
      </c>
      <c r="J137" s="111">
        <v>4060</v>
      </c>
      <c r="K137" s="110"/>
      <c r="L137" s="110"/>
      <c r="M137" s="110"/>
      <c r="N137" s="110"/>
      <c r="O137" s="110"/>
      <c r="P137" s="110"/>
      <c r="Q137" s="433">
        <v>5</v>
      </c>
      <c r="R137" s="111">
        <v>1353.3333333333333</v>
      </c>
      <c r="S137" s="110"/>
      <c r="T137" s="110"/>
      <c r="U137" s="110"/>
      <c r="V137" s="110"/>
      <c r="W137" s="433">
        <v>3</v>
      </c>
      <c r="X137" s="111">
        <v>1353.3333333333333</v>
      </c>
      <c r="Y137" s="110"/>
      <c r="Z137" s="110"/>
      <c r="AA137" s="110"/>
      <c r="AB137" s="110"/>
      <c r="AC137" s="433">
        <v>2</v>
      </c>
      <c r="AD137" s="111">
        <v>1353.3333333333333</v>
      </c>
      <c r="AE137" s="110"/>
      <c r="AF137" s="110"/>
      <c r="AG137" s="110"/>
      <c r="AH137" s="1048"/>
    </row>
    <row r="138" spans="1:34" ht="45" x14ac:dyDescent="0.25">
      <c r="A138" s="1047"/>
      <c r="B138" s="110" t="s">
        <v>3549</v>
      </c>
      <c r="C138" s="110"/>
      <c r="D138" s="433">
        <v>2</v>
      </c>
      <c r="E138" s="207" t="s">
        <v>1767</v>
      </c>
      <c r="F138" s="1178" t="s">
        <v>4353</v>
      </c>
      <c r="G138" s="1056" t="s">
        <v>4306</v>
      </c>
      <c r="H138" s="433" t="s">
        <v>3478</v>
      </c>
      <c r="I138" s="111">
        <v>2101</v>
      </c>
      <c r="J138" s="111">
        <v>4202</v>
      </c>
      <c r="K138" s="110"/>
      <c r="L138" s="110"/>
      <c r="M138" s="110"/>
      <c r="N138" s="110"/>
      <c r="O138" s="110"/>
      <c r="P138" s="110"/>
      <c r="Q138" s="433">
        <v>1</v>
      </c>
      <c r="R138" s="111">
        <v>1400.6666666666667</v>
      </c>
      <c r="S138" s="110"/>
      <c r="T138" s="110"/>
      <c r="U138" s="110"/>
      <c r="V138" s="110"/>
      <c r="W138" s="433">
        <v>1</v>
      </c>
      <c r="X138" s="111">
        <v>1400.6666666666667</v>
      </c>
      <c r="Y138" s="110"/>
      <c r="Z138" s="110"/>
      <c r="AA138" s="110"/>
      <c r="AB138" s="110"/>
      <c r="AC138" s="433">
        <v>0</v>
      </c>
      <c r="AD138" s="111">
        <v>1400.6666666666667</v>
      </c>
      <c r="AE138" s="110"/>
      <c r="AF138" s="110"/>
      <c r="AG138" s="110"/>
      <c r="AH138" s="1048"/>
    </row>
    <row r="139" spans="1:34" ht="45" x14ac:dyDescent="0.25">
      <c r="A139" s="1047"/>
      <c r="B139" s="110" t="s">
        <v>3550</v>
      </c>
      <c r="C139" s="110"/>
      <c r="D139" s="433">
        <v>3</v>
      </c>
      <c r="E139" s="207" t="s">
        <v>1767</v>
      </c>
      <c r="F139" s="1178" t="s">
        <v>4353</v>
      </c>
      <c r="G139" s="1056" t="s">
        <v>4306</v>
      </c>
      <c r="H139" s="433" t="s">
        <v>3478</v>
      </c>
      <c r="I139" s="111">
        <v>230</v>
      </c>
      <c r="J139" s="111">
        <v>690</v>
      </c>
      <c r="K139" s="110"/>
      <c r="L139" s="110"/>
      <c r="M139" s="110"/>
      <c r="N139" s="110"/>
      <c r="O139" s="110"/>
      <c r="P139" s="110"/>
      <c r="Q139" s="433">
        <v>1</v>
      </c>
      <c r="R139" s="111">
        <v>230</v>
      </c>
      <c r="S139" s="110"/>
      <c r="T139" s="110"/>
      <c r="U139" s="110"/>
      <c r="V139" s="110"/>
      <c r="W139" s="433">
        <v>1</v>
      </c>
      <c r="X139" s="111">
        <v>230</v>
      </c>
      <c r="Y139" s="110"/>
      <c r="Z139" s="110"/>
      <c r="AA139" s="110"/>
      <c r="AB139" s="110"/>
      <c r="AC139" s="433">
        <v>1</v>
      </c>
      <c r="AD139" s="111">
        <v>230</v>
      </c>
      <c r="AE139" s="110"/>
      <c r="AF139" s="110"/>
      <c r="AG139" s="110"/>
      <c r="AH139" s="1048"/>
    </row>
    <row r="140" spans="1:34" ht="45" x14ac:dyDescent="0.25">
      <c r="A140" s="1047"/>
      <c r="B140" s="110" t="s">
        <v>3551</v>
      </c>
      <c r="C140" s="110"/>
      <c r="D140" s="433">
        <v>3</v>
      </c>
      <c r="E140" s="207" t="s">
        <v>1767</v>
      </c>
      <c r="F140" s="1178" t="s">
        <v>4353</v>
      </c>
      <c r="G140" s="1056" t="s">
        <v>4306</v>
      </c>
      <c r="H140" s="433" t="s">
        <v>3478</v>
      </c>
      <c r="I140" s="111">
        <v>961</v>
      </c>
      <c r="J140" s="111">
        <v>2883</v>
      </c>
      <c r="K140" s="110"/>
      <c r="L140" s="110"/>
      <c r="M140" s="110"/>
      <c r="N140" s="110"/>
      <c r="O140" s="110"/>
      <c r="P140" s="110"/>
      <c r="Q140" s="433">
        <v>1</v>
      </c>
      <c r="R140" s="111">
        <v>961</v>
      </c>
      <c r="S140" s="110"/>
      <c r="T140" s="110"/>
      <c r="U140" s="110"/>
      <c r="V140" s="110"/>
      <c r="W140" s="433">
        <v>1</v>
      </c>
      <c r="X140" s="111">
        <v>961</v>
      </c>
      <c r="Y140" s="110"/>
      <c r="Z140" s="110"/>
      <c r="AA140" s="110"/>
      <c r="AB140" s="110"/>
      <c r="AC140" s="433">
        <v>1</v>
      </c>
      <c r="AD140" s="111">
        <v>961</v>
      </c>
      <c r="AE140" s="110"/>
      <c r="AF140" s="110"/>
      <c r="AG140" s="110"/>
      <c r="AH140" s="1048"/>
    </row>
    <row r="141" spans="1:34" ht="45" x14ac:dyDescent="0.25">
      <c r="A141" s="1047"/>
      <c r="B141" s="110" t="s">
        <v>3552</v>
      </c>
      <c r="C141" s="110"/>
      <c r="D141" s="433">
        <v>3</v>
      </c>
      <c r="E141" s="207" t="s">
        <v>1767</v>
      </c>
      <c r="F141" s="1178" t="s">
        <v>4353</v>
      </c>
      <c r="G141" s="1056" t="s">
        <v>4306</v>
      </c>
      <c r="H141" s="433" t="s">
        <v>3478</v>
      </c>
      <c r="I141" s="111">
        <v>961</v>
      </c>
      <c r="J141" s="111">
        <v>2883</v>
      </c>
      <c r="K141" s="110"/>
      <c r="L141" s="110"/>
      <c r="M141" s="110"/>
      <c r="N141" s="110"/>
      <c r="O141" s="110"/>
      <c r="P141" s="110"/>
      <c r="Q141" s="433">
        <v>1</v>
      </c>
      <c r="R141" s="111">
        <v>961</v>
      </c>
      <c r="S141" s="110"/>
      <c r="T141" s="110"/>
      <c r="U141" s="110"/>
      <c r="V141" s="110"/>
      <c r="W141" s="433">
        <v>1</v>
      </c>
      <c r="X141" s="111">
        <v>961</v>
      </c>
      <c r="Y141" s="110"/>
      <c r="Z141" s="110"/>
      <c r="AA141" s="110"/>
      <c r="AB141" s="110"/>
      <c r="AC141" s="433">
        <v>1</v>
      </c>
      <c r="AD141" s="111">
        <v>961</v>
      </c>
      <c r="AE141" s="110"/>
      <c r="AF141" s="110"/>
      <c r="AG141" s="110"/>
      <c r="AH141" s="1048"/>
    </row>
    <row r="142" spans="1:34" ht="45" x14ac:dyDescent="0.25">
      <c r="A142" s="1047"/>
      <c r="B142" s="110" t="s">
        <v>3553</v>
      </c>
      <c r="C142" s="110"/>
      <c r="D142" s="433">
        <v>3</v>
      </c>
      <c r="E142" s="207" t="s">
        <v>1767</v>
      </c>
      <c r="F142" s="1178" t="s">
        <v>4353</v>
      </c>
      <c r="G142" s="1056" t="s">
        <v>4306</v>
      </c>
      <c r="H142" s="433" t="s">
        <v>3478</v>
      </c>
      <c r="I142" s="111">
        <v>961</v>
      </c>
      <c r="J142" s="111">
        <v>2883</v>
      </c>
      <c r="K142" s="110"/>
      <c r="L142" s="110"/>
      <c r="M142" s="110"/>
      <c r="N142" s="110"/>
      <c r="O142" s="110"/>
      <c r="P142" s="110"/>
      <c r="Q142" s="433">
        <v>1</v>
      </c>
      <c r="R142" s="111">
        <v>961</v>
      </c>
      <c r="S142" s="110"/>
      <c r="T142" s="110"/>
      <c r="U142" s="110"/>
      <c r="V142" s="110"/>
      <c r="W142" s="433">
        <v>1</v>
      </c>
      <c r="X142" s="111">
        <v>961</v>
      </c>
      <c r="Y142" s="110"/>
      <c r="Z142" s="110"/>
      <c r="AA142" s="110"/>
      <c r="AB142" s="110"/>
      <c r="AC142" s="433">
        <v>1</v>
      </c>
      <c r="AD142" s="111">
        <v>961</v>
      </c>
      <c r="AE142" s="110"/>
      <c r="AF142" s="110"/>
      <c r="AG142" s="110"/>
      <c r="AH142" s="1048"/>
    </row>
    <row r="143" spans="1:34" ht="45" x14ac:dyDescent="0.25">
      <c r="A143" s="1047"/>
      <c r="B143" s="110" t="s">
        <v>1492</v>
      </c>
      <c r="C143" s="110"/>
      <c r="D143" s="433">
        <v>3</v>
      </c>
      <c r="E143" s="207" t="s">
        <v>1767</v>
      </c>
      <c r="F143" s="1178" t="s">
        <v>4353</v>
      </c>
      <c r="G143" s="1056" t="s">
        <v>4306</v>
      </c>
      <c r="H143" s="433" t="s">
        <v>3478</v>
      </c>
      <c r="I143" s="111">
        <v>113</v>
      </c>
      <c r="J143" s="111">
        <v>339</v>
      </c>
      <c r="K143" s="110"/>
      <c r="L143" s="110"/>
      <c r="M143" s="110"/>
      <c r="N143" s="110"/>
      <c r="O143" s="110"/>
      <c r="P143" s="110"/>
      <c r="Q143" s="433">
        <v>1</v>
      </c>
      <c r="R143" s="111">
        <v>113</v>
      </c>
      <c r="S143" s="110"/>
      <c r="T143" s="110"/>
      <c r="U143" s="110"/>
      <c r="V143" s="110"/>
      <c r="W143" s="433">
        <v>1</v>
      </c>
      <c r="X143" s="111">
        <v>113</v>
      </c>
      <c r="Y143" s="110"/>
      <c r="Z143" s="110"/>
      <c r="AA143" s="110"/>
      <c r="AB143" s="110"/>
      <c r="AC143" s="433">
        <v>1</v>
      </c>
      <c r="AD143" s="111">
        <v>113</v>
      </c>
      <c r="AE143" s="110"/>
      <c r="AF143" s="110"/>
      <c r="AG143" s="110"/>
      <c r="AH143" s="1048"/>
    </row>
    <row r="144" spans="1:34" ht="45" x14ac:dyDescent="0.25">
      <c r="A144" s="1047"/>
      <c r="B144" s="110" t="s">
        <v>3554</v>
      </c>
      <c r="C144" s="110"/>
      <c r="D144" s="433">
        <v>5</v>
      </c>
      <c r="E144" s="207" t="s">
        <v>1767</v>
      </c>
      <c r="F144" s="1178" t="s">
        <v>4353</v>
      </c>
      <c r="G144" s="1056" t="s">
        <v>4306</v>
      </c>
      <c r="H144" s="433" t="s">
        <v>3478</v>
      </c>
      <c r="I144" s="111">
        <v>271</v>
      </c>
      <c r="J144" s="111">
        <v>1355</v>
      </c>
      <c r="K144" s="110"/>
      <c r="L144" s="110"/>
      <c r="M144" s="110"/>
      <c r="N144" s="110"/>
      <c r="O144" s="110"/>
      <c r="P144" s="110"/>
      <c r="Q144" s="433">
        <v>2</v>
      </c>
      <c r="R144" s="111">
        <v>451.66666666666669</v>
      </c>
      <c r="S144" s="110"/>
      <c r="T144" s="110"/>
      <c r="U144" s="110"/>
      <c r="V144" s="110"/>
      <c r="W144" s="433">
        <v>2</v>
      </c>
      <c r="X144" s="111">
        <v>451.66666666666669</v>
      </c>
      <c r="Y144" s="110"/>
      <c r="Z144" s="110"/>
      <c r="AA144" s="110"/>
      <c r="AB144" s="110"/>
      <c r="AC144" s="433">
        <v>1</v>
      </c>
      <c r="AD144" s="111">
        <v>451.66666666666669</v>
      </c>
      <c r="AE144" s="110"/>
      <c r="AF144" s="110"/>
      <c r="AG144" s="110"/>
      <c r="AH144" s="1048"/>
    </row>
    <row r="145" spans="1:34" ht="45" x14ac:dyDescent="0.25">
      <c r="A145" s="1047"/>
      <c r="B145" s="110" t="s">
        <v>3555</v>
      </c>
      <c r="C145" s="110"/>
      <c r="D145" s="433">
        <v>1</v>
      </c>
      <c r="E145" s="207" t="s">
        <v>1767</v>
      </c>
      <c r="F145" s="1178" t="s">
        <v>4353</v>
      </c>
      <c r="G145" s="1056" t="s">
        <v>4306</v>
      </c>
      <c r="H145" s="433" t="s">
        <v>3478</v>
      </c>
      <c r="I145" s="111">
        <v>1134</v>
      </c>
      <c r="J145" s="111">
        <v>1134</v>
      </c>
      <c r="K145" s="110"/>
      <c r="L145" s="110"/>
      <c r="M145" s="110"/>
      <c r="N145" s="110"/>
      <c r="O145" s="110"/>
      <c r="P145" s="110"/>
      <c r="Q145" s="433">
        <v>1</v>
      </c>
      <c r="R145" s="111">
        <v>378</v>
      </c>
      <c r="S145" s="110"/>
      <c r="T145" s="110"/>
      <c r="U145" s="110"/>
      <c r="V145" s="110"/>
      <c r="W145" s="433">
        <v>0</v>
      </c>
      <c r="X145" s="111">
        <v>378</v>
      </c>
      <c r="Y145" s="110"/>
      <c r="Z145" s="110"/>
      <c r="AA145" s="110"/>
      <c r="AB145" s="110"/>
      <c r="AC145" s="433">
        <v>0</v>
      </c>
      <c r="AD145" s="111">
        <v>378</v>
      </c>
      <c r="AE145" s="110"/>
      <c r="AF145" s="110"/>
      <c r="AG145" s="110"/>
      <c r="AH145" s="1048"/>
    </row>
    <row r="146" spans="1:34" x14ac:dyDescent="0.25">
      <c r="A146" s="1058">
        <v>21601</v>
      </c>
      <c r="B146" s="187" t="s">
        <v>3556</v>
      </c>
      <c r="C146" s="110"/>
      <c r="D146" s="433"/>
      <c r="E146" s="207"/>
      <c r="F146" s="433"/>
      <c r="G146" s="1056"/>
      <c r="H146" s="433"/>
      <c r="I146" s="111"/>
      <c r="J146" s="111"/>
      <c r="K146" s="110"/>
      <c r="L146" s="110"/>
      <c r="M146" s="110"/>
      <c r="N146" s="110"/>
      <c r="O146" s="110"/>
      <c r="P146" s="110"/>
      <c r="Q146" s="433"/>
      <c r="R146" s="111"/>
      <c r="S146" s="110"/>
      <c r="T146" s="110"/>
      <c r="U146" s="110"/>
      <c r="V146" s="110"/>
      <c r="W146" s="433"/>
      <c r="X146" s="111"/>
      <c r="Y146" s="110"/>
      <c r="Z146" s="110"/>
      <c r="AA146" s="110"/>
      <c r="AB146" s="110"/>
      <c r="AC146" s="433"/>
      <c r="AD146" s="111"/>
      <c r="AE146" s="110"/>
      <c r="AF146" s="110"/>
      <c r="AG146" s="110"/>
      <c r="AH146" s="1048"/>
    </row>
    <row r="147" spans="1:34" ht="45" x14ac:dyDescent="0.25">
      <c r="A147" s="1047"/>
      <c r="B147" s="110" t="s">
        <v>3557</v>
      </c>
      <c r="C147" s="110"/>
      <c r="D147" s="433">
        <v>15</v>
      </c>
      <c r="E147" s="207" t="s">
        <v>1767</v>
      </c>
      <c r="F147" s="1178" t="s">
        <v>4353</v>
      </c>
      <c r="G147" s="1056" t="s">
        <v>4306</v>
      </c>
      <c r="H147" s="433" t="s">
        <v>3478</v>
      </c>
      <c r="I147" s="111">
        <v>47.98</v>
      </c>
      <c r="J147" s="111">
        <v>719.69999999999993</v>
      </c>
      <c r="K147" s="110"/>
      <c r="L147" s="110"/>
      <c r="M147" s="110"/>
      <c r="N147" s="110"/>
      <c r="O147" s="110"/>
      <c r="P147" s="110"/>
      <c r="Q147" s="433">
        <v>8</v>
      </c>
      <c r="R147" s="111">
        <v>239.89999999999998</v>
      </c>
      <c r="S147" s="110"/>
      <c r="T147" s="110"/>
      <c r="U147" s="110"/>
      <c r="V147" s="110"/>
      <c r="W147" s="433">
        <v>4</v>
      </c>
      <c r="X147" s="111">
        <v>239.89999999999998</v>
      </c>
      <c r="Y147" s="110"/>
      <c r="Z147" s="110"/>
      <c r="AA147" s="110"/>
      <c r="AB147" s="110"/>
      <c r="AC147" s="433">
        <v>3</v>
      </c>
      <c r="AD147" s="111">
        <v>239.89999999999998</v>
      </c>
      <c r="AE147" s="110"/>
      <c r="AF147" s="110"/>
      <c r="AG147" s="110"/>
      <c r="AH147" s="1048"/>
    </row>
    <row r="148" spans="1:34" ht="45" x14ac:dyDescent="0.25">
      <c r="A148" s="1047"/>
      <c r="B148" s="110" t="s">
        <v>3558</v>
      </c>
      <c r="C148" s="110"/>
      <c r="D148" s="433">
        <v>28</v>
      </c>
      <c r="E148" s="207" t="s">
        <v>1767</v>
      </c>
      <c r="F148" s="1178" t="s">
        <v>4353</v>
      </c>
      <c r="G148" s="1056" t="s">
        <v>4306</v>
      </c>
      <c r="H148" s="433" t="s">
        <v>3478</v>
      </c>
      <c r="I148" s="111">
        <v>46.459306057142854</v>
      </c>
      <c r="J148" s="111">
        <v>1300.8605696</v>
      </c>
      <c r="K148" s="110"/>
      <c r="L148" s="110"/>
      <c r="M148" s="110"/>
      <c r="N148" s="110"/>
      <c r="O148" s="110"/>
      <c r="P148" s="110"/>
      <c r="Q148" s="433">
        <v>14</v>
      </c>
      <c r="R148" s="111">
        <v>433.62018986666664</v>
      </c>
      <c r="S148" s="110"/>
      <c r="T148" s="110"/>
      <c r="U148" s="110"/>
      <c r="V148" s="110"/>
      <c r="W148" s="433">
        <v>7</v>
      </c>
      <c r="X148" s="111">
        <v>433.62018986666664</v>
      </c>
      <c r="Y148" s="110"/>
      <c r="Z148" s="110"/>
      <c r="AA148" s="110"/>
      <c r="AB148" s="110"/>
      <c r="AC148" s="433">
        <v>7</v>
      </c>
      <c r="AD148" s="111">
        <v>433.62018986666664</v>
      </c>
      <c r="AE148" s="110"/>
      <c r="AF148" s="110"/>
      <c r="AG148" s="110"/>
      <c r="AH148" s="1048"/>
    </row>
    <row r="149" spans="1:34" ht="45" x14ac:dyDescent="0.25">
      <c r="A149" s="1047"/>
      <c r="B149" s="110" t="s">
        <v>3559</v>
      </c>
      <c r="C149" s="110"/>
      <c r="D149" s="433">
        <v>85</v>
      </c>
      <c r="E149" s="207" t="s">
        <v>1767</v>
      </c>
      <c r="F149" s="1178" t="s">
        <v>4353</v>
      </c>
      <c r="G149" s="1056" t="s">
        <v>4306</v>
      </c>
      <c r="H149" s="433" t="s">
        <v>3478</v>
      </c>
      <c r="I149" s="111">
        <v>52.002352941176468</v>
      </c>
      <c r="J149" s="111">
        <v>4420.2</v>
      </c>
      <c r="K149" s="110"/>
      <c r="L149" s="110"/>
      <c r="M149" s="110"/>
      <c r="N149" s="110"/>
      <c r="O149" s="110"/>
      <c r="P149" s="110"/>
      <c r="Q149" s="433">
        <v>35</v>
      </c>
      <c r="R149" s="111">
        <v>1473.3999999999999</v>
      </c>
      <c r="S149" s="110"/>
      <c r="T149" s="110"/>
      <c r="U149" s="110"/>
      <c r="V149" s="110"/>
      <c r="W149" s="433">
        <v>25</v>
      </c>
      <c r="X149" s="111">
        <v>1473.3999999999999</v>
      </c>
      <c r="Y149" s="110"/>
      <c r="Z149" s="110"/>
      <c r="AA149" s="110"/>
      <c r="AB149" s="110"/>
      <c r="AC149" s="433">
        <v>25</v>
      </c>
      <c r="AD149" s="111">
        <v>1473.3999999999999</v>
      </c>
      <c r="AE149" s="110"/>
      <c r="AF149" s="110"/>
      <c r="AG149" s="110"/>
      <c r="AH149" s="1048"/>
    </row>
    <row r="150" spans="1:34" ht="45" x14ac:dyDescent="0.25">
      <c r="A150" s="1047"/>
      <c r="B150" s="110" t="s">
        <v>3560</v>
      </c>
      <c r="C150" s="110"/>
      <c r="D150" s="433">
        <v>3</v>
      </c>
      <c r="E150" s="207" t="s">
        <v>1767</v>
      </c>
      <c r="F150" s="1178" t="s">
        <v>4353</v>
      </c>
      <c r="G150" s="1056" t="s">
        <v>4306</v>
      </c>
      <c r="H150" s="433" t="s">
        <v>3478</v>
      </c>
      <c r="I150" s="111">
        <v>251.69999999999996</v>
      </c>
      <c r="J150" s="111">
        <v>755.09999999999991</v>
      </c>
      <c r="K150" s="110"/>
      <c r="L150" s="110"/>
      <c r="M150" s="110"/>
      <c r="N150" s="110"/>
      <c r="O150" s="110"/>
      <c r="P150" s="110"/>
      <c r="Q150" s="433">
        <v>1</v>
      </c>
      <c r="R150" s="111">
        <v>251.69999999999996</v>
      </c>
      <c r="S150" s="110"/>
      <c r="T150" s="110"/>
      <c r="U150" s="110"/>
      <c r="V150" s="110"/>
      <c r="W150" s="433">
        <v>1</v>
      </c>
      <c r="X150" s="111">
        <v>251.69999999999996</v>
      </c>
      <c r="Y150" s="110"/>
      <c r="Z150" s="110"/>
      <c r="AA150" s="110"/>
      <c r="AB150" s="110"/>
      <c r="AC150" s="433">
        <v>1</v>
      </c>
      <c r="AD150" s="111">
        <v>251.69999999999996</v>
      </c>
      <c r="AE150" s="110"/>
      <c r="AF150" s="110"/>
      <c r="AG150" s="110"/>
      <c r="AH150" s="1048"/>
    </row>
    <row r="151" spans="1:34" ht="45" x14ac:dyDescent="0.25">
      <c r="A151" s="1047"/>
      <c r="B151" s="110" t="s">
        <v>3561</v>
      </c>
      <c r="C151" s="110"/>
      <c r="D151" s="433">
        <v>20</v>
      </c>
      <c r="E151" s="207" t="s">
        <v>1767</v>
      </c>
      <c r="F151" s="1178" t="s">
        <v>4353</v>
      </c>
      <c r="G151" s="1056" t="s">
        <v>4306</v>
      </c>
      <c r="H151" s="433" t="s">
        <v>3478</v>
      </c>
      <c r="I151" s="111">
        <v>15</v>
      </c>
      <c r="J151" s="111">
        <v>300</v>
      </c>
      <c r="K151" s="110"/>
      <c r="L151" s="110"/>
      <c r="M151" s="110"/>
      <c r="N151" s="110"/>
      <c r="O151" s="110"/>
      <c r="P151" s="110"/>
      <c r="Q151" s="433">
        <v>10</v>
      </c>
      <c r="R151" s="111">
        <v>100</v>
      </c>
      <c r="S151" s="110"/>
      <c r="T151" s="110"/>
      <c r="U151" s="110"/>
      <c r="V151" s="110"/>
      <c r="W151" s="433">
        <v>5</v>
      </c>
      <c r="X151" s="111">
        <v>100</v>
      </c>
      <c r="Y151" s="110"/>
      <c r="Z151" s="110"/>
      <c r="AA151" s="110"/>
      <c r="AB151" s="110"/>
      <c r="AC151" s="433">
        <v>5</v>
      </c>
      <c r="AD151" s="111">
        <v>100</v>
      </c>
      <c r="AE151" s="110"/>
      <c r="AF151" s="110"/>
      <c r="AG151" s="110"/>
      <c r="AH151" s="1048"/>
    </row>
    <row r="152" spans="1:34" ht="45" x14ac:dyDescent="0.25">
      <c r="A152" s="1047"/>
      <c r="B152" s="110" t="s">
        <v>3562</v>
      </c>
      <c r="C152" s="110"/>
      <c r="D152" s="433">
        <v>10</v>
      </c>
      <c r="E152" s="207" t="s">
        <v>1767</v>
      </c>
      <c r="F152" s="1178" t="s">
        <v>4353</v>
      </c>
      <c r="G152" s="1056" t="s">
        <v>4306</v>
      </c>
      <c r="H152" s="433" t="s">
        <v>3478</v>
      </c>
      <c r="I152" s="111">
        <v>304.92</v>
      </c>
      <c r="J152" s="111">
        <v>3049.2000000000003</v>
      </c>
      <c r="K152" s="110"/>
      <c r="L152" s="110"/>
      <c r="M152" s="110"/>
      <c r="N152" s="110"/>
      <c r="O152" s="110"/>
      <c r="P152" s="110"/>
      <c r="Q152" s="433">
        <v>5</v>
      </c>
      <c r="R152" s="111">
        <v>1016.4000000000001</v>
      </c>
      <c r="S152" s="110"/>
      <c r="T152" s="110"/>
      <c r="U152" s="110"/>
      <c r="V152" s="110"/>
      <c r="W152" s="433">
        <v>3</v>
      </c>
      <c r="X152" s="111">
        <v>1016.4000000000001</v>
      </c>
      <c r="Y152" s="110"/>
      <c r="Z152" s="110"/>
      <c r="AA152" s="110"/>
      <c r="AB152" s="110"/>
      <c r="AC152" s="433">
        <v>2</v>
      </c>
      <c r="AD152" s="111">
        <v>1016.4000000000001</v>
      </c>
      <c r="AE152" s="110"/>
      <c r="AF152" s="110"/>
      <c r="AG152" s="110"/>
      <c r="AH152" s="1048"/>
    </row>
    <row r="153" spans="1:34" ht="45" x14ac:dyDescent="0.25">
      <c r="A153" s="1047"/>
      <c r="B153" s="110" t="s">
        <v>3563</v>
      </c>
      <c r="C153" s="110"/>
      <c r="D153" s="433">
        <v>4</v>
      </c>
      <c r="E153" s="207" t="s">
        <v>1767</v>
      </c>
      <c r="F153" s="1178" t="s">
        <v>4353</v>
      </c>
      <c r="G153" s="1056" t="s">
        <v>4306</v>
      </c>
      <c r="H153" s="433" t="s">
        <v>3478</v>
      </c>
      <c r="I153" s="111">
        <v>29.72</v>
      </c>
      <c r="J153" s="111">
        <v>118.88</v>
      </c>
      <c r="K153" s="110"/>
      <c r="L153" s="110"/>
      <c r="M153" s="110"/>
      <c r="N153" s="110"/>
      <c r="O153" s="110"/>
      <c r="P153" s="110"/>
      <c r="Q153" s="433">
        <v>2</v>
      </c>
      <c r="R153" s="111">
        <v>39.626666666666665</v>
      </c>
      <c r="S153" s="110"/>
      <c r="T153" s="110"/>
      <c r="U153" s="110"/>
      <c r="V153" s="110"/>
      <c r="W153" s="433">
        <v>1</v>
      </c>
      <c r="X153" s="111">
        <v>39.626666666666665</v>
      </c>
      <c r="Y153" s="110"/>
      <c r="Z153" s="110"/>
      <c r="AA153" s="110"/>
      <c r="AB153" s="110"/>
      <c r="AC153" s="433">
        <v>1</v>
      </c>
      <c r="AD153" s="111">
        <v>39.626666666666665</v>
      </c>
      <c r="AE153" s="110"/>
      <c r="AF153" s="110"/>
      <c r="AG153" s="110"/>
      <c r="AH153" s="1048"/>
    </row>
    <row r="154" spans="1:34" ht="45" x14ac:dyDescent="0.25">
      <c r="A154" s="1047"/>
      <c r="B154" s="110" t="s">
        <v>3564</v>
      </c>
      <c r="C154" s="110"/>
      <c r="D154" s="433">
        <v>6</v>
      </c>
      <c r="E154" s="207" t="s">
        <v>1767</v>
      </c>
      <c r="F154" s="1178" t="s">
        <v>4353</v>
      </c>
      <c r="G154" s="1056" t="s">
        <v>4306</v>
      </c>
      <c r="H154" s="433" t="s">
        <v>3478</v>
      </c>
      <c r="I154" s="111">
        <v>15.979999999999999</v>
      </c>
      <c r="J154" s="111">
        <v>95.88</v>
      </c>
      <c r="K154" s="110"/>
      <c r="L154" s="110"/>
      <c r="M154" s="110"/>
      <c r="N154" s="110"/>
      <c r="O154" s="110"/>
      <c r="P154" s="110"/>
      <c r="Q154" s="433">
        <v>2</v>
      </c>
      <c r="R154" s="111">
        <v>31.959999999999997</v>
      </c>
      <c r="S154" s="110"/>
      <c r="T154" s="110"/>
      <c r="U154" s="110"/>
      <c r="V154" s="110"/>
      <c r="W154" s="433">
        <v>2</v>
      </c>
      <c r="X154" s="111">
        <v>31.959999999999997</v>
      </c>
      <c r="Y154" s="110"/>
      <c r="Z154" s="110"/>
      <c r="AA154" s="110"/>
      <c r="AB154" s="110"/>
      <c r="AC154" s="433">
        <v>2</v>
      </c>
      <c r="AD154" s="111">
        <v>31.959999999999997</v>
      </c>
      <c r="AE154" s="110"/>
      <c r="AF154" s="110"/>
      <c r="AG154" s="110"/>
      <c r="AH154" s="1048"/>
    </row>
    <row r="155" spans="1:34" ht="45" x14ac:dyDescent="0.25">
      <c r="A155" s="1047"/>
      <c r="B155" s="110" t="s">
        <v>3565</v>
      </c>
      <c r="C155" s="110"/>
      <c r="D155" s="433">
        <v>10</v>
      </c>
      <c r="E155" s="207" t="s">
        <v>1767</v>
      </c>
      <c r="F155" s="1178" t="s">
        <v>4353</v>
      </c>
      <c r="G155" s="1056" t="s">
        <v>4306</v>
      </c>
      <c r="H155" s="433" t="s">
        <v>3478</v>
      </c>
      <c r="I155" s="111">
        <v>100</v>
      </c>
      <c r="J155" s="111">
        <v>1000</v>
      </c>
      <c r="K155" s="110"/>
      <c r="L155" s="110"/>
      <c r="M155" s="110"/>
      <c r="N155" s="110"/>
      <c r="O155" s="110"/>
      <c r="P155" s="110"/>
      <c r="Q155" s="433">
        <v>5</v>
      </c>
      <c r="R155" s="111">
        <v>333.33333333333331</v>
      </c>
      <c r="S155" s="110"/>
      <c r="T155" s="110"/>
      <c r="U155" s="110"/>
      <c r="V155" s="110"/>
      <c r="W155" s="433">
        <v>3</v>
      </c>
      <c r="X155" s="111">
        <v>333.33333333333331</v>
      </c>
      <c r="Y155" s="110"/>
      <c r="Z155" s="110"/>
      <c r="AA155" s="110"/>
      <c r="AB155" s="110"/>
      <c r="AC155" s="433">
        <v>2</v>
      </c>
      <c r="AD155" s="111">
        <v>333.33333333333331</v>
      </c>
      <c r="AE155" s="110"/>
      <c r="AF155" s="110"/>
      <c r="AG155" s="110"/>
      <c r="AH155" s="1048"/>
    </row>
    <row r="156" spans="1:34" ht="45" x14ac:dyDescent="0.25">
      <c r="A156" s="1047"/>
      <c r="B156" s="110" t="s">
        <v>3566</v>
      </c>
      <c r="C156" s="110"/>
      <c r="D156" s="433">
        <v>12</v>
      </c>
      <c r="E156" s="207" t="s">
        <v>1767</v>
      </c>
      <c r="F156" s="1178" t="s">
        <v>4353</v>
      </c>
      <c r="G156" s="1056" t="s">
        <v>4306</v>
      </c>
      <c r="H156" s="433" t="s">
        <v>3478</v>
      </c>
      <c r="I156" s="111">
        <v>45</v>
      </c>
      <c r="J156" s="111">
        <v>540</v>
      </c>
      <c r="K156" s="110"/>
      <c r="L156" s="110"/>
      <c r="M156" s="110"/>
      <c r="N156" s="110"/>
      <c r="O156" s="110"/>
      <c r="P156" s="110"/>
      <c r="Q156" s="433">
        <v>6</v>
      </c>
      <c r="R156" s="111">
        <v>180</v>
      </c>
      <c r="S156" s="110"/>
      <c r="T156" s="110"/>
      <c r="U156" s="110"/>
      <c r="V156" s="110"/>
      <c r="W156" s="433">
        <v>3</v>
      </c>
      <c r="X156" s="111">
        <v>180</v>
      </c>
      <c r="Y156" s="110"/>
      <c r="Z156" s="110"/>
      <c r="AA156" s="110"/>
      <c r="AB156" s="110"/>
      <c r="AC156" s="433">
        <v>3</v>
      </c>
      <c r="AD156" s="111">
        <v>180</v>
      </c>
      <c r="AE156" s="110"/>
      <c r="AF156" s="110"/>
      <c r="AG156" s="110"/>
      <c r="AH156" s="1048"/>
    </row>
    <row r="157" spans="1:34" ht="45" x14ac:dyDescent="0.25">
      <c r="A157" s="1047"/>
      <c r="B157" s="110" t="s">
        <v>3567</v>
      </c>
      <c r="C157" s="110"/>
      <c r="D157" s="433">
        <v>4</v>
      </c>
      <c r="E157" s="207" t="s">
        <v>1767</v>
      </c>
      <c r="F157" s="1178" t="s">
        <v>4353</v>
      </c>
      <c r="G157" s="1056" t="s">
        <v>4306</v>
      </c>
      <c r="H157" s="433" t="s">
        <v>3478</v>
      </c>
      <c r="I157" s="111">
        <v>54.08</v>
      </c>
      <c r="J157" s="111">
        <v>216.32</v>
      </c>
      <c r="K157" s="110"/>
      <c r="L157" s="110"/>
      <c r="M157" s="110"/>
      <c r="N157" s="110"/>
      <c r="O157" s="110"/>
      <c r="P157" s="110"/>
      <c r="Q157" s="433">
        <v>2</v>
      </c>
      <c r="R157" s="111">
        <v>72.106666666666669</v>
      </c>
      <c r="S157" s="110"/>
      <c r="T157" s="110"/>
      <c r="U157" s="110"/>
      <c r="V157" s="110"/>
      <c r="W157" s="433">
        <v>1</v>
      </c>
      <c r="X157" s="111">
        <v>72.106666666666669</v>
      </c>
      <c r="Y157" s="110"/>
      <c r="Z157" s="110"/>
      <c r="AA157" s="110"/>
      <c r="AB157" s="110"/>
      <c r="AC157" s="433">
        <v>1</v>
      </c>
      <c r="AD157" s="111">
        <v>72.106666666666669</v>
      </c>
      <c r="AE157" s="110"/>
      <c r="AF157" s="110"/>
      <c r="AG157" s="110"/>
      <c r="AH157" s="1048"/>
    </row>
    <row r="158" spans="1:34" ht="45" x14ac:dyDescent="0.25">
      <c r="A158" s="1047"/>
      <c r="B158" s="110" t="s">
        <v>3568</v>
      </c>
      <c r="C158" s="110"/>
      <c r="D158" s="433">
        <v>4</v>
      </c>
      <c r="E158" s="207" t="s">
        <v>1767</v>
      </c>
      <c r="F158" s="1178" t="s">
        <v>4353</v>
      </c>
      <c r="G158" s="1056" t="s">
        <v>4306</v>
      </c>
      <c r="H158" s="433" t="s">
        <v>3478</v>
      </c>
      <c r="I158" s="111">
        <v>43.15</v>
      </c>
      <c r="J158" s="111">
        <v>172.6</v>
      </c>
      <c r="K158" s="110"/>
      <c r="L158" s="110"/>
      <c r="M158" s="110"/>
      <c r="N158" s="110"/>
      <c r="O158" s="110"/>
      <c r="P158" s="110"/>
      <c r="Q158" s="433">
        <v>2</v>
      </c>
      <c r="R158" s="111">
        <v>57.533333333333331</v>
      </c>
      <c r="S158" s="110"/>
      <c r="T158" s="110"/>
      <c r="U158" s="110"/>
      <c r="V158" s="110"/>
      <c r="W158" s="433">
        <v>1</v>
      </c>
      <c r="X158" s="111">
        <v>57.533333333333331</v>
      </c>
      <c r="Y158" s="110"/>
      <c r="Z158" s="110"/>
      <c r="AA158" s="110"/>
      <c r="AB158" s="110"/>
      <c r="AC158" s="433">
        <v>1</v>
      </c>
      <c r="AD158" s="111">
        <v>57.533333333333331</v>
      </c>
      <c r="AE158" s="110"/>
      <c r="AF158" s="110"/>
      <c r="AG158" s="110"/>
      <c r="AH158" s="1048"/>
    </row>
    <row r="159" spans="1:34" ht="45" x14ac:dyDescent="0.25">
      <c r="A159" s="1047"/>
      <c r="B159" s="110" t="s">
        <v>3569</v>
      </c>
      <c r="C159" s="110"/>
      <c r="D159" s="433">
        <v>40</v>
      </c>
      <c r="E159" s="207" t="s">
        <v>1767</v>
      </c>
      <c r="F159" s="1178" t="s">
        <v>4353</v>
      </c>
      <c r="G159" s="1056" t="s">
        <v>4306</v>
      </c>
      <c r="H159" s="433" t="s">
        <v>3478</v>
      </c>
      <c r="I159" s="111">
        <v>19.510000000000002</v>
      </c>
      <c r="J159" s="111">
        <v>780.40000000000009</v>
      </c>
      <c r="K159" s="110"/>
      <c r="L159" s="110"/>
      <c r="M159" s="110"/>
      <c r="N159" s="110"/>
      <c r="O159" s="110"/>
      <c r="P159" s="110"/>
      <c r="Q159" s="433">
        <v>20</v>
      </c>
      <c r="R159" s="111">
        <v>260.13333333333338</v>
      </c>
      <c r="S159" s="110"/>
      <c r="T159" s="110"/>
      <c r="U159" s="110"/>
      <c r="V159" s="110"/>
      <c r="W159" s="433">
        <v>10</v>
      </c>
      <c r="X159" s="111">
        <v>260.13333333333338</v>
      </c>
      <c r="Y159" s="110"/>
      <c r="Z159" s="110"/>
      <c r="AA159" s="110"/>
      <c r="AB159" s="110"/>
      <c r="AC159" s="433">
        <v>10</v>
      </c>
      <c r="AD159" s="111">
        <v>260.13333333333338</v>
      </c>
      <c r="AE159" s="110"/>
      <c r="AF159" s="110"/>
      <c r="AG159" s="110"/>
      <c r="AH159" s="1048"/>
    </row>
    <row r="160" spans="1:34" ht="45" x14ac:dyDescent="0.25">
      <c r="A160" s="1047"/>
      <c r="B160" s="110" t="s">
        <v>3570</v>
      </c>
      <c r="C160" s="110"/>
      <c r="D160" s="433">
        <v>10</v>
      </c>
      <c r="E160" s="207" t="s">
        <v>1767</v>
      </c>
      <c r="F160" s="1178" t="s">
        <v>4353</v>
      </c>
      <c r="G160" s="1056" t="s">
        <v>4306</v>
      </c>
      <c r="H160" s="433" t="s">
        <v>3478</v>
      </c>
      <c r="I160" s="111">
        <v>40.5</v>
      </c>
      <c r="J160" s="111">
        <v>405</v>
      </c>
      <c r="K160" s="110"/>
      <c r="L160" s="110"/>
      <c r="M160" s="110"/>
      <c r="N160" s="110"/>
      <c r="O160" s="110"/>
      <c r="P160" s="110"/>
      <c r="Q160" s="433">
        <v>5</v>
      </c>
      <c r="R160" s="111">
        <v>135</v>
      </c>
      <c r="S160" s="110"/>
      <c r="T160" s="110"/>
      <c r="U160" s="110"/>
      <c r="V160" s="110"/>
      <c r="W160" s="433">
        <v>3</v>
      </c>
      <c r="X160" s="111">
        <v>135</v>
      </c>
      <c r="Y160" s="110"/>
      <c r="Z160" s="110"/>
      <c r="AA160" s="110"/>
      <c r="AB160" s="110"/>
      <c r="AC160" s="433">
        <v>2</v>
      </c>
      <c r="AD160" s="111">
        <v>135</v>
      </c>
      <c r="AE160" s="110"/>
      <c r="AF160" s="110"/>
      <c r="AG160" s="110"/>
      <c r="AH160" s="1048"/>
    </row>
    <row r="161" spans="1:34" ht="45" x14ac:dyDescent="0.25">
      <c r="A161" s="1047"/>
      <c r="B161" s="110" t="s">
        <v>3571</v>
      </c>
      <c r="C161" s="110"/>
      <c r="D161" s="433">
        <v>3</v>
      </c>
      <c r="E161" s="207" t="s">
        <v>1767</v>
      </c>
      <c r="F161" s="1178" t="s">
        <v>4353</v>
      </c>
      <c r="G161" s="1056" t="s">
        <v>4306</v>
      </c>
      <c r="H161" s="433" t="s">
        <v>3478</v>
      </c>
      <c r="I161" s="111">
        <v>451.09</v>
      </c>
      <c r="J161" s="111">
        <v>1353.27</v>
      </c>
      <c r="K161" s="110"/>
      <c r="L161" s="110"/>
      <c r="M161" s="110"/>
      <c r="N161" s="110"/>
      <c r="O161" s="110"/>
      <c r="P161" s="110"/>
      <c r="Q161" s="433">
        <v>1</v>
      </c>
      <c r="R161" s="111">
        <v>451.09</v>
      </c>
      <c r="S161" s="110"/>
      <c r="T161" s="110"/>
      <c r="U161" s="110"/>
      <c r="V161" s="110"/>
      <c r="W161" s="433">
        <v>1</v>
      </c>
      <c r="X161" s="111">
        <v>451.09</v>
      </c>
      <c r="Y161" s="110"/>
      <c r="Z161" s="110"/>
      <c r="AA161" s="110"/>
      <c r="AB161" s="110"/>
      <c r="AC161" s="433">
        <v>1</v>
      </c>
      <c r="AD161" s="111">
        <v>451.09</v>
      </c>
      <c r="AE161" s="110"/>
      <c r="AF161" s="110"/>
      <c r="AG161" s="110"/>
      <c r="AH161" s="1048"/>
    </row>
    <row r="162" spans="1:34" ht="45" x14ac:dyDescent="0.25">
      <c r="A162" s="1047"/>
      <c r="B162" s="110" t="s">
        <v>2070</v>
      </c>
      <c r="C162" s="110"/>
      <c r="D162" s="433">
        <v>25</v>
      </c>
      <c r="E162" s="207" t="s">
        <v>1767</v>
      </c>
      <c r="F162" s="1178" t="s">
        <v>4353</v>
      </c>
      <c r="G162" s="1056" t="s">
        <v>4306</v>
      </c>
      <c r="H162" s="433" t="s">
        <v>3478</v>
      </c>
      <c r="I162" s="111">
        <v>50</v>
      </c>
      <c r="J162" s="111">
        <v>1250</v>
      </c>
      <c r="K162" s="110"/>
      <c r="L162" s="110"/>
      <c r="M162" s="110"/>
      <c r="N162" s="110"/>
      <c r="O162" s="110"/>
      <c r="P162" s="110"/>
      <c r="Q162" s="433"/>
      <c r="R162" s="111">
        <v>416.66666666666669</v>
      </c>
      <c r="S162" s="110"/>
      <c r="T162" s="110"/>
      <c r="U162" s="110"/>
      <c r="V162" s="110"/>
      <c r="W162" s="433"/>
      <c r="X162" s="111">
        <v>416.66666666666669</v>
      </c>
      <c r="Y162" s="110"/>
      <c r="Z162" s="110"/>
      <c r="AA162" s="110"/>
      <c r="AB162" s="110"/>
      <c r="AC162" s="433"/>
      <c r="AD162" s="111">
        <v>416.66666666666669</v>
      </c>
      <c r="AE162" s="110"/>
      <c r="AF162" s="110"/>
      <c r="AG162" s="110"/>
      <c r="AH162" s="1048"/>
    </row>
    <row r="163" spans="1:34" ht="45" x14ac:dyDescent="0.25">
      <c r="A163" s="1047"/>
      <c r="B163" s="110" t="s">
        <v>3572</v>
      </c>
      <c r="C163" s="110"/>
      <c r="D163" s="433">
        <v>40</v>
      </c>
      <c r="E163" s="207" t="s">
        <v>1767</v>
      </c>
      <c r="F163" s="1178" t="s">
        <v>4353</v>
      </c>
      <c r="G163" s="1056" t="s">
        <v>4306</v>
      </c>
      <c r="H163" s="433" t="s">
        <v>3478</v>
      </c>
      <c r="I163" s="111">
        <v>53</v>
      </c>
      <c r="J163" s="111">
        <v>2120</v>
      </c>
      <c r="K163" s="110"/>
      <c r="L163" s="110"/>
      <c r="M163" s="110"/>
      <c r="N163" s="110"/>
      <c r="O163" s="110"/>
      <c r="P163" s="110"/>
      <c r="Q163" s="433">
        <v>20</v>
      </c>
      <c r="R163" s="111">
        <v>706.66666666666663</v>
      </c>
      <c r="S163" s="110"/>
      <c r="T163" s="110"/>
      <c r="U163" s="110"/>
      <c r="V163" s="110"/>
      <c r="W163" s="433">
        <v>10</v>
      </c>
      <c r="X163" s="111">
        <v>706.66666666666663</v>
      </c>
      <c r="Y163" s="110"/>
      <c r="Z163" s="110"/>
      <c r="AA163" s="110"/>
      <c r="AB163" s="110"/>
      <c r="AC163" s="433">
        <v>10</v>
      </c>
      <c r="AD163" s="111">
        <v>706.66666666666663</v>
      </c>
      <c r="AE163" s="110"/>
      <c r="AF163" s="110"/>
      <c r="AG163" s="110"/>
      <c r="AH163" s="1048"/>
    </row>
    <row r="164" spans="1:34" ht="45" x14ac:dyDescent="0.25">
      <c r="A164" s="1047"/>
      <c r="B164" s="110" t="s">
        <v>3573</v>
      </c>
      <c r="C164" s="110"/>
      <c r="D164" s="433">
        <v>30</v>
      </c>
      <c r="E164" s="207" t="s">
        <v>1767</v>
      </c>
      <c r="F164" s="1178" t="s">
        <v>4353</v>
      </c>
      <c r="G164" s="1056" t="s">
        <v>4306</v>
      </c>
      <c r="H164" s="433" t="s">
        <v>3478</v>
      </c>
      <c r="I164" s="111">
        <v>100</v>
      </c>
      <c r="J164" s="111">
        <v>3000</v>
      </c>
      <c r="K164" s="110"/>
      <c r="L164" s="110"/>
      <c r="M164" s="110"/>
      <c r="N164" s="110"/>
      <c r="O164" s="110"/>
      <c r="P164" s="110"/>
      <c r="Q164" s="433">
        <v>15</v>
      </c>
      <c r="R164" s="111">
        <v>1000</v>
      </c>
      <c r="S164" s="110"/>
      <c r="T164" s="110"/>
      <c r="U164" s="110"/>
      <c r="V164" s="110"/>
      <c r="W164" s="433">
        <v>8</v>
      </c>
      <c r="X164" s="111">
        <v>1000</v>
      </c>
      <c r="Y164" s="110"/>
      <c r="Z164" s="110"/>
      <c r="AA164" s="110"/>
      <c r="AB164" s="110"/>
      <c r="AC164" s="433">
        <v>7</v>
      </c>
      <c r="AD164" s="111">
        <v>1000</v>
      </c>
      <c r="AE164" s="110"/>
      <c r="AF164" s="110"/>
      <c r="AG164" s="110"/>
      <c r="AH164" s="1048"/>
    </row>
    <row r="165" spans="1:34" ht="45" x14ac:dyDescent="0.25">
      <c r="A165" s="1047"/>
      <c r="B165" s="110" t="s">
        <v>1163</v>
      </c>
      <c r="C165" s="110"/>
      <c r="D165" s="433">
        <v>6</v>
      </c>
      <c r="E165" s="207" t="s">
        <v>1767</v>
      </c>
      <c r="F165" s="1178" t="s">
        <v>4353</v>
      </c>
      <c r="G165" s="1056" t="s">
        <v>4306</v>
      </c>
      <c r="H165" s="433" t="s">
        <v>3478</v>
      </c>
      <c r="I165" s="111">
        <v>148</v>
      </c>
      <c r="J165" s="111">
        <v>888</v>
      </c>
      <c r="K165" s="110"/>
      <c r="L165" s="110"/>
      <c r="M165" s="110"/>
      <c r="N165" s="110"/>
      <c r="O165" s="110"/>
      <c r="P165" s="110"/>
      <c r="Q165" s="433">
        <v>2</v>
      </c>
      <c r="R165" s="111">
        <v>296</v>
      </c>
      <c r="S165" s="110"/>
      <c r="T165" s="110"/>
      <c r="U165" s="110"/>
      <c r="V165" s="110"/>
      <c r="W165" s="433">
        <v>2</v>
      </c>
      <c r="X165" s="111">
        <v>296</v>
      </c>
      <c r="Y165" s="110"/>
      <c r="Z165" s="110"/>
      <c r="AA165" s="110"/>
      <c r="AB165" s="110"/>
      <c r="AC165" s="433">
        <v>2</v>
      </c>
      <c r="AD165" s="111">
        <v>296</v>
      </c>
      <c r="AE165" s="110"/>
      <c r="AF165" s="110"/>
      <c r="AG165" s="110"/>
      <c r="AH165" s="1048"/>
    </row>
    <row r="166" spans="1:34" ht="45" x14ac:dyDescent="0.25">
      <c r="A166" s="1047"/>
      <c r="B166" s="110" t="s">
        <v>164</v>
      </c>
      <c r="C166" s="110"/>
      <c r="D166" s="433">
        <v>74</v>
      </c>
      <c r="E166" s="207" t="s">
        <v>1767</v>
      </c>
      <c r="F166" s="1178" t="s">
        <v>4353</v>
      </c>
      <c r="G166" s="1056" t="s">
        <v>4306</v>
      </c>
      <c r="H166" s="433" t="s">
        <v>3478</v>
      </c>
      <c r="I166" s="111">
        <v>47.603841729729737</v>
      </c>
      <c r="J166" s="111">
        <v>3522.6842880000004</v>
      </c>
      <c r="K166" s="110"/>
      <c r="L166" s="110"/>
      <c r="M166" s="110"/>
      <c r="N166" s="110"/>
      <c r="O166" s="110"/>
      <c r="P166" s="110"/>
      <c r="Q166" s="433">
        <v>35</v>
      </c>
      <c r="R166" s="111">
        <v>1174.2280960000001</v>
      </c>
      <c r="S166" s="110"/>
      <c r="T166" s="110"/>
      <c r="U166" s="110"/>
      <c r="V166" s="110"/>
      <c r="W166" s="433">
        <v>25</v>
      </c>
      <c r="X166" s="111">
        <v>1174.2280960000001</v>
      </c>
      <c r="Y166" s="110"/>
      <c r="Z166" s="110"/>
      <c r="AA166" s="110"/>
      <c r="AB166" s="110"/>
      <c r="AC166" s="433">
        <v>14</v>
      </c>
      <c r="AD166" s="111">
        <v>1174.2280960000001</v>
      </c>
      <c r="AE166" s="110"/>
      <c r="AF166" s="110"/>
      <c r="AG166" s="110"/>
      <c r="AH166" s="1048"/>
    </row>
    <row r="167" spans="1:34" ht="45" x14ac:dyDescent="0.25">
      <c r="A167" s="1047"/>
      <c r="B167" s="110" t="s">
        <v>174</v>
      </c>
      <c r="C167" s="110"/>
      <c r="D167" s="433">
        <v>12</v>
      </c>
      <c r="E167" s="207" t="s">
        <v>1767</v>
      </c>
      <c r="F167" s="1178" t="s">
        <v>4353</v>
      </c>
      <c r="G167" s="1056" t="s">
        <v>4306</v>
      </c>
      <c r="H167" s="433" t="s">
        <v>3478</v>
      </c>
      <c r="I167" s="111">
        <v>151.58880000000002</v>
      </c>
      <c r="J167" s="111">
        <v>1819.0656000000004</v>
      </c>
      <c r="K167" s="110"/>
      <c r="L167" s="110"/>
      <c r="M167" s="110"/>
      <c r="N167" s="110"/>
      <c r="O167" s="110"/>
      <c r="P167" s="110"/>
      <c r="Q167" s="433">
        <v>6</v>
      </c>
      <c r="R167" s="111">
        <v>606.35520000000008</v>
      </c>
      <c r="S167" s="110"/>
      <c r="T167" s="110"/>
      <c r="U167" s="110"/>
      <c r="V167" s="110"/>
      <c r="W167" s="433">
        <v>3</v>
      </c>
      <c r="X167" s="111">
        <v>606.35520000000008</v>
      </c>
      <c r="Y167" s="110"/>
      <c r="Z167" s="110"/>
      <c r="AA167" s="110"/>
      <c r="AB167" s="110"/>
      <c r="AC167" s="433">
        <v>3</v>
      </c>
      <c r="AD167" s="111">
        <v>606.35520000000008</v>
      </c>
      <c r="AE167" s="110"/>
      <c r="AF167" s="110"/>
      <c r="AG167" s="110"/>
      <c r="AH167" s="1048"/>
    </row>
    <row r="168" spans="1:34" ht="45" x14ac:dyDescent="0.25">
      <c r="A168" s="1047"/>
      <c r="B168" s="110" t="s">
        <v>184</v>
      </c>
      <c r="C168" s="110"/>
      <c r="D168" s="433">
        <v>12</v>
      </c>
      <c r="E168" s="207" t="s">
        <v>1767</v>
      </c>
      <c r="F168" s="1178" t="s">
        <v>4353</v>
      </c>
      <c r="G168" s="1056" t="s">
        <v>4306</v>
      </c>
      <c r="H168" s="433" t="s">
        <v>3478</v>
      </c>
      <c r="I168" s="111">
        <v>204.47951040000007</v>
      </c>
      <c r="J168" s="111">
        <v>2453.7541248000007</v>
      </c>
      <c r="K168" s="110"/>
      <c r="L168" s="110"/>
      <c r="M168" s="110"/>
      <c r="N168" s="110"/>
      <c r="O168" s="110"/>
      <c r="P168" s="110"/>
      <c r="Q168" s="433">
        <v>6</v>
      </c>
      <c r="R168" s="111">
        <v>817.91804160000027</v>
      </c>
      <c r="S168" s="110"/>
      <c r="T168" s="110"/>
      <c r="U168" s="110"/>
      <c r="V168" s="110"/>
      <c r="W168" s="433">
        <v>3</v>
      </c>
      <c r="X168" s="111">
        <v>817.91804160000027</v>
      </c>
      <c r="Y168" s="110"/>
      <c r="Z168" s="110"/>
      <c r="AA168" s="110"/>
      <c r="AB168" s="110"/>
      <c r="AC168" s="433">
        <v>3</v>
      </c>
      <c r="AD168" s="111">
        <v>817.91804160000027</v>
      </c>
      <c r="AE168" s="110"/>
      <c r="AF168" s="110"/>
      <c r="AG168" s="110"/>
      <c r="AH168" s="1048"/>
    </row>
    <row r="169" spans="1:34" ht="45" x14ac:dyDescent="0.25">
      <c r="A169" s="1047"/>
      <c r="B169" s="110" t="s">
        <v>166</v>
      </c>
      <c r="C169" s="110"/>
      <c r="D169" s="433">
        <v>4</v>
      </c>
      <c r="E169" s="207" t="s">
        <v>1767</v>
      </c>
      <c r="F169" s="1178" t="s">
        <v>4353</v>
      </c>
      <c r="G169" s="1056" t="s">
        <v>4306</v>
      </c>
      <c r="H169" s="433" t="s">
        <v>3478</v>
      </c>
      <c r="I169" s="111">
        <v>21.883910400000005</v>
      </c>
      <c r="J169" s="111">
        <v>87.535641600000019</v>
      </c>
      <c r="K169" s="110"/>
      <c r="L169" s="110"/>
      <c r="M169" s="110"/>
      <c r="N169" s="110"/>
      <c r="O169" s="110"/>
      <c r="P169" s="110"/>
      <c r="Q169" s="433">
        <v>2</v>
      </c>
      <c r="R169" s="111">
        <v>29.178547200000008</v>
      </c>
      <c r="S169" s="110"/>
      <c r="T169" s="110"/>
      <c r="U169" s="110"/>
      <c r="V169" s="110"/>
      <c r="W169" s="433">
        <v>1</v>
      </c>
      <c r="X169" s="111">
        <v>29.178547200000008</v>
      </c>
      <c r="Y169" s="110"/>
      <c r="Z169" s="110"/>
      <c r="AA169" s="110"/>
      <c r="AB169" s="110"/>
      <c r="AC169" s="433">
        <v>1</v>
      </c>
      <c r="AD169" s="111">
        <v>29.178547200000008</v>
      </c>
      <c r="AE169" s="110"/>
      <c r="AF169" s="110"/>
      <c r="AG169" s="110"/>
      <c r="AH169" s="1048"/>
    </row>
    <row r="170" spans="1:34" ht="45" x14ac:dyDescent="0.25">
      <c r="A170" s="1047"/>
      <c r="B170" s="110" t="s">
        <v>168</v>
      </c>
      <c r="C170" s="110"/>
      <c r="D170" s="433">
        <v>4</v>
      </c>
      <c r="E170" s="207" t="s">
        <v>1767</v>
      </c>
      <c r="F170" s="1178" t="s">
        <v>4353</v>
      </c>
      <c r="G170" s="1056" t="s">
        <v>4306</v>
      </c>
      <c r="H170" s="433" t="s">
        <v>3478</v>
      </c>
      <c r="I170" s="111">
        <v>29.3806656</v>
      </c>
      <c r="J170" s="111">
        <v>117.5226624</v>
      </c>
      <c r="K170" s="110"/>
      <c r="L170" s="110"/>
      <c r="M170" s="110"/>
      <c r="N170" s="110"/>
      <c r="O170" s="110"/>
      <c r="P170" s="110"/>
      <c r="Q170" s="433">
        <v>2</v>
      </c>
      <c r="R170" s="111">
        <v>39.174220800000001</v>
      </c>
      <c r="S170" s="110"/>
      <c r="T170" s="110"/>
      <c r="U170" s="110"/>
      <c r="V170" s="110"/>
      <c r="W170" s="433">
        <v>1</v>
      </c>
      <c r="X170" s="111">
        <v>39.174220800000001</v>
      </c>
      <c r="Y170" s="110"/>
      <c r="Z170" s="110"/>
      <c r="AA170" s="110"/>
      <c r="AB170" s="110"/>
      <c r="AC170" s="433">
        <v>1</v>
      </c>
      <c r="AD170" s="111">
        <v>39.174220800000001</v>
      </c>
      <c r="AE170" s="110"/>
      <c r="AF170" s="110"/>
      <c r="AG170" s="110"/>
      <c r="AH170" s="1048"/>
    </row>
    <row r="171" spans="1:34" ht="45" x14ac:dyDescent="0.25">
      <c r="A171" s="1047"/>
      <c r="B171" s="110" t="s">
        <v>177</v>
      </c>
      <c r="C171" s="110"/>
      <c r="D171" s="433">
        <v>22</v>
      </c>
      <c r="E171" s="207" t="s">
        <v>1767</v>
      </c>
      <c r="F171" s="1178" t="s">
        <v>4353</v>
      </c>
      <c r="G171" s="1056" t="s">
        <v>4306</v>
      </c>
      <c r="H171" s="433" t="s">
        <v>3478</v>
      </c>
      <c r="I171" s="111">
        <v>19.775447999999997</v>
      </c>
      <c r="J171" s="111">
        <v>435.05985599999997</v>
      </c>
      <c r="K171" s="110"/>
      <c r="L171" s="110"/>
      <c r="M171" s="110"/>
      <c r="N171" s="110"/>
      <c r="O171" s="110"/>
      <c r="P171" s="110"/>
      <c r="Q171" s="433">
        <v>10</v>
      </c>
      <c r="R171" s="111">
        <v>145.01995199999999</v>
      </c>
      <c r="S171" s="110"/>
      <c r="T171" s="110"/>
      <c r="U171" s="110"/>
      <c r="V171" s="110"/>
      <c r="W171" s="433">
        <v>7</v>
      </c>
      <c r="X171" s="111">
        <v>145.01995199999999</v>
      </c>
      <c r="Y171" s="110"/>
      <c r="Z171" s="110"/>
      <c r="AA171" s="110"/>
      <c r="AB171" s="110"/>
      <c r="AC171" s="433">
        <v>5</v>
      </c>
      <c r="AD171" s="111">
        <v>145.01995199999999</v>
      </c>
      <c r="AE171" s="110"/>
      <c r="AF171" s="110"/>
      <c r="AG171" s="110"/>
      <c r="AH171" s="1048"/>
    </row>
    <row r="172" spans="1:34" ht="45" x14ac:dyDescent="0.25">
      <c r="A172" s="1047"/>
      <c r="B172" s="110" t="s">
        <v>178</v>
      </c>
      <c r="C172" s="110"/>
      <c r="D172" s="433">
        <v>30</v>
      </c>
      <c r="E172" s="207" t="s">
        <v>1767</v>
      </c>
      <c r="F172" s="1178" t="s">
        <v>4353</v>
      </c>
      <c r="G172" s="1056" t="s">
        <v>4306</v>
      </c>
      <c r="H172" s="433" t="s">
        <v>3478</v>
      </c>
      <c r="I172" s="111">
        <v>33.831864000000003</v>
      </c>
      <c r="J172" s="111">
        <v>1014.9559200000001</v>
      </c>
      <c r="K172" s="110"/>
      <c r="L172" s="110"/>
      <c r="M172" s="110"/>
      <c r="N172" s="110"/>
      <c r="O172" s="110"/>
      <c r="P172" s="110"/>
      <c r="Q172" s="433">
        <v>15</v>
      </c>
      <c r="R172" s="111">
        <v>338.31864000000002</v>
      </c>
      <c r="S172" s="110"/>
      <c r="T172" s="110"/>
      <c r="U172" s="110"/>
      <c r="V172" s="110"/>
      <c r="W172" s="433">
        <v>8</v>
      </c>
      <c r="X172" s="111">
        <v>338.31864000000002</v>
      </c>
      <c r="Y172" s="110"/>
      <c r="Z172" s="110"/>
      <c r="AA172" s="110"/>
      <c r="AB172" s="110"/>
      <c r="AC172" s="433">
        <v>7</v>
      </c>
      <c r="AD172" s="111">
        <v>338.31864000000002</v>
      </c>
      <c r="AE172" s="110"/>
      <c r="AF172" s="110"/>
      <c r="AG172" s="110"/>
      <c r="AH172" s="1048"/>
    </row>
    <row r="173" spans="1:34" ht="45" x14ac:dyDescent="0.25">
      <c r="A173" s="1047"/>
      <c r="B173" s="110" t="s">
        <v>1422</v>
      </c>
      <c r="C173" s="110"/>
      <c r="D173" s="433">
        <v>10</v>
      </c>
      <c r="E173" s="207" t="s">
        <v>1767</v>
      </c>
      <c r="F173" s="1178" t="s">
        <v>4353</v>
      </c>
      <c r="G173" s="1056" t="s">
        <v>4306</v>
      </c>
      <c r="H173" s="433" t="s">
        <v>3478</v>
      </c>
      <c r="I173" s="111">
        <v>167.85014400000003</v>
      </c>
      <c r="J173" s="111">
        <v>1678.5014400000002</v>
      </c>
      <c r="K173" s="110"/>
      <c r="L173" s="110"/>
      <c r="M173" s="110"/>
      <c r="N173" s="110"/>
      <c r="O173" s="110"/>
      <c r="P173" s="110"/>
      <c r="Q173" s="433">
        <v>5</v>
      </c>
      <c r="R173" s="111">
        <v>559.50048000000004</v>
      </c>
      <c r="S173" s="110"/>
      <c r="T173" s="110"/>
      <c r="U173" s="110"/>
      <c r="V173" s="110"/>
      <c r="W173" s="433">
        <v>3</v>
      </c>
      <c r="X173" s="111">
        <v>559.50048000000004</v>
      </c>
      <c r="Y173" s="110"/>
      <c r="Z173" s="110"/>
      <c r="AA173" s="110"/>
      <c r="AB173" s="110"/>
      <c r="AC173" s="433">
        <v>2</v>
      </c>
      <c r="AD173" s="111">
        <v>559.50048000000004</v>
      </c>
      <c r="AE173" s="110"/>
      <c r="AF173" s="110"/>
      <c r="AG173" s="110"/>
      <c r="AH173" s="1048"/>
    </row>
    <row r="174" spans="1:34" ht="45" x14ac:dyDescent="0.25">
      <c r="A174" s="1047"/>
      <c r="B174" s="110" t="s">
        <v>175</v>
      </c>
      <c r="C174" s="110"/>
      <c r="D174" s="433">
        <v>55</v>
      </c>
      <c r="E174" s="207" t="s">
        <v>1767</v>
      </c>
      <c r="F174" s="1178" t="s">
        <v>4353</v>
      </c>
      <c r="G174" s="1056" t="s">
        <v>4306</v>
      </c>
      <c r="H174" s="433" t="s">
        <v>3478</v>
      </c>
      <c r="I174" s="111">
        <v>11.575872000000002</v>
      </c>
      <c r="J174" s="111">
        <v>636.6729600000001</v>
      </c>
      <c r="K174" s="110"/>
      <c r="L174" s="110"/>
      <c r="M174" s="110"/>
      <c r="N174" s="110"/>
      <c r="O174" s="110"/>
      <c r="P174" s="110"/>
      <c r="Q174" s="433">
        <v>25</v>
      </c>
      <c r="R174" s="111">
        <v>212.22432000000003</v>
      </c>
      <c r="S174" s="110"/>
      <c r="T174" s="110"/>
      <c r="U174" s="110"/>
      <c r="V174" s="110"/>
      <c r="W174" s="433">
        <v>20</v>
      </c>
      <c r="X174" s="111">
        <v>212.22432000000003</v>
      </c>
      <c r="Y174" s="110"/>
      <c r="Z174" s="110"/>
      <c r="AA174" s="110"/>
      <c r="AB174" s="110"/>
      <c r="AC174" s="433">
        <v>10</v>
      </c>
      <c r="AD174" s="111">
        <v>212.22432000000003</v>
      </c>
      <c r="AE174" s="110"/>
      <c r="AF174" s="110"/>
      <c r="AG174" s="110"/>
      <c r="AH174" s="1048"/>
    </row>
    <row r="175" spans="1:34" ht="45" x14ac:dyDescent="0.25">
      <c r="A175" s="1047"/>
      <c r="B175" s="110" t="s">
        <v>173</v>
      </c>
      <c r="C175" s="110"/>
      <c r="D175" s="433">
        <v>30</v>
      </c>
      <c r="E175" s="207" t="s">
        <v>1767</v>
      </c>
      <c r="F175" s="1178" t="s">
        <v>4353</v>
      </c>
      <c r="G175" s="1056" t="s">
        <v>4306</v>
      </c>
      <c r="H175" s="433" t="s">
        <v>3478</v>
      </c>
      <c r="I175" s="111">
        <v>16.164878400000003</v>
      </c>
      <c r="J175" s="111">
        <v>484.9463520000001</v>
      </c>
      <c r="K175" s="110"/>
      <c r="L175" s="110"/>
      <c r="M175" s="110"/>
      <c r="N175" s="110"/>
      <c r="O175" s="110"/>
      <c r="P175" s="110"/>
      <c r="Q175" s="433">
        <v>15</v>
      </c>
      <c r="R175" s="111">
        <v>161.64878400000003</v>
      </c>
      <c r="S175" s="110"/>
      <c r="T175" s="110"/>
      <c r="U175" s="110"/>
      <c r="V175" s="110"/>
      <c r="W175" s="433">
        <v>8</v>
      </c>
      <c r="X175" s="111">
        <v>161.64878400000003</v>
      </c>
      <c r="Y175" s="110"/>
      <c r="Z175" s="110"/>
      <c r="AA175" s="110"/>
      <c r="AB175" s="110"/>
      <c r="AC175" s="433">
        <v>7</v>
      </c>
      <c r="AD175" s="111">
        <v>161.64878400000003</v>
      </c>
      <c r="AE175" s="110"/>
      <c r="AF175" s="110"/>
      <c r="AG175" s="110"/>
      <c r="AH175" s="1048"/>
    </row>
    <row r="176" spans="1:34" ht="45" x14ac:dyDescent="0.25">
      <c r="A176" s="1047"/>
      <c r="B176" s="110" t="s">
        <v>172</v>
      </c>
      <c r="C176" s="110"/>
      <c r="D176" s="433">
        <v>4</v>
      </c>
      <c r="E176" s="207" t="s">
        <v>1767</v>
      </c>
      <c r="F176" s="1178" t="s">
        <v>4353</v>
      </c>
      <c r="G176" s="1056" t="s">
        <v>4306</v>
      </c>
      <c r="H176" s="433" t="s">
        <v>3478</v>
      </c>
      <c r="I176" s="111">
        <v>25.770096000000002</v>
      </c>
      <c r="J176" s="111">
        <v>103.08038400000001</v>
      </c>
      <c r="K176" s="110"/>
      <c r="L176" s="110"/>
      <c r="M176" s="110"/>
      <c r="N176" s="110"/>
      <c r="O176" s="110"/>
      <c r="P176" s="110"/>
      <c r="Q176" s="433">
        <v>2</v>
      </c>
      <c r="R176" s="111">
        <v>34.360128000000003</v>
      </c>
      <c r="S176" s="110"/>
      <c r="T176" s="110"/>
      <c r="U176" s="110"/>
      <c r="V176" s="110"/>
      <c r="W176" s="433">
        <v>1</v>
      </c>
      <c r="X176" s="111">
        <v>34.360128000000003</v>
      </c>
      <c r="Y176" s="110"/>
      <c r="Z176" s="110"/>
      <c r="AA176" s="110"/>
      <c r="AB176" s="110"/>
      <c r="AC176" s="433">
        <v>1</v>
      </c>
      <c r="AD176" s="111">
        <v>34.360128000000003</v>
      </c>
      <c r="AE176" s="110"/>
      <c r="AF176" s="110"/>
      <c r="AG176" s="110"/>
      <c r="AH176" s="1048"/>
    </row>
    <row r="177" spans="1:34" ht="45" x14ac:dyDescent="0.25">
      <c r="A177" s="1047"/>
      <c r="B177" s="110" t="s">
        <v>1155</v>
      </c>
      <c r="C177" s="110"/>
      <c r="D177" s="433">
        <v>100</v>
      </c>
      <c r="E177" s="207" t="s">
        <v>1767</v>
      </c>
      <c r="F177" s="1178" t="s">
        <v>4353</v>
      </c>
      <c r="G177" s="1056" t="s">
        <v>4306</v>
      </c>
      <c r="H177" s="433" t="s">
        <v>3478</v>
      </c>
      <c r="I177" s="111">
        <v>14.1666624</v>
      </c>
      <c r="J177" s="111">
        <v>1416.66624</v>
      </c>
      <c r="K177" s="110"/>
      <c r="L177" s="110"/>
      <c r="M177" s="110"/>
      <c r="N177" s="110"/>
      <c r="O177" s="110"/>
      <c r="P177" s="110"/>
      <c r="Q177" s="433">
        <v>40</v>
      </c>
      <c r="R177" s="111">
        <v>472.22208000000001</v>
      </c>
      <c r="S177" s="110"/>
      <c r="T177" s="110"/>
      <c r="U177" s="110"/>
      <c r="V177" s="110"/>
      <c r="W177" s="433">
        <v>30</v>
      </c>
      <c r="X177" s="111">
        <v>472.22208000000001</v>
      </c>
      <c r="Y177" s="110"/>
      <c r="Z177" s="110"/>
      <c r="AA177" s="110"/>
      <c r="AB177" s="110"/>
      <c r="AC177" s="433">
        <v>30</v>
      </c>
      <c r="AD177" s="111">
        <v>472.22208000000001</v>
      </c>
      <c r="AE177" s="110"/>
      <c r="AF177" s="110"/>
      <c r="AG177" s="110"/>
      <c r="AH177" s="1048"/>
    </row>
    <row r="178" spans="1:34" ht="45" x14ac:dyDescent="0.25">
      <c r="A178" s="1047"/>
      <c r="B178" s="110" t="s">
        <v>3574</v>
      </c>
      <c r="C178" s="110"/>
      <c r="D178" s="433">
        <v>65</v>
      </c>
      <c r="E178" s="207" t="s">
        <v>1767</v>
      </c>
      <c r="F178" s="1178" t="s">
        <v>4353</v>
      </c>
      <c r="G178" s="1056" t="s">
        <v>4306</v>
      </c>
      <c r="H178" s="433" t="s">
        <v>3478</v>
      </c>
      <c r="I178" s="111">
        <v>42.978010707692306</v>
      </c>
      <c r="J178" s="111">
        <v>2793.5706959999998</v>
      </c>
      <c r="K178" s="110"/>
      <c r="L178" s="110"/>
      <c r="M178" s="110"/>
      <c r="N178" s="110"/>
      <c r="O178" s="110"/>
      <c r="P178" s="110"/>
      <c r="Q178" s="433">
        <v>25</v>
      </c>
      <c r="R178" s="111">
        <v>931.19023199999992</v>
      </c>
      <c r="S178" s="110"/>
      <c r="T178" s="110"/>
      <c r="U178" s="110"/>
      <c r="V178" s="110"/>
      <c r="W178" s="433">
        <v>20</v>
      </c>
      <c r="X178" s="111">
        <v>931.19023199999992</v>
      </c>
      <c r="Y178" s="110"/>
      <c r="Z178" s="110"/>
      <c r="AA178" s="110"/>
      <c r="AB178" s="110"/>
      <c r="AC178" s="433">
        <v>20</v>
      </c>
      <c r="AD178" s="111">
        <v>931.19023199999992</v>
      </c>
      <c r="AE178" s="110"/>
      <c r="AF178" s="110"/>
      <c r="AG178" s="110"/>
      <c r="AH178" s="1048"/>
    </row>
    <row r="179" spans="1:34" ht="45" x14ac:dyDescent="0.25">
      <c r="A179" s="1047"/>
      <c r="B179" s="110" t="s">
        <v>3575</v>
      </c>
      <c r="C179" s="110"/>
      <c r="D179" s="433">
        <v>68</v>
      </c>
      <c r="E179" s="207" t="s">
        <v>1767</v>
      </c>
      <c r="F179" s="1178" t="s">
        <v>4353</v>
      </c>
      <c r="G179" s="1056" t="s">
        <v>4306</v>
      </c>
      <c r="H179" s="433" t="s">
        <v>3478</v>
      </c>
      <c r="I179" s="111">
        <v>90.553219200000001</v>
      </c>
      <c r="J179" s="111">
        <v>6157.6189056000003</v>
      </c>
      <c r="K179" s="110"/>
      <c r="L179" s="110"/>
      <c r="M179" s="110"/>
      <c r="N179" s="110"/>
      <c r="O179" s="110"/>
      <c r="P179" s="110"/>
      <c r="Q179" s="433">
        <v>28</v>
      </c>
      <c r="R179" s="111">
        <v>2052.5396352000002</v>
      </c>
      <c r="S179" s="110"/>
      <c r="T179" s="110"/>
      <c r="U179" s="110"/>
      <c r="V179" s="110"/>
      <c r="W179" s="433">
        <v>25</v>
      </c>
      <c r="X179" s="111">
        <v>2052.5396352000002</v>
      </c>
      <c r="Y179" s="110"/>
      <c r="Z179" s="110"/>
      <c r="AA179" s="110"/>
      <c r="AB179" s="110"/>
      <c r="AC179" s="433">
        <v>15</v>
      </c>
      <c r="AD179" s="111">
        <v>2052.5396352000002</v>
      </c>
      <c r="AE179" s="110"/>
      <c r="AF179" s="110"/>
      <c r="AG179" s="110"/>
      <c r="AH179" s="1048"/>
    </row>
    <row r="180" spans="1:34" ht="45" x14ac:dyDescent="0.25">
      <c r="A180" s="1047"/>
      <c r="B180" s="110" t="s">
        <v>189</v>
      </c>
      <c r="C180" s="110"/>
      <c r="D180" s="433">
        <v>4</v>
      </c>
      <c r="E180" s="207" t="s">
        <v>1767</v>
      </c>
      <c r="F180" s="1178" t="s">
        <v>4353</v>
      </c>
      <c r="G180" s="1056" t="s">
        <v>4306</v>
      </c>
      <c r="H180" s="433" t="s">
        <v>3478</v>
      </c>
      <c r="I180" s="111">
        <v>101.55071519999998</v>
      </c>
      <c r="J180" s="111">
        <v>406.20286079999994</v>
      </c>
      <c r="K180" s="110"/>
      <c r="L180" s="110"/>
      <c r="M180" s="110"/>
      <c r="N180" s="110"/>
      <c r="O180" s="110"/>
      <c r="P180" s="110"/>
      <c r="Q180" s="433">
        <v>2</v>
      </c>
      <c r="R180" s="111">
        <v>135.40095359999998</v>
      </c>
      <c r="S180" s="110"/>
      <c r="T180" s="110"/>
      <c r="U180" s="110"/>
      <c r="V180" s="110"/>
      <c r="W180" s="433">
        <v>1</v>
      </c>
      <c r="X180" s="111">
        <v>135.40095359999998</v>
      </c>
      <c r="Y180" s="110"/>
      <c r="Z180" s="110"/>
      <c r="AA180" s="110"/>
      <c r="AB180" s="110"/>
      <c r="AC180" s="433">
        <v>1</v>
      </c>
      <c r="AD180" s="111">
        <v>135.40095359999998</v>
      </c>
      <c r="AE180" s="110"/>
      <c r="AF180" s="110"/>
      <c r="AG180" s="110"/>
      <c r="AH180" s="1048"/>
    </row>
    <row r="181" spans="1:34" ht="45" x14ac:dyDescent="0.25">
      <c r="A181" s="1047"/>
      <c r="B181" s="110" t="s">
        <v>3576</v>
      </c>
      <c r="C181" s="110"/>
      <c r="D181" s="433">
        <v>2</v>
      </c>
      <c r="E181" s="207" t="s">
        <v>1767</v>
      </c>
      <c r="F181" s="1178" t="s">
        <v>4353</v>
      </c>
      <c r="G181" s="1056" t="s">
        <v>4306</v>
      </c>
      <c r="H181" s="433" t="s">
        <v>3478</v>
      </c>
      <c r="I181" s="111">
        <v>259.86454560000004</v>
      </c>
      <c r="J181" s="111">
        <v>519.72909120000008</v>
      </c>
      <c r="K181" s="110"/>
      <c r="L181" s="110"/>
      <c r="M181" s="110"/>
      <c r="N181" s="110"/>
      <c r="O181" s="110"/>
      <c r="P181" s="110"/>
      <c r="Q181" s="433">
        <v>1</v>
      </c>
      <c r="R181" s="111">
        <v>173.24303040000004</v>
      </c>
      <c r="S181" s="110"/>
      <c r="T181" s="110"/>
      <c r="U181" s="110"/>
      <c r="V181" s="110"/>
      <c r="W181" s="433">
        <v>1</v>
      </c>
      <c r="X181" s="111">
        <v>173.24303040000004</v>
      </c>
      <c r="Y181" s="110"/>
      <c r="Z181" s="110"/>
      <c r="AA181" s="110"/>
      <c r="AB181" s="110"/>
      <c r="AC181" s="433">
        <v>0</v>
      </c>
      <c r="AD181" s="111">
        <v>173.24303040000004</v>
      </c>
      <c r="AE181" s="110"/>
      <c r="AF181" s="110"/>
      <c r="AG181" s="110"/>
      <c r="AH181" s="1048"/>
    </row>
    <row r="182" spans="1:34" ht="45" x14ac:dyDescent="0.25">
      <c r="A182" s="1047"/>
      <c r="B182" s="110" t="s">
        <v>3577</v>
      </c>
      <c r="C182" s="110"/>
      <c r="D182" s="433">
        <v>70</v>
      </c>
      <c r="E182" s="207" t="s">
        <v>1767</v>
      </c>
      <c r="F182" s="1178" t="s">
        <v>4353</v>
      </c>
      <c r="G182" s="1056" t="s">
        <v>4306</v>
      </c>
      <c r="H182" s="433" t="s">
        <v>3478</v>
      </c>
      <c r="I182" s="111">
        <v>43.621700571428576</v>
      </c>
      <c r="J182" s="111">
        <v>3053.5190400000001</v>
      </c>
      <c r="K182" s="110"/>
      <c r="L182" s="110"/>
      <c r="M182" s="110"/>
      <c r="N182" s="110"/>
      <c r="O182" s="110"/>
      <c r="P182" s="110"/>
      <c r="Q182" s="433">
        <v>30</v>
      </c>
      <c r="R182" s="111">
        <v>1017.83968</v>
      </c>
      <c r="S182" s="110"/>
      <c r="T182" s="110"/>
      <c r="U182" s="110"/>
      <c r="V182" s="110"/>
      <c r="W182" s="433">
        <v>20</v>
      </c>
      <c r="X182" s="111">
        <v>1017.83968</v>
      </c>
      <c r="Y182" s="110"/>
      <c r="Z182" s="110"/>
      <c r="AA182" s="110"/>
      <c r="AB182" s="110"/>
      <c r="AC182" s="433">
        <v>20</v>
      </c>
      <c r="AD182" s="111">
        <v>1017.83968</v>
      </c>
      <c r="AE182" s="110"/>
      <c r="AF182" s="110"/>
      <c r="AG182" s="110"/>
      <c r="AH182" s="1048"/>
    </row>
    <row r="183" spans="1:34" ht="45" x14ac:dyDescent="0.25">
      <c r="A183" s="1047"/>
      <c r="B183" s="110" t="s">
        <v>187</v>
      </c>
      <c r="C183" s="110"/>
      <c r="D183" s="433">
        <v>6</v>
      </c>
      <c r="E183" s="207" t="s">
        <v>1767</v>
      </c>
      <c r="F183" s="1178" t="s">
        <v>4353</v>
      </c>
      <c r="G183" s="1056" t="s">
        <v>4306</v>
      </c>
      <c r="H183" s="433" t="s">
        <v>3478</v>
      </c>
      <c r="I183" s="111">
        <v>43.630012799999996</v>
      </c>
      <c r="J183" s="111">
        <v>261.78007679999996</v>
      </c>
      <c r="K183" s="110"/>
      <c r="L183" s="110"/>
      <c r="M183" s="110"/>
      <c r="N183" s="110"/>
      <c r="O183" s="110"/>
      <c r="P183" s="110"/>
      <c r="Q183" s="433">
        <v>2</v>
      </c>
      <c r="R183" s="111">
        <v>87.260025599999992</v>
      </c>
      <c r="S183" s="110"/>
      <c r="T183" s="110"/>
      <c r="U183" s="110"/>
      <c r="V183" s="110"/>
      <c r="W183" s="433">
        <v>2</v>
      </c>
      <c r="X183" s="111">
        <v>87.260025599999992</v>
      </c>
      <c r="Y183" s="110"/>
      <c r="Z183" s="110"/>
      <c r="AA183" s="110"/>
      <c r="AB183" s="110"/>
      <c r="AC183" s="433">
        <v>2</v>
      </c>
      <c r="AD183" s="111">
        <v>87.260025599999992</v>
      </c>
      <c r="AE183" s="110"/>
      <c r="AF183" s="110"/>
      <c r="AG183" s="110"/>
      <c r="AH183" s="1048"/>
    </row>
    <row r="184" spans="1:34" ht="45" x14ac:dyDescent="0.25">
      <c r="A184" s="1047"/>
      <c r="B184" s="110" t="s">
        <v>3578</v>
      </c>
      <c r="C184" s="110"/>
      <c r="D184" s="433">
        <v>10</v>
      </c>
      <c r="E184" s="207" t="s">
        <v>1767</v>
      </c>
      <c r="F184" s="1178" t="s">
        <v>4353</v>
      </c>
      <c r="G184" s="1056" t="s">
        <v>4306</v>
      </c>
      <c r="H184" s="433" t="s">
        <v>3478</v>
      </c>
      <c r="I184" s="111">
        <v>31.819867199999997</v>
      </c>
      <c r="J184" s="111">
        <v>318.19867199999999</v>
      </c>
      <c r="K184" s="110"/>
      <c r="L184" s="110"/>
      <c r="M184" s="110"/>
      <c r="N184" s="110"/>
      <c r="O184" s="110"/>
      <c r="P184" s="110"/>
      <c r="Q184" s="433">
        <v>5</v>
      </c>
      <c r="R184" s="111">
        <v>106.06622399999999</v>
      </c>
      <c r="S184" s="110"/>
      <c r="T184" s="110"/>
      <c r="U184" s="110"/>
      <c r="V184" s="110"/>
      <c r="W184" s="433">
        <v>3</v>
      </c>
      <c r="X184" s="111">
        <v>106.06622399999999</v>
      </c>
      <c r="Y184" s="110"/>
      <c r="Z184" s="110"/>
      <c r="AA184" s="110"/>
      <c r="AB184" s="110"/>
      <c r="AC184" s="433">
        <v>2</v>
      </c>
      <c r="AD184" s="111">
        <v>106.06622399999999</v>
      </c>
      <c r="AE184" s="110"/>
      <c r="AF184" s="110"/>
      <c r="AG184" s="110"/>
      <c r="AH184" s="1048"/>
    </row>
    <row r="185" spans="1:34" ht="45" x14ac:dyDescent="0.25">
      <c r="A185" s="1047"/>
      <c r="B185" s="110" t="s">
        <v>1157</v>
      </c>
      <c r="C185" s="110"/>
      <c r="D185" s="433">
        <v>15</v>
      </c>
      <c r="E185" s="207" t="s">
        <v>1767</v>
      </c>
      <c r="F185" s="1178" t="s">
        <v>4353</v>
      </c>
      <c r="G185" s="1056" t="s">
        <v>4306</v>
      </c>
      <c r="H185" s="433" t="s">
        <v>3478</v>
      </c>
      <c r="I185" s="111">
        <v>19.403366400000003</v>
      </c>
      <c r="J185" s="111">
        <v>291.05049600000007</v>
      </c>
      <c r="K185" s="110"/>
      <c r="L185" s="110"/>
      <c r="M185" s="110"/>
      <c r="N185" s="110"/>
      <c r="O185" s="110"/>
      <c r="P185" s="110"/>
      <c r="Q185" s="433">
        <v>8</v>
      </c>
      <c r="R185" s="111">
        <v>97.016832000000022</v>
      </c>
      <c r="S185" s="110"/>
      <c r="T185" s="110"/>
      <c r="U185" s="110"/>
      <c r="V185" s="110"/>
      <c r="W185" s="433">
        <v>4</v>
      </c>
      <c r="X185" s="111">
        <v>97.016832000000022</v>
      </c>
      <c r="Y185" s="110"/>
      <c r="Z185" s="110"/>
      <c r="AA185" s="110"/>
      <c r="AB185" s="110"/>
      <c r="AC185" s="433">
        <v>3</v>
      </c>
      <c r="AD185" s="111">
        <v>97.016832000000022</v>
      </c>
      <c r="AE185" s="110"/>
      <c r="AF185" s="110"/>
      <c r="AG185" s="110"/>
      <c r="AH185" s="1048"/>
    </row>
    <row r="186" spans="1:34" ht="45" x14ac:dyDescent="0.25">
      <c r="A186" s="1047"/>
      <c r="B186" s="110" t="s">
        <v>1856</v>
      </c>
      <c r="C186" s="110"/>
      <c r="D186" s="433">
        <v>180</v>
      </c>
      <c r="E186" s="207" t="s">
        <v>1767</v>
      </c>
      <c r="F186" s="1178" t="s">
        <v>4353</v>
      </c>
      <c r="G186" s="1056" t="s">
        <v>4306</v>
      </c>
      <c r="H186" s="433" t="s">
        <v>3478</v>
      </c>
      <c r="I186" s="111">
        <v>48.042560000000009</v>
      </c>
      <c r="J186" s="111">
        <v>8647.6608000000015</v>
      </c>
      <c r="K186" s="110"/>
      <c r="L186" s="110"/>
      <c r="M186" s="110"/>
      <c r="N186" s="110"/>
      <c r="O186" s="110"/>
      <c r="P186" s="110"/>
      <c r="Q186" s="433">
        <v>80</v>
      </c>
      <c r="R186" s="111">
        <v>2882.5536000000006</v>
      </c>
      <c r="S186" s="110"/>
      <c r="T186" s="110"/>
      <c r="U186" s="110"/>
      <c r="V186" s="110"/>
      <c r="W186" s="433">
        <v>50</v>
      </c>
      <c r="X186" s="111">
        <v>2882.5536000000006</v>
      </c>
      <c r="Y186" s="110"/>
      <c r="Z186" s="110"/>
      <c r="AA186" s="110"/>
      <c r="AB186" s="110"/>
      <c r="AC186" s="433">
        <v>50</v>
      </c>
      <c r="AD186" s="111">
        <v>2882.5536000000006</v>
      </c>
      <c r="AE186" s="110"/>
      <c r="AF186" s="110"/>
      <c r="AG186" s="110"/>
      <c r="AH186" s="1048"/>
    </row>
    <row r="187" spans="1:34" ht="45" x14ac:dyDescent="0.25">
      <c r="A187" s="1047"/>
      <c r="B187" s="110" t="s">
        <v>1163</v>
      </c>
      <c r="C187" s="110"/>
      <c r="D187" s="433">
        <v>30</v>
      </c>
      <c r="E187" s="207" t="s">
        <v>1767</v>
      </c>
      <c r="F187" s="1178" t="s">
        <v>4353</v>
      </c>
      <c r="G187" s="1056" t="s">
        <v>4306</v>
      </c>
      <c r="H187" s="433" t="s">
        <v>3478</v>
      </c>
      <c r="I187" s="111">
        <v>171.94304160000002</v>
      </c>
      <c r="J187" s="111">
        <v>5158.2912480000005</v>
      </c>
      <c r="K187" s="110"/>
      <c r="L187" s="110"/>
      <c r="M187" s="110"/>
      <c r="N187" s="110"/>
      <c r="O187" s="110"/>
      <c r="P187" s="110"/>
      <c r="Q187" s="433">
        <v>15</v>
      </c>
      <c r="R187" s="111">
        <v>1719.4304160000002</v>
      </c>
      <c r="S187" s="110"/>
      <c r="T187" s="110"/>
      <c r="U187" s="110"/>
      <c r="V187" s="110"/>
      <c r="W187" s="433">
        <v>8</v>
      </c>
      <c r="X187" s="111">
        <v>1719.4304160000002</v>
      </c>
      <c r="Y187" s="110"/>
      <c r="Z187" s="110"/>
      <c r="AA187" s="110"/>
      <c r="AB187" s="110"/>
      <c r="AC187" s="433">
        <v>7</v>
      </c>
      <c r="AD187" s="111">
        <v>1719.4304160000002</v>
      </c>
      <c r="AE187" s="110"/>
      <c r="AF187" s="110"/>
      <c r="AG187" s="110"/>
      <c r="AH187" s="1048"/>
    </row>
    <row r="188" spans="1:34" ht="45" x14ac:dyDescent="0.25">
      <c r="A188" s="1047"/>
      <c r="B188" s="1057" t="s">
        <v>1167</v>
      </c>
      <c r="C188" s="110"/>
      <c r="D188" s="433">
        <v>40</v>
      </c>
      <c r="E188" s="207" t="s">
        <v>1767</v>
      </c>
      <c r="F188" s="1178" t="s">
        <v>4353</v>
      </c>
      <c r="G188" s="1056" t="s">
        <v>4306</v>
      </c>
      <c r="H188" s="433" t="s">
        <v>3478</v>
      </c>
      <c r="I188" s="111">
        <v>65.624169599999988</v>
      </c>
      <c r="J188" s="111">
        <v>2624.9667839999993</v>
      </c>
      <c r="K188" s="110"/>
      <c r="L188" s="110"/>
      <c r="M188" s="110"/>
      <c r="N188" s="110"/>
      <c r="O188" s="110"/>
      <c r="P188" s="110"/>
      <c r="Q188" s="433">
        <v>20</v>
      </c>
      <c r="R188" s="111">
        <v>874.98892799999976</v>
      </c>
      <c r="S188" s="110"/>
      <c r="T188" s="110"/>
      <c r="U188" s="110"/>
      <c r="V188" s="110"/>
      <c r="W188" s="433">
        <v>10</v>
      </c>
      <c r="X188" s="111">
        <v>874.98892799999976</v>
      </c>
      <c r="Y188" s="110"/>
      <c r="Z188" s="110"/>
      <c r="AA188" s="110"/>
      <c r="AB188" s="110"/>
      <c r="AC188" s="433">
        <v>10</v>
      </c>
      <c r="AD188" s="111">
        <v>874.98892799999976</v>
      </c>
      <c r="AE188" s="110"/>
      <c r="AF188" s="110"/>
      <c r="AG188" s="110"/>
      <c r="AH188" s="1048"/>
    </row>
    <row r="189" spans="1:34" ht="45" x14ac:dyDescent="0.25">
      <c r="A189" s="1047"/>
      <c r="B189" s="110" t="s">
        <v>3579</v>
      </c>
      <c r="C189" s="110"/>
      <c r="D189" s="433">
        <v>60</v>
      </c>
      <c r="E189" s="207" t="s">
        <v>1767</v>
      </c>
      <c r="F189" s="1178" t="s">
        <v>4353</v>
      </c>
      <c r="G189" s="1056" t="s">
        <v>4306</v>
      </c>
      <c r="H189" s="433" t="s">
        <v>3478</v>
      </c>
      <c r="I189" s="111">
        <v>34.799999999999997</v>
      </c>
      <c r="J189" s="111">
        <v>2088</v>
      </c>
      <c r="K189" s="110"/>
      <c r="L189" s="110"/>
      <c r="M189" s="110"/>
      <c r="N189" s="110"/>
      <c r="O189" s="110"/>
      <c r="P189" s="110"/>
      <c r="Q189" s="433">
        <v>20</v>
      </c>
      <c r="R189" s="111">
        <v>696</v>
      </c>
      <c r="S189" s="110"/>
      <c r="T189" s="110"/>
      <c r="U189" s="110"/>
      <c r="V189" s="110"/>
      <c r="W189" s="433">
        <v>20</v>
      </c>
      <c r="X189" s="111">
        <v>696</v>
      </c>
      <c r="Y189" s="110"/>
      <c r="Z189" s="110"/>
      <c r="AA189" s="110"/>
      <c r="AB189" s="110"/>
      <c r="AC189" s="433">
        <v>20</v>
      </c>
      <c r="AD189" s="111">
        <v>696</v>
      </c>
      <c r="AE189" s="110"/>
      <c r="AF189" s="110"/>
      <c r="AG189" s="110"/>
      <c r="AH189" s="1048"/>
    </row>
    <row r="190" spans="1:34" x14ac:dyDescent="0.25">
      <c r="A190" s="1058">
        <v>21602</v>
      </c>
      <c r="B190" s="187" t="s">
        <v>3580</v>
      </c>
      <c r="C190" s="110"/>
      <c r="D190" s="433"/>
      <c r="E190" s="207"/>
      <c r="F190" s="433"/>
      <c r="G190" s="1056"/>
      <c r="H190" s="433"/>
      <c r="I190" s="111"/>
      <c r="J190" s="111"/>
      <c r="K190" s="110"/>
      <c r="L190" s="110"/>
      <c r="M190" s="110"/>
      <c r="N190" s="110"/>
      <c r="O190" s="110"/>
      <c r="P190" s="110"/>
      <c r="Q190" s="433"/>
      <c r="R190" s="111"/>
      <c r="S190" s="110"/>
      <c r="T190" s="110"/>
      <c r="U190" s="110"/>
      <c r="V190" s="110"/>
      <c r="W190" s="433"/>
      <c r="X190" s="111"/>
      <c r="Y190" s="110"/>
      <c r="Z190" s="110"/>
      <c r="AA190" s="110"/>
      <c r="AB190" s="110"/>
      <c r="AC190" s="433"/>
      <c r="AD190" s="111"/>
      <c r="AE190" s="110"/>
      <c r="AF190" s="110"/>
      <c r="AG190" s="110"/>
      <c r="AH190" s="1048"/>
    </row>
    <row r="191" spans="1:34" ht="45" x14ac:dyDescent="0.25">
      <c r="A191" s="1047"/>
      <c r="B191" s="110" t="s">
        <v>3581</v>
      </c>
      <c r="C191" s="110"/>
      <c r="D191" s="433">
        <v>130</v>
      </c>
      <c r="E191" s="207" t="s">
        <v>1772</v>
      </c>
      <c r="F191" s="1178" t="s">
        <v>4353</v>
      </c>
      <c r="G191" s="1056" t="s">
        <v>4306</v>
      </c>
      <c r="H191" s="433" t="s">
        <v>3478</v>
      </c>
      <c r="I191" s="111">
        <v>123.38625883076922</v>
      </c>
      <c r="J191" s="111">
        <v>16040.213647999999</v>
      </c>
      <c r="K191" s="110"/>
      <c r="L191" s="110"/>
      <c r="M191" s="110"/>
      <c r="N191" s="110"/>
      <c r="O191" s="110"/>
      <c r="P191" s="110"/>
      <c r="Q191" s="433">
        <v>70</v>
      </c>
      <c r="R191" s="111">
        <v>5346.7378826666663</v>
      </c>
      <c r="S191" s="110"/>
      <c r="T191" s="110"/>
      <c r="U191" s="110"/>
      <c r="V191" s="110"/>
      <c r="W191" s="433">
        <v>30</v>
      </c>
      <c r="X191" s="111">
        <v>5346.7378826666663</v>
      </c>
      <c r="Y191" s="110"/>
      <c r="Z191" s="110"/>
      <c r="AA191" s="110"/>
      <c r="AB191" s="110"/>
      <c r="AC191" s="433">
        <v>30</v>
      </c>
      <c r="AD191" s="111">
        <v>5346.7378826666663</v>
      </c>
      <c r="AE191" s="110"/>
      <c r="AF191" s="110"/>
      <c r="AG191" s="110"/>
      <c r="AH191" s="1048"/>
    </row>
    <row r="192" spans="1:34" ht="45" x14ac:dyDescent="0.25">
      <c r="A192" s="1047"/>
      <c r="B192" s="110" t="s">
        <v>3582</v>
      </c>
      <c r="C192" s="110"/>
      <c r="D192" s="433">
        <v>35</v>
      </c>
      <c r="E192" s="207" t="s">
        <v>1772</v>
      </c>
      <c r="F192" s="1178" t="s">
        <v>4353</v>
      </c>
      <c r="G192" s="1056" t="s">
        <v>4306</v>
      </c>
      <c r="H192" s="433" t="s">
        <v>3478</v>
      </c>
      <c r="I192" s="111">
        <v>263.34840137142862</v>
      </c>
      <c r="J192" s="111">
        <v>9217.1940480000012</v>
      </c>
      <c r="K192" s="110"/>
      <c r="L192" s="110"/>
      <c r="M192" s="110"/>
      <c r="N192" s="110"/>
      <c r="O192" s="110"/>
      <c r="P192" s="110"/>
      <c r="Q192" s="433">
        <v>19</v>
      </c>
      <c r="R192" s="111">
        <v>3072.3980160000006</v>
      </c>
      <c r="S192" s="110"/>
      <c r="T192" s="110"/>
      <c r="U192" s="110"/>
      <c r="V192" s="110"/>
      <c r="W192" s="433">
        <v>8</v>
      </c>
      <c r="X192" s="111">
        <v>3072.3980160000006</v>
      </c>
      <c r="Y192" s="110"/>
      <c r="Z192" s="110"/>
      <c r="AA192" s="110"/>
      <c r="AB192" s="110"/>
      <c r="AC192" s="433">
        <v>8</v>
      </c>
      <c r="AD192" s="111">
        <v>3072.3980160000006</v>
      </c>
      <c r="AE192" s="110"/>
      <c r="AF192" s="110"/>
      <c r="AG192" s="110"/>
      <c r="AH192" s="1048"/>
    </row>
    <row r="193" spans="1:34" ht="45" x14ac:dyDescent="0.25">
      <c r="A193" s="1047"/>
      <c r="B193" s="110" t="s">
        <v>3583</v>
      </c>
      <c r="C193" s="110"/>
      <c r="D193" s="433">
        <v>12</v>
      </c>
      <c r="E193" s="207" t="s">
        <v>1772</v>
      </c>
      <c r="F193" s="1178" t="s">
        <v>4353</v>
      </c>
      <c r="G193" s="1056" t="s">
        <v>4306</v>
      </c>
      <c r="H193" s="433" t="s">
        <v>3478</v>
      </c>
      <c r="I193" s="111">
        <v>373.43</v>
      </c>
      <c r="J193" s="111">
        <v>4481.16</v>
      </c>
      <c r="K193" s="110"/>
      <c r="L193" s="110"/>
      <c r="M193" s="110"/>
      <c r="N193" s="110"/>
      <c r="O193" s="110"/>
      <c r="P193" s="110"/>
      <c r="Q193" s="433">
        <v>6</v>
      </c>
      <c r="R193" s="111">
        <v>1493.72</v>
      </c>
      <c r="S193" s="110"/>
      <c r="T193" s="110"/>
      <c r="U193" s="110"/>
      <c r="V193" s="110"/>
      <c r="W193" s="433">
        <v>3</v>
      </c>
      <c r="X193" s="111">
        <v>1493.72</v>
      </c>
      <c r="Y193" s="110"/>
      <c r="Z193" s="110"/>
      <c r="AA193" s="110"/>
      <c r="AB193" s="110"/>
      <c r="AC193" s="433">
        <v>3</v>
      </c>
      <c r="AD193" s="111">
        <v>1493.72</v>
      </c>
      <c r="AE193" s="110"/>
      <c r="AF193" s="110"/>
      <c r="AG193" s="110"/>
      <c r="AH193" s="1048"/>
    </row>
    <row r="194" spans="1:34" ht="45" x14ac:dyDescent="0.25">
      <c r="A194" s="1047"/>
      <c r="B194" s="110" t="s">
        <v>3584</v>
      </c>
      <c r="C194" s="110"/>
      <c r="D194" s="433">
        <v>3</v>
      </c>
      <c r="E194" s="207" t="s">
        <v>1772</v>
      </c>
      <c r="F194" s="1178" t="s">
        <v>4353</v>
      </c>
      <c r="G194" s="1056" t="s">
        <v>4306</v>
      </c>
      <c r="H194" s="433" t="s">
        <v>3478</v>
      </c>
      <c r="I194" s="111">
        <v>900</v>
      </c>
      <c r="J194" s="111">
        <v>2700</v>
      </c>
      <c r="K194" s="110"/>
      <c r="L194" s="110"/>
      <c r="M194" s="110"/>
      <c r="N194" s="110"/>
      <c r="O194" s="110"/>
      <c r="P194" s="110"/>
      <c r="Q194" s="433">
        <v>1</v>
      </c>
      <c r="R194" s="111">
        <v>900</v>
      </c>
      <c r="S194" s="110"/>
      <c r="T194" s="110"/>
      <c r="U194" s="110"/>
      <c r="V194" s="110"/>
      <c r="W194" s="433">
        <v>1</v>
      </c>
      <c r="X194" s="111">
        <v>900</v>
      </c>
      <c r="Y194" s="110"/>
      <c r="Z194" s="110"/>
      <c r="AA194" s="110"/>
      <c r="AB194" s="110"/>
      <c r="AC194" s="433">
        <v>1</v>
      </c>
      <c r="AD194" s="111">
        <v>900</v>
      </c>
      <c r="AE194" s="110"/>
      <c r="AF194" s="110"/>
      <c r="AG194" s="110"/>
      <c r="AH194" s="1048"/>
    </row>
    <row r="195" spans="1:34" ht="45" x14ac:dyDescent="0.25">
      <c r="A195" s="1047"/>
      <c r="B195" s="110" t="s">
        <v>3585</v>
      </c>
      <c r="C195" s="110"/>
      <c r="D195" s="433">
        <v>20</v>
      </c>
      <c r="E195" s="207" t="s">
        <v>1767</v>
      </c>
      <c r="F195" s="1178" t="s">
        <v>4353</v>
      </c>
      <c r="G195" s="1056" t="s">
        <v>4306</v>
      </c>
      <c r="H195" s="433" t="s">
        <v>3478</v>
      </c>
      <c r="I195" s="111">
        <v>16.829999999999998</v>
      </c>
      <c r="J195" s="111">
        <v>336.59999999999997</v>
      </c>
      <c r="K195" s="110"/>
      <c r="L195" s="110"/>
      <c r="M195" s="110"/>
      <c r="N195" s="110"/>
      <c r="O195" s="110"/>
      <c r="P195" s="110"/>
      <c r="Q195" s="433">
        <v>10</v>
      </c>
      <c r="R195" s="111">
        <v>112.19999999999999</v>
      </c>
      <c r="S195" s="110"/>
      <c r="T195" s="110"/>
      <c r="U195" s="110"/>
      <c r="V195" s="110"/>
      <c r="W195" s="433">
        <v>5</v>
      </c>
      <c r="X195" s="111">
        <v>112.19999999999999</v>
      </c>
      <c r="Y195" s="110"/>
      <c r="Z195" s="110"/>
      <c r="AA195" s="110"/>
      <c r="AB195" s="110"/>
      <c r="AC195" s="433">
        <v>5</v>
      </c>
      <c r="AD195" s="111">
        <v>112.19999999999999</v>
      </c>
      <c r="AE195" s="110"/>
      <c r="AF195" s="110"/>
      <c r="AG195" s="110"/>
      <c r="AH195" s="1048"/>
    </row>
    <row r="196" spans="1:34" ht="45" x14ac:dyDescent="0.25">
      <c r="A196" s="1047"/>
      <c r="B196" s="110" t="s">
        <v>3586</v>
      </c>
      <c r="C196" s="110"/>
      <c r="D196" s="433">
        <v>1</v>
      </c>
      <c r="E196" s="207" t="s">
        <v>1772</v>
      </c>
      <c r="F196" s="1178" t="s">
        <v>4353</v>
      </c>
      <c r="G196" s="1056" t="s">
        <v>4306</v>
      </c>
      <c r="H196" s="433" t="s">
        <v>3478</v>
      </c>
      <c r="I196" s="111">
        <v>500</v>
      </c>
      <c r="J196" s="111">
        <v>500</v>
      </c>
      <c r="K196" s="110"/>
      <c r="L196" s="110"/>
      <c r="M196" s="110"/>
      <c r="N196" s="110"/>
      <c r="O196" s="110"/>
      <c r="P196" s="110"/>
      <c r="Q196" s="433">
        <v>1</v>
      </c>
      <c r="R196" s="111">
        <v>166.66666666666666</v>
      </c>
      <c r="S196" s="110"/>
      <c r="T196" s="110"/>
      <c r="U196" s="110"/>
      <c r="V196" s="110"/>
      <c r="W196" s="433">
        <v>0</v>
      </c>
      <c r="X196" s="111">
        <v>166.66666666666666</v>
      </c>
      <c r="Y196" s="110"/>
      <c r="Z196" s="110"/>
      <c r="AA196" s="110"/>
      <c r="AB196" s="110"/>
      <c r="AC196" s="433">
        <v>0</v>
      </c>
      <c r="AD196" s="111">
        <v>166.66666666666666</v>
      </c>
      <c r="AE196" s="110"/>
      <c r="AF196" s="110"/>
      <c r="AG196" s="110"/>
      <c r="AH196" s="1048"/>
    </row>
    <row r="197" spans="1:34" ht="45" x14ac:dyDescent="0.25">
      <c r="A197" s="1047"/>
      <c r="B197" s="110" t="s">
        <v>3587</v>
      </c>
      <c r="C197" s="110"/>
      <c r="D197" s="433">
        <v>361</v>
      </c>
      <c r="E197" s="207" t="s">
        <v>1772</v>
      </c>
      <c r="F197" s="1178" t="s">
        <v>4353</v>
      </c>
      <c r="G197" s="1056" t="s">
        <v>4306</v>
      </c>
      <c r="H197" s="433" t="s">
        <v>3478</v>
      </c>
      <c r="I197" s="111">
        <v>355.4878670360111</v>
      </c>
      <c r="J197" s="111">
        <v>128331.12000000001</v>
      </c>
      <c r="K197" s="110"/>
      <c r="L197" s="110"/>
      <c r="M197" s="110"/>
      <c r="N197" s="110"/>
      <c r="O197" s="110"/>
      <c r="P197" s="110"/>
      <c r="Q197" s="433">
        <v>161</v>
      </c>
      <c r="R197" s="111">
        <v>42777.04</v>
      </c>
      <c r="S197" s="110"/>
      <c r="T197" s="110"/>
      <c r="U197" s="110"/>
      <c r="V197" s="110"/>
      <c r="W197" s="433">
        <v>100</v>
      </c>
      <c r="X197" s="111">
        <v>42777.04</v>
      </c>
      <c r="Y197" s="110"/>
      <c r="Z197" s="110"/>
      <c r="AA197" s="110"/>
      <c r="AB197" s="110"/>
      <c r="AC197" s="433">
        <v>100</v>
      </c>
      <c r="AD197" s="111">
        <v>42777.04</v>
      </c>
      <c r="AE197" s="110"/>
      <c r="AF197" s="110"/>
      <c r="AG197" s="110"/>
      <c r="AH197" s="1048"/>
    </row>
    <row r="198" spans="1:34" ht="45" x14ac:dyDescent="0.25">
      <c r="A198" s="1047"/>
      <c r="B198" s="110" t="s">
        <v>3588</v>
      </c>
      <c r="C198" s="110"/>
      <c r="D198" s="433">
        <v>50</v>
      </c>
      <c r="E198" s="207" t="s">
        <v>1766</v>
      </c>
      <c r="F198" s="1178" t="s">
        <v>4353</v>
      </c>
      <c r="G198" s="1056" t="s">
        <v>4306</v>
      </c>
      <c r="H198" s="433" t="s">
        <v>3478</v>
      </c>
      <c r="I198" s="111">
        <v>27.791999999999998</v>
      </c>
      <c r="J198" s="111">
        <v>1389.6</v>
      </c>
      <c r="K198" s="110"/>
      <c r="L198" s="110"/>
      <c r="M198" s="110"/>
      <c r="N198" s="110"/>
      <c r="O198" s="110"/>
      <c r="P198" s="110"/>
      <c r="Q198" s="433">
        <v>25</v>
      </c>
      <c r="R198" s="111">
        <v>463.2</v>
      </c>
      <c r="S198" s="110"/>
      <c r="T198" s="110"/>
      <c r="U198" s="110"/>
      <c r="V198" s="110"/>
      <c r="W198" s="433">
        <v>13</v>
      </c>
      <c r="X198" s="111">
        <v>463.2</v>
      </c>
      <c r="Y198" s="110"/>
      <c r="Z198" s="110"/>
      <c r="AA198" s="110"/>
      <c r="AB198" s="110"/>
      <c r="AC198" s="433">
        <v>12</v>
      </c>
      <c r="AD198" s="111">
        <v>463.2</v>
      </c>
      <c r="AE198" s="110"/>
      <c r="AF198" s="110"/>
      <c r="AG198" s="110"/>
      <c r="AH198" s="1048"/>
    </row>
    <row r="199" spans="1:34" ht="45" x14ac:dyDescent="0.25">
      <c r="A199" s="1047"/>
      <c r="B199" s="110" t="s">
        <v>3589</v>
      </c>
      <c r="C199" s="110"/>
      <c r="D199" s="433">
        <v>24</v>
      </c>
      <c r="E199" s="207" t="s">
        <v>1766</v>
      </c>
      <c r="F199" s="1178" t="s">
        <v>4353</v>
      </c>
      <c r="G199" s="1056" t="s">
        <v>4306</v>
      </c>
      <c r="H199" s="433" t="s">
        <v>3478</v>
      </c>
      <c r="I199" s="111">
        <v>233.76276000000004</v>
      </c>
      <c r="J199" s="111">
        <v>5610.3062400000008</v>
      </c>
      <c r="K199" s="110"/>
      <c r="L199" s="110"/>
      <c r="M199" s="110"/>
      <c r="N199" s="110"/>
      <c r="O199" s="110"/>
      <c r="P199" s="110"/>
      <c r="Q199" s="433">
        <v>12</v>
      </c>
      <c r="R199" s="111">
        <v>1870.1020800000003</v>
      </c>
      <c r="S199" s="110"/>
      <c r="T199" s="110"/>
      <c r="U199" s="110"/>
      <c r="V199" s="110"/>
      <c r="W199" s="433">
        <v>6</v>
      </c>
      <c r="X199" s="111">
        <v>1870.1020800000003</v>
      </c>
      <c r="Y199" s="110"/>
      <c r="Z199" s="110"/>
      <c r="AA199" s="110"/>
      <c r="AB199" s="110"/>
      <c r="AC199" s="433">
        <v>6</v>
      </c>
      <c r="AD199" s="111">
        <v>1870.1020800000003</v>
      </c>
      <c r="AE199" s="110"/>
      <c r="AF199" s="110"/>
      <c r="AG199" s="110"/>
      <c r="AH199" s="1048"/>
    </row>
    <row r="200" spans="1:34" x14ac:dyDescent="0.25">
      <c r="A200" s="1047"/>
      <c r="B200" s="110"/>
      <c r="C200" s="110"/>
      <c r="D200" s="433"/>
      <c r="E200" s="207"/>
      <c r="F200" s="433"/>
      <c r="G200" s="1056"/>
      <c r="H200" s="433"/>
      <c r="I200" s="111"/>
      <c r="J200" s="111"/>
      <c r="K200" s="110"/>
      <c r="L200" s="110"/>
      <c r="M200" s="110"/>
      <c r="N200" s="110"/>
      <c r="O200" s="110"/>
      <c r="P200" s="110"/>
      <c r="Q200" s="433"/>
      <c r="R200" s="111"/>
      <c r="S200" s="110"/>
      <c r="T200" s="110"/>
      <c r="U200" s="110"/>
      <c r="V200" s="110"/>
      <c r="W200" s="433"/>
      <c r="X200" s="111"/>
      <c r="Y200" s="110"/>
      <c r="Z200" s="110"/>
      <c r="AA200" s="110"/>
      <c r="AB200" s="110"/>
      <c r="AC200" s="433"/>
      <c r="AD200" s="111"/>
      <c r="AE200" s="110"/>
      <c r="AF200" s="110"/>
      <c r="AG200" s="110"/>
      <c r="AH200" s="1048"/>
    </row>
    <row r="201" spans="1:34" x14ac:dyDescent="0.25">
      <c r="A201" s="1058">
        <v>21603</v>
      </c>
      <c r="B201" s="187" t="s">
        <v>3590</v>
      </c>
      <c r="C201" s="110"/>
      <c r="D201" s="433"/>
      <c r="E201" s="207"/>
      <c r="F201" s="433"/>
      <c r="G201" s="1056"/>
      <c r="H201" s="433"/>
      <c r="I201" s="111"/>
      <c r="J201" s="111"/>
      <c r="K201" s="110"/>
      <c r="L201" s="110"/>
      <c r="M201" s="110"/>
      <c r="N201" s="110"/>
      <c r="O201" s="110"/>
      <c r="P201" s="110"/>
      <c r="Q201" s="433"/>
      <c r="R201" s="111"/>
      <c r="S201" s="110"/>
      <c r="T201" s="110"/>
      <c r="U201" s="110"/>
      <c r="V201" s="110"/>
      <c r="W201" s="433"/>
      <c r="X201" s="111"/>
      <c r="Y201" s="110"/>
      <c r="Z201" s="110"/>
      <c r="AA201" s="110"/>
      <c r="AB201" s="110"/>
      <c r="AC201" s="433"/>
      <c r="AD201" s="111"/>
      <c r="AE201" s="110"/>
      <c r="AF201" s="110"/>
      <c r="AG201" s="110"/>
      <c r="AH201" s="1048"/>
    </row>
    <row r="202" spans="1:34" ht="45" x14ac:dyDescent="0.25">
      <c r="A202" s="1047"/>
      <c r="B202" s="110" t="s">
        <v>3591</v>
      </c>
      <c r="C202" s="110"/>
      <c r="D202" s="433">
        <v>60</v>
      </c>
      <c r="E202" s="207" t="s">
        <v>1826</v>
      </c>
      <c r="F202" s="1178" t="s">
        <v>4353</v>
      </c>
      <c r="G202" s="1056" t="s">
        <v>4306</v>
      </c>
      <c r="H202" s="433" t="s">
        <v>3478</v>
      </c>
      <c r="I202" s="111">
        <v>23.2</v>
      </c>
      <c r="J202" s="111">
        <v>1392</v>
      </c>
      <c r="K202" s="110"/>
      <c r="L202" s="110"/>
      <c r="M202" s="110"/>
      <c r="N202" s="110"/>
      <c r="O202" s="110"/>
      <c r="P202" s="110"/>
      <c r="Q202" s="433">
        <v>20</v>
      </c>
      <c r="R202" s="111">
        <v>464</v>
      </c>
      <c r="S202" s="110"/>
      <c r="T202" s="110"/>
      <c r="U202" s="110"/>
      <c r="V202" s="110"/>
      <c r="W202" s="433">
        <v>20</v>
      </c>
      <c r="X202" s="111">
        <v>464</v>
      </c>
      <c r="Y202" s="110"/>
      <c r="Z202" s="110"/>
      <c r="AA202" s="110"/>
      <c r="AB202" s="110"/>
      <c r="AC202" s="433">
        <v>20</v>
      </c>
      <c r="AD202" s="111">
        <v>464</v>
      </c>
      <c r="AE202" s="110"/>
      <c r="AF202" s="110"/>
      <c r="AG202" s="110"/>
      <c r="AH202" s="1048"/>
    </row>
    <row r="203" spans="1:34" ht="45" x14ac:dyDescent="0.25">
      <c r="A203" s="1047"/>
      <c r="B203" s="110" t="s">
        <v>3592</v>
      </c>
      <c r="C203" s="110"/>
      <c r="D203" s="433">
        <v>40</v>
      </c>
      <c r="E203" s="207" t="s">
        <v>1826</v>
      </c>
      <c r="F203" s="1178" t="s">
        <v>4353</v>
      </c>
      <c r="G203" s="1056" t="s">
        <v>4306</v>
      </c>
      <c r="H203" s="433" t="s">
        <v>3478</v>
      </c>
      <c r="I203" s="111">
        <v>19.309999999999999</v>
      </c>
      <c r="J203" s="111">
        <v>772.4</v>
      </c>
      <c r="K203" s="110"/>
      <c r="L203" s="110"/>
      <c r="M203" s="110"/>
      <c r="N203" s="110"/>
      <c r="O203" s="110"/>
      <c r="P203" s="110"/>
      <c r="Q203" s="433">
        <v>20</v>
      </c>
      <c r="R203" s="111">
        <v>257.46666666666664</v>
      </c>
      <c r="S203" s="110"/>
      <c r="T203" s="110"/>
      <c r="U203" s="110"/>
      <c r="V203" s="110"/>
      <c r="W203" s="433">
        <v>10</v>
      </c>
      <c r="X203" s="111">
        <v>257.46666666666664</v>
      </c>
      <c r="Y203" s="110"/>
      <c r="Z203" s="110"/>
      <c r="AA203" s="110"/>
      <c r="AB203" s="110"/>
      <c r="AC203" s="433">
        <v>10</v>
      </c>
      <c r="AD203" s="111">
        <v>257.46666666666664</v>
      </c>
      <c r="AE203" s="110"/>
      <c r="AF203" s="110"/>
      <c r="AG203" s="110"/>
      <c r="AH203" s="1048"/>
    </row>
    <row r="204" spans="1:34" ht="36" x14ac:dyDescent="0.25">
      <c r="A204" s="1058">
        <v>21701</v>
      </c>
      <c r="B204" s="187" t="s">
        <v>3593</v>
      </c>
      <c r="C204" s="110"/>
      <c r="D204" s="433"/>
      <c r="E204" s="207"/>
      <c r="F204" s="433"/>
      <c r="G204" s="1056" t="s">
        <v>4306</v>
      </c>
      <c r="H204" s="433"/>
      <c r="I204" s="111"/>
      <c r="J204" s="111"/>
      <c r="K204" s="110"/>
      <c r="L204" s="110"/>
      <c r="M204" s="110"/>
      <c r="N204" s="110"/>
      <c r="O204" s="110"/>
      <c r="P204" s="110"/>
      <c r="Q204" s="433"/>
      <c r="R204" s="111"/>
      <c r="S204" s="110"/>
      <c r="T204" s="110"/>
      <c r="U204" s="110"/>
      <c r="V204" s="110"/>
      <c r="W204" s="433"/>
      <c r="X204" s="111"/>
      <c r="Y204" s="110"/>
      <c r="Z204" s="110"/>
      <c r="AA204" s="110"/>
      <c r="AB204" s="110"/>
      <c r="AC204" s="433"/>
      <c r="AD204" s="111"/>
      <c r="AE204" s="110"/>
      <c r="AF204" s="110"/>
      <c r="AG204" s="110"/>
      <c r="AH204" s="1048"/>
    </row>
    <row r="205" spans="1:34" ht="45" x14ac:dyDescent="0.25">
      <c r="A205" s="1047"/>
      <c r="B205" s="110" t="s">
        <v>3594</v>
      </c>
      <c r="C205" s="110"/>
      <c r="D205" s="433">
        <v>302</v>
      </c>
      <c r="E205" s="207" t="s">
        <v>1772</v>
      </c>
      <c r="F205" s="1178" t="s">
        <v>4353</v>
      </c>
      <c r="G205" s="1056" t="s">
        <v>4306</v>
      </c>
      <c r="H205" s="433" t="s">
        <v>3478</v>
      </c>
      <c r="I205" s="111">
        <v>244</v>
      </c>
      <c r="J205" s="111">
        <v>73688</v>
      </c>
      <c r="K205" s="110"/>
      <c r="L205" s="110"/>
      <c r="M205" s="110"/>
      <c r="N205" s="110"/>
      <c r="O205" s="110"/>
      <c r="P205" s="110"/>
      <c r="Q205" s="433">
        <v>150</v>
      </c>
      <c r="R205" s="111">
        <v>24562.666666666668</v>
      </c>
      <c r="S205" s="110"/>
      <c r="T205" s="110"/>
      <c r="U205" s="110"/>
      <c r="V205" s="110"/>
      <c r="W205" s="433">
        <v>77</v>
      </c>
      <c r="X205" s="111">
        <v>24562.666666666668</v>
      </c>
      <c r="Y205" s="110"/>
      <c r="Z205" s="110"/>
      <c r="AA205" s="110"/>
      <c r="AB205" s="110"/>
      <c r="AC205" s="433">
        <v>75</v>
      </c>
      <c r="AD205" s="111">
        <v>24562.666666666668</v>
      </c>
      <c r="AE205" s="110"/>
      <c r="AF205" s="110"/>
      <c r="AG205" s="110"/>
      <c r="AH205" s="1048"/>
    </row>
    <row r="206" spans="1:34" ht="45" x14ac:dyDescent="0.25">
      <c r="A206" s="1047"/>
      <c r="B206" s="110" t="s">
        <v>3595</v>
      </c>
      <c r="C206" s="110"/>
      <c r="D206" s="433">
        <v>40</v>
      </c>
      <c r="E206" s="207" t="s">
        <v>1767</v>
      </c>
      <c r="F206" s="1178" t="s">
        <v>4353</v>
      </c>
      <c r="G206" s="1056" t="s">
        <v>4306</v>
      </c>
      <c r="H206" s="433" t="s">
        <v>3478</v>
      </c>
      <c r="I206" s="111">
        <v>145</v>
      </c>
      <c r="J206" s="111">
        <v>5800</v>
      </c>
      <c r="K206" s="110"/>
      <c r="L206" s="110"/>
      <c r="M206" s="110"/>
      <c r="N206" s="110"/>
      <c r="O206" s="110"/>
      <c r="P206" s="110"/>
      <c r="Q206" s="433">
        <v>20</v>
      </c>
      <c r="R206" s="111">
        <v>1933.3333333333333</v>
      </c>
      <c r="S206" s="110"/>
      <c r="T206" s="110"/>
      <c r="U206" s="110"/>
      <c r="V206" s="110"/>
      <c r="W206" s="433">
        <v>10</v>
      </c>
      <c r="X206" s="111">
        <v>1933.3333333333333</v>
      </c>
      <c r="Y206" s="110"/>
      <c r="Z206" s="110"/>
      <c r="AA206" s="110"/>
      <c r="AB206" s="110"/>
      <c r="AC206" s="433">
        <v>10</v>
      </c>
      <c r="AD206" s="111">
        <v>1933.3333333333333</v>
      </c>
      <c r="AE206" s="110"/>
      <c r="AF206" s="110"/>
      <c r="AG206" s="110"/>
      <c r="AH206" s="1048"/>
    </row>
    <row r="207" spans="1:34" ht="45" x14ac:dyDescent="0.25">
      <c r="A207" s="1047"/>
      <c r="B207" s="110" t="s">
        <v>3596</v>
      </c>
      <c r="C207" s="110"/>
      <c r="D207" s="433">
        <v>40</v>
      </c>
      <c r="E207" s="207" t="s">
        <v>1767</v>
      </c>
      <c r="F207" s="1178" t="s">
        <v>4353</v>
      </c>
      <c r="G207" s="1056" t="s">
        <v>4306</v>
      </c>
      <c r="H207" s="433" t="s">
        <v>3478</v>
      </c>
      <c r="I207" s="111">
        <v>89.32</v>
      </c>
      <c r="J207" s="111">
        <v>3572.7999999999997</v>
      </c>
      <c r="K207" s="110"/>
      <c r="L207" s="110"/>
      <c r="M207" s="110"/>
      <c r="N207" s="110"/>
      <c r="O207" s="110"/>
      <c r="P207" s="110"/>
      <c r="Q207" s="433">
        <v>20</v>
      </c>
      <c r="R207" s="111">
        <v>1190.9333333333332</v>
      </c>
      <c r="S207" s="110"/>
      <c r="T207" s="110"/>
      <c r="U207" s="110"/>
      <c r="V207" s="110"/>
      <c r="W207" s="433">
        <v>10</v>
      </c>
      <c r="X207" s="111">
        <v>1190.9333333333332</v>
      </c>
      <c r="Y207" s="110"/>
      <c r="Z207" s="110"/>
      <c r="AA207" s="110"/>
      <c r="AB207" s="110"/>
      <c r="AC207" s="433">
        <v>10</v>
      </c>
      <c r="AD207" s="111">
        <v>1190.9333333333332</v>
      </c>
      <c r="AE207" s="110"/>
      <c r="AF207" s="110"/>
      <c r="AG207" s="110"/>
      <c r="AH207" s="1048"/>
    </row>
    <row r="208" spans="1:34" ht="45" x14ac:dyDescent="0.25">
      <c r="A208" s="1047"/>
      <c r="B208" s="110" t="s">
        <v>3597</v>
      </c>
      <c r="C208" s="110"/>
      <c r="D208" s="433">
        <v>20</v>
      </c>
      <c r="E208" s="207" t="s">
        <v>1767</v>
      </c>
      <c r="F208" s="1178" t="s">
        <v>4353</v>
      </c>
      <c r="G208" s="1056" t="s">
        <v>4306</v>
      </c>
      <c r="H208" s="433" t="s">
        <v>3478</v>
      </c>
      <c r="I208" s="111">
        <v>141.51999999999998</v>
      </c>
      <c r="J208" s="111">
        <v>2830.3999999999996</v>
      </c>
      <c r="K208" s="110"/>
      <c r="L208" s="110"/>
      <c r="M208" s="110"/>
      <c r="N208" s="110"/>
      <c r="O208" s="110"/>
      <c r="P208" s="110"/>
      <c r="Q208" s="433">
        <v>10</v>
      </c>
      <c r="R208" s="111">
        <v>943.46666666666658</v>
      </c>
      <c r="S208" s="110"/>
      <c r="T208" s="110"/>
      <c r="U208" s="110"/>
      <c r="V208" s="110"/>
      <c r="W208" s="433">
        <v>5</v>
      </c>
      <c r="X208" s="111">
        <v>943.46666666666658</v>
      </c>
      <c r="Y208" s="110"/>
      <c r="Z208" s="110"/>
      <c r="AA208" s="110"/>
      <c r="AB208" s="110"/>
      <c r="AC208" s="433">
        <v>5</v>
      </c>
      <c r="AD208" s="111">
        <v>943.46666666666658</v>
      </c>
      <c r="AE208" s="110"/>
      <c r="AF208" s="110"/>
      <c r="AG208" s="110"/>
      <c r="AH208" s="1048"/>
    </row>
    <row r="209" spans="1:34" ht="45" x14ac:dyDescent="0.25">
      <c r="A209" s="1047"/>
      <c r="B209" s="110" t="s">
        <v>3598</v>
      </c>
      <c r="C209" s="110"/>
      <c r="D209" s="433">
        <v>35</v>
      </c>
      <c r="E209" s="207" t="s">
        <v>1767</v>
      </c>
      <c r="F209" s="1178" t="s">
        <v>4353</v>
      </c>
      <c r="G209" s="1056" t="s">
        <v>4306</v>
      </c>
      <c r="H209" s="433" t="s">
        <v>3478</v>
      </c>
      <c r="I209" s="111">
        <v>74.239999999999995</v>
      </c>
      <c r="J209" s="111">
        <v>2598.3999999999996</v>
      </c>
      <c r="K209" s="110"/>
      <c r="L209" s="110"/>
      <c r="M209" s="110"/>
      <c r="N209" s="110"/>
      <c r="O209" s="110"/>
      <c r="P209" s="110"/>
      <c r="Q209" s="433">
        <v>19</v>
      </c>
      <c r="R209" s="111">
        <v>866.13333333333321</v>
      </c>
      <c r="S209" s="110"/>
      <c r="T209" s="110"/>
      <c r="U209" s="110"/>
      <c r="V209" s="110"/>
      <c r="W209" s="433">
        <v>8</v>
      </c>
      <c r="X209" s="111">
        <v>866.13333333333321</v>
      </c>
      <c r="Y209" s="110"/>
      <c r="Z209" s="110"/>
      <c r="AA209" s="110"/>
      <c r="AB209" s="110"/>
      <c r="AC209" s="433">
        <v>8</v>
      </c>
      <c r="AD209" s="111">
        <v>866.13333333333321</v>
      </c>
      <c r="AE209" s="110"/>
      <c r="AF209" s="110"/>
      <c r="AG209" s="110"/>
      <c r="AH209" s="1048"/>
    </row>
    <row r="210" spans="1:34" ht="45" x14ac:dyDescent="0.25">
      <c r="A210" s="1047"/>
      <c r="B210" s="110" t="s">
        <v>3599</v>
      </c>
      <c r="C210" s="110"/>
      <c r="D210" s="433">
        <v>32</v>
      </c>
      <c r="E210" s="207" t="s">
        <v>1767</v>
      </c>
      <c r="F210" s="1178" t="s">
        <v>4353</v>
      </c>
      <c r="G210" s="1056" t="s">
        <v>4306</v>
      </c>
      <c r="H210" s="433" t="s">
        <v>3478</v>
      </c>
      <c r="I210" s="111">
        <v>75.399999999999991</v>
      </c>
      <c r="J210" s="111">
        <v>2412.7999999999997</v>
      </c>
      <c r="K210" s="110"/>
      <c r="L210" s="110"/>
      <c r="M210" s="110"/>
      <c r="N210" s="110"/>
      <c r="O210" s="110"/>
      <c r="P210" s="110"/>
      <c r="Q210" s="433">
        <v>16</v>
      </c>
      <c r="R210" s="111">
        <v>804.26666666666654</v>
      </c>
      <c r="S210" s="110"/>
      <c r="T210" s="110"/>
      <c r="U210" s="110"/>
      <c r="V210" s="110"/>
      <c r="W210" s="433">
        <v>8</v>
      </c>
      <c r="X210" s="111">
        <v>804.26666666666654</v>
      </c>
      <c r="Y210" s="110"/>
      <c r="Z210" s="110"/>
      <c r="AA210" s="110"/>
      <c r="AB210" s="110"/>
      <c r="AC210" s="433">
        <v>8</v>
      </c>
      <c r="AD210" s="111">
        <v>804.26666666666654</v>
      </c>
      <c r="AE210" s="110"/>
      <c r="AF210" s="110"/>
      <c r="AG210" s="110"/>
      <c r="AH210" s="1048"/>
    </row>
    <row r="211" spans="1:34" ht="45" x14ac:dyDescent="0.25">
      <c r="A211" s="1047"/>
      <c r="B211" s="110" t="s">
        <v>3600</v>
      </c>
      <c r="C211" s="110"/>
      <c r="D211" s="433">
        <v>30</v>
      </c>
      <c r="E211" s="207" t="s">
        <v>1767</v>
      </c>
      <c r="F211" s="1178" t="s">
        <v>4353</v>
      </c>
      <c r="G211" s="1056" t="s">
        <v>4306</v>
      </c>
      <c r="H211" s="433" t="s">
        <v>3478</v>
      </c>
      <c r="I211" s="111">
        <v>26.68</v>
      </c>
      <c r="J211" s="111">
        <v>800.4</v>
      </c>
      <c r="K211" s="110"/>
      <c r="L211" s="110"/>
      <c r="M211" s="110"/>
      <c r="N211" s="110"/>
      <c r="O211" s="110"/>
      <c r="P211" s="110"/>
      <c r="Q211" s="433">
        <v>15</v>
      </c>
      <c r="R211" s="111">
        <v>266.8</v>
      </c>
      <c r="S211" s="110"/>
      <c r="T211" s="110"/>
      <c r="U211" s="110"/>
      <c r="V211" s="110"/>
      <c r="W211" s="433">
        <v>8</v>
      </c>
      <c r="X211" s="111">
        <v>266.8</v>
      </c>
      <c r="Y211" s="110"/>
      <c r="Z211" s="110"/>
      <c r="AA211" s="110"/>
      <c r="AB211" s="110"/>
      <c r="AC211" s="433">
        <v>7</v>
      </c>
      <c r="AD211" s="111">
        <v>266.8</v>
      </c>
      <c r="AE211" s="110"/>
      <c r="AF211" s="110"/>
      <c r="AG211" s="110"/>
      <c r="AH211" s="1048"/>
    </row>
    <row r="212" spans="1:34" ht="45" x14ac:dyDescent="0.25">
      <c r="A212" s="1047"/>
      <c r="B212" s="110" t="s">
        <v>3601</v>
      </c>
      <c r="C212" s="110"/>
      <c r="D212" s="433">
        <v>30</v>
      </c>
      <c r="E212" s="207" t="s">
        <v>1767</v>
      </c>
      <c r="F212" s="1178" t="s">
        <v>4353</v>
      </c>
      <c r="G212" s="1056" t="s">
        <v>4306</v>
      </c>
      <c r="H212" s="433" t="s">
        <v>3478</v>
      </c>
      <c r="I212" s="111">
        <v>89.32</v>
      </c>
      <c r="J212" s="111">
        <v>2679.6</v>
      </c>
      <c r="K212" s="110"/>
      <c r="L212" s="110"/>
      <c r="M212" s="110"/>
      <c r="N212" s="110"/>
      <c r="O212" s="110"/>
      <c r="P212" s="110"/>
      <c r="Q212" s="433">
        <v>15</v>
      </c>
      <c r="R212" s="111">
        <v>893.19999999999993</v>
      </c>
      <c r="S212" s="110"/>
      <c r="T212" s="110"/>
      <c r="U212" s="110"/>
      <c r="V212" s="110"/>
      <c r="W212" s="433">
        <v>8</v>
      </c>
      <c r="X212" s="111">
        <v>893.19999999999993</v>
      </c>
      <c r="Y212" s="110"/>
      <c r="Z212" s="110"/>
      <c r="AA212" s="110"/>
      <c r="AB212" s="110"/>
      <c r="AC212" s="433">
        <v>7</v>
      </c>
      <c r="AD212" s="111">
        <v>893.19999999999993</v>
      </c>
      <c r="AE212" s="110"/>
      <c r="AF212" s="110"/>
      <c r="AG212" s="110"/>
      <c r="AH212" s="1048"/>
    </row>
    <row r="213" spans="1:34" ht="45" x14ac:dyDescent="0.25">
      <c r="A213" s="1047"/>
      <c r="B213" s="110" t="s">
        <v>3602</v>
      </c>
      <c r="C213" s="110"/>
      <c r="D213" s="433">
        <v>30</v>
      </c>
      <c r="E213" s="207" t="s">
        <v>1767</v>
      </c>
      <c r="F213" s="1178" t="s">
        <v>4353</v>
      </c>
      <c r="G213" s="1056" t="s">
        <v>4306</v>
      </c>
      <c r="H213" s="433" t="s">
        <v>3478</v>
      </c>
      <c r="I213" s="111">
        <v>17.399999999999999</v>
      </c>
      <c r="J213" s="111">
        <v>522</v>
      </c>
      <c r="K213" s="110"/>
      <c r="L213" s="110"/>
      <c r="M213" s="110"/>
      <c r="N213" s="110"/>
      <c r="O213" s="110"/>
      <c r="P213" s="110"/>
      <c r="Q213" s="433">
        <v>15</v>
      </c>
      <c r="R213" s="111">
        <v>174</v>
      </c>
      <c r="S213" s="110"/>
      <c r="T213" s="110"/>
      <c r="U213" s="110"/>
      <c r="V213" s="110"/>
      <c r="W213" s="433">
        <v>8</v>
      </c>
      <c r="X213" s="111">
        <v>174</v>
      </c>
      <c r="Y213" s="110"/>
      <c r="Z213" s="110"/>
      <c r="AA213" s="110"/>
      <c r="AB213" s="110"/>
      <c r="AC213" s="433">
        <v>7</v>
      </c>
      <c r="AD213" s="111">
        <v>174</v>
      </c>
      <c r="AE213" s="110"/>
      <c r="AF213" s="110"/>
      <c r="AG213" s="110"/>
      <c r="AH213" s="1048"/>
    </row>
    <row r="214" spans="1:34" ht="45" x14ac:dyDescent="0.25">
      <c r="A214" s="1047"/>
      <c r="B214" s="110" t="s">
        <v>3603</v>
      </c>
      <c r="C214" s="110"/>
      <c r="D214" s="433">
        <v>30</v>
      </c>
      <c r="E214" s="207" t="s">
        <v>1767</v>
      </c>
      <c r="F214" s="1178" t="s">
        <v>4353</v>
      </c>
      <c r="G214" s="1056" t="s">
        <v>4306</v>
      </c>
      <c r="H214" s="433" t="s">
        <v>3478</v>
      </c>
      <c r="I214" s="111">
        <v>31.9</v>
      </c>
      <c r="J214" s="111">
        <v>957</v>
      </c>
      <c r="K214" s="110"/>
      <c r="L214" s="110"/>
      <c r="M214" s="110"/>
      <c r="N214" s="110"/>
      <c r="O214" s="110"/>
      <c r="P214" s="110"/>
      <c r="Q214" s="433">
        <v>15</v>
      </c>
      <c r="R214" s="111">
        <v>319</v>
      </c>
      <c r="S214" s="110"/>
      <c r="T214" s="110"/>
      <c r="U214" s="110"/>
      <c r="V214" s="110"/>
      <c r="W214" s="433">
        <v>8</v>
      </c>
      <c r="X214" s="111">
        <v>319</v>
      </c>
      <c r="Y214" s="110"/>
      <c r="Z214" s="110"/>
      <c r="AA214" s="110"/>
      <c r="AB214" s="110"/>
      <c r="AC214" s="433">
        <v>7</v>
      </c>
      <c r="AD214" s="111">
        <v>319</v>
      </c>
      <c r="AE214" s="110"/>
      <c r="AF214" s="110"/>
      <c r="AG214" s="110"/>
      <c r="AH214" s="1048"/>
    </row>
    <row r="215" spans="1:34" ht="45" x14ac:dyDescent="0.25">
      <c r="A215" s="1047"/>
      <c r="B215" s="110" t="s">
        <v>3604</v>
      </c>
      <c r="C215" s="110"/>
      <c r="D215" s="433">
        <v>30</v>
      </c>
      <c r="E215" s="207" t="s">
        <v>1767</v>
      </c>
      <c r="F215" s="1178" t="s">
        <v>4353</v>
      </c>
      <c r="G215" s="1056" t="s">
        <v>4306</v>
      </c>
      <c r="H215" s="433" t="s">
        <v>3478</v>
      </c>
      <c r="I215" s="111">
        <v>78.879999999999981</v>
      </c>
      <c r="J215" s="111">
        <v>2366.3999999999996</v>
      </c>
      <c r="K215" s="110"/>
      <c r="L215" s="110"/>
      <c r="M215" s="110"/>
      <c r="N215" s="110"/>
      <c r="O215" s="110"/>
      <c r="P215" s="110"/>
      <c r="Q215" s="433">
        <v>15</v>
      </c>
      <c r="R215" s="111">
        <v>788.79999999999984</v>
      </c>
      <c r="S215" s="110"/>
      <c r="T215" s="110"/>
      <c r="U215" s="110"/>
      <c r="V215" s="110"/>
      <c r="W215" s="433">
        <v>8</v>
      </c>
      <c r="X215" s="111">
        <v>788.79999999999984</v>
      </c>
      <c r="Y215" s="110"/>
      <c r="Z215" s="110"/>
      <c r="AA215" s="110"/>
      <c r="AB215" s="110"/>
      <c r="AC215" s="433">
        <v>7</v>
      </c>
      <c r="AD215" s="111">
        <v>788.79999999999984</v>
      </c>
      <c r="AE215" s="110"/>
      <c r="AF215" s="110"/>
      <c r="AG215" s="110"/>
      <c r="AH215" s="1048"/>
    </row>
    <row r="216" spans="1:34" ht="45" x14ac:dyDescent="0.25">
      <c r="A216" s="1047"/>
      <c r="B216" s="110" t="s">
        <v>3605</v>
      </c>
      <c r="C216" s="110"/>
      <c r="D216" s="433">
        <v>30</v>
      </c>
      <c r="E216" s="207" t="s">
        <v>1767</v>
      </c>
      <c r="F216" s="1178" t="s">
        <v>4353</v>
      </c>
      <c r="G216" s="1056" t="s">
        <v>4306</v>
      </c>
      <c r="H216" s="433" t="s">
        <v>3478</v>
      </c>
      <c r="I216" s="111">
        <v>28.999999999999996</v>
      </c>
      <c r="J216" s="111">
        <v>869.99999999999989</v>
      </c>
      <c r="K216" s="110"/>
      <c r="L216" s="110"/>
      <c r="M216" s="110"/>
      <c r="N216" s="110"/>
      <c r="O216" s="110"/>
      <c r="P216" s="110"/>
      <c r="Q216" s="433">
        <v>15</v>
      </c>
      <c r="R216" s="111">
        <v>289.99999999999994</v>
      </c>
      <c r="S216" s="110"/>
      <c r="T216" s="110"/>
      <c r="U216" s="110"/>
      <c r="V216" s="110"/>
      <c r="W216" s="433">
        <v>8</v>
      </c>
      <c r="X216" s="111">
        <v>289.99999999999994</v>
      </c>
      <c r="Y216" s="110"/>
      <c r="Z216" s="110"/>
      <c r="AA216" s="110"/>
      <c r="AB216" s="110"/>
      <c r="AC216" s="433">
        <v>7</v>
      </c>
      <c r="AD216" s="111">
        <v>289.99999999999994</v>
      </c>
      <c r="AE216" s="110"/>
      <c r="AF216" s="110"/>
      <c r="AG216" s="110"/>
      <c r="AH216" s="1048"/>
    </row>
    <row r="217" spans="1:34" ht="45" x14ac:dyDescent="0.25">
      <c r="A217" s="1047"/>
      <c r="B217" s="110" t="s">
        <v>3606</v>
      </c>
      <c r="C217" s="110"/>
      <c r="D217" s="433">
        <v>30</v>
      </c>
      <c r="E217" s="207" t="s">
        <v>1767</v>
      </c>
      <c r="F217" s="1178" t="s">
        <v>4353</v>
      </c>
      <c r="G217" s="1056" t="s">
        <v>4306</v>
      </c>
      <c r="H217" s="433" t="s">
        <v>3478</v>
      </c>
      <c r="I217" s="111">
        <v>46.4</v>
      </c>
      <c r="J217" s="111">
        <v>1392</v>
      </c>
      <c r="K217" s="110"/>
      <c r="L217" s="110"/>
      <c r="M217" s="110"/>
      <c r="N217" s="110"/>
      <c r="O217" s="110"/>
      <c r="P217" s="110"/>
      <c r="Q217" s="433">
        <v>15</v>
      </c>
      <c r="R217" s="111">
        <v>464</v>
      </c>
      <c r="S217" s="110"/>
      <c r="T217" s="110"/>
      <c r="U217" s="110"/>
      <c r="V217" s="110"/>
      <c r="W217" s="433">
        <v>8</v>
      </c>
      <c r="X217" s="111">
        <v>464</v>
      </c>
      <c r="Y217" s="110"/>
      <c r="Z217" s="110"/>
      <c r="AA217" s="110"/>
      <c r="AB217" s="110"/>
      <c r="AC217" s="433">
        <v>7</v>
      </c>
      <c r="AD217" s="111">
        <v>464</v>
      </c>
      <c r="AE217" s="110"/>
      <c r="AF217" s="110"/>
      <c r="AG217" s="110"/>
      <c r="AH217" s="1048"/>
    </row>
    <row r="218" spans="1:34" ht="45" x14ac:dyDescent="0.25">
      <c r="A218" s="1047"/>
      <c r="B218" s="110" t="s">
        <v>3607</v>
      </c>
      <c r="C218" s="110"/>
      <c r="D218" s="433">
        <v>30</v>
      </c>
      <c r="E218" s="207" t="s">
        <v>1767</v>
      </c>
      <c r="F218" s="1178" t="s">
        <v>4353</v>
      </c>
      <c r="G218" s="1056" t="s">
        <v>4306</v>
      </c>
      <c r="H218" s="433" t="s">
        <v>3478</v>
      </c>
      <c r="I218" s="111">
        <v>91.64</v>
      </c>
      <c r="J218" s="111">
        <v>2749.2</v>
      </c>
      <c r="K218" s="110"/>
      <c r="L218" s="110"/>
      <c r="M218" s="110"/>
      <c r="N218" s="110"/>
      <c r="O218" s="110"/>
      <c r="P218" s="110"/>
      <c r="Q218" s="433">
        <v>15</v>
      </c>
      <c r="R218" s="111">
        <v>916.4</v>
      </c>
      <c r="S218" s="110"/>
      <c r="T218" s="110"/>
      <c r="U218" s="110"/>
      <c r="V218" s="110"/>
      <c r="W218" s="433">
        <v>8</v>
      </c>
      <c r="X218" s="111">
        <v>916.4</v>
      </c>
      <c r="Y218" s="110"/>
      <c r="Z218" s="110"/>
      <c r="AA218" s="110"/>
      <c r="AB218" s="110"/>
      <c r="AC218" s="433">
        <v>7</v>
      </c>
      <c r="AD218" s="111">
        <v>916.4</v>
      </c>
      <c r="AE218" s="110"/>
      <c r="AF218" s="110"/>
      <c r="AG218" s="110"/>
      <c r="AH218" s="1048"/>
    </row>
    <row r="219" spans="1:34" ht="45" x14ac:dyDescent="0.25">
      <c r="A219" s="1047"/>
      <c r="B219" s="110" t="s">
        <v>3608</v>
      </c>
      <c r="C219" s="110"/>
      <c r="D219" s="433">
        <v>30</v>
      </c>
      <c r="E219" s="207" t="s">
        <v>1767</v>
      </c>
      <c r="F219" s="1178" t="s">
        <v>4353</v>
      </c>
      <c r="G219" s="1056" t="s">
        <v>4306</v>
      </c>
      <c r="H219" s="433" t="s">
        <v>3478</v>
      </c>
      <c r="I219" s="111">
        <v>46.4</v>
      </c>
      <c r="J219" s="111">
        <v>1392</v>
      </c>
      <c r="K219" s="110"/>
      <c r="L219" s="110"/>
      <c r="M219" s="110"/>
      <c r="N219" s="110"/>
      <c r="O219" s="110"/>
      <c r="P219" s="110"/>
      <c r="Q219" s="433">
        <v>15</v>
      </c>
      <c r="R219" s="111">
        <v>464</v>
      </c>
      <c r="S219" s="110"/>
      <c r="T219" s="110"/>
      <c r="U219" s="110"/>
      <c r="V219" s="110"/>
      <c r="W219" s="433">
        <v>8</v>
      </c>
      <c r="X219" s="111">
        <v>464</v>
      </c>
      <c r="Y219" s="110"/>
      <c r="Z219" s="110"/>
      <c r="AA219" s="110"/>
      <c r="AB219" s="110"/>
      <c r="AC219" s="433">
        <v>7</v>
      </c>
      <c r="AD219" s="111">
        <v>464</v>
      </c>
      <c r="AE219" s="110"/>
      <c r="AF219" s="110"/>
      <c r="AG219" s="110"/>
      <c r="AH219" s="1048"/>
    </row>
    <row r="220" spans="1:34" ht="45" x14ac:dyDescent="0.25">
      <c r="A220" s="1047"/>
      <c r="B220" s="110" t="s">
        <v>3609</v>
      </c>
      <c r="C220" s="110"/>
      <c r="D220" s="433">
        <v>20</v>
      </c>
      <c r="E220" s="207" t="s">
        <v>1767</v>
      </c>
      <c r="F220" s="1178" t="s">
        <v>4353</v>
      </c>
      <c r="G220" s="1056" t="s">
        <v>4306</v>
      </c>
      <c r="H220" s="433" t="s">
        <v>3478</v>
      </c>
      <c r="I220" s="111">
        <v>203</v>
      </c>
      <c r="J220" s="111">
        <v>4060</v>
      </c>
      <c r="K220" s="110"/>
      <c r="L220" s="110"/>
      <c r="M220" s="110"/>
      <c r="N220" s="110"/>
      <c r="O220" s="110"/>
      <c r="P220" s="110"/>
      <c r="Q220" s="433">
        <v>10</v>
      </c>
      <c r="R220" s="111">
        <v>1353.3333333333333</v>
      </c>
      <c r="S220" s="110"/>
      <c r="T220" s="110"/>
      <c r="U220" s="110"/>
      <c r="V220" s="110"/>
      <c r="W220" s="433">
        <v>5</v>
      </c>
      <c r="X220" s="111">
        <v>1353.3333333333333</v>
      </c>
      <c r="Y220" s="110"/>
      <c r="Z220" s="110"/>
      <c r="AA220" s="110"/>
      <c r="AB220" s="110"/>
      <c r="AC220" s="433">
        <v>5</v>
      </c>
      <c r="AD220" s="111">
        <v>1353.3333333333333</v>
      </c>
      <c r="AE220" s="110"/>
      <c r="AF220" s="110"/>
      <c r="AG220" s="110"/>
      <c r="AH220" s="1048"/>
    </row>
    <row r="221" spans="1:34" ht="45" x14ac:dyDescent="0.25">
      <c r="A221" s="1047"/>
      <c r="B221" s="110" t="s">
        <v>3610</v>
      </c>
      <c r="C221" s="110"/>
      <c r="D221" s="433">
        <v>20</v>
      </c>
      <c r="E221" s="207" t="s">
        <v>1767</v>
      </c>
      <c r="F221" s="1178" t="s">
        <v>4353</v>
      </c>
      <c r="G221" s="1056" t="s">
        <v>4306</v>
      </c>
      <c r="H221" s="433" t="s">
        <v>3478</v>
      </c>
      <c r="I221" s="111">
        <v>139.19999999999999</v>
      </c>
      <c r="J221" s="111">
        <v>2784</v>
      </c>
      <c r="K221" s="110"/>
      <c r="L221" s="110"/>
      <c r="M221" s="110"/>
      <c r="N221" s="110"/>
      <c r="O221" s="110"/>
      <c r="P221" s="110"/>
      <c r="Q221" s="433">
        <v>10</v>
      </c>
      <c r="R221" s="111">
        <v>928</v>
      </c>
      <c r="S221" s="110"/>
      <c r="T221" s="110"/>
      <c r="U221" s="110"/>
      <c r="V221" s="110"/>
      <c r="W221" s="433">
        <v>5</v>
      </c>
      <c r="X221" s="111">
        <v>928</v>
      </c>
      <c r="Y221" s="110"/>
      <c r="Z221" s="110"/>
      <c r="AA221" s="110"/>
      <c r="AB221" s="110"/>
      <c r="AC221" s="433">
        <v>5</v>
      </c>
      <c r="AD221" s="111">
        <v>928</v>
      </c>
      <c r="AE221" s="110"/>
      <c r="AF221" s="110"/>
      <c r="AG221" s="110"/>
      <c r="AH221" s="1048"/>
    </row>
    <row r="222" spans="1:34" ht="45" x14ac:dyDescent="0.25">
      <c r="A222" s="1047"/>
      <c r="B222" s="110" t="s">
        <v>3611</v>
      </c>
      <c r="C222" s="110"/>
      <c r="D222" s="433">
        <v>20</v>
      </c>
      <c r="E222" s="207" t="s">
        <v>1767</v>
      </c>
      <c r="F222" s="1178" t="s">
        <v>4353</v>
      </c>
      <c r="G222" s="1056" t="s">
        <v>4306</v>
      </c>
      <c r="H222" s="433" t="s">
        <v>3478</v>
      </c>
      <c r="I222" s="111">
        <v>40.599999999999994</v>
      </c>
      <c r="J222" s="111">
        <v>811.99999999999989</v>
      </c>
      <c r="K222" s="110"/>
      <c r="L222" s="110"/>
      <c r="M222" s="110"/>
      <c r="N222" s="110"/>
      <c r="O222" s="110"/>
      <c r="P222" s="110"/>
      <c r="Q222" s="433">
        <v>10</v>
      </c>
      <c r="R222" s="111">
        <v>270.66666666666663</v>
      </c>
      <c r="S222" s="110"/>
      <c r="T222" s="110"/>
      <c r="U222" s="110"/>
      <c r="V222" s="110"/>
      <c r="W222" s="433">
        <v>5</v>
      </c>
      <c r="X222" s="111">
        <v>270.66666666666663</v>
      </c>
      <c r="Y222" s="110"/>
      <c r="Z222" s="110"/>
      <c r="AA222" s="110"/>
      <c r="AB222" s="110"/>
      <c r="AC222" s="433">
        <v>5</v>
      </c>
      <c r="AD222" s="111">
        <v>270.66666666666663</v>
      </c>
      <c r="AE222" s="110"/>
      <c r="AF222" s="110"/>
      <c r="AG222" s="110"/>
      <c r="AH222" s="1048"/>
    </row>
    <row r="223" spans="1:34" ht="45" x14ac:dyDescent="0.25">
      <c r="A223" s="1047"/>
      <c r="B223" s="110" t="s">
        <v>3612</v>
      </c>
      <c r="C223" s="110"/>
      <c r="D223" s="433">
        <v>20</v>
      </c>
      <c r="E223" s="207" t="s">
        <v>1767</v>
      </c>
      <c r="F223" s="1178" t="s">
        <v>4353</v>
      </c>
      <c r="G223" s="1056" t="s">
        <v>4306</v>
      </c>
      <c r="H223" s="433" t="s">
        <v>3478</v>
      </c>
      <c r="I223" s="111">
        <v>1624</v>
      </c>
      <c r="J223" s="111">
        <v>32480</v>
      </c>
      <c r="K223" s="110"/>
      <c r="L223" s="110"/>
      <c r="M223" s="110"/>
      <c r="N223" s="110"/>
      <c r="O223" s="110"/>
      <c r="P223" s="110"/>
      <c r="Q223" s="433">
        <v>10</v>
      </c>
      <c r="R223" s="111">
        <v>10826.666666666666</v>
      </c>
      <c r="S223" s="110"/>
      <c r="T223" s="110"/>
      <c r="U223" s="110"/>
      <c r="V223" s="110"/>
      <c r="W223" s="433">
        <v>5</v>
      </c>
      <c r="X223" s="111">
        <v>10826.666666666666</v>
      </c>
      <c r="Y223" s="110"/>
      <c r="Z223" s="110"/>
      <c r="AA223" s="110"/>
      <c r="AB223" s="110"/>
      <c r="AC223" s="433">
        <v>5</v>
      </c>
      <c r="AD223" s="111">
        <v>10826.666666666666</v>
      </c>
      <c r="AE223" s="110"/>
      <c r="AF223" s="110"/>
      <c r="AG223" s="110"/>
      <c r="AH223" s="1048"/>
    </row>
    <row r="224" spans="1:34" ht="45" x14ac:dyDescent="0.25">
      <c r="A224" s="1047"/>
      <c r="B224" s="110" t="s">
        <v>3613</v>
      </c>
      <c r="C224" s="110"/>
      <c r="D224" s="433">
        <v>20</v>
      </c>
      <c r="E224" s="207" t="s">
        <v>1767</v>
      </c>
      <c r="F224" s="1178" t="s">
        <v>4353</v>
      </c>
      <c r="G224" s="1056" t="s">
        <v>4306</v>
      </c>
      <c r="H224" s="433" t="s">
        <v>3478</v>
      </c>
      <c r="I224" s="111">
        <v>1160</v>
      </c>
      <c r="J224" s="111">
        <v>23200</v>
      </c>
      <c r="K224" s="110"/>
      <c r="L224" s="110"/>
      <c r="M224" s="110"/>
      <c r="N224" s="110"/>
      <c r="O224" s="110"/>
      <c r="P224" s="110"/>
      <c r="Q224" s="433">
        <v>10</v>
      </c>
      <c r="R224" s="111">
        <v>7733.333333333333</v>
      </c>
      <c r="S224" s="110"/>
      <c r="T224" s="110"/>
      <c r="U224" s="110"/>
      <c r="V224" s="110"/>
      <c r="W224" s="433">
        <v>5</v>
      </c>
      <c r="X224" s="111">
        <v>7733.333333333333</v>
      </c>
      <c r="Y224" s="110"/>
      <c r="Z224" s="110"/>
      <c r="AA224" s="110"/>
      <c r="AB224" s="110"/>
      <c r="AC224" s="433">
        <v>5</v>
      </c>
      <c r="AD224" s="111">
        <v>7733.333333333333</v>
      </c>
      <c r="AE224" s="110"/>
      <c r="AF224" s="110"/>
      <c r="AG224" s="110"/>
      <c r="AH224" s="1048"/>
    </row>
    <row r="225" spans="1:34" ht="45" x14ac:dyDescent="0.25">
      <c r="A225" s="1047"/>
      <c r="B225" s="110" t="s">
        <v>3614</v>
      </c>
      <c r="C225" s="110"/>
      <c r="D225" s="433">
        <v>20</v>
      </c>
      <c r="E225" s="207" t="s">
        <v>1772</v>
      </c>
      <c r="F225" s="1178" t="s">
        <v>4353</v>
      </c>
      <c r="G225" s="1056" t="s">
        <v>4306</v>
      </c>
      <c r="H225" s="433" t="s">
        <v>3478</v>
      </c>
      <c r="I225" s="111">
        <v>1681.9999999999995</v>
      </c>
      <c r="J225" s="111">
        <v>33639.999999999993</v>
      </c>
      <c r="K225" s="110"/>
      <c r="L225" s="110"/>
      <c r="M225" s="110"/>
      <c r="N225" s="110"/>
      <c r="O225" s="110"/>
      <c r="P225" s="110"/>
      <c r="Q225" s="433">
        <v>10</v>
      </c>
      <c r="R225" s="111">
        <v>11213.33333333333</v>
      </c>
      <c r="S225" s="110"/>
      <c r="T225" s="110"/>
      <c r="U225" s="110"/>
      <c r="V225" s="110"/>
      <c r="W225" s="433">
        <v>5</v>
      </c>
      <c r="X225" s="111">
        <v>11213.33333333333</v>
      </c>
      <c r="Y225" s="110"/>
      <c r="Z225" s="110"/>
      <c r="AA225" s="110"/>
      <c r="AB225" s="110"/>
      <c r="AC225" s="433">
        <v>5</v>
      </c>
      <c r="AD225" s="111">
        <v>11213.33333333333</v>
      </c>
      <c r="AE225" s="110"/>
      <c r="AF225" s="110"/>
      <c r="AG225" s="110"/>
      <c r="AH225" s="1048"/>
    </row>
    <row r="226" spans="1:34" ht="45" x14ac:dyDescent="0.25">
      <c r="A226" s="1047"/>
      <c r="B226" s="110" t="s">
        <v>3615</v>
      </c>
      <c r="C226" s="110"/>
      <c r="D226" s="433">
        <v>20</v>
      </c>
      <c r="E226" s="207" t="s">
        <v>1772</v>
      </c>
      <c r="F226" s="1178" t="s">
        <v>4353</v>
      </c>
      <c r="G226" s="1056" t="s">
        <v>4306</v>
      </c>
      <c r="H226" s="433" t="s">
        <v>3478</v>
      </c>
      <c r="I226" s="111">
        <v>1044</v>
      </c>
      <c r="J226" s="111">
        <v>20880</v>
      </c>
      <c r="K226" s="110"/>
      <c r="L226" s="110"/>
      <c r="M226" s="110"/>
      <c r="N226" s="110"/>
      <c r="O226" s="110"/>
      <c r="P226" s="110"/>
      <c r="Q226" s="433">
        <v>10</v>
      </c>
      <c r="R226" s="111">
        <v>6960</v>
      </c>
      <c r="S226" s="110"/>
      <c r="T226" s="110"/>
      <c r="U226" s="110"/>
      <c r="V226" s="110"/>
      <c r="W226" s="433">
        <v>5</v>
      </c>
      <c r="X226" s="111">
        <v>6960</v>
      </c>
      <c r="Y226" s="110"/>
      <c r="Z226" s="110"/>
      <c r="AA226" s="110"/>
      <c r="AB226" s="110"/>
      <c r="AC226" s="433">
        <v>5</v>
      </c>
      <c r="AD226" s="111">
        <v>6960</v>
      </c>
      <c r="AE226" s="110"/>
      <c r="AF226" s="110"/>
      <c r="AG226" s="110"/>
      <c r="AH226" s="1048"/>
    </row>
    <row r="227" spans="1:34" ht="45" x14ac:dyDescent="0.25">
      <c r="A227" s="1047"/>
      <c r="B227" s="110" t="s">
        <v>3616</v>
      </c>
      <c r="C227" s="110"/>
      <c r="D227" s="433">
        <v>20</v>
      </c>
      <c r="E227" s="207" t="s">
        <v>1772</v>
      </c>
      <c r="F227" s="1178" t="s">
        <v>4353</v>
      </c>
      <c r="G227" s="1056" t="s">
        <v>4306</v>
      </c>
      <c r="H227" s="433" t="s">
        <v>3478</v>
      </c>
      <c r="I227" s="111">
        <v>1600.8</v>
      </c>
      <c r="J227" s="111">
        <v>32016</v>
      </c>
      <c r="K227" s="110"/>
      <c r="L227" s="110"/>
      <c r="M227" s="110"/>
      <c r="N227" s="110"/>
      <c r="O227" s="110"/>
      <c r="P227" s="110"/>
      <c r="Q227" s="433">
        <v>10</v>
      </c>
      <c r="R227" s="111">
        <v>10672</v>
      </c>
      <c r="S227" s="110"/>
      <c r="T227" s="110"/>
      <c r="U227" s="110"/>
      <c r="V227" s="110"/>
      <c r="W227" s="433">
        <v>5</v>
      </c>
      <c r="X227" s="111">
        <v>10672</v>
      </c>
      <c r="Y227" s="110"/>
      <c r="Z227" s="110"/>
      <c r="AA227" s="110"/>
      <c r="AB227" s="110"/>
      <c r="AC227" s="433">
        <v>5</v>
      </c>
      <c r="AD227" s="111">
        <v>10672</v>
      </c>
      <c r="AE227" s="110"/>
      <c r="AF227" s="110"/>
      <c r="AG227" s="110"/>
      <c r="AH227" s="1048"/>
    </row>
    <row r="228" spans="1:34" ht="45" x14ac:dyDescent="0.25">
      <c r="A228" s="1047"/>
      <c r="B228" s="110" t="s">
        <v>3617</v>
      </c>
      <c r="C228" s="110"/>
      <c r="D228" s="433">
        <v>20</v>
      </c>
      <c r="E228" s="207" t="s">
        <v>1767</v>
      </c>
      <c r="F228" s="1178" t="s">
        <v>4353</v>
      </c>
      <c r="G228" s="1056" t="s">
        <v>4306</v>
      </c>
      <c r="H228" s="433" t="s">
        <v>3478</v>
      </c>
      <c r="I228" s="111">
        <v>463.99999999999989</v>
      </c>
      <c r="J228" s="111">
        <v>9279.9999999999982</v>
      </c>
      <c r="K228" s="110"/>
      <c r="L228" s="110"/>
      <c r="M228" s="110"/>
      <c r="N228" s="110"/>
      <c r="O228" s="110"/>
      <c r="P228" s="110"/>
      <c r="Q228" s="433">
        <v>10</v>
      </c>
      <c r="R228" s="111">
        <v>3093.3333333333326</v>
      </c>
      <c r="S228" s="110"/>
      <c r="T228" s="110"/>
      <c r="U228" s="110"/>
      <c r="V228" s="110"/>
      <c r="W228" s="433">
        <v>5</v>
      </c>
      <c r="X228" s="111">
        <v>3093.3333333333326</v>
      </c>
      <c r="Y228" s="110"/>
      <c r="Z228" s="110"/>
      <c r="AA228" s="110"/>
      <c r="AB228" s="110"/>
      <c r="AC228" s="433">
        <v>5</v>
      </c>
      <c r="AD228" s="111">
        <v>3093.3333333333326</v>
      </c>
      <c r="AE228" s="110"/>
      <c r="AF228" s="110"/>
      <c r="AG228" s="110"/>
      <c r="AH228" s="1048"/>
    </row>
    <row r="229" spans="1:34" ht="45" x14ac:dyDescent="0.25">
      <c r="A229" s="1047"/>
      <c r="B229" s="110" t="s">
        <v>3618</v>
      </c>
      <c r="C229" s="110"/>
      <c r="D229" s="433">
        <v>20</v>
      </c>
      <c r="E229" s="207" t="s">
        <v>1772</v>
      </c>
      <c r="F229" s="1178" t="s">
        <v>4353</v>
      </c>
      <c r="G229" s="1056" t="s">
        <v>4306</v>
      </c>
      <c r="H229" s="433" t="s">
        <v>3478</v>
      </c>
      <c r="I229" s="111">
        <v>106.72</v>
      </c>
      <c r="J229" s="111">
        <v>2134.4</v>
      </c>
      <c r="K229" s="110"/>
      <c r="L229" s="110"/>
      <c r="M229" s="110"/>
      <c r="N229" s="110"/>
      <c r="O229" s="110"/>
      <c r="P229" s="110"/>
      <c r="Q229" s="433">
        <v>10</v>
      </c>
      <c r="R229" s="111">
        <v>711.4666666666667</v>
      </c>
      <c r="S229" s="110"/>
      <c r="T229" s="110"/>
      <c r="U229" s="110"/>
      <c r="V229" s="110"/>
      <c r="W229" s="433">
        <v>5</v>
      </c>
      <c r="X229" s="111">
        <v>711.4666666666667</v>
      </c>
      <c r="Y229" s="110"/>
      <c r="Z229" s="110"/>
      <c r="AA229" s="110"/>
      <c r="AB229" s="110"/>
      <c r="AC229" s="433">
        <v>5</v>
      </c>
      <c r="AD229" s="111">
        <v>711.4666666666667</v>
      </c>
      <c r="AE229" s="110"/>
      <c r="AF229" s="110"/>
      <c r="AG229" s="110"/>
      <c r="AH229" s="1048"/>
    </row>
    <row r="230" spans="1:34" ht="45" x14ac:dyDescent="0.25">
      <c r="A230" s="1047"/>
      <c r="B230" s="110" t="s">
        <v>3619</v>
      </c>
      <c r="C230" s="110"/>
      <c r="D230" s="433">
        <v>20</v>
      </c>
      <c r="E230" s="207" t="s">
        <v>1772</v>
      </c>
      <c r="F230" s="1178" t="s">
        <v>4353</v>
      </c>
      <c r="G230" s="1056" t="s">
        <v>4306</v>
      </c>
      <c r="H230" s="433" t="s">
        <v>3478</v>
      </c>
      <c r="I230" s="111">
        <v>106.72</v>
      </c>
      <c r="J230" s="111">
        <v>2134.4</v>
      </c>
      <c r="K230" s="110"/>
      <c r="L230" s="110"/>
      <c r="M230" s="110"/>
      <c r="N230" s="110"/>
      <c r="O230" s="110"/>
      <c r="P230" s="110"/>
      <c r="Q230" s="433">
        <v>10</v>
      </c>
      <c r="R230" s="111">
        <v>711.4666666666667</v>
      </c>
      <c r="S230" s="110"/>
      <c r="T230" s="110"/>
      <c r="U230" s="110"/>
      <c r="V230" s="110"/>
      <c r="W230" s="433">
        <v>5</v>
      </c>
      <c r="X230" s="111">
        <v>711.4666666666667</v>
      </c>
      <c r="Y230" s="110"/>
      <c r="Z230" s="110"/>
      <c r="AA230" s="110"/>
      <c r="AB230" s="110"/>
      <c r="AC230" s="433">
        <v>5</v>
      </c>
      <c r="AD230" s="111">
        <v>711.4666666666667</v>
      </c>
      <c r="AE230" s="110"/>
      <c r="AF230" s="110"/>
      <c r="AG230" s="110"/>
      <c r="AH230" s="1048"/>
    </row>
    <row r="231" spans="1:34" ht="45" x14ac:dyDescent="0.25">
      <c r="A231" s="1047"/>
      <c r="B231" s="110" t="s">
        <v>3620</v>
      </c>
      <c r="C231" s="110"/>
      <c r="D231" s="433">
        <v>20</v>
      </c>
      <c r="E231" s="207" t="s">
        <v>1772</v>
      </c>
      <c r="F231" s="1178" t="s">
        <v>4353</v>
      </c>
      <c r="G231" s="1056" t="s">
        <v>4306</v>
      </c>
      <c r="H231" s="433" t="s">
        <v>3478</v>
      </c>
      <c r="I231" s="111">
        <v>106.72</v>
      </c>
      <c r="J231" s="111">
        <v>2134.4</v>
      </c>
      <c r="K231" s="110"/>
      <c r="L231" s="110"/>
      <c r="M231" s="110"/>
      <c r="N231" s="110"/>
      <c r="O231" s="110"/>
      <c r="P231" s="110"/>
      <c r="Q231" s="433">
        <v>10</v>
      </c>
      <c r="R231" s="111">
        <v>711.4666666666667</v>
      </c>
      <c r="S231" s="110"/>
      <c r="T231" s="110"/>
      <c r="U231" s="110"/>
      <c r="V231" s="110"/>
      <c r="W231" s="433">
        <v>5</v>
      </c>
      <c r="X231" s="111">
        <v>711.4666666666667</v>
      </c>
      <c r="Y231" s="110"/>
      <c r="Z231" s="110"/>
      <c r="AA231" s="110"/>
      <c r="AB231" s="110"/>
      <c r="AC231" s="433">
        <v>5</v>
      </c>
      <c r="AD231" s="111">
        <v>711.4666666666667</v>
      </c>
      <c r="AE231" s="110"/>
      <c r="AF231" s="110"/>
      <c r="AG231" s="110"/>
      <c r="AH231" s="1048"/>
    </row>
    <row r="232" spans="1:34" ht="45" x14ac:dyDescent="0.25">
      <c r="A232" s="1047"/>
      <c r="B232" s="110" t="s">
        <v>3621</v>
      </c>
      <c r="C232" s="110"/>
      <c r="D232" s="433">
        <v>20</v>
      </c>
      <c r="E232" s="207" t="s">
        <v>1772</v>
      </c>
      <c r="F232" s="1178" t="s">
        <v>4353</v>
      </c>
      <c r="G232" s="1056" t="s">
        <v>4306</v>
      </c>
      <c r="H232" s="433" t="s">
        <v>3478</v>
      </c>
      <c r="I232" s="111">
        <v>106.72</v>
      </c>
      <c r="J232" s="111">
        <v>2134.4</v>
      </c>
      <c r="K232" s="110"/>
      <c r="L232" s="110"/>
      <c r="M232" s="110"/>
      <c r="N232" s="110"/>
      <c r="O232" s="110"/>
      <c r="P232" s="110"/>
      <c r="Q232" s="433">
        <v>10</v>
      </c>
      <c r="R232" s="111">
        <v>711.4666666666667</v>
      </c>
      <c r="S232" s="110"/>
      <c r="T232" s="110"/>
      <c r="U232" s="110"/>
      <c r="V232" s="110"/>
      <c r="W232" s="433">
        <v>5</v>
      </c>
      <c r="X232" s="111">
        <v>711.4666666666667</v>
      </c>
      <c r="Y232" s="110"/>
      <c r="Z232" s="110"/>
      <c r="AA232" s="110"/>
      <c r="AB232" s="110"/>
      <c r="AC232" s="433">
        <v>5</v>
      </c>
      <c r="AD232" s="111">
        <v>711.4666666666667</v>
      </c>
      <c r="AE232" s="110"/>
      <c r="AF232" s="110"/>
      <c r="AG232" s="110"/>
      <c r="AH232" s="1048"/>
    </row>
    <row r="233" spans="1:34" ht="45" x14ac:dyDescent="0.25">
      <c r="A233" s="1047"/>
      <c r="B233" s="110" t="s">
        <v>3622</v>
      </c>
      <c r="C233" s="110"/>
      <c r="D233" s="433">
        <v>20</v>
      </c>
      <c r="E233" s="207" t="s">
        <v>1772</v>
      </c>
      <c r="F233" s="1178" t="s">
        <v>4353</v>
      </c>
      <c r="G233" s="1056" t="s">
        <v>4306</v>
      </c>
      <c r="H233" s="433" t="s">
        <v>3478</v>
      </c>
      <c r="I233" s="111">
        <v>106.72</v>
      </c>
      <c r="J233" s="111">
        <v>2134.4</v>
      </c>
      <c r="K233" s="110"/>
      <c r="L233" s="110"/>
      <c r="M233" s="110"/>
      <c r="N233" s="110"/>
      <c r="O233" s="110"/>
      <c r="P233" s="110"/>
      <c r="Q233" s="433">
        <v>10</v>
      </c>
      <c r="R233" s="111">
        <v>711.4666666666667</v>
      </c>
      <c r="S233" s="110"/>
      <c r="T233" s="110"/>
      <c r="U233" s="110"/>
      <c r="V233" s="110"/>
      <c r="W233" s="433">
        <v>5</v>
      </c>
      <c r="X233" s="111">
        <v>711.4666666666667</v>
      </c>
      <c r="Y233" s="110"/>
      <c r="Z233" s="110"/>
      <c r="AA233" s="110"/>
      <c r="AB233" s="110"/>
      <c r="AC233" s="433">
        <v>5</v>
      </c>
      <c r="AD233" s="111">
        <v>711.4666666666667</v>
      </c>
      <c r="AE233" s="110"/>
      <c r="AF233" s="110"/>
      <c r="AG233" s="110"/>
      <c r="AH233" s="1048"/>
    </row>
    <row r="234" spans="1:34" ht="45" x14ac:dyDescent="0.25">
      <c r="A234" s="1047"/>
      <c r="B234" s="110" t="s">
        <v>3623</v>
      </c>
      <c r="C234" s="110"/>
      <c r="D234" s="433">
        <v>20</v>
      </c>
      <c r="E234" s="207" t="s">
        <v>1772</v>
      </c>
      <c r="F234" s="1178" t="s">
        <v>4353</v>
      </c>
      <c r="G234" s="1056" t="s">
        <v>4306</v>
      </c>
      <c r="H234" s="433" t="s">
        <v>3478</v>
      </c>
      <c r="I234" s="111">
        <v>106.72</v>
      </c>
      <c r="J234" s="111">
        <v>2134.4</v>
      </c>
      <c r="K234" s="110"/>
      <c r="L234" s="110"/>
      <c r="M234" s="110"/>
      <c r="N234" s="110"/>
      <c r="O234" s="110"/>
      <c r="P234" s="110"/>
      <c r="Q234" s="433">
        <v>10</v>
      </c>
      <c r="R234" s="111">
        <v>711.4666666666667</v>
      </c>
      <c r="S234" s="110"/>
      <c r="T234" s="110"/>
      <c r="U234" s="110"/>
      <c r="V234" s="110"/>
      <c r="W234" s="433">
        <v>5</v>
      </c>
      <c r="X234" s="111">
        <v>711.4666666666667</v>
      </c>
      <c r="Y234" s="110"/>
      <c r="Z234" s="110"/>
      <c r="AA234" s="110"/>
      <c r="AB234" s="110"/>
      <c r="AC234" s="433">
        <v>5</v>
      </c>
      <c r="AD234" s="111">
        <v>711.4666666666667</v>
      </c>
      <c r="AE234" s="110"/>
      <c r="AF234" s="110"/>
      <c r="AG234" s="110"/>
      <c r="AH234" s="1048"/>
    </row>
    <row r="235" spans="1:34" ht="45" x14ac:dyDescent="0.25">
      <c r="A235" s="1047"/>
      <c r="B235" s="110" t="s">
        <v>3624</v>
      </c>
      <c r="C235" s="110"/>
      <c r="D235" s="433">
        <v>20</v>
      </c>
      <c r="E235" s="207" t="s">
        <v>1772</v>
      </c>
      <c r="F235" s="1178" t="s">
        <v>4353</v>
      </c>
      <c r="G235" s="1056" t="s">
        <v>4306</v>
      </c>
      <c r="H235" s="433" t="s">
        <v>3478</v>
      </c>
      <c r="I235" s="111">
        <v>106.72</v>
      </c>
      <c r="J235" s="111">
        <v>2134.4</v>
      </c>
      <c r="K235" s="110"/>
      <c r="L235" s="110"/>
      <c r="M235" s="110"/>
      <c r="N235" s="110"/>
      <c r="O235" s="110"/>
      <c r="P235" s="110"/>
      <c r="Q235" s="433">
        <v>10</v>
      </c>
      <c r="R235" s="111">
        <v>711.4666666666667</v>
      </c>
      <c r="S235" s="110"/>
      <c r="T235" s="110"/>
      <c r="U235" s="110"/>
      <c r="V235" s="110"/>
      <c r="W235" s="433">
        <v>5</v>
      </c>
      <c r="X235" s="111">
        <v>711.4666666666667</v>
      </c>
      <c r="Y235" s="110"/>
      <c r="Z235" s="110"/>
      <c r="AA235" s="110"/>
      <c r="AB235" s="110"/>
      <c r="AC235" s="433">
        <v>5</v>
      </c>
      <c r="AD235" s="111">
        <v>711.4666666666667</v>
      </c>
      <c r="AE235" s="110"/>
      <c r="AF235" s="110"/>
      <c r="AG235" s="110"/>
      <c r="AH235" s="1048"/>
    </row>
    <row r="236" spans="1:34" ht="45" x14ac:dyDescent="0.25">
      <c r="A236" s="1047"/>
      <c r="B236" s="110" t="s">
        <v>3625</v>
      </c>
      <c r="C236" s="110"/>
      <c r="D236" s="433">
        <v>20</v>
      </c>
      <c r="E236" s="207" t="s">
        <v>1772</v>
      </c>
      <c r="F236" s="1178" t="s">
        <v>4353</v>
      </c>
      <c r="G236" s="1056" t="s">
        <v>4306</v>
      </c>
      <c r="H236" s="433" t="s">
        <v>3478</v>
      </c>
      <c r="I236" s="111">
        <v>106.72</v>
      </c>
      <c r="J236" s="111">
        <v>2134.4</v>
      </c>
      <c r="K236" s="110"/>
      <c r="L236" s="110"/>
      <c r="M236" s="110"/>
      <c r="N236" s="110"/>
      <c r="O236" s="110"/>
      <c r="P236" s="110"/>
      <c r="Q236" s="433">
        <v>10</v>
      </c>
      <c r="R236" s="111">
        <v>711.4666666666667</v>
      </c>
      <c r="S236" s="110"/>
      <c r="T236" s="110"/>
      <c r="U236" s="110"/>
      <c r="V236" s="110"/>
      <c r="W236" s="433">
        <v>5</v>
      </c>
      <c r="X236" s="111">
        <v>711.4666666666667</v>
      </c>
      <c r="Y236" s="110"/>
      <c r="Z236" s="110"/>
      <c r="AA236" s="110"/>
      <c r="AB236" s="110"/>
      <c r="AC236" s="433">
        <v>5</v>
      </c>
      <c r="AD236" s="111">
        <v>711.4666666666667</v>
      </c>
      <c r="AE236" s="110"/>
      <c r="AF236" s="110"/>
      <c r="AG236" s="110"/>
      <c r="AH236" s="1048"/>
    </row>
    <row r="237" spans="1:34" ht="45" x14ac:dyDescent="0.25">
      <c r="A237" s="1047"/>
      <c r="B237" s="110" t="s">
        <v>3626</v>
      </c>
      <c r="C237" s="110"/>
      <c r="D237" s="433">
        <v>20</v>
      </c>
      <c r="E237" s="207" t="s">
        <v>1772</v>
      </c>
      <c r="F237" s="1178" t="s">
        <v>4353</v>
      </c>
      <c r="G237" s="1056" t="s">
        <v>4306</v>
      </c>
      <c r="H237" s="433" t="s">
        <v>3478</v>
      </c>
      <c r="I237" s="111">
        <v>106.72</v>
      </c>
      <c r="J237" s="111">
        <v>2134.4</v>
      </c>
      <c r="K237" s="110"/>
      <c r="L237" s="110"/>
      <c r="M237" s="110"/>
      <c r="N237" s="110"/>
      <c r="O237" s="110"/>
      <c r="P237" s="110"/>
      <c r="Q237" s="433">
        <v>10</v>
      </c>
      <c r="R237" s="111">
        <v>711.4666666666667</v>
      </c>
      <c r="S237" s="110"/>
      <c r="T237" s="110"/>
      <c r="U237" s="110"/>
      <c r="V237" s="110"/>
      <c r="W237" s="433">
        <v>5</v>
      </c>
      <c r="X237" s="111">
        <v>711.4666666666667</v>
      </c>
      <c r="Y237" s="110"/>
      <c r="Z237" s="110"/>
      <c r="AA237" s="110"/>
      <c r="AB237" s="110"/>
      <c r="AC237" s="433">
        <v>5</v>
      </c>
      <c r="AD237" s="111">
        <v>711.4666666666667</v>
      </c>
      <c r="AE237" s="110"/>
      <c r="AF237" s="110"/>
      <c r="AG237" s="110"/>
      <c r="AH237" s="1048"/>
    </row>
    <row r="238" spans="1:34" ht="45" x14ac:dyDescent="0.25">
      <c r="A238" s="1047"/>
      <c r="B238" s="110" t="s">
        <v>3627</v>
      </c>
      <c r="C238" s="110"/>
      <c r="D238" s="433">
        <v>20</v>
      </c>
      <c r="E238" s="207" t="s">
        <v>1772</v>
      </c>
      <c r="F238" s="1178" t="s">
        <v>4353</v>
      </c>
      <c r="G238" s="1056" t="s">
        <v>4306</v>
      </c>
      <c r="H238" s="433" t="s">
        <v>3478</v>
      </c>
      <c r="I238" s="111">
        <v>106.72</v>
      </c>
      <c r="J238" s="111">
        <v>2134.4</v>
      </c>
      <c r="K238" s="110"/>
      <c r="L238" s="110"/>
      <c r="M238" s="110"/>
      <c r="N238" s="110"/>
      <c r="O238" s="110"/>
      <c r="P238" s="110"/>
      <c r="Q238" s="433">
        <v>10</v>
      </c>
      <c r="R238" s="111">
        <v>711.4666666666667</v>
      </c>
      <c r="S238" s="110"/>
      <c r="T238" s="110"/>
      <c r="U238" s="110"/>
      <c r="V238" s="110"/>
      <c r="W238" s="433">
        <v>5</v>
      </c>
      <c r="X238" s="111">
        <v>711.4666666666667</v>
      </c>
      <c r="Y238" s="110"/>
      <c r="Z238" s="110"/>
      <c r="AA238" s="110"/>
      <c r="AB238" s="110"/>
      <c r="AC238" s="433">
        <v>5</v>
      </c>
      <c r="AD238" s="111">
        <v>711.4666666666667</v>
      </c>
      <c r="AE238" s="110"/>
      <c r="AF238" s="110"/>
      <c r="AG238" s="110"/>
      <c r="AH238" s="1048"/>
    </row>
    <row r="239" spans="1:34" ht="45" x14ac:dyDescent="0.25">
      <c r="A239" s="1047"/>
      <c r="B239" s="110" t="s">
        <v>3628</v>
      </c>
      <c r="C239" s="110"/>
      <c r="D239" s="433">
        <v>20</v>
      </c>
      <c r="E239" s="207" t="s">
        <v>1772</v>
      </c>
      <c r="F239" s="1178" t="s">
        <v>4353</v>
      </c>
      <c r="G239" s="1056" t="s">
        <v>4306</v>
      </c>
      <c r="H239" s="433" t="s">
        <v>3478</v>
      </c>
      <c r="I239" s="111">
        <v>106.72</v>
      </c>
      <c r="J239" s="111">
        <v>2134.4</v>
      </c>
      <c r="K239" s="110"/>
      <c r="L239" s="110"/>
      <c r="M239" s="110"/>
      <c r="N239" s="110"/>
      <c r="O239" s="110"/>
      <c r="P239" s="110"/>
      <c r="Q239" s="433">
        <v>10</v>
      </c>
      <c r="R239" s="111">
        <v>711.4666666666667</v>
      </c>
      <c r="S239" s="110"/>
      <c r="T239" s="110"/>
      <c r="U239" s="110"/>
      <c r="V239" s="110"/>
      <c r="W239" s="433">
        <v>5</v>
      </c>
      <c r="X239" s="111">
        <v>711.4666666666667</v>
      </c>
      <c r="Y239" s="110"/>
      <c r="Z239" s="110"/>
      <c r="AA239" s="110"/>
      <c r="AB239" s="110"/>
      <c r="AC239" s="433">
        <v>5</v>
      </c>
      <c r="AD239" s="111">
        <v>711.4666666666667</v>
      </c>
      <c r="AE239" s="110"/>
      <c r="AF239" s="110"/>
      <c r="AG239" s="110"/>
      <c r="AH239" s="1048"/>
    </row>
    <row r="240" spans="1:34" ht="45" x14ac:dyDescent="0.25">
      <c r="A240" s="1047"/>
      <c r="B240" s="110" t="s">
        <v>3629</v>
      </c>
      <c r="C240" s="110"/>
      <c r="D240" s="433">
        <v>20</v>
      </c>
      <c r="E240" s="207" t="s">
        <v>1772</v>
      </c>
      <c r="F240" s="1178" t="s">
        <v>4353</v>
      </c>
      <c r="G240" s="1056" t="s">
        <v>4306</v>
      </c>
      <c r="H240" s="433" t="s">
        <v>3478</v>
      </c>
      <c r="I240" s="111">
        <v>106.72</v>
      </c>
      <c r="J240" s="111">
        <v>2134.4</v>
      </c>
      <c r="K240" s="110"/>
      <c r="L240" s="110"/>
      <c r="M240" s="110"/>
      <c r="N240" s="110"/>
      <c r="O240" s="110"/>
      <c r="P240" s="110"/>
      <c r="Q240" s="433">
        <v>10</v>
      </c>
      <c r="R240" s="111">
        <v>711.4666666666667</v>
      </c>
      <c r="S240" s="110"/>
      <c r="T240" s="110"/>
      <c r="U240" s="110"/>
      <c r="V240" s="110"/>
      <c r="W240" s="433">
        <v>5</v>
      </c>
      <c r="X240" s="111">
        <v>711.4666666666667</v>
      </c>
      <c r="Y240" s="110"/>
      <c r="Z240" s="110"/>
      <c r="AA240" s="110"/>
      <c r="AB240" s="110"/>
      <c r="AC240" s="433">
        <v>5</v>
      </c>
      <c r="AD240" s="111">
        <v>711.4666666666667</v>
      </c>
      <c r="AE240" s="110"/>
      <c r="AF240" s="110"/>
      <c r="AG240" s="110"/>
      <c r="AH240" s="1048"/>
    </row>
    <row r="241" spans="1:34" ht="45" x14ac:dyDescent="0.25">
      <c r="A241" s="1047"/>
      <c r="B241" s="110" t="s">
        <v>3630</v>
      </c>
      <c r="C241" s="110"/>
      <c r="D241" s="433">
        <v>20</v>
      </c>
      <c r="E241" s="207" t="s">
        <v>1772</v>
      </c>
      <c r="F241" s="1178" t="s">
        <v>4353</v>
      </c>
      <c r="G241" s="1056" t="s">
        <v>4306</v>
      </c>
      <c r="H241" s="433" t="s">
        <v>3478</v>
      </c>
      <c r="I241" s="111">
        <v>106.72</v>
      </c>
      <c r="J241" s="111">
        <v>2134.4</v>
      </c>
      <c r="K241" s="110"/>
      <c r="L241" s="110"/>
      <c r="M241" s="110"/>
      <c r="N241" s="110"/>
      <c r="O241" s="110"/>
      <c r="P241" s="110"/>
      <c r="Q241" s="433">
        <v>10</v>
      </c>
      <c r="R241" s="111">
        <v>711.4666666666667</v>
      </c>
      <c r="S241" s="110"/>
      <c r="T241" s="110"/>
      <c r="U241" s="110"/>
      <c r="V241" s="110"/>
      <c r="W241" s="433">
        <v>5</v>
      </c>
      <c r="X241" s="111">
        <v>711.4666666666667</v>
      </c>
      <c r="Y241" s="110"/>
      <c r="Z241" s="110"/>
      <c r="AA241" s="110"/>
      <c r="AB241" s="110"/>
      <c r="AC241" s="433">
        <v>5</v>
      </c>
      <c r="AD241" s="111">
        <v>711.4666666666667</v>
      </c>
      <c r="AE241" s="110"/>
      <c r="AF241" s="110"/>
      <c r="AG241" s="110"/>
      <c r="AH241" s="1048"/>
    </row>
    <row r="242" spans="1:34" ht="45" x14ac:dyDescent="0.25">
      <c r="A242" s="1047"/>
      <c r="B242" s="110" t="s">
        <v>3631</v>
      </c>
      <c r="C242" s="110"/>
      <c r="D242" s="433">
        <v>20</v>
      </c>
      <c r="E242" s="207" t="s">
        <v>1772</v>
      </c>
      <c r="F242" s="1178" t="s">
        <v>4353</v>
      </c>
      <c r="G242" s="1056" t="s">
        <v>4306</v>
      </c>
      <c r="H242" s="433" t="s">
        <v>3478</v>
      </c>
      <c r="I242" s="111">
        <v>106.72</v>
      </c>
      <c r="J242" s="111">
        <v>2134.4</v>
      </c>
      <c r="K242" s="110"/>
      <c r="L242" s="110"/>
      <c r="M242" s="110"/>
      <c r="N242" s="110"/>
      <c r="O242" s="110"/>
      <c r="P242" s="110"/>
      <c r="Q242" s="433">
        <v>10</v>
      </c>
      <c r="R242" s="111">
        <v>711.4666666666667</v>
      </c>
      <c r="S242" s="110"/>
      <c r="T242" s="110"/>
      <c r="U242" s="110"/>
      <c r="V242" s="110"/>
      <c r="W242" s="433">
        <v>5</v>
      </c>
      <c r="X242" s="111">
        <v>711.4666666666667</v>
      </c>
      <c r="Y242" s="110"/>
      <c r="Z242" s="110"/>
      <c r="AA242" s="110"/>
      <c r="AB242" s="110"/>
      <c r="AC242" s="433">
        <v>5</v>
      </c>
      <c r="AD242" s="111">
        <v>711.4666666666667</v>
      </c>
      <c r="AE242" s="110"/>
      <c r="AF242" s="110"/>
      <c r="AG242" s="110"/>
      <c r="AH242" s="1048"/>
    </row>
    <row r="243" spans="1:34" ht="45" x14ac:dyDescent="0.25">
      <c r="A243" s="1047"/>
      <c r="B243" s="110" t="s">
        <v>3632</v>
      </c>
      <c r="C243" s="110"/>
      <c r="D243" s="433">
        <v>20</v>
      </c>
      <c r="E243" s="207" t="s">
        <v>1772</v>
      </c>
      <c r="F243" s="1178" t="s">
        <v>4353</v>
      </c>
      <c r="G243" s="1056" t="s">
        <v>4306</v>
      </c>
      <c r="H243" s="433" t="s">
        <v>3478</v>
      </c>
      <c r="I243" s="111">
        <v>99.759999999999991</v>
      </c>
      <c r="J243" s="111">
        <v>1995.1999999999998</v>
      </c>
      <c r="K243" s="110"/>
      <c r="L243" s="110"/>
      <c r="M243" s="110"/>
      <c r="N243" s="110"/>
      <c r="O243" s="110"/>
      <c r="P243" s="110"/>
      <c r="Q243" s="433">
        <v>10</v>
      </c>
      <c r="R243" s="111">
        <v>665.06666666666661</v>
      </c>
      <c r="S243" s="110"/>
      <c r="T243" s="110"/>
      <c r="U243" s="110"/>
      <c r="V243" s="110"/>
      <c r="W243" s="433">
        <v>5</v>
      </c>
      <c r="X243" s="111">
        <v>665.06666666666661</v>
      </c>
      <c r="Y243" s="110"/>
      <c r="Z243" s="110"/>
      <c r="AA243" s="110"/>
      <c r="AB243" s="110"/>
      <c r="AC243" s="433">
        <v>5</v>
      </c>
      <c r="AD243" s="111">
        <v>665.06666666666661</v>
      </c>
      <c r="AE243" s="110"/>
      <c r="AF243" s="110"/>
      <c r="AG243" s="110"/>
      <c r="AH243" s="1048"/>
    </row>
    <row r="244" spans="1:34" ht="45" x14ac:dyDescent="0.25">
      <c r="A244" s="1047"/>
      <c r="B244" s="110" t="s">
        <v>3633</v>
      </c>
      <c r="C244" s="110"/>
      <c r="D244" s="433">
        <v>20</v>
      </c>
      <c r="E244" s="207" t="s">
        <v>1772</v>
      </c>
      <c r="F244" s="1178" t="s">
        <v>4353</v>
      </c>
      <c r="G244" s="1056" t="s">
        <v>4306</v>
      </c>
      <c r="H244" s="433" t="s">
        <v>3478</v>
      </c>
      <c r="I244" s="111">
        <v>99.759999999999991</v>
      </c>
      <c r="J244" s="111">
        <v>1995.1999999999998</v>
      </c>
      <c r="K244" s="110"/>
      <c r="L244" s="110"/>
      <c r="M244" s="110"/>
      <c r="N244" s="110"/>
      <c r="O244" s="110"/>
      <c r="P244" s="110"/>
      <c r="Q244" s="433">
        <v>10</v>
      </c>
      <c r="R244" s="111">
        <v>665.06666666666661</v>
      </c>
      <c r="S244" s="110"/>
      <c r="T244" s="110"/>
      <c r="U244" s="110"/>
      <c r="V244" s="110"/>
      <c r="W244" s="433">
        <v>5</v>
      </c>
      <c r="X244" s="111">
        <v>665.06666666666661</v>
      </c>
      <c r="Y244" s="110"/>
      <c r="Z244" s="110"/>
      <c r="AA244" s="110"/>
      <c r="AB244" s="110"/>
      <c r="AC244" s="433">
        <v>5</v>
      </c>
      <c r="AD244" s="111">
        <v>665.06666666666661</v>
      </c>
      <c r="AE244" s="110"/>
      <c r="AF244" s="110"/>
      <c r="AG244" s="110"/>
      <c r="AH244" s="1048"/>
    </row>
    <row r="245" spans="1:34" ht="45" x14ac:dyDescent="0.25">
      <c r="A245" s="1047"/>
      <c r="B245" s="110" t="s">
        <v>3634</v>
      </c>
      <c r="C245" s="110"/>
      <c r="D245" s="433">
        <v>20</v>
      </c>
      <c r="E245" s="207" t="s">
        <v>1772</v>
      </c>
      <c r="F245" s="1178" t="s">
        <v>4353</v>
      </c>
      <c r="G245" s="1056" t="s">
        <v>4306</v>
      </c>
      <c r="H245" s="433" t="s">
        <v>3478</v>
      </c>
      <c r="I245" s="111">
        <v>99.759999999999991</v>
      </c>
      <c r="J245" s="111">
        <v>1995.1999999999998</v>
      </c>
      <c r="K245" s="110"/>
      <c r="L245" s="110"/>
      <c r="M245" s="110"/>
      <c r="N245" s="110"/>
      <c r="O245" s="110"/>
      <c r="P245" s="110"/>
      <c r="Q245" s="433">
        <v>10</v>
      </c>
      <c r="R245" s="111">
        <v>665.06666666666661</v>
      </c>
      <c r="S245" s="110"/>
      <c r="T245" s="110"/>
      <c r="U245" s="110"/>
      <c r="V245" s="110"/>
      <c r="W245" s="433">
        <v>5</v>
      </c>
      <c r="X245" s="111">
        <v>665.06666666666661</v>
      </c>
      <c r="Y245" s="110"/>
      <c r="Z245" s="110"/>
      <c r="AA245" s="110"/>
      <c r="AB245" s="110"/>
      <c r="AC245" s="433">
        <v>5</v>
      </c>
      <c r="AD245" s="111">
        <v>665.06666666666661</v>
      </c>
      <c r="AE245" s="110"/>
      <c r="AF245" s="110"/>
      <c r="AG245" s="110"/>
      <c r="AH245" s="1048"/>
    </row>
    <row r="246" spans="1:34" ht="45" x14ac:dyDescent="0.25">
      <c r="A246" s="1047"/>
      <c r="B246" s="110" t="s">
        <v>3635</v>
      </c>
      <c r="C246" s="110"/>
      <c r="D246" s="433">
        <v>20</v>
      </c>
      <c r="E246" s="207" t="s">
        <v>1772</v>
      </c>
      <c r="F246" s="1178" t="s">
        <v>4353</v>
      </c>
      <c r="G246" s="1056" t="s">
        <v>4306</v>
      </c>
      <c r="H246" s="433" t="s">
        <v>3478</v>
      </c>
      <c r="I246" s="111">
        <v>99.759999999999991</v>
      </c>
      <c r="J246" s="111">
        <v>1995.1999999999998</v>
      </c>
      <c r="K246" s="110"/>
      <c r="L246" s="110"/>
      <c r="M246" s="110"/>
      <c r="N246" s="110"/>
      <c r="O246" s="110"/>
      <c r="P246" s="110"/>
      <c r="Q246" s="433">
        <v>10</v>
      </c>
      <c r="R246" s="111">
        <v>665.06666666666661</v>
      </c>
      <c r="S246" s="110"/>
      <c r="T246" s="110"/>
      <c r="U246" s="110"/>
      <c r="V246" s="110"/>
      <c r="W246" s="433">
        <v>5</v>
      </c>
      <c r="X246" s="111">
        <v>665.06666666666661</v>
      </c>
      <c r="Y246" s="110"/>
      <c r="Z246" s="110"/>
      <c r="AA246" s="110"/>
      <c r="AB246" s="110"/>
      <c r="AC246" s="433">
        <v>5</v>
      </c>
      <c r="AD246" s="111">
        <v>665.06666666666661</v>
      </c>
      <c r="AE246" s="110"/>
      <c r="AF246" s="110"/>
      <c r="AG246" s="110"/>
      <c r="AH246" s="1048"/>
    </row>
    <row r="247" spans="1:34" ht="45" x14ac:dyDescent="0.25">
      <c r="A247" s="1047"/>
      <c r="B247" s="110" t="s">
        <v>3636</v>
      </c>
      <c r="C247" s="110"/>
      <c r="D247" s="433">
        <v>20</v>
      </c>
      <c r="E247" s="207" t="s">
        <v>1772</v>
      </c>
      <c r="F247" s="1178" t="s">
        <v>4353</v>
      </c>
      <c r="G247" s="1056" t="s">
        <v>4306</v>
      </c>
      <c r="H247" s="433" t="s">
        <v>3478</v>
      </c>
      <c r="I247" s="111">
        <v>99.759999999999991</v>
      </c>
      <c r="J247" s="111">
        <v>1995.1999999999998</v>
      </c>
      <c r="K247" s="110"/>
      <c r="L247" s="110"/>
      <c r="M247" s="110"/>
      <c r="N247" s="110"/>
      <c r="O247" s="110"/>
      <c r="P247" s="110"/>
      <c r="Q247" s="433">
        <v>10</v>
      </c>
      <c r="R247" s="111">
        <v>665.06666666666661</v>
      </c>
      <c r="S247" s="110"/>
      <c r="T247" s="110"/>
      <c r="U247" s="110"/>
      <c r="V247" s="110"/>
      <c r="W247" s="433">
        <v>5</v>
      </c>
      <c r="X247" s="111">
        <v>665.06666666666661</v>
      </c>
      <c r="Y247" s="110"/>
      <c r="Z247" s="110"/>
      <c r="AA247" s="110"/>
      <c r="AB247" s="110"/>
      <c r="AC247" s="433">
        <v>5</v>
      </c>
      <c r="AD247" s="111">
        <v>665.06666666666661</v>
      </c>
      <c r="AE247" s="110"/>
      <c r="AF247" s="110"/>
      <c r="AG247" s="110"/>
      <c r="AH247" s="1048"/>
    </row>
    <row r="248" spans="1:34" ht="45" x14ac:dyDescent="0.25">
      <c r="A248" s="1047"/>
      <c r="B248" s="110" t="s">
        <v>3637</v>
      </c>
      <c r="C248" s="110"/>
      <c r="D248" s="433">
        <v>20</v>
      </c>
      <c r="E248" s="207" t="s">
        <v>1772</v>
      </c>
      <c r="F248" s="1178" t="s">
        <v>4353</v>
      </c>
      <c r="G248" s="1056" t="s">
        <v>4306</v>
      </c>
      <c r="H248" s="433" t="s">
        <v>3478</v>
      </c>
      <c r="I248" s="111">
        <v>99.759999999999991</v>
      </c>
      <c r="J248" s="111">
        <v>1995.1999999999998</v>
      </c>
      <c r="K248" s="110"/>
      <c r="L248" s="110"/>
      <c r="M248" s="110"/>
      <c r="N248" s="110"/>
      <c r="O248" s="110"/>
      <c r="P248" s="110"/>
      <c r="Q248" s="433">
        <v>10</v>
      </c>
      <c r="R248" s="111">
        <v>665.06666666666661</v>
      </c>
      <c r="S248" s="110"/>
      <c r="T248" s="110"/>
      <c r="U248" s="110"/>
      <c r="V248" s="110"/>
      <c r="W248" s="433">
        <v>5</v>
      </c>
      <c r="X248" s="111">
        <v>665.06666666666661</v>
      </c>
      <c r="Y248" s="110"/>
      <c r="Z248" s="110"/>
      <c r="AA248" s="110"/>
      <c r="AB248" s="110"/>
      <c r="AC248" s="433">
        <v>5</v>
      </c>
      <c r="AD248" s="111">
        <v>665.06666666666661</v>
      </c>
      <c r="AE248" s="110"/>
      <c r="AF248" s="110"/>
      <c r="AG248" s="110"/>
      <c r="AH248" s="1048"/>
    </row>
    <row r="249" spans="1:34" ht="45" x14ac:dyDescent="0.25">
      <c r="A249" s="1047"/>
      <c r="B249" s="110" t="s">
        <v>3638</v>
      </c>
      <c r="C249" s="110"/>
      <c r="D249" s="433">
        <v>20</v>
      </c>
      <c r="E249" s="207" t="s">
        <v>1772</v>
      </c>
      <c r="F249" s="1178" t="s">
        <v>4353</v>
      </c>
      <c r="G249" s="1056" t="s">
        <v>4306</v>
      </c>
      <c r="H249" s="433" t="s">
        <v>3478</v>
      </c>
      <c r="I249" s="111">
        <v>99.759999999999991</v>
      </c>
      <c r="J249" s="111">
        <v>1995.1999999999998</v>
      </c>
      <c r="K249" s="110"/>
      <c r="L249" s="110"/>
      <c r="M249" s="110"/>
      <c r="N249" s="110"/>
      <c r="O249" s="110"/>
      <c r="P249" s="110"/>
      <c r="Q249" s="433">
        <v>10</v>
      </c>
      <c r="R249" s="111">
        <v>665.06666666666661</v>
      </c>
      <c r="S249" s="110"/>
      <c r="T249" s="110"/>
      <c r="U249" s="110"/>
      <c r="V249" s="110"/>
      <c r="W249" s="433">
        <v>5</v>
      </c>
      <c r="X249" s="111">
        <v>665.06666666666661</v>
      </c>
      <c r="Y249" s="110"/>
      <c r="Z249" s="110"/>
      <c r="AA249" s="110"/>
      <c r="AB249" s="110"/>
      <c r="AC249" s="433">
        <v>5</v>
      </c>
      <c r="AD249" s="111">
        <v>665.06666666666661</v>
      </c>
      <c r="AE249" s="110"/>
      <c r="AF249" s="110"/>
      <c r="AG249" s="110"/>
      <c r="AH249" s="1048"/>
    </row>
    <row r="250" spans="1:34" ht="45" x14ac:dyDescent="0.25">
      <c r="A250" s="1047"/>
      <c r="B250" s="110" t="s">
        <v>3639</v>
      </c>
      <c r="C250" s="110"/>
      <c r="D250" s="433">
        <v>20</v>
      </c>
      <c r="E250" s="207" t="s">
        <v>1772</v>
      </c>
      <c r="F250" s="1178" t="s">
        <v>4353</v>
      </c>
      <c r="G250" s="1056" t="s">
        <v>4306</v>
      </c>
      <c r="H250" s="433" t="s">
        <v>3478</v>
      </c>
      <c r="I250" s="111">
        <v>99.759999999999991</v>
      </c>
      <c r="J250" s="111">
        <v>1995.1999999999998</v>
      </c>
      <c r="K250" s="110"/>
      <c r="L250" s="110"/>
      <c r="M250" s="110"/>
      <c r="N250" s="110"/>
      <c r="O250" s="110"/>
      <c r="P250" s="110"/>
      <c r="Q250" s="433">
        <v>10</v>
      </c>
      <c r="R250" s="111">
        <v>665.06666666666661</v>
      </c>
      <c r="S250" s="110"/>
      <c r="T250" s="110"/>
      <c r="U250" s="110"/>
      <c r="V250" s="110"/>
      <c r="W250" s="433">
        <v>5</v>
      </c>
      <c r="X250" s="111">
        <v>665.06666666666661</v>
      </c>
      <c r="Y250" s="110"/>
      <c r="Z250" s="110"/>
      <c r="AA250" s="110"/>
      <c r="AB250" s="110"/>
      <c r="AC250" s="433">
        <v>5</v>
      </c>
      <c r="AD250" s="111">
        <v>665.06666666666661</v>
      </c>
      <c r="AE250" s="110"/>
      <c r="AF250" s="110"/>
      <c r="AG250" s="110"/>
      <c r="AH250" s="1048"/>
    </row>
    <row r="251" spans="1:34" ht="45" x14ac:dyDescent="0.25">
      <c r="A251" s="1047"/>
      <c r="B251" s="110" t="s">
        <v>3640</v>
      </c>
      <c r="C251" s="110"/>
      <c r="D251" s="433">
        <v>20</v>
      </c>
      <c r="E251" s="207" t="s">
        <v>1772</v>
      </c>
      <c r="F251" s="1178" t="s">
        <v>4353</v>
      </c>
      <c r="G251" s="1056" t="s">
        <v>4306</v>
      </c>
      <c r="H251" s="433" t="s">
        <v>3478</v>
      </c>
      <c r="I251" s="111">
        <v>99.759999999999991</v>
      </c>
      <c r="J251" s="111">
        <v>1995.1999999999998</v>
      </c>
      <c r="K251" s="110"/>
      <c r="L251" s="110"/>
      <c r="M251" s="110"/>
      <c r="N251" s="110"/>
      <c r="O251" s="110"/>
      <c r="P251" s="110"/>
      <c r="Q251" s="433">
        <v>10</v>
      </c>
      <c r="R251" s="111">
        <v>665.06666666666661</v>
      </c>
      <c r="S251" s="110"/>
      <c r="T251" s="110"/>
      <c r="U251" s="110"/>
      <c r="V251" s="110"/>
      <c r="W251" s="433">
        <v>5</v>
      </c>
      <c r="X251" s="111">
        <v>665.06666666666661</v>
      </c>
      <c r="Y251" s="110"/>
      <c r="Z251" s="110"/>
      <c r="AA251" s="110"/>
      <c r="AB251" s="110"/>
      <c r="AC251" s="433">
        <v>5</v>
      </c>
      <c r="AD251" s="111">
        <v>665.06666666666661</v>
      </c>
      <c r="AE251" s="110"/>
      <c r="AF251" s="110"/>
      <c r="AG251" s="110"/>
      <c r="AH251" s="1048"/>
    </row>
    <row r="252" spans="1:34" ht="45" x14ac:dyDescent="0.25">
      <c r="A252" s="1047"/>
      <c r="B252" s="110" t="s">
        <v>3641</v>
      </c>
      <c r="C252" s="110"/>
      <c r="D252" s="433">
        <v>20</v>
      </c>
      <c r="E252" s="207" t="s">
        <v>1772</v>
      </c>
      <c r="F252" s="1178" t="s">
        <v>4353</v>
      </c>
      <c r="G252" s="1056" t="s">
        <v>4306</v>
      </c>
      <c r="H252" s="433" t="s">
        <v>3478</v>
      </c>
      <c r="I252" s="111">
        <v>99.759999999999991</v>
      </c>
      <c r="J252" s="111">
        <v>1995.1999999999998</v>
      </c>
      <c r="K252" s="110"/>
      <c r="L252" s="110"/>
      <c r="M252" s="110"/>
      <c r="N252" s="110"/>
      <c r="O252" s="110"/>
      <c r="P252" s="110"/>
      <c r="Q252" s="433">
        <v>10</v>
      </c>
      <c r="R252" s="111">
        <v>665.06666666666661</v>
      </c>
      <c r="S252" s="110"/>
      <c r="T252" s="110"/>
      <c r="U252" s="110"/>
      <c r="V252" s="110"/>
      <c r="W252" s="433">
        <v>5</v>
      </c>
      <c r="X252" s="111">
        <v>665.06666666666661</v>
      </c>
      <c r="Y252" s="110"/>
      <c r="Z252" s="110"/>
      <c r="AA252" s="110"/>
      <c r="AB252" s="110"/>
      <c r="AC252" s="433">
        <v>5</v>
      </c>
      <c r="AD252" s="111">
        <v>665.06666666666661</v>
      </c>
      <c r="AE252" s="110"/>
      <c r="AF252" s="110"/>
      <c r="AG252" s="110"/>
      <c r="AH252" s="1048"/>
    </row>
    <row r="253" spans="1:34" ht="45" x14ac:dyDescent="0.25">
      <c r="A253" s="1047"/>
      <c r="B253" s="110" t="s">
        <v>3642</v>
      </c>
      <c r="C253" s="110"/>
      <c r="D253" s="433">
        <v>20</v>
      </c>
      <c r="E253" s="207" t="s">
        <v>1772</v>
      </c>
      <c r="F253" s="1178" t="s">
        <v>4353</v>
      </c>
      <c r="G253" s="1056" t="s">
        <v>4306</v>
      </c>
      <c r="H253" s="433" t="s">
        <v>3478</v>
      </c>
      <c r="I253" s="111">
        <v>99.759999999999991</v>
      </c>
      <c r="J253" s="111">
        <v>1995.1999999999998</v>
      </c>
      <c r="K253" s="110"/>
      <c r="L253" s="110"/>
      <c r="M253" s="110"/>
      <c r="N253" s="110"/>
      <c r="O253" s="110"/>
      <c r="P253" s="110"/>
      <c r="Q253" s="433">
        <v>10</v>
      </c>
      <c r="R253" s="111">
        <v>665.06666666666661</v>
      </c>
      <c r="S253" s="110"/>
      <c r="T253" s="110"/>
      <c r="U253" s="110"/>
      <c r="V253" s="110"/>
      <c r="W253" s="433">
        <v>5</v>
      </c>
      <c r="X253" s="111">
        <v>665.06666666666661</v>
      </c>
      <c r="Y253" s="110"/>
      <c r="Z253" s="110"/>
      <c r="AA253" s="110"/>
      <c r="AB253" s="110"/>
      <c r="AC253" s="433">
        <v>5</v>
      </c>
      <c r="AD253" s="111">
        <v>665.06666666666661</v>
      </c>
      <c r="AE253" s="110"/>
      <c r="AF253" s="110"/>
      <c r="AG253" s="110"/>
      <c r="AH253" s="1048"/>
    </row>
    <row r="254" spans="1:34" ht="45" x14ac:dyDescent="0.25">
      <c r="A254" s="1047"/>
      <c r="B254" s="110" t="s">
        <v>3643</v>
      </c>
      <c r="C254" s="110"/>
      <c r="D254" s="433">
        <v>20</v>
      </c>
      <c r="E254" s="207" t="s">
        <v>1772</v>
      </c>
      <c r="F254" s="1178" t="s">
        <v>4353</v>
      </c>
      <c r="G254" s="1056" t="s">
        <v>4306</v>
      </c>
      <c r="H254" s="433" t="s">
        <v>3478</v>
      </c>
      <c r="I254" s="111">
        <v>99.759999999999991</v>
      </c>
      <c r="J254" s="111">
        <v>1995.1999999999998</v>
      </c>
      <c r="K254" s="110"/>
      <c r="L254" s="110"/>
      <c r="M254" s="110"/>
      <c r="N254" s="110"/>
      <c r="O254" s="110"/>
      <c r="P254" s="110"/>
      <c r="Q254" s="433">
        <v>10</v>
      </c>
      <c r="R254" s="111">
        <v>665.06666666666661</v>
      </c>
      <c r="S254" s="110"/>
      <c r="T254" s="110"/>
      <c r="U254" s="110"/>
      <c r="V254" s="110"/>
      <c r="W254" s="433">
        <v>5</v>
      </c>
      <c r="X254" s="111">
        <v>665.06666666666661</v>
      </c>
      <c r="Y254" s="110"/>
      <c r="Z254" s="110"/>
      <c r="AA254" s="110"/>
      <c r="AB254" s="110"/>
      <c r="AC254" s="433">
        <v>5</v>
      </c>
      <c r="AD254" s="111">
        <v>665.06666666666661</v>
      </c>
      <c r="AE254" s="110"/>
      <c r="AF254" s="110"/>
      <c r="AG254" s="110"/>
      <c r="AH254" s="1048"/>
    </row>
    <row r="255" spans="1:34" ht="45" x14ac:dyDescent="0.25">
      <c r="A255" s="1047"/>
      <c r="B255" s="110" t="s">
        <v>3644</v>
      </c>
      <c r="C255" s="110"/>
      <c r="D255" s="433">
        <v>20</v>
      </c>
      <c r="E255" s="207" t="s">
        <v>1772</v>
      </c>
      <c r="F255" s="1178" t="s">
        <v>4353</v>
      </c>
      <c r="G255" s="1056" t="s">
        <v>4306</v>
      </c>
      <c r="H255" s="433" t="s">
        <v>3478</v>
      </c>
      <c r="I255" s="111">
        <v>99.759999999999991</v>
      </c>
      <c r="J255" s="111">
        <v>1995.1999999999998</v>
      </c>
      <c r="K255" s="110"/>
      <c r="L255" s="110"/>
      <c r="M255" s="110"/>
      <c r="N255" s="110"/>
      <c r="O255" s="110"/>
      <c r="P255" s="110"/>
      <c r="Q255" s="433">
        <v>10</v>
      </c>
      <c r="R255" s="111">
        <v>665.06666666666661</v>
      </c>
      <c r="S255" s="110"/>
      <c r="T255" s="110"/>
      <c r="U255" s="110"/>
      <c r="V255" s="110"/>
      <c r="W255" s="433">
        <v>5</v>
      </c>
      <c r="X255" s="111">
        <v>665.06666666666661</v>
      </c>
      <c r="Y255" s="110"/>
      <c r="Z255" s="110"/>
      <c r="AA255" s="110"/>
      <c r="AB255" s="110"/>
      <c r="AC255" s="433">
        <v>5</v>
      </c>
      <c r="AD255" s="111">
        <v>665.06666666666661</v>
      </c>
      <c r="AE255" s="110"/>
      <c r="AF255" s="110"/>
      <c r="AG255" s="110"/>
      <c r="AH255" s="1048"/>
    </row>
    <row r="256" spans="1:34" ht="45" x14ac:dyDescent="0.25">
      <c r="A256" s="1047"/>
      <c r="B256" s="110" t="s">
        <v>3645</v>
      </c>
      <c r="C256" s="110"/>
      <c r="D256" s="433">
        <v>20</v>
      </c>
      <c r="E256" s="207" t="s">
        <v>1772</v>
      </c>
      <c r="F256" s="1178" t="s">
        <v>4353</v>
      </c>
      <c r="G256" s="1056" t="s">
        <v>4306</v>
      </c>
      <c r="H256" s="433" t="s">
        <v>3478</v>
      </c>
      <c r="I256" s="111">
        <v>99.759999999999991</v>
      </c>
      <c r="J256" s="111">
        <v>1995.1999999999998</v>
      </c>
      <c r="K256" s="110"/>
      <c r="L256" s="110"/>
      <c r="M256" s="110"/>
      <c r="N256" s="110"/>
      <c r="O256" s="110"/>
      <c r="P256" s="110"/>
      <c r="Q256" s="433">
        <v>10</v>
      </c>
      <c r="R256" s="111">
        <v>665.06666666666661</v>
      </c>
      <c r="S256" s="110"/>
      <c r="T256" s="110"/>
      <c r="U256" s="110"/>
      <c r="V256" s="110"/>
      <c r="W256" s="433">
        <v>5</v>
      </c>
      <c r="X256" s="111">
        <v>665.06666666666661</v>
      </c>
      <c r="Y256" s="110"/>
      <c r="Z256" s="110"/>
      <c r="AA256" s="110"/>
      <c r="AB256" s="110"/>
      <c r="AC256" s="433">
        <v>5</v>
      </c>
      <c r="AD256" s="111">
        <v>665.06666666666661</v>
      </c>
      <c r="AE256" s="110"/>
      <c r="AF256" s="110"/>
      <c r="AG256" s="110"/>
      <c r="AH256" s="1048"/>
    </row>
    <row r="257" spans="1:34" ht="45" x14ac:dyDescent="0.25">
      <c r="A257" s="1047"/>
      <c r="B257" s="110" t="s">
        <v>3646</v>
      </c>
      <c r="C257" s="110"/>
      <c r="D257" s="433">
        <v>500</v>
      </c>
      <c r="E257" s="207" t="s">
        <v>1767</v>
      </c>
      <c r="F257" s="1178" t="s">
        <v>4353</v>
      </c>
      <c r="G257" s="1056" t="s">
        <v>4306</v>
      </c>
      <c r="H257" s="433" t="s">
        <v>3478</v>
      </c>
      <c r="I257" s="111">
        <v>6.5191999999999997</v>
      </c>
      <c r="J257" s="111">
        <v>3259.6</v>
      </c>
      <c r="K257" s="110"/>
      <c r="L257" s="110"/>
      <c r="M257" s="110"/>
      <c r="N257" s="110"/>
      <c r="O257" s="110"/>
      <c r="P257" s="110"/>
      <c r="Q257" s="433">
        <v>300</v>
      </c>
      <c r="R257" s="111">
        <v>1086.5333333333333</v>
      </c>
      <c r="S257" s="110"/>
      <c r="T257" s="110"/>
      <c r="U257" s="110"/>
      <c r="V257" s="110"/>
      <c r="W257" s="433">
        <v>100</v>
      </c>
      <c r="X257" s="111">
        <v>1086.5333333333333</v>
      </c>
      <c r="Y257" s="110"/>
      <c r="Z257" s="110"/>
      <c r="AA257" s="110"/>
      <c r="AB257" s="110"/>
      <c r="AC257" s="433">
        <v>100</v>
      </c>
      <c r="AD257" s="111">
        <v>1086.5333333333333</v>
      </c>
      <c r="AE257" s="110"/>
      <c r="AF257" s="110"/>
      <c r="AG257" s="110"/>
      <c r="AH257" s="1048"/>
    </row>
    <row r="258" spans="1:34" ht="45" x14ac:dyDescent="0.25">
      <c r="A258" s="1047"/>
      <c r="B258" s="110" t="s">
        <v>3647</v>
      </c>
      <c r="C258" s="110"/>
      <c r="D258" s="433">
        <v>500</v>
      </c>
      <c r="E258" s="207" t="s">
        <v>1767</v>
      </c>
      <c r="F258" s="1178" t="s">
        <v>4353</v>
      </c>
      <c r="G258" s="1056" t="s">
        <v>4306</v>
      </c>
      <c r="H258" s="433" t="s">
        <v>3478</v>
      </c>
      <c r="I258" s="111">
        <v>17.167999999999999</v>
      </c>
      <c r="J258" s="111">
        <v>8584</v>
      </c>
      <c r="K258" s="110"/>
      <c r="L258" s="110"/>
      <c r="M258" s="110"/>
      <c r="N258" s="110"/>
      <c r="O258" s="110"/>
      <c r="P258" s="110"/>
      <c r="Q258" s="433">
        <v>300</v>
      </c>
      <c r="R258" s="111">
        <v>2861.3333333333335</v>
      </c>
      <c r="S258" s="110"/>
      <c r="T258" s="110"/>
      <c r="U258" s="110"/>
      <c r="V258" s="110"/>
      <c r="W258" s="433">
        <v>100</v>
      </c>
      <c r="X258" s="111">
        <v>2861.3333333333335</v>
      </c>
      <c r="Y258" s="110"/>
      <c r="Z258" s="110"/>
      <c r="AA258" s="110"/>
      <c r="AB258" s="110"/>
      <c r="AC258" s="433">
        <v>100</v>
      </c>
      <c r="AD258" s="111">
        <v>2861.3333333333335</v>
      </c>
      <c r="AE258" s="110"/>
      <c r="AF258" s="110"/>
      <c r="AG258" s="110"/>
      <c r="AH258" s="1048"/>
    </row>
    <row r="259" spans="1:34" ht="45" x14ac:dyDescent="0.25">
      <c r="A259" s="1047"/>
      <c r="B259" s="110" t="s">
        <v>3648</v>
      </c>
      <c r="C259" s="110"/>
      <c r="D259" s="433">
        <v>100</v>
      </c>
      <c r="E259" s="207" t="s">
        <v>1767</v>
      </c>
      <c r="F259" s="1178" t="s">
        <v>4353</v>
      </c>
      <c r="G259" s="1056" t="s">
        <v>4306</v>
      </c>
      <c r="H259" s="433" t="s">
        <v>3478</v>
      </c>
      <c r="I259" s="111">
        <v>6.1479999999999997</v>
      </c>
      <c r="J259" s="111">
        <v>614.79999999999995</v>
      </c>
      <c r="K259" s="110"/>
      <c r="L259" s="110"/>
      <c r="M259" s="110"/>
      <c r="N259" s="110"/>
      <c r="O259" s="110"/>
      <c r="P259" s="110"/>
      <c r="Q259" s="433">
        <v>40</v>
      </c>
      <c r="R259" s="111">
        <v>204.93333333333331</v>
      </c>
      <c r="S259" s="110"/>
      <c r="T259" s="110"/>
      <c r="U259" s="110"/>
      <c r="V259" s="110"/>
      <c r="W259" s="433">
        <v>30</v>
      </c>
      <c r="X259" s="111">
        <v>204.93333333333331</v>
      </c>
      <c r="Y259" s="110"/>
      <c r="Z259" s="110"/>
      <c r="AA259" s="110"/>
      <c r="AB259" s="110"/>
      <c r="AC259" s="433">
        <v>30</v>
      </c>
      <c r="AD259" s="111">
        <v>204.93333333333331</v>
      </c>
      <c r="AE259" s="110"/>
      <c r="AF259" s="110"/>
      <c r="AG259" s="110"/>
      <c r="AH259" s="1048"/>
    </row>
    <row r="260" spans="1:34" ht="45" x14ac:dyDescent="0.25">
      <c r="A260" s="1047"/>
      <c r="B260" s="110" t="s">
        <v>3649</v>
      </c>
      <c r="C260" s="110"/>
      <c r="D260" s="433">
        <v>100</v>
      </c>
      <c r="E260" s="207" t="s">
        <v>1767</v>
      </c>
      <c r="F260" s="1178" t="s">
        <v>4353</v>
      </c>
      <c r="G260" s="1056" t="s">
        <v>4306</v>
      </c>
      <c r="H260" s="433" t="s">
        <v>3478</v>
      </c>
      <c r="I260" s="111">
        <v>6.1479999999999997</v>
      </c>
      <c r="J260" s="111">
        <v>614.79999999999995</v>
      </c>
      <c r="K260" s="110"/>
      <c r="L260" s="110"/>
      <c r="M260" s="110"/>
      <c r="N260" s="110"/>
      <c r="O260" s="110"/>
      <c r="P260" s="110"/>
      <c r="Q260" s="433">
        <v>40</v>
      </c>
      <c r="R260" s="111">
        <v>204.93333333333331</v>
      </c>
      <c r="S260" s="110"/>
      <c r="T260" s="110"/>
      <c r="U260" s="110"/>
      <c r="V260" s="110"/>
      <c r="W260" s="433">
        <v>30</v>
      </c>
      <c r="X260" s="111">
        <v>204.93333333333331</v>
      </c>
      <c r="Y260" s="110"/>
      <c r="Z260" s="110"/>
      <c r="AA260" s="110"/>
      <c r="AB260" s="110"/>
      <c r="AC260" s="433">
        <v>30</v>
      </c>
      <c r="AD260" s="111">
        <v>204.93333333333331</v>
      </c>
      <c r="AE260" s="110"/>
      <c r="AF260" s="110"/>
      <c r="AG260" s="110"/>
      <c r="AH260" s="1048"/>
    </row>
    <row r="261" spans="1:34" ht="45" x14ac:dyDescent="0.25">
      <c r="A261" s="1047"/>
      <c r="B261" s="110" t="s">
        <v>3650</v>
      </c>
      <c r="C261" s="110"/>
      <c r="D261" s="433">
        <v>100</v>
      </c>
      <c r="E261" s="207" t="s">
        <v>1767</v>
      </c>
      <c r="F261" s="1178" t="s">
        <v>4353</v>
      </c>
      <c r="G261" s="1056" t="s">
        <v>4306</v>
      </c>
      <c r="H261" s="433" t="s">
        <v>3478</v>
      </c>
      <c r="I261" s="111">
        <v>6.1479999999999997</v>
      </c>
      <c r="J261" s="111">
        <v>614.79999999999995</v>
      </c>
      <c r="K261" s="110"/>
      <c r="L261" s="110"/>
      <c r="M261" s="110"/>
      <c r="N261" s="110"/>
      <c r="O261" s="110"/>
      <c r="P261" s="110"/>
      <c r="Q261" s="433">
        <v>40</v>
      </c>
      <c r="R261" s="111">
        <v>204.93333333333331</v>
      </c>
      <c r="S261" s="110"/>
      <c r="T261" s="110"/>
      <c r="U261" s="110"/>
      <c r="V261" s="110"/>
      <c r="W261" s="433">
        <v>30</v>
      </c>
      <c r="X261" s="111">
        <v>204.93333333333331</v>
      </c>
      <c r="Y261" s="110"/>
      <c r="Z261" s="110"/>
      <c r="AA261" s="110"/>
      <c r="AB261" s="110"/>
      <c r="AC261" s="433">
        <v>30</v>
      </c>
      <c r="AD261" s="111">
        <v>204.93333333333331</v>
      </c>
      <c r="AE261" s="110"/>
      <c r="AF261" s="110"/>
      <c r="AG261" s="110"/>
      <c r="AH261" s="1048"/>
    </row>
    <row r="262" spans="1:34" ht="45" x14ac:dyDescent="0.25">
      <c r="A262" s="1047"/>
      <c r="B262" s="110" t="s">
        <v>3651</v>
      </c>
      <c r="C262" s="110"/>
      <c r="D262" s="433">
        <v>100</v>
      </c>
      <c r="E262" s="207" t="s">
        <v>1767</v>
      </c>
      <c r="F262" s="1178" t="s">
        <v>4353</v>
      </c>
      <c r="G262" s="1056" t="s">
        <v>4306</v>
      </c>
      <c r="H262" s="433" t="s">
        <v>3478</v>
      </c>
      <c r="I262" s="111">
        <v>6.1479999999999997</v>
      </c>
      <c r="J262" s="111">
        <v>614.79999999999995</v>
      </c>
      <c r="K262" s="110"/>
      <c r="L262" s="110"/>
      <c r="M262" s="110"/>
      <c r="N262" s="110"/>
      <c r="O262" s="110"/>
      <c r="P262" s="110"/>
      <c r="Q262" s="433">
        <v>40</v>
      </c>
      <c r="R262" s="111">
        <v>204.93333333333331</v>
      </c>
      <c r="S262" s="110"/>
      <c r="T262" s="110"/>
      <c r="U262" s="110"/>
      <c r="V262" s="110"/>
      <c r="W262" s="433">
        <v>30</v>
      </c>
      <c r="X262" s="111">
        <v>204.93333333333331</v>
      </c>
      <c r="Y262" s="110"/>
      <c r="Z262" s="110"/>
      <c r="AA262" s="110"/>
      <c r="AB262" s="110"/>
      <c r="AC262" s="433">
        <v>30</v>
      </c>
      <c r="AD262" s="111">
        <v>204.93333333333331</v>
      </c>
      <c r="AE262" s="110"/>
      <c r="AF262" s="110"/>
      <c r="AG262" s="110"/>
      <c r="AH262" s="1048"/>
    </row>
    <row r="263" spans="1:34" ht="45" x14ac:dyDescent="0.25">
      <c r="A263" s="1047"/>
      <c r="B263" s="110" t="s">
        <v>3652</v>
      </c>
      <c r="C263" s="110"/>
      <c r="D263" s="433">
        <v>100</v>
      </c>
      <c r="E263" s="207" t="s">
        <v>1767</v>
      </c>
      <c r="F263" s="1178" t="s">
        <v>4353</v>
      </c>
      <c r="G263" s="1056" t="s">
        <v>4306</v>
      </c>
      <c r="H263" s="433" t="s">
        <v>3478</v>
      </c>
      <c r="I263" s="111">
        <v>6.1479999999999997</v>
      </c>
      <c r="J263" s="111">
        <v>614.79999999999995</v>
      </c>
      <c r="K263" s="110"/>
      <c r="L263" s="110"/>
      <c r="M263" s="110"/>
      <c r="N263" s="110"/>
      <c r="O263" s="110"/>
      <c r="P263" s="110"/>
      <c r="Q263" s="433">
        <v>40</v>
      </c>
      <c r="R263" s="111">
        <v>204.93333333333331</v>
      </c>
      <c r="S263" s="110"/>
      <c r="T263" s="110"/>
      <c r="U263" s="110"/>
      <c r="V263" s="110"/>
      <c r="W263" s="433">
        <v>30</v>
      </c>
      <c r="X263" s="111">
        <v>204.93333333333331</v>
      </c>
      <c r="Y263" s="110"/>
      <c r="Z263" s="110"/>
      <c r="AA263" s="110"/>
      <c r="AB263" s="110"/>
      <c r="AC263" s="433">
        <v>30</v>
      </c>
      <c r="AD263" s="111">
        <v>204.93333333333331</v>
      </c>
      <c r="AE263" s="110"/>
      <c r="AF263" s="110"/>
      <c r="AG263" s="110"/>
      <c r="AH263" s="1048"/>
    </row>
    <row r="264" spans="1:34" ht="45" x14ac:dyDescent="0.25">
      <c r="A264" s="1047"/>
      <c r="B264" s="110" t="s">
        <v>3653</v>
      </c>
      <c r="C264" s="110"/>
      <c r="D264" s="433">
        <v>100</v>
      </c>
      <c r="E264" s="207" t="s">
        <v>1767</v>
      </c>
      <c r="F264" s="1178" t="s">
        <v>4353</v>
      </c>
      <c r="G264" s="1056" t="s">
        <v>4306</v>
      </c>
      <c r="H264" s="433" t="s">
        <v>3478</v>
      </c>
      <c r="I264" s="111">
        <v>6.1479999999999997</v>
      </c>
      <c r="J264" s="111">
        <v>614.79999999999995</v>
      </c>
      <c r="K264" s="110"/>
      <c r="L264" s="110"/>
      <c r="M264" s="110"/>
      <c r="N264" s="110"/>
      <c r="O264" s="110"/>
      <c r="P264" s="110"/>
      <c r="Q264" s="433">
        <v>40</v>
      </c>
      <c r="R264" s="111">
        <v>204.93333333333331</v>
      </c>
      <c r="S264" s="110"/>
      <c r="T264" s="110"/>
      <c r="U264" s="110"/>
      <c r="V264" s="110"/>
      <c r="W264" s="433">
        <v>30</v>
      </c>
      <c r="X264" s="111">
        <v>204.93333333333331</v>
      </c>
      <c r="Y264" s="110"/>
      <c r="Z264" s="110"/>
      <c r="AA264" s="110"/>
      <c r="AB264" s="110"/>
      <c r="AC264" s="433">
        <v>30</v>
      </c>
      <c r="AD264" s="111">
        <v>204.93333333333331</v>
      </c>
      <c r="AE264" s="110"/>
      <c r="AF264" s="110"/>
      <c r="AG264" s="110"/>
      <c r="AH264" s="1048"/>
    </row>
    <row r="265" spans="1:34" ht="45" x14ac:dyDescent="0.25">
      <c r="A265" s="1047"/>
      <c r="B265" s="110" t="s">
        <v>3654</v>
      </c>
      <c r="C265" s="110"/>
      <c r="D265" s="433">
        <v>99</v>
      </c>
      <c r="E265" s="207" t="s">
        <v>1767</v>
      </c>
      <c r="F265" s="1178" t="s">
        <v>4353</v>
      </c>
      <c r="G265" s="1056" t="s">
        <v>4306</v>
      </c>
      <c r="H265" s="433" t="s">
        <v>3478</v>
      </c>
      <c r="I265" s="111">
        <v>6.1479999999999997</v>
      </c>
      <c r="J265" s="111">
        <v>608.65199999999993</v>
      </c>
      <c r="K265" s="110"/>
      <c r="L265" s="110"/>
      <c r="M265" s="110"/>
      <c r="N265" s="110"/>
      <c r="O265" s="110"/>
      <c r="P265" s="110"/>
      <c r="Q265" s="433">
        <v>39</v>
      </c>
      <c r="R265" s="111">
        <v>202.88399999999999</v>
      </c>
      <c r="S265" s="110"/>
      <c r="T265" s="110"/>
      <c r="U265" s="110"/>
      <c r="V265" s="110"/>
      <c r="W265" s="433">
        <v>30</v>
      </c>
      <c r="X265" s="111">
        <v>202.88399999999999</v>
      </c>
      <c r="Y265" s="110"/>
      <c r="Z265" s="110"/>
      <c r="AA265" s="110"/>
      <c r="AB265" s="110"/>
      <c r="AC265" s="433">
        <v>30</v>
      </c>
      <c r="AD265" s="111">
        <v>202.88399999999999</v>
      </c>
      <c r="AE265" s="110"/>
      <c r="AF265" s="110"/>
      <c r="AG265" s="110"/>
      <c r="AH265" s="1048"/>
    </row>
    <row r="266" spans="1:34" ht="45" x14ac:dyDescent="0.25">
      <c r="A266" s="1047"/>
      <c r="B266" s="110" t="s">
        <v>3655</v>
      </c>
      <c r="C266" s="110"/>
      <c r="D266" s="433">
        <v>100</v>
      </c>
      <c r="E266" s="207" t="s">
        <v>1767</v>
      </c>
      <c r="F266" s="1178" t="s">
        <v>4353</v>
      </c>
      <c r="G266" s="1056" t="s">
        <v>4306</v>
      </c>
      <c r="H266" s="433" t="s">
        <v>3478</v>
      </c>
      <c r="I266" s="111">
        <v>6.1479999999999997</v>
      </c>
      <c r="J266" s="111">
        <v>614.79999999999995</v>
      </c>
      <c r="K266" s="110"/>
      <c r="L266" s="110"/>
      <c r="M266" s="110"/>
      <c r="N266" s="110"/>
      <c r="O266" s="110"/>
      <c r="P266" s="110"/>
      <c r="Q266" s="433">
        <v>40</v>
      </c>
      <c r="R266" s="111">
        <v>204.93333333333331</v>
      </c>
      <c r="S266" s="110"/>
      <c r="T266" s="110"/>
      <c r="U266" s="110"/>
      <c r="V266" s="110"/>
      <c r="W266" s="433">
        <v>30</v>
      </c>
      <c r="X266" s="111">
        <v>204.93333333333331</v>
      </c>
      <c r="Y266" s="110"/>
      <c r="Z266" s="110"/>
      <c r="AA266" s="110"/>
      <c r="AB266" s="110"/>
      <c r="AC266" s="433">
        <v>30</v>
      </c>
      <c r="AD266" s="111">
        <v>204.93333333333331</v>
      </c>
      <c r="AE266" s="110"/>
      <c r="AF266" s="110"/>
      <c r="AG266" s="110"/>
      <c r="AH266" s="1048"/>
    </row>
    <row r="267" spans="1:34" ht="45" x14ac:dyDescent="0.25">
      <c r="A267" s="1047"/>
      <c r="B267" s="110" t="s">
        <v>3656</v>
      </c>
      <c r="C267" s="110"/>
      <c r="D267" s="433">
        <v>100</v>
      </c>
      <c r="E267" s="207" t="s">
        <v>1767</v>
      </c>
      <c r="F267" s="1178" t="s">
        <v>4353</v>
      </c>
      <c r="G267" s="1056" t="s">
        <v>4306</v>
      </c>
      <c r="H267" s="433" t="s">
        <v>3478</v>
      </c>
      <c r="I267" s="111">
        <v>6.1479999999999997</v>
      </c>
      <c r="J267" s="111">
        <v>614.79999999999995</v>
      </c>
      <c r="K267" s="110"/>
      <c r="L267" s="110"/>
      <c r="M267" s="110"/>
      <c r="N267" s="110"/>
      <c r="O267" s="110"/>
      <c r="P267" s="110"/>
      <c r="Q267" s="433">
        <v>40</v>
      </c>
      <c r="R267" s="111">
        <v>204.93333333333331</v>
      </c>
      <c r="S267" s="110"/>
      <c r="T267" s="110"/>
      <c r="U267" s="110"/>
      <c r="V267" s="110"/>
      <c r="W267" s="433">
        <v>30</v>
      </c>
      <c r="X267" s="111">
        <v>204.93333333333331</v>
      </c>
      <c r="Y267" s="110"/>
      <c r="Z267" s="110"/>
      <c r="AA267" s="110"/>
      <c r="AB267" s="110"/>
      <c r="AC267" s="433">
        <v>30</v>
      </c>
      <c r="AD267" s="111">
        <v>204.93333333333331</v>
      </c>
      <c r="AE267" s="110"/>
      <c r="AF267" s="110"/>
      <c r="AG267" s="110"/>
      <c r="AH267" s="1048"/>
    </row>
    <row r="268" spans="1:34" ht="45" x14ac:dyDescent="0.25">
      <c r="A268" s="1047"/>
      <c r="B268" s="110" t="s">
        <v>3657</v>
      </c>
      <c r="C268" s="110"/>
      <c r="D268" s="433">
        <v>100</v>
      </c>
      <c r="E268" s="207" t="s">
        <v>1767</v>
      </c>
      <c r="F268" s="1178" t="s">
        <v>4353</v>
      </c>
      <c r="G268" s="1056" t="s">
        <v>4306</v>
      </c>
      <c r="H268" s="433" t="s">
        <v>3478</v>
      </c>
      <c r="I268" s="111">
        <v>6.1479999999999997</v>
      </c>
      <c r="J268" s="111">
        <v>614.79999999999995</v>
      </c>
      <c r="K268" s="110"/>
      <c r="L268" s="110"/>
      <c r="M268" s="110"/>
      <c r="N268" s="110"/>
      <c r="O268" s="110"/>
      <c r="P268" s="110"/>
      <c r="Q268" s="433">
        <v>40</v>
      </c>
      <c r="R268" s="111">
        <v>204.93333333333331</v>
      </c>
      <c r="S268" s="110"/>
      <c r="T268" s="110"/>
      <c r="U268" s="110"/>
      <c r="V268" s="110"/>
      <c r="W268" s="433">
        <v>30</v>
      </c>
      <c r="X268" s="111">
        <v>204.93333333333331</v>
      </c>
      <c r="Y268" s="110"/>
      <c r="Z268" s="110"/>
      <c r="AA268" s="110"/>
      <c r="AB268" s="110"/>
      <c r="AC268" s="433">
        <v>30</v>
      </c>
      <c r="AD268" s="111">
        <v>204.93333333333331</v>
      </c>
      <c r="AE268" s="110"/>
      <c r="AF268" s="110"/>
      <c r="AG268" s="110"/>
      <c r="AH268" s="1048"/>
    </row>
    <row r="269" spans="1:34" ht="45" x14ac:dyDescent="0.25">
      <c r="A269" s="1047"/>
      <c r="B269" s="110" t="s">
        <v>3658</v>
      </c>
      <c r="C269" s="110"/>
      <c r="D269" s="433">
        <v>40</v>
      </c>
      <c r="E269" s="207" t="s">
        <v>1767</v>
      </c>
      <c r="F269" s="1178" t="s">
        <v>4353</v>
      </c>
      <c r="G269" s="1056" t="s">
        <v>4306</v>
      </c>
      <c r="H269" s="433" t="s">
        <v>3478</v>
      </c>
      <c r="I269" s="111">
        <v>25.52</v>
      </c>
      <c r="J269" s="111">
        <v>1020.8</v>
      </c>
      <c r="K269" s="110"/>
      <c r="L269" s="110"/>
      <c r="M269" s="110"/>
      <c r="N269" s="110"/>
      <c r="O269" s="110"/>
      <c r="P269" s="110"/>
      <c r="Q269" s="433">
        <v>20</v>
      </c>
      <c r="R269" s="111">
        <v>340.26666666666665</v>
      </c>
      <c r="S269" s="110"/>
      <c r="T269" s="110"/>
      <c r="U269" s="110"/>
      <c r="V269" s="110"/>
      <c r="W269" s="433">
        <v>10</v>
      </c>
      <c r="X269" s="111">
        <v>340.26666666666665</v>
      </c>
      <c r="Y269" s="110"/>
      <c r="Z269" s="110"/>
      <c r="AA269" s="110"/>
      <c r="AB269" s="110"/>
      <c r="AC269" s="433">
        <v>10</v>
      </c>
      <c r="AD269" s="111">
        <v>340.26666666666665</v>
      </c>
      <c r="AE269" s="110"/>
      <c r="AF269" s="110"/>
      <c r="AG269" s="110"/>
      <c r="AH269" s="1048"/>
    </row>
    <row r="270" spans="1:34" ht="45" x14ac:dyDescent="0.25">
      <c r="A270" s="1047"/>
      <c r="B270" s="110" t="s">
        <v>3659</v>
      </c>
      <c r="C270" s="110"/>
      <c r="D270" s="433">
        <v>40</v>
      </c>
      <c r="E270" s="207" t="s">
        <v>1767</v>
      </c>
      <c r="F270" s="1178" t="s">
        <v>4353</v>
      </c>
      <c r="G270" s="1056" t="s">
        <v>4306</v>
      </c>
      <c r="H270" s="433" t="s">
        <v>3478</v>
      </c>
      <c r="I270" s="111">
        <v>25.52</v>
      </c>
      <c r="J270" s="111">
        <v>1020.8</v>
      </c>
      <c r="K270" s="110"/>
      <c r="L270" s="110"/>
      <c r="M270" s="110"/>
      <c r="N270" s="110"/>
      <c r="O270" s="110"/>
      <c r="P270" s="110"/>
      <c r="Q270" s="433">
        <v>20</v>
      </c>
      <c r="R270" s="111">
        <v>340.26666666666665</v>
      </c>
      <c r="S270" s="110"/>
      <c r="T270" s="110"/>
      <c r="U270" s="110"/>
      <c r="V270" s="110"/>
      <c r="W270" s="433">
        <v>10</v>
      </c>
      <c r="X270" s="111">
        <v>340.26666666666665</v>
      </c>
      <c r="Y270" s="110"/>
      <c r="Z270" s="110"/>
      <c r="AA270" s="110"/>
      <c r="AB270" s="110"/>
      <c r="AC270" s="433">
        <v>10</v>
      </c>
      <c r="AD270" s="111">
        <v>340.26666666666665</v>
      </c>
      <c r="AE270" s="110"/>
      <c r="AF270" s="110"/>
      <c r="AG270" s="110"/>
      <c r="AH270" s="1048"/>
    </row>
    <row r="271" spans="1:34" ht="45" x14ac:dyDescent="0.25">
      <c r="A271" s="1047"/>
      <c r="B271" s="110" t="s">
        <v>3660</v>
      </c>
      <c r="C271" s="110"/>
      <c r="D271" s="433">
        <v>40</v>
      </c>
      <c r="E271" s="207" t="s">
        <v>1767</v>
      </c>
      <c r="F271" s="1178" t="s">
        <v>4353</v>
      </c>
      <c r="G271" s="1056" t="s">
        <v>4306</v>
      </c>
      <c r="H271" s="433" t="s">
        <v>3478</v>
      </c>
      <c r="I271" s="111">
        <v>25.52</v>
      </c>
      <c r="J271" s="111">
        <v>1020.8</v>
      </c>
      <c r="K271" s="110"/>
      <c r="L271" s="110"/>
      <c r="M271" s="110"/>
      <c r="N271" s="110"/>
      <c r="O271" s="110"/>
      <c r="P271" s="110"/>
      <c r="Q271" s="433">
        <v>20</v>
      </c>
      <c r="R271" s="111">
        <v>340.26666666666665</v>
      </c>
      <c r="S271" s="110"/>
      <c r="T271" s="110"/>
      <c r="U271" s="110"/>
      <c r="V271" s="110"/>
      <c r="W271" s="433">
        <v>10</v>
      </c>
      <c r="X271" s="111">
        <v>340.26666666666665</v>
      </c>
      <c r="Y271" s="110"/>
      <c r="Z271" s="110"/>
      <c r="AA271" s="110"/>
      <c r="AB271" s="110"/>
      <c r="AC271" s="433">
        <v>10</v>
      </c>
      <c r="AD271" s="111">
        <v>340.26666666666665</v>
      </c>
      <c r="AE271" s="110"/>
      <c r="AF271" s="110"/>
      <c r="AG271" s="110"/>
      <c r="AH271" s="1048"/>
    </row>
    <row r="272" spans="1:34" ht="45" x14ac:dyDescent="0.25">
      <c r="A272" s="1047"/>
      <c r="B272" s="110" t="s">
        <v>3661</v>
      </c>
      <c r="C272" s="110"/>
      <c r="D272" s="433">
        <v>40</v>
      </c>
      <c r="E272" s="207" t="s">
        <v>1767</v>
      </c>
      <c r="F272" s="1178" t="s">
        <v>4353</v>
      </c>
      <c r="G272" s="1056" t="s">
        <v>4306</v>
      </c>
      <c r="H272" s="433" t="s">
        <v>3478</v>
      </c>
      <c r="I272" s="111">
        <v>25.52</v>
      </c>
      <c r="J272" s="111">
        <v>1020.8</v>
      </c>
      <c r="K272" s="110"/>
      <c r="L272" s="110"/>
      <c r="M272" s="110"/>
      <c r="N272" s="110"/>
      <c r="O272" s="110"/>
      <c r="P272" s="110"/>
      <c r="Q272" s="433">
        <v>20</v>
      </c>
      <c r="R272" s="111">
        <v>340.26666666666665</v>
      </c>
      <c r="S272" s="110"/>
      <c r="T272" s="110"/>
      <c r="U272" s="110"/>
      <c r="V272" s="110"/>
      <c r="W272" s="433">
        <v>10</v>
      </c>
      <c r="X272" s="111">
        <v>340.26666666666665</v>
      </c>
      <c r="Y272" s="110"/>
      <c r="Z272" s="110"/>
      <c r="AA272" s="110"/>
      <c r="AB272" s="110"/>
      <c r="AC272" s="433">
        <v>10</v>
      </c>
      <c r="AD272" s="111">
        <v>340.26666666666665</v>
      </c>
      <c r="AE272" s="110"/>
      <c r="AF272" s="110"/>
      <c r="AG272" s="110"/>
      <c r="AH272" s="1048"/>
    </row>
    <row r="273" spans="1:34" ht="45" x14ac:dyDescent="0.25">
      <c r="A273" s="1047"/>
      <c r="B273" s="110" t="s">
        <v>3662</v>
      </c>
      <c r="C273" s="110"/>
      <c r="D273" s="433">
        <v>40</v>
      </c>
      <c r="E273" s="207" t="s">
        <v>1767</v>
      </c>
      <c r="F273" s="1178" t="s">
        <v>4353</v>
      </c>
      <c r="G273" s="1056" t="s">
        <v>4306</v>
      </c>
      <c r="H273" s="433" t="s">
        <v>3478</v>
      </c>
      <c r="I273" s="111">
        <v>25.52</v>
      </c>
      <c r="J273" s="111">
        <v>1020.8</v>
      </c>
      <c r="K273" s="110"/>
      <c r="L273" s="110"/>
      <c r="M273" s="110"/>
      <c r="N273" s="110"/>
      <c r="O273" s="110"/>
      <c r="P273" s="110"/>
      <c r="Q273" s="433">
        <v>20</v>
      </c>
      <c r="R273" s="111">
        <v>340.26666666666665</v>
      </c>
      <c r="S273" s="110"/>
      <c r="T273" s="110"/>
      <c r="U273" s="110"/>
      <c r="V273" s="110"/>
      <c r="W273" s="433">
        <v>10</v>
      </c>
      <c r="X273" s="111">
        <v>340.26666666666665</v>
      </c>
      <c r="Y273" s="110"/>
      <c r="Z273" s="110"/>
      <c r="AA273" s="110"/>
      <c r="AB273" s="110"/>
      <c r="AC273" s="433">
        <v>10</v>
      </c>
      <c r="AD273" s="111">
        <v>340.26666666666665</v>
      </c>
      <c r="AE273" s="110"/>
      <c r="AF273" s="110"/>
      <c r="AG273" s="110"/>
      <c r="AH273" s="1048"/>
    </row>
    <row r="274" spans="1:34" ht="45" x14ac:dyDescent="0.25">
      <c r="A274" s="1047"/>
      <c r="B274" s="110" t="s">
        <v>3663</v>
      </c>
      <c r="C274" s="110"/>
      <c r="D274" s="433">
        <v>40</v>
      </c>
      <c r="E274" s="207" t="s">
        <v>1767</v>
      </c>
      <c r="F274" s="1178" t="s">
        <v>4353</v>
      </c>
      <c r="G274" s="1056" t="s">
        <v>4306</v>
      </c>
      <c r="H274" s="433" t="s">
        <v>3478</v>
      </c>
      <c r="I274" s="111">
        <v>25.52</v>
      </c>
      <c r="J274" s="111">
        <v>1020.8</v>
      </c>
      <c r="K274" s="110"/>
      <c r="L274" s="110"/>
      <c r="M274" s="110"/>
      <c r="N274" s="110"/>
      <c r="O274" s="110"/>
      <c r="P274" s="110"/>
      <c r="Q274" s="433">
        <v>20</v>
      </c>
      <c r="R274" s="111">
        <v>340.26666666666665</v>
      </c>
      <c r="S274" s="110"/>
      <c r="T274" s="110"/>
      <c r="U274" s="110"/>
      <c r="V274" s="110"/>
      <c r="W274" s="433">
        <v>10</v>
      </c>
      <c r="X274" s="111">
        <v>340.26666666666665</v>
      </c>
      <c r="Y274" s="110"/>
      <c r="Z274" s="110"/>
      <c r="AA274" s="110"/>
      <c r="AB274" s="110"/>
      <c r="AC274" s="433">
        <v>10</v>
      </c>
      <c r="AD274" s="111">
        <v>340.26666666666665</v>
      </c>
      <c r="AE274" s="110"/>
      <c r="AF274" s="110"/>
      <c r="AG274" s="110"/>
      <c r="AH274" s="1048"/>
    </row>
    <row r="275" spans="1:34" ht="45" x14ac:dyDescent="0.25">
      <c r="A275" s="1047"/>
      <c r="B275" s="110" t="s">
        <v>3664</v>
      </c>
      <c r="C275" s="110"/>
      <c r="D275" s="433">
        <v>40</v>
      </c>
      <c r="E275" s="207" t="s">
        <v>1767</v>
      </c>
      <c r="F275" s="1178" t="s">
        <v>4353</v>
      </c>
      <c r="G275" s="1056" t="s">
        <v>4306</v>
      </c>
      <c r="H275" s="433" t="s">
        <v>3478</v>
      </c>
      <c r="I275" s="111">
        <v>25.52</v>
      </c>
      <c r="J275" s="111">
        <v>1020.8</v>
      </c>
      <c r="K275" s="110"/>
      <c r="L275" s="110"/>
      <c r="M275" s="110"/>
      <c r="N275" s="110"/>
      <c r="O275" s="110"/>
      <c r="P275" s="110"/>
      <c r="Q275" s="433">
        <v>20</v>
      </c>
      <c r="R275" s="111">
        <v>340.26666666666665</v>
      </c>
      <c r="S275" s="110"/>
      <c r="T275" s="110"/>
      <c r="U275" s="110"/>
      <c r="V275" s="110"/>
      <c r="W275" s="433">
        <v>10</v>
      </c>
      <c r="X275" s="111">
        <v>340.26666666666665</v>
      </c>
      <c r="Y275" s="110"/>
      <c r="Z275" s="110"/>
      <c r="AA275" s="110"/>
      <c r="AB275" s="110"/>
      <c r="AC275" s="433">
        <v>10</v>
      </c>
      <c r="AD275" s="111">
        <v>340.26666666666665</v>
      </c>
      <c r="AE275" s="110"/>
      <c r="AF275" s="110"/>
      <c r="AG275" s="110"/>
      <c r="AH275" s="1048"/>
    </row>
    <row r="276" spans="1:34" ht="45" x14ac:dyDescent="0.25">
      <c r="A276" s="1047"/>
      <c r="B276" s="110" t="s">
        <v>3665</v>
      </c>
      <c r="C276" s="110"/>
      <c r="D276" s="433">
        <v>40</v>
      </c>
      <c r="E276" s="207" t="s">
        <v>1767</v>
      </c>
      <c r="F276" s="1178" t="s">
        <v>4353</v>
      </c>
      <c r="G276" s="1056" t="s">
        <v>4306</v>
      </c>
      <c r="H276" s="433" t="s">
        <v>3478</v>
      </c>
      <c r="I276" s="111">
        <v>25.52</v>
      </c>
      <c r="J276" s="111">
        <v>1020.8</v>
      </c>
      <c r="K276" s="110"/>
      <c r="L276" s="110"/>
      <c r="M276" s="110"/>
      <c r="N276" s="110"/>
      <c r="O276" s="110"/>
      <c r="P276" s="110"/>
      <c r="Q276" s="433">
        <v>20</v>
      </c>
      <c r="R276" s="111">
        <v>340.26666666666665</v>
      </c>
      <c r="S276" s="110"/>
      <c r="T276" s="110"/>
      <c r="U276" s="110"/>
      <c r="V276" s="110"/>
      <c r="W276" s="433">
        <v>10</v>
      </c>
      <c r="X276" s="111">
        <v>340.26666666666665</v>
      </c>
      <c r="Y276" s="110"/>
      <c r="Z276" s="110"/>
      <c r="AA276" s="110"/>
      <c r="AB276" s="110"/>
      <c r="AC276" s="433">
        <v>10</v>
      </c>
      <c r="AD276" s="111">
        <v>340.26666666666665</v>
      </c>
      <c r="AE276" s="110"/>
      <c r="AF276" s="110"/>
      <c r="AG276" s="110"/>
      <c r="AH276" s="1048"/>
    </row>
    <row r="277" spans="1:34" ht="45" x14ac:dyDescent="0.25">
      <c r="A277" s="1047"/>
      <c r="B277" s="110" t="s">
        <v>3666</v>
      </c>
      <c r="C277" s="110"/>
      <c r="D277" s="433">
        <v>40</v>
      </c>
      <c r="E277" s="207" t="s">
        <v>1767</v>
      </c>
      <c r="F277" s="1178" t="s">
        <v>4353</v>
      </c>
      <c r="G277" s="1056" t="s">
        <v>4306</v>
      </c>
      <c r="H277" s="433" t="s">
        <v>3478</v>
      </c>
      <c r="I277" s="111">
        <v>25.52</v>
      </c>
      <c r="J277" s="111">
        <v>1020.8</v>
      </c>
      <c r="K277" s="110"/>
      <c r="L277" s="110"/>
      <c r="M277" s="110"/>
      <c r="N277" s="110"/>
      <c r="O277" s="110"/>
      <c r="P277" s="110"/>
      <c r="Q277" s="433">
        <v>20</v>
      </c>
      <c r="R277" s="111">
        <v>340.26666666666665</v>
      </c>
      <c r="S277" s="110"/>
      <c r="T277" s="110"/>
      <c r="U277" s="110"/>
      <c r="V277" s="110"/>
      <c r="W277" s="433">
        <v>10</v>
      </c>
      <c r="X277" s="111">
        <v>340.26666666666665</v>
      </c>
      <c r="Y277" s="110"/>
      <c r="Z277" s="110"/>
      <c r="AA277" s="110"/>
      <c r="AB277" s="110"/>
      <c r="AC277" s="433">
        <v>10</v>
      </c>
      <c r="AD277" s="111">
        <v>340.26666666666665</v>
      </c>
      <c r="AE277" s="110"/>
      <c r="AF277" s="110"/>
      <c r="AG277" s="110"/>
      <c r="AH277" s="1048"/>
    </row>
    <row r="278" spans="1:34" ht="45" x14ac:dyDescent="0.25">
      <c r="A278" s="1047"/>
      <c r="B278" s="110" t="s">
        <v>3667</v>
      </c>
      <c r="C278" s="110"/>
      <c r="D278" s="433">
        <v>40</v>
      </c>
      <c r="E278" s="207" t="s">
        <v>1767</v>
      </c>
      <c r="F278" s="1178" t="s">
        <v>4353</v>
      </c>
      <c r="G278" s="1056" t="s">
        <v>4306</v>
      </c>
      <c r="H278" s="433" t="s">
        <v>3478</v>
      </c>
      <c r="I278" s="111">
        <v>25.52</v>
      </c>
      <c r="J278" s="111">
        <v>1020.8</v>
      </c>
      <c r="K278" s="110"/>
      <c r="L278" s="110"/>
      <c r="M278" s="110"/>
      <c r="N278" s="110"/>
      <c r="O278" s="110"/>
      <c r="P278" s="110"/>
      <c r="Q278" s="433">
        <v>20</v>
      </c>
      <c r="R278" s="111">
        <v>340.26666666666665</v>
      </c>
      <c r="S278" s="110"/>
      <c r="T278" s="110"/>
      <c r="U278" s="110"/>
      <c r="V278" s="110"/>
      <c r="W278" s="433">
        <v>10</v>
      </c>
      <c r="X278" s="111">
        <v>340.26666666666665</v>
      </c>
      <c r="Y278" s="110"/>
      <c r="Z278" s="110"/>
      <c r="AA278" s="110"/>
      <c r="AB278" s="110"/>
      <c r="AC278" s="433">
        <v>10</v>
      </c>
      <c r="AD278" s="111">
        <v>340.26666666666665</v>
      </c>
      <c r="AE278" s="110"/>
      <c r="AF278" s="110"/>
      <c r="AG278" s="110"/>
      <c r="AH278" s="1048"/>
    </row>
    <row r="279" spans="1:34" ht="45" x14ac:dyDescent="0.25">
      <c r="A279" s="1047"/>
      <c r="B279" s="110" t="s">
        <v>3668</v>
      </c>
      <c r="C279" s="110"/>
      <c r="D279" s="433">
        <v>20</v>
      </c>
      <c r="E279" s="207" t="s">
        <v>1767</v>
      </c>
      <c r="F279" s="1178" t="s">
        <v>4353</v>
      </c>
      <c r="G279" s="1056" t="s">
        <v>4306</v>
      </c>
      <c r="H279" s="433" t="s">
        <v>3478</v>
      </c>
      <c r="I279" s="111">
        <v>22.271999999999998</v>
      </c>
      <c r="J279" s="111">
        <v>445.43999999999994</v>
      </c>
      <c r="K279" s="110"/>
      <c r="L279" s="110"/>
      <c r="M279" s="110"/>
      <c r="N279" s="110"/>
      <c r="O279" s="110"/>
      <c r="P279" s="110"/>
      <c r="Q279" s="433">
        <v>10</v>
      </c>
      <c r="R279" s="111">
        <v>148.47999999999999</v>
      </c>
      <c r="S279" s="110"/>
      <c r="T279" s="110"/>
      <c r="U279" s="110"/>
      <c r="V279" s="110"/>
      <c r="W279" s="433">
        <v>5</v>
      </c>
      <c r="X279" s="111">
        <v>148.47999999999999</v>
      </c>
      <c r="Y279" s="110"/>
      <c r="Z279" s="110"/>
      <c r="AA279" s="110"/>
      <c r="AB279" s="110"/>
      <c r="AC279" s="433">
        <v>5</v>
      </c>
      <c r="AD279" s="111">
        <v>148.47999999999999</v>
      </c>
      <c r="AE279" s="110"/>
      <c r="AF279" s="110"/>
      <c r="AG279" s="110"/>
      <c r="AH279" s="1048"/>
    </row>
    <row r="280" spans="1:34" ht="45" x14ac:dyDescent="0.25">
      <c r="A280" s="1047"/>
      <c r="B280" s="110" t="s">
        <v>3669</v>
      </c>
      <c r="C280" s="110"/>
      <c r="D280" s="433">
        <v>28</v>
      </c>
      <c r="E280" s="207" t="s">
        <v>1767</v>
      </c>
      <c r="F280" s="1178" t="s">
        <v>4353</v>
      </c>
      <c r="G280" s="1056" t="s">
        <v>4306</v>
      </c>
      <c r="H280" s="433" t="s">
        <v>3478</v>
      </c>
      <c r="I280" s="111">
        <v>22.271999999999998</v>
      </c>
      <c r="J280" s="111">
        <v>623.61599999999999</v>
      </c>
      <c r="K280" s="110"/>
      <c r="L280" s="110"/>
      <c r="M280" s="110"/>
      <c r="N280" s="110"/>
      <c r="O280" s="110"/>
      <c r="P280" s="110"/>
      <c r="Q280" s="433">
        <v>14</v>
      </c>
      <c r="R280" s="111">
        <v>207.87199999999999</v>
      </c>
      <c r="S280" s="110"/>
      <c r="T280" s="110"/>
      <c r="U280" s="110"/>
      <c r="V280" s="110"/>
      <c r="W280" s="433">
        <v>7</v>
      </c>
      <c r="X280" s="111">
        <v>207.87199999999999</v>
      </c>
      <c r="Y280" s="110"/>
      <c r="Z280" s="110"/>
      <c r="AA280" s="110"/>
      <c r="AB280" s="110"/>
      <c r="AC280" s="433">
        <v>7</v>
      </c>
      <c r="AD280" s="111">
        <v>207.87199999999999</v>
      </c>
      <c r="AE280" s="110"/>
      <c r="AF280" s="110"/>
      <c r="AG280" s="110"/>
      <c r="AH280" s="1048"/>
    </row>
    <row r="281" spans="1:34" ht="45" x14ac:dyDescent="0.25">
      <c r="A281" s="1047"/>
      <c r="B281" s="110" t="s">
        <v>3670</v>
      </c>
      <c r="C281" s="110"/>
      <c r="D281" s="433">
        <v>28</v>
      </c>
      <c r="E281" s="207" t="s">
        <v>1767</v>
      </c>
      <c r="F281" s="1178" t="s">
        <v>4353</v>
      </c>
      <c r="G281" s="1056" t="s">
        <v>4306</v>
      </c>
      <c r="H281" s="433" t="s">
        <v>3478</v>
      </c>
      <c r="I281" s="111">
        <v>22.271999999999998</v>
      </c>
      <c r="J281" s="111">
        <v>623.61599999999999</v>
      </c>
      <c r="K281" s="110"/>
      <c r="L281" s="110"/>
      <c r="M281" s="110"/>
      <c r="N281" s="110"/>
      <c r="O281" s="110"/>
      <c r="P281" s="110"/>
      <c r="Q281" s="433">
        <v>14</v>
      </c>
      <c r="R281" s="111">
        <v>207.87199999999999</v>
      </c>
      <c r="S281" s="110"/>
      <c r="T281" s="110"/>
      <c r="U281" s="110"/>
      <c r="V281" s="110"/>
      <c r="W281" s="433">
        <v>7</v>
      </c>
      <c r="X281" s="111">
        <v>207.87199999999999</v>
      </c>
      <c r="Y281" s="110"/>
      <c r="Z281" s="110"/>
      <c r="AA281" s="110"/>
      <c r="AB281" s="110"/>
      <c r="AC281" s="433">
        <v>7</v>
      </c>
      <c r="AD281" s="111">
        <v>207.87199999999999</v>
      </c>
      <c r="AE281" s="110"/>
      <c r="AF281" s="110"/>
      <c r="AG281" s="110"/>
      <c r="AH281" s="1048"/>
    </row>
    <row r="282" spans="1:34" ht="45" x14ac:dyDescent="0.25">
      <c r="A282" s="1047"/>
      <c r="B282" s="110" t="s">
        <v>3671</v>
      </c>
      <c r="C282" s="110"/>
      <c r="D282" s="433">
        <v>27</v>
      </c>
      <c r="E282" s="207" t="s">
        <v>1767</v>
      </c>
      <c r="F282" s="1178" t="s">
        <v>4353</v>
      </c>
      <c r="G282" s="1056" t="s">
        <v>4306</v>
      </c>
      <c r="H282" s="433" t="s">
        <v>3478</v>
      </c>
      <c r="I282" s="111">
        <v>22.271999999999998</v>
      </c>
      <c r="J282" s="111">
        <v>601.34399999999994</v>
      </c>
      <c r="K282" s="110"/>
      <c r="L282" s="110"/>
      <c r="M282" s="110"/>
      <c r="N282" s="110"/>
      <c r="O282" s="110"/>
      <c r="P282" s="110"/>
      <c r="Q282" s="433">
        <v>14</v>
      </c>
      <c r="R282" s="111">
        <v>200.44799999999998</v>
      </c>
      <c r="S282" s="110"/>
      <c r="T282" s="110"/>
      <c r="U282" s="110"/>
      <c r="V282" s="110"/>
      <c r="W282" s="433">
        <v>8</v>
      </c>
      <c r="X282" s="111">
        <v>200.44799999999998</v>
      </c>
      <c r="Y282" s="110"/>
      <c r="Z282" s="110"/>
      <c r="AA282" s="110"/>
      <c r="AB282" s="110"/>
      <c r="AC282" s="433">
        <v>5</v>
      </c>
      <c r="AD282" s="111">
        <v>200.44799999999998</v>
      </c>
      <c r="AE282" s="110"/>
      <c r="AF282" s="110"/>
      <c r="AG282" s="110"/>
      <c r="AH282" s="1048"/>
    </row>
    <row r="283" spans="1:34" ht="45" x14ac:dyDescent="0.25">
      <c r="A283" s="1047"/>
      <c r="B283" s="110" t="s">
        <v>3672</v>
      </c>
      <c r="C283" s="110"/>
      <c r="D283" s="433">
        <v>27</v>
      </c>
      <c r="E283" s="207" t="s">
        <v>1767</v>
      </c>
      <c r="F283" s="1178" t="s">
        <v>4353</v>
      </c>
      <c r="G283" s="1056" t="s">
        <v>4306</v>
      </c>
      <c r="H283" s="433" t="s">
        <v>3478</v>
      </c>
      <c r="I283" s="111">
        <v>22.271999999999998</v>
      </c>
      <c r="J283" s="111">
        <v>601.34399999999994</v>
      </c>
      <c r="K283" s="110"/>
      <c r="L283" s="110"/>
      <c r="M283" s="110"/>
      <c r="N283" s="110"/>
      <c r="O283" s="110"/>
      <c r="P283" s="110"/>
      <c r="Q283" s="433">
        <v>14</v>
      </c>
      <c r="R283" s="111">
        <v>200.44799999999998</v>
      </c>
      <c r="S283" s="110"/>
      <c r="T283" s="110"/>
      <c r="U283" s="110"/>
      <c r="V283" s="110"/>
      <c r="W283" s="433">
        <v>8</v>
      </c>
      <c r="X283" s="111">
        <v>200.44799999999998</v>
      </c>
      <c r="Y283" s="110"/>
      <c r="Z283" s="110"/>
      <c r="AA283" s="110"/>
      <c r="AB283" s="110"/>
      <c r="AC283" s="433">
        <v>5</v>
      </c>
      <c r="AD283" s="111">
        <v>200.44799999999998</v>
      </c>
      <c r="AE283" s="110"/>
      <c r="AF283" s="110"/>
      <c r="AG283" s="110"/>
      <c r="AH283" s="1048"/>
    </row>
    <row r="284" spans="1:34" ht="45" x14ac:dyDescent="0.25">
      <c r="A284" s="1047"/>
      <c r="B284" s="110" t="s">
        <v>3673</v>
      </c>
      <c r="C284" s="110"/>
      <c r="D284" s="433">
        <v>27</v>
      </c>
      <c r="E284" s="207" t="s">
        <v>1767</v>
      </c>
      <c r="F284" s="1178" t="s">
        <v>4353</v>
      </c>
      <c r="G284" s="1056" t="s">
        <v>4306</v>
      </c>
      <c r="H284" s="433" t="s">
        <v>3478</v>
      </c>
      <c r="I284" s="111">
        <v>22.271999999999998</v>
      </c>
      <c r="J284" s="111">
        <v>601.34399999999994</v>
      </c>
      <c r="K284" s="110"/>
      <c r="L284" s="110"/>
      <c r="M284" s="110"/>
      <c r="N284" s="110"/>
      <c r="O284" s="110"/>
      <c r="P284" s="110"/>
      <c r="Q284" s="433">
        <v>14</v>
      </c>
      <c r="R284" s="111">
        <v>200.44799999999998</v>
      </c>
      <c r="S284" s="110"/>
      <c r="T284" s="110"/>
      <c r="U284" s="110"/>
      <c r="V284" s="110"/>
      <c r="W284" s="433">
        <v>8</v>
      </c>
      <c r="X284" s="111">
        <v>200.44799999999998</v>
      </c>
      <c r="Y284" s="110"/>
      <c r="Z284" s="110"/>
      <c r="AA284" s="110"/>
      <c r="AB284" s="110"/>
      <c r="AC284" s="433">
        <v>5</v>
      </c>
      <c r="AD284" s="111">
        <v>200.44799999999998</v>
      </c>
      <c r="AE284" s="110"/>
      <c r="AF284" s="110"/>
      <c r="AG284" s="110"/>
      <c r="AH284" s="1048"/>
    </row>
    <row r="285" spans="1:34" ht="45" x14ac:dyDescent="0.25">
      <c r="A285" s="1047"/>
      <c r="B285" s="110" t="s">
        <v>3674</v>
      </c>
      <c r="C285" s="110"/>
      <c r="D285" s="433">
        <v>27</v>
      </c>
      <c r="E285" s="207" t="s">
        <v>1767</v>
      </c>
      <c r="F285" s="1178" t="s">
        <v>4353</v>
      </c>
      <c r="G285" s="1056" t="s">
        <v>4306</v>
      </c>
      <c r="H285" s="433" t="s">
        <v>3478</v>
      </c>
      <c r="I285" s="111">
        <v>22.271999999999998</v>
      </c>
      <c r="J285" s="111">
        <v>601.34399999999994</v>
      </c>
      <c r="K285" s="110"/>
      <c r="L285" s="110"/>
      <c r="M285" s="110"/>
      <c r="N285" s="110"/>
      <c r="O285" s="110"/>
      <c r="P285" s="110"/>
      <c r="Q285" s="433">
        <v>14</v>
      </c>
      <c r="R285" s="111">
        <v>200.44799999999998</v>
      </c>
      <c r="S285" s="110"/>
      <c r="T285" s="110"/>
      <c r="U285" s="110"/>
      <c r="V285" s="110"/>
      <c r="W285" s="433">
        <v>8</v>
      </c>
      <c r="X285" s="111">
        <v>200.44799999999998</v>
      </c>
      <c r="Y285" s="110"/>
      <c r="Z285" s="110"/>
      <c r="AA285" s="110"/>
      <c r="AB285" s="110"/>
      <c r="AC285" s="433">
        <v>5</v>
      </c>
      <c r="AD285" s="111">
        <v>200.44799999999998</v>
      </c>
      <c r="AE285" s="110"/>
      <c r="AF285" s="110"/>
      <c r="AG285" s="110"/>
      <c r="AH285" s="1048"/>
    </row>
    <row r="286" spans="1:34" ht="45" x14ac:dyDescent="0.25">
      <c r="A286" s="1047"/>
      <c r="B286" s="110" t="s">
        <v>3675</v>
      </c>
      <c r="C286" s="110"/>
      <c r="D286" s="433">
        <v>27</v>
      </c>
      <c r="E286" s="207" t="s">
        <v>1767</v>
      </c>
      <c r="F286" s="1178" t="s">
        <v>4353</v>
      </c>
      <c r="G286" s="1056" t="s">
        <v>4306</v>
      </c>
      <c r="H286" s="433" t="s">
        <v>3478</v>
      </c>
      <c r="I286" s="111">
        <v>22.271999999999998</v>
      </c>
      <c r="J286" s="111">
        <v>601.34399999999994</v>
      </c>
      <c r="K286" s="110"/>
      <c r="L286" s="110"/>
      <c r="M286" s="110"/>
      <c r="N286" s="110"/>
      <c r="O286" s="110"/>
      <c r="P286" s="110"/>
      <c r="Q286" s="433">
        <v>14</v>
      </c>
      <c r="R286" s="111">
        <v>200.44799999999998</v>
      </c>
      <c r="S286" s="110"/>
      <c r="T286" s="110"/>
      <c r="U286" s="110"/>
      <c r="V286" s="110"/>
      <c r="W286" s="433">
        <v>8</v>
      </c>
      <c r="X286" s="111">
        <v>200.44799999999998</v>
      </c>
      <c r="Y286" s="110"/>
      <c r="Z286" s="110"/>
      <c r="AA286" s="110"/>
      <c r="AB286" s="110"/>
      <c r="AC286" s="433">
        <v>5</v>
      </c>
      <c r="AD286" s="111">
        <v>200.44799999999998</v>
      </c>
      <c r="AE286" s="110"/>
      <c r="AF286" s="110"/>
      <c r="AG286" s="110"/>
      <c r="AH286" s="1048"/>
    </row>
    <row r="287" spans="1:34" ht="45" x14ac:dyDescent="0.25">
      <c r="A287" s="1047"/>
      <c r="B287" s="110" t="s">
        <v>3676</v>
      </c>
      <c r="C287" s="110"/>
      <c r="D287" s="433">
        <v>27</v>
      </c>
      <c r="E287" s="207" t="s">
        <v>1767</v>
      </c>
      <c r="F287" s="1178" t="s">
        <v>4353</v>
      </c>
      <c r="G287" s="1056" t="s">
        <v>4306</v>
      </c>
      <c r="H287" s="433" t="s">
        <v>3478</v>
      </c>
      <c r="I287" s="111">
        <v>22.271999999999998</v>
      </c>
      <c r="J287" s="111">
        <v>601.34399999999994</v>
      </c>
      <c r="K287" s="110"/>
      <c r="L287" s="110"/>
      <c r="M287" s="110"/>
      <c r="N287" s="110"/>
      <c r="O287" s="110"/>
      <c r="P287" s="110"/>
      <c r="Q287" s="433">
        <v>14</v>
      </c>
      <c r="R287" s="111">
        <v>200.44799999999998</v>
      </c>
      <c r="S287" s="110"/>
      <c r="T287" s="110"/>
      <c r="U287" s="110"/>
      <c r="V287" s="110"/>
      <c r="W287" s="433">
        <v>8</v>
      </c>
      <c r="X287" s="111">
        <v>200.44799999999998</v>
      </c>
      <c r="Y287" s="110"/>
      <c r="Z287" s="110"/>
      <c r="AA287" s="110"/>
      <c r="AB287" s="110"/>
      <c r="AC287" s="433">
        <v>5</v>
      </c>
      <c r="AD287" s="111">
        <v>200.44799999999998</v>
      </c>
      <c r="AE287" s="110"/>
      <c r="AF287" s="110"/>
      <c r="AG287" s="110"/>
      <c r="AH287" s="1048"/>
    </row>
    <row r="288" spans="1:34" ht="45" x14ac:dyDescent="0.25">
      <c r="A288" s="1047"/>
      <c r="B288" s="110" t="s">
        <v>3677</v>
      </c>
      <c r="C288" s="110"/>
      <c r="D288" s="433">
        <v>27</v>
      </c>
      <c r="E288" s="207" t="s">
        <v>1767</v>
      </c>
      <c r="F288" s="1178" t="s">
        <v>4353</v>
      </c>
      <c r="G288" s="1056" t="s">
        <v>4306</v>
      </c>
      <c r="H288" s="433" t="s">
        <v>3478</v>
      </c>
      <c r="I288" s="111">
        <v>22.271999999999998</v>
      </c>
      <c r="J288" s="111">
        <v>601.34399999999994</v>
      </c>
      <c r="K288" s="110"/>
      <c r="L288" s="110"/>
      <c r="M288" s="110"/>
      <c r="N288" s="110"/>
      <c r="O288" s="110"/>
      <c r="P288" s="110"/>
      <c r="Q288" s="433">
        <v>14</v>
      </c>
      <c r="R288" s="111">
        <v>200.44799999999998</v>
      </c>
      <c r="S288" s="110"/>
      <c r="T288" s="110"/>
      <c r="U288" s="110"/>
      <c r="V288" s="110"/>
      <c r="W288" s="433">
        <v>8</v>
      </c>
      <c r="X288" s="111">
        <v>200.44799999999998</v>
      </c>
      <c r="Y288" s="110"/>
      <c r="Z288" s="110"/>
      <c r="AA288" s="110"/>
      <c r="AB288" s="110"/>
      <c r="AC288" s="433">
        <v>5</v>
      </c>
      <c r="AD288" s="111">
        <v>200.44799999999998</v>
      </c>
      <c r="AE288" s="110"/>
      <c r="AF288" s="110"/>
      <c r="AG288" s="110"/>
      <c r="AH288" s="1048"/>
    </row>
    <row r="289" spans="1:34" ht="45" x14ac:dyDescent="0.25">
      <c r="A289" s="1047"/>
      <c r="B289" s="110" t="s">
        <v>3678</v>
      </c>
      <c r="C289" s="110"/>
      <c r="D289" s="433">
        <v>27</v>
      </c>
      <c r="E289" s="207" t="s">
        <v>1767</v>
      </c>
      <c r="F289" s="1178" t="s">
        <v>4353</v>
      </c>
      <c r="G289" s="1056" t="s">
        <v>4306</v>
      </c>
      <c r="H289" s="433" t="s">
        <v>3478</v>
      </c>
      <c r="I289" s="111">
        <v>22.271999999999998</v>
      </c>
      <c r="J289" s="111">
        <v>601.34399999999994</v>
      </c>
      <c r="K289" s="110"/>
      <c r="L289" s="110"/>
      <c r="M289" s="110"/>
      <c r="N289" s="110"/>
      <c r="O289" s="110"/>
      <c r="P289" s="110"/>
      <c r="Q289" s="433">
        <v>14</v>
      </c>
      <c r="R289" s="111">
        <v>200.44799999999998</v>
      </c>
      <c r="S289" s="110"/>
      <c r="T289" s="110"/>
      <c r="U289" s="110"/>
      <c r="V289" s="110"/>
      <c r="W289" s="433">
        <v>8</v>
      </c>
      <c r="X289" s="111">
        <v>200.44799999999998</v>
      </c>
      <c r="Y289" s="110"/>
      <c r="Z289" s="110"/>
      <c r="AA289" s="110"/>
      <c r="AB289" s="110"/>
      <c r="AC289" s="433">
        <v>5</v>
      </c>
      <c r="AD289" s="111">
        <v>200.44799999999998</v>
      </c>
      <c r="AE289" s="110"/>
      <c r="AF289" s="110"/>
      <c r="AG289" s="110"/>
      <c r="AH289" s="1048"/>
    </row>
    <row r="290" spans="1:34" ht="45" x14ac:dyDescent="0.25">
      <c r="A290" s="1047"/>
      <c r="B290" s="110" t="s">
        <v>3679</v>
      </c>
      <c r="C290" s="110"/>
      <c r="D290" s="433">
        <v>38</v>
      </c>
      <c r="E290" s="207" t="s">
        <v>1767</v>
      </c>
      <c r="F290" s="1178" t="s">
        <v>4353</v>
      </c>
      <c r="G290" s="1056" t="s">
        <v>4306</v>
      </c>
      <c r="H290" s="433" t="s">
        <v>3478</v>
      </c>
      <c r="I290" s="111">
        <v>25.52</v>
      </c>
      <c r="J290" s="111">
        <v>969.76</v>
      </c>
      <c r="K290" s="110"/>
      <c r="L290" s="110"/>
      <c r="M290" s="110"/>
      <c r="N290" s="110"/>
      <c r="O290" s="110"/>
      <c r="P290" s="110"/>
      <c r="Q290" s="433">
        <v>22</v>
      </c>
      <c r="R290" s="111">
        <v>323.25333333333333</v>
      </c>
      <c r="S290" s="110"/>
      <c r="T290" s="110"/>
      <c r="U290" s="110"/>
      <c r="V290" s="110"/>
      <c r="W290" s="433">
        <v>8</v>
      </c>
      <c r="X290" s="111">
        <v>323.25333333333333</v>
      </c>
      <c r="Y290" s="110"/>
      <c r="Z290" s="110"/>
      <c r="AA290" s="110"/>
      <c r="AB290" s="110"/>
      <c r="AC290" s="433">
        <v>8</v>
      </c>
      <c r="AD290" s="111">
        <v>323.25333333333333</v>
      </c>
      <c r="AE290" s="110"/>
      <c r="AF290" s="110"/>
      <c r="AG290" s="110"/>
      <c r="AH290" s="1048"/>
    </row>
    <row r="291" spans="1:34" ht="45" x14ac:dyDescent="0.25">
      <c r="A291" s="1047"/>
      <c r="B291" s="110" t="s">
        <v>3680</v>
      </c>
      <c r="C291" s="110"/>
      <c r="D291" s="433">
        <v>38</v>
      </c>
      <c r="E291" s="207" t="s">
        <v>1767</v>
      </c>
      <c r="F291" s="1178" t="s">
        <v>4353</v>
      </c>
      <c r="G291" s="1056" t="s">
        <v>4306</v>
      </c>
      <c r="H291" s="433" t="s">
        <v>3478</v>
      </c>
      <c r="I291" s="111">
        <v>25.52</v>
      </c>
      <c r="J291" s="111">
        <v>969.76</v>
      </c>
      <c r="K291" s="110"/>
      <c r="L291" s="110"/>
      <c r="M291" s="110"/>
      <c r="N291" s="110"/>
      <c r="O291" s="110"/>
      <c r="P291" s="110"/>
      <c r="Q291" s="433">
        <v>22</v>
      </c>
      <c r="R291" s="111">
        <v>323.25333333333333</v>
      </c>
      <c r="S291" s="110"/>
      <c r="T291" s="110"/>
      <c r="U291" s="110"/>
      <c r="V291" s="110"/>
      <c r="W291" s="433">
        <v>8</v>
      </c>
      <c r="X291" s="111">
        <v>323.25333333333333</v>
      </c>
      <c r="Y291" s="110"/>
      <c r="Z291" s="110"/>
      <c r="AA291" s="110"/>
      <c r="AB291" s="110"/>
      <c r="AC291" s="433">
        <v>8</v>
      </c>
      <c r="AD291" s="111">
        <v>323.25333333333333</v>
      </c>
      <c r="AE291" s="110"/>
      <c r="AF291" s="110"/>
      <c r="AG291" s="110"/>
      <c r="AH291" s="1048"/>
    </row>
    <row r="292" spans="1:34" ht="45" x14ac:dyDescent="0.25">
      <c r="A292" s="1047"/>
      <c r="B292" s="110" t="s">
        <v>3681</v>
      </c>
      <c r="C292" s="110"/>
      <c r="D292" s="433">
        <v>38</v>
      </c>
      <c r="E292" s="207" t="s">
        <v>1767</v>
      </c>
      <c r="F292" s="1178" t="s">
        <v>4353</v>
      </c>
      <c r="G292" s="1056" t="s">
        <v>4306</v>
      </c>
      <c r="H292" s="433" t="s">
        <v>3478</v>
      </c>
      <c r="I292" s="111">
        <v>25.52</v>
      </c>
      <c r="J292" s="111">
        <v>969.76</v>
      </c>
      <c r="K292" s="110"/>
      <c r="L292" s="110"/>
      <c r="M292" s="110"/>
      <c r="N292" s="110"/>
      <c r="O292" s="110"/>
      <c r="P292" s="110"/>
      <c r="Q292" s="433">
        <v>22</v>
      </c>
      <c r="R292" s="111">
        <v>323.25333333333333</v>
      </c>
      <c r="S292" s="110"/>
      <c r="T292" s="110"/>
      <c r="U292" s="110"/>
      <c r="V292" s="110"/>
      <c r="W292" s="433">
        <v>8</v>
      </c>
      <c r="X292" s="111">
        <v>323.25333333333333</v>
      </c>
      <c r="Y292" s="110"/>
      <c r="Z292" s="110"/>
      <c r="AA292" s="110"/>
      <c r="AB292" s="110"/>
      <c r="AC292" s="433">
        <v>8</v>
      </c>
      <c r="AD292" s="111">
        <v>323.25333333333333</v>
      </c>
      <c r="AE292" s="110"/>
      <c r="AF292" s="110"/>
      <c r="AG292" s="110"/>
      <c r="AH292" s="1048"/>
    </row>
    <row r="293" spans="1:34" ht="45" x14ac:dyDescent="0.25">
      <c r="A293" s="1047"/>
      <c r="B293" s="110" t="s">
        <v>3679</v>
      </c>
      <c r="C293" s="110"/>
      <c r="D293" s="433">
        <v>38</v>
      </c>
      <c r="E293" s="207" t="s">
        <v>1767</v>
      </c>
      <c r="F293" s="1178" t="s">
        <v>4353</v>
      </c>
      <c r="G293" s="1056" t="s">
        <v>4306</v>
      </c>
      <c r="H293" s="433" t="s">
        <v>3478</v>
      </c>
      <c r="I293" s="111">
        <v>25.52</v>
      </c>
      <c r="J293" s="111">
        <v>969.76</v>
      </c>
      <c r="K293" s="110"/>
      <c r="L293" s="110"/>
      <c r="M293" s="110"/>
      <c r="N293" s="110"/>
      <c r="O293" s="110"/>
      <c r="P293" s="110"/>
      <c r="Q293" s="433">
        <v>22</v>
      </c>
      <c r="R293" s="111">
        <v>323.25333333333333</v>
      </c>
      <c r="S293" s="110"/>
      <c r="T293" s="110"/>
      <c r="U293" s="110"/>
      <c r="V293" s="110"/>
      <c r="W293" s="433">
        <v>8</v>
      </c>
      <c r="X293" s="111">
        <v>323.25333333333333</v>
      </c>
      <c r="Y293" s="110"/>
      <c r="Z293" s="110"/>
      <c r="AA293" s="110"/>
      <c r="AB293" s="110"/>
      <c r="AC293" s="433">
        <v>8</v>
      </c>
      <c r="AD293" s="111">
        <v>323.25333333333333</v>
      </c>
      <c r="AE293" s="110"/>
      <c r="AF293" s="110"/>
      <c r="AG293" s="110"/>
      <c r="AH293" s="1048"/>
    </row>
    <row r="294" spans="1:34" ht="45" x14ac:dyDescent="0.25">
      <c r="A294" s="1047"/>
      <c r="B294" s="110" t="s">
        <v>3682</v>
      </c>
      <c r="C294" s="110"/>
      <c r="D294" s="433">
        <v>37</v>
      </c>
      <c r="E294" s="207" t="s">
        <v>1767</v>
      </c>
      <c r="F294" s="1178" t="s">
        <v>4353</v>
      </c>
      <c r="G294" s="1056" t="s">
        <v>4306</v>
      </c>
      <c r="H294" s="433" t="s">
        <v>3478</v>
      </c>
      <c r="I294" s="111">
        <v>25.52</v>
      </c>
      <c r="J294" s="111">
        <v>944.24</v>
      </c>
      <c r="K294" s="110"/>
      <c r="L294" s="110"/>
      <c r="M294" s="110"/>
      <c r="N294" s="110"/>
      <c r="O294" s="110"/>
      <c r="P294" s="110"/>
      <c r="Q294" s="433">
        <v>21</v>
      </c>
      <c r="R294" s="111">
        <v>314.74666666666667</v>
      </c>
      <c r="S294" s="110"/>
      <c r="T294" s="110"/>
      <c r="U294" s="110"/>
      <c r="V294" s="110"/>
      <c r="W294" s="433">
        <v>9</v>
      </c>
      <c r="X294" s="111">
        <v>314.74666666666667</v>
      </c>
      <c r="Y294" s="110"/>
      <c r="Z294" s="110"/>
      <c r="AA294" s="110"/>
      <c r="AB294" s="110"/>
      <c r="AC294" s="433">
        <v>7</v>
      </c>
      <c r="AD294" s="111">
        <v>314.74666666666667</v>
      </c>
      <c r="AE294" s="110"/>
      <c r="AF294" s="110"/>
      <c r="AG294" s="110"/>
      <c r="AH294" s="1048"/>
    </row>
    <row r="295" spans="1:34" ht="45" x14ac:dyDescent="0.25">
      <c r="A295" s="1047"/>
      <c r="B295" s="110" t="s">
        <v>3683</v>
      </c>
      <c r="C295" s="110"/>
      <c r="D295" s="433">
        <v>37</v>
      </c>
      <c r="E295" s="207" t="s">
        <v>1767</v>
      </c>
      <c r="F295" s="1178" t="s">
        <v>4353</v>
      </c>
      <c r="G295" s="1056" t="s">
        <v>4306</v>
      </c>
      <c r="H295" s="433" t="s">
        <v>3478</v>
      </c>
      <c r="I295" s="111">
        <v>25.52</v>
      </c>
      <c r="J295" s="111">
        <v>944.24</v>
      </c>
      <c r="K295" s="110"/>
      <c r="L295" s="110"/>
      <c r="M295" s="110"/>
      <c r="N295" s="110"/>
      <c r="O295" s="110"/>
      <c r="P295" s="110"/>
      <c r="Q295" s="433">
        <v>21</v>
      </c>
      <c r="R295" s="111">
        <v>314.74666666666667</v>
      </c>
      <c r="S295" s="110"/>
      <c r="T295" s="110"/>
      <c r="U295" s="110"/>
      <c r="V295" s="110"/>
      <c r="W295" s="433">
        <v>9</v>
      </c>
      <c r="X295" s="111">
        <v>314.74666666666667</v>
      </c>
      <c r="Y295" s="110"/>
      <c r="Z295" s="110"/>
      <c r="AA295" s="110"/>
      <c r="AB295" s="110"/>
      <c r="AC295" s="433">
        <v>7</v>
      </c>
      <c r="AD295" s="111">
        <v>314.74666666666667</v>
      </c>
      <c r="AE295" s="110"/>
      <c r="AF295" s="110"/>
      <c r="AG295" s="110"/>
      <c r="AH295" s="1048"/>
    </row>
    <row r="296" spans="1:34" ht="45" x14ac:dyDescent="0.25">
      <c r="A296" s="1047"/>
      <c r="B296" s="110" t="s">
        <v>3684</v>
      </c>
      <c r="C296" s="110"/>
      <c r="D296" s="433">
        <v>37</v>
      </c>
      <c r="E296" s="207" t="s">
        <v>1767</v>
      </c>
      <c r="F296" s="1178" t="s">
        <v>4353</v>
      </c>
      <c r="G296" s="1056" t="s">
        <v>4306</v>
      </c>
      <c r="H296" s="433" t="s">
        <v>3478</v>
      </c>
      <c r="I296" s="111">
        <v>25.52</v>
      </c>
      <c r="J296" s="111">
        <v>944.24</v>
      </c>
      <c r="K296" s="110"/>
      <c r="L296" s="110"/>
      <c r="M296" s="110"/>
      <c r="N296" s="110"/>
      <c r="O296" s="110"/>
      <c r="P296" s="110"/>
      <c r="Q296" s="433">
        <v>21</v>
      </c>
      <c r="R296" s="111">
        <v>314.74666666666667</v>
      </c>
      <c r="S296" s="110"/>
      <c r="T296" s="110"/>
      <c r="U296" s="110"/>
      <c r="V296" s="110"/>
      <c r="W296" s="433">
        <v>9</v>
      </c>
      <c r="X296" s="111">
        <v>314.74666666666667</v>
      </c>
      <c r="Y296" s="110"/>
      <c r="Z296" s="110"/>
      <c r="AA296" s="110"/>
      <c r="AB296" s="110"/>
      <c r="AC296" s="433">
        <v>7</v>
      </c>
      <c r="AD296" s="111">
        <v>314.74666666666667</v>
      </c>
      <c r="AE296" s="110"/>
      <c r="AF296" s="110"/>
      <c r="AG296" s="110"/>
      <c r="AH296" s="1048"/>
    </row>
    <row r="297" spans="1:34" ht="45" x14ac:dyDescent="0.25">
      <c r="A297" s="1047"/>
      <c r="B297" s="110" t="s">
        <v>3685</v>
      </c>
      <c r="C297" s="110"/>
      <c r="D297" s="433">
        <v>37</v>
      </c>
      <c r="E297" s="207" t="s">
        <v>1767</v>
      </c>
      <c r="F297" s="1178" t="s">
        <v>4353</v>
      </c>
      <c r="G297" s="1056" t="s">
        <v>4306</v>
      </c>
      <c r="H297" s="433" t="s">
        <v>3478</v>
      </c>
      <c r="I297" s="111">
        <v>25.52</v>
      </c>
      <c r="J297" s="111">
        <v>944.24</v>
      </c>
      <c r="K297" s="110"/>
      <c r="L297" s="110"/>
      <c r="M297" s="110"/>
      <c r="N297" s="110"/>
      <c r="O297" s="110"/>
      <c r="P297" s="110"/>
      <c r="Q297" s="433">
        <v>21</v>
      </c>
      <c r="R297" s="111">
        <v>314.74666666666667</v>
      </c>
      <c r="S297" s="110"/>
      <c r="T297" s="110"/>
      <c r="U297" s="110"/>
      <c r="V297" s="110"/>
      <c r="W297" s="433">
        <v>9</v>
      </c>
      <c r="X297" s="111">
        <v>314.74666666666667</v>
      </c>
      <c r="Y297" s="110"/>
      <c r="Z297" s="110"/>
      <c r="AA297" s="110"/>
      <c r="AB297" s="110"/>
      <c r="AC297" s="433">
        <v>7</v>
      </c>
      <c r="AD297" s="111">
        <v>314.74666666666667</v>
      </c>
      <c r="AE297" s="110"/>
      <c r="AF297" s="110"/>
      <c r="AG297" s="110"/>
      <c r="AH297" s="1048"/>
    </row>
    <row r="298" spans="1:34" ht="45" x14ac:dyDescent="0.25">
      <c r="A298" s="1047"/>
      <c r="B298" s="110" t="s">
        <v>3686</v>
      </c>
      <c r="C298" s="110"/>
      <c r="D298" s="433">
        <v>10</v>
      </c>
      <c r="E298" s="207" t="s">
        <v>3687</v>
      </c>
      <c r="F298" s="1178" t="s">
        <v>4353</v>
      </c>
      <c r="G298" s="1056" t="s">
        <v>4306</v>
      </c>
      <c r="H298" s="433" t="s">
        <v>3478</v>
      </c>
      <c r="I298" s="111">
        <v>139.19999999999999</v>
      </c>
      <c r="J298" s="111">
        <v>1392</v>
      </c>
      <c r="K298" s="110"/>
      <c r="L298" s="110"/>
      <c r="M298" s="110"/>
      <c r="N298" s="110"/>
      <c r="O298" s="110"/>
      <c r="P298" s="110"/>
      <c r="Q298" s="433">
        <v>5</v>
      </c>
      <c r="R298" s="111">
        <v>464</v>
      </c>
      <c r="S298" s="110"/>
      <c r="T298" s="110"/>
      <c r="U298" s="110"/>
      <c r="V298" s="110"/>
      <c r="W298" s="433">
        <v>3</v>
      </c>
      <c r="X298" s="111">
        <v>464</v>
      </c>
      <c r="Y298" s="110"/>
      <c r="Z298" s="110"/>
      <c r="AA298" s="110"/>
      <c r="AB298" s="110"/>
      <c r="AC298" s="433">
        <v>2</v>
      </c>
      <c r="AD298" s="111">
        <v>464</v>
      </c>
      <c r="AE298" s="110"/>
      <c r="AF298" s="110"/>
      <c r="AG298" s="110"/>
      <c r="AH298" s="1048"/>
    </row>
    <row r="299" spans="1:34" ht="45" x14ac:dyDescent="0.25">
      <c r="A299" s="1047"/>
      <c r="B299" s="110" t="s">
        <v>3688</v>
      </c>
      <c r="C299" s="110"/>
      <c r="D299" s="433">
        <v>10</v>
      </c>
      <c r="E299" s="207" t="s">
        <v>3687</v>
      </c>
      <c r="F299" s="1178" t="s">
        <v>4353</v>
      </c>
      <c r="G299" s="1056" t="s">
        <v>4306</v>
      </c>
      <c r="H299" s="433" t="s">
        <v>3478</v>
      </c>
      <c r="I299" s="111">
        <v>139.19999999999999</v>
      </c>
      <c r="J299" s="111">
        <v>1392</v>
      </c>
      <c r="K299" s="110"/>
      <c r="L299" s="110"/>
      <c r="M299" s="110"/>
      <c r="N299" s="110"/>
      <c r="O299" s="110"/>
      <c r="P299" s="110"/>
      <c r="Q299" s="433">
        <v>5</v>
      </c>
      <c r="R299" s="111">
        <v>464</v>
      </c>
      <c r="S299" s="110"/>
      <c r="T299" s="110"/>
      <c r="U299" s="110"/>
      <c r="V299" s="110"/>
      <c r="W299" s="433">
        <v>3</v>
      </c>
      <c r="X299" s="111">
        <v>464</v>
      </c>
      <c r="Y299" s="110"/>
      <c r="Z299" s="110"/>
      <c r="AA299" s="110"/>
      <c r="AB299" s="110"/>
      <c r="AC299" s="433">
        <v>2</v>
      </c>
      <c r="AD299" s="111">
        <v>464</v>
      </c>
      <c r="AE299" s="110"/>
      <c r="AF299" s="110"/>
      <c r="AG299" s="110"/>
      <c r="AH299" s="1048"/>
    </row>
    <row r="300" spans="1:34" ht="45" x14ac:dyDescent="0.25">
      <c r="A300" s="1047"/>
      <c r="B300" s="110" t="s">
        <v>3689</v>
      </c>
      <c r="C300" s="110"/>
      <c r="D300" s="433">
        <v>60</v>
      </c>
      <c r="E300" s="207" t="s">
        <v>3687</v>
      </c>
      <c r="F300" s="1178" t="s">
        <v>4353</v>
      </c>
      <c r="G300" s="1056" t="s">
        <v>4306</v>
      </c>
      <c r="H300" s="433" t="s">
        <v>3478</v>
      </c>
      <c r="I300" s="111">
        <v>170.74039999999999</v>
      </c>
      <c r="J300" s="111">
        <v>10244.423999999999</v>
      </c>
      <c r="K300" s="110"/>
      <c r="L300" s="110"/>
      <c r="M300" s="110"/>
      <c r="N300" s="110"/>
      <c r="O300" s="110"/>
      <c r="P300" s="110"/>
      <c r="Q300" s="433">
        <v>20</v>
      </c>
      <c r="R300" s="111">
        <v>3414.8079999999995</v>
      </c>
      <c r="S300" s="110"/>
      <c r="T300" s="110"/>
      <c r="U300" s="110"/>
      <c r="V300" s="110"/>
      <c r="W300" s="433">
        <v>20</v>
      </c>
      <c r="X300" s="111">
        <v>3414.8079999999995</v>
      </c>
      <c r="Y300" s="110"/>
      <c r="Z300" s="110"/>
      <c r="AA300" s="110"/>
      <c r="AB300" s="110"/>
      <c r="AC300" s="433">
        <v>20</v>
      </c>
      <c r="AD300" s="111">
        <v>3414.8079999999995</v>
      </c>
      <c r="AE300" s="110"/>
      <c r="AF300" s="110"/>
      <c r="AG300" s="110"/>
      <c r="AH300" s="1048"/>
    </row>
    <row r="301" spans="1:34" ht="45" x14ac:dyDescent="0.25">
      <c r="A301" s="1047"/>
      <c r="B301" s="110" t="s">
        <v>3690</v>
      </c>
      <c r="C301" s="110"/>
      <c r="D301" s="433">
        <v>60</v>
      </c>
      <c r="E301" s="207" t="s">
        <v>1767</v>
      </c>
      <c r="F301" s="1178" t="s">
        <v>4353</v>
      </c>
      <c r="G301" s="1056" t="s">
        <v>4306</v>
      </c>
      <c r="H301" s="433" t="s">
        <v>3478</v>
      </c>
      <c r="I301" s="111">
        <v>278.39999999999998</v>
      </c>
      <c r="J301" s="111">
        <v>16704</v>
      </c>
      <c r="K301" s="110"/>
      <c r="L301" s="110"/>
      <c r="M301" s="110"/>
      <c r="N301" s="110"/>
      <c r="O301" s="110"/>
      <c r="P301" s="110"/>
      <c r="Q301" s="433">
        <v>20</v>
      </c>
      <c r="R301" s="111">
        <v>5568</v>
      </c>
      <c r="S301" s="110"/>
      <c r="T301" s="110"/>
      <c r="U301" s="110"/>
      <c r="V301" s="110"/>
      <c r="W301" s="433">
        <v>20</v>
      </c>
      <c r="X301" s="111">
        <v>5568</v>
      </c>
      <c r="Y301" s="110"/>
      <c r="Z301" s="110"/>
      <c r="AA301" s="110"/>
      <c r="AB301" s="110"/>
      <c r="AC301" s="433">
        <v>20</v>
      </c>
      <c r="AD301" s="111">
        <v>5568</v>
      </c>
      <c r="AE301" s="110"/>
      <c r="AF301" s="110"/>
      <c r="AG301" s="110"/>
      <c r="AH301" s="1048"/>
    </row>
    <row r="302" spans="1:34" ht="45" x14ac:dyDescent="0.25">
      <c r="A302" s="1047"/>
      <c r="B302" s="110" t="s">
        <v>3691</v>
      </c>
      <c r="C302" s="110"/>
      <c r="D302" s="433">
        <v>150</v>
      </c>
      <c r="E302" s="207" t="s">
        <v>1767</v>
      </c>
      <c r="F302" s="1178" t="s">
        <v>4353</v>
      </c>
      <c r="G302" s="1056" t="s">
        <v>4306</v>
      </c>
      <c r="H302" s="433" t="s">
        <v>3478</v>
      </c>
      <c r="I302" s="111">
        <v>39.44</v>
      </c>
      <c r="J302" s="111">
        <v>5916</v>
      </c>
      <c r="K302" s="110"/>
      <c r="L302" s="110"/>
      <c r="M302" s="110"/>
      <c r="N302" s="110"/>
      <c r="O302" s="110"/>
      <c r="P302" s="110"/>
      <c r="Q302" s="433">
        <v>50</v>
      </c>
      <c r="R302" s="111">
        <v>1972</v>
      </c>
      <c r="S302" s="110"/>
      <c r="T302" s="110"/>
      <c r="U302" s="110"/>
      <c r="V302" s="110"/>
      <c r="W302" s="433">
        <v>50</v>
      </c>
      <c r="X302" s="111">
        <v>1972</v>
      </c>
      <c r="Y302" s="110"/>
      <c r="Z302" s="110"/>
      <c r="AA302" s="110"/>
      <c r="AB302" s="110"/>
      <c r="AC302" s="433">
        <v>50</v>
      </c>
      <c r="AD302" s="111">
        <v>1972</v>
      </c>
      <c r="AE302" s="110"/>
      <c r="AF302" s="110"/>
      <c r="AG302" s="110"/>
      <c r="AH302" s="1048"/>
    </row>
    <row r="303" spans="1:34" ht="45" x14ac:dyDescent="0.25">
      <c r="A303" s="1047"/>
      <c r="B303" s="110" t="s">
        <v>3692</v>
      </c>
      <c r="C303" s="110"/>
      <c r="D303" s="433">
        <v>1000</v>
      </c>
      <c r="E303" s="207" t="s">
        <v>1772</v>
      </c>
      <c r="F303" s="1178" t="s">
        <v>4353</v>
      </c>
      <c r="G303" s="1056" t="s">
        <v>4306</v>
      </c>
      <c r="H303" s="433" t="s">
        <v>3478</v>
      </c>
      <c r="I303" s="111">
        <v>113.67999999999998</v>
      </c>
      <c r="J303" s="111">
        <v>113679.99999999999</v>
      </c>
      <c r="K303" s="110"/>
      <c r="L303" s="110"/>
      <c r="M303" s="110"/>
      <c r="N303" s="110"/>
      <c r="O303" s="110"/>
      <c r="P303" s="110"/>
      <c r="Q303" s="433">
        <v>400</v>
      </c>
      <c r="R303" s="111">
        <v>37893.333333333328</v>
      </c>
      <c r="S303" s="110"/>
      <c r="T303" s="110"/>
      <c r="U303" s="110"/>
      <c r="V303" s="110"/>
      <c r="W303" s="433">
        <v>300</v>
      </c>
      <c r="X303" s="111">
        <v>37893.333333333328</v>
      </c>
      <c r="Y303" s="110"/>
      <c r="Z303" s="110"/>
      <c r="AA303" s="110"/>
      <c r="AB303" s="110"/>
      <c r="AC303" s="433">
        <v>300</v>
      </c>
      <c r="AD303" s="111">
        <v>37893.333333333328</v>
      </c>
      <c r="AE303" s="110"/>
      <c r="AF303" s="110"/>
      <c r="AG303" s="110"/>
      <c r="AH303" s="1048"/>
    </row>
    <row r="304" spans="1:34" ht="45" x14ac:dyDescent="0.25">
      <c r="A304" s="1047"/>
      <c r="B304" s="110" t="s">
        <v>3693</v>
      </c>
      <c r="C304" s="110"/>
      <c r="D304" s="433">
        <v>60</v>
      </c>
      <c r="E304" s="207" t="s">
        <v>1767</v>
      </c>
      <c r="F304" s="1178" t="s">
        <v>4353</v>
      </c>
      <c r="G304" s="1056" t="s">
        <v>4306</v>
      </c>
      <c r="H304" s="433" t="s">
        <v>3478</v>
      </c>
      <c r="I304" s="111">
        <v>145</v>
      </c>
      <c r="J304" s="111">
        <v>8700</v>
      </c>
      <c r="K304" s="110"/>
      <c r="L304" s="110"/>
      <c r="M304" s="110"/>
      <c r="N304" s="110"/>
      <c r="O304" s="110"/>
      <c r="P304" s="110"/>
      <c r="Q304" s="433">
        <v>20</v>
      </c>
      <c r="R304" s="111">
        <v>2900</v>
      </c>
      <c r="S304" s="110"/>
      <c r="T304" s="110"/>
      <c r="U304" s="110"/>
      <c r="V304" s="110"/>
      <c r="W304" s="433">
        <v>20</v>
      </c>
      <c r="X304" s="111">
        <v>2900</v>
      </c>
      <c r="Y304" s="110"/>
      <c r="Z304" s="110"/>
      <c r="AA304" s="110"/>
      <c r="AB304" s="110"/>
      <c r="AC304" s="433">
        <v>20</v>
      </c>
      <c r="AD304" s="111">
        <v>2900</v>
      </c>
      <c r="AE304" s="110"/>
      <c r="AF304" s="110"/>
      <c r="AG304" s="110"/>
      <c r="AH304" s="1048"/>
    </row>
    <row r="305" spans="1:34" ht="45" x14ac:dyDescent="0.25">
      <c r="A305" s="1047"/>
      <c r="B305" s="110" t="s">
        <v>3694</v>
      </c>
      <c r="C305" s="110"/>
      <c r="D305" s="433">
        <v>300</v>
      </c>
      <c r="E305" s="207" t="s">
        <v>1767</v>
      </c>
      <c r="F305" s="1178" t="s">
        <v>4353</v>
      </c>
      <c r="G305" s="1056" t="s">
        <v>4306</v>
      </c>
      <c r="H305" s="433" t="s">
        <v>3478</v>
      </c>
      <c r="I305" s="111">
        <v>8.6999999999999993</v>
      </c>
      <c r="J305" s="111">
        <v>2610</v>
      </c>
      <c r="K305" s="110"/>
      <c r="L305" s="110"/>
      <c r="M305" s="110"/>
      <c r="N305" s="110"/>
      <c r="O305" s="110"/>
      <c r="P305" s="110"/>
      <c r="Q305" s="433">
        <v>150</v>
      </c>
      <c r="R305" s="111">
        <v>870</v>
      </c>
      <c r="S305" s="110"/>
      <c r="T305" s="110"/>
      <c r="U305" s="110"/>
      <c r="V305" s="110"/>
      <c r="W305" s="433">
        <v>75</v>
      </c>
      <c r="X305" s="111">
        <v>870</v>
      </c>
      <c r="Y305" s="110"/>
      <c r="Z305" s="110"/>
      <c r="AA305" s="110"/>
      <c r="AB305" s="110"/>
      <c r="AC305" s="433">
        <v>75</v>
      </c>
      <c r="AD305" s="111">
        <v>870</v>
      </c>
      <c r="AE305" s="110"/>
      <c r="AF305" s="110"/>
      <c r="AG305" s="110"/>
      <c r="AH305" s="1048"/>
    </row>
    <row r="306" spans="1:34" ht="45" x14ac:dyDescent="0.25">
      <c r="A306" s="1047"/>
      <c r="B306" s="110" t="s">
        <v>3695</v>
      </c>
      <c r="C306" s="110"/>
      <c r="D306" s="433">
        <v>60</v>
      </c>
      <c r="E306" s="207" t="s">
        <v>1767</v>
      </c>
      <c r="F306" s="1178" t="s">
        <v>4353</v>
      </c>
      <c r="G306" s="1056" t="s">
        <v>4306</v>
      </c>
      <c r="H306" s="433" t="s">
        <v>3478</v>
      </c>
      <c r="I306" s="111">
        <v>46.4</v>
      </c>
      <c r="J306" s="111">
        <v>2784</v>
      </c>
      <c r="K306" s="110"/>
      <c r="L306" s="110"/>
      <c r="M306" s="110"/>
      <c r="N306" s="110"/>
      <c r="O306" s="110"/>
      <c r="P306" s="110"/>
      <c r="Q306" s="433">
        <v>20</v>
      </c>
      <c r="R306" s="111">
        <v>928</v>
      </c>
      <c r="S306" s="110"/>
      <c r="T306" s="110"/>
      <c r="U306" s="110"/>
      <c r="V306" s="110"/>
      <c r="W306" s="433">
        <v>20</v>
      </c>
      <c r="X306" s="111">
        <v>928</v>
      </c>
      <c r="Y306" s="110"/>
      <c r="Z306" s="110"/>
      <c r="AA306" s="110"/>
      <c r="AB306" s="110"/>
      <c r="AC306" s="433">
        <v>20</v>
      </c>
      <c r="AD306" s="111">
        <v>928</v>
      </c>
      <c r="AE306" s="110"/>
      <c r="AF306" s="110"/>
      <c r="AG306" s="110"/>
      <c r="AH306" s="1048"/>
    </row>
    <row r="307" spans="1:34" ht="45" x14ac:dyDescent="0.25">
      <c r="A307" s="1047"/>
      <c r="B307" s="110" t="s">
        <v>3696</v>
      </c>
      <c r="C307" s="110"/>
      <c r="D307" s="433">
        <v>60</v>
      </c>
      <c r="E307" s="207" t="s">
        <v>1767</v>
      </c>
      <c r="F307" s="1178" t="s">
        <v>4353</v>
      </c>
      <c r="G307" s="1056" t="s">
        <v>4306</v>
      </c>
      <c r="H307" s="433" t="s">
        <v>3478</v>
      </c>
      <c r="I307" s="111">
        <v>56.839999999999996</v>
      </c>
      <c r="J307" s="111">
        <v>3410.3999999999996</v>
      </c>
      <c r="K307" s="110"/>
      <c r="L307" s="110"/>
      <c r="M307" s="110"/>
      <c r="N307" s="110"/>
      <c r="O307" s="110"/>
      <c r="P307" s="110"/>
      <c r="Q307" s="433">
        <v>20</v>
      </c>
      <c r="R307" s="111">
        <v>1136.8</v>
      </c>
      <c r="S307" s="110"/>
      <c r="T307" s="110"/>
      <c r="U307" s="110"/>
      <c r="V307" s="110"/>
      <c r="W307" s="433">
        <v>20</v>
      </c>
      <c r="X307" s="111">
        <v>1136.8</v>
      </c>
      <c r="Y307" s="110"/>
      <c r="Z307" s="110"/>
      <c r="AA307" s="110"/>
      <c r="AB307" s="110"/>
      <c r="AC307" s="433">
        <v>20</v>
      </c>
      <c r="AD307" s="111">
        <v>1136.8</v>
      </c>
      <c r="AE307" s="110"/>
      <c r="AF307" s="110"/>
      <c r="AG307" s="110"/>
      <c r="AH307" s="1048"/>
    </row>
    <row r="308" spans="1:34" ht="45" x14ac:dyDescent="0.25">
      <c r="A308" s="1047"/>
      <c r="B308" s="110" t="s">
        <v>3697</v>
      </c>
      <c r="C308" s="110"/>
      <c r="D308" s="433">
        <v>300</v>
      </c>
      <c r="E308" s="207" t="s">
        <v>1767</v>
      </c>
      <c r="F308" s="1178" t="s">
        <v>4353</v>
      </c>
      <c r="G308" s="1056" t="s">
        <v>4306</v>
      </c>
      <c r="H308" s="433" t="s">
        <v>3478</v>
      </c>
      <c r="I308" s="111">
        <v>4.0599999999999996</v>
      </c>
      <c r="J308" s="111">
        <v>1217.9999999999998</v>
      </c>
      <c r="K308" s="110"/>
      <c r="L308" s="110"/>
      <c r="M308" s="110"/>
      <c r="N308" s="110"/>
      <c r="O308" s="110"/>
      <c r="P308" s="110"/>
      <c r="Q308" s="433">
        <v>150</v>
      </c>
      <c r="R308" s="111">
        <v>405.99999999999994</v>
      </c>
      <c r="S308" s="110"/>
      <c r="T308" s="110"/>
      <c r="U308" s="110"/>
      <c r="V308" s="110"/>
      <c r="W308" s="433">
        <v>75</v>
      </c>
      <c r="X308" s="111">
        <v>405.99999999999994</v>
      </c>
      <c r="Y308" s="110"/>
      <c r="Z308" s="110"/>
      <c r="AA308" s="110"/>
      <c r="AB308" s="110"/>
      <c r="AC308" s="433">
        <v>75</v>
      </c>
      <c r="AD308" s="111">
        <v>405.99999999999994</v>
      </c>
      <c r="AE308" s="110"/>
      <c r="AF308" s="110"/>
      <c r="AG308" s="110"/>
      <c r="AH308" s="1048"/>
    </row>
    <row r="309" spans="1:34" ht="45" x14ac:dyDescent="0.25">
      <c r="A309" s="1047"/>
      <c r="B309" s="110" t="s">
        <v>3698</v>
      </c>
      <c r="C309" s="110"/>
      <c r="D309" s="433">
        <v>60</v>
      </c>
      <c r="E309" s="207" t="s">
        <v>1772</v>
      </c>
      <c r="F309" s="1178" t="s">
        <v>4353</v>
      </c>
      <c r="G309" s="1056" t="s">
        <v>4306</v>
      </c>
      <c r="H309" s="433" t="s">
        <v>3478</v>
      </c>
      <c r="I309" s="111">
        <v>30.6936</v>
      </c>
      <c r="J309" s="111">
        <v>1841.616</v>
      </c>
      <c r="K309" s="110"/>
      <c r="L309" s="110"/>
      <c r="M309" s="110"/>
      <c r="N309" s="110"/>
      <c r="O309" s="110"/>
      <c r="P309" s="110"/>
      <c r="Q309" s="433">
        <v>20</v>
      </c>
      <c r="R309" s="111">
        <v>613.87199999999996</v>
      </c>
      <c r="S309" s="110"/>
      <c r="T309" s="110"/>
      <c r="U309" s="110"/>
      <c r="V309" s="110"/>
      <c r="W309" s="433">
        <v>20</v>
      </c>
      <c r="X309" s="111">
        <v>613.87199999999996</v>
      </c>
      <c r="Y309" s="110"/>
      <c r="Z309" s="110"/>
      <c r="AA309" s="110"/>
      <c r="AB309" s="110"/>
      <c r="AC309" s="433">
        <v>20</v>
      </c>
      <c r="AD309" s="111">
        <v>613.87199999999996</v>
      </c>
      <c r="AE309" s="110"/>
      <c r="AF309" s="110"/>
      <c r="AG309" s="110"/>
      <c r="AH309" s="1048"/>
    </row>
    <row r="310" spans="1:34" ht="45" x14ac:dyDescent="0.25">
      <c r="A310" s="1047"/>
      <c r="B310" s="110" t="s">
        <v>3699</v>
      </c>
      <c r="C310" s="110"/>
      <c r="D310" s="433">
        <v>60</v>
      </c>
      <c r="E310" s="207" t="s">
        <v>1772</v>
      </c>
      <c r="F310" s="1178" t="s">
        <v>4353</v>
      </c>
      <c r="G310" s="1056" t="s">
        <v>4306</v>
      </c>
      <c r="H310" s="433" t="s">
        <v>3478</v>
      </c>
      <c r="I310" s="111">
        <v>30.6936</v>
      </c>
      <c r="J310" s="111">
        <v>1841.616</v>
      </c>
      <c r="K310" s="110"/>
      <c r="L310" s="110"/>
      <c r="M310" s="110"/>
      <c r="N310" s="110"/>
      <c r="O310" s="110"/>
      <c r="P310" s="110"/>
      <c r="Q310" s="433">
        <v>20</v>
      </c>
      <c r="R310" s="111">
        <v>613.87199999999996</v>
      </c>
      <c r="S310" s="110"/>
      <c r="T310" s="110"/>
      <c r="U310" s="110"/>
      <c r="V310" s="110"/>
      <c r="W310" s="433">
        <v>20</v>
      </c>
      <c r="X310" s="111">
        <v>613.87199999999996</v>
      </c>
      <c r="Y310" s="110"/>
      <c r="Z310" s="110"/>
      <c r="AA310" s="110"/>
      <c r="AB310" s="110"/>
      <c r="AC310" s="433">
        <v>20</v>
      </c>
      <c r="AD310" s="111">
        <v>613.87199999999996</v>
      </c>
      <c r="AE310" s="110"/>
      <c r="AF310" s="110"/>
      <c r="AG310" s="110"/>
      <c r="AH310" s="1048"/>
    </row>
    <row r="311" spans="1:34" ht="45" x14ac:dyDescent="0.25">
      <c r="A311" s="1047"/>
      <c r="B311" s="110" t="s">
        <v>3700</v>
      </c>
      <c r="C311" s="110"/>
      <c r="D311" s="433">
        <v>300</v>
      </c>
      <c r="E311" s="207" t="s">
        <v>1767</v>
      </c>
      <c r="F311" s="1178" t="s">
        <v>4353</v>
      </c>
      <c r="G311" s="1056" t="s">
        <v>4306</v>
      </c>
      <c r="H311" s="433" t="s">
        <v>3478</v>
      </c>
      <c r="I311" s="111">
        <v>2.552</v>
      </c>
      <c r="J311" s="111">
        <v>765.6</v>
      </c>
      <c r="K311" s="110"/>
      <c r="L311" s="110"/>
      <c r="M311" s="110"/>
      <c r="N311" s="110"/>
      <c r="O311" s="110"/>
      <c r="P311" s="110"/>
      <c r="Q311" s="433">
        <v>150</v>
      </c>
      <c r="R311" s="111">
        <v>255.20000000000002</v>
      </c>
      <c r="S311" s="110"/>
      <c r="T311" s="110"/>
      <c r="U311" s="110"/>
      <c r="V311" s="110"/>
      <c r="W311" s="433">
        <v>75</v>
      </c>
      <c r="X311" s="111">
        <v>255.20000000000002</v>
      </c>
      <c r="Y311" s="110"/>
      <c r="Z311" s="110"/>
      <c r="AA311" s="110"/>
      <c r="AB311" s="110"/>
      <c r="AC311" s="433">
        <v>75</v>
      </c>
      <c r="AD311" s="111">
        <v>255.20000000000002</v>
      </c>
      <c r="AE311" s="110"/>
      <c r="AF311" s="110"/>
      <c r="AG311" s="110"/>
      <c r="AH311" s="1048"/>
    </row>
    <row r="312" spans="1:34" ht="45" x14ac:dyDescent="0.25">
      <c r="A312" s="1047"/>
      <c r="B312" s="110" t="s">
        <v>3701</v>
      </c>
      <c r="C312" s="110"/>
      <c r="D312" s="433">
        <v>60</v>
      </c>
      <c r="E312" s="207" t="s">
        <v>1772</v>
      </c>
      <c r="F312" s="1178" t="s">
        <v>4353</v>
      </c>
      <c r="G312" s="1056" t="s">
        <v>4306</v>
      </c>
      <c r="H312" s="433" t="s">
        <v>3478</v>
      </c>
      <c r="I312" s="111">
        <v>18.559999999999999</v>
      </c>
      <c r="J312" s="111">
        <v>1113.5999999999999</v>
      </c>
      <c r="K312" s="110"/>
      <c r="L312" s="110"/>
      <c r="M312" s="110"/>
      <c r="N312" s="110"/>
      <c r="O312" s="110"/>
      <c r="P312" s="110"/>
      <c r="Q312" s="433">
        <v>20</v>
      </c>
      <c r="R312" s="111">
        <v>371.2</v>
      </c>
      <c r="S312" s="110"/>
      <c r="T312" s="110"/>
      <c r="U312" s="110"/>
      <c r="V312" s="110"/>
      <c r="W312" s="433">
        <v>20</v>
      </c>
      <c r="X312" s="111">
        <v>371.2</v>
      </c>
      <c r="Y312" s="110"/>
      <c r="Z312" s="110"/>
      <c r="AA312" s="110"/>
      <c r="AB312" s="110"/>
      <c r="AC312" s="433">
        <v>20</v>
      </c>
      <c r="AD312" s="111">
        <v>371.2</v>
      </c>
      <c r="AE312" s="110"/>
      <c r="AF312" s="110"/>
      <c r="AG312" s="110"/>
      <c r="AH312" s="1048"/>
    </row>
    <row r="313" spans="1:34" ht="45" x14ac:dyDescent="0.25">
      <c r="A313" s="1047"/>
      <c r="B313" s="110" t="s">
        <v>3702</v>
      </c>
      <c r="C313" s="110"/>
      <c r="D313" s="433">
        <v>60</v>
      </c>
      <c r="E313" s="207" t="s">
        <v>1767</v>
      </c>
      <c r="F313" s="1178" t="s">
        <v>4353</v>
      </c>
      <c r="G313" s="1056" t="s">
        <v>4306</v>
      </c>
      <c r="H313" s="433" t="s">
        <v>3478</v>
      </c>
      <c r="I313" s="111">
        <v>15.659999999999998</v>
      </c>
      <c r="J313" s="111">
        <v>939.59999999999991</v>
      </c>
      <c r="K313" s="110"/>
      <c r="L313" s="110"/>
      <c r="M313" s="110"/>
      <c r="N313" s="110"/>
      <c r="O313" s="110"/>
      <c r="P313" s="110"/>
      <c r="Q313" s="433">
        <v>20</v>
      </c>
      <c r="R313" s="111">
        <v>313.2</v>
      </c>
      <c r="S313" s="110"/>
      <c r="T313" s="110"/>
      <c r="U313" s="110"/>
      <c r="V313" s="110"/>
      <c r="W313" s="433">
        <v>20</v>
      </c>
      <c r="X313" s="111">
        <v>313.2</v>
      </c>
      <c r="Y313" s="110"/>
      <c r="Z313" s="110"/>
      <c r="AA313" s="110"/>
      <c r="AB313" s="110"/>
      <c r="AC313" s="433">
        <v>20</v>
      </c>
      <c r="AD313" s="111">
        <v>313.2</v>
      </c>
      <c r="AE313" s="110"/>
      <c r="AF313" s="110"/>
      <c r="AG313" s="110"/>
      <c r="AH313" s="1048"/>
    </row>
    <row r="314" spans="1:34" ht="45" x14ac:dyDescent="0.25">
      <c r="A314" s="1047"/>
      <c r="B314" s="110" t="s">
        <v>3703</v>
      </c>
      <c r="C314" s="110"/>
      <c r="D314" s="433">
        <v>300</v>
      </c>
      <c r="E314" s="207" t="s">
        <v>1767</v>
      </c>
      <c r="F314" s="1178" t="s">
        <v>4353</v>
      </c>
      <c r="G314" s="1056" t="s">
        <v>4306</v>
      </c>
      <c r="H314" s="433" t="s">
        <v>3478</v>
      </c>
      <c r="I314" s="111">
        <v>8.6999999999999993</v>
      </c>
      <c r="J314" s="111">
        <v>2610</v>
      </c>
      <c r="K314" s="110"/>
      <c r="L314" s="110"/>
      <c r="M314" s="110"/>
      <c r="N314" s="110"/>
      <c r="O314" s="110"/>
      <c r="P314" s="110"/>
      <c r="Q314" s="433">
        <v>150</v>
      </c>
      <c r="R314" s="111">
        <v>870</v>
      </c>
      <c r="S314" s="110"/>
      <c r="T314" s="110"/>
      <c r="U314" s="110"/>
      <c r="V314" s="110"/>
      <c r="W314" s="433">
        <v>75</v>
      </c>
      <c r="X314" s="111">
        <v>870</v>
      </c>
      <c r="Y314" s="110"/>
      <c r="Z314" s="110"/>
      <c r="AA314" s="110"/>
      <c r="AB314" s="110"/>
      <c r="AC314" s="433">
        <v>75</v>
      </c>
      <c r="AD314" s="111">
        <v>870</v>
      </c>
      <c r="AE314" s="110"/>
      <c r="AF314" s="110"/>
      <c r="AG314" s="110"/>
      <c r="AH314" s="1048"/>
    </row>
    <row r="315" spans="1:34" ht="45" x14ac:dyDescent="0.25">
      <c r="A315" s="1047"/>
      <c r="B315" s="110" t="s">
        <v>3704</v>
      </c>
      <c r="C315" s="110"/>
      <c r="D315" s="433">
        <v>60</v>
      </c>
      <c r="E315" s="207" t="s">
        <v>1772</v>
      </c>
      <c r="F315" s="1178" t="s">
        <v>4353</v>
      </c>
      <c r="G315" s="1056" t="s">
        <v>4306</v>
      </c>
      <c r="H315" s="433" t="s">
        <v>3478</v>
      </c>
      <c r="I315" s="111">
        <v>13.34</v>
      </c>
      <c r="J315" s="111">
        <v>800.4</v>
      </c>
      <c r="K315" s="110"/>
      <c r="L315" s="110"/>
      <c r="M315" s="110"/>
      <c r="N315" s="110"/>
      <c r="O315" s="110"/>
      <c r="P315" s="110"/>
      <c r="Q315" s="433">
        <v>20</v>
      </c>
      <c r="R315" s="111">
        <v>266.8</v>
      </c>
      <c r="S315" s="110"/>
      <c r="T315" s="110"/>
      <c r="U315" s="110"/>
      <c r="V315" s="110"/>
      <c r="W315" s="433">
        <v>20</v>
      </c>
      <c r="X315" s="111">
        <v>266.8</v>
      </c>
      <c r="Y315" s="110"/>
      <c r="Z315" s="110"/>
      <c r="AA315" s="110"/>
      <c r="AB315" s="110"/>
      <c r="AC315" s="433">
        <v>20</v>
      </c>
      <c r="AD315" s="111">
        <v>266.8</v>
      </c>
      <c r="AE315" s="110"/>
      <c r="AF315" s="110"/>
      <c r="AG315" s="110"/>
      <c r="AH315" s="1048"/>
    </row>
    <row r="316" spans="1:34" ht="45" x14ac:dyDescent="0.25">
      <c r="A316" s="1047"/>
      <c r="B316" s="110" t="s">
        <v>3705</v>
      </c>
      <c r="C316" s="110"/>
      <c r="D316" s="433">
        <v>60</v>
      </c>
      <c r="E316" s="207" t="s">
        <v>1767</v>
      </c>
      <c r="F316" s="1178" t="s">
        <v>4353</v>
      </c>
      <c r="G316" s="1056" t="s">
        <v>4306</v>
      </c>
      <c r="H316" s="433" t="s">
        <v>3478</v>
      </c>
      <c r="I316" s="111">
        <v>9.2799999999999994</v>
      </c>
      <c r="J316" s="111">
        <v>556.79999999999995</v>
      </c>
      <c r="K316" s="110"/>
      <c r="L316" s="110"/>
      <c r="M316" s="110"/>
      <c r="N316" s="110"/>
      <c r="O316" s="110"/>
      <c r="P316" s="110"/>
      <c r="Q316" s="433">
        <v>20</v>
      </c>
      <c r="R316" s="111">
        <v>185.6</v>
      </c>
      <c r="S316" s="110"/>
      <c r="T316" s="110"/>
      <c r="U316" s="110"/>
      <c r="V316" s="110"/>
      <c r="W316" s="433">
        <v>20</v>
      </c>
      <c r="X316" s="111">
        <v>185.6</v>
      </c>
      <c r="Y316" s="110"/>
      <c r="Z316" s="110"/>
      <c r="AA316" s="110"/>
      <c r="AB316" s="110"/>
      <c r="AC316" s="433">
        <v>20</v>
      </c>
      <c r="AD316" s="111">
        <v>185.6</v>
      </c>
      <c r="AE316" s="110"/>
      <c r="AF316" s="110"/>
      <c r="AG316" s="110"/>
      <c r="AH316" s="1048"/>
    </row>
    <row r="317" spans="1:34" ht="45" x14ac:dyDescent="0.25">
      <c r="A317" s="1047"/>
      <c r="B317" s="110" t="s">
        <v>3706</v>
      </c>
      <c r="C317" s="110"/>
      <c r="D317" s="433">
        <v>60</v>
      </c>
      <c r="E317" s="207" t="s">
        <v>1767</v>
      </c>
      <c r="F317" s="1178" t="s">
        <v>4353</v>
      </c>
      <c r="G317" s="1056" t="s">
        <v>4306</v>
      </c>
      <c r="H317" s="433" t="s">
        <v>3478</v>
      </c>
      <c r="I317" s="111">
        <v>37.119999999999997</v>
      </c>
      <c r="J317" s="111">
        <v>2227.1999999999998</v>
      </c>
      <c r="K317" s="110"/>
      <c r="L317" s="110"/>
      <c r="M317" s="110"/>
      <c r="N317" s="110"/>
      <c r="O317" s="110"/>
      <c r="P317" s="110"/>
      <c r="Q317" s="433">
        <v>20</v>
      </c>
      <c r="R317" s="111">
        <v>742.4</v>
      </c>
      <c r="S317" s="110"/>
      <c r="T317" s="110"/>
      <c r="U317" s="110"/>
      <c r="V317" s="110"/>
      <c r="W317" s="433">
        <v>20</v>
      </c>
      <c r="X317" s="111">
        <v>742.4</v>
      </c>
      <c r="Y317" s="110"/>
      <c r="Z317" s="110"/>
      <c r="AA317" s="110"/>
      <c r="AB317" s="110"/>
      <c r="AC317" s="433">
        <v>20</v>
      </c>
      <c r="AD317" s="111">
        <v>742.4</v>
      </c>
      <c r="AE317" s="110"/>
      <c r="AF317" s="110"/>
      <c r="AG317" s="110"/>
      <c r="AH317" s="1048"/>
    </row>
    <row r="318" spans="1:34" ht="45" x14ac:dyDescent="0.25">
      <c r="A318" s="1047"/>
      <c r="B318" s="110" t="s">
        <v>3707</v>
      </c>
      <c r="C318" s="110"/>
      <c r="D318" s="433">
        <v>60</v>
      </c>
      <c r="E318" s="207" t="s">
        <v>3708</v>
      </c>
      <c r="F318" s="1178" t="s">
        <v>4353</v>
      </c>
      <c r="G318" s="1056" t="s">
        <v>4306</v>
      </c>
      <c r="H318" s="433" t="s">
        <v>3478</v>
      </c>
      <c r="I318" s="111">
        <v>23.779999999999998</v>
      </c>
      <c r="J318" s="111">
        <v>1426.8</v>
      </c>
      <c r="K318" s="110"/>
      <c r="L318" s="110"/>
      <c r="M318" s="110"/>
      <c r="N318" s="110"/>
      <c r="O318" s="110"/>
      <c r="P318" s="110"/>
      <c r="Q318" s="433">
        <v>20</v>
      </c>
      <c r="R318" s="111">
        <v>475.59999999999997</v>
      </c>
      <c r="S318" s="110"/>
      <c r="T318" s="110"/>
      <c r="U318" s="110"/>
      <c r="V318" s="110"/>
      <c r="W318" s="433">
        <v>20</v>
      </c>
      <c r="X318" s="111">
        <v>475.59999999999997</v>
      </c>
      <c r="Y318" s="110"/>
      <c r="Z318" s="110"/>
      <c r="AA318" s="110"/>
      <c r="AB318" s="110"/>
      <c r="AC318" s="433">
        <v>20</v>
      </c>
      <c r="AD318" s="111">
        <v>475.59999999999997</v>
      </c>
      <c r="AE318" s="110"/>
      <c r="AF318" s="110"/>
      <c r="AG318" s="110"/>
      <c r="AH318" s="1048"/>
    </row>
    <row r="319" spans="1:34" ht="45" x14ac:dyDescent="0.25">
      <c r="A319" s="1047"/>
      <c r="B319" s="110" t="s">
        <v>3709</v>
      </c>
      <c r="C319" s="110"/>
      <c r="D319" s="433">
        <v>60</v>
      </c>
      <c r="E319" s="207" t="s">
        <v>3708</v>
      </c>
      <c r="F319" s="1178" t="s">
        <v>4353</v>
      </c>
      <c r="G319" s="1056" t="s">
        <v>4306</v>
      </c>
      <c r="H319" s="433" t="s">
        <v>3478</v>
      </c>
      <c r="I319" s="111">
        <v>23.779999999999998</v>
      </c>
      <c r="J319" s="111">
        <v>1426.8</v>
      </c>
      <c r="K319" s="110"/>
      <c r="L319" s="110"/>
      <c r="M319" s="110"/>
      <c r="N319" s="110"/>
      <c r="O319" s="110"/>
      <c r="P319" s="110"/>
      <c r="Q319" s="433">
        <v>20</v>
      </c>
      <c r="R319" s="111">
        <v>475.59999999999997</v>
      </c>
      <c r="S319" s="110"/>
      <c r="T319" s="110"/>
      <c r="U319" s="110"/>
      <c r="V319" s="110"/>
      <c r="W319" s="433">
        <v>20</v>
      </c>
      <c r="X319" s="111">
        <v>475.59999999999997</v>
      </c>
      <c r="Y319" s="110"/>
      <c r="Z319" s="110"/>
      <c r="AA319" s="110"/>
      <c r="AB319" s="110"/>
      <c r="AC319" s="433">
        <v>20</v>
      </c>
      <c r="AD319" s="111">
        <v>475.59999999999997</v>
      </c>
      <c r="AE319" s="110"/>
      <c r="AF319" s="110"/>
      <c r="AG319" s="110"/>
      <c r="AH319" s="1048"/>
    </row>
    <row r="320" spans="1:34" ht="45" x14ac:dyDescent="0.25">
      <c r="A320" s="1047"/>
      <c r="B320" s="110" t="s">
        <v>3710</v>
      </c>
      <c r="C320" s="110"/>
      <c r="D320" s="433">
        <v>15</v>
      </c>
      <c r="E320" s="207" t="s">
        <v>3708</v>
      </c>
      <c r="F320" s="1178" t="s">
        <v>4353</v>
      </c>
      <c r="G320" s="1056" t="s">
        <v>4306</v>
      </c>
      <c r="H320" s="433" t="s">
        <v>3478</v>
      </c>
      <c r="I320" s="111">
        <v>23.779999999999998</v>
      </c>
      <c r="J320" s="111">
        <v>356.7</v>
      </c>
      <c r="K320" s="110"/>
      <c r="L320" s="110"/>
      <c r="M320" s="110"/>
      <c r="N320" s="110"/>
      <c r="O320" s="110"/>
      <c r="P320" s="110"/>
      <c r="Q320" s="433">
        <v>8</v>
      </c>
      <c r="R320" s="111">
        <v>118.89999999999999</v>
      </c>
      <c r="S320" s="110"/>
      <c r="T320" s="110"/>
      <c r="U320" s="110"/>
      <c r="V320" s="110"/>
      <c r="W320" s="433">
        <v>4</v>
      </c>
      <c r="X320" s="111">
        <v>118.89999999999999</v>
      </c>
      <c r="Y320" s="110"/>
      <c r="Z320" s="110"/>
      <c r="AA320" s="110"/>
      <c r="AB320" s="110"/>
      <c r="AC320" s="433">
        <v>3</v>
      </c>
      <c r="AD320" s="111">
        <v>118.89999999999999</v>
      </c>
      <c r="AE320" s="110"/>
      <c r="AF320" s="110"/>
      <c r="AG320" s="110"/>
      <c r="AH320" s="1048"/>
    </row>
    <row r="321" spans="1:34" ht="45" x14ac:dyDescent="0.25">
      <c r="A321" s="1047"/>
      <c r="B321" s="110" t="s">
        <v>3711</v>
      </c>
      <c r="C321" s="110"/>
      <c r="D321" s="433">
        <v>15</v>
      </c>
      <c r="E321" s="207" t="s">
        <v>3708</v>
      </c>
      <c r="F321" s="1178" t="s">
        <v>4353</v>
      </c>
      <c r="G321" s="1056" t="s">
        <v>4306</v>
      </c>
      <c r="H321" s="433" t="s">
        <v>3478</v>
      </c>
      <c r="I321" s="111">
        <v>23.779999999999998</v>
      </c>
      <c r="J321" s="111">
        <v>356.7</v>
      </c>
      <c r="K321" s="110"/>
      <c r="L321" s="110"/>
      <c r="M321" s="110"/>
      <c r="N321" s="110"/>
      <c r="O321" s="110"/>
      <c r="P321" s="110"/>
      <c r="Q321" s="433">
        <v>8</v>
      </c>
      <c r="R321" s="111">
        <v>118.89999999999999</v>
      </c>
      <c r="S321" s="110"/>
      <c r="T321" s="110"/>
      <c r="U321" s="110"/>
      <c r="V321" s="110"/>
      <c r="W321" s="433">
        <v>4</v>
      </c>
      <c r="X321" s="111">
        <v>118.89999999999999</v>
      </c>
      <c r="Y321" s="110"/>
      <c r="Z321" s="110"/>
      <c r="AA321" s="110"/>
      <c r="AB321" s="110"/>
      <c r="AC321" s="433">
        <v>3</v>
      </c>
      <c r="AD321" s="111">
        <v>118.89999999999999</v>
      </c>
      <c r="AE321" s="110"/>
      <c r="AF321" s="110"/>
      <c r="AG321" s="110"/>
      <c r="AH321" s="1048"/>
    </row>
    <row r="322" spans="1:34" ht="45" x14ac:dyDescent="0.25">
      <c r="A322" s="1047"/>
      <c r="B322" s="110" t="s">
        <v>3712</v>
      </c>
      <c r="C322" s="110"/>
      <c r="D322" s="433">
        <v>15</v>
      </c>
      <c r="E322" s="207" t="s">
        <v>3708</v>
      </c>
      <c r="F322" s="1178" t="s">
        <v>4353</v>
      </c>
      <c r="G322" s="1056" t="s">
        <v>4306</v>
      </c>
      <c r="H322" s="433" t="s">
        <v>3478</v>
      </c>
      <c r="I322" s="111">
        <v>23.779999999999998</v>
      </c>
      <c r="J322" s="111">
        <v>356.7</v>
      </c>
      <c r="K322" s="110"/>
      <c r="L322" s="110"/>
      <c r="M322" s="110"/>
      <c r="N322" s="110"/>
      <c r="O322" s="110"/>
      <c r="P322" s="110"/>
      <c r="Q322" s="433">
        <v>8</v>
      </c>
      <c r="R322" s="111">
        <v>118.89999999999999</v>
      </c>
      <c r="S322" s="110"/>
      <c r="T322" s="110"/>
      <c r="U322" s="110"/>
      <c r="V322" s="110"/>
      <c r="W322" s="433">
        <v>4</v>
      </c>
      <c r="X322" s="111">
        <v>118.89999999999999</v>
      </c>
      <c r="Y322" s="110"/>
      <c r="Z322" s="110"/>
      <c r="AA322" s="110"/>
      <c r="AB322" s="110"/>
      <c r="AC322" s="433">
        <v>3</v>
      </c>
      <c r="AD322" s="111">
        <v>118.89999999999999</v>
      </c>
      <c r="AE322" s="110"/>
      <c r="AF322" s="110"/>
      <c r="AG322" s="110"/>
      <c r="AH322" s="1048"/>
    </row>
    <row r="323" spans="1:34" ht="45" x14ac:dyDescent="0.25">
      <c r="A323" s="1047"/>
      <c r="B323" s="110" t="s">
        <v>3713</v>
      </c>
      <c r="C323" s="110"/>
      <c r="D323" s="433">
        <v>15</v>
      </c>
      <c r="E323" s="207" t="s">
        <v>3708</v>
      </c>
      <c r="F323" s="1178" t="s">
        <v>4353</v>
      </c>
      <c r="G323" s="1056" t="s">
        <v>4306</v>
      </c>
      <c r="H323" s="433" t="s">
        <v>3478</v>
      </c>
      <c r="I323" s="111">
        <v>23.779999999999998</v>
      </c>
      <c r="J323" s="111">
        <v>356.7</v>
      </c>
      <c r="K323" s="110"/>
      <c r="L323" s="110"/>
      <c r="M323" s="110"/>
      <c r="N323" s="110"/>
      <c r="O323" s="110"/>
      <c r="P323" s="110"/>
      <c r="Q323" s="433">
        <v>8</v>
      </c>
      <c r="R323" s="111">
        <v>118.89999999999999</v>
      </c>
      <c r="S323" s="110"/>
      <c r="T323" s="110"/>
      <c r="U323" s="110"/>
      <c r="V323" s="110"/>
      <c r="W323" s="433">
        <v>4</v>
      </c>
      <c r="X323" s="111">
        <v>118.89999999999999</v>
      </c>
      <c r="Y323" s="110"/>
      <c r="Z323" s="110"/>
      <c r="AA323" s="110"/>
      <c r="AB323" s="110"/>
      <c r="AC323" s="433">
        <v>3</v>
      </c>
      <c r="AD323" s="111">
        <v>118.89999999999999</v>
      </c>
      <c r="AE323" s="110"/>
      <c r="AF323" s="110"/>
      <c r="AG323" s="110"/>
      <c r="AH323" s="1048"/>
    </row>
    <row r="324" spans="1:34" ht="45" x14ac:dyDescent="0.25">
      <c r="A324" s="1047"/>
      <c r="B324" s="110" t="s">
        <v>3714</v>
      </c>
      <c r="C324" s="110"/>
      <c r="D324" s="433">
        <v>15</v>
      </c>
      <c r="E324" s="207" t="s">
        <v>3708</v>
      </c>
      <c r="F324" s="1178" t="s">
        <v>4353</v>
      </c>
      <c r="G324" s="1056" t="s">
        <v>4306</v>
      </c>
      <c r="H324" s="433" t="s">
        <v>3478</v>
      </c>
      <c r="I324" s="111">
        <v>28.999999999999996</v>
      </c>
      <c r="J324" s="111">
        <v>434.99999999999994</v>
      </c>
      <c r="K324" s="110"/>
      <c r="L324" s="110"/>
      <c r="M324" s="110"/>
      <c r="N324" s="110"/>
      <c r="O324" s="110"/>
      <c r="P324" s="110"/>
      <c r="Q324" s="433">
        <v>8</v>
      </c>
      <c r="R324" s="111">
        <v>144.99999999999997</v>
      </c>
      <c r="S324" s="110"/>
      <c r="T324" s="110"/>
      <c r="U324" s="110"/>
      <c r="V324" s="110"/>
      <c r="W324" s="433">
        <v>4</v>
      </c>
      <c r="X324" s="111">
        <v>144.99999999999997</v>
      </c>
      <c r="Y324" s="110"/>
      <c r="Z324" s="110"/>
      <c r="AA324" s="110"/>
      <c r="AB324" s="110"/>
      <c r="AC324" s="433">
        <v>3</v>
      </c>
      <c r="AD324" s="111">
        <v>144.99999999999997</v>
      </c>
      <c r="AE324" s="110"/>
      <c r="AF324" s="110"/>
      <c r="AG324" s="110"/>
      <c r="AH324" s="1048"/>
    </row>
    <row r="325" spans="1:34" ht="45" x14ac:dyDescent="0.25">
      <c r="A325" s="1047"/>
      <c r="B325" s="110" t="s">
        <v>3715</v>
      </c>
      <c r="C325" s="110"/>
      <c r="D325" s="433">
        <v>15</v>
      </c>
      <c r="E325" s="207" t="s">
        <v>3708</v>
      </c>
      <c r="F325" s="1178" t="s">
        <v>4353</v>
      </c>
      <c r="G325" s="1056" t="s">
        <v>4306</v>
      </c>
      <c r="H325" s="433" t="s">
        <v>3478</v>
      </c>
      <c r="I325" s="111">
        <v>28.999999999999996</v>
      </c>
      <c r="J325" s="111">
        <v>434.99999999999994</v>
      </c>
      <c r="K325" s="110"/>
      <c r="L325" s="110"/>
      <c r="M325" s="110"/>
      <c r="N325" s="110"/>
      <c r="O325" s="110"/>
      <c r="P325" s="110"/>
      <c r="Q325" s="433">
        <v>8</v>
      </c>
      <c r="R325" s="111">
        <v>144.99999999999997</v>
      </c>
      <c r="S325" s="110"/>
      <c r="T325" s="110"/>
      <c r="U325" s="110"/>
      <c r="V325" s="110"/>
      <c r="W325" s="433">
        <v>4</v>
      </c>
      <c r="X325" s="111">
        <v>144.99999999999997</v>
      </c>
      <c r="Y325" s="110"/>
      <c r="Z325" s="110"/>
      <c r="AA325" s="110"/>
      <c r="AB325" s="110"/>
      <c r="AC325" s="433">
        <v>3</v>
      </c>
      <c r="AD325" s="111">
        <v>144.99999999999997</v>
      </c>
      <c r="AE325" s="110"/>
      <c r="AF325" s="110"/>
      <c r="AG325" s="110"/>
      <c r="AH325" s="1048"/>
    </row>
    <row r="326" spans="1:34" ht="45" x14ac:dyDescent="0.25">
      <c r="A326" s="1047"/>
      <c r="B326" s="110" t="s">
        <v>3716</v>
      </c>
      <c r="C326" s="110"/>
      <c r="D326" s="433">
        <v>15</v>
      </c>
      <c r="E326" s="207" t="s">
        <v>3708</v>
      </c>
      <c r="F326" s="1178" t="s">
        <v>4353</v>
      </c>
      <c r="G326" s="1056" t="s">
        <v>4306</v>
      </c>
      <c r="H326" s="433" t="s">
        <v>3478</v>
      </c>
      <c r="I326" s="111">
        <v>28.999999999999996</v>
      </c>
      <c r="J326" s="111">
        <v>434.99999999999994</v>
      </c>
      <c r="K326" s="110"/>
      <c r="L326" s="110"/>
      <c r="M326" s="110"/>
      <c r="N326" s="110"/>
      <c r="O326" s="110"/>
      <c r="P326" s="110"/>
      <c r="Q326" s="433">
        <v>8</v>
      </c>
      <c r="R326" s="111">
        <v>144.99999999999997</v>
      </c>
      <c r="S326" s="110"/>
      <c r="T326" s="110"/>
      <c r="U326" s="110"/>
      <c r="V326" s="110"/>
      <c r="W326" s="433">
        <v>4</v>
      </c>
      <c r="X326" s="111">
        <v>144.99999999999997</v>
      </c>
      <c r="Y326" s="110"/>
      <c r="Z326" s="110"/>
      <c r="AA326" s="110"/>
      <c r="AB326" s="110"/>
      <c r="AC326" s="433">
        <v>3</v>
      </c>
      <c r="AD326" s="111">
        <v>144.99999999999997</v>
      </c>
      <c r="AE326" s="110"/>
      <c r="AF326" s="110"/>
      <c r="AG326" s="110"/>
      <c r="AH326" s="1048"/>
    </row>
    <row r="327" spans="1:34" ht="45" x14ac:dyDescent="0.25">
      <c r="A327" s="1047"/>
      <c r="B327" s="110" t="s">
        <v>3717</v>
      </c>
      <c r="C327" s="110"/>
      <c r="D327" s="433">
        <v>15</v>
      </c>
      <c r="E327" s="207" t="s">
        <v>3708</v>
      </c>
      <c r="F327" s="1178" t="s">
        <v>4353</v>
      </c>
      <c r="G327" s="1056" t="s">
        <v>4306</v>
      </c>
      <c r="H327" s="433" t="s">
        <v>3478</v>
      </c>
      <c r="I327" s="111">
        <v>28.999999999999996</v>
      </c>
      <c r="J327" s="111">
        <v>434.99999999999994</v>
      </c>
      <c r="K327" s="110"/>
      <c r="L327" s="110"/>
      <c r="M327" s="110"/>
      <c r="N327" s="110"/>
      <c r="O327" s="110"/>
      <c r="P327" s="110"/>
      <c r="Q327" s="433">
        <v>8</v>
      </c>
      <c r="R327" s="111">
        <v>144.99999999999997</v>
      </c>
      <c r="S327" s="110"/>
      <c r="T327" s="110"/>
      <c r="U327" s="110"/>
      <c r="V327" s="110"/>
      <c r="W327" s="433">
        <v>4</v>
      </c>
      <c r="X327" s="111">
        <v>144.99999999999997</v>
      </c>
      <c r="Y327" s="110"/>
      <c r="Z327" s="110"/>
      <c r="AA327" s="110"/>
      <c r="AB327" s="110"/>
      <c r="AC327" s="433">
        <v>3</v>
      </c>
      <c r="AD327" s="111">
        <v>144.99999999999997</v>
      </c>
      <c r="AE327" s="110"/>
      <c r="AF327" s="110"/>
      <c r="AG327" s="110"/>
      <c r="AH327" s="1048"/>
    </row>
    <row r="328" spans="1:34" ht="45" x14ac:dyDescent="0.25">
      <c r="A328" s="1047"/>
      <c r="B328" s="110" t="s">
        <v>3718</v>
      </c>
      <c r="C328" s="110"/>
      <c r="D328" s="433">
        <v>12</v>
      </c>
      <c r="E328" s="207" t="s">
        <v>3708</v>
      </c>
      <c r="F328" s="1178" t="s">
        <v>4353</v>
      </c>
      <c r="G328" s="1056" t="s">
        <v>4306</v>
      </c>
      <c r="H328" s="433" t="s">
        <v>3478</v>
      </c>
      <c r="I328" s="111">
        <v>28.999999999999996</v>
      </c>
      <c r="J328" s="111">
        <v>347.99999999999994</v>
      </c>
      <c r="K328" s="110"/>
      <c r="L328" s="110"/>
      <c r="M328" s="110"/>
      <c r="N328" s="110"/>
      <c r="O328" s="110"/>
      <c r="P328" s="110"/>
      <c r="Q328" s="433">
        <v>6</v>
      </c>
      <c r="R328" s="111">
        <v>115.99999999999999</v>
      </c>
      <c r="S328" s="110"/>
      <c r="T328" s="110"/>
      <c r="U328" s="110"/>
      <c r="V328" s="110"/>
      <c r="W328" s="433">
        <v>3</v>
      </c>
      <c r="X328" s="111">
        <v>115.99999999999999</v>
      </c>
      <c r="Y328" s="110"/>
      <c r="Z328" s="110"/>
      <c r="AA328" s="110"/>
      <c r="AB328" s="110"/>
      <c r="AC328" s="433">
        <v>3</v>
      </c>
      <c r="AD328" s="111">
        <v>115.99999999999999</v>
      </c>
      <c r="AE328" s="110"/>
      <c r="AF328" s="110"/>
      <c r="AG328" s="110"/>
      <c r="AH328" s="1048"/>
    </row>
    <row r="329" spans="1:34" ht="45" x14ac:dyDescent="0.25">
      <c r="A329" s="1047"/>
      <c r="B329" s="110" t="s">
        <v>3719</v>
      </c>
      <c r="C329" s="110"/>
      <c r="D329" s="433">
        <v>12</v>
      </c>
      <c r="E329" s="207" t="s">
        <v>3708</v>
      </c>
      <c r="F329" s="1178" t="s">
        <v>4353</v>
      </c>
      <c r="G329" s="1056" t="s">
        <v>4306</v>
      </c>
      <c r="H329" s="433" t="s">
        <v>3478</v>
      </c>
      <c r="I329" s="111">
        <v>28.999999999999996</v>
      </c>
      <c r="J329" s="111">
        <v>347.99999999999994</v>
      </c>
      <c r="K329" s="110"/>
      <c r="L329" s="110"/>
      <c r="M329" s="110"/>
      <c r="N329" s="110"/>
      <c r="O329" s="110"/>
      <c r="P329" s="110"/>
      <c r="Q329" s="433">
        <v>6</v>
      </c>
      <c r="R329" s="111">
        <v>115.99999999999999</v>
      </c>
      <c r="S329" s="110"/>
      <c r="T329" s="110"/>
      <c r="U329" s="110"/>
      <c r="V329" s="110"/>
      <c r="W329" s="433">
        <v>3</v>
      </c>
      <c r="X329" s="111">
        <v>115.99999999999999</v>
      </c>
      <c r="Y329" s="110"/>
      <c r="Z329" s="110"/>
      <c r="AA329" s="110"/>
      <c r="AB329" s="110"/>
      <c r="AC329" s="433">
        <v>3</v>
      </c>
      <c r="AD329" s="111">
        <v>115.99999999999999</v>
      </c>
      <c r="AE329" s="110"/>
      <c r="AF329" s="110"/>
      <c r="AG329" s="110"/>
      <c r="AH329" s="1048"/>
    </row>
    <row r="330" spans="1:34" ht="45" x14ac:dyDescent="0.25">
      <c r="A330" s="1047"/>
      <c r="B330" s="110" t="s">
        <v>3720</v>
      </c>
      <c r="C330" s="110"/>
      <c r="D330" s="433">
        <v>12</v>
      </c>
      <c r="E330" s="207" t="s">
        <v>3708</v>
      </c>
      <c r="F330" s="1178" t="s">
        <v>4353</v>
      </c>
      <c r="G330" s="1056" t="s">
        <v>4306</v>
      </c>
      <c r="H330" s="433" t="s">
        <v>3478</v>
      </c>
      <c r="I330" s="111">
        <v>28.999999999999996</v>
      </c>
      <c r="J330" s="111">
        <v>347.99999999999994</v>
      </c>
      <c r="K330" s="110"/>
      <c r="L330" s="110"/>
      <c r="M330" s="110"/>
      <c r="N330" s="110"/>
      <c r="O330" s="110"/>
      <c r="P330" s="110"/>
      <c r="Q330" s="433">
        <v>6</v>
      </c>
      <c r="R330" s="111">
        <v>115.99999999999999</v>
      </c>
      <c r="S330" s="110"/>
      <c r="T330" s="110"/>
      <c r="U330" s="110"/>
      <c r="V330" s="110"/>
      <c r="W330" s="433">
        <v>3</v>
      </c>
      <c r="X330" s="111">
        <v>115.99999999999999</v>
      </c>
      <c r="Y330" s="110"/>
      <c r="Z330" s="110"/>
      <c r="AA330" s="110"/>
      <c r="AB330" s="110"/>
      <c r="AC330" s="433">
        <v>3</v>
      </c>
      <c r="AD330" s="111">
        <v>115.99999999999999</v>
      </c>
      <c r="AE330" s="110"/>
      <c r="AF330" s="110"/>
      <c r="AG330" s="110"/>
      <c r="AH330" s="1048"/>
    </row>
    <row r="331" spans="1:34" ht="45" x14ac:dyDescent="0.25">
      <c r="A331" s="1047"/>
      <c r="B331" s="110" t="s">
        <v>3721</v>
      </c>
      <c r="C331" s="110"/>
      <c r="D331" s="433">
        <v>12</v>
      </c>
      <c r="E331" s="207" t="s">
        <v>3708</v>
      </c>
      <c r="F331" s="1178" t="s">
        <v>4353</v>
      </c>
      <c r="G331" s="1056" t="s">
        <v>4306</v>
      </c>
      <c r="H331" s="433" t="s">
        <v>3478</v>
      </c>
      <c r="I331" s="111">
        <v>28.999999999999996</v>
      </c>
      <c r="J331" s="111">
        <v>347.99999999999994</v>
      </c>
      <c r="K331" s="110"/>
      <c r="L331" s="110"/>
      <c r="M331" s="110"/>
      <c r="N331" s="110"/>
      <c r="O331" s="110"/>
      <c r="P331" s="110"/>
      <c r="Q331" s="433">
        <v>6</v>
      </c>
      <c r="R331" s="111">
        <v>115.99999999999999</v>
      </c>
      <c r="S331" s="110"/>
      <c r="T331" s="110"/>
      <c r="U331" s="110"/>
      <c r="V331" s="110"/>
      <c r="W331" s="433">
        <v>3</v>
      </c>
      <c r="X331" s="111">
        <v>115.99999999999999</v>
      </c>
      <c r="Y331" s="110"/>
      <c r="Z331" s="110"/>
      <c r="AA331" s="110"/>
      <c r="AB331" s="110"/>
      <c r="AC331" s="433">
        <v>3</v>
      </c>
      <c r="AD331" s="111">
        <v>115.99999999999999</v>
      </c>
      <c r="AE331" s="110"/>
      <c r="AF331" s="110"/>
      <c r="AG331" s="110"/>
      <c r="AH331" s="1048"/>
    </row>
    <row r="332" spans="1:34" ht="45" x14ac:dyDescent="0.25">
      <c r="A332" s="1047"/>
      <c r="B332" s="110" t="s">
        <v>3722</v>
      </c>
      <c r="C332" s="110"/>
      <c r="D332" s="433">
        <v>12</v>
      </c>
      <c r="E332" s="207" t="s">
        <v>3708</v>
      </c>
      <c r="F332" s="1178" t="s">
        <v>4353</v>
      </c>
      <c r="G332" s="1056" t="s">
        <v>4306</v>
      </c>
      <c r="H332" s="433" t="s">
        <v>3478</v>
      </c>
      <c r="I332" s="111">
        <v>28.999999999999996</v>
      </c>
      <c r="J332" s="111">
        <v>347.99999999999994</v>
      </c>
      <c r="K332" s="110"/>
      <c r="L332" s="110"/>
      <c r="M332" s="110"/>
      <c r="N332" s="110"/>
      <c r="O332" s="110"/>
      <c r="P332" s="110"/>
      <c r="Q332" s="433">
        <v>6</v>
      </c>
      <c r="R332" s="111">
        <v>115.99999999999999</v>
      </c>
      <c r="S332" s="110"/>
      <c r="T332" s="110"/>
      <c r="U332" s="110"/>
      <c r="V332" s="110"/>
      <c r="W332" s="433">
        <v>3</v>
      </c>
      <c r="X332" s="111">
        <v>115.99999999999999</v>
      </c>
      <c r="Y332" s="110"/>
      <c r="Z332" s="110"/>
      <c r="AA332" s="110"/>
      <c r="AB332" s="110"/>
      <c r="AC332" s="433">
        <v>3</v>
      </c>
      <c r="AD332" s="111">
        <v>115.99999999999999</v>
      </c>
      <c r="AE332" s="110"/>
      <c r="AF332" s="110"/>
      <c r="AG332" s="110"/>
      <c r="AH332" s="1048"/>
    </row>
    <row r="333" spans="1:34" ht="45" x14ac:dyDescent="0.25">
      <c r="A333" s="1047"/>
      <c r="B333" s="110" t="s">
        <v>3723</v>
      </c>
      <c r="C333" s="110"/>
      <c r="D333" s="433">
        <v>12</v>
      </c>
      <c r="E333" s="207" t="s">
        <v>3708</v>
      </c>
      <c r="F333" s="1178" t="s">
        <v>4353</v>
      </c>
      <c r="G333" s="1056" t="s">
        <v>4306</v>
      </c>
      <c r="H333" s="433" t="s">
        <v>3478</v>
      </c>
      <c r="I333" s="111">
        <v>28.999999999999996</v>
      </c>
      <c r="J333" s="111">
        <v>347.99999999999994</v>
      </c>
      <c r="K333" s="110"/>
      <c r="L333" s="110"/>
      <c r="M333" s="110"/>
      <c r="N333" s="110"/>
      <c r="O333" s="110"/>
      <c r="P333" s="110"/>
      <c r="Q333" s="433">
        <v>6</v>
      </c>
      <c r="R333" s="111">
        <v>115.99999999999999</v>
      </c>
      <c r="S333" s="110"/>
      <c r="T333" s="110"/>
      <c r="U333" s="110"/>
      <c r="V333" s="110"/>
      <c r="W333" s="433">
        <v>3</v>
      </c>
      <c r="X333" s="111">
        <v>115.99999999999999</v>
      </c>
      <c r="Y333" s="110"/>
      <c r="Z333" s="110"/>
      <c r="AA333" s="110"/>
      <c r="AB333" s="110"/>
      <c r="AC333" s="433">
        <v>3</v>
      </c>
      <c r="AD333" s="111">
        <v>115.99999999999999</v>
      </c>
      <c r="AE333" s="110"/>
      <c r="AF333" s="110"/>
      <c r="AG333" s="110"/>
      <c r="AH333" s="1048"/>
    </row>
    <row r="334" spans="1:34" ht="45" x14ac:dyDescent="0.25">
      <c r="A334" s="1047"/>
      <c r="B334" s="110" t="s">
        <v>3724</v>
      </c>
      <c r="C334" s="110"/>
      <c r="D334" s="433">
        <v>12</v>
      </c>
      <c r="E334" s="207" t="s">
        <v>3708</v>
      </c>
      <c r="F334" s="1178" t="s">
        <v>4353</v>
      </c>
      <c r="G334" s="1056" t="s">
        <v>4306</v>
      </c>
      <c r="H334" s="433" t="s">
        <v>3478</v>
      </c>
      <c r="I334" s="111">
        <v>28.999999999999996</v>
      </c>
      <c r="J334" s="111">
        <v>347.99999999999994</v>
      </c>
      <c r="K334" s="110"/>
      <c r="L334" s="110"/>
      <c r="M334" s="110"/>
      <c r="N334" s="110"/>
      <c r="O334" s="110"/>
      <c r="P334" s="110"/>
      <c r="Q334" s="433">
        <v>6</v>
      </c>
      <c r="R334" s="111">
        <v>115.99999999999999</v>
      </c>
      <c r="S334" s="110"/>
      <c r="T334" s="110"/>
      <c r="U334" s="110"/>
      <c r="V334" s="110"/>
      <c r="W334" s="433">
        <v>3</v>
      </c>
      <c r="X334" s="111">
        <v>115.99999999999999</v>
      </c>
      <c r="Y334" s="110"/>
      <c r="Z334" s="110"/>
      <c r="AA334" s="110"/>
      <c r="AB334" s="110"/>
      <c r="AC334" s="433">
        <v>3</v>
      </c>
      <c r="AD334" s="111">
        <v>115.99999999999999</v>
      </c>
      <c r="AE334" s="110"/>
      <c r="AF334" s="110"/>
      <c r="AG334" s="110"/>
      <c r="AH334" s="1048"/>
    </row>
    <row r="335" spans="1:34" ht="45" x14ac:dyDescent="0.25">
      <c r="A335" s="1047"/>
      <c r="B335" s="110" t="s">
        <v>3725</v>
      </c>
      <c r="C335" s="110"/>
      <c r="D335" s="433">
        <v>12</v>
      </c>
      <c r="E335" s="207" t="s">
        <v>3708</v>
      </c>
      <c r="F335" s="1178" t="s">
        <v>4353</v>
      </c>
      <c r="G335" s="1056" t="s">
        <v>4306</v>
      </c>
      <c r="H335" s="433" t="s">
        <v>3478</v>
      </c>
      <c r="I335" s="111">
        <v>28.999999999999996</v>
      </c>
      <c r="J335" s="111">
        <v>347.99999999999994</v>
      </c>
      <c r="K335" s="110"/>
      <c r="L335" s="110"/>
      <c r="M335" s="110"/>
      <c r="N335" s="110"/>
      <c r="O335" s="110"/>
      <c r="P335" s="110"/>
      <c r="Q335" s="433">
        <v>6</v>
      </c>
      <c r="R335" s="111">
        <v>115.99999999999999</v>
      </c>
      <c r="S335" s="110"/>
      <c r="T335" s="110"/>
      <c r="U335" s="110"/>
      <c r="V335" s="110"/>
      <c r="W335" s="433">
        <v>3</v>
      </c>
      <c r="X335" s="111">
        <v>115.99999999999999</v>
      </c>
      <c r="Y335" s="110"/>
      <c r="Z335" s="110"/>
      <c r="AA335" s="110"/>
      <c r="AB335" s="110"/>
      <c r="AC335" s="433">
        <v>3</v>
      </c>
      <c r="AD335" s="111">
        <v>115.99999999999999</v>
      </c>
      <c r="AE335" s="110"/>
      <c r="AF335" s="110"/>
      <c r="AG335" s="110"/>
      <c r="AH335" s="1048"/>
    </row>
    <row r="336" spans="1:34" ht="45" x14ac:dyDescent="0.25">
      <c r="A336" s="1047"/>
      <c r="B336" s="110" t="s">
        <v>3726</v>
      </c>
      <c r="C336" s="110"/>
      <c r="D336" s="433">
        <v>12</v>
      </c>
      <c r="E336" s="207" t="s">
        <v>3708</v>
      </c>
      <c r="F336" s="1178" t="s">
        <v>4353</v>
      </c>
      <c r="G336" s="1056" t="s">
        <v>4306</v>
      </c>
      <c r="H336" s="433" t="s">
        <v>3478</v>
      </c>
      <c r="I336" s="111">
        <v>28.999999999999996</v>
      </c>
      <c r="J336" s="111">
        <v>347.99999999999994</v>
      </c>
      <c r="K336" s="110"/>
      <c r="L336" s="110"/>
      <c r="M336" s="110"/>
      <c r="N336" s="110"/>
      <c r="O336" s="110"/>
      <c r="P336" s="110"/>
      <c r="Q336" s="433">
        <v>6</v>
      </c>
      <c r="R336" s="111">
        <v>115.99999999999999</v>
      </c>
      <c r="S336" s="110"/>
      <c r="T336" s="110"/>
      <c r="U336" s="110"/>
      <c r="V336" s="110"/>
      <c r="W336" s="433">
        <v>3</v>
      </c>
      <c r="X336" s="111">
        <v>115.99999999999999</v>
      </c>
      <c r="Y336" s="110"/>
      <c r="Z336" s="110"/>
      <c r="AA336" s="110"/>
      <c r="AB336" s="110"/>
      <c r="AC336" s="433">
        <v>3</v>
      </c>
      <c r="AD336" s="111">
        <v>115.99999999999999</v>
      </c>
      <c r="AE336" s="110"/>
      <c r="AF336" s="110"/>
      <c r="AG336" s="110"/>
      <c r="AH336" s="1048"/>
    </row>
    <row r="337" spans="1:34" ht="45" x14ac:dyDescent="0.25">
      <c r="A337" s="1047"/>
      <c r="B337" s="110" t="s">
        <v>3727</v>
      </c>
      <c r="C337" s="110"/>
      <c r="D337" s="433">
        <v>12</v>
      </c>
      <c r="E337" s="207" t="s">
        <v>3708</v>
      </c>
      <c r="F337" s="1178" t="s">
        <v>4353</v>
      </c>
      <c r="G337" s="1056" t="s">
        <v>4306</v>
      </c>
      <c r="H337" s="433" t="s">
        <v>3478</v>
      </c>
      <c r="I337" s="111">
        <v>28.999999999999996</v>
      </c>
      <c r="J337" s="111">
        <v>347.99999999999994</v>
      </c>
      <c r="K337" s="110"/>
      <c r="L337" s="110"/>
      <c r="M337" s="110"/>
      <c r="N337" s="110"/>
      <c r="O337" s="110"/>
      <c r="P337" s="110"/>
      <c r="Q337" s="433">
        <v>6</v>
      </c>
      <c r="R337" s="111">
        <v>115.99999999999999</v>
      </c>
      <c r="S337" s="110"/>
      <c r="T337" s="110"/>
      <c r="U337" s="110"/>
      <c r="V337" s="110"/>
      <c r="W337" s="433">
        <v>3</v>
      </c>
      <c r="X337" s="111">
        <v>115.99999999999999</v>
      </c>
      <c r="Y337" s="110"/>
      <c r="Z337" s="110"/>
      <c r="AA337" s="110"/>
      <c r="AB337" s="110"/>
      <c r="AC337" s="433">
        <v>3</v>
      </c>
      <c r="AD337" s="111">
        <v>115.99999999999999</v>
      </c>
      <c r="AE337" s="110"/>
      <c r="AF337" s="110"/>
      <c r="AG337" s="110"/>
      <c r="AH337" s="1048"/>
    </row>
    <row r="338" spans="1:34" ht="45" x14ac:dyDescent="0.25">
      <c r="A338" s="1047"/>
      <c r="B338" s="110" t="s">
        <v>3728</v>
      </c>
      <c r="C338" s="110"/>
      <c r="D338" s="433">
        <v>300</v>
      </c>
      <c r="E338" s="207" t="s">
        <v>1767</v>
      </c>
      <c r="F338" s="1178" t="s">
        <v>4353</v>
      </c>
      <c r="G338" s="1056" t="s">
        <v>4306</v>
      </c>
      <c r="H338" s="433" t="s">
        <v>3478</v>
      </c>
      <c r="I338" s="111">
        <v>30.159999999999993</v>
      </c>
      <c r="J338" s="111">
        <v>9047.9999999999982</v>
      </c>
      <c r="K338" s="110"/>
      <c r="L338" s="110"/>
      <c r="M338" s="110"/>
      <c r="N338" s="110"/>
      <c r="O338" s="110"/>
      <c r="P338" s="110"/>
      <c r="Q338" s="433">
        <v>150</v>
      </c>
      <c r="R338" s="111">
        <v>3015.9999999999995</v>
      </c>
      <c r="S338" s="110"/>
      <c r="T338" s="110"/>
      <c r="U338" s="110"/>
      <c r="V338" s="110"/>
      <c r="W338" s="433">
        <v>75</v>
      </c>
      <c r="X338" s="111">
        <v>3015.9999999999995</v>
      </c>
      <c r="Y338" s="110"/>
      <c r="Z338" s="110"/>
      <c r="AA338" s="110"/>
      <c r="AB338" s="110"/>
      <c r="AC338" s="433">
        <v>75</v>
      </c>
      <c r="AD338" s="111">
        <v>3015.9999999999995</v>
      </c>
      <c r="AE338" s="110"/>
      <c r="AF338" s="110"/>
      <c r="AG338" s="110"/>
      <c r="AH338" s="1048"/>
    </row>
    <row r="339" spans="1:34" ht="45" x14ac:dyDescent="0.25">
      <c r="A339" s="1047"/>
      <c r="B339" s="110" t="s">
        <v>3729</v>
      </c>
      <c r="C339" s="110"/>
      <c r="D339" s="433">
        <v>20</v>
      </c>
      <c r="E339" s="207" t="s">
        <v>3687</v>
      </c>
      <c r="F339" s="1178" t="s">
        <v>4353</v>
      </c>
      <c r="G339" s="1056" t="s">
        <v>4306</v>
      </c>
      <c r="H339" s="433" t="s">
        <v>3478</v>
      </c>
      <c r="I339" s="111">
        <v>162.39999999999998</v>
      </c>
      <c r="J339" s="111">
        <v>3247.9999999999995</v>
      </c>
      <c r="K339" s="110"/>
      <c r="L339" s="110"/>
      <c r="M339" s="110"/>
      <c r="N339" s="110"/>
      <c r="O339" s="110"/>
      <c r="P339" s="110"/>
      <c r="Q339" s="433">
        <v>10</v>
      </c>
      <c r="R339" s="111">
        <v>1082.6666666666665</v>
      </c>
      <c r="S339" s="110"/>
      <c r="T339" s="110"/>
      <c r="U339" s="110"/>
      <c r="V339" s="110"/>
      <c r="W339" s="433">
        <v>5</v>
      </c>
      <c r="X339" s="111">
        <v>1082.6666666666665</v>
      </c>
      <c r="Y339" s="110"/>
      <c r="Z339" s="110"/>
      <c r="AA339" s="110"/>
      <c r="AB339" s="110"/>
      <c r="AC339" s="433">
        <v>5</v>
      </c>
      <c r="AD339" s="111">
        <v>1082.6666666666665</v>
      </c>
      <c r="AE339" s="110"/>
      <c r="AF339" s="110"/>
      <c r="AG339" s="110"/>
      <c r="AH339" s="1048"/>
    </row>
    <row r="340" spans="1:34" ht="45" x14ac:dyDescent="0.25">
      <c r="A340" s="1047"/>
      <c r="B340" s="110" t="s">
        <v>3730</v>
      </c>
      <c r="C340" s="110"/>
      <c r="D340" s="433">
        <v>10</v>
      </c>
      <c r="E340" s="207" t="s">
        <v>1772</v>
      </c>
      <c r="F340" s="1178" t="s">
        <v>4353</v>
      </c>
      <c r="G340" s="1056" t="s">
        <v>4306</v>
      </c>
      <c r="H340" s="433" t="s">
        <v>3478</v>
      </c>
      <c r="I340" s="111">
        <v>46.4</v>
      </c>
      <c r="J340" s="111">
        <v>464</v>
      </c>
      <c r="K340" s="110"/>
      <c r="L340" s="110"/>
      <c r="M340" s="110"/>
      <c r="N340" s="110"/>
      <c r="O340" s="110"/>
      <c r="P340" s="110"/>
      <c r="Q340" s="433">
        <v>5</v>
      </c>
      <c r="R340" s="111">
        <v>154.66666666666666</v>
      </c>
      <c r="S340" s="110"/>
      <c r="T340" s="110"/>
      <c r="U340" s="110"/>
      <c r="V340" s="110"/>
      <c r="W340" s="433">
        <v>3</v>
      </c>
      <c r="X340" s="111">
        <v>154.66666666666666</v>
      </c>
      <c r="Y340" s="110"/>
      <c r="Z340" s="110"/>
      <c r="AA340" s="110"/>
      <c r="AB340" s="110"/>
      <c r="AC340" s="433">
        <v>2</v>
      </c>
      <c r="AD340" s="111">
        <v>154.66666666666666</v>
      </c>
      <c r="AE340" s="110"/>
      <c r="AF340" s="110"/>
      <c r="AG340" s="110"/>
      <c r="AH340" s="1048"/>
    </row>
    <row r="341" spans="1:34" ht="45" x14ac:dyDescent="0.25">
      <c r="A341" s="1047"/>
      <c r="B341" s="110" t="s">
        <v>3731</v>
      </c>
      <c r="C341" s="110"/>
      <c r="D341" s="433">
        <v>10</v>
      </c>
      <c r="E341" s="207" t="s">
        <v>1772</v>
      </c>
      <c r="F341" s="1178" t="s">
        <v>4353</v>
      </c>
      <c r="G341" s="1056" t="s">
        <v>4306</v>
      </c>
      <c r="H341" s="433" t="s">
        <v>3478</v>
      </c>
      <c r="I341" s="111">
        <v>35.96</v>
      </c>
      <c r="J341" s="111">
        <v>359.6</v>
      </c>
      <c r="K341" s="110"/>
      <c r="L341" s="110"/>
      <c r="M341" s="110"/>
      <c r="N341" s="110"/>
      <c r="O341" s="110"/>
      <c r="P341" s="110"/>
      <c r="Q341" s="433">
        <v>5</v>
      </c>
      <c r="R341" s="111">
        <v>119.86666666666667</v>
      </c>
      <c r="S341" s="110"/>
      <c r="T341" s="110"/>
      <c r="U341" s="110"/>
      <c r="V341" s="110"/>
      <c r="W341" s="433">
        <v>3</v>
      </c>
      <c r="X341" s="111">
        <v>119.86666666666667</v>
      </c>
      <c r="Y341" s="110"/>
      <c r="Z341" s="110"/>
      <c r="AA341" s="110"/>
      <c r="AB341" s="110"/>
      <c r="AC341" s="433">
        <v>2</v>
      </c>
      <c r="AD341" s="111">
        <v>119.86666666666667</v>
      </c>
      <c r="AE341" s="110"/>
      <c r="AF341" s="110"/>
      <c r="AG341" s="110"/>
      <c r="AH341" s="1048"/>
    </row>
    <row r="342" spans="1:34" ht="45" x14ac:dyDescent="0.25">
      <c r="A342" s="1047"/>
      <c r="B342" s="110" t="s">
        <v>3732</v>
      </c>
      <c r="C342" s="110"/>
      <c r="D342" s="433">
        <v>60</v>
      </c>
      <c r="E342" s="207" t="s">
        <v>3687</v>
      </c>
      <c r="F342" s="1178" t="s">
        <v>4353</v>
      </c>
      <c r="G342" s="1056" t="s">
        <v>4306</v>
      </c>
      <c r="H342" s="433" t="s">
        <v>3478</v>
      </c>
      <c r="I342" s="111">
        <v>174</v>
      </c>
      <c r="J342" s="111">
        <v>10440</v>
      </c>
      <c r="K342" s="110"/>
      <c r="L342" s="110"/>
      <c r="M342" s="110"/>
      <c r="N342" s="110"/>
      <c r="O342" s="110"/>
      <c r="P342" s="110"/>
      <c r="Q342" s="433">
        <v>20</v>
      </c>
      <c r="R342" s="111">
        <v>3480</v>
      </c>
      <c r="S342" s="110"/>
      <c r="T342" s="110"/>
      <c r="U342" s="110"/>
      <c r="V342" s="110"/>
      <c r="W342" s="433">
        <v>20</v>
      </c>
      <c r="X342" s="111">
        <v>3480</v>
      </c>
      <c r="Y342" s="110"/>
      <c r="Z342" s="110"/>
      <c r="AA342" s="110"/>
      <c r="AB342" s="110"/>
      <c r="AC342" s="433">
        <v>20</v>
      </c>
      <c r="AD342" s="111">
        <v>3480</v>
      </c>
      <c r="AE342" s="110"/>
      <c r="AF342" s="110"/>
      <c r="AG342" s="110"/>
      <c r="AH342" s="1048"/>
    </row>
    <row r="343" spans="1:34" ht="45" x14ac:dyDescent="0.25">
      <c r="A343" s="1047"/>
      <c r="B343" s="110" t="s">
        <v>3733</v>
      </c>
      <c r="C343" s="110"/>
      <c r="D343" s="433">
        <v>20</v>
      </c>
      <c r="E343" s="207" t="s">
        <v>1772</v>
      </c>
      <c r="F343" s="1178" t="s">
        <v>4353</v>
      </c>
      <c r="G343" s="1056" t="s">
        <v>4306</v>
      </c>
      <c r="H343" s="433" t="s">
        <v>3478</v>
      </c>
      <c r="I343" s="111">
        <v>87</v>
      </c>
      <c r="J343" s="111">
        <v>1740</v>
      </c>
      <c r="K343" s="110"/>
      <c r="L343" s="110"/>
      <c r="M343" s="110"/>
      <c r="N343" s="110"/>
      <c r="O343" s="110"/>
      <c r="P343" s="110"/>
      <c r="Q343" s="433">
        <v>10</v>
      </c>
      <c r="R343" s="111">
        <v>580</v>
      </c>
      <c r="S343" s="110"/>
      <c r="T343" s="110"/>
      <c r="U343" s="110"/>
      <c r="V343" s="110"/>
      <c r="W343" s="433">
        <v>5</v>
      </c>
      <c r="X343" s="111">
        <v>580</v>
      </c>
      <c r="Y343" s="110"/>
      <c r="Z343" s="110"/>
      <c r="AA343" s="110"/>
      <c r="AB343" s="110"/>
      <c r="AC343" s="433">
        <v>5</v>
      </c>
      <c r="AD343" s="111">
        <v>580</v>
      </c>
      <c r="AE343" s="110"/>
      <c r="AF343" s="110"/>
      <c r="AG343" s="110"/>
      <c r="AH343" s="1048"/>
    </row>
    <row r="344" spans="1:34" ht="45" x14ac:dyDescent="0.25">
      <c r="A344" s="1047"/>
      <c r="B344" s="110" t="s">
        <v>3734</v>
      </c>
      <c r="C344" s="110"/>
      <c r="D344" s="433">
        <v>60</v>
      </c>
      <c r="E344" s="207" t="s">
        <v>3735</v>
      </c>
      <c r="F344" s="1178" t="s">
        <v>4353</v>
      </c>
      <c r="G344" s="1056" t="s">
        <v>4306</v>
      </c>
      <c r="H344" s="433" t="s">
        <v>3478</v>
      </c>
      <c r="I344" s="111">
        <v>57.999999999999993</v>
      </c>
      <c r="J344" s="111">
        <v>3479.9999999999995</v>
      </c>
      <c r="K344" s="110"/>
      <c r="L344" s="110"/>
      <c r="M344" s="110"/>
      <c r="N344" s="110"/>
      <c r="O344" s="110"/>
      <c r="P344" s="110"/>
      <c r="Q344" s="433">
        <v>20</v>
      </c>
      <c r="R344" s="111">
        <v>1159.9999999999998</v>
      </c>
      <c r="S344" s="110"/>
      <c r="T344" s="110"/>
      <c r="U344" s="110"/>
      <c r="V344" s="110"/>
      <c r="W344" s="433">
        <v>20</v>
      </c>
      <c r="X344" s="111">
        <v>1159.9999999999998</v>
      </c>
      <c r="Y344" s="110"/>
      <c r="Z344" s="110"/>
      <c r="AA344" s="110"/>
      <c r="AB344" s="110"/>
      <c r="AC344" s="433">
        <v>20</v>
      </c>
      <c r="AD344" s="111">
        <v>1159.9999999999998</v>
      </c>
      <c r="AE344" s="110"/>
      <c r="AF344" s="110"/>
      <c r="AG344" s="110"/>
      <c r="AH344" s="1048"/>
    </row>
    <row r="345" spans="1:34" ht="45" x14ac:dyDescent="0.25">
      <c r="A345" s="1047"/>
      <c r="B345" s="110" t="s">
        <v>3736</v>
      </c>
      <c r="C345" s="110"/>
      <c r="D345" s="433">
        <v>50</v>
      </c>
      <c r="E345" s="207" t="s">
        <v>1767</v>
      </c>
      <c r="F345" s="1178" t="s">
        <v>4353</v>
      </c>
      <c r="G345" s="1056" t="s">
        <v>4306</v>
      </c>
      <c r="H345" s="433" t="s">
        <v>3478</v>
      </c>
      <c r="I345" s="111">
        <v>46.4</v>
      </c>
      <c r="J345" s="111">
        <v>2320</v>
      </c>
      <c r="K345" s="110"/>
      <c r="L345" s="110"/>
      <c r="M345" s="110"/>
      <c r="N345" s="110"/>
      <c r="O345" s="110"/>
      <c r="P345" s="110"/>
      <c r="Q345" s="433">
        <v>25</v>
      </c>
      <c r="R345" s="111">
        <v>773.33333333333337</v>
      </c>
      <c r="S345" s="110"/>
      <c r="T345" s="110"/>
      <c r="U345" s="110"/>
      <c r="V345" s="110"/>
      <c r="W345" s="433">
        <v>13</v>
      </c>
      <c r="X345" s="111">
        <v>773.33333333333337</v>
      </c>
      <c r="Y345" s="110"/>
      <c r="Z345" s="110"/>
      <c r="AA345" s="110"/>
      <c r="AB345" s="110"/>
      <c r="AC345" s="433">
        <v>12</v>
      </c>
      <c r="AD345" s="111">
        <v>773.33333333333337</v>
      </c>
      <c r="AE345" s="110"/>
      <c r="AF345" s="110"/>
      <c r="AG345" s="110"/>
      <c r="AH345" s="1048"/>
    </row>
    <row r="346" spans="1:34" ht="45" x14ac:dyDescent="0.25">
      <c r="A346" s="1047"/>
      <c r="B346" s="110" t="s">
        <v>3737</v>
      </c>
      <c r="C346" s="110"/>
      <c r="D346" s="433">
        <v>50</v>
      </c>
      <c r="E346" s="207" t="s">
        <v>1767</v>
      </c>
      <c r="F346" s="1178" t="s">
        <v>4353</v>
      </c>
      <c r="G346" s="1056" t="s">
        <v>4306</v>
      </c>
      <c r="H346" s="433" t="s">
        <v>3478</v>
      </c>
      <c r="I346" s="111">
        <v>46.4</v>
      </c>
      <c r="J346" s="111">
        <v>2320</v>
      </c>
      <c r="K346" s="110"/>
      <c r="L346" s="110"/>
      <c r="M346" s="110"/>
      <c r="N346" s="110"/>
      <c r="O346" s="110"/>
      <c r="P346" s="110"/>
      <c r="Q346" s="433">
        <v>25</v>
      </c>
      <c r="R346" s="111">
        <v>773.33333333333337</v>
      </c>
      <c r="S346" s="110"/>
      <c r="T346" s="110"/>
      <c r="U346" s="110"/>
      <c r="V346" s="110"/>
      <c r="W346" s="433">
        <v>13</v>
      </c>
      <c r="X346" s="111">
        <v>773.33333333333337</v>
      </c>
      <c r="Y346" s="110"/>
      <c r="Z346" s="110"/>
      <c r="AA346" s="110"/>
      <c r="AB346" s="110"/>
      <c r="AC346" s="433">
        <v>12</v>
      </c>
      <c r="AD346" s="111">
        <v>773.33333333333337</v>
      </c>
      <c r="AE346" s="110"/>
      <c r="AF346" s="110"/>
      <c r="AG346" s="110"/>
      <c r="AH346" s="1048"/>
    </row>
    <row r="347" spans="1:34" ht="45" x14ac:dyDescent="0.25">
      <c r="A347" s="1047"/>
      <c r="B347" s="110" t="s">
        <v>3738</v>
      </c>
      <c r="C347" s="110"/>
      <c r="D347" s="433">
        <v>50</v>
      </c>
      <c r="E347" s="207" t="s">
        <v>1767</v>
      </c>
      <c r="F347" s="1178" t="s">
        <v>4353</v>
      </c>
      <c r="G347" s="1056" t="s">
        <v>4306</v>
      </c>
      <c r="H347" s="433" t="s">
        <v>3478</v>
      </c>
      <c r="I347" s="111">
        <v>46.4</v>
      </c>
      <c r="J347" s="111">
        <v>2320</v>
      </c>
      <c r="K347" s="110"/>
      <c r="L347" s="110"/>
      <c r="M347" s="110"/>
      <c r="N347" s="110"/>
      <c r="O347" s="110"/>
      <c r="P347" s="110"/>
      <c r="Q347" s="433">
        <v>25</v>
      </c>
      <c r="R347" s="111">
        <v>773.33333333333337</v>
      </c>
      <c r="S347" s="110"/>
      <c r="T347" s="110"/>
      <c r="U347" s="110"/>
      <c r="V347" s="110"/>
      <c r="W347" s="433">
        <v>13</v>
      </c>
      <c r="X347" s="111">
        <v>773.33333333333337</v>
      </c>
      <c r="Y347" s="110"/>
      <c r="Z347" s="110"/>
      <c r="AA347" s="110"/>
      <c r="AB347" s="110"/>
      <c r="AC347" s="433">
        <v>12</v>
      </c>
      <c r="AD347" s="111">
        <v>773.33333333333337</v>
      </c>
      <c r="AE347" s="110"/>
      <c r="AF347" s="110"/>
      <c r="AG347" s="110"/>
      <c r="AH347" s="1048"/>
    </row>
    <row r="348" spans="1:34" ht="45" x14ac:dyDescent="0.25">
      <c r="A348" s="1047"/>
      <c r="B348" s="110" t="s">
        <v>3739</v>
      </c>
      <c r="C348" s="110"/>
      <c r="D348" s="433">
        <v>50</v>
      </c>
      <c r="E348" s="207" t="s">
        <v>1767</v>
      </c>
      <c r="F348" s="1178" t="s">
        <v>4353</v>
      </c>
      <c r="G348" s="1056" t="s">
        <v>4306</v>
      </c>
      <c r="H348" s="433" t="s">
        <v>3478</v>
      </c>
      <c r="I348" s="111">
        <v>46.4</v>
      </c>
      <c r="J348" s="111">
        <v>2320</v>
      </c>
      <c r="K348" s="110"/>
      <c r="L348" s="110"/>
      <c r="M348" s="110"/>
      <c r="N348" s="110"/>
      <c r="O348" s="110"/>
      <c r="P348" s="110"/>
      <c r="Q348" s="433">
        <v>25</v>
      </c>
      <c r="R348" s="111">
        <v>773.33333333333337</v>
      </c>
      <c r="S348" s="110"/>
      <c r="T348" s="110"/>
      <c r="U348" s="110"/>
      <c r="V348" s="110"/>
      <c r="W348" s="433">
        <v>13</v>
      </c>
      <c r="X348" s="111">
        <v>773.33333333333337</v>
      </c>
      <c r="Y348" s="110"/>
      <c r="Z348" s="110"/>
      <c r="AA348" s="110"/>
      <c r="AB348" s="110"/>
      <c r="AC348" s="433">
        <v>12</v>
      </c>
      <c r="AD348" s="111">
        <v>773.33333333333337</v>
      </c>
      <c r="AE348" s="110"/>
      <c r="AF348" s="110"/>
      <c r="AG348" s="110"/>
      <c r="AH348" s="1048"/>
    </row>
    <row r="349" spans="1:34" ht="45" x14ac:dyDescent="0.25">
      <c r="A349" s="1047"/>
      <c r="B349" s="110" t="s">
        <v>3740</v>
      </c>
      <c r="C349" s="110"/>
      <c r="D349" s="433">
        <v>50</v>
      </c>
      <c r="E349" s="207" t="s">
        <v>1767</v>
      </c>
      <c r="F349" s="1178" t="s">
        <v>4353</v>
      </c>
      <c r="G349" s="1056" t="s">
        <v>4306</v>
      </c>
      <c r="H349" s="433" t="s">
        <v>3478</v>
      </c>
      <c r="I349" s="111">
        <v>46.4</v>
      </c>
      <c r="J349" s="111">
        <v>2320</v>
      </c>
      <c r="K349" s="110"/>
      <c r="L349" s="110"/>
      <c r="M349" s="110"/>
      <c r="N349" s="110"/>
      <c r="O349" s="110"/>
      <c r="P349" s="110"/>
      <c r="Q349" s="433">
        <v>25</v>
      </c>
      <c r="R349" s="111">
        <v>773.33333333333337</v>
      </c>
      <c r="S349" s="110"/>
      <c r="T349" s="110"/>
      <c r="U349" s="110"/>
      <c r="V349" s="110"/>
      <c r="W349" s="433">
        <v>13</v>
      </c>
      <c r="X349" s="111">
        <v>773.33333333333337</v>
      </c>
      <c r="Y349" s="110"/>
      <c r="Z349" s="110"/>
      <c r="AA349" s="110"/>
      <c r="AB349" s="110"/>
      <c r="AC349" s="433">
        <v>12</v>
      </c>
      <c r="AD349" s="111">
        <v>773.33333333333337</v>
      </c>
      <c r="AE349" s="110"/>
      <c r="AF349" s="110"/>
      <c r="AG349" s="110"/>
      <c r="AH349" s="1048"/>
    </row>
    <row r="350" spans="1:34" ht="45" x14ac:dyDescent="0.25">
      <c r="A350" s="1047"/>
      <c r="B350" s="110" t="s">
        <v>3741</v>
      </c>
      <c r="C350" s="110"/>
      <c r="D350" s="433">
        <v>50</v>
      </c>
      <c r="E350" s="207" t="s">
        <v>1767</v>
      </c>
      <c r="F350" s="1178" t="s">
        <v>4353</v>
      </c>
      <c r="G350" s="1056" t="s">
        <v>4306</v>
      </c>
      <c r="H350" s="433" t="s">
        <v>3478</v>
      </c>
      <c r="I350" s="111">
        <v>46.4</v>
      </c>
      <c r="J350" s="111">
        <v>2320</v>
      </c>
      <c r="K350" s="110"/>
      <c r="L350" s="110"/>
      <c r="M350" s="110"/>
      <c r="N350" s="110"/>
      <c r="O350" s="110"/>
      <c r="P350" s="110"/>
      <c r="Q350" s="433">
        <v>25</v>
      </c>
      <c r="R350" s="111">
        <v>773.33333333333337</v>
      </c>
      <c r="S350" s="110"/>
      <c r="T350" s="110"/>
      <c r="U350" s="110"/>
      <c r="V350" s="110"/>
      <c r="W350" s="433">
        <v>13</v>
      </c>
      <c r="X350" s="111">
        <v>773.33333333333337</v>
      </c>
      <c r="Y350" s="110"/>
      <c r="Z350" s="110"/>
      <c r="AA350" s="110"/>
      <c r="AB350" s="110"/>
      <c r="AC350" s="433">
        <v>12</v>
      </c>
      <c r="AD350" s="111">
        <v>773.33333333333337</v>
      </c>
      <c r="AE350" s="110"/>
      <c r="AF350" s="110"/>
      <c r="AG350" s="110"/>
      <c r="AH350" s="1048"/>
    </row>
    <row r="351" spans="1:34" ht="45" x14ac:dyDescent="0.25">
      <c r="A351" s="1047"/>
      <c r="B351" s="110" t="s">
        <v>3742</v>
      </c>
      <c r="C351" s="110"/>
      <c r="D351" s="433">
        <v>50</v>
      </c>
      <c r="E351" s="207" t="s">
        <v>1767</v>
      </c>
      <c r="F351" s="1178" t="s">
        <v>4353</v>
      </c>
      <c r="G351" s="1056" t="s">
        <v>4306</v>
      </c>
      <c r="H351" s="433" t="s">
        <v>3478</v>
      </c>
      <c r="I351" s="111">
        <v>46.4</v>
      </c>
      <c r="J351" s="111">
        <v>2320</v>
      </c>
      <c r="K351" s="110"/>
      <c r="L351" s="110"/>
      <c r="M351" s="110"/>
      <c r="N351" s="110"/>
      <c r="O351" s="110"/>
      <c r="P351" s="110"/>
      <c r="Q351" s="433">
        <v>25</v>
      </c>
      <c r="R351" s="111">
        <v>773.33333333333337</v>
      </c>
      <c r="S351" s="110"/>
      <c r="T351" s="110"/>
      <c r="U351" s="110"/>
      <c r="V351" s="110"/>
      <c r="W351" s="433">
        <v>13</v>
      </c>
      <c r="X351" s="111">
        <v>773.33333333333337</v>
      </c>
      <c r="Y351" s="110"/>
      <c r="Z351" s="110"/>
      <c r="AA351" s="110"/>
      <c r="AB351" s="110"/>
      <c r="AC351" s="433">
        <v>12</v>
      </c>
      <c r="AD351" s="111">
        <v>773.33333333333337</v>
      </c>
      <c r="AE351" s="110"/>
      <c r="AF351" s="110"/>
      <c r="AG351" s="110"/>
      <c r="AH351" s="1048"/>
    </row>
    <row r="352" spans="1:34" ht="45" x14ac:dyDescent="0.25">
      <c r="A352" s="1047"/>
      <c r="B352" s="110" t="s">
        <v>3743</v>
      </c>
      <c r="C352" s="110"/>
      <c r="D352" s="433">
        <v>50</v>
      </c>
      <c r="E352" s="207" t="s">
        <v>1767</v>
      </c>
      <c r="F352" s="1178" t="s">
        <v>4353</v>
      </c>
      <c r="G352" s="1056" t="s">
        <v>4306</v>
      </c>
      <c r="H352" s="433" t="s">
        <v>3478</v>
      </c>
      <c r="I352" s="111">
        <v>46.4</v>
      </c>
      <c r="J352" s="111">
        <v>2320</v>
      </c>
      <c r="K352" s="110"/>
      <c r="L352" s="110"/>
      <c r="M352" s="110"/>
      <c r="N352" s="110"/>
      <c r="O352" s="110"/>
      <c r="P352" s="110"/>
      <c r="Q352" s="433">
        <v>25</v>
      </c>
      <c r="R352" s="111">
        <v>773.33333333333337</v>
      </c>
      <c r="S352" s="110"/>
      <c r="T352" s="110"/>
      <c r="U352" s="110"/>
      <c r="V352" s="110"/>
      <c r="W352" s="433">
        <v>13</v>
      </c>
      <c r="X352" s="111">
        <v>773.33333333333337</v>
      </c>
      <c r="Y352" s="110"/>
      <c r="Z352" s="110"/>
      <c r="AA352" s="110"/>
      <c r="AB352" s="110"/>
      <c r="AC352" s="433">
        <v>12</v>
      </c>
      <c r="AD352" s="111">
        <v>773.33333333333337</v>
      </c>
      <c r="AE352" s="110"/>
      <c r="AF352" s="110"/>
      <c r="AG352" s="110"/>
      <c r="AH352" s="1048"/>
    </row>
    <row r="353" spans="1:34" ht="45" x14ac:dyDescent="0.25">
      <c r="A353" s="1047"/>
      <c r="B353" s="110" t="s">
        <v>3744</v>
      </c>
      <c r="C353" s="110"/>
      <c r="D353" s="433">
        <v>50</v>
      </c>
      <c r="E353" s="207" t="s">
        <v>1767</v>
      </c>
      <c r="F353" s="1178" t="s">
        <v>4353</v>
      </c>
      <c r="G353" s="1056" t="s">
        <v>4306</v>
      </c>
      <c r="H353" s="433" t="s">
        <v>3478</v>
      </c>
      <c r="I353" s="111">
        <v>46.4</v>
      </c>
      <c r="J353" s="111">
        <v>2320</v>
      </c>
      <c r="K353" s="110"/>
      <c r="L353" s="110"/>
      <c r="M353" s="110"/>
      <c r="N353" s="110"/>
      <c r="O353" s="110"/>
      <c r="P353" s="110"/>
      <c r="Q353" s="433">
        <v>25</v>
      </c>
      <c r="R353" s="111">
        <v>773.33333333333337</v>
      </c>
      <c r="S353" s="110"/>
      <c r="T353" s="110"/>
      <c r="U353" s="110"/>
      <c r="V353" s="110"/>
      <c r="W353" s="433">
        <v>13</v>
      </c>
      <c r="X353" s="111">
        <v>773.33333333333337</v>
      </c>
      <c r="Y353" s="110"/>
      <c r="Z353" s="110"/>
      <c r="AA353" s="110"/>
      <c r="AB353" s="110"/>
      <c r="AC353" s="433">
        <v>12</v>
      </c>
      <c r="AD353" s="111">
        <v>773.33333333333337</v>
      </c>
      <c r="AE353" s="110"/>
      <c r="AF353" s="110"/>
      <c r="AG353" s="110"/>
      <c r="AH353" s="1048"/>
    </row>
    <row r="354" spans="1:34" ht="45" x14ac:dyDescent="0.25">
      <c r="A354" s="1047"/>
      <c r="B354" s="110" t="s">
        <v>3745</v>
      </c>
      <c r="C354" s="110"/>
      <c r="D354" s="433">
        <v>50</v>
      </c>
      <c r="E354" s="207" t="s">
        <v>1767</v>
      </c>
      <c r="F354" s="1178" t="s">
        <v>4353</v>
      </c>
      <c r="G354" s="1056" t="s">
        <v>4306</v>
      </c>
      <c r="H354" s="433" t="s">
        <v>3478</v>
      </c>
      <c r="I354" s="111">
        <v>46.4</v>
      </c>
      <c r="J354" s="111">
        <v>2320</v>
      </c>
      <c r="K354" s="110"/>
      <c r="L354" s="110"/>
      <c r="M354" s="110"/>
      <c r="N354" s="110"/>
      <c r="O354" s="110"/>
      <c r="P354" s="110"/>
      <c r="Q354" s="433">
        <v>25</v>
      </c>
      <c r="R354" s="111">
        <v>773.33333333333337</v>
      </c>
      <c r="S354" s="110"/>
      <c r="T354" s="110"/>
      <c r="U354" s="110"/>
      <c r="V354" s="110"/>
      <c r="W354" s="433">
        <v>13</v>
      </c>
      <c r="X354" s="111">
        <v>773.33333333333337</v>
      </c>
      <c r="Y354" s="110"/>
      <c r="Z354" s="110"/>
      <c r="AA354" s="110"/>
      <c r="AB354" s="110"/>
      <c r="AC354" s="433">
        <v>12</v>
      </c>
      <c r="AD354" s="111">
        <v>773.33333333333337</v>
      </c>
      <c r="AE354" s="110"/>
      <c r="AF354" s="110"/>
      <c r="AG354" s="110"/>
      <c r="AH354" s="1048"/>
    </row>
    <row r="355" spans="1:34" ht="45" x14ac:dyDescent="0.25">
      <c r="A355" s="1047"/>
      <c r="B355" s="110" t="s">
        <v>3746</v>
      </c>
      <c r="C355" s="110"/>
      <c r="D355" s="433">
        <v>50</v>
      </c>
      <c r="E355" s="207" t="s">
        <v>1767</v>
      </c>
      <c r="F355" s="1178" t="s">
        <v>4353</v>
      </c>
      <c r="G355" s="1056" t="s">
        <v>4306</v>
      </c>
      <c r="H355" s="433" t="s">
        <v>3478</v>
      </c>
      <c r="I355" s="111">
        <v>46.4</v>
      </c>
      <c r="J355" s="111">
        <v>2320</v>
      </c>
      <c r="K355" s="110"/>
      <c r="L355" s="110"/>
      <c r="M355" s="110"/>
      <c r="N355" s="110"/>
      <c r="O355" s="110"/>
      <c r="P355" s="110"/>
      <c r="Q355" s="433">
        <v>25</v>
      </c>
      <c r="R355" s="111">
        <v>773.33333333333337</v>
      </c>
      <c r="S355" s="110"/>
      <c r="T355" s="110"/>
      <c r="U355" s="110"/>
      <c r="V355" s="110"/>
      <c r="W355" s="433">
        <v>13</v>
      </c>
      <c r="X355" s="111">
        <v>773.33333333333337</v>
      </c>
      <c r="Y355" s="110"/>
      <c r="Z355" s="110"/>
      <c r="AA355" s="110"/>
      <c r="AB355" s="110"/>
      <c r="AC355" s="433">
        <v>12</v>
      </c>
      <c r="AD355" s="111">
        <v>773.33333333333337</v>
      </c>
      <c r="AE355" s="110"/>
      <c r="AF355" s="110"/>
      <c r="AG355" s="110"/>
      <c r="AH355" s="1048"/>
    </row>
    <row r="356" spans="1:34" ht="45" x14ac:dyDescent="0.25">
      <c r="A356" s="1047"/>
      <c r="B356" s="110" t="s">
        <v>3747</v>
      </c>
      <c r="C356" s="110"/>
      <c r="D356" s="433">
        <v>50</v>
      </c>
      <c r="E356" s="207" t="s">
        <v>1767</v>
      </c>
      <c r="F356" s="1178" t="s">
        <v>4353</v>
      </c>
      <c r="G356" s="1056" t="s">
        <v>4306</v>
      </c>
      <c r="H356" s="433" t="s">
        <v>3478</v>
      </c>
      <c r="I356" s="111">
        <v>46.4</v>
      </c>
      <c r="J356" s="111">
        <v>2320</v>
      </c>
      <c r="K356" s="110"/>
      <c r="L356" s="110"/>
      <c r="M356" s="110"/>
      <c r="N356" s="110"/>
      <c r="O356" s="110"/>
      <c r="P356" s="110"/>
      <c r="Q356" s="433">
        <v>25</v>
      </c>
      <c r="R356" s="111">
        <v>773.33333333333337</v>
      </c>
      <c r="S356" s="110"/>
      <c r="T356" s="110"/>
      <c r="U356" s="110"/>
      <c r="V356" s="110"/>
      <c r="W356" s="433">
        <v>13</v>
      </c>
      <c r="X356" s="111">
        <v>773.33333333333337</v>
      </c>
      <c r="Y356" s="110"/>
      <c r="Z356" s="110"/>
      <c r="AA356" s="110"/>
      <c r="AB356" s="110"/>
      <c r="AC356" s="433">
        <v>12</v>
      </c>
      <c r="AD356" s="111">
        <v>773.33333333333337</v>
      </c>
      <c r="AE356" s="110"/>
      <c r="AF356" s="110"/>
      <c r="AG356" s="110"/>
      <c r="AH356" s="1048"/>
    </row>
    <row r="357" spans="1:34" ht="45" x14ac:dyDescent="0.25">
      <c r="A357" s="1047"/>
      <c r="B357" s="110" t="s">
        <v>3748</v>
      </c>
      <c r="C357" s="110"/>
      <c r="D357" s="433">
        <v>33</v>
      </c>
      <c r="E357" s="207" t="s">
        <v>1767</v>
      </c>
      <c r="F357" s="1178" t="s">
        <v>4353</v>
      </c>
      <c r="G357" s="1056" t="s">
        <v>4306</v>
      </c>
      <c r="H357" s="433" t="s">
        <v>3478</v>
      </c>
      <c r="I357" s="111">
        <v>31.319999999999997</v>
      </c>
      <c r="J357" s="111">
        <v>1033.56</v>
      </c>
      <c r="K357" s="110"/>
      <c r="L357" s="110"/>
      <c r="M357" s="110"/>
      <c r="N357" s="110"/>
      <c r="O357" s="110"/>
      <c r="P357" s="110"/>
      <c r="Q357" s="433">
        <v>17</v>
      </c>
      <c r="R357" s="111">
        <v>344.52</v>
      </c>
      <c r="S357" s="110"/>
      <c r="T357" s="110"/>
      <c r="U357" s="110"/>
      <c r="V357" s="110"/>
      <c r="W357" s="433">
        <v>8</v>
      </c>
      <c r="X357" s="111">
        <v>344.52</v>
      </c>
      <c r="Y357" s="110"/>
      <c r="Z357" s="110"/>
      <c r="AA357" s="110"/>
      <c r="AB357" s="110"/>
      <c r="AC357" s="433">
        <v>8</v>
      </c>
      <c r="AD357" s="111">
        <v>344.52</v>
      </c>
      <c r="AE357" s="110"/>
      <c r="AF357" s="110"/>
      <c r="AG357" s="110"/>
      <c r="AH357" s="1048"/>
    </row>
    <row r="358" spans="1:34" ht="45" x14ac:dyDescent="0.25">
      <c r="A358" s="1047"/>
      <c r="B358" s="110" t="s">
        <v>3749</v>
      </c>
      <c r="C358" s="110"/>
      <c r="D358" s="433">
        <v>33</v>
      </c>
      <c r="E358" s="207" t="s">
        <v>1767</v>
      </c>
      <c r="F358" s="1178" t="s">
        <v>4353</v>
      </c>
      <c r="G358" s="1056" t="s">
        <v>4306</v>
      </c>
      <c r="H358" s="433" t="s">
        <v>3478</v>
      </c>
      <c r="I358" s="111">
        <v>31.319999999999997</v>
      </c>
      <c r="J358" s="111">
        <v>1033.56</v>
      </c>
      <c r="K358" s="110"/>
      <c r="L358" s="110"/>
      <c r="M358" s="110"/>
      <c r="N358" s="110"/>
      <c r="O358" s="110"/>
      <c r="P358" s="110"/>
      <c r="Q358" s="433">
        <v>17</v>
      </c>
      <c r="R358" s="111">
        <v>344.52</v>
      </c>
      <c r="S358" s="110"/>
      <c r="T358" s="110"/>
      <c r="U358" s="110"/>
      <c r="V358" s="110"/>
      <c r="W358" s="433">
        <v>8</v>
      </c>
      <c r="X358" s="111">
        <v>344.52</v>
      </c>
      <c r="Y358" s="110"/>
      <c r="Z358" s="110"/>
      <c r="AA358" s="110"/>
      <c r="AB358" s="110"/>
      <c r="AC358" s="433">
        <v>8</v>
      </c>
      <c r="AD358" s="111">
        <v>344.52</v>
      </c>
      <c r="AE358" s="110"/>
      <c r="AF358" s="110"/>
      <c r="AG358" s="110"/>
      <c r="AH358" s="1048"/>
    </row>
    <row r="359" spans="1:34" ht="45" x14ac:dyDescent="0.25">
      <c r="A359" s="1047"/>
      <c r="B359" s="110" t="s">
        <v>3750</v>
      </c>
      <c r="C359" s="110"/>
      <c r="D359" s="433">
        <v>33</v>
      </c>
      <c r="E359" s="207" t="s">
        <v>1767</v>
      </c>
      <c r="F359" s="1178" t="s">
        <v>4353</v>
      </c>
      <c r="G359" s="1056" t="s">
        <v>4306</v>
      </c>
      <c r="H359" s="433" t="s">
        <v>3478</v>
      </c>
      <c r="I359" s="111">
        <v>31.319999999999997</v>
      </c>
      <c r="J359" s="111">
        <v>1033.56</v>
      </c>
      <c r="K359" s="110"/>
      <c r="L359" s="110"/>
      <c r="M359" s="110"/>
      <c r="N359" s="110"/>
      <c r="O359" s="110"/>
      <c r="P359" s="110"/>
      <c r="Q359" s="433">
        <v>17</v>
      </c>
      <c r="R359" s="111">
        <v>344.52</v>
      </c>
      <c r="S359" s="110"/>
      <c r="T359" s="110"/>
      <c r="U359" s="110"/>
      <c r="V359" s="110"/>
      <c r="W359" s="433">
        <v>8</v>
      </c>
      <c r="X359" s="111">
        <v>344.52</v>
      </c>
      <c r="Y359" s="110"/>
      <c r="Z359" s="110"/>
      <c r="AA359" s="110"/>
      <c r="AB359" s="110"/>
      <c r="AC359" s="433">
        <v>8</v>
      </c>
      <c r="AD359" s="111">
        <v>344.52</v>
      </c>
      <c r="AE359" s="110"/>
      <c r="AF359" s="110"/>
      <c r="AG359" s="110"/>
      <c r="AH359" s="1048"/>
    </row>
    <row r="360" spans="1:34" ht="45" x14ac:dyDescent="0.25">
      <c r="A360" s="1047"/>
      <c r="B360" s="110" t="s">
        <v>3751</v>
      </c>
      <c r="C360" s="110"/>
      <c r="D360" s="433">
        <v>33</v>
      </c>
      <c r="E360" s="207" t="s">
        <v>1767</v>
      </c>
      <c r="F360" s="1178" t="s">
        <v>4353</v>
      </c>
      <c r="G360" s="1056" t="s">
        <v>4306</v>
      </c>
      <c r="H360" s="433" t="s">
        <v>3478</v>
      </c>
      <c r="I360" s="111">
        <v>31.319999999999997</v>
      </c>
      <c r="J360" s="111">
        <v>1033.56</v>
      </c>
      <c r="K360" s="110"/>
      <c r="L360" s="110"/>
      <c r="M360" s="110"/>
      <c r="N360" s="110"/>
      <c r="O360" s="110"/>
      <c r="P360" s="110"/>
      <c r="Q360" s="433">
        <v>17</v>
      </c>
      <c r="R360" s="111">
        <v>344.52</v>
      </c>
      <c r="S360" s="110"/>
      <c r="T360" s="110"/>
      <c r="U360" s="110"/>
      <c r="V360" s="110"/>
      <c r="W360" s="433">
        <v>8</v>
      </c>
      <c r="X360" s="111">
        <v>344.52</v>
      </c>
      <c r="Y360" s="110"/>
      <c r="Z360" s="110"/>
      <c r="AA360" s="110"/>
      <c r="AB360" s="110"/>
      <c r="AC360" s="433">
        <v>8</v>
      </c>
      <c r="AD360" s="111">
        <v>344.52</v>
      </c>
      <c r="AE360" s="110"/>
      <c r="AF360" s="110"/>
      <c r="AG360" s="110"/>
      <c r="AH360" s="1048"/>
    </row>
    <row r="361" spans="1:34" ht="45" x14ac:dyDescent="0.25">
      <c r="A361" s="1047"/>
      <c r="B361" s="110" t="s">
        <v>3752</v>
      </c>
      <c r="C361" s="110"/>
      <c r="D361" s="433">
        <v>33</v>
      </c>
      <c r="E361" s="207" t="s">
        <v>1767</v>
      </c>
      <c r="F361" s="1178" t="s">
        <v>4353</v>
      </c>
      <c r="G361" s="1056" t="s">
        <v>4306</v>
      </c>
      <c r="H361" s="433" t="s">
        <v>3478</v>
      </c>
      <c r="I361" s="111">
        <v>31.319999999999997</v>
      </c>
      <c r="J361" s="111">
        <v>1033.56</v>
      </c>
      <c r="K361" s="110"/>
      <c r="L361" s="110"/>
      <c r="M361" s="110"/>
      <c r="N361" s="110"/>
      <c r="O361" s="110"/>
      <c r="P361" s="110"/>
      <c r="Q361" s="433">
        <v>17</v>
      </c>
      <c r="R361" s="111">
        <v>344.52</v>
      </c>
      <c r="S361" s="110"/>
      <c r="T361" s="110"/>
      <c r="U361" s="110"/>
      <c r="V361" s="110"/>
      <c r="W361" s="433">
        <v>8</v>
      </c>
      <c r="X361" s="111">
        <v>344.52</v>
      </c>
      <c r="Y361" s="110"/>
      <c r="Z361" s="110"/>
      <c r="AA361" s="110"/>
      <c r="AB361" s="110"/>
      <c r="AC361" s="433">
        <v>8</v>
      </c>
      <c r="AD361" s="111">
        <v>344.52</v>
      </c>
      <c r="AE361" s="110"/>
      <c r="AF361" s="110"/>
      <c r="AG361" s="110"/>
      <c r="AH361" s="1048"/>
    </row>
    <row r="362" spans="1:34" ht="45" x14ac:dyDescent="0.25">
      <c r="A362" s="1047"/>
      <c r="B362" s="110" t="s">
        <v>3753</v>
      </c>
      <c r="C362" s="110"/>
      <c r="D362" s="433">
        <v>33</v>
      </c>
      <c r="E362" s="207" t="s">
        <v>1767</v>
      </c>
      <c r="F362" s="1178" t="s">
        <v>4353</v>
      </c>
      <c r="G362" s="1056" t="s">
        <v>4306</v>
      </c>
      <c r="H362" s="433" t="s">
        <v>3478</v>
      </c>
      <c r="I362" s="111">
        <v>31.319999999999997</v>
      </c>
      <c r="J362" s="111">
        <v>1033.56</v>
      </c>
      <c r="K362" s="110"/>
      <c r="L362" s="110"/>
      <c r="M362" s="110"/>
      <c r="N362" s="110"/>
      <c r="O362" s="110"/>
      <c r="P362" s="110"/>
      <c r="Q362" s="433">
        <v>17</v>
      </c>
      <c r="R362" s="111">
        <v>344.52</v>
      </c>
      <c r="S362" s="110"/>
      <c r="T362" s="110"/>
      <c r="U362" s="110"/>
      <c r="V362" s="110"/>
      <c r="W362" s="433">
        <v>8</v>
      </c>
      <c r="X362" s="111">
        <v>344.52</v>
      </c>
      <c r="Y362" s="110"/>
      <c r="Z362" s="110"/>
      <c r="AA362" s="110"/>
      <c r="AB362" s="110"/>
      <c r="AC362" s="433">
        <v>8</v>
      </c>
      <c r="AD362" s="111">
        <v>344.52</v>
      </c>
      <c r="AE362" s="110"/>
      <c r="AF362" s="110"/>
      <c r="AG362" s="110"/>
      <c r="AH362" s="1048"/>
    </row>
    <row r="363" spans="1:34" ht="45" x14ac:dyDescent="0.25">
      <c r="A363" s="1047"/>
      <c r="B363" s="110" t="s">
        <v>3754</v>
      </c>
      <c r="C363" s="110"/>
      <c r="D363" s="433">
        <v>33</v>
      </c>
      <c r="E363" s="207" t="s">
        <v>1767</v>
      </c>
      <c r="F363" s="1178" t="s">
        <v>4353</v>
      </c>
      <c r="G363" s="1056" t="s">
        <v>4306</v>
      </c>
      <c r="H363" s="433" t="s">
        <v>3478</v>
      </c>
      <c r="I363" s="111">
        <v>31.319999999999997</v>
      </c>
      <c r="J363" s="111">
        <v>1033.56</v>
      </c>
      <c r="K363" s="110"/>
      <c r="L363" s="110"/>
      <c r="M363" s="110"/>
      <c r="N363" s="110"/>
      <c r="O363" s="110"/>
      <c r="P363" s="110"/>
      <c r="Q363" s="433">
        <v>17</v>
      </c>
      <c r="R363" s="111">
        <v>344.52</v>
      </c>
      <c r="S363" s="110"/>
      <c r="T363" s="110"/>
      <c r="U363" s="110"/>
      <c r="V363" s="110"/>
      <c r="W363" s="433">
        <v>8</v>
      </c>
      <c r="X363" s="111">
        <v>344.52</v>
      </c>
      <c r="Y363" s="110"/>
      <c r="Z363" s="110"/>
      <c r="AA363" s="110"/>
      <c r="AB363" s="110"/>
      <c r="AC363" s="433">
        <v>8</v>
      </c>
      <c r="AD363" s="111">
        <v>344.52</v>
      </c>
      <c r="AE363" s="110"/>
      <c r="AF363" s="110"/>
      <c r="AG363" s="110"/>
      <c r="AH363" s="1048"/>
    </row>
    <row r="364" spans="1:34" ht="45" x14ac:dyDescent="0.25">
      <c r="A364" s="1047"/>
      <c r="B364" s="110" t="s">
        <v>3755</v>
      </c>
      <c r="C364" s="110"/>
      <c r="D364" s="433">
        <v>33</v>
      </c>
      <c r="E364" s="207" t="s">
        <v>1767</v>
      </c>
      <c r="F364" s="1178" t="s">
        <v>4353</v>
      </c>
      <c r="G364" s="1056" t="s">
        <v>4306</v>
      </c>
      <c r="H364" s="433" t="s">
        <v>3478</v>
      </c>
      <c r="I364" s="111">
        <v>31.319999999999997</v>
      </c>
      <c r="J364" s="111">
        <v>1033.56</v>
      </c>
      <c r="K364" s="110"/>
      <c r="L364" s="110"/>
      <c r="M364" s="110"/>
      <c r="N364" s="110"/>
      <c r="O364" s="110"/>
      <c r="P364" s="110"/>
      <c r="Q364" s="433">
        <v>17</v>
      </c>
      <c r="R364" s="111">
        <v>344.52</v>
      </c>
      <c r="S364" s="110"/>
      <c r="T364" s="110"/>
      <c r="U364" s="110"/>
      <c r="V364" s="110"/>
      <c r="W364" s="433">
        <v>8</v>
      </c>
      <c r="X364" s="111">
        <v>344.52</v>
      </c>
      <c r="Y364" s="110"/>
      <c r="Z364" s="110"/>
      <c r="AA364" s="110"/>
      <c r="AB364" s="110"/>
      <c r="AC364" s="433">
        <v>8</v>
      </c>
      <c r="AD364" s="111">
        <v>344.52</v>
      </c>
      <c r="AE364" s="110"/>
      <c r="AF364" s="110"/>
      <c r="AG364" s="110"/>
      <c r="AH364" s="1048"/>
    </row>
    <row r="365" spans="1:34" ht="45" x14ac:dyDescent="0.25">
      <c r="A365" s="1047"/>
      <c r="B365" s="110" t="s">
        <v>3756</v>
      </c>
      <c r="C365" s="110"/>
      <c r="D365" s="433">
        <v>36</v>
      </c>
      <c r="E365" s="207" t="s">
        <v>1767</v>
      </c>
      <c r="F365" s="1178" t="s">
        <v>4353</v>
      </c>
      <c r="G365" s="1056" t="s">
        <v>4306</v>
      </c>
      <c r="H365" s="433" t="s">
        <v>3478</v>
      </c>
      <c r="I365" s="111">
        <v>31.32</v>
      </c>
      <c r="J365" s="111">
        <v>1127.52</v>
      </c>
      <c r="K365" s="110"/>
      <c r="L365" s="110"/>
      <c r="M365" s="110"/>
      <c r="N365" s="110"/>
      <c r="O365" s="110"/>
      <c r="P365" s="110"/>
      <c r="Q365" s="433">
        <v>20</v>
      </c>
      <c r="R365" s="111">
        <v>375.84</v>
      </c>
      <c r="S365" s="110"/>
      <c r="T365" s="110"/>
      <c r="U365" s="110"/>
      <c r="V365" s="110"/>
      <c r="W365" s="433">
        <v>9</v>
      </c>
      <c r="X365" s="111">
        <v>375.84</v>
      </c>
      <c r="Y365" s="110"/>
      <c r="Z365" s="110"/>
      <c r="AA365" s="110"/>
      <c r="AB365" s="110"/>
      <c r="AC365" s="433">
        <v>7</v>
      </c>
      <c r="AD365" s="111">
        <v>375.84</v>
      </c>
      <c r="AE365" s="110"/>
      <c r="AF365" s="110"/>
      <c r="AG365" s="110"/>
      <c r="AH365" s="1048"/>
    </row>
    <row r="366" spans="1:34" ht="45" x14ac:dyDescent="0.25">
      <c r="A366" s="1047"/>
      <c r="B366" s="110" t="s">
        <v>3757</v>
      </c>
      <c r="C366" s="110"/>
      <c r="D366" s="433">
        <v>33</v>
      </c>
      <c r="E366" s="207" t="s">
        <v>1767</v>
      </c>
      <c r="F366" s="1178" t="s">
        <v>4353</v>
      </c>
      <c r="G366" s="1056" t="s">
        <v>4306</v>
      </c>
      <c r="H366" s="433" t="s">
        <v>3478</v>
      </c>
      <c r="I366" s="111">
        <v>57.999999999999993</v>
      </c>
      <c r="J366" s="111">
        <v>1913.9999999999998</v>
      </c>
      <c r="K366" s="110"/>
      <c r="L366" s="110"/>
      <c r="M366" s="110"/>
      <c r="N366" s="110"/>
      <c r="O366" s="110"/>
      <c r="P366" s="110"/>
      <c r="Q366" s="433">
        <v>17</v>
      </c>
      <c r="R366" s="111">
        <v>637.99999999999989</v>
      </c>
      <c r="S366" s="110"/>
      <c r="T366" s="110"/>
      <c r="U366" s="110"/>
      <c r="V366" s="110"/>
      <c r="W366" s="433">
        <v>8</v>
      </c>
      <c r="X366" s="111">
        <v>637.99999999999989</v>
      </c>
      <c r="Y366" s="110"/>
      <c r="Z366" s="110"/>
      <c r="AA366" s="110"/>
      <c r="AB366" s="110"/>
      <c r="AC366" s="433">
        <v>8</v>
      </c>
      <c r="AD366" s="111">
        <v>637.99999999999989</v>
      </c>
      <c r="AE366" s="110"/>
      <c r="AF366" s="110"/>
      <c r="AG366" s="110"/>
      <c r="AH366" s="1048"/>
    </row>
    <row r="367" spans="1:34" ht="45" x14ac:dyDescent="0.25">
      <c r="A367" s="1047"/>
      <c r="B367" s="110" t="s">
        <v>3758</v>
      </c>
      <c r="C367" s="110"/>
      <c r="D367" s="433">
        <v>33</v>
      </c>
      <c r="E367" s="207" t="s">
        <v>1767</v>
      </c>
      <c r="F367" s="1178" t="s">
        <v>4353</v>
      </c>
      <c r="G367" s="1056" t="s">
        <v>4306</v>
      </c>
      <c r="H367" s="433" t="s">
        <v>3478</v>
      </c>
      <c r="I367" s="111">
        <v>57.999999999999993</v>
      </c>
      <c r="J367" s="111">
        <v>1913.9999999999998</v>
      </c>
      <c r="K367" s="110"/>
      <c r="L367" s="110"/>
      <c r="M367" s="110"/>
      <c r="N367" s="110"/>
      <c r="O367" s="110"/>
      <c r="P367" s="110"/>
      <c r="Q367" s="433">
        <v>17</v>
      </c>
      <c r="R367" s="111">
        <v>637.99999999999989</v>
      </c>
      <c r="S367" s="110"/>
      <c r="T367" s="110"/>
      <c r="U367" s="110"/>
      <c r="V367" s="110"/>
      <c r="W367" s="433">
        <v>8</v>
      </c>
      <c r="X367" s="111">
        <v>637.99999999999989</v>
      </c>
      <c r="Y367" s="110"/>
      <c r="Z367" s="110"/>
      <c r="AA367" s="110"/>
      <c r="AB367" s="110"/>
      <c r="AC367" s="433">
        <v>8</v>
      </c>
      <c r="AD367" s="111">
        <v>637.99999999999989</v>
      </c>
      <c r="AE367" s="110"/>
      <c r="AF367" s="110"/>
      <c r="AG367" s="110"/>
      <c r="AH367" s="1048"/>
    </row>
    <row r="368" spans="1:34" ht="45" x14ac:dyDescent="0.25">
      <c r="A368" s="1047"/>
      <c r="B368" s="110" t="s">
        <v>3759</v>
      </c>
      <c r="C368" s="110"/>
      <c r="D368" s="433">
        <v>33</v>
      </c>
      <c r="E368" s="207" t="s">
        <v>1767</v>
      </c>
      <c r="F368" s="1178" t="s">
        <v>4353</v>
      </c>
      <c r="G368" s="1056" t="s">
        <v>4306</v>
      </c>
      <c r="H368" s="433" t="s">
        <v>3478</v>
      </c>
      <c r="I368" s="111">
        <v>57.999999999999993</v>
      </c>
      <c r="J368" s="111">
        <v>1913.9999999999998</v>
      </c>
      <c r="K368" s="110"/>
      <c r="L368" s="110"/>
      <c r="M368" s="110"/>
      <c r="N368" s="110"/>
      <c r="O368" s="110"/>
      <c r="P368" s="110"/>
      <c r="Q368" s="433">
        <v>17</v>
      </c>
      <c r="R368" s="111">
        <v>637.99999999999989</v>
      </c>
      <c r="S368" s="110"/>
      <c r="T368" s="110"/>
      <c r="U368" s="110"/>
      <c r="V368" s="110"/>
      <c r="W368" s="433">
        <v>8</v>
      </c>
      <c r="X368" s="111">
        <v>637.99999999999989</v>
      </c>
      <c r="Y368" s="110"/>
      <c r="Z368" s="110"/>
      <c r="AA368" s="110"/>
      <c r="AB368" s="110"/>
      <c r="AC368" s="433">
        <v>8</v>
      </c>
      <c r="AD368" s="111">
        <v>637.99999999999989</v>
      </c>
      <c r="AE368" s="110"/>
      <c r="AF368" s="110"/>
      <c r="AG368" s="110"/>
      <c r="AH368" s="1048"/>
    </row>
    <row r="369" spans="1:34" ht="45" x14ac:dyDescent="0.25">
      <c r="A369" s="1047"/>
      <c r="B369" s="110" t="s">
        <v>3760</v>
      </c>
      <c r="C369" s="110"/>
      <c r="D369" s="433">
        <v>33</v>
      </c>
      <c r="E369" s="207" t="s">
        <v>1767</v>
      </c>
      <c r="F369" s="1178" t="s">
        <v>4353</v>
      </c>
      <c r="G369" s="1056" t="s">
        <v>4306</v>
      </c>
      <c r="H369" s="433" t="s">
        <v>3478</v>
      </c>
      <c r="I369" s="111">
        <v>57.999999999999993</v>
      </c>
      <c r="J369" s="111">
        <v>1913.9999999999998</v>
      </c>
      <c r="K369" s="110"/>
      <c r="L369" s="110"/>
      <c r="M369" s="110"/>
      <c r="N369" s="110"/>
      <c r="O369" s="110"/>
      <c r="P369" s="110"/>
      <c r="Q369" s="433">
        <v>17</v>
      </c>
      <c r="R369" s="111">
        <v>637.99999999999989</v>
      </c>
      <c r="S369" s="110"/>
      <c r="T369" s="110"/>
      <c r="U369" s="110"/>
      <c r="V369" s="110"/>
      <c r="W369" s="433">
        <v>8</v>
      </c>
      <c r="X369" s="111">
        <v>637.99999999999989</v>
      </c>
      <c r="Y369" s="110"/>
      <c r="Z369" s="110"/>
      <c r="AA369" s="110"/>
      <c r="AB369" s="110"/>
      <c r="AC369" s="433">
        <v>8</v>
      </c>
      <c r="AD369" s="111">
        <v>637.99999999999989</v>
      </c>
      <c r="AE369" s="110"/>
      <c r="AF369" s="110"/>
      <c r="AG369" s="110"/>
      <c r="AH369" s="1048"/>
    </row>
    <row r="370" spans="1:34" ht="45" x14ac:dyDescent="0.25">
      <c r="A370" s="1047"/>
      <c r="B370" s="110" t="s">
        <v>3761</v>
      </c>
      <c r="C370" s="110"/>
      <c r="D370" s="433">
        <v>33</v>
      </c>
      <c r="E370" s="207" t="s">
        <v>1767</v>
      </c>
      <c r="F370" s="1178" t="s">
        <v>4353</v>
      </c>
      <c r="G370" s="1056" t="s">
        <v>4306</v>
      </c>
      <c r="H370" s="433" t="s">
        <v>3478</v>
      </c>
      <c r="I370" s="111">
        <v>57.999999999999993</v>
      </c>
      <c r="J370" s="111">
        <v>1913.9999999999998</v>
      </c>
      <c r="K370" s="110"/>
      <c r="L370" s="110"/>
      <c r="M370" s="110"/>
      <c r="N370" s="110"/>
      <c r="O370" s="110"/>
      <c r="P370" s="110"/>
      <c r="Q370" s="433">
        <v>17</v>
      </c>
      <c r="R370" s="111">
        <v>637.99999999999989</v>
      </c>
      <c r="S370" s="110"/>
      <c r="T370" s="110"/>
      <c r="U370" s="110"/>
      <c r="V370" s="110"/>
      <c r="W370" s="433">
        <v>8</v>
      </c>
      <c r="X370" s="111">
        <v>637.99999999999989</v>
      </c>
      <c r="Y370" s="110"/>
      <c r="Z370" s="110"/>
      <c r="AA370" s="110"/>
      <c r="AB370" s="110"/>
      <c r="AC370" s="433">
        <v>8</v>
      </c>
      <c r="AD370" s="111">
        <v>637.99999999999989</v>
      </c>
      <c r="AE370" s="110"/>
      <c r="AF370" s="110"/>
      <c r="AG370" s="110"/>
      <c r="AH370" s="1048"/>
    </row>
    <row r="371" spans="1:34" ht="45" x14ac:dyDescent="0.25">
      <c r="A371" s="1047"/>
      <c r="B371" s="110" t="s">
        <v>3762</v>
      </c>
      <c r="C371" s="110"/>
      <c r="D371" s="433">
        <v>33</v>
      </c>
      <c r="E371" s="207" t="s">
        <v>1767</v>
      </c>
      <c r="F371" s="1178" t="s">
        <v>4353</v>
      </c>
      <c r="G371" s="1056" t="s">
        <v>4306</v>
      </c>
      <c r="H371" s="433" t="s">
        <v>3478</v>
      </c>
      <c r="I371" s="111">
        <v>57.999999999999993</v>
      </c>
      <c r="J371" s="111">
        <v>1913.9999999999998</v>
      </c>
      <c r="K371" s="110"/>
      <c r="L371" s="110"/>
      <c r="M371" s="110"/>
      <c r="N371" s="110"/>
      <c r="O371" s="110"/>
      <c r="P371" s="110"/>
      <c r="Q371" s="433">
        <v>17</v>
      </c>
      <c r="R371" s="111">
        <v>637.99999999999989</v>
      </c>
      <c r="S371" s="110"/>
      <c r="T371" s="110"/>
      <c r="U371" s="110"/>
      <c r="V371" s="110"/>
      <c r="W371" s="433">
        <v>8</v>
      </c>
      <c r="X371" s="111">
        <v>637.99999999999989</v>
      </c>
      <c r="Y371" s="110"/>
      <c r="Z371" s="110"/>
      <c r="AA371" s="110"/>
      <c r="AB371" s="110"/>
      <c r="AC371" s="433">
        <v>8</v>
      </c>
      <c r="AD371" s="111">
        <v>637.99999999999989</v>
      </c>
      <c r="AE371" s="110"/>
      <c r="AF371" s="110"/>
      <c r="AG371" s="110"/>
      <c r="AH371" s="1048"/>
    </row>
    <row r="372" spans="1:34" ht="45" x14ac:dyDescent="0.25">
      <c r="A372" s="1047"/>
      <c r="B372" s="110" t="s">
        <v>3763</v>
      </c>
      <c r="C372" s="110"/>
      <c r="D372" s="433">
        <v>33</v>
      </c>
      <c r="E372" s="207" t="s">
        <v>1767</v>
      </c>
      <c r="F372" s="1178" t="s">
        <v>4353</v>
      </c>
      <c r="G372" s="1056" t="s">
        <v>4306</v>
      </c>
      <c r="H372" s="433" t="s">
        <v>3478</v>
      </c>
      <c r="I372" s="111">
        <v>57.999999999999993</v>
      </c>
      <c r="J372" s="111">
        <v>1913.9999999999998</v>
      </c>
      <c r="K372" s="110"/>
      <c r="L372" s="110"/>
      <c r="M372" s="110"/>
      <c r="N372" s="110"/>
      <c r="O372" s="110"/>
      <c r="P372" s="110"/>
      <c r="Q372" s="433">
        <v>17</v>
      </c>
      <c r="R372" s="111">
        <v>637.99999999999989</v>
      </c>
      <c r="S372" s="110"/>
      <c r="T372" s="110"/>
      <c r="U372" s="110"/>
      <c r="V372" s="110"/>
      <c r="W372" s="433">
        <v>8</v>
      </c>
      <c r="X372" s="111">
        <v>637.99999999999989</v>
      </c>
      <c r="Y372" s="110"/>
      <c r="Z372" s="110"/>
      <c r="AA372" s="110"/>
      <c r="AB372" s="110"/>
      <c r="AC372" s="433">
        <v>8</v>
      </c>
      <c r="AD372" s="111">
        <v>637.99999999999989</v>
      </c>
      <c r="AE372" s="110"/>
      <c r="AF372" s="110"/>
      <c r="AG372" s="110"/>
      <c r="AH372" s="1048"/>
    </row>
    <row r="373" spans="1:34" ht="45" x14ac:dyDescent="0.25">
      <c r="A373" s="1047"/>
      <c r="B373" s="110" t="s">
        <v>3764</v>
      </c>
      <c r="C373" s="110"/>
      <c r="D373" s="433">
        <v>33</v>
      </c>
      <c r="E373" s="207" t="s">
        <v>1767</v>
      </c>
      <c r="F373" s="1178" t="s">
        <v>4353</v>
      </c>
      <c r="G373" s="1056" t="s">
        <v>4306</v>
      </c>
      <c r="H373" s="433" t="s">
        <v>3478</v>
      </c>
      <c r="I373" s="111">
        <v>57.999999999999993</v>
      </c>
      <c r="J373" s="111">
        <v>1913.9999999999998</v>
      </c>
      <c r="K373" s="110"/>
      <c r="L373" s="110"/>
      <c r="M373" s="110"/>
      <c r="N373" s="110"/>
      <c r="O373" s="110"/>
      <c r="P373" s="110"/>
      <c r="Q373" s="433">
        <v>17</v>
      </c>
      <c r="R373" s="111">
        <v>637.99999999999989</v>
      </c>
      <c r="S373" s="110"/>
      <c r="T373" s="110"/>
      <c r="U373" s="110"/>
      <c r="V373" s="110"/>
      <c r="W373" s="433">
        <v>8</v>
      </c>
      <c r="X373" s="111">
        <v>637.99999999999989</v>
      </c>
      <c r="Y373" s="110"/>
      <c r="Z373" s="110"/>
      <c r="AA373" s="110"/>
      <c r="AB373" s="110"/>
      <c r="AC373" s="433">
        <v>8</v>
      </c>
      <c r="AD373" s="111">
        <v>637.99999999999989</v>
      </c>
      <c r="AE373" s="110"/>
      <c r="AF373" s="110"/>
      <c r="AG373" s="110"/>
      <c r="AH373" s="1048"/>
    </row>
    <row r="374" spans="1:34" ht="45" x14ac:dyDescent="0.25">
      <c r="A374" s="1047"/>
      <c r="B374" s="110" t="s">
        <v>3765</v>
      </c>
      <c r="C374" s="110"/>
      <c r="D374" s="433">
        <v>36</v>
      </c>
      <c r="E374" s="207" t="s">
        <v>1767</v>
      </c>
      <c r="F374" s="1178" t="s">
        <v>4353</v>
      </c>
      <c r="G374" s="1056" t="s">
        <v>4306</v>
      </c>
      <c r="H374" s="433" t="s">
        <v>3478</v>
      </c>
      <c r="I374" s="111">
        <v>57.999999999999986</v>
      </c>
      <c r="J374" s="111">
        <v>2087.9999999999995</v>
      </c>
      <c r="K374" s="110"/>
      <c r="L374" s="110"/>
      <c r="M374" s="110"/>
      <c r="N374" s="110"/>
      <c r="O374" s="110"/>
      <c r="P374" s="110"/>
      <c r="Q374" s="433">
        <v>20</v>
      </c>
      <c r="R374" s="111">
        <v>695.99999999999989</v>
      </c>
      <c r="S374" s="110"/>
      <c r="T374" s="110"/>
      <c r="U374" s="110"/>
      <c r="V374" s="110"/>
      <c r="W374" s="433">
        <v>9</v>
      </c>
      <c r="X374" s="111">
        <v>695.99999999999989</v>
      </c>
      <c r="Y374" s="110"/>
      <c r="Z374" s="110"/>
      <c r="AA374" s="110"/>
      <c r="AB374" s="110"/>
      <c r="AC374" s="433">
        <v>7</v>
      </c>
      <c r="AD374" s="111">
        <v>695.99999999999989</v>
      </c>
      <c r="AE374" s="110"/>
      <c r="AF374" s="110"/>
      <c r="AG374" s="110"/>
      <c r="AH374" s="1048"/>
    </row>
    <row r="375" spans="1:34" ht="45" x14ac:dyDescent="0.25">
      <c r="A375" s="1047"/>
      <c r="B375" s="110" t="s">
        <v>3766</v>
      </c>
      <c r="C375" s="110"/>
      <c r="D375" s="433">
        <v>1000</v>
      </c>
      <c r="E375" s="207" t="s">
        <v>1767</v>
      </c>
      <c r="F375" s="1178" t="s">
        <v>4353</v>
      </c>
      <c r="G375" s="1056" t="s">
        <v>4306</v>
      </c>
      <c r="H375" s="433" t="s">
        <v>3478</v>
      </c>
      <c r="I375" s="111">
        <v>52.199999999999996</v>
      </c>
      <c r="J375" s="111">
        <v>52199.999999999993</v>
      </c>
      <c r="K375" s="110"/>
      <c r="L375" s="110"/>
      <c r="M375" s="110"/>
      <c r="N375" s="110"/>
      <c r="O375" s="110"/>
      <c r="P375" s="110"/>
      <c r="Q375" s="433">
        <v>400</v>
      </c>
      <c r="R375" s="111">
        <v>17399.999999999996</v>
      </c>
      <c r="S375" s="110"/>
      <c r="T375" s="110"/>
      <c r="U375" s="110"/>
      <c r="V375" s="110"/>
      <c r="W375" s="433">
        <v>300</v>
      </c>
      <c r="X375" s="111">
        <v>17399.999999999996</v>
      </c>
      <c r="Y375" s="110"/>
      <c r="Z375" s="110"/>
      <c r="AA375" s="110"/>
      <c r="AB375" s="110"/>
      <c r="AC375" s="433">
        <v>300</v>
      </c>
      <c r="AD375" s="111">
        <v>17399.999999999996</v>
      </c>
      <c r="AE375" s="110"/>
      <c r="AF375" s="110"/>
      <c r="AG375" s="110"/>
      <c r="AH375" s="1048"/>
    </row>
    <row r="376" spans="1:34" ht="45" x14ac:dyDescent="0.25">
      <c r="A376" s="1047"/>
      <c r="B376" s="110" t="s">
        <v>3767</v>
      </c>
      <c r="C376" s="110"/>
      <c r="D376" s="433">
        <v>21</v>
      </c>
      <c r="E376" s="207" t="s">
        <v>1767</v>
      </c>
      <c r="F376" s="1178" t="s">
        <v>4353</v>
      </c>
      <c r="G376" s="1056" t="s">
        <v>4306</v>
      </c>
      <c r="H376" s="433" t="s">
        <v>3478</v>
      </c>
      <c r="I376" s="111">
        <v>451.23999999999995</v>
      </c>
      <c r="J376" s="111">
        <v>9476.0399999999991</v>
      </c>
      <c r="K376" s="110"/>
      <c r="L376" s="110"/>
      <c r="M376" s="110"/>
      <c r="N376" s="110"/>
      <c r="O376" s="110"/>
      <c r="P376" s="110"/>
      <c r="Q376" s="433">
        <v>10</v>
      </c>
      <c r="R376" s="111">
        <v>3158.68</v>
      </c>
      <c r="S376" s="110"/>
      <c r="T376" s="110"/>
      <c r="U376" s="110"/>
      <c r="V376" s="110"/>
      <c r="W376" s="433">
        <v>6</v>
      </c>
      <c r="X376" s="111">
        <v>3158.68</v>
      </c>
      <c r="Y376" s="110"/>
      <c r="Z376" s="110"/>
      <c r="AA376" s="110"/>
      <c r="AB376" s="110"/>
      <c r="AC376" s="433">
        <v>5</v>
      </c>
      <c r="AD376" s="111">
        <v>3158.68</v>
      </c>
      <c r="AE376" s="110"/>
      <c r="AF376" s="110"/>
      <c r="AG376" s="110"/>
      <c r="AH376" s="1048"/>
    </row>
    <row r="377" spans="1:34" ht="45" x14ac:dyDescent="0.25">
      <c r="A377" s="1047"/>
      <c r="B377" s="110" t="s">
        <v>3768</v>
      </c>
      <c r="C377" s="110"/>
      <c r="D377" s="433">
        <v>21</v>
      </c>
      <c r="E377" s="207" t="s">
        <v>1767</v>
      </c>
      <c r="F377" s="1178" t="s">
        <v>4353</v>
      </c>
      <c r="G377" s="1056" t="s">
        <v>4306</v>
      </c>
      <c r="H377" s="433" t="s">
        <v>3478</v>
      </c>
      <c r="I377" s="111">
        <v>139.19999999999999</v>
      </c>
      <c r="J377" s="111">
        <v>2923.2</v>
      </c>
      <c r="K377" s="110"/>
      <c r="L377" s="110"/>
      <c r="M377" s="110"/>
      <c r="N377" s="110"/>
      <c r="O377" s="110"/>
      <c r="P377" s="110"/>
      <c r="Q377" s="433">
        <v>10</v>
      </c>
      <c r="R377" s="111">
        <v>974.4</v>
      </c>
      <c r="S377" s="110"/>
      <c r="T377" s="110"/>
      <c r="U377" s="110"/>
      <c r="V377" s="110"/>
      <c r="W377" s="433">
        <v>6</v>
      </c>
      <c r="X377" s="111">
        <v>974.4</v>
      </c>
      <c r="Y377" s="110"/>
      <c r="Z377" s="110"/>
      <c r="AA377" s="110"/>
      <c r="AB377" s="110"/>
      <c r="AC377" s="433">
        <v>5</v>
      </c>
      <c r="AD377" s="111">
        <v>974.4</v>
      </c>
      <c r="AE377" s="110"/>
      <c r="AF377" s="110"/>
      <c r="AG377" s="110"/>
      <c r="AH377" s="1048"/>
    </row>
    <row r="378" spans="1:34" ht="45" x14ac:dyDescent="0.25">
      <c r="A378" s="1047"/>
      <c r="B378" s="110" t="s">
        <v>3769</v>
      </c>
      <c r="C378" s="110"/>
      <c r="D378" s="433">
        <v>60</v>
      </c>
      <c r="E378" s="207" t="s">
        <v>1767</v>
      </c>
      <c r="F378" s="1178" t="s">
        <v>4353</v>
      </c>
      <c r="G378" s="1056" t="s">
        <v>4306</v>
      </c>
      <c r="H378" s="433" t="s">
        <v>3478</v>
      </c>
      <c r="I378" s="111">
        <v>57.999999999999993</v>
      </c>
      <c r="J378" s="111">
        <v>3479.9999999999995</v>
      </c>
      <c r="K378" s="110"/>
      <c r="L378" s="110"/>
      <c r="M378" s="110"/>
      <c r="N378" s="110"/>
      <c r="O378" s="110"/>
      <c r="P378" s="110"/>
      <c r="Q378" s="433">
        <v>20</v>
      </c>
      <c r="R378" s="111">
        <v>1159.9999999999998</v>
      </c>
      <c r="S378" s="110"/>
      <c r="T378" s="110"/>
      <c r="U378" s="110"/>
      <c r="V378" s="110"/>
      <c r="W378" s="433">
        <v>20</v>
      </c>
      <c r="X378" s="111">
        <v>1159.9999999999998</v>
      </c>
      <c r="Y378" s="110"/>
      <c r="Z378" s="110"/>
      <c r="AA378" s="110"/>
      <c r="AB378" s="110"/>
      <c r="AC378" s="433">
        <v>20</v>
      </c>
      <c r="AD378" s="111">
        <v>1159.9999999999998</v>
      </c>
      <c r="AE378" s="110"/>
      <c r="AF378" s="110"/>
      <c r="AG378" s="110"/>
      <c r="AH378" s="1048"/>
    </row>
    <row r="379" spans="1:34" ht="45" x14ac:dyDescent="0.25">
      <c r="A379" s="1047"/>
      <c r="B379" s="110" t="s">
        <v>3770</v>
      </c>
      <c r="C379" s="110"/>
      <c r="D379" s="433">
        <v>50</v>
      </c>
      <c r="E379" s="207" t="s">
        <v>1767</v>
      </c>
      <c r="F379" s="1178" t="s">
        <v>4353</v>
      </c>
      <c r="G379" s="1056" t="s">
        <v>4306</v>
      </c>
      <c r="H379" s="433" t="s">
        <v>3478</v>
      </c>
      <c r="I379" s="111">
        <v>35.96</v>
      </c>
      <c r="J379" s="111">
        <v>1798</v>
      </c>
      <c r="K379" s="110"/>
      <c r="L379" s="110"/>
      <c r="M379" s="110"/>
      <c r="N379" s="110"/>
      <c r="O379" s="110"/>
      <c r="P379" s="110"/>
      <c r="Q379" s="433">
        <v>25</v>
      </c>
      <c r="R379" s="111">
        <v>599.33333333333337</v>
      </c>
      <c r="S379" s="110"/>
      <c r="T379" s="110"/>
      <c r="U379" s="110"/>
      <c r="V379" s="110"/>
      <c r="W379" s="433">
        <v>13</v>
      </c>
      <c r="X379" s="111">
        <v>599.33333333333337</v>
      </c>
      <c r="Y379" s="110"/>
      <c r="Z379" s="110"/>
      <c r="AA379" s="110"/>
      <c r="AB379" s="110"/>
      <c r="AC379" s="433">
        <v>12</v>
      </c>
      <c r="AD379" s="111">
        <v>599.33333333333337</v>
      </c>
      <c r="AE379" s="110"/>
      <c r="AF379" s="110"/>
      <c r="AG379" s="110"/>
      <c r="AH379" s="1048"/>
    </row>
    <row r="380" spans="1:34" ht="45" x14ac:dyDescent="0.25">
      <c r="A380" s="1047"/>
      <c r="B380" s="110" t="s">
        <v>3771</v>
      </c>
      <c r="C380" s="110"/>
      <c r="D380" s="433">
        <v>6</v>
      </c>
      <c r="E380" s="207" t="s">
        <v>1767</v>
      </c>
      <c r="F380" s="1178" t="s">
        <v>4353</v>
      </c>
      <c r="G380" s="1056" t="s">
        <v>4306</v>
      </c>
      <c r="H380" s="433" t="s">
        <v>3478</v>
      </c>
      <c r="I380" s="111">
        <v>54.52</v>
      </c>
      <c r="J380" s="111">
        <v>327.12</v>
      </c>
      <c r="K380" s="110"/>
      <c r="L380" s="110"/>
      <c r="M380" s="110"/>
      <c r="N380" s="110"/>
      <c r="O380" s="110"/>
      <c r="P380" s="110"/>
      <c r="Q380" s="433">
        <v>2</v>
      </c>
      <c r="R380" s="111">
        <v>109.04</v>
      </c>
      <c r="S380" s="110"/>
      <c r="T380" s="110"/>
      <c r="U380" s="110"/>
      <c r="V380" s="110"/>
      <c r="W380" s="433">
        <v>2</v>
      </c>
      <c r="X380" s="111">
        <v>109.04</v>
      </c>
      <c r="Y380" s="110"/>
      <c r="Z380" s="110"/>
      <c r="AA380" s="110"/>
      <c r="AB380" s="110"/>
      <c r="AC380" s="433">
        <v>2</v>
      </c>
      <c r="AD380" s="111">
        <v>109.04</v>
      </c>
      <c r="AE380" s="110"/>
      <c r="AF380" s="110"/>
      <c r="AG380" s="110"/>
      <c r="AH380" s="1048"/>
    </row>
    <row r="381" spans="1:34" ht="45" x14ac:dyDescent="0.25">
      <c r="A381" s="1047"/>
      <c r="B381" s="110" t="s">
        <v>3772</v>
      </c>
      <c r="C381" s="110"/>
      <c r="D381" s="433">
        <v>6</v>
      </c>
      <c r="E381" s="207" t="s">
        <v>1767</v>
      </c>
      <c r="F381" s="1178" t="s">
        <v>4353</v>
      </c>
      <c r="G381" s="1056" t="s">
        <v>4306</v>
      </c>
      <c r="H381" s="433" t="s">
        <v>3478</v>
      </c>
      <c r="I381" s="111">
        <v>54.52</v>
      </c>
      <c r="J381" s="111">
        <v>327.12</v>
      </c>
      <c r="K381" s="110"/>
      <c r="L381" s="110"/>
      <c r="M381" s="110"/>
      <c r="N381" s="110"/>
      <c r="O381" s="110"/>
      <c r="P381" s="110"/>
      <c r="Q381" s="433">
        <v>2</v>
      </c>
      <c r="R381" s="111">
        <v>109.04</v>
      </c>
      <c r="S381" s="110"/>
      <c r="T381" s="110"/>
      <c r="U381" s="110"/>
      <c r="V381" s="110"/>
      <c r="W381" s="433">
        <v>2</v>
      </c>
      <c r="X381" s="111">
        <v>109.04</v>
      </c>
      <c r="Y381" s="110"/>
      <c r="Z381" s="110"/>
      <c r="AA381" s="110"/>
      <c r="AB381" s="110"/>
      <c r="AC381" s="433">
        <v>2</v>
      </c>
      <c r="AD381" s="111">
        <v>109.04</v>
      </c>
      <c r="AE381" s="110"/>
      <c r="AF381" s="110"/>
      <c r="AG381" s="110"/>
      <c r="AH381" s="1048"/>
    </row>
    <row r="382" spans="1:34" ht="45" x14ac:dyDescent="0.25">
      <c r="A382" s="1047"/>
      <c r="B382" s="110" t="s">
        <v>3773</v>
      </c>
      <c r="C382" s="110"/>
      <c r="D382" s="433">
        <v>6</v>
      </c>
      <c r="E382" s="207" t="s">
        <v>1767</v>
      </c>
      <c r="F382" s="1178" t="s">
        <v>4353</v>
      </c>
      <c r="G382" s="1056" t="s">
        <v>4306</v>
      </c>
      <c r="H382" s="433" t="s">
        <v>3478</v>
      </c>
      <c r="I382" s="111">
        <v>54.52</v>
      </c>
      <c r="J382" s="111">
        <v>327.12</v>
      </c>
      <c r="K382" s="110"/>
      <c r="L382" s="110"/>
      <c r="M382" s="110"/>
      <c r="N382" s="110"/>
      <c r="O382" s="110"/>
      <c r="P382" s="110"/>
      <c r="Q382" s="433">
        <v>2</v>
      </c>
      <c r="R382" s="111">
        <v>109.04</v>
      </c>
      <c r="S382" s="110"/>
      <c r="T382" s="110"/>
      <c r="U382" s="110"/>
      <c r="V382" s="110"/>
      <c r="W382" s="433">
        <v>2</v>
      </c>
      <c r="X382" s="111">
        <v>109.04</v>
      </c>
      <c r="Y382" s="110"/>
      <c r="Z382" s="110"/>
      <c r="AA382" s="110"/>
      <c r="AB382" s="110"/>
      <c r="AC382" s="433">
        <v>2</v>
      </c>
      <c r="AD382" s="111">
        <v>109.04</v>
      </c>
      <c r="AE382" s="110"/>
      <c r="AF382" s="110"/>
      <c r="AG382" s="110"/>
      <c r="AH382" s="1048"/>
    </row>
    <row r="383" spans="1:34" ht="45" x14ac:dyDescent="0.25">
      <c r="A383" s="1047"/>
      <c r="B383" s="110" t="s">
        <v>3774</v>
      </c>
      <c r="C383" s="110"/>
      <c r="D383" s="433">
        <v>6</v>
      </c>
      <c r="E383" s="207" t="s">
        <v>1767</v>
      </c>
      <c r="F383" s="1178" t="s">
        <v>4353</v>
      </c>
      <c r="G383" s="1056" t="s">
        <v>4306</v>
      </c>
      <c r="H383" s="433" t="s">
        <v>3478</v>
      </c>
      <c r="I383" s="111">
        <v>54.52</v>
      </c>
      <c r="J383" s="111">
        <v>327.12</v>
      </c>
      <c r="K383" s="110"/>
      <c r="L383" s="110"/>
      <c r="M383" s="110"/>
      <c r="N383" s="110"/>
      <c r="O383" s="110"/>
      <c r="P383" s="110"/>
      <c r="Q383" s="433">
        <v>2</v>
      </c>
      <c r="R383" s="111">
        <v>109.04</v>
      </c>
      <c r="S383" s="110"/>
      <c r="T383" s="110"/>
      <c r="U383" s="110"/>
      <c r="V383" s="110"/>
      <c r="W383" s="433">
        <v>2</v>
      </c>
      <c r="X383" s="111">
        <v>109.04</v>
      </c>
      <c r="Y383" s="110"/>
      <c r="Z383" s="110"/>
      <c r="AA383" s="110"/>
      <c r="AB383" s="110"/>
      <c r="AC383" s="433">
        <v>2</v>
      </c>
      <c r="AD383" s="111">
        <v>109.04</v>
      </c>
      <c r="AE383" s="110"/>
      <c r="AF383" s="110"/>
      <c r="AG383" s="110"/>
      <c r="AH383" s="1048"/>
    </row>
    <row r="384" spans="1:34" ht="45" x14ac:dyDescent="0.25">
      <c r="A384" s="1047"/>
      <c r="B384" s="110" t="s">
        <v>3775</v>
      </c>
      <c r="C384" s="110"/>
      <c r="D384" s="433">
        <v>6</v>
      </c>
      <c r="E384" s="207" t="s">
        <v>1767</v>
      </c>
      <c r="F384" s="1178" t="s">
        <v>4353</v>
      </c>
      <c r="G384" s="1056" t="s">
        <v>4306</v>
      </c>
      <c r="H384" s="433" t="s">
        <v>3478</v>
      </c>
      <c r="I384" s="111">
        <v>54.52</v>
      </c>
      <c r="J384" s="111">
        <v>327.12</v>
      </c>
      <c r="K384" s="110"/>
      <c r="L384" s="110"/>
      <c r="M384" s="110"/>
      <c r="N384" s="110"/>
      <c r="O384" s="110"/>
      <c r="P384" s="110"/>
      <c r="Q384" s="433">
        <v>2</v>
      </c>
      <c r="R384" s="111">
        <v>109.04</v>
      </c>
      <c r="S384" s="110"/>
      <c r="T384" s="110"/>
      <c r="U384" s="110"/>
      <c r="V384" s="110"/>
      <c r="W384" s="433">
        <v>2</v>
      </c>
      <c r="X384" s="111">
        <v>109.04</v>
      </c>
      <c r="Y384" s="110"/>
      <c r="Z384" s="110"/>
      <c r="AA384" s="110"/>
      <c r="AB384" s="110"/>
      <c r="AC384" s="433">
        <v>2</v>
      </c>
      <c r="AD384" s="111">
        <v>109.04</v>
      </c>
      <c r="AE384" s="110"/>
      <c r="AF384" s="110"/>
      <c r="AG384" s="110"/>
      <c r="AH384" s="1048"/>
    </row>
    <row r="385" spans="1:34" ht="45" x14ac:dyDescent="0.25">
      <c r="A385" s="1047"/>
      <c r="B385" s="110" t="s">
        <v>3776</v>
      </c>
      <c r="C385" s="110"/>
      <c r="D385" s="433">
        <v>6</v>
      </c>
      <c r="E385" s="207" t="s">
        <v>1767</v>
      </c>
      <c r="F385" s="1178" t="s">
        <v>4353</v>
      </c>
      <c r="G385" s="1056" t="s">
        <v>4306</v>
      </c>
      <c r="H385" s="433" t="s">
        <v>3478</v>
      </c>
      <c r="I385" s="111">
        <v>54.52</v>
      </c>
      <c r="J385" s="111">
        <v>327.12</v>
      </c>
      <c r="K385" s="110"/>
      <c r="L385" s="110"/>
      <c r="M385" s="110"/>
      <c r="N385" s="110"/>
      <c r="O385" s="110"/>
      <c r="P385" s="110"/>
      <c r="Q385" s="433">
        <v>2</v>
      </c>
      <c r="R385" s="111">
        <v>109.04</v>
      </c>
      <c r="S385" s="110"/>
      <c r="T385" s="110"/>
      <c r="U385" s="110"/>
      <c r="V385" s="110"/>
      <c r="W385" s="433">
        <v>2</v>
      </c>
      <c r="X385" s="111">
        <v>109.04</v>
      </c>
      <c r="Y385" s="110"/>
      <c r="Z385" s="110"/>
      <c r="AA385" s="110"/>
      <c r="AB385" s="110"/>
      <c r="AC385" s="433">
        <v>2</v>
      </c>
      <c r="AD385" s="111">
        <v>109.04</v>
      </c>
      <c r="AE385" s="110"/>
      <c r="AF385" s="110"/>
      <c r="AG385" s="110"/>
      <c r="AH385" s="1048"/>
    </row>
    <row r="386" spans="1:34" ht="45" x14ac:dyDescent="0.25">
      <c r="A386" s="1047"/>
      <c r="B386" s="110" t="s">
        <v>3777</v>
      </c>
      <c r="C386" s="110"/>
      <c r="D386" s="433">
        <v>6</v>
      </c>
      <c r="E386" s="207" t="s">
        <v>1767</v>
      </c>
      <c r="F386" s="1178" t="s">
        <v>4353</v>
      </c>
      <c r="G386" s="1056" t="s">
        <v>4306</v>
      </c>
      <c r="H386" s="433" t="s">
        <v>3478</v>
      </c>
      <c r="I386" s="111">
        <v>54.52</v>
      </c>
      <c r="J386" s="111">
        <v>327.12</v>
      </c>
      <c r="K386" s="110"/>
      <c r="L386" s="110"/>
      <c r="M386" s="110"/>
      <c r="N386" s="110"/>
      <c r="O386" s="110"/>
      <c r="P386" s="110"/>
      <c r="Q386" s="433">
        <v>2</v>
      </c>
      <c r="R386" s="111">
        <v>109.04</v>
      </c>
      <c r="S386" s="110"/>
      <c r="T386" s="110"/>
      <c r="U386" s="110"/>
      <c r="V386" s="110"/>
      <c r="W386" s="433">
        <v>2</v>
      </c>
      <c r="X386" s="111">
        <v>109.04</v>
      </c>
      <c r="Y386" s="110"/>
      <c r="Z386" s="110"/>
      <c r="AA386" s="110"/>
      <c r="AB386" s="110"/>
      <c r="AC386" s="433">
        <v>2</v>
      </c>
      <c r="AD386" s="111">
        <v>109.04</v>
      </c>
      <c r="AE386" s="110"/>
      <c r="AF386" s="110"/>
      <c r="AG386" s="110"/>
      <c r="AH386" s="1048"/>
    </row>
    <row r="387" spans="1:34" ht="45" x14ac:dyDescent="0.25">
      <c r="A387" s="1047"/>
      <c r="B387" s="110" t="s">
        <v>3778</v>
      </c>
      <c r="C387" s="110"/>
      <c r="D387" s="433">
        <v>6</v>
      </c>
      <c r="E387" s="207" t="s">
        <v>1767</v>
      </c>
      <c r="F387" s="1178" t="s">
        <v>4353</v>
      </c>
      <c r="G387" s="1056" t="s">
        <v>4306</v>
      </c>
      <c r="H387" s="433" t="s">
        <v>3478</v>
      </c>
      <c r="I387" s="111">
        <v>54.52</v>
      </c>
      <c r="J387" s="111">
        <v>327.12</v>
      </c>
      <c r="K387" s="110"/>
      <c r="L387" s="110"/>
      <c r="M387" s="110"/>
      <c r="N387" s="110"/>
      <c r="O387" s="110"/>
      <c r="P387" s="110"/>
      <c r="Q387" s="433">
        <v>2</v>
      </c>
      <c r="R387" s="111">
        <v>109.04</v>
      </c>
      <c r="S387" s="110"/>
      <c r="T387" s="110"/>
      <c r="U387" s="110"/>
      <c r="V387" s="110"/>
      <c r="W387" s="433">
        <v>2</v>
      </c>
      <c r="X387" s="111">
        <v>109.04</v>
      </c>
      <c r="Y387" s="110"/>
      <c r="Z387" s="110"/>
      <c r="AA387" s="110"/>
      <c r="AB387" s="110"/>
      <c r="AC387" s="433">
        <v>2</v>
      </c>
      <c r="AD387" s="111">
        <v>109.04</v>
      </c>
      <c r="AE387" s="110"/>
      <c r="AF387" s="110"/>
      <c r="AG387" s="110"/>
      <c r="AH387" s="1048"/>
    </row>
    <row r="388" spans="1:34" ht="45" x14ac:dyDescent="0.25">
      <c r="A388" s="1047"/>
      <c r="B388" s="110" t="s">
        <v>3779</v>
      </c>
      <c r="C388" s="110"/>
      <c r="D388" s="433">
        <v>6</v>
      </c>
      <c r="E388" s="207" t="s">
        <v>1767</v>
      </c>
      <c r="F388" s="1178" t="s">
        <v>4353</v>
      </c>
      <c r="G388" s="1056" t="s">
        <v>4306</v>
      </c>
      <c r="H388" s="433" t="s">
        <v>3478</v>
      </c>
      <c r="I388" s="111">
        <v>54.52</v>
      </c>
      <c r="J388" s="111">
        <v>327.12</v>
      </c>
      <c r="K388" s="110"/>
      <c r="L388" s="110"/>
      <c r="M388" s="110"/>
      <c r="N388" s="110"/>
      <c r="O388" s="110"/>
      <c r="P388" s="110"/>
      <c r="Q388" s="433">
        <v>2</v>
      </c>
      <c r="R388" s="111">
        <v>109.04</v>
      </c>
      <c r="S388" s="110"/>
      <c r="T388" s="110"/>
      <c r="U388" s="110"/>
      <c r="V388" s="110"/>
      <c r="W388" s="433">
        <v>2</v>
      </c>
      <c r="X388" s="111">
        <v>109.04</v>
      </c>
      <c r="Y388" s="110"/>
      <c r="Z388" s="110"/>
      <c r="AA388" s="110"/>
      <c r="AB388" s="110"/>
      <c r="AC388" s="433">
        <v>2</v>
      </c>
      <c r="AD388" s="111">
        <v>109.04</v>
      </c>
      <c r="AE388" s="110"/>
      <c r="AF388" s="110"/>
      <c r="AG388" s="110"/>
      <c r="AH388" s="1048"/>
    </row>
    <row r="389" spans="1:34" ht="45" x14ac:dyDescent="0.25">
      <c r="A389" s="1047"/>
      <c r="B389" s="110" t="s">
        <v>3780</v>
      </c>
      <c r="C389" s="110"/>
      <c r="D389" s="433">
        <v>6</v>
      </c>
      <c r="E389" s="207" t="s">
        <v>1767</v>
      </c>
      <c r="F389" s="1178" t="s">
        <v>4353</v>
      </c>
      <c r="G389" s="1056" t="s">
        <v>4306</v>
      </c>
      <c r="H389" s="433" t="s">
        <v>3478</v>
      </c>
      <c r="I389" s="111">
        <v>54.52</v>
      </c>
      <c r="J389" s="111">
        <v>327.12</v>
      </c>
      <c r="K389" s="110"/>
      <c r="L389" s="110"/>
      <c r="M389" s="110"/>
      <c r="N389" s="110"/>
      <c r="O389" s="110"/>
      <c r="P389" s="110"/>
      <c r="Q389" s="433">
        <v>2</v>
      </c>
      <c r="R389" s="111">
        <v>109.04</v>
      </c>
      <c r="S389" s="110"/>
      <c r="T389" s="110"/>
      <c r="U389" s="110"/>
      <c r="V389" s="110"/>
      <c r="W389" s="433">
        <v>2</v>
      </c>
      <c r="X389" s="111">
        <v>109.04</v>
      </c>
      <c r="Y389" s="110"/>
      <c r="Z389" s="110"/>
      <c r="AA389" s="110"/>
      <c r="AB389" s="110"/>
      <c r="AC389" s="433">
        <v>2</v>
      </c>
      <c r="AD389" s="111">
        <v>109.04</v>
      </c>
      <c r="AE389" s="110"/>
      <c r="AF389" s="110"/>
      <c r="AG389" s="110"/>
      <c r="AH389" s="1048"/>
    </row>
    <row r="390" spans="1:34" ht="45" x14ac:dyDescent="0.25">
      <c r="A390" s="1047"/>
      <c r="B390" s="110" t="s">
        <v>3781</v>
      </c>
      <c r="C390" s="110"/>
      <c r="D390" s="433">
        <v>60</v>
      </c>
      <c r="E390" s="207" t="s">
        <v>1767</v>
      </c>
      <c r="F390" s="1178" t="s">
        <v>4353</v>
      </c>
      <c r="G390" s="1056" t="s">
        <v>4306</v>
      </c>
      <c r="H390" s="433" t="s">
        <v>3478</v>
      </c>
      <c r="I390" s="111">
        <v>46.98</v>
      </c>
      <c r="J390" s="111">
        <v>2818.7999999999997</v>
      </c>
      <c r="K390" s="110"/>
      <c r="L390" s="110"/>
      <c r="M390" s="110"/>
      <c r="N390" s="110"/>
      <c r="O390" s="110"/>
      <c r="P390" s="110"/>
      <c r="Q390" s="433">
        <v>20</v>
      </c>
      <c r="R390" s="111">
        <v>939.59999999999991</v>
      </c>
      <c r="S390" s="110"/>
      <c r="T390" s="110"/>
      <c r="U390" s="110"/>
      <c r="V390" s="110"/>
      <c r="W390" s="433">
        <v>20</v>
      </c>
      <c r="X390" s="111">
        <v>939.59999999999991</v>
      </c>
      <c r="Y390" s="110"/>
      <c r="Z390" s="110"/>
      <c r="AA390" s="110"/>
      <c r="AB390" s="110"/>
      <c r="AC390" s="433">
        <v>20</v>
      </c>
      <c r="AD390" s="111">
        <v>939.59999999999991</v>
      </c>
      <c r="AE390" s="110"/>
      <c r="AF390" s="110"/>
      <c r="AG390" s="110"/>
      <c r="AH390" s="1048"/>
    </row>
    <row r="391" spans="1:34" ht="45" x14ac:dyDescent="0.25">
      <c r="A391" s="1047"/>
      <c r="B391" s="110" t="s">
        <v>3782</v>
      </c>
      <c r="C391" s="110"/>
      <c r="D391" s="433">
        <v>2</v>
      </c>
      <c r="E391" s="207" t="s">
        <v>1767</v>
      </c>
      <c r="F391" s="1178" t="s">
        <v>4353</v>
      </c>
      <c r="G391" s="1056" t="s">
        <v>4306</v>
      </c>
      <c r="H391" s="433" t="s">
        <v>3478</v>
      </c>
      <c r="I391" s="111">
        <v>46.98</v>
      </c>
      <c r="J391" s="111">
        <v>93.96</v>
      </c>
      <c r="K391" s="110"/>
      <c r="L391" s="110"/>
      <c r="M391" s="110"/>
      <c r="N391" s="110"/>
      <c r="O391" s="110"/>
      <c r="P391" s="110"/>
      <c r="Q391" s="433">
        <v>1</v>
      </c>
      <c r="R391" s="111">
        <v>31.319999999999997</v>
      </c>
      <c r="S391" s="110"/>
      <c r="T391" s="110"/>
      <c r="U391" s="110"/>
      <c r="V391" s="110"/>
      <c r="W391" s="433">
        <v>1</v>
      </c>
      <c r="X391" s="111">
        <v>31.319999999999997</v>
      </c>
      <c r="Y391" s="110"/>
      <c r="Z391" s="110"/>
      <c r="AA391" s="110"/>
      <c r="AB391" s="110"/>
      <c r="AC391" s="433">
        <v>0</v>
      </c>
      <c r="AD391" s="111">
        <v>31.319999999999997</v>
      </c>
      <c r="AE391" s="110"/>
      <c r="AF391" s="110"/>
      <c r="AG391" s="110"/>
      <c r="AH391" s="1048"/>
    </row>
    <row r="392" spans="1:34" ht="45" x14ac:dyDescent="0.25">
      <c r="A392" s="1047"/>
      <c r="B392" s="110" t="s">
        <v>3783</v>
      </c>
      <c r="C392" s="110"/>
      <c r="D392" s="433">
        <v>2</v>
      </c>
      <c r="E392" s="207" t="s">
        <v>1767</v>
      </c>
      <c r="F392" s="1178" t="s">
        <v>4353</v>
      </c>
      <c r="G392" s="1056" t="s">
        <v>4306</v>
      </c>
      <c r="H392" s="433" t="s">
        <v>3478</v>
      </c>
      <c r="I392" s="111">
        <v>348</v>
      </c>
      <c r="J392" s="111">
        <v>696</v>
      </c>
      <c r="K392" s="110"/>
      <c r="L392" s="110"/>
      <c r="M392" s="110"/>
      <c r="N392" s="110"/>
      <c r="O392" s="110"/>
      <c r="P392" s="110"/>
      <c r="Q392" s="433">
        <v>1</v>
      </c>
      <c r="R392" s="111">
        <v>232</v>
      </c>
      <c r="S392" s="110"/>
      <c r="T392" s="110"/>
      <c r="U392" s="110"/>
      <c r="V392" s="110"/>
      <c r="W392" s="433">
        <v>1</v>
      </c>
      <c r="X392" s="111">
        <v>232</v>
      </c>
      <c r="Y392" s="110"/>
      <c r="Z392" s="110"/>
      <c r="AA392" s="110"/>
      <c r="AB392" s="110"/>
      <c r="AC392" s="433">
        <v>0</v>
      </c>
      <c r="AD392" s="111">
        <v>232</v>
      </c>
      <c r="AE392" s="110"/>
      <c r="AF392" s="110"/>
      <c r="AG392" s="110"/>
      <c r="AH392" s="1048"/>
    </row>
    <row r="393" spans="1:34" ht="45" x14ac:dyDescent="0.25">
      <c r="A393" s="1047"/>
      <c r="B393" s="110" t="s">
        <v>3784</v>
      </c>
      <c r="C393" s="110"/>
      <c r="D393" s="433">
        <v>2</v>
      </c>
      <c r="E393" s="207" t="s">
        <v>1767</v>
      </c>
      <c r="F393" s="1178" t="s">
        <v>4353</v>
      </c>
      <c r="G393" s="1056" t="s">
        <v>4306</v>
      </c>
      <c r="H393" s="433" t="s">
        <v>3478</v>
      </c>
      <c r="I393" s="111">
        <v>290</v>
      </c>
      <c r="J393" s="111">
        <v>580</v>
      </c>
      <c r="K393" s="110"/>
      <c r="L393" s="110"/>
      <c r="M393" s="110"/>
      <c r="N393" s="110"/>
      <c r="O393" s="110"/>
      <c r="P393" s="110"/>
      <c r="Q393" s="433">
        <v>1</v>
      </c>
      <c r="R393" s="111">
        <v>193.33333333333334</v>
      </c>
      <c r="S393" s="110"/>
      <c r="T393" s="110"/>
      <c r="U393" s="110"/>
      <c r="V393" s="110"/>
      <c r="W393" s="433">
        <v>1</v>
      </c>
      <c r="X393" s="111">
        <v>193.33333333333334</v>
      </c>
      <c r="Y393" s="110"/>
      <c r="Z393" s="110"/>
      <c r="AA393" s="110"/>
      <c r="AB393" s="110"/>
      <c r="AC393" s="433">
        <v>0</v>
      </c>
      <c r="AD393" s="111">
        <v>193.33333333333334</v>
      </c>
      <c r="AE393" s="110"/>
      <c r="AF393" s="110"/>
      <c r="AG393" s="110"/>
      <c r="AH393" s="1048"/>
    </row>
    <row r="394" spans="1:34" ht="45" x14ac:dyDescent="0.25">
      <c r="A394" s="1047"/>
      <c r="B394" s="110" t="s">
        <v>3785</v>
      </c>
      <c r="C394" s="110"/>
      <c r="D394" s="433">
        <v>2</v>
      </c>
      <c r="E394" s="207" t="s">
        <v>1767</v>
      </c>
      <c r="F394" s="1178" t="s">
        <v>4353</v>
      </c>
      <c r="G394" s="1056" t="s">
        <v>4306</v>
      </c>
      <c r="H394" s="433" t="s">
        <v>3478</v>
      </c>
      <c r="I394" s="111">
        <v>406</v>
      </c>
      <c r="J394" s="111">
        <v>812</v>
      </c>
      <c r="K394" s="110"/>
      <c r="L394" s="110"/>
      <c r="M394" s="110"/>
      <c r="N394" s="110"/>
      <c r="O394" s="110"/>
      <c r="P394" s="110"/>
      <c r="Q394" s="433">
        <v>1</v>
      </c>
      <c r="R394" s="111">
        <v>270.66666666666669</v>
      </c>
      <c r="S394" s="110"/>
      <c r="T394" s="110"/>
      <c r="U394" s="110"/>
      <c r="V394" s="110"/>
      <c r="W394" s="433">
        <v>1</v>
      </c>
      <c r="X394" s="111">
        <v>270.66666666666669</v>
      </c>
      <c r="Y394" s="110"/>
      <c r="Z394" s="110"/>
      <c r="AA394" s="110"/>
      <c r="AB394" s="110"/>
      <c r="AC394" s="433">
        <v>0</v>
      </c>
      <c r="AD394" s="111">
        <v>270.66666666666669</v>
      </c>
      <c r="AE394" s="110"/>
      <c r="AF394" s="110"/>
      <c r="AG394" s="110"/>
      <c r="AH394" s="1048"/>
    </row>
    <row r="395" spans="1:34" ht="45" x14ac:dyDescent="0.25">
      <c r="A395" s="1047"/>
      <c r="B395" s="110" t="s">
        <v>3786</v>
      </c>
      <c r="C395" s="110"/>
      <c r="D395" s="433">
        <v>2</v>
      </c>
      <c r="E395" s="207" t="s">
        <v>1767</v>
      </c>
      <c r="F395" s="1178" t="s">
        <v>4353</v>
      </c>
      <c r="G395" s="1056" t="s">
        <v>4306</v>
      </c>
      <c r="H395" s="433" t="s">
        <v>3478</v>
      </c>
      <c r="I395" s="111">
        <v>407.77479999999991</v>
      </c>
      <c r="J395" s="111">
        <v>815.54959999999983</v>
      </c>
      <c r="K395" s="110"/>
      <c r="L395" s="110"/>
      <c r="M395" s="110"/>
      <c r="N395" s="110"/>
      <c r="O395" s="110"/>
      <c r="P395" s="110"/>
      <c r="Q395" s="433">
        <v>1</v>
      </c>
      <c r="R395" s="111">
        <v>271.84986666666663</v>
      </c>
      <c r="S395" s="110"/>
      <c r="T395" s="110"/>
      <c r="U395" s="110"/>
      <c r="V395" s="110"/>
      <c r="W395" s="433">
        <v>1</v>
      </c>
      <c r="X395" s="111">
        <v>271.84986666666663</v>
      </c>
      <c r="Y395" s="110"/>
      <c r="Z395" s="110"/>
      <c r="AA395" s="110"/>
      <c r="AB395" s="110"/>
      <c r="AC395" s="433">
        <v>0</v>
      </c>
      <c r="AD395" s="111">
        <v>271.84986666666663</v>
      </c>
      <c r="AE395" s="110"/>
      <c r="AF395" s="110"/>
      <c r="AG395" s="110"/>
      <c r="AH395" s="1048"/>
    </row>
    <row r="396" spans="1:34" ht="45" x14ac:dyDescent="0.25">
      <c r="A396" s="1047"/>
      <c r="B396" s="110" t="s">
        <v>3787</v>
      </c>
      <c r="C396" s="110"/>
      <c r="D396" s="433">
        <v>6</v>
      </c>
      <c r="E396" s="207" t="s">
        <v>1767</v>
      </c>
      <c r="F396" s="1178" t="s">
        <v>4353</v>
      </c>
      <c r="G396" s="1056" t="s">
        <v>4306</v>
      </c>
      <c r="H396" s="433" t="s">
        <v>3478</v>
      </c>
      <c r="I396" s="111">
        <v>261</v>
      </c>
      <c r="J396" s="111">
        <v>1566</v>
      </c>
      <c r="K396" s="110"/>
      <c r="L396" s="110"/>
      <c r="M396" s="110"/>
      <c r="N396" s="110"/>
      <c r="O396" s="110"/>
      <c r="P396" s="110"/>
      <c r="Q396" s="433">
        <v>2</v>
      </c>
      <c r="R396" s="111">
        <v>522</v>
      </c>
      <c r="S396" s="110"/>
      <c r="T396" s="110"/>
      <c r="U396" s="110"/>
      <c r="V396" s="110"/>
      <c r="W396" s="433">
        <v>2</v>
      </c>
      <c r="X396" s="111">
        <v>522</v>
      </c>
      <c r="Y396" s="110"/>
      <c r="Z396" s="110"/>
      <c r="AA396" s="110"/>
      <c r="AB396" s="110"/>
      <c r="AC396" s="433">
        <v>2</v>
      </c>
      <c r="AD396" s="111">
        <v>522</v>
      </c>
      <c r="AE396" s="110"/>
      <c r="AF396" s="110"/>
      <c r="AG396" s="110"/>
      <c r="AH396" s="1048"/>
    </row>
    <row r="397" spans="1:34" ht="45" x14ac:dyDescent="0.25">
      <c r="A397" s="1047"/>
      <c r="B397" s="110" t="s">
        <v>3788</v>
      </c>
      <c r="C397" s="110"/>
      <c r="D397" s="433">
        <v>6</v>
      </c>
      <c r="E397" s="207" t="s">
        <v>1767</v>
      </c>
      <c r="F397" s="1178" t="s">
        <v>4353</v>
      </c>
      <c r="G397" s="1056" t="s">
        <v>4306</v>
      </c>
      <c r="H397" s="433" t="s">
        <v>3478</v>
      </c>
      <c r="I397" s="111">
        <v>261</v>
      </c>
      <c r="J397" s="111">
        <v>1566</v>
      </c>
      <c r="K397" s="110"/>
      <c r="L397" s="110"/>
      <c r="M397" s="110"/>
      <c r="N397" s="110"/>
      <c r="O397" s="110"/>
      <c r="P397" s="110"/>
      <c r="Q397" s="433">
        <v>2</v>
      </c>
      <c r="R397" s="111">
        <v>522</v>
      </c>
      <c r="S397" s="110"/>
      <c r="T397" s="110"/>
      <c r="U397" s="110"/>
      <c r="V397" s="110"/>
      <c r="W397" s="433">
        <v>2</v>
      </c>
      <c r="X397" s="111">
        <v>522</v>
      </c>
      <c r="Y397" s="110"/>
      <c r="Z397" s="110"/>
      <c r="AA397" s="110"/>
      <c r="AB397" s="110"/>
      <c r="AC397" s="433">
        <v>2</v>
      </c>
      <c r="AD397" s="111">
        <v>522</v>
      </c>
      <c r="AE397" s="110"/>
      <c r="AF397" s="110"/>
      <c r="AG397" s="110"/>
      <c r="AH397" s="1048"/>
    </row>
    <row r="398" spans="1:34" ht="45" x14ac:dyDescent="0.25">
      <c r="A398" s="1047"/>
      <c r="B398" s="110" t="s">
        <v>3789</v>
      </c>
      <c r="C398" s="110"/>
      <c r="D398" s="433">
        <v>6</v>
      </c>
      <c r="E398" s="207" t="s">
        <v>1767</v>
      </c>
      <c r="F398" s="1178" t="s">
        <v>4353</v>
      </c>
      <c r="G398" s="1056" t="s">
        <v>4306</v>
      </c>
      <c r="H398" s="433" t="s">
        <v>3478</v>
      </c>
      <c r="I398" s="111">
        <v>261</v>
      </c>
      <c r="J398" s="111">
        <v>1566</v>
      </c>
      <c r="K398" s="110"/>
      <c r="L398" s="110"/>
      <c r="M398" s="110"/>
      <c r="N398" s="110"/>
      <c r="O398" s="110"/>
      <c r="P398" s="110"/>
      <c r="Q398" s="433">
        <v>2</v>
      </c>
      <c r="R398" s="111">
        <v>522</v>
      </c>
      <c r="S398" s="110"/>
      <c r="T398" s="110"/>
      <c r="U398" s="110"/>
      <c r="V398" s="110"/>
      <c r="W398" s="433">
        <v>2</v>
      </c>
      <c r="X398" s="111">
        <v>522</v>
      </c>
      <c r="Y398" s="110"/>
      <c r="Z398" s="110"/>
      <c r="AA398" s="110"/>
      <c r="AB398" s="110"/>
      <c r="AC398" s="433">
        <v>2</v>
      </c>
      <c r="AD398" s="111">
        <v>522</v>
      </c>
      <c r="AE398" s="110"/>
      <c r="AF398" s="110"/>
      <c r="AG398" s="110"/>
      <c r="AH398" s="1048"/>
    </row>
    <row r="399" spans="1:34" ht="45" x14ac:dyDescent="0.25">
      <c r="A399" s="1047"/>
      <c r="B399" s="110" t="s">
        <v>3790</v>
      </c>
      <c r="C399" s="110"/>
      <c r="D399" s="433">
        <v>6</v>
      </c>
      <c r="E399" s="207" t="s">
        <v>1767</v>
      </c>
      <c r="F399" s="1178" t="s">
        <v>4353</v>
      </c>
      <c r="G399" s="1056" t="s">
        <v>4306</v>
      </c>
      <c r="H399" s="433" t="s">
        <v>3478</v>
      </c>
      <c r="I399" s="111">
        <v>261</v>
      </c>
      <c r="J399" s="111">
        <v>1566</v>
      </c>
      <c r="K399" s="110"/>
      <c r="L399" s="110"/>
      <c r="M399" s="110"/>
      <c r="N399" s="110"/>
      <c r="O399" s="110"/>
      <c r="P399" s="110"/>
      <c r="Q399" s="433">
        <v>2</v>
      </c>
      <c r="R399" s="111">
        <v>522</v>
      </c>
      <c r="S399" s="110"/>
      <c r="T399" s="110"/>
      <c r="U399" s="110"/>
      <c r="V399" s="110"/>
      <c r="W399" s="433">
        <v>2</v>
      </c>
      <c r="X399" s="111">
        <v>522</v>
      </c>
      <c r="Y399" s="110"/>
      <c r="Z399" s="110"/>
      <c r="AA399" s="110"/>
      <c r="AB399" s="110"/>
      <c r="AC399" s="433">
        <v>2</v>
      </c>
      <c r="AD399" s="111">
        <v>522</v>
      </c>
      <c r="AE399" s="110"/>
      <c r="AF399" s="110"/>
      <c r="AG399" s="110"/>
      <c r="AH399" s="1048"/>
    </row>
    <row r="400" spans="1:34" ht="45" x14ac:dyDescent="0.25">
      <c r="A400" s="1047"/>
      <c r="B400" s="110" t="s">
        <v>3791</v>
      </c>
      <c r="C400" s="110"/>
      <c r="D400" s="433">
        <v>6</v>
      </c>
      <c r="E400" s="207" t="s">
        <v>1767</v>
      </c>
      <c r="F400" s="1178" t="s">
        <v>4353</v>
      </c>
      <c r="G400" s="1056" t="s">
        <v>4306</v>
      </c>
      <c r="H400" s="433" t="s">
        <v>3478</v>
      </c>
      <c r="I400" s="111">
        <v>261</v>
      </c>
      <c r="J400" s="111">
        <v>1566</v>
      </c>
      <c r="K400" s="110"/>
      <c r="L400" s="110"/>
      <c r="M400" s="110"/>
      <c r="N400" s="110"/>
      <c r="O400" s="110"/>
      <c r="P400" s="110"/>
      <c r="Q400" s="433">
        <v>2</v>
      </c>
      <c r="R400" s="111">
        <v>522</v>
      </c>
      <c r="S400" s="110"/>
      <c r="T400" s="110"/>
      <c r="U400" s="110"/>
      <c r="V400" s="110"/>
      <c r="W400" s="433">
        <v>2</v>
      </c>
      <c r="X400" s="111">
        <v>522</v>
      </c>
      <c r="Y400" s="110"/>
      <c r="Z400" s="110"/>
      <c r="AA400" s="110"/>
      <c r="AB400" s="110"/>
      <c r="AC400" s="433">
        <v>2</v>
      </c>
      <c r="AD400" s="111">
        <v>522</v>
      </c>
      <c r="AE400" s="110"/>
      <c r="AF400" s="110"/>
      <c r="AG400" s="110"/>
      <c r="AH400" s="1048"/>
    </row>
    <row r="401" spans="1:34" ht="45" x14ac:dyDescent="0.25">
      <c r="A401" s="1047"/>
      <c r="B401" s="110" t="s">
        <v>3792</v>
      </c>
      <c r="C401" s="110"/>
      <c r="D401" s="433">
        <v>6</v>
      </c>
      <c r="E401" s="207" t="s">
        <v>1767</v>
      </c>
      <c r="F401" s="1178" t="s">
        <v>4353</v>
      </c>
      <c r="G401" s="1056" t="s">
        <v>4306</v>
      </c>
      <c r="H401" s="433" t="s">
        <v>3478</v>
      </c>
      <c r="I401" s="111">
        <v>261</v>
      </c>
      <c r="J401" s="111">
        <v>1566</v>
      </c>
      <c r="K401" s="110"/>
      <c r="L401" s="110"/>
      <c r="M401" s="110"/>
      <c r="N401" s="110"/>
      <c r="O401" s="110"/>
      <c r="P401" s="110"/>
      <c r="Q401" s="433">
        <v>2</v>
      </c>
      <c r="R401" s="111">
        <v>522</v>
      </c>
      <c r="S401" s="110"/>
      <c r="T401" s="110"/>
      <c r="U401" s="110"/>
      <c r="V401" s="110"/>
      <c r="W401" s="433">
        <v>2</v>
      </c>
      <c r="X401" s="111">
        <v>522</v>
      </c>
      <c r="Y401" s="110"/>
      <c r="Z401" s="110"/>
      <c r="AA401" s="110"/>
      <c r="AB401" s="110"/>
      <c r="AC401" s="433">
        <v>2</v>
      </c>
      <c r="AD401" s="111">
        <v>522</v>
      </c>
      <c r="AE401" s="110"/>
      <c r="AF401" s="110"/>
      <c r="AG401" s="110"/>
      <c r="AH401" s="1048"/>
    </row>
    <row r="402" spans="1:34" ht="45" x14ac:dyDescent="0.25">
      <c r="A402" s="1047"/>
      <c r="B402" s="110" t="s">
        <v>3793</v>
      </c>
      <c r="C402" s="110"/>
      <c r="D402" s="433">
        <v>6</v>
      </c>
      <c r="E402" s="207" t="s">
        <v>1767</v>
      </c>
      <c r="F402" s="1178" t="s">
        <v>4353</v>
      </c>
      <c r="G402" s="1056" t="s">
        <v>4306</v>
      </c>
      <c r="H402" s="433" t="s">
        <v>3478</v>
      </c>
      <c r="I402" s="111">
        <v>261</v>
      </c>
      <c r="J402" s="111">
        <v>1566</v>
      </c>
      <c r="K402" s="110"/>
      <c r="L402" s="110"/>
      <c r="M402" s="110"/>
      <c r="N402" s="110"/>
      <c r="O402" s="110"/>
      <c r="P402" s="110"/>
      <c r="Q402" s="433">
        <v>2</v>
      </c>
      <c r="R402" s="111">
        <v>522</v>
      </c>
      <c r="S402" s="110"/>
      <c r="T402" s="110"/>
      <c r="U402" s="110"/>
      <c r="V402" s="110"/>
      <c r="W402" s="433">
        <v>2</v>
      </c>
      <c r="X402" s="111">
        <v>522</v>
      </c>
      <c r="Y402" s="110"/>
      <c r="Z402" s="110"/>
      <c r="AA402" s="110"/>
      <c r="AB402" s="110"/>
      <c r="AC402" s="433">
        <v>2</v>
      </c>
      <c r="AD402" s="111">
        <v>522</v>
      </c>
      <c r="AE402" s="110"/>
      <c r="AF402" s="110"/>
      <c r="AG402" s="110"/>
      <c r="AH402" s="1048"/>
    </row>
    <row r="403" spans="1:34" ht="45" x14ac:dyDescent="0.25">
      <c r="A403" s="1047"/>
      <c r="B403" s="110" t="s">
        <v>3794</v>
      </c>
      <c r="C403" s="110"/>
      <c r="D403" s="433">
        <v>6</v>
      </c>
      <c r="E403" s="207" t="s">
        <v>1767</v>
      </c>
      <c r="F403" s="1178" t="s">
        <v>4353</v>
      </c>
      <c r="G403" s="1056" t="s">
        <v>4306</v>
      </c>
      <c r="H403" s="433" t="s">
        <v>3478</v>
      </c>
      <c r="I403" s="111">
        <v>261</v>
      </c>
      <c r="J403" s="111">
        <v>1566</v>
      </c>
      <c r="K403" s="110"/>
      <c r="L403" s="110"/>
      <c r="M403" s="110"/>
      <c r="N403" s="110"/>
      <c r="O403" s="110"/>
      <c r="P403" s="110"/>
      <c r="Q403" s="433">
        <v>2</v>
      </c>
      <c r="R403" s="111">
        <v>522</v>
      </c>
      <c r="S403" s="110"/>
      <c r="T403" s="110"/>
      <c r="U403" s="110"/>
      <c r="V403" s="110"/>
      <c r="W403" s="433">
        <v>2</v>
      </c>
      <c r="X403" s="111">
        <v>522</v>
      </c>
      <c r="Y403" s="110"/>
      <c r="Z403" s="110"/>
      <c r="AA403" s="110"/>
      <c r="AB403" s="110"/>
      <c r="AC403" s="433">
        <v>2</v>
      </c>
      <c r="AD403" s="111">
        <v>522</v>
      </c>
      <c r="AE403" s="110"/>
      <c r="AF403" s="110"/>
      <c r="AG403" s="110"/>
      <c r="AH403" s="1048"/>
    </row>
    <row r="404" spans="1:34" ht="45" x14ac:dyDescent="0.25">
      <c r="A404" s="1047"/>
      <c r="B404" s="110" t="s">
        <v>3795</v>
      </c>
      <c r="C404" s="110"/>
      <c r="D404" s="433">
        <v>6</v>
      </c>
      <c r="E404" s="207" t="s">
        <v>1767</v>
      </c>
      <c r="F404" s="1178" t="s">
        <v>4353</v>
      </c>
      <c r="G404" s="1056" t="s">
        <v>4306</v>
      </c>
      <c r="H404" s="433" t="s">
        <v>3478</v>
      </c>
      <c r="I404" s="111">
        <v>261</v>
      </c>
      <c r="J404" s="111">
        <v>1566</v>
      </c>
      <c r="K404" s="110"/>
      <c r="L404" s="110"/>
      <c r="M404" s="110"/>
      <c r="N404" s="110"/>
      <c r="O404" s="110"/>
      <c r="P404" s="110"/>
      <c r="Q404" s="433">
        <v>2</v>
      </c>
      <c r="R404" s="111">
        <v>522</v>
      </c>
      <c r="S404" s="110"/>
      <c r="T404" s="110"/>
      <c r="U404" s="110"/>
      <c r="V404" s="110"/>
      <c r="W404" s="433">
        <v>2</v>
      </c>
      <c r="X404" s="111">
        <v>522</v>
      </c>
      <c r="Y404" s="110"/>
      <c r="Z404" s="110"/>
      <c r="AA404" s="110"/>
      <c r="AB404" s="110"/>
      <c r="AC404" s="433">
        <v>2</v>
      </c>
      <c r="AD404" s="111">
        <v>522</v>
      </c>
      <c r="AE404" s="110"/>
      <c r="AF404" s="110"/>
      <c r="AG404" s="110"/>
      <c r="AH404" s="1048"/>
    </row>
    <row r="405" spans="1:34" ht="45" x14ac:dyDescent="0.25">
      <c r="A405" s="1047"/>
      <c r="B405" s="110" t="s">
        <v>3796</v>
      </c>
      <c r="C405" s="110"/>
      <c r="D405" s="433">
        <v>6</v>
      </c>
      <c r="E405" s="207" t="s">
        <v>1767</v>
      </c>
      <c r="F405" s="1178" t="s">
        <v>4353</v>
      </c>
      <c r="G405" s="1056" t="s">
        <v>4306</v>
      </c>
      <c r="H405" s="433" t="s">
        <v>3478</v>
      </c>
      <c r="I405" s="111">
        <v>261</v>
      </c>
      <c r="J405" s="111">
        <v>1566</v>
      </c>
      <c r="K405" s="110"/>
      <c r="L405" s="110"/>
      <c r="M405" s="110"/>
      <c r="N405" s="110"/>
      <c r="O405" s="110"/>
      <c r="P405" s="110"/>
      <c r="Q405" s="433">
        <v>2</v>
      </c>
      <c r="R405" s="111">
        <v>522</v>
      </c>
      <c r="S405" s="110"/>
      <c r="T405" s="110"/>
      <c r="U405" s="110"/>
      <c r="V405" s="110"/>
      <c r="W405" s="433">
        <v>2</v>
      </c>
      <c r="X405" s="111">
        <v>522</v>
      </c>
      <c r="Y405" s="110"/>
      <c r="Z405" s="110"/>
      <c r="AA405" s="110"/>
      <c r="AB405" s="110"/>
      <c r="AC405" s="433">
        <v>2</v>
      </c>
      <c r="AD405" s="111">
        <v>522</v>
      </c>
      <c r="AE405" s="110"/>
      <c r="AF405" s="110"/>
      <c r="AG405" s="110"/>
      <c r="AH405" s="1048"/>
    </row>
    <row r="406" spans="1:34" ht="45" x14ac:dyDescent="0.25">
      <c r="A406" s="1047"/>
      <c r="B406" s="110" t="s">
        <v>3797</v>
      </c>
      <c r="C406" s="110"/>
      <c r="D406" s="433">
        <v>6</v>
      </c>
      <c r="E406" s="207" t="s">
        <v>1767</v>
      </c>
      <c r="F406" s="1178" t="s">
        <v>4353</v>
      </c>
      <c r="G406" s="1056" t="s">
        <v>4306</v>
      </c>
      <c r="H406" s="433" t="s">
        <v>3478</v>
      </c>
      <c r="I406" s="111">
        <v>69.599999999999994</v>
      </c>
      <c r="J406" s="111">
        <v>417.59999999999997</v>
      </c>
      <c r="K406" s="110"/>
      <c r="L406" s="110"/>
      <c r="M406" s="110"/>
      <c r="N406" s="110"/>
      <c r="O406" s="110"/>
      <c r="P406" s="110"/>
      <c r="Q406" s="433">
        <v>2</v>
      </c>
      <c r="R406" s="111">
        <v>139.19999999999999</v>
      </c>
      <c r="S406" s="110"/>
      <c r="T406" s="110"/>
      <c r="U406" s="110"/>
      <c r="V406" s="110"/>
      <c r="W406" s="433">
        <v>2</v>
      </c>
      <c r="X406" s="111">
        <v>139.19999999999999</v>
      </c>
      <c r="Y406" s="110"/>
      <c r="Z406" s="110"/>
      <c r="AA406" s="110"/>
      <c r="AB406" s="110"/>
      <c r="AC406" s="433">
        <v>2</v>
      </c>
      <c r="AD406" s="111">
        <v>139.19999999999999</v>
      </c>
      <c r="AE406" s="110"/>
      <c r="AF406" s="110"/>
      <c r="AG406" s="110"/>
      <c r="AH406" s="1048"/>
    </row>
    <row r="407" spans="1:34" ht="45" x14ac:dyDescent="0.25">
      <c r="A407" s="1047"/>
      <c r="B407" s="110" t="s">
        <v>3798</v>
      </c>
      <c r="C407" s="110"/>
      <c r="D407" s="433">
        <v>6</v>
      </c>
      <c r="E407" s="207" t="s">
        <v>1767</v>
      </c>
      <c r="F407" s="1178" t="s">
        <v>4353</v>
      </c>
      <c r="G407" s="1056" t="s">
        <v>4306</v>
      </c>
      <c r="H407" s="433" t="s">
        <v>3478</v>
      </c>
      <c r="I407" s="111">
        <v>69.599999999999994</v>
      </c>
      <c r="J407" s="111">
        <v>417.59999999999997</v>
      </c>
      <c r="K407" s="110"/>
      <c r="L407" s="110"/>
      <c r="M407" s="110"/>
      <c r="N407" s="110"/>
      <c r="O407" s="110"/>
      <c r="P407" s="110"/>
      <c r="Q407" s="433">
        <v>2</v>
      </c>
      <c r="R407" s="111">
        <v>139.19999999999999</v>
      </c>
      <c r="S407" s="110"/>
      <c r="T407" s="110"/>
      <c r="U407" s="110"/>
      <c r="V407" s="110"/>
      <c r="W407" s="433">
        <v>2</v>
      </c>
      <c r="X407" s="111">
        <v>139.19999999999999</v>
      </c>
      <c r="Y407" s="110"/>
      <c r="Z407" s="110"/>
      <c r="AA407" s="110"/>
      <c r="AB407" s="110"/>
      <c r="AC407" s="433">
        <v>2</v>
      </c>
      <c r="AD407" s="111">
        <v>139.19999999999999</v>
      </c>
      <c r="AE407" s="110"/>
      <c r="AF407" s="110"/>
      <c r="AG407" s="110"/>
      <c r="AH407" s="1048"/>
    </row>
    <row r="408" spans="1:34" ht="45" x14ac:dyDescent="0.25">
      <c r="A408" s="1047"/>
      <c r="B408" s="110" t="s">
        <v>3799</v>
      </c>
      <c r="C408" s="110"/>
      <c r="D408" s="433">
        <v>6</v>
      </c>
      <c r="E408" s="207" t="s">
        <v>1767</v>
      </c>
      <c r="F408" s="1178" t="s">
        <v>4353</v>
      </c>
      <c r="G408" s="1056" t="s">
        <v>4306</v>
      </c>
      <c r="H408" s="433" t="s">
        <v>3478</v>
      </c>
      <c r="I408" s="111">
        <v>69.599999999999994</v>
      </c>
      <c r="J408" s="111">
        <v>417.59999999999997</v>
      </c>
      <c r="K408" s="110"/>
      <c r="L408" s="110"/>
      <c r="M408" s="110"/>
      <c r="N408" s="110"/>
      <c r="O408" s="110"/>
      <c r="P408" s="110"/>
      <c r="Q408" s="433">
        <v>2</v>
      </c>
      <c r="R408" s="111">
        <v>139.19999999999999</v>
      </c>
      <c r="S408" s="110"/>
      <c r="T408" s="110"/>
      <c r="U408" s="110"/>
      <c r="V408" s="110"/>
      <c r="W408" s="433">
        <v>2</v>
      </c>
      <c r="X408" s="111">
        <v>139.19999999999999</v>
      </c>
      <c r="Y408" s="110"/>
      <c r="Z408" s="110"/>
      <c r="AA408" s="110"/>
      <c r="AB408" s="110"/>
      <c r="AC408" s="433">
        <v>2</v>
      </c>
      <c r="AD408" s="111">
        <v>139.19999999999999</v>
      </c>
      <c r="AE408" s="110"/>
      <c r="AF408" s="110"/>
      <c r="AG408" s="110"/>
      <c r="AH408" s="1048"/>
    </row>
    <row r="409" spans="1:34" ht="45" x14ac:dyDescent="0.25">
      <c r="A409" s="1047"/>
      <c r="B409" s="110" t="s">
        <v>3800</v>
      </c>
      <c r="C409" s="110"/>
      <c r="D409" s="433">
        <v>6</v>
      </c>
      <c r="E409" s="207" t="s">
        <v>1767</v>
      </c>
      <c r="F409" s="1178" t="s">
        <v>4353</v>
      </c>
      <c r="G409" s="1056" t="s">
        <v>4306</v>
      </c>
      <c r="H409" s="433" t="s">
        <v>3478</v>
      </c>
      <c r="I409" s="111">
        <v>69.599999999999994</v>
      </c>
      <c r="J409" s="111">
        <v>417.59999999999997</v>
      </c>
      <c r="K409" s="110"/>
      <c r="L409" s="110"/>
      <c r="M409" s="110"/>
      <c r="N409" s="110"/>
      <c r="O409" s="110"/>
      <c r="P409" s="110"/>
      <c r="Q409" s="433">
        <v>2</v>
      </c>
      <c r="R409" s="111">
        <v>139.19999999999999</v>
      </c>
      <c r="S409" s="110"/>
      <c r="T409" s="110"/>
      <c r="U409" s="110"/>
      <c r="V409" s="110"/>
      <c r="W409" s="433">
        <v>2</v>
      </c>
      <c r="X409" s="111">
        <v>139.19999999999999</v>
      </c>
      <c r="Y409" s="110"/>
      <c r="Z409" s="110"/>
      <c r="AA409" s="110"/>
      <c r="AB409" s="110"/>
      <c r="AC409" s="433">
        <v>2</v>
      </c>
      <c r="AD409" s="111">
        <v>139.19999999999999</v>
      </c>
      <c r="AE409" s="110"/>
      <c r="AF409" s="110"/>
      <c r="AG409" s="110"/>
      <c r="AH409" s="1048"/>
    </row>
    <row r="410" spans="1:34" ht="45" x14ac:dyDescent="0.25">
      <c r="A410" s="1047"/>
      <c r="B410" s="110" t="s">
        <v>3801</v>
      </c>
      <c r="C410" s="110"/>
      <c r="D410" s="433">
        <v>6</v>
      </c>
      <c r="E410" s="207" t="s">
        <v>1767</v>
      </c>
      <c r="F410" s="1178" t="s">
        <v>4353</v>
      </c>
      <c r="G410" s="1056" t="s">
        <v>4306</v>
      </c>
      <c r="H410" s="433" t="s">
        <v>3478</v>
      </c>
      <c r="I410" s="111">
        <v>69.599999999999994</v>
      </c>
      <c r="J410" s="111">
        <v>417.59999999999997</v>
      </c>
      <c r="K410" s="110"/>
      <c r="L410" s="110"/>
      <c r="M410" s="110"/>
      <c r="N410" s="110"/>
      <c r="O410" s="110"/>
      <c r="P410" s="110"/>
      <c r="Q410" s="433">
        <v>2</v>
      </c>
      <c r="R410" s="111">
        <v>139.19999999999999</v>
      </c>
      <c r="S410" s="110"/>
      <c r="T410" s="110"/>
      <c r="U410" s="110"/>
      <c r="V410" s="110"/>
      <c r="W410" s="433">
        <v>2</v>
      </c>
      <c r="X410" s="111">
        <v>139.19999999999999</v>
      </c>
      <c r="Y410" s="110"/>
      <c r="Z410" s="110"/>
      <c r="AA410" s="110"/>
      <c r="AB410" s="110"/>
      <c r="AC410" s="433">
        <v>2</v>
      </c>
      <c r="AD410" s="111">
        <v>139.19999999999999</v>
      </c>
      <c r="AE410" s="110"/>
      <c r="AF410" s="110"/>
      <c r="AG410" s="110"/>
      <c r="AH410" s="1048"/>
    </row>
    <row r="411" spans="1:34" ht="45" x14ac:dyDescent="0.25">
      <c r="A411" s="1047"/>
      <c r="B411" s="110" t="s">
        <v>3802</v>
      </c>
      <c r="C411" s="110"/>
      <c r="D411" s="433">
        <v>6</v>
      </c>
      <c r="E411" s="207" t="s">
        <v>1767</v>
      </c>
      <c r="F411" s="1178" t="s">
        <v>4353</v>
      </c>
      <c r="G411" s="1056" t="s">
        <v>4306</v>
      </c>
      <c r="H411" s="433" t="s">
        <v>3478</v>
      </c>
      <c r="I411" s="111">
        <v>69.599999999999994</v>
      </c>
      <c r="J411" s="111">
        <v>417.59999999999997</v>
      </c>
      <c r="K411" s="110"/>
      <c r="L411" s="110"/>
      <c r="M411" s="110"/>
      <c r="N411" s="110"/>
      <c r="O411" s="110"/>
      <c r="P411" s="110"/>
      <c r="Q411" s="433">
        <v>2</v>
      </c>
      <c r="R411" s="111">
        <v>139.19999999999999</v>
      </c>
      <c r="S411" s="110"/>
      <c r="T411" s="110"/>
      <c r="U411" s="110"/>
      <c r="V411" s="110"/>
      <c r="W411" s="433">
        <v>2</v>
      </c>
      <c r="X411" s="111">
        <v>139.19999999999999</v>
      </c>
      <c r="Y411" s="110"/>
      <c r="Z411" s="110"/>
      <c r="AA411" s="110"/>
      <c r="AB411" s="110"/>
      <c r="AC411" s="433">
        <v>2</v>
      </c>
      <c r="AD411" s="111">
        <v>139.19999999999999</v>
      </c>
      <c r="AE411" s="110"/>
      <c r="AF411" s="110"/>
      <c r="AG411" s="110"/>
      <c r="AH411" s="1048"/>
    </row>
    <row r="412" spans="1:34" ht="45" x14ac:dyDescent="0.25">
      <c r="A412" s="1047"/>
      <c r="B412" s="110" t="s">
        <v>3803</v>
      </c>
      <c r="C412" s="110"/>
      <c r="D412" s="433">
        <v>6</v>
      </c>
      <c r="E412" s="207" t="s">
        <v>1767</v>
      </c>
      <c r="F412" s="1178" t="s">
        <v>4353</v>
      </c>
      <c r="G412" s="1056" t="s">
        <v>4306</v>
      </c>
      <c r="H412" s="433" t="s">
        <v>3478</v>
      </c>
      <c r="I412" s="111">
        <v>69.599999999999994</v>
      </c>
      <c r="J412" s="111">
        <v>417.59999999999997</v>
      </c>
      <c r="K412" s="110"/>
      <c r="L412" s="110"/>
      <c r="M412" s="110"/>
      <c r="N412" s="110"/>
      <c r="O412" s="110"/>
      <c r="P412" s="110"/>
      <c r="Q412" s="433">
        <v>2</v>
      </c>
      <c r="R412" s="111">
        <v>139.19999999999999</v>
      </c>
      <c r="S412" s="110"/>
      <c r="T412" s="110"/>
      <c r="U412" s="110"/>
      <c r="V412" s="110"/>
      <c r="W412" s="433">
        <v>2</v>
      </c>
      <c r="X412" s="111">
        <v>139.19999999999999</v>
      </c>
      <c r="Y412" s="110"/>
      <c r="Z412" s="110"/>
      <c r="AA412" s="110"/>
      <c r="AB412" s="110"/>
      <c r="AC412" s="433">
        <v>2</v>
      </c>
      <c r="AD412" s="111">
        <v>139.19999999999999</v>
      </c>
      <c r="AE412" s="110"/>
      <c r="AF412" s="110"/>
      <c r="AG412" s="110"/>
      <c r="AH412" s="1048"/>
    </row>
    <row r="413" spans="1:34" ht="45" x14ac:dyDescent="0.25">
      <c r="A413" s="1047"/>
      <c r="B413" s="110" t="s">
        <v>3804</v>
      </c>
      <c r="C413" s="110"/>
      <c r="D413" s="433">
        <v>6</v>
      </c>
      <c r="E413" s="207" t="s">
        <v>1767</v>
      </c>
      <c r="F413" s="1178" t="s">
        <v>4353</v>
      </c>
      <c r="G413" s="1056" t="s">
        <v>4306</v>
      </c>
      <c r="H413" s="433" t="s">
        <v>3478</v>
      </c>
      <c r="I413" s="111">
        <v>69.599999999999994</v>
      </c>
      <c r="J413" s="111">
        <v>417.59999999999997</v>
      </c>
      <c r="K413" s="110"/>
      <c r="L413" s="110"/>
      <c r="M413" s="110"/>
      <c r="N413" s="110"/>
      <c r="O413" s="110"/>
      <c r="P413" s="110"/>
      <c r="Q413" s="433">
        <v>2</v>
      </c>
      <c r="R413" s="111">
        <v>139.19999999999999</v>
      </c>
      <c r="S413" s="110"/>
      <c r="T413" s="110"/>
      <c r="U413" s="110"/>
      <c r="V413" s="110"/>
      <c r="W413" s="433">
        <v>2</v>
      </c>
      <c r="X413" s="111">
        <v>139.19999999999999</v>
      </c>
      <c r="Y413" s="110"/>
      <c r="Z413" s="110"/>
      <c r="AA413" s="110"/>
      <c r="AB413" s="110"/>
      <c r="AC413" s="433">
        <v>2</v>
      </c>
      <c r="AD413" s="111">
        <v>139.19999999999999</v>
      </c>
      <c r="AE413" s="110"/>
      <c r="AF413" s="110"/>
      <c r="AG413" s="110"/>
      <c r="AH413" s="1048"/>
    </row>
    <row r="414" spans="1:34" ht="45" x14ac:dyDescent="0.25">
      <c r="A414" s="1047"/>
      <c r="B414" s="110" t="s">
        <v>3805</v>
      </c>
      <c r="C414" s="110"/>
      <c r="D414" s="433">
        <v>6</v>
      </c>
      <c r="E414" s="207" t="s">
        <v>1767</v>
      </c>
      <c r="F414" s="1178" t="s">
        <v>4353</v>
      </c>
      <c r="G414" s="1056" t="s">
        <v>4306</v>
      </c>
      <c r="H414" s="433" t="s">
        <v>3478</v>
      </c>
      <c r="I414" s="111">
        <v>69.599999999999994</v>
      </c>
      <c r="J414" s="111">
        <v>417.59999999999997</v>
      </c>
      <c r="K414" s="110"/>
      <c r="L414" s="110"/>
      <c r="M414" s="110"/>
      <c r="N414" s="110"/>
      <c r="O414" s="110"/>
      <c r="P414" s="110"/>
      <c r="Q414" s="433">
        <v>2</v>
      </c>
      <c r="R414" s="111">
        <v>139.19999999999999</v>
      </c>
      <c r="S414" s="110"/>
      <c r="T414" s="110"/>
      <c r="U414" s="110"/>
      <c r="V414" s="110"/>
      <c r="W414" s="433">
        <v>2</v>
      </c>
      <c r="X414" s="111">
        <v>139.19999999999999</v>
      </c>
      <c r="Y414" s="110"/>
      <c r="Z414" s="110"/>
      <c r="AA414" s="110"/>
      <c r="AB414" s="110"/>
      <c r="AC414" s="433">
        <v>2</v>
      </c>
      <c r="AD414" s="111">
        <v>139.19999999999999</v>
      </c>
      <c r="AE414" s="110"/>
      <c r="AF414" s="110"/>
      <c r="AG414" s="110"/>
      <c r="AH414" s="1048"/>
    </row>
    <row r="415" spans="1:34" ht="45" x14ac:dyDescent="0.25">
      <c r="A415" s="1047"/>
      <c r="B415" s="110" t="s">
        <v>3806</v>
      </c>
      <c r="C415" s="110"/>
      <c r="D415" s="433">
        <v>6</v>
      </c>
      <c r="E415" s="207" t="s">
        <v>1767</v>
      </c>
      <c r="F415" s="1178" t="s">
        <v>4353</v>
      </c>
      <c r="G415" s="1056" t="s">
        <v>4306</v>
      </c>
      <c r="H415" s="433" t="s">
        <v>3478</v>
      </c>
      <c r="I415" s="111">
        <v>69.599999999999994</v>
      </c>
      <c r="J415" s="111">
        <v>417.59999999999997</v>
      </c>
      <c r="K415" s="110"/>
      <c r="L415" s="110"/>
      <c r="M415" s="110"/>
      <c r="N415" s="110"/>
      <c r="O415" s="110"/>
      <c r="P415" s="110"/>
      <c r="Q415" s="433">
        <v>2</v>
      </c>
      <c r="R415" s="111">
        <v>139.19999999999999</v>
      </c>
      <c r="S415" s="110"/>
      <c r="T415" s="110"/>
      <c r="U415" s="110"/>
      <c r="V415" s="110"/>
      <c r="W415" s="433">
        <v>2</v>
      </c>
      <c r="X415" s="111">
        <v>139.19999999999999</v>
      </c>
      <c r="Y415" s="110"/>
      <c r="Z415" s="110"/>
      <c r="AA415" s="110"/>
      <c r="AB415" s="110"/>
      <c r="AC415" s="433">
        <v>2</v>
      </c>
      <c r="AD415" s="111">
        <v>139.19999999999999</v>
      </c>
      <c r="AE415" s="110"/>
      <c r="AF415" s="110"/>
      <c r="AG415" s="110"/>
      <c r="AH415" s="1048"/>
    </row>
    <row r="416" spans="1:34" ht="45" x14ac:dyDescent="0.25">
      <c r="A416" s="1047"/>
      <c r="B416" s="110" t="s">
        <v>3807</v>
      </c>
      <c r="C416" s="110"/>
      <c r="D416" s="433">
        <v>3</v>
      </c>
      <c r="E416" s="207" t="s">
        <v>1767</v>
      </c>
      <c r="F416" s="1178" t="s">
        <v>4353</v>
      </c>
      <c r="G416" s="1056" t="s">
        <v>4306</v>
      </c>
      <c r="H416" s="433" t="s">
        <v>3478</v>
      </c>
      <c r="I416" s="111">
        <v>163.56</v>
      </c>
      <c r="J416" s="111">
        <v>490.68</v>
      </c>
      <c r="K416" s="110"/>
      <c r="L416" s="110"/>
      <c r="M416" s="110"/>
      <c r="N416" s="110"/>
      <c r="O416" s="110"/>
      <c r="P416" s="110"/>
      <c r="Q416" s="433">
        <v>1</v>
      </c>
      <c r="R416" s="111">
        <v>163.56</v>
      </c>
      <c r="S416" s="110"/>
      <c r="T416" s="110"/>
      <c r="U416" s="110"/>
      <c r="V416" s="110"/>
      <c r="W416" s="433">
        <v>1</v>
      </c>
      <c r="X416" s="111">
        <v>163.56</v>
      </c>
      <c r="Y416" s="110"/>
      <c r="Z416" s="110"/>
      <c r="AA416" s="110"/>
      <c r="AB416" s="110"/>
      <c r="AC416" s="433">
        <v>1</v>
      </c>
      <c r="AD416" s="111">
        <v>163.56</v>
      </c>
      <c r="AE416" s="110"/>
      <c r="AF416" s="110"/>
      <c r="AG416" s="110"/>
      <c r="AH416" s="1048"/>
    </row>
    <row r="417" spans="1:34" ht="45" x14ac:dyDescent="0.25">
      <c r="A417" s="1047"/>
      <c r="B417" s="110" t="s">
        <v>3808</v>
      </c>
      <c r="C417" s="110"/>
      <c r="D417" s="433">
        <v>3</v>
      </c>
      <c r="E417" s="207" t="s">
        <v>1767</v>
      </c>
      <c r="F417" s="1178" t="s">
        <v>4353</v>
      </c>
      <c r="G417" s="1056" t="s">
        <v>4306</v>
      </c>
      <c r="H417" s="433" t="s">
        <v>3478</v>
      </c>
      <c r="I417" s="111">
        <v>163.56</v>
      </c>
      <c r="J417" s="111">
        <v>490.68</v>
      </c>
      <c r="K417" s="110"/>
      <c r="L417" s="110"/>
      <c r="M417" s="110"/>
      <c r="N417" s="110"/>
      <c r="O417" s="110"/>
      <c r="P417" s="110"/>
      <c r="Q417" s="433">
        <v>1</v>
      </c>
      <c r="R417" s="111">
        <v>163.56</v>
      </c>
      <c r="S417" s="110"/>
      <c r="T417" s="110"/>
      <c r="U417" s="110"/>
      <c r="V417" s="110"/>
      <c r="W417" s="433">
        <v>1</v>
      </c>
      <c r="X417" s="111">
        <v>163.56</v>
      </c>
      <c r="Y417" s="110"/>
      <c r="Z417" s="110"/>
      <c r="AA417" s="110"/>
      <c r="AB417" s="110"/>
      <c r="AC417" s="433">
        <v>1</v>
      </c>
      <c r="AD417" s="111">
        <v>163.56</v>
      </c>
      <c r="AE417" s="110"/>
      <c r="AF417" s="110"/>
      <c r="AG417" s="110"/>
      <c r="AH417" s="1048"/>
    </row>
    <row r="418" spans="1:34" ht="45" x14ac:dyDescent="0.25">
      <c r="A418" s="1047"/>
      <c r="B418" s="110" t="s">
        <v>3809</v>
      </c>
      <c r="C418" s="110"/>
      <c r="D418" s="433">
        <v>3</v>
      </c>
      <c r="E418" s="207" t="s">
        <v>1767</v>
      </c>
      <c r="F418" s="1178" t="s">
        <v>4353</v>
      </c>
      <c r="G418" s="1056" t="s">
        <v>4306</v>
      </c>
      <c r="H418" s="433" t="s">
        <v>3478</v>
      </c>
      <c r="I418" s="111">
        <v>163.56</v>
      </c>
      <c r="J418" s="111">
        <v>490.68</v>
      </c>
      <c r="K418" s="110"/>
      <c r="L418" s="110"/>
      <c r="M418" s="110"/>
      <c r="N418" s="110"/>
      <c r="O418" s="110"/>
      <c r="P418" s="110"/>
      <c r="Q418" s="433">
        <v>1</v>
      </c>
      <c r="R418" s="111">
        <v>163.56</v>
      </c>
      <c r="S418" s="110"/>
      <c r="T418" s="110"/>
      <c r="U418" s="110"/>
      <c r="V418" s="110"/>
      <c r="W418" s="433">
        <v>1</v>
      </c>
      <c r="X418" s="111">
        <v>163.56</v>
      </c>
      <c r="Y418" s="110"/>
      <c r="Z418" s="110"/>
      <c r="AA418" s="110"/>
      <c r="AB418" s="110"/>
      <c r="AC418" s="433">
        <v>1</v>
      </c>
      <c r="AD418" s="111">
        <v>163.56</v>
      </c>
      <c r="AE418" s="110"/>
      <c r="AF418" s="110"/>
      <c r="AG418" s="110"/>
      <c r="AH418" s="1048"/>
    </row>
    <row r="419" spans="1:34" ht="45" x14ac:dyDescent="0.25">
      <c r="A419" s="1047"/>
      <c r="B419" s="110" t="s">
        <v>3810</v>
      </c>
      <c r="C419" s="110"/>
      <c r="D419" s="433">
        <v>3</v>
      </c>
      <c r="E419" s="207" t="s">
        <v>1767</v>
      </c>
      <c r="F419" s="1178" t="s">
        <v>4353</v>
      </c>
      <c r="G419" s="1056" t="s">
        <v>4306</v>
      </c>
      <c r="H419" s="433" t="s">
        <v>3478</v>
      </c>
      <c r="I419" s="111">
        <v>163.56</v>
      </c>
      <c r="J419" s="111">
        <v>490.68</v>
      </c>
      <c r="K419" s="110"/>
      <c r="L419" s="110"/>
      <c r="M419" s="110"/>
      <c r="N419" s="110"/>
      <c r="O419" s="110"/>
      <c r="P419" s="110"/>
      <c r="Q419" s="433">
        <v>1</v>
      </c>
      <c r="R419" s="111">
        <v>163.56</v>
      </c>
      <c r="S419" s="110"/>
      <c r="T419" s="110"/>
      <c r="U419" s="110"/>
      <c r="V419" s="110"/>
      <c r="W419" s="433">
        <v>1</v>
      </c>
      <c r="X419" s="111">
        <v>163.56</v>
      </c>
      <c r="Y419" s="110"/>
      <c r="Z419" s="110"/>
      <c r="AA419" s="110"/>
      <c r="AB419" s="110"/>
      <c r="AC419" s="433">
        <v>1</v>
      </c>
      <c r="AD419" s="111">
        <v>163.56</v>
      </c>
      <c r="AE419" s="110"/>
      <c r="AF419" s="110"/>
      <c r="AG419" s="110"/>
      <c r="AH419" s="1048"/>
    </row>
    <row r="420" spans="1:34" ht="45" x14ac:dyDescent="0.25">
      <c r="A420" s="1047"/>
      <c r="B420" s="110" t="s">
        <v>3811</v>
      </c>
      <c r="C420" s="110"/>
      <c r="D420" s="433">
        <v>3</v>
      </c>
      <c r="E420" s="207" t="s">
        <v>1767</v>
      </c>
      <c r="F420" s="1178" t="s">
        <v>4353</v>
      </c>
      <c r="G420" s="1056" t="s">
        <v>4306</v>
      </c>
      <c r="H420" s="433" t="s">
        <v>3478</v>
      </c>
      <c r="I420" s="111">
        <v>163.56</v>
      </c>
      <c r="J420" s="111">
        <v>490.68</v>
      </c>
      <c r="K420" s="110"/>
      <c r="L420" s="110"/>
      <c r="M420" s="110"/>
      <c r="N420" s="110"/>
      <c r="O420" s="110"/>
      <c r="P420" s="110"/>
      <c r="Q420" s="433">
        <v>1</v>
      </c>
      <c r="R420" s="111">
        <v>163.56</v>
      </c>
      <c r="S420" s="110"/>
      <c r="T420" s="110"/>
      <c r="U420" s="110"/>
      <c r="V420" s="110"/>
      <c r="W420" s="433">
        <v>1</v>
      </c>
      <c r="X420" s="111">
        <v>163.56</v>
      </c>
      <c r="Y420" s="110"/>
      <c r="Z420" s="110"/>
      <c r="AA420" s="110"/>
      <c r="AB420" s="110"/>
      <c r="AC420" s="433">
        <v>1</v>
      </c>
      <c r="AD420" s="111">
        <v>163.56</v>
      </c>
      <c r="AE420" s="110"/>
      <c r="AF420" s="110"/>
      <c r="AG420" s="110"/>
      <c r="AH420" s="1048"/>
    </row>
    <row r="421" spans="1:34" ht="45" x14ac:dyDescent="0.25">
      <c r="A421" s="1047"/>
      <c r="B421" s="110" t="s">
        <v>3812</v>
      </c>
      <c r="C421" s="110"/>
      <c r="D421" s="433">
        <v>3</v>
      </c>
      <c r="E421" s="207" t="s">
        <v>1767</v>
      </c>
      <c r="F421" s="1178" t="s">
        <v>4353</v>
      </c>
      <c r="G421" s="1056" t="s">
        <v>4306</v>
      </c>
      <c r="H421" s="433" t="s">
        <v>3478</v>
      </c>
      <c r="I421" s="111">
        <v>163.56</v>
      </c>
      <c r="J421" s="111">
        <v>490.68</v>
      </c>
      <c r="K421" s="110"/>
      <c r="L421" s="110"/>
      <c r="M421" s="110"/>
      <c r="N421" s="110"/>
      <c r="O421" s="110"/>
      <c r="P421" s="110"/>
      <c r="Q421" s="433">
        <v>1</v>
      </c>
      <c r="R421" s="111">
        <v>163.56</v>
      </c>
      <c r="S421" s="110"/>
      <c r="T421" s="110"/>
      <c r="U421" s="110"/>
      <c r="V421" s="110"/>
      <c r="W421" s="433">
        <v>1</v>
      </c>
      <c r="X421" s="111">
        <v>163.56</v>
      </c>
      <c r="Y421" s="110"/>
      <c r="Z421" s="110"/>
      <c r="AA421" s="110"/>
      <c r="AB421" s="110"/>
      <c r="AC421" s="433">
        <v>1</v>
      </c>
      <c r="AD421" s="111">
        <v>163.56</v>
      </c>
      <c r="AE421" s="110"/>
      <c r="AF421" s="110"/>
      <c r="AG421" s="110"/>
      <c r="AH421" s="1048"/>
    </row>
    <row r="422" spans="1:34" ht="45" x14ac:dyDescent="0.25">
      <c r="A422" s="1047"/>
      <c r="B422" s="110" t="s">
        <v>3813</v>
      </c>
      <c r="C422" s="110"/>
      <c r="D422" s="433">
        <v>3</v>
      </c>
      <c r="E422" s="207" t="s">
        <v>1767</v>
      </c>
      <c r="F422" s="1178" t="s">
        <v>4353</v>
      </c>
      <c r="G422" s="1056" t="s">
        <v>4306</v>
      </c>
      <c r="H422" s="433" t="s">
        <v>3478</v>
      </c>
      <c r="I422" s="111">
        <v>163.56</v>
      </c>
      <c r="J422" s="111">
        <v>490.68</v>
      </c>
      <c r="K422" s="110"/>
      <c r="L422" s="110"/>
      <c r="M422" s="110"/>
      <c r="N422" s="110"/>
      <c r="O422" s="110"/>
      <c r="P422" s="110"/>
      <c r="Q422" s="433">
        <v>1</v>
      </c>
      <c r="R422" s="111">
        <v>163.56</v>
      </c>
      <c r="S422" s="110"/>
      <c r="T422" s="110"/>
      <c r="U422" s="110"/>
      <c r="V422" s="110"/>
      <c r="W422" s="433">
        <v>1</v>
      </c>
      <c r="X422" s="111">
        <v>163.56</v>
      </c>
      <c r="Y422" s="110"/>
      <c r="Z422" s="110"/>
      <c r="AA422" s="110"/>
      <c r="AB422" s="110"/>
      <c r="AC422" s="433">
        <v>1</v>
      </c>
      <c r="AD422" s="111">
        <v>163.56</v>
      </c>
      <c r="AE422" s="110"/>
      <c r="AF422" s="110"/>
      <c r="AG422" s="110"/>
      <c r="AH422" s="1048"/>
    </row>
    <row r="423" spans="1:34" ht="45" x14ac:dyDescent="0.25">
      <c r="A423" s="1047"/>
      <c r="B423" s="110" t="s">
        <v>3814</v>
      </c>
      <c r="C423" s="110"/>
      <c r="D423" s="433">
        <v>3</v>
      </c>
      <c r="E423" s="207" t="s">
        <v>1767</v>
      </c>
      <c r="F423" s="1178" t="s">
        <v>4353</v>
      </c>
      <c r="G423" s="1056" t="s">
        <v>4306</v>
      </c>
      <c r="H423" s="433" t="s">
        <v>3478</v>
      </c>
      <c r="I423" s="111">
        <v>163.56</v>
      </c>
      <c r="J423" s="111">
        <v>490.68</v>
      </c>
      <c r="K423" s="110"/>
      <c r="L423" s="110"/>
      <c r="M423" s="110"/>
      <c r="N423" s="110"/>
      <c r="O423" s="110"/>
      <c r="P423" s="110"/>
      <c r="Q423" s="433">
        <v>1</v>
      </c>
      <c r="R423" s="111">
        <v>163.56</v>
      </c>
      <c r="S423" s="110"/>
      <c r="T423" s="110"/>
      <c r="U423" s="110"/>
      <c r="V423" s="110"/>
      <c r="W423" s="433">
        <v>1</v>
      </c>
      <c r="X423" s="111">
        <v>163.56</v>
      </c>
      <c r="Y423" s="110"/>
      <c r="Z423" s="110"/>
      <c r="AA423" s="110"/>
      <c r="AB423" s="110"/>
      <c r="AC423" s="433">
        <v>1</v>
      </c>
      <c r="AD423" s="111">
        <v>163.56</v>
      </c>
      <c r="AE423" s="110"/>
      <c r="AF423" s="110"/>
      <c r="AG423" s="110"/>
      <c r="AH423" s="1048"/>
    </row>
    <row r="424" spans="1:34" ht="45" x14ac:dyDescent="0.25">
      <c r="A424" s="1047"/>
      <c r="B424" s="110" t="s">
        <v>3815</v>
      </c>
      <c r="C424" s="110"/>
      <c r="D424" s="433">
        <v>3</v>
      </c>
      <c r="E424" s="207" t="s">
        <v>1767</v>
      </c>
      <c r="F424" s="1178" t="s">
        <v>4353</v>
      </c>
      <c r="G424" s="1056" t="s">
        <v>4306</v>
      </c>
      <c r="H424" s="433" t="s">
        <v>3478</v>
      </c>
      <c r="I424" s="111">
        <v>163.56</v>
      </c>
      <c r="J424" s="111">
        <v>490.68</v>
      </c>
      <c r="K424" s="110"/>
      <c r="L424" s="110"/>
      <c r="M424" s="110"/>
      <c r="N424" s="110"/>
      <c r="O424" s="110"/>
      <c r="P424" s="110"/>
      <c r="Q424" s="433">
        <v>1</v>
      </c>
      <c r="R424" s="111">
        <v>163.56</v>
      </c>
      <c r="S424" s="110"/>
      <c r="T424" s="110"/>
      <c r="U424" s="110"/>
      <c r="V424" s="110"/>
      <c r="W424" s="433">
        <v>1</v>
      </c>
      <c r="X424" s="111">
        <v>163.56</v>
      </c>
      <c r="Y424" s="110"/>
      <c r="Z424" s="110"/>
      <c r="AA424" s="110"/>
      <c r="AB424" s="110"/>
      <c r="AC424" s="433">
        <v>1</v>
      </c>
      <c r="AD424" s="111">
        <v>163.56</v>
      </c>
      <c r="AE424" s="110"/>
      <c r="AF424" s="110"/>
      <c r="AG424" s="110"/>
      <c r="AH424" s="1048"/>
    </row>
    <row r="425" spans="1:34" ht="45" x14ac:dyDescent="0.25">
      <c r="A425" s="1047"/>
      <c r="B425" s="110" t="s">
        <v>3816</v>
      </c>
      <c r="C425" s="110"/>
      <c r="D425" s="433">
        <v>3</v>
      </c>
      <c r="E425" s="207" t="s">
        <v>1767</v>
      </c>
      <c r="F425" s="1178" t="s">
        <v>4353</v>
      </c>
      <c r="G425" s="1056" t="s">
        <v>4306</v>
      </c>
      <c r="H425" s="433" t="s">
        <v>3478</v>
      </c>
      <c r="I425" s="111">
        <v>163.56</v>
      </c>
      <c r="J425" s="111">
        <v>490.68</v>
      </c>
      <c r="K425" s="110"/>
      <c r="L425" s="110"/>
      <c r="M425" s="110"/>
      <c r="N425" s="110"/>
      <c r="O425" s="110"/>
      <c r="P425" s="110"/>
      <c r="Q425" s="433">
        <v>1</v>
      </c>
      <c r="R425" s="111">
        <v>163.56</v>
      </c>
      <c r="S425" s="110"/>
      <c r="T425" s="110"/>
      <c r="U425" s="110"/>
      <c r="V425" s="110"/>
      <c r="W425" s="433">
        <v>1</v>
      </c>
      <c r="X425" s="111">
        <v>163.56</v>
      </c>
      <c r="Y425" s="110"/>
      <c r="Z425" s="110"/>
      <c r="AA425" s="110"/>
      <c r="AB425" s="110"/>
      <c r="AC425" s="433">
        <v>1</v>
      </c>
      <c r="AD425" s="111">
        <v>163.56</v>
      </c>
      <c r="AE425" s="110"/>
      <c r="AF425" s="110"/>
      <c r="AG425" s="110"/>
      <c r="AH425" s="1048"/>
    </row>
    <row r="426" spans="1:34" ht="45" x14ac:dyDescent="0.25">
      <c r="A426" s="1047"/>
      <c r="B426" s="110" t="s">
        <v>3817</v>
      </c>
      <c r="C426" s="110"/>
      <c r="D426" s="433">
        <v>3</v>
      </c>
      <c r="E426" s="207" t="s">
        <v>1767</v>
      </c>
      <c r="F426" s="1178" t="s">
        <v>4353</v>
      </c>
      <c r="G426" s="1056" t="s">
        <v>4306</v>
      </c>
      <c r="H426" s="433" t="s">
        <v>3478</v>
      </c>
      <c r="I426" s="111">
        <v>163.56</v>
      </c>
      <c r="J426" s="111">
        <v>490.68</v>
      </c>
      <c r="K426" s="110"/>
      <c r="L426" s="110"/>
      <c r="M426" s="110"/>
      <c r="N426" s="110"/>
      <c r="O426" s="110"/>
      <c r="P426" s="110"/>
      <c r="Q426" s="433">
        <v>1</v>
      </c>
      <c r="R426" s="111">
        <v>163.56</v>
      </c>
      <c r="S426" s="110"/>
      <c r="T426" s="110"/>
      <c r="U426" s="110"/>
      <c r="V426" s="110"/>
      <c r="W426" s="433">
        <v>1</v>
      </c>
      <c r="X426" s="111">
        <v>163.56</v>
      </c>
      <c r="Y426" s="110"/>
      <c r="Z426" s="110"/>
      <c r="AA426" s="110"/>
      <c r="AB426" s="110"/>
      <c r="AC426" s="433">
        <v>1</v>
      </c>
      <c r="AD426" s="111">
        <v>163.56</v>
      </c>
      <c r="AE426" s="110"/>
      <c r="AF426" s="110"/>
      <c r="AG426" s="110"/>
      <c r="AH426" s="1048"/>
    </row>
    <row r="427" spans="1:34" ht="45" x14ac:dyDescent="0.25">
      <c r="A427" s="1047"/>
      <c r="B427" s="110" t="s">
        <v>3818</v>
      </c>
      <c r="C427" s="110"/>
      <c r="D427" s="433">
        <v>3</v>
      </c>
      <c r="E427" s="207" t="s">
        <v>1767</v>
      </c>
      <c r="F427" s="1178" t="s">
        <v>4353</v>
      </c>
      <c r="G427" s="1056" t="s">
        <v>4306</v>
      </c>
      <c r="H427" s="433" t="s">
        <v>3478</v>
      </c>
      <c r="I427" s="111">
        <v>163.56</v>
      </c>
      <c r="J427" s="111">
        <v>490.68</v>
      </c>
      <c r="K427" s="110"/>
      <c r="L427" s="110"/>
      <c r="M427" s="110"/>
      <c r="N427" s="110"/>
      <c r="O427" s="110"/>
      <c r="P427" s="110"/>
      <c r="Q427" s="433">
        <v>1</v>
      </c>
      <c r="R427" s="111">
        <v>163.56</v>
      </c>
      <c r="S427" s="110"/>
      <c r="T427" s="110"/>
      <c r="U427" s="110"/>
      <c r="V427" s="110"/>
      <c r="W427" s="433">
        <v>1</v>
      </c>
      <c r="X427" s="111">
        <v>163.56</v>
      </c>
      <c r="Y427" s="110"/>
      <c r="Z427" s="110"/>
      <c r="AA427" s="110"/>
      <c r="AB427" s="110"/>
      <c r="AC427" s="433">
        <v>1</v>
      </c>
      <c r="AD427" s="111">
        <v>163.56</v>
      </c>
      <c r="AE427" s="110"/>
      <c r="AF427" s="110"/>
      <c r="AG427" s="110"/>
      <c r="AH427" s="1048"/>
    </row>
    <row r="428" spans="1:34" ht="45" x14ac:dyDescent="0.25">
      <c r="A428" s="1047"/>
      <c r="B428" s="110" t="s">
        <v>3819</v>
      </c>
      <c r="C428" s="110"/>
      <c r="D428" s="433">
        <v>3</v>
      </c>
      <c r="E428" s="207" t="s">
        <v>1767</v>
      </c>
      <c r="F428" s="1178" t="s">
        <v>4353</v>
      </c>
      <c r="G428" s="1056" t="s">
        <v>4306</v>
      </c>
      <c r="H428" s="433" t="s">
        <v>3478</v>
      </c>
      <c r="I428" s="111">
        <v>163.56</v>
      </c>
      <c r="J428" s="111">
        <v>490.68</v>
      </c>
      <c r="K428" s="110"/>
      <c r="L428" s="110"/>
      <c r="M428" s="110"/>
      <c r="N428" s="110"/>
      <c r="O428" s="110"/>
      <c r="P428" s="110"/>
      <c r="Q428" s="433">
        <v>1</v>
      </c>
      <c r="R428" s="111">
        <v>163.56</v>
      </c>
      <c r="S428" s="110"/>
      <c r="T428" s="110"/>
      <c r="U428" s="110"/>
      <c r="V428" s="110"/>
      <c r="W428" s="433">
        <v>1</v>
      </c>
      <c r="X428" s="111">
        <v>163.56</v>
      </c>
      <c r="Y428" s="110"/>
      <c r="Z428" s="110"/>
      <c r="AA428" s="110"/>
      <c r="AB428" s="110"/>
      <c r="AC428" s="433">
        <v>1</v>
      </c>
      <c r="AD428" s="111">
        <v>163.56</v>
      </c>
      <c r="AE428" s="110"/>
      <c r="AF428" s="110"/>
      <c r="AG428" s="110"/>
      <c r="AH428" s="1048"/>
    </row>
    <row r="429" spans="1:34" ht="45" x14ac:dyDescent="0.25">
      <c r="A429" s="1047"/>
      <c r="B429" s="110" t="s">
        <v>3820</v>
      </c>
      <c r="C429" s="110"/>
      <c r="D429" s="433">
        <v>3</v>
      </c>
      <c r="E429" s="207" t="s">
        <v>1767</v>
      </c>
      <c r="F429" s="1178" t="s">
        <v>4353</v>
      </c>
      <c r="G429" s="1056" t="s">
        <v>4306</v>
      </c>
      <c r="H429" s="433" t="s">
        <v>3478</v>
      </c>
      <c r="I429" s="111">
        <v>163.56</v>
      </c>
      <c r="J429" s="111">
        <v>490.68</v>
      </c>
      <c r="K429" s="110"/>
      <c r="L429" s="110"/>
      <c r="M429" s="110"/>
      <c r="N429" s="110"/>
      <c r="O429" s="110"/>
      <c r="P429" s="110"/>
      <c r="Q429" s="433">
        <v>1</v>
      </c>
      <c r="R429" s="111">
        <v>163.56</v>
      </c>
      <c r="S429" s="110"/>
      <c r="T429" s="110"/>
      <c r="U429" s="110"/>
      <c r="V429" s="110"/>
      <c r="W429" s="433">
        <v>1</v>
      </c>
      <c r="X429" s="111">
        <v>163.56</v>
      </c>
      <c r="Y429" s="110"/>
      <c r="Z429" s="110"/>
      <c r="AA429" s="110"/>
      <c r="AB429" s="110"/>
      <c r="AC429" s="433">
        <v>1</v>
      </c>
      <c r="AD429" s="111">
        <v>163.56</v>
      </c>
      <c r="AE429" s="110"/>
      <c r="AF429" s="110"/>
      <c r="AG429" s="110"/>
      <c r="AH429" s="1048"/>
    </row>
    <row r="430" spans="1:34" ht="45" x14ac:dyDescent="0.25">
      <c r="A430" s="1047"/>
      <c r="B430" s="110" t="s">
        <v>3821</v>
      </c>
      <c r="C430" s="110"/>
      <c r="D430" s="433">
        <v>3</v>
      </c>
      <c r="E430" s="207" t="s">
        <v>1767</v>
      </c>
      <c r="F430" s="1178" t="s">
        <v>4353</v>
      </c>
      <c r="G430" s="1056" t="s">
        <v>4306</v>
      </c>
      <c r="H430" s="433" t="s">
        <v>3478</v>
      </c>
      <c r="I430" s="111">
        <v>163.56</v>
      </c>
      <c r="J430" s="111">
        <v>490.68</v>
      </c>
      <c r="K430" s="110"/>
      <c r="L430" s="110"/>
      <c r="M430" s="110"/>
      <c r="N430" s="110"/>
      <c r="O430" s="110"/>
      <c r="P430" s="110"/>
      <c r="Q430" s="433">
        <v>1</v>
      </c>
      <c r="R430" s="111">
        <v>163.56</v>
      </c>
      <c r="S430" s="110"/>
      <c r="T430" s="110"/>
      <c r="U430" s="110"/>
      <c r="V430" s="110"/>
      <c r="W430" s="433">
        <v>1</v>
      </c>
      <c r="X430" s="111">
        <v>163.56</v>
      </c>
      <c r="Y430" s="110"/>
      <c r="Z430" s="110"/>
      <c r="AA430" s="110"/>
      <c r="AB430" s="110"/>
      <c r="AC430" s="433">
        <v>1</v>
      </c>
      <c r="AD430" s="111">
        <v>163.56</v>
      </c>
      <c r="AE430" s="110"/>
      <c r="AF430" s="110"/>
      <c r="AG430" s="110"/>
      <c r="AH430" s="1048"/>
    </row>
    <row r="431" spans="1:34" ht="45" x14ac:dyDescent="0.25">
      <c r="A431" s="1047"/>
      <c r="B431" s="110" t="s">
        <v>3822</v>
      </c>
      <c r="C431" s="110"/>
      <c r="D431" s="433">
        <v>3</v>
      </c>
      <c r="E431" s="207" t="s">
        <v>1767</v>
      </c>
      <c r="F431" s="1178" t="s">
        <v>4353</v>
      </c>
      <c r="G431" s="1056" t="s">
        <v>4306</v>
      </c>
      <c r="H431" s="433" t="s">
        <v>3478</v>
      </c>
      <c r="I431" s="111">
        <v>163.56</v>
      </c>
      <c r="J431" s="111">
        <v>490.68</v>
      </c>
      <c r="K431" s="110"/>
      <c r="L431" s="110"/>
      <c r="M431" s="110"/>
      <c r="N431" s="110"/>
      <c r="O431" s="110"/>
      <c r="P431" s="110"/>
      <c r="Q431" s="433">
        <v>1</v>
      </c>
      <c r="R431" s="111">
        <v>163.56</v>
      </c>
      <c r="S431" s="110"/>
      <c r="T431" s="110"/>
      <c r="U431" s="110"/>
      <c r="V431" s="110"/>
      <c r="W431" s="433">
        <v>1</v>
      </c>
      <c r="X431" s="111">
        <v>163.56</v>
      </c>
      <c r="Y431" s="110"/>
      <c r="Z431" s="110"/>
      <c r="AA431" s="110"/>
      <c r="AB431" s="110"/>
      <c r="AC431" s="433">
        <v>1</v>
      </c>
      <c r="AD431" s="111">
        <v>163.56</v>
      </c>
      <c r="AE431" s="110"/>
      <c r="AF431" s="110"/>
      <c r="AG431" s="110"/>
      <c r="AH431" s="1048"/>
    </row>
    <row r="432" spans="1:34" ht="45" x14ac:dyDescent="0.25">
      <c r="A432" s="1047"/>
      <c r="B432" s="110" t="s">
        <v>3823</v>
      </c>
      <c r="C432" s="110"/>
      <c r="D432" s="433">
        <v>3</v>
      </c>
      <c r="E432" s="207" t="s">
        <v>1767</v>
      </c>
      <c r="F432" s="1178" t="s">
        <v>4353</v>
      </c>
      <c r="G432" s="1056" t="s">
        <v>4306</v>
      </c>
      <c r="H432" s="433" t="s">
        <v>3478</v>
      </c>
      <c r="I432" s="111">
        <v>163.56</v>
      </c>
      <c r="J432" s="111">
        <v>490.68</v>
      </c>
      <c r="K432" s="110"/>
      <c r="L432" s="110"/>
      <c r="M432" s="110"/>
      <c r="N432" s="110"/>
      <c r="O432" s="110"/>
      <c r="P432" s="110"/>
      <c r="Q432" s="433">
        <v>1</v>
      </c>
      <c r="R432" s="111">
        <v>163.56</v>
      </c>
      <c r="S432" s="110"/>
      <c r="T432" s="110"/>
      <c r="U432" s="110"/>
      <c r="V432" s="110"/>
      <c r="W432" s="433">
        <v>1</v>
      </c>
      <c r="X432" s="111">
        <v>163.56</v>
      </c>
      <c r="Y432" s="110"/>
      <c r="Z432" s="110"/>
      <c r="AA432" s="110"/>
      <c r="AB432" s="110"/>
      <c r="AC432" s="433">
        <v>1</v>
      </c>
      <c r="AD432" s="111">
        <v>163.56</v>
      </c>
      <c r="AE432" s="110"/>
      <c r="AF432" s="110"/>
      <c r="AG432" s="110"/>
      <c r="AH432" s="1048"/>
    </row>
    <row r="433" spans="1:34" ht="45" x14ac:dyDescent="0.25">
      <c r="A433" s="1047"/>
      <c r="B433" s="110" t="s">
        <v>3824</v>
      </c>
      <c r="C433" s="110"/>
      <c r="D433" s="433">
        <v>3</v>
      </c>
      <c r="E433" s="207" t="s">
        <v>1767</v>
      </c>
      <c r="F433" s="1178" t="s">
        <v>4353</v>
      </c>
      <c r="G433" s="1056" t="s">
        <v>4306</v>
      </c>
      <c r="H433" s="433" t="s">
        <v>3478</v>
      </c>
      <c r="I433" s="111">
        <v>163.56</v>
      </c>
      <c r="J433" s="111">
        <v>490.68</v>
      </c>
      <c r="K433" s="110"/>
      <c r="L433" s="110"/>
      <c r="M433" s="110"/>
      <c r="N433" s="110"/>
      <c r="O433" s="110"/>
      <c r="P433" s="110"/>
      <c r="Q433" s="433">
        <v>1</v>
      </c>
      <c r="R433" s="111">
        <v>163.56</v>
      </c>
      <c r="S433" s="110"/>
      <c r="T433" s="110"/>
      <c r="U433" s="110"/>
      <c r="V433" s="110"/>
      <c r="W433" s="433">
        <v>1</v>
      </c>
      <c r="X433" s="111">
        <v>163.56</v>
      </c>
      <c r="Y433" s="110"/>
      <c r="Z433" s="110"/>
      <c r="AA433" s="110"/>
      <c r="AB433" s="110"/>
      <c r="AC433" s="433">
        <v>1</v>
      </c>
      <c r="AD433" s="111">
        <v>163.56</v>
      </c>
      <c r="AE433" s="110"/>
      <c r="AF433" s="110"/>
      <c r="AG433" s="110"/>
      <c r="AH433" s="1048"/>
    </row>
    <row r="434" spans="1:34" ht="45" x14ac:dyDescent="0.25">
      <c r="A434" s="1047"/>
      <c r="B434" s="110" t="s">
        <v>3825</v>
      </c>
      <c r="C434" s="110"/>
      <c r="D434" s="433">
        <v>3</v>
      </c>
      <c r="E434" s="207" t="s">
        <v>1767</v>
      </c>
      <c r="F434" s="1178" t="s">
        <v>4353</v>
      </c>
      <c r="G434" s="1056" t="s">
        <v>4306</v>
      </c>
      <c r="H434" s="433" t="s">
        <v>3478</v>
      </c>
      <c r="I434" s="111">
        <v>163.56</v>
      </c>
      <c r="J434" s="111">
        <v>490.68</v>
      </c>
      <c r="K434" s="110"/>
      <c r="L434" s="110"/>
      <c r="M434" s="110"/>
      <c r="N434" s="110"/>
      <c r="O434" s="110"/>
      <c r="P434" s="110"/>
      <c r="Q434" s="433">
        <v>1</v>
      </c>
      <c r="R434" s="111">
        <v>163.56</v>
      </c>
      <c r="S434" s="110"/>
      <c r="T434" s="110"/>
      <c r="U434" s="110"/>
      <c r="V434" s="110"/>
      <c r="W434" s="433">
        <v>1</v>
      </c>
      <c r="X434" s="111">
        <v>163.56</v>
      </c>
      <c r="Y434" s="110"/>
      <c r="Z434" s="110"/>
      <c r="AA434" s="110"/>
      <c r="AB434" s="110"/>
      <c r="AC434" s="433">
        <v>1</v>
      </c>
      <c r="AD434" s="111">
        <v>163.56</v>
      </c>
      <c r="AE434" s="110"/>
      <c r="AF434" s="110"/>
      <c r="AG434" s="110"/>
      <c r="AH434" s="1048"/>
    </row>
    <row r="435" spans="1:34" ht="45" x14ac:dyDescent="0.25">
      <c r="A435" s="1047"/>
      <c r="B435" s="110" t="s">
        <v>3826</v>
      </c>
      <c r="C435" s="110"/>
      <c r="D435" s="433">
        <v>3</v>
      </c>
      <c r="E435" s="207" t="s">
        <v>1767</v>
      </c>
      <c r="F435" s="1178" t="s">
        <v>4353</v>
      </c>
      <c r="G435" s="1056" t="s">
        <v>4306</v>
      </c>
      <c r="H435" s="433" t="s">
        <v>3478</v>
      </c>
      <c r="I435" s="111">
        <v>163.56</v>
      </c>
      <c r="J435" s="111">
        <v>490.68</v>
      </c>
      <c r="K435" s="110"/>
      <c r="L435" s="110"/>
      <c r="M435" s="110"/>
      <c r="N435" s="110"/>
      <c r="O435" s="110"/>
      <c r="P435" s="110"/>
      <c r="Q435" s="433">
        <v>1</v>
      </c>
      <c r="R435" s="111">
        <v>163.56</v>
      </c>
      <c r="S435" s="110"/>
      <c r="T435" s="110"/>
      <c r="U435" s="110"/>
      <c r="V435" s="110"/>
      <c r="W435" s="433">
        <v>1</v>
      </c>
      <c r="X435" s="111">
        <v>163.56</v>
      </c>
      <c r="Y435" s="110"/>
      <c r="Z435" s="110"/>
      <c r="AA435" s="110"/>
      <c r="AB435" s="110"/>
      <c r="AC435" s="433">
        <v>1</v>
      </c>
      <c r="AD435" s="111">
        <v>163.56</v>
      </c>
      <c r="AE435" s="110"/>
      <c r="AF435" s="110"/>
      <c r="AG435" s="110"/>
      <c r="AH435" s="1048"/>
    </row>
    <row r="436" spans="1:34" ht="45" x14ac:dyDescent="0.25">
      <c r="A436" s="1047"/>
      <c r="B436" s="110" t="s">
        <v>3827</v>
      </c>
      <c r="C436" s="110"/>
      <c r="D436" s="433">
        <v>20</v>
      </c>
      <c r="E436" s="207" t="s">
        <v>1767</v>
      </c>
      <c r="F436" s="1178" t="s">
        <v>4353</v>
      </c>
      <c r="G436" s="1056" t="s">
        <v>4306</v>
      </c>
      <c r="H436" s="433" t="s">
        <v>3478</v>
      </c>
      <c r="I436" s="111">
        <v>83.52</v>
      </c>
      <c r="J436" s="111">
        <v>1670.3999999999999</v>
      </c>
      <c r="K436" s="110"/>
      <c r="L436" s="110"/>
      <c r="M436" s="110"/>
      <c r="N436" s="110"/>
      <c r="O436" s="110"/>
      <c r="P436" s="110"/>
      <c r="Q436" s="433">
        <v>10</v>
      </c>
      <c r="R436" s="111">
        <v>556.79999999999995</v>
      </c>
      <c r="S436" s="110"/>
      <c r="T436" s="110"/>
      <c r="U436" s="110"/>
      <c r="V436" s="110"/>
      <c r="W436" s="433">
        <v>5</v>
      </c>
      <c r="X436" s="111">
        <v>556.79999999999995</v>
      </c>
      <c r="Y436" s="110"/>
      <c r="Z436" s="110"/>
      <c r="AA436" s="110"/>
      <c r="AB436" s="110"/>
      <c r="AC436" s="433">
        <v>5</v>
      </c>
      <c r="AD436" s="111">
        <v>556.79999999999995</v>
      </c>
      <c r="AE436" s="110"/>
      <c r="AF436" s="110"/>
      <c r="AG436" s="110"/>
      <c r="AH436" s="1048"/>
    </row>
    <row r="437" spans="1:34" ht="45" x14ac:dyDescent="0.25">
      <c r="A437" s="1047"/>
      <c r="B437" s="110" t="s">
        <v>3828</v>
      </c>
      <c r="C437" s="110"/>
      <c r="D437" s="433">
        <v>20</v>
      </c>
      <c r="E437" s="207" t="s">
        <v>1767</v>
      </c>
      <c r="F437" s="1178" t="s">
        <v>4353</v>
      </c>
      <c r="G437" s="1056" t="s">
        <v>4306</v>
      </c>
      <c r="H437" s="433" t="s">
        <v>3478</v>
      </c>
      <c r="I437" s="111">
        <v>83.52</v>
      </c>
      <c r="J437" s="111">
        <v>1670.3999999999999</v>
      </c>
      <c r="K437" s="110"/>
      <c r="L437" s="110"/>
      <c r="M437" s="110"/>
      <c r="N437" s="110"/>
      <c r="O437" s="110"/>
      <c r="P437" s="110"/>
      <c r="Q437" s="433">
        <v>10</v>
      </c>
      <c r="R437" s="111">
        <v>556.79999999999995</v>
      </c>
      <c r="S437" s="110"/>
      <c r="T437" s="110"/>
      <c r="U437" s="110"/>
      <c r="V437" s="110"/>
      <c r="W437" s="433">
        <v>5</v>
      </c>
      <c r="X437" s="111">
        <v>556.79999999999995</v>
      </c>
      <c r="Y437" s="110"/>
      <c r="Z437" s="110"/>
      <c r="AA437" s="110"/>
      <c r="AB437" s="110"/>
      <c r="AC437" s="433">
        <v>5</v>
      </c>
      <c r="AD437" s="111">
        <v>556.79999999999995</v>
      </c>
      <c r="AE437" s="110"/>
      <c r="AF437" s="110"/>
      <c r="AG437" s="110"/>
      <c r="AH437" s="1048"/>
    </row>
    <row r="438" spans="1:34" ht="45" x14ac:dyDescent="0.25">
      <c r="A438" s="1047"/>
      <c r="B438" s="110" t="s">
        <v>3829</v>
      </c>
      <c r="C438" s="110"/>
      <c r="D438" s="433">
        <v>20</v>
      </c>
      <c r="E438" s="207" t="s">
        <v>1767</v>
      </c>
      <c r="F438" s="1178" t="s">
        <v>4353</v>
      </c>
      <c r="G438" s="1056" t="s">
        <v>4306</v>
      </c>
      <c r="H438" s="433" t="s">
        <v>3478</v>
      </c>
      <c r="I438" s="111">
        <v>83.52</v>
      </c>
      <c r="J438" s="111">
        <v>1670.3999999999999</v>
      </c>
      <c r="K438" s="110"/>
      <c r="L438" s="110"/>
      <c r="M438" s="110"/>
      <c r="N438" s="110"/>
      <c r="O438" s="110"/>
      <c r="P438" s="110"/>
      <c r="Q438" s="433">
        <v>10</v>
      </c>
      <c r="R438" s="111">
        <v>556.79999999999995</v>
      </c>
      <c r="S438" s="110"/>
      <c r="T438" s="110"/>
      <c r="U438" s="110"/>
      <c r="V438" s="110"/>
      <c r="W438" s="433">
        <v>5</v>
      </c>
      <c r="X438" s="111">
        <v>556.79999999999995</v>
      </c>
      <c r="Y438" s="110"/>
      <c r="Z438" s="110"/>
      <c r="AA438" s="110"/>
      <c r="AB438" s="110"/>
      <c r="AC438" s="433">
        <v>5</v>
      </c>
      <c r="AD438" s="111">
        <v>556.79999999999995</v>
      </c>
      <c r="AE438" s="110"/>
      <c r="AF438" s="110"/>
      <c r="AG438" s="110"/>
      <c r="AH438" s="1048"/>
    </row>
    <row r="439" spans="1:34" ht="45" x14ac:dyDescent="0.25">
      <c r="A439" s="1047"/>
      <c r="B439" s="110" t="s">
        <v>3830</v>
      </c>
      <c r="C439" s="110"/>
      <c r="D439" s="433">
        <v>56</v>
      </c>
      <c r="E439" s="207" t="s">
        <v>1767</v>
      </c>
      <c r="F439" s="1178" t="s">
        <v>4353</v>
      </c>
      <c r="G439" s="1056" t="s">
        <v>4306</v>
      </c>
      <c r="H439" s="433" t="s">
        <v>3478</v>
      </c>
      <c r="I439" s="111">
        <v>285.35999999999996</v>
      </c>
      <c r="J439" s="111">
        <v>15980.159999999998</v>
      </c>
      <c r="K439" s="110"/>
      <c r="L439" s="110"/>
      <c r="M439" s="110"/>
      <c r="N439" s="110"/>
      <c r="O439" s="110"/>
      <c r="P439" s="110"/>
      <c r="Q439" s="433">
        <v>30</v>
      </c>
      <c r="R439" s="111">
        <v>5326.7199999999993</v>
      </c>
      <c r="S439" s="110"/>
      <c r="T439" s="110"/>
      <c r="U439" s="110"/>
      <c r="V439" s="110"/>
      <c r="W439" s="433">
        <v>15</v>
      </c>
      <c r="X439" s="111">
        <v>5326.7199999999993</v>
      </c>
      <c r="Y439" s="110"/>
      <c r="Z439" s="110"/>
      <c r="AA439" s="110"/>
      <c r="AB439" s="110"/>
      <c r="AC439" s="433">
        <v>11</v>
      </c>
      <c r="AD439" s="111">
        <v>5326.7199999999993</v>
      </c>
      <c r="AE439" s="110"/>
      <c r="AF439" s="110"/>
      <c r="AG439" s="110"/>
      <c r="AH439" s="1048"/>
    </row>
    <row r="440" spans="1:34" ht="45" x14ac:dyDescent="0.25">
      <c r="A440" s="1047"/>
      <c r="B440" s="110" t="s">
        <v>3831</v>
      </c>
      <c r="C440" s="110"/>
      <c r="D440" s="433">
        <v>60</v>
      </c>
      <c r="E440" s="207" t="s">
        <v>1767</v>
      </c>
      <c r="F440" s="1178" t="s">
        <v>4353</v>
      </c>
      <c r="G440" s="1056" t="s">
        <v>4306</v>
      </c>
      <c r="H440" s="433" t="s">
        <v>3478</v>
      </c>
      <c r="I440" s="111">
        <v>150.79999999999998</v>
      </c>
      <c r="J440" s="111">
        <v>9047.9999999999982</v>
      </c>
      <c r="K440" s="110"/>
      <c r="L440" s="110"/>
      <c r="M440" s="110"/>
      <c r="N440" s="110"/>
      <c r="O440" s="110"/>
      <c r="P440" s="110"/>
      <c r="Q440" s="433">
        <v>20</v>
      </c>
      <c r="R440" s="111">
        <v>3015.9999999999995</v>
      </c>
      <c r="S440" s="110"/>
      <c r="T440" s="110"/>
      <c r="U440" s="110"/>
      <c r="V440" s="110"/>
      <c r="W440" s="433">
        <v>20</v>
      </c>
      <c r="X440" s="111">
        <v>3015.9999999999995</v>
      </c>
      <c r="Y440" s="110"/>
      <c r="Z440" s="110"/>
      <c r="AA440" s="110"/>
      <c r="AB440" s="110"/>
      <c r="AC440" s="433">
        <v>20</v>
      </c>
      <c r="AD440" s="111">
        <v>3015.9999999999995</v>
      </c>
      <c r="AE440" s="110"/>
      <c r="AF440" s="110"/>
      <c r="AG440" s="110"/>
      <c r="AH440" s="1048"/>
    </row>
    <row r="441" spans="1:34" ht="45" x14ac:dyDescent="0.25">
      <c r="A441" s="1047"/>
      <c r="B441" s="110" t="s">
        <v>3832</v>
      </c>
      <c r="C441" s="110"/>
      <c r="D441" s="433">
        <v>60</v>
      </c>
      <c r="E441" s="207" t="s">
        <v>1767</v>
      </c>
      <c r="F441" s="1178" t="s">
        <v>4353</v>
      </c>
      <c r="G441" s="1056" t="s">
        <v>4306</v>
      </c>
      <c r="H441" s="433" t="s">
        <v>3478</v>
      </c>
      <c r="I441" s="111">
        <v>290</v>
      </c>
      <c r="J441" s="111">
        <v>17400</v>
      </c>
      <c r="K441" s="110"/>
      <c r="L441" s="110"/>
      <c r="M441" s="110"/>
      <c r="N441" s="110"/>
      <c r="O441" s="110"/>
      <c r="P441" s="110"/>
      <c r="Q441" s="433">
        <v>20</v>
      </c>
      <c r="R441" s="111">
        <v>5800</v>
      </c>
      <c r="S441" s="110"/>
      <c r="T441" s="110"/>
      <c r="U441" s="110"/>
      <c r="V441" s="110"/>
      <c r="W441" s="433">
        <v>20</v>
      </c>
      <c r="X441" s="111">
        <v>5800</v>
      </c>
      <c r="Y441" s="110"/>
      <c r="Z441" s="110"/>
      <c r="AA441" s="110"/>
      <c r="AB441" s="110"/>
      <c r="AC441" s="433">
        <v>20</v>
      </c>
      <c r="AD441" s="111">
        <v>5800</v>
      </c>
      <c r="AE441" s="110"/>
      <c r="AF441" s="110"/>
      <c r="AG441" s="110"/>
      <c r="AH441" s="1048"/>
    </row>
    <row r="442" spans="1:34" ht="45" x14ac:dyDescent="0.25">
      <c r="A442" s="1047"/>
      <c r="B442" s="110" t="s">
        <v>3833</v>
      </c>
      <c r="C442" s="110"/>
      <c r="D442" s="433">
        <v>100</v>
      </c>
      <c r="E442" s="207" t="s">
        <v>3834</v>
      </c>
      <c r="F442" s="1178" t="s">
        <v>4353</v>
      </c>
      <c r="G442" s="1056" t="s">
        <v>4306</v>
      </c>
      <c r="H442" s="433" t="s">
        <v>3478</v>
      </c>
      <c r="I442" s="111">
        <v>52.2</v>
      </c>
      <c r="J442" s="111">
        <v>5220</v>
      </c>
      <c r="K442" s="110"/>
      <c r="L442" s="110"/>
      <c r="M442" s="110"/>
      <c r="N442" s="110"/>
      <c r="O442" s="110"/>
      <c r="P442" s="110"/>
      <c r="Q442" s="433">
        <v>40</v>
      </c>
      <c r="R442" s="111">
        <v>1740</v>
      </c>
      <c r="S442" s="110"/>
      <c r="T442" s="110"/>
      <c r="U442" s="110"/>
      <c r="V442" s="110"/>
      <c r="W442" s="433">
        <v>30</v>
      </c>
      <c r="X442" s="111">
        <v>1740</v>
      </c>
      <c r="Y442" s="110"/>
      <c r="Z442" s="110"/>
      <c r="AA442" s="110"/>
      <c r="AB442" s="110"/>
      <c r="AC442" s="433">
        <v>30</v>
      </c>
      <c r="AD442" s="111">
        <v>1740</v>
      </c>
      <c r="AE442" s="110"/>
      <c r="AF442" s="110"/>
      <c r="AG442" s="110"/>
      <c r="AH442" s="1048"/>
    </row>
    <row r="443" spans="1:34" ht="45" x14ac:dyDescent="0.25">
      <c r="A443" s="1047"/>
      <c r="B443" s="110" t="s">
        <v>3835</v>
      </c>
      <c r="C443" s="110"/>
      <c r="D443" s="433">
        <v>5</v>
      </c>
      <c r="E443" s="207" t="s">
        <v>3836</v>
      </c>
      <c r="F443" s="1178" t="s">
        <v>4353</v>
      </c>
      <c r="G443" s="1056" t="s">
        <v>4306</v>
      </c>
      <c r="H443" s="433" t="s">
        <v>3478</v>
      </c>
      <c r="I443" s="111">
        <v>40.599999999999994</v>
      </c>
      <c r="J443" s="111">
        <v>202.99999999999997</v>
      </c>
      <c r="K443" s="110"/>
      <c r="L443" s="110"/>
      <c r="M443" s="110"/>
      <c r="N443" s="110"/>
      <c r="O443" s="110"/>
      <c r="P443" s="110"/>
      <c r="Q443" s="433">
        <v>2</v>
      </c>
      <c r="R443" s="111">
        <v>67.666666666666657</v>
      </c>
      <c r="S443" s="110"/>
      <c r="T443" s="110"/>
      <c r="U443" s="110"/>
      <c r="V443" s="110"/>
      <c r="W443" s="433">
        <v>2</v>
      </c>
      <c r="X443" s="111">
        <v>67.666666666666657</v>
      </c>
      <c r="Y443" s="110"/>
      <c r="Z443" s="110"/>
      <c r="AA443" s="110"/>
      <c r="AB443" s="110"/>
      <c r="AC443" s="433">
        <v>1</v>
      </c>
      <c r="AD443" s="111">
        <v>67.666666666666657</v>
      </c>
      <c r="AE443" s="110"/>
      <c r="AF443" s="110"/>
      <c r="AG443" s="110"/>
      <c r="AH443" s="1048"/>
    </row>
    <row r="444" spans="1:34" ht="45" x14ac:dyDescent="0.25">
      <c r="A444" s="1047"/>
      <c r="B444" s="110" t="s">
        <v>3837</v>
      </c>
      <c r="C444" s="110"/>
      <c r="D444" s="433">
        <v>5</v>
      </c>
      <c r="E444" s="207" t="s">
        <v>3836</v>
      </c>
      <c r="F444" s="1178" t="s">
        <v>4353</v>
      </c>
      <c r="G444" s="1056" t="s">
        <v>4306</v>
      </c>
      <c r="H444" s="433" t="s">
        <v>3478</v>
      </c>
      <c r="I444" s="111">
        <v>40.599999999999994</v>
      </c>
      <c r="J444" s="111">
        <v>202.99999999999997</v>
      </c>
      <c r="K444" s="110"/>
      <c r="L444" s="110"/>
      <c r="M444" s="110"/>
      <c r="N444" s="110"/>
      <c r="O444" s="110"/>
      <c r="P444" s="110"/>
      <c r="Q444" s="433">
        <v>2</v>
      </c>
      <c r="R444" s="111">
        <v>67.666666666666657</v>
      </c>
      <c r="S444" s="110"/>
      <c r="T444" s="110"/>
      <c r="U444" s="110"/>
      <c r="V444" s="110"/>
      <c r="W444" s="433">
        <v>2</v>
      </c>
      <c r="X444" s="111">
        <v>67.666666666666657</v>
      </c>
      <c r="Y444" s="110"/>
      <c r="Z444" s="110"/>
      <c r="AA444" s="110"/>
      <c r="AB444" s="110"/>
      <c r="AC444" s="433">
        <v>1</v>
      </c>
      <c r="AD444" s="111">
        <v>67.666666666666657</v>
      </c>
      <c r="AE444" s="110"/>
      <c r="AF444" s="110"/>
      <c r="AG444" s="110"/>
      <c r="AH444" s="1048"/>
    </row>
    <row r="445" spans="1:34" ht="45" x14ac:dyDescent="0.25">
      <c r="A445" s="1047"/>
      <c r="B445" s="110" t="s">
        <v>3838</v>
      </c>
      <c r="C445" s="110"/>
      <c r="D445" s="433">
        <v>5</v>
      </c>
      <c r="E445" s="207" t="s">
        <v>3836</v>
      </c>
      <c r="F445" s="1178" t="s">
        <v>4353</v>
      </c>
      <c r="G445" s="1056" t="s">
        <v>4306</v>
      </c>
      <c r="H445" s="433" t="s">
        <v>3478</v>
      </c>
      <c r="I445" s="111">
        <v>40.599999999999994</v>
      </c>
      <c r="J445" s="111">
        <v>202.99999999999997</v>
      </c>
      <c r="K445" s="110"/>
      <c r="L445" s="110"/>
      <c r="M445" s="110"/>
      <c r="N445" s="110"/>
      <c r="O445" s="110"/>
      <c r="P445" s="110"/>
      <c r="Q445" s="433">
        <v>2</v>
      </c>
      <c r="R445" s="111">
        <v>67.666666666666657</v>
      </c>
      <c r="S445" s="110"/>
      <c r="T445" s="110"/>
      <c r="U445" s="110"/>
      <c r="V445" s="110"/>
      <c r="W445" s="433">
        <v>2</v>
      </c>
      <c r="X445" s="111">
        <v>67.666666666666657</v>
      </c>
      <c r="Y445" s="110"/>
      <c r="Z445" s="110"/>
      <c r="AA445" s="110"/>
      <c r="AB445" s="110"/>
      <c r="AC445" s="433">
        <v>1</v>
      </c>
      <c r="AD445" s="111">
        <v>67.666666666666657</v>
      </c>
      <c r="AE445" s="110"/>
      <c r="AF445" s="110"/>
      <c r="AG445" s="110"/>
      <c r="AH445" s="1048"/>
    </row>
    <row r="446" spans="1:34" ht="45" x14ac:dyDescent="0.25">
      <c r="A446" s="1047"/>
      <c r="B446" s="110" t="s">
        <v>3839</v>
      </c>
      <c r="C446" s="110"/>
      <c r="D446" s="433">
        <v>5</v>
      </c>
      <c r="E446" s="207" t="s">
        <v>3836</v>
      </c>
      <c r="F446" s="1178" t="s">
        <v>4353</v>
      </c>
      <c r="G446" s="1056" t="s">
        <v>4306</v>
      </c>
      <c r="H446" s="433" t="s">
        <v>3478</v>
      </c>
      <c r="I446" s="111">
        <v>40.599999999999994</v>
      </c>
      <c r="J446" s="111">
        <v>202.99999999999997</v>
      </c>
      <c r="K446" s="110"/>
      <c r="L446" s="110"/>
      <c r="M446" s="110"/>
      <c r="N446" s="110"/>
      <c r="O446" s="110"/>
      <c r="P446" s="110"/>
      <c r="Q446" s="433">
        <v>2</v>
      </c>
      <c r="R446" s="111">
        <v>67.666666666666657</v>
      </c>
      <c r="S446" s="110"/>
      <c r="T446" s="110"/>
      <c r="U446" s="110"/>
      <c r="V446" s="110"/>
      <c r="W446" s="433">
        <v>2</v>
      </c>
      <c r="X446" s="111">
        <v>67.666666666666657</v>
      </c>
      <c r="Y446" s="110"/>
      <c r="Z446" s="110"/>
      <c r="AA446" s="110"/>
      <c r="AB446" s="110"/>
      <c r="AC446" s="433">
        <v>1</v>
      </c>
      <c r="AD446" s="111">
        <v>67.666666666666657</v>
      </c>
      <c r="AE446" s="110"/>
      <c r="AF446" s="110"/>
      <c r="AG446" s="110"/>
      <c r="AH446" s="1048"/>
    </row>
    <row r="447" spans="1:34" ht="45" x14ac:dyDescent="0.25">
      <c r="A447" s="1047"/>
      <c r="B447" s="110" t="s">
        <v>3840</v>
      </c>
      <c r="C447" s="110"/>
      <c r="D447" s="433">
        <v>5</v>
      </c>
      <c r="E447" s="207" t="s">
        <v>3836</v>
      </c>
      <c r="F447" s="1178" t="s">
        <v>4353</v>
      </c>
      <c r="G447" s="1056" t="s">
        <v>4306</v>
      </c>
      <c r="H447" s="433" t="s">
        <v>3478</v>
      </c>
      <c r="I447" s="111">
        <v>40.599999999999994</v>
      </c>
      <c r="J447" s="111">
        <v>202.99999999999997</v>
      </c>
      <c r="K447" s="110"/>
      <c r="L447" s="110"/>
      <c r="M447" s="110"/>
      <c r="N447" s="110"/>
      <c r="O447" s="110"/>
      <c r="P447" s="110"/>
      <c r="Q447" s="433">
        <v>2</v>
      </c>
      <c r="R447" s="111">
        <v>67.666666666666657</v>
      </c>
      <c r="S447" s="110"/>
      <c r="T447" s="110"/>
      <c r="U447" s="110"/>
      <c r="V447" s="110"/>
      <c r="W447" s="433">
        <v>2</v>
      </c>
      <c r="X447" s="111">
        <v>67.666666666666657</v>
      </c>
      <c r="Y447" s="110"/>
      <c r="Z447" s="110"/>
      <c r="AA447" s="110"/>
      <c r="AB447" s="110"/>
      <c r="AC447" s="433">
        <v>1</v>
      </c>
      <c r="AD447" s="111">
        <v>67.666666666666657</v>
      </c>
      <c r="AE447" s="110"/>
      <c r="AF447" s="110"/>
      <c r="AG447" s="110"/>
      <c r="AH447" s="1048"/>
    </row>
    <row r="448" spans="1:34" ht="45" x14ac:dyDescent="0.25">
      <c r="A448" s="1047"/>
      <c r="B448" s="110" t="s">
        <v>3841</v>
      </c>
      <c r="C448" s="110"/>
      <c r="D448" s="433">
        <v>60</v>
      </c>
      <c r="E448" s="207" t="s">
        <v>1767</v>
      </c>
      <c r="F448" s="1178" t="s">
        <v>4353</v>
      </c>
      <c r="G448" s="1056" t="s">
        <v>4306</v>
      </c>
      <c r="H448" s="433" t="s">
        <v>3478</v>
      </c>
      <c r="I448" s="111">
        <v>28.999999999999996</v>
      </c>
      <c r="J448" s="111">
        <v>1739.9999999999998</v>
      </c>
      <c r="K448" s="110"/>
      <c r="L448" s="110"/>
      <c r="M448" s="110"/>
      <c r="N448" s="110"/>
      <c r="O448" s="110"/>
      <c r="P448" s="110"/>
      <c r="Q448" s="433">
        <v>20</v>
      </c>
      <c r="R448" s="111">
        <v>579.99999999999989</v>
      </c>
      <c r="S448" s="110"/>
      <c r="T448" s="110"/>
      <c r="U448" s="110"/>
      <c r="V448" s="110"/>
      <c r="W448" s="433">
        <v>20</v>
      </c>
      <c r="X448" s="111">
        <v>579.99999999999989</v>
      </c>
      <c r="Y448" s="110"/>
      <c r="Z448" s="110"/>
      <c r="AA448" s="110"/>
      <c r="AB448" s="110"/>
      <c r="AC448" s="433">
        <v>20</v>
      </c>
      <c r="AD448" s="111">
        <v>579.99999999999989</v>
      </c>
      <c r="AE448" s="110"/>
      <c r="AF448" s="110"/>
      <c r="AG448" s="110"/>
      <c r="AH448" s="1048"/>
    </row>
    <row r="449" spans="1:34" ht="45" x14ac:dyDescent="0.25">
      <c r="A449" s="1047"/>
      <c r="B449" s="110" t="s">
        <v>3842</v>
      </c>
      <c r="C449" s="110"/>
      <c r="D449" s="433">
        <v>14</v>
      </c>
      <c r="E449" s="207" t="s">
        <v>1767</v>
      </c>
      <c r="F449" s="1178" t="s">
        <v>4353</v>
      </c>
      <c r="G449" s="1056" t="s">
        <v>4306</v>
      </c>
      <c r="H449" s="433" t="s">
        <v>3478</v>
      </c>
      <c r="I449" s="111">
        <v>307.39999999999998</v>
      </c>
      <c r="J449" s="111">
        <v>4303.5999999999995</v>
      </c>
      <c r="K449" s="110"/>
      <c r="L449" s="110"/>
      <c r="M449" s="110"/>
      <c r="N449" s="110"/>
      <c r="O449" s="110"/>
      <c r="P449" s="110"/>
      <c r="Q449" s="433">
        <v>7</v>
      </c>
      <c r="R449" s="111">
        <v>1434.5333333333331</v>
      </c>
      <c r="S449" s="110"/>
      <c r="T449" s="110"/>
      <c r="U449" s="110"/>
      <c r="V449" s="110"/>
      <c r="W449" s="433">
        <v>4</v>
      </c>
      <c r="X449" s="111">
        <v>1434.5333333333331</v>
      </c>
      <c r="Y449" s="110"/>
      <c r="Z449" s="110"/>
      <c r="AA449" s="110"/>
      <c r="AB449" s="110"/>
      <c r="AC449" s="433">
        <v>3</v>
      </c>
      <c r="AD449" s="111">
        <v>1434.5333333333331</v>
      </c>
      <c r="AE449" s="110"/>
      <c r="AF449" s="110"/>
      <c r="AG449" s="110"/>
      <c r="AH449" s="1048"/>
    </row>
    <row r="450" spans="1:34" ht="45" x14ac:dyDescent="0.25">
      <c r="A450" s="1047"/>
      <c r="B450" s="110" t="s">
        <v>3843</v>
      </c>
      <c r="C450" s="110"/>
      <c r="D450" s="433">
        <v>14</v>
      </c>
      <c r="E450" s="207" t="s">
        <v>1767</v>
      </c>
      <c r="F450" s="1178" t="s">
        <v>4353</v>
      </c>
      <c r="G450" s="1056" t="s">
        <v>4306</v>
      </c>
      <c r="H450" s="433" t="s">
        <v>3478</v>
      </c>
      <c r="I450" s="111">
        <v>307.39999999999998</v>
      </c>
      <c r="J450" s="111">
        <v>4303.5999999999995</v>
      </c>
      <c r="K450" s="110"/>
      <c r="L450" s="110"/>
      <c r="M450" s="110"/>
      <c r="N450" s="110"/>
      <c r="O450" s="110"/>
      <c r="P450" s="110"/>
      <c r="Q450" s="433">
        <v>7</v>
      </c>
      <c r="R450" s="111">
        <v>1434.5333333333331</v>
      </c>
      <c r="S450" s="110"/>
      <c r="T450" s="110"/>
      <c r="U450" s="110"/>
      <c r="V450" s="110"/>
      <c r="W450" s="433">
        <v>4</v>
      </c>
      <c r="X450" s="111">
        <v>1434.5333333333331</v>
      </c>
      <c r="Y450" s="110"/>
      <c r="Z450" s="110"/>
      <c r="AA450" s="110"/>
      <c r="AB450" s="110"/>
      <c r="AC450" s="433">
        <v>3</v>
      </c>
      <c r="AD450" s="111">
        <v>1434.5333333333331</v>
      </c>
      <c r="AE450" s="110"/>
      <c r="AF450" s="110"/>
      <c r="AG450" s="110"/>
      <c r="AH450" s="1048"/>
    </row>
    <row r="451" spans="1:34" ht="45" x14ac:dyDescent="0.25">
      <c r="A451" s="1047"/>
      <c r="B451" s="110" t="s">
        <v>3844</v>
      </c>
      <c r="C451" s="110"/>
      <c r="D451" s="433">
        <v>14</v>
      </c>
      <c r="E451" s="207" t="s">
        <v>1767</v>
      </c>
      <c r="F451" s="1178" t="s">
        <v>4353</v>
      </c>
      <c r="G451" s="1056" t="s">
        <v>4306</v>
      </c>
      <c r="H451" s="433" t="s">
        <v>3478</v>
      </c>
      <c r="I451" s="111">
        <v>307.39999999999998</v>
      </c>
      <c r="J451" s="111">
        <v>4303.5999999999995</v>
      </c>
      <c r="K451" s="110"/>
      <c r="L451" s="110"/>
      <c r="M451" s="110"/>
      <c r="N451" s="110"/>
      <c r="O451" s="110"/>
      <c r="P451" s="110"/>
      <c r="Q451" s="433">
        <v>7</v>
      </c>
      <c r="R451" s="111">
        <v>1434.5333333333331</v>
      </c>
      <c r="S451" s="110"/>
      <c r="T451" s="110"/>
      <c r="U451" s="110"/>
      <c r="V451" s="110"/>
      <c r="W451" s="433">
        <v>4</v>
      </c>
      <c r="X451" s="111">
        <v>1434.5333333333331</v>
      </c>
      <c r="Y451" s="110"/>
      <c r="Z451" s="110"/>
      <c r="AA451" s="110"/>
      <c r="AB451" s="110"/>
      <c r="AC451" s="433">
        <v>3</v>
      </c>
      <c r="AD451" s="111">
        <v>1434.5333333333331</v>
      </c>
      <c r="AE451" s="110"/>
      <c r="AF451" s="110"/>
      <c r="AG451" s="110"/>
      <c r="AH451" s="1048"/>
    </row>
    <row r="452" spans="1:34" ht="45" x14ac:dyDescent="0.25">
      <c r="A452" s="1047"/>
      <c r="B452" s="110" t="s">
        <v>3845</v>
      </c>
      <c r="C452" s="110"/>
      <c r="D452" s="433">
        <v>14</v>
      </c>
      <c r="E452" s="207" t="s">
        <v>1767</v>
      </c>
      <c r="F452" s="1178" t="s">
        <v>4353</v>
      </c>
      <c r="G452" s="1056" t="s">
        <v>4306</v>
      </c>
      <c r="H452" s="433" t="s">
        <v>3478</v>
      </c>
      <c r="I452" s="111">
        <v>307.39999999999998</v>
      </c>
      <c r="J452" s="111">
        <v>4303.5999999999995</v>
      </c>
      <c r="K452" s="110"/>
      <c r="L452" s="110"/>
      <c r="M452" s="110"/>
      <c r="N452" s="110"/>
      <c r="O452" s="110"/>
      <c r="P452" s="110"/>
      <c r="Q452" s="433">
        <v>7</v>
      </c>
      <c r="R452" s="111">
        <v>1434.5333333333331</v>
      </c>
      <c r="S452" s="110"/>
      <c r="T452" s="110"/>
      <c r="U452" s="110"/>
      <c r="V452" s="110"/>
      <c r="W452" s="433">
        <v>4</v>
      </c>
      <c r="X452" s="111">
        <v>1434.5333333333331</v>
      </c>
      <c r="Y452" s="110"/>
      <c r="Z452" s="110"/>
      <c r="AA452" s="110"/>
      <c r="AB452" s="110"/>
      <c r="AC452" s="433">
        <v>3</v>
      </c>
      <c r="AD452" s="111">
        <v>1434.5333333333331</v>
      </c>
      <c r="AE452" s="110"/>
      <c r="AF452" s="110"/>
      <c r="AG452" s="110"/>
      <c r="AH452" s="1048"/>
    </row>
    <row r="453" spans="1:34" ht="45" x14ac:dyDescent="0.25">
      <c r="A453" s="1047"/>
      <c r="B453" s="110" t="s">
        <v>3846</v>
      </c>
      <c r="C453" s="110"/>
      <c r="D453" s="433">
        <v>14</v>
      </c>
      <c r="E453" s="207" t="s">
        <v>1767</v>
      </c>
      <c r="F453" s="1178" t="s">
        <v>4353</v>
      </c>
      <c r="G453" s="1056" t="s">
        <v>4306</v>
      </c>
      <c r="H453" s="433" t="s">
        <v>3478</v>
      </c>
      <c r="I453" s="111">
        <v>307.39999999999998</v>
      </c>
      <c r="J453" s="111">
        <v>4303.5999999999995</v>
      </c>
      <c r="K453" s="110"/>
      <c r="L453" s="110"/>
      <c r="M453" s="110"/>
      <c r="N453" s="110"/>
      <c r="O453" s="110"/>
      <c r="P453" s="110"/>
      <c r="Q453" s="433">
        <v>7</v>
      </c>
      <c r="R453" s="111">
        <v>1434.5333333333331</v>
      </c>
      <c r="S453" s="110"/>
      <c r="T453" s="110"/>
      <c r="U453" s="110"/>
      <c r="V453" s="110"/>
      <c r="W453" s="433">
        <v>4</v>
      </c>
      <c r="X453" s="111">
        <v>1434.5333333333331</v>
      </c>
      <c r="Y453" s="110"/>
      <c r="Z453" s="110"/>
      <c r="AA453" s="110"/>
      <c r="AB453" s="110"/>
      <c r="AC453" s="433">
        <v>3</v>
      </c>
      <c r="AD453" s="111">
        <v>1434.5333333333331</v>
      </c>
      <c r="AE453" s="110"/>
      <c r="AF453" s="110"/>
      <c r="AG453" s="110"/>
      <c r="AH453" s="1048"/>
    </row>
    <row r="454" spans="1:34" ht="45" x14ac:dyDescent="0.25">
      <c r="A454" s="1047"/>
      <c r="B454" s="110" t="s">
        <v>3847</v>
      </c>
      <c r="C454" s="110"/>
      <c r="D454" s="433">
        <v>14</v>
      </c>
      <c r="E454" s="207" t="s">
        <v>1767</v>
      </c>
      <c r="F454" s="1178" t="s">
        <v>4353</v>
      </c>
      <c r="G454" s="1056" t="s">
        <v>4306</v>
      </c>
      <c r="H454" s="433" t="s">
        <v>3478</v>
      </c>
      <c r="I454" s="111">
        <v>307.39999999999998</v>
      </c>
      <c r="J454" s="111">
        <v>4303.5999999999995</v>
      </c>
      <c r="K454" s="110"/>
      <c r="L454" s="110"/>
      <c r="M454" s="110"/>
      <c r="N454" s="110"/>
      <c r="O454" s="110"/>
      <c r="P454" s="110"/>
      <c r="Q454" s="433">
        <v>7</v>
      </c>
      <c r="R454" s="111">
        <v>1434.5333333333331</v>
      </c>
      <c r="S454" s="110"/>
      <c r="T454" s="110"/>
      <c r="U454" s="110"/>
      <c r="V454" s="110"/>
      <c r="W454" s="433">
        <v>4</v>
      </c>
      <c r="X454" s="111">
        <v>1434.5333333333331</v>
      </c>
      <c r="Y454" s="110"/>
      <c r="Z454" s="110"/>
      <c r="AA454" s="110"/>
      <c r="AB454" s="110"/>
      <c r="AC454" s="433">
        <v>3</v>
      </c>
      <c r="AD454" s="111">
        <v>1434.5333333333331</v>
      </c>
      <c r="AE454" s="110"/>
      <c r="AF454" s="110"/>
      <c r="AG454" s="110"/>
      <c r="AH454" s="1048"/>
    </row>
    <row r="455" spans="1:34" ht="45" x14ac:dyDescent="0.25">
      <c r="A455" s="1047"/>
      <c r="B455" s="110" t="s">
        <v>3848</v>
      </c>
      <c r="C455" s="110"/>
      <c r="D455" s="433">
        <v>16</v>
      </c>
      <c r="E455" s="207" t="s">
        <v>1767</v>
      </c>
      <c r="F455" s="1178" t="s">
        <v>4353</v>
      </c>
      <c r="G455" s="1056" t="s">
        <v>4306</v>
      </c>
      <c r="H455" s="433" t="s">
        <v>3478</v>
      </c>
      <c r="I455" s="111">
        <v>307.39999999999998</v>
      </c>
      <c r="J455" s="111">
        <v>4918.3999999999996</v>
      </c>
      <c r="K455" s="110"/>
      <c r="L455" s="110"/>
      <c r="M455" s="110"/>
      <c r="N455" s="110"/>
      <c r="O455" s="110"/>
      <c r="P455" s="110"/>
      <c r="Q455" s="433">
        <v>8</v>
      </c>
      <c r="R455" s="111">
        <v>1639.4666666666665</v>
      </c>
      <c r="S455" s="110"/>
      <c r="T455" s="110"/>
      <c r="U455" s="110"/>
      <c r="V455" s="110"/>
      <c r="W455" s="433">
        <v>6</v>
      </c>
      <c r="X455" s="111">
        <v>1639.4666666666665</v>
      </c>
      <c r="Y455" s="110"/>
      <c r="Z455" s="110"/>
      <c r="AA455" s="110"/>
      <c r="AB455" s="110"/>
      <c r="AC455" s="433">
        <v>2</v>
      </c>
      <c r="AD455" s="111">
        <v>1639.4666666666665</v>
      </c>
      <c r="AE455" s="110"/>
      <c r="AF455" s="110"/>
      <c r="AG455" s="110"/>
      <c r="AH455" s="1048"/>
    </row>
    <row r="456" spans="1:34" ht="45" x14ac:dyDescent="0.25">
      <c r="A456" s="1047"/>
      <c r="B456" s="110" t="s">
        <v>3849</v>
      </c>
      <c r="C456" s="110"/>
      <c r="D456" s="433">
        <v>297</v>
      </c>
      <c r="E456" s="207" t="s">
        <v>3834</v>
      </c>
      <c r="F456" s="1178" t="s">
        <v>4353</v>
      </c>
      <c r="G456" s="1056" t="s">
        <v>4306</v>
      </c>
      <c r="H456" s="433" t="s">
        <v>3478</v>
      </c>
      <c r="I456" s="111">
        <v>139.19999999999999</v>
      </c>
      <c r="J456" s="111">
        <v>41342.399999999994</v>
      </c>
      <c r="K456" s="110"/>
      <c r="L456" s="110"/>
      <c r="M456" s="110"/>
      <c r="N456" s="110"/>
      <c r="O456" s="110"/>
      <c r="P456" s="110"/>
      <c r="Q456" s="433">
        <v>197</v>
      </c>
      <c r="R456" s="111">
        <v>13780.799999999997</v>
      </c>
      <c r="S456" s="110"/>
      <c r="T456" s="110"/>
      <c r="U456" s="110"/>
      <c r="V456" s="110"/>
      <c r="W456" s="433">
        <v>50</v>
      </c>
      <c r="X456" s="111">
        <v>13780.799999999997</v>
      </c>
      <c r="Y456" s="110"/>
      <c r="Z456" s="110"/>
      <c r="AA456" s="110"/>
      <c r="AB456" s="110"/>
      <c r="AC456" s="433">
        <v>50</v>
      </c>
      <c r="AD456" s="111">
        <v>13780.799999999997</v>
      </c>
      <c r="AE456" s="110"/>
      <c r="AF456" s="110"/>
      <c r="AG456" s="110"/>
      <c r="AH456" s="1048"/>
    </row>
    <row r="457" spans="1:34" ht="45" x14ac:dyDescent="0.25">
      <c r="A457" s="1047"/>
      <c r="B457" s="110" t="s">
        <v>3850</v>
      </c>
      <c r="C457" s="110"/>
      <c r="D457" s="433">
        <v>20</v>
      </c>
      <c r="E457" s="207" t="s">
        <v>3836</v>
      </c>
      <c r="F457" s="1178" t="s">
        <v>4353</v>
      </c>
      <c r="G457" s="1056" t="s">
        <v>4306</v>
      </c>
      <c r="H457" s="433" t="s">
        <v>3478</v>
      </c>
      <c r="I457" s="111">
        <v>31.32</v>
      </c>
      <c r="J457" s="111">
        <v>626.4</v>
      </c>
      <c r="K457" s="110"/>
      <c r="L457" s="110"/>
      <c r="M457" s="110"/>
      <c r="N457" s="110"/>
      <c r="O457" s="110"/>
      <c r="P457" s="110"/>
      <c r="Q457" s="433">
        <v>10</v>
      </c>
      <c r="R457" s="111">
        <v>208.79999999999998</v>
      </c>
      <c r="S457" s="110"/>
      <c r="T457" s="110"/>
      <c r="U457" s="110"/>
      <c r="V457" s="110"/>
      <c r="W457" s="433">
        <v>5</v>
      </c>
      <c r="X457" s="111">
        <v>208.79999999999998</v>
      </c>
      <c r="Y457" s="110"/>
      <c r="Z457" s="110"/>
      <c r="AA457" s="110"/>
      <c r="AB457" s="110"/>
      <c r="AC457" s="433">
        <v>5</v>
      </c>
      <c r="AD457" s="111">
        <v>208.79999999999998</v>
      </c>
      <c r="AE457" s="110"/>
      <c r="AF457" s="110"/>
      <c r="AG457" s="110"/>
      <c r="AH457" s="1048"/>
    </row>
    <row r="458" spans="1:34" ht="45" x14ac:dyDescent="0.25">
      <c r="A458" s="1047"/>
      <c r="B458" s="110" t="s">
        <v>3851</v>
      </c>
      <c r="C458" s="110"/>
      <c r="D458" s="433">
        <v>101</v>
      </c>
      <c r="E458" s="207" t="s">
        <v>1767</v>
      </c>
      <c r="F458" s="1178" t="s">
        <v>4353</v>
      </c>
      <c r="G458" s="1056" t="s">
        <v>4306</v>
      </c>
      <c r="H458" s="433" t="s">
        <v>3478</v>
      </c>
      <c r="I458" s="111">
        <v>11.6</v>
      </c>
      <c r="J458" s="111">
        <v>1171.5999999999999</v>
      </c>
      <c r="K458" s="110"/>
      <c r="L458" s="110"/>
      <c r="M458" s="110"/>
      <c r="N458" s="110"/>
      <c r="O458" s="110"/>
      <c r="P458" s="110"/>
      <c r="Q458" s="433">
        <v>61</v>
      </c>
      <c r="R458" s="111">
        <v>390.5333333333333</v>
      </c>
      <c r="S458" s="110"/>
      <c r="T458" s="110"/>
      <c r="U458" s="110"/>
      <c r="V458" s="110"/>
      <c r="W458" s="433">
        <v>20</v>
      </c>
      <c r="X458" s="111">
        <v>390.5333333333333</v>
      </c>
      <c r="Y458" s="110"/>
      <c r="Z458" s="110"/>
      <c r="AA458" s="110"/>
      <c r="AB458" s="110"/>
      <c r="AC458" s="433">
        <v>20</v>
      </c>
      <c r="AD458" s="111">
        <v>390.5333333333333</v>
      </c>
      <c r="AE458" s="110"/>
      <c r="AF458" s="110"/>
      <c r="AG458" s="110"/>
      <c r="AH458" s="1048"/>
    </row>
    <row r="459" spans="1:34" ht="45" x14ac:dyDescent="0.25">
      <c r="A459" s="1047"/>
      <c r="B459" s="110" t="s">
        <v>3852</v>
      </c>
      <c r="C459" s="110"/>
      <c r="D459" s="433">
        <v>12</v>
      </c>
      <c r="E459" s="207" t="s">
        <v>3687</v>
      </c>
      <c r="F459" s="1178" t="s">
        <v>4353</v>
      </c>
      <c r="G459" s="1056" t="s">
        <v>4306</v>
      </c>
      <c r="H459" s="433" t="s">
        <v>3478</v>
      </c>
      <c r="I459" s="111">
        <v>214.5</v>
      </c>
      <c r="J459" s="111">
        <v>2574</v>
      </c>
      <c r="K459" s="110"/>
      <c r="L459" s="110"/>
      <c r="M459" s="110"/>
      <c r="N459" s="110"/>
      <c r="O459" s="110"/>
      <c r="P459" s="110"/>
      <c r="Q459" s="433">
        <v>6</v>
      </c>
      <c r="R459" s="111">
        <v>858</v>
      </c>
      <c r="S459" s="110"/>
      <c r="T459" s="110"/>
      <c r="U459" s="110"/>
      <c r="V459" s="110"/>
      <c r="W459" s="433">
        <v>3</v>
      </c>
      <c r="X459" s="111">
        <v>858</v>
      </c>
      <c r="Y459" s="110"/>
      <c r="Z459" s="110"/>
      <c r="AA459" s="110"/>
      <c r="AB459" s="110"/>
      <c r="AC459" s="433">
        <v>3</v>
      </c>
      <c r="AD459" s="111">
        <v>858</v>
      </c>
      <c r="AE459" s="110"/>
      <c r="AF459" s="110"/>
      <c r="AG459" s="110"/>
      <c r="AH459" s="1048"/>
    </row>
    <row r="460" spans="1:34" ht="45" x14ac:dyDescent="0.25">
      <c r="A460" s="1047"/>
      <c r="B460" s="110" t="s">
        <v>3853</v>
      </c>
      <c r="C460" s="110"/>
      <c r="D460" s="433">
        <v>12</v>
      </c>
      <c r="E460" s="207" t="s">
        <v>3687</v>
      </c>
      <c r="F460" s="1178" t="s">
        <v>4353</v>
      </c>
      <c r="G460" s="1056" t="s">
        <v>4306</v>
      </c>
      <c r="H460" s="433" t="s">
        <v>3478</v>
      </c>
      <c r="I460" s="111">
        <v>26</v>
      </c>
      <c r="J460" s="111">
        <v>312</v>
      </c>
      <c r="K460" s="110"/>
      <c r="L460" s="110"/>
      <c r="M460" s="110"/>
      <c r="N460" s="110"/>
      <c r="O460" s="110"/>
      <c r="P460" s="110"/>
      <c r="Q460" s="433">
        <v>6</v>
      </c>
      <c r="R460" s="111">
        <v>104</v>
      </c>
      <c r="S460" s="110"/>
      <c r="T460" s="110"/>
      <c r="U460" s="110"/>
      <c r="V460" s="110"/>
      <c r="W460" s="433">
        <v>3</v>
      </c>
      <c r="X460" s="111">
        <v>104</v>
      </c>
      <c r="Y460" s="110"/>
      <c r="Z460" s="110"/>
      <c r="AA460" s="110"/>
      <c r="AB460" s="110"/>
      <c r="AC460" s="433">
        <v>3</v>
      </c>
      <c r="AD460" s="111">
        <v>104</v>
      </c>
      <c r="AE460" s="110"/>
      <c r="AF460" s="110"/>
      <c r="AG460" s="110"/>
      <c r="AH460" s="1048"/>
    </row>
    <row r="461" spans="1:34" ht="45" x14ac:dyDescent="0.25">
      <c r="A461" s="1047"/>
      <c r="B461" s="110" t="s">
        <v>3854</v>
      </c>
      <c r="C461" s="110"/>
      <c r="D461" s="433">
        <v>6</v>
      </c>
      <c r="E461" s="207" t="s">
        <v>1767</v>
      </c>
      <c r="F461" s="1178" t="s">
        <v>4353</v>
      </c>
      <c r="G461" s="1056" t="s">
        <v>4306</v>
      </c>
      <c r="H461" s="433" t="s">
        <v>3478</v>
      </c>
      <c r="I461" s="111">
        <v>37</v>
      </c>
      <c r="J461" s="111">
        <v>222</v>
      </c>
      <c r="K461" s="110"/>
      <c r="L461" s="110"/>
      <c r="M461" s="110"/>
      <c r="N461" s="110"/>
      <c r="O461" s="110"/>
      <c r="P461" s="110"/>
      <c r="Q461" s="433">
        <v>2</v>
      </c>
      <c r="R461" s="111">
        <v>74</v>
      </c>
      <c r="S461" s="110"/>
      <c r="T461" s="110"/>
      <c r="U461" s="110"/>
      <c r="V461" s="110"/>
      <c r="W461" s="433">
        <v>2</v>
      </c>
      <c r="X461" s="111">
        <v>74</v>
      </c>
      <c r="Y461" s="110"/>
      <c r="Z461" s="110"/>
      <c r="AA461" s="110"/>
      <c r="AB461" s="110"/>
      <c r="AC461" s="433">
        <v>2</v>
      </c>
      <c r="AD461" s="111">
        <v>74</v>
      </c>
      <c r="AE461" s="110"/>
      <c r="AF461" s="110"/>
      <c r="AG461" s="110"/>
      <c r="AH461" s="1048"/>
    </row>
    <row r="462" spans="1:34" ht="45" x14ac:dyDescent="0.25">
      <c r="A462" s="1047"/>
      <c r="B462" s="110" t="s">
        <v>3855</v>
      </c>
      <c r="C462" s="110"/>
      <c r="D462" s="433">
        <v>6</v>
      </c>
      <c r="E462" s="207" t="s">
        <v>1767</v>
      </c>
      <c r="F462" s="1178" t="s">
        <v>4353</v>
      </c>
      <c r="G462" s="1056" t="s">
        <v>4306</v>
      </c>
      <c r="H462" s="433" t="s">
        <v>3478</v>
      </c>
      <c r="I462" s="111">
        <v>99</v>
      </c>
      <c r="J462" s="111">
        <v>594</v>
      </c>
      <c r="K462" s="110"/>
      <c r="L462" s="110"/>
      <c r="M462" s="110"/>
      <c r="N462" s="110"/>
      <c r="O462" s="110"/>
      <c r="P462" s="110"/>
      <c r="Q462" s="433">
        <v>2</v>
      </c>
      <c r="R462" s="111">
        <v>198</v>
      </c>
      <c r="S462" s="110"/>
      <c r="T462" s="110"/>
      <c r="U462" s="110"/>
      <c r="V462" s="110"/>
      <c r="W462" s="433">
        <v>2</v>
      </c>
      <c r="X462" s="111">
        <v>198</v>
      </c>
      <c r="Y462" s="110"/>
      <c r="Z462" s="110"/>
      <c r="AA462" s="110"/>
      <c r="AB462" s="110"/>
      <c r="AC462" s="433">
        <v>2</v>
      </c>
      <c r="AD462" s="111">
        <v>198</v>
      </c>
      <c r="AE462" s="110"/>
      <c r="AF462" s="110"/>
      <c r="AG462" s="110"/>
      <c r="AH462" s="1048"/>
    </row>
    <row r="463" spans="1:34" ht="45" x14ac:dyDescent="0.25">
      <c r="A463" s="1047"/>
      <c r="B463" s="110" t="s">
        <v>3856</v>
      </c>
      <c r="C463" s="110"/>
      <c r="D463" s="433">
        <v>6</v>
      </c>
      <c r="E463" s="207" t="s">
        <v>1767</v>
      </c>
      <c r="F463" s="1178" t="s">
        <v>4353</v>
      </c>
      <c r="G463" s="1056" t="s">
        <v>4306</v>
      </c>
      <c r="H463" s="433" t="s">
        <v>3478</v>
      </c>
      <c r="I463" s="111">
        <v>37</v>
      </c>
      <c r="J463" s="111">
        <v>222</v>
      </c>
      <c r="K463" s="110"/>
      <c r="L463" s="110"/>
      <c r="M463" s="110"/>
      <c r="N463" s="110"/>
      <c r="O463" s="110"/>
      <c r="P463" s="110"/>
      <c r="Q463" s="433">
        <v>2</v>
      </c>
      <c r="R463" s="111">
        <v>74</v>
      </c>
      <c r="S463" s="110"/>
      <c r="T463" s="110"/>
      <c r="U463" s="110"/>
      <c r="V463" s="110"/>
      <c r="W463" s="433">
        <v>2</v>
      </c>
      <c r="X463" s="111">
        <v>74</v>
      </c>
      <c r="Y463" s="110"/>
      <c r="Z463" s="110"/>
      <c r="AA463" s="110"/>
      <c r="AB463" s="110"/>
      <c r="AC463" s="433">
        <v>2</v>
      </c>
      <c r="AD463" s="111">
        <v>74</v>
      </c>
      <c r="AE463" s="110"/>
      <c r="AF463" s="110"/>
      <c r="AG463" s="110"/>
      <c r="AH463" s="1048"/>
    </row>
    <row r="464" spans="1:34" ht="45" x14ac:dyDescent="0.25">
      <c r="A464" s="1047"/>
      <c r="B464" s="110" t="s">
        <v>3857</v>
      </c>
      <c r="C464" s="110"/>
      <c r="D464" s="433">
        <v>6</v>
      </c>
      <c r="E464" s="207" t="s">
        <v>1767</v>
      </c>
      <c r="F464" s="1178" t="s">
        <v>4353</v>
      </c>
      <c r="G464" s="1056" t="s">
        <v>4306</v>
      </c>
      <c r="H464" s="433" t="s">
        <v>3478</v>
      </c>
      <c r="I464" s="111">
        <v>90</v>
      </c>
      <c r="J464" s="111">
        <v>540</v>
      </c>
      <c r="K464" s="110"/>
      <c r="L464" s="110"/>
      <c r="M464" s="110"/>
      <c r="N464" s="110"/>
      <c r="O464" s="110"/>
      <c r="P464" s="110"/>
      <c r="Q464" s="433">
        <v>2</v>
      </c>
      <c r="R464" s="111">
        <v>180</v>
      </c>
      <c r="S464" s="110"/>
      <c r="T464" s="110"/>
      <c r="U464" s="110"/>
      <c r="V464" s="110"/>
      <c r="W464" s="433">
        <v>2</v>
      </c>
      <c r="X464" s="111">
        <v>180</v>
      </c>
      <c r="Y464" s="110"/>
      <c r="Z464" s="110"/>
      <c r="AA464" s="110"/>
      <c r="AB464" s="110"/>
      <c r="AC464" s="433">
        <v>2</v>
      </c>
      <c r="AD464" s="111">
        <v>180</v>
      </c>
      <c r="AE464" s="110"/>
      <c r="AF464" s="110"/>
      <c r="AG464" s="110"/>
      <c r="AH464" s="1048"/>
    </row>
    <row r="465" spans="1:34" ht="45" x14ac:dyDescent="0.25">
      <c r="A465" s="1047"/>
      <c r="B465" s="110" t="s">
        <v>3858</v>
      </c>
      <c r="C465" s="110"/>
      <c r="D465" s="433">
        <v>6</v>
      </c>
      <c r="E465" s="207" t="s">
        <v>3687</v>
      </c>
      <c r="F465" s="1178" t="s">
        <v>4353</v>
      </c>
      <c r="G465" s="1056" t="s">
        <v>4306</v>
      </c>
      <c r="H465" s="433" t="s">
        <v>3478</v>
      </c>
      <c r="I465" s="111">
        <v>90</v>
      </c>
      <c r="J465" s="111">
        <v>540</v>
      </c>
      <c r="K465" s="110"/>
      <c r="L465" s="110"/>
      <c r="M465" s="110"/>
      <c r="N465" s="110"/>
      <c r="O465" s="110"/>
      <c r="P465" s="110"/>
      <c r="Q465" s="433">
        <v>2</v>
      </c>
      <c r="R465" s="111">
        <v>180</v>
      </c>
      <c r="S465" s="110"/>
      <c r="T465" s="110"/>
      <c r="U465" s="110"/>
      <c r="V465" s="110"/>
      <c r="W465" s="433">
        <v>2</v>
      </c>
      <c r="X465" s="111">
        <v>180</v>
      </c>
      <c r="Y465" s="110"/>
      <c r="Z465" s="110"/>
      <c r="AA465" s="110"/>
      <c r="AB465" s="110"/>
      <c r="AC465" s="433">
        <v>2</v>
      </c>
      <c r="AD465" s="111">
        <v>180</v>
      </c>
      <c r="AE465" s="110"/>
      <c r="AF465" s="110"/>
      <c r="AG465" s="110"/>
      <c r="AH465" s="1048"/>
    </row>
    <row r="466" spans="1:34" ht="45" x14ac:dyDescent="0.25">
      <c r="A466" s="1047"/>
      <c r="B466" s="110" t="s">
        <v>3859</v>
      </c>
      <c r="C466" s="110"/>
      <c r="D466" s="433">
        <v>6</v>
      </c>
      <c r="E466" s="207" t="s">
        <v>3687</v>
      </c>
      <c r="F466" s="1178" t="s">
        <v>4353</v>
      </c>
      <c r="G466" s="1056" t="s">
        <v>4306</v>
      </c>
      <c r="H466" s="433" t="s">
        <v>3478</v>
      </c>
      <c r="I466" s="111">
        <v>100</v>
      </c>
      <c r="J466" s="111">
        <v>600</v>
      </c>
      <c r="K466" s="110"/>
      <c r="L466" s="110"/>
      <c r="M466" s="110"/>
      <c r="N466" s="110"/>
      <c r="O466" s="110"/>
      <c r="P466" s="110"/>
      <c r="Q466" s="433">
        <v>2</v>
      </c>
      <c r="R466" s="111">
        <v>200</v>
      </c>
      <c r="S466" s="110"/>
      <c r="T466" s="110"/>
      <c r="U466" s="110"/>
      <c r="V466" s="110"/>
      <c r="W466" s="433">
        <v>2</v>
      </c>
      <c r="X466" s="111">
        <v>200</v>
      </c>
      <c r="Y466" s="110"/>
      <c r="Z466" s="110"/>
      <c r="AA466" s="110"/>
      <c r="AB466" s="110"/>
      <c r="AC466" s="433">
        <v>2</v>
      </c>
      <c r="AD466" s="111">
        <v>200</v>
      </c>
      <c r="AE466" s="110"/>
      <c r="AF466" s="110"/>
      <c r="AG466" s="110"/>
      <c r="AH466" s="1048"/>
    </row>
    <row r="467" spans="1:34" ht="45" x14ac:dyDescent="0.25">
      <c r="A467" s="1047"/>
      <c r="B467" s="110" t="s">
        <v>3860</v>
      </c>
      <c r="C467" s="110"/>
      <c r="D467" s="433">
        <v>6</v>
      </c>
      <c r="E467" s="207" t="s">
        <v>3687</v>
      </c>
      <c r="F467" s="1178" t="s">
        <v>4353</v>
      </c>
      <c r="G467" s="1056" t="s">
        <v>4306</v>
      </c>
      <c r="H467" s="433" t="s">
        <v>3478</v>
      </c>
      <c r="I467" s="111">
        <v>245</v>
      </c>
      <c r="J467" s="111">
        <v>1470</v>
      </c>
      <c r="K467" s="110"/>
      <c r="L467" s="110"/>
      <c r="M467" s="110"/>
      <c r="N467" s="110"/>
      <c r="O467" s="110"/>
      <c r="P467" s="110"/>
      <c r="Q467" s="433">
        <v>2</v>
      </c>
      <c r="R467" s="111">
        <v>490</v>
      </c>
      <c r="S467" s="110"/>
      <c r="T467" s="110"/>
      <c r="U467" s="110"/>
      <c r="V467" s="110"/>
      <c r="W467" s="433">
        <v>2</v>
      </c>
      <c r="X467" s="111">
        <v>490</v>
      </c>
      <c r="Y467" s="110"/>
      <c r="Z467" s="110"/>
      <c r="AA467" s="110"/>
      <c r="AB467" s="110"/>
      <c r="AC467" s="433">
        <v>2</v>
      </c>
      <c r="AD467" s="111">
        <v>490</v>
      </c>
      <c r="AE467" s="110"/>
      <c r="AF467" s="110"/>
      <c r="AG467" s="110"/>
      <c r="AH467" s="1048"/>
    </row>
    <row r="468" spans="1:34" ht="45" x14ac:dyDescent="0.25">
      <c r="A468" s="1047"/>
      <c r="B468" s="110" t="s">
        <v>3861</v>
      </c>
      <c r="C468" s="110"/>
      <c r="D468" s="433">
        <v>6</v>
      </c>
      <c r="E468" s="207" t="s">
        <v>3687</v>
      </c>
      <c r="F468" s="1178" t="s">
        <v>4353</v>
      </c>
      <c r="G468" s="1056" t="s">
        <v>4306</v>
      </c>
      <c r="H468" s="433" t="s">
        <v>3478</v>
      </c>
      <c r="I468" s="111">
        <v>340</v>
      </c>
      <c r="J468" s="111">
        <v>2040</v>
      </c>
      <c r="K468" s="110"/>
      <c r="L468" s="110"/>
      <c r="M468" s="110"/>
      <c r="N468" s="110"/>
      <c r="O468" s="110"/>
      <c r="P468" s="110"/>
      <c r="Q468" s="433">
        <v>2</v>
      </c>
      <c r="R468" s="111">
        <v>680</v>
      </c>
      <c r="S468" s="110"/>
      <c r="T468" s="110"/>
      <c r="U468" s="110"/>
      <c r="V468" s="110"/>
      <c r="W468" s="433">
        <v>2</v>
      </c>
      <c r="X468" s="111">
        <v>680</v>
      </c>
      <c r="Y468" s="110"/>
      <c r="Z468" s="110"/>
      <c r="AA468" s="110"/>
      <c r="AB468" s="110"/>
      <c r="AC468" s="433">
        <v>2</v>
      </c>
      <c r="AD468" s="111">
        <v>680</v>
      </c>
      <c r="AE468" s="110"/>
      <c r="AF468" s="110"/>
      <c r="AG468" s="110"/>
      <c r="AH468" s="1048"/>
    </row>
    <row r="469" spans="1:34" ht="45" x14ac:dyDescent="0.25">
      <c r="A469" s="1047"/>
      <c r="B469" s="110" t="s">
        <v>3862</v>
      </c>
      <c r="C469" s="110"/>
      <c r="D469" s="433">
        <v>6</v>
      </c>
      <c r="E469" s="207" t="s">
        <v>3687</v>
      </c>
      <c r="F469" s="1178" t="s">
        <v>4353</v>
      </c>
      <c r="G469" s="1056" t="s">
        <v>4306</v>
      </c>
      <c r="H469" s="433" t="s">
        <v>3478</v>
      </c>
      <c r="I469" s="111">
        <v>34</v>
      </c>
      <c r="J469" s="111">
        <v>204</v>
      </c>
      <c r="K469" s="110"/>
      <c r="L469" s="110"/>
      <c r="M469" s="110"/>
      <c r="N469" s="110"/>
      <c r="O469" s="110"/>
      <c r="P469" s="110"/>
      <c r="Q469" s="433">
        <v>2</v>
      </c>
      <c r="R469" s="111">
        <v>68</v>
      </c>
      <c r="S469" s="110"/>
      <c r="T469" s="110"/>
      <c r="U469" s="110"/>
      <c r="V469" s="110"/>
      <c r="W469" s="433">
        <v>2</v>
      </c>
      <c r="X469" s="111">
        <v>68</v>
      </c>
      <c r="Y469" s="110"/>
      <c r="Z469" s="110"/>
      <c r="AA469" s="110"/>
      <c r="AB469" s="110"/>
      <c r="AC469" s="433">
        <v>2</v>
      </c>
      <c r="AD469" s="111">
        <v>68</v>
      </c>
      <c r="AE469" s="110"/>
      <c r="AF469" s="110"/>
      <c r="AG469" s="110"/>
      <c r="AH469" s="1048"/>
    </row>
    <row r="470" spans="1:34" ht="45" x14ac:dyDescent="0.25">
      <c r="A470" s="1047"/>
      <c r="B470" s="110" t="s">
        <v>3863</v>
      </c>
      <c r="C470" s="110"/>
      <c r="D470" s="433">
        <v>6</v>
      </c>
      <c r="E470" s="207" t="s">
        <v>3687</v>
      </c>
      <c r="F470" s="1178" t="s">
        <v>4353</v>
      </c>
      <c r="G470" s="1056" t="s">
        <v>4306</v>
      </c>
      <c r="H470" s="433" t="s">
        <v>3478</v>
      </c>
      <c r="I470" s="111">
        <v>58</v>
      </c>
      <c r="J470" s="111">
        <v>348</v>
      </c>
      <c r="K470" s="110"/>
      <c r="L470" s="110"/>
      <c r="M470" s="110"/>
      <c r="N470" s="110"/>
      <c r="O470" s="110"/>
      <c r="P470" s="110"/>
      <c r="Q470" s="433">
        <v>2</v>
      </c>
      <c r="R470" s="111">
        <v>116</v>
      </c>
      <c r="S470" s="110"/>
      <c r="T470" s="110"/>
      <c r="U470" s="110"/>
      <c r="V470" s="110"/>
      <c r="W470" s="433">
        <v>2</v>
      </c>
      <c r="X470" s="111">
        <v>116</v>
      </c>
      <c r="Y470" s="110"/>
      <c r="Z470" s="110"/>
      <c r="AA470" s="110"/>
      <c r="AB470" s="110"/>
      <c r="AC470" s="433">
        <v>2</v>
      </c>
      <c r="AD470" s="111">
        <v>116</v>
      </c>
      <c r="AE470" s="110"/>
      <c r="AF470" s="110"/>
      <c r="AG470" s="110"/>
      <c r="AH470" s="1048"/>
    </row>
    <row r="471" spans="1:34" ht="45" x14ac:dyDescent="0.25">
      <c r="A471" s="1047"/>
      <c r="B471" s="110" t="s">
        <v>3864</v>
      </c>
      <c r="C471" s="110"/>
      <c r="D471" s="433">
        <v>6</v>
      </c>
      <c r="E471" s="207" t="s">
        <v>3687</v>
      </c>
      <c r="F471" s="1178" t="s">
        <v>4353</v>
      </c>
      <c r="G471" s="1056" t="s">
        <v>4306</v>
      </c>
      <c r="H471" s="433" t="s">
        <v>3478</v>
      </c>
      <c r="I471" s="111">
        <v>58</v>
      </c>
      <c r="J471" s="111">
        <v>348</v>
      </c>
      <c r="K471" s="110"/>
      <c r="L471" s="110"/>
      <c r="M471" s="110"/>
      <c r="N471" s="110"/>
      <c r="O471" s="110"/>
      <c r="P471" s="110"/>
      <c r="Q471" s="433">
        <v>2</v>
      </c>
      <c r="R471" s="111">
        <v>116</v>
      </c>
      <c r="S471" s="110"/>
      <c r="T471" s="110"/>
      <c r="U471" s="110"/>
      <c r="V471" s="110"/>
      <c r="W471" s="433">
        <v>2</v>
      </c>
      <c r="X471" s="111">
        <v>116</v>
      </c>
      <c r="Y471" s="110"/>
      <c r="Z471" s="110"/>
      <c r="AA471" s="110"/>
      <c r="AB471" s="110"/>
      <c r="AC471" s="433">
        <v>2</v>
      </c>
      <c r="AD471" s="111">
        <v>116</v>
      </c>
      <c r="AE471" s="110"/>
      <c r="AF471" s="110"/>
      <c r="AG471" s="110"/>
      <c r="AH471" s="1048"/>
    </row>
    <row r="472" spans="1:34" ht="45" x14ac:dyDescent="0.25">
      <c r="A472" s="1047"/>
      <c r="B472" s="110" t="s">
        <v>3865</v>
      </c>
      <c r="C472" s="110"/>
      <c r="D472" s="433">
        <v>6</v>
      </c>
      <c r="E472" s="207" t="s">
        <v>3687</v>
      </c>
      <c r="F472" s="1178" t="s">
        <v>4353</v>
      </c>
      <c r="G472" s="1056" t="s">
        <v>4306</v>
      </c>
      <c r="H472" s="433" t="s">
        <v>3478</v>
      </c>
      <c r="I472" s="111">
        <v>240</v>
      </c>
      <c r="J472" s="111">
        <v>1440</v>
      </c>
      <c r="K472" s="110"/>
      <c r="L472" s="110"/>
      <c r="M472" s="110"/>
      <c r="N472" s="110"/>
      <c r="O472" s="110"/>
      <c r="P472" s="110"/>
      <c r="Q472" s="433">
        <v>2</v>
      </c>
      <c r="R472" s="111">
        <v>480</v>
      </c>
      <c r="S472" s="110"/>
      <c r="T472" s="110"/>
      <c r="U472" s="110"/>
      <c r="V472" s="110"/>
      <c r="W472" s="433">
        <v>2</v>
      </c>
      <c r="X472" s="111">
        <v>480</v>
      </c>
      <c r="Y472" s="110"/>
      <c r="Z472" s="110"/>
      <c r="AA472" s="110"/>
      <c r="AB472" s="110"/>
      <c r="AC472" s="433">
        <v>2</v>
      </c>
      <c r="AD472" s="111">
        <v>480</v>
      </c>
      <c r="AE472" s="110"/>
      <c r="AF472" s="110"/>
      <c r="AG472" s="110"/>
      <c r="AH472" s="1048"/>
    </row>
    <row r="473" spans="1:34" ht="45" x14ac:dyDescent="0.25">
      <c r="A473" s="1047"/>
      <c r="B473" s="110" t="s">
        <v>3866</v>
      </c>
      <c r="C473" s="110"/>
      <c r="D473" s="433">
        <v>6</v>
      </c>
      <c r="E473" s="207" t="s">
        <v>3687</v>
      </c>
      <c r="F473" s="1178" t="s">
        <v>4353</v>
      </c>
      <c r="G473" s="1056" t="s">
        <v>4306</v>
      </c>
      <c r="H473" s="433" t="s">
        <v>3478</v>
      </c>
      <c r="I473" s="111">
        <v>170</v>
      </c>
      <c r="J473" s="111">
        <v>1020</v>
      </c>
      <c r="K473" s="110"/>
      <c r="L473" s="110"/>
      <c r="M473" s="110"/>
      <c r="N473" s="110"/>
      <c r="O473" s="110"/>
      <c r="P473" s="110"/>
      <c r="Q473" s="433">
        <v>2</v>
      </c>
      <c r="R473" s="111">
        <v>340</v>
      </c>
      <c r="S473" s="110"/>
      <c r="T473" s="110"/>
      <c r="U473" s="110"/>
      <c r="V473" s="110"/>
      <c r="W473" s="433">
        <v>2</v>
      </c>
      <c r="X473" s="111">
        <v>340</v>
      </c>
      <c r="Y473" s="110"/>
      <c r="Z473" s="110"/>
      <c r="AA473" s="110"/>
      <c r="AB473" s="110"/>
      <c r="AC473" s="433">
        <v>2</v>
      </c>
      <c r="AD473" s="111">
        <v>340</v>
      </c>
      <c r="AE473" s="110"/>
      <c r="AF473" s="110"/>
      <c r="AG473" s="110"/>
      <c r="AH473" s="1048"/>
    </row>
    <row r="474" spans="1:34" ht="45" x14ac:dyDescent="0.25">
      <c r="A474" s="1047"/>
      <c r="B474" s="110" t="s">
        <v>3867</v>
      </c>
      <c r="C474" s="110"/>
      <c r="D474" s="433">
        <v>12</v>
      </c>
      <c r="E474" s="207" t="s">
        <v>1767</v>
      </c>
      <c r="F474" s="1178" t="s">
        <v>4353</v>
      </c>
      <c r="G474" s="1056" t="s">
        <v>4306</v>
      </c>
      <c r="H474" s="433" t="s">
        <v>3478</v>
      </c>
      <c r="I474" s="111">
        <v>60</v>
      </c>
      <c r="J474" s="111">
        <v>720</v>
      </c>
      <c r="K474" s="110"/>
      <c r="L474" s="110"/>
      <c r="M474" s="110"/>
      <c r="N474" s="110"/>
      <c r="O474" s="110"/>
      <c r="P474" s="110"/>
      <c r="Q474" s="433">
        <v>6</v>
      </c>
      <c r="R474" s="111">
        <v>240</v>
      </c>
      <c r="S474" s="110"/>
      <c r="T474" s="110"/>
      <c r="U474" s="110"/>
      <c r="V474" s="110"/>
      <c r="W474" s="433">
        <v>3</v>
      </c>
      <c r="X474" s="111">
        <v>240</v>
      </c>
      <c r="Y474" s="110"/>
      <c r="Z474" s="110"/>
      <c r="AA474" s="110"/>
      <c r="AB474" s="110"/>
      <c r="AC474" s="433">
        <v>3</v>
      </c>
      <c r="AD474" s="111">
        <v>240</v>
      </c>
      <c r="AE474" s="110"/>
      <c r="AF474" s="110"/>
      <c r="AG474" s="110"/>
      <c r="AH474" s="1048"/>
    </row>
    <row r="475" spans="1:34" ht="45" x14ac:dyDescent="0.25">
      <c r="A475" s="1047"/>
      <c r="B475" s="110" t="s">
        <v>3868</v>
      </c>
      <c r="C475" s="110"/>
      <c r="D475" s="433">
        <v>6</v>
      </c>
      <c r="E475" s="207" t="s">
        <v>1793</v>
      </c>
      <c r="F475" s="1178" t="s">
        <v>4353</v>
      </c>
      <c r="G475" s="1056" t="s">
        <v>4306</v>
      </c>
      <c r="H475" s="433" t="s">
        <v>3478</v>
      </c>
      <c r="I475" s="111">
        <v>29</v>
      </c>
      <c r="J475" s="111">
        <v>174</v>
      </c>
      <c r="K475" s="110"/>
      <c r="L475" s="110"/>
      <c r="M475" s="110"/>
      <c r="N475" s="110"/>
      <c r="O475" s="110"/>
      <c r="P475" s="110"/>
      <c r="Q475" s="433">
        <v>2</v>
      </c>
      <c r="R475" s="111">
        <v>58</v>
      </c>
      <c r="S475" s="110"/>
      <c r="T475" s="110"/>
      <c r="U475" s="110"/>
      <c r="V475" s="110"/>
      <c r="W475" s="433">
        <v>2</v>
      </c>
      <c r="X475" s="111">
        <v>58</v>
      </c>
      <c r="Y475" s="110"/>
      <c r="Z475" s="110"/>
      <c r="AA475" s="110"/>
      <c r="AB475" s="110"/>
      <c r="AC475" s="433">
        <v>2</v>
      </c>
      <c r="AD475" s="111">
        <v>58</v>
      </c>
      <c r="AE475" s="110"/>
      <c r="AF475" s="110"/>
      <c r="AG475" s="110"/>
      <c r="AH475" s="1048"/>
    </row>
    <row r="476" spans="1:34" ht="45" x14ac:dyDescent="0.25">
      <c r="A476" s="1047"/>
      <c r="B476" s="110" t="s">
        <v>3869</v>
      </c>
      <c r="C476" s="110"/>
      <c r="D476" s="433">
        <v>6</v>
      </c>
      <c r="E476" s="207" t="s">
        <v>1767</v>
      </c>
      <c r="F476" s="1178" t="s">
        <v>4353</v>
      </c>
      <c r="G476" s="1056" t="s">
        <v>4306</v>
      </c>
      <c r="H476" s="433" t="s">
        <v>3478</v>
      </c>
      <c r="I476" s="111">
        <v>26</v>
      </c>
      <c r="J476" s="111">
        <v>156</v>
      </c>
      <c r="K476" s="110"/>
      <c r="L476" s="110"/>
      <c r="M476" s="110"/>
      <c r="N476" s="110"/>
      <c r="O476" s="110"/>
      <c r="P476" s="110"/>
      <c r="Q476" s="433">
        <v>2</v>
      </c>
      <c r="R476" s="111">
        <v>52</v>
      </c>
      <c r="S476" s="110"/>
      <c r="T476" s="110"/>
      <c r="U476" s="110"/>
      <c r="V476" s="110"/>
      <c r="W476" s="433">
        <v>2</v>
      </c>
      <c r="X476" s="111">
        <v>52</v>
      </c>
      <c r="Y476" s="110"/>
      <c r="Z476" s="110"/>
      <c r="AA476" s="110"/>
      <c r="AB476" s="110"/>
      <c r="AC476" s="433">
        <v>2</v>
      </c>
      <c r="AD476" s="111">
        <v>52</v>
      </c>
      <c r="AE476" s="110"/>
      <c r="AF476" s="110"/>
      <c r="AG476" s="110"/>
      <c r="AH476" s="1048"/>
    </row>
    <row r="477" spans="1:34" ht="45" x14ac:dyDescent="0.25">
      <c r="A477" s="1047"/>
      <c r="B477" s="110" t="s">
        <v>3870</v>
      </c>
      <c r="C477" s="110"/>
      <c r="D477" s="433">
        <v>6</v>
      </c>
      <c r="E477" s="207" t="s">
        <v>1767</v>
      </c>
      <c r="F477" s="1178" t="s">
        <v>4353</v>
      </c>
      <c r="G477" s="1056" t="s">
        <v>4306</v>
      </c>
      <c r="H477" s="433" t="s">
        <v>3478</v>
      </c>
      <c r="I477" s="111">
        <v>15</v>
      </c>
      <c r="J477" s="111">
        <v>90</v>
      </c>
      <c r="K477" s="110"/>
      <c r="L477" s="110"/>
      <c r="M477" s="110"/>
      <c r="N477" s="110"/>
      <c r="O477" s="110"/>
      <c r="P477" s="110"/>
      <c r="Q477" s="433">
        <v>2</v>
      </c>
      <c r="R477" s="111">
        <v>30</v>
      </c>
      <c r="S477" s="110"/>
      <c r="T477" s="110"/>
      <c r="U477" s="110"/>
      <c r="V477" s="110"/>
      <c r="W477" s="433">
        <v>2</v>
      </c>
      <c r="X477" s="111">
        <v>30</v>
      </c>
      <c r="Y477" s="110"/>
      <c r="Z477" s="110"/>
      <c r="AA477" s="110"/>
      <c r="AB477" s="110"/>
      <c r="AC477" s="433">
        <v>2</v>
      </c>
      <c r="AD477" s="111">
        <v>30</v>
      </c>
      <c r="AE477" s="110"/>
      <c r="AF477" s="110"/>
      <c r="AG477" s="110"/>
      <c r="AH477" s="1048"/>
    </row>
    <row r="478" spans="1:34" ht="45" x14ac:dyDescent="0.25">
      <c r="A478" s="1047"/>
      <c r="B478" s="110" t="s">
        <v>3871</v>
      </c>
      <c r="C478" s="110"/>
      <c r="D478" s="433">
        <v>6</v>
      </c>
      <c r="E478" s="207" t="s">
        <v>3687</v>
      </c>
      <c r="F478" s="1178" t="s">
        <v>4353</v>
      </c>
      <c r="G478" s="1056" t="s">
        <v>4306</v>
      </c>
      <c r="H478" s="433" t="s">
        <v>3478</v>
      </c>
      <c r="I478" s="111">
        <v>17</v>
      </c>
      <c r="J478" s="111">
        <v>102</v>
      </c>
      <c r="K478" s="110"/>
      <c r="L478" s="110"/>
      <c r="M478" s="110"/>
      <c r="N478" s="110"/>
      <c r="O478" s="110"/>
      <c r="P478" s="110"/>
      <c r="Q478" s="433">
        <v>2</v>
      </c>
      <c r="R478" s="111">
        <v>34</v>
      </c>
      <c r="S478" s="110"/>
      <c r="T478" s="110"/>
      <c r="U478" s="110"/>
      <c r="V478" s="110"/>
      <c r="W478" s="433">
        <v>2</v>
      </c>
      <c r="X478" s="111">
        <v>34</v>
      </c>
      <c r="Y478" s="110"/>
      <c r="Z478" s="110"/>
      <c r="AA478" s="110"/>
      <c r="AB478" s="110"/>
      <c r="AC478" s="433">
        <v>2</v>
      </c>
      <c r="AD478" s="111">
        <v>34</v>
      </c>
      <c r="AE478" s="110"/>
      <c r="AF478" s="110"/>
      <c r="AG478" s="110"/>
      <c r="AH478" s="1048"/>
    </row>
    <row r="479" spans="1:34" ht="45" x14ac:dyDescent="0.25">
      <c r="A479" s="1047"/>
      <c r="B479" s="110" t="s">
        <v>3872</v>
      </c>
      <c r="C479" s="110"/>
      <c r="D479" s="433">
        <v>6</v>
      </c>
      <c r="E479" s="207" t="s">
        <v>3687</v>
      </c>
      <c r="F479" s="1178" t="s">
        <v>4353</v>
      </c>
      <c r="G479" s="1056" t="s">
        <v>4306</v>
      </c>
      <c r="H479" s="433" t="s">
        <v>3478</v>
      </c>
      <c r="I479" s="111">
        <v>80</v>
      </c>
      <c r="J479" s="111">
        <v>480</v>
      </c>
      <c r="K479" s="110"/>
      <c r="L479" s="110"/>
      <c r="M479" s="110"/>
      <c r="N479" s="110"/>
      <c r="O479" s="110"/>
      <c r="P479" s="110"/>
      <c r="Q479" s="433">
        <v>2</v>
      </c>
      <c r="R479" s="111">
        <v>160</v>
      </c>
      <c r="S479" s="110"/>
      <c r="T479" s="110"/>
      <c r="U479" s="110"/>
      <c r="V479" s="110"/>
      <c r="W479" s="433">
        <v>2</v>
      </c>
      <c r="X479" s="111">
        <v>160</v>
      </c>
      <c r="Y479" s="110"/>
      <c r="Z479" s="110"/>
      <c r="AA479" s="110"/>
      <c r="AB479" s="110"/>
      <c r="AC479" s="433">
        <v>2</v>
      </c>
      <c r="AD479" s="111">
        <v>160</v>
      </c>
      <c r="AE479" s="110"/>
      <c r="AF479" s="110"/>
      <c r="AG479" s="110"/>
      <c r="AH479" s="1048"/>
    </row>
    <row r="480" spans="1:34" ht="45" x14ac:dyDescent="0.25">
      <c r="A480" s="1047"/>
      <c r="B480" s="110" t="s">
        <v>3873</v>
      </c>
      <c r="C480" s="110"/>
      <c r="D480" s="433">
        <v>12</v>
      </c>
      <c r="E480" s="207" t="s">
        <v>1772</v>
      </c>
      <c r="F480" s="1178" t="s">
        <v>4353</v>
      </c>
      <c r="G480" s="1056" t="s">
        <v>4306</v>
      </c>
      <c r="H480" s="433" t="s">
        <v>3478</v>
      </c>
      <c r="I480" s="111">
        <v>457</v>
      </c>
      <c r="J480" s="111">
        <v>5484</v>
      </c>
      <c r="K480" s="110"/>
      <c r="L480" s="110"/>
      <c r="M480" s="110"/>
      <c r="N480" s="110"/>
      <c r="O480" s="110"/>
      <c r="P480" s="110"/>
      <c r="Q480" s="433">
        <v>6</v>
      </c>
      <c r="R480" s="111">
        <v>1828</v>
      </c>
      <c r="S480" s="110"/>
      <c r="T480" s="110"/>
      <c r="U480" s="110"/>
      <c r="V480" s="110"/>
      <c r="W480" s="433">
        <v>3</v>
      </c>
      <c r="X480" s="111">
        <v>1828</v>
      </c>
      <c r="Y480" s="110"/>
      <c r="Z480" s="110"/>
      <c r="AA480" s="110"/>
      <c r="AB480" s="110"/>
      <c r="AC480" s="433">
        <v>3</v>
      </c>
      <c r="AD480" s="111">
        <v>1828</v>
      </c>
      <c r="AE480" s="110"/>
      <c r="AF480" s="110"/>
      <c r="AG480" s="110"/>
      <c r="AH480" s="1048"/>
    </row>
    <row r="481" spans="1:34" ht="45" x14ac:dyDescent="0.25">
      <c r="A481" s="1047"/>
      <c r="B481" s="110" t="s">
        <v>3874</v>
      </c>
      <c r="C481" s="110"/>
      <c r="D481" s="433">
        <v>6</v>
      </c>
      <c r="E481" s="207" t="s">
        <v>1767</v>
      </c>
      <c r="F481" s="1178" t="s">
        <v>4353</v>
      </c>
      <c r="G481" s="1056" t="s">
        <v>4306</v>
      </c>
      <c r="H481" s="433" t="s">
        <v>3478</v>
      </c>
      <c r="I481" s="111">
        <v>27</v>
      </c>
      <c r="J481" s="111">
        <v>162</v>
      </c>
      <c r="K481" s="110"/>
      <c r="L481" s="110"/>
      <c r="M481" s="110"/>
      <c r="N481" s="110"/>
      <c r="O481" s="110"/>
      <c r="P481" s="110"/>
      <c r="Q481" s="433">
        <v>2</v>
      </c>
      <c r="R481" s="111">
        <v>54</v>
      </c>
      <c r="S481" s="110"/>
      <c r="T481" s="110"/>
      <c r="U481" s="110"/>
      <c r="V481" s="110"/>
      <c r="W481" s="433">
        <v>2</v>
      </c>
      <c r="X481" s="111">
        <v>54</v>
      </c>
      <c r="Y481" s="110"/>
      <c r="Z481" s="110"/>
      <c r="AA481" s="110"/>
      <c r="AB481" s="110"/>
      <c r="AC481" s="433">
        <v>2</v>
      </c>
      <c r="AD481" s="111">
        <v>54</v>
      </c>
      <c r="AE481" s="110"/>
      <c r="AF481" s="110"/>
      <c r="AG481" s="110"/>
      <c r="AH481" s="1048"/>
    </row>
    <row r="482" spans="1:34" ht="45" x14ac:dyDescent="0.25">
      <c r="A482" s="1047"/>
      <c r="B482" s="110" t="s">
        <v>3875</v>
      </c>
      <c r="C482" s="110"/>
      <c r="D482" s="433">
        <v>12</v>
      </c>
      <c r="E482" s="207" t="s">
        <v>1767</v>
      </c>
      <c r="F482" s="1178" t="s">
        <v>4353</v>
      </c>
      <c r="G482" s="1056" t="s">
        <v>4306</v>
      </c>
      <c r="H482" s="433" t="s">
        <v>3478</v>
      </c>
      <c r="I482" s="111">
        <v>38</v>
      </c>
      <c r="J482" s="111">
        <v>456</v>
      </c>
      <c r="K482" s="110"/>
      <c r="L482" s="110"/>
      <c r="M482" s="110"/>
      <c r="N482" s="110"/>
      <c r="O482" s="110"/>
      <c r="P482" s="110"/>
      <c r="Q482" s="433">
        <v>6</v>
      </c>
      <c r="R482" s="111">
        <v>152</v>
      </c>
      <c r="S482" s="110"/>
      <c r="T482" s="110"/>
      <c r="U482" s="110"/>
      <c r="V482" s="110"/>
      <c r="W482" s="433">
        <v>3</v>
      </c>
      <c r="X482" s="111">
        <v>152</v>
      </c>
      <c r="Y482" s="110"/>
      <c r="Z482" s="110"/>
      <c r="AA482" s="110"/>
      <c r="AB482" s="110"/>
      <c r="AC482" s="433">
        <v>3</v>
      </c>
      <c r="AD482" s="111">
        <v>152</v>
      </c>
      <c r="AE482" s="110"/>
      <c r="AF482" s="110"/>
      <c r="AG482" s="110"/>
      <c r="AH482" s="1048"/>
    </row>
    <row r="483" spans="1:34" ht="45" x14ac:dyDescent="0.25">
      <c r="A483" s="1047"/>
      <c r="B483" s="110" t="s">
        <v>3876</v>
      </c>
      <c r="C483" s="110"/>
      <c r="D483" s="433">
        <v>12</v>
      </c>
      <c r="E483" s="207" t="s">
        <v>1767</v>
      </c>
      <c r="F483" s="1178" t="s">
        <v>4353</v>
      </c>
      <c r="G483" s="1056" t="s">
        <v>4306</v>
      </c>
      <c r="H483" s="433" t="s">
        <v>3478</v>
      </c>
      <c r="I483" s="111">
        <v>38</v>
      </c>
      <c r="J483" s="111">
        <v>456</v>
      </c>
      <c r="K483" s="110"/>
      <c r="L483" s="110"/>
      <c r="M483" s="110"/>
      <c r="N483" s="110"/>
      <c r="O483" s="110"/>
      <c r="P483" s="110"/>
      <c r="Q483" s="433">
        <v>6</v>
      </c>
      <c r="R483" s="111">
        <v>152</v>
      </c>
      <c r="S483" s="110"/>
      <c r="T483" s="110"/>
      <c r="U483" s="110"/>
      <c r="V483" s="110"/>
      <c r="W483" s="433">
        <v>3</v>
      </c>
      <c r="X483" s="111">
        <v>152</v>
      </c>
      <c r="Y483" s="110"/>
      <c r="Z483" s="110"/>
      <c r="AA483" s="110"/>
      <c r="AB483" s="110"/>
      <c r="AC483" s="433">
        <v>3</v>
      </c>
      <c r="AD483" s="111">
        <v>152</v>
      </c>
      <c r="AE483" s="110"/>
      <c r="AF483" s="110"/>
      <c r="AG483" s="110"/>
      <c r="AH483" s="1048"/>
    </row>
    <row r="484" spans="1:34" ht="45" x14ac:dyDescent="0.25">
      <c r="A484" s="1047"/>
      <c r="B484" s="110" t="s">
        <v>3877</v>
      </c>
      <c r="C484" s="110"/>
      <c r="D484" s="433">
        <v>12</v>
      </c>
      <c r="E484" s="207" t="s">
        <v>1767</v>
      </c>
      <c r="F484" s="1178" t="s">
        <v>4353</v>
      </c>
      <c r="G484" s="1056" t="s">
        <v>4306</v>
      </c>
      <c r="H484" s="433" t="s">
        <v>3478</v>
      </c>
      <c r="I484" s="111">
        <v>37</v>
      </c>
      <c r="J484" s="111">
        <v>444</v>
      </c>
      <c r="K484" s="110"/>
      <c r="L484" s="110"/>
      <c r="M484" s="110"/>
      <c r="N484" s="110"/>
      <c r="O484" s="110"/>
      <c r="P484" s="110"/>
      <c r="Q484" s="433">
        <v>6</v>
      </c>
      <c r="R484" s="111">
        <v>148</v>
      </c>
      <c r="S484" s="110"/>
      <c r="T484" s="110"/>
      <c r="U484" s="110"/>
      <c r="V484" s="110"/>
      <c r="W484" s="433">
        <v>3</v>
      </c>
      <c r="X484" s="111">
        <v>148</v>
      </c>
      <c r="Y484" s="110"/>
      <c r="Z484" s="110"/>
      <c r="AA484" s="110"/>
      <c r="AB484" s="110"/>
      <c r="AC484" s="433">
        <v>3</v>
      </c>
      <c r="AD484" s="111">
        <v>148</v>
      </c>
      <c r="AE484" s="110"/>
      <c r="AF484" s="110"/>
      <c r="AG484" s="110"/>
      <c r="AH484" s="1048"/>
    </row>
    <row r="485" spans="1:34" ht="45" x14ac:dyDescent="0.25">
      <c r="A485" s="1047"/>
      <c r="B485" s="110" t="s">
        <v>3878</v>
      </c>
      <c r="C485" s="110"/>
      <c r="D485" s="433">
        <v>6</v>
      </c>
      <c r="E485" s="207" t="s">
        <v>1767</v>
      </c>
      <c r="F485" s="1178" t="s">
        <v>4353</v>
      </c>
      <c r="G485" s="1056" t="s">
        <v>4306</v>
      </c>
      <c r="H485" s="433" t="s">
        <v>3478</v>
      </c>
      <c r="I485" s="111">
        <v>79</v>
      </c>
      <c r="J485" s="111">
        <v>474</v>
      </c>
      <c r="K485" s="110"/>
      <c r="L485" s="110"/>
      <c r="M485" s="110"/>
      <c r="N485" s="110"/>
      <c r="O485" s="110"/>
      <c r="P485" s="110"/>
      <c r="Q485" s="433">
        <v>2</v>
      </c>
      <c r="R485" s="111">
        <v>158</v>
      </c>
      <c r="S485" s="110"/>
      <c r="T485" s="110"/>
      <c r="U485" s="110"/>
      <c r="V485" s="110"/>
      <c r="W485" s="433">
        <v>2</v>
      </c>
      <c r="X485" s="111">
        <v>158</v>
      </c>
      <c r="Y485" s="110"/>
      <c r="Z485" s="110"/>
      <c r="AA485" s="110"/>
      <c r="AB485" s="110"/>
      <c r="AC485" s="433">
        <v>2</v>
      </c>
      <c r="AD485" s="111">
        <v>158</v>
      </c>
      <c r="AE485" s="110"/>
      <c r="AF485" s="110"/>
      <c r="AG485" s="110"/>
      <c r="AH485" s="1048"/>
    </row>
    <row r="486" spans="1:34" ht="45" x14ac:dyDescent="0.25">
      <c r="A486" s="1047"/>
      <c r="B486" s="110" t="s">
        <v>3879</v>
      </c>
      <c r="C486" s="110"/>
      <c r="D486" s="433">
        <v>6</v>
      </c>
      <c r="E486" s="207" t="s">
        <v>1767</v>
      </c>
      <c r="F486" s="1178" t="s">
        <v>4353</v>
      </c>
      <c r="G486" s="1056" t="s">
        <v>4306</v>
      </c>
      <c r="H486" s="433" t="s">
        <v>3478</v>
      </c>
      <c r="I486" s="111">
        <v>79</v>
      </c>
      <c r="J486" s="111">
        <v>474</v>
      </c>
      <c r="K486" s="110"/>
      <c r="L486" s="110"/>
      <c r="M486" s="110"/>
      <c r="N486" s="110"/>
      <c r="O486" s="110"/>
      <c r="P486" s="110"/>
      <c r="Q486" s="433">
        <v>2</v>
      </c>
      <c r="R486" s="111">
        <v>158</v>
      </c>
      <c r="S486" s="110"/>
      <c r="T486" s="110"/>
      <c r="U486" s="110"/>
      <c r="V486" s="110"/>
      <c r="W486" s="433">
        <v>2</v>
      </c>
      <c r="X486" s="111">
        <v>158</v>
      </c>
      <c r="Y486" s="110"/>
      <c r="Z486" s="110"/>
      <c r="AA486" s="110"/>
      <c r="AB486" s="110"/>
      <c r="AC486" s="433">
        <v>2</v>
      </c>
      <c r="AD486" s="111">
        <v>158</v>
      </c>
      <c r="AE486" s="110"/>
      <c r="AF486" s="110"/>
      <c r="AG486" s="110"/>
      <c r="AH486" s="1048"/>
    </row>
    <row r="487" spans="1:34" ht="45" x14ac:dyDescent="0.25">
      <c r="A487" s="1047"/>
      <c r="B487" s="110" t="s">
        <v>3880</v>
      </c>
      <c r="C487" s="110"/>
      <c r="D487" s="433">
        <v>6</v>
      </c>
      <c r="E487" s="207" t="s">
        <v>1767</v>
      </c>
      <c r="F487" s="1178" t="s">
        <v>4353</v>
      </c>
      <c r="G487" s="1056" t="s">
        <v>4306</v>
      </c>
      <c r="H487" s="433" t="s">
        <v>3478</v>
      </c>
      <c r="I487" s="111">
        <v>79</v>
      </c>
      <c r="J487" s="111">
        <v>474</v>
      </c>
      <c r="K487" s="110"/>
      <c r="L487" s="110"/>
      <c r="M487" s="110"/>
      <c r="N487" s="110"/>
      <c r="O487" s="110"/>
      <c r="P487" s="110"/>
      <c r="Q487" s="433">
        <v>2</v>
      </c>
      <c r="R487" s="111">
        <v>158</v>
      </c>
      <c r="S487" s="110"/>
      <c r="T487" s="110"/>
      <c r="U487" s="110"/>
      <c r="V487" s="110"/>
      <c r="W487" s="433">
        <v>2</v>
      </c>
      <c r="X487" s="111">
        <v>158</v>
      </c>
      <c r="Y487" s="110"/>
      <c r="Z487" s="110"/>
      <c r="AA487" s="110"/>
      <c r="AB487" s="110"/>
      <c r="AC487" s="433">
        <v>2</v>
      </c>
      <c r="AD487" s="111">
        <v>158</v>
      </c>
      <c r="AE487" s="110"/>
      <c r="AF487" s="110"/>
      <c r="AG487" s="110"/>
      <c r="AH487" s="1048"/>
    </row>
    <row r="488" spans="1:34" ht="45" x14ac:dyDescent="0.25">
      <c r="A488" s="1047"/>
      <c r="B488" s="110" t="s">
        <v>3881</v>
      </c>
      <c r="C488" s="110"/>
      <c r="D488" s="433">
        <v>6</v>
      </c>
      <c r="E488" s="207" t="s">
        <v>1767</v>
      </c>
      <c r="F488" s="1178" t="s">
        <v>4353</v>
      </c>
      <c r="G488" s="1056" t="s">
        <v>4306</v>
      </c>
      <c r="H488" s="433" t="s">
        <v>3478</v>
      </c>
      <c r="I488" s="111">
        <v>79</v>
      </c>
      <c r="J488" s="111">
        <v>474</v>
      </c>
      <c r="K488" s="110"/>
      <c r="L488" s="110"/>
      <c r="M488" s="110"/>
      <c r="N488" s="110"/>
      <c r="O488" s="110"/>
      <c r="P488" s="110"/>
      <c r="Q488" s="433">
        <v>2</v>
      </c>
      <c r="R488" s="111">
        <v>158</v>
      </c>
      <c r="S488" s="110"/>
      <c r="T488" s="110"/>
      <c r="U488" s="110"/>
      <c r="V488" s="110"/>
      <c r="W488" s="433">
        <v>2</v>
      </c>
      <c r="X488" s="111">
        <v>158</v>
      </c>
      <c r="Y488" s="110"/>
      <c r="Z488" s="110"/>
      <c r="AA488" s="110"/>
      <c r="AB488" s="110"/>
      <c r="AC488" s="433">
        <v>2</v>
      </c>
      <c r="AD488" s="111">
        <v>158</v>
      </c>
      <c r="AE488" s="110"/>
      <c r="AF488" s="110"/>
      <c r="AG488" s="110"/>
      <c r="AH488" s="1048"/>
    </row>
    <row r="489" spans="1:34" ht="45" x14ac:dyDescent="0.25">
      <c r="A489" s="1047"/>
      <c r="B489" s="110" t="s">
        <v>3882</v>
      </c>
      <c r="C489" s="110"/>
      <c r="D489" s="433">
        <v>6</v>
      </c>
      <c r="E489" s="207" t="s">
        <v>1767</v>
      </c>
      <c r="F489" s="1178" t="s">
        <v>4353</v>
      </c>
      <c r="G489" s="1056" t="s">
        <v>4306</v>
      </c>
      <c r="H489" s="433" t="s">
        <v>3478</v>
      </c>
      <c r="I489" s="111">
        <v>79</v>
      </c>
      <c r="J489" s="111">
        <v>474</v>
      </c>
      <c r="K489" s="110"/>
      <c r="L489" s="110"/>
      <c r="M489" s="110"/>
      <c r="N489" s="110"/>
      <c r="O489" s="110"/>
      <c r="P489" s="110"/>
      <c r="Q489" s="433">
        <v>2</v>
      </c>
      <c r="R489" s="111">
        <v>158</v>
      </c>
      <c r="S489" s="110"/>
      <c r="T489" s="110"/>
      <c r="U489" s="110"/>
      <c r="V489" s="110"/>
      <c r="W489" s="433">
        <v>2</v>
      </c>
      <c r="X489" s="111">
        <v>158</v>
      </c>
      <c r="Y489" s="110"/>
      <c r="Z489" s="110"/>
      <c r="AA489" s="110"/>
      <c r="AB489" s="110"/>
      <c r="AC489" s="433">
        <v>2</v>
      </c>
      <c r="AD489" s="111">
        <v>158</v>
      </c>
      <c r="AE489" s="110"/>
      <c r="AF489" s="110"/>
      <c r="AG489" s="110"/>
      <c r="AH489" s="1048"/>
    </row>
    <row r="490" spans="1:34" ht="45" x14ac:dyDescent="0.25">
      <c r="A490" s="1047"/>
      <c r="B490" s="110" t="s">
        <v>3883</v>
      </c>
      <c r="C490" s="110"/>
      <c r="D490" s="433">
        <v>6</v>
      </c>
      <c r="E490" s="207" t="s">
        <v>1767</v>
      </c>
      <c r="F490" s="1178" t="s">
        <v>4353</v>
      </c>
      <c r="G490" s="1056" t="s">
        <v>4306</v>
      </c>
      <c r="H490" s="433" t="s">
        <v>3478</v>
      </c>
      <c r="I490" s="111">
        <v>79</v>
      </c>
      <c r="J490" s="111">
        <v>474</v>
      </c>
      <c r="K490" s="110"/>
      <c r="L490" s="110"/>
      <c r="M490" s="110"/>
      <c r="N490" s="110"/>
      <c r="O490" s="110"/>
      <c r="P490" s="110"/>
      <c r="Q490" s="433">
        <v>2</v>
      </c>
      <c r="R490" s="111">
        <v>158</v>
      </c>
      <c r="S490" s="110"/>
      <c r="T490" s="110"/>
      <c r="U490" s="110"/>
      <c r="V490" s="110"/>
      <c r="W490" s="433">
        <v>2</v>
      </c>
      <c r="X490" s="111">
        <v>158</v>
      </c>
      <c r="Y490" s="110"/>
      <c r="Z490" s="110"/>
      <c r="AA490" s="110"/>
      <c r="AB490" s="110"/>
      <c r="AC490" s="433">
        <v>2</v>
      </c>
      <c r="AD490" s="111">
        <v>158</v>
      </c>
      <c r="AE490" s="110"/>
      <c r="AF490" s="110"/>
      <c r="AG490" s="110"/>
      <c r="AH490" s="1048"/>
    </row>
    <row r="491" spans="1:34" ht="45" x14ac:dyDescent="0.25">
      <c r="A491" s="1047"/>
      <c r="B491" s="110" t="s">
        <v>3884</v>
      </c>
      <c r="C491" s="110"/>
      <c r="D491" s="433">
        <v>12</v>
      </c>
      <c r="E491" s="207" t="s">
        <v>1767</v>
      </c>
      <c r="F491" s="1178" t="s">
        <v>4353</v>
      </c>
      <c r="G491" s="1056" t="s">
        <v>4306</v>
      </c>
      <c r="H491" s="433" t="s">
        <v>3478</v>
      </c>
      <c r="I491" s="111">
        <v>82.5</v>
      </c>
      <c r="J491" s="111">
        <v>990</v>
      </c>
      <c r="K491" s="110"/>
      <c r="L491" s="110"/>
      <c r="M491" s="110"/>
      <c r="N491" s="110"/>
      <c r="O491" s="110"/>
      <c r="P491" s="110"/>
      <c r="Q491" s="433">
        <v>6</v>
      </c>
      <c r="R491" s="111">
        <v>330</v>
      </c>
      <c r="S491" s="110"/>
      <c r="T491" s="110"/>
      <c r="U491" s="110"/>
      <c r="V491" s="110"/>
      <c r="W491" s="433">
        <v>3</v>
      </c>
      <c r="X491" s="111">
        <v>330</v>
      </c>
      <c r="Y491" s="110"/>
      <c r="Z491" s="110"/>
      <c r="AA491" s="110"/>
      <c r="AB491" s="110"/>
      <c r="AC491" s="433">
        <v>3</v>
      </c>
      <c r="AD491" s="111">
        <v>330</v>
      </c>
      <c r="AE491" s="110"/>
      <c r="AF491" s="110"/>
      <c r="AG491" s="110"/>
      <c r="AH491" s="1048"/>
    </row>
    <row r="492" spans="1:34" ht="45" x14ac:dyDescent="0.25">
      <c r="A492" s="1047"/>
      <c r="B492" s="110" t="s">
        <v>3885</v>
      </c>
      <c r="C492" s="110"/>
      <c r="D492" s="433">
        <v>12</v>
      </c>
      <c r="E492" s="207" t="s">
        <v>1767</v>
      </c>
      <c r="F492" s="1178" t="s">
        <v>4353</v>
      </c>
      <c r="G492" s="1056" t="s">
        <v>4306</v>
      </c>
      <c r="H492" s="433" t="s">
        <v>3478</v>
      </c>
      <c r="I492" s="111">
        <v>82.5</v>
      </c>
      <c r="J492" s="111">
        <v>990</v>
      </c>
      <c r="K492" s="110"/>
      <c r="L492" s="110"/>
      <c r="M492" s="110"/>
      <c r="N492" s="110"/>
      <c r="O492" s="110"/>
      <c r="P492" s="110"/>
      <c r="Q492" s="433">
        <v>6</v>
      </c>
      <c r="R492" s="111">
        <v>330</v>
      </c>
      <c r="S492" s="110"/>
      <c r="T492" s="110"/>
      <c r="U492" s="110"/>
      <c r="V492" s="110"/>
      <c r="W492" s="433">
        <v>3</v>
      </c>
      <c r="X492" s="111">
        <v>330</v>
      </c>
      <c r="Y492" s="110"/>
      <c r="Z492" s="110"/>
      <c r="AA492" s="110"/>
      <c r="AB492" s="110"/>
      <c r="AC492" s="433">
        <v>3</v>
      </c>
      <c r="AD492" s="111">
        <v>330</v>
      </c>
      <c r="AE492" s="110"/>
      <c r="AF492" s="110"/>
      <c r="AG492" s="110"/>
      <c r="AH492" s="1048"/>
    </row>
    <row r="493" spans="1:34" ht="45" x14ac:dyDescent="0.25">
      <c r="A493" s="1047"/>
      <c r="B493" s="110" t="s">
        <v>3886</v>
      </c>
      <c r="C493" s="110"/>
      <c r="D493" s="433">
        <v>12</v>
      </c>
      <c r="E493" s="207" t="s">
        <v>1767</v>
      </c>
      <c r="F493" s="1178" t="s">
        <v>4353</v>
      </c>
      <c r="G493" s="1056" t="s">
        <v>4306</v>
      </c>
      <c r="H493" s="433" t="s">
        <v>3478</v>
      </c>
      <c r="I493" s="111">
        <v>82.5</v>
      </c>
      <c r="J493" s="111">
        <v>990</v>
      </c>
      <c r="K493" s="110"/>
      <c r="L493" s="110"/>
      <c r="M493" s="110"/>
      <c r="N493" s="110"/>
      <c r="O493" s="110"/>
      <c r="P493" s="110"/>
      <c r="Q493" s="433">
        <v>6</v>
      </c>
      <c r="R493" s="111">
        <v>330</v>
      </c>
      <c r="S493" s="110"/>
      <c r="T493" s="110"/>
      <c r="U493" s="110"/>
      <c r="V493" s="110"/>
      <c r="W493" s="433">
        <v>3</v>
      </c>
      <c r="X493" s="111">
        <v>330</v>
      </c>
      <c r="Y493" s="110"/>
      <c r="Z493" s="110"/>
      <c r="AA493" s="110"/>
      <c r="AB493" s="110"/>
      <c r="AC493" s="433">
        <v>3</v>
      </c>
      <c r="AD493" s="111">
        <v>330</v>
      </c>
      <c r="AE493" s="110"/>
      <c r="AF493" s="110"/>
      <c r="AG493" s="110"/>
      <c r="AH493" s="1048"/>
    </row>
    <row r="494" spans="1:34" ht="45" x14ac:dyDescent="0.25">
      <c r="A494" s="1047"/>
      <c r="B494" s="110" t="s">
        <v>3887</v>
      </c>
      <c r="C494" s="110"/>
      <c r="D494" s="433">
        <v>12</v>
      </c>
      <c r="E494" s="207" t="s">
        <v>1767</v>
      </c>
      <c r="F494" s="1178" t="s">
        <v>4353</v>
      </c>
      <c r="G494" s="1056" t="s">
        <v>4306</v>
      </c>
      <c r="H494" s="433" t="s">
        <v>3478</v>
      </c>
      <c r="I494" s="111">
        <v>82.5</v>
      </c>
      <c r="J494" s="111">
        <v>990</v>
      </c>
      <c r="K494" s="110"/>
      <c r="L494" s="110"/>
      <c r="M494" s="110"/>
      <c r="N494" s="110"/>
      <c r="O494" s="110"/>
      <c r="P494" s="110"/>
      <c r="Q494" s="433">
        <v>6</v>
      </c>
      <c r="R494" s="111">
        <v>330</v>
      </c>
      <c r="S494" s="110"/>
      <c r="T494" s="110"/>
      <c r="U494" s="110"/>
      <c r="V494" s="110"/>
      <c r="W494" s="433">
        <v>3</v>
      </c>
      <c r="X494" s="111">
        <v>330</v>
      </c>
      <c r="Y494" s="110"/>
      <c r="Z494" s="110"/>
      <c r="AA494" s="110"/>
      <c r="AB494" s="110"/>
      <c r="AC494" s="433">
        <v>3</v>
      </c>
      <c r="AD494" s="111">
        <v>330</v>
      </c>
      <c r="AE494" s="110"/>
      <c r="AF494" s="110"/>
      <c r="AG494" s="110"/>
      <c r="AH494" s="1048"/>
    </row>
    <row r="495" spans="1:34" ht="45" x14ac:dyDescent="0.25">
      <c r="A495" s="1047"/>
      <c r="B495" s="110" t="s">
        <v>3888</v>
      </c>
      <c r="C495" s="110"/>
      <c r="D495" s="433">
        <v>12</v>
      </c>
      <c r="E495" s="207" t="s">
        <v>1767</v>
      </c>
      <c r="F495" s="1178" t="s">
        <v>4353</v>
      </c>
      <c r="G495" s="1056" t="s">
        <v>4306</v>
      </c>
      <c r="H495" s="433" t="s">
        <v>3478</v>
      </c>
      <c r="I495" s="111">
        <v>82.5</v>
      </c>
      <c r="J495" s="111">
        <v>990</v>
      </c>
      <c r="K495" s="110"/>
      <c r="L495" s="110"/>
      <c r="M495" s="110"/>
      <c r="N495" s="110"/>
      <c r="O495" s="110"/>
      <c r="P495" s="110"/>
      <c r="Q495" s="433">
        <v>6</v>
      </c>
      <c r="R495" s="111">
        <v>330</v>
      </c>
      <c r="S495" s="110"/>
      <c r="T495" s="110"/>
      <c r="U495" s="110"/>
      <c r="V495" s="110"/>
      <c r="W495" s="433">
        <v>3</v>
      </c>
      <c r="X495" s="111">
        <v>330</v>
      </c>
      <c r="Y495" s="110"/>
      <c r="Z495" s="110"/>
      <c r="AA495" s="110"/>
      <c r="AB495" s="110"/>
      <c r="AC495" s="433">
        <v>3</v>
      </c>
      <c r="AD495" s="111">
        <v>330</v>
      </c>
      <c r="AE495" s="110"/>
      <c r="AF495" s="110"/>
      <c r="AG495" s="110"/>
      <c r="AH495" s="1048"/>
    </row>
    <row r="496" spans="1:34" ht="45" x14ac:dyDescent="0.25">
      <c r="A496" s="1047"/>
      <c r="B496" s="110" t="s">
        <v>3889</v>
      </c>
      <c r="C496" s="110"/>
      <c r="D496" s="433">
        <v>12</v>
      </c>
      <c r="E496" s="207" t="s">
        <v>1767</v>
      </c>
      <c r="F496" s="1178" t="s">
        <v>4353</v>
      </c>
      <c r="G496" s="1056" t="s">
        <v>4306</v>
      </c>
      <c r="H496" s="433" t="s">
        <v>3478</v>
      </c>
      <c r="I496" s="111">
        <v>12</v>
      </c>
      <c r="J496" s="111">
        <v>144</v>
      </c>
      <c r="K496" s="110"/>
      <c r="L496" s="110"/>
      <c r="M496" s="110"/>
      <c r="N496" s="110"/>
      <c r="O496" s="110"/>
      <c r="P496" s="110"/>
      <c r="Q496" s="433">
        <v>6</v>
      </c>
      <c r="R496" s="111">
        <v>48</v>
      </c>
      <c r="S496" s="110"/>
      <c r="T496" s="110"/>
      <c r="U496" s="110"/>
      <c r="V496" s="110"/>
      <c r="W496" s="433">
        <v>3</v>
      </c>
      <c r="X496" s="111">
        <v>48</v>
      </c>
      <c r="Y496" s="110"/>
      <c r="Z496" s="110"/>
      <c r="AA496" s="110"/>
      <c r="AB496" s="110"/>
      <c r="AC496" s="433">
        <v>3</v>
      </c>
      <c r="AD496" s="111">
        <v>48</v>
      </c>
      <c r="AE496" s="110"/>
      <c r="AF496" s="110"/>
      <c r="AG496" s="110"/>
      <c r="AH496" s="1048"/>
    </row>
    <row r="497" spans="1:34" ht="45" x14ac:dyDescent="0.25">
      <c r="A497" s="1047"/>
      <c r="B497" s="110" t="s">
        <v>3890</v>
      </c>
      <c r="C497" s="110"/>
      <c r="D497" s="433">
        <v>2</v>
      </c>
      <c r="E497" s="207" t="s">
        <v>1767</v>
      </c>
      <c r="F497" s="1178" t="s">
        <v>4353</v>
      </c>
      <c r="G497" s="1056" t="s">
        <v>4306</v>
      </c>
      <c r="H497" s="433" t="s">
        <v>3478</v>
      </c>
      <c r="I497" s="111">
        <v>219.23999999999998</v>
      </c>
      <c r="J497" s="111">
        <v>438.47999999999996</v>
      </c>
      <c r="K497" s="110"/>
      <c r="L497" s="110"/>
      <c r="M497" s="110"/>
      <c r="N497" s="110"/>
      <c r="O497" s="110"/>
      <c r="P497" s="110"/>
      <c r="Q497" s="433">
        <v>1</v>
      </c>
      <c r="R497" s="111">
        <v>146.16</v>
      </c>
      <c r="S497" s="110"/>
      <c r="T497" s="110"/>
      <c r="U497" s="110"/>
      <c r="V497" s="110"/>
      <c r="W497" s="433">
        <v>1</v>
      </c>
      <c r="X497" s="111">
        <v>146.16</v>
      </c>
      <c r="Y497" s="110"/>
      <c r="Z497" s="110"/>
      <c r="AA497" s="110"/>
      <c r="AB497" s="110"/>
      <c r="AC497" s="433">
        <v>0</v>
      </c>
      <c r="AD497" s="111">
        <v>146.16</v>
      </c>
      <c r="AE497" s="110"/>
      <c r="AF497" s="110"/>
      <c r="AG497" s="110"/>
      <c r="AH497" s="1048"/>
    </row>
    <row r="498" spans="1:34" ht="45" x14ac:dyDescent="0.25">
      <c r="A498" s="1047"/>
      <c r="B498" s="110" t="s">
        <v>3891</v>
      </c>
      <c r="C498" s="110"/>
      <c r="D498" s="433">
        <v>2</v>
      </c>
      <c r="E498" s="207" t="s">
        <v>1767</v>
      </c>
      <c r="F498" s="1178" t="s">
        <v>4353</v>
      </c>
      <c r="G498" s="1056" t="s">
        <v>4306</v>
      </c>
      <c r="H498" s="433" t="s">
        <v>3478</v>
      </c>
      <c r="I498" s="111">
        <v>881.59999999999991</v>
      </c>
      <c r="J498" s="111">
        <v>1763.1999999999998</v>
      </c>
      <c r="K498" s="110"/>
      <c r="L498" s="110"/>
      <c r="M498" s="110"/>
      <c r="N498" s="110"/>
      <c r="O498" s="110"/>
      <c r="P498" s="110"/>
      <c r="Q498" s="433">
        <v>1</v>
      </c>
      <c r="R498" s="111">
        <v>587.73333333333323</v>
      </c>
      <c r="S498" s="110"/>
      <c r="T498" s="110"/>
      <c r="U498" s="110"/>
      <c r="V498" s="110"/>
      <c r="W498" s="433">
        <v>1</v>
      </c>
      <c r="X498" s="111">
        <v>587.73333333333323</v>
      </c>
      <c r="Y498" s="110"/>
      <c r="Z498" s="110"/>
      <c r="AA498" s="110"/>
      <c r="AB498" s="110"/>
      <c r="AC498" s="433">
        <v>0</v>
      </c>
      <c r="AD498" s="111">
        <v>587.73333333333323</v>
      </c>
      <c r="AE498" s="110"/>
      <c r="AF498" s="110"/>
      <c r="AG498" s="110"/>
      <c r="AH498" s="1048"/>
    </row>
    <row r="499" spans="1:34" ht="45" x14ac:dyDescent="0.25">
      <c r="A499" s="1047"/>
      <c r="B499" s="110" t="s">
        <v>3892</v>
      </c>
      <c r="C499" s="110"/>
      <c r="D499" s="433">
        <v>2</v>
      </c>
      <c r="E499" s="207" t="s">
        <v>1767</v>
      </c>
      <c r="F499" s="1178" t="s">
        <v>4353</v>
      </c>
      <c r="G499" s="1056" t="s">
        <v>4306</v>
      </c>
      <c r="H499" s="433" t="s">
        <v>3478</v>
      </c>
      <c r="I499" s="111">
        <v>104.39999999999999</v>
      </c>
      <c r="J499" s="111">
        <v>208.79999999999998</v>
      </c>
      <c r="K499" s="110"/>
      <c r="L499" s="110"/>
      <c r="M499" s="110"/>
      <c r="N499" s="110"/>
      <c r="O499" s="110"/>
      <c r="P499" s="110"/>
      <c r="Q499" s="433">
        <v>1</v>
      </c>
      <c r="R499" s="111">
        <v>69.599999999999994</v>
      </c>
      <c r="S499" s="110"/>
      <c r="T499" s="110"/>
      <c r="U499" s="110"/>
      <c r="V499" s="110"/>
      <c r="W499" s="433">
        <v>1</v>
      </c>
      <c r="X499" s="111">
        <v>69.599999999999994</v>
      </c>
      <c r="Y499" s="110"/>
      <c r="Z499" s="110"/>
      <c r="AA499" s="110"/>
      <c r="AB499" s="110"/>
      <c r="AC499" s="433">
        <v>0</v>
      </c>
      <c r="AD499" s="111">
        <v>69.599999999999994</v>
      </c>
      <c r="AE499" s="110"/>
      <c r="AF499" s="110"/>
      <c r="AG499" s="110"/>
      <c r="AH499" s="1048"/>
    </row>
    <row r="500" spans="1:34" ht="45" x14ac:dyDescent="0.25">
      <c r="A500" s="1047"/>
      <c r="B500" s="110" t="s">
        <v>3893</v>
      </c>
      <c r="C500" s="110"/>
      <c r="D500" s="433">
        <v>2</v>
      </c>
      <c r="E500" s="207" t="s">
        <v>1767</v>
      </c>
      <c r="F500" s="1178" t="s">
        <v>4353</v>
      </c>
      <c r="G500" s="1056" t="s">
        <v>4306</v>
      </c>
      <c r="H500" s="433" t="s">
        <v>3478</v>
      </c>
      <c r="I500" s="111">
        <v>197.2</v>
      </c>
      <c r="J500" s="111">
        <v>394.4</v>
      </c>
      <c r="K500" s="110"/>
      <c r="L500" s="110"/>
      <c r="M500" s="110"/>
      <c r="N500" s="110"/>
      <c r="O500" s="110"/>
      <c r="P500" s="110"/>
      <c r="Q500" s="433">
        <v>1</v>
      </c>
      <c r="R500" s="111">
        <v>131.46666666666667</v>
      </c>
      <c r="S500" s="110"/>
      <c r="T500" s="110"/>
      <c r="U500" s="110"/>
      <c r="V500" s="110"/>
      <c r="W500" s="433">
        <v>1</v>
      </c>
      <c r="X500" s="111">
        <v>131.46666666666667</v>
      </c>
      <c r="Y500" s="110"/>
      <c r="Z500" s="110"/>
      <c r="AA500" s="110"/>
      <c r="AB500" s="110"/>
      <c r="AC500" s="433">
        <v>0</v>
      </c>
      <c r="AD500" s="111">
        <v>131.46666666666667</v>
      </c>
      <c r="AE500" s="110"/>
      <c r="AF500" s="110"/>
      <c r="AG500" s="110"/>
      <c r="AH500" s="1048"/>
    </row>
    <row r="501" spans="1:34" ht="45" x14ac:dyDescent="0.25">
      <c r="A501" s="1047"/>
      <c r="B501" s="110" t="s">
        <v>3894</v>
      </c>
      <c r="C501" s="110"/>
      <c r="D501" s="433">
        <v>2</v>
      </c>
      <c r="E501" s="207" t="s">
        <v>1767</v>
      </c>
      <c r="F501" s="1178" t="s">
        <v>4353</v>
      </c>
      <c r="G501" s="1056" t="s">
        <v>4306</v>
      </c>
      <c r="H501" s="433" t="s">
        <v>3478</v>
      </c>
      <c r="I501" s="111">
        <v>266.79999999999995</v>
      </c>
      <c r="J501" s="111">
        <v>533.59999999999991</v>
      </c>
      <c r="K501" s="110"/>
      <c r="L501" s="110"/>
      <c r="M501" s="110"/>
      <c r="N501" s="110"/>
      <c r="O501" s="110"/>
      <c r="P501" s="110"/>
      <c r="Q501" s="433">
        <v>1</v>
      </c>
      <c r="R501" s="111">
        <v>177.86666666666665</v>
      </c>
      <c r="S501" s="110"/>
      <c r="T501" s="110"/>
      <c r="U501" s="110"/>
      <c r="V501" s="110"/>
      <c r="W501" s="433">
        <v>1</v>
      </c>
      <c r="X501" s="111">
        <v>177.86666666666665</v>
      </c>
      <c r="Y501" s="110"/>
      <c r="Z501" s="110"/>
      <c r="AA501" s="110"/>
      <c r="AB501" s="110"/>
      <c r="AC501" s="433">
        <v>0</v>
      </c>
      <c r="AD501" s="111">
        <v>177.86666666666665</v>
      </c>
      <c r="AE501" s="110"/>
      <c r="AF501" s="110"/>
      <c r="AG501" s="110"/>
      <c r="AH501" s="1048"/>
    </row>
    <row r="502" spans="1:34" ht="45" x14ac:dyDescent="0.25">
      <c r="A502" s="1047"/>
      <c r="B502" s="110" t="s">
        <v>3895</v>
      </c>
      <c r="C502" s="110"/>
      <c r="D502" s="433">
        <v>2</v>
      </c>
      <c r="E502" s="207" t="s">
        <v>1767</v>
      </c>
      <c r="F502" s="1178" t="s">
        <v>4353</v>
      </c>
      <c r="G502" s="1056" t="s">
        <v>4306</v>
      </c>
      <c r="H502" s="433" t="s">
        <v>3478</v>
      </c>
      <c r="I502" s="111">
        <v>185.6</v>
      </c>
      <c r="J502" s="111">
        <v>371.2</v>
      </c>
      <c r="K502" s="110"/>
      <c r="L502" s="110"/>
      <c r="M502" s="110"/>
      <c r="N502" s="110"/>
      <c r="O502" s="110"/>
      <c r="P502" s="110"/>
      <c r="Q502" s="433">
        <v>1</v>
      </c>
      <c r="R502" s="111">
        <v>123.73333333333333</v>
      </c>
      <c r="S502" s="110"/>
      <c r="T502" s="110"/>
      <c r="U502" s="110"/>
      <c r="V502" s="110"/>
      <c r="W502" s="433">
        <v>1</v>
      </c>
      <c r="X502" s="111">
        <v>123.73333333333333</v>
      </c>
      <c r="Y502" s="110"/>
      <c r="Z502" s="110"/>
      <c r="AA502" s="110"/>
      <c r="AB502" s="110"/>
      <c r="AC502" s="433">
        <v>0</v>
      </c>
      <c r="AD502" s="111">
        <v>123.73333333333333</v>
      </c>
      <c r="AE502" s="110"/>
      <c r="AF502" s="110"/>
      <c r="AG502" s="110"/>
      <c r="AH502" s="1048"/>
    </row>
    <row r="503" spans="1:34" ht="45" x14ac:dyDescent="0.25">
      <c r="A503" s="1047"/>
      <c r="B503" s="110" t="s">
        <v>3896</v>
      </c>
      <c r="C503" s="110"/>
      <c r="D503" s="433">
        <v>2</v>
      </c>
      <c r="E503" s="207" t="s">
        <v>1767</v>
      </c>
      <c r="F503" s="1178" t="s">
        <v>4353</v>
      </c>
      <c r="G503" s="1056" t="s">
        <v>4306</v>
      </c>
      <c r="H503" s="433" t="s">
        <v>3478</v>
      </c>
      <c r="I503" s="111">
        <v>25.52</v>
      </c>
      <c r="J503" s="111">
        <v>51.04</v>
      </c>
      <c r="K503" s="110"/>
      <c r="L503" s="110"/>
      <c r="M503" s="110"/>
      <c r="N503" s="110"/>
      <c r="O503" s="110"/>
      <c r="P503" s="110"/>
      <c r="Q503" s="433">
        <v>1</v>
      </c>
      <c r="R503" s="111">
        <v>17.013333333333332</v>
      </c>
      <c r="S503" s="110"/>
      <c r="T503" s="110"/>
      <c r="U503" s="110"/>
      <c r="V503" s="110"/>
      <c r="W503" s="433">
        <v>1</v>
      </c>
      <c r="X503" s="111">
        <v>17.013333333333332</v>
      </c>
      <c r="Y503" s="110"/>
      <c r="Z503" s="110"/>
      <c r="AA503" s="110"/>
      <c r="AB503" s="110"/>
      <c r="AC503" s="433">
        <v>0</v>
      </c>
      <c r="AD503" s="111">
        <v>17.013333333333332</v>
      </c>
      <c r="AE503" s="110"/>
      <c r="AF503" s="110"/>
      <c r="AG503" s="110"/>
      <c r="AH503" s="1048"/>
    </row>
    <row r="504" spans="1:34" ht="45" x14ac:dyDescent="0.25">
      <c r="A504" s="1047"/>
      <c r="B504" s="110" t="s">
        <v>3897</v>
      </c>
      <c r="C504" s="110"/>
      <c r="D504" s="433">
        <v>2</v>
      </c>
      <c r="E504" s="207" t="s">
        <v>1767</v>
      </c>
      <c r="F504" s="1178" t="s">
        <v>4353</v>
      </c>
      <c r="G504" s="1056" t="s">
        <v>4306</v>
      </c>
      <c r="H504" s="433" t="s">
        <v>3478</v>
      </c>
      <c r="I504" s="111">
        <v>290</v>
      </c>
      <c r="J504" s="111">
        <v>580</v>
      </c>
      <c r="K504" s="110"/>
      <c r="L504" s="110"/>
      <c r="M504" s="110"/>
      <c r="N504" s="110"/>
      <c r="O504" s="110"/>
      <c r="P504" s="110"/>
      <c r="Q504" s="433">
        <v>1</v>
      </c>
      <c r="R504" s="111">
        <v>193.33333333333334</v>
      </c>
      <c r="S504" s="110"/>
      <c r="T504" s="110"/>
      <c r="U504" s="110"/>
      <c r="V504" s="110"/>
      <c r="W504" s="433">
        <v>1</v>
      </c>
      <c r="X504" s="111">
        <v>193.33333333333334</v>
      </c>
      <c r="Y504" s="110"/>
      <c r="Z504" s="110"/>
      <c r="AA504" s="110"/>
      <c r="AB504" s="110"/>
      <c r="AC504" s="433">
        <v>0</v>
      </c>
      <c r="AD504" s="111">
        <v>193.33333333333334</v>
      </c>
      <c r="AE504" s="110"/>
      <c r="AF504" s="110"/>
      <c r="AG504" s="110"/>
      <c r="AH504" s="1048"/>
    </row>
    <row r="505" spans="1:34" ht="45" x14ac:dyDescent="0.25">
      <c r="A505" s="1047"/>
      <c r="B505" s="110" t="s">
        <v>3898</v>
      </c>
      <c r="C505" s="110"/>
      <c r="D505" s="433">
        <v>2</v>
      </c>
      <c r="E505" s="207" t="s">
        <v>1767</v>
      </c>
      <c r="F505" s="1178" t="s">
        <v>4353</v>
      </c>
      <c r="G505" s="1056" t="s">
        <v>4306</v>
      </c>
      <c r="H505" s="433" t="s">
        <v>3478</v>
      </c>
      <c r="I505" s="111">
        <v>336.4</v>
      </c>
      <c r="J505" s="111">
        <v>672.8</v>
      </c>
      <c r="K505" s="110"/>
      <c r="L505" s="110"/>
      <c r="M505" s="110"/>
      <c r="N505" s="110"/>
      <c r="O505" s="110"/>
      <c r="P505" s="110"/>
      <c r="Q505" s="433">
        <v>1</v>
      </c>
      <c r="R505" s="111">
        <v>224.26666666666665</v>
      </c>
      <c r="S505" s="110"/>
      <c r="T505" s="110"/>
      <c r="U505" s="110"/>
      <c r="V505" s="110"/>
      <c r="W505" s="433">
        <v>1</v>
      </c>
      <c r="X505" s="111">
        <v>224.26666666666665</v>
      </c>
      <c r="Y505" s="110"/>
      <c r="Z505" s="110"/>
      <c r="AA505" s="110"/>
      <c r="AB505" s="110"/>
      <c r="AC505" s="433">
        <v>0</v>
      </c>
      <c r="AD505" s="111">
        <v>224.26666666666665</v>
      </c>
      <c r="AE505" s="110"/>
      <c r="AF505" s="110"/>
      <c r="AG505" s="110"/>
      <c r="AH505" s="1048"/>
    </row>
    <row r="506" spans="1:34" ht="45" x14ac:dyDescent="0.25">
      <c r="A506" s="1047"/>
      <c r="B506" s="110" t="s">
        <v>3899</v>
      </c>
      <c r="C506" s="110"/>
      <c r="D506" s="433">
        <v>2</v>
      </c>
      <c r="E506" s="207" t="s">
        <v>1767</v>
      </c>
      <c r="F506" s="1178" t="s">
        <v>4353</v>
      </c>
      <c r="G506" s="1056" t="s">
        <v>4306</v>
      </c>
      <c r="H506" s="433" t="s">
        <v>3478</v>
      </c>
      <c r="I506" s="111">
        <v>301.59999999999997</v>
      </c>
      <c r="J506" s="111">
        <v>603.19999999999993</v>
      </c>
      <c r="K506" s="110"/>
      <c r="L506" s="110"/>
      <c r="M506" s="110"/>
      <c r="N506" s="110"/>
      <c r="O506" s="110"/>
      <c r="P506" s="110"/>
      <c r="Q506" s="433">
        <v>1</v>
      </c>
      <c r="R506" s="111">
        <v>201.06666666666663</v>
      </c>
      <c r="S506" s="110"/>
      <c r="T506" s="110"/>
      <c r="U506" s="110"/>
      <c r="V506" s="110"/>
      <c r="W506" s="433">
        <v>1</v>
      </c>
      <c r="X506" s="111">
        <v>201.06666666666663</v>
      </c>
      <c r="Y506" s="110"/>
      <c r="Z506" s="110"/>
      <c r="AA506" s="110"/>
      <c r="AB506" s="110"/>
      <c r="AC506" s="433">
        <v>0</v>
      </c>
      <c r="AD506" s="111">
        <v>201.06666666666663</v>
      </c>
      <c r="AE506" s="110"/>
      <c r="AF506" s="110"/>
      <c r="AG506" s="110"/>
      <c r="AH506" s="1048"/>
    </row>
    <row r="507" spans="1:34" ht="45" x14ac:dyDescent="0.25">
      <c r="A507" s="1047"/>
      <c r="B507" s="110" t="s">
        <v>3900</v>
      </c>
      <c r="C507" s="110"/>
      <c r="D507" s="433">
        <v>2</v>
      </c>
      <c r="E507" s="207" t="s">
        <v>1767</v>
      </c>
      <c r="F507" s="1178" t="s">
        <v>4353</v>
      </c>
      <c r="G507" s="1056" t="s">
        <v>4306</v>
      </c>
      <c r="H507" s="433" t="s">
        <v>3478</v>
      </c>
      <c r="I507" s="111">
        <v>203</v>
      </c>
      <c r="J507" s="111">
        <v>406</v>
      </c>
      <c r="K507" s="110"/>
      <c r="L507" s="110"/>
      <c r="M507" s="110"/>
      <c r="N507" s="110"/>
      <c r="O507" s="110"/>
      <c r="P507" s="110"/>
      <c r="Q507" s="433">
        <v>1</v>
      </c>
      <c r="R507" s="111">
        <v>135.33333333333334</v>
      </c>
      <c r="S507" s="110"/>
      <c r="T507" s="110"/>
      <c r="U507" s="110"/>
      <c r="V507" s="110"/>
      <c r="W507" s="433">
        <v>1</v>
      </c>
      <c r="X507" s="111">
        <v>135.33333333333334</v>
      </c>
      <c r="Y507" s="110"/>
      <c r="Z507" s="110"/>
      <c r="AA507" s="110"/>
      <c r="AB507" s="110"/>
      <c r="AC507" s="433">
        <v>0</v>
      </c>
      <c r="AD507" s="111">
        <v>135.33333333333334</v>
      </c>
      <c r="AE507" s="110"/>
      <c r="AF507" s="110"/>
      <c r="AG507" s="110"/>
      <c r="AH507" s="1048"/>
    </row>
    <row r="508" spans="1:34" ht="45" x14ac:dyDescent="0.25">
      <c r="A508" s="1047"/>
      <c r="B508" s="110" t="s">
        <v>3901</v>
      </c>
      <c r="C508" s="110"/>
      <c r="D508" s="433">
        <v>2</v>
      </c>
      <c r="E508" s="207" t="s">
        <v>1767</v>
      </c>
      <c r="F508" s="1178" t="s">
        <v>4353</v>
      </c>
      <c r="G508" s="1056" t="s">
        <v>4306</v>
      </c>
      <c r="H508" s="433" t="s">
        <v>3478</v>
      </c>
      <c r="I508" s="111">
        <v>208.79999999999998</v>
      </c>
      <c r="J508" s="111">
        <v>417.59999999999997</v>
      </c>
      <c r="K508" s="110"/>
      <c r="L508" s="110"/>
      <c r="M508" s="110"/>
      <c r="N508" s="110"/>
      <c r="O508" s="110"/>
      <c r="P508" s="110"/>
      <c r="Q508" s="433">
        <v>1</v>
      </c>
      <c r="R508" s="111">
        <v>139.19999999999999</v>
      </c>
      <c r="S508" s="110"/>
      <c r="T508" s="110"/>
      <c r="U508" s="110"/>
      <c r="V508" s="110"/>
      <c r="W508" s="433">
        <v>1</v>
      </c>
      <c r="X508" s="111">
        <v>139.19999999999999</v>
      </c>
      <c r="Y508" s="110"/>
      <c r="Z508" s="110"/>
      <c r="AA508" s="110"/>
      <c r="AB508" s="110"/>
      <c r="AC508" s="433">
        <v>0</v>
      </c>
      <c r="AD508" s="111">
        <v>139.19999999999999</v>
      </c>
      <c r="AE508" s="110"/>
      <c r="AF508" s="110"/>
      <c r="AG508" s="110"/>
      <c r="AH508" s="1048"/>
    </row>
    <row r="509" spans="1:34" ht="45" x14ac:dyDescent="0.25">
      <c r="A509" s="1047"/>
      <c r="B509" s="110" t="s">
        <v>3902</v>
      </c>
      <c r="C509" s="110"/>
      <c r="D509" s="433">
        <v>2</v>
      </c>
      <c r="E509" s="207" t="s">
        <v>1767</v>
      </c>
      <c r="F509" s="1178" t="s">
        <v>4353</v>
      </c>
      <c r="G509" s="1056" t="s">
        <v>4306</v>
      </c>
      <c r="H509" s="433" t="s">
        <v>3478</v>
      </c>
      <c r="I509" s="111">
        <v>301.59999999999997</v>
      </c>
      <c r="J509" s="111">
        <v>603.19999999999993</v>
      </c>
      <c r="K509" s="110"/>
      <c r="L509" s="110"/>
      <c r="M509" s="110"/>
      <c r="N509" s="110"/>
      <c r="O509" s="110"/>
      <c r="P509" s="110"/>
      <c r="Q509" s="433">
        <v>1</v>
      </c>
      <c r="R509" s="111">
        <v>201.06666666666663</v>
      </c>
      <c r="S509" s="110"/>
      <c r="T509" s="110"/>
      <c r="U509" s="110"/>
      <c r="V509" s="110"/>
      <c r="W509" s="433">
        <v>1</v>
      </c>
      <c r="X509" s="111">
        <v>201.06666666666663</v>
      </c>
      <c r="Y509" s="110"/>
      <c r="Z509" s="110"/>
      <c r="AA509" s="110"/>
      <c r="AB509" s="110"/>
      <c r="AC509" s="433">
        <v>0</v>
      </c>
      <c r="AD509" s="111">
        <v>201.06666666666663</v>
      </c>
      <c r="AE509" s="110"/>
      <c r="AF509" s="110"/>
      <c r="AG509" s="110"/>
      <c r="AH509" s="1048"/>
    </row>
    <row r="510" spans="1:34" ht="45" x14ac:dyDescent="0.25">
      <c r="A510" s="1047"/>
      <c r="B510" s="110" t="s">
        <v>3903</v>
      </c>
      <c r="C510" s="110"/>
      <c r="D510" s="433">
        <v>2</v>
      </c>
      <c r="E510" s="207" t="s">
        <v>1767</v>
      </c>
      <c r="F510" s="1178" t="s">
        <v>4353</v>
      </c>
      <c r="G510" s="1056" t="s">
        <v>4306</v>
      </c>
      <c r="H510" s="433" t="s">
        <v>3478</v>
      </c>
      <c r="I510" s="111">
        <v>230.83999999999997</v>
      </c>
      <c r="J510" s="111">
        <v>461.67999999999995</v>
      </c>
      <c r="K510" s="110"/>
      <c r="L510" s="110"/>
      <c r="M510" s="110"/>
      <c r="N510" s="110"/>
      <c r="O510" s="110"/>
      <c r="P510" s="110"/>
      <c r="Q510" s="433">
        <v>1</v>
      </c>
      <c r="R510" s="111">
        <v>153.89333333333332</v>
      </c>
      <c r="S510" s="110"/>
      <c r="T510" s="110"/>
      <c r="U510" s="110"/>
      <c r="V510" s="110"/>
      <c r="W510" s="433">
        <v>1</v>
      </c>
      <c r="X510" s="111">
        <v>153.89333333333332</v>
      </c>
      <c r="Y510" s="110"/>
      <c r="Z510" s="110"/>
      <c r="AA510" s="110"/>
      <c r="AB510" s="110"/>
      <c r="AC510" s="433">
        <v>0</v>
      </c>
      <c r="AD510" s="111">
        <v>153.89333333333332</v>
      </c>
      <c r="AE510" s="110"/>
      <c r="AF510" s="110"/>
      <c r="AG510" s="110"/>
      <c r="AH510" s="1048"/>
    </row>
    <row r="511" spans="1:34" ht="45" x14ac:dyDescent="0.25">
      <c r="A511" s="1047"/>
      <c r="B511" s="110" t="s">
        <v>3904</v>
      </c>
      <c r="C511" s="110"/>
      <c r="D511" s="433">
        <v>2</v>
      </c>
      <c r="E511" s="207" t="s">
        <v>1767</v>
      </c>
      <c r="F511" s="1178" t="s">
        <v>4353</v>
      </c>
      <c r="G511" s="1056" t="s">
        <v>4306</v>
      </c>
      <c r="H511" s="433" t="s">
        <v>3478</v>
      </c>
      <c r="I511" s="111">
        <v>464.16239999999993</v>
      </c>
      <c r="J511" s="111">
        <v>928.32479999999987</v>
      </c>
      <c r="K511" s="110"/>
      <c r="L511" s="110"/>
      <c r="M511" s="110"/>
      <c r="N511" s="110"/>
      <c r="O511" s="110"/>
      <c r="P511" s="110"/>
      <c r="Q511" s="433">
        <v>1</v>
      </c>
      <c r="R511" s="111">
        <v>309.44159999999994</v>
      </c>
      <c r="S511" s="110"/>
      <c r="T511" s="110"/>
      <c r="U511" s="110"/>
      <c r="V511" s="110"/>
      <c r="W511" s="433">
        <v>1</v>
      </c>
      <c r="X511" s="111">
        <v>309.44159999999994</v>
      </c>
      <c r="Y511" s="110"/>
      <c r="Z511" s="110"/>
      <c r="AA511" s="110"/>
      <c r="AB511" s="110"/>
      <c r="AC511" s="433">
        <v>0</v>
      </c>
      <c r="AD511" s="111">
        <v>309.44159999999994</v>
      </c>
      <c r="AE511" s="110"/>
      <c r="AF511" s="110"/>
      <c r="AG511" s="110"/>
      <c r="AH511" s="1048"/>
    </row>
    <row r="512" spans="1:34" ht="45" x14ac:dyDescent="0.25">
      <c r="A512" s="1047"/>
      <c r="B512" s="110" t="s">
        <v>3905</v>
      </c>
      <c r="C512" s="110"/>
      <c r="D512" s="433">
        <v>2</v>
      </c>
      <c r="E512" s="207" t="s">
        <v>1767</v>
      </c>
      <c r="F512" s="1178" t="s">
        <v>4353</v>
      </c>
      <c r="G512" s="1056" t="s">
        <v>4306</v>
      </c>
      <c r="H512" s="433" t="s">
        <v>3478</v>
      </c>
      <c r="I512" s="111">
        <v>17.539199999999997</v>
      </c>
      <c r="J512" s="111">
        <v>35.078399999999995</v>
      </c>
      <c r="K512" s="110"/>
      <c r="L512" s="110"/>
      <c r="M512" s="110"/>
      <c r="N512" s="110"/>
      <c r="O512" s="110"/>
      <c r="P512" s="110"/>
      <c r="Q512" s="433">
        <v>1</v>
      </c>
      <c r="R512" s="111">
        <v>11.692799999999998</v>
      </c>
      <c r="S512" s="110"/>
      <c r="T512" s="110"/>
      <c r="U512" s="110"/>
      <c r="V512" s="110"/>
      <c r="W512" s="433">
        <v>1</v>
      </c>
      <c r="X512" s="111">
        <v>11.692799999999998</v>
      </c>
      <c r="Y512" s="110"/>
      <c r="Z512" s="110"/>
      <c r="AA512" s="110"/>
      <c r="AB512" s="110"/>
      <c r="AC512" s="433">
        <v>0</v>
      </c>
      <c r="AD512" s="111">
        <v>11.692799999999998</v>
      </c>
      <c r="AE512" s="110"/>
      <c r="AF512" s="110"/>
      <c r="AG512" s="110"/>
      <c r="AH512" s="1048"/>
    </row>
    <row r="513" spans="1:34" ht="45" x14ac:dyDescent="0.25">
      <c r="A513" s="1047"/>
      <c r="B513" s="110" t="s">
        <v>3906</v>
      </c>
      <c r="C513" s="110"/>
      <c r="D513" s="433">
        <v>2</v>
      </c>
      <c r="E513" s="207" t="s">
        <v>1767</v>
      </c>
      <c r="F513" s="1178" t="s">
        <v>4353</v>
      </c>
      <c r="G513" s="1056" t="s">
        <v>4306</v>
      </c>
      <c r="H513" s="433" t="s">
        <v>3478</v>
      </c>
      <c r="I513" s="111">
        <v>40.089599999999997</v>
      </c>
      <c r="J513" s="111">
        <v>80.179199999999994</v>
      </c>
      <c r="K513" s="110"/>
      <c r="L513" s="110"/>
      <c r="M513" s="110"/>
      <c r="N513" s="110"/>
      <c r="O513" s="110"/>
      <c r="P513" s="110"/>
      <c r="Q513" s="433">
        <v>1</v>
      </c>
      <c r="R513" s="111">
        <v>26.726399999999998</v>
      </c>
      <c r="S513" s="110"/>
      <c r="T513" s="110"/>
      <c r="U513" s="110"/>
      <c r="V513" s="110"/>
      <c r="W513" s="433">
        <v>1</v>
      </c>
      <c r="X513" s="111">
        <v>26.726399999999998</v>
      </c>
      <c r="Y513" s="110"/>
      <c r="Z513" s="110"/>
      <c r="AA513" s="110"/>
      <c r="AB513" s="110"/>
      <c r="AC513" s="433">
        <v>0</v>
      </c>
      <c r="AD513" s="111">
        <v>26.726399999999998</v>
      </c>
      <c r="AE513" s="110"/>
      <c r="AF513" s="110"/>
      <c r="AG513" s="110"/>
      <c r="AH513" s="1048"/>
    </row>
    <row r="514" spans="1:34" ht="45" x14ac:dyDescent="0.25">
      <c r="A514" s="1047"/>
      <c r="B514" s="110" t="s">
        <v>3907</v>
      </c>
      <c r="C514" s="110"/>
      <c r="D514" s="433">
        <v>2</v>
      </c>
      <c r="E514" s="207" t="s">
        <v>1767</v>
      </c>
      <c r="F514" s="1178" t="s">
        <v>4353</v>
      </c>
      <c r="G514" s="1056" t="s">
        <v>4306</v>
      </c>
      <c r="H514" s="433" t="s">
        <v>3478</v>
      </c>
      <c r="I514" s="111">
        <v>256.82400000000001</v>
      </c>
      <c r="J514" s="111">
        <v>513.64800000000002</v>
      </c>
      <c r="K514" s="110"/>
      <c r="L514" s="110"/>
      <c r="M514" s="110"/>
      <c r="N514" s="110"/>
      <c r="O514" s="110"/>
      <c r="P514" s="110"/>
      <c r="Q514" s="433">
        <v>1</v>
      </c>
      <c r="R514" s="111">
        <v>171.21600000000001</v>
      </c>
      <c r="S514" s="110"/>
      <c r="T514" s="110"/>
      <c r="U514" s="110"/>
      <c r="V514" s="110"/>
      <c r="W514" s="433">
        <v>1</v>
      </c>
      <c r="X514" s="111">
        <v>171.21600000000001</v>
      </c>
      <c r="Y514" s="110"/>
      <c r="Z514" s="110"/>
      <c r="AA514" s="110"/>
      <c r="AB514" s="110"/>
      <c r="AC514" s="433">
        <v>0</v>
      </c>
      <c r="AD514" s="111">
        <v>171.21600000000001</v>
      </c>
      <c r="AE514" s="110"/>
      <c r="AF514" s="110"/>
      <c r="AG514" s="110"/>
      <c r="AH514" s="1048"/>
    </row>
    <row r="515" spans="1:34" ht="45" x14ac:dyDescent="0.25">
      <c r="A515" s="1047"/>
      <c r="B515" s="110" t="s">
        <v>3908</v>
      </c>
      <c r="C515" s="110"/>
      <c r="D515" s="433">
        <v>2</v>
      </c>
      <c r="E515" s="207" t="s">
        <v>1767</v>
      </c>
      <c r="F515" s="1178" t="s">
        <v>4353</v>
      </c>
      <c r="G515" s="1056" t="s">
        <v>4306</v>
      </c>
      <c r="H515" s="433" t="s">
        <v>3478</v>
      </c>
      <c r="I515" s="111">
        <v>144.072</v>
      </c>
      <c r="J515" s="111">
        <v>288.14400000000001</v>
      </c>
      <c r="K515" s="110"/>
      <c r="L515" s="110"/>
      <c r="M515" s="110"/>
      <c r="N515" s="110"/>
      <c r="O515" s="110"/>
      <c r="P515" s="110"/>
      <c r="Q515" s="433">
        <v>1</v>
      </c>
      <c r="R515" s="111">
        <v>96.048000000000002</v>
      </c>
      <c r="S515" s="110"/>
      <c r="T515" s="110"/>
      <c r="U515" s="110"/>
      <c r="V515" s="110"/>
      <c r="W515" s="433">
        <v>1</v>
      </c>
      <c r="X515" s="111">
        <v>96.048000000000002</v>
      </c>
      <c r="Y515" s="110"/>
      <c r="Z515" s="110"/>
      <c r="AA515" s="110"/>
      <c r="AB515" s="110"/>
      <c r="AC515" s="433">
        <v>0</v>
      </c>
      <c r="AD515" s="111">
        <v>96.048000000000002</v>
      </c>
      <c r="AE515" s="110"/>
      <c r="AF515" s="110"/>
      <c r="AG515" s="110"/>
      <c r="AH515" s="1048"/>
    </row>
    <row r="516" spans="1:34" ht="45" x14ac:dyDescent="0.25">
      <c r="A516" s="1047"/>
      <c r="B516" s="110" t="s">
        <v>3909</v>
      </c>
      <c r="C516" s="110"/>
      <c r="D516" s="433">
        <v>2</v>
      </c>
      <c r="E516" s="207" t="s">
        <v>1767</v>
      </c>
      <c r="F516" s="1178" t="s">
        <v>4353</v>
      </c>
      <c r="G516" s="1056" t="s">
        <v>4306</v>
      </c>
      <c r="H516" s="433" t="s">
        <v>3478</v>
      </c>
      <c r="I516" s="111">
        <v>65.8416</v>
      </c>
      <c r="J516" s="111">
        <v>131.6832</v>
      </c>
      <c r="K516" s="110"/>
      <c r="L516" s="110"/>
      <c r="M516" s="110"/>
      <c r="N516" s="110"/>
      <c r="O516" s="110"/>
      <c r="P516" s="110"/>
      <c r="Q516" s="433">
        <v>1</v>
      </c>
      <c r="R516" s="111">
        <v>43.894399999999997</v>
      </c>
      <c r="S516" s="110"/>
      <c r="T516" s="110"/>
      <c r="U516" s="110"/>
      <c r="V516" s="110"/>
      <c r="W516" s="433">
        <v>1</v>
      </c>
      <c r="X516" s="111">
        <v>43.894399999999997</v>
      </c>
      <c r="Y516" s="110"/>
      <c r="Z516" s="110"/>
      <c r="AA516" s="110"/>
      <c r="AB516" s="110"/>
      <c r="AC516" s="433">
        <v>0</v>
      </c>
      <c r="AD516" s="111">
        <v>43.894399999999997</v>
      </c>
      <c r="AE516" s="110"/>
      <c r="AF516" s="110"/>
      <c r="AG516" s="110"/>
      <c r="AH516" s="1048"/>
    </row>
    <row r="517" spans="1:34" ht="45" x14ac:dyDescent="0.25">
      <c r="A517" s="1047"/>
      <c r="B517" s="110" t="s">
        <v>3910</v>
      </c>
      <c r="C517" s="110"/>
      <c r="D517" s="433">
        <v>2</v>
      </c>
      <c r="E517" s="207" t="s">
        <v>1767</v>
      </c>
      <c r="F517" s="1178" t="s">
        <v>4353</v>
      </c>
      <c r="G517" s="1056" t="s">
        <v>4306</v>
      </c>
      <c r="H517" s="433" t="s">
        <v>3478</v>
      </c>
      <c r="I517" s="111">
        <v>211.72319999999999</v>
      </c>
      <c r="J517" s="111">
        <v>423.44639999999998</v>
      </c>
      <c r="K517" s="110"/>
      <c r="L517" s="110"/>
      <c r="M517" s="110"/>
      <c r="N517" s="110"/>
      <c r="O517" s="110"/>
      <c r="P517" s="110"/>
      <c r="Q517" s="433">
        <v>1</v>
      </c>
      <c r="R517" s="111">
        <v>141.14879999999999</v>
      </c>
      <c r="S517" s="110"/>
      <c r="T517" s="110"/>
      <c r="U517" s="110"/>
      <c r="V517" s="110"/>
      <c r="W517" s="433">
        <v>1</v>
      </c>
      <c r="X517" s="111">
        <v>141.14879999999999</v>
      </c>
      <c r="Y517" s="110"/>
      <c r="Z517" s="110"/>
      <c r="AA517" s="110"/>
      <c r="AB517" s="110"/>
      <c r="AC517" s="433">
        <v>0</v>
      </c>
      <c r="AD517" s="111">
        <v>141.14879999999999</v>
      </c>
      <c r="AE517" s="110"/>
      <c r="AF517" s="110"/>
      <c r="AG517" s="110"/>
      <c r="AH517" s="1048"/>
    </row>
    <row r="518" spans="1:34" ht="45" x14ac:dyDescent="0.25">
      <c r="A518" s="1047"/>
      <c r="B518" s="110" t="s">
        <v>3911</v>
      </c>
      <c r="C518" s="110"/>
      <c r="D518" s="433">
        <v>2</v>
      </c>
      <c r="E518" s="207" t="s">
        <v>1767</v>
      </c>
      <c r="F518" s="1178" t="s">
        <v>4353</v>
      </c>
      <c r="G518" s="1056" t="s">
        <v>4306</v>
      </c>
      <c r="H518" s="433" t="s">
        <v>3478</v>
      </c>
      <c r="I518" s="111">
        <v>30.0672</v>
      </c>
      <c r="J518" s="111">
        <v>60.134399999999999</v>
      </c>
      <c r="K518" s="110"/>
      <c r="L518" s="110"/>
      <c r="M518" s="110"/>
      <c r="N518" s="110"/>
      <c r="O518" s="110"/>
      <c r="P518" s="110"/>
      <c r="Q518" s="433">
        <v>1</v>
      </c>
      <c r="R518" s="111">
        <v>20.044799999999999</v>
      </c>
      <c r="S518" s="110"/>
      <c r="T518" s="110"/>
      <c r="U518" s="110"/>
      <c r="V518" s="110"/>
      <c r="W518" s="433">
        <v>1</v>
      </c>
      <c r="X518" s="111">
        <v>20.044799999999999</v>
      </c>
      <c r="Y518" s="110"/>
      <c r="Z518" s="110"/>
      <c r="AA518" s="110"/>
      <c r="AB518" s="110"/>
      <c r="AC518" s="433">
        <v>0</v>
      </c>
      <c r="AD518" s="111">
        <v>20.044799999999999</v>
      </c>
      <c r="AE518" s="110"/>
      <c r="AF518" s="110"/>
      <c r="AG518" s="110"/>
      <c r="AH518" s="1048"/>
    </row>
    <row r="519" spans="1:34" ht="45" x14ac:dyDescent="0.25">
      <c r="A519" s="1047"/>
      <c r="B519" s="110" t="s">
        <v>3912</v>
      </c>
      <c r="C519" s="110"/>
      <c r="D519" s="433">
        <v>1</v>
      </c>
      <c r="E519" s="207" t="s">
        <v>1767</v>
      </c>
      <c r="F519" s="1178" t="s">
        <v>4353</v>
      </c>
      <c r="G519" s="1056" t="s">
        <v>4306</v>
      </c>
      <c r="H519" s="433" t="s">
        <v>3478</v>
      </c>
      <c r="I519" s="111">
        <v>250.55999999999997</v>
      </c>
      <c r="J519" s="111">
        <v>250.55999999999997</v>
      </c>
      <c r="K519" s="110"/>
      <c r="L519" s="110"/>
      <c r="M519" s="110"/>
      <c r="N519" s="110"/>
      <c r="O519" s="110"/>
      <c r="P519" s="110"/>
      <c r="Q519" s="433">
        <v>1</v>
      </c>
      <c r="R519" s="111">
        <v>83.52</v>
      </c>
      <c r="S519" s="110"/>
      <c r="T519" s="110"/>
      <c r="U519" s="110"/>
      <c r="V519" s="110"/>
      <c r="W519" s="433">
        <v>0</v>
      </c>
      <c r="X519" s="111">
        <v>83.52</v>
      </c>
      <c r="Y519" s="110"/>
      <c r="Z519" s="110"/>
      <c r="AA519" s="110"/>
      <c r="AB519" s="110"/>
      <c r="AC519" s="433">
        <v>0</v>
      </c>
      <c r="AD519" s="111">
        <v>83.52</v>
      </c>
      <c r="AE519" s="110"/>
      <c r="AF519" s="110"/>
      <c r="AG519" s="110"/>
      <c r="AH519" s="1048"/>
    </row>
    <row r="520" spans="1:34" ht="45" x14ac:dyDescent="0.25">
      <c r="A520" s="1047"/>
      <c r="B520" s="110" t="s">
        <v>3913</v>
      </c>
      <c r="C520" s="110"/>
      <c r="D520" s="433">
        <v>1</v>
      </c>
      <c r="E520" s="207" t="s">
        <v>1767</v>
      </c>
      <c r="F520" s="1178" t="s">
        <v>4353</v>
      </c>
      <c r="G520" s="1056" t="s">
        <v>4306</v>
      </c>
      <c r="H520" s="433" t="s">
        <v>3478</v>
      </c>
      <c r="I520" s="111">
        <v>21.111999999999998</v>
      </c>
      <c r="J520" s="111">
        <v>21.111999999999998</v>
      </c>
      <c r="K520" s="110"/>
      <c r="L520" s="110"/>
      <c r="M520" s="110"/>
      <c r="N520" s="110"/>
      <c r="O520" s="110"/>
      <c r="P520" s="110"/>
      <c r="Q520" s="433">
        <v>1</v>
      </c>
      <c r="R520" s="111">
        <v>7.0373333333333328</v>
      </c>
      <c r="S520" s="110"/>
      <c r="T520" s="110"/>
      <c r="U520" s="110"/>
      <c r="V520" s="110"/>
      <c r="W520" s="433">
        <v>0</v>
      </c>
      <c r="X520" s="111">
        <v>7.0373333333333328</v>
      </c>
      <c r="Y520" s="110"/>
      <c r="Z520" s="110"/>
      <c r="AA520" s="110"/>
      <c r="AB520" s="110"/>
      <c r="AC520" s="433">
        <v>0</v>
      </c>
      <c r="AD520" s="111">
        <v>7.0373333333333328</v>
      </c>
      <c r="AE520" s="110"/>
      <c r="AF520" s="110"/>
      <c r="AG520" s="110"/>
      <c r="AH520" s="1048"/>
    </row>
    <row r="521" spans="1:34" ht="45" x14ac:dyDescent="0.25">
      <c r="A521" s="1047"/>
      <c r="B521" s="110" t="s">
        <v>3914</v>
      </c>
      <c r="C521" s="110"/>
      <c r="D521" s="433">
        <v>1</v>
      </c>
      <c r="E521" s="207" t="s">
        <v>1767</v>
      </c>
      <c r="F521" s="1178" t="s">
        <v>4353</v>
      </c>
      <c r="G521" s="1056" t="s">
        <v>4306</v>
      </c>
      <c r="H521" s="433" t="s">
        <v>3478</v>
      </c>
      <c r="I521" s="111">
        <v>113.67999999999999</v>
      </c>
      <c r="J521" s="111">
        <v>113.67999999999999</v>
      </c>
      <c r="K521" s="110"/>
      <c r="L521" s="110"/>
      <c r="M521" s="110"/>
      <c r="N521" s="110"/>
      <c r="O521" s="110"/>
      <c r="P521" s="110"/>
      <c r="Q521" s="433">
        <v>1</v>
      </c>
      <c r="R521" s="111">
        <v>37.893333333333331</v>
      </c>
      <c r="S521" s="110"/>
      <c r="T521" s="110"/>
      <c r="U521" s="110"/>
      <c r="V521" s="110"/>
      <c r="W521" s="433">
        <v>0</v>
      </c>
      <c r="X521" s="111">
        <v>37.893333333333331</v>
      </c>
      <c r="Y521" s="110"/>
      <c r="Z521" s="110"/>
      <c r="AA521" s="110"/>
      <c r="AB521" s="110"/>
      <c r="AC521" s="433">
        <v>0</v>
      </c>
      <c r="AD521" s="111">
        <v>37.893333333333331</v>
      </c>
      <c r="AE521" s="110"/>
      <c r="AF521" s="110"/>
      <c r="AG521" s="110"/>
      <c r="AH521" s="1048"/>
    </row>
    <row r="522" spans="1:34" ht="45" x14ac:dyDescent="0.25">
      <c r="A522" s="1047"/>
      <c r="B522" s="110" t="s">
        <v>3915</v>
      </c>
      <c r="C522" s="110"/>
      <c r="D522" s="433">
        <v>1</v>
      </c>
      <c r="E522" s="207" t="s">
        <v>1767</v>
      </c>
      <c r="F522" s="1178" t="s">
        <v>4353</v>
      </c>
      <c r="G522" s="1056" t="s">
        <v>4306</v>
      </c>
      <c r="H522" s="433" t="s">
        <v>3478</v>
      </c>
      <c r="I522" s="111">
        <v>113.67999999999999</v>
      </c>
      <c r="J522" s="111">
        <v>113.67999999999999</v>
      </c>
      <c r="K522" s="110"/>
      <c r="L522" s="110"/>
      <c r="M522" s="110"/>
      <c r="N522" s="110"/>
      <c r="O522" s="110"/>
      <c r="P522" s="110"/>
      <c r="Q522" s="433">
        <v>1</v>
      </c>
      <c r="R522" s="111">
        <v>37.893333333333331</v>
      </c>
      <c r="S522" s="110"/>
      <c r="T522" s="110"/>
      <c r="U522" s="110"/>
      <c r="V522" s="110"/>
      <c r="W522" s="433">
        <v>0</v>
      </c>
      <c r="X522" s="111">
        <v>37.893333333333331</v>
      </c>
      <c r="Y522" s="110"/>
      <c r="Z522" s="110"/>
      <c r="AA522" s="110"/>
      <c r="AB522" s="110"/>
      <c r="AC522" s="433">
        <v>0</v>
      </c>
      <c r="AD522" s="111">
        <v>37.893333333333331</v>
      </c>
      <c r="AE522" s="110"/>
      <c r="AF522" s="110"/>
      <c r="AG522" s="110"/>
      <c r="AH522" s="1048"/>
    </row>
    <row r="523" spans="1:34" ht="45" x14ac:dyDescent="0.25">
      <c r="A523" s="1047"/>
      <c r="B523" s="110" t="s">
        <v>3916</v>
      </c>
      <c r="C523" s="110"/>
      <c r="D523" s="433">
        <v>2</v>
      </c>
      <c r="E523" s="207" t="s">
        <v>1767</v>
      </c>
      <c r="F523" s="1178" t="s">
        <v>4353</v>
      </c>
      <c r="G523" s="1056" t="s">
        <v>4306</v>
      </c>
      <c r="H523" s="433" t="s">
        <v>3478</v>
      </c>
      <c r="I523" s="111">
        <v>225.50399999999999</v>
      </c>
      <c r="J523" s="111">
        <v>451.00799999999998</v>
      </c>
      <c r="K523" s="110"/>
      <c r="L523" s="110"/>
      <c r="M523" s="110"/>
      <c r="N523" s="110"/>
      <c r="O523" s="110"/>
      <c r="P523" s="110"/>
      <c r="Q523" s="433">
        <v>1</v>
      </c>
      <c r="R523" s="111">
        <v>150.33599999999998</v>
      </c>
      <c r="S523" s="110"/>
      <c r="T523" s="110"/>
      <c r="U523" s="110"/>
      <c r="V523" s="110"/>
      <c r="W523" s="433">
        <v>1</v>
      </c>
      <c r="X523" s="111">
        <v>150.33599999999998</v>
      </c>
      <c r="Y523" s="110"/>
      <c r="Z523" s="110"/>
      <c r="AA523" s="110"/>
      <c r="AB523" s="110"/>
      <c r="AC523" s="433">
        <v>0</v>
      </c>
      <c r="AD523" s="111">
        <v>150.33599999999998</v>
      </c>
      <c r="AE523" s="110"/>
      <c r="AF523" s="110"/>
      <c r="AG523" s="110"/>
      <c r="AH523" s="1048"/>
    </row>
    <row r="524" spans="1:34" ht="45" x14ac:dyDescent="0.25">
      <c r="A524" s="1047"/>
      <c r="B524" s="110" t="s">
        <v>3917</v>
      </c>
      <c r="C524" s="110"/>
      <c r="D524" s="433">
        <v>2</v>
      </c>
      <c r="E524" s="207" t="s">
        <v>1767</v>
      </c>
      <c r="F524" s="1178" t="s">
        <v>4353</v>
      </c>
      <c r="G524" s="1056" t="s">
        <v>4306</v>
      </c>
      <c r="H524" s="433" t="s">
        <v>3478</v>
      </c>
      <c r="I524" s="111">
        <v>259.32959999999997</v>
      </c>
      <c r="J524" s="111">
        <v>518.65919999999994</v>
      </c>
      <c r="K524" s="110"/>
      <c r="L524" s="110"/>
      <c r="M524" s="110"/>
      <c r="N524" s="110"/>
      <c r="O524" s="110"/>
      <c r="P524" s="110"/>
      <c r="Q524" s="433">
        <v>1</v>
      </c>
      <c r="R524" s="111">
        <v>172.88639999999998</v>
      </c>
      <c r="S524" s="110"/>
      <c r="T524" s="110"/>
      <c r="U524" s="110"/>
      <c r="V524" s="110"/>
      <c r="W524" s="433">
        <v>1</v>
      </c>
      <c r="X524" s="111">
        <v>172.88639999999998</v>
      </c>
      <c r="Y524" s="110"/>
      <c r="Z524" s="110"/>
      <c r="AA524" s="110"/>
      <c r="AB524" s="110"/>
      <c r="AC524" s="433">
        <v>0</v>
      </c>
      <c r="AD524" s="111">
        <v>172.88639999999998</v>
      </c>
      <c r="AE524" s="110"/>
      <c r="AF524" s="110"/>
      <c r="AG524" s="110"/>
      <c r="AH524" s="1048"/>
    </row>
    <row r="525" spans="1:34" ht="45" x14ac:dyDescent="0.25">
      <c r="A525" s="1047"/>
      <c r="B525" s="110" t="s">
        <v>3918</v>
      </c>
      <c r="C525" s="110"/>
      <c r="D525" s="433">
        <v>2</v>
      </c>
      <c r="E525" s="207" t="s">
        <v>1767</v>
      </c>
      <c r="F525" s="1178" t="s">
        <v>4353</v>
      </c>
      <c r="G525" s="1056" t="s">
        <v>4306</v>
      </c>
      <c r="H525" s="433" t="s">
        <v>3478</v>
      </c>
      <c r="I525" s="111">
        <v>102.72959999999999</v>
      </c>
      <c r="J525" s="111">
        <v>205.45919999999998</v>
      </c>
      <c r="K525" s="110"/>
      <c r="L525" s="110"/>
      <c r="M525" s="110"/>
      <c r="N525" s="110"/>
      <c r="O525" s="110"/>
      <c r="P525" s="110"/>
      <c r="Q525" s="433">
        <v>1</v>
      </c>
      <c r="R525" s="111">
        <v>68.486399999999989</v>
      </c>
      <c r="S525" s="110"/>
      <c r="T525" s="110"/>
      <c r="U525" s="110"/>
      <c r="V525" s="110"/>
      <c r="W525" s="433">
        <v>1</v>
      </c>
      <c r="X525" s="111">
        <v>68.486399999999989</v>
      </c>
      <c r="Y525" s="110"/>
      <c r="Z525" s="110"/>
      <c r="AA525" s="110"/>
      <c r="AB525" s="110"/>
      <c r="AC525" s="433">
        <v>0</v>
      </c>
      <c r="AD525" s="111">
        <v>68.486399999999989</v>
      </c>
      <c r="AE525" s="110"/>
      <c r="AF525" s="110"/>
      <c r="AG525" s="110"/>
      <c r="AH525" s="1048"/>
    </row>
    <row r="526" spans="1:34" ht="45" x14ac:dyDescent="0.25">
      <c r="A526" s="1047"/>
      <c r="B526" s="110" t="s">
        <v>3919</v>
      </c>
      <c r="C526" s="110"/>
      <c r="D526" s="433">
        <v>2</v>
      </c>
      <c r="E526" s="207" t="s">
        <v>1767</v>
      </c>
      <c r="F526" s="1178" t="s">
        <v>4353</v>
      </c>
      <c r="G526" s="1056" t="s">
        <v>4306</v>
      </c>
      <c r="H526" s="433" t="s">
        <v>3478</v>
      </c>
      <c r="I526" s="111">
        <v>93.96</v>
      </c>
      <c r="J526" s="111">
        <v>187.92</v>
      </c>
      <c r="K526" s="110"/>
      <c r="L526" s="110"/>
      <c r="M526" s="110"/>
      <c r="N526" s="110"/>
      <c r="O526" s="110"/>
      <c r="P526" s="110"/>
      <c r="Q526" s="433">
        <v>1</v>
      </c>
      <c r="R526" s="111">
        <v>62.639999999999993</v>
      </c>
      <c r="S526" s="110"/>
      <c r="T526" s="110"/>
      <c r="U526" s="110"/>
      <c r="V526" s="110"/>
      <c r="W526" s="433">
        <v>1</v>
      </c>
      <c r="X526" s="111">
        <v>62.639999999999993</v>
      </c>
      <c r="Y526" s="110"/>
      <c r="Z526" s="110"/>
      <c r="AA526" s="110"/>
      <c r="AB526" s="110"/>
      <c r="AC526" s="433">
        <v>0</v>
      </c>
      <c r="AD526" s="111">
        <v>62.639999999999993</v>
      </c>
      <c r="AE526" s="110"/>
      <c r="AF526" s="110"/>
      <c r="AG526" s="110"/>
      <c r="AH526" s="1048"/>
    </row>
    <row r="527" spans="1:34" ht="45" x14ac:dyDescent="0.25">
      <c r="A527" s="1047"/>
      <c r="B527" s="110" t="s">
        <v>3920</v>
      </c>
      <c r="C527" s="110"/>
      <c r="D527" s="433">
        <v>2</v>
      </c>
      <c r="E527" s="207" t="s">
        <v>1767</v>
      </c>
      <c r="F527" s="1178" t="s">
        <v>4353</v>
      </c>
      <c r="G527" s="1056" t="s">
        <v>4306</v>
      </c>
      <c r="H527" s="433" t="s">
        <v>3478</v>
      </c>
      <c r="I527" s="111">
        <v>587.56319999999994</v>
      </c>
      <c r="J527" s="111">
        <v>1175.1263999999999</v>
      </c>
      <c r="K527" s="110"/>
      <c r="L527" s="110"/>
      <c r="M527" s="110"/>
      <c r="N527" s="110"/>
      <c r="O527" s="110"/>
      <c r="P527" s="110"/>
      <c r="Q527" s="433">
        <v>1</v>
      </c>
      <c r="R527" s="111">
        <v>391.70879999999994</v>
      </c>
      <c r="S527" s="110"/>
      <c r="T527" s="110"/>
      <c r="U527" s="110"/>
      <c r="V527" s="110"/>
      <c r="W527" s="433">
        <v>1</v>
      </c>
      <c r="X527" s="111">
        <v>391.70879999999994</v>
      </c>
      <c r="Y527" s="110"/>
      <c r="Z527" s="110"/>
      <c r="AA527" s="110"/>
      <c r="AB527" s="110"/>
      <c r="AC527" s="433">
        <v>0</v>
      </c>
      <c r="AD527" s="111">
        <v>391.70879999999994</v>
      </c>
      <c r="AE527" s="110"/>
      <c r="AF527" s="110"/>
      <c r="AG527" s="110"/>
      <c r="AH527" s="1048"/>
    </row>
    <row r="528" spans="1:34" ht="45" x14ac:dyDescent="0.25">
      <c r="A528" s="1047"/>
      <c r="B528" s="110" t="s">
        <v>3921</v>
      </c>
      <c r="C528" s="110"/>
      <c r="D528" s="433">
        <v>2</v>
      </c>
      <c r="E528" s="207" t="s">
        <v>1767</v>
      </c>
      <c r="F528" s="1178" t="s">
        <v>4353</v>
      </c>
      <c r="G528" s="1056" t="s">
        <v>4306</v>
      </c>
      <c r="H528" s="433" t="s">
        <v>3478</v>
      </c>
      <c r="I528" s="111">
        <v>236.15279999999998</v>
      </c>
      <c r="J528" s="111">
        <v>472.30559999999997</v>
      </c>
      <c r="K528" s="110"/>
      <c r="L528" s="110"/>
      <c r="M528" s="110"/>
      <c r="N528" s="110"/>
      <c r="O528" s="110"/>
      <c r="P528" s="110"/>
      <c r="Q528" s="433">
        <v>1</v>
      </c>
      <c r="R528" s="111">
        <v>157.43519999999998</v>
      </c>
      <c r="S528" s="110"/>
      <c r="T528" s="110"/>
      <c r="U528" s="110"/>
      <c r="V528" s="110"/>
      <c r="W528" s="433">
        <v>1</v>
      </c>
      <c r="X528" s="111">
        <v>157.43519999999998</v>
      </c>
      <c r="Y528" s="110"/>
      <c r="Z528" s="110"/>
      <c r="AA528" s="110"/>
      <c r="AB528" s="110"/>
      <c r="AC528" s="433">
        <v>0</v>
      </c>
      <c r="AD528" s="111">
        <v>157.43519999999998</v>
      </c>
      <c r="AE528" s="110"/>
      <c r="AF528" s="110"/>
      <c r="AG528" s="110"/>
      <c r="AH528" s="1048"/>
    </row>
    <row r="529" spans="1:34" ht="45" x14ac:dyDescent="0.25">
      <c r="A529" s="1047"/>
      <c r="B529" s="110" t="s">
        <v>3922</v>
      </c>
      <c r="C529" s="110"/>
      <c r="D529" s="433">
        <v>2</v>
      </c>
      <c r="E529" s="207" t="s">
        <v>1767</v>
      </c>
      <c r="F529" s="1178" t="s">
        <v>4353</v>
      </c>
      <c r="G529" s="1056" t="s">
        <v>4306</v>
      </c>
      <c r="H529" s="433" t="s">
        <v>3478</v>
      </c>
      <c r="I529" s="111">
        <v>103.9824</v>
      </c>
      <c r="J529" s="111">
        <v>207.9648</v>
      </c>
      <c r="K529" s="110"/>
      <c r="L529" s="110"/>
      <c r="M529" s="110"/>
      <c r="N529" s="110"/>
      <c r="O529" s="110"/>
      <c r="P529" s="110"/>
      <c r="Q529" s="433">
        <v>1</v>
      </c>
      <c r="R529" s="111">
        <v>69.321600000000004</v>
      </c>
      <c r="S529" s="110"/>
      <c r="T529" s="110"/>
      <c r="U529" s="110"/>
      <c r="V529" s="110"/>
      <c r="W529" s="433">
        <v>1</v>
      </c>
      <c r="X529" s="111">
        <v>69.321600000000004</v>
      </c>
      <c r="Y529" s="110"/>
      <c r="Z529" s="110"/>
      <c r="AA529" s="110"/>
      <c r="AB529" s="110"/>
      <c r="AC529" s="433">
        <v>0</v>
      </c>
      <c r="AD529" s="111">
        <v>69.321600000000004</v>
      </c>
      <c r="AE529" s="110"/>
      <c r="AF529" s="110"/>
      <c r="AG529" s="110"/>
      <c r="AH529" s="1048"/>
    </row>
    <row r="530" spans="1:34" ht="45" x14ac:dyDescent="0.25">
      <c r="A530" s="1047"/>
      <c r="B530" s="110" t="s">
        <v>3923</v>
      </c>
      <c r="C530" s="110"/>
      <c r="D530" s="433">
        <v>2</v>
      </c>
      <c r="E530" s="207" t="s">
        <v>1767</v>
      </c>
      <c r="F530" s="1178" t="s">
        <v>4353</v>
      </c>
      <c r="G530" s="1056" t="s">
        <v>4306</v>
      </c>
      <c r="H530" s="433" t="s">
        <v>3478</v>
      </c>
      <c r="I530" s="111">
        <v>377</v>
      </c>
      <c r="J530" s="111">
        <v>754</v>
      </c>
      <c r="K530" s="110"/>
      <c r="L530" s="110"/>
      <c r="M530" s="110"/>
      <c r="N530" s="110"/>
      <c r="O530" s="110"/>
      <c r="P530" s="110"/>
      <c r="Q530" s="433">
        <v>1</v>
      </c>
      <c r="R530" s="111">
        <v>251.33333333333334</v>
      </c>
      <c r="S530" s="110"/>
      <c r="T530" s="110"/>
      <c r="U530" s="110"/>
      <c r="V530" s="110"/>
      <c r="W530" s="433">
        <v>1</v>
      </c>
      <c r="X530" s="111">
        <v>251.33333333333334</v>
      </c>
      <c r="Y530" s="110"/>
      <c r="Z530" s="110"/>
      <c r="AA530" s="110"/>
      <c r="AB530" s="110"/>
      <c r="AC530" s="433">
        <v>0</v>
      </c>
      <c r="AD530" s="111">
        <v>251.33333333333334</v>
      </c>
      <c r="AE530" s="110"/>
      <c r="AF530" s="110"/>
      <c r="AG530" s="110"/>
      <c r="AH530" s="1048"/>
    </row>
    <row r="531" spans="1:34" x14ac:dyDescent="0.25">
      <c r="A531" s="1047"/>
      <c r="B531" s="110"/>
      <c r="C531" s="110"/>
      <c r="D531" s="433"/>
      <c r="E531" s="207"/>
      <c r="F531" s="433"/>
      <c r="G531" s="110"/>
      <c r="H531" s="433"/>
      <c r="I531" s="111"/>
      <c r="J531" s="111"/>
      <c r="K531" s="110"/>
      <c r="L531" s="110"/>
      <c r="M531" s="110"/>
      <c r="N531" s="110"/>
      <c r="O531" s="110"/>
      <c r="P531" s="110"/>
      <c r="Q531" s="433"/>
      <c r="R531" s="111"/>
      <c r="S531" s="110"/>
      <c r="T531" s="110"/>
      <c r="U531" s="110"/>
      <c r="V531" s="110"/>
      <c r="W531" s="433"/>
      <c r="X531" s="111"/>
      <c r="Y531" s="110"/>
      <c r="Z531" s="110"/>
      <c r="AA531" s="110"/>
      <c r="AB531" s="110"/>
      <c r="AC531" s="433"/>
      <c r="AD531" s="111"/>
      <c r="AE531" s="110"/>
      <c r="AF531" s="110"/>
      <c r="AG531" s="110"/>
      <c r="AH531" s="1048"/>
    </row>
    <row r="532" spans="1:34" x14ac:dyDescent="0.25">
      <c r="A532" s="1047"/>
      <c r="B532" s="110"/>
      <c r="C532" s="110"/>
      <c r="D532" s="433"/>
      <c r="E532" s="207"/>
      <c r="F532" s="433"/>
      <c r="G532" s="110"/>
      <c r="H532" s="433"/>
      <c r="I532" s="111"/>
      <c r="J532" s="111"/>
      <c r="K532" s="110"/>
      <c r="L532" s="110"/>
      <c r="M532" s="110"/>
      <c r="N532" s="110"/>
      <c r="O532" s="110"/>
      <c r="P532" s="110"/>
      <c r="Q532" s="433"/>
      <c r="R532" s="111"/>
      <c r="S532" s="110"/>
      <c r="T532" s="110"/>
      <c r="U532" s="110"/>
      <c r="V532" s="110"/>
      <c r="W532" s="433"/>
      <c r="X532" s="111"/>
      <c r="Y532" s="110"/>
      <c r="Z532" s="110"/>
      <c r="AA532" s="110"/>
      <c r="AB532" s="110"/>
      <c r="AC532" s="433"/>
      <c r="AD532" s="111"/>
      <c r="AE532" s="110"/>
      <c r="AF532" s="110"/>
      <c r="AG532" s="110"/>
      <c r="AH532" s="1048"/>
    </row>
    <row r="533" spans="1:34" x14ac:dyDescent="0.25">
      <c r="A533" s="1058">
        <v>21702</v>
      </c>
      <c r="B533" s="187" t="s">
        <v>3924</v>
      </c>
      <c r="C533" s="110"/>
      <c r="D533" s="433"/>
      <c r="E533" s="207"/>
      <c r="F533" s="433"/>
      <c r="G533" s="110"/>
      <c r="H533" s="433"/>
      <c r="I533" s="111"/>
      <c r="J533" s="111"/>
      <c r="K533" s="110"/>
      <c r="L533" s="110"/>
      <c r="M533" s="110"/>
      <c r="N533" s="110"/>
      <c r="O533" s="110"/>
      <c r="P533" s="110"/>
      <c r="Q533" s="433"/>
      <c r="R533" s="111"/>
      <c r="S533" s="110"/>
      <c r="T533" s="110"/>
      <c r="U533" s="110"/>
      <c r="V533" s="110"/>
      <c r="W533" s="433"/>
      <c r="X533" s="111"/>
      <c r="Y533" s="110"/>
      <c r="Z533" s="110"/>
      <c r="AA533" s="110"/>
      <c r="AB533" s="110"/>
      <c r="AC533" s="433"/>
      <c r="AD533" s="111"/>
      <c r="AE533" s="110"/>
      <c r="AF533" s="110"/>
      <c r="AG533" s="110"/>
      <c r="AH533" s="1048"/>
    </row>
    <row r="534" spans="1:34" ht="45" x14ac:dyDescent="0.25">
      <c r="A534" s="1047"/>
      <c r="B534" s="110" t="s">
        <v>1431</v>
      </c>
      <c r="C534" s="110"/>
      <c r="D534" s="433">
        <v>18</v>
      </c>
      <c r="E534" s="207" t="s">
        <v>2992</v>
      </c>
      <c r="F534" s="1178" t="s">
        <v>4353</v>
      </c>
      <c r="G534" s="1056" t="s">
        <v>4306</v>
      </c>
      <c r="H534" s="433" t="s">
        <v>3478</v>
      </c>
      <c r="I534" s="111">
        <v>604</v>
      </c>
      <c r="J534" s="111">
        <v>10872</v>
      </c>
      <c r="K534" s="110"/>
      <c r="L534" s="110"/>
      <c r="M534" s="110"/>
      <c r="N534" s="110"/>
      <c r="O534" s="110"/>
      <c r="P534" s="110"/>
      <c r="Q534" s="433">
        <v>9</v>
      </c>
      <c r="R534" s="111">
        <v>3624</v>
      </c>
      <c r="S534" s="110"/>
      <c r="T534" s="110"/>
      <c r="U534" s="110"/>
      <c r="V534" s="110"/>
      <c r="W534" s="433">
        <v>5</v>
      </c>
      <c r="X534" s="111">
        <v>3624</v>
      </c>
      <c r="Y534" s="110"/>
      <c r="Z534" s="110"/>
      <c r="AA534" s="110"/>
      <c r="AB534" s="110"/>
      <c r="AC534" s="433">
        <v>4</v>
      </c>
      <c r="AD534" s="111">
        <v>3624</v>
      </c>
      <c r="AE534" s="110"/>
      <c r="AF534" s="110"/>
      <c r="AG534" s="110"/>
      <c r="AH534" s="1048"/>
    </row>
    <row r="535" spans="1:34" ht="45" x14ac:dyDescent="0.25">
      <c r="A535" s="1047"/>
      <c r="B535" s="110" t="s">
        <v>1432</v>
      </c>
      <c r="C535" s="110"/>
      <c r="D535" s="433">
        <v>15</v>
      </c>
      <c r="E535" s="207" t="s">
        <v>2992</v>
      </c>
      <c r="F535" s="1178" t="s">
        <v>4353</v>
      </c>
      <c r="G535" s="1056" t="s">
        <v>4306</v>
      </c>
      <c r="H535" s="433" t="s">
        <v>3478</v>
      </c>
      <c r="I535" s="111">
        <v>431</v>
      </c>
      <c r="J535" s="111">
        <v>6465</v>
      </c>
      <c r="K535" s="110"/>
      <c r="L535" s="110"/>
      <c r="M535" s="110"/>
      <c r="N535" s="110"/>
      <c r="O535" s="110"/>
      <c r="P535" s="110"/>
      <c r="Q535" s="433">
        <v>8</v>
      </c>
      <c r="R535" s="111">
        <v>2155</v>
      </c>
      <c r="S535" s="110"/>
      <c r="T535" s="110"/>
      <c r="U535" s="110"/>
      <c r="V535" s="110"/>
      <c r="W535" s="433">
        <v>4</v>
      </c>
      <c r="X535" s="111">
        <v>2155</v>
      </c>
      <c r="Y535" s="110"/>
      <c r="Z535" s="110"/>
      <c r="AA535" s="110"/>
      <c r="AB535" s="110"/>
      <c r="AC535" s="433">
        <v>3</v>
      </c>
      <c r="AD535" s="111">
        <v>2155</v>
      </c>
      <c r="AE535" s="110"/>
      <c r="AF535" s="110"/>
      <c r="AG535" s="110"/>
      <c r="AH535" s="1048"/>
    </row>
    <row r="536" spans="1:34" ht="45" x14ac:dyDescent="0.25">
      <c r="A536" s="1047"/>
      <c r="B536" s="110" t="s">
        <v>1433</v>
      </c>
      <c r="C536" s="110"/>
      <c r="D536" s="433">
        <v>19</v>
      </c>
      <c r="E536" s="207" t="s">
        <v>2992</v>
      </c>
      <c r="F536" s="1178" t="s">
        <v>4353</v>
      </c>
      <c r="G536" s="1056" t="s">
        <v>4306</v>
      </c>
      <c r="H536" s="433" t="s">
        <v>3478</v>
      </c>
      <c r="I536" s="111">
        <v>260</v>
      </c>
      <c r="J536" s="111">
        <v>4940</v>
      </c>
      <c r="K536" s="110"/>
      <c r="L536" s="110"/>
      <c r="M536" s="110"/>
      <c r="N536" s="110"/>
      <c r="O536" s="110"/>
      <c r="P536" s="110"/>
      <c r="Q536" s="433">
        <v>9</v>
      </c>
      <c r="R536" s="111">
        <v>1646.6666666666667</v>
      </c>
      <c r="S536" s="110"/>
      <c r="T536" s="110"/>
      <c r="U536" s="110"/>
      <c r="V536" s="110"/>
      <c r="W536" s="433">
        <v>6</v>
      </c>
      <c r="X536" s="111">
        <v>1646.6666666666667</v>
      </c>
      <c r="Y536" s="110"/>
      <c r="Z536" s="110"/>
      <c r="AA536" s="110"/>
      <c r="AB536" s="110"/>
      <c r="AC536" s="433">
        <v>4</v>
      </c>
      <c r="AD536" s="111">
        <v>1646.6666666666667</v>
      </c>
      <c r="AE536" s="110"/>
      <c r="AF536" s="110"/>
      <c r="AG536" s="110"/>
      <c r="AH536" s="1048"/>
    </row>
    <row r="537" spans="1:34" x14ac:dyDescent="0.25">
      <c r="A537" s="1058">
        <v>22102</v>
      </c>
      <c r="B537" s="187" t="s">
        <v>3925</v>
      </c>
      <c r="C537" s="110"/>
      <c r="D537" s="433"/>
      <c r="E537" s="207"/>
      <c r="F537" s="433"/>
      <c r="G537" s="110"/>
      <c r="H537" s="433"/>
      <c r="I537" s="111"/>
      <c r="J537" s="111"/>
      <c r="K537" s="110"/>
      <c r="L537" s="110"/>
      <c r="M537" s="110"/>
      <c r="N537" s="110"/>
      <c r="O537" s="110"/>
      <c r="P537" s="110"/>
      <c r="Q537" s="433"/>
      <c r="R537" s="111"/>
      <c r="S537" s="110"/>
      <c r="T537" s="110"/>
      <c r="U537" s="110"/>
      <c r="V537" s="110"/>
      <c r="W537" s="433"/>
      <c r="X537" s="111"/>
      <c r="Y537" s="110"/>
      <c r="Z537" s="110"/>
      <c r="AA537" s="110"/>
      <c r="AB537" s="110"/>
      <c r="AC537" s="433"/>
      <c r="AD537" s="111"/>
      <c r="AE537" s="110"/>
      <c r="AF537" s="110"/>
      <c r="AG537" s="110"/>
      <c r="AH537" s="1048"/>
    </row>
    <row r="538" spans="1:34" ht="45" x14ac:dyDescent="0.25">
      <c r="A538" s="1047"/>
      <c r="B538" s="110" t="s">
        <v>3926</v>
      </c>
      <c r="C538" s="110"/>
      <c r="D538" s="433">
        <v>912</v>
      </c>
      <c r="E538" s="207" t="s">
        <v>3687</v>
      </c>
      <c r="F538" s="1178" t="s">
        <v>4353</v>
      </c>
      <c r="G538" s="1056" t="s">
        <v>4306</v>
      </c>
      <c r="H538" s="433" t="s">
        <v>3478</v>
      </c>
      <c r="I538" s="111">
        <v>207.9</v>
      </c>
      <c r="J538" s="111">
        <v>189604.80000000002</v>
      </c>
      <c r="K538" s="110"/>
      <c r="L538" s="110"/>
      <c r="M538" s="110"/>
      <c r="N538" s="110"/>
      <c r="O538" s="110"/>
      <c r="P538" s="110"/>
      <c r="Q538" s="433">
        <v>312</v>
      </c>
      <c r="R538" s="111">
        <v>63201.600000000006</v>
      </c>
      <c r="S538" s="110"/>
      <c r="T538" s="110"/>
      <c r="U538" s="110"/>
      <c r="V538" s="110"/>
      <c r="W538" s="433">
        <v>300</v>
      </c>
      <c r="X538" s="111">
        <v>63201.600000000006</v>
      </c>
      <c r="Y538" s="110"/>
      <c r="Z538" s="110"/>
      <c r="AA538" s="110"/>
      <c r="AB538" s="110"/>
      <c r="AC538" s="433">
        <v>300</v>
      </c>
      <c r="AD538" s="111">
        <v>63201.600000000006</v>
      </c>
      <c r="AE538" s="110"/>
      <c r="AF538" s="110"/>
      <c r="AG538" s="110"/>
      <c r="AH538" s="1048"/>
    </row>
    <row r="539" spans="1:34" ht="45" x14ac:dyDescent="0.25">
      <c r="A539" s="1047"/>
      <c r="B539" s="110" t="s">
        <v>3927</v>
      </c>
      <c r="C539" s="110"/>
      <c r="D539" s="433">
        <v>250</v>
      </c>
      <c r="E539" s="207" t="s">
        <v>3687</v>
      </c>
      <c r="F539" s="1178" t="s">
        <v>4353</v>
      </c>
      <c r="G539" s="1056" t="s">
        <v>4306</v>
      </c>
      <c r="H539" s="433" t="s">
        <v>3478</v>
      </c>
      <c r="I539" s="111">
        <v>143</v>
      </c>
      <c r="J539" s="111">
        <v>35750</v>
      </c>
      <c r="K539" s="110"/>
      <c r="L539" s="110"/>
      <c r="M539" s="110"/>
      <c r="N539" s="110"/>
      <c r="O539" s="110"/>
      <c r="P539" s="110"/>
      <c r="Q539" s="433">
        <v>150</v>
      </c>
      <c r="R539" s="111">
        <v>11916.666666666666</v>
      </c>
      <c r="S539" s="110"/>
      <c r="T539" s="110"/>
      <c r="U539" s="110"/>
      <c r="V539" s="110"/>
      <c r="W539" s="433">
        <v>50</v>
      </c>
      <c r="X539" s="111">
        <v>11916.666666666666</v>
      </c>
      <c r="Y539" s="110"/>
      <c r="Z539" s="110"/>
      <c r="AA539" s="110"/>
      <c r="AB539" s="110"/>
      <c r="AC539" s="433">
        <v>50</v>
      </c>
      <c r="AD539" s="111">
        <v>11916.666666666666</v>
      </c>
      <c r="AE539" s="110"/>
      <c r="AF539" s="110"/>
      <c r="AG539" s="110"/>
      <c r="AH539" s="1048"/>
    </row>
    <row r="540" spans="1:34" ht="45" x14ac:dyDescent="0.25">
      <c r="A540" s="1047"/>
      <c r="B540" s="110" t="s">
        <v>3928</v>
      </c>
      <c r="C540" s="110"/>
      <c r="D540" s="433">
        <v>900</v>
      </c>
      <c r="E540" s="207" t="s">
        <v>3687</v>
      </c>
      <c r="F540" s="1178" t="s">
        <v>4353</v>
      </c>
      <c r="G540" s="1056" t="s">
        <v>4306</v>
      </c>
      <c r="H540" s="433" t="s">
        <v>3478</v>
      </c>
      <c r="I540" s="111">
        <v>148.5</v>
      </c>
      <c r="J540" s="111">
        <v>133650</v>
      </c>
      <c r="K540" s="110"/>
      <c r="L540" s="110"/>
      <c r="M540" s="110"/>
      <c r="N540" s="110"/>
      <c r="O540" s="110"/>
      <c r="P540" s="110"/>
      <c r="Q540" s="433">
        <v>300</v>
      </c>
      <c r="R540" s="111">
        <v>44550</v>
      </c>
      <c r="S540" s="110"/>
      <c r="T540" s="110"/>
      <c r="U540" s="110"/>
      <c r="V540" s="110"/>
      <c r="W540" s="433">
        <v>300</v>
      </c>
      <c r="X540" s="111">
        <v>44550</v>
      </c>
      <c r="Y540" s="110"/>
      <c r="Z540" s="110"/>
      <c r="AA540" s="110"/>
      <c r="AB540" s="110"/>
      <c r="AC540" s="433">
        <v>300</v>
      </c>
      <c r="AD540" s="111">
        <v>44550</v>
      </c>
      <c r="AE540" s="110"/>
      <c r="AF540" s="110"/>
      <c r="AG540" s="110"/>
      <c r="AH540" s="1048"/>
    </row>
    <row r="541" spans="1:34" ht="45" x14ac:dyDescent="0.25">
      <c r="A541" s="1047"/>
      <c r="B541" s="110" t="s">
        <v>3929</v>
      </c>
      <c r="C541" s="110"/>
      <c r="D541" s="433">
        <v>400</v>
      </c>
      <c r="E541" s="207" t="s">
        <v>3687</v>
      </c>
      <c r="F541" s="1178" t="s">
        <v>4353</v>
      </c>
      <c r="G541" s="1056" t="s">
        <v>4306</v>
      </c>
      <c r="H541" s="433" t="s">
        <v>3478</v>
      </c>
      <c r="I541" s="111">
        <v>187</v>
      </c>
      <c r="J541" s="111">
        <v>74800</v>
      </c>
      <c r="K541" s="110"/>
      <c r="L541" s="110"/>
      <c r="M541" s="110"/>
      <c r="N541" s="110"/>
      <c r="O541" s="110"/>
      <c r="P541" s="110"/>
      <c r="Q541" s="433">
        <v>200</v>
      </c>
      <c r="R541" s="111">
        <v>24933.333333333332</v>
      </c>
      <c r="S541" s="110"/>
      <c r="T541" s="110"/>
      <c r="U541" s="110"/>
      <c r="V541" s="110"/>
      <c r="W541" s="433">
        <v>100</v>
      </c>
      <c r="X541" s="111">
        <v>24933.333333333332</v>
      </c>
      <c r="Y541" s="110"/>
      <c r="Z541" s="110"/>
      <c r="AA541" s="110"/>
      <c r="AB541" s="110"/>
      <c r="AC541" s="433">
        <v>100</v>
      </c>
      <c r="AD541" s="111">
        <v>24933.333333333332</v>
      </c>
      <c r="AE541" s="110"/>
      <c r="AF541" s="110"/>
      <c r="AG541" s="110"/>
      <c r="AH541" s="1048"/>
    </row>
    <row r="542" spans="1:34" ht="45" x14ac:dyDescent="0.25">
      <c r="A542" s="1047"/>
      <c r="B542" s="110" t="s">
        <v>3930</v>
      </c>
      <c r="C542" s="110"/>
      <c r="D542" s="433">
        <v>600</v>
      </c>
      <c r="E542" s="207" t="s">
        <v>3687</v>
      </c>
      <c r="F542" s="1178" t="s">
        <v>4353</v>
      </c>
      <c r="G542" s="1056" t="s">
        <v>4306</v>
      </c>
      <c r="H542" s="433" t="s">
        <v>3478</v>
      </c>
      <c r="I542" s="111">
        <v>147.5</v>
      </c>
      <c r="J542" s="111">
        <v>88500</v>
      </c>
      <c r="K542" s="110"/>
      <c r="L542" s="110"/>
      <c r="M542" s="110"/>
      <c r="N542" s="110"/>
      <c r="O542" s="110"/>
      <c r="P542" s="110"/>
      <c r="Q542" s="433">
        <v>200</v>
      </c>
      <c r="R542" s="111">
        <v>29500</v>
      </c>
      <c r="S542" s="110"/>
      <c r="T542" s="110"/>
      <c r="U542" s="110"/>
      <c r="V542" s="110"/>
      <c r="W542" s="433">
        <v>200</v>
      </c>
      <c r="X542" s="111">
        <v>29500</v>
      </c>
      <c r="Y542" s="110"/>
      <c r="Z542" s="110"/>
      <c r="AA542" s="110"/>
      <c r="AB542" s="110"/>
      <c r="AC542" s="433">
        <v>200</v>
      </c>
      <c r="AD542" s="111">
        <v>29500</v>
      </c>
      <c r="AE542" s="110"/>
      <c r="AF542" s="110"/>
      <c r="AG542" s="110"/>
      <c r="AH542" s="1048"/>
    </row>
    <row r="543" spans="1:34" ht="45" x14ac:dyDescent="0.25">
      <c r="A543" s="1047"/>
      <c r="B543" s="110" t="s">
        <v>3931</v>
      </c>
      <c r="C543" s="110"/>
      <c r="D543" s="433">
        <v>700</v>
      </c>
      <c r="E543" s="207" t="s">
        <v>3687</v>
      </c>
      <c r="F543" s="1178" t="s">
        <v>4353</v>
      </c>
      <c r="G543" s="1056" t="s">
        <v>4306</v>
      </c>
      <c r="H543" s="433" t="s">
        <v>3478</v>
      </c>
      <c r="I543" s="111">
        <v>170.5</v>
      </c>
      <c r="J543" s="111">
        <v>119350</v>
      </c>
      <c r="K543" s="110"/>
      <c r="L543" s="110"/>
      <c r="M543" s="110"/>
      <c r="N543" s="110"/>
      <c r="O543" s="110"/>
      <c r="P543" s="110"/>
      <c r="Q543" s="433">
        <v>400</v>
      </c>
      <c r="R543" s="111">
        <v>39783.333333333336</v>
      </c>
      <c r="S543" s="110"/>
      <c r="T543" s="110"/>
      <c r="U543" s="110"/>
      <c r="V543" s="110"/>
      <c r="W543" s="433">
        <v>200</v>
      </c>
      <c r="X543" s="111">
        <v>39783.333333333336</v>
      </c>
      <c r="Y543" s="110"/>
      <c r="Z543" s="110"/>
      <c r="AA543" s="110"/>
      <c r="AB543" s="110"/>
      <c r="AC543" s="433">
        <v>100</v>
      </c>
      <c r="AD543" s="111">
        <v>39783.333333333336</v>
      </c>
      <c r="AE543" s="110"/>
      <c r="AF543" s="110"/>
      <c r="AG543" s="110"/>
      <c r="AH543" s="1048"/>
    </row>
    <row r="544" spans="1:34" x14ac:dyDescent="0.25">
      <c r="A544" s="1058">
        <v>22104</v>
      </c>
      <c r="B544" s="187" t="s">
        <v>3932</v>
      </c>
      <c r="C544" s="110"/>
      <c r="D544" s="433"/>
      <c r="E544" s="207"/>
      <c r="F544" s="1178"/>
      <c r="G544" s="110"/>
      <c r="H544" s="433"/>
      <c r="I544" s="111"/>
      <c r="J544" s="111"/>
      <c r="K544" s="110"/>
      <c r="L544" s="110"/>
      <c r="M544" s="110"/>
      <c r="N544" s="110"/>
      <c r="O544" s="110"/>
      <c r="P544" s="110"/>
      <c r="Q544" s="433"/>
      <c r="R544" s="111"/>
      <c r="S544" s="110"/>
      <c r="T544" s="110"/>
      <c r="U544" s="110"/>
      <c r="V544" s="110"/>
      <c r="W544" s="433"/>
      <c r="X544" s="111"/>
      <c r="Y544" s="110"/>
      <c r="Z544" s="110"/>
      <c r="AA544" s="110"/>
      <c r="AB544" s="110"/>
      <c r="AC544" s="433"/>
      <c r="AD544" s="111"/>
      <c r="AE544" s="110"/>
      <c r="AF544" s="110"/>
      <c r="AG544" s="110"/>
      <c r="AH544" s="1048"/>
    </row>
    <row r="545" spans="1:34" ht="45" x14ac:dyDescent="0.25">
      <c r="A545" s="1047"/>
      <c r="B545" s="110" t="s">
        <v>3933</v>
      </c>
      <c r="C545" s="110"/>
      <c r="D545" s="433">
        <v>2500</v>
      </c>
      <c r="E545" s="207" t="s">
        <v>3687</v>
      </c>
      <c r="F545" s="1178" t="s">
        <v>4353</v>
      </c>
      <c r="G545" s="1056" t="s">
        <v>4306</v>
      </c>
      <c r="H545" s="433" t="s">
        <v>3478</v>
      </c>
      <c r="I545" s="111">
        <v>38.5</v>
      </c>
      <c r="J545" s="111">
        <v>96250</v>
      </c>
      <c r="K545" s="110"/>
      <c r="L545" s="110"/>
      <c r="M545" s="110"/>
      <c r="N545" s="110"/>
      <c r="O545" s="110"/>
      <c r="P545" s="110"/>
      <c r="Q545" s="433">
        <v>1500</v>
      </c>
      <c r="R545" s="111">
        <v>32083.333333333332</v>
      </c>
      <c r="S545" s="110"/>
      <c r="T545" s="110"/>
      <c r="U545" s="110"/>
      <c r="V545" s="110"/>
      <c r="W545" s="433">
        <v>500</v>
      </c>
      <c r="X545" s="111">
        <v>32083.333333333332</v>
      </c>
      <c r="Y545" s="110"/>
      <c r="Z545" s="110"/>
      <c r="AA545" s="110"/>
      <c r="AB545" s="110"/>
      <c r="AC545" s="433">
        <v>500</v>
      </c>
      <c r="AD545" s="111">
        <v>32083.333333333332</v>
      </c>
      <c r="AE545" s="110"/>
      <c r="AF545" s="110"/>
      <c r="AG545" s="110"/>
      <c r="AH545" s="1048"/>
    </row>
    <row r="546" spans="1:34" ht="45" x14ac:dyDescent="0.25">
      <c r="A546" s="1047"/>
      <c r="B546" s="110" t="s">
        <v>3934</v>
      </c>
      <c r="C546" s="110"/>
      <c r="D546" s="433">
        <v>500</v>
      </c>
      <c r="E546" s="207" t="s">
        <v>3687</v>
      </c>
      <c r="F546" s="1178" t="s">
        <v>4353</v>
      </c>
      <c r="G546" s="1056" t="s">
        <v>4306</v>
      </c>
      <c r="H546" s="433" t="s">
        <v>3478</v>
      </c>
      <c r="I546" s="111">
        <v>36.299999999999997</v>
      </c>
      <c r="J546" s="111">
        <v>18150</v>
      </c>
      <c r="K546" s="110"/>
      <c r="L546" s="110"/>
      <c r="M546" s="110"/>
      <c r="N546" s="110"/>
      <c r="O546" s="110"/>
      <c r="P546" s="110"/>
      <c r="Q546" s="433">
        <v>300</v>
      </c>
      <c r="R546" s="111">
        <v>6050</v>
      </c>
      <c r="S546" s="110"/>
      <c r="T546" s="110"/>
      <c r="U546" s="110"/>
      <c r="V546" s="110"/>
      <c r="W546" s="433">
        <v>100</v>
      </c>
      <c r="X546" s="111">
        <v>6050</v>
      </c>
      <c r="Y546" s="110"/>
      <c r="Z546" s="110"/>
      <c r="AA546" s="110"/>
      <c r="AB546" s="110"/>
      <c r="AC546" s="433">
        <v>100</v>
      </c>
      <c r="AD546" s="111">
        <v>6050</v>
      </c>
      <c r="AE546" s="110"/>
      <c r="AF546" s="110"/>
      <c r="AG546" s="110"/>
      <c r="AH546" s="1048"/>
    </row>
    <row r="547" spans="1:34" ht="45" x14ac:dyDescent="0.25">
      <c r="A547" s="1047"/>
      <c r="B547" s="110" t="s">
        <v>3935</v>
      </c>
      <c r="C547" s="110"/>
      <c r="D547" s="433">
        <v>599</v>
      </c>
      <c r="E547" s="207" t="s">
        <v>3687</v>
      </c>
      <c r="F547" s="1178" t="s">
        <v>4353</v>
      </c>
      <c r="G547" s="1056" t="s">
        <v>4306</v>
      </c>
      <c r="H547" s="433" t="s">
        <v>3478</v>
      </c>
      <c r="I547" s="111">
        <v>52.8</v>
      </c>
      <c r="J547" s="111">
        <v>31627.199999999997</v>
      </c>
      <c r="K547" s="110"/>
      <c r="L547" s="110"/>
      <c r="M547" s="110"/>
      <c r="N547" s="110"/>
      <c r="O547" s="110"/>
      <c r="P547" s="110"/>
      <c r="Q547" s="433">
        <v>399</v>
      </c>
      <c r="R547" s="111">
        <v>10542.4</v>
      </c>
      <c r="S547" s="110"/>
      <c r="T547" s="110"/>
      <c r="U547" s="110"/>
      <c r="V547" s="110"/>
      <c r="W547" s="433">
        <v>100</v>
      </c>
      <c r="X547" s="111">
        <v>10542.4</v>
      </c>
      <c r="Y547" s="110"/>
      <c r="Z547" s="110"/>
      <c r="AA547" s="110"/>
      <c r="AB547" s="110"/>
      <c r="AC547" s="433">
        <v>100</v>
      </c>
      <c r="AD547" s="111">
        <v>10542.4</v>
      </c>
      <c r="AE547" s="110"/>
      <c r="AF547" s="110"/>
      <c r="AG547" s="110"/>
      <c r="AH547" s="1048"/>
    </row>
    <row r="548" spans="1:34" ht="45" x14ac:dyDescent="0.25">
      <c r="A548" s="1047"/>
      <c r="B548" s="110" t="s">
        <v>3936</v>
      </c>
      <c r="C548" s="110"/>
      <c r="D548" s="433">
        <v>400</v>
      </c>
      <c r="E548" s="207" t="s">
        <v>3687</v>
      </c>
      <c r="F548" s="1178" t="s">
        <v>4353</v>
      </c>
      <c r="G548" s="1056" t="s">
        <v>4306</v>
      </c>
      <c r="H548" s="433" t="s">
        <v>3478</v>
      </c>
      <c r="I548" s="111">
        <v>55</v>
      </c>
      <c r="J548" s="111">
        <v>22000</v>
      </c>
      <c r="K548" s="110"/>
      <c r="L548" s="110"/>
      <c r="M548" s="110"/>
      <c r="N548" s="110"/>
      <c r="O548" s="110"/>
      <c r="P548" s="110"/>
      <c r="Q548" s="433">
        <v>200</v>
      </c>
      <c r="R548" s="111">
        <v>7333.333333333333</v>
      </c>
      <c r="S548" s="110"/>
      <c r="T548" s="110"/>
      <c r="U548" s="110"/>
      <c r="V548" s="110"/>
      <c r="W548" s="433">
        <v>100</v>
      </c>
      <c r="X548" s="111">
        <v>7333.333333333333</v>
      </c>
      <c r="Y548" s="110"/>
      <c r="Z548" s="110"/>
      <c r="AA548" s="110"/>
      <c r="AB548" s="110"/>
      <c r="AC548" s="433">
        <v>100</v>
      </c>
      <c r="AD548" s="111">
        <v>7333.333333333333</v>
      </c>
      <c r="AE548" s="110"/>
      <c r="AF548" s="110"/>
      <c r="AG548" s="110"/>
      <c r="AH548" s="1048"/>
    </row>
    <row r="549" spans="1:34" ht="45" x14ac:dyDescent="0.25">
      <c r="A549" s="1047"/>
      <c r="B549" s="110" t="s">
        <v>3937</v>
      </c>
      <c r="C549" s="110"/>
      <c r="D549" s="433">
        <v>400</v>
      </c>
      <c r="E549" s="207" t="s">
        <v>3687</v>
      </c>
      <c r="F549" s="1178" t="s">
        <v>4353</v>
      </c>
      <c r="G549" s="1056" t="s">
        <v>4306</v>
      </c>
      <c r="H549" s="433" t="s">
        <v>3478</v>
      </c>
      <c r="I549" s="111">
        <v>35.200000000000003</v>
      </c>
      <c r="J549" s="111">
        <v>14080.000000000002</v>
      </c>
      <c r="K549" s="110"/>
      <c r="L549" s="110"/>
      <c r="M549" s="110"/>
      <c r="N549" s="110"/>
      <c r="O549" s="110"/>
      <c r="P549" s="110"/>
      <c r="Q549" s="433">
        <v>200</v>
      </c>
      <c r="R549" s="111">
        <v>4693.3333333333339</v>
      </c>
      <c r="S549" s="110"/>
      <c r="T549" s="110"/>
      <c r="U549" s="110"/>
      <c r="V549" s="110"/>
      <c r="W549" s="433">
        <v>100</v>
      </c>
      <c r="X549" s="111">
        <v>4693.3333333333339</v>
      </c>
      <c r="Y549" s="110"/>
      <c r="Z549" s="110"/>
      <c r="AA549" s="110"/>
      <c r="AB549" s="110"/>
      <c r="AC549" s="433">
        <v>100</v>
      </c>
      <c r="AD549" s="111">
        <v>4693.3333333333339</v>
      </c>
      <c r="AE549" s="110"/>
      <c r="AF549" s="110"/>
      <c r="AG549" s="110"/>
      <c r="AH549" s="1048"/>
    </row>
    <row r="550" spans="1:34" ht="45" x14ac:dyDescent="0.25">
      <c r="A550" s="1047"/>
      <c r="B550" s="110" t="s">
        <v>3938</v>
      </c>
      <c r="C550" s="110"/>
      <c r="D550" s="433">
        <v>60</v>
      </c>
      <c r="E550" s="207" t="s">
        <v>3687</v>
      </c>
      <c r="F550" s="1178" t="s">
        <v>4353</v>
      </c>
      <c r="G550" s="1056" t="s">
        <v>4306</v>
      </c>
      <c r="H550" s="433" t="s">
        <v>3478</v>
      </c>
      <c r="I550" s="111">
        <v>35</v>
      </c>
      <c r="J550" s="111">
        <v>2100</v>
      </c>
      <c r="K550" s="110"/>
      <c r="L550" s="110"/>
      <c r="M550" s="110"/>
      <c r="N550" s="110"/>
      <c r="O550" s="110"/>
      <c r="P550" s="110"/>
      <c r="Q550" s="433">
        <v>20</v>
      </c>
      <c r="R550" s="111">
        <v>700</v>
      </c>
      <c r="S550" s="110"/>
      <c r="T550" s="110"/>
      <c r="U550" s="110"/>
      <c r="V550" s="110"/>
      <c r="W550" s="433">
        <v>20</v>
      </c>
      <c r="X550" s="111">
        <v>700</v>
      </c>
      <c r="Y550" s="110"/>
      <c r="Z550" s="110"/>
      <c r="AA550" s="110"/>
      <c r="AB550" s="110"/>
      <c r="AC550" s="433">
        <v>20</v>
      </c>
      <c r="AD550" s="111">
        <v>700</v>
      </c>
      <c r="AE550" s="110"/>
      <c r="AF550" s="110"/>
      <c r="AG550" s="110"/>
      <c r="AH550" s="1048"/>
    </row>
    <row r="551" spans="1:34" ht="45" x14ac:dyDescent="0.25">
      <c r="A551" s="1047"/>
      <c r="B551" s="110" t="s">
        <v>3939</v>
      </c>
      <c r="C551" s="110"/>
      <c r="D551" s="433">
        <v>40</v>
      </c>
      <c r="E551" s="207" t="s">
        <v>1767</v>
      </c>
      <c r="F551" s="1178" t="s">
        <v>4353</v>
      </c>
      <c r="G551" s="1056" t="s">
        <v>4306</v>
      </c>
      <c r="H551" s="433" t="s">
        <v>3478</v>
      </c>
      <c r="I551" s="111">
        <v>35</v>
      </c>
      <c r="J551" s="111">
        <v>1400</v>
      </c>
      <c r="K551" s="110"/>
      <c r="L551" s="110"/>
      <c r="M551" s="110"/>
      <c r="N551" s="110"/>
      <c r="O551" s="110"/>
      <c r="P551" s="110"/>
      <c r="Q551" s="433">
        <v>20</v>
      </c>
      <c r="R551" s="111">
        <v>466.66666666666669</v>
      </c>
      <c r="S551" s="110"/>
      <c r="T551" s="110"/>
      <c r="U551" s="110"/>
      <c r="V551" s="110"/>
      <c r="W551" s="433">
        <v>10</v>
      </c>
      <c r="X551" s="111">
        <v>466.66666666666669</v>
      </c>
      <c r="Y551" s="110"/>
      <c r="Z551" s="110"/>
      <c r="AA551" s="110"/>
      <c r="AB551" s="110"/>
      <c r="AC551" s="433">
        <v>10</v>
      </c>
      <c r="AD551" s="111">
        <v>466.66666666666669</v>
      </c>
      <c r="AE551" s="110"/>
      <c r="AF551" s="110"/>
      <c r="AG551" s="110"/>
      <c r="AH551" s="1048"/>
    </row>
    <row r="552" spans="1:34" ht="45" x14ac:dyDescent="0.25">
      <c r="A552" s="1047"/>
      <c r="B552" s="110" t="s">
        <v>3940</v>
      </c>
      <c r="C552" s="110"/>
      <c r="D552" s="433">
        <v>40</v>
      </c>
      <c r="E552" s="207" t="s">
        <v>3687</v>
      </c>
      <c r="F552" s="1178" t="s">
        <v>4353</v>
      </c>
      <c r="G552" s="1056" t="s">
        <v>4306</v>
      </c>
      <c r="H552" s="433" t="s">
        <v>3478</v>
      </c>
      <c r="I552" s="111">
        <v>71.5</v>
      </c>
      <c r="J552" s="111">
        <v>2860</v>
      </c>
      <c r="K552" s="110"/>
      <c r="L552" s="110"/>
      <c r="M552" s="110"/>
      <c r="N552" s="110"/>
      <c r="O552" s="110"/>
      <c r="P552" s="110"/>
      <c r="Q552" s="433">
        <v>20</v>
      </c>
      <c r="R552" s="111">
        <v>953.33333333333337</v>
      </c>
      <c r="S552" s="110"/>
      <c r="T552" s="110"/>
      <c r="U552" s="110"/>
      <c r="V552" s="110"/>
      <c r="W552" s="433">
        <v>10</v>
      </c>
      <c r="X552" s="111">
        <v>953.33333333333337</v>
      </c>
      <c r="Y552" s="110"/>
      <c r="Z552" s="110"/>
      <c r="AA552" s="110"/>
      <c r="AB552" s="110"/>
      <c r="AC552" s="433">
        <v>10</v>
      </c>
      <c r="AD552" s="111">
        <v>953.33333333333337</v>
      </c>
      <c r="AE552" s="110"/>
      <c r="AF552" s="110"/>
      <c r="AG552" s="110"/>
      <c r="AH552" s="1048"/>
    </row>
    <row r="553" spans="1:34" ht="45" x14ac:dyDescent="0.25">
      <c r="A553" s="1047"/>
      <c r="B553" s="110" t="s">
        <v>3941</v>
      </c>
      <c r="C553" s="110"/>
      <c r="D553" s="433">
        <v>6</v>
      </c>
      <c r="E553" s="207" t="s">
        <v>3687</v>
      </c>
      <c r="F553" s="1178" t="s">
        <v>4353</v>
      </c>
      <c r="G553" s="1056" t="s">
        <v>4306</v>
      </c>
      <c r="H553" s="433" t="s">
        <v>3478</v>
      </c>
      <c r="I553" s="111">
        <v>77</v>
      </c>
      <c r="J553" s="111">
        <v>462</v>
      </c>
      <c r="K553" s="110"/>
      <c r="L553" s="110"/>
      <c r="M553" s="110"/>
      <c r="N553" s="110"/>
      <c r="O553" s="110"/>
      <c r="P553" s="110"/>
      <c r="Q553" s="433">
        <v>2</v>
      </c>
      <c r="R553" s="111">
        <v>154</v>
      </c>
      <c r="S553" s="110"/>
      <c r="T553" s="110"/>
      <c r="U553" s="110"/>
      <c r="V553" s="110"/>
      <c r="W553" s="433">
        <v>2</v>
      </c>
      <c r="X553" s="111">
        <v>154</v>
      </c>
      <c r="Y553" s="110"/>
      <c r="Z553" s="110"/>
      <c r="AA553" s="110"/>
      <c r="AB553" s="110"/>
      <c r="AC553" s="433">
        <v>2</v>
      </c>
      <c r="AD553" s="111">
        <v>154</v>
      </c>
      <c r="AE553" s="110"/>
      <c r="AF553" s="110"/>
      <c r="AG553" s="110"/>
      <c r="AH553" s="1048"/>
    </row>
    <row r="554" spans="1:34" ht="45" x14ac:dyDescent="0.25">
      <c r="A554" s="1047"/>
      <c r="B554" s="110" t="s">
        <v>3942</v>
      </c>
      <c r="C554" s="110"/>
      <c r="D554" s="433">
        <v>1100</v>
      </c>
      <c r="E554" s="207" t="s">
        <v>3687</v>
      </c>
      <c r="F554" s="1178" t="s">
        <v>4353</v>
      </c>
      <c r="G554" s="1056" t="s">
        <v>4306</v>
      </c>
      <c r="H554" s="433" t="s">
        <v>3478</v>
      </c>
      <c r="I554" s="111">
        <v>38.5</v>
      </c>
      <c r="J554" s="111">
        <v>42350</v>
      </c>
      <c r="K554" s="110"/>
      <c r="L554" s="110"/>
      <c r="M554" s="110"/>
      <c r="N554" s="110"/>
      <c r="O554" s="110"/>
      <c r="P554" s="110"/>
      <c r="Q554" s="433">
        <v>500</v>
      </c>
      <c r="R554" s="111">
        <v>14116.666666666666</v>
      </c>
      <c r="S554" s="110"/>
      <c r="T554" s="110"/>
      <c r="U554" s="110"/>
      <c r="V554" s="110"/>
      <c r="W554" s="433">
        <v>300</v>
      </c>
      <c r="X554" s="111">
        <v>14116.666666666666</v>
      </c>
      <c r="Y554" s="110"/>
      <c r="Z554" s="110"/>
      <c r="AA554" s="110"/>
      <c r="AB554" s="110"/>
      <c r="AC554" s="433">
        <v>300</v>
      </c>
      <c r="AD554" s="111">
        <v>14116.666666666666</v>
      </c>
      <c r="AE554" s="110"/>
      <c r="AF554" s="110"/>
      <c r="AG554" s="110"/>
      <c r="AH554" s="1048"/>
    </row>
    <row r="555" spans="1:34" ht="45" x14ac:dyDescent="0.25">
      <c r="A555" s="1047"/>
      <c r="B555" s="110" t="s">
        <v>3943</v>
      </c>
      <c r="C555" s="110"/>
      <c r="D555" s="433">
        <v>500</v>
      </c>
      <c r="E555" s="207" t="s">
        <v>3687</v>
      </c>
      <c r="F555" s="1178" t="s">
        <v>4353</v>
      </c>
      <c r="G555" s="1056" t="s">
        <v>4306</v>
      </c>
      <c r="H555" s="433" t="s">
        <v>3478</v>
      </c>
      <c r="I555" s="111">
        <v>33</v>
      </c>
      <c r="J555" s="111">
        <v>16500</v>
      </c>
      <c r="K555" s="110"/>
      <c r="L555" s="110"/>
      <c r="M555" s="110"/>
      <c r="N555" s="110"/>
      <c r="O555" s="110"/>
      <c r="P555" s="110"/>
      <c r="Q555" s="433">
        <v>300</v>
      </c>
      <c r="R555" s="111">
        <v>5500</v>
      </c>
      <c r="S555" s="110"/>
      <c r="T555" s="110"/>
      <c r="U555" s="110"/>
      <c r="V555" s="110"/>
      <c r="W555" s="433">
        <v>100</v>
      </c>
      <c r="X555" s="111">
        <v>5500</v>
      </c>
      <c r="Y555" s="110"/>
      <c r="Z555" s="110"/>
      <c r="AA555" s="110"/>
      <c r="AB555" s="110"/>
      <c r="AC555" s="433">
        <v>100</v>
      </c>
      <c r="AD555" s="111">
        <v>5500</v>
      </c>
      <c r="AE555" s="110"/>
      <c r="AF555" s="110"/>
      <c r="AG555" s="110"/>
      <c r="AH555" s="1048"/>
    </row>
    <row r="556" spans="1:34" ht="45" x14ac:dyDescent="0.25">
      <c r="A556" s="1047"/>
      <c r="B556" s="110" t="s">
        <v>3944</v>
      </c>
      <c r="C556" s="110"/>
      <c r="D556" s="433">
        <v>100</v>
      </c>
      <c r="E556" s="207" t="s">
        <v>3687</v>
      </c>
      <c r="F556" s="1178" t="s">
        <v>4353</v>
      </c>
      <c r="G556" s="1056" t="s">
        <v>4306</v>
      </c>
      <c r="H556" s="433" t="s">
        <v>3478</v>
      </c>
      <c r="I556" s="111">
        <v>41.8</v>
      </c>
      <c r="J556" s="111">
        <v>4180</v>
      </c>
      <c r="K556" s="110"/>
      <c r="L556" s="110"/>
      <c r="M556" s="110"/>
      <c r="N556" s="110"/>
      <c r="O556" s="110"/>
      <c r="P556" s="110"/>
      <c r="Q556" s="433">
        <v>40</v>
      </c>
      <c r="R556" s="111">
        <v>1393.3333333333333</v>
      </c>
      <c r="S556" s="110"/>
      <c r="T556" s="110"/>
      <c r="U556" s="110"/>
      <c r="V556" s="110"/>
      <c r="W556" s="433">
        <v>30</v>
      </c>
      <c r="X556" s="111">
        <v>1393.3333333333333</v>
      </c>
      <c r="Y556" s="110"/>
      <c r="Z556" s="110"/>
      <c r="AA556" s="110"/>
      <c r="AB556" s="110"/>
      <c r="AC556" s="433">
        <v>30</v>
      </c>
      <c r="AD556" s="111">
        <v>1393.3333333333333</v>
      </c>
      <c r="AE556" s="110"/>
      <c r="AF556" s="110"/>
      <c r="AG556" s="110"/>
      <c r="AH556" s="1048"/>
    </row>
    <row r="557" spans="1:34" ht="45" x14ac:dyDescent="0.25">
      <c r="A557" s="1047"/>
      <c r="B557" s="110" t="s">
        <v>3945</v>
      </c>
      <c r="C557" s="110"/>
      <c r="D557" s="433">
        <v>3</v>
      </c>
      <c r="E557" s="207" t="s">
        <v>3687</v>
      </c>
      <c r="F557" s="1178" t="s">
        <v>4353</v>
      </c>
      <c r="G557" s="1056" t="s">
        <v>4306</v>
      </c>
      <c r="H557" s="433" t="s">
        <v>3478</v>
      </c>
      <c r="I557" s="111">
        <v>44</v>
      </c>
      <c r="J557" s="111">
        <v>132</v>
      </c>
      <c r="K557" s="110"/>
      <c r="L557" s="110"/>
      <c r="M557" s="110"/>
      <c r="N557" s="110"/>
      <c r="O557" s="110"/>
      <c r="P557" s="110"/>
      <c r="Q557" s="433">
        <v>1</v>
      </c>
      <c r="R557" s="111">
        <v>44</v>
      </c>
      <c r="S557" s="110"/>
      <c r="T557" s="110"/>
      <c r="U557" s="110"/>
      <c r="V557" s="110"/>
      <c r="W557" s="433">
        <v>1</v>
      </c>
      <c r="X557" s="111">
        <v>44</v>
      </c>
      <c r="Y557" s="110"/>
      <c r="Z557" s="110"/>
      <c r="AA557" s="110"/>
      <c r="AB557" s="110"/>
      <c r="AC557" s="433">
        <v>1</v>
      </c>
      <c r="AD557" s="111">
        <v>44</v>
      </c>
      <c r="AE557" s="110"/>
      <c r="AF557" s="110"/>
      <c r="AG557" s="110"/>
      <c r="AH557" s="1048"/>
    </row>
    <row r="558" spans="1:34" ht="45" x14ac:dyDescent="0.25">
      <c r="A558" s="1047"/>
      <c r="B558" s="110" t="s">
        <v>3946</v>
      </c>
      <c r="C558" s="110"/>
      <c r="D558" s="433">
        <v>80</v>
      </c>
      <c r="E558" s="207" t="s">
        <v>3687</v>
      </c>
      <c r="F558" s="1178" t="s">
        <v>4353</v>
      </c>
      <c r="G558" s="1056" t="s">
        <v>4306</v>
      </c>
      <c r="H558" s="433" t="s">
        <v>3478</v>
      </c>
      <c r="I558" s="111">
        <v>38.5</v>
      </c>
      <c r="J558" s="111">
        <v>3080</v>
      </c>
      <c r="K558" s="110"/>
      <c r="L558" s="110"/>
      <c r="M558" s="110"/>
      <c r="N558" s="110"/>
      <c r="O558" s="110"/>
      <c r="P558" s="110"/>
      <c r="Q558" s="433">
        <v>40</v>
      </c>
      <c r="R558" s="111">
        <v>1026.6666666666667</v>
      </c>
      <c r="S558" s="110"/>
      <c r="T558" s="110"/>
      <c r="U558" s="110"/>
      <c r="V558" s="110"/>
      <c r="W558" s="433">
        <v>20</v>
      </c>
      <c r="X558" s="111">
        <v>1026.6666666666667</v>
      </c>
      <c r="Y558" s="110"/>
      <c r="Z558" s="110"/>
      <c r="AA558" s="110"/>
      <c r="AB558" s="110"/>
      <c r="AC558" s="433">
        <v>20</v>
      </c>
      <c r="AD558" s="111">
        <v>1026.6666666666667</v>
      </c>
      <c r="AE558" s="110"/>
      <c r="AF558" s="110"/>
      <c r="AG558" s="110"/>
      <c r="AH558" s="1048"/>
    </row>
    <row r="559" spans="1:34" ht="45" x14ac:dyDescent="0.25">
      <c r="A559" s="1047"/>
      <c r="B559" s="110" t="s">
        <v>3947</v>
      </c>
      <c r="C559" s="110"/>
      <c r="D559" s="433">
        <v>350</v>
      </c>
      <c r="E559" s="207" t="s">
        <v>3687</v>
      </c>
      <c r="F559" s="1178" t="s">
        <v>4353</v>
      </c>
      <c r="G559" s="1056" t="s">
        <v>4306</v>
      </c>
      <c r="H559" s="433" t="s">
        <v>3478</v>
      </c>
      <c r="I559" s="111">
        <v>22</v>
      </c>
      <c r="J559" s="111">
        <v>7700</v>
      </c>
      <c r="K559" s="110"/>
      <c r="L559" s="110"/>
      <c r="M559" s="110"/>
      <c r="N559" s="110"/>
      <c r="O559" s="110"/>
      <c r="P559" s="110"/>
      <c r="Q559" s="433">
        <v>150</v>
      </c>
      <c r="R559" s="111">
        <v>2566.6666666666665</v>
      </c>
      <c r="S559" s="110"/>
      <c r="T559" s="110"/>
      <c r="U559" s="110"/>
      <c r="V559" s="110"/>
      <c r="W559" s="433">
        <v>100</v>
      </c>
      <c r="X559" s="111">
        <v>2566.6666666666665</v>
      </c>
      <c r="Y559" s="110"/>
      <c r="Z559" s="110"/>
      <c r="AA559" s="110"/>
      <c r="AB559" s="110"/>
      <c r="AC559" s="433">
        <v>100</v>
      </c>
      <c r="AD559" s="111">
        <v>2566.6666666666665</v>
      </c>
      <c r="AE559" s="110"/>
      <c r="AF559" s="110"/>
      <c r="AG559" s="110"/>
      <c r="AH559" s="1048"/>
    </row>
    <row r="560" spans="1:34" ht="45" x14ac:dyDescent="0.25">
      <c r="A560" s="1047"/>
      <c r="B560" s="110" t="s">
        <v>3948</v>
      </c>
      <c r="C560" s="110"/>
      <c r="D560" s="433">
        <v>280</v>
      </c>
      <c r="E560" s="207" t="s">
        <v>3687</v>
      </c>
      <c r="F560" s="1178" t="s">
        <v>4353</v>
      </c>
      <c r="G560" s="1056" t="s">
        <v>4306</v>
      </c>
      <c r="H560" s="433" t="s">
        <v>3478</v>
      </c>
      <c r="I560" s="111">
        <v>19.8</v>
      </c>
      <c r="J560" s="111">
        <v>5544</v>
      </c>
      <c r="K560" s="110"/>
      <c r="L560" s="110"/>
      <c r="M560" s="110"/>
      <c r="N560" s="110"/>
      <c r="O560" s="110"/>
      <c r="P560" s="110"/>
      <c r="Q560" s="433">
        <v>180</v>
      </c>
      <c r="R560" s="111">
        <v>1848</v>
      </c>
      <c r="S560" s="110"/>
      <c r="T560" s="110"/>
      <c r="U560" s="110"/>
      <c r="V560" s="110"/>
      <c r="W560" s="433">
        <v>50</v>
      </c>
      <c r="X560" s="111">
        <v>1848</v>
      </c>
      <c r="Y560" s="110"/>
      <c r="Z560" s="110"/>
      <c r="AA560" s="110"/>
      <c r="AB560" s="110"/>
      <c r="AC560" s="433">
        <v>50</v>
      </c>
      <c r="AD560" s="111">
        <v>1848</v>
      </c>
      <c r="AE560" s="110"/>
      <c r="AF560" s="110"/>
      <c r="AG560" s="110"/>
      <c r="AH560" s="1048"/>
    </row>
    <row r="561" spans="1:34" ht="45" x14ac:dyDescent="0.25">
      <c r="A561" s="1047"/>
      <c r="B561" s="110" t="s">
        <v>3949</v>
      </c>
      <c r="C561" s="110"/>
      <c r="D561" s="433">
        <v>100</v>
      </c>
      <c r="E561" s="207" t="s">
        <v>1767</v>
      </c>
      <c r="F561" s="1178" t="s">
        <v>4353</v>
      </c>
      <c r="G561" s="1056" t="s">
        <v>4306</v>
      </c>
      <c r="H561" s="433" t="s">
        <v>3478</v>
      </c>
      <c r="I561" s="111">
        <v>33</v>
      </c>
      <c r="J561" s="111">
        <v>3300</v>
      </c>
      <c r="K561" s="110"/>
      <c r="L561" s="110"/>
      <c r="M561" s="110"/>
      <c r="N561" s="110"/>
      <c r="O561" s="110"/>
      <c r="P561" s="110"/>
      <c r="Q561" s="433">
        <v>40</v>
      </c>
      <c r="R561" s="111">
        <v>1100</v>
      </c>
      <c r="S561" s="110"/>
      <c r="T561" s="110"/>
      <c r="U561" s="110"/>
      <c r="V561" s="110"/>
      <c r="W561" s="433">
        <v>30</v>
      </c>
      <c r="X561" s="111">
        <v>1100</v>
      </c>
      <c r="Y561" s="110"/>
      <c r="Z561" s="110"/>
      <c r="AA561" s="110"/>
      <c r="AB561" s="110"/>
      <c r="AC561" s="433">
        <v>30</v>
      </c>
      <c r="AD561" s="111">
        <v>1100</v>
      </c>
      <c r="AE561" s="110"/>
      <c r="AF561" s="110"/>
      <c r="AG561" s="110"/>
      <c r="AH561" s="1048"/>
    </row>
    <row r="562" spans="1:34" ht="45" x14ac:dyDescent="0.25">
      <c r="A562" s="1047"/>
      <c r="B562" s="110" t="s">
        <v>3950</v>
      </c>
      <c r="C562" s="110"/>
      <c r="D562" s="433">
        <v>24</v>
      </c>
      <c r="E562" s="207" t="s">
        <v>3687</v>
      </c>
      <c r="F562" s="1178" t="s">
        <v>4353</v>
      </c>
      <c r="G562" s="1056" t="s">
        <v>4306</v>
      </c>
      <c r="H562" s="433" t="s">
        <v>3478</v>
      </c>
      <c r="I562" s="111">
        <v>47</v>
      </c>
      <c r="J562" s="111">
        <v>1128</v>
      </c>
      <c r="K562" s="110"/>
      <c r="L562" s="110"/>
      <c r="M562" s="110"/>
      <c r="N562" s="110"/>
      <c r="O562" s="110"/>
      <c r="P562" s="110"/>
      <c r="Q562" s="433">
        <v>12</v>
      </c>
      <c r="R562" s="111">
        <v>376</v>
      </c>
      <c r="S562" s="110"/>
      <c r="T562" s="110"/>
      <c r="U562" s="110"/>
      <c r="V562" s="110"/>
      <c r="W562" s="433">
        <v>6</v>
      </c>
      <c r="X562" s="111">
        <v>376</v>
      </c>
      <c r="Y562" s="110"/>
      <c r="Z562" s="110"/>
      <c r="AA562" s="110"/>
      <c r="AB562" s="110"/>
      <c r="AC562" s="433">
        <v>6</v>
      </c>
      <c r="AD562" s="111">
        <v>376</v>
      </c>
      <c r="AE562" s="110"/>
      <c r="AF562" s="110"/>
      <c r="AG562" s="110"/>
      <c r="AH562" s="1048"/>
    </row>
    <row r="563" spans="1:34" ht="45" x14ac:dyDescent="0.25">
      <c r="A563" s="1047"/>
      <c r="B563" s="110" t="s">
        <v>3951</v>
      </c>
      <c r="C563" s="110"/>
      <c r="D563" s="433">
        <v>24</v>
      </c>
      <c r="E563" s="207" t="s">
        <v>3687</v>
      </c>
      <c r="F563" s="1178" t="s">
        <v>4353</v>
      </c>
      <c r="G563" s="1056" t="s">
        <v>4306</v>
      </c>
      <c r="H563" s="433" t="s">
        <v>3478</v>
      </c>
      <c r="I563" s="111">
        <v>35</v>
      </c>
      <c r="J563" s="111">
        <v>840</v>
      </c>
      <c r="K563" s="110"/>
      <c r="L563" s="110"/>
      <c r="M563" s="110"/>
      <c r="N563" s="110"/>
      <c r="O563" s="110"/>
      <c r="P563" s="110"/>
      <c r="Q563" s="433">
        <v>12</v>
      </c>
      <c r="R563" s="111">
        <v>280</v>
      </c>
      <c r="S563" s="110"/>
      <c r="T563" s="110"/>
      <c r="U563" s="110"/>
      <c r="V563" s="110"/>
      <c r="W563" s="433">
        <v>6</v>
      </c>
      <c r="X563" s="111">
        <v>280</v>
      </c>
      <c r="Y563" s="110"/>
      <c r="Z563" s="110"/>
      <c r="AA563" s="110"/>
      <c r="AB563" s="110"/>
      <c r="AC563" s="433">
        <v>6</v>
      </c>
      <c r="AD563" s="111">
        <v>280</v>
      </c>
      <c r="AE563" s="110"/>
      <c r="AF563" s="110"/>
      <c r="AG563" s="110"/>
      <c r="AH563" s="1048"/>
    </row>
    <row r="564" spans="1:34" ht="45" x14ac:dyDescent="0.25">
      <c r="A564" s="1047"/>
      <c r="B564" s="110" t="s">
        <v>3952</v>
      </c>
      <c r="C564" s="110"/>
      <c r="D564" s="433">
        <v>30</v>
      </c>
      <c r="E564" s="207" t="s">
        <v>3687</v>
      </c>
      <c r="F564" s="1178" t="s">
        <v>4353</v>
      </c>
      <c r="G564" s="1056" t="s">
        <v>4306</v>
      </c>
      <c r="H564" s="433" t="s">
        <v>3478</v>
      </c>
      <c r="I564" s="111">
        <v>30</v>
      </c>
      <c r="J564" s="111">
        <v>900</v>
      </c>
      <c r="K564" s="110"/>
      <c r="L564" s="110"/>
      <c r="M564" s="110"/>
      <c r="N564" s="110"/>
      <c r="O564" s="110"/>
      <c r="P564" s="110"/>
      <c r="Q564" s="433">
        <v>15</v>
      </c>
      <c r="R564" s="111">
        <v>300</v>
      </c>
      <c r="S564" s="110"/>
      <c r="T564" s="110"/>
      <c r="U564" s="110"/>
      <c r="V564" s="110"/>
      <c r="W564" s="433">
        <v>8</v>
      </c>
      <c r="X564" s="111">
        <v>300</v>
      </c>
      <c r="Y564" s="110"/>
      <c r="Z564" s="110"/>
      <c r="AA564" s="110"/>
      <c r="AB564" s="110"/>
      <c r="AC564" s="433">
        <v>7</v>
      </c>
      <c r="AD564" s="111">
        <v>300</v>
      </c>
      <c r="AE564" s="110"/>
      <c r="AF564" s="110"/>
      <c r="AG564" s="110"/>
      <c r="AH564" s="1048"/>
    </row>
    <row r="565" spans="1:34" ht="45" x14ac:dyDescent="0.25">
      <c r="A565" s="1047"/>
      <c r="B565" s="110" t="s">
        <v>3953</v>
      </c>
      <c r="C565" s="110"/>
      <c r="D565" s="433">
        <v>12</v>
      </c>
      <c r="E565" s="207" t="s">
        <v>3687</v>
      </c>
      <c r="F565" s="1178" t="s">
        <v>4353</v>
      </c>
      <c r="G565" s="1056" t="s">
        <v>4306</v>
      </c>
      <c r="H565" s="433" t="s">
        <v>3478</v>
      </c>
      <c r="I565" s="111">
        <v>126.5</v>
      </c>
      <c r="J565" s="111">
        <v>1518</v>
      </c>
      <c r="K565" s="110"/>
      <c r="L565" s="110"/>
      <c r="M565" s="110"/>
      <c r="N565" s="110"/>
      <c r="O565" s="110"/>
      <c r="P565" s="110"/>
      <c r="Q565" s="433">
        <v>6</v>
      </c>
      <c r="R565" s="111">
        <v>506</v>
      </c>
      <c r="S565" s="110"/>
      <c r="T565" s="110"/>
      <c r="U565" s="110"/>
      <c r="V565" s="110"/>
      <c r="W565" s="433">
        <v>3</v>
      </c>
      <c r="X565" s="111">
        <v>506</v>
      </c>
      <c r="Y565" s="110"/>
      <c r="Z565" s="110"/>
      <c r="AA565" s="110"/>
      <c r="AB565" s="110"/>
      <c r="AC565" s="433">
        <v>3</v>
      </c>
      <c r="AD565" s="111">
        <v>506</v>
      </c>
      <c r="AE565" s="110"/>
      <c r="AF565" s="110"/>
      <c r="AG565" s="110"/>
      <c r="AH565" s="1048"/>
    </row>
    <row r="566" spans="1:34" ht="45" x14ac:dyDescent="0.25">
      <c r="A566" s="1047"/>
      <c r="B566" s="110" t="s">
        <v>3954</v>
      </c>
      <c r="C566" s="110"/>
      <c r="D566" s="433">
        <v>52</v>
      </c>
      <c r="E566" s="207" t="s">
        <v>3955</v>
      </c>
      <c r="F566" s="1178" t="s">
        <v>4353</v>
      </c>
      <c r="G566" s="1056" t="s">
        <v>4306</v>
      </c>
      <c r="H566" s="433" t="s">
        <v>3478</v>
      </c>
      <c r="I566" s="111">
        <v>880</v>
      </c>
      <c r="J566" s="111">
        <v>45760</v>
      </c>
      <c r="K566" s="110"/>
      <c r="L566" s="110"/>
      <c r="M566" s="110"/>
      <c r="N566" s="110"/>
      <c r="O566" s="110"/>
      <c r="P566" s="110"/>
      <c r="Q566" s="433">
        <v>25</v>
      </c>
      <c r="R566" s="111">
        <v>15253.333333333334</v>
      </c>
      <c r="S566" s="110"/>
      <c r="T566" s="110"/>
      <c r="U566" s="110"/>
      <c r="V566" s="110"/>
      <c r="W566" s="433">
        <v>14</v>
      </c>
      <c r="X566" s="111">
        <v>15253.333333333334</v>
      </c>
      <c r="Y566" s="110"/>
      <c r="Z566" s="110"/>
      <c r="AA566" s="110"/>
      <c r="AB566" s="110"/>
      <c r="AC566" s="433">
        <v>13</v>
      </c>
      <c r="AD566" s="111">
        <v>15253.333333333334</v>
      </c>
      <c r="AE566" s="110"/>
      <c r="AF566" s="110"/>
      <c r="AG566" s="110"/>
      <c r="AH566" s="1048"/>
    </row>
    <row r="567" spans="1:34" ht="45" x14ac:dyDescent="0.25">
      <c r="A567" s="1047"/>
      <c r="B567" s="110" t="s">
        <v>3956</v>
      </c>
      <c r="C567" s="110"/>
      <c r="D567" s="433">
        <v>80</v>
      </c>
      <c r="E567" s="207" t="s">
        <v>3687</v>
      </c>
      <c r="F567" s="1178" t="s">
        <v>4353</v>
      </c>
      <c r="G567" s="1056" t="s">
        <v>4306</v>
      </c>
      <c r="H567" s="433" t="s">
        <v>3478</v>
      </c>
      <c r="I567" s="111">
        <v>60.5</v>
      </c>
      <c r="J567" s="111">
        <v>4840</v>
      </c>
      <c r="K567" s="110"/>
      <c r="L567" s="110"/>
      <c r="M567" s="110"/>
      <c r="N567" s="110"/>
      <c r="O567" s="110"/>
      <c r="P567" s="110"/>
      <c r="Q567" s="433">
        <v>40</v>
      </c>
      <c r="R567" s="111">
        <v>1613.3333333333333</v>
      </c>
      <c r="S567" s="110"/>
      <c r="T567" s="110"/>
      <c r="U567" s="110"/>
      <c r="V567" s="110"/>
      <c r="W567" s="433">
        <v>20</v>
      </c>
      <c r="X567" s="111">
        <v>1613.3333333333333</v>
      </c>
      <c r="Y567" s="110"/>
      <c r="Z567" s="110"/>
      <c r="AA567" s="110"/>
      <c r="AB567" s="110"/>
      <c r="AC567" s="433">
        <v>20</v>
      </c>
      <c r="AD567" s="111">
        <v>1613.3333333333333</v>
      </c>
      <c r="AE567" s="110"/>
      <c r="AF567" s="110"/>
      <c r="AG567" s="110"/>
      <c r="AH567" s="1048"/>
    </row>
    <row r="568" spans="1:34" ht="45" x14ac:dyDescent="0.25">
      <c r="A568" s="1047"/>
      <c r="B568" s="110" t="s">
        <v>3957</v>
      </c>
      <c r="C568" s="110"/>
      <c r="D568" s="433">
        <v>1</v>
      </c>
      <c r="E568" s="207" t="s">
        <v>3687</v>
      </c>
      <c r="F568" s="1178" t="s">
        <v>4353</v>
      </c>
      <c r="G568" s="1056" t="s">
        <v>4306</v>
      </c>
      <c r="H568" s="433" t="s">
        <v>3478</v>
      </c>
      <c r="I568" s="111">
        <v>165.05</v>
      </c>
      <c r="J568" s="111">
        <v>165.05</v>
      </c>
      <c r="K568" s="110"/>
      <c r="L568" s="110"/>
      <c r="M568" s="110"/>
      <c r="N568" s="110"/>
      <c r="O568" s="110"/>
      <c r="P568" s="110"/>
      <c r="Q568" s="433">
        <v>1</v>
      </c>
      <c r="R568" s="111">
        <v>55.016666666666673</v>
      </c>
      <c r="S568" s="110"/>
      <c r="T568" s="110"/>
      <c r="U568" s="110"/>
      <c r="V568" s="110"/>
      <c r="W568" s="433">
        <v>0</v>
      </c>
      <c r="X568" s="111">
        <v>55.016666666666673</v>
      </c>
      <c r="Y568" s="110"/>
      <c r="Z568" s="110"/>
      <c r="AA568" s="110"/>
      <c r="AB568" s="110"/>
      <c r="AC568" s="433">
        <v>0</v>
      </c>
      <c r="AD568" s="111">
        <v>55.016666666666673</v>
      </c>
      <c r="AE568" s="110"/>
      <c r="AF568" s="110"/>
      <c r="AG568" s="110"/>
      <c r="AH568" s="1048"/>
    </row>
    <row r="569" spans="1:34" ht="45" x14ac:dyDescent="0.25">
      <c r="A569" s="1047"/>
      <c r="B569" s="110" t="s">
        <v>3958</v>
      </c>
      <c r="C569" s="110"/>
      <c r="D569" s="433">
        <v>1</v>
      </c>
      <c r="E569" s="207" t="s">
        <v>3687</v>
      </c>
      <c r="F569" s="1178" t="s">
        <v>4353</v>
      </c>
      <c r="G569" s="1056" t="s">
        <v>4306</v>
      </c>
      <c r="H569" s="433" t="s">
        <v>3478</v>
      </c>
      <c r="I569" s="111">
        <v>170.5</v>
      </c>
      <c r="J569" s="111">
        <v>170.5</v>
      </c>
      <c r="K569" s="110"/>
      <c r="L569" s="110"/>
      <c r="M569" s="110"/>
      <c r="N569" s="110"/>
      <c r="O569" s="110"/>
      <c r="P569" s="110"/>
      <c r="Q569" s="433">
        <v>1</v>
      </c>
      <c r="R569" s="111">
        <v>56.833333333333336</v>
      </c>
      <c r="S569" s="110"/>
      <c r="T569" s="110"/>
      <c r="U569" s="110"/>
      <c r="V569" s="110"/>
      <c r="W569" s="433">
        <v>0</v>
      </c>
      <c r="X569" s="111">
        <v>56.833333333333336</v>
      </c>
      <c r="Y569" s="110"/>
      <c r="Z569" s="110"/>
      <c r="AA569" s="110"/>
      <c r="AB569" s="110"/>
      <c r="AC569" s="433">
        <v>0</v>
      </c>
      <c r="AD569" s="111">
        <v>56.833333333333336</v>
      </c>
      <c r="AE569" s="110"/>
      <c r="AF569" s="110"/>
      <c r="AG569" s="110"/>
      <c r="AH569" s="1048"/>
    </row>
    <row r="570" spans="1:34" ht="45" x14ac:dyDescent="0.25">
      <c r="A570" s="1047"/>
      <c r="B570" s="110" t="s">
        <v>3959</v>
      </c>
      <c r="C570" s="110"/>
      <c r="D570" s="433">
        <v>1</v>
      </c>
      <c r="E570" s="207" t="s">
        <v>3687</v>
      </c>
      <c r="F570" s="1178" t="s">
        <v>4353</v>
      </c>
      <c r="G570" s="1056" t="s">
        <v>4306</v>
      </c>
      <c r="H570" s="433" t="s">
        <v>3478</v>
      </c>
      <c r="I570" s="111">
        <v>165.83</v>
      </c>
      <c r="J570" s="111">
        <v>165.83</v>
      </c>
      <c r="K570" s="110"/>
      <c r="L570" s="110"/>
      <c r="M570" s="110"/>
      <c r="N570" s="110"/>
      <c r="O570" s="110"/>
      <c r="P570" s="110"/>
      <c r="Q570" s="433">
        <v>1</v>
      </c>
      <c r="R570" s="111">
        <v>55.276666666666671</v>
      </c>
      <c r="S570" s="110"/>
      <c r="T570" s="110"/>
      <c r="U570" s="110"/>
      <c r="V570" s="110"/>
      <c r="W570" s="433">
        <v>0</v>
      </c>
      <c r="X570" s="111">
        <v>55.276666666666671</v>
      </c>
      <c r="Y570" s="110"/>
      <c r="Z570" s="110"/>
      <c r="AA570" s="110"/>
      <c r="AB570" s="110"/>
      <c r="AC570" s="433">
        <v>0</v>
      </c>
      <c r="AD570" s="111">
        <v>55.276666666666671</v>
      </c>
      <c r="AE570" s="110"/>
      <c r="AF570" s="110"/>
      <c r="AG570" s="110"/>
      <c r="AH570" s="1048"/>
    </row>
    <row r="571" spans="1:34" ht="45" x14ac:dyDescent="0.25">
      <c r="A571" s="1047"/>
      <c r="B571" s="110" t="s">
        <v>3960</v>
      </c>
      <c r="C571" s="110"/>
      <c r="D571" s="433">
        <v>5</v>
      </c>
      <c r="E571" s="207" t="s">
        <v>3687</v>
      </c>
      <c r="F571" s="1178" t="s">
        <v>4353</v>
      </c>
      <c r="G571" s="1056" t="s">
        <v>4306</v>
      </c>
      <c r="H571" s="433" t="s">
        <v>3478</v>
      </c>
      <c r="I571" s="111">
        <v>187</v>
      </c>
      <c r="J571" s="111">
        <v>935</v>
      </c>
      <c r="K571" s="110"/>
      <c r="L571" s="110"/>
      <c r="M571" s="110"/>
      <c r="N571" s="110"/>
      <c r="O571" s="110"/>
      <c r="P571" s="110"/>
      <c r="Q571" s="433">
        <v>2</v>
      </c>
      <c r="R571" s="111">
        <v>311.66666666666669</v>
      </c>
      <c r="S571" s="110"/>
      <c r="T571" s="110"/>
      <c r="U571" s="110"/>
      <c r="V571" s="110"/>
      <c r="W571" s="433">
        <v>2</v>
      </c>
      <c r="X571" s="111">
        <v>311.66666666666669</v>
      </c>
      <c r="Y571" s="110"/>
      <c r="Z571" s="110"/>
      <c r="AA571" s="110"/>
      <c r="AB571" s="110"/>
      <c r="AC571" s="433">
        <v>1</v>
      </c>
      <c r="AD571" s="111">
        <v>311.66666666666669</v>
      </c>
      <c r="AE571" s="110"/>
      <c r="AF571" s="110"/>
      <c r="AG571" s="110"/>
      <c r="AH571" s="1048"/>
    </row>
    <row r="572" spans="1:34" ht="45" x14ac:dyDescent="0.25">
      <c r="A572" s="1047"/>
      <c r="B572" s="110" t="s">
        <v>3961</v>
      </c>
      <c r="C572" s="110"/>
      <c r="D572" s="433">
        <v>3</v>
      </c>
      <c r="E572" s="207" t="s">
        <v>3687</v>
      </c>
      <c r="F572" s="1178" t="s">
        <v>4353</v>
      </c>
      <c r="G572" s="1056" t="s">
        <v>4306</v>
      </c>
      <c r="H572" s="433" t="s">
        <v>3478</v>
      </c>
      <c r="I572" s="111">
        <v>214.5</v>
      </c>
      <c r="J572" s="111">
        <v>643.5</v>
      </c>
      <c r="K572" s="110"/>
      <c r="L572" s="110"/>
      <c r="M572" s="110"/>
      <c r="N572" s="110"/>
      <c r="O572" s="110"/>
      <c r="P572" s="110"/>
      <c r="Q572" s="433">
        <v>1</v>
      </c>
      <c r="R572" s="111">
        <v>214.5</v>
      </c>
      <c r="S572" s="110"/>
      <c r="T572" s="110"/>
      <c r="U572" s="110"/>
      <c r="V572" s="110"/>
      <c r="W572" s="433">
        <v>1</v>
      </c>
      <c r="X572" s="111">
        <v>214.5</v>
      </c>
      <c r="Y572" s="110"/>
      <c r="Z572" s="110"/>
      <c r="AA572" s="110"/>
      <c r="AB572" s="110"/>
      <c r="AC572" s="433">
        <v>1</v>
      </c>
      <c r="AD572" s="111">
        <v>214.5</v>
      </c>
      <c r="AE572" s="110"/>
      <c r="AF572" s="110"/>
      <c r="AG572" s="110"/>
      <c r="AH572" s="1048"/>
    </row>
    <row r="573" spans="1:34" ht="45" x14ac:dyDescent="0.25">
      <c r="A573" s="1047"/>
      <c r="B573" s="110" t="s">
        <v>3962</v>
      </c>
      <c r="C573" s="110"/>
      <c r="D573" s="433">
        <v>6</v>
      </c>
      <c r="E573" s="207" t="s">
        <v>3955</v>
      </c>
      <c r="F573" s="1178" t="s">
        <v>4353</v>
      </c>
      <c r="G573" s="1056" t="s">
        <v>4306</v>
      </c>
      <c r="H573" s="433" t="s">
        <v>3478</v>
      </c>
      <c r="I573" s="111">
        <v>660</v>
      </c>
      <c r="J573" s="111">
        <v>3960</v>
      </c>
      <c r="K573" s="110"/>
      <c r="L573" s="110"/>
      <c r="M573" s="110"/>
      <c r="N573" s="110"/>
      <c r="O573" s="110"/>
      <c r="P573" s="110"/>
      <c r="Q573" s="433">
        <v>2</v>
      </c>
      <c r="R573" s="111">
        <v>1320</v>
      </c>
      <c r="S573" s="110"/>
      <c r="T573" s="110"/>
      <c r="U573" s="110"/>
      <c r="V573" s="110"/>
      <c r="W573" s="433">
        <v>2</v>
      </c>
      <c r="X573" s="111">
        <v>1320</v>
      </c>
      <c r="Y573" s="110"/>
      <c r="Z573" s="110"/>
      <c r="AA573" s="110"/>
      <c r="AB573" s="110"/>
      <c r="AC573" s="433">
        <v>2</v>
      </c>
      <c r="AD573" s="111">
        <v>1320</v>
      </c>
      <c r="AE573" s="110"/>
      <c r="AF573" s="110"/>
      <c r="AG573" s="110"/>
      <c r="AH573" s="1048"/>
    </row>
    <row r="574" spans="1:34" ht="45" x14ac:dyDescent="0.25">
      <c r="A574" s="1047"/>
      <c r="B574" s="110" t="s">
        <v>3963</v>
      </c>
      <c r="C574" s="110"/>
      <c r="D574" s="433">
        <v>600</v>
      </c>
      <c r="E574" s="207" t="s">
        <v>3687</v>
      </c>
      <c r="F574" s="1178" t="s">
        <v>4353</v>
      </c>
      <c r="G574" s="1056" t="s">
        <v>4306</v>
      </c>
      <c r="H574" s="433" t="s">
        <v>3478</v>
      </c>
      <c r="I574" s="111">
        <v>44</v>
      </c>
      <c r="J574" s="111">
        <v>26400</v>
      </c>
      <c r="K574" s="110"/>
      <c r="L574" s="110"/>
      <c r="M574" s="110"/>
      <c r="N574" s="110"/>
      <c r="O574" s="110"/>
      <c r="P574" s="110"/>
      <c r="Q574" s="433">
        <v>200</v>
      </c>
      <c r="R574" s="111">
        <v>8800</v>
      </c>
      <c r="S574" s="110"/>
      <c r="T574" s="110"/>
      <c r="U574" s="110"/>
      <c r="V574" s="110"/>
      <c r="W574" s="433">
        <v>200</v>
      </c>
      <c r="X574" s="111">
        <v>8800</v>
      </c>
      <c r="Y574" s="110"/>
      <c r="Z574" s="110"/>
      <c r="AA574" s="110"/>
      <c r="AB574" s="110"/>
      <c r="AC574" s="433">
        <v>200</v>
      </c>
      <c r="AD574" s="111">
        <v>8800</v>
      </c>
      <c r="AE574" s="110"/>
      <c r="AF574" s="110"/>
      <c r="AG574" s="110"/>
      <c r="AH574" s="1048"/>
    </row>
    <row r="575" spans="1:34" x14ac:dyDescent="0.25">
      <c r="A575" s="1047"/>
      <c r="B575" s="110"/>
      <c r="C575" s="110"/>
      <c r="D575" s="433"/>
      <c r="E575" s="207"/>
      <c r="F575" s="433"/>
      <c r="G575" s="110"/>
      <c r="H575" s="433"/>
      <c r="I575" s="111"/>
      <c r="J575" s="111"/>
      <c r="K575" s="110"/>
      <c r="L575" s="110"/>
      <c r="M575" s="110"/>
      <c r="N575" s="110"/>
      <c r="O575" s="110"/>
      <c r="P575" s="110"/>
      <c r="Q575" s="433"/>
      <c r="R575" s="111"/>
      <c r="S575" s="110"/>
      <c r="T575" s="110"/>
      <c r="U575" s="110"/>
      <c r="V575" s="110"/>
      <c r="W575" s="433"/>
      <c r="X575" s="111"/>
      <c r="Y575" s="110"/>
      <c r="Z575" s="110"/>
      <c r="AA575" s="110"/>
      <c r="AB575" s="110"/>
      <c r="AC575" s="433"/>
      <c r="AD575" s="111"/>
      <c r="AE575" s="110"/>
      <c r="AF575" s="110"/>
      <c r="AG575" s="110"/>
      <c r="AH575" s="1048"/>
    </row>
    <row r="576" spans="1:34" x14ac:dyDescent="0.25">
      <c r="A576" s="1058">
        <v>22105</v>
      </c>
      <c r="B576" s="187" t="s">
        <v>3964</v>
      </c>
      <c r="C576" s="110"/>
      <c r="D576" s="433"/>
      <c r="E576" s="207"/>
      <c r="F576" s="433"/>
      <c r="G576" s="110"/>
      <c r="H576" s="433"/>
      <c r="I576" s="111"/>
      <c r="J576" s="111"/>
      <c r="K576" s="110"/>
      <c r="L576" s="110"/>
      <c r="M576" s="110"/>
      <c r="N576" s="110"/>
      <c r="O576" s="110"/>
      <c r="P576" s="110"/>
      <c r="Q576" s="433"/>
      <c r="R576" s="111"/>
      <c r="S576" s="110"/>
      <c r="T576" s="110"/>
      <c r="U576" s="110"/>
      <c r="V576" s="110"/>
      <c r="W576" s="433"/>
      <c r="X576" s="111"/>
      <c r="Y576" s="110"/>
      <c r="Z576" s="110"/>
      <c r="AA576" s="110"/>
      <c r="AB576" s="110"/>
      <c r="AC576" s="433"/>
      <c r="AD576" s="111"/>
      <c r="AE576" s="110"/>
      <c r="AF576" s="110"/>
      <c r="AG576" s="110"/>
      <c r="AH576" s="1048"/>
    </row>
    <row r="577" spans="1:34" ht="45" x14ac:dyDescent="0.25">
      <c r="A577" s="1047"/>
      <c r="B577" s="110" t="s">
        <v>3965</v>
      </c>
      <c r="C577" s="110"/>
      <c r="D577" s="433">
        <v>200</v>
      </c>
      <c r="E577" s="207" t="s">
        <v>1767</v>
      </c>
      <c r="F577" s="1178" t="s">
        <v>4353</v>
      </c>
      <c r="G577" s="1056" t="s">
        <v>4306</v>
      </c>
      <c r="H577" s="433" t="s">
        <v>3478</v>
      </c>
      <c r="I577" s="111">
        <v>368.5</v>
      </c>
      <c r="J577" s="111">
        <v>73700</v>
      </c>
      <c r="K577" s="110"/>
      <c r="L577" s="110"/>
      <c r="M577" s="110"/>
      <c r="N577" s="110"/>
      <c r="O577" s="110"/>
      <c r="P577" s="110"/>
      <c r="Q577" s="433">
        <v>100</v>
      </c>
      <c r="R577" s="111">
        <v>24566.666666666668</v>
      </c>
      <c r="S577" s="110"/>
      <c r="T577" s="110"/>
      <c r="U577" s="110"/>
      <c r="V577" s="110"/>
      <c r="W577" s="433">
        <v>50</v>
      </c>
      <c r="X577" s="111">
        <v>24566.666666666668</v>
      </c>
      <c r="Y577" s="110"/>
      <c r="Z577" s="110"/>
      <c r="AA577" s="110"/>
      <c r="AB577" s="110"/>
      <c r="AC577" s="433">
        <v>50</v>
      </c>
      <c r="AD577" s="111">
        <v>24566.666666666668</v>
      </c>
      <c r="AE577" s="110"/>
      <c r="AF577" s="110"/>
      <c r="AG577" s="110"/>
      <c r="AH577" s="1048"/>
    </row>
    <row r="578" spans="1:34" ht="45" x14ac:dyDescent="0.25">
      <c r="A578" s="1047"/>
      <c r="B578" s="110" t="s">
        <v>3966</v>
      </c>
      <c r="C578" s="110"/>
      <c r="D578" s="433">
        <v>10</v>
      </c>
      <c r="E578" s="207" t="s">
        <v>3687</v>
      </c>
      <c r="F578" s="1178" t="s">
        <v>4353</v>
      </c>
      <c r="G578" s="1056" t="s">
        <v>4306</v>
      </c>
      <c r="H578" s="433" t="s">
        <v>3478</v>
      </c>
      <c r="I578" s="111">
        <v>280</v>
      </c>
      <c r="J578" s="111">
        <v>2800</v>
      </c>
      <c r="K578" s="110"/>
      <c r="L578" s="110"/>
      <c r="M578" s="110"/>
      <c r="N578" s="110"/>
      <c r="O578" s="110"/>
      <c r="P578" s="110"/>
      <c r="Q578" s="433">
        <v>5</v>
      </c>
      <c r="R578" s="111">
        <v>933.33333333333337</v>
      </c>
      <c r="S578" s="110"/>
      <c r="T578" s="110"/>
      <c r="U578" s="110"/>
      <c r="V578" s="110"/>
      <c r="W578" s="433">
        <v>3</v>
      </c>
      <c r="X578" s="111">
        <v>933.33333333333337</v>
      </c>
      <c r="Y578" s="110"/>
      <c r="Z578" s="110"/>
      <c r="AA578" s="110"/>
      <c r="AB578" s="110"/>
      <c r="AC578" s="433">
        <v>2</v>
      </c>
      <c r="AD578" s="111">
        <v>933.33333333333337</v>
      </c>
      <c r="AE578" s="110"/>
      <c r="AF578" s="110"/>
      <c r="AG578" s="110"/>
      <c r="AH578" s="1048"/>
    </row>
    <row r="579" spans="1:34" ht="45" x14ac:dyDescent="0.25">
      <c r="A579" s="1047"/>
      <c r="B579" s="110" t="s">
        <v>3967</v>
      </c>
      <c r="C579" s="110"/>
      <c r="D579" s="433">
        <v>50</v>
      </c>
      <c r="E579" s="207" t="s">
        <v>1767</v>
      </c>
      <c r="F579" s="1178" t="s">
        <v>4353</v>
      </c>
      <c r="G579" s="1056" t="s">
        <v>4306</v>
      </c>
      <c r="H579" s="433" t="s">
        <v>3478</v>
      </c>
      <c r="I579" s="111">
        <v>305.8</v>
      </c>
      <c r="J579" s="111">
        <v>15290</v>
      </c>
      <c r="K579" s="110"/>
      <c r="L579" s="110"/>
      <c r="M579" s="110"/>
      <c r="N579" s="110"/>
      <c r="O579" s="110"/>
      <c r="P579" s="110"/>
      <c r="Q579" s="433">
        <v>25</v>
      </c>
      <c r="R579" s="111">
        <v>5096.666666666667</v>
      </c>
      <c r="S579" s="110"/>
      <c r="T579" s="110"/>
      <c r="U579" s="110"/>
      <c r="V579" s="110"/>
      <c r="W579" s="433">
        <v>13</v>
      </c>
      <c r="X579" s="111">
        <v>5096.666666666667</v>
      </c>
      <c r="Y579" s="110"/>
      <c r="Z579" s="110"/>
      <c r="AA579" s="110"/>
      <c r="AB579" s="110"/>
      <c r="AC579" s="433">
        <v>12</v>
      </c>
      <c r="AD579" s="111">
        <v>5096.666666666667</v>
      </c>
      <c r="AE579" s="110"/>
      <c r="AF579" s="110"/>
      <c r="AG579" s="110"/>
      <c r="AH579" s="1048"/>
    </row>
    <row r="580" spans="1:34" ht="45" x14ac:dyDescent="0.25">
      <c r="A580" s="1047"/>
      <c r="B580" s="110" t="s">
        <v>3968</v>
      </c>
      <c r="C580" s="110"/>
      <c r="D580" s="433">
        <v>48</v>
      </c>
      <c r="E580" s="207" t="s">
        <v>3687</v>
      </c>
      <c r="F580" s="1178" t="s">
        <v>4353</v>
      </c>
      <c r="G580" s="1056" t="s">
        <v>4306</v>
      </c>
      <c r="H580" s="433" t="s">
        <v>3478</v>
      </c>
      <c r="I580" s="111">
        <v>173.80000000000004</v>
      </c>
      <c r="J580" s="111">
        <v>8342.4000000000015</v>
      </c>
      <c r="K580" s="110"/>
      <c r="L580" s="110"/>
      <c r="M580" s="110"/>
      <c r="N580" s="110"/>
      <c r="O580" s="110"/>
      <c r="P580" s="110"/>
      <c r="Q580" s="433">
        <v>28</v>
      </c>
      <c r="R580" s="111">
        <v>2780.8000000000006</v>
      </c>
      <c r="S580" s="110"/>
      <c r="T580" s="110"/>
      <c r="U580" s="110"/>
      <c r="V580" s="110"/>
      <c r="W580" s="433">
        <v>10</v>
      </c>
      <c r="X580" s="111">
        <v>2780.8000000000006</v>
      </c>
      <c r="Y580" s="110"/>
      <c r="Z580" s="110"/>
      <c r="AA580" s="110"/>
      <c r="AB580" s="110"/>
      <c r="AC580" s="433">
        <v>10</v>
      </c>
      <c r="AD580" s="111">
        <v>2780.8000000000006</v>
      </c>
      <c r="AE580" s="110"/>
      <c r="AF580" s="110"/>
      <c r="AG580" s="110"/>
      <c r="AH580" s="1048"/>
    </row>
    <row r="581" spans="1:34" ht="45" x14ac:dyDescent="0.25">
      <c r="A581" s="1047"/>
      <c r="B581" s="110" t="s">
        <v>3969</v>
      </c>
      <c r="C581" s="110"/>
      <c r="D581" s="433">
        <v>20</v>
      </c>
      <c r="E581" s="207" t="s">
        <v>1767</v>
      </c>
      <c r="F581" s="1178" t="s">
        <v>4353</v>
      </c>
      <c r="G581" s="1056" t="s">
        <v>4306</v>
      </c>
      <c r="H581" s="433" t="s">
        <v>3478</v>
      </c>
      <c r="I581" s="111">
        <v>31.9</v>
      </c>
      <c r="J581" s="111">
        <v>638</v>
      </c>
      <c r="K581" s="110"/>
      <c r="L581" s="110"/>
      <c r="M581" s="110"/>
      <c r="N581" s="110"/>
      <c r="O581" s="110"/>
      <c r="P581" s="110"/>
      <c r="Q581" s="433">
        <v>10</v>
      </c>
      <c r="R581" s="111">
        <v>212.66666666666666</v>
      </c>
      <c r="S581" s="110"/>
      <c r="T581" s="110"/>
      <c r="U581" s="110"/>
      <c r="V581" s="110"/>
      <c r="W581" s="433">
        <v>5</v>
      </c>
      <c r="X581" s="111">
        <v>212.66666666666666</v>
      </c>
      <c r="Y581" s="110"/>
      <c r="Z581" s="110"/>
      <c r="AA581" s="110"/>
      <c r="AB581" s="110"/>
      <c r="AC581" s="433">
        <v>5</v>
      </c>
      <c r="AD581" s="111">
        <v>212.66666666666666</v>
      </c>
      <c r="AE581" s="110"/>
      <c r="AF581" s="110"/>
      <c r="AG581" s="110"/>
      <c r="AH581" s="1048"/>
    </row>
    <row r="582" spans="1:34" ht="45" x14ac:dyDescent="0.25">
      <c r="A582" s="1047"/>
      <c r="B582" s="110" t="s">
        <v>3970</v>
      </c>
      <c r="C582" s="110"/>
      <c r="D582" s="433">
        <v>20</v>
      </c>
      <c r="E582" s="207" t="s">
        <v>1767</v>
      </c>
      <c r="F582" s="1178" t="s">
        <v>4353</v>
      </c>
      <c r="G582" s="1056" t="s">
        <v>4306</v>
      </c>
      <c r="H582" s="433" t="s">
        <v>3478</v>
      </c>
      <c r="I582" s="111">
        <v>31.9</v>
      </c>
      <c r="J582" s="111">
        <v>638</v>
      </c>
      <c r="K582" s="110"/>
      <c r="L582" s="110"/>
      <c r="M582" s="110"/>
      <c r="N582" s="110"/>
      <c r="O582" s="110"/>
      <c r="P582" s="110"/>
      <c r="Q582" s="433">
        <v>10</v>
      </c>
      <c r="R582" s="111">
        <v>212.66666666666666</v>
      </c>
      <c r="S582" s="110"/>
      <c r="T582" s="110"/>
      <c r="U582" s="110"/>
      <c r="V582" s="110"/>
      <c r="W582" s="433">
        <v>5</v>
      </c>
      <c r="X582" s="111">
        <v>212.66666666666666</v>
      </c>
      <c r="Y582" s="110"/>
      <c r="Z582" s="110"/>
      <c r="AA582" s="110"/>
      <c r="AB582" s="110"/>
      <c r="AC582" s="433">
        <v>5</v>
      </c>
      <c r="AD582" s="111">
        <v>212.66666666666666</v>
      </c>
      <c r="AE582" s="110"/>
      <c r="AF582" s="110"/>
      <c r="AG582" s="110"/>
      <c r="AH582" s="1048"/>
    </row>
    <row r="583" spans="1:34" ht="45" x14ac:dyDescent="0.25">
      <c r="A583" s="1047"/>
      <c r="B583" s="110" t="s">
        <v>3971</v>
      </c>
      <c r="C583" s="110"/>
      <c r="D583" s="433">
        <v>40</v>
      </c>
      <c r="E583" s="207" t="s">
        <v>1767</v>
      </c>
      <c r="F583" s="1178" t="s">
        <v>4353</v>
      </c>
      <c r="G583" s="1056" t="s">
        <v>4306</v>
      </c>
      <c r="H583" s="433" t="s">
        <v>3478</v>
      </c>
      <c r="I583" s="111">
        <v>44</v>
      </c>
      <c r="J583" s="111">
        <v>1760</v>
      </c>
      <c r="K583" s="110"/>
      <c r="L583" s="110"/>
      <c r="M583" s="110"/>
      <c r="N583" s="110"/>
      <c r="O583" s="110"/>
      <c r="P583" s="110"/>
      <c r="Q583" s="433">
        <v>20</v>
      </c>
      <c r="R583" s="111">
        <v>586.66666666666663</v>
      </c>
      <c r="S583" s="110"/>
      <c r="T583" s="110"/>
      <c r="U583" s="110"/>
      <c r="V583" s="110"/>
      <c r="W583" s="433">
        <v>10</v>
      </c>
      <c r="X583" s="111">
        <v>586.66666666666663</v>
      </c>
      <c r="Y583" s="110"/>
      <c r="Z583" s="110"/>
      <c r="AA583" s="110"/>
      <c r="AB583" s="110"/>
      <c r="AC583" s="433">
        <v>10</v>
      </c>
      <c r="AD583" s="111">
        <v>586.66666666666663</v>
      </c>
      <c r="AE583" s="110"/>
      <c r="AF583" s="110"/>
      <c r="AG583" s="110"/>
      <c r="AH583" s="1048"/>
    </row>
    <row r="584" spans="1:34" ht="45" x14ac:dyDescent="0.25">
      <c r="A584" s="1047"/>
      <c r="B584" s="110" t="s">
        <v>3972</v>
      </c>
      <c r="C584" s="110"/>
      <c r="D584" s="433">
        <v>10</v>
      </c>
      <c r="E584" s="207" t="s">
        <v>1767</v>
      </c>
      <c r="F584" s="1178" t="s">
        <v>4353</v>
      </c>
      <c r="G584" s="1056" t="s">
        <v>4306</v>
      </c>
      <c r="H584" s="433" t="s">
        <v>3478</v>
      </c>
      <c r="I584" s="111">
        <v>154</v>
      </c>
      <c r="J584" s="111">
        <v>1540</v>
      </c>
      <c r="K584" s="110"/>
      <c r="L584" s="110"/>
      <c r="M584" s="110"/>
      <c r="N584" s="110"/>
      <c r="O584" s="110"/>
      <c r="P584" s="110"/>
      <c r="Q584" s="433">
        <v>5</v>
      </c>
      <c r="R584" s="111">
        <v>513.33333333333337</v>
      </c>
      <c r="S584" s="110"/>
      <c r="T584" s="110"/>
      <c r="U584" s="110"/>
      <c r="V584" s="110"/>
      <c r="W584" s="433">
        <v>3</v>
      </c>
      <c r="X584" s="111">
        <v>513.33333333333337</v>
      </c>
      <c r="Y584" s="110"/>
      <c r="Z584" s="110"/>
      <c r="AA584" s="110"/>
      <c r="AB584" s="110"/>
      <c r="AC584" s="433">
        <v>2</v>
      </c>
      <c r="AD584" s="111">
        <v>513.33333333333337</v>
      </c>
      <c r="AE584" s="110"/>
      <c r="AF584" s="110"/>
      <c r="AG584" s="110"/>
      <c r="AH584" s="1048"/>
    </row>
    <row r="585" spans="1:34" ht="45" x14ac:dyDescent="0.25">
      <c r="A585" s="1047"/>
      <c r="B585" s="110" t="s">
        <v>3973</v>
      </c>
      <c r="C585" s="110"/>
      <c r="D585" s="433">
        <v>12</v>
      </c>
      <c r="E585" s="207" t="s">
        <v>1767</v>
      </c>
      <c r="F585" s="1178" t="s">
        <v>4353</v>
      </c>
      <c r="G585" s="1056" t="s">
        <v>4306</v>
      </c>
      <c r="H585" s="433" t="s">
        <v>3478</v>
      </c>
      <c r="I585" s="111">
        <v>371.8</v>
      </c>
      <c r="J585" s="111">
        <v>4461.6000000000004</v>
      </c>
      <c r="K585" s="110"/>
      <c r="L585" s="110"/>
      <c r="M585" s="110"/>
      <c r="N585" s="110"/>
      <c r="O585" s="110"/>
      <c r="P585" s="110"/>
      <c r="Q585" s="433">
        <v>6</v>
      </c>
      <c r="R585" s="111">
        <v>1487.2</v>
      </c>
      <c r="S585" s="110"/>
      <c r="T585" s="110"/>
      <c r="U585" s="110"/>
      <c r="V585" s="110"/>
      <c r="W585" s="433">
        <v>3</v>
      </c>
      <c r="X585" s="111">
        <v>1487.2</v>
      </c>
      <c r="Y585" s="110"/>
      <c r="Z585" s="110"/>
      <c r="AA585" s="110"/>
      <c r="AB585" s="110"/>
      <c r="AC585" s="433">
        <v>3</v>
      </c>
      <c r="AD585" s="111">
        <v>1487.2</v>
      </c>
      <c r="AE585" s="110"/>
      <c r="AF585" s="110"/>
      <c r="AG585" s="110"/>
      <c r="AH585" s="1048"/>
    </row>
    <row r="586" spans="1:34" ht="45" x14ac:dyDescent="0.25">
      <c r="A586" s="1047"/>
      <c r="B586" s="110" t="s">
        <v>3974</v>
      </c>
      <c r="C586" s="110"/>
      <c r="D586" s="433">
        <v>200</v>
      </c>
      <c r="E586" s="207" t="s">
        <v>1767</v>
      </c>
      <c r="F586" s="1178" t="s">
        <v>4353</v>
      </c>
      <c r="G586" s="1056" t="s">
        <v>4306</v>
      </c>
      <c r="H586" s="433" t="s">
        <v>3478</v>
      </c>
      <c r="I586" s="111">
        <v>50</v>
      </c>
      <c r="J586" s="111">
        <v>10000</v>
      </c>
      <c r="K586" s="110"/>
      <c r="L586" s="110"/>
      <c r="M586" s="110"/>
      <c r="N586" s="110"/>
      <c r="O586" s="110"/>
      <c r="P586" s="110"/>
      <c r="Q586" s="433">
        <v>100</v>
      </c>
      <c r="R586" s="111">
        <v>3333.3333333333335</v>
      </c>
      <c r="S586" s="110"/>
      <c r="T586" s="110"/>
      <c r="U586" s="110"/>
      <c r="V586" s="110"/>
      <c r="W586" s="433">
        <v>50</v>
      </c>
      <c r="X586" s="111">
        <v>3333.3333333333335</v>
      </c>
      <c r="Y586" s="110"/>
      <c r="Z586" s="110"/>
      <c r="AA586" s="110"/>
      <c r="AB586" s="110"/>
      <c r="AC586" s="433">
        <v>50</v>
      </c>
      <c r="AD586" s="111">
        <v>3333.3333333333335</v>
      </c>
      <c r="AE586" s="110"/>
      <c r="AF586" s="110"/>
      <c r="AG586" s="110"/>
      <c r="AH586" s="1048"/>
    </row>
    <row r="587" spans="1:34" ht="45" x14ac:dyDescent="0.25">
      <c r="A587" s="1047"/>
      <c r="B587" s="110" t="s">
        <v>3975</v>
      </c>
      <c r="C587" s="110"/>
      <c r="D587" s="433">
        <v>30</v>
      </c>
      <c r="E587" s="207" t="s">
        <v>1767</v>
      </c>
      <c r="F587" s="1178" t="s">
        <v>4353</v>
      </c>
      <c r="G587" s="1056" t="s">
        <v>4306</v>
      </c>
      <c r="H587" s="433" t="s">
        <v>3478</v>
      </c>
      <c r="I587" s="111">
        <v>75.900000000000006</v>
      </c>
      <c r="J587" s="111">
        <v>2277</v>
      </c>
      <c r="K587" s="110"/>
      <c r="L587" s="110"/>
      <c r="M587" s="110"/>
      <c r="N587" s="110"/>
      <c r="O587" s="110"/>
      <c r="P587" s="110"/>
      <c r="Q587" s="433">
        <v>15</v>
      </c>
      <c r="R587" s="111">
        <v>759</v>
      </c>
      <c r="S587" s="110"/>
      <c r="T587" s="110"/>
      <c r="U587" s="110"/>
      <c r="V587" s="110"/>
      <c r="W587" s="433">
        <v>8</v>
      </c>
      <c r="X587" s="111">
        <v>759</v>
      </c>
      <c r="Y587" s="110"/>
      <c r="Z587" s="110"/>
      <c r="AA587" s="110"/>
      <c r="AB587" s="110"/>
      <c r="AC587" s="433">
        <v>7</v>
      </c>
      <c r="AD587" s="111">
        <v>759</v>
      </c>
      <c r="AE587" s="110"/>
      <c r="AF587" s="110"/>
      <c r="AG587" s="110"/>
      <c r="AH587" s="1048"/>
    </row>
    <row r="588" spans="1:34" ht="45" x14ac:dyDescent="0.25">
      <c r="A588" s="1047"/>
      <c r="B588" s="110" t="s">
        <v>3976</v>
      </c>
      <c r="C588" s="110"/>
      <c r="D588" s="433">
        <v>60</v>
      </c>
      <c r="E588" s="207" t="s">
        <v>1766</v>
      </c>
      <c r="F588" s="1178" t="s">
        <v>4353</v>
      </c>
      <c r="G588" s="1056" t="s">
        <v>4306</v>
      </c>
      <c r="H588" s="433" t="s">
        <v>3478</v>
      </c>
      <c r="I588" s="111">
        <v>346.5</v>
      </c>
      <c r="J588" s="111">
        <v>20790</v>
      </c>
      <c r="K588" s="110"/>
      <c r="L588" s="110"/>
      <c r="M588" s="110"/>
      <c r="N588" s="110"/>
      <c r="O588" s="110"/>
      <c r="P588" s="110"/>
      <c r="Q588" s="433">
        <v>20</v>
      </c>
      <c r="R588" s="111">
        <v>6930</v>
      </c>
      <c r="S588" s="110"/>
      <c r="T588" s="110"/>
      <c r="U588" s="110"/>
      <c r="V588" s="110"/>
      <c r="W588" s="433">
        <v>20</v>
      </c>
      <c r="X588" s="111">
        <v>6930</v>
      </c>
      <c r="Y588" s="110"/>
      <c r="Z588" s="110"/>
      <c r="AA588" s="110"/>
      <c r="AB588" s="110"/>
      <c r="AC588" s="433">
        <v>20</v>
      </c>
      <c r="AD588" s="111">
        <v>6930</v>
      </c>
      <c r="AE588" s="110"/>
      <c r="AF588" s="110"/>
      <c r="AG588" s="110"/>
      <c r="AH588" s="1048"/>
    </row>
    <row r="589" spans="1:34" ht="45" x14ac:dyDescent="0.25">
      <c r="A589" s="1047"/>
      <c r="B589" s="110" t="s">
        <v>3977</v>
      </c>
      <c r="C589" s="110"/>
      <c r="D589" s="433">
        <v>60</v>
      </c>
      <c r="E589" s="207" t="s">
        <v>1766</v>
      </c>
      <c r="F589" s="1178" t="s">
        <v>4353</v>
      </c>
      <c r="G589" s="1056" t="s">
        <v>4306</v>
      </c>
      <c r="H589" s="433" t="s">
        <v>3478</v>
      </c>
      <c r="I589" s="111">
        <v>346.5</v>
      </c>
      <c r="J589" s="111">
        <v>20790</v>
      </c>
      <c r="K589" s="110"/>
      <c r="L589" s="110"/>
      <c r="M589" s="110"/>
      <c r="N589" s="110"/>
      <c r="O589" s="110"/>
      <c r="P589" s="110"/>
      <c r="Q589" s="433">
        <v>20</v>
      </c>
      <c r="R589" s="111">
        <v>6930</v>
      </c>
      <c r="S589" s="110"/>
      <c r="T589" s="110"/>
      <c r="U589" s="110"/>
      <c r="V589" s="110"/>
      <c r="W589" s="433">
        <v>20</v>
      </c>
      <c r="X589" s="111">
        <v>6930</v>
      </c>
      <c r="Y589" s="110"/>
      <c r="Z589" s="110"/>
      <c r="AA589" s="110"/>
      <c r="AB589" s="110"/>
      <c r="AC589" s="433">
        <v>20</v>
      </c>
      <c r="AD589" s="111">
        <v>6930</v>
      </c>
      <c r="AE589" s="110"/>
      <c r="AF589" s="110"/>
      <c r="AG589" s="110"/>
      <c r="AH589" s="1048"/>
    </row>
    <row r="590" spans="1:34" ht="45" x14ac:dyDescent="0.25">
      <c r="A590" s="1047"/>
      <c r="B590" s="110" t="s">
        <v>3978</v>
      </c>
      <c r="C590" s="110"/>
      <c r="D590" s="433">
        <v>60</v>
      </c>
      <c r="E590" s="207" t="s">
        <v>1766</v>
      </c>
      <c r="F590" s="1178" t="s">
        <v>4353</v>
      </c>
      <c r="G590" s="1056" t="s">
        <v>4306</v>
      </c>
      <c r="H590" s="433" t="s">
        <v>3478</v>
      </c>
      <c r="I590" s="111">
        <v>346.5</v>
      </c>
      <c r="J590" s="111">
        <v>20790</v>
      </c>
      <c r="K590" s="110"/>
      <c r="L590" s="110"/>
      <c r="M590" s="110"/>
      <c r="N590" s="110"/>
      <c r="O590" s="110"/>
      <c r="P590" s="110"/>
      <c r="Q590" s="433">
        <v>20</v>
      </c>
      <c r="R590" s="111">
        <v>6930</v>
      </c>
      <c r="S590" s="110"/>
      <c r="T590" s="110"/>
      <c r="U590" s="110"/>
      <c r="V590" s="110"/>
      <c r="W590" s="433">
        <v>20</v>
      </c>
      <c r="X590" s="111">
        <v>6930</v>
      </c>
      <c r="Y590" s="110"/>
      <c r="Z590" s="110"/>
      <c r="AA590" s="110"/>
      <c r="AB590" s="110"/>
      <c r="AC590" s="433">
        <v>20</v>
      </c>
      <c r="AD590" s="111">
        <v>6930</v>
      </c>
      <c r="AE590" s="110"/>
      <c r="AF590" s="110"/>
      <c r="AG590" s="110"/>
      <c r="AH590" s="1048"/>
    </row>
    <row r="591" spans="1:34" ht="45" x14ac:dyDescent="0.25">
      <c r="A591" s="1047"/>
      <c r="B591" s="110" t="s">
        <v>3979</v>
      </c>
      <c r="C591" s="110"/>
      <c r="D591" s="433">
        <v>40</v>
      </c>
      <c r="E591" s="207" t="s">
        <v>1766</v>
      </c>
      <c r="F591" s="1178" t="s">
        <v>4353</v>
      </c>
      <c r="G591" s="1056" t="s">
        <v>4306</v>
      </c>
      <c r="H591" s="433" t="s">
        <v>3478</v>
      </c>
      <c r="I591" s="111">
        <v>17.649999999999999</v>
      </c>
      <c r="J591" s="111">
        <v>706</v>
      </c>
      <c r="K591" s="110"/>
      <c r="L591" s="110"/>
      <c r="M591" s="110"/>
      <c r="N591" s="110"/>
      <c r="O591" s="110"/>
      <c r="P591" s="110"/>
      <c r="Q591" s="433">
        <v>20</v>
      </c>
      <c r="R591" s="111">
        <v>235.33333333333334</v>
      </c>
      <c r="S591" s="110"/>
      <c r="T591" s="110"/>
      <c r="U591" s="110"/>
      <c r="V591" s="110"/>
      <c r="W591" s="433">
        <v>10</v>
      </c>
      <c r="X591" s="111">
        <v>235.33333333333334</v>
      </c>
      <c r="Y591" s="110"/>
      <c r="Z591" s="110"/>
      <c r="AA591" s="110"/>
      <c r="AB591" s="110"/>
      <c r="AC591" s="433">
        <v>10</v>
      </c>
      <c r="AD591" s="111">
        <v>235.33333333333334</v>
      </c>
      <c r="AE591" s="110"/>
      <c r="AF591" s="110"/>
      <c r="AG591" s="110"/>
      <c r="AH591" s="1048"/>
    </row>
    <row r="592" spans="1:34" ht="45" x14ac:dyDescent="0.25">
      <c r="A592" s="1047"/>
      <c r="B592" s="110" t="s">
        <v>3980</v>
      </c>
      <c r="C592" s="110"/>
      <c r="D592" s="433">
        <v>500</v>
      </c>
      <c r="E592" s="207" t="s">
        <v>1766</v>
      </c>
      <c r="F592" s="1178" t="s">
        <v>4353</v>
      </c>
      <c r="G592" s="1056" t="s">
        <v>4306</v>
      </c>
      <c r="H592" s="433" t="s">
        <v>3478</v>
      </c>
      <c r="I592" s="111">
        <v>82.5</v>
      </c>
      <c r="J592" s="111">
        <v>41250</v>
      </c>
      <c r="K592" s="110"/>
      <c r="L592" s="110"/>
      <c r="M592" s="110"/>
      <c r="N592" s="110"/>
      <c r="O592" s="110"/>
      <c r="P592" s="110"/>
      <c r="Q592" s="433">
        <v>300</v>
      </c>
      <c r="R592" s="111">
        <v>13750</v>
      </c>
      <c r="S592" s="110"/>
      <c r="T592" s="110"/>
      <c r="U592" s="110"/>
      <c r="V592" s="110"/>
      <c r="W592" s="433">
        <v>100</v>
      </c>
      <c r="X592" s="111">
        <v>13750</v>
      </c>
      <c r="Y592" s="110"/>
      <c r="Z592" s="110"/>
      <c r="AA592" s="110"/>
      <c r="AB592" s="110"/>
      <c r="AC592" s="433">
        <v>100</v>
      </c>
      <c r="AD592" s="111">
        <v>13750</v>
      </c>
      <c r="AE592" s="110"/>
      <c r="AF592" s="110"/>
      <c r="AG592" s="110"/>
      <c r="AH592" s="1048"/>
    </row>
    <row r="593" spans="1:34" ht="45" x14ac:dyDescent="0.25">
      <c r="A593" s="1047"/>
      <c r="B593" s="110" t="s">
        <v>3981</v>
      </c>
      <c r="C593" s="110"/>
      <c r="D593" s="433">
        <v>30</v>
      </c>
      <c r="E593" s="207" t="s">
        <v>1767</v>
      </c>
      <c r="F593" s="1178" t="s">
        <v>4353</v>
      </c>
      <c r="G593" s="1056" t="s">
        <v>4306</v>
      </c>
      <c r="H593" s="433" t="s">
        <v>3478</v>
      </c>
      <c r="I593" s="111">
        <v>12</v>
      </c>
      <c r="J593" s="111">
        <v>360</v>
      </c>
      <c r="K593" s="110"/>
      <c r="L593" s="110"/>
      <c r="M593" s="110"/>
      <c r="N593" s="110"/>
      <c r="O593" s="110"/>
      <c r="P593" s="110"/>
      <c r="Q593" s="433">
        <v>15</v>
      </c>
      <c r="R593" s="111">
        <v>120</v>
      </c>
      <c r="S593" s="110"/>
      <c r="T593" s="110"/>
      <c r="U593" s="110"/>
      <c r="V593" s="110"/>
      <c r="W593" s="433">
        <v>8</v>
      </c>
      <c r="X593" s="111">
        <v>120</v>
      </c>
      <c r="Y593" s="110"/>
      <c r="Z593" s="110"/>
      <c r="AA593" s="110"/>
      <c r="AB593" s="110"/>
      <c r="AC593" s="433">
        <v>7</v>
      </c>
      <c r="AD593" s="111">
        <v>120</v>
      </c>
      <c r="AE593" s="110"/>
      <c r="AF593" s="110"/>
      <c r="AG593" s="110"/>
      <c r="AH593" s="1048"/>
    </row>
    <row r="594" spans="1:34" ht="45" x14ac:dyDescent="0.25">
      <c r="A594" s="1047"/>
      <c r="B594" s="110" t="s">
        <v>3982</v>
      </c>
      <c r="C594" s="110"/>
      <c r="D594" s="433">
        <v>250</v>
      </c>
      <c r="E594" s="207" t="s">
        <v>3031</v>
      </c>
      <c r="F594" s="1178" t="s">
        <v>4353</v>
      </c>
      <c r="G594" s="1056" t="s">
        <v>4306</v>
      </c>
      <c r="H594" s="433" t="s">
        <v>3478</v>
      </c>
      <c r="I594" s="111">
        <v>26.4</v>
      </c>
      <c r="J594" s="111">
        <v>6600</v>
      </c>
      <c r="K594" s="110"/>
      <c r="L594" s="110"/>
      <c r="M594" s="110"/>
      <c r="N594" s="110"/>
      <c r="O594" s="110"/>
      <c r="P594" s="110"/>
      <c r="Q594" s="433">
        <v>150</v>
      </c>
      <c r="R594" s="111">
        <v>2200</v>
      </c>
      <c r="S594" s="110"/>
      <c r="T594" s="110"/>
      <c r="U594" s="110"/>
      <c r="V594" s="110"/>
      <c r="W594" s="433">
        <v>50</v>
      </c>
      <c r="X594" s="111">
        <v>2200</v>
      </c>
      <c r="Y594" s="110"/>
      <c r="Z594" s="110"/>
      <c r="AA594" s="110"/>
      <c r="AB594" s="110"/>
      <c r="AC594" s="433">
        <v>50</v>
      </c>
      <c r="AD594" s="111">
        <v>2200</v>
      </c>
      <c r="AE594" s="110"/>
      <c r="AF594" s="110"/>
      <c r="AG594" s="110"/>
      <c r="AH594" s="1048"/>
    </row>
    <row r="595" spans="1:34" ht="45" x14ac:dyDescent="0.25">
      <c r="A595" s="1047"/>
      <c r="B595" s="110" t="s">
        <v>3983</v>
      </c>
      <c r="C595" s="110"/>
      <c r="D595" s="433">
        <v>10</v>
      </c>
      <c r="E595" s="207" t="s">
        <v>1767</v>
      </c>
      <c r="F595" s="1178" t="s">
        <v>4353</v>
      </c>
      <c r="G595" s="1056" t="s">
        <v>4306</v>
      </c>
      <c r="H595" s="433" t="s">
        <v>3478</v>
      </c>
      <c r="I595" s="111">
        <v>30</v>
      </c>
      <c r="J595" s="111">
        <v>300</v>
      </c>
      <c r="K595" s="110"/>
      <c r="L595" s="110"/>
      <c r="M595" s="110"/>
      <c r="N595" s="110"/>
      <c r="O595" s="110"/>
      <c r="P595" s="110"/>
      <c r="Q595" s="433">
        <v>5</v>
      </c>
      <c r="R595" s="111">
        <v>100</v>
      </c>
      <c r="S595" s="110"/>
      <c r="T595" s="110"/>
      <c r="U595" s="110"/>
      <c r="V595" s="110"/>
      <c r="W595" s="433">
        <v>3</v>
      </c>
      <c r="X595" s="111">
        <v>100</v>
      </c>
      <c r="Y595" s="110"/>
      <c r="Z595" s="110"/>
      <c r="AA595" s="110"/>
      <c r="AB595" s="110"/>
      <c r="AC595" s="433">
        <v>2</v>
      </c>
      <c r="AD595" s="111">
        <v>100</v>
      </c>
      <c r="AE595" s="110"/>
      <c r="AF595" s="110"/>
      <c r="AG595" s="110"/>
      <c r="AH595" s="1048"/>
    </row>
    <row r="596" spans="1:34" ht="45" x14ac:dyDescent="0.25">
      <c r="A596" s="1047"/>
      <c r="B596" s="110" t="s">
        <v>3984</v>
      </c>
      <c r="C596" s="110"/>
      <c r="D596" s="433">
        <v>2400</v>
      </c>
      <c r="E596" s="207" t="s">
        <v>1767</v>
      </c>
      <c r="F596" s="1178" t="s">
        <v>4353</v>
      </c>
      <c r="G596" s="1056" t="s">
        <v>4306</v>
      </c>
      <c r="H596" s="433" t="s">
        <v>3478</v>
      </c>
      <c r="I596" s="111">
        <v>7.7</v>
      </c>
      <c r="J596" s="111">
        <v>18480</v>
      </c>
      <c r="K596" s="110"/>
      <c r="L596" s="110"/>
      <c r="M596" s="110"/>
      <c r="N596" s="110"/>
      <c r="O596" s="110"/>
      <c r="P596" s="110"/>
      <c r="Q596" s="433">
        <v>1400</v>
      </c>
      <c r="R596" s="111">
        <v>6160</v>
      </c>
      <c r="S596" s="110"/>
      <c r="T596" s="110"/>
      <c r="U596" s="110"/>
      <c r="V596" s="110"/>
      <c r="W596" s="433">
        <v>500</v>
      </c>
      <c r="X596" s="111">
        <v>6160</v>
      </c>
      <c r="Y596" s="110"/>
      <c r="Z596" s="110"/>
      <c r="AA596" s="110"/>
      <c r="AB596" s="110"/>
      <c r="AC596" s="433">
        <v>500</v>
      </c>
      <c r="AD596" s="111">
        <v>6160</v>
      </c>
      <c r="AE596" s="110"/>
      <c r="AF596" s="110"/>
      <c r="AG596" s="110"/>
      <c r="AH596" s="1048"/>
    </row>
    <row r="597" spans="1:34" ht="45" x14ac:dyDescent="0.25">
      <c r="A597" s="1047"/>
      <c r="B597" s="110" t="s">
        <v>3985</v>
      </c>
      <c r="C597" s="110"/>
      <c r="D597" s="433">
        <v>48</v>
      </c>
      <c r="E597" s="207" t="s">
        <v>1767</v>
      </c>
      <c r="F597" s="1178" t="s">
        <v>4353</v>
      </c>
      <c r="G597" s="1056" t="s">
        <v>4306</v>
      </c>
      <c r="H597" s="433" t="s">
        <v>3478</v>
      </c>
      <c r="I597" s="111">
        <v>60.5</v>
      </c>
      <c r="J597" s="111">
        <v>2904</v>
      </c>
      <c r="K597" s="110"/>
      <c r="L597" s="110"/>
      <c r="M597" s="110"/>
      <c r="N597" s="110"/>
      <c r="O597" s="110"/>
      <c r="P597" s="110"/>
      <c r="Q597" s="433">
        <v>28</v>
      </c>
      <c r="R597" s="111">
        <v>968</v>
      </c>
      <c r="S597" s="110"/>
      <c r="T597" s="110"/>
      <c r="U597" s="110"/>
      <c r="V597" s="110"/>
      <c r="W597" s="433">
        <v>10</v>
      </c>
      <c r="X597" s="111">
        <v>968</v>
      </c>
      <c r="Y597" s="110"/>
      <c r="Z597" s="110"/>
      <c r="AA597" s="110"/>
      <c r="AB597" s="110"/>
      <c r="AC597" s="433">
        <v>10</v>
      </c>
      <c r="AD597" s="111">
        <v>968</v>
      </c>
      <c r="AE597" s="110"/>
      <c r="AF597" s="110"/>
      <c r="AG597" s="110"/>
      <c r="AH597" s="1048"/>
    </row>
    <row r="598" spans="1:34" ht="45" x14ac:dyDescent="0.25">
      <c r="A598" s="1047"/>
      <c r="B598" s="110" t="s">
        <v>3986</v>
      </c>
      <c r="C598" s="110"/>
      <c r="D598" s="433">
        <v>200</v>
      </c>
      <c r="E598" s="207" t="s">
        <v>1767</v>
      </c>
      <c r="F598" s="1178" t="s">
        <v>4353</v>
      </c>
      <c r="G598" s="1056" t="s">
        <v>4306</v>
      </c>
      <c r="H598" s="433" t="s">
        <v>3478</v>
      </c>
      <c r="I598" s="111">
        <v>20.9</v>
      </c>
      <c r="J598" s="111">
        <v>4180</v>
      </c>
      <c r="K598" s="110"/>
      <c r="L598" s="110"/>
      <c r="M598" s="110"/>
      <c r="N598" s="110"/>
      <c r="O598" s="110"/>
      <c r="P598" s="110"/>
      <c r="Q598" s="433">
        <v>100</v>
      </c>
      <c r="R598" s="111">
        <v>1393.3333333333333</v>
      </c>
      <c r="S598" s="110"/>
      <c r="T598" s="110"/>
      <c r="U598" s="110"/>
      <c r="V598" s="110"/>
      <c r="W598" s="433">
        <v>50</v>
      </c>
      <c r="X598" s="111">
        <v>1393.3333333333333</v>
      </c>
      <c r="Y598" s="110"/>
      <c r="Z598" s="110"/>
      <c r="AA598" s="110"/>
      <c r="AB598" s="110"/>
      <c r="AC598" s="433">
        <v>50</v>
      </c>
      <c r="AD598" s="111">
        <v>1393.3333333333333</v>
      </c>
      <c r="AE598" s="110"/>
      <c r="AF598" s="110"/>
      <c r="AG598" s="110"/>
      <c r="AH598" s="1048"/>
    </row>
    <row r="599" spans="1:34" ht="45" x14ac:dyDescent="0.25">
      <c r="A599" s="1047"/>
      <c r="B599" s="110" t="s">
        <v>3987</v>
      </c>
      <c r="C599" s="110"/>
      <c r="D599" s="433">
        <v>3</v>
      </c>
      <c r="E599" s="207" t="s">
        <v>3687</v>
      </c>
      <c r="F599" s="1178" t="s">
        <v>4353</v>
      </c>
      <c r="G599" s="1056" t="s">
        <v>4306</v>
      </c>
      <c r="H599" s="433" t="s">
        <v>3478</v>
      </c>
      <c r="I599" s="111">
        <v>137.5</v>
      </c>
      <c r="J599" s="111">
        <v>412.5</v>
      </c>
      <c r="K599" s="110"/>
      <c r="L599" s="110"/>
      <c r="M599" s="110"/>
      <c r="N599" s="110"/>
      <c r="O599" s="110"/>
      <c r="P599" s="110"/>
      <c r="Q599" s="433">
        <v>1</v>
      </c>
      <c r="R599" s="111">
        <v>137.5</v>
      </c>
      <c r="S599" s="110"/>
      <c r="T599" s="110"/>
      <c r="U599" s="110"/>
      <c r="V599" s="110"/>
      <c r="W599" s="433">
        <v>1</v>
      </c>
      <c r="X599" s="111">
        <v>137.5</v>
      </c>
      <c r="Y599" s="110"/>
      <c r="Z599" s="110"/>
      <c r="AA599" s="110"/>
      <c r="AB599" s="110"/>
      <c r="AC599" s="433">
        <v>1</v>
      </c>
      <c r="AD599" s="111">
        <v>137.5</v>
      </c>
      <c r="AE599" s="110"/>
      <c r="AF599" s="110"/>
      <c r="AG599" s="110"/>
      <c r="AH599" s="1048"/>
    </row>
    <row r="600" spans="1:34" ht="45" x14ac:dyDescent="0.25">
      <c r="A600" s="1047"/>
      <c r="B600" s="110" t="s">
        <v>3988</v>
      </c>
      <c r="C600" s="110"/>
      <c r="D600" s="433">
        <v>12</v>
      </c>
      <c r="E600" s="207" t="s">
        <v>1767</v>
      </c>
      <c r="F600" s="1178" t="s">
        <v>4353</v>
      </c>
      <c r="G600" s="1056" t="s">
        <v>4306</v>
      </c>
      <c r="H600" s="433" t="s">
        <v>3478</v>
      </c>
      <c r="I600" s="111">
        <v>63.79999999999999</v>
      </c>
      <c r="J600" s="111">
        <v>765.59999999999991</v>
      </c>
      <c r="K600" s="110"/>
      <c r="L600" s="110"/>
      <c r="M600" s="110"/>
      <c r="N600" s="110"/>
      <c r="O600" s="110"/>
      <c r="P600" s="110"/>
      <c r="Q600" s="433">
        <v>6</v>
      </c>
      <c r="R600" s="111">
        <v>255.19999999999996</v>
      </c>
      <c r="S600" s="110"/>
      <c r="T600" s="110"/>
      <c r="U600" s="110"/>
      <c r="V600" s="110"/>
      <c r="W600" s="433">
        <v>3</v>
      </c>
      <c r="X600" s="111">
        <v>255.19999999999996</v>
      </c>
      <c r="Y600" s="110"/>
      <c r="Z600" s="110"/>
      <c r="AA600" s="110"/>
      <c r="AB600" s="110"/>
      <c r="AC600" s="433">
        <v>3</v>
      </c>
      <c r="AD600" s="111">
        <v>255.19999999999996</v>
      </c>
      <c r="AE600" s="110"/>
      <c r="AF600" s="110"/>
      <c r="AG600" s="110"/>
      <c r="AH600" s="1048"/>
    </row>
    <row r="601" spans="1:34" ht="45" x14ac:dyDescent="0.25">
      <c r="A601" s="1047"/>
      <c r="B601" s="110" t="s">
        <v>3989</v>
      </c>
      <c r="C601" s="110"/>
      <c r="D601" s="433">
        <v>100</v>
      </c>
      <c r="E601" s="207" t="s">
        <v>1767</v>
      </c>
      <c r="F601" s="1178" t="s">
        <v>4353</v>
      </c>
      <c r="G601" s="1056" t="s">
        <v>4306</v>
      </c>
      <c r="H601" s="433" t="s">
        <v>3478</v>
      </c>
      <c r="I601" s="111">
        <v>357.5</v>
      </c>
      <c r="J601" s="111">
        <v>35750</v>
      </c>
      <c r="K601" s="110"/>
      <c r="L601" s="110"/>
      <c r="M601" s="110"/>
      <c r="N601" s="110"/>
      <c r="O601" s="110"/>
      <c r="P601" s="110"/>
      <c r="Q601" s="433">
        <v>40</v>
      </c>
      <c r="R601" s="111">
        <v>11916.666666666666</v>
      </c>
      <c r="S601" s="110"/>
      <c r="T601" s="110"/>
      <c r="U601" s="110"/>
      <c r="V601" s="110"/>
      <c r="W601" s="433">
        <v>30</v>
      </c>
      <c r="X601" s="111">
        <v>11916.666666666666</v>
      </c>
      <c r="Y601" s="110"/>
      <c r="Z601" s="110"/>
      <c r="AA601" s="110"/>
      <c r="AB601" s="110"/>
      <c r="AC601" s="433">
        <v>30</v>
      </c>
      <c r="AD601" s="111">
        <v>11916.666666666666</v>
      </c>
      <c r="AE601" s="110"/>
      <c r="AF601" s="110"/>
      <c r="AG601" s="110"/>
      <c r="AH601" s="1048"/>
    </row>
    <row r="602" spans="1:34" ht="45" x14ac:dyDescent="0.25">
      <c r="A602" s="1047"/>
      <c r="B602" s="110" t="s">
        <v>3990</v>
      </c>
      <c r="C602" s="110"/>
      <c r="D602" s="433">
        <v>600</v>
      </c>
      <c r="E602" s="207" t="s">
        <v>3687</v>
      </c>
      <c r="F602" s="1178" t="s">
        <v>4353</v>
      </c>
      <c r="G602" s="1056" t="s">
        <v>4306</v>
      </c>
      <c r="H602" s="433" t="s">
        <v>3478</v>
      </c>
      <c r="I602" s="111">
        <v>79.75</v>
      </c>
      <c r="J602" s="111">
        <v>47850</v>
      </c>
      <c r="K602" s="110"/>
      <c r="L602" s="110"/>
      <c r="M602" s="110"/>
      <c r="N602" s="110"/>
      <c r="O602" s="110"/>
      <c r="P602" s="110"/>
      <c r="Q602" s="433">
        <v>200</v>
      </c>
      <c r="R602" s="111">
        <v>15950</v>
      </c>
      <c r="S602" s="110"/>
      <c r="T602" s="110"/>
      <c r="U602" s="110"/>
      <c r="V602" s="110"/>
      <c r="W602" s="433">
        <v>200</v>
      </c>
      <c r="X602" s="111">
        <v>15950</v>
      </c>
      <c r="Y602" s="110"/>
      <c r="Z602" s="110"/>
      <c r="AA602" s="110"/>
      <c r="AB602" s="110"/>
      <c r="AC602" s="433">
        <v>200</v>
      </c>
      <c r="AD602" s="111">
        <v>15950</v>
      </c>
      <c r="AE602" s="110"/>
      <c r="AF602" s="110"/>
      <c r="AG602" s="110"/>
      <c r="AH602" s="1048"/>
    </row>
    <row r="603" spans="1:34" ht="45" x14ac:dyDescent="0.25">
      <c r="A603" s="1047"/>
      <c r="B603" s="110" t="s">
        <v>3991</v>
      </c>
      <c r="C603" s="110"/>
      <c r="D603" s="433">
        <v>4000</v>
      </c>
      <c r="E603" s="207" t="s">
        <v>3687</v>
      </c>
      <c r="F603" s="1178" t="s">
        <v>4353</v>
      </c>
      <c r="G603" s="1056" t="s">
        <v>4306</v>
      </c>
      <c r="H603" s="433" t="s">
        <v>3478</v>
      </c>
      <c r="I603" s="111">
        <v>30.25</v>
      </c>
      <c r="J603" s="111">
        <v>121000</v>
      </c>
      <c r="K603" s="110"/>
      <c r="L603" s="110"/>
      <c r="M603" s="110"/>
      <c r="N603" s="110"/>
      <c r="O603" s="110"/>
      <c r="P603" s="110"/>
      <c r="Q603" s="433">
        <v>2500</v>
      </c>
      <c r="R603" s="111">
        <v>40333.333333333336</v>
      </c>
      <c r="S603" s="110"/>
      <c r="T603" s="110"/>
      <c r="U603" s="110"/>
      <c r="V603" s="110"/>
      <c r="W603" s="433">
        <v>750</v>
      </c>
      <c r="X603" s="111">
        <v>40333.333333333336</v>
      </c>
      <c r="Y603" s="110"/>
      <c r="Z603" s="110"/>
      <c r="AA603" s="110"/>
      <c r="AB603" s="110"/>
      <c r="AC603" s="433">
        <v>750</v>
      </c>
      <c r="AD603" s="111">
        <v>40333.333333333336</v>
      </c>
      <c r="AE603" s="110"/>
      <c r="AF603" s="110"/>
      <c r="AG603" s="110"/>
      <c r="AH603" s="1048"/>
    </row>
    <row r="604" spans="1:34" ht="45" x14ac:dyDescent="0.25">
      <c r="A604" s="1047"/>
      <c r="B604" s="110" t="s">
        <v>3992</v>
      </c>
      <c r="C604" s="110"/>
      <c r="D604" s="433">
        <v>20</v>
      </c>
      <c r="E604" s="207" t="s">
        <v>1767</v>
      </c>
      <c r="F604" s="1178" t="s">
        <v>4353</v>
      </c>
      <c r="G604" s="1056" t="s">
        <v>4306</v>
      </c>
      <c r="H604" s="433" t="s">
        <v>3478</v>
      </c>
      <c r="I604" s="111">
        <v>20.9</v>
      </c>
      <c r="J604" s="111">
        <v>418</v>
      </c>
      <c r="K604" s="110"/>
      <c r="L604" s="110"/>
      <c r="M604" s="110"/>
      <c r="N604" s="110"/>
      <c r="O604" s="110"/>
      <c r="P604" s="110"/>
      <c r="Q604" s="433">
        <v>10</v>
      </c>
      <c r="R604" s="111">
        <v>139.33333333333334</v>
      </c>
      <c r="S604" s="110"/>
      <c r="T604" s="110"/>
      <c r="U604" s="110"/>
      <c r="V604" s="110"/>
      <c r="W604" s="433">
        <v>5</v>
      </c>
      <c r="X604" s="111">
        <v>139.33333333333334</v>
      </c>
      <c r="Y604" s="110"/>
      <c r="Z604" s="110"/>
      <c r="AA604" s="110"/>
      <c r="AB604" s="110"/>
      <c r="AC604" s="433">
        <v>5</v>
      </c>
      <c r="AD604" s="111">
        <v>139.33333333333334</v>
      </c>
      <c r="AE604" s="110"/>
      <c r="AF604" s="110"/>
      <c r="AG604" s="110"/>
      <c r="AH604" s="1048"/>
    </row>
    <row r="605" spans="1:34" ht="45" x14ac:dyDescent="0.25">
      <c r="A605" s="1047"/>
      <c r="B605" s="110" t="s">
        <v>3993</v>
      </c>
      <c r="C605" s="110"/>
      <c r="D605" s="433">
        <v>700</v>
      </c>
      <c r="E605" s="207" t="s">
        <v>1772</v>
      </c>
      <c r="F605" s="1178" t="s">
        <v>4353</v>
      </c>
      <c r="G605" s="1056" t="s">
        <v>4306</v>
      </c>
      <c r="H605" s="433" t="s">
        <v>3478</v>
      </c>
      <c r="I605" s="111">
        <v>42.35</v>
      </c>
      <c r="J605" s="111">
        <v>29645</v>
      </c>
      <c r="K605" s="110"/>
      <c r="L605" s="110"/>
      <c r="M605" s="110"/>
      <c r="N605" s="110"/>
      <c r="O605" s="110"/>
      <c r="P605" s="110"/>
      <c r="Q605" s="433">
        <v>400</v>
      </c>
      <c r="R605" s="111">
        <v>9881.6666666666661</v>
      </c>
      <c r="S605" s="110"/>
      <c r="T605" s="110"/>
      <c r="U605" s="110"/>
      <c r="V605" s="110"/>
      <c r="W605" s="433">
        <v>200</v>
      </c>
      <c r="X605" s="111">
        <v>9881.6666666666661</v>
      </c>
      <c r="Y605" s="110"/>
      <c r="Z605" s="110"/>
      <c r="AA605" s="110"/>
      <c r="AB605" s="110"/>
      <c r="AC605" s="433">
        <v>100</v>
      </c>
      <c r="AD605" s="111">
        <v>9881.6666666666661</v>
      </c>
      <c r="AE605" s="110"/>
      <c r="AF605" s="110"/>
      <c r="AG605" s="110"/>
      <c r="AH605" s="1048"/>
    </row>
    <row r="606" spans="1:34" ht="45" x14ac:dyDescent="0.25">
      <c r="A606" s="1047"/>
      <c r="B606" s="110" t="s">
        <v>3994</v>
      </c>
      <c r="C606" s="110"/>
      <c r="D606" s="433">
        <v>200</v>
      </c>
      <c r="E606" s="207" t="s">
        <v>1767</v>
      </c>
      <c r="F606" s="1178" t="s">
        <v>4353</v>
      </c>
      <c r="G606" s="1056" t="s">
        <v>4306</v>
      </c>
      <c r="H606" s="433" t="s">
        <v>3478</v>
      </c>
      <c r="I606" s="111">
        <v>291.5</v>
      </c>
      <c r="J606" s="111">
        <v>58300</v>
      </c>
      <c r="K606" s="110"/>
      <c r="L606" s="110"/>
      <c r="M606" s="110"/>
      <c r="N606" s="110"/>
      <c r="O606" s="110"/>
      <c r="P606" s="110"/>
      <c r="Q606" s="433">
        <v>100</v>
      </c>
      <c r="R606" s="111">
        <v>19433.333333333332</v>
      </c>
      <c r="S606" s="110"/>
      <c r="T606" s="110"/>
      <c r="U606" s="110"/>
      <c r="V606" s="110"/>
      <c r="W606" s="433">
        <v>50</v>
      </c>
      <c r="X606" s="111">
        <v>19433.333333333332</v>
      </c>
      <c r="Y606" s="110"/>
      <c r="Z606" s="110"/>
      <c r="AA606" s="110"/>
      <c r="AB606" s="110"/>
      <c r="AC606" s="433">
        <v>50</v>
      </c>
      <c r="AD606" s="111">
        <v>19433.333333333332</v>
      </c>
      <c r="AE606" s="110"/>
      <c r="AF606" s="110"/>
      <c r="AG606" s="110"/>
      <c r="AH606" s="1048"/>
    </row>
    <row r="607" spans="1:34" ht="45" x14ac:dyDescent="0.25">
      <c r="A607" s="1047"/>
      <c r="B607" s="110" t="s">
        <v>3995</v>
      </c>
      <c r="C607" s="110"/>
      <c r="D607" s="433">
        <v>15</v>
      </c>
      <c r="E607" s="207" t="s">
        <v>1772</v>
      </c>
      <c r="F607" s="1178" t="s">
        <v>4353</v>
      </c>
      <c r="G607" s="1056" t="s">
        <v>4306</v>
      </c>
      <c r="H607" s="433" t="s">
        <v>3478</v>
      </c>
      <c r="I607" s="111">
        <v>61.6</v>
      </c>
      <c r="J607" s="111">
        <v>924</v>
      </c>
      <c r="K607" s="110"/>
      <c r="L607" s="110"/>
      <c r="M607" s="110"/>
      <c r="N607" s="110"/>
      <c r="O607" s="110"/>
      <c r="P607" s="110"/>
      <c r="Q607" s="433">
        <v>8</v>
      </c>
      <c r="R607" s="111">
        <v>308</v>
      </c>
      <c r="S607" s="110"/>
      <c r="T607" s="110"/>
      <c r="U607" s="110"/>
      <c r="V607" s="110"/>
      <c r="W607" s="433">
        <v>4</v>
      </c>
      <c r="X607" s="111">
        <v>308</v>
      </c>
      <c r="Y607" s="110"/>
      <c r="Z607" s="110"/>
      <c r="AA607" s="110"/>
      <c r="AB607" s="110"/>
      <c r="AC607" s="433">
        <v>3</v>
      </c>
      <c r="AD607" s="111">
        <v>308</v>
      </c>
      <c r="AE607" s="110"/>
      <c r="AF607" s="110"/>
      <c r="AG607" s="110"/>
      <c r="AH607" s="1048"/>
    </row>
    <row r="608" spans="1:34" ht="45" x14ac:dyDescent="0.25">
      <c r="A608" s="1047"/>
      <c r="B608" s="110" t="s">
        <v>3996</v>
      </c>
      <c r="C608" s="110"/>
      <c r="D608" s="433">
        <v>120</v>
      </c>
      <c r="E608" s="207" t="s">
        <v>3687</v>
      </c>
      <c r="F608" s="1178" t="s">
        <v>4353</v>
      </c>
      <c r="G608" s="1056" t="s">
        <v>4306</v>
      </c>
      <c r="H608" s="433" t="s">
        <v>3478</v>
      </c>
      <c r="I608" s="111">
        <v>133.1</v>
      </c>
      <c r="J608" s="111">
        <v>15972</v>
      </c>
      <c r="K608" s="110"/>
      <c r="L608" s="110"/>
      <c r="M608" s="110"/>
      <c r="N608" s="110"/>
      <c r="O608" s="110"/>
      <c r="P608" s="110"/>
      <c r="Q608" s="433">
        <v>60</v>
      </c>
      <c r="R608" s="111">
        <v>5324</v>
      </c>
      <c r="S608" s="110"/>
      <c r="T608" s="110"/>
      <c r="U608" s="110"/>
      <c r="V608" s="110"/>
      <c r="W608" s="433">
        <v>30</v>
      </c>
      <c r="X608" s="111">
        <v>5324</v>
      </c>
      <c r="Y608" s="110"/>
      <c r="Z608" s="110"/>
      <c r="AA608" s="110"/>
      <c r="AB608" s="110"/>
      <c r="AC608" s="433">
        <v>30</v>
      </c>
      <c r="AD608" s="111">
        <v>5324</v>
      </c>
      <c r="AE608" s="110"/>
      <c r="AF608" s="110"/>
      <c r="AG608" s="110"/>
      <c r="AH608" s="1048"/>
    </row>
    <row r="609" spans="1:34" ht="45" x14ac:dyDescent="0.25">
      <c r="A609" s="1047"/>
      <c r="B609" s="110" t="s">
        <v>3997</v>
      </c>
      <c r="C609" s="110"/>
      <c r="D609" s="433">
        <v>10</v>
      </c>
      <c r="E609" s="207" t="s">
        <v>1767</v>
      </c>
      <c r="F609" s="1178" t="s">
        <v>4353</v>
      </c>
      <c r="G609" s="1056" t="s">
        <v>4306</v>
      </c>
      <c r="H609" s="433" t="s">
        <v>3478</v>
      </c>
      <c r="I609" s="111">
        <v>162.80000000000001</v>
      </c>
      <c r="J609" s="111">
        <v>1628</v>
      </c>
      <c r="K609" s="110"/>
      <c r="L609" s="110"/>
      <c r="M609" s="110"/>
      <c r="N609" s="110"/>
      <c r="O609" s="110"/>
      <c r="P609" s="110"/>
      <c r="Q609" s="433">
        <v>5</v>
      </c>
      <c r="R609" s="111">
        <v>542.66666666666663</v>
      </c>
      <c r="S609" s="110"/>
      <c r="T609" s="110"/>
      <c r="U609" s="110"/>
      <c r="V609" s="110"/>
      <c r="W609" s="433">
        <v>3</v>
      </c>
      <c r="X609" s="111">
        <v>542.66666666666663</v>
      </c>
      <c r="Y609" s="110"/>
      <c r="Z609" s="110"/>
      <c r="AA609" s="110"/>
      <c r="AB609" s="110"/>
      <c r="AC609" s="433">
        <v>2</v>
      </c>
      <c r="AD609" s="111">
        <v>542.66666666666663</v>
      </c>
      <c r="AE609" s="110"/>
      <c r="AF609" s="110"/>
      <c r="AG609" s="110"/>
      <c r="AH609" s="1048"/>
    </row>
    <row r="610" spans="1:34" ht="45" x14ac:dyDescent="0.25">
      <c r="A610" s="1047"/>
      <c r="B610" s="110" t="s">
        <v>3998</v>
      </c>
      <c r="C610" s="110"/>
      <c r="D610" s="433">
        <v>20</v>
      </c>
      <c r="E610" s="207" t="s">
        <v>3687</v>
      </c>
      <c r="F610" s="1178" t="s">
        <v>4353</v>
      </c>
      <c r="G610" s="1056" t="s">
        <v>4306</v>
      </c>
      <c r="H610" s="433" t="s">
        <v>3478</v>
      </c>
      <c r="I610" s="111">
        <v>154</v>
      </c>
      <c r="J610" s="111">
        <v>3080</v>
      </c>
      <c r="K610" s="110"/>
      <c r="L610" s="110"/>
      <c r="M610" s="110"/>
      <c r="N610" s="110"/>
      <c r="O610" s="110"/>
      <c r="P610" s="110"/>
      <c r="Q610" s="433">
        <v>10</v>
      </c>
      <c r="R610" s="111">
        <v>1026.6666666666667</v>
      </c>
      <c r="S610" s="110"/>
      <c r="T610" s="110"/>
      <c r="U610" s="110"/>
      <c r="V610" s="110"/>
      <c r="W610" s="433">
        <v>5</v>
      </c>
      <c r="X610" s="111">
        <v>1026.6666666666667</v>
      </c>
      <c r="Y610" s="110"/>
      <c r="Z610" s="110"/>
      <c r="AA610" s="110"/>
      <c r="AB610" s="110"/>
      <c r="AC610" s="433">
        <v>5</v>
      </c>
      <c r="AD610" s="111">
        <v>1026.6666666666667</v>
      </c>
      <c r="AE610" s="110"/>
      <c r="AF610" s="110"/>
      <c r="AG610" s="110"/>
      <c r="AH610" s="1048"/>
    </row>
    <row r="611" spans="1:34" ht="45" x14ac:dyDescent="0.25">
      <c r="A611" s="1047"/>
      <c r="B611" s="110" t="s">
        <v>3999</v>
      </c>
      <c r="C611" s="110"/>
      <c r="D611" s="433">
        <v>150</v>
      </c>
      <c r="E611" s="207" t="s">
        <v>3687</v>
      </c>
      <c r="F611" s="1178" t="s">
        <v>4353</v>
      </c>
      <c r="G611" s="1056" t="s">
        <v>4306</v>
      </c>
      <c r="H611" s="433" t="s">
        <v>3478</v>
      </c>
      <c r="I611" s="111">
        <v>159.5</v>
      </c>
      <c r="J611" s="111">
        <v>23925</v>
      </c>
      <c r="K611" s="110"/>
      <c r="L611" s="110"/>
      <c r="M611" s="110"/>
      <c r="N611" s="110"/>
      <c r="O611" s="110"/>
      <c r="P611" s="110"/>
      <c r="Q611" s="433">
        <v>50</v>
      </c>
      <c r="R611" s="111">
        <v>7975</v>
      </c>
      <c r="S611" s="110"/>
      <c r="T611" s="110"/>
      <c r="U611" s="110"/>
      <c r="V611" s="110"/>
      <c r="W611" s="433">
        <v>50</v>
      </c>
      <c r="X611" s="111">
        <v>7975</v>
      </c>
      <c r="Y611" s="110"/>
      <c r="Z611" s="110"/>
      <c r="AA611" s="110"/>
      <c r="AB611" s="110"/>
      <c r="AC611" s="433">
        <v>50</v>
      </c>
      <c r="AD611" s="111">
        <v>7975</v>
      </c>
      <c r="AE611" s="110"/>
      <c r="AF611" s="110"/>
      <c r="AG611" s="110"/>
      <c r="AH611" s="1048"/>
    </row>
    <row r="612" spans="1:34" ht="45" x14ac:dyDescent="0.25">
      <c r="A612" s="1047"/>
      <c r="B612" s="110" t="s">
        <v>4000</v>
      </c>
      <c r="C612" s="110"/>
      <c r="D612" s="433">
        <v>200</v>
      </c>
      <c r="E612" s="207" t="s">
        <v>3687</v>
      </c>
      <c r="F612" s="1178" t="s">
        <v>4353</v>
      </c>
      <c r="G612" s="1056" t="s">
        <v>4306</v>
      </c>
      <c r="H612" s="433" t="s">
        <v>3478</v>
      </c>
      <c r="I612" s="111">
        <v>33</v>
      </c>
      <c r="J612" s="111">
        <v>6600</v>
      </c>
      <c r="K612" s="110"/>
      <c r="L612" s="110"/>
      <c r="M612" s="110"/>
      <c r="N612" s="110"/>
      <c r="O612" s="110"/>
      <c r="P612" s="110"/>
      <c r="Q612" s="433">
        <v>100</v>
      </c>
      <c r="R612" s="111">
        <v>2200</v>
      </c>
      <c r="S612" s="110"/>
      <c r="T612" s="110"/>
      <c r="U612" s="110"/>
      <c r="V612" s="110"/>
      <c r="W612" s="433">
        <v>50</v>
      </c>
      <c r="X612" s="111">
        <v>2200</v>
      </c>
      <c r="Y612" s="110"/>
      <c r="Z612" s="110"/>
      <c r="AA612" s="110"/>
      <c r="AB612" s="110"/>
      <c r="AC612" s="433">
        <v>50</v>
      </c>
      <c r="AD612" s="111">
        <v>2200</v>
      </c>
      <c r="AE612" s="110"/>
      <c r="AF612" s="110"/>
      <c r="AG612" s="110"/>
      <c r="AH612" s="1048"/>
    </row>
    <row r="613" spans="1:34" ht="45" x14ac:dyDescent="0.25">
      <c r="A613" s="1047"/>
      <c r="B613" s="110" t="s">
        <v>2009</v>
      </c>
      <c r="C613" s="110"/>
      <c r="D613" s="433">
        <v>160</v>
      </c>
      <c r="E613" s="207" t="s">
        <v>1766</v>
      </c>
      <c r="F613" s="1178" t="s">
        <v>4353</v>
      </c>
      <c r="G613" s="1056" t="s">
        <v>4306</v>
      </c>
      <c r="H613" s="433" t="s">
        <v>3478</v>
      </c>
      <c r="I613" s="111">
        <v>111.62447999999999</v>
      </c>
      <c r="J613" s="111">
        <v>17859.916799999999</v>
      </c>
      <c r="K613" s="110"/>
      <c r="L613" s="110"/>
      <c r="M613" s="110"/>
      <c r="N613" s="110"/>
      <c r="O613" s="110"/>
      <c r="P613" s="110"/>
      <c r="Q613" s="433">
        <v>60</v>
      </c>
      <c r="R613" s="111">
        <v>5953.3055999999997</v>
      </c>
      <c r="S613" s="110"/>
      <c r="T613" s="110"/>
      <c r="U613" s="110"/>
      <c r="V613" s="110"/>
      <c r="W613" s="433">
        <v>50</v>
      </c>
      <c r="X613" s="111">
        <v>5953.3055999999997</v>
      </c>
      <c r="Y613" s="110"/>
      <c r="Z613" s="110"/>
      <c r="AA613" s="110"/>
      <c r="AB613" s="110"/>
      <c r="AC613" s="433">
        <v>50</v>
      </c>
      <c r="AD613" s="111">
        <v>5953.3055999999997</v>
      </c>
      <c r="AE613" s="110"/>
      <c r="AF613" s="110"/>
      <c r="AG613" s="110"/>
      <c r="AH613" s="1048"/>
    </row>
    <row r="614" spans="1:34" ht="45" x14ac:dyDescent="0.25">
      <c r="A614" s="1047"/>
      <c r="B614" s="110" t="s">
        <v>1172</v>
      </c>
      <c r="C614" s="110"/>
      <c r="D614" s="433">
        <v>3200</v>
      </c>
      <c r="E614" s="207" t="s">
        <v>1767</v>
      </c>
      <c r="F614" s="1178" t="s">
        <v>4353</v>
      </c>
      <c r="G614" s="1056" t="s">
        <v>4306</v>
      </c>
      <c r="H614" s="433" t="s">
        <v>3478</v>
      </c>
      <c r="I614" s="111">
        <v>5.6501280000000005</v>
      </c>
      <c r="J614" s="111">
        <v>18080.409600000003</v>
      </c>
      <c r="K614" s="110"/>
      <c r="L614" s="110"/>
      <c r="M614" s="110"/>
      <c r="N614" s="110"/>
      <c r="O614" s="110"/>
      <c r="P614" s="110"/>
      <c r="Q614" s="433">
        <v>1700</v>
      </c>
      <c r="R614" s="111">
        <v>6026.8032000000012</v>
      </c>
      <c r="S614" s="110"/>
      <c r="T614" s="110"/>
      <c r="U614" s="110"/>
      <c r="V614" s="110"/>
      <c r="W614" s="433">
        <v>750</v>
      </c>
      <c r="X614" s="111">
        <v>6026.8032000000012</v>
      </c>
      <c r="Y614" s="110"/>
      <c r="Z614" s="110"/>
      <c r="AA614" s="110"/>
      <c r="AB614" s="110"/>
      <c r="AC614" s="433">
        <v>750</v>
      </c>
      <c r="AD614" s="111">
        <v>6026.8032000000012</v>
      </c>
      <c r="AE614" s="110"/>
      <c r="AF614" s="110"/>
      <c r="AG614" s="110"/>
      <c r="AH614" s="1048"/>
    </row>
    <row r="615" spans="1:34" ht="45" x14ac:dyDescent="0.25">
      <c r="A615" s="1047"/>
      <c r="B615" s="110" t="s">
        <v>1178</v>
      </c>
      <c r="C615" s="110"/>
      <c r="D615" s="433">
        <v>100</v>
      </c>
      <c r="E615" s="207" t="s">
        <v>1772</v>
      </c>
      <c r="F615" s="1178" t="s">
        <v>4353</v>
      </c>
      <c r="G615" s="1056" t="s">
        <v>4306</v>
      </c>
      <c r="H615" s="433" t="s">
        <v>3478</v>
      </c>
      <c r="I615" s="111">
        <v>141.391008</v>
      </c>
      <c r="J615" s="111">
        <v>14139.1008</v>
      </c>
      <c r="K615" s="110"/>
      <c r="L615" s="110"/>
      <c r="M615" s="110"/>
      <c r="N615" s="110"/>
      <c r="O615" s="110"/>
      <c r="P615" s="110"/>
      <c r="Q615" s="433">
        <v>40</v>
      </c>
      <c r="R615" s="111">
        <v>4713.0335999999998</v>
      </c>
      <c r="S615" s="110"/>
      <c r="T615" s="110"/>
      <c r="U615" s="110"/>
      <c r="V615" s="110"/>
      <c r="W615" s="433">
        <v>30</v>
      </c>
      <c r="X615" s="111">
        <v>4713.0335999999998</v>
      </c>
      <c r="Y615" s="110"/>
      <c r="Z615" s="110"/>
      <c r="AA615" s="110"/>
      <c r="AB615" s="110"/>
      <c r="AC615" s="433">
        <v>30</v>
      </c>
      <c r="AD615" s="111">
        <v>4713.0335999999998</v>
      </c>
      <c r="AE615" s="110"/>
      <c r="AF615" s="110"/>
      <c r="AG615" s="110"/>
      <c r="AH615" s="1048"/>
    </row>
    <row r="616" spans="1:34" ht="45" x14ac:dyDescent="0.25">
      <c r="A616" s="1047"/>
      <c r="B616" s="110" t="s">
        <v>1865</v>
      </c>
      <c r="C616" s="110"/>
      <c r="D616" s="433">
        <v>80</v>
      </c>
      <c r="E616" s="207" t="s">
        <v>1949</v>
      </c>
      <c r="F616" s="1178" t="s">
        <v>4353</v>
      </c>
      <c r="G616" s="1056" t="s">
        <v>4306</v>
      </c>
      <c r="H616" s="433" t="s">
        <v>3478</v>
      </c>
      <c r="I616" s="111">
        <v>543.23913600000003</v>
      </c>
      <c r="J616" s="111">
        <v>43459.130880000004</v>
      </c>
      <c r="K616" s="110"/>
      <c r="L616" s="110"/>
      <c r="M616" s="110"/>
      <c r="N616" s="110"/>
      <c r="O616" s="110"/>
      <c r="P616" s="110"/>
      <c r="Q616" s="433">
        <v>40</v>
      </c>
      <c r="R616" s="111">
        <v>14486.376960000001</v>
      </c>
      <c r="S616" s="110"/>
      <c r="T616" s="110"/>
      <c r="U616" s="110"/>
      <c r="V616" s="110"/>
      <c r="W616" s="433">
        <v>20</v>
      </c>
      <c r="X616" s="111">
        <v>14486.376960000001</v>
      </c>
      <c r="Y616" s="110"/>
      <c r="Z616" s="110"/>
      <c r="AA616" s="110"/>
      <c r="AB616" s="110"/>
      <c r="AC616" s="433">
        <v>20</v>
      </c>
      <c r="AD616" s="111">
        <v>14486.376960000001</v>
      </c>
      <c r="AE616" s="110"/>
      <c r="AF616" s="110"/>
      <c r="AG616" s="110"/>
      <c r="AH616" s="1048"/>
    </row>
    <row r="617" spans="1:34" ht="45" x14ac:dyDescent="0.25">
      <c r="A617" s="1047"/>
      <c r="B617" s="110" t="s">
        <v>1436</v>
      </c>
      <c r="C617" s="110"/>
      <c r="D617" s="433">
        <v>60</v>
      </c>
      <c r="E617" s="207" t="s">
        <v>1766</v>
      </c>
      <c r="F617" s="1178" t="s">
        <v>4353</v>
      </c>
      <c r="G617" s="1056" t="s">
        <v>4306</v>
      </c>
      <c r="H617" s="433" t="s">
        <v>3478</v>
      </c>
      <c r="I617" s="111">
        <v>372.08160000000004</v>
      </c>
      <c r="J617" s="111">
        <v>22324.896000000001</v>
      </c>
      <c r="K617" s="110"/>
      <c r="L617" s="110"/>
      <c r="M617" s="110"/>
      <c r="N617" s="110"/>
      <c r="O617" s="110"/>
      <c r="P617" s="110"/>
      <c r="Q617" s="433">
        <v>20</v>
      </c>
      <c r="R617" s="111">
        <v>7441.6320000000005</v>
      </c>
      <c r="S617" s="110"/>
      <c r="T617" s="110"/>
      <c r="U617" s="110"/>
      <c r="V617" s="110"/>
      <c r="W617" s="433">
        <v>20</v>
      </c>
      <c r="X617" s="111">
        <v>7441.6320000000005</v>
      </c>
      <c r="Y617" s="110"/>
      <c r="Z617" s="110"/>
      <c r="AA617" s="110"/>
      <c r="AB617" s="110"/>
      <c r="AC617" s="433">
        <v>20</v>
      </c>
      <c r="AD617" s="111">
        <v>7441.6320000000005</v>
      </c>
      <c r="AE617" s="110"/>
      <c r="AF617" s="110"/>
      <c r="AG617" s="110"/>
      <c r="AH617" s="1048"/>
    </row>
    <row r="618" spans="1:34" ht="45" x14ac:dyDescent="0.25">
      <c r="A618" s="1047"/>
      <c r="B618" s="110" t="s">
        <v>2010</v>
      </c>
      <c r="C618" s="110"/>
      <c r="D618" s="433">
        <v>60</v>
      </c>
      <c r="E618" s="207" t="s">
        <v>1766</v>
      </c>
      <c r="F618" s="1178" t="s">
        <v>4353</v>
      </c>
      <c r="G618" s="1056" t="s">
        <v>4306</v>
      </c>
      <c r="H618" s="433" t="s">
        <v>3478</v>
      </c>
      <c r="I618" s="111">
        <v>267.898752</v>
      </c>
      <c r="J618" s="111">
        <v>16073.92512</v>
      </c>
      <c r="K618" s="110"/>
      <c r="L618" s="110"/>
      <c r="M618" s="110"/>
      <c r="N618" s="110"/>
      <c r="O618" s="110"/>
      <c r="P618" s="110"/>
      <c r="Q618" s="433">
        <v>20</v>
      </c>
      <c r="R618" s="111">
        <v>5357.9750400000003</v>
      </c>
      <c r="S618" s="110"/>
      <c r="T618" s="110"/>
      <c r="U618" s="110"/>
      <c r="V618" s="110"/>
      <c r="W618" s="433">
        <v>20</v>
      </c>
      <c r="X618" s="111">
        <v>5357.9750400000003</v>
      </c>
      <c r="Y618" s="110"/>
      <c r="Z618" s="110"/>
      <c r="AA618" s="110"/>
      <c r="AB618" s="110"/>
      <c r="AC618" s="433">
        <v>20</v>
      </c>
      <c r="AD618" s="111">
        <v>5357.9750400000003</v>
      </c>
      <c r="AE618" s="110"/>
      <c r="AF618" s="110"/>
      <c r="AG618" s="110"/>
      <c r="AH618" s="1048"/>
    </row>
    <row r="619" spans="1:34" ht="45" x14ac:dyDescent="0.25">
      <c r="A619" s="1047"/>
      <c r="B619" s="110" t="s">
        <v>4001</v>
      </c>
      <c r="C619" s="110"/>
      <c r="D619" s="433">
        <v>200</v>
      </c>
      <c r="E619" s="207" t="s">
        <v>1767</v>
      </c>
      <c r="F619" s="1178" t="s">
        <v>4353</v>
      </c>
      <c r="G619" s="1056" t="s">
        <v>4306</v>
      </c>
      <c r="H619" s="433" t="s">
        <v>3478</v>
      </c>
      <c r="I619" s="111">
        <v>89.299583999999996</v>
      </c>
      <c r="J619" s="111">
        <v>17859.916799999999</v>
      </c>
      <c r="K619" s="110"/>
      <c r="L619" s="110"/>
      <c r="M619" s="110"/>
      <c r="N619" s="110"/>
      <c r="O619" s="110"/>
      <c r="P619" s="110"/>
      <c r="Q619" s="433">
        <v>100</v>
      </c>
      <c r="R619" s="111">
        <v>5953.3055999999997</v>
      </c>
      <c r="S619" s="110"/>
      <c r="T619" s="110"/>
      <c r="U619" s="110"/>
      <c r="V619" s="110"/>
      <c r="W619" s="433">
        <v>50</v>
      </c>
      <c r="X619" s="111">
        <v>5953.3055999999997</v>
      </c>
      <c r="Y619" s="110"/>
      <c r="Z619" s="110"/>
      <c r="AA619" s="110"/>
      <c r="AB619" s="110"/>
      <c r="AC619" s="433">
        <v>50</v>
      </c>
      <c r="AD619" s="111">
        <v>5953.3055999999997</v>
      </c>
      <c r="AE619" s="110"/>
      <c r="AF619" s="110"/>
      <c r="AG619" s="110"/>
      <c r="AH619" s="1048"/>
    </row>
    <row r="620" spans="1:34" ht="45" x14ac:dyDescent="0.25">
      <c r="A620" s="1047"/>
      <c r="B620" s="110" t="s">
        <v>1179</v>
      </c>
      <c r="C620" s="110"/>
      <c r="D620" s="433">
        <v>40</v>
      </c>
      <c r="E620" s="207" t="s">
        <v>1766</v>
      </c>
      <c r="F620" s="1178" t="s">
        <v>4353</v>
      </c>
      <c r="G620" s="1056" t="s">
        <v>4306</v>
      </c>
      <c r="H620" s="433" t="s">
        <v>3478</v>
      </c>
      <c r="I620" s="111">
        <v>312.54854399999999</v>
      </c>
      <c r="J620" s="111">
        <v>12501.94176</v>
      </c>
      <c r="K620" s="110"/>
      <c r="L620" s="110"/>
      <c r="M620" s="110"/>
      <c r="N620" s="110"/>
      <c r="O620" s="110"/>
      <c r="P620" s="110"/>
      <c r="Q620" s="433">
        <v>20</v>
      </c>
      <c r="R620" s="111">
        <v>4167.3139199999996</v>
      </c>
      <c r="S620" s="110"/>
      <c r="T620" s="110"/>
      <c r="U620" s="110"/>
      <c r="V620" s="110"/>
      <c r="W620" s="433">
        <v>10</v>
      </c>
      <c r="X620" s="111">
        <v>4167.3139199999996</v>
      </c>
      <c r="Y620" s="110"/>
      <c r="Z620" s="110"/>
      <c r="AA620" s="110"/>
      <c r="AB620" s="110"/>
      <c r="AC620" s="433">
        <v>10</v>
      </c>
      <c r="AD620" s="111">
        <v>4167.3139199999996</v>
      </c>
      <c r="AE620" s="110"/>
      <c r="AF620" s="110"/>
      <c r="AG620" s="110"/>
      <c r="AH620" s="1048"/>
    </row>
    <row r="621" spans="1:34" ht="45" x14ac:dyDescent="0.25">
      <c r="A621" s="1047"/>
      <c r="B621" s="110" t="s">
        <v>4002</v>
      </c>
      <c r="C621" s="110"/>
      <c r="D621" s="433">
        <v>240</v>
      </c>
      <c r="E621" s="207" t="s">
        <v>2949</v>
      </c>
      <c r="F621" s="1178" t="s">
        <v>4353</v>
      </c>
      <c r="G621" s="1056" t="s">
        <v>4306</v>
      </c>
      <c r="H621" s="433" t="s">
        <v>3478</v>
      </c>
      <c r="I621" s="111">
        <v>250.55999999999997</v>
      </c>
      <c r="J621" s="111">
        <v>60134.399999999994</v>
      </c>
      <c r="K621" s="110"/>
      <c r="L621" s="110"/>
      <c r="M621" s="110"/>
      <c r="N621" s="110"/>
      <c r="O621" s="110"/>
      <c r="P621" s="110"/>
      <c r="Q621" s="433">
        <v>140</v>
      </c>
      <c r="R621" s="111">
        <v>20044.8</v>
      </c>
      <c r="S621" s="110"/>
      <c r="T621" s="110"/>
      <c r="U621" s="110"/>
      <c r="V621" s="110"/>
      <c r="W621" s="433">
        <v>50</v>
      </c>
      <c r="X621" s="111">
        <v>20044.8</v>
      </c>
      <c r="Y621" s="110"/>
      <c r="Z621" s="110"/>
      <c r="AA621" s="110"/>
      <c r="AB621" s="110"/>
      <c r="AC621" s="433">
        <v>50</v>
      </c>
      <c r="AD621" s="111">
        <v>20044.8</v>
      </c>
      <c r="AE621" s="110"/>
      <c r="AF621" s="110"/>
      <c r="AG621" s="110"/>
      <c r="AH621" s="1048"/>
    </row>
    <row r="622" spans="1:34" x14ac:dyDescent="0.25">
      <c r="A622" s="1058">
        <v>22106</v>
      </c>
      <c r="B622" s="187" t="s">
        <v>4003</v>
      </c>
      <c r="C622" s="110"/>
      <c r="D622" s="433"/>
      <c r="E622" s="207"/>
      <c r="F622" s="433"/>
      <c r="G622" s="110"/>
      <c r="H622" s="433"/>
      <c r="I622" s="111"/>
      <c r="J622" s="111"/>
      <c r="K622" s="110"/>
      <c r="L622" s="110"/>
      <c r="M622" s="110"/>
      <c r="N622" s="110"/>
      <c r="O622" s="110"/>
      <c r="P622" s="110"/>
      <c r="Q622" s="433"/>
      <c r="R622" s="111"/>
      <c r="S622" s="110"/>
      <c r="T622" s="110"/>
      <c r="U622" s="110"/>
      <c r="V622" s="110"/>
      <c r="W622" s="433"/>
      <c r="X622" s="111"/>
      <c r="Y622" s="110"/>
      <c r="Z622" s="110"/>
      <c r="AA622" s="110"/>
      <c r="AB622" s="110"/>
      <c r="AC622" s="433"/>
      <c r="AD622" s="111"/>
      <c r="AE622" s="110"/>
      <c r="AF622" s="110"/>
      <c r="AG622" s="110"/>
      <c r="AH622" s="1048"/>
    </row>
    <row r="623" spans="1:34" ht="45" x14ac:dyDescent="0.25">
      <c r="A623" s="1047"/>
      <c r="B623" s="110" t="s">
        <v>4004</v>
      </c>
      <c r="C623" s="110"/>
      <c r="D623" s="433">
        <v>800</v>
      </c>
      <c r="E623" s="207" t="s">
        <v>1767</v>
      </c>
      <c r="F623" s="1178" t="s">
        <v>4353</v>
      </c>
      <c r="G623" s="1056" t="s">
        <v>4306</v>
      </c>
      <c r="H623" s="433" t="s">
        <v>3478</v>
      </c>
      <c r="I623" s="111">
        <v>25.3</v>
      </c>
      <c r="J623" s="111">
        <v>20240</v>
      </c>
      <c r="K623" s="110"/>
      <c r="L623" s="110"/>
      <c r="M623" s="110"/>
      <c r="N623" s="110"/>
      <c r="O623" s="110"/>
      <c r="P623" s="110"/>
      <c r="Q623" s="433">
        <v>400</v>
      </c>
      <c r="R623" s="111">
        <v>6746.666666666667</v>
      </c>
      <c r="S623" s="110"/>
      <c r="T623" s="110"/>
      <c r="U623" s="110"/>
      <c r="V623" s="110"/>
      <c r="W623" s="433">
        <v>200</v>
      </c>
      <c r="X623" s="111">
        <v>6746.666666666667</v>
      </c>
      <c r="Y623" s="110"/>
      <c r="Z623" s="110"/>
      <c r="AA623" s="110"/>
      <c r="AB623" s="110"/>
      <c r="AC623" s="433">
        <v>200</v>
      </c>
      <c r="AD623" s="111">
        <v>6746.666666666667</v>
      </c>
      <c r="AE623" s="110"/>
      <c r="AF623" s="110"/>
      <c r="AG623" s="110"/>
      <c r="AH623" s="1048"/>
    </row>
    <row r="624" spans="1:34" ht="45" x14ac:dyDescent="0.25">
      <c r="A624" s="1047"/>
      <c r="B624" s="110" t="s">
        <v>4005</v>
      </c>
      <c r="C624" s="110"/>
      <c r="D624" s="433">
        <v>451</v>
      </c>
      <c r="E624" s="207" t="s">
        <v>1767</v>
      </c>
      <c r="F624" s="1178" t="s">
        <v>4353</v>
      </c>
      <c r="G624" s="1056" t="s">
        <v>4306</v>
      </c>
      <c r="H624" s="433" t="s">
        <v>3478</v>
      </c>
      <c r="I624" s="111">
        <v>129.80000000000001</v>
      </c>
      <c r="J624" s="111">
        <v>58539.8</v>
      </c>
      <c r="K624" s="110"/>
      <c r="L624" s="110"/>
      <c r="M624" s="110"/>
      <c r="N624" s="110"/>
      <c r="O624" s="110"/>
      <c r="P624" s="110"/>
      <c r="Q624" s="433">
        <v>251</v>
      </c>
      <c r="R624" s="111">
        <v>19513.266666666666</v>
      </c>
      <c r="S624" s="110"/>
      <c r="T624" s="110"/>
      <c r="U624" s="110"/>
      <c r="V624" s="110"/>
      <c r="W624" s="433">
        <v>100</v>
      </c>
      <c r="X624" s="111">
        <v>19513.266666666666</v>
      </c>
      <c r="Y624" s="110"/>
      <c r="Z624" s="110"/>
      <c r="AA624" s="110"/>
      <c r="AB624" s="110"/>
      <c r="AC624" s="433">
        <v>100</v>
      </c>
      <c r="AD624" s="111">
        <v>19513.266666666666</v>
      </c>
      <c r="AE624" s="110"/>
      <c r="AF624" s="110"/>
      <c r="AG624" s="110"/>
      <c r="AH624" s="1048"/>
    </row>
    <row r="625" spans="1:34" ht="45" x14ac:dyDescent="0.25">
      <c r="A625" s="1047"/>
      <c r="B625" s="110" t="s">
        <v>4006</v>
      </c>
      <c r="C625" s="110"/>
      <c r="D625" s="433">
        <v>190</v>
      </c>
      <c r="E625" s="207" t="s">
        <v>1772</v>
      </c>
      <c r="F625" s="1178" t="s">
        <v>4353</v>
      </c>
      <c r="G625" s="1056" t="s">
        <v>4306</v>
      </c>
      <c r="H625" s="433" t="s">
        <v>3478</v>
      </c>
      <c r="I625" s="111">
        <v>185.9</v>
      </c>
      <c r="J625" s="111">
        <v>35321</v>
      </c>
      <c r="K625" s="110"/>
      <c r="L625" s="110"/>
      <c r="M625" s="110"/>
      <c r="N625" s="110"/>
      <c r="O625" s="110"/>
      <c r="P625" s="110"/>
      <c r="Q625" s="433">
        <v>90</v>
      </c>
      <c r="R625" s="111">
        <v>11773.666666666666</v>
      </c>
      <c r="S625" s="110"/>
      <c r="T625" s="110"/>
      <c r="U625" s="110"/>
      <c r="V625" s="110"/>
      <c r="W625" s="433">
        <v>50</v>
      </c>
      <c r="X625" s="111">
        <v>11773.666666666666</v>
      </c>
      <c r="Y625" s="110"/>
      <c r="Z625" s="110"/>
      <c r="AA625" s="110"/>
      <c r="AB625" s="110"/>
      <c r="AC625" s="433">
        <v>50</v>
      </c>
      <c r="AD625" s="111">
        <v>11773.666666666666</v>
      </c>
      <c r="AE625" s="110"/>
      <c r="AF625" s="110"/>
      <c r="AG625" s="110"/>
      <c r="AH625" s="1048"/>
    </row>
    <row r="626" spans="1:34" ht="45" x14ac:dyDescent="0.25">
      <c r="A626" s="1047"/>
      <c r="B626" s="110" t="s">
        <v>4007</v>
      </c>
      <c r="C626" s="110"/>
      <c r="D626" s="433">
        <v>80</v>
      </c>
      <c r="E626" s="207" t="s">
        <v>3687</v>
      </c>
      <c r="F626" s="1178" t="s">
        <v>4353</v>
      </c>
      <c r="G626" s="1056" t="s">
        <v>4306</v>
      </c>
      <c r="H626" s="433" t="s">
        <v>3478</v>
      </c>
      <c r="I626" s="111">
        <v>176</v>
      </c>
      <c r="J626" s="111">
        <v>14080</v>
      </c>
      <c r="K626" s="110"/>
      <c r="L626" s="110"/>
      <c r="M626" s="110"/>
      <c r="N626" s="110"/>
      <c r="O626" s="110"/>
      <c r="P626" s="110"/>
      <c r="Q626" s="433">
        <v>40</v>
      </c>
      <c r="R626" s="111">
        <v>4693.333333333333</v>
      </c>
      <c r="S626" s="110"/>
      <c r="T626" s="110"/>
      <c r="U626" s="110"/>
      <c r="V626" s="110"/>
      <c r="W626" s="433">
        <v>20</v>
      </c>
      <c r="X626" s="111">
        <v>4693.333333333333</v>
      </c>
      <c r="Y626" s="110"/>
      <c r="Z626" s="110"/>
      <c r="AA626" s="110"/>
      <c r="AB626" s="110"/>
      <c r="AC626" s="433">
        <v>20</v>
      </c>
      <c r="AD626" s="111">
        <v>4693.333333333333</v>
      </c>
      <c r="AE626" s="110"/>
      <c r="AF626" s="110"/>
      <c r="AG626" s="110"/>
      <c r="AH626" s="1048"/>
    </row>
    <row r="627" spans="1:34" ht="45" x14ac:dyDescent="0.25">
      <c r="A627" s="1047"/>
      <c r="B627" s="110" t="s">
        <v>4008</v>
      </c>
      <c r="C627" s="110"/>
      <c r="D627" s="433">
        <v>250</v>
      </c>
      <c r="E627" s="207" t="s">
        <v>3687</v>
      </c>
      <c r="F627" s="1178" t="s">
        <v>4353</v>
      </c>
      <c r="G627" s="1056" t="s">
        <v>4306</v>
      </c>
      <c r="H627" s="433" t="s">
        <v>3478</v>
      </c>
      <c r="I627" s="111">
        <v>673.2</v>
      </c>
      <c r="J627" s="111">
        <v>168300</v>
      </c>
      <c r="K627" s="110"/>
      <c r="L627" s="110"/>
      <c r="M627" s="110"/>
      <c r="N627" s="110"/>
      <c r="O627" s="110"/>
      <c r="P627" s="110"/>
      <c r="Q627" s="433">
        <v>1900</v>
      </c>
      <c r="R627" s="111">
        <v>56100</v>
      </c>
      <c r="S627" s="110"/>
      <c r="T627" s="110"/>
      <c r="U627" s="110"/>
      <c r="V627" s="110"/>
      <c r="W627" s="433">
        <v>750</v>
      </c>
      <c r="X627" s="111">
        <v>56100</v>
      </c>
      <c r="Y627" s="110"/>
      <c r="Z627" s="110"/>
      <c r="AA627" s="110"/>
      <c r="AB627" s="110"/>
      <c r="AC627" s="433">
        <v>750</v>
      </c>
      <c r="AD627" s="111">
        <v>56100</v>
      </c>
      <c r="AE627" s="110"/>
      <c r="AF627" s="110"/>
      <c r="AG627" s="110"/>
      <c r="AH627" s="1048"/>
    </row>
    <row r="628" spans="1:34" x14ac:dyDescent="0.25">
      <c r="A628" s="1058">
        <v>22302</v>
      </c>
      <c r="B628" s="187" t="s">
        <v>488</v>
      </c>
      <c r="C628" s="110"/>
      <c r="D628" s="433"/>
      <c r="E628" s="207"/>
      <c r="F628" s="433"/>
      <c r="G628" s="110"/>
      <c r="H628" s="433"/>
      <c r="I628" s="111"/>
      <c r="J628" s="111"/>
      <c r="K628" s="110"/>
      <c r="L628" s="110"/>
      <c r="M628" s="110"/>
      <c r="N628" s="110"/>
      <c r="O628" s="110"/>
      <c r="P628" s="110"/>
      <c r="Q628" s="433"/>
      <c r="R628" s="111"/>
      <c r="S628" s="110"/>
      <c r="T628" s="110"/>
      <c r="U628" s="110"/>
      <c r="V628" s="110"/>
      <c r="W628" s="433"/>
      <c r="X628" s="111"/>
      <c r="Y628" s="110"/>
      <c r="Z628" s="110"/>
      <c r="AA628" s="110"/>
      <c r="AB628" s="110"/>
      <c r="AC628" s="433"/>
      <c r="AD628" s="111"/>
      <c r="AE628" s="110"/>
      <c r="AF628" s="110"/>
      <c r="AG628" s="110"/>
      <c r="AH628" s="1048"/>
    </row>
    <row r="629" spans="1:34" ht="45" x14ac:dyDescent="0.25">
      <c r="A629" s="1047"/>
      <c r="B629" s="110" t="s">
        <v>4009</v>
      </c>
      <c r="C629" s="110"/>
      <c r="D629" s="433">
        <v>100</v>
      </c>
      <c r="E629" s="207" t="s">
        <v>1772</v>
      </c>
      <c r="F629" s="1178" t="s">
        <v>4353</v>
      </c>
      <c r="G629" s="1056" t="s">
        <v>4306</v>
      </c>
      <c r="H629" s="433" t="s">
        <v>3478</v>
      </c>
      <c r="I629" s="111">
        <v>308</v>
      </c>
      <c r="J629" s="111">
        <v>30800</v>
      </c>
      <c r="K629" s="110"/>
      <c r="L629" s="110"/>
      <c r="M629" s="110"/>
      <c r="N629" s="110"/>
      <c r="O629" s="110"/>
      <c r="P629" s="110"/>
      <c r="Q629" s="433">
        <v>40</v>
      </c>
      <c r="R629" s="111">
        <v>10266.666666666666</v>
      </c>
      <c r="S629" s="110"/>
      <c r="T629" s="110"/>
      <c r="U629" s="110"/>
      <c r="V629" s="110"/>
      <c r="W629" s="433">
        <v>30</v>
      </c>
      <c r="X629" s="111">
        <v>10266.666666666666</v>
      </c>
      <c r="Y629" s="110"/>
      <c r="Z629" s="110"/>
      <c r="AA629" s="110"/>
      <c r="AB629" s="110"/>
      <c r="AC629" s="433">
        <v>30</v>
      </c>
      <c r="AD629" s="111">
        <v>10266.666666666666</v>
      </c>
      <c r="AE629" s="110"/>
      <c r="AF629" s="110"/>
      <c r="AG629" s="110"/>
      <c r="AH629" s="1048"/>
    </row>
    <row r="630" spans="1:34" ht="45" x14ac:dyDescent="0.25">
      <c r="A630" s="1047"/>
      <c r="B630" s="110" t="s">
        <v>4010</v>
      </c>
      <c r="C630" s="110"/>
      <c r="D630" s="433">
        <v>50</v>
      </c>
      <c r="E630" s="207" t="s">
        <v>1772</v>
      </c>
      <c r="F630" s="1178" t="s">
        <v>4353</v>
      </c>
      <c r="G630" s="1056" t="s">
        <v>4306</v>
      </c>
      <c r="H630" s="433" t="s">
        <v>3478</v>
      </c>
      <c r="I630" s="111">
        <v>306.5</v>
      </c>
      <c r="J630" s="111">
        <v>15325</v>
      </c>
      <c r="K630" s="110"/>
      <c r="L630" s="110"/>
      <c r="M630" s="110"/>
      <c r="N630" s="110"/>
      <c r="O630" s="110"/>
      <c r="P630" s="110"/>
      <c r="Q630" s="433">
        <v>25</v>
      </c>
      <c r="R630" s="111">
        <v>5108.333333333333</v>
      </c>
      <c r="S630" s="110"/>
      <c r="T630" s="110"/>
      <c r="U630" s="110"/>
      <c r="V630" s="110"/>
      <c r="W630" s="433">
        <v>13</v>
      </c>
      <c r="X630" s="111">
        <v>5108.333333333333</v>
      </c>
      <c r="Y630" s="110"/>
      <c r="Z630" s="110"/>
      <c r="AA630" s="110"/>
      <c r="AB630" s="110"/>
      <c r="AC630" s="433">
        <v>12</v>
      </c>
      <c r="AD630" s="111">
        <v>5108.333333333333</v>
      </c>
      <c r="AE630" s="110"/>
      <c r="AF630" s="110"/>
      <c r="AG630" s="110"/>
      <c r="AH630" s="1048"/>
    </row>
    <row r="631" spans="1:34" ht="45" x14ac:dyDescent="0.25">
      <c r="A631" s="1047"/>
      <c r="B631" s="110" t="s">
        <v>4011</v>
      </c>
      <c r="C631" s="110"/>
      <c r="D631" s="433">
        <v>50</v>
      </c>
      <c r="E631" s="207" t="s">
        <v>1772</v>
      </c>
      <c r="F631" s="1178" t="s">
        <v>4353</v>
      </c>
      <c r="G631" s="1056" t="s">
        <v>4306</v>
      </c>
      <c r="H631" s="433" t="s">
        <v>3478</v>
      </c>
      <c r="I631" s="111">
        <v>306.5</v>
      </c>
      <c r="J631" s="111">
        <v>15325</v>
      </c>
      <c r="K631" s="110"/>
      <c r="L631" s="110"/>
      <c r="M631" s="110"/>
      <c r="N631" s="110"/>
      <c r="O631" s="110"/>
      <c r="P631" s="110"/>
      <c r="Q631" s="433">
        <v>25</v>
      </c>
      <c r="R631" s="111">
        <v>5108.333333333333</v>
      </c>
      <c r="S631" s="110"/>
      <c r="T631" s="110"/>
      <c r="U631" s="110"/>
      <c r="V631" s="110"/>
      <c r="W631" s="433">
        <v>13</v>
      </c>
      <c r="X631" s="111">
        <v>5108.333333333333</v>
      </c>
      <c r="Y631" s="110"/>
      <c r="Z631" s="110"/>
      <c r="AA631" s="110"/>
      <c r="AB631" s="110"/>
      <c r="AC631" s="433">
        <v>12</v>
      </c>
      <c r="AD631" s="111">
        <v>5108.333333333333</v>
      </c>
      <c r="AE631" s="110"/>
      <c r="AF631" s="110"/>
      <c r="AG631" s="110"/>
      <c r="AH631" s="1048"/>
    </row>
    <row r="632" spans="1:34" ht="45" x14ac:dyDescent="0.25">
      <c r="A632" s="1047"/>
      <c r="B632" s="110" t="s">
        <v>4012</v>
      </c>
      <c r="C632" s="110"/>
      <c r="D632" s="433">
        <v>50</v>
      </c>
      <c r="E632" s="207" t="s">
        <v>1772</v>
      </c>
      <c r="F632" s="1178" t="s">
        <v>4353</v>
      </c>
      <c r="G632" s="1056" t="s">
        <v>4306</v>
      </c>
      <c r="H632" s="433" t="s">
        <v>3478</v>
      </c>
      <c r="I632" s="111">
        <v>1138.0999999999999</v>
      </c>
      <c r="J632" s="111">
        <v>56904.999999999993</v>
      </c>
      <c r="K632" s="110"/>
      <c r="L632" s="110"/>
      <c r="M632" s="110"/>
      <c r="N632" s="110"/>
      <c r="O632" s="110"/>
      <c r="P632" s="110"/>
      <c r="Q632" s="433">
        <v>25</v>
      </c>
      <c r="R632" s="111">
        <v>18968.333333333332</v>
      </c>
      <c r="S632" s="110"/>
      <c r="T632" s="110"/>
      <c r="U632" s="110"/>
      <c r="V632" s="110"/>
      <c r="W632" s="433">
        <v>13</v>
      </c>
      <c r="X632" s="111">
        <v>18968.333333333332</v>
      </c>
      <c r="Y632" s="110"/>
      <c r="Z632" s="110"/>
      <c r="AA632" s="110"/>
      <c r="AB632" s="110"/>
      <c r="AC632" s="433">
        <v>12</v>
      </c>
      <c r="AD632" s="111">
        <v>18968.333333333332</v>
      </c>
      <c r="AE632" s="110"/>
      <c r="AF632" s="110"/>
      <c r="AG632" s="110"/>
      <c r="AH632" s="1048"/>
    </row>
    <row r="633" spans="1:34" ht="45" x14ac:dyDescent="0.25">
      <c r="A633" s="1047"/>
      <c r="B633" s="110" t="s">
        <v>4013</v>
      </c>
      <c r="C633" s="110"/>
      <c r="D633" s="433">
        <v>30</v>
      </c>
      <c r="E633" s="207" t="s">
        <v>1772</v>
      </c>
      <c r="F633" s="1178" t="s">
        <v>4353</v>
      </c>
      <c r="G633" s="1056" t="s">
        <v>4306</v>
      </c>
      <c r="H633" s="433" t="s">
        <v>3478</v>
      </c>
      <c r="I633" s="111">
        <v>819.72</v>
      </c>
      <c r="J633" s="111">
        <v>24591.600000000002</v>
      </c>
      <c r="K633" s="110"/>
      <c r="L633" s="110"/>
      <c r="M633" s="110"/>
      <c r="N633" s="110"/>
      <c r="O633" s="110"/>
      <c r="P633" s="110"/>
      <c r="Q633" s="433">
        <v>15</v>
      </c>
      <c r="R633" s="111">
        <v>8197.2000000000007</v>
      </c>
      <c r="S633" s="110"/>
      <c r="T633" s="110"/>
      <c r="U633" s="110"/>
      <c r="V633" s="110"/>
      <c r="W633" s="433">
        <v>8</v>
      </c>
      <c r="X633" s="111">
        <v>8197.2000000000007</v>
      </c>
      <c r="Y633" s="110"/>
      <c r="Z633" s="110"/>
      <c r="AA633" s="110"/>
      <c r="AB633" s="110"/>
      <c r="AC633" s="433">
        <v>7</v>
      </c>
      <c r="AD633" s="111">
        <v>8197.2000000000007</v>
      </c>
      <c r="AE633" s="110"/>
      <c r="AF633" s="110"/>
      <c r="AG633" s="110"/>
      <c r="AH633" s="1048"/>
    </row>
    <row r="634" spans="1:34" ht="45" x14ac:dyDescent="0.25">
      <c r="A634" s="1047"/>
      <c r="B634" s="110" t="s">
        <v>4014</v>
      </c>
      <c r="C634" s="110"/>
      <c r="D634" s="433">
        <v>50</v>
      </c>
      <c r="E634" s="207" t="s">
        <v>1766</v>
      </c>
      <c r="F634" s="1178" t="s">
        <v>4353</v>
      </c>
      <c r="G634" s="1056" t="s">
        <v>4306</v>
      </c>
      <c r="H634" s="433" t="s">
        <v>3478</v>
      </c>
      <c r="I634" s="111">
        <v>579.74</v>
      </c>
      <c r="J634" s="111">
        <v>28987</v>
      </c>
      <c r="K634" s="110"/>
      <c r="L634" s="110"/>
      <c r="M634" s="110"/>
      <c r="N634" s="110"/>
      <c r="O634" s="110"/>
      <c r="P634" s="110"/>
      <c r="Q634" s="433">
        <v>25</v>
      </c>
      <c r="R634" s="111">
        <v>9662.3333333333339</v>
      </c>
      <c r="S634" s="110"/>
      <c r="T634" s="110"/>
      <c r="U634" s="110"/>
      <c r="V634" s="110"/>
      <c r="W634" s="433">
        <v>13</v>
      </c>
      <c r="X634" s="111">
        <v>9662.3333333333339</v>
      </c>
      <c r="Y634" s="110"/>
      <c r="Z634" s="110"/>
      <c r="AA634" s="110"/>
      <c r="AB634" s="110"/>
      <c r="AC634" s="433">
        <v>12</v>
      </c>
      <c r="AD634" s="111">
        <v>9662.3333333333339</v>
      </c>
      <c r="AE634" s="110"/>
      <c r="AF634" s="110"/>
      <c r="AG634" s="110"/>
      <c r="AH634" s="1048"/>
    </row>
    <row r="635" spans="1:34" ht="45" x14ac:dyDescent="0.25">
      <c r="A635" s="1047"/>
      <c r="B635" s="110" t="s">
        <v>4015</v>
      </c>
      <c r="C635" s="110"/>
      <c r="D635" s="433">
        <v>11</v>
      </c>
      <c r="E635" s="207" t="s">
        <v>1767</v>
      </c>
      <c r="F635" s="1178" t="s">
        <v>4353</v>
      </c>
      <c r="G635" s="1056" t="s">
        <v>4306</v>
      </c>
      <c r="H635" s="433" t="s">
        <v>3478</v>
      </c>
      <c r="I635" s="111">
        <v>41.72</v>
      </c>
      <c r="J635" s="111">
        <v>458.91999999999996</v>
      </c>
      <c r="K635" s="110"/>
      <c r="L635" s="110"/>
      <c r="M635" s="110"/>
      <c r="N635" s="110"/>
      <c r="O635" s="110"/>
      <c r="P635" s="110"/>
      <c r="Q635" s="433">
        <v>5</v>
      </c>
      <c r="R635" s="111">
        <v>152.97333333333333</v>
      </c>
      <c r="S635" s="110"/>
      <c r="T635" s="110"/>
      <c r="U635" s="110"/>
      <c r="V635" s="110"/>
      <c r="W635" s="433">
        <v>3</v>
      </c>
      <c r="X635" s="111">
        <v>152.97333333333333</v>
      </c>
      <c r="Y635" s="110"/>
      <c r="Z635" s="110"/>
      <c r="AA635" s="110"/>
      <c r="AB635" s="110"/>
      <c r="AC635" s="433">
        <v>3</v>
      </c>
      <c r="AD635" s="111">
        <v>152.97333333333333</v>
      </c>
      <c r="AE635" s="110"/>
      <c r="AF635" s="110"/>
      <c r="AG635" s="110"/>
      <c r="AH635" s="1048"/>
    </row>
    <row r="636" spans="1:34" ht="45" x14ac:dyDescent="0.25">
      <c r="A636" s="1047"/>
      <c r="B636" s="110" t="s">
        <v>4016</v>
      </c>
      <c r="C636" s="110"/>
      <c r="D636" s="433">
        <v>24</v>
      </c>
      <c r="E636" s="207" t="s">
        <v>1767</v>
      </c>
      <c r="F636" s="1178" t="s">
        <v>4353</v>
      </c>
      <c r="G636" s="1056" t="s">
        <v>4306</v>
      </c>
      <c r="H636" s="433" t="s">
        <v>3478</v>
      </c>
      <c r="I636" s="111">
        <v>385</v>
      </c>
      <c r="J636" s="111">
        <v>9240</v>
      </c>
      <c r="K636" s="110"/>
      <c r="L636" s="110"/>
      <c r="M636" s="110"/>
      <c r="N636" s="110"/>
      <c r="O636" s="110"/>
      <c r="P636" s="110"/>
      <c r="Q636" s="433">
        <v>12</v>
      </c>
      <c r="R636" s="111">
        <v>3080</v>
      </c>
      <c r="S636" s="110"/>
      <c r="T636" s="110"/>
      <c r="U636" s="110"/>
      <c r="V636" s="110"/>
      <c r="W636" s="433">
        <v>6</v>
      </c>
      <c r="X636" s="111">
        <v>3080</v>
      </c>
      <c r="Y636" s="110"/>
      <c r="Z636" s="110"/>
      <c r="AA636" s="110"/>
      <c r="AB636" s="110"/>
      <c r="AC636" s="433">
        <v>6</v>
      </c>
      <c r="AD636" s="111">
        <v>3080</v>
      </c>
      <c r="AE636" s="110"/>
      <c r="AF636" s="110"/>
      <c r="AG636" s="110"/>
      <c r="AH636" s="1048"/>
    </row>
    <row r="637" spans="1:34" ht="45" x14ac:dyDescent="0.25">
      <c r="A637" s="1047"/>
      <c r="B637" s="110" t="s">
        <v>4017</v>
      </c>
      <c r="C637" s="110"/>
      <c r="D637" s="433">
        <v>4</v>
      </c>
      <c r="E637" s="207" t="s">
        <v>1767</v>
      </c>
      <c r="F637" s="1178" t="s">
        <v>4353</v>
      </c>
      <c r="G637" s="1056" t="s">
        <v>4306</v>
      </c>
      <c r="H637" s="433" t="s">
        <v>3478</v>
      </c>
      <c r="I637" s="111">
        <v>66.39</v>
      </c>
      <c r="J637" s="111">
        <v>265.56</v>
      </c>
      <c r="K637" s="110"/>
      <c r="L637" s="110"/>
      <c r="M637" s="110"/>
      <c r="N637" s="110"/>
      <c r="O637" s="110"/>
      <c r="P637" s="110"/>
      <c r="Q637" s="433">
        <v>2</v>
      </c>
      <c r="R637" s="111">
        <v>88.52</v>
      </c>
      <c r="S637" s="110"/>
      <c r="T637" s="110"/>
      <c r="U637" s="110"/>
      <c r="V637" s="110"/>
      <c r="W637" s="433">
        <v>1</v>
      </c>
      <c r="X637" s="111">
        <v>88.52</v>
      </c>
      <c r="Y637" s="110"/>
      <c r="Z637" s="110"/>
      <c r="AA637" s="110"/>
      <c r="AB637" s="110"/>
      <c r="AC637" s="433">
        <v>1</v>
      </c>
      <c r="AD637" s="111">
        <v>88.52</v>
      </c>
      <c r="AE637" s="110"/>
      <c r="AF637" s="110"/>
      <c r="AG637" s="110"/>
      <c r="AH637" s="1048"/>
    </row>
    <row r="638" spans="1:34" ht="45" x14ac:dyDescent="0.25">
      <c r="A638" s="1047"/>
      <c r="B638" s="110" t="s">
        <v>4018</v>
      </c>
      <c r="C638" s="110"/>
      <c r="D638" s="433">
        <v>4</v>
      </c>
      <c r="E638" s="207" t="s">
        <v>1767</v>
      </c>
      <c r="F638" s="1178" t="s">
        <v>4353</v>
      </c>
      <c r="G638" s="1056" t="s">
        <v>4306</v>
      </c>
      <c r="H638" s="433" t="s">
        <v>3478</v>
      </c>
      <c r="I638" s="111">
        <v>56.89</v>
      </c>
      <c r="J638" s="111">
        <v>227.56</v>
      </c>
      <c r="K638" s="110"/>
      <c r="L638" s="110"/>
      <c r="M638" s="110"/>
      <c r="N638" s="110"/>
      <c r="O638" s="110"/>
      <c r="P638" s="110"/>
      <c r="Q638" s="433">
        <v>2</v>
      </c>
      <c r="R638" s="111">
        <v>75.853333333333339</v>
      </c>
      <c r="S638" s="110"/>
      <c r="T638" s="110"/>
      <c r="U638" s="110"/>
      <c r="V638" s="110"/>
      <c r="W638" s="433">
        <v>1</v>
      </c>
      <c r="X638" s="111">
        <v>75.853333333333339</v>
      </c>
      <c r="Y638" s="110"/>
      <c r="Z638" s="110"/>
      <c r="AA638" s="110"/>
      <c r="AB638" s="110"/>
      <c r="AC638" s="433">
        <v>1</v>
      </c>
      <c r="AD638" s="111">
        <v>75.853333333333339</v>
      </c>
      <c r="AE638" s="110"/>
      <c r="AF638" s="110"/>
      <c r="AG638" s="110"/>
      <c r="AH638" s="1048"/>
    </row>
    <row r="639" spans="1:34" ht="45" x14ac:dyDescent="0.25">
      <c r="A639" s="1047"/>
      <c r="B639" s="110" t="s">
        <v>4019</v>
      </c>
      <c r="C639" s="110"/>
      <c r="D639" s="433">
        <v>6</v>
      </c>
      <c r="E639" s="207" t="s">
        <v>1767</v>
      </c>
      <c r="F639" s="1178" t="s">
        <v>4353</v>
      </c>
      <c r="G639" s="1056" t="s">
        <v>4306</v>
      </c>
      <c r="H639" s="433" t="s">
        <v>3478</v>
      </c>
      <c r="I639" s="111">
        <v>75.87</v>
      </c>
      <c r="J639" s="111">
        <v>455.22</v>
      </c>
      <c r="K639" s="110"/>
      <c r="L639" s="110"/>
      <c r="M639" s="110"/>
      <c r="N639" s="110"/>
      <c r="O639" s="110"/>
      <c r="P639" s="110"/>
      <c r="Q639" s="433">
        <v>2</v>
      </c>
      <c r="R639" s="111">
        <v>151.74</v>
      </c>
      <c r="S639" s="110"/>
      <c r="T639" s="110"/>
      <c r="U639" s="110"/>
      <c r="V639" s="110"/>
      <c r="W639" s="433">
        <v>2</v>
      </c>
      <c r="X639" s="111">
        <v>151.74</v>
      </c>
      <c r="Y639" s="110"/>
      <c r="Z639" s="110"/>
      <c r="AA639" s="110"/>
      <c r="AB639" s="110"/>
      <c r="AC639" s="433">
        <v>2</v>
      </c>
      <c r="AD639" s="111">
        <v>151.74</v>
      </c>
      <c r="AE639" s="110"/>
      <c r="AF639" s="110"/>
      <c r="AG639" s="110"/>
      <c r="AH639" s="1048"/>
    </row>
    <row r="640" spans="1:34" ht="45" x14ac:dyDescent="0.25">
      <c r="A640" s="1047"/>
      <c r="B640" s="110" t="s">
        <v>4020</v>
      </c>
      <c r="C640" s="110"/>
      <c r="D640" s="433">
        <v>6</v>
      </c>
      <c r="E640" s="207" t="s">
        <v>1767</v>
      </c>
      <c r="F640" s="1178" t="s">
        <v>4353</v>
      </c>
      <c r="G640" s="1056" t="s">
        <v>4306</v>
      </c>
      <c r="H640" s="433" t="s">
        <v>3478</v>
      </c>
      <c r="I640" s="111">
        <v>322.41000000000003</v>
      </c>
      <c r="J640" s="111">
        <v>1934.46</v>
      </c>
      <c r="K640" s="110"/>
      <c r="L640" s="110"/>
      <c r="M640" s="110"/>
      <c r="N640" s="110"/>
      <c r="O640" s="110"/>
      <c r="P640" s="110"/>
      <c r="Q640" s="433">
        <v>2</v>
      </c>
      <c r="R640" s="111">
        <v>644.82000000000005</v>
      </c>
      <c r="S640" s="110"/>
      <c r="T640" s="110"/>
      <c r="U640" s="110"/>
      <c r="V640" s="110"/>
      <c r="W640" s="433">
        <v>2</v>
      </c>
      <c r="X640" s="111">
        <v>644.82000000000005</v>
      </c>
      <c r="Y640" s="110"/>
      <c r="Z640" s="110"/>
      <c r="AA640" s="110"/>
      <c r="AB640" s="110"/>
      <c r="AC640" s="433">
        <v>2</v>
      </c>
      <c r="AD640" s="111">
        <v>644.82000000000005</v>
      </c>
      <c r="AE640" s="110"/>
      <c r="AF640" s="110"/>
      <c r="AG640" s="110"/>
      <c r="AH640" s="1048"/>
    </row>
    <row r="641" spans="1:34" ht="45" x14ac:dyDescent="0.25">
      <c r="A641" s="1047"/>
      <c r="B641" s="110" t="s">
        <v>4021</v>
      </c>
      <c r="C641" s="110"/>
      <c r="D641" s="433">
        <v>4</v>
      </c>
      <c r="E641" s="207" t="s">
        <v>1767</v>
      </c>
      <c r="F641" s="1178" t="s">
        <v>4353</v>
      </c>
      <c r="G641" s="1056" t="s">
        <v>4306</v>
      </c>
      <c r="H641" s="433" t="s">
        <v>3478</v>
      </c>
      <c r="I641" s="111">
        <v>120</v>
      </c>
      <c r="J641" s="111">
        <v>480</v>
      </c>
      <c r="K641" s="110"/>
      <c r="L641" s="110"/>
      <c r="M641" s="110"/>
      <c r="N641" s="110"/>
      <c r="O641" s="110"/>
      <c r="P641" s="110"/>
      <c r="Q641" s="433">
        <v>2</v>
      </c>
      <c r="R641" s="111">
        <v>160</v>
      </c>
      <c r="S641" s="110"/>
      <c r="T641" s="110"/>
      <c r="U641" s="110"/>
      <c r="V641" s="110"/>
      <c r="W641" s="433">
        <v>1</v>
      </c>
      <c r="X641" s="111">
        <v>160</v>
      </c>
      <c r="Y641" s="110"/>
      <c r="Z641" s="110"/>
      <c r="AA641" s="110"/>
      <c r="AB641" s="110"/>
      <c r="AC641" s="433">
        <v>1</v>
      </c>
      <c r="AD641" s="111">
        <v>160</v>
      </c>
      <c r="AE641" s="110"/>
      <c r="AF641" s="110"/>
      <c r="AG641" s="110"/>
      <c r="AH641" s="1048"/>
    </row>
    <row r="642" spans="1:34" ht="45" x14ac:dyDescent="0.25">
      <c r="A642" s="1047"/>
      <c r="B642" s="110" t="s">
        <v>4022</v>
      </c>
      <c r="C642" s="110"/>
      <c r="D642" s="433">
        <v>3</v>
      </c>
      <c r="E642" s="207" t="s">
        <v>1767</v>
      </c>
      <c r="F642" s="1178" t="s">
        <v>4353</v>
      </c>
      <c r="G642" s="1056" t="s">
        <v>4306</v>
      </c>
      <c r="H642" s="433" t="s">
        <v>3478</v>
      </c>
      <c r="I642" s="111">
        <v>87</v>
      </c>
      <c r="J642" s="111">
        <v>261</v>
      </c>
      <c r="K642" s="110"/>
      <c r="L642" s="110"/>
      <c r="M642" s="110"/>
      <c r="N642" s="110"/>
      <c r="O642" s="110"/>
      <c r="P642" s="110"/>
      <c r="Q642" s="433">
        <v>1</v>
      </c>
      <c r="R642" s="111">
        <v>87</v>
      </c>
      <c r="S642" s="110"/>
      <c r="T642" s="110"/>
      <c r="U642" s="110"/>
      <c r="V642" s="110"/>
      <c r="W642" s="433">
        <v>1</v>
      </c>
      <c r="X642" s="111">
        <v>87</v>
      </c>
      <c r="Y642" s="110"/>
      <c r="Z642" s="110"/>
      <c r="AA642" s="110"/>
      <c r="AB642" s="110"/>
      <c r="AC642" s="433">
        <v>1</v>
      </c>
      <c r="AD642" s="111">
        <v>87</v>
      </c>
      <c r="AE642" s="110"/>
      <c r="AF642" s="110"/>
      <c r="AG642" s="110"/>
      <c r="AH642" s="1048"/>
    </row>
    <row r="643" spans="1:34" ht="45" x14ac:dyDescent="0.25">
      <c r="A643" s="1047"/>
      <c r="B643" s="110" t="s">
        <v>4023</v>
      </c>
      <c r="C643" s="110"/>
      <c r="D643" s="433">
        <v>12</v>
      </c>
      <c r="E643" s="207" t="s">
        <v>1767</v>
      </c>
      <c r="F643" s="1178" t="s">
        <v>4353</v>
      </c>
      <c r="G643" s="1056" t="s">
        <v>4306</v>
      </c>
      <c r="H643" s="433" t="s">
        <v>3478</v>
      </c>
      <c r="I643" s="111">
        <v>255.42</v>
      </c>
      <c r="J643" s="111">
        <v>3065.04</v>
      </c>
      <c r="K643" s="110"/>
      <c r="L643" s="110"/>
      <c r="M643" s="110"/>
      <c r="N643" s="110"/>
      <c r="O643" s="110"/>
      <c r="P643" s="110"/>
      <c r="Q643" s="433">
        <v>6</v>
      </c>
      <c r="R643" s="111">
        <v>1021.68</v>
      </c>
      <c r="S643" s="110"/>
      <c r="T643" s="110"/>
      <c r="U643" s="110"/>
      <c r="V643" s="110"/>
      <c r="W643" s="433">
        <v>3</v>
      </c>
      <c r="X643" s="111">
        <v>1021.68</v>
      </c>
      <c r="Y643" s="110"/>
      <c r="Z643" s="110"/>
      <c r="AA643" s="110"/>
      <c r="AB643" s="110"/>
      <c r="AC643" s="433">
        <v>3</v>
      </c>
      <c r="AD643" s="111">
        <v>1021.68</v>
      </c>
      <c r="AE643" s="110"/>
      <c r="AF643" s="110"/>
      <c r="AG643" s="110"/>
      <c r="AH643" s="1048"/>
    </row>
    <row r="644" spans="1:34" ht="45" x14ac:dyDescent="0.25">
      <c r="A644" s="1047"/>
      <c r="B644" s="110" t="s">
        <v>1852</v>
      </c>
      <c r="C644" s="110"/>
      <c r="D644" s="433">
        <v>135</v>
      </c>
      <c r="E644" s="207" t="s">
        <v>1772</v>
      </c>
      <c r="F644" s="1178" t="s">
        <v>4353</v>
      </c>
      <c r="G644" s="1056" t="s">
        <v>4306</v>
      </c>
      <c r="H644" s="433" t="s">
        <v>3478</v>
      </c>
      <c r="I644" s="111">
        <v>11.9016</v>
      </c>
      <c r="J644" s="111">
        <v>1606.7160000000001</v>
      </c>
      <c r="K644" s="110"/>
      <c r="L644" s="110"/>
      <c r="M644" s="110"/>
      <c r="N644" s="110"/>
      <c r="O644" s="110"/>
      <c r="P644" s="110"/>
      <c r="Q644" s="433">
        <v>70</v>
      </c>
      <c r="R644" s="111">
        <v>535.572</v>
      </c>
      <c r="S644" s="110"/>
      <c r="T644" s="110"/>
      <c r="U644" s="110"/>
      <c r="V644" s="110"/>
      <c r="W644" s="433">
        <v>35</v>
      </c>
      <c r="X644" s="111">
        <v>535.572</v>
      </c>
      <c r="Y644" s="110"/>
      <c r="Z644" s="110"/>
      <c r="AA644" s="110"/>
      <c r="AB644" s="110"/>
      <c r="AC644" s="433">
        <v>30</v>
      </c>
      <c r="AD644" s="111">
        <v>535.572</v>
      </c>
      <c r="AE644" s="110"/>
      <c r="AF644" s="110"/>
      <c r="AG644" s="110"/>
      <c r="AH644" s="1048"/>
    </row>
    <row r="645" spans="1:34" ht="45" x14ac:dyDescent="0.25">
      <c r="A645" s="1047"/>
      <c r="B645" s="110" t="s">
        <v>4024</v>
      </c>
      <c r="C645" s="110"/>
      <c r="D645" s="433">
        <v>120</v>
      </c>
      <c r="E645" s="207" t="s">
        <v>1772</v>
      </c>
      <c r="F645" s="1178" t="s">
        <v>4353</v>
      </c>
      <c r="G645" s="1056" t="s">
        <v>4306</v>
      </c>
      <c r="H645" s="433" t="s">
        <v>3478</v>
      </c>
      <c r="I645" s="111">
        <v>62.51</v>
      </c>
      <c r="J645" s="111">
        <v>7501.2</v>
      </c>
      <c r="K645" s="110"/>
      <c r="L645" s="110"/>
      <c r="M645" s="110"/>
      <c r="N645" s="110"/>
      <c r="O645" s="110"/>
      <c r="P645" s="110"/>
      <c r="Q645" s="433">
        <v>60</v>
      </c>
      <c r="R645" s="111">
        <v>2500.4</v>
      </c>
      <c r="S645" s="110"/>
      <c r="T645" s="110"/>
      <c r="U645" s="110"/>
      <c r="V645" s="110"/>
      <c r="W645" s="433">
        <v>30</v>
      </c>
      <c r="X645" s="111">
        <v>2500.4</v>
      </c>
      <c r="Y645" s="110"/>
      <c r="Z645" s="110"/>
      <c r="AA645" s="110"/>
      <c r="AB645" s="110"/>
      <c r="AC645" s="433">
        <v>30</v>
      </c>
      <c r="AD645" s="111">
        <v>2500.4</v>
      </c>
      <c r="AE645" s="110"/>
      <c r="AF645" s="110"/>
      <c r="AG645" s="110"/>
      <c r="AH645" s="1048"/>
    </row>
    <row r="646" spans="1:34" ht="45" x14ac:dyDescent="0.25">
      <c r="A646" s="1047"/>
      <c r="B646" s="110" t="s">
        <v>1854</v>
      </c>
      <c r="C646" s="110"/>
      <c r="D646" s="433">
        <v>100</v>
      </c>
      <c r="E646" s="207" t="s">
        <v>1772</v>
      </c>
      <c r="F646" s="1178" t="s">
        <v>4353</v>
      </c>
      <c r="G646" s="1056" t="s">
        <v>4306</v>
      </c>
      <c r="H646" s="433" t="s">
        <v>3478</v>
      </c>
      <c r="I646" s="111">
        <v>23.815728000000004</v>
      </c>
      <c r="J646" s="111">
        <v>2381.5728000000004</v>
      </c>
      <c r="K646" s="110"/>
      <c r="L646" s="110"/>
      <c r="M646" s="110"/>
      <c r="N646" s="110"/>
      <c r="O646" s="110"/>
      <c r="P646" s="110"/>
      <c r="Q646" s="433">
        <v>40</v>
      </c>
      <c r="R646" s="111">
        <v>793.85760000000016</v>
      </c>
      <c r="S646" s="110"/>
      <c r="T646" s="110"/>
      <c r="U646" s="110"/>
      <c r="V646" s="110"/>
      <c r="W646" s="433">
        <v>30</v>
      </c>
      <c r="X646" s="111">
        <v>793.85760000000016</v>
      </c>
      <c r="Y646" s="110"/>
      <c r="Z646" s="110"/>
      <c r="AA646" s="110"/>
      <c r="AB646" s="110"/>
      <c r="AC646" s="433">
        <v>30</v>
      </c>
      <c r="AD646" s="111">
        <v>793.85760000000016</v>
      </c>
      <c r="AE646" s="110"/>
      <c r="AF646" s="110"/>
      <c r="AG646" s="110"/>
      <c r="AH646" s="1048"/>
    </row>
    <row r="647" spans="1:34" ht="45" x14ac:dyDescent="0.25">
      <c r="A647" s="1047"/>
      <c r="B647" s="110" t="s">
        <v>4025</v>
      </c>
      <c r="C647" s="110"/>
      <c r="D647" s="433">
        <v>48</v>
      </c>
      <c r="E647" s="207" t="s">
        <v>1772</v>
      </c>
      <c r="F647" s="1178" t="s">
        <v>4353</v>
      </c>
      <c r="G647" s="1056" t="s">
        <v>4306</v>
      </c>
      <c r="H647" s="433" t="s">
        <v>3478</v>
      </c>
      <c r="I647" s="111">
        <v>20.53</v>
      </c>
      <c r="J647" s="111">
        <v>985.44</v>
      </c>
      <c r="K647" s="110"/>
      <c r="L647" s="110"/>
      <c r="M647" s="110"/>
      <c r="N647" s="110"/>
      <c r="O647" s="110"/>
      <c r="P647" s="110"/>
      <c r="Q647" s="433">
        <v>28</v>
      </c>
      <c r="R647" s="111">
        <v>328.48</v>
      </c>
      <c r="S647" s="110"/>
      <c r="T647" s="110"/>
      <c r="U647" s="110"/>
      <c r="V647" s="110"/>
      <c r="W647" s="433">
        <v>10</v>
      </c>
      <c r="X647" s="111">
        <v>328.48</v>
      </c>
      <c r="Y647" s="110"/>
      <c r="Z647" s="110"/>
      <c r="AA647" s="110"/>
      <c r="AB647" s="110"/>
      <c r="AC647" s="433">
        <v>10</v>
      </c>
      <c r="AD647" s="111">
        <v>328.48</v>
      </c>
      <c r="AE647" s="110"/>
      <c r="AF647" s="110"/>
      <c r="AG647" s="110"/>
      <c r="AH647" s="1048"/>
    </row>
    <row r="648" spans="1:34" ht="45" x14ac:dyDescent="0.25">
      <c r="A648" s="1047"/>
      <c r="B648" s="110" t="s">
        <v>4026</v>
      </c>
      <c r="C648" s="110"/>
      <c r="D648" s="433">
        <v>100</v>
      </c>
      <c r="E648" s="207" t="s">
        <v>1772</v>
      </c>
      <c r="F648" s="1178" t="s">
        <v>4353</v>
      </c>
      <c r="G648" s="1056" t="s">
        <v>4306</v>
      </c>
      <c r="H648" s="433" t="s">
        <v>3478</v>
      </c>
      <c r="I648" s="111">
        <v>31.257359999999998</v>
      </c>
      <c r="J648" s="111">
        <v>3125.7359999999999</v>
      </c>
      <c r="K648" s="110"/>
      <c r="L648" s="110"/>
      <c r="M648" s="110"/>
      <c r="N648" s="110"/>
      <c r="O648" s="110"/>
      <c r="P648" s="110"/>
      <c r="Q648" s="433">
        <v>40</v>
      </c>
      <c r="R648" s="111">
        <v>1041.912</v>
      </c>
      <c r="S648" s="110"/>
      <c r="T648" s="110"/>
      <c r="U648" s="110"/>
      <c r="V648" s="110"/>
      <c r="W648" s="433">
        <v>30</v>
      </c>
      <c r="X648" s="111">
        <v>1041.912</v>
      </c>
      <c r="Y648" s="110"/>
      <c r="Z648" s="110"/>
      <c r="AA648" s="110"/>
      <c r="AB648" s="110"/>
      <c r="AC648" s="433">
        <v>30</v>
      </c>
      <c r="AD648" s="111">
        <v>1041.912</v>
      </c>
      <c r="AE648" s="110"/>
      <c r="AF648" s="110"/>
      <c r="AG648" s="110"/>
      <c r="AH648" s="1048"/>
    </row>
    <row r="649" spans="1:34" ht="45" x14ac:dyDescent="0.25">
      <c r="A649" s="1047"/>
      <c r="B649" s="110" t="s">
        <v>4027</v>
      </c>
      <c r="C649" s="110"/>
      <c r="D649" s="433">
        <v>48</v>
      </c>
      <c r="E649" s="207" t="s">
        <v>1772</v>
      </c>
      <c r="F649" s="1178" t="s">
        <v>4353</v>
      </c>
      <c r="G649" s="1056" t="s">
        <v>4306</v>
      </c>
      <c r="H649" s="433" t="s">
        <v>3478</v>
      </c>
      <c r="I649" s="111">
        <v>20.53</v>
      </c>
      <c r="J649" s="111">
        <v>985.44</v>
      </c>
      <c r="K649" s="110"/>
      <c r="L649" s="110"/>
      <c r="M649" s="110"/>
      <c r="N649" s="110"/>
      <c r="O649" s="110"/>
      <c r="P649" s="110"/>
      <c r="Q649" s="433">
        <v>28</v>
      </c>
      <c r="R649" s="111">
        <v>328.48</v>
      </c>
      <c r="S649" s="110"/>
      <c r="T649" s="110"/>
      <c r="U649" s="110"/>
      <c r="V649" s="110"/>
      <c r="W649" s="433">
        <v>10</v>
      </c>
      <c r="X649" s="111">
        <v>328.48</v>
      </c>
      <c r="Y649" s="110"/>
      <c r="Z649" s="110"/>
      <c r="AA649" s="110"/>
      <c r="AB649" s="110"/>
      <c r="AC649" s="433">
        <v>10</v>
      </c>
      <c r="AD649" s="111">
        <v>328.48</v>
      </c>
      <c r="AE649" s="110"/>
      <c r="AF649" s="110"/>
      <c r="AG649" s="110"/>
      <c r="AH649" s="1048"/>
    </row>
    <row r="650" spans="1:34" ht="45" x14ac:dyDescent="0.25">
      <c r="A650" s="1047"/>
      <c r="B650" s="110" t="s">
        <v>4028</v>
      </c>
      <c r="C650" s="110"/>
      <c r="D650" s="433">
        <v>24</v>
      </c>
      <c r="E650" s="207" t="s">
        <v>1772</v>
      </c>
      <c r="F650" s="1178" t="s">
        <v>4353</v>
      </c>
      <c r="G650" s="1056" t="s">
        <v>4306</v>
      </c>
      <c r="H650" s="433" t="s">
        <v>3478</v>
      </c>
      <c r="I650" s="111">
        <v>8.99</v>
      </c>
      <c r="J650" s="111">
        <v>215.76</v>
      </c>
      <c r="K650" s="110"/>
      <c r="L650" s="110"/>
      <c r="M650" s="110"/>
      <c r="N650" s="110"/>
      <c r="O650" s="110"/>
      <c r="P650" s="110"/>
      <c r="Q650" s="433">
        <v>12</v>
      </c>
      <c r="R650" s="111">
        <v>71.92</v>
      </c>
      <c r="S650" s="110"/>
      <c r="T650" s="110"/>
      <c r="U650" s="110"/>
      <c r="V650" s="110"/>
      <c r="W650" s="433">
        <v>6</v>
      </c>
      <c r="X650" s="111">
        <v>71.92</v>
      </c>
      <c r="Y650" s="110"/>
      <c r="Z650" s="110"/>
      <c r="AA650" s="110"/>
      <c r="AB650" s="110"/>
      <c r="AC650" s="433">
        <v>6</v>
      </c>
      <c r="AD650" s="111">
        <v>71.92</v>
      </c>
      <c r="AE650" s="110"/>
      <c r="AF650" s="110"/>
      <c r="AG650" s="110"/>
      <c r="AH650" s="1048"/>
    </row>
    <row r="651" spans="1:34" ht="45" x14ac:dyDescent="0.25">
      <c r="A651" s="1047"/>
      <c r="B651" s="110" t="s">
        <v>4029</v>
      </c>
      <c r="C651" s="110"/>
      <c r="D651" s="433">
        <v>24</v>
      </c>
      <c r="E651" s="207" t="s">
        <v>1772</v>
      </c>
      <c r="F651" s="1178" t="s">
        <v>4353</v>
      </c>
      <c r="G651" s="1056" t="s">
        <v>4306</v>
      </c>
      <c r="H651" s="433" t="s">
        <v>3478</v>
      </c>
      <c r="I651" s="111">
        <v>8.99</v>
      </c>
      <c r="J651" s="111">
        <v>215.76</v>
      </c>
      <c r="K651" s="110"/>
      <c r="L651" s="110"/>
      <c r="M651" s="110"/>
      <c r="N651" s="110"/>
      <c r="O651" s="110"/>
      <c r="P651" s="110"/>
      <c r="Q651" s="433">
        <v>12</v>
      </c>
      <c r="R651" s="111">
        <v>71.92</v>
      </c>
      <c r="S651" s="110"/>
      <c r="T651" s="110"/>
      <c r="U651" s="110"/>
      <c r="V651" s="110"/>
      <c r="W651" s="433">
        <v>6</v>
      </c>
      <c r="X651" s="111">
        <v>71.92</v>
      </c>
      <c r="Y651" s="110"/>
      <c r="Z651" s="110"/>
      <c r="AA651" s="110"/>
      <c r="AB651" s="110"/>
      <c r="AC651" s="433">
        <v>6</v>
      </c>
      <c r="AD651" s="111">
        <v>71.92</v>
      </c>
      <c r="AE651" s="110"/>
      <c r="AF651" s="110"/>
      <c r="AG651" s="110"/>
      <c r="AH651" s="1048"/>
    </row>
    <row r="652" spans="1:34" ht="45" x14ac:dyDescent="0.25">
      <c r="A652" s="1047"/>
      <c r="B652" s="110" t="s">
        <v>4030</v>
      </c>
      <c r="C652" s="110"/>
      <c r="D652" s="433">
        <v>24</v>
      </c>
      <c r="E652" s="207" t="s">
        <v>1772</v>
      </c>
      <c r="F652" s="1178" t="s">
        <v>4353</v>
      </c>
      <c r="G652" s="1056" t="s">
        <v>4306</v>
      </c>
      <c r="H652" s="433" t="s">
        <v>3478</v>
      </c>
      <c r="I652" s="111">
        <v>35.67</v>
      </c>
      <c r="J652" s="111">
        <v>856.08</v>
      </c>
      <c r="K652" s="110"/>
      <c r="L652" s="110"/>
      <c r="M652" s="110"/>
      <c r="N652" s="110"/>
      <c r="O652" s="110"/>
      <c r="P652" s="110"/>
      <c r="Q652" s="433">
        <v>12</v>
      </c>
      <c r="R652" s="111">
        <v>285.36</v>
      </c>
      <c r="S652" s="110"/>
      <c r="T652" s="110"/>
      <c r="U652" s="110"/>
      <c r="V652" s="110"/>
      <c r="W652" s="433">
        <v>6</v>
      </c>
      <c r="X652" s="111">
        <v>285.36</v>
      </c>
      <c r="Y652" s="110"/>
      <c r="Z652" s="110"/>
      <c r="AA652" s="110"/>
      <c r="AB652" s="110"/>
      <c r="AC652" s="433">
        <v>6</v>
      </c>
      <c r="AD652" s="111">
        <v>285.36</v>
      </c>
      <c r="AE652" s="110"/>
      <c r="AF652" s="110"/>
      <c r="AG652" s="110"/>
      <c r="AH652" s="1048"/>
    </row>
    <row r="653" spans="1:34" ht="30" x14ac:dyDescent="0.25">
      <c r="A653" s="1058">
        <v>23901</v>
      </c>
      <c r="B653" s="1059" t="s">
        <v>4031</v>
      </c>
      <c r="C653" s="110"/>
      <c r="D653" s="433"/>
      <c r="E653" s="207"/>
      <c r="F653" s="433"/>
      <c r="G653" s="110"/>
      <c r="H653" s="433"/>
      <c r="I653" s="111"/>
      <c r="J653" s="111"/>
      <c r="K653" s="110"/>
      <c r="L653" s="110"/>
      <c r="M653" s="110"/>
      <c r="N653" s="110"/>
      <c r="O653" s="110"/>
      <c r="P653" s="110"/>
      <c r="Q653" s="433"/>
      <c r="R653" s="111"/>
      <c r="S653" s="110"/>
      <c r="T653" s="110"/>
      <c r="U653" s="110"/>
      <c r="V653" s="110"/>
      <c r="W653" s="433"/>
      <c r="X653" s="111"/>
      <c r="Y653" s="110"/>
      <c r="Z653" s="110"/>
      <c r="AA653" s="110"/>
      <c r="AB653" s="110"/>
      <c r="AC653" s="433"/>
      <c r="AD653" s="111"/>
      <c r="AE653" s="110"/>
      <c r="AF653" s="110"/>
      <c r="AG653" s="110"/>
      <c r="AH653" s="1048"/>
    </row>
    <row r="654" spans="1:34" ht="45" x14ac:dyDescent="0.25">
      <c r="A654" s="1047"/>
      <c r="B654" s="110" t="s">
        <v>4032</v>
      </c>
      <c r="C654" s="110"/>
      <c r="D654" s="433">
        <v>48</v>
      </c>
      <c r="E654" s="207" t="s">
        <v>2992</v>
      </c>
      <c r="F654" s="1178" t="s">
        <v>4353</v>
      </c>
      <c r="G654" s="1056" t="s">
        <v>4306</v>
      </c>
      <c r="H654" s="433" t="s">
        <v>3478</v>
      </c>
      <c r="I654" s="111">
        <v>220</v>
      </c>
      <c r="J654" s="111">
        <v>10560</v>
      </c>
      <c r="K654" s="110"/>
      <c r="L654" s="110"/>
      <c r="M654" s="110"/>
      <c r="N654" s="110"/>
      <c r="O654" s="110"/>
      <c r="P654" s="110"/>
      <c r="Q654" s="433">
        <v>28</v>
      </c>
      <c r="R654" s="111">
        <v>3520</v>
      </c>
      <c r="S654" s="110"/>
      <c r="T654" s="110"/>
      <c r="U654" s="110"/>
      <c r="V654" s="110"/>
      <c r="W654" s="433">
        <v>10</v>
      </c>
      <c r="X654" s="111">
        <v>3520</v>
      </c>
      <c r="Y654" s="110"/>
      <c r="Z654" s="110"/>
      <c r="AA654" s="110"/>
      <c r="AB654" s="110"/>
      <c r="AC654" s="433">
        <v>10</v>
      </c>
      <c r="AD654" s="111">
        <v>3520</v>
      </c>
      <c r="AE654" s="110"/>
      <c r="AF654" s="110"/>
      <c r="AG654" s="110"/>
      <c r="AH654" s="1048"/>
    </row>
    <row r="655" spans="1:34" x14ac:dyDescent="0.25">
      <c r="A655" s="1047"/>
      <c r="B655" s="110"/>
      <c r="C655" s="110"/>
      <c r="D655" s="433"/>
      <c r="E655" s="207"/>
      <c r="F655" s="433"/>
      <c r="G655" s="110"/>
      <c r="H655" s="433"/>
      <c r="I655" s="111"/>
      <c r="J655" s="111"/>
      <c r="K655" s="110"/>
      <c r="L655" s="110"/>
      <c r="M655" s="110"/>
      <c r="N655" s="110"/>
      <c r="O655" s="110"/>
      <c r="P655" s="110"/>
      <c r="Q655" s="433"/>
      <c r="R655" s="111"/>
      <c r="S655" s="110"/>
      <c r="T655" s="110"/>
      <c r="U655" s="110"/>
      <c r="V655" s="110"/>
      <c r="W655" s="433"/>
      <c r="X655" s="111"/>
      <c r="Y655" s="110"/>
      <c r="Z655" s="110"/>
      <c r="AA655" s="110"/>
      <c r="AB655" s="110"/>
      <c r="AC655" s="433"/>
      <c r="AD655" s="111"/>
      <c r="AE655" s="110"/>
      <c r="AF655" s="110"/>
      <c r="AG655" s="110"/>
      <c r="AH655" s="1048"/>
    </row>
    <row r="656" spans="1:34" x14ac:dyDescent="0.25">
      <c r="A656" s="1047"/>
      <c r="B656" s="110"/>
      <c r="C656" s="110"/>
      <c r="D656" s="433"/>
      <c r="E656" s="207"/>
      <c r="F656" s="433"/>
      <c r="G656" s="110"/>
      <c r="H656" s="433"/>
      <c r="I656" s="111"/>
      <c r="J656" s="111"/>
      <c r="K656" s="110"/>
      <c r="L656" s="110"/>
      <c r="M656" s="110"/>
      <c r="N656" s="110"/>
      <c r="O656" s="110"/>
      <c r="P656" s="110"/>
      <c r="Q656" s="433"/>
      <c r="R656" s="111"/>
      <c r="S656" s="110"/>
      <c r="T656" s="110"/>
      <c r="U656" s="110"/>
      <c r="V656" s="110"/>
      <c r="W656" s="433"/>
      <c r="X656" s="111"/>
      <c r="Y656" s="110"/>
      <c r="Z656" s="110"/>
      <c r="AA656" s="110"/>
      <c r="AB656" s="110"/>
      <c r="AC656" s="433"/>
      <c r="AD656" s="111"/>
      <c r="AE656" s="110"/>
      <c r="AF656" s="110"/>
      <c r="AG656" s="110"/>
      <c r="AH656" s="1048"/>
    </row>
    <row r="657" spans="1:34" x14ac:dyDescent="0.25">
      <c r="A657" s="1058">
        <v>24301</v>
      </c>
      <c r="B657" s="187" t="s">
        <v>4033</v>
      </c>
      <c r="C657" s="110"/>
      <c r="D657" s="433"/>
      <c r="E657" s="207"/>
      <c r="F657" s="433"/>
      <c r="G657" s="110"/>
      <c r="H657" s="433"/>
      <c r="I657" s="111"/>
      <c r="J657" s="111"/>
      <c r="K657" s="110"/>
      <c r="L657" s="110"/>
      <c r="M657" s="110"/>
      <c r="N657" s="110"/>
      <c r="O657" s="110"/>
      <c r="P657" s="110"/>
      <c r="Q657" s="433"/>
      <c r="R657" s="111"/>
      <c r="S657" s="110"/>
      <c r="T657" s="110"/>
      <c r="U657" s="110"/>
      <c r="V657" s="110"/>
      <c r="W657" s="433"/>
      <c r="X657" s="111"/>
      <c r="Y657" s="110"/>
      <c r="Z657" s="110"/>
      <c r="AA657" s="110"/>
      <c r="AB657" s="110"/>
      <c r="AC657" s="433"/>
      <c r="AD657" s="111"/>
      <c r="AE657" s="110"/>
      <c r="AF657" s="110"/>
      <c r="AG657" s="110"/>
      <c r="AH657" s="1048"/>
    </row>
    <row r="658" spans="1:34" ht="45" x14ac:dyDescent="0.25">
      <c r="A658" s="1047"/>
      <c r="B658" s="110" t="s">
        <v>4034</v>
      </c>
      <c r="C658" s="110"/>
      <c r="D658" s="433">
        <v>5</v>
      </c>
      <c r="E658" s="207" t="s">
        <v>1766</v>
      </c>
      <c r="F658" s="1178" t="s">
        <v>4353</v>
      </c>
      <c r="G658" s="1056" t="s">
        <v>4306</v>
      </c>
      <c r="H658" s="433" t="s">
        <v>3478</v>
      </c>
      <c r="I658" s="111">
        <v>3261.5</v>
      </c>
      <c r="J658" s="111">
        <v>16307.5</v>
      </c>
      <c r="K658" s="110"/>
      <c r="L658" s="110"/>
      <c r="M658" s="110"/>
      <c r="N658" s="110"/>
      <c r="O658" s="110"/>
      <c r="P658" s="110"/>
      <c r="Q658" s="433">
        <v>2</v>
      </c>
      <c r="R658" s="111">
        <v>5435.833333333333</v>
      </c>
      <c r="S658" s="110"/>
      <c r="T658" s="110"/>
      <c r="U658" s="110"/>
      <c r="V658" s="110"/>
      <c r="W658" s="433">
        <v>2</v>
      </c>
      <c r="X658" s="111">
        <v>5435.833333333333</v>
      </c>
      <c r="Y658" s="110"/>
      <c r="Z658" s="110"/>
      <c r="AA658" s="110"/>
      <c r="AB658" s="110"/>
      <c r="AC658" s="433">
        <v>1</v>
      </c>
      <c r="AD658" s="111">
        <v>5435.833333333333</v>
      </c>
      <c r="AE658" s="110"/>
      <c r="AF658" s="110"/>
      <c r="AG658" s="110"/>
      <c r="AH658" s="1048"/>
    </row>
    <row r="659" spans="1:34" x14ac:dyDescent="0.25">
      <c r="A659" s="1047"/>
      <c r="B659" s="110"/>
      <c r="C659" s="110"/>
      <c r="D659" s="433"/>
      <c r="E659" s="207"/>
      <c r="F659" s="433"/>
      <c r="G659" s="110"/>
      <c r="H659" s="433"/>
      <c r="I659" s="111"/>
      <c r="J659" s="111"/>
      <c r="K659" s="110"/>
      <c r="L659" s="110"/>
      <c r="M659" s="110"/>
      <c r="N659" s="110"/>
      <c r="O659" s="110"/>
      <c r="P659" s="110"/>
      <c r="Q659" s="433"/>
      <c r="R659" s="111"/>
      <c r="S659" s="110"/>
      <c r="T659" s="110"/>
      <c r="U659" s="110"/>
      <c r="V659" s="110"/>
      <c r="W659" s="433"/>
      <c r="X659" s="111"/>
      <c r="Y659" s="110"/>
      <c r="Z659" s="110"/>
      <c r="AA659" s="110"/>
      <c r="AB659" s="110"/>
      <c r="AC659" s="433"/>
      <c r="AD659" s="111"/>
      <c r="AE659" s="110"/>
      <c r="AF659" s="110"/>
      <c r="AG659" s="110"/>
      <c r="AH659" s="1048"/>
    </row>
    <row r="660" spans="1:34" x14ac:dyDescent="0.25">
      <c r="A660" s="1058">
        <v>24601</v>
      </c>
      <c r="B660" s="187" t="s">
        <v>571</v>
      </c>
      <c r="C660" s="110"/>
      <c r="D660" s="433"/>
      <c r="E660" s="207"/>
      <c r="F660" s="433"/>
      <c r="G660" s="110"/>
      <c r="H660" s="433"/>
      <c r="I660" s="111"/>
      <c r="J660" s="111"/>
      <c r="K660" s="110"/>
      <c r="L660" s="110"/>
      <c r="M660" s="110"/>
      <c r="N660" s="110"/>
      <c r="O660" s="110"/>
      <c r="P660" s="110"/>
      <c r="Q660" s="433"/>
      <c r="R660" s="111"/>
      <c r="S660" s="110"/>
      <c r="T660" s="110"/>
      <c r="U660" s="110"/>
      <c r="V660" s="110"/>
      <c r="W660" s="433"/>
      <c r="X660" s="111"/>
      <c r="Y660" s="110"/>
      <c r="Z660" s="110"/>
      <c r="AA660" s="110"/>
      <c r="AB660" s="110"/>
      <c r="AC660" s="433"/>
      <c r="AD660" s="111"/>
      <c r="AE660" s="110"/>
      <c r="AF660" s="110"/>
      <c r="AG660" s="110"/>
      <c r="AH660" s="1048"/>
    </row>
    <row r="661" spans="1:34" ht="45" x14ac:dyDescent="0.25">
      <c r="A661" s="1047"/>
      <c r="B661" s="110" t="s">
        <v>4035</v>
      </c>
      <c r="C661" s="110"/>
      <c r="D661" s="433">
        <v>20</v>
      </c>
      <c r="E661" s="207" t="s">
        <v>1767</v>
      </c>
      <c r="F661" s="1178" t="s">
        <v>4353</v>
      </c>
      <c r="G661" s="1056" t="s">
        <v>4306</v>
      </c>
      <c r="H661" s="433" t="s">
        <v>3478</v>
      </c>
      <c r="I661" s="111">
        <v>186.76</v>
      </c>
      <c r="J661" s="111">
        <v>3735.2</v>
      </c>
      <c r="K661" s="110"/>
      <c r="L661" s="110"/>
      <c r="M661" s="110"/>
      <c r="N661" s="110"/>
      <c r="O661" s="110"/>
      <c r="P661" s="110"/>
      <c r="Q661" s="433">
        <v>10</v>
      </c>
      <c r="R661" s="111">
        <v>1245.0666666666666</v>
      </c>
      <c r="S661" s="110"/>
      <c r="T661" s="110"/>
      <c r="U661" s="110"/>
      <c r="V661" s="110"/>
      <c r="W661" s="433">
        <v>5</v>
      </c>
      <c r="X661" s="111">
        <v>1245.0666666666666</v>
      </c>
      <c r="Y661" s="110"/>
      <c r="Z661" s="110"/>
      <c r="AA661" s="110"/>
      <c r="AB661" s="110"/>
      <c r="AC661" s="433">
        <v>5</v>
      </c>
      <c r="AD661" s="111">
        <v>1245.0666666666666</v>
      </c>
      <c r="AE661" s="110"/>
      <c r="AF661" s="110"/>
      <c r="AG661" s="110"/>
      <c r="AH661" s="1048"/>
    </row>
    <row r="662" spans="1:34" ht="45" x14ac:dyDescent="0.25">
      <c r="A662" s="1047"/>
      <c r="B662" s="110" t="s">
        <v>4036</v>
      </c>
      <c r="C662" s="110"/>
      <c r="D662" s="433">
        <v>20</v>
      </c>
      <c r="E662" s="207" t="s">
        <v>1767</v>
      </c>
      <c r="F662" s="1178" t="s">
        <v>4353</v>
      </c>
      <c r="G662" s="1056" t="s">
        <v>4306</v>
      </c>
      <c r="H662" s="433" t="s">
        <v>3478</v>
      </c>
      <c r="I662" s="111">
        <v>338.71999999999997</v>
      </c>
      <c r="J662" s="111">
        <v>6774.4</v>
      </c>
      <c r="K662" s="110"/>
      <c r="L662" s="110"/>
      <c r="M662" s="110"/>
      <c r="N662" s="110"/>
      <c r="O662" s="110"/>
      <c r="P662" s="110"/>
      <c r="Q662" s="433">
        <v>10</v>
      </c>
      <c r="R662" s="111">
        <v>2258.1333333333332</v>
      </c>
      <c r="S662" s="110"/>
      <c r="T662" s="110"/>
      <c r="U662" s="110"/>
      <c r="V662" s="110"/>
      <c r="W662" s="433">
        <v>5</v>
      </c>
      <c r="X662" s="111">
        <v>2258.1333333333332</v>
      </c>
      <c r="Y662" s="110"/>
      <c r="Z662" s="110"/>
      <c r="AA662" s="110"/>
      <c r="AB662" s="110"/>
      <c r="AC662" s="433">
        <v>5</v>
      </c>
      <c r="AD662" s="111">
        <v>2258.1333333333332</v>
      </c>
      <c r="AE662" s="110"/>
      <c r="AF662" s="110"/>
      <c r="AG662" s="110"/>
      <c r="AH662" s="1048"/>
    </row>
    <row r="663" spans="1:34" ht="45" x14ac:dyDescent="0.25">
      <c r="A663" s="1047"/>
      <c r="B663" s="110" t="s">
        <v>4037</v>
      </c>
      <c r="C663" s="110"/>
      <c r="D663" s="433">
        <v>20</v>
      </c>
      <c r="E663" s="207" t="s">
        <v>1767</v>
      </c>
      <c r="F663" s="1178" t="s">
        <v>4353</v>
      </c>
      <c r="G663" s="1056" t="s">
        <v>4306</v>
      </c>
      <c r="H663" s="433" t="s">
        <v>3478</v>
      </c>
      <c r="I663" s="111">
        <v>31.32</v>
      </c>
      <c r="J663" s="111">
        <v>626.4</v>
      </c>
      <c r="K663" s="110"/>
      <c r="L663" s="110"/>
      <c r="M663" s="110"/>
      <c r="N663" s="110"/>
      <c r="O663" s="110"/>
      <c r="P663" s="110"/>
      <c r="Q663" s="433">
        <v>10</v>
      </c>
      <c r="R663" s="111">
        <v>208.79999999999998</v>
      </c>
      <c r="S663" s="110"/>
      <c r="T663" s="110"/>
      <c r="U663" s="110"/>
      <c r="V663" s="110"/>
      <c r="W663" s="433">
        <v>5</v>
      </c>
      <c r="X663" s="111">
        <v>208.79999999999998</v>
      </c>
      <c r="Y663" s="110"/>
      <c r="Z663" s="110"/>
      <c r="AA663" s="110"/>
      <c r="AB663" s="110"/>
      <c r="AC663" s="433">
        <v>5</v>
      </c>
      <c r="AD663" s="111">
        <v>208.79999999999998</v>
      </c>
      <c r="AE663" s="110"/>
      <c r="AF663" s="110"/>
      <c r="AG663" s="110"/>
      <c r="AH663" s="1048"/>
    </row>
    <row r="664" spans="1:34" x14ac:dyDescent="0.25">
      <c r="A664" s="1047"/>
      <c r="B664" s="110"/>
      <c r="C664" s="110"/>
      <c r="D664" s="433"/>
      <c r="E664" s="207"/>
      <c r="F664" s="433"/>
      <c r="G664" s="110"/>
      <c r="H664" s="433"/>
      <c r="I664" s="111"/>
      <c r="J664" s="111"/>
      <c r="K664" s="110"/>
      <c r="L664" s="110"/>
      <c r="M664" s="110"/>
      <c r="N664" s="110"/>
      <c r="O664" s="110"/>
      <c r="P664" s="110"/>
      <c r="Q664" s="433"/>
      <c r="R664" s="111"/>
      <c r="S664" s="110"/>
      <c r="T664" s="110"/>
      <c r="U664" s="110"/>
      <c r="V664" s="110"/>
      <c r="W664" s="433"/>
      <c r="X664" s="111"/>
      <c r="Y664" s="110"/>
      <c r="Z664" s="110"/>
      <c r="AA664" s="110"/>
      <c r="AB664" s="110"/>
      <c r="AC664" s="433"/>
      <c r="AD664" s="111"/>
      <c r="AE664" s="110"/>
      <c r="AF664" s="110"/>
      <c r="AG664" s="110"/>
      <c r="AH664" s="1048"/>
    </row>
    <row r="665" spans="1:34" x14ac:dyDescent="0.25">
      <c r="A665" s="1058">
        <v>24807</v>
      </c>
      <c r="B665" s="187" t="s">
        <v>599</v>
      </c>
      <c r="C665" s="110"/>
      <c r="D665" s="433"/>
      <c r="E665" s="207"/>
      <c r="F665" s="433"/>
      <c r="G665" s="110"/>
      <c r="H665" s="433"/>
      <c r="I665" s="111"/>
      <c r="J665" s="111"/>
      <c r="K665" s="110"/>
      <c r="L665" s="110"/>
      <c r="M665" s="110"/>
      <c r="N665" s="110"/>
      <c r="O665" s="110"/>
      <c r="P665" s="110"/>
      <c r="Q665" s="433"/>
      <c r="R665" s="111"/>
      <c r="S665" s="110"/>
      <c r="T665" s="110"/>
      <c r="U665" s="110"/>
      <c r="V665" s="110"/>
      <c r="W665" s="433"/>
      <c r="X665" s="111"/>
      <c r="Y665" s="110"/>
      <c r="Z665" s="110"/>
      <c r="AA665" s="110"/>
      <c r="AB665" s="110"/>
      <c r="AC665" s="433"/>
      <c r="AD665" s="111"/>
      <c r="AE665" s="110"/>
      <c r="AF665" s="110"/>
      <c r="AG665" s="110"/>
      <c r="AH665" s="1048"/>
    </row>
    <row r="666" spans="1:34" ht="45" x14ac:dyDescent="0.25">
      <c r="A666" s="1047"/>
      <c r="B666" s="110" t="s">
        <v>4038</v>
      </c>
      <c r="C666" s="110"/>
      <c r="D666" s="433">
        <v>5</v>
      </c>
      <c r="E666" s="207" t="s">
        <v>1767</v>
      </c>
      <c r="F666" s="1178" t="s">
        <v>4353</v>
      </c>
      <c r="G666" s="1056" t="s">
        <v>4306</v>
      </c>
      <c r="H666" s="433" t="s">
        <v>3478</v>
      </c>
      <c r="I666" s="111">
        <v>47</v>
      </c>
      <c r="J666" s="111">
        <v>235</v>
      </c>
      <c r="K666" s="110"/>
      <c r="L666" s="110"/>
      <c r="M666" s="110"/>
      <c r="N666" s="110"/>
      <c r="O666" s="110"/>
      <c r="P666" s="110"/>
      <c r="Q666" s="433">
        <v>2</v>
      </c>
      <c r="R666" s="111">
        <v>78.333333333333329</v>
      </c>
      <c r="S666" s="110"/>
      <c r="T666" s="110"/>
      <c r="U666" s="110"/>
      <c r="V666" s="110"/>
      <c r="W666" s="433">
        <v>2</v>
      </c>
      <c r="X666" s="111">
        <v>78.333333333333329</v>
      </c>
      <c r="Y666" s="110"/>
      <c r="Z666" s="110"/>
      <c r="AA666" s="110"/>
      <c r="AB666" s="110"/>
      <c r="AC666" s="433">
        <v>1</v>
      </c>
      <c r="AD666" s="111">
        <v>78.333333333333329</v>
      </c>
      <c r="AE666" s="110"/>
      <c r="AF666" s="110"/>
      <c r="AG666" s="110"/>
      <c r="AH666" s="1048"/>
    </row>
    <row r="667" spans="1:34" ht="45" x14ac:dyDescent="0.25">
      <c r="A667" s="1047"/>
      <c r="B667" s="110" t="s">
        <v>4039</v>
      </c>
      <c r="C667" s="110"/>
      <c r="D667" s="433">
        <v>5</v>
      </c>
      <c r="E667" s="207" t="s">
        <v>1767</v>
      </c>
      <c r="F667" s="1178" t="s">
        <v>4353</v>
      </c>
      <c r="G667" s="1056" t="s">
        <v>4306</v>
      </c>
      <c r="H667" s="433" t="s">
        <v>3478</v>
      </c>
      <c r="I667" s="111">
        <v>14</v>
      </c>
      <c r="J667" s="111">
        <v>70</v>
      </c>
      <c r="K667" s="110"/>
      <c r="L667" s="110"/>
      <c r="M667" s="110"/>
      <c r="N667" s="110"/>
      <c r="O667" s="110"/>
      <c r="P667" s="110"/>
      <c r="Q667" s="433">
        <v>2</v>
      </c>
      <c r="R667" s="111">
        <v>23.333333333333332</v>
      </c>
      <c r="S667" s="110"/>
      <c r="T667" s="110"/>
      <c r="U667" s="110"/>
      <c r="V667" s="110"/>
      <c r="W667" s="433">
        <v>2</v>
      </c>
      <c r="X667" s="111">
        <v>23.333333333333332</v>
      </c>
      <c r="Y667" s="110"/>
      <c r="Z667" s="110"/>
      <c r="AA667" s="110"/>
      <c r="AB667" s="110"/>
      <c r="AC667" s="433">
        <v>1</v>
      </c>
      <c r="AD667" s="111">
        <v>23.333333333333332</v>
      </c>
      <c r="AE667" s="110"/>
      <c r="AF667" s="110"/>
      <c r="AG667" s="110"/>
      <c r="AH667" s="1048"/>
    </row>
    <row r="668" spans="1:34" ht="45" x14ac:dyDescent="0.25">
      <c r="A668" s="1047"/>
      <c r="B668" s="110" t="s">
        <v>4040</v>
      </c>
      <c r="C668" s="110"/>
      <c r="D668" s="433">
        <v>5</v>
      </c>
      <c r="E668" s="207" t="s">
        <v>1767</v>
      </c>
      <c r="F668" s="1178" t="s">
        <v>4353</v>
      </c>
      <c r="G668" s="1056" t="s">
        <v>4306</v>
      </c>
      <c r="H668" s="433" t="s">
        <v>3478</v>
      </c>
      <c r="I668" s="111">
        <v>12</v>
      </c>
      <c r="J668" s="111">
        <v>60</v>
      </c>
      <c r="K668" s="110"/>
      <c r="L668" s="110"/>
      <c r="M668" s="110"/>
      <c r="N668" s="110"/>
      <c r="O668" s="110"/>
      <c r="P668" s="110"/>
      <c r="Q668" s="433">
        <v>2</v>
      </c>
      <c r="R668" s="111">
        <v>20</v>
      </c>
      <c r="S668" s="110"/>
      <c r="T668" s="110"/>
      <c r="U668" s="110"/>
      <c r="V668" s="110"/>
      <c r="W668" s="433">
        <v>2</v>
      </c>
      <c r="X668" s="111">
        <v>20</v>
      </c>
      <c r="Y668" s="110"/>
      <c r="Z668" s="110"/>
      <c r="AA668" s="110"/>
      <c r="AB668" s="110"/>
      <c r="AC668" s="433">
        <v>1</v>
      </c>
      <c r="AD668" s="111">
        <v>20</v>
      </c>
      <c r="AE668" s="110"/>
      <c r="AF668" s="110"/>
      <c r="AG668" s="110"/>
      <c r="AH668" s="1048"/>
    </row>
    <row r="669" spans="1:34" ht="45" x14ac:dyDescent="0.25">
      <c r="A669" s="1047"/>
      <c r="B669" s="110" t="s">
        <v>4041</v>
      </c>
      <c r="C669" s="110"/>
      <c r="D669" s="433">
        <v>5</v>
      </c>
      <c r="E669" s="207" t="s">
        <v>1767</v>
      </c>
      <c r="F669" s="1178" t="s">
        <v>4353</v>
      </c>
      <c r="G669" s="1056" t="s">
        <v>4306</v>
      </c>
      <c r="H669" s="433" t="s">
        <v>3478</v>
      </c>
      <c r="I669" s="111">
        <v>139</v>
      </c>
      <c r="J669" s="111">
        <v>695</v>
      </c>
      <c r="K669" s="110"/>
      <c r="L669" s="110"/>
      <c r="M669" s="110"/>
      <c r="N669" s="110"/>
      <c r="O669" s="110"/>
      <c r="P669" s="110"/>
      <c r="Q669" s="433">
        <v>2</v>
      </c>
      <c r="R669" s="111">
        <v>231.66666666666666</v>
      </c>
      <c r="S669" s="110"/>
      <c r="T669" s="110"/>
      <c r="U669" s="110"/>
      <c r="V669" s="110"/>
      <c r="W669" s="433">
        <v>2</v>
      </c>
      <c r="X669" s="111">
        <v>231.66666666666666</v>
      </c>
      <c r="Y669" s="110"/>
      <c r="Z669" s="110"/>
      <c r="AA669" s="110"/>
      <c r="AB669" s="110"/>
      <c r="AC669" s="433">
        <v>1</v>
      </c>
      <c r="AD669" s="111">
        <v>231.66666666666666</v>
      </c>
      <c r="AE669" s="110"/>
      <c r="AF669" s="110"/>
      <c r="AG669" s="110"/>
      <c r="AH669" s="1048"/>
    </row>
    <row r="670" spans="1:34" ht="45" x14ac:dyDescent="0.25">
      <c r="A670" s="1047"/>
      <c r="B670" s="110" t="s">
        <v>4042</v>
      </c>
      <c r="C670" s="110"/>
      <c r="D670" s="433">
        <v>5</v>
      </c>
      <c r="E670" s="207" t="s">
        <v>1767</v>
      </c>
      <c r="F670" s="1178" t="s">
        <v>4353</v>
      </c>
      <c r="G670" s="1056" t="s">
        <v>4306</v>
      </c>
      <c r="H670" s="433" t="s">
        <v>3478</v>
      </c>
      <c r="I670" s="111">
        <v>139</v>
      </c>
      <c r="J670" s="111">
        <v>695</v>
      </c>
      <c r="K670" s="110"/>
      <c r="L670" s="110"/>
      <c r="M670" s="110"/>
      <c r="N670" s="110"/>
      <c r="O670" s="110"/>
      <c r="P670" s="110"/>
      <c r="Q670" s="433">
        <v>2</v>
      </c>
      <c r="R670" s="111">
        <v>231.66666666666666</v>
      </c>
      <c r="S670" s="110"/>
      <c r="T670" s="110"/>
      <c r="U670" s="110"/>
      <c r="V670" s="110"/>
      <c r="W670" s="433">
        <v>2</v>
      </c>
      <c r="X670" s="111">
        <v>231.66666666666666</v>
      </c>
      <c r="Y670" s="110"/>
      <c r="Z670" s="110"/>
      <c r="AA670" s="110"/>
      <c r="AB670" s="110"/>
      <c r="AC670" s="433">
        <v>1</v>
      </c>
      <c r="AD670" s="111">
        <v>231.66666666666666</v>
      </c>
      <c r="AE670" s="110"/>
      <c r="AF670" s="110"/>
      <c r="AG670" s="110"/>
      <c r="AH670" s="1048"/>
    </row>
    <row r="671" spans="1:34" x14ac:dyDescent="0.25">
      <c r="A671" s="1047"/>
      <c r="B671" s="110"/>
      <c r="C671" s="110"/>
      <c r="D671" s="433"/>
      <c r="E671" s="207"/>
      <c r="F671" s="433"/>
      <c r="G671" s="110"/>
      <c r="H671" s="433"/>
      <c r="I671" s="111"/>
      <c r="J671" s="111"/>
      <c r="K671" s="110"/>
      <c r="L671" s="110"/>
      <c r="M671" s="110"/>
      <c r="N671" s="110"/>
      <c r="O671" s="110"/>
      <c r="P671" s="110"/>
      <c r="Q671" s="433"/>
      <c r="R671" s="111"/>
      <c r="S671" s="110"/>
      <c r="T671" s="110"/>
      <c r="U671" s="110"/>
      <c r="V671" s="110"/>
      <c r="W671" s="433"/>
      <c r="X671" s="111"/>
      <c r="Y671" s="110"/>
      <c r="Z671" s="110"/>
      <c r="AA671" s="110"/>
      <c r="AB671" s="110"/>
      <c r="AC671" s="433"/>
      <c r="AD671" s="111"/>
      <c r="AE671" s="110"/>
      <c r="AF671" s="110"/>
      <c r="AG671" s="110"/>
      <c r="AH671" s="1048"/>
    </row>
    <row r="672" spans="1:34" x14ac:dyDescent="0.25">
      <c r="A672" s="1058">
        <v>24904</v>
      </c>
      <c r="B672" s="187" t="s">
        <v>607</v>
      </c>
      <c r="C672" s="110"/>
      <c r="D672" s="433"/>
      <c r="E672" s="207"/>
      <c r="F672" s="433"/>
      <c r="G672" s="110"/>
      <c r="H672" s="433"/>
      <c r="I672" s="111"/>
      <c r="J672" s="111"/>
      <c r="K672" s="110"/>
      <c r="L672" s="110"/>
      <c r="M672" s="110"/>
      <c r="N672" s="110"/>
      <c r="O672" s="110"/>
      <c r="P672" s="110"/>
      <c r="Q672" s="433"/>
      <c r="R672" s="111"/>
      <c r="S672" s="110"/>
      <c r="T672" s="110"/>
      <c r="U672" s="110"/>
      <c r="V672" s="110"/>
      <c r="W672" s="433"/>
      <c r="X672" s="111"/>
      <c r="Y672" s="110"/>
      <c r="Z672" s="110"/>
      <c r="AA672" s="110"/>
      <c r="AB672" s="110"/>
      <c r="AC672" s="433"/>
      <c r="AD672" s="111"/>
      <c r="AE672" s="110"/>
      <c r="AF672" s="110"/>
      <c r="AG672" s="110"/>
      <c r="AH672" s="1048"/>
    </row>
    <row r="673" spans="1:34" ht="45" x14ac:dyDescent="0.25">
      <c r="A673" s="1047"/>
      <c r="B673" s="110" t="s">
        <v>4043</v>
      </c>
      <c r="C673" s="110"/>
      <c r="D673" s="433">
        <v>6</v>
      </c>
      <c r="E673" s="207" t="s">
        <v>4044</v>
      </c>
      <c r="F673" s="1178" t="s">
        <v>4353</v>
      </c>
      <c r="G673" s="1056" t="s">
        <v>4306</v>
      </c>
      <c r="H673" s="433" t="s">
        <v>3478</v>
      </c>
      <c r="I673" s="111">
        <v>1692.6066666666666</v>
      </c>
      <c r="J673" s="111">
        <v>10155.64</v>
      </c>
      <c r="K673" s="110"/>
      <c r="L673" s="110"/>
      <c r="M673" s="110"/>
      <c r="N673" s="110"/>
      <c r="O673" s="110"/>
      <c r="P673" s="110"/>
      <c r="Q673" s="433">
        <v>2</v>
      </c>
      <c r="R673" s="111">
        <v>3385.2133333333331</v>
      </c>
      <c r="S673" s="110"/>
      <c r="T673" s="110"/>
      <c r="U673" s="110"/>
      <c r="V673" s="110"/>
      <c r="W673" s="433">
        <v>2</v>
      </c>
      <c r="X673" s="111">
        <v>3385.2133333333331</v>
      </c>
      <c r="Y673" s="110"/>
      <c r="Z673" s="110"/>
      <c r="AA673" s="110"/>
      <c r="AB673" s="110"/>
      <c r="AC673" s="433">
        <v>2</v>
      </c>
      <c r="AD673" s="111">
        <v>3385.2133333333331</v>
      </c>
      <c r="AE673" s="110"/>
      <c r="AF673" s="110"/>
      <c r="AG673" s="110"/>
      <c r="AH673" s="1048"/>
    </row>
    <row r="674" spans="1:34" x14ac:dyDescent="0.25">
      <c r="A674" s="1047"/>
      <c r="B674" s="110"/>
      <c r="C674" s="110"/>
      <c r="D674" s="433"/>
      <c r="E674" s="207"/>
      <c r="F674" s="433"/>
      <c r="G674" s="110"/>
      <c r="H674" s="433"/>
      <c r="I674" s="111"/>
      <c r="J674" s="111"/>
      <c r="K674" s="110"/>
      <c r="L674" s="110"/>
      <c r="M674" s="110"/>
      <c r="N674" s="110"/>
      <c r="O674" s="110"/>
      <c r="P674" s="110"/>
      <c r="Q674" s="433"/>
      <c r="R674" s="111"/>
      <c r="S674" s="110"/>
      <c r="T674" s="110"/>
      <c r="U674" s="110"/>
      <c r="V674" s="110"/>
      <c r="W674" s="433"/>
      <c r="X674" s="111"/>
      <c r="Y674" s="110"/>
      <c r="Z674" s="110"/>
      <c r="AA674" s="110"/>
      <c r="AB674" s="110"/>
      <c r="AC674" s="433"/>
      <c r="AD674" s="111"/>
      <c r="AE674" s="110"/>
      <c r="AF674" s="110"/>
      <c r="AG674" s="110"/>
      <c r="AH674" s="1048"/>
    </row>
    <row r="675" spans="1:34" x14ac:dyDescent="0.25">
      <c r="A675" s="1047"/>
      <c r="B675" s="110"/>
      <c r="C675" s="110"/>
      <c r="D675" s="433"/>
      <c r="E675" s="207"/>
      <c r="F675" s="433"/>
      <c r="G675" s="110"/>
      <c r="H675" s="433"/>
      <c r="I675" s="111"/>
      <c r="J675" s="111"/>
      <c r="K675" s="110"/>
      <c r="L675" s="110"/>
      <c r="M675" s="110"/>
      <c r="N675" s="110"/>
      <c r="O675" s="110"/>
      <c r="P675" s="110"/>
      <c r="Q675" s="433"/>
      <c r="R675" s="111"/>
      <c r="S675" s="110"/>
      <c r="T675" s="110"/>
      <c r="U675" s="110"/>
      <c r="V675" s="110"/>
      <c r="W675" s="433"/>
      <c r="X675" s="111"/>
      <c r="Y675" s="110"/>
      <c r="Z675" s="110"/>
      <c r="AA675" s="110"/>
      <c r="AB675" s="110"/>
      <c r="AC675" s="433"/>
      <c r="AD675" s="111"/>
      <c r="AE675" s="110"/>
      <c r="AF675" s="110"/>
      <c r="AG675" s="110"/>
      <c r="AH675" s="1048"/>
    </row>
    <row r="676" spans="1:34" x14ac:dyDescent="0.25">
      <c r="A676" s="1058">
        <v>25102</v>
      </c>
      <c r="B676" s="187" t="s">
        <v>616</v>
      </c>
      <c r="C676" s="110"/>
      <c r="D676" s="433"/>
      <c r="E676" s="207"/>
      <c r="F676" s="433"/>
      <c r="G676" s="110"/>
      <c r="H676" s="433"/>
      <c r="I676" s="111"/>
      <c r="J676" s="111"/>
      <c r="K676" s="110"/>
      <c r="L676" s="110"/>
      <c r="M676" s="110"/>
      <c r="N676" s="110"/>
      <c r="O676" s="110"/>
      <c r="P676" s="110"/>
      <c r="Q676" s="433"/>
      <c r="R676" s="111"/>
      <c r="S676" s="110"/>
      <c r="T676" s="110"/>
      <c r="U676" s="110"/>
      <c r="V676" s="110"/>
      <c r="W676" s="433"/>
      <c r="X676" s="111"/>
      <c r="Y676" s="110"/>
      <c r="Z676" s="110"/>
      <c r="AA676" s="110"/>
      <c r="AB676" s="110"/>
      <c r="AC676" s="433"/>
      <c r="AD676" s="111"/>
      <c r="AE676" s="110"/>
      <c r="AF676" s="110"/>
      <c r="AG676" s="110"/>
      <c r="AH676" s="1048"/>
    </row>
    <row r="677" spans="1:34" ht="45" x14ac:dyDescent="0.25">
      <c r="A677" s="1047"/>
      <c r="B677" s="110" t="s">
        <v>1875</v>
      </c>
      <c r="C677" s="110"/>
      <c r="D677" s="433">
        <v>15</v>
      </c>
      <c r="E677" s="207" t="s">
        <v>2247</v>
      </c>
      <c r="F677" s="1178" t="s">
        <v>4353</v>
      </c>
      <c r="G677" s="1056" t="s">
        <v>4306</v>
      </c>
      <c r="H677" s="433" t="s">
        <v>3478</v>
      </c>
      <c r="I677" s="111">
        <v>286.64064000000002</v>
      </c>
      <c r="J677" s="111">
        <v>4299.6096000000007</v>
      </c>
      <c r="K677" s="110"/>
      <c r="L677" s="110"/>
      <c r="M677" s="110"/>
      <c r="N677" s="110"/>
      <c r="O677" s="110"/>
      <c r="P677" s="110"/>
      <c r="Q677" s="433">
        <v>8</v>
      </c>
      <c r="R677" s="111">
        <v>1433.2032000000002</v>
      </c>
      <c r="S677" s="110"/>
      <c r="T677" s="110"/>
      <c r="U677" s="110"/>
      <c r="V677" s="110"/>
      <c r="W677" s="433">
        <v>4</v>
      </c>
      <c r="X677" s="111">
        <v>1433.2032000000002</v>
      </c>
      <c r="Y677" s="110"/>
      <c r="Z677" s="110"/>
      <c r="AA677" s="110"/>
      <c r="AB677" s="110"/>
      <c r="AC677" s="433">
        <v>3</v>
      </c>
      <c r="AD677" s="111">
        <v>1433.2032000000002</v>
      </c>
      <c r="AE677" s="110"/>
      <c r="AF677" s="110"/>
      <c r="AG677" s="110"/>
      <c r="AH677" s="1048"/>
    </row>
    <row r="678" spans="1:34" ht="45" x14ac:dyDescent="0.25">
      <c r="A678" s="1047"/>
      <c r="B678" s="110" t="s">
        <v>4045</v>
      </c>
      <c r="C678" s="110"/>
      <c r="D678" s="433">
        <v>40</v>
      </c>
      <c r="E678" s="207" t="s">
        <v>1721</v>
      </c>
      <c r="F678" s="1178" t="s">
        <v>4353</v>
      </c>
      <c r="G678" s="1056" t="s">
        <v>4306</v>
      </c>
      <c r="H678" s="433" t="s">
        <v>3478</v>
      </c>
      <c r="I678" s="111">
        <v>87.695999999999984</v>
      </c>
      <c r="J678" s="111">
        <v>3507.8399999999992</v>
      </c>
      <c r="K678" s="110"/>
      <c r="L678" s="110"/>
      <c r="M678" s="110"/>
      <c r="N678" s="110"/>
      <c r="O678" s="110"/>
      <c r="P678" s="110"/>
      <c r="Q678" s="433">
        <v>20</v>
      </c>
      <c r="R678" s="111">
        <v>1169.2799999999997</v>
      </c>
      <c r="S678" s="110"/>
      <c r="T678" s="110"/>
      <c r="U678" s="110"/>
      <c r="V678" s="110"/>
      <c r="W678" s="433">
        <v>10</v>
      </c>
      <c r="X678" s="111">
        <v>1169.2799999999997</v>
      </c>
      <c r="Y678" s="110"/>
      <c r="Z678" s="110"/>
      <c r="AA678" s="110"/>
      <c r="AB678" s="110"/>
      <c r="AC678" s="433">
        <v>10</v>
      </c>
      <c r="AD678" s="111">
        <v>1169.2799999999997</v>
      </c>
      <c r="AE678" s="110"/>
      <c r="AF678" s="110"/>
      <c r="AG678" s="110"/>
      <c r="AH678" s="1048"/>
    </row>
    <row r="679" spans="1:34" ht="45" x14ac:dyDescent="0.25">
      <c r="A679" s="1047"/>
      <c r="B679" s="110" t="s">
        <v>4046</v>
      </c>
      <c r="C679" s="110"/>
      <c r="D679" s="433">
        <v>1</v>
      </c>
      <c r="E679" s="207" t="s">
        <v>1721</v>
      </c>
      <c r="F679" s="1178" t="s">
        <v>4353</v>
      </c>
      <c r="G679" s="1056" t="s">
        <v>4306</v>
      </c>
      <c r="H679" s="433" t="s">
        <v>3478</v>
      </c>
      <c r="I679" s="111">
        <v>103.9824</v>
      </c>
      <c r="J679" s="111">
        <v>103.9824</v>
      </c>
      <c r="K679" s="110"/>
      <c r="L679" s="110"/>
      <c r="M679" s="110"/>
      <c r="N679" s="110"/>
      <c r="O679" s="110"/>
      <c r="P679" s="110"/>
      <c r="Q679" s="433">
        <v>1</v>
      </c>
      <c r="R679" s="111">
        <v>34.660800000000002</v>
      </c>
      <c r="S679" s="110"/>
      <c r="T679" s="110"/>
      <c r="U679" s="110"/>
      <c r="V679" s="110"/>
      <c r="W679" s="433">
        <v>0</v>
      </c>
      <c r="X679" s="111">
        <v>34.660800000000002</v>
      </c>
      <c r="Y679" s="110"/>
      <c r="Z679" s="110"/>
      <c r="AA679" s="110"/>
      <c r="AB679" s="110"/>
      <c r="AC679" s="433">
        <v>0</v>
      </c>
      <c r="AD679" s="111">
        <v>34.660800000000002</v>
      </c>
      <c r="AE679" s="110"/>
      <c r="AF679" s="110"/>
      <c r="AG679" s="110"/>
      <c r="AH679" s="1048"/>
    </row>
    <row r="680" spans="1:34" ht="45" x14ac:dyDescent="0.25">
      <c r="A680" s="1058">
        <v>25401</v>
      </c>
      <c r="B680" s="187" t="s">
        <v>4047</v>
      </c>
      <c r="C680" s="110"/>
      <c r="D680" s="433"/>
      <c r="E680" s="207"/>
      <c r="F680" s="1178" t="s">
        <v>4353</v>
      </c>
      <c r="G680" s="110"/>
      <c r="H680" s="433"/>
      <c r="I680" s="111"/>
      <c r="J680" s="111"/>
      <c r="K680" s="110"/>
      <c r="L680" s="110"/>
      <c r="M680" s="110"/>
      <c r="N680" s="110"/>
      <c r="O680" s="110"/>
      <c r="P680" s="110"/>
      <c r="Q680" s="433"/>
      <c r="R680" s="111"/>
      <c r="S680" s="110"/>
      <c r="T680" s="110"/>
      <c r="U680" s="110"/>
      <c r="V680" s="110"/>
      <c r="W680" s="433"/>
      <c r="X680" s="111"/>
      <c r="Y680" s="110"/>
      <c r="Z680" s="110"/>
      <c r="AA680" s="110"/>
      <c r="AB680" s="110"/>
      <c r="AC680" s="433"/>
      <c r="AD680" s="111"/>
      <c r="AE680" s="110"/>
      <c r="AF680" s="110"/>
      <c r="AG680" s="110"/>
      <c r="AH680" s="1048"/>
    </row>
    <row r="681" spans="1:34" ht="45" x14ac:dyDescent="0.25">
      <c r="A681" s="1047"/>
      <c r="B681" s="110" t="s">
        <v>631</v>
      </c>
      <c r="C681" s="110"/>
      <c r="D681" s="433">
        <v>1</v>
      </c>
      <c r="E681" s="207" t="s">
        <v>1721</v>
      </c>
      <c r="F681" s="1178" t="s">
        <v>4353</v>
      </c>
      <c r="G681" s="1056" t="s">
        <v>4306</v>
      </c>
      <c r="H681" s="433" t="s">
        <v>3478</v>
      </c>
      <c r="I681" s="111">
        <v>382.73039999999997</v>
      </c>
      <c r="J681" s="111">
        <v>382.73039999999997</v>
      </c>
      <c r="K681" s="110"/>
      <c r="L681" s="110"/>
      <c r="M681" s="110"/>
      <c r="N681" s="110"/>
      <c r="O681" s="110"/>
      <c r="P681" s="110"/>
      <c r="Q681" s="433">
        <v>1</v>
      </c>
      <c r="R681" s="111">
        <v>127.57679999999999</v>
      </c>
      <c r="S681" s="110"/>
      <c r="T681" s="110"/>
      <c r="U681" s="110"/>
      <c r="V681" s="110"/>
      <c r="W681" s="433">
        <v>0</v>
      </c>
      <c r="X681" s="111">
        <v>127.57679999999999</v>
      </c>
      <c r="Y681" s="110"/>
      <c r="Z681" s="110"/>
      <c r="AA681" s="110"/>
      <c r="AB681" s="110"/>
      <c r="AC681" s="433">
        <v>0</v>
      </c>
      <c r="AD681" s="111">
        <v>127.57679999999999</v>
      </c>
      <c r="AE681" s="110"/>
      <c r="AF681" s="110"/>
      <c r="AG681" s="110"/>
      <c r="AH681" s="1048"/>
    </row>
    <row r="682" spans="1:34" x14ac:dyDescent="0.25">
      <c r="A682" s="1058">
        <v>25402</v>
      </c>
      <c r="B682" s="187" t="s">
        <v>632</v>
      </c>
      <c r="C682" s="110"/>
      <c r="D682" s="433"/>
      <c r="E682" s="207"/>
      <c r="F682" s="433"/>
      <c r="G682" s="110"/>
      <c r="H682" s="433"/>
      <c r="I682" s="111"/>
      <c r="J682" s="111"/>
      <c r="K682" s="110"/>
      <c r="L682" s="110"/>
      <c r="M682" s="110"/>
      <c r="N682" s="110"/>
      <c r="O682" s="110"/>
      <c r="P682" s="110"/>
      <c r="Q682" s="433"/>
      <c r="R682" s="111"/>
      <c r="S682" s="110"/>
      <c r="T682" s="110"/>
      <c r="U682" s="110"/>
      <c r="V682" s="110"/>
      <c r="W682" s="433"/>
      <c r="X682" s="111"/>
      <c r="Y682" s="110"/>
      <c r="Z682" s="110"/>
      <c r="AA682" s="110"/>
      <c r="AB682" s="110"/>
      <c r="AC682" s="433"/>
      <c r="AD682" s="111"/>
      <c r="AE682" s="110"/>
      <c r="AF682" s="110"/>
      <c r="AG682" s="110"/>
      <c r="AH682" s="1048"/>
    </row>
    <row r="683" spans="1:34" ht="45" x14ac:dyDescent="0.25">
      <c r="A683" s="1047"/>
      <c r="B683" s="110" t="s">
        <v>4048</v>
      </c>
      <c r="C683" s="110"/>
      <c r="D683" s="433">
        <v>20</v>
      </c>
      <c r="E683" s="207" t="s">
        <v>1721</v>
      </c>
      <c r="F683" s="1178" t="s">
        <v>4353</v>
      </c>
      <c r="G683" s="1056" t="s">
        <v>4306</v>
      </c>
      <c r="H683" s="433" t="s">
        <v>3478</v>
      </c>
      <c r="I683" s="111">
        <v>145</v>
      </c>
      <c r="J683" s="111">
        <v>2900</v>
      </c>
      <c r="K683" s="110"/>
      <c r="L683" s="110"/>
      <c r="M683" s="110"/>
      <c r="N683" s="110"/>
      <c r="O683" s="110"/>
      <c r="P683" s="110"/>
      <c r="Q683" s="433">
        <v>10</v>
      </c>
      <c r="R683" s="111">
        <v>966.66666666666663</v>
      </c>
      <c r="S683" s="110"/>
      <c r="T683" s="110"/>
      <c r="U683" s="110"/>
      <c r="V683" s="110"/>
      <c r="W683" s="433">
        <v>5</v>
      </c>
      <c r="X683" s="111">
        <v>966.66666666666663</v>
      </c>
      <c r="Y683" s="110"/>
      <c r="Z683" s="110"/>
      <c r="AA683" s="110"/>
      <c r="AB683" s="110"/>
      <c r="AC683" s="433">
        <v>5</v>
      </c>
      <c r="AD683" s="111">
        <v>966.66666666666663</v>
      </c>
      <c r="AE683" s="110"/>
      <c r="AF683" s="110"/>
      <c r="AG683" s="110"/>
      <c r="AH683" s="1048"/>
    </row>
    <row r="684" spans="1:34" ht="45" x14ac:dyDescent="0.25">
      <c r="A684" s="1047"/>
      <c r="B684" s="110" t="s">
        <v>4049</v>
      </c>
      <c r="C684" s="110"/>
      <c r="D684" s="433">
        <v>2</v>
      </c>
      <c r="E684" s="207" t="s">
        <v>1722</v>
      </c>
      <c r="F684" s="1178" t="s">
        <v>4353</v>
      </c>
      <c r="G684" s="1056" t="s">
        <v>4306</v>
      </c>
      <c r="H684" s="433" t="s">
        <v>3478</v>
      </c>
      <c r="I684" s="111">
        <v>633.3599999999999</v>
      </c>
      <c r="J684" s="111">
        <v>1266.7199999999998</v>
      </c>
      <c r="K684" s="110"/>
      <c r="L684" s="110"/>
      <c r="M684" s="110"/>
      <c r="N684" s="110"/>
      <c r="O684" s="110"/>
      <c r="P684" s="110"/>
      <c r="Q684" s="433">
        <v>1</v>
      </c>
      <c r="R684" s="111">
        <v>422.23999999999995</v>
      </c>
      <c r="S684" s="110"/>
      <c r="T684" s="110"/>
      <c r="U684" s="110"/>
      <c r="V684" s="110"/>
      <c r="W684" s="433">
        <v>1</v>
      </c>
      <c r="X684" s="111">
        <v>422.23999999999995</v>
      </c>
      <c r="Y684" s="110"/>
      <c r="Z684" s="110"/>
      <c r="AA684" s="110"/>
      <c r="AB684" s="110"/>
      <c r="AC684" s="433">
        <v>0</v>
      </c>
      <c r="AD684" s="111">
        <v>422.23999999999995</v>
      </c>
      <c r="AE684" s="110"/>
      <c r="AF684" s="110"/>
      <c r="AG684" s="110"/>
      <c r="AH684" s="1048"/>
    </row>
    <row r="685" spans="1:34" ht="45" x14ac:dyDescent="0.25">
      <c r="A685" s="1047"/>
      <c r="B685" s="110" t="s">
        <v>4050</v>
      </c>
      <c r="C685" s="110"/>
      <c r="D685" s="433">
        <v>30</v>
      </c>
      <c r="E685" s="207" t="s">
        <v>1722</v>
      </c>
      <c r="F685" s="1178" t="s">
        <v>4353</v>
      </c>
      <c r="G685" s="1056" t="s">
        <v>4306</v>
      </c>
      <c r="H685" s="433" t="s">
        <v>3478</v>
      </c>
      <c r="I685" s="111">
        <v>208.79999999999998</v>
      </c>
      <c r="J685" s="111">
        <v>6263.9999999999991</v>
      </c>
      <c r="K685" s="110"/>
      <c r="L685" s="110"/>
      <c r="M685" s="110"/>
      <c r="N685" s="110"/>
      <c r="O685" s="110"/>
      <c r="P685" s="110"/>
      <c r="Q685" s="433">
        <v>15</v>
      </c>
      <c r="R685" s="111">
        <v>2087.9999999999995</v>
      </c>
      <c r="S685" s="110"/>
      <c r="T685" s="110"/>
      <c r="U685" s="110"/>
      <c r="V685" s="110"/>
      <c r="W685" s="433">
        <v>8</v>
      </c>
      <c r="X685" s="111">
        <v>2087.9999999999995</v>
      </c>
      <c r="Y685" s="110"/>
      <c r="Z685" s="110"/>
      <c r="AA685" s="110"/>
      <c r="AB685" s="110"/>
      <c r="AC685" s="433">
        <v>7</v>
      </c>
      <c r="AD685" s="111">
        <v>2087.9999999999995</v>
      </c>
      <c r="AE685" s="110"/>
      <c r="AF685" s="110"/>
      <c r="AG685" s="110"/>
      <c r="AH685" s="1048"/>
    </row>
    <row r="686" spans="1:34" ht="45" x14ac:dyDescent="0.25">
      <c r="A686" s="1047"/>
      <c r="B686" s="110" t="s">
        <v>4051</v>
      </c>
      <c r="C686" s="110"/>
      <c r="D686" s="433">
        <v>30</v>
      </c>
      <c r="E686" s="207" t="s">
        <v>1722</v>
      </c>
      <c r="F686" s="1178" t="s">
        <v>4353</v>
      </c>
      <c r="G686" s="1056" t="s">
        <v>4306</v>
      </c>
      <c r="H686" s="433" t="s">
        <v>3478</v>
      </c>
      <c r="I686" s="111">
        <v>256.82400000000001</v>
      </c>
      <c r="J686" s="111">
        <v>7704.72</v>
      </c>
      <c r="K686" s="110"/>
      <c r="L686" s="110"/>
      <c r="M686" s="110"/>
      <c r="N686" s="110"/>
      <c r="O686" s="110"/>
      <c r="P686" s="110"/>
      <c r="Q686" s="433">
        <v>15</v>
      </c>
      <c r="R686" s="111">
        <v>2568.2400000000002</v>
      </c>
      <c r="S686" s="110"/>
      <c r="T686" s="110"/>
      <c r="U686" s="110"/>
      <c r="V686" s="110"/>
      <c r="W686" s="433">
        <v>8</v>
      </c>
      <c r="X686" s="111">
        <v>2568.2400000000002</v>
      </c>
      <c r="Y686" s="110"/>
      <c r="Z686" s="110"/>
      <c r="AA686" s="110"/>
      <c r="AB686" s="110"/>
      <c r="AC686" s="433">
        <v>7</v>
      </c>
      <c r="AD686" s="111">
        <v>2568.2400000000002</v>
      </c>
      <c r="AE686" s="110"/>
      <c r="AF686" s="110"/>
      <c r="AG686" s="110"/>
      <c r="AH686" s="1048"/>
    </row>
    <row r="687" spans="1:34" ht="45" x14ac:dyDescent="0.25">
      <c r="A687" s="1047"/>
      <c r="B687" s="110" t="s">
        <v>4052</v>
      </c>
      <c r="C687" s="110"/>
      <c r="D687" s="433">
        <v>1</v>
      </c>
      <c r="E687" s="207" t="s">
        <v>1722</v>
      </c>
      <c r="F687" s="1178" t="s">
        <v>4353</v>
      </c>
      <c r="G687" s="1056" t="s">
        <v>4306</v>
      </c>
      <c r="H687" s="433" t="s">
        <v>3478</v>
      </c>
      <c r="I687" s="111">
        <v>910.59999999999991</v>
      </c>
      <c r="J687" s="111">
        <v>910.59999999999991</v>
      </c>
      <c r="K687" s="110"/>
      <c r="L687" s="110"/>
      <c r="M687" s="110"/>
      <c r="N687" s="110"/>
      <c r="O687" s="110"/>
      <c r="P687" s="110"/>
      <c r="Q687" s="433">
        <v>1</v>
      </c>
      <c r="R687" s="111">
        <v>303.5333333333333</v>
      </c>
      <c r="S687" s="110"/>
      <c r="T687" s="110"/>
      <c r="U687" s="110"/>
      <c r="V687" s="110"/>
      <c r="W687" s="433">
        <v>0</v>
      </c>
      <c r="X687" s="111">
        <v>303.5333333333333</v>
      </c>
      <c r="Y687" s="110"/>
      <c r="Z687" s="110"/>
      <c r="AA687" s="110"/>
      <c r="AB687" s="110"/>
      <c r="AC687" s="433">
        <v>0</v>
      </c>
      <c r="AD687" s="111">
        <v>303.5333333333333</v>
      </c>
      <c r="AE687" s="110"/>
      <c r="AF687" s="110"/>
      <c r="AG687" s="110"/>
      <c r="AH687" s="1048"/>
    </row>
    <row r="688" spans="1:34" ht="45" x14ac:dyDescent="0.25">
      <c r="A688" s="1047"/>
      <c r="B688" s="110" t="s">
        <v>2117</v>
      </c>
      <c r="C688" s="110"/>
      <c r="D688" s="433">
        <v>1</v>
      </c>
      <c r="E688" s="207" t="s">
        <v>1721</v>
      </c>
      <c r="F688" s="1178" t="s">
        <v>4353</v>
      </c>
      <c r="G688" s="1056" t="s">
        <v>4306</v>
      </c>
      <c r="H688" s="433" t="s">
        <v>3478</v>
      </c>
      <c r="I688" s="111">
        <v>231.768</v>
      </c>
      <c r="J688" s="111">
        <v>231.768</v>
      </c>
      <c r="K688" s="110"/>
      <c r="L688" s="110"/>
      <c r="M688" s="110"/>
      <c r="N688" s="110"/>
      <c r="O688" s="110"/>
      <c r="P688" s="110"/>
      <c r="Q688" s="433">
        <v>1</v>
      </c>
      <c r="R688" s="111">
        <v>77.256</v>
      </c>
      <c r="S688" s="110"/>
      <c r="T688" s="110"/>
      <c r="U688" s="110"/>
      <c r="V688" s="110"/>
      <c r="W688" s="433">
        <v>0</v>
      </c>
      <c r="X688" s="111">
        <v>77.256</v>
      </c>
      <c r="Y688" s="110"/>
      <c r="Z688" s="110"/>
      <c r="AA688" s="110"/>
      <c r="AB688" s="110"/>
      <c r="AC688" s="433">
        <v>0</v>
      </c>
      <c r="AD688" s="111">
        <v>77.256</v>
      </c>
      <c r="AE688" s="110"/>
      <c r="AF688" s="110"/>
      <c r="AG688" s="110"/>
      <c r="AH688" s="1048"/>
    </row>
    <row r="689" spans="1:34" ht="45" x14ac:dyDescent="0.25">
      <c r="A689" s="1047"/>
      <c r="B689" s="110" t="s">
        <v>4053</v>
      </c>
      <c r="C689" s="110"/>
      <c r="D689" s="433">
        <v>1</v>
      </c>
      <c r="E689" s="207" t="s">
        <v>1721</v>
      </c>
      <c r="F689" s="1178" t="s">
        <v>4353</v>
      </c>
      <c r="G689" s="1056" t="s">
        <v>4306</v>
      </c>
      <c r="H689" s="433" t="s">
        <v>3478</v>
      </c>
      <c r="I689" s="111">
        <v>43.847999999999992</v>
      </c>
      <c r="J689" s="111">
        <v>43.847999999999992</v>
      </c>
      <c r="K689" s="110"/>
      <c r="L689" s="110"/>
      <c r="M689" s="110"/>
      <c r="N689" s="110"/>
      <c r="O689" s="110"/>
      <c r="P689" s="110"/>
      <c r="Q689" s="433">
        <v>1</v>
      </c>
      <c r="R689" s="111">
        <v>14.615999999999998</v>
      </c>
      <c r="S689" s="110"/>
      <c r="T689" s="110"/>
      <c r="U689" s="110"/>
      <c r="V689" s="110"/>
      <c r="W689" s="433">
        <v>0</v>
      </c>
      <c r="X689" s="111">
        <v>14.615999999999998</v>
      </c>
      <c r="Y689" s="110"/>
      <c r="Z689" s="110"/>
      <c r="AA689" s="110"/>
      <c r="AB689" s="110"/>
      <c r="AC689" s="433">
        <v>0</v>
      </c>
      <c r="AD689" s="111">
        <v>14.615999999999998</v>
      </c>
      <c r="AE689" s="110"/>
      <c r="AF689" s="110"/>
      <c r="AG689" s="110"/>
      <c r="AH689" s="1048"/>
    </row>
    <row r="690" spans="1:34" ht="45" x14ac:dyDescent="0.25">
      <c r="A690" s="1047"/>
      <c r="B690" s="110" t="s">
        <v>4054</v>
      </c>
      <c r="C690" s="110"/>
      <c r="D690" s="433">
        <v>1</v>
      </c>
      <c r="E690" s="207" t="s">
        <v>1721</v>
      </c>
      <c r="F690" s="1178" t="s">
        <v>4353</v>
      </c>
      <c r="G690" s="1056" t="s">
        <v>4306</v>
      </c>
      <c r="H690" s="433" t="s">
        <v>3478</v>
      </c>
      <c r="I690" s="111">
        <v>87.695999999999984</v>
      </c>
      <c r="J690" s="111">
        <v>87.695999999999984</v>
      </c>
      <c r="K690" s="110"/>
      <c r="L690" s="110"/>
      <c r="M690" s="110"/>
      <c r="N690" s="110"/>
      <c r="O690" s="110"/>
      <c r="P690" s="110"/>
      <c r="Q690" s="433">
        <v>1</v>
      </c>
      <c r="R690" s="111">
        <v>29.231999999999996</v>
      </c>
      <c r="S690" s="110"/>
      <c r="T690" s="110"/>
      <c r="U690" s="110"/>
      <c r="V690" s="110"/>
      <c r="W690" s="433">
        <v>0</v>
      </c>
      <c r="X690" s="111">
        <v>29.231999999999996</v>
      </c>
      <c r="Y690" s="110"/>
      <c r="Z690" s="110"/>
      <c r="AA690" s="110"/>
      <c r="AB690" s="110"/>
      <c r="AC690" s="433">
        <v>0</v>
      </c>
      <c r="AD690" s="111">
        <v>29.231999999999996</v>
      </c>
      <c r="AE690" s="110"/>
      <c r="AF690" s="110"/>
      <c r="AG690" s="110"/>
      <c r="AH690" s="1048"/>
    </row>
    <row r="691" spans="1:34" ht="45" x14ac:dyDescent="0.25">
      <c r="A691" s="1047"/>
      <c r="B691" s="110" t="s">
        <v>1636</v>
      </c>
      <c r="C691" s="110"/>
      <c r="D691" s="433">
        <v>1</v>
      </c>
      <c r="E691" s="207" t="s">
        <v>1721</v>
      </c>
      <c r="F691" s="1178" t="s">
        <v>4353</v>
      </c>
      <c r="G691" s="1056" t="s">
        <v>4306</v>
      </c>
      <c r="H691" s="433" t="s">
        <v>3478</v>
      </c>
      <c r="I691" s="111">
        <v>75.167999999999992</v>
      </c>
      <c r="J691" s="111">
        <v>75.167999999999992</v>
      </c>
      <c r="K691" s="110"/>
      <c r="L691" s="110"/>
      <c r="M691" s="110"/>
      <c r="N691" s="110"/>
      <c r="O691" s="110"/>
      <c r="P691" s="110"/>
      <c r="Q691" s="433">
        <v>1</v>
      </c>
      <c r="R691" s="111">
        <v>25.055999999999997</v>
      </c>
      <c r="S691" s="110"/>
      <c r="T691" s="110"/>
      <c r="U691" s="110"/>
      <c r="V691" s="110"/>
      <c r="W691" s="433">
        <v>0</v>
      </c>
      <c r="X691" s="111">
        <v>25.055999999999997</v>
      </c>
      <c r="Y691" s="110"/>
      <c r="Z691" s="110"/>
      <c r="AA691" s="110"/>
      <c r="AB691" s="110"/>
      <c r="AC691" s="433">
        <v>0</v>
      </c>
      <c r="AD691" s="111">
        <v>25.055999999999997</v>
      </c>
      <c r="AE691" s="110"/>
      <c r="AF691" s="110"/>
      <c r="AG691" s="110"/>
      <c r="AH691" s="1048"/>
    </row>
    <row r="692" spans="1:34" ht="45" x14ac:dyDescent="0.25">
      <c r="A692" s="1047"/>
      <c r="B692" s="110" t="s">
        <v>4055</v>
      </c>
      <c r="C692" s="110"/>
      <c r="D692" s="433">
        <v>5</v>
      </c>
      <c r="E692" s="207" t="s">
        <v>1722</v>
      </c>
      <c r="F692" s="1178" t="s">
        <v>4353</v>
      </c>
      <c r="G692" s="1056" t="s">
        <v>4306</v>
      </c>
      <c r="H692" s="433" t="s">
        <v>3478</v>
      </c>
      <c r="I692" s="111">
        <v>144.072</v>
      </c>
      <c r="J692" s="111">
        <v>720.36</v>
      </c>
      <c r="K692" s="110"/>
      <c r="L692" s="110"/>
      <c r="M692" s="110"/>
      <c r="N692" s="110"/>
      <c r="O692" s="110"/>
      <c r="P692" s="110"/>
      <c r="Q692" s="433">
        <v>2</v>
      </c>
      <c r="R692" s="111">
        <v>240.12</v>
      </c>
      <c r="S692" s="110"/>
      <c r="T692" s="110"/>
      <c r="U692" s="110"/>
      <c r="V692" s="110"/>
      <c r="W692" s="433">
        <v>2</v>
      </c>
      <c r="X692" s="111">
        <v>240.12</v>
      </c>
      <c r="Y692" s="110"/>
      <c r="Z692" s="110"/>
      <c r="AA692" s="110"/>
      <c r="AB692" s="110"/>
      <c r="AC692" s="433">
        <v>1</v>
      </c>
      <c r="AD692" s="111">
        <v>240.12</v>
      </c>
      <c r="AE692" s="110"/>
      <c r="AF692" s="110"/>
      <c r="AG692" s="110"/>
      <c r="AH692" s="1048"/>
    </row>
    <row r="693" spans="1:34" ht="45" x14ac:dyDescent="0.25">
      <c r="A693" s="1047"/>
      <c r="B693" s="110" t="s">
        <v>4056</v>
      </c>
      <c r="C693" s="110"/>
      <c r="D693" s="433">
        <v>3</v>
      </c>
      <c r="E693" s="207" t="s">
        <v>1721</v>
      </c>
      <c r="F693" s="1178" t="s">
        <v>4353</v>
      </c>
      <c r="G693" s="1056" t="s">
        <v>4306</v>
      </c>
      <c r="H693" s="433" t="s">
        <v>3478</v>
      </c>
      <c r="I693" s="111">
        <v>211.69999999999996</v>
      </c>
      <c r="J693" s="111">
        <v>635.09999999999991</v>
      </c>
      <c r="K693" s="110"/>
      <c r="L693" s="110"/>
      <c r="M693" s="110"/>
      <c r="N693" s="110"/>
      <c r="O693" s="110"/>
      <c r="P693" s="110"/>
      <c r="Q693" s="433">
        <v>1</v>
      </c>
      <c r="R693" s="111">
        <v>211.69999999999996</v>
      </c>
      <c r="S693" s="110"/>
      <c r="T693" s="110"/>
      <c r="U693" s="110"/>
      <c r="V693" s="110"/>
      <c r="W693" s="433">
        <v>1</v>
      </c>
      <c r="X693" s="111">
        <v>211.69999999999996</v>
      </c>
      <c r="Y693" s="110"/>
      <c r="Z693" s="110"/>
      <c r="AA693" s="110"/>
      <c r="AB693" s="110"/>
      <c r="AC693" s="433">
        <v>1</v>
      </c>
      <c r="AD693" s="111">
        <v>211.69999999999996</v>
      </c>
      <c r="AE693" s="110"/>
      <c r="AF693" s="110"/>
      <c r="AG693" s="110"/>
      <c r="AH693" s="1048"/>
    </row>
    <row r="694" spans="1:34" ht="45" x14ac:dyDescent="0.25">
      <c r="A694" s="1047"/>
      <c r="B694" s="110" t="s">
        <v>4057</v>
      </c>
      <c r="C694" s="110"/>
      <c r="D694" s="433">
        <v>2</v>
      </c>
      <c r="E694" s="207" t="s">
        <v>1721</v>
      </c>
      <c r="F694" s="1178" t="s">
        <v>4353</v>
      </c>
      <c r="G694" s="1056" t="s">
        <v>4306</v>
      </c>
      <c r="H694" s="433" t="s">
        <v>3478</v>
      </c>
      <c r="I694" s="111">
        <v>114.00479999999999</v>
      </c>
      <c r="J694" s="111">
        <v>228.00959999999998</v>
      </c>
      <c r="K694" s="110"/>
      <c r="L694" s="110"/>
      <c r="M694" s="110"/>
      <c r="N694" s="110"/>
      <c r="O694" s="110"/>
      <c r="P694" s="110"/>
      <c r="Q694" s="433">
        <v>1</v>
      </c>
      <c r="R694" s="111">
        <v>76.003199999999993</v>
      </c>
      <c r="S694" s="110"/>
      <c r="T694" s="110"/>
      <c r="U694" s="110"/>
      <c r="V694" s="110"/>
      <c r="W694" s="433">
        <v>1</v>
      </c>
      <c r="X694" s="111">
        <v>76.003199999999993</v>
      </c>
      <c r="Y694" s="110"/>
      <c r="Z694" s="110"/>
      <c r="AA694" s="110"/>
      <c r="AB694" s="110"/>
      <c r="AC694" s="433">
        <v>0</v>
      </c>
      <c r="AD694" s="111">
        <v>76.003199999999993</v>
      </c>
      <c r="AE694" s="110"/>
      <c r="AF694" s="110"/>
      <c r="AG694" s="110"/>
      <c r="AH694" s="1048"/>
    </row>
    <row r="695" spans="1:34" ht="45" x14ac:dyDescent="0.25">
      <c r="A695" s="1047"/>
      <c r="B695" s="110" t="s">
        <v>4058</v>
      </c>
      <c r="C695" s="110"/>
      <c r="D695" s="433">
        <v>1</v>
      </c>
      <c r="E695" s="207" t="s">
        <v>1721</v>
      </c>
      <c r="F695" s="1178" t="s">
        <v>4353</v>
      </c>
      <c r="G695" s="1056" t="s">
        <v>4306</v>
      </c>
      <c r="H695" s="433" t="s">
        <v>3478</v>
      </c>
      <c r="I695" s="111">
        <v>236.15279999999998</v>
      </c>
      <c r="J695" s="111">
        <v>236.15279999999998</v>
      </c>
      <c r="K695" s="110"/>
      <c r="L695" s="110"/>
      <c r="M695" s="110"/>
      <c r="N695" s="110"/>
      <c r="O695" s="110"/>
      <c r="P695" s="110"/>
      <c r="Q695" s="433">
        <v>1</v>
      </c>
      <c r="R695" s="111">
        <v>78.71759999999999</v>
      </c>
      <c r="S695" s="110"/>
      <c r="T695" s="110"/>
      <c r="U695" s="110"/>
      <c r="V695" s="110"/>
      <c r="W695" s="433">
        <v>0</v>
      </c>
      <c r="X695" s="111">
        <v>78.71759999999999</v>
      </c>
      <c r="Y695" s="110"/>
      <c r="Z695" s="110"/>
      <c r="AA695" s="110"/>
      <c r="AB695" s="110"/>
      <c r="AC695" s="433">
        <v>0</v>
      </c>
      <c r="AD695" s="111">
        <v>78.71759999999999</v>
      </c>
      <c r="AE695" s="110"/>
      <c r="AF695" s="110"/>
      <c r="AG695" s="110"/>
      <c r="AH695" s="1048"/>
    </row>
    <row r="696" spans="1:34" x14ac:dyDescent="0.25">
      <c r="A696" s="1058">
        <v>25501</v>
      </c>
      <c r="B696" s="187" t="s">
        <v>4059</v>
      </c>
      <c r="C696" s="110"/>
      <c r="D696" s="433"/>
      <c r="E696" s="207"/>
      <c r="F696" s="433"/>
      <c r="G696" s="110"/>
      <c r="H696" s="433"/>
      <c r="I696" s="111"/>
      <c r="J696" s="111"/>
      <c r="K696" s="110"/>
      <c r="L696" s="110"/>
      <c r="M696" s="110"/>
      <c r="N696" s="110"/>
      <c r="O696" s="110"/>
      <c r="P696" s="110"/>
      <c r="Q696" s="433"/>
      <c r="R696" s="111"/>
      <c r="S696" s="110"/>
      <c r="T696" s="110"/>
      <c r="U696" s="110"/>
      <c r="V696" s="110"/>
      <c r="W696" s="433"/>
      <c r="X696" s="111"/>
      <c r="Y696" s="110"/>
      <c r="Z696" s="110"/>
      <c r="AA696" s="110"/>
      <c r="AB696" s="110"/>
      <c r="AC696" s="433"/>
      <c r="AD696" s="111"/>
      <c r="AE696" s="110"/>
      <c r="AF696" s="110"/>
      <c r="AG696" s="110"/>
      <c r="AH696" s="1048"/>
    </row>
    <row r="697" spans="1:34" ht="45" x14ac:dyDescent="0.25">
      <c r="A697" s="1047"/>
      <c r="B697" s="110" t="s">
        <v>4060</v>
      </c>
      <c r="C697" s="110"/>
      <c r="D697" s="433">
        <v>16</v>
      </c>
      <c r="E697" s="207" t="s">
        <v>1722</v>
      </c>
      <c r="F697" s="1178" t="s">
        <v>4353</v>
      </c>
      <c r="G697" s="1056" t="s">
        <v>4306</v>
      </c>
      <c r="H697" s="433" t="s">
        <v>3478</v>
      </c>
      <c r="I697" s="111">
        <v>1013.9</v>
      </c>
      <c r="J697" s="111">
        <v>16222.4</v>
      </c>
      <c r="K697" s="110"/>
      <c r="L697" s="110"/>
      <c r="M697" s="110"/>
      <c r="N697" s="110"/>
      <c r="O697" s="110"/>
      <c r="P697" s="110"/>
      <c r="Q697" s="433">
        <v>8</v>
      </c>
      <c r="R697" s="111">
        <v>5407.4666666666662</v>
      </c>
      <c r="S697" s="110"/>
      <c r="T697" s="110"/>
      <c r="U697" s="110"/>
      <c r="V697" s="110"/>
      <c r="W697" s="433">
        <v>6</v>
      </c>
      <c r="X697" s="111">
        <v>5407.4666666666662</v>
      </c>
      <c r="Y697" s="110"/>
      <c r="Z697" s="110"/>
      <c r="AA697" s="110"/>
      <c r="AB697" s="110"/>
      <c r="AC697" s="433">
        <v>2</v>
      </c>
      <c r="AD697" s="111">
        <v>5407.4666666666662</v>
      </c>
      <c r="AE697" s="110"/>
      <c r="AF697" s="110"/>
      <c r="AG697" s="110"/>
      <c r="AH697" s="1048"/>
    </row>
    <row r="698" spans="1:34" ht="45" x14ac:dyDescent="0.25">
      <c r="A698" s="1047"/>
      <c r="B698" s="110" t="s">
        <v>4061</v>
      </c>
      <c r="C698" s="110"/>
      <c r="D698" s="433">
        <v>7</v>
      </c>
      <c r="E698" s="207" t="s">
        <v>1722</v>
      </c>
      <c r="F698" s="1178" t="s">
        <v>4353</v>
      </c>
      <c r="G698" s="1056" t="s">
        <v>4306</v>
      </c>
      <c r="H698" s="433" t="s">
        <v>3478</v>
      </c>
      <c r="I698" s="111">
        <v>972.93999999999994</v>
      </c>
      <c r="J698" s="111">
        <v>6810.58</v>
      </c>
      <c r="K698" s="110"/>
      <c r="L698" s="110"/>
      <c r="M698" s="110"/>
      <c r="N698" s="110"/>
      <c r="O698" s="110"/>
      <c r="P698" s="110"/>
      <c r="Q698" s="433">
        <v>3</v>
      </c>
      <c r="R698" s="111">
        <v>2270.1933333333332</v>
      </c>
      <c r="S698" s="110"/>
      <c r="T698" s="110"/>
      <c r="U698" s="110"/>
      <c r="V698" s="110"/>
      <c r="W698" s="433">
        <v>2</v>
      </c>
      <c r="X698" s="111">
        <v>2270.1933333333332</v>
      </c>
      <c r="Y698" s="110"/>
      <c r="Z698" s="110"/>
      <c r="AA698" s="110"/>
      <c r="AB698" s="110"/>
      <c r="AC698" s="433">
        <v>2</v>
      </c>
      <c r="AD698" s="111">
        <v>2270.1933333333332</v>
      </c>
      <c r="AE698" s="110"/>
      <c r="AF698" s="110"/>
      <c r="AG698" s="110"/>
      <c r="AH698" s="1048"/>
    </row>
    <row r="699" spans="1:34" ht="45" x14ac:dyDescent="0.25">
      <c r="A699" s="1047"/>
      <c r="B699" s="110" t="s">
        <v>4062</v>
      </c>
      <c r="C699" s="110"/>
      <c r="D699" s="433">
        <v>50</v>
      </c>
      <c r="E699" s="207" t="s">
        <v>3687</v>
      </c>
      <c r="F699" s="1178" t="s">
        <v>4353</v>
      </c>
      <c r="G699" s="1056" t="s">
        <v>4306</v>
      </c>
      <c r="H699" s="433" t="s">
        <v>3478</v>
      </c>
      <c r="I699" s="111">
        <v>48.72</v>
      </c>
      <c r="J699" s="111">
        <v>2436</v>
      </c>
      <c r="K699" s="110"/>
      <c r="L699" s="110"/>
      <c r="M699" s="110"/>
      <c r="N699" s="110"/>
      <c r="O699" s="110"/>
      <c r="P699" s="110"/>
      <c r="Q699" s="433">
        <v>25</v>
      </c>
      <c r="R699" s="111">
        <v>812</v>
      </c>
      <c r="S699" s="110"/>
      <c r="T699" s="110"/>
      <c r="U699" s="110"/>
      <c r="V699" s="110"/>
      <c r="W699" s="433">
        <v>13</v>
      </c>
      <c r="X699" s="111">
        <v>812</v>
      </c>
      <c r="Y699" s="110"/>
      <c r="Z699" s="110"/>
      <c r="AA699" s="110"/>
      <c r="AB699" s="110"/>
      <c r="AC699" s="433">
        <v>12</v>
      </c>
      <c r="AD699" s="111">
        <v>812</v>
      </c>
      <c r="AE699" s="110"/>
      <c r="AF699" s="110"/>
      <c r="AG699" s="110"/>
      <c r="AH699" s="1048"/>
    </row>
    <row r="700" spans="1:34" ht="45" x14ac:dyDescent="0.25">
      <c r="A700" s="1047"/>
      <c r="B700" s="110" t="s">
        <v>4063</v>
      </c>
      <c r="C700" s="110"/>
      <c r="D700" s="433">
        <v>1</v>
      </c>
      <c r="E700" s="207" t="s">
        <v>4064</v>
      </c>
      <c r="F700" s="1178" t="s">
        <v>4353</v>
      </c>
      <c r="G700" s="1056" t="s">
        <v>4306</v>
      </c>
      <c r="H700" s="433" t="s">
        <v>3478</v>
      </c>
      <c r="I700" s="111">
        <v>465.73999999999995</v>
      </c>
      <c r="J700" s="111">
        <v>465.73999999999995</v>
      </c>
      <c r="K700" s="110"/>
      <c r="L700" s="110"/>
      <c r="M700" s="110"/>
      <c r="N700" s="110"/>
      <c r="O700" s="110"/>
      <c r="P700" s="110"/>
      <c r="Q700" s="433">
        <v>1</v>
      </c>
      <c r="R700" s="111">
        <v>155.24666666666664</v>
      </c>
      <c r="S700" s="110"/>
      <c r="T700" s="110"/>
      <c r="U700" s="110"/>
      <c r="V700" s="110"/>
      <c r="W700" s="433">
        <v>0</v>
      </c>
      <c r="X700" s="111">
        <v>155.24666666666664</v>
      </c>
      <c r="Y700" s="110"/>
      <c r="Z700" s="110"/>
      <c r="AA700" s="110"/>
      <c r="AB700" s="110"/>
      <c r="AC700" s="433">
        <v>0</v>
      </c>
      <c r="AD700" s="111">
        <v>155.24666666666664</v>
      </c>
      <c r="AE700" s="110"/>
      <c r="AF700" s="110"/>
      <c r="AG700" s="110"/>
      <c r="AH700" s="1048"/>
    </row>
    <row r="701" spans="1:34" x14ac:dyDescent="0.25">
      <c r="A701" s="1058">
        <v>25601</v>
      </c>
      <c r="B701" s="187" t="s">
        <v>4065</v>
      </c>
      <c r="C701" s="110"/>
      <c r="D701" s="433"/>
      <c r="E701" s="207"/>
      <c r="F701" s="1178"/>
      <c r="G701" s="110"/>
      <c r="H701" s="433"/>
      <c r="I701" s="111"/>
      <c r="J701" s="111"/>
      <c r="K701" s="110"/>
      <c r="L701" s="110"/>
      <c r="M701" s="110"/>
      <c r="N701" s="110"/>
      <c r="O701" s="110"/>
      <c r="P701" s="110"/>
      <c r="Q701" s="433"/>
      <c r="R701" s="111"/>
      <c r="S701" s="110"/>
      <c r="T701" s="110"/>
      <c r="U701" s="110"/>
      <c r="V701" s="110"/>
      <c r="W701" s="433"/>
      <c r="X701" s="111"/>
      <c r="Y701" s="110"/>
      <c r="Z701" s="110"/>
      <c r="AA701" s="110"/>
      <c r="AB701" s="110"/>
      <c r="AC701" s="433"/>
      <c r="AD701" s="111"/>
      <c r="AE701" s="110"/>
      <c r="AF701" s="110"/>
      <c r="AG701" s="110"/>
      <c r="AH701" s="1048"/>
    </row>
    <row r="702" spans="1:34" ht="45" x14ac:dyDescent="0.25">
      <c r="A702" s="1047"/>
      <c r="B702" s="110" t="s">
        <v>4066</v>
      </c>
      <c r="C702" s="110"/>
      <c r="D702" s="433">
        <v>215</v>
      </c>
      <c r="E702" s="207" t="s">
        <v>3687</v>
      </c>
      <c r="F702" s="1178" t="s">
        <v>4353</v>
      </c>
      <c r="G702" s="1056" t="s">
        <v>4306</v>
      </c>
      <c r="H702" s="433" t="s">
        <v>3478</v>
      </c>
      <c r="I702" s="111">
        <v>39.858610381395351</v>
      </c>
      <c r="J702" s="111">
        <v>8569.6012320000009</v>
      </c>
      <c r="K702" s="110"/>
      <c r="L702" s="110"/>
      <c r="M702" s="110"/>
      <c r="N702" s="110"/>
      <c r="O702" s="110"/>
      <c r="P702" s="110"/>
      <c r="Q702" s="433">
        <v>115</v>
      </c>
      <c r="R702" s="111">
        <v>2856.5337440000003</v>
      </c>
      <c r="S702" s="110"/>
      <c r="T702" s="110"/>
      <c r="U702" s="110"/>
      <c r="V702" s="110"/>
      <c r="W702" s="433">
        <v>50</v>
      </c>
      <c r="X702" s="111">
        <v>2856.5337440000003</v>
      </c>
      <c r="Y702" s="110"/>
      <c r="Z702" s="110"/>
      <c r="AA702" s="110"/>
      <c r="AB702" s="110"/>
      <c r="AC702" s="433">
        <v>50</v>
      </c>
      <c r="AD702" s="111">
        <v>2856.5337440000003</v>
      </c>
      <c r="AE702" s="110"/>
      <c r="AF702" s="110"/>
      <c r="AG702" s="110"/>
      <c r="AH702" s="1048"/>
    </row>
    <row r="703" spans="1:34" ht="45" x14ac:dyDescent="0.25">
      <c r="A703" s="1047"/>
      <c r="B703" s="110" t="s">
        <v>4067</v>
      </c>
      <c r="C703" s="110"/>
      <c r="D703" s="433">
        <v>20</v>
      </c>
      <c r="E703" s="207" t="s">
        <v>3687</v>
      </c>
      <c r="F703" s="1178" t="s">
        <v>4353</v>
      </c>
      <c r="G703" s="1056" t="s">
        <v>4306</v>
      </c>
      <c r="H703" s="433" t="s">
        <v>3478</v>
      </c>
      <c r="I703" s="111">
        <v>45.49</v>
      </c>
      <c r="J703" s="111">
        <v>909.80000000000007</v>
      </c>
      <c r="K703" s="110"/>
      <c r="L703" s="110"/>
      <c r="M703" s="110"/>
      <c r="N703" s="110"/>
      <c r="O703" s="110"/>
      <c r="P703" s="110"/>
      <c r="Q703" s="433">
        <v>10</v>
      </c>
      <c r="R703" s="111">
        <v>303.26666666666671</v>
      </c>
      <c r="S703" s="110"/>
      <c r="T703" s="110"/>
      <c r="U703" s="110"/>
      <c r="V703" s="110"/>
      <c r="W703" s="433">
        <v>5</v>
      </c>
      <c r="X703" s="111">
        <v>303.26666666666671</v>
      </c>
      <c r="Y703" s="110"/>
      <c r="Z703" s="110"/>
      <c r="AA703" s="110"/>
      <c r="AB703" s="110"/>
      <c r="AC703" s="433">
        <v>5</v>
      </c>
      <c r="AD703" s="111">
        <v>303.26666666666671</v>
      </c>
      <c r="AE703" s="110"/>
      <c r="AF703" s="110"/>
      <c r="AG703" s="110"/>
      <c r="AH703" s="1048"/>
    </row>
    <row r="704" spans="1:34" ht="45" x14ac:dyDescent="0.25">
      <c r="A704" s="1047"/>
      <c r="B704" s="110" t="s">
        <v>4068</v>
      </c>
      <c r="C704" s="110"/>
      <c r="D704" s="433">
        <v>90</v>
      </c>
      <c r="E704" s="207" t="s">
        <v>3687</v>
      </c>
      <c r="F704" s="1178" t="s">
        <v>4353</v>
      </c>
      <c r="G704" s="1056" t="s">
        <v>4306</v>
      </c>
      <c r="H704" s="433" t="s">
        <v>3478</v>
      </c>
      <c r="I704" s="111">
        <v>53.790939111111122</v>
      </c>
      <c r="J704" s="111">
        <v>4841.1845200000007</v>
      </c>
      <c r="K704" s="110"/>
      <c r="L704" s="110"/>
      <c r="M704" s="110"/>
      <c r="N704" s="110"/>
      <c r="O704" s="110"/>
      <c r="P704" s="110"/>
      <c r="Q704" s="433">
        <v>30</v>
      </c>
      <c r="R704" s="111">
        <v>1613.7281733333336</v>
      </c>
      <c r="S704" s="110"/>
      <c r="T704" s="110"/>
      <c r="U704" s="110"/>
      <c r="V704" s="110"/>
      <c r="W704" s="433">
        <v>30</v>
      </c>
      <c r="X704" s="111">
        <v>1613.7281733333336</v>
      </c>
      <c r="Y704" s="110"/>
      <c r="Z704" s="110"/>
      <c r="AA704" s="110"/>
      <c r="AB704" s="110"/>
      <c r="AC704" s="433">
        <v>30</v>
      </c>
      <c r="AD704" s="111">
        <v>1613.7281733333336</v>
      </c>
      <c r="AE704" s="110"/>
      <c r="AF704" s="110"/>
      <c r="AG704" s="110"/>
      <c r="AH704" s="1048"/>
    </row>
    <row r="705" spans="1:34" ht="45" x14ac:dyDescent="0.25">
      <c r="A705" s="1047"/>
      <c r="B705" s="110" t="s">
        <v>4069</v>
      </c>
      <c r="C705" s="110"/>
      <c r="D705" s="433">
        <v>20</v>
      </c>
      <c r="E705" s="207" t="s">
        <v>3687</v>
      </c>
      <c r="F705" s="1178" t="s">
        <v>4353</v>
      </c>
      <c r="G705" s="1056" t="s">
        <v>4306</v>
      </c>
      <c r="H705" s="433" t="s">
        <v>3478</v>
      </c>
      <c r="I705" s="111">
        <v>71.61</v>
      </c>
      <c r="J705" s="111">
        <v>1432.2</v>
      </c>
      <c r="K705" s="110"/>
      <c r="L705" s="110"/>
      <c r="M705" s="110"/>
      <c r="N705" s="110"/>
      <c r="O705" s="110"/>
      <c r="P705" s="110"/>
      <c r="Q705" s="433">
        <v>10</v>
      </c>
      <c r="R705" s="111">
        <v>477.40000000000003</v>
      </c>
      <c r="S705" s="110"/>
      <c r="T705" s="110"/>
      <c r="U705" s="110"/>
      <c r="V705" s="110"/>
      <c r="W705" s="433">
        <v>5</v>
      </c>
      <c r="X705" s="111">
        <v>477.40000000000003</v>
      </c>
      <c r="Y705" s="110"/>
      <c r="Z705" s="110"/>
      <c r="AA705" s="110"/>
      <c r="AB705" s="110"/>
      <c r="AC705" s="433">
        <v>5</v>
      </c>
      <c r="AD705" s="111">
        <v>477.40000000000003</v>
      </c>
      <c r="AE705" s="110"/>
      <c r="AF705" s="110"/>
      <c r="AG705" s="110"/>
      <c r="AH705" s="1048"/>
    </row>
    <row r="706" spans="1:34" ht="45" x14ac:dyDescent="0.25">
      <c r="A706" s="1047"/>
      <c r="B706" s="110" t="s">
        <v>4070</v>
      </c>
      <c r="C706" s="110"/>
      <c r="D706" s="433">
        <v>60</v>
      </c>
      <c r="E706" s="207" t="s">
        <v>3687</v>
      </c>
      <c r="F706" s="1178" t="s">
        <v>4353</v>
      </c>
      <c r="G706" s="1056" t="s">
        <v>4306</v>
      </c>
      <c r="H706" s="433" t="s">
        <v>3478</v>
      </c>
      <c r="I706" s="111">
        <v>60.48</v>
      </c>
      <c r="J706" s="111">
        <v>3628.7999999999997</v>
      </c>
      <c r="K706" s="110"/>
      <c r="L706" s="110"/>
      <c r="M706" s="110"/>
      <c r="N706" s="110"/>
      <c r="O706" s="110"/>
      <c r="P706" s="110"/>
      <c r="Q706" s="433">
        <v>20</v>
      </c>
      <c r="R706" s="111">
        <v>1209.5999999999999</v>
      </c>
      <c r="S706" s="110"/>
      <c r="T706" s="110"/>
      <c r="U706" s="110"/>
      <c r="V706" s="110"/>
      <c r="W706" s="433">
        <v>20</v>
      </c>
      <c r="X706" s="111">
        <v>1209.5999999999999</v>
      </c>
      <c r="Y706" s="110"/>
      <c r="Z706" s="110"/>
      <c r="AA706" s="110"/>
      <c r="AB706" s="110"/>
      <c r="AC706" s="433">
        <v>20</v>
      </c>
      <c r="AD706" s="111">
        <v>1209.5999999999999</v>
      </c>
      <c r="AE706" s="110"/>
      <c r="AF706" s="110"/>
      <c r="AG706" s="110"/>
      <c r="AH706" s="1048"/>
    </row>
    <row r="707" spans="1:34" x14ac:dyDescent="0.25">
      <c r="A707" s="1058">
        <v>25901</v>
      </c>
      <c r="B707" s="187" t="s">
        <v>655</v>
      </c>
      <c r="C707" s="110"/>
      <c r="D707" s="433"/>
      <c r="E707" s="207"/>
      <c r="F707" s="433"/>
      <c r="G707" s="110"/>
      <c r="H707" s="433"/>
      <c r="I707" s="111"/>
      <c r="J707" s="111"/>
      <c r="K707" s="110"/>
      <c r="L707" s="110"/>
      <c r="M707" s="110"/>
      <c r="N707" s="110"/>
      <c r="O707" s="110"/>
      <c r="P707" s="110"/>
      <c r="Q707" s="433"/>
      <c r="R707" s="111"/>
      <c r="S707" s="110"/>
      <c r="T707" s="110"/>
      <c r="U707" s="110"/>
      <c r="V707" s="110"/>
      <c r="W707" s="433"/>
      <c r="X707" s="111"/>
      <c r="Y707" s="110"/>
      <c r="Z707" s="110"/>
      <c r="AA707" s="110"/>
      <c r="AB707" s="110"/>
      <c r="AC707" s="433"/>
      <c r="AD707" s="111"/>
      <c r="AE707" s="110"/>
      <c r="AF707" s="110"/>
      <c r="AG707" s="110"/>
      <c r="AH707" s="1048"/>
    </row>
    <row r="708" spans="1:34" ht="45" x14ac:dyDescent="0.25">
      <c r="A708" s="1047"/>
      <c r="B708" s="110" t="s">
        <v>4071</v>
      </c>
      <c r="C708" s="110"/>
      <c r="D708" s="433">
        <v>8</v>
      </c>
      <c r="E708" s="207" t="s">
        <v>2443</v>
      </c>
      <c r="F708" s="1178" t="s">
        <v>4353</v>
      </c>
      <c r="G708" s="1056" t="s">
        <v>4306</v>
      </c>
      <c r="H708" s="433" t="s">
        <v>3478</v>
      </c>
      <c r="I708" s="111">
        <v>3500</v>
      </c>
      <c r="J708" s="111">
        <v>28000</v>
      </c>
      <c r="K708" s="110"/>
      <c r="L708" s="110"/>
      <c r="M708" s="110"/>
      <c r="N708" s="110"/>
      <c r="O708" s="110"/>
      <c r="P708" s="110"/>
      <c r="Q708" s="433">
        <v>3</v>
      </c>
      <c r="R708" s="111">
        <v>9333.3333333333339</v>
      </c>
      <c r="S708" s="110"/>
      <c r="T708" s="110"/>
      <c r="U708" s="110"/>
      <c r="V708" s="110"/>
      <c r="W708" s="433">
        <v>3</v>
      </c>
      <c r="X708" s="111">
        <v>9333.3333333333339</v>
      </c>
      <c r="Y708" s="110"/>
      <c r="Z708" s="110"/>
      <c r="AA708" s="110"/>
      <c r="AB708" s="110"/>
      <c r="AC708" s="433">
        <v>2</v>
      </c>
      <c r="AD708" s="111">
        <v>9333.3333333333339</v>
      </c>
      <c r="AE708" s="110"/>
      <c r="AF708" s="110"/>
      <c r="AG708" s="110"/>
      <c r="AH708" s="1048"/>
    </row>
    <row r="709" spans="1:34" x14ac:dyDescent="0.25">
      <c r="A709" s="1058">
        <v>26101</v>
      </c>
      <c r="B709" s="187" t="s">
        <v>656</v>
      </c>
      <c r="C709" s="110"/>
      <c r="D709" s="433"/>
      <c r="E709" s="207"/>
      <c r="F709" s="433"/>
      <c r="G709" s="110"/>
      <c r="H709" s="433"/>
      <c r="I709" s="111"/>
      <c r="J709" s="111"/>
      <c r="K709" s="110"/>
      <c r="L709" s="110"/>
      <c r="M709" s="110"/>
      <c r="N709" s="110"/>
      <c r="O709" s="110"/>
      <c r="P709" s="110"/>
      <c r="Q709" s="433"/>
      <c r="R709" s="111"/>
      <c r="S709" s="110"/>
      <c r="T709" s="110"/>
      <c r="U709" s="110"/>
      <c r="V709" s="110"/>
      <c r="W709" s="433"/>
      <c r="X709" s="111"/>
      <c r="Y709" s="110"/>
      <c r="Z709" s="110"/>
      <c r="AA709" s="110"/>
      <c r="AB709" s="110"/>
      <c r="AC709" s="433"/>
      <c r="AD709" s="111"/>
      <c r="AE709" s="110"/>
      <c r="AF709" s="110"/>
      <c r="AG709" s="110"/>
      <c r="AH709" s="1048"/>
    </row>
    <row r="710" spans="1:34" ht="45" x14ac:dyDescent="0.25">
      <c r="A710" s="1047"/>
      <c r="B710" s="110" t="s">
        <v>1094</v>
      </c>
      <c r="C710" s="110"/>
      <c r="D710" s="433">
        <v>19939.830000000002</v>
      </c>
      <c r="E710" s="207" t="s">
        <v>2938</v>
      </c>
      <c r="F710" s="1178" t="s">
        <v>4353</v>
      </c>
      <c r="G710" s="1056" t="s">
        <v>4306</v>
      </c>
      <c r="H710" s="433" t="s">
        <v>3478</v>
      </c>
      <c r="I710" s="111">
        <v>24.722551120044653</v>
      </c>
      <c r="J710" s="111">
        <v>492963.46649999998</v>
      </c>
      <c r="K710" s="110"/>
      <c r="L710" s="110"/>
      <c r="M710" s="110"/>
      <c r="N710" s="110"/>
      <c r="O710" s="110"/>
      <c r="P710" s="110"/>
      <c r="Q710" s="433">
        <v>9940</v>
      </c>
      <c r="R710" s="111">
        <v>164321.15549999999</v>
      </c>
      <c r="S710" s="110"/>
      <c r="T710" s="110"/>
      <c r="U710" s="110"/>
      <c r="V710" s="110"/>
      <c r="W710" s="433">
        <v>5000</v>
      </c>
      <c r="X710" s="111">
        <v>164321.15549999999</v>
      </c>
      <c r="Y710" s="110"/>
      <c r="Z710" s="110"/>
      <c r="AA710" s="110"/>
      <c r="AB710" s="110"/>
      <c r="AC710" s="433">
        <v>5000</v>
      </c>
      <c r="AD710" s="111">
        <v>164321.15549999999</v>
      </c>
      <c r="AE710" s="110"/>
      <c r="AF710" s="110"/>
      <c r="AG710" s="110"/>
      <c r="AH710" s="1048"/>
    </row>
    <row r="711" spans="1:34" ht="45" x14ac:dyDescent="0.25">
      <c r="A711" s="1047"/>
      <c r="B711" s="110" t="s">
        <v>3299</v>
      </c>
      <c r="C711" s="110"/>
      <c r="D711" s="433">
        <v>3120</v>
      </c>
      <c r="E711" s="207" t="s">
        <v>2938</v>
      </c>
      <c r="F711" s="1178" t="s">
        <v>4353</v>
      </c>
      <c r="G711" s="1056" t="s">
        <v>4306</v>
      </c>
      <c r="H711" s="433" t="s">
        <v>3478</v>
      </c>
      <c r="I711" s="111">
        <v>21.55</v>
      </c>
      <c r="J711" s="111">
        <v>67236</v>
      </c>
      <c r="K711" s="110"/>
      <c r="L711" s="110"/>
      <c r="M711" s="110"/>
      <c r="N711" s="110"/>
      <c r="O711" s="110"/>
      <c r="P711" s="110"/>
      <c r="Q711" s="433">
        <v>1620</v>
      </c>
      <c r="R711" s="111">
        <v>22412</v>
      </c>
      <c r="S711" s="110"/>
      <c r="T711" s="110"/>
      <c r="U711" s="110"/>
      <c r="V711" s="110"/>
      <c r="W711" s="433">
        <v>750</v>
      </c>
      <c r="X711" s="111">
        <v>22412</v>
      </c>
      <c r="Y711" s="110"/>
      <c r="Z711" s="110"/>
      <c r="AA711" s="110"/>
      <c r="AB711" s="110"/>
      <c r="AC711" s="433">
        <v>750</v>
      </c>
      <c r="AD711" s="111">
        <v>22412</v>
      </c>
      <c r="AE711" s="110"/>
      <c r="AF711" s="110"/>
      <c r="AG711" s="110"/>
      <c r="AH711" s="1048"/>
    </row>
    <row r="712" spans="1:34" x14ac:dyDescent="0.25">
      <c r="A712" s="1058">
        <v>27106</v>
      </c>
      <c r="B712" s="187" t="s">
        <v>667</v>
      </c>
      <c r="C712" s="110"/>
      <c r="D712" s="433"/>
      <c r="E712" s="207"/>
      <c r="F712" s="433"/>
      <c r="G712" s="110"/>
      <c r="H712" s="433"/>
      <c r="I712" s="111"/>
      <c r="J712" s="111"/>
      <c r="K712" s="110"/>
      <c r="L712" s="110"/>
      <c r="M712" s="110"/>
      <c r="N712" s="110"/>
      <c r="O712" s="110"/>
      <c r="P712" s="110"/>
      <c r="Q712" s="433"/>
      <c r="R712" s="111"/>
      <c r="S712" s="110"/>
      <c r="T712" s="110"/>
      <c r="U712" s="110"/>
      <c r="V712" s="110"/>
      <c r="W712" s="433"/>
      <c r="X712" s="111"/>
      <c r="Y712" s="110"/>
      <c r="Z712" s="110"/>
      <c r="AA712" s="110"/>
      <c r="AB712" s="110"/>
      <c r="AC712" s="433"/>
      <c r="AD712" s="111"/>
      <c r="AE712" s="110"/>
      <c r="AF712" s="110"/>
      <c r="AG712" s="110"/>
      <c r="AH712" s="1048"/>
    </row>
    <row r="713" spans="1:34" ht="45" x14ac:dyDescent="0.25">
      <c r="A713" s="1047"/>
      <c r="B713" s="110" t="s">
        <v>4072</v>
      </c>
      <c r="C713" s="110"/>
      <c r="D713" s="433">
        <v>106</v>
      </c>
      <c r="E713" s="207" t="s">
        <v>1721</v>
      </c>
      <c r="F713" s="1178" t="s">
        <v>4353</v>
      </c>
      <c r="G713" s="1056" t="s">
        <v>4306</v>
      </c>
      <c r="H713" s="433" t="s">
        <v>3478</v>
      </c>
      <c r="I713" s="111">
        <v>491.43396226415092</v>
      </c>
      <c r="J713" s="111">
        <v>52092</v>
      </c>
      <c r="K713" s="110"/>
      <c r="L713" s="110"/>
      <c r="M713" s="110"/>
      <c r="N713" s="110"/>
      <c r="O713" s="110"/>
      <c r="P713" s="110"/>
      <c r="Q713" s="433">
        <v>66</v>
      </c>
      <c r="R713" s="111">
        <v>17364</v>
      </c>
      <c r="S713" s="110"/>
      <c r="T713" s="110"/>
      <c r="U713" s="110"/>
      <c r="V713" s="110"/>
      <c r="W713" s="433">
        <v>20</v>
      </c>
      <c r="X713" s="111">
        <v>17364</v>
      </c>
      <c r="Y713" s="110"/>
      <c r="Z713" s="110"/>
      <c r="AA713" s="110"/>
      <c r="AB713" s="110"/>
      <c r="AC713" s="433">
        <v>20</v>
      </c>
      <c r="AD713" s="111">
        <v>17364</v>
      </c>
      <c r="AE713" s="110"/>
      <c r="AF713" s="110"/>
      <c r="AG713" s="110"/>
      <c r="AH713" s="1048"/>
    </row>
    <row r="714" spans="1:34" ht="45" x14ac:dyDescent="0.25">
      <c r="A714" s="1047"/>
      <c r="B714" s="110" t="s">
        <v>4073</v>
      </c>
      <c r="C714" s="110"/>
      <c r="D714" s="433">
        <v>28</v>
      </c>
      <c r="E714" s="207" t="s">
        <v>1721</v>
      </c>
      <c r="F714" s="1178" t="s">
        <v>4353</v>
      </c>
      <c r="G714" s="1056" t="s">
        <v>4306</v>
      </c>
      <c r="H714" s="433" t="s">
        <v>3478</v>
      </c>
      <c r="I714" s="111">
        <v>985.99999999999989</v>
      </c>
      <c r="J714" s="111">
        <v>27607.999999999996</v>
      </c>
      <c r="K714" s="110"/>
      <c r="L714" s="110"/>
      <c r="M714" s="110"/>
      <c r="N714" s="110"/>
      <c r="O714" s="110"/>
      <c r="P714" s="110"/>
      <c r="Q714" s="433">
        <v>14</v>
      </c>
      <c r="R714" s="111">
        <v>9202.6666666666661</v>
      </c>
      <c r="S714" s="110"/>
      <c r="T714" s="110"/>
      <c r="U714" s="110"/>
      <c r="V714" s="110"/>
      <c r="W714" s="433">
        <v>7</v>
      </c>
      <c r="X714" s="111">
        <v>9202.6666666666661</v>
      </c>
      <c r="Y714" s="110"/>
      <c r="Z714" s="110"/>
      <c r="AA714" s="110"/>
      <c r="AB714" s="110"/>
      <c r="AC714" s="433">
        <v>7</v>
      </c>
      <c r="AD714" s="111">
        <v>9202.6666666666661</v>
      </c>
      <c r="AE714" s="110"/>
      <c r="AF714" s="110"/>
      <c r="AG714" s="110"/>
      <c r="AH714" s="1048"/>
    </row>
    <row r="715" spans="1:34" ht="45" x14ac:dyDescent="0.25">
      <c r="A715" s="1047"/>
      <c r="B715" s="110" t="s">
        <v>4074</v>
      </c>
      <c r="C715" s="110"/>
      <c r="D715" s="433">
        <v>20</v>
      </c>
      <c r="E715" s="207" t="s">
        <v>1721</v>
      </c>
      <c r="F715" s="1178" t="s">
        <v>4353</v>
      </c>
      <c r="G715" s="1056" t="s">
        <v>4306</v>
      </c>
      <c r="H715" s="433" t="s">
        <v>3478</v>
      </c>
      <c r="I715" s="111">
        <v>638</v>
      </c>
      <c r="J715" s="111">
        <v>12760</v>
      </c>
      <c r="K715" s="110"/>
      <c r="L715" s="110"/>
      <c r="M715" s="110"/>
      <c r="N715" s="110"/>
      <c r="O715" s="110"/>
      <c r="P715" s="110"/>
      <c r="Q715" s="433">
        <v>10</v>
      </c>
      <c r="R715" s="111">
        <v>4253.333333333333</v>
      </c>
      <c r="S715" s="110"/>
      <c r="T715" s="110"/>
      <c r="U715" s="110"/>
      <c r="V715" s="110"/>
      <c r="W715" s="433">
        <v>5</v>
      </c>
      <c r="X715" s="111">
        <v>4253.333333333333</v>
      </c>
      <c r="Y715" s="110"/>
      <c r="Z715" s="110"/>
      <c r="AA715" s="110"/>
      <c r="AB715" s="110"/>
      <c r="AC715" s="433">
        <v>5</v>
      </c>
      <c r="AD715" s="111">
        <v>4253.333333333333</v>
      </c>
      <c r="AE715" s="110"/>
      <c r="AF715" s="110"/>
      <c r="AG715" s="110"/>
      <c r="AH715" s="1048"/>
    </row>
    <row r="716" spans="1:34" ht="45" x14ac:dyDescent="0.25">
      <c r="A716" s="1047"/>
      <c r="B716" s="110" t="s">
        <v>4075</v>
      </c>
      <c r="C716" s="110"/>
      <c r="D716" s="433">
        <v>20</v>
      </c>
      <c r="E716" s="207" t="s">
        <v>1721</v>
      </c>
      <c r="F716" s="1178" t="s">
        <v>4353</v>
      </c>
      <c r="G716" s="1056" t="s">
        <v>4306</v>
      </c>
      <c r="H716" s="433" t="s">
        <v>3478</v>
      </c>
      <c r="I716" s="111">
        <v>522</v>
      </c>
      <c r="J716" s="111">
        <v>10440</v>
      </c>
      <c r="K716" s="110"/>
      <c r="L716" s="110"/>
      <c r="M716" s="110"/>
      <c r="N716" s="110"/>
      <c r="O716" s="110"/>
      <c r="P716" s="110"/>
      <c r="Q716" s="433">
        <v>10</v>
      </c>
      <c r="R716" s="111">
        <v>3480</v>
      </c>
      <c r="S716" s="110"/>
      <c r="T716" s="110"/>
      <c r="U716" s="110"/>
      <c r="V716" s="110"/>
      <c r="W716" s="433">
        <v>5</v>
      </c>
      <c r="X716" s="111">
        <v>3480</v>
      </c>
      <c r="Y716" s="110"/>
      <c r="Z716" s="110"/>
      <c r="AA716" s="110"/>
      <c r="AB716" s="110"/>
      <c r="AC716" s="433">
        <v>5</v>
      </c>
      <c r="AD716" s="111">
        <v>3480</v>
      </c>
      <c r="AE716" s="110"/>
      <c r="AF716" s="110"/>
      <c r="AG716" s="110"/>
      <c r="AH716" s="1048"/>
    </row>
    <row r="717" spans="1:34" ht="45" x14ac:dyDescent="0.25">
      <c r="A717" s="1047"/>
      <c r="B717" s="110" t="s">
        <v>4076</v>
      </c>
      <c r="C717" s="110"/>
      <c r="D717" s="433">
        <v>3</v>
      </c>
      <c r="E717" s="207" t="s">
        <v>1721</v>
      </c>
      <c r="F717" s="1178" t="s">
        <v>4353</v>
      </c>
      <c r="G717" s="1056" t="s">
        <v>4306</v>
      </c>
      <c r="H717" s="433" t="s">
        <v>3478</v>
      </c>
      <c r="I717" s="111">
        <v>609</v>
      </c>
      <c r="J717" s="111">
        <v>1827</v>
      </c>
      <c r="K717" s="110"/>
      <c r="L717" s="110"/>
      <c r="M717" s="110"/>
      <c r="N717" s="110"/>
      <c r="O717" s="110"/>
      <c r="P717" s="110"/>
      <c r="Q717" s="433">
        <v>1</v>
      </c>
      <c r="R717" s="111">
        <v>609</v>
      </c>
      <c r="S717" s="110"/>
      <c r="T717" s="110"/>
      <c r="U717" s="110"/>
      <c r="V717" s="110"/>
      <c r="W717" s="433">
        <v>1</v>
      </c>
      <c r="X717" s="111">
        <v>609</v>
      </c>
      <c r="Y717" s="110"/>
      <c r="Z717" s="110"/>
      <c r="AA717" s="110"/>
      <c r="AB717" s="110"/>
      <c r="AC717" s="433">
        <v>1</v>
      </c>
      <c r="AD717" s="111">
        <v>609</v>
      </c>
      <c r="AE717" s="110"/>
      <c r="AF717" s="110"/>
      <c r="AG717" s="110"/>
      <c r="AH717" s="1048"/>
    </row>
    <row r="718" spans="1:34" ht="30" x14ac:dyDescent="0.25">
      <c r="A718" s="1058">
        <v>27201</v>
      </c>
      <c r="B718" s="1059" t="s">
        <v>4077</v>
      </c>
      <c r="C718" s="110"/>
      <c r="D718" s="433"/>
      <c r="E718" s="207"/>
      <c r="F718" s="433"/>
      <c r="G718" s="110"/>
      <c r="H718" s="433"/>
      <c r="I718" s="111"/>
      <c r="J718" s="111"/>
      <c r="K718" s="110"/>
      <c r="L718" s="110"/>
      <c r="M718" s="110"/>
      <c r="N718" s="110"/>
      <c r="O718" s="110"/>
      <c r="P718" s="110"/>
      <c r="Q718" s="433"/>
      <c r="R718" s="111"/>
      <c r="S718" s="110"/>
      <c r="T718" s="110"/>
      <c r="U718" s="110"/>
      <c r="V718" s="110"/>
      <c r="W718" s="433"/>
      <c r="X718" s="111"/>
      <c r="Y718" s="110"/>
      <c r="Z718" s="110"/>
      <c r="AA718" s="110"/>
      <c r="AB718" s="110"/>
      <c r="AC718" s="433"/>
      <c r="AD718" s="111"/>
      <c r="AE718" s="110"/>
      <c r="AF718" s="110"/>
      <c r="AG718" s="110"/>
      <c r="AH718" s="1048"/>
    </row>
    <row r="719" spans="1:34" ht="45" x14ac:dyDescent="0.25">
      <c r="A719" s="1047"/>
      <c r="B719" s="110" t="s">
        <v>4078</v>
      </c>
      <c r="C719" s="110"/>
      <c r="D719" s="433">
        <v>5</v>
      </c>
      <c r="E719" s="207" t="s">
        <v>1767</v>
      </c>
      <c r="F719" s="1178" t="s">
        <v>4353</v>
      </c>
      <c r="G719" s="1056" t="s">
        <v>4306</v>
      </c>
      <c r="H719" s="433" t="s">
        <v>3478</v>
      </c>
      <c r="I719" s="111">
        <v>350</v>
      </c>
      <c r="J719" s="111">
        <v>1750</v>
      </c>
      <c r="K719" s="110"/>
      <c r="L719" s="110"/>
      <c r="M719" s="110"/>
      <c r="N719" s="110"/>
      <c r="O719" s="110"/>
      <c r="P719" s="110"/>
      <c r="Q719" s="433">
        <v>2</v>
      </c>
      <c r="R719" s="111">
        <v>583.33333333333337</v>
      </c>
      <c r="S719" s="110"/>
      <c r="T719" s="110"/>
      <c r="U719" s="110"/>
      <c r="V719" s="110"/>
      <c r="W719" s="433">
        <v>2</v>
      </c>
      <c r="X719" s="111">
        <v>583.33333333333337</v>
      </c>
      <c r="Y719" s="110"/>
      <c r="Z719" s="110"/>
      <c r="AA719" s="110"/>
      <c r="AB719" s="110"/>
      <c r="AC719" s="433">
        <v>1</v>
      </c>
      <c r="AD719" s="111">
        <v>583.33333333333337</v>
      </c>
      <c r="AE719" s="110"/>
      <c r="AF719" s="110"/>
      <c r="AG719" s="110"/>
      <c r="AH719" s="1048"/>
    </row>
    <row r="720" spans="1:34" x14ac:dyDescent="0.25">
      <c r="A720" s="1058">
        <v>27203</v>
      </c>
      <c r="B720" s="187" t="s">
        <v>676</v>
      </c>
      <c r="C720" s="110"/>
      <c r="D720" s="433"/>
      <c r="E720" s="207"/>
      <c r="F720" s="433"/>
      <c r="G720" s="110"/>
      <c r="H720" s="433"/>
      <c r="I720" s="111"/>
      <c r="J720" s="111"/>
      <c r="K720" s="110"/>
      <c r="L720" s="110"/>
      <c r="M720" s="110"/>
      <c r="N720" s="110"/>
      <c r="O720" s="110"/>
      <c r="P720" s="110"/>
      <c r="Q720" s="433"/>
      <c r="R720" s="111"/>
      <c r="S720" s="110"/>
      <c r="T720" s="110"/>
      <c r="U720" s="110"/>
      <c r="V720" s="110"/>
      <c r="W720" s="433"/>
      <c r="X720" s="111"/>
      <c r="Y720" s="110"/>
      <c r="Z720" s="110"/>
      <c r="AA720" s="110"/>
      <c r="AB720" s="110"/>
      <c r="AC720" s="433"/>
      <c r="AD720" s="111"/>
      <c r="AE720" s="110"/>
      <c r="AF720" s="110"/>
      <c r="AG720" s="110"/>
      <c r="AH720" s="1048"/>
    </row>
    <row r="721" spans="1:34" ht="45" x14ac:dyDescent="0.25">
      <c r="A721" s="1047"/>
      <c r="B721" s="110" t="s">
        <v>1299</v>
      </c>
      <c r="C721" s="110"/>
      <c r="D721" s="433">
        <v>7</v>
      </c>
      <c r="E721" s="207" t="s">
        <v>4079</v>
      </c>
      <c r="F721" s="1178" t="s">
        <v>4353</v>
      </c>
      <c r="G721" s="1056" t="s">
        <v>4306</v>
      </c>
      <c r="H721" s="433" t="s">
        <v>3478</v>
      </c>
      <c r="I721" s="111">
        <v>296.29000000000002</v>
      </c>
      <c r="J721" s="111">
        <v>2074.0300000000002</v>
      </c>
      <c r="K721" s="110"/>
      <c r="L721" s="110"/>
      <c r="M721" s="110"/>
      <c r="N721" s="110"/>
      <c r="O721" s="110"/>
      <c r="P721" s="110"/>
      <c r="Q721" s="433">
        <v>3</v>
      </c>
      <c r="R721" s="111">
        <v>691.34333333333336</v>
      </c>
      <c r="S721" s="110"/>
      <c r="T721" s="110"/>
      <c r="U721" s="110"/>
      <c r="V721" s="110"/>
      <c r="W721" s="433">
        <v>2</v>
      </c>
      <c r="X721" s="111">
        <v>691.34333333333336</v>
      </c>
      <c r="Y721" s="110"/>
      <c r="Z721" s="110"/>
      <c r="AA721" s="110"/>
      <c r="AB721" s="110"/>
      <c r="AC721" s="433">
        <v>2</v>
      </c>
      <c r="AD721" s="111">
        <v>691.34333333333336</v>
      </c>
      <c r="AE721" s="110"/>
      <c r="AF721" s="110"/>
      <c r="AG721" s="110"/>
      <c r="AH721" s="1048"/>
    </row>
    <row r="722" spans="1:34" x14ac:dyDescent="0.25">
      <c r="A722" s="1058">
        <v>27204</v>
      </c>
      <c r="B722" s="187" t="s">
        <v>4080</v>
      </c>
      <c r="C722" s="110"/>
      <c r="D722" s="433"/>
      <c r="E722" s="207"/>
      <c r="F722" s="433"/>
      <c r="G722" s="110"/>
      <c r="H722" s="433"/>
      <c r="I722" s="111"/>
      <c r="J722" s="111"/>
      <c r="K722" s="110"/>
      <c r="L722" s="110"/>
      <c r="M722" s="110"/>
      <c r="N722" s="110"/>
      <c r="O722" s="110"/>
      <c r="P722" s="110"/>
      <c r="Q722" s="433"/>
      <c r="R722" s="111"/>
      <c r="S722" s="110"/>
      <c r="T722" s="110"/>
      <c r="U722" s="110"/>
      <c r="V722" s="110"/>
      <c r="W722" s="433"/>
      <c r="X722" s="111"/>
      <c r="Y722" s="110"/>
      <c r="Z722" s="110"/>
      <c r="AA722" s="110"/>
      <c r="AB722" s="110"/>
      <c r="AC722" s="433"/>
      <c r="AD722" s="111"/>
      <c r="AE722" s="110"/>
      <c r="AF722" s="110"/>
      <c r="AG722" s="110"/>
      <c r="AH722" s="1048"/>
    </row>
    <row r="723" spans="1:34" ht="45" x14ac:dyDescent="0.25">
      <c r="A723" s="1047"/>
      <c r="B723" s="110" t="s">
        <v>4081</v>
      </c>
      <c r="C723" s="110"/>
      <c r="D723" s="433">
        <v>12</v>
      </c>
      <c r="E723" s="207" t="s">
        <v>1766</v>
      </c>
      <c r="F723" s="1178" t="s">
        <v>4353</v>
      </c>
      <c r="G723" s="1056" t="s">
        <v>4306</v>
      </c>
      <c r="H723" s="433" t="s">
        <v>3478</v>
      </c>
      <c r="I723" s="111">
        <v>33.19</v>
      </c>
      <c r="J723" s="111">
        <v>398.28</v>
      </c>
      <c r="K723" s="110"/>
      <c r="L723" s="110"/>
      <c r="M723" s="110"/>
      <c r="N723" s="110"/>
      <c r="O723" s="110"/>
      <c r="P723" s="110"/>
      <c r="Q723" s="433">
        <v>6</v>
      </c>
      <c r="R723" s="111">
        <v>132.76</v>
      </c>
      <c r="S723" s="110"/>
      <c r="T723" s="110"/>
      <c r="U723" s="110"/>
      <c r="V723" s="110"/>
      <c r="W723" s="433">
        <v>3</v>
      </c>
      <c r="X723" s="111">
        <v>132.76</v>
      </c>
      <c r="Y723" s="110"/>
      <c r="Z723" s="110"/>
      <c r="AA723" s="110"/>
      <c r="AB723" s="110"/>
      <c r="AC723" s="433">
        <v>3</v>
      </c>
      <c r="AD723" s="111">
        <v>132.76</v>
      </c>
      <c r="AE723" s="110"/>
      <c r="AF723" s="110"/>
      <c r="AG723" s="110"/>
      <c r="AH723" s="1048"/>
    </row>
    <row r="724" spans="1:34" ht="45" x14ac:dyDescent="0.25">
      <c r="A724" s="1047"/>
      <c r="B724" s="110" t="s">
        <v>4082</v>
      </c>
      <c r="C724" s="110"/>
      <c r="D724" s="433">
        <v>3</v>
      </c>
      <c r="E724" s="207" t="s">
        <v>1766</v>
      </c>
      <c r="F724" s="1178" t="s">
        <v>4353</v>
      </c>
      <c r="G724" s="1056" t="s">
        <v>4306</v>
      </c>
      <c r="H724" s="433" t="s">
        <v>3478</v>
      </c>
      <c r="I724" s="111">
        <v>102.31</v>
      </c>
      <c r="J724" s="111">
        <v>306.93</v>
      </c>
      <c r="K724" s="110"/>
      <c r="L724" s="110"/>
      <c r="M724" s="110"/>
      <c r="N724" s="110"/>
      <c r="O724" s="110"/>
      <c r="P724" s="110"/>
      <c r="Q724" s="433">
        <v>1</v>
      </c>
      <c r="R724" s="111">
        <v>102.31</v>
      </c>
      <c r="S724" s="110"/>
      <c r="T724" s="110"/>
      <c r="U724" s="110"/>
      <c r="V724" s="110"/>
      <c r="W724" s="433">
        <v>1</v>
      </c>
      <c r="X724" s="111">
        <v>102.31</v>
      </c>
      <c r="Y724" s="110"/>
      <c r="Z724" s="110"/>
      <c r="AA724" s="110"/>
      <c r="AB724" s="110"/>
      <c r="AC724" s="433">
        <v>1</v>
      </c>
      <c r="AD724" s="111">
        <v>102.31</v>
      </c>
      <c r="AE724" s="110"/>
      <c r="AF724" s="110"/>
      <c r="AG724" s="110"/>
      <c r="AH724" s="1048"/>
    </row>
    <row r="725" spans="1:34" ht="45" x14ac:dyDescent="0.25">
      <c r="A725" s="1047"/>
      <c r="B725" s="110" t="s">
        <v>4083</v>
      </c>
      <c r="C725" s="110"/>
      <c r="D725" s="433">
        <v>3</v>
      </c>
      <c r="E725" s="207" t="s">
        <v>1766</v>
      </c>
      <c r="F725" s="1178" t="s">
        <v>4353</v>
      </c>
      <c r="G725" s="1056" t="s">
        <v>4306</v>
      </c>
      <c r="H725" s="433" t="s">
        <v>3478</v>
      </c>
      <c r="I725" s="111">
        <v>110</v>
      </c>
      <c r="J725" s="111">
        <v>330</v>
      </c>
      <c r="K725" s="110"/>
      <c r="L725" s="110"/>
      <c r="M725" s="110"/>
      <c r="N725" s="110"/>
      <c r="O725" s="110"/>
      <c r="P725" s="110"/>
      <c r="Q725" s="433">
        <v>1</v>
      </c>
      <c r="R725" s="111">
        <v>110</v>
      </c>
      <c r="S725" s="110"/>
      <c r="T725" s="110"/>
      <c r="U725" s="110"/>
      <c r="V725" s="110"/>
      <c r="W725" s="433">
        <v>1</v>
      </c>
      <c r="X725" s="111">
        <v>110</v>
      </c>
      <c r="Y725" s="110"/>
      <c r="Z725" s="110"/>
      <c r="AA725" s="110"/>
      <c r="AB725" s="110"/>
      <c r="AC725" s="433">
        <v>1</v>
      </c>
      <c r="AD725" s="111">
        <v>110</v>
      </c>
      <c r="AE725" s="110"/>
      <c r="AF725" s="110"/>
      <c r="AG725" s="110"/>
      <c r="AH725" s="1048"/>
    </row>
    <row r="726" spans="1:34" x14ac:dyDescent="0.25">
      <c r="A726" s="1058">
        <v>27206</v>
      </c>
      <c r="B726" s="187" t="s">
        <v>4084</v>
      </c>
      <c r="C726" s="110"/>
      <c r="D726" s="433"/>
      <c r="E726" s="207"/>
      <c r="F726" s="433"/>
      <c r="G726" s="110"/>
      <c r="H726" s="433"/>
      <c r="I726" s="111"/>
      <c r="J726" s="111"/>
      <c r="K726" s="110"/>
      <c r="L726" s="110"/>
      <c r="M726" s="110"/>
      <c r="N726" s="110"/>
      <c r="O726" s="110"/>
      <c r="P726" s="110"/>
      <c r="Q726" s="433"/>
      <c r="R726" s="111"/>
      <c r="S726" s="110"/>
      <c r="T726" s="110"/>
      <c r="U726" s="110"/>
      <c r="V726" s="110"/>
      <c r="W726" s="433"/>
      <c r="X726" s="111"/>
      <c r="Y726" s="110"/>
      <c r="Z726" s="110"/>
      <c r="AA726" s="110"/>
      <c r="AB726" s="110"/>
      <c r="AC726" s="433"/>
      <c r="AD726" s="111"/>
      <c r="AE726" s="110"/>
      <c r="AF726" s="110"/>
      <c r="AG726" s="110"/>
      <c r="AH726" s="1048"/>
    </row>
    <row r="727" spans="1:34" ht="45" x14ac:dyDescent="0.25">
      <c r="A727" s="1047"/>
      <c r="B727" s="110" t="s">
        <v>4085</v>
      </c>
      <c r="C727" s="110"/>
      <c r="D727" s="433">
        <v>5</v>
      </c>
      <c r="E727" s="207" t="s">
        <v>1767</v>
      </c>
      <c r="F727" s="1178" t="s">
        <v>4353</v>
      </c>
      <c r="G727" s="1056" t="s">
        <v>4306</v>
      </c>
      <c r="H727" s="433" t="s">
        <v>3478</v>
      </c>
      <c r="I727" s="111">
        <v>500</v>
      </c>
      <c r="J727" s="111">
        <v>2500</v>
      </c>
      <c r="K727" s="110"/>
      <c r="L727" s="110"/>
      <c r="M727" s="110"/>
      <c r="N727" s="110"/>
      <c r="O727" s="110"/>
      <c r="P727" s="110"/>
      <c r="Q727" s="433">
        <v>2</v>
      </c>
      <c r="R727" s="111">
        <v>833.33333333333337</v>
      </c>
      <c r="S727" s="110"/>
      <c r="T727" s="110"/>
      <c r="U727" s="110"/>
      <c r="V727" s="110"/>
      <c r="W727" s="433">
        <v>2</v>
      </c>
      <c r="X727" s="111">
        <v>833.33333333333337</v>
      </c>
      <c r="Y727" s="110"/>
      <c r="Z727" s="110"/>
      <c r="AA727" s="110"/>
      <c r="AB727" s="110"/>
      <c r="AC727" s="433">
        <v>1</v>
      </c>
      <c r="AD727" s="111">
        <v>833.33333333333337</v>
      </c>
      <c r="AE727" s="110"/>
      <c r="AF727" s="110"/>
      <c r="AG727" s="110"/>
      <c r="AH727" s="1048"/>
    </row>
    <row r="728" spans="1:34" ht="45" x14ac:dyDescent="0.25">
      <c r="A728" s="1047"/>
      <c r="B728" s="110" t="s">
        <v>4086</v>
      </c>
      <c r="C728" s="110"/>
      <c r="D728" s="433">
        <v>6</v>
      </c>
      <c r="E728" s="207" t="s">
        <v>1767</v>
      </c>
      <c r="F728" s="1178" t="s">
        <v>4353</v>
      </c>
      <c r="G728" s="1056" t="s">
        <v>4306</v>
      </c>
      <c r="H728" s="433" t="s">
        <v>3478</v>
      </c>
      <c r="I728" s="111">
        <v>928</v>
      </c>
      <c r="J728" s="111">
        <v>5568</v>
      </c>
      <c r="K728" s="110"/>
      <c r="L728" s="110"/>
      <c r="M728" s="110"/>
      <c r="N728" s="110"/>
      <c r="O728" s="110"/>
      <c r="P728" s="110"/>
      <c r="Q728" s="433">
        <v>2</v>
      </c>
      <c r="R728" s="111">
        <v>1856</v>
      </c>
      <c r="S728" s="110"/>
      <c r="T728" s="110"/>
      <c r="U728" s="110"/>
      <c r="V728" s="110"/>
      <c r="W728" s="433">
        <v>2</v>
      </c>
      <c r="X728" s="111">
        <v>1856</v>
      </c>
      <c r="Y728" s="110"/>
      <c r="Z728" s="110"/>
      <c r="AA728" s="110"/>
      <c r="AB728" s="110"/>
      <c r="AC728" s="433">
        <v>2</v>
      </c>
      <c r="AD728" s="111">
        <v>1856</v>
      </c>
      <c r="AE728" s="110"/>
      <c r="AF728" s="110"/>
      <c r="AG728" s="110"/>
      <c r="AH728" s="1048"/>
    </row>
    <row r="729" spans="1:34" x14ac:dyDescent="0.25">
      <c r="A729" s="1058">
        <v>29103</v>
      </c>
      <c r="B729" s="187" t="s">
        <v>715</v>
      </c>
      <c r="C729" s="110"/>
      <c r="D729" s="433"/>
      <c r="E729" s="207"/>
      <c r="F729" s="433"/>
      <c r="G729" s="110"/>
      <c r="H729" s="433"/>
      <c r="I729" s="111"/>
      <c r="J729" s="111"/>
      <c r="K729" s="110"/>
      <c r="L729" s="110"/>
      <c r="M729" s="110"/>
      <c r="N729" s="110"/>
      <c r="O729" s="110"/>
      <c r="P729" s="110"/>
      <c r="Q729" s="433"/>
      <c r="R729" s="111"/>
      <c r="S729" s="110"/>
      <c r="T729" s="110"/>
      <c r="U729" s="110"/>
      <c r="V729" s="110"/>
      <c r="W729" s="433"/>
      <c r="X729" s="111"/>
      <c r="Y729" s="110"/>
      <c r="Z729" s="110"/>
      <c r="AA729" s="110"/>
      <c r="AB729" s="110"/>
      <c r="AC729" s="433"/>
      <c r="AD729" s="111"/>
      <c r="AE729" s="110"/>
      <c r="AF729" s="110"/>
      <c r="AG729" s="110"/>
      <c r="AH729" s="1048"/>
    </row>
    <row r="730" spans="1:34" ht="45" x14ac:dyDescent="0.25">
      <c r="A730" s="1047"/>
      <c r="B730" s="110" t="s">
        <v>4087</v>
      </c>
      <c r="C730" s="110"/>
      <c r="D730" s="433">
        <v>1</v>
      </c>
      <c r="E730" s="207" t="s">
        <v>1721</v>
      </c>
      <c r="F730" s="1178" t="s">
        <v>4353</v>
      </c>
      <c r="G730" s="1056" t="s">
        <v>4306</v>
      </c>
      <c r="H730" s="433" t="s">
        <v>3478</v>
      </c>
      <c r="I730" s="111">
        <v>1500</v>
      </c>
      <c r="J730" s="111">
        <v>1500</v>
      </c>
      <c r="K730" s="110"/>
      <c r="L730" s="110"/>
      <c r="M730" s="110"/>
      <c r="N730" s="110"/>
      <c r="O730" s="110"/>
      <c r="P730" s="110"/>
      <c r="Q730" s="433">
        <v>1</v>
      </c>
      <c r="R730" s="111">
        <v>500</v>
      </c>
      <c r="S730" s="110"/>
      <c r="T730" s="110"/>
      <c r="U730" s="110"/>
      <c r="V730" s="110"/>
      <c r="W730" s="433">
        <v>0</v>
      </c>
      <c r="X730" s="111">
        <v>500</v>
      </c>
      <c r="Y730" s="110"/>
      <c r="Z730" s="110"/>
      <c r="AA730" s="110"/>
      <c r="AB730" s="110"/>
      <c r="AC730" s="433">
        <v>0</v>
      </c>
      <c r="AD730" s="111">
        <v>500</v>
      </c>
      <c r="AE730" s="110"/>
      <c r="AF730" s="110"/>
      <c r="AG730" s="110"/>
      <c r="AH730" s="1048"/>
    </row>
    <row r="731" spans="1:34" ht="45" x14ac:dyDescent="0.25">
      <c r="A731" s="1047"/>
      <c r="B731" s="110" t="s">
        <v>4088</v>
      </c>
      <c r="C731" s="110"/>
      <c r="D731" s="433">
        <v>2</v>
      </c>
      <c r="E731" s="207" t="s">
        <v>1721</v>
      </c>
      <c r="F731" s="1178" t="s">
        <v>4353</v>
      </c>
      <c r="G731" s="1056" t="s">
        <v>4306</v>
      </c>
      <c r="H731" s="433" t="s">
        <v>3478</v>
      </c>
      <c r="I731" s="111">
        <v>1250</v>
      </c>
      <c r="J731" s="111">
        <v>2500</v>
      </c>
      <c r="K731" s="110"/>
      <c r="L731" s="110"/>
      <c r="M731" s="110"/>
      <c r="N731" s="110"/>
      <c r="O731" s="110"/>
      <c r="P731" s="110"/>
      <c r="Q731" s="433">
        <v>1</v>
      </c>
      <c r="R731" s="111">
        <v>833.33333333333337</v>
      </c>
      <c r="S731" s="110"/>
      <c r="T731" s="110"/>
      <c r="U731" s="110"/>
      <c r="V731" s="110"/>
      <c r="W731" s="433">
        <v>1</v>
      </c>
      <c r="X731" s="111">
        <v>833.33333333333337</v>
      </c>
      <c r="Y731" s="110"/>
      <c r="Z731" s="110"/>
      <c r="AA731" s="110"/>
      <c r="AB731" s="110"/>
      <c r="AC731" s="433">
        <v>0</v>
      </c>
      <c r="AD731" s="111">
        <v>833.33333333333337</v>
      </c>
      <c r="AE731" s="110"/>
      <c r="AF731" s="110"/>
      <c r="AG731" s="110"/>
      <c r="AH731" s="1048"/>
    </row>
    <row r="732" spans="1:34" ht="45" x14ac:dyDescent="0.25">
      <c r="A732" s="1047"/>
      <c r="B732" s="110" t="s">
        <v>4089</v>
      </c>
      <c r="C732" s="110"/>
      <c r="D732" s="433">
        <v>3</v>
      </c>
      <c r="E732" s="207" t="s">
        <v>1721</v>
      </c>
      <c r="F732" s="1178" t="s">
        <v>4353</v>
      </c>
      <c r="G732" s="1056" t="s">
        <v>4306</v>
      </c>
      <c r="H732" s="433" t="s">
        <v>3478</v>
      </c>
      <c r="I732" s="111">
        <v>560</v>
      </c>
      <c r="J732" s="111">
        <v>1680</v>
      </c>
      <c r="K732" s="110"/>
      <c r="L732" s="110"/>
      <c r="M732" s="110"/>
      <c r="N732" s="110"/>
      <c r="O732" s="110"/>
      <c r="P732" s="110"/>
      <c r="Q732" s="433">
        <v>1</v>
      </c>
      <c r="R732" s="111">
        <v>560</v>
      </c>
      <c r="S732" s="110"/>
      <c r="T732" s="110"/>
      <c r="U732" s="110"/>
      <c r="V732" s="110"/>
      <c r="W732" s="433">
        <v>1</v>
      </c>
      <c r="X732" s="111">
        <v>560</v>
      </c>
      <c r="Y732" s="110"/>
      <c r="Z732" s="110"/>
      <c r="AA732" s="110"/>
      <c r="AB732" s="110"/>
      <c r="AC732" s="433">
        <v>1</v>
      </c>
      <c r="AD732" s="111">
        <v>560</v>
      </c>
      <c r="AE732" s="110"/>
      <c r="AF732" s="110"/>
      <c r="AG732" s="110"/>
      <c r="AH732" s="1048"/>
    </row>
    <row r="733" spans="1:34" ht="45" x14ac:dyDescent="0.25">
      <c r="A733" s="1047"/>
      <c r="B733" s="110" t="s">
        <v>4090</v>
      </c>
      <c r="C733" s="110"/>
      <c r="D733" s="433">
        <v>2</v>
      </c>
      <c r="E733" s="207" t="s">
        <v>1721</v>
      </c>
      <c r="F733" s="1178" t="s">
        <v>4353</v>
      </c>
      <c r="G733" s="1056" t="s">
        <v>4306</v>
      </c>
      <c r="H733" s="433" t="s">
        <v>3478</v>
      </c>
      <c r="I733" s="111">
        <v>700</v>
      </c>
      <c r="J733" s="111">
        <v>1400</v>
      </c>
      <c r="K733" s="110"/>
      <c r="L733" s="110"/>
      <c r="M733" s="110"/>
      <c r="N733" s="110"/>
      <c r="O733" s="110"/>
      <c r="P733" s="110"/>
      <c r="Q733" s="433">
        <v>1</v>
      </c>
      <c r="R733" s="111">
        <v>466.66666666666669</v>
      </c>
      <c r="S733" s="110"/>
      <c r="T733" s="110"/>
      <c r="U733" s="110"/>
      <c r="V733" s="110"/>
      <c r="W733" s="433">
        <v>1</v>
      </c>
      <c r="X733" s="111">
        <v>466.66666666666669</v>
      </c>
      <c r="Y733" s="110"/>
      <c r="Z733" s="110"/>
      <c r="AA733" s="110"/>
      <c r="AB733" s="110"/>
      <c r="AC733" s="433">
        <v>0</v>
      </c>
      <c r="AD733" s="111">
        <v>466.66666666666669</v>
      </c>
      <c r="AE733" s="110"/>
      <c r="AF733" s="110"/>
      <c r="AG733" s="110"/>
      <c r="AH733" s="1048"/>
    </row>
    <row r="734" spans="1:34" ht="45" x14ac:dyDescent="0.25">
      <c r="A734" s="1047"/>
      <c r="B734" s="1057" t="s">
        <v>1097</v>
      </c>
      <c r="C734" s="110"/>
      <c r="D734" s="433">
        <v>1</v>
      </c>
      <c r="E734" s="207" t="s">
        <v>1721</v>
      </c>
      <c r="F734" s="1178" t="s">
        <v>4353</v>
      </c>
      <c r="G734" s="1056" t="s">
        <v>4306</v>
      </c>
      <c r="H734" s="433" t="s">
        <v>3478</v>
      </c>
      <c r="I734" s="111">
        <v>720</v>
      </c>
      <c r="J734" s="111">
        <v>720</v>
      </c>
      <c r="K734" s="110"/>
      <c r="L734" s="110"/>
      <c r="M734" s="110"/>
      <c r="N734" s="110"/>
      <c r="O734" s="110"/>
      <c r="P734" s="110"/>
      <c r="Q734" s="433">
        <v>1</v>
      </c>
      <c r="R734" s="111">
        <v>240</v>
      </c>
      <c r="S734" s="110"/>
      <c r="T734" s="110"/>
      <c r="U734" s="110"/>
      <c r="V734" s="110"/>
      <c r="W734" s="433">
        <v>0</v>
      </c>
      <c r="X734" s="111">
        <v>240</v>
      </c>
      <c r="Y734" s="110"/>
      <c r="Z734" s="110"/>
      <c r="AA734" s="110"/>
      <c r="AB734" s="110"/>
      <c r="AC734" s="433">
        <v>0</v>
      </c>
      <c r="AD734" s="111">
        <v>240</v>
      </c>
      <c r="AE734" s="110"/>
      <c r="AF734" s="110"/>
      <c r="AG734" s="110"/>
      <c r="AH734" s="1048"/>
    </row>
    <row r="735" spans="1:34" x14ac:dyDescent="0.25">
      <c r="A735" s="1058">
        <v>29202</v>
      </c>
      <c r="B735" s="187" t="s">
        <v>736</v>
      </c>
      <c r="C735" s="110"/>
      <c r="D735" s="433"/>
      <c r="E735" s="207"/>
      <c r="F735" s="433"/>
      <c r="G735" s="110"/>
      <c r="H735" s="433"/>
      <c r="I735" s="111"/>
      <c r="J735" s="111"/>
      <c r="K735" s="110"/>
      <c r="L735" s="110"/>
      <c r="M735" s="110"/>
      <c r="N735" s="110"/>
      <c r="O735" s="110"/>
      <c r="P735" s="110"/>
      <c r="Q735" s="433"/>
      <c r="R735" s="111"/>
      <c r="S735" s="110"/>
      <c r="T735" s="110"/>
      <c r="U735" s="110"/>
      <c r="V735" s="110"/>
      <c r="W735" s="433"/>
      <c r="X735" s="111"/>
      <c r="Y735" s="110"/>
      <c r="Z735" s="110"/>
      <c r="AA735" s="110"/>
      <c r="AB735" s="110"/>
      <c r="AC735" s="433"/>
      <c r="AD735" s="111"/>
      <c r="AE735" s="110"/>
      <c r="AF735" s="110"/>
      <c r="AG735" s="110"/>
      <c r="AH735" s="1048"/>
    </row>
    <row r="736" spans="1:34" ht="45" x14ac:dyDescent="0.25">
      <c r="A736" s="1047"/>
      <c r="B736" s="110" t="s">
        <v>4091</v>
      </c>
      <c r="C736" s="110"/>
      <c r="D736" s="433">
        <v>20</v>
      </c>
      <c r="E736" s="207" t="s">
        <v>1767</v>
      </c>
      <c r="F736" s="1178" t="s">
        <v>4353</v>
      </c>
      <c r="G736" s="1056" t="s">
        <v>4306</v>
      </c>
      <c r="H736" s="433" t="s">
        <v>3478</v>
      </c>
      <c r="I736" s="111">
        <v>181.5</v>
      </c>
      <c r="J736" s="111">
        <v>3630</v>
      </c>
      <c r="K736" s="110"/>
      <c r="L736" s="110"/>
      <c r="M736" s="110"/>
      <c r="N736" s="110"/>
      <c r="O736" s="110"/>
      <c r="P736" s="110"/>
      <c r="Q736" s="433">
        <v>10</v>
      </c>
      <c r="R736" s="111">
        <v>1210</v>
      </c>
      <c r="S736" s="110"/>
      <c r="T736" s="110"/>
      <c r="U736" s="110"/>
      <c r="V736" s="110"/>
      <c r="W736" s="433">
        <v>5</v>
      </c>
      <c r="X736" s="111">
        <v>1210</v>
      </c>
      <c r="Y736" s="110"/>
      <c r="Z736" s="110"/>
      <c r="AA736" s="110"/>
      <c r="AB736" s="110"/>
      <c r="AC736" s="433">
        <v>5</v>
      </c>
      <c r="AD736" s="111">
        <v>1210</v>
      </c>
      <c r="AE736" s="110"/>
      <c r="AF736" s="110"/>
      <c r="AG736" s="110"/>
      <c r="AH736" s="1048"/>
    </row>
    <row r="737" spans="1:34" ht="45" x14ac:dyDescent="0.25">
      <c r="A737" s="1047"/>
      <c r="B737" s="110" t="s">
        <v>4092</v>
      </c>
      <c r="C737" s="110"/>
      <c r="D737" s="433">
        <v>2</v>
      </c>
      <c r="E737" s="207" t="s">
        <v>2992</v>
      </c>
      <c r="F737" s="1178" t="s">
        <v>4353</v>
      </c>
      <c r="G737" s="1056" t="s">
        <v>4306</v>
      </c>
      <c r="H737" s="433" t="s">
        <v>3478</v>
      </c>
      <c r="I737" s="111">
        <v>1005.3</v>
      </c>
      <c r="J737" s="111">
        <v>2010.6</v>
      </c>
      <c r="K737" s="110"/>
      <c r="L737" s="110"/>
      <c r="M737" s="110"/>
      <c r="N737" s="110"/>
      <c r="O737" s="110"/>
      <c r="P737" s="110"/>
      <c r="Q737" s="433">
        <v>1</v>
      </c>
      <c r="R737" s="111">
        <v>670.19999999999993</v>
      </c>
      <c r="S737" s="110"/>
      <c r="T737" s="110"/>
      <c r="U737" s="110"/>
      <c r="V737" s="110"/>
      <c r="W737" s="433">
        <v>1</v>
      </c>
      <c r="X737" s="111">
        <v>670.19999999999993</v>
      </c>
      <c r="Y737" s="110"/>
      <c r="Z737" s="110"/>
      <c r="AA737" s="110"/>
      <c r="AB737" s="110"/>
      <c r="AC737" s="433">
        <v>0</v>
      </c>
      <c r="AD737" s="111">
        <v>670.19999999999993</v>
      </c>
      <c r="AE737" s="110"/>
      <c r="AF737" s="110"/>
      <c r="AG737" s="110"/>
      <c r="AH737" s="1048"/>
    </row>
    <row r="738" spans="1:34" ht="45" x14ac:dyDescent="0.25">
      <c r="A738" s="1047"/>
      <c r="B738" s="110" t="s">
        <v>4093</v>
      </c>
      <c r="C738" s="110"/>
      <c r="D738" s="433">
        <v>36</v>
      </c>
      <c r="E738" s="207" t="s">
        <v>1767</v>
      </c>
      <c r="F738" s="1178" t="s">
        <v>4353</v>
      </c>
      <c r="G738" s="1056" t="s">
        <v>4306</v>
      </c>
      <c r="H738" s="433" t="s">
        <v>3478</v>
      </c>
      <c r="I738" s="111">
        <v>150</v>
      </c>
      <c r="J738" s="111">
        <v>5400</v>
      </c>
      <c r="K738" s="110"/>
      <c r="L738" s="110"/>
      <c r="M738" s="110"/>
      <c r="N738" s="110"/>
      <c r="O738" s="110"/>
      <c r="P738" s="110"/>
      <c r="Q738" s="433">
        <v>20</v>
      </c>
      <c r="R738" s="111">
        <v>1800</v>
      </c>
      <c r="S738" s="110"/>
      <c r="T738" s="110"/>
      <c r="U738" s="110"/>
      <c r="V738" s="110"/>
      <c r="W738" s="433">
        <v>9</v>
      </c>
      <c r="X738" s="111">
        <v>1800</v>
      </c>
      <c r="Y738" s="110"/>
      <c r="Z738" s="110"/>
      <c r="AA738" s="110"/>
      <c r="AB738" s="110"/>
      <c r="AC738" s="433">
        <v>7</v>
      </c>
      <c r="AD738" s="111">
        <v>1800</v>
      </c>
      <c r="AE738" s="110"/>
      <c r="AF738" s="110"/>
      <c r="AG738" s="110"/>
      <c r="AH738" s="1048"/>
    </row>
    <row r="739" spans="1:34" ht="45" x14ac:dyDescent="0.25">
      <c r="A739" s="1047"/>
      <c r="B739" s="110" t="s">
        <v>4094</v>
      </c>
      <c r="C739" s="110"/>
      <c r="D739" s="433">
        <v>12</v>
      </c>
      <c r="E739" s="207" t="s">
        <v>1767</v>
      </c>
      <c r="F739" s="1178" t="s">
        <v>4353</v>
      </c>
      <c r="G739" s="1056" t="s">
        <v>4306</v>
      </c>
      <c r="H739" s="433" t="s">
        <v>3478</v>
      </c>
      <c r="I739" s="111">
        <v>250</v>
      </c>
      <c r="J739" s="111">
        <v>3000</v>
      </c>
      <c r="K739" s="110"/>
      <c r="L739" s="110"/>
      <c r="M739" s="110"/>
      <c r="N739" s="110"/>
      <c r="O739" s="110"/>
      <c r="P739" s="110"/>
      <c r="Q739" s="433">
        <v>6</v>
      </c>
      <c r="R739" s="111">
        <v>1000</v>
      </c>
      <c r="S739" s="110"/>
      <c r="T739" s="110"/>
      <c r="U739" s="110"/>
      <c r="V739" s="110"/>
      <c r="W739" s="433">
        <v>3</v>
      </c>
      <c r="X739" s="111">
        <v>1000</v>
      </c>
      <c r="Y739" s="110"/>
      <c r="Z739" s="110"/>
      <c r="AA739" s="110"/>
      <c r="AB739" s="110"/>
      <c r="AC739" s="433">
        <v>3</v>
      </c>
      <c r="AD739" s="111">
        <v>1000</v>
      </c>
      <c r="AE739" s="110"/>
      <c r="AF739" s="110"/>
      <c r="AG739" s="110"/>
      <c r="AH739" s="1048"/>
    </row>
    <row r="740" spans="1:34" ht="45" x14ac:dyDescent="0.25">
      <c r="A740" s="1047"/>
      <c r="B740" s="110" t="s">
        <v>4095</v>
      </c>
      <c r="C740" s="110"/>
      <c r="D740" s="433">
        <v>24</v>
      </c>
      <c r="E740" s="207" t="s">
        <v>1767</v>
      </c>
      <c r="F740" s="1178" t="s">
        <v>4353</v>
      </c>
      <c r="G740" s="1056" t="s">
        <v>4306</v>
      </c>
      <c r="H740" s="433" t="s">
        <v>3478</v>
      </c>
      <c r="I740" s="111">
        <v>180</v>
      </c>
      <c r="J740" s="111">
        <v>4320</v>
      </c>
      <c r="K740" s="110"/>
      <c r="L740" s="110"/>
      <c r="M740" s="110"/>
      <c r="N740" s="110"/>
      <c r="O740" s="110"/>
      <c r="P740" s="110"/>
      <c r="Q740" s="433">
        <v>12</v>
      </c>
      <c r="R740" s="111">
        <v>1440</v>
      </c>
      <c r="S740" s="110"/>
      <c r="T740" s="110"/>
      <c r="U740" s="110"/>
      <c r="V740" s="110"/>
      <c r="W740" s="433">
        <v>6</v>
      </c>
      <c r="X740" s="111">
        <v>1440</v>
      </c>
      <c r="Y740" s="110"/>
      <c r="Z740" s="110"/>
      <c r="AA740" s="110"/>
      <c r="AB740" s="110"/>
      <c r="AC740" s="433">
        <v>6</v>
      </c>
      <c r="AD740" s="111">
        <v>1440</v>
      </c>
      <c r="AE740" s="110"/>
      <c r="AF740" s="110"/>
      <c r="AG740" s="110"/>
      <c r="AH740" s="1048"/>
    </row>
    <row r="741" spans="1:34" x14ac:dyDescent="0.25">
      <c r="A741" s="1058">
        <v>29301</v>
      </c>
      <c r="B741" s="187" t="s">
        <v>4096</v>
      </c>
      <c r="C741" s="110"/>
      <c r="D741" s="433"/>
      <c r="E741" s="207"/>
      <c r="F741" s="433"/>
      <c r="G741" s="110"/>
      <c r="H741" s="433"/>
      <c r="I741" s="111"/>
      <c r="J741" s="111"/>
      <c r="K741" s="110"/>
      <c r="L741" s="110"/>
      <c r="M741" s="110"/>
      <c r="N741" s="110"/>
      <c r="O741" s="110"/>
      <c r="P741" s="110"/>
      <c r="Q741" s="433"/>
      <c r="R741" s="111"/>
      <c r="S741" s="110"/>
      <c r="T741" s="110"/>
      <c r="U741" s="110"/>
      <c r="V741" s="110"/>
      <c r="W741" s="433"/>
      <c r="X741" s="111"/>
      <c r="Y741" s="110"/>
      <c r="Z741" s="110"/>
      <c r="AA741" s="110"/>
      <c r="AB741" s="110"/>
      <c r="AC741" s="433"/>
      <c r="AD741" s="111"/>
      <c r="AE741" s="110"/>
      <c r="AF741" s="110"/>
      <c r="AG741" s="110"/>
      <c r="AH741" s="1048"/>
    </row>
    <row r="742" spans="1:34" ht="45" x14ac:dyDescent="0.25">
      <c r="A742" s="1047"/>
      <c r="B742" s="110" t="s">
        <v>4097</v>
      </c>
      <c r="C742" s="110"/>
      <c r="D742" s="433">
        <v>300</v>
      </c>
      <c r="E742" s="207" t="s">
        <v>1721</v>
      </c>
      <c r="F742" s="1178" t="s">
        <v>4353</v>
      </c>
      <c r="G742" s="1056" t="s">
        <v>4306</v>
      </c>
      <c r="H742" s="433" t="s">
        <v>3478</v>
      </c>
      <c r="I742" s="111">
        <v>577.76893333333328</v>
      </c>
      <c r="J742" s="111">
        <v>173330.68</v>
      </c>
      <c r="K742" s="110"/>
      <c r="L742" s="110"/>
      <c r="M742" s="110"/>
      <c r="N742" s="110"/>
      <c r="O742" s="110"/>
      <c r="P742" s="110"/>
      <c r="Q742" s="433">
        <v>150</v>
      </c>
      <c r="R742" s="111">
        <v>57776.893333333333</v>
      </c>
      <c r="S742" s="110"/>
      <c r="T742" s="110"/>
      <c r="U742" s="110"/>
      <c r="V742" s="110"/>
      <c r="W742" s="433">
        <v>75</v>
      </c>
      <c r="X742" s="111">
        <v>57776.893333333333</v>
      </c>
      <c r="Y742" s="110"/>
      <c r="Z742" s="110"/>
      <c r="AA742" s="110"/>
      <c r="AB742" s="110"/>
      <c r="AC742" s="433">
        <v>75</v>
      </c>
      <c r="AD742" s="111">
        <v>57776.893333333333</v>
      </c>
      <c r="AE742" s="110"/>
      <c r="AF742" s="110"/>
      <c r="AG742" s="110"/>
      <c r="AH742" s="1048"/>
    </row>
    <row r="743" spans="1:34" x14ac:dyDescent="0.25">
      <c r="A743" s="1058">
        <v>29403</v>
      </c>
      <c r="B743" s="187" t="s">
        <v>4098</v>
      </c>
      <c r="C743" s="110"/>
      <c r="D743" s="433"/>
      <c r="E743" s="207"/>
      <c r="F743" s="433"/>
      <c r="G743" s="110"/>
      <c r="H743" s="433"/>
      <c r="I743" s="111"/>
      <c r="J743" s="111"/>
      <c r="K743" s="110"/>
      <c r="L743" s="110"/>
      <c r="M743" s="110"/>
      <c r="N743" s="110"/>
      <c r="O743" s="110"/>
      <c r="P743" s="110"/>
      <c r="Q743" s="433"/>
      <c r="R743" s="111"/>
      <c r="S743" s="110"/>
      <c r="T743" s="110"/>
      <c r="U743" s="110"/>
      <c r="V743" s="110"/>
      <c r="W743" s="433"/>
      <c r="X743" s="111"/>
      <c r="Y743" s="110"/>
      <c r="Z743" s="110"/>
      <c r="AA743" s="110"/>
      <c r="AB743" s="110"/>
      <c r="AC743" s="433"/>
      <c r="AD743" s="111"/>
      <c r="AE743" s="110"/>
      <c r="AF743" s="110"/>
      <c r="AG743" s="110"/>
      <c r="AH743" s="1048"/>
    </row>
    <row r="744" spans="1:34" ht="45" x14ac:dyDescent="0.25">
      <c r="A744" s="1047"/>
      <c r="B744" s="110" t="s">
        <v>4099</v>
      </c>
      <c r="C744" s="110"/>
      <c r="D744" s="433">
        <v>6</v>
      </c>
      <c r="E744" s="207" t="s">
        <v>1721</v>
      </c>
      <c r="F744" s="1178" t="s">
        <v>4353</v>
      </c>
      <c r="G744" s="1056" t="s">
        <v>4306</v>
      </c>
      <c r="H744" s="433" t="s">
        <v>3478</v>
      </c>
      <c r="I744" s="111">
        <v>237.17999999999998</v>
      </c>
      <c r="J744" s="111">
        <v>1423.08</v>
      </c>
      <c r="K744" s="110"/>
      <c r="L744" s="110"/>
      <c r="M744" s="110"/>
      <c r="N744" s="110"/>
      <c r="O744" s="110"/>
      <c r="P744" s="110"/>
      <c r="Q744" s="433">
        <v>2</v>
      </c>
      <c r="R744" s="111">
        <v>474.35999999999996</v>
      </c>
      <c r="S744" s="110"/>
      <c r="T744" s="110"/>
      <c r="U744" s="110"/>
      <c r="V744" s="110"/>
      <c r="W744" s="433">
        <v>2</v>
      </c>
      <c r="X744" s="111">
        <v>474.35999999999996</v>
      </c>
      <c r="Y744" s="110"/>
      <c r="Z744" s="110"/>
      <c r="AA744" s="110"/>
      <c r="AB744" s="110"/>
      <c r="AC744" s="433">
        <v>2</v>
      </c>
      <c r="AD744" s="111">
        <v>474.35999999999996</v>
      </c>
      <c r="AE744" s="110"/>
      <c r="AF744" s="110"/>
      <c r="AG744" s="110"/>
      <c r="AH744" s="1048"/>
    </row>
    <row r="745" spans="1:34" ht="45" x14ac:dyDescent="0.25">
      <c r="A745" s="1047"/>
      <c r="B745" s="110" t="s">
        <v>1494</v>
      </c>
      <c r="C745" s="110"/>
      <c r="D745" s="433">
        <v>2</v>
      </c>
      <c r="E745" s="207" t="s">
        <v>1721</v>
      </c>
      <c r="F745" s="1178" t="s">
        <v>4353</v>
      </c>
      <c r="G745" s="1056" t="s">
        <v>4306</v>
      </c>
      <c r="H745" s="433" t="s">
        <v>3478</v>
      </c>
      <c r="I745" s="111">
        <v>332</v>
      </c>
      <c r="J745" s="111">
        <v>664</v>
      </c>
      <c r="K745" s="110"/>
      <c r="L745" s="110"/>
      <c r="M745" s="110"/>
      <c r="N745" s="110"/>
      <c r="O745" s="110"/>
      <c r="P745" s="110"/>
      <c r="Q745" s="433">
        <v>1</v>
      </c>
      <c r="R745" s="111">
        <v>221.33333333333334</v>
      </c>
      <c r="S745" s="110"/>
      <c r="T745" s="110"/>
      <c r="U745" s="110"/>
      <c r="V745" s="110"/>
      <c r="W745" s="433">
        <v>1</v>
      </c>
      <c r="X745" s="111">
        <v>221.33333333333334</v>
      </c>
      <c r="Y745" s="110"/>
      <c r="Z745" s="110"/>
      <c r="AA745" s="110"/>
      <c r="AB745" s="110"/>
      <c r="AC745" s="433">
        <v>0</v>
      </c>
      <c r="AD745" s="111">
        <v>221.33333333333334</v>
      </c>
      <c r="AE745" s="110"/>
      <c r="AF745" s="110"/>
      <c r="AG745" s="110"/>
      <c r="AH745" s="1048"/>
    </row>
    <row r="746" spans="1:34" ht="45" x14ac:dyDescent="0.25">
      <c r="A746" s="1047"/>
      <c r="B746" s="110" t="s">
        <v>4100</v>
      </c>
      <c r="C746" s="110"/>
      <c r="D746" s="433">
        <v>1</v>
      </c>
      <c r="E746" s="207" t="s">
        <v>1721</v>
      </c>
      <c r="F746" s="1178" t="s">
        <v>4353</v>
      </c>
      <c r="G746" s="1056" t="s">
        <v>4306</v>
      </c>
      <c r="H746" s="433" t="s">
        <v>3478</v>
      </c>
      <c r="I746" s="111">
        <v>3395</v>
      </c>
      <c r="J746" s="111">
        <v>3395</v>
      </c>
      <c r="K746" s="110"/>
      <c r="L746" s="110"/>
      <c r="M746" s="110"/>
      <c r="N746" s="110"/>
      <c r="O746" s="110"/>
      <c r="P746" s="110"/>
      <c r="Q746" s="433">
        <v>1</v>
      </c>
      <c r="R746" s="111">
        <v>1131.6666666666667</v>
      </c>
      <c r="S746" s="110"/>
      <c r="T746" s="110"/>
      <c r="U746" s="110"/>
      <c r="V746" s="110"/>
      <c r="W746" s="433">
        <v>0</v>
      </c>
      <c r="X746" s="111">
        <v>1131.6666666666667</v>
      </c>
      <c r="Y746" s="110"/>
      <c r="Z746" s="110"/>
      <c r="AA746" s="110"/>
      <c r="AB746" s="110"/>
      <c r="AC746" s="433">
        <v>0</v>
      </c>
      <c r="AD746" s="111">
        <v>1131.6666666666667</v>
      </c>
      <c r="AE746" s="110"/>
      <c r="AF746" s="110"/>
      <c r="AG746" s="110"/>
      <c r="AH746" s="1048"/>
    </row>
    <row r="747" spans="1:34" ht="45" x14ac:dyDescent="0.25">
      <c r="A747" s="1047"/>
      <c r="B747" s="110" t="s">
        <v>1348</v>
      </c>
      <c r="C747" s="110"/>
      <c r="D747" s="433">
        <v>1</v>
      </c>
      <c r="E747" s="207" t="s">
        <v>1721</v>
      </c>
      <c r="F747" s="1178" t="s">
        <v>4353</v>
      </c>
      <c r="G747" s="1056" t="s">
        <v>4306</v>
      </c>
      <c r="H747" s="433" t="s">
        <v>3478</v>
      </c>
      <c r="I747" s="111">
        <v>558</v>
      </c>
      <c r="J747" s="111">
        <v>558</v>
      </c>
      <c r="K747" s="110"/>
      <c r="L747" s="110"/>
      <c r="M747" s="110"/>
      <c r="N747" s="110"/>
      <c r="O747" s="110"/>
      <c r="P747" s="110"/>
      <c r="Q747" s="433">
        <v>1</v>
      </c>
      <c r="R747" s="111">
        <v>186</v>
      </c>
      <c r="S747" s="110"/>
      <c r="T747" s="110"/>
      <c r="U747" s="110"/>
      <c r="V747" s="110"/>
      <c r="W747" s="433">
        <v>0</v>
      </c>
      <c r="X747" s="111">
        <v>186</v>
      </c>
      <c r="Y747" s="110"/>
      <c r="Z747" s="110"/>
      <c r="AA747" s="110"/>
      <c r="AB747" s="110"/>
      <c r="AC747" s="433">
        <v>0</v>
      </c>
      <c r="AD747" s="111">
        <v>186</v>
      </c>
      <c r="AE747" s="110"/>
      <c r="AF747" s="110"/>
      <c r="AG747" s="110"/>
      <c r="AH747" s="1048"/>
    </row>
    <row r="748" spans="1:34" x14ac:dyDescent="0.25">
      <c r="A748" s="1047"/>
      <c r="B748" s="110"/>
      <c r="C748" s="110"/>
      <c r="D748" s="433"/>
      <c r="E748" s="207"/>
      <c r="F748" s="433"/>
      <c r="G748" s="110"/>
      <c r="H748" s="433"/>
      <c r="I748" s="111"/>
      <c r="J748" s="111"/>
      <c r="K748" s="110"/>
      <c r="L748" s="110"/>
      <c r="M748" s="110"/>
      <c r="N748" s="110"/>
      <c r="O748" s="110"/>
      <c r="P748" s="110"/>
      <c r="Q748" s="433"/>
      <c r="R748" s="111"/>
      <c r="S748" s="110"/>
      <c r="T748" s="110"/>
      <c r="U748" s="110"/>
      <c r="V748" s="110"/>
      <c r="W748" s="433"/>
      <c r="X748" s="111"/>
      <c r="Y748" s="110"/>
      <c r="Z748" s="110"/>
      <c r="AA748" s="110"/>
      <c r="AB748" s="110"/>
      <c r="AC748" s="433"/>
      <c r="AD748" s="111"/>
      <c r="AE748" s="110"/>
      <c r="AF748" s="110"/>
      <c r="AG748" s="110"/>
      <c r="AH748" s="1048"/>
    </row>
    <row r="749" spans="1:34" x14ac:dyDescent="0.25">
      <c r="A749" s="1058">
        <v>3000</v>
      </c>
      <c r="B749" s="187" t="s">
        <v>786</v>
      </c>
      <c r="C749" s="110"/>
      <c r="D749" s="433"/>
      <c r="E749" s="207"/>
      <c r="F749" s="433"/>
      <c r="G749" s="110"/>
      <c r="H749" s="433"/>
      <c r="I749" s="111"/>
      <c r="J749" s="111"/>
      <c r="K749" s="110"/>
      <c r="L749" s="110"/>
      <c r="M749" s="110"/>
      <c r="N749" s="110"/>
      <c r="O749" s="110"/>
      <c r="P749" s="110"/>
      <c r="Q749" s="433"/>
      <c r="R749" s="111"/>
      <c r="S749" s="110"/>
      <c r="T749" s="110"/>
      <c r="U749" s="110"/>
      <c r="V749" s="110"/>
      <c r="W749" s="433"/>
      <c r="X749" s="111"/>
      <c r="Y749" s="110"/>
      <c r="Z749" s="110"/>
      <c r="AA749" s="110"/>
      <c r="AB749" s="110"/>
      <c r="AC749" s="433"/>
      <c r="AD749" s="111"/>
      <c r="AE749" s="110"/>
      <c r="AF749" s="110"/>
      <c r="AG749" s="110"/>
      <c r="AH749" s="1048"/>
    </row>
    <row r="750" spans="1:34" x14ac:dyDescent="0.25">
      <c r="A750" s="1058"/>
      <c r="B750" s="187"/>
      <c r="C750" s="110"/>
      <c r="D750" s="433"/>
      <c r="E750" s="207"/>
      <c r="F750" s="433"/>
      <c r="G750" s="110"/>
      <c r="H750" s="433"/>
      <c r="I750" s="111"/>
      <c r="J750" s="111"/>
      <c r="K750" s="110"/>
      <c r="L750" s="110"/>
      <c r="M750" s="110"/>
      <c r="N750" s="110"/>
      <c r="O750" s="110"/>
      <c r="P750" s="110"/>
      <c r="Q750" s="433"/>
      <c r="R750" s="111"/>
      <c r="S750" s="110"/>
      <c r="T750" s="110"/>
      <c r="U750" s="110"/>
      <c r="V750" s="110"/>
      <c r="W750" s="433"/>
      <c r="X750" s="111"/>
      <c r="Y750" s="110"/>
      <c r="Z750" s="110"/>
      <c r="AA750" s="110"/>
      <c r="AB750" s="110"/>
      <c r="AC750" s="433"/>
      <c r="AD750" s="111"/>
      <c r="AE750" s="110"/>
      <c r="AF750" s="110"/>
      <c r="AG750" s="110"/>
      <c r="AH750" s="1048"/>
    </row>
    <row r="751" spans="1:34" x14ac:dyDescent="0.25">
      <c r="A751" s="1058">
        <v>31101</v>
      </c>
      <c r="B751" s="187" t="s">
        <v>4101</v>
      </c>
      <c r="C751" s="110"/>
      <c r="D751" s="433"/>
      <c r="E751" s="207"/>
      <c r="F751" s="433"/>
      <c r="G751" s="110"/>
      <c r="H751" s="433"/>
      <c r="I751" s="111"/>
      <c r="J751" s="111"/>
      <c r="K751" s="110"/>
      <c r="L751" s="110"/>
      <c r="M751" s="110"/>
      <c r="N751" s="110"/>
      <c r="O751" s="110"/>
      <c r="P751" s="110"/>
      <c r="Q751" s="433"/>
      <c r="R751" s="111"/>
      <c r="S751" s="110"/>
      <c r="T751" s="110"/>
      <c r="U751" s="110"/>
      <c r="V751" s="110"/>
      <c r="W751" s="433"/>
      <c r="X751" s="111"/>
      <c r="Y751" s="110"/>
      <c r="Z751" s="110"/>
      <c r="AA751" s="110"/>
      <c r="AB751" s="110"/>
      <c r="AC751" s="433"/>
      <c r="AD751" s="111"/>
      <c r="AE751" s="110"/>
      <c r="AF751" s="110"/>
      <c r="AG751" s="110"/>
      <c r="AH751" s="1048"/>
    </row>
    <row r="752" spans="1:34" ht="45" x14ac:dyDescent="0.25">
      <c r="A752" s="1047"/>
      <c r="B752" s="1057" t="s">
        <v>4102</v>
      </c>
      <c r="C752" s="110"/>
      <c r="D752" s="433">
        <v>10</v>
      </c>
      <c r="E752" s="207" t="s">
        <v>4103</v>
      </c>
      <c r="F752" s="1178" t="s">
        <v>4353</v>
      </c>
      <c r="G752" s="1056" t="s">
        <v>4306</v>
      </c>
      <c r="H752" s="433" t="s">
        <v>3478</v>
      </c>
      <c r="I752" s="111">
        <v>4867.1440000000002</v>
      </c>
      <c r="J752" s="111">
        <v>48671.44</v>
      </c>
      <c r="K752" s="110"/>
      <c r="L752" s="110"/>
      <c r="M752" s="110"/>
      <c r="N752" s="110"/>
      <c r="O752" s="110"/>
      <c r="P752" s="110"/>
      <c r="Q752" s="433">
        <v>5</v>
      </c>
      <c r="R752" s="111">
        <v>16223.813333333334</v>
      </c>
      <c r="S752" s="110"/>
      <c r="T752" s="110"/>
      <c r="U752" s="110"/>
      <c r="V752" s="110"/>
      <c r="W752" s="433">
        <v>3</v>
      </c>
      <c r="X752" s="111">
        <v>16223.813333333334</v>
      </c>
      <c r="Y752" s="110"/>
      <c r="Z752" s="110"/>
      <c r="AA752" s="110"/>
      <c r="AB752" s="110"/>
      <c r="AC752" s="433">
        <v>2</v>
      </c>
      <c r="AD752" s="111">
        <v>16223.813333333334</v>
      </c>
      <c r="AE752" s="110"/>
      <c r="AF752" s="110"/>
      <c r="AG752" s="110"/>
      <c r="AH752" s="1048"/>
    </row>
    <row r="753" spans="1:34" x14ac:dyDescent="0.25">
      <c r="A753" s="1058">
        <v>31201</v>
      </c>
      <c r="B753" s="187" t="s">
        <v>790</v>
      </c>
      <c r="C753" s="110"/>
      <c r="D753" s="433"/>
      <c r="E753" s="207"/>
      <c r="F753" s="433"/>
      <c r="G753" s="110"/>
      <c r="H753" s="433"/>
      <c r="I753" s="111"/>
      <c r="J753" s="111"/>
      <c r="K753" s="110"/>
      <c r="L753" s="110"/>
      <c r="M753" s="110"/>
      <c r="N753" s="110"/>
      <c r="O753" s="110"/>
      <c r="P753" s="110"/>
      <c r="Q753" s="433"/>
      <c r="R753" s="111"/>
      <c r="S753" s="110"/>
      <c r="T753" s="110"/>
      <c r="U753" s="110"/>
      <c r="V753" s="110"/>
      <c r="W753" s="433"/>
      <c r="X753" s="111"/>
      <c r="Y753" s="110"/>
      <c r="Z753" s="110"/>
      <c r="AA753" s="110"/>
      <c r="AB753" s="110"/>
      <c r="AC753" s="433"/>
      <c r="AD753" s="111"/>
      <c r="AE753" s="110"/>
      <c r="AF753" s="110"/>
      <c r="AG753" s="110"/>
      <c r="AH753" s="1048"/>
    </row>
    <row r="754" spans="1:34" ht="45" x14ac:dyDescent="0.25">
      <c r="A754" s="1047"/>
      <c r="B754" s="110" t="s">
        <v>4104</v>
      </c>
      <c r="C754" s="110"/>
      <c r="D754" s="433">
        <v>92</v>
      </c>
      <c r="E754" s="207" t="s">
        <v>4105</v>
      </c>
      <c r="F754" s="1178" t="s">
        <v>4353</v>
      </c>
      <c r="G754" s="1056" t="s">
        <v>4306</v>
      </c>
      <c r="H754" s="433" t="s">
        <v>3478</v>
      </c>
      <c r="I754" s="111">
        <v>579.84913043478252</v>
      </c>
      <c r="J754" s="111">
        <v>53346.119999999995</v>
      </c>
      <c r="K754" s="110"/>
      <c r="L754" s="110"/>
      <c r="M754" s="110"/>
      <c r="N754" s="110"/>
      <c r="O754" s="110"/>
      <c r="P754" s="110"/>
      <c r="Q754" s="433">
        <v>32</v>
      </c>
      <c r="R754" s="111">
        <v>17782.039999999997</v>
      </c>
      <c r="S754" s="110"/>
      <c r="T754" s="110"/>
      <c r="U754" s="110"/>
      <c r="V754" s="110"/>
      <c r="W754" s="433">
        <v>30</v>
      </c>
      <c r="X754" s="111">
        <v>17782.039999999997</v>
      </c>
      <c r="Y754" s="110"/>
      <c r="Z754" s="110"/>
      <c r="AA754" s="110"/>
      <c r="AB754" s="110"/>
      <c r="AC754" s="433">
        <v>30</v>
      </c>
      <c r="AD754" s="111">
        <v>17782.039999999997</v>
      </c>
      <c r="AE754" s="110"/>
      <c r="AF754" s="110"/>
      <c r="AG754" s="110"/>
      <c r="AH754" s="1048"/>
    </row>
    <row r="755" spans="1:34" ht="45" x14ac:dyDescent="0.25">
      <c r="A755" s="1047"/>
      <c r="B755" s="110" t="s">
        <v>4106</v>
      </c>
      <c r="C755" s="110"/>
      <c r="D755" s="433">
        <v>2200</v>
      </c>
      <c r="E755" s="207" t="s">
        <v>2938</v>
      </c>
      <c r="F755" s="1178" t="s">
        <v>4353</v>
      </c>
      <c r="G755" s="1056" t="s">
        <v>4306</v>
      </c>
      <c r="H755" s="433" t="s">
        <v>3478</v>
      </c>
      <c r="I755" s="111">
        <v>10</v>
      </c>
      <c r="J755" s="111">
        <v>22000</v>
      </c>
      <c r="K755" s="110"/>
      <c r="L755" s="110"/>
      <c r="M755" s="110"/>
      <c r="N755" s="110"/>
      <c r="O755" s="110"/>
      <c r="P755" s="110"/>
      <c r="Q755" s="433">
        <v>1200</v>
      </c>
      <c r="R755" s="111">
        <v>7333.333333333333</v>
      </c>
      <c r="S755" s="110"/>
      <c r="T755" s="110"/>
      <c r="U755" s="110"/>
      <c r="V755" s="110"/>
      <c r="W755" s="433">
        <v>500</v>
      </c>
      <c r="X755" s="111">
        <v>7333.333333333333</v>
      </c>
      <c r="Y755" s="110"/>
      <c r="Z755" s="110"/>
      <c r="AA755" s="110"/>
      <c r="AB755" s="110"/>
      <c r="AC755" s="433">
        <v>500</v>
      </c>
      <c r="AD755" s="111">
        <v>7333.333333333333</v>
      </c>
      <c r="AE755" s="110"/>
      <c r="AF755" s="110"/>
      <c r="AG755" s="110"/>
      <c r="AH755" s="1048"/>
    </row>
    <row r="756" spans="1:34" x14ac:dyDescent="0.25">
      <c r="A756" s="1058">
        <v>31501</v>
      </c>
      <c r="B756" s="187" t="s">
        <v>4107</v>
      </c>
      <c r="C756" s="110"/>
      <c r="D756" s="433"/>
      <c r="E756" s="207"/>
      <c r="F756" s="433"/>
      <c r="G756" s="110"/>
      <c r="H756" s="433"/>
      <c r="I756" s="111"/>
      <c r="J756" s="111"/>
      <c r="K756" s="110"/>
      <c r="L756" s="110"/>
      <c r="M756" s="110"/>
      <c r="N756" s="110"/>
      <c r="O756" s="110"/>
      <c r="P756" s="110"/>
      <c r="Q756" s="433"/>
      <c r="R756" s="111"/>
      <c r="S756" s="110"/>
      <c r="T756" s="110"/>
      <c r="U756" s="110"/>
      <c r="V756" s="110"/>
      <c r="W756" s="433"/>
      <c r="X756" s="111"/>
      <c r="Y756" s="110"/>
      <c r="Z756" s="110"/>
      <c r="AA756" s="110"/>
      <c r="AB756" s="110"/>
      <c r="AC756" s="433"/>
      <c r="AD756" s="111"/>
      <c r="AE756" s="110"/>
      <c r="AF756" s="110"/>
      <c r="AG756" s="110"/>
      <c r="AH756" s="1048"/>
    </row>
    <row r="757" spans="1:34" ht="45" x14ac:dyDescent="0.25">
      <c r="A757" s="1047"/>
      <c r="B757" s="110" t="s">
        <v>4108</v>
      </c>
      <c r="C757" s="110"/>
      <c r="D757" s="433">
        <v>21</v>
      </c>
      <c r="E757" s="207" t="s">
        <v>1755</v>
      </c>
      <c r="F757" s="1178" t="s">
        <v>4353</v>
      </c>
      <c r="G757" s="1056" t="s">
        <v>4306</v>
      </c>
      <c r="H757" s="433" t="s">
        <v>3478</v>
      </c>
      <c r="I757" s="111">
        <v>775</v>
      </c>
      <c r="J757" s="111">
        <v>16275</v>
      </c>
      <c r="K757" s="110"/>
      <c r="L757" s="110"/>
      <c r="M757" s="110"/>
      <c r="N757" s="110"/>
      <c r="O757" s="110"/>
      <c r="P757" s="110"/>
      <c r="Q757" s="433">
        <v>10</v>
      </c>
      <c r="R757" s="111">
        <v>5425</v>
      </c>
      <c r="S757" s="110"/>
      <c r="T757" s="110"/>
      <c r="U757" s="110"/>
      <c r="V757" s="110"/>
      <c r="W757" s="433">
        <v>6</v>
      </c>
      <c r="X757" s="111">
        <v>5425</v>
      </c>
      <c r="Y757" s="110"/>
      <c r="Z757" s="110"/>
      <c r="AA757" s="110"/>
      <c r="AB757" s="110"/>
      <c r="AC757" s="433">
        <v>5</v>
      </c>
      <c r="AD757" s="111">
        <v>5425</v>
      </c>
      <c r="AE757" s="110"/>
      <c r="AF757" s="110"/>
      <c r="AG757" s="110"/>
      <c r="AH757" s="1048"/>
    </row>
    <row r="758" spans="1:34" x14ac:dyDescent="0.25">
      <c r="A758" s="1058">
        <v>32200</v>
      </c>
      <c r="B758" s="187" t="s">
        <v>811</v>
      </c>
      <c r="C758" s="110"/>
      <c r="D758" s="433"/>
      <c r="E758" s="207"/>
      <c r="F758" s="433"/>
      <c r="G758" s="110"/>
      <c r="H758" s="433"/>
      <c r="I758" s="111"/>
      <c r="J758" s="111"/>
      <c r="K758" s="110"/>
      <c r="L758" s="110"/>
      <c r="M758" s="110"/>
      <c r="N758" s="110"/>
      <c r="O758" s="110"/>
      <c r="P758" s="110"/>
      <c r="Q758" s="433"/>
      <c r="R758" s="111"/>
      <c r="S758" s="110"/>
      <c r="T758" s="110"/>
      <c r="U758" s="110"/>
      <c r="V758" s="110"/>
      <c r="W758" s="433"/>
      <c r="X758" s="111"/>
      <c r="Y758" s="110"/>
      <c r="Z758" s="110"/>
      <c r="AA758" s="110"/>
      <c r="AB758" s="110"/>
      <c r="AC758" s="433"/>
      <c r="AD758" s="111"/>
      <c r="AE758" s="110"/>
      <c r="AF758" s="110"/>
      <c r="AG758" s="110"/>
      <c r="AH758" s="1048"/>
    </row>
    <row r="759" spans="1:34" ht="45" x14ac:dyDescent="0.25">
      <c r="A759" s="1058">
        <v>32201</v>
      </c>
      <c r="B759" s="187" t="s">
        <v>811</v>
      </c>
      <c r="C759" s="110"/>
      <c r="D759" s="433">
        <v>12</v>
      </c>
      <c r="E759" s="207" t="s">
        <v>1755</v>
      </c>
      <c r="F759" s="1178" t="s">
        <v>4353</v>
      </c>
      <c r="G759" s="1056" t="s">
        <v>4306</v>
      </c>
      <c r="H759" s="433" t="s">
        <v>3478</v>
      </c>
      <c r="I759" s="111">
        <v>29310.34</v>
      </c>
      <c r="J759" s="111">
        <v>351724.08</v>
      </c>
      <c r="K759" s="110"/>
      <c r="L759" s="110"/>
      <c r="M759" s="110"/>
      <c r="N759" s="110"/>
      <c r="O759" s="110"/>
      <c r="P759" s="110"/>
      <c r="Q759" s="433">
        <v>6</v>
      </c>
      <c r="R759" s="111">
        <v>117241.36</v>
      </c>
      <c r="S759" s="110"/>
      <c r="T759" s="110"/>
      <c r="U759" s="110"/>
      <c r="V759" s="110"/>
      <c r="W759" s="433">
        <v>3</v>
      </c>
      <c r="X759" s="111">
        <v>117241.36</v>
      </c>
      <c r="Y759" s="110"/>
      <c r="Z759" s="110"/>
      <c r="AA759" s="110"/>
      <c r="AB759" s="110"/>
      <c r="AC759" s="433">
        <v>3</v>
      </c>
      <c r="AD759" s="111">
        <v>117241.36</v>
      </c>
      <c r="AE759" s="110"/>
      <c r="AF759" s="110"/>
      <c r="AG759" s="110"/>
      <c r="AH759" s="1048"/>
    </row>
    <row r="760" spans="1:34" ht="45" x14ac:dyDescent="0.25">
      <c r="A760" s="1058">
        <v>33102</v>
      </c>
      <c r="B760" s="187" t="s">
        <v>4109</v>
      </c>
      <c r="C760" s="110"/>
      <c r="D760" s="433">
        <v>10</v>
      </c>
      <c r="E760" s="207" t="s">
        <v>1755</v>
      </c>
      <c r="F760" s="1178" t="s">
        <v>4353</v>
      </c>
      <c r="G760" s="1056" t="s">
        <v>4306</v>
      </c>
      <c r="H760" s="433" t="s">
        <v>3478</v>
      </c>
      <c r="I760" s="111">
        <v>13920</v>
      </c>
      <c r="J760" s="111">
        <v>139200</v>
      </c>
      <c r="K760" s="110"/>
      <c r="L760" s="110"/>
      <c r="M760" s="110"/>
      <c r="N760" s="110"/>
      <c r="O760" s="110"/>
      <c r="P760" s="110"/>
      <c r="Q760" s="433">
        <v>5</v>
      </c>
      <c r="R760" s="111">
        <v>46400</v>
      </c>
      <c r="S760" s="110"/>
      <c r="T760" s="110"/>
      <c r="U760" s="110"/>
      <c r="V760" s="110"/>
      <c r="W760" s="433">
        <v>3</v>
      </c>
      <c r="X760" s="111">
        <v>46400</v>
      </c>
      <c r="Y760" s="110"/>
      <c r="Z760" s="110"/>
      <c r="AA760" s="110"/>
      <c r="AB760" s="110"/>
      <c r="AC760" s="433">
        <v>2</v>
      </c>
      <c r="AD760" s="111">
        <v>46400</v>
      </c>
      <c r="AE760" s="110"/>
      <c r="AF760" s="110"/>
      <c r="AG760" s="110"/>
      <c r="AH760" s="1048"/>
    </row>
    <row r="761" spans="1:34" x14ac:dyDescent="0.25">
      <c r="A761" s="1047"/>
      <c r="B761" s="110"/>
      <c r="C761" s="110"/>
      <c r="D761" s="433"/>
      <c r="E761" s="207"/>
      <c r="F761" s="433"/>
      <c r="G761" s="110"/>
      <c r="H761" s="433"/>
      <c r="I761" s="111"/>
      <c r="J761" s="111"/>
      <c r="K761" s="110"/>
      <c r="L761" s="110"/>
      <c r="M761" s="110"/>
      <c r="N761" s="110"/>
      <c r="O761" s="110"/>
      <c r="P761" s="110"/>
      <c r="Q761" s="433"/>
      <c r="R761" s="111"/>
      <c r="S761" s="110"/>
      <c r="T761" s="110"/>
      <c r="U761" s="110"/>
      <c r="V761" s="110"/>
      <c r="W761" s="433"/>
      <c r="X761" s="111"/>
      <c r="Y761" s="110"/>
      <c r="Z761" s="110"/>
      <c r="AA761" s="110"/>
      <c r="AB761" s="110"/>
      <c r="AC761" s="433"/>
      <c r="AD761" s="111"/>
      <c r="AE761" s="110"/>
      <c r="AF761" s="110"/>
      <c r="AG761" s="110"/>
      <c r="AH761" s="1048"/>
    </row>
    <row r="762" spans="1:34" x14ac:dyDescent="0.25">
      <c r="A762" s="1058">
        <v>31301</v>
      </c>
      <c r="B762" s="187" t="s">
        <v>793</v>
      </c>
      <c r="C762" s="110"/>
      <c r="D762" s="433"/>
      <c r="E762" s="207"/>
      <c r="F762" s="433"/>
      <c r="G762" s="110"/>
      <c r="H762" s="433"/>
      <c r="I762" s="111"/>
      <c r="J762" s="111"/>
      <c r="K762" s="110"/>
      <c r="L762" s="110"/>
      <c r="M762" s="110"/>
      <c r="N762" s="110"/>
      <c r="O762" s="110"/>
      <c r="P762" s="110"/>
      <c r="Q762" s="433"/>
      <c r="R762" s="111"/>
      <c r="S762" s="110"/>
      <c r="T762" s="110"/>
      <c r="U762" s="110"/>
      <c r="V762" s="110"/>
      <c r="W762" s="433"/>
      <c r="X762" s="111"/>
      <c r="Y762" s="110"/>
      <c r="Z762" s="110"/>
      <c r="AA762" s="110"/>
      <c r="AB762" s="110"/>
      <c r="AC762" s="433"/>
      <c r="AD762" s="111"/>
      <c r="AE762" s="110"/>
      <c r="AF762" s="110"/>
      <c r="AG762" s="110"/>
      <c r="AH762" s="1048"/>
    </row>
    <row r="763" spans="1:34" ht="45" x14ac:dyDescent="0.25">
      <c r="A763" s="1047"/>
      <c r="B763" s="110" t="s">
        <v>4110</v>
      </c>
      <c r="C763" s="110"/>
      <c r="D763" s="433">
        <v>12</v>
      </c>
      <c r="E763" s="207" t="s">
        <v>1755</v>
      </c>
      <c r="F763" s="1178" t="s">
        <v>4353</v>
      </c>
      <c r="G763" s="1056" t="s">
        <v>4306</v>
      </c>
      <c r="H763" s="433" t="s">
        <v>3478</v>
      </c>
      <c r="I763" s="111">
        <v>348</v>
      </c>
      <c r="J763" s="111">
        <v>4176</v>
      </c>
      <c r="K763" s="110"/>
      <c r="L763" s="110"/>
      <c r="M763" s="110"/>
      <c r="N763" s="110"/>
      <c r="O763" s="110"/>
      <c r="P763" s="110"/>
      <c r="Q763" s="433">
        <v>6</v>
      </c>
      <c r="R763" s="111">
        <v>1392</v>
      </c>
      <c r="S763" s="110"/>
      <c r="T763" s="110"/>
      <c r="U763" s="110"/>
      <c r="V763" s="110"/>
      <c r="W763" s="433">
        <v>3</v>
      </c>
      <c r="X763" s="111">
        <v>1392</v>
      </c>
      <c r="Y763" s="110"/>
      <c r="Z763" s="110"/>
      <c r="AA763" s="110"/>
      <c r="AB763" s="110"/>
      <c r="AC763" s="433">
        <v>3</v>
      </c>
      <c r="AD763" s="111">
        <v>1392</v>
      </c>
      <c r="AE763" s="110"/>
      <c r="AF763" s="110"/>
      <c r="AG763" s="110"/>
      <c r="AH763" s="1048"/>
    </row>
    <row r="764" spans="1:34" x14ac:dyDescent="0.25">
      <c r="A764" s="1047"/>
      <c r="B764" s="110"/>
      <c r="C764" s="110"/>
      <c r="D764" s="433"/>
      <c r="E764" s="207"/>
      <c r="F764" s="433"/>
      <c r="G764" s="110"/>
      <c r="H764" s="433"/>
      <c r="I764" s="111"/>
      <c r="J764" s="111"/>
      <c r="K764" s="110"/>
      <c r="L764" s="110"/>
      <c r="M764" s="110"/>
      <c r="N764" s="110"/>
      <c r="O764" s="110"/>
      <c r="P764" s="110"/>
      <c r="Q764" s="433"/>
      <c r="R764" s="111"/>
      <c r="S764" s="110"/>
      <c r="T764" s="110"/>
      <c r="U764" s="110"/>
      <c r="V764" s="110"/>
      <c r="W764" s="433"/>
      <c r="X764" s="111"/>
      <c r="Y764" s="110"/>
      <c r="Z764" s="110"/>
      <c r="AA764" s="110"/>
      <c r="AB764" s="110"/>
      <c r="AC764" s="433"/>
      <c r="AD764" s="111"/>
      <c r="AE764" s="110"/>
      <c r="AF764" s="110"/>
      <c r="AG764" s="110"/>
      <c r="AH764" s="1048"/>
    </row>
    <row r="765" spans="1:34" x14ac:dyDescent="0.25">
      <c r="A765" s="1058">
        <v>33102</v>
      </c>
      <c r="B765" s="187" t="s">
        <v>4111</v>
      </c>
      <c r="C765" s="110"/>
      <c r="D765" s="433"/>
      <c r="E765" s="207"/>
      <c r="F765" s="433"/>
      <c r="G765" s="110"/>
      <c r="H765" s="433"/>
      <c r="I765" s="111"/>
      <c r="J765" s="111"/>
      <c r="K765" s="110"/>
      <c r="L765" s="110"/>
      <c r="M765" s="110"/>
      <c r="N765" s="110"/>
      <c r="O765" s="110"/>
      <c r="P765" s="110"/>
      <c r="Q765" s="433"/>
      <c r="R765" s="111"/>
      <c r="S765" s="110"/>
      <c r="T765" s="110"/>
      <c r="U765" s="110"/>
      <c r="V765" s="110"/>
      <c r="W765" s="433"/>
      <c r="X765" s="111"/>
      <c r="Y765" s="110"/>
      <c r="Z765" s="110"/>
      <c r="AA765" s="110"/>
      <c r="AB765" s="110"/>
      <c r="AC765" s="433"/>
      <c r="AD765" s="111"/>
      <c r="AE765" s="110"/>
      <c r="AF765" s="110"/>
      <c r="AG765" s="110"/>
      <c r="AH765" s="1048"/>
    </row>
    <row r="766" spans="1:34" ht="45" x14ac:dyDescent="0.25">
      <c r="A766" s="1047"/>
      <c r="B766" s="1057" t="s">
        <v>4112</v>
      </c>
      <c r="C766" s="110"/>
      <c r="D766" s="433">
        <v>1</v>
      </c>
      <c r="E766" s="207" t="s">
        <v>2949</v>
      </c>
      <c r="F766" s="1178" t="s">
        <v>4353</v>
      </c>
      <c r="G766" s="1056" t="s">
        <v>4306</v>
      </c>
      <c r="H766" s="433" t="s">
        <v>3478</v>
      </c>
      <c r="I766" s="111">
        <v>97440</v>
      </c>
      <c r="J766" s="111">
        <v>97440</v>
      </c>
      <c r="K766" s="110"/>
      <c r="L766" s="110"/>
      <c r="M766" s="110"/>
      <c r="N766" s="110"/>
      <c r="O766" s="110"/>
      <c r="P766" s="110"/>
      <c r="Q766" s="433">
        <v>1</v>
      </c>
      <c r="R766" s="111">
        <v>32480</v>
      </c>
      <c r="S766" s="110"/>
      <c r="T766" s="110"/>
      <c r="U766" s="110"/>
      <c r="V766" s="110"/>
      <c r="W766" s="433">
        <v>0</v>
      </c>
      <c r="X766" s="111">
        <v>32480</v>
      </c>
      <c r="Y766" s="110"/>
      <c r="Z766" s="110"/>
      <c r="AA766" s="110"/>
      <c r="AB766" s="110"/>
      <c r="AC766" s="433">
        <v>0</v>
      </c>
      <c r="AD766" s="111">
        <v>32480</v>
      </c>
      <c r="AE766" s="110"/>
      <c r="AF766" s="110"/>
      <c r="AG766" s="110"/>
      <c r="AH766" s="1048"/>
    </row>
    <row r="767" spans="1:34" x14ac:dyDescent="0.25">
      <c r="A767" s="1047"/>
      <c r="B767" s="110"/>
      <c r="C767" s="110"/>
      <c r="D767" s="433"/>
      <c r="E767" s="207"/>
      <c r="F767" s="433"/>
      <c r="G767" s="110"/>
      <c r="H767" s="433"/>
      <c r="I767" s="111"/>
      <c r="J767" s="111"/>
      <c r="K767" s="110"/>
      <c r="L767" s="110"/>
      <c r="M767" s="110"/>
      <c r="N767" s="110"/>
      <c r="O767" s="110"/>
      <c r="P767" s="110"/>
      <c r="Q767" s="433"/>
      <c r="R767" s="111"/>
      <c r="S767" s="110"/>
      <c r="T767" s="110"/>
      <c r="U767" s="110"/>
      <c r="V767" s="110"/>
      <c r="W767" s="433"/>
      <c r="X767" s="111"/>
      <c r="Y767" s="110"/>
      <c r="Z767" s="110"/>
      <c r="AA767" s="110"/>
      <c r="AB767" s="110"/>
      <c r="AC767" s="433"/>
      <c r="AD767" s="111"/>
      <c r="AE767" s="110"/>
      <c r="AF767" s="110"/>
      <c r="AG767" s="110"/>
      <c r="AH767" s="1048"/>
    </row>
    <row r="768" spans="1:34" x14ac:dyDescent="0.25">
      <c r="A768" s="1058">
        <v>33401</v>
      </c>
      <c r="B768" s="187" t="s">
        <v>4113</v>
      </c>
      <c r="C768" s="110"/>
      <c r="D768" s="433"/>
      <c r="E768" s="207"/>
      <c r="F768" s="433"/>
      <c r="G768" s="110"/>
      <c r="H768" s="433"/>
      <c r="I768" s="111"/>
      <c r="J768" s="111"/>
      <c r="K768" s="110"/>
      <c r="L768" s="110"/>
      <c r="M768" s="110"/>
      <c r="N768" s="110"/>
      <c r="O768" s="110"/>
      <c r="P768" s="110"/>
      <c r="Q768" s="433"/>
      <c r="R768" s="111"/>
      <c r="S768" s="110"/>
      <c r="T768" s="110"/>
      <c r="U768" s="110"/>
      <c r="V768" s="110"/>
      <c r="W768" s="433"/>
      <c r="X768" s="111"/>
      <c r="Y768" s="110"/>
      <c r="Z768" s="110"/>
      <c r="AA768" s="110"/>
      <c r="AB768" s="110"/>
      <c r="AC768" s="433"/>
      <c r="AD768" s="111"/>
      <c r="AE768" s="110"/>
      <c r="AF768" s="110"/>
      <c r="AG768" s="110"/>
      <c r="AH768" s="1048"/>
    </row>
    <row r="769" spans="1:34" ht="45" x14ac:dyDescent="0.25">
      <c r="A769" s="1047"/>
      <c r="B769" s="1057" t="s">
        <v>4114</v>
      </c>
      <c r="C769" s="110"/>
      <c r="D769" s="433">
        <v>9</v>
      </c>
      <c r="E769" s="207" t="s">
        <v>2949</v>
      </c>
      <c r="F769" s="1178" t="s">
        <v>4353</v>
      </c>
      <c r="G769" s="1056" t="s">
        <v>4306</v>
      </c>
      <c r="H769" s="433" t="s">
        <v>3478</v>
      </c>
      <c r="I769" s="111">
        <v>17016</v>
      </c>
      <c r="J769" s="111">
        <v>153144</v>
      </c>
      <c r="K769" s="110"/>
      <c r="L769" s="110"/>
      <c r="M769" s="110"/>
      <c r="N769" s="110"/>
      <c r="O769" s="110"/>
      <c r="P769" s="110"/>
      <c r="Q769" s="433">
        <v>4</v>
      </c>
      <c r="R769" s="111">
        <v>51048</v>
      </c>
      <c r="S769" s="110"/>
      <c r="T769" s="110"/>
      <c r="U769" s="110"/>
      <c r="V769" s="110"/>
      <c r="W769" s="433">
        <v>3</v>
      </c>
      <c r="X769" s="111">
        <v>51048</v>
      </c>
      <c r="Y769" s="110"/>
      <c r="Z769" s="110"/>
      <c r="AA769" s="110"/>
      <c r="AB769" s="110"/>
      <c r="AC769" s="433">
        <v>2</v>
      </c>
      <c r="AD769" s="111">
        <v>51048</v>
      </c>
      <c r="AE769" s="110"/>
      <c r="AF769" s="110"/>
      <c r="AG769" s="110"/>
      <c r="AH769" s="1048"/>
    </row>
    <row r="770" spans="1:34" ht="30" x14ac:dyDescent="0.25">
      <c r="A770" s="1058">
        <v>33604</v>
      </c>
      <c r="B770" s="1059" t="s">
        <v>4115</v>
      </c>
      <c r="C770" s="110"/>
      <c r="D770" s="433"/>
      <c r="E770" s="207"/>
      <c r="F770" s="433"/>
      <c r="G770" s="110"/>
      <c r="H770" s="433"/>
      <c r="I770" s="111"/>
      <c r="J770" s="111"/>
      <c r="K770" s="110"/>
      <c r="L770" s="110"/>
      <c r="M770" s="110"/>
      <c r="N770" s="110"/>
      <c r="O770" s="110"/>
      <c r="P770" s="110"/>
      <c r="Q770" s="433"/>
      <c r="R770" s="111"/>
      <c r="S770" s="110"/>
      <c r="T770" s="110"/>
      <c r="U770" s="110"/>
      <c r="V770" s="110"/>
      <c r="W770" s="433"/>
      <c r="X770" s="111"/>
      <c r="Y770" s="110"/>
      <c r="Z770" s="110"/>
      <c r="AA770" s="110"/>
      <c r="AB770" s="110"/>
      <c r="AC770" s="433"/>
      <c r="AD770" s="111"/>
      <c r="AE770" s="110"/>
      <c r="AF770" s="110"/>
      <c r="AG770" s="110"/>
      <c r="AH770" s="1048"/>
    </row>
    <row r="771" spans="1:34" ht="45" x14ac:dyDescent="0.25">
      <c r="A771" s="1047"/>
      <c r="B771" s="110" t="s">
        <v>4116</v>
      </c>
      <c r="C771" s="110"/>
      <c r="D771" s="433">
        <v>1200</v>
      </c>
      <c r="E771" s="207" t="s">
        <v>1721</v>
      </c>
      <c r="F771" s="1178" t="s">
        <v>4353</v>
      </c>
      <c r="G771" s="1056" t="s">
        <v>4306</v>
      </c>
      <c r="H771" s="433" t="s">
        <v>3478</v>
      </c>
      <c r="I771" s="111">
        <v>11.6</v>
      </c>
      <c r="J771" s="111">
        <v>13920</v>
      </c>
      <c r="K771" s="110"/>
      <c r="L771" s="110"/>
      <c r="M771" s="110"/>
      <c r="N771" s="110"/>
      <c r="O771" s="110"/>
      <c r="P771" s="110"/>
      <c r="Q771" s="433">
        <v>700</v>
      </c>
      <c r="R771" s="111">
        <v>4640</v>
      </c>
      <c r="S771" s="110"/>
      <c r="T771" s="110"/>
      <c r="U771" s="110"/>
      <c r="V771" s="110"/>
      <c r="W771" s="433">
        <v>300</v>
      </c>
      <c r="X771" s="111">
        <v>4640</v>
      </c>
      <c r="Y771" s="110"/>
      <c r="Z771" s="110"/>
      <c r="AA771" s="110"/>
      <c r="AB771" s="110"/>
      <c r="AC771" s="433">
        <v>200</v>
      </c>
      <c r="AD771" s="111">
        <v>4640</v>
      </c>
      <c r="AE771" s="110"/>
      <c r="AF771" s="110"/>
      <c r="AG771" s="110"/>
      <c r="AH771" s="1048"/>
    </row>
    <row r="772" spans="1:34" ht="45" x14ac:dyDescent="0.25">
      <c r="A772" s="1047"/>
      <c r="B772" s="110" t="s">
        <v>4117</v>
      </c>
      <c r="C772" s="110"/>
      <c r="D772" s="433">
        <v>240</v>
      </c>
      <c r="E772" s="207" t="s">
        <v>1721</v>
      </c>
      <c r="F772" s="1178" t="s">
        <v>4353</v>
      </c>
      <c r="G772" s="1056" t="s">
        <v>4306</v>
      </c>
      <c r="H772" s="433" t="s">
        <v>3478</v>
      </c>
      <c r="I772" s="111">
        <v>23.2</v>
      </c>
      <c r="J772" s="111">
        <v>5568</v>
      </c>
      <c r="K772" s="110"/>
      <c r="L772" s="110"/>
      <c r="M772" s="110"/>
      <c r="N772" s="110"/>
      <c r="O772" s="110"/>
      <c r="P772" s="110"/>
      <c r="Q772" s="433">
        <v>140</v>
      </c>
      <c r="R772" s="111">
        <v>1856</v>
      </c>
      <c r="S772" s="110"/>
      <c r="T772" s="110"/>
      <c r="U772" s="110"/>
      <c r="V772" s="110"/>
      <c r="W772" s="433">
        <v>50</v>
      </c>
      <c r="X772" s="111">
        <v>1856</v>
      </c>
      <c r="Y772" s="110"/>
      <c r="Z772" s="110"/>
      <c r="AA772" s="110"/>
      <c r="AB772" s="110"/>
      <c r="AC772" s="433">
        <v>50</v>
      </c>
      <c r="AD772" s="111">
        <v>1856</v>
      </c>
      <c r="AE772" s="110"/>
      <c r="AF772" s="110"/>
      <c r="AG772" s="110"/>
      <c r="AH772" s="1048"/>
    </row>
    <row r="773" spans="1:34" ht="45" x14ac:dyDescent="0.25">
      <c r="A773" s="1047"/>
      <c r="B773" s="110" t="s">
        <v>4118</v>
      </c>
      <c r="C773" s="110"/>
      <c r="D773" s="433">
        <v>1</v>
      </c>
      <c r="E773" s="207" t="s">
        <v>1721</v>
      </c>
      <c r="F773" s="1178" t="s">
        <v>4353</v>
      </c>
      <c r="G773" s="1056" t="s">
        <v>4306</v>
      </c>
      <c r="H773" s="433" t="s">
        <v>3478</v>
      </c>
      <c r="I773" s="111">
        <v>1160</v>
      </c>
      <c r="J773" s="111">
        <v>1160</v>
      </c>
      <c r="K773" s="110"/>
      <c r="L773" s="110"/>
      <c r="M773" s="110"/>
      <c r="N773" s="110"/>
      <c r="O773" s="110"/>
      <c r="P773" s="110"/>
      <c r="Q773" s="433">
        <v>1</v>
      </c>
      <c r="R773" s="111">
        <v>386.66666666666669</v>
      </c>
      <c r="S773" s="110"/>
      <c r="T773" s="110"/>
      <c r="U773" s="110"/>
      <c r="V773" s="110"/>
      <c r="W773" s="433">
        <v>0</v>
      </c>
      <c r="X773" s="111">
        <v>386.66666666666669</v>
      </c>
      <c r="Y773" s="110"/>
      <c r="Z773" s="110"/>
      <c r="AA773" s="110"/>
      <c r="AB773" s="110"/>
      <c r="AC773" s="433">
        <v>0</v>
      </c>
      <c r="AD773" s="111">
        <v>386.66666666666669</v>
      </c>
      <c r="AE773" s="110"/>
      <c r="AF773" s="110"/>
      <c r="AG773" s="110"/>
      <c r="AH773" s="1048"/>
    </row>
    <row r="774" spans="1:34" ht="45" x14ac:dyDescent="0.25">
      <c r="A774" s="1047"/>
      <c r="B774" s="110" t="s">
        <v>4119</v>
      </c>
      <c r="C774" s="110"/>
      <c r="D774" s="433">
        <v>2000</v>
      </c>
      <c r="E774" s="207" t="s">
        <v>1721</v>
      </c>
      <c r="F774" s="1178" t="s">
        <v>4353</v>
      </c>
      <c r="G774" s="1056" t="s">
        <v>4306</v>
      </c>
      <c r="H774" s="433" t="s">
        <v>3478</v>
      </c>
      <c r="I774" s="111">
        <v>1.8254999999999999</v>
      </c>
      <c r="J774" s="111">
        <v>3651</v>
      </c>
      <c r="K774" s="110"/>
      <c r="L774" s="110"/>
      <c r="M774" s="110"/>
      <c r="N774" s="110"/>
      <c r="O774" s="110"/>
      <c r="P774" s="110"/>
      <c r="Q774" s="433">
        <v>1000</v>
      </c>
      <c r="R774" s="111">
        <v>1217</v>
      </c>
      <c r="S774" s="110"/>
      <c r="T774" s="110"/>
      <c r="U774" s="110"/>
      <c r="V774" s="110"/>
      <c r="W774" s="433">
        <v>500</v>
      </c>
      <c r="X774" s="111">
        <v>1217</v>
      </c>
      <c r="Y774" s="110"/>
      <c r="Z774" s="110"/>
      <c r="AA774" s="110"/>
      <c r="AB774" s="110"/>
      <c r="AC774" s="433">
        <v>500</v>
      </c>
      <c r="AD774" s="111">
        <v>1217</v>
      </c>
      <c r="AE774" s="110"/>
      <c r="AF774" s="110"/>
      <c r="AG774" s="110"/>
      <c r="AH774" s="1048"/>
    </row>
    <row r="775" spans="1:34" ht="45" x14ac:dyDescent="0.25">
      <c r="A775" s="1047"/>
      <c r="B775" s="110" t="s">
        <v>4120</v>
      </c>
      <c r="C775" s="110"/>
      <c r="D775" s="433">
        <v>2000</v>
      </c>
      <c r="E775" s="207" t="s">
        <v>1721</v>
      </c>
      <c r="F775" s="1178" t="s">
        <v>4353</v>
      </c>
      <c r="G775" s="1056" t="s">
        <v>4306</v>
      </c>
      <c r="H775" s="433" t="s">
        <v>3478</v>
      </c>
      <c r="I775" s="111">
        <v>29</v>
      </c>
      <c r="J775" s="111">
        <v>58000</v>
      </c>
      <c r="K775" s="110"/>
      <c r="L775" s="110"/>
      <c r="M775" s="110"/>
      <c r="N775" s="110"/>
      <c r="O775" s="110"/>
      <c r="P775" s="110"/>
      <c r="Q775" s="433">
        <v>1000</v>
      </c>
      <c r="R775" s="111">
        <v>19333.333333333332</v>
      </c>
      <c r="S775" s="110"/>
      <c r="T775" s="110"/>
      <c r="U775" s="110"/>
      <c r="V775" s="110"/>
      <c r="W775" s="433">
        <v>500</v>
      </c>
      <c r="X775" s="111">
        <v>19333.333333333332</v>
      </c>
      <c r="Y775" s="110"/>
      <c r="Z775" s="110"/>
      <c r="AA775" s="110"/>
      <c r="AB775" s="110"/>
      <c r="AC775" s="433">
        <v>500</v>
      </c>
      <c r="AD775" s="111">
        <v>19333.333333333332</v>
      </c>
      <c r="AE775" s="110"/>
      <c r="AF775" s="110"/>
      <c r="AG775" s="110"/>
      <c r="AH775" s="1048"/>
    </row>
    <row r="776" spans="1:34" ht="45" x14ac:dyDescent="0.25">
      <c r="A776" s="1047"/>
      <c r="B776" s="110" t="s">
        <v>4121</v>
      </c>
      <c r="C776" s="110"/>
      <c r="D776" s="433">
        <v>210</v>
      </c>
      <c r="E776" s="207" t="s">
        <v>1721</v>
      </c>
      <c r="F776" s="1178" t="s">
        <v>4353</v>
      </c>
      <c r="G776" s="1056" t="s">
        <v>4306</v>
      </c>
      <c r="H776" s="433" t="s">
        <v>3478</v>
      </c>
      <c r="I776" s="111">
        <v>160</v>
      </c>
      <c r="J776" s="111">
        <v>33600</v>
      </c>
      <c r="K776" s="110"/>
      <c r="L776" s="110"/>
      <c r="M776" s="110"/>
      <c r="N776" s="110"/>
      <c r="O776" s="110"/>
      <c r="P776" s="110"/>
      <c r="Q776" s="433">
        <v>110</v>
      </c>
      <c r="R776" s="111">
        <v>11200</v>
      </c>
      <c r="S776" s="110"/>
      <c r="T776" s="110"/>
      <c r="U776" s="110"/>
      <c r="V776" s="110"/>
      <c r="W776" s="433">
        <v>50</v>
      </c>
      <c r="X776" s="111">
        <v>11200</v>
      </c>
      <c r="Y776" s="110"/>
      <c r="Z776" s="110"/>
      <c r="AA776" s="110"/>
      <c r="AB776" s="110"/>
      <c r="AC776" s="433">
        <v>50</v>
      </c>
      <c r="AD776" s="111">
        <v>11200</v>
      </c>
      <c r="AE776" s="110"/>
      <c r="AF776" s="110"/>
      <c r="AG776" s="110"/>
      <c r="AH776" s="1048"/>
    </row>
    <row r="777" spans="1:34" ht="30" x14ac:dyDescent="0.25">
      <c r="A777" s="1058">
        <v>36101</v>
      </c>
      <c r="B777" s="1059" t="s">
        <v>4122</v>
      </c>
      <c r="C777" s="110"/>
      <c r="D777" s="433"/>
      <c r="E777" s="207"/>
      <c r="F777" s="433"/>
      <c r="G777" s="110"/>
      <c r="H777" s="433"/>
      <c r="I777" s="111"/>
      <c r="J777" s="111"/>
      <c r="K777" s="110"/>
      <c r="L777" s="110"/>
      <c r="M777" s="110"/>
      <c r="N777" s="110"/>
      <c r="O777" s="110"/>
      <c r="P777" s="110"/>
      <c r="Q777" s="433"/>
      <c r="R777" s="111"/>
      <c r="S777" s="110"/>
      <c r="T777" s="110"/>
      <c r="U777" s="110"/>
      <c r="V777" s="110"/>
      <c r="W777" s="433"/>
      <c r="X777" s="111"/>
      <c r="Y777" s="110"/>
      <c r="Z777" s="110"/>
      <c r="AA777" s="110"/>
      <c r="AB777" s="110"/>
      <c r="AC777" s="433"/>
      <c r="AD777" s="111"/>
      <c r="AE777" s="110"/>
      <c r="AF777" s="110"/>
      <c r="AG777" s="110"/>
      <c r="AH777" s="1048"/>
    </row>
    <row r="778" spans="1:34" ht="45" x14ac:dyDescent="0.25">
      <c r="A778" s="1047"/>
      <c r="B778" s="110" t="s">
        <v>4123</v>
      </c>
      <c r="C778" s="110"/>
      <c r="D778" s="433">
        <v>60</v>
      </c>
      <c r="E778" s="207" t="s">
        <v>1767</v>
      </c>
      <c r="F778" s="1178" t="s">
        <v>4353</v>
      </c>
      <c r="G778" s="1056" t="s">
        <v>4306</v>
      </c>
      <c r="H778" s="433" t="s">
        <v>3478</v>
      </c>
      <c r="I778" s="111">
        <v>261</v>
      </c>
      <c r="J778" s="111">
        <v>15660</v>
      </c>
      <c r="K778" s="110"/>
      <c r="L778" s="110"/>
      <c r="M778" s="110"/>
      <c r="N778" s="110"/>
      <c r="O778" s="110"/>
      <c r="P778" s="110"/>
      <c r="Q778" s="433">
        <v>20</v>
      </c>
      <c r="R778" s="111">
        <v>5220</v>
      </c>
      <c r="S778" s="110"/>
      <c r="T778" s="110"/>
      <c r="U778" s="110"/>
      <c r="V778" s="110"/>
      <c r="W778" s="433">
        <v>20</v>
      </c>
      <c r="X778" s="111">
        <v>5220</v>
      </c>
      <c r="Y778" s="110"/>
      <c r="Z778" s="110"/>
      <c r="AA778" s="110"/>
      <c r="AB778" s="110"/>
      <c r="AC778" s="433">
        <v>20</v>
      </c>
      <c r="AD778" s="111">
        <v>5220</v>
      </c>
      <c r="AE778" s="110"/>
      <c r="AF778" s="110"/>
      <c r="AG778" s="110"/>
      <c r="AH778" s="1048"/>
    </row>
    <row r="779" spans="1:34" ht="45" x14ac:dyDescent="0.25">
      <c r="A779" s="1047"/>
      <c r="B779" s="110" t="s">
        <v>4124</v>
      </c>
      <c r="C779" s="110"/>
      <c r="D779" s="433">
        <v>3</v>
      </c>
      <c r="E779" s="207" t="s">
        <v>1767</v>
      </c>
      <c r="F779" s="1178" t="s">
        <v>4353</v>
      </c>
      <c r="G779" s="1056" t="s">
        <v>4306</v>
      </c>
      <c r="H779" s="433" t="s">
        <v>3478</v>
      </c>
      <c r="I779" s="111">
        <v>8328.7999999999993</v>
      </c>
      <c r="J779" s="111">
        <v>24986.399999999998</v>
      </c>
      <c r="K779" s="110"/>
      <c r="L779" s="110"/>
      <c r="M779" s="110"/>
      <c r="N779" s="110"/>
      <c r="O779" s="110"/>
      <c r="P779" s="110"/>
      <c r="Q779" s="433">
        <v>1</v>
      </c>
      <c r="R779" s="111">
        <v>8328.7999999999993</v>
      </c>
      <c r="S779" s="110"/>
      <c r="T779" s="110"/>
      <c r="U779" s="110"/>
      <c r="V779" s="110"/>
      <c r="W779" s="433">
        <v>1</v>
      </c>
      <c r="X779" s="111">
        <v>8328.7999999999993</v>
      </c>
      <c r="Y779" s="110"/>
      <c r="Z779" s="110"/>
      <c r="AA779" s="110"/>
      <c r="AB779" s="110"/>
      <c r="AC779" s="433">
        <v>1</v>
      </c>
      <c r="AD779" s="111">
        <v>8328.7999999999993</v>
      </c>
      <c r="AE779" s="110"/>
      <c r="AF779" s="110"/>
      <c r="AG779" s="110"/>
      <c r="AH779" s="1048"/>
    </row>
    <row r="780" spans="1:34" ht="45" x14ac:dyDescent="0.25">
      <c r="A780" s="1047"/>
      <c r="B780" s="110" t="s">
        <v>4125</v>
      </c>
      <c r="C780" s="110"/>
      <c r="D780" s="433">
        <v>5</v>
      </c>
      <c r="E780" s="207" t="s">
        <v>4126</v>
      </c>
      <c r="F780" s="1178" t="s">
        <v>4353</v>
      </c>
      <c r="G780" s="1056" t="s">
        <v>4306</v>
      </c>
      <c r="H780" s="433" t="s">
        <v>3478</v>
      </c>
      <c r="I780" s="111">
        <v>869.99999999999977</v>
      </c>
      <c r="J780" s="111">
        <v>4349.9999999999991</v>
      </c>
      <c r="K780" s="110"/>
      <c r="L780" s="110"/>
      <c r="M780" s="110"/>
      <c r="N780" s="110"/>
      <c r="O780" s="110"/>
      <c r="P780" s="110"/>
      <c r="Q780" s="433">
        <v>2</v>
      </c>
      <c r="R780" s="111">
        <v>1449.9999999999998</v>
      </c>
      <c r="S780" s="110"/>
      <c r="T780" s="110"/>
      <c r="U780" s="110"/>
      <c r="V780" s="110"/>
      <c r="W780" s="433">
        <v>2</v>
      </c>
      <c r="X780" s="111">
        <v>1449.9999999999998</v>
      </c>
      <c r="Y780" s="110"/>
      <c r="Z780" s="110"/>
      <c r="AA780" s="110"/>
      <c r="AB780" s="110"/>
      <c r="AC780" s="433">
        <v>1</v>
      </c>
      <c r="AD780" s="111">
        <v>1449.9999999999998</v>
      </c>
      <c r="AE780" s="110"/>
      <c r="AF780" s="110"/>
      <c r="AG780" s="110"/>
      <c r="AH780" s="1048"/>
    </row>
    <row r="781" spans="1:34" x14ac:dyDescent="0.25">
      <c r="A781" s="1047"/>
      <c r="B781" s="110"/>
      <c r="C781" s="110"/>
      <c r="D781" s="433"/>
      <c r="E781" s="207"/>
      <c r="F781" s="433"/>
      <c r="G781" s="1056"/>
      <c r="H781" s="433"/>
      <c r="I781" s="111"/>
      <c r="J781" s="111"/>
      <c r="K781" s="110"/>
      <c r="L781" s="110"/>
      <c r="M781" s="110"/>
      <c r="N781" s="110"/>
      <c r="O781" s="110"/>
      <c r="P781" s="110"/>
      <c r="Q781" s="433"/>
      <c r="R781" s="111"/>
      <c r="S781" s="110"/>
      <c r="T781" s="110"/>
      <c r="U781" s="110"/>
      <c r="V781" s="110"/>
      <c r="W781" s="433"/>
      <c r="X781" s="111"/>
      <c r="Y781" s="110"/>
      <c r="Z781" s="110"/>
      <c r="AA781" s="110"/>
      <c r="AB781" s="110"/>
      <c r="AC781" s="433"/>
      <c r="AD781" s="111"/>
      <c r="AE781" s="110"/>
      <c r="AF781" s="110"/>
      <c r="AG781" s="110"/>
      <c r="AH781" s="1048"/>
    </row>
    <row r="782" spans="1:34" x14ac:dyDescent="0.25">
      <c r="A782" s="1058">
        <v>37101</v>
      </c>
      <c r="B782" s="187" t="s">
        <v>4127</v>
      </c>
      <c r="C782" s="110"/>
      <c r="D782" s="433"/>
      <c r="E782" s="207"/>
      <c r="F782" s="433"/>
      <c r="G782" s="110"/>
      <c r="H782" s="433"/>
      <c r="I782" s="111"/>
      <c r="J782" s="111"/>
      <c r="K782" s="110"/>
      <c r="L782" s="110"/>
      <c r="M782" s="110"/>
      <c r="N782" s="110"/>
      <c r="O782" s="110"/>
      <c r="P782" s="110"/>
      <c r="Q782" s="433"/>
      <c r="R782" s="111"/>
      <c r="S782" s="110"/>
      <c r="T782" s="110"/>
      <c r="U782" s="110"/>
      <c r="V782" s="110"/>
      <c r="W782" s="433"/>
      <c r="X782" s="111"/>
      <c r="Y782" s="110"/>
      <c r="Z782" s="110"/>
      <c r="AA782" s="110"/>
      <c r="AB782" s="110"/>
      <c r="AC782" s="433"/>
      <c r="AD782" s="111"/>
      <c r="AE782" s="110"/>
      <c r="AF782" s="110"/>
      <c r="AG782" s="110"/>
      <c r="AH782" s="1048"/>
    </row>
    <row r="783" spans="1:34" ht="45" x14ac:dyDescent="0.25">
      <c r="A783" s="1047"/>
      <c r="B783" s="110" t="s">
        <v>4128</v>
      </c>
      <c r="C783" s="110"/>
      <c r="D783" s="433">
        <v>7</v>
      </c>
      <c r="E783" s="207" t="s">
        <v>1755</v>
      </c>
      <c r="F783" s="1178" t="s">
        <v>4353</v>
      </c>
      <c r="G783" s="1056" t="s">
        <v>4306</v>
      </c>
      <c r="H783" s="433" t="s">
        <v>3478</v>
      </c>
      <c r="I783" s="111">
        <v>4884.8157142857144</v>
      </c>
      <c r="J783" s="111">
        <v>34193.71</v>
      </c>
      <c r="K783" s="110"/>
      <c r="L783" s="110"/>
      <c r="M783" s="110"/>
      <c r="N783" s="110"/>
      <c r="O783" s="110"/>
      <c r="P783" s="110"/>
      <c r="Q783" s="433">
        <v>3</v>
      </c>
      <c r="R783" s="111">
        <v>11397.903333333334</v>
      </c>
      <c r="S783" s="110"/>
      <c r="T783" s="110"/>
      <c r="U783" s="110"/>
      <c r="V783" s="110"/>
      <c r="W783" s="433">
        <v>2</v>
      </c>
      <c r="X783" s="111">
        <v>11397.903333333334</v>
      </c>
      <c r="Y783" s="110"/>
      <c r="Z783" s="110"/>
      <c r="AA783" s="110"/>
      <c r="AB783" s="110"/>
      <c r="AC783" s="433">
        <v>2</v>
      </c>
      <c r="AD783" s="111">
        <v>11397.903333333334</v>
      </c>
      <c r="AE783" s="110"/>
      <c r="AF783" s="110"/>
      <c r="AG783" s="110"/>
      <c r="AH783" s="1048"/>
    </row>
    <row r="784" spans="1:34" x14ac:dyDescent="0.25">
      <c r="A784" s="1058">
        <v>37501</v>
      </c>
      <c r="B784" s="187" t="s">
        <v>933</v>
      </c>
      <c r="C784" s="110"/>
      <c r="D784" s="433"/>
      <c r="E784" s="207"/>
      <c r="F784" s="433"/>
      <c r="G784" s="110"/>
      <c r="H784" s="433"/>
      <c r="I784" s="111"/>
      <c r="J784" s="111"/>
      <c r="K784" s="110"/>
      <c r="L784" s="110"/>
      <c r="M784" s="110"/>
      <c r="N784" s="110"/>
      <c r="O784" s="110"/>
      <c r="P784" s="110"/>
      <c r="Q784" s="433"/>
      <c r="R784" s="111"/>
      <c r="S784" s="110"/>
      <c r="T784" s="110"/>
      <c r="U784" s="110"/>
      <c r="V784" s="110"/>
      <c r="W784" s="433"/>
      <c r="X784" s="111"/>
      <c r="Y784" s="110"/>
      <c r="Z784" s="110"/>
      <c r="AA784" s="110"/>
      <c r="AB784" s="110"/>
      <c r="AC784" s="433"/>
      <c r="AD784" s="111"/>
      <c r="AE784" s="110"/>
      <c r="AF784" s="110"/>
      <c r="AG784" s="110"/>
      <c r="AH784" s="1048"/>
    </row>
    <row r="785" spans="1:34" ht="45" x14ac:dyDescent="0.25">
      <c r="A785" s="1047"/>
      <c r="B785" s="110" t="s">
        <v>4129</v>
      </c>
      <c r="C785" s="110"/>
      <c r="D785" s="433">
        <v>871</v>
      </c>
      <c r="E785" s="207" t="s">
        <v>4130</v>
      </c>
      <c r="F785" s="1178" t="s">
        <v>4353</v>
      </c>
      <c r="G785" s="1056" t="s">
        <v>4306</v>
      </c>
      <c r="H785" s="433" t="s">
        <v>3478</v>
      </c>
      <c r="I785" s="111">
        <v>832.21944890929979</v>
      </c>
      <c r="J785" s="111">
        <v>724863.14000000013</v>
      </c>
      <c r="K785" s="110"/>
      <c r="L785" s="110"/>
      <c r="M785" s="110"/>
      <c r="N785" s="110"/>
      <c r="O785" s="110"/>
      <c r="P785" s="110"/>
      <c r="Q785" s="433">
        <v>471</v>
      </c>
      <c r="R785" s="111">
        <v>241621.04666666672</v>
      </c>
      <c r="S785" s="110"/>
      <c r="T785" s="110"/>
      <c r="U785" s="110"/>
      <c r="V785" s="110"/>
      <c r="W785" s="433">
        <v>200</v>
      </c>
      <c r="X785" s="111">
        <v>241621.04666666672</v>
      </c>
      <c r="Y785" s="110"/>
      <c r="Z785" s="110"/>
      <c r="AA785" s="110"/>
      <c r="AB785" s="110"/>
      <c r="AC785" s="433">
        <v>200</v>
      </c>
      <c r="AD785" s="111">
        <v>241621.04666666672</v>
      </c>
      <c r="AE785" s="110"/>
      <c r="AF785" s="110"/>
      <c r="AG785" s="110"/>
      <c r="AH785" s="1048"/>
    </row>
    <row r="786" spans="1:34" x14ac:dyDescent="0.25">
      <c r="A786" s="1047"/>
      <c r="B786" s="110"/>
      <c r="C786" s="110"/>
      <c r="D786" s="433"/>
      <c r="E786" s="207"/>
      <c r="F786" s="433"/>
      <c r="G786" s="110"/>
      <c r="H786" s="433"/>
      <c r="I786" s="111"/>
      <c r="J786" s="111"/>
      <c r="K786" s="110"/>
      <c r="L786" s="110"/>
      <c r="M786" s="110"/>
      <c r="N786" s="110"/>
      <c r="O786" s="110"/>
      <c r="P786" s="110"/>
      <c r="Q786" s="433"/>
      <c r="R786" s="111"/>
      <c r="S786" s="110"/>
      <c r="T786" s="110"/>
      <c r="U786" s="110"/>
      <c r="V786" s="110"/>
      <c r="W786" s="433"/>
      <c r="X786" s="111"/>
      <c r="Y786" s="110"/>
      <c r="Z786" s="110"/>
      <c r="AA786" s="110"/>
      <c r="AB786" s="110"/>
      <c r="AC786" s="433"/>
      <c r="AD786" s="111"/>
      <c r="AE786" s="110"/>
      <c r="AF786" s="110"/>
      <c r="AG786" s="110"/>
      <c r="AH786" s="1048"/>
    </row>
    <row r="787" spans="1:34" x14ac:dyDescent="0.25">
      <c r="A787" s="1047"/>
      <c r="B787" s="110"/>
      <c r="C787" s="110"/>
      <c r="D787" s="433"/>
      <c r="E787" s="207"/>
      <c r="F787" s="433"/>
      <c r="G787" s="110"/>
      <c r="H787" s="433"/>
      <c r="I787" s="111"/>
      <c r="J787" s="111"/>
      <c r="K787" s="110"/>
      <c r="L787" s="110"/>
      <c r="M787" s="110"/>
      <c r="N787" s="110"/>
      <c r="O787" s="110"/>
      <c r="P787" s="110"/>
      <c r="Q787" s="433"/>
      <c r="R787" s="111"/>
      <c r="S787" s="110"/>
      <c r="T787" s="110"/>
      <c r="U787" s="110"/>
      <c r="V787" s="110"/>
      <c r="W787" s="433"/>
      <c r="X787" s="111"/>
      <c r="Y787" s="110"/>
      <c r="Z787" s="110"/>
      <c r="AA787" s="110"/>
      <c r="AB787" s="110"/>
      <c r="AC787" s="433"/>
      <c r="AD787" s="111"/>
      <c r="AE787" s="110"/>
      <c r="AF787" s="110"/>
      <c r="AG787" s="110"/>
      <c r="AH787" s="1048"/>
    </row>
    <row r="788" spans="1:34" x14ac:dyDescent="0.25">
      <c r="A788" s="1047"/>
      <c r="B788" s="110"/>
      <c r="C788" s="110"/>
      <c r="D788" s="433"/>
      <c r="E788" s="207"/>
      <c r="F788" s="433"/>
      <c r="G788" s="110"/>
      <c r="H788" s="433"/>
      <c r="I788" s="111"/>
      <c r="J788" s="111"/>
      <c r="K788" s="110"/>
      <c r="L788" s="110"/>
      <c r="M788" s="110"/>
      <c r="N788" s="110"/>
      <c r="O788" s="110"/>
      <c r="P788" s="110"/>
      <c r="Q788" s="433"/>
      <c r="R788" s="111"/>
      <c r="S788" s="110"/>
      <c r="T788" s="110"/>
      <c r="U788" s="110"/>
      <c r="V788" s="110"/>
      <c r="W788" s="433"/>
      <c r="X788" s="111"/>
      <c r="Y788" s="110"/>
      <c r="Z788" s="110"/>
      <c r="AA788" s="110"/>
      <c r="AB788" s="110"/>
      <c r="AC788" s="433"/>
      <c r="AD788" s="111"/>
      <c r="AE788" s="110"/>
      <c r="AF788" s="110"/>
      <c r="AG788" s="110"/>
      <c r="AH788" s="1048"/>
    </row>
    <row r="789" spans="1:34" x14ac:dyDescent="0.25">
      <c r="A789" s="1058">
        <v>37201</v>
      </c>
      <c r="B789" s="187" t="s">
        <v>4131</v>
      </c>
      <c r="C789" s="110"/>
      <c r="D789" s="433"/>
      <c r="E789" s="207"/>
      <c r="F789" s="433"/>
      <c r="G789" s="110"/>
      <c r="H789" s="433"/>
      <c r="I789" s="111"/>
      <c r="J789" s="111"/>
      <c r="K789" s="110"/>
      <c r="L789" s="110"/>
      <c r="M789" s="110"/>
      <c r="N789" s="110"/>
      <c r="O789" s="110"/>
      <c r="P789" s="110"/>
      <c r="Q789" s="433"/>
      <c r="R789" s="111"/>
      <c r="S789" s="110"/>
      <c r="T789" s="110"/>
      <c r="U789" s="110"/>
      <c r="V789" s="110"/>
      <c r="W789" s="433"/>
      <c r="X789" s="111"/>
      <c r="Y789" s="110"/>
      <c r="Z789" s="110"/>
      <c r="AA789" s="110"/>
      <c r="AB789" s="110"/>
      <c r="AC789" s="433"/>
      <c r="AD789" s="111"/>
      <c r="AE789" s="110"/>
      <c r="AF789" s="110"/>
      <c r="AG789" s="110"/>
      <c r="AH789" s="1048"/>
    </row>
    <row r="790" spans="1:34" ht="45" x14ac:dyDescent="0.25">
      <c r="A790" s="1047"/>
      <c r="B790" s="110" t="s">
        <v>4132</v>
      </c>
      <c r="C790" s="110"/>
      <c r="D790" s="433">
        <v>316</v>
      </c>
      <c r="E790" s="207" t="s">
        <v>1755</v>
      </c>
      <c r="F790" s="1178" t="s">
        <v>4353</v>
      </c>
      <c r="G790" s="1056" t="s">
        <v>4306</v>
      </c>
      <c r="H790" s="433" t="s">
        <v>3478</v>
      </c>
      <c r="I790" s="111">
        <v>637.95393797468353</v>
      </c>
      <c r="J790" s="111">
        <v>201593.44439999998</v>
      </c>
      <c r="K790" s="110"/>
      <c r="L790" s="110"/>
      <c r="M790" s="110"/>
      <c r="N790" s="110"/>
      <c r="O790" s="110"/>
      <c r="P790" s="110"/>
      <c r="Q790" s="433">
        <v>166</v>
      </c>
      <c r="R790" s="111">
        <v>67197.814799999993</v>
      </c>
      <c r="S790" s="110"/>
      <c r="T790" s="110"/>
      <c r="U790" s="110"/>
      <c r="V790" s="110"/>
      <c r="W790" s="433">
        <v>75</v>
      </c>
      <c r="X790" s="111">
        <v>67197.814799999993</v>
      </c>
      <c r="Y790" s="110"/>
      <c r="Z790" s="110"/>
      <c r="AA790" s="110"/>
      <c r="AB790" s="110"/>
      <c r="AC790" s="433">
        <v>75</v>
      </c>
      <c r="AD790" s="111">
        <v>67197.814799999993</v>
      </c>
      <c r="AE790" s="110"/>
      <c r="AF790" s="110"/>
      <c r="AG790" s="110"/>
      <c r="AH790" s="1048"/>
    </row>
    <row r="791" spans="1:34" x14ac:dyDescent="0.25">
      <c r="A791" s="1047"/>
      <c r="B791" s="110"/>
      <c r="C791" s="110"/>
      <c r="D791" s="433"/>
      <c r="E791" s="207"/>
      <c r="F791" s="433"/>
      <c r="G791" s="110"/>
      <c r="H791" s="433"/>
      <c r="I791" s="111"/>
      <c r="J791" s="111"/>
      <c r="K791" s="110"/>
      <c r="L791" s="110"/>
      <c r="M791" s="110"/>
      <c r="N791" s="110"/>
      <c r="O791" s="110"/>
      <c r="P791" s="110"/>
      <c r="Q791" s="433"/>
      <c r="R791" s="111"/>
      <c r="S791" s="110"/>
      <c r="T791" s="110"/>
      <c r="U791" s="110"/>
      <c r="V791" s="110"/>
      <c r="W791" s="433"/>
      <c r="X791" s="111"/>
      <c r="Y791" s="110"/>
      <c r="Z791" s="110"/>
      <c r="AA791" s="110"/>
      <c r="AB791" s="110"/>
      <c r="AC791" s="433"/>
      <c r="AD791" s="111"/>
      <c r="AE791" s="110"/>
      <c r="AF791" s="110"/>
      <c r="AG791" s="110"/>
      <c r="AH791" s="1048"/>
    </row>
    <row r="792" spans="1:34" x14ac:dyDescent="0.25">
      <c r="A792" s="1058">
        <v>38201</v>
      </c>
      <c r="B792" s="187" t="s">
        <v>944</v>
      </c>
      <c r="C792" s="110"/>
      <c r="D792" s="433"/>
      <c r="E792" s="207"/>
      <c r="F792" s="433"/>
      <c r="G792" s="110"/>
      <c r="H792" s="433"/>
      <c r="I792" s="111"/>
      <c r="J792" s="111"/>
      <c r="K792" s="110"/>
      <c r="L792" s="110"/>
      <c r="M792" s="110"/>
      <c r="N792" s="110"/>
      <c r="O792" s="110"/>
      <c r="P792" s="110"/>
      <c r="Q792" s="433"/>
      <c r="R792" s="111"/>
      <c r="S792" s="110"/>
      <c r="T792" s="110"/>
      <c r="U792" s="110"/>
      <c r="V792" s="110"/>
      <c r="W792" s="433"/>
      <c r="X792" s="111"/>
      <c r="Y792" s="110"/>
      <c r="Z792" s="110"/>
      <c r="AA792" s="110"/>
      <c r="AB792" s="110"/>
      <c r="AC792" s="433"/>
      <c r="AD792" s="111"/>
      <c r="AE792" s="110"/>
      <c r="AF792" s="110"/>
      <c r="AG792" s="110"/>
      <c r="AH792" s="1048"/>
    </row>
    <row r="793" spans="1:34" ht="45" x14ac:dyDescent="0.25">
      <c r="A793" s="1047"/>
      <c r="B793" s="110" t="s">
        <v>4133</v>
      </c>
      <c r="C793" s="110"/>
      <c r="D793" s="433">
        <v>1</v>
      </c>
      <c r="E793" s="207" t="s">
        <v>4134</v>
      </c>
      <c r="F793" s="1178" t="s">
        <v>4353</v>
      </c>
      <c r="G793" s="1056" t="s">
        <v>4306</v>
      </c>
      <c r="H793" s="433" t="s">
        <v>3478</v>
      </c>
      <c r="I793" s="111">
        <v>50000</v>
      </c>
      <c r="J793" s="111">
        <v>50000</v>
      </c>
      <c r="K793" s="110"/>
      <c r="L793" s="110"/>
      <c r="M793" s="110"/>
      <c r="N793" s="110"/>
      <c r="O793" s="110"/>
      <c r="P793" s="110"/>
      <c r="Q793" s="433">
        <v>1</v>
      </c>
      <c r="R793" s="111">
        <v>16666.666666666668</v>
      </c>
      <c r="S793" s="110"/>
      <c r="T793" s="110"/>
      <c r="U793" s="110"/>
      <c r="V793" s="110"/>
      <c r="W793" s="433">
        <v>0</v>
      </c>
      <c r="X793" s="111">
        <v>16666.666666666668</v>
      </c>
      <c r="Y793" s="110"/>
      <c r="Z793" s="110"/>
      <c r="AA793" s="110"/>
      <c r="AB793" s="110"/>
      <c r="AC793" s="433">
        <v>0</v>
      </c>
      <c r="AD793" s="111">
        <v>16666.666666666668</v>
      </c>
      <c r="AE793" s="110"/>
      <c r="AF793" s="110"/>
      <c r="AG793" s="110"/>
      <c r="AH793" s="1048"/>
    </row>
    <row r="794" spans="1:34" x14ac:dyDescent="0.25">
      <c r="A794" s="1047"/>
      <c r="B794" s="110"/>
      <c r="C794" s="110"/>
      <c r="D794" s="433"/>
      <c r="E794" s="207"/>
      <c r="F794" s="433"/>
      <c r="G794" s="110"/>
      <c r="H794" s="433"/>
      <c r="I794" s="111"/>
      <c r="J794" s="111"/>
      <c r="K794" s="110"/>
      <c r="L794" s="110"/>
      <c r="M794" s="110"/>
      <c r="N794" s="110"/>
      <c r="O794" s="110"/>
      <c r="P794" s="110"/>
      <c r="Q794" s="433"/>
      <c r="R794" s="111"/>
      <c r="S794" s="110"/>
      <c r="T794" s="110"/>
      <c r="U794" s="110"/>
      <c r="V794" s="110"/>
      <c r="W794" s="433"/>
      <c r="X794" s="111"/>
      <c r="Y794" s="110"/>
      <c r="Z794" s="110"/>
      <c r="AA794" s="110"/>
      <c r="AB794" s="110"/>
      <c r="AC794" s="433"/>
      <c r="AD794" s="111"/>
      <c r="AE794" s="110"/>
      <c r="AF794" s="110"/>
      <c r="AG794" s="110"/>
      <c r="AH794" s="1048"/>
    </row>
    <row r="795" spans="1:34" x14ac:dyDescent="0.25">
      <c r="A795" s="1058">
        <v>44102</v>
      </c>
      <c r="B795" s="187" t="s">
        <v>1016</v>
      </c>
      <c r="C795" s="110"/>
      <c r="D795" s="433"/>
      <c r="E795" s="207"/>
      <c r="F795" s="433"/>
      <c r="G795" s="110"/>
      <c r="H795" s="433"/>
      <c r="I795" s="111"/>
      <c r="J795" s="111"/>
      <c r="K795" s="110"/>
      <c r="L795" s="110"/>
      <c r="M795" s="110"/>
      <c r="N795" s="110"/>
      <c r="O795" s="110"/>
      <c r="P795" s="110"/>
      <c r="Q795" s="433"/>
      <c r="R795" s="111"/>
      <c r="S795" s="110"/>
      <c r="T795" s="110"/>
      <c r="U795" s="110"/>
      <c r="V795" s="110"/>
      <c r="W795" s="433"/>
      <c r="X795" s="111"/>
      <c r="Y795" s="110"/>
      <c r="Z795" s="110"/>
      <c r="AA795" s="110"/>
      <c r="AB795" s="110"/>
      <c r="AC795" s="433"/>
      <c r="AD795" s="111"/>
      <c r="AE795" s="110"/>
      <c r="AF795" s="110"/>
      <c r="AG795" s="110"/>
      <c r="AH795" s="1048"/>
    </row>
    <row r="796" spans="1:34" ht="45" x14ac:dyDescent="0.25">
      <c r="A796" s="1047"/>
      <c r="B796" s="110" t="s">
        <v>4135</v>
      </c>
      <c r="C796" s="110"/>
      <c r="D796" s="433">
        <v>697</v>
      </c>
      <c r="E796" s="207" t="s">
        <v>1721</v>
      </c>
      <c r="F796" s="1178" t="s">
        <v>4353</v>
      </c>
      <c r="G796" s="1056" t="s">
        <v>4306</v>
      </c>
      <c r="H796" s="433" t="s">
        <v>3478</v>
      </c>
      <c r="I796" s="111">
        <v>73.91</v>
      </c>
      <c r="J796" s="111">
        <v>51515.27</v>
      </c>
      <c r="K796" s="110"/>
      <c r="L796" s="110"/>
      <c r="M796" s="110"/>
      <c r="N796" s="110"/>
      <c r="O796" s="110"/>
      <c r="P796" s="110"/>
      <c r="Q796" s="433">
        <v>297</v>
      </c>
      <c r="R796" s="111">
        <v>17171.756666666664</v>
      </c>
      <c r="S796" s="110"/>
      <c r="T796" s="110"/>
      <c r="U796" s="110"/>
      <c r="V796" s="110"/>
      <c r="W796" s="433">
        <v>200</v>
      </c>
      <c r="X796" s="111">
        <v>17171.756666666664</v>
      </c>
      <c r="Y796" s="110"/>
      <c r="Z796" s="110"/>
      <c r="AA796" s="110"/>
      <c r="AB796" s="110"/>
      <c r="AC796" s="433">
        <v>200</v>
      </c>
      <c r="AD796" s="111">
        <v>17171.756666666664</v>
      </c>
      <c r="AE796" s="110"/>
      <c r="AF796" s="110"/>
      <c r="AG796" s="110"/>
      <c r="AH796" s="1048"/>
    </row>
    <row r="797" spans="1:34" ht="45" x14ac:dyDescent="0.25">
      <c r="A797" s="1047"/>
      <c r="B797" s="110" t="s">
        <v>4136</v>
      </c>
      <c r="C797" s="110"/>
      <c r="D797" s="433">
        <v>2523</v>
      </c>
      <c r="E797" s="207" t="s">
        <v>1721</v>
      </c>
      <c r="F797" s="1178" t="s">
        <v>4353</v>
      </c>
      <c r="G797" s="1056" t="s">
        <v>4306</v>
      </c>
      <c r="H797" s="433" t="s">
        <v>3478</v>
      </c>
      <c r="I797" s="111">
        <v>446.04000000000008</v>
      </c>
      <c r="J797" s="111">
        <v>1125358.9200000002</v>
      </c>
      <c r="K797" s="110"/>
      <c r="L797" s="110"/>
      <c r="M797" s="110"/>
      <c r="N797" s="110"/>
      <c r="O797" s="110"/>
      <c r="P797" s="110"/>
      <c r="Q797" s="433">
        <v>1523</v>
      </c>
      <c r="R797" s="111">
        <v>375119.64000000007</v>
      </c>
      <c r="S797" s="110"/>
      <c r="T797" s="110"/>
      <c r="U797" s="110"/>
      <c r="V797" s="110"/>
      <c r="W797" s="433">
        <v>500</v>
      </c>
      <c r="X797" s="111">
        <v>375119.64000000007</v>
      </c>
      <c r="Y797" s="110"/>
      <c r="Z797" s="110"/>
      <c r="AA797" s="110"/>
      <c r="AB797" s="110"/>
      <c r="AC797" s="433">
        <v>500</v>
      </c>
      <c r="AD797" s="111">
        <v>375119.64000000007</v>
      </c>
      <c r="AE797" s="110"/>
      <c r="AF797" s="110"/>
      <c r="AG797" s="110"/>
      <c r="AH797" s="1048"/>
    </row>
    <row r="798" spans="1:34" ht="45" x14ac:dyDescent="0.25">
      <c r="A798" s="1047"/>
      <c r="B798" s="110" t="s">
        <v>4137</v>
      </c>
      <c r="C798" s="110"/>
      <c r="D798" s="433">
        <v>2700</v>
      </c>
      <c r="E798" s="207" t="s">
        <v>1721</v>
      </c>
      <c r="F798" s="1178" t="s">
        <v>4353</v>
      </c>
      <c r="G798" s="1056" t="s">
        <v>4306</v>
      </c>
      <c r="H798" s="433" t="s">
        <v>3478</v>
      </c>
      <c r="I798" s="111">
        <v>513</v>
      </c>
      <c r="J798" s="111">
        <v>1385100</v>
      </c>
      <c r="K798" s="110"/>
      <c r="L798" s="110"/>
      <c r="M798" s="110"/>
      <c r="N798" s="110"/>
      <c r="O798" s="110"/>
      <c r="P798" s="110"/>
      <c r="Q798" s="433">
        <v>1700</v>
      </c>
      <c r="R798" s="111">
        <v>461700</v>
      </c>
      <c r="S798" s="110"/>
      <c r="T798" s="110"/>
      <c r="U798" s="110"/>
      <c r="V798" s="110"/>
      <c r="W798" s="433">
        <v>500</v>
      </c>
      <c r="X798" s="111">
        <v>461700</v>
      </c>
      <c r="Y798" s="110"/>
      <c r="Z798" s="110"/>
      <c r="AA798" s="110"/>
      <c r="AB798" s="110"/>
      <c r="AC798" s="433">
        <v>500</v>
      </c>
      <c r="AD798" s="111">
        <v>461700</v>
      </c>
      <c r="AE798" s="110"/>
      <c r="AF798" s="110"/>
      <c r="AG798" s="110"/>
      <c r="AH798" s="1048"/>
    </row>
    <row r="799" spans="1:34" ht="45" x14ac:dyDescent="0.25">
      <c r="A799" s="1047"/>
      <c r="B799" s="110" t="s">
        <v>4138</v>
      </c>
      <c r="C799" s="110"/>
      <c r="D799" s="433">
        <v>215000</v>
      </c>
      <c r="E799" s="207"/>
      <c r="F799" s="1178" t="s">
        <v>4353</v>
      </c>
      <c r="G799" s="1056" t="s">
        <v>4306</v>
      </c>
      <c r="H799" s="433" t="s">
        <v>3478</v>
      </c>
      <c r="I799" s="111">
        <v>321.27</v>
      </c>
      <c r="J799" s="111">
        <v>69073050</v>
      </c>
      <c r="K799" s="110"/>
      <c r="L799" s="110"/>
      <c r="M799" s="110"/>
      <c r="N799" s="110"/>
      <c r="O799" s="110"/>
      <c r="P799" s="110"/>
      <c r="Q799" s="433">
        <v>115000</v>
      </c>
      <c r="R799" s="111">
        <v>23024350</v>
      </c>
      <c r="S799" s="110"/>
      <c r="T799" s="110"/>
      <c r="U799" s="110"/>
      <c r="V799" s="110"/>
      <c r="W799" s="433">
        <v>50000</v>
      </c>
      <c r="X799" s="111">
        <v>23024350</v>
      </c>
      <c r="Y799" s="110"/>
      <c r="Z799" s="110"/>
      <c r="AA799" s="110"/>
      <c r="AB799" s="110"/>
      <c r="AC799" s="433">
        <v>50000</v>
      </c>
      <c r="AD799" s="111">
        <v>23024350</v>
      </c>
      <c r="AE799" s="110"/>
      <c r="AF799" s="110"/>
      <c r="AG799" s="110"/>
      <c r="AH799" s="1048"/>
    </row>
    <row r="800" spans="1:34" x14ac:dyDescent="0.25">
      <c r="A800" s="1047" t="s">
        <v>4139</v>
      </c>
      <c r="B800" s="110"/>
      <c r="C800" s="110"/>
      <c r="D800" s="433"/>
      <c r="E800" s="207"/>
      <c r="F800" s="433"/>
      <c r="G800" s="110"/>
      <c r="H800" s="433"/>
      <c r="I800" s="111"/>
      <c r="J800" s="111"/>
      <c r="K800" s="110"/>
      <c r="L800" s="110"/>
      <c r="M800" s="110"/>
      <c r="N800" s="110"/>
      <c r="O800" s="110"/>
      <c r="P800" s="110"/>
      <c r="Q800" s="433"/>
      <c r="R800" s="111"/>
      <c r="S800" s="110"/>
      <c r="T800" s="110"/>
      <c r="U800" s="110"/>
      <c r="V800" s="110"/>
      <c r="W800" s="433"/>
      <c r="X800" s="111"/>
      <c r="Y800" s="110"/>
      <c r="Z800" s="110"/>
      <c r="AA800" s="110"/>
      <c r="AB800" s="110"/>
      <c r="AC800" s="433"/>
      <c r="AD800" s="111"/>
      <c r="AE800" s="110"/>
      <c r="AF800" s="110"/>
      <c r="AG800" s="110"/>
      <c r="AH800" s="1048"/>
    </row>
    <row r="801" spans="1:34" ht="45" x14ac:dyDescent="0.25">
      <c r="A801" s="1047"/>
      <c r="B801" s="1057" t="s">
        <v>2256</v>
      </c>
      <c r="C801" s="110"/>
      <c r="D801" s="433">
        <v>120</v>
      </c>
      <c r="E801" s="207" t="s">
        <v>1722</v>
      </c>
      <c r="F801" s="1178" t="s">
        <v>4353</v>
      </c>
      <c r="G801" s="1056" t="s">
        <v>4306</v>
      </c>
      <c r="H801" s="433" t="s">
        <v>3478</v>
      </c>
      <c r="I801" s="111">
        <v>30.24</v>
      </c>
      <c r="J801" s="111">
        <v>3628.7999999999997</v>
      </c>
      <c r="K801" s="110"/>
      <c r="L801" s="110"/>
      <c r="M801" s="110"/>
      <c r="N801" s="110"/>
      <c r="O801" s="110"/>
      <c r="P801" s="110"/>
      <c r="Q801" s="433">
        <v>60</v>
      </c>
      <c r="R801" s="111">
        <v>1209.5999999999999</v>
      </c>
      <c r="S801" s="110"/>
      <c r="T801" s="110"/>
      <c r="U801" s="110"/>
      <c r="V801" s="110"/>
      <c r="W801" s="433">
        <v>30</v>
      </c>
      <c r="X801" s="111">
        <v>1209.5999999999999</v>
      </c>
      <c r="Y801" s="110"/>
      <c r="Z801" s="110"/>
      <c r="AA801" s="110"/>
      <c r="AB801" s="110"/>
      <c r="AC801" s="433">
        <v>30</v>
      </c>
      <c r="AD801" s="111">
        <v>1209.5999999999999</v>
      </c>
      <c r="AE801" s="110"/>
      <c r="AF801" s="110"/>
      <c r="AG801" s="110"/>
      <c r="AH801" s="1048"/>
    </row>
    <row r="802" spans="1:34" ht="45" x14ac:dyDescent="0.25">
      <c r="A802" s="1047"/>
      <c r="B802" s="110" t="s">
        <v>2257</v>
      </c>
      <c r="C802" s="110"/>
      <c r="D802" s="433">
        <v>120</v>
      </c>
      <c r="E802" s="207" t="s">
        <v>1722</v>
      </c>
      <c r="F802" s="1178" t="s">
        <v>4353</v>
      </c>
      <c r="G802" s="1056" t="s">
        <v>4306</v>
      </c>
      <c r="H802" s="433" t="s">
        <v>3478</v>
      </c>
      <c r="I802" s="111">
        <v>43.2</v>
      </c>
      <c r="J802" s="111">
        <v>5184</v>
      </c>
      <c r="K802" s="110"/>
      <c r="L802" s="110"/>
      <c r="M802" s="110"/>
      <c r="N802" s="110"/>
      <c r="O802" s="110"/>
      <c r="P802" s="110"/>
      <c r="Q802" s="433">
        <v>60</v>
      </c>
      <c r="R802" s="111">
        <v>1728</v>
      </c>
      <c r="S802" s="110"/>
      <c r="T802" s="110"/>
      <c r="U802" s="110"/>
      <c r="V802" s="110"/>
      <c r="W802" s="433">
        <v>30</v>
      </c>
      <c r="X802" s="111">
        <v>1728</v>
      </c>
      <c r="Y802" s="110"/>
      <c r="Z802" s="110"/>
      <c r="AA802" s="110"/>
      <c r="AB802" s="110"/>
      <c r="AC802" s="433">
        <v>30</v>
      </c>
      <c r="AD802" s="111">
        <v>1728</v>
      </c>
      <c r="AE802" s="110"/>
      <c r="AF802" s="110"/>
      <c r="AG802" s="110"/>
      <c r="AH802" s="1048"/>
    </row>
    <row r="803" spans="1:34" ht="45" x14ac:dyDescent="0.25">
      <c r="A803" s="1047"/>
      <c r="B803" s="110" t="s">
        <v>2258</v>
      </c>
      <c r="C803" s="110"/>
      <c r="D803" s="433">
        <v>156</v>
      </c>
      <c r="E803" s="207" t="s">
        <v>1722</v>
      </c>
      <c r="F803" s="1178" t="s">
        <v>4353</v>
      </c>
      <c r="G803" s="1056" t="s">
        <v>4306</v>
      </c>
      <c r="H803" s="433" t="s">
        <v>3478</v>
      </c>
      <c r="I803" s="111">
        <v>70</v>
      </c>
      <c r="J803" s="111">
        <v>10920</v>
      </c>
      <c r="K803" s="110"/>
      <c r="L803" s="110"/>
      <c r="M803" s="110"/>
      <c r="N803" s="110"/>
      <c r="O803" s="110"/>
      <c r="P803" s="110"/>
      <c r="Q803" s="433">
        <v>56</v>
      </c>
      <c r="R803" s="111">
        <v>3640</v>
      </c>
      <c r="S803" s="110"/>
      <c r="T803" s="110"/>
      <c r="U803" s="110"/>
      <c r="V803" s="110"/>
      <c r="W803" s="433">
        <v>50</v>
      </c>
      <c r="X803" s="111">
        <v>3640</v>
      </c>
      <c r="Y803" s="110"/>
      <c r="Z803" s="110"/>
      <c r="AA803" s="110"/>
      <c r="AB803" s="110"/>
      <c r="AC803" s="433">
        <v>50</v>
      </c>
      <c r="AD803" s="111">
        <v>3640</v>
      </c>
      <c r="AE803" s="110"/>
      <c r="AF803" s="110"/>
      <c r="AG803" s="110"/>
      <c r="AH803" s="1048"/>
    </row>
    <row r="804" spans="1:34" ht="45" x14ac:dyDescent="0.25">
      <c r="A804" s="1047"/>
      <c r="B804" s="110" t="s">
        <v>623</v>
      </c>
      <c r="C804" s="110"/>
      <c r="D804" s="433">
        <v>120</v>
      </c>
      <c r="E804" s="207" t="s">
        <v>1722</v>
      </c>
      <c r="F804" s="1178" t="s">
        <v>4353</v>
      </c>
      <c r="G804" s="1056" t="s">
        <v>4306</v>
      </c>
      <c r="H804" s="433" t="s">
        <v>3478</v>
      </c>
      <c r="I804" s="111">
        <v>42.12</v>
      </c>
      <c r="J804" s="111">
        <v>5054.3999999999996</v>
      </c>
      <c r="K804" s="110"/>
      <c r="L804" s="110"/>
      <c r="M804" s="110"/>
      <c r="N804" s="110"/>
      <c r="O804" s="110"/>
      <c r="P804" s="110"/>
      <c r="Q804" s="433">
        <v>60</v>
      </c>
      <c r="R804" s="111">
        <v>1684.8</v>
      </c>
      <c r="S804" s="110"/>
      <c r="T804" s="110"/>
      <c r="U804" s="110"/>
      <c r="V804" s="110"/>
      <c r="W804" s="433">
        <v>30</v>
      </c>
      <c r="X804" s="111">
        <v>1684.8</v>
      </c>
      <c r="Y804" s="110"/>
      <c r="Z804" s="110"/>
      <c r="AA804" s="110"/>
      <c r="AB804" s="110"/>
      <c r="AC804" s="433">
        <v>30</v>
      </c>
      <c r="AD804" s="111">
        <v>1684.8</v>
      </c>
      <c r="AE804" s="110"/>
      <c r="AF804" s="110"/>
      <c r="AG804" s="110"/>
      <c r="AH804" s="1048"/>
    </row>
    <row r="805" spans="1:34" ht="45" x14ac:dyDescent="0.25">
      <c r="A805" s="1047"/>
      <c r="B805" s="110" t="s">
        <v>2259</v>
      </c>
      <c r="C805" s="110"/>
      <c r="D805" s="433">
        <v>720</v>
      </c>
      <c r="E805" s="207" t="s">
        <v>1722</v>
      </c>
      <c r="F805" s="1178" t="s">
        <v>4353</v>
      </c>
      <c r="G805" s="1056" t="s">
        <v>4306</v>
      </c>
      <c r="H805" s="433" t="s">
        <v>3478</v>
      </c>
      <c r="I805" s="111">
        <v>16.2</v>
      </c>
      <c r="J805" s="111">
        <v>11664</v>
      </c>
      <c r="K805" s="110"/>
      <c r="L805" s="110"/>
      <c r="M805" s="110"/>
      <c r="N805" s="110"/>
      <c r="O805" s="110"/>
      <c r="P805" s="110"/>
      <c r="Q805" s="433">
        <v>420</v>
      </c>
      <c r="R805" s="111">
        <v>3888</v>
      </c>
      <c r="S805" s="110"/>
      <c r="T805" s="110"/>
      <c r="U805" s="110"/>
      <c r="V805" s="110"/>
      <c r="W805" s="433">
        <v>200</v>
      </c>
      <c r="X805" s="111">
        <v>3888</v>
      </c>
      <c r="Y805" s="110"/>
      <c r="Z805" s="110"/>
      <c r="AA805" s="110"/>
      <c r="AB805" s="110"/>
      <c r="AC805" s="433">
        <v>100</v>
      </c>
      <c r="AD805" s="111">
        <v>3888</v>
      </c>
      <c r="AE805" s="110"/>
      <c r="AF805" s="110"/>
      <c r="AG805" s="110"/>
      <c r="AH805" s="1048"/>
    </row>
    <row r="806" spans="1:34" ht="45" x14ac:dyDescent="0.25">
      <c r="A806" s="1047"/>
      <c r="B806" s="110" t="s">
        <v>2260</v>
      </c>
      <c r="C806" s="110"/>
      <c r="D806" s="433">
        <v>720</v>
      </c>
      <c r="E806" s="207" t="s">
        <v>1722</v>
      </c>
      <c r="F806" s="1178" t="s">
        <v>4353</v>
      </c>
      <c r="G806" s="1056" t="s">
        <v>4306</v>
      </c>
      <c r="H806" s="433" t="s">
        <v>3478</v>
      </c>
      <c r="I806" s="111">
        <v>692.64</v>
      </c>
      <c r="J806" s="111">
        <v>498700.79999999999</v>
      </c>
      <c r="K806" s="110"/>
      <c r="L806" s="110"/>
      <c r="M806" s="110"/>
      <c r="N806" s="110"/>
      <c r="O806" s="110"/>
      <c r="P806" s="110"/>
      <c r="Q806" s="433">
        <v>420</v>
      </c>
      <c r="R806" s="111">
        <v>166233.60000000001</v>
      </c>
      <c r="S806" s="110"/>
      <c r="T806" s="110"/>
      <c r="U806" s="110"/>
      <c r="V806" s="110"/>
      <c r="W806" s="433">
        <v>200</v>
      </c>
      <c r="X806" s="111">
        <v>166233.60000000001</v>
      </c>
      <c r="Y806" s="110"/>
      <c r="Z806" s="110"/>
      <c r="AA806" s="110"/>
      <c r="AB806" s="110"/>
      <c r="AC806" s="433">
        <v>100</v>
      </c>
      <c r="AD806" s="111">
        <v>166233.60000000001</v>
      </c>
      <c r="AE806" s="110"/>
      <c r="AF806" s="110"/>
      <c r="AG806" s="110"/>
      <c r="AH806" s="1048"/>
    </row>
    <row r="807" spans="1:34" ht="45" x14ac:dyDescent="0.25">
      <c r="A807" s="1047"/>
      <c r="B807" s="110" t="s">
        <v>2261</v>
      </c>
      <c r="C807" s="110"/>
      <c r="D807" s="433">
        <v>600</v>
      </c>
      <c r="E807" s="207" t="s">
        <v>1722</v>
      </c>
      <c r="F807" s="1178" t="s">
        <v>4353</v>
      </c>
      <c r="G807" s="1056" t="s">
        <v>4306</v>
      </c>
      <c r="H807" s="433" t="s">
        <v>3478</v>
      </c>
      <c r="I807" s="111">
        <v>84.24</v>
      </c>
      <c r="J807" s="111">
        <v>50544</v>
      </c>
      <c r="K807" s="110"/>
      <c r="L807" s="110"/>
      <c r="M807" s="110"/>
      <c r="N807" s="110"/>
      <c r="O807" s="110"/>
      <c r="P807" s="110"/>
      <c r="Q807" s="433">
        <v>200</v>
      </c>
      <c r="R807" s="111">
        <v>16848</v>
      </c>
      <c r="S807" s="110"/>
      <c r="T807" s="110"/>
      <c r="U807" s="110"/>
      <c r="V807" s="110"/>
      <c r="W807" s="433">
        <v>200</v>
      </c>
      <c r="X807" s="111">
        <v>16848</v>
      </c>
      <c r="Y807" s="110"/>
      <c r="Z807" s="110"/>
      <c r="AA807" s="110"/>
      <c r="AB807" s="110"/>
      <c r="AC807" s="433">
        <v>200</v>
      </c>
      <c r="AD807" s="111">
        <v>16848</v>
      </c>
      <c r="AE807" s="110"/>
      <c r="AF807" s="110"/>
      <c r="AG807" s="110"/>
      <c r="AH807" s="1048"/>
    </row>
    <row r="808" spans="1:34" ht="45" x14ac:dyDescent="0.25">
      <c r="A808" s="1047"/>
      <c r="B808" s="110" t="s">
        <v>2262</v>
      </c>
      <c r="C808" s="110"/>
      <c r="D808" s="433">
        <v>600</v>
      </c>
      <c r="E808" s="207" t="s">
        <v>1722</v>
      </c>
      <c r="F808" s="1178" t="s">
        <v>4353</v>
      </c>
      <c r="G808" s="1056" t="s">
        <v>4306</v>
      </c>
      <c r="H808" s="433" t="s">
        <v>3478</v>
      </c>
      <c r="I808" s="111">
        <v>37.799999999999997</v>
      </c>
      <c r="J808" s="111">
        <v>22680</v>
      </c>
      <c r="K808" s="110"/>
      <c r="L808" s="110"/>
      <c r="M808" s="110"/>
      <c r="N808" s="110"/>
      <c r="O808" s="110"/>
      <c r="P808" s="110"/>
      <c r="Q808" s="433">
        <v>200</v>
      </c>
      <c r="R808" s="111">
        <v>7560</v>
      </c>
      <c r="S808" s="110"/>
      <c r="T808" s="110"/>
      <c r="U808" s="110"/>
      <c r="V808" s="110"/>
      <c r="W808" s="433">
        <v>200</v>
      </c>
      <c r="X808" s="111">
        <v>7560</v>
      </c>
      <c r="Y808" s="110"/>
      <c r="Z808" s="110"/>
      <c r="AA808" s="110"/>
      <c r="AB808" s="110"/>
      <c r="AC808" s="433">
        <v>200</v>
      </c>
      <c r="AD808" s="111">
        <v>7560</v>
      </c>
      <c r="AE808" s="110"/>
      <c r="AF808" s="110"/>
      <c r="AG808" s="110"/>
      <c r="AH808" s="1048"/>
    </row>
    <row r="809" spans="1:34" ht="45" x14ac:dyDescent="0.25">
      <c r="A809" s="1047"/>
      <c r="B809" s="110" t="s">
        <v>2263</v>
      </c>
      <c r="C809" s="110"/>
      <c r="D809" s="433">
        <v>120</v>
      </c>
      <c r="E809" s="207" t="s">
        <v>1722</v>
      </c>
      <c r="F809" s="1178" t="s">
        <v>4353</v>
      </c>
      <c r="G809" s="1056" t="s">
        <v>4306</v>
      </c>
      <c r="H809" s="433" t="s">
        <v>3478</v>
      </c>
      <c r="I809" s="111">
        <v>43.2</v>
      </c>
      <c r="J809" s="111">
        <v>5184</v>
      </c>
      <c r="K809" s="110"/>
      <c r="L809" s="110"/>
      <c r="M809" s="110"/>
      <c r="N809" s="110"/>
      <c r="O809" s="110"/>
      <c r="P809" s="110"/>
      <c r="Q809" s="433">
        <v>60</v>
      </c>
      <c r="R809" s="111">
        <v>1728</v>
      </c>
      <c r="S809" s="110"/>
      <c r="T809" s="110"/>
      <c r="U809" s="110"/>
      <c r="V809" s="110"/>
      <c r="W809" s="433">
        <v>30</v>
      </c>
      <c r="X809" s="111">
        <v>1728</v>
      </c>
      <c r="Y809" s="110"/>
      <c r="Z809" s="110"/>
      <c r="AA809" s="110"/>
      <c r="AB809" s="110"/>
      <c r="AC809" s="433">
        <v>30</v>
      </c>
      <c r="AD809" s="111">
        <v>1728</v>
      </c>
      <c r="AE809" s="110"/>
      <c r="AF809" s="110"/>
      <c r="AG809" s="110"/>
      <c r="AH809" s="1048"/>
    </row>
    <row r="810" spans="1:34" ht="45" x14ac:dyDescent="0.25">
      <c r="A810" s="1047"/>
      <c r="B810" s="110" t="s">
        <v>2264</v>
      </c>
      <c r="C810" s="110"/>
      <c r="D810" s="433">
        <v>240</v>
      </c>
      <c r="E810" s="207" t="s">
        <v>1722</v>
      </c>
      <c r="F810" s="1178" t="s">
        <v>4353</v>
      </c>
      <c r="G810" s="1056" t="s">
        <v>4306</v>
      </c>
      <c r="H810" s="433" t="s">
        <v>3478</v>
      </c>
      <c r="I810" s="111">
        <v>43.2</v>
      </c>
      <c r="J810" s="111">
        <v>10368</v>
      </c>
      <c r="K810" s="110"/>
      <c r="L810" s="110"/>
      <c r="M810" s="110"/>
      <c r="N810" s="110"/>
      <c r="O810" s="110"/>
      <c r="P810" s="110"/>
      <c r="Q810" s="433">
        <v>140</v>
      </c>
      <c r="R810" s="111">
        <v>3456</v>
      </c>
      <c r="S810" s="110"/>
      <c r="T810" s="110"/>
      <c r="U810" s="110"/>
      <c r="V810" s="110"/>
      <c r="W810" s="433">
        <v>50</v>
      </c>
      <c r="X810" s="111">
        <v>3456</v>
      </c>
      <c r="Y810" s="110"/>
      <c r="Z810" s="110"/>
      <c r="AA810" s="110"/>
      <c r="AB810" s="110"/>
      <c r="AC810" s="433">
        <v>50</v>
      </c>
      <c r="AD810" s="111">
        <v>3456</v>
      </c>
      <c r="AE810" s="110"/>
      <c r="AF810" s="110"/>
      <c r="AG810" s="110"/>
      <c r="AH810" s="1048"/>
    </row>
    <row r="811" spans="1:34" ht="45" x14ac:dyDescent="0.25">
      <c r="A811" s="1047"/>
      <c r="B811" s="110" t="s">
        <v>2265</v>
      </c>
      <c r="C811" s="110"/>
      <c r="D811" s="433">
        <v>180</v>
      </c>
      <c r="E811" s="207" t="s">
        <v>1722</v>
      </c>
      <c r="F811" s="1178" t="s">
        <v>4353</v>
      </c>
      <c r="G811" s="1056" t="s">
        <v>4306</v>
      </c>
      <c r="H811" s="433" t="s">
        <v>3478</v>
      </c>
      <c r="I811" s="111">
        <v>45.36</v>
      </c>
      <c r="J811" s="111">
        <v>8164.8</v>
      </c>
      <c r="K811" s="110"/>
      <c r="L811" s="110"/>
      <c r="M811" s="110"/>
      <c r="N811" s="110"/>
      <c r="O811" s="110"/>
      <c r="P811" s="110"/>
      <c r="Q811" s="433">
        <v>80</v>
      </c>
      <c r="R811" s="111">
        <v>2721.6</v>
      </c>
      <c r="S811" s="110"/>
      <c r="T811" s="110"/>
      <c r="U811" s="110"/>
      <c r="V811" s="110"/>
      <c r="W811" s="433">
        <v>50</v>
      </c>
      <c r="X811" s="111">
        <v>2721.6</v>
      </c>
      <c r="Y811" s="110"/>
      <c r="Z811" s="110"/>
      <c r="AA811" s="110"/>
      <c r="AB811" s="110"/>
      <c r="AC811" s="433">
        <v>50</v>
      </c>
      <c r="AD811" s="111">
        <v>2721.6</v>
      </c>
      <c r="AE811" s="110"/>
      <c r="AF811" s="110"/>
      <c r="AG811" s="110"/>
      <c r="AH811" s="1048"/>
    </row>
    <row r="812" spans="1:34" ht="45" x14ac:dyDescent="0.25">
      <c r="A812" s="1047"/>
      <c r="B812" s="110" t="s">
        <v>2266</v>
      </c>
      <c r="C812" s="110"/>
      <c r="D812" s="433">
        <v>120</v>
      </c>
      <c r="E812" s="207" t="s">
        <v>1722</v>
      </c>
      <c r="F812" s="1178" t="s">
        <v>4353</v>
      </c>
      <c r="G812" s="1056" t="s">
        <v>4306</v>
      </c>
      <c r="H812" s="433" t="s">
        <v>3478</v>
      </c>
      <c r="I812" s="111">
        <v>51.84</v>
      </c>
      <c r="J812" s="111">
        <v>6220.8</v>
      </c>
      <c r="K812" s="110"/>
      <c r="L812" s="110"/>
      <c r="M812" s="110"/>
      <c r="N812" s="110"/>
      <c r="O812" s="110"/>
      <c r="P812" s="110"/>
      <c r="Q812" s="433">
        <v>60</v>
      </c>
      <c r="R812" s="111">
        <v>2073.6</v>
      </c>
      <c r="S812" s="110"/>
      <c r="T812" s="110"/>
      <c r="U812" s="110"/>
      <c r="V812" s="110"/>
      <c r="W812" s="433">
        <v>30</v>
      </c>
      <c r="X812" s="111">
        <v>2073.6</v>
      </c>
      <c r="Y812" s="110"/>
      <c r="Z812" s="110"/>
      <c r="AA812" s="110"/>
      <c r="AB812" s="110"/>
      <c r="AC812" s="433">
        <v>30</v>
      </c>
      <c r="AD812" s="111">
        <v>2073.6</v>
      </c>
      <c r="AE812" s="110"/>
      <c r="AF812" s="110"/>
      <c r="AG812" s="110"/>
      <c r="AH812" s="1048"/>
    </row>
    <row r="813" spans="1:34" ht="45" x14ac:dyDescent="0.25">
      <c r="A813" s="1047"/>
      <c r="B813" s="110" t="s">
        <v>2267</v>
      </c>
      <c r="C813" s="110"/>
      <c r="D813" s="433">
        <v>120</v>
      </c>
      <c r="E813" s="207" t="s">
        <v>1722</v>
      </c>
      <c r="F813" s="1178" t="s">
        <v>4353</v>
      </c>
      <c r="G813" s="1056" t="s">
        <v>4306</v>
      </c>
      <c r="H813" s="433" t="s">
        <v>3478</v>
      </c>
      <c r="I813" s="111">
        <v>18.36</v>
      </c>
      <c r="J813" s="111">
        <v>2203.1999999999998</v>
      </c>
      <c r="K813" s="110"/>
      <c r="L813" s="110"/>
      <c r="M813" s="110"/>
      <c r="N813" s="110"/>
      <c r="O813" s="110"/>
      <c r="P813" s="110"/>
      <c r="Q813" s="433">
        <v>60</v>
      </c>
      <c r="R813" s="111">
        <v>734.4</v>
      </c>
      <c r="S813" s="110"/>
      <c r="T813" s="110"/>
      <c r="U813" s="110"/>
      <c r="V813" s="110"/>
      <c r="W813" s="433">
        <v>30</v>
      </c>
      <c r="X813" s="111">
        <v>734.4</v>
      </c>
      <c r="Y813" s="110"/>
      <c r="Z813" s="110"/>
      <c r="AA813" s="110"/>
      <c r="AB813" s="110"/>
      <c r="AC813" s="433">
        <v>30</v>
      </c>
      <c r="AD813" s="111">
        <v>734.4</v>
      </c>
      <c r="AE813" s="110"/>
      <c r="AF813" s="110"/>
      <c r="AG813" s="110"/>
      <c r="AH813" s="1048"/>
    </row>
    <row r="814" spans="1:34" ht="45" x14ac:dyDescent="0.25">
      <c r="A814" s="1047"/>
      <c r="B814" s="110" t="s">
        <v>2268</v>
      </c>
      <c r="C814" s="110"/>
      <c r="D814" s="433">
        <v>360</v>
      </c>
      <c r="E814" s="207" t="s">
        <v>1722</v>
      </c>
      <c r="F814" s="1178" t="s">
        <v>4353</v>
      </c>
      <c r="G814" s="1056" t="s">
        <v>4306</v>
      </c>
      <c r="H814" s="433" t="s">
        <v>3478</v>
      </c>
      <c r="I814" s="111">
        <v>56.16</v>
      </c>
      <c r="J814" s="111">
        <v>20217.599999999999</v>
      </c>
      <c r="K814" s="110"/>
      <c r="L814" s="110"/>
      <c r="M814" s="110"/>
      <c r="N814" s="110"/>
      <c r="O814" s="110"/>
      <c r="P814" s="110"/>
      <c r="Q814" s="433">
        <v>160</v>
      </c>
      <c r="R814" s="111">
        <v>6739.2</v>
      </c>
      <c r="S814" s="110"/>
      <c r="T814" s="110"/>
      <c r="U814" s="110"/>
      <c r="V814" s="110"/>
      <c r="W814" s="433">
        <v>100</v>
      </c>
      <c r="X814" s="111">
        <v>6739.2</v>
      </c>
      <c r="Y814" s="110"/>
      <c r="Z814" s="110"/>
      <c r="AA814" s="110"/>
      <c r="AB814" s="110"/>
      <c r="AC814" s="433">
        <v>100</v>
      </c>
      <c r="AD814" s="111">
        <v>6739.2</v>
      </c>
      <c r="AE814" s="110"/>
      <c r="AF814" s="110"/>
      <c r="AG814" s="110"/>
      <c r="AH814" s="1048"/>
    </row>
    <row r="815" spans="1:34" ht="45" x14ac:dyDescent="0.25">
      <c r="A815" s="1047"/>
      <c r="B815" s="110" t="s">
        <v>2269</v>
      </c>
      <c r="C815" s="110"/>
      <c r="D815" s="433">
        <v>240</v>
      </c>
      <c r="E815" s="207" t="s">
        <v>1722</v>
      </c>
      <c r="F815" s="1178" t="s">
        <v>4353</v>
      </c>
      <c r="G815" s="1056" t="s">
        <v>4306</v>
      </c>
      <c r="H815" s="433" t="s">
        <v>3478</v>
      </c>
      <c r="I815" s="111">
        <v>51.84</v>
      </c>
      <c r="J815" s="111">
        <v>12441.6</v>
      </c>
      <c r="K815" s="110"/>
      <c r="L815" s="110"/>
      <c r="M815" s="110"/>
      <c r="N815" s="110"/>
      <c r="O815" s="110"/>
      <c r="P815" s="110"/>
      <c r="Q815" s="433">
        <v>140</v>
      </c>
      <c r="R815" s="111">
        <v>4147.2</v>
      </c>
      <c r="S815" s="110"/>
      <c r="T815" s="110"/>
      <c r="U815" s="110"/>
      <c r="V815" s="110"/>
      <c r="W815" s="433">
        <v>50</v>
      </c>
      <c r="X815" s="111">
        <v>4147.2</v>
      </c>
      <c r="Y815" s="110"/>
      <c r="Z815" s="110"/>
      <c r="AA815" s="110"/>
      <c r="AB815" s="110"/>
      <c r="AC815" s="433">
        <v>50</v>
      </c>
      <c r="AD815" s="111">
        <v>4147.2</v>
      </c>
      <c r="AE815" s="110"/>
      <c r="AF815" s="110"/>
      <c r="AG815" s="110"/>
      <c r="AH815" s="1048"/>
    </row>
    <row r="816" spans="1:34" ht="45" x14ac:dyDescent="0.25">
      <c r="A816" s="1047"/>
      <c r="B816" s="110" t="s">
        <v>2270</v>
      </c>
      <c r="C816" s="110"/>
      <c r="D816" s="433">
        <v>240</v>
      </c>
      <c r="E816" s="207" t="s">
        <v>1722</v>
      </c>
      <c r="F816" s="1178" t="s">
        <v>4353</v>
      </c>
      <c r="G816" s="1056" t="s">
        <v>4306</v>
      </c>
      <c r="H816" s="433" t="s">
        <v>3478</v>
      </c>
      <c r="I816" s="111">
        <v>46.439999999999991</v>
      </c>
      <c r="J816" s="111">
        <v>11145.599999999999</v>
      </c>
      <c r="K816" s="110"/>
      <c r="L816" s="110"/>
      <c r="M816" s="110"/>
      <c r="N816" s="110"/>
      <c r="O816" s="110"/>
      <c r="P816" s="110"/>
      <c r="Q816" s="433">
        <v>140</v>
      </c>
      <c r="R816" s="111">
        <v>3715.1999999999994</v>
      </c>
      <c r="S816" s="110"/>
      <c r="T816" s="110"/>
      <c r="U816" s="110"/>
      <c r="V816" s="110"/>
      <c r="W816" s="433">
        <v>50</v>
      </c>
      <c r="X816" s="111">
        <v>3715.1999999999994</v>
      </c>
      <c r="Y816" s="110"/>
      <c r="Z816" s="110"/>
      <c r="AA816" s="110"/>
      <c r="AB816" s="110"/>
      <c r="AC816" s="433">
        <v>50</v>
      </c>
      <c r="AD816" s="111">
        <v>3715.1999999999994</v>
      </c>
      <c r="AE816" s="110"/>
      <c r="AF816" s="110"/>
      <c r="AG816" s="110"/>
      <c r="AH816" s="1048"/>
    </row>
    <row r="817" spans="1:34" ht="45" x14ac:dyDescent="0.25">
      <c r="A817" s="1047"/>
      <c r="B817" s="110" t="s">
        <v>2271</v>
      </c>
      <c r="C817" s="110"/>
      <c r="D817" s="433">
        <v>240</v>
      </c>
      <c r="E817" s="207" t="s">
        <v>1722</v>
      </c>
      <c r="F817" s="1178" t="s">
        <v>4353</v>
      </c>
      <c r="G817" s="1056" t="s">
        <v>4306</v>
      </c>
      <c r="H817" s="433" t="s">
        <v>3478</v>
      </c>
      <c r="I817" s="111">
        <v>70.2</v>
      </c>
      <c r="J817" s="111">
        <v>16848</v>
      </c>
      <c r="K817" s="110"/>
      <c r="L817" s="110"/>
      <c r="M817" s="110"/>
      <c r="N817" s="110"/>
      <c r="O817" s="110"/>
      <c r="P817" s="110"/>
      <c r="Q817" s="433">
        <v>140</v>
      </c>
      <c r="R817" s="111">
        <v>5616</v>
      </c>
      <c r="S817" s="110"/>
      <c r="T817" s="110"/>
      <c r="U817" s="110"/>
      <c r="V817" s="110"/>
      <c r="W817" s="433">
        <v>50</v>
      </c>
      <c r="X817" s="111">
        <v>5616</v>
      </c>
      <c r="Y817" s="110"/>
      <c r="Z817" s="110"/>
      <c r="AA817" s="110"/>
      <c r="AB817" s="110"/>
      <c r="AC817" s="433">
        <v>50</v>
      </c>
      <c r="AD817" s="111">
        <v>5616</v>
      </c>
      <c r="AE817" s="110"/>
      <c r="AF817" s="110"/>
      <c r="AG817" s="110"/>
      <c r="AH817" s="1048"/>
    </row>
    <row r="818" spans="1:34" ht="45" x14ac:dyDescent="0.25">
      <c r="A818" s="1047"/>
      <c r="B818" s="110" t="s">
        <v>2272</v>
      </c>
      <c r="C818" s="110"/>
      <c r="D818" s="433">
        <v>240</v>
      </c>
      <c r="E818" s="207" t="s">
        <v>1722</v>
      </c>
      <c r="F818" s="1178" t="s">
        <v>4353</v>
      </c>
      <c r="G818" s="1056" t="s">
        <v>4306</v>
      </c>
      <c r="H818" s="433" t="s">
        <v>3478</v>
      </c>
      <c r="I818" s="111">
        <v>62.64</v>
      </c>
      <c r="J818" s="111">
        <v>15033.6</v>
      </c>
      <c r="K818" s="110"/>
      <c r="L818" s="110"/>
      <c r="M818" s="110"/>
      <c r="N818" s="110"/>
      <c r="O818" s="110"/>
      <c r="P818" s="110"/>
      <c r="Q818" s="433">
        <v>140</v>
      </c>
      <c r="R818" s="111">
        <v>5011.2</v>
      </c>
      <c r="S818" s="110"/>
      <c r="T818" s="110"/>
      <c r="U818" s="110"/>
      <c r="V818" s="110"/>
      <c r="W818" s="433">
        <v>50</v>
      </c>
      <c r="X818" s="111">
        <v>5011.2</v>
      </c>
      <c r="Y818" s="110"/>
      <c r="Z818" s="110"/>
      <c r="AA818" s="110"/>
      <c r="AB818" s="110"/>
      <c r="AC818" s="433">
        <v>50</v>
      </c>
      <c r="AD818" s="111">
        <v>5011.2</v>
      </c>
      <c r="AE818" s="110"/>
      <c r="AF818" s="110"/>
      <c r="AG818" s="110"/>
      <c r="AH818" s="1048"/>
    </row>
    <row r="819" spans="1:34" ht="45" x14ac:dyDescent="0.25">
      <c r="A819" s="1047"/>
      <c r="B819" s="110" t="s">
        <v>2273</v>
      </c>
      <c r="C819" s="110"/>
      <c r="D819" s="433">
        <v>240</v>
      </c>
      <c r="E819" s="207" t="s">
        <v>1722</v>
      </c>
      <c r="F819" s="1178" t="s">
        <v>4353</v>
      </c>
      <c r="G819" s="1056" t="s">
        <v>4306</v>
      </c>
      <c r="H819" s="433" t="s">
        <v>3478</v>
      </c>
      <c r="I819" s="111">
        <v>20.52</v>
      </c>
      <c r="J819" s="111">
        <v>4924.8</v>
      </c>
      <c r="K819" s="110"/>
      <c r="L819" s="110"/>
      <c r="M819" s="110"/>
      <c r="N819" s="110"/>
      <c r="O819" s="110"/>
      <c r="P819" s="110"/>
      <c r="Q819" s="433">
        <v>140</v>
      </c>
      <c r="R819" s="111">
        <v>1641.6000000000001</v>
      </c>
      <c r="S819" s="110"/>
      <c r="T819" s="110"/>
      <c r="U819" s="110"/>
      <c r="V819" s="110"/>
      <c r="W819" s="433">
        <v>50</v>
      </c>
      <c r="X819" s="111">
        <v>1641.6000000000001</v>
      </c>
      <c r="Y819" s="110"/>
      <c r="Z819" s="110"/>
      <c r="AA819" s="110"/>
      <c r="AB819" s="110"/>
      <c r="AC819" s="433">
        <v>50</v>
      </c>
      <c r="AD819" s="111">
        <v>1641.6000000000001</v>
      </c>
      <c r="AE819" s="110"/>
      <c r="AF819" s="110"/>
      <c r="AG819" s="110"/>
      <c r="AH819" s="1048"/>
    </row>
    <row r="820" spans="1:34" ht="45" x14ac:dyDescent="0.25">
      <c r="A820" s="1047"/>
      <c r="B820" s="110" t="s">
        <v>2274</v>
      </c>
      <c r="C820" s="110"/>
      <c r="D820" s="433">
        <v>240</v>
      </c>
      <c r="E820" s="207" t="s">
        <v>1722</v>
      </c>
      <c r="F820" s="1178" t="s">
        <v>4353</v>
      </c>
      <c r="G820" s="1056" t="s">
        <v>4306</v>
      </c>
      <c r="H820" s="433" t="s">
        <v>3478</v>
      </c>
      <c r="I820" s="111">
        <v>70.2</v>
      </c>
      <c r="J820" s="111">
        <v>16848</v>
      </c>
      <c r="K820" s="110"/>
      <c r="L820" s="110"/>
      <c r="M820" s="110"/>
      <c r="N820" s="110"/>
      <c r="O820" s="110"/>
      <c r="P820" s="110"/>
      <c r="Q820" s="433">
        <v>140</v>
      </c>
      <c r="R820" s="111">
        <v>5616</v>
      </c>
      <c r="S820" s="110"/>
      <c r="T820" s="110"/>
      <c r="U820" s="110"/>
      <c r="V820" s="110"/>
      <c r="W820" s="433">
        <v>50</v>
      </c>
      <c r="X820" s="111">
        <v>5616</v>
      </c>
      <c r="Y820" s="110"/>
      <c r="Z820" s="110"/>
      <c r="AA820" s="110"/>
      <c r="AB820" s="110"/>
      <c r="AC820" s="433">
        <v>50</v>
      </c>
      <c r="AD820" s="111">
        <v>5616</v>
      </c>
      <c r="AE820" s="110"/>
      <c r="AF820" s="110"/>
      <c r="AG820" s="110"/>
      <c r="AH820" s="1048"/>
    </row>
    <row r="821" spans="1:34" ht="45" x14ac:dyDescent="0.25">
      <c r="A821" s="1047"/>
      <c r="B821" s="110" t="s">
        <v>2275</v>
      </c>
      <c r="C821" s="110"/>
      <c r="D821" s="433">
        <v>240</v>
      </c>
      <c r="E821" s="207" t="s">
        <v>2321</v>
      </c>
      <c r="F821" s="1178" t="s">
        <v>4353</v>
      </c>
      <c r="G821" s="1056" t="s">
        <v>4306</v>
      </c>
      <c r="H821" s="433" t="s">
        <v>3478</v>
      </c>
      <c r="I821" s="111">
        <v>43.2</v>
      </c>
      <c r="J821" s="111">
        <v>10368</v>
      </c>
      <c r="K821" s="110"/>
      <c r="L821" s="110"/>
      <c r="M821" s="110"/>
      <c r="N821" s="110"/>
      <c r="O821" s="110"/>
      <c r="P821" s="110"/>
      <c r="Q821" s="433">
        <v>140</v>
      </c>
      <c r="R821" s="111">
        <v>3456</v>
      </c>
      <c r="S821" s="110"/>
      <c r="T821" s="110"/>
      <c r="U821" s="110"/>
      <c r="V821" s="110"/>
      <c r="W821" s="433">
        <v>50</v>
      </c>
      <c r="X821" s="111">
        <v>3456</v>
      </c>
      <c r="Y821" s="110"/>
      <c r="Z821" s="110"/>
      <c r="AA821" s="110"/>
      <c r="AB821" s="110"/>
      <c r="AC821" s="433">
        <v>50</v>
      </c>
      <c r="AD821" s="111">
        <v>3456</v>
      </c>
      <c r="AE821" s="110"/>
      <c r="AF821" s="110"/>
      <c r="AG821" s="110"/>
      <c r="AH821" s="1048"/>
    </row>
    <row r="822" spans="1:34" ht="45" x14ac:dyDescent="0.25">
      <c r="A822" s="1047"/>
      <c r="B822" s="110" t="s">
        <v>2276</v>
      </c>
      <c r="C822" s="110"/>
      <c r="D822" s="433">
        <v>240</v>
      </c>
      <c r="E822" s="207" t="s">
        <v>1722</v>
      </c>
      <c r="F822" s="1178" t="s">
        <v>4353</v>
      </c>
      <c r="G822" s="1056" t="s">
        <v>4306</v>
      </c>
      <c r="H822" s="433" t="s">
        <v>3478</v>
      </c>
      <c r="I822" s="111">
        <v>36.72</v>
      </c>
      <c r="J822" s="111">
        <v>8812.7999999999993</v>
      </c>
      <c r="K822" s="110"/>
      <c r="L822" s="110"/>
      <c r="M822" s="110"/>
      <c r="N822" s="110"/>
      <c r="O822" s="110"/>
      <c r="P822" s="110"/>
      <c r="Q822" s="433">
        <v>140</v>
      </c>
      <c r="R822" s="111">
        <v>2937.6</v>
      </c>
      <c r="S822" s="110"/>
      <c r="T822" s="110"/>
      <c r="U822" s="110"/>
      <c r="V822" s="110"/>
      <c r="W822" s="433">
        <v>50</v>
      </c>
      <c r="X822" s="111">
        <v>2937.6</v>
      </c>
      <c r="Y822" s="110"/>
      <c r="Z822" s="110"/>
      <c r="AA822" s="110"/>
      <c r="AB822" s="110"/>
      <c r="AC822" s="433">
        <v>50</v>
      </c>
      <c r="AD822" s="111">
        <v>2937.6</v>
      </c>
      <c r="AE822" s="110"/>
      <c r="AF822" s="110"/>
      <c r="AG822" s="110"/>
      <c r="AH822" s="1048"/>
    </row>
    <row r="823" spans="1:34" ht="45" x14ac:dyDescent="0.25">
      <c r="A823" s="1047"/>
      <c r="B823" s="110" t="s">
        <v>2277</v>
      </c>
      <c r="C823" s="110"/>
      <c r="D823" s="433">
        <v>120</v>
      </c>
      <c r="E823" s="207" t="s">
        <v>2321</v>
      </c>
      <c r="F823" s="1178" t="s">
        <v>4353</v>
      </c>
      <c r="G823" s="1056" t="s">
        <v>4306</v>
      </c>
      <c r="H823" s="433" t="s">
        <v>3478</v>
      </c>
      <c r="I823" s="111">
        <v>70.2</v>
      </c>
      <c r="J823" s="111">
        <v>8424</v>
      </c>
      <c r="K823" s="110"/>
      <c r="L823" s="110"/>
      <c r="M823" s="110"/>
      <c r="N823" s="110"/>
      <c r="O823" s="110"/>
      <c r="P823" s="110"/>
      <c r="Q823" s="433">
        <v>60</v>
      </c>
      <c r="R823" s="111">
        <v>2808</v>
      </c>
      <c r="S823" s="110"/>
      <c r="T823" s="110"/>
      <c r="U823" s="110"/>
      <c r="V823" s="110"/>
      <c r="W823" s="433">
        <v>30</v>
      </c>
      <c r="X823" s="111">
        <v>2808</v>
      </c>
      <c r="Y823" s="110"/>
      <c r="Z823" s="110"/>
      <c r="AA823" s="110"/>
      <c r="AB823" s="110"/>
      <c r="AC823" s="433">
        <v>30</v>
      </c>
      <c r="AD823" s="111">
        <v>2808</v>
      </c>
      <c r="AE823" s="110"/>
      <c r="AF823" s="110"/>
      <c r="AG823" s="110"/>
      <c r="AH823" s="1048"/>
    </row>
    <row r="824" spans="1:34" ht="45" x14ac:dyDescent="0.25">
      <c r="A824" s="1047"/>
      <c r="B824" s="110" t="s">
        <v>2278</v>
      </c>
      <c r="C824" s="110"/>
      <c r="D824" s="433">
        <v>60</v>
      </c>
      <c r="E824" s="207" t="s">
        <v>1722</v>
      </c>
      <c r="F824" s="1178" t="s">
        <v>4353</v>
      </c>
      <c r="G824" s="1056" t="s">
        <v>4306</v>
      </c>
      <c r="H824" s="433" t="s">
        <v>3478</v>
      </c>
      <c r="I824" s="111">
        <v>66.959999999999994</v>
      </c>
      <c r="J824" s="111">
        <v>4017.5999999999995</v>
      </c>
      <c r="K824" s="110"/>
      <c r="L824" s="110"/>
      <c r="M824" s="110"/>
      <c r="N824" s="110"/>
      <c r="O824" s="110"/>
      <c r="P824" s="110"/>
      <c r="Q824" s="433">
        <v>20</v>
      </c>
      <c r="R824" s="111">
        <v>1339.1999999999998</v>
      </c>
      <c r="S824" s="110"/>
      <c r="T824" s="110"/>
      <c r="U824" s="110"/>
      <c r="V824" s="110"/>
      <c r="W824" s="433">
        <v>20</v>
      </c>
      <c r="X824" s="111">
        <v>1339.1999999999998</v>
      </c>
      <c r="Y824" s="110"/>
      <c r="Z824" s="110"/>
      <c r="AA824" s="110"/>
      <c r="AB824" s="110"/>
      <c r="AC824" s="433">
        <v>20</v>
      </c>
      <c r="AD824" s="111">
        <v>1339.1999999999998</v>
      </c>
      <c r="AE824" s="110"/>
      <c r="AF824" s="110"/>
      <c r="AG824" s="110"/>
      <c r="AH824" s="1048"/>
    </row>
    <row r="825" spans="1:34" ht="45" x14ac:dyDescent="0.25">
      <c r="A825" s="1047"/>
      <c r="B825" s="110" t="s">
        <v>2279</v>
      </c>
      <c r="C825" s="110"/>
      <c r="D825" s="433">
        <v>240</v>
      </c>
      <c r="E825" s="207" t="s">
        <v>1722</v>
      </c>
      <c r="F825" s="1178" t="s">
        <v>4353</v>
      </c>
      <c r="G825" s="1056" t="s">
        <v>4306</v>
      </c>
      <c r="H825" s="433" t="s">
        <v>3478</v>
      </c>
      <c r="I825" s="111">
        <v>24.84</v>
      </c>
      <c r="J825" s="111">
        <v>5961.6</v>
      </c>
      <c r="K825" s="110"/>
      <c r="L825" s="110"/>
      <c r="M825" s="110"/>
      <c r="N825" s="110"/>
      <c r="O825" s="110"/>
      <c r="P825" s="110"/>
      <c r="Q825" s="433">
        <v>140</v>
      </c>
      <c r="R825" s="111">
        <v>1987.2</v>
      </c>
      <c r="S825" s="110"/>
      <c r="T825" s="110"/>
      <c r="U825" s="110"/>
      <c r="V825" s="110"/>
      <c r="W825" s="433">
        <v>50</v>
      </c>
      <c r="X825" s="111">
        <v>1987.2</v>
      </c>
      <c r="Y825" s="110"/>
      <c r="Z825" s="110"/>
      <c r="AA825" s="110"/>
      <c r="AB825" s="110"/>
      <c r="AC825" s="433">
        <v>50</v>
      </c>
      <c r="AD825" s="111">
        <v>1987.2</v>
      </c>
      <c r="AE825" s="110"/>
      <c r="AF825" s="110"/>
      <c r="AG825" s="110"/>
      <c r="AH825" s="1048"/>
    </row>
    <row r="826" spans="1:34" ht="45" x14ac:dyDescent="0.25">
      <c r="A826" s="1047"/>
      <c r="B826" s="110" t="s">
        <v>2280</v>
      </c>
      <c r="C826" s="110"/>
      <c r="D826" s="433">
        <v>120</v>
      </c>
      <c r="E826" s="207" t="s">
        <v>1722</v>
      </c>
      <c r="F826" s="1178" t="s">
        <v>4353</v>
      </c>
      <c r="G826" s="1056" t="s">
        <v>4306</v>
      </c>
      <c r="H826" s="433" t="s">
        <v>3478</v>
      </c>
      <c r="I826" s="111">
        <v>42.12</v>
      </c>
      <c r="J826" s="111">
        <v>5054.3999999999996</v>
      </c>
      <c r="K826" s="110"/>
      <c r="L826" s="110"/>
      <c r="M826" s="110"/>
      <c r="N826" s="110"/>
      <c r="O826" s="110"/>
      <c r="P826" s="110"/>
      <c r="Q826" s="433">
        <v>60</v>
      </c>
      <c r="R826" s="111">
        <v>1684.8</v>
      </c>
      <c r="S826" s="110"/>
      <c r="T826" s="110"/>
      <c r="U826" s="110"/>
      <c r="V826" s="110"/>
      <c r="W826" s="433">
        <v>30</v>
      </c>
      <c r="X826" s="111">
        <v>1684.8</v>
      </c>
      <c r="Y826" s="110"/>
      <c r="Z826" s="110"/>
      <c r="AA826" s="110"/>
      <c r="AB826" s="110"/>
      <c r="AC826" s="433">
        <v>30</v>
      </c>
      <c r="AD826" s="111">
        <v>1684.8</v>
      </c>
      <c r="AE826" s="110"/>
      <c r="AF826" s="110"/>
      <c r="AG826" s="110"/>
      <c r="AH826" s="1048"/>
    </row>
    <row r="827" spans="1:34" ht="45" x14ac:dyDescent="0.25">
      <c r="A827" s="1047"/>
      <c r="B827" s="110" t="s">
        <v>2281</v>
      </c>
      <c r="C827" s="110"/>
      <c r="D827" s="433">
        <v>240</v>
      </c>
      <c r="E827" s="207" t="s">
        <v>1722</v>
      </c>
      <c r="F827" s="1178" t="s">
        <v>4353</v>
      </c>
      <c r="G827" s="1056" t="s">
        <v>4306</v>
      </c>
      <c r="H827" s="433" t="s">
        <v>3478</v>
      </c>
      <c r="I827" s="111">
        <v>37.799999999999997</v>
      </c>
      <c r="J827" s="111">
        <v>9072</v>
      </c>
      <c r="K827" s="110"/>
      <c r="L827" s="110"/>
      <c r="M827" s="110"/>
      <c r="N827" s="110"/>
      <c r="O827" s="110"/>
      <c r="P827" s="110"/>
      <c r="Q827" s="433">
        <v>140</v>
      </c>
      <c r="R827" s="111">
        <v>3024</v>
      </c>
      <c r="S827" s="110"/>
      <c r="T827" s="110"/>
      <c r="U827" s="110"/>
      <c r="V827" s="110"/>
      <c r="W827" s="433">
        <v>50</v>
      </c>
      <c r="X827" s="111">
        <v>3024</v>
      </c>
      <c r="Y827" s="110"/>
      <c r="Z827" s="110"/>
      <c r="AA827" s="110"/>
      <c r="AB827" s="110"/>
      <c r="AC827" s="433">
        <v>50</v>
      </c>
      <c r="AD827" s="111">
        <v>3024</v>
      </c>
      <c r="AE827" s="110"/>
      <c r="AF827" s="110"/>
      <c r="AG827" s="110"/>
      <c r="AH827" s="1048"/>
    </row>
    <row r="828" spans="1:34" ht="45" x14ac:dyDescent="0.25">
      <c r="A828" s="1047"/>
      <c r="B828" s="110" t="s">
        <v>2282</v>
      </c>
      <c r="C828" s="110"/>
      <c r="D828" s="433">
        <v>360</v>
      </c>
      <c r="E828" s="207" t="s">
        <v>1722</v>
      </c>
      <c r="F828" s="1178" t="s">
        <v>4353</v>
      </c>
      <c r="G828" s="1056" t="s">
        <v>4306</v>
      </c>
      <c r="H828" s="433" t="s">
        <v>3478</v>
      </c>
      <c r="I828" s="111">
        <v>20.52</v>
      </c>
      <c r="J828" s="111">
        <v>7387.2</v>
      </c>
      <c r="K828" s="110"/>
      <c r="L828" s="110"/>
      <c r="M828" s="110"/>
      <c r="N828" s="110"/>
      <c r="O828" s="110"/>
      <c r="P828" s="110"/>
      <c r="Q828" s="433">
        <v>160</v>
      </c>
      <c r="R828" s="111">
        <v>2462.4</v>
      </c>
      <c r="S828" s="110"/>
      <c r="T828" s="110"/>
      <c r="U828" s="110"/>
      <c r="V828" s="110"/>
      <c r="W828" s="433">
        <v>100</v>
      </c>
      <c r="X828" s="111">
        <v>2462.4</v>
      </c>
      <c r="Y828" s="110"/>
      <c r="Z828" s="110"/>
      <c r="AA828" s="110"/>
      <c r="AB828" s="110"/>
      <c r="AC828" s="433">
        <v>100</v>
      </c>
      <c r="AD828" s="111">
        <v>2462.4</v>
      </c>
      <c r="AE828" s="110"/>
      <c r="AF828" s="110"/>
      <c r="AG828" s="110"/>
      <c r="AH828" s="1048"/>
    </row>
    <row r="829" spans="1:34" ht="45" x14ac:dyDescent="0.25">
      <c r="A829" s="1047"/>
      <c r="B829" s="110" t="s">
        <v>2283</v>
      </c>
      <c r="C829" s="110"/>
      <c r="D829" s="433">
        <v>300</v>
      </c>
      <c r="E829" s="207" t="s">
        <v>1722</v>
      </c>
      <c r="F829" s="1178" t="s">
        <v>4353</v>
      </c>
      <c r="G829" s="1056" t="s">
        <v>4306</v>
      </c>
      <c r="H829" s="433" t="s">
        <v>3478</v>
      </c>
      <c r="I829" s="111">
        <v>45</v>
      </c>
      <c r="J829" s="111">
        <v>13500</v>
      </c>
      <c r="K829" s="110"/>
      <c r="L829" s="110"/>
      <c r="M829" s="110"/>
      <c r="N829" s="110"/>
      <c r="O829" s="110"/>
      <c r="P829" s="110"/>
      <c r="Q829" s="433">
        <v>150</v>
      </c>
      <c r="R829" s="111">
        <v>4500</v>
      </c>
      <c r="S829" s="110"/>
      <c r="T829" s="110"/>
      <c r="U829" s="110"/>
      <c r="V829" s="110"/>
      <c r="W829" s="433">
        <v>75</v>
      </c>
      <c r="X829" s="111">
        <v>4500</v>
      </c>
      <c r="Y829" s="110"/>
      <c r="Z829" s="110"/>
      <c r="AA829" s="110"/>
      <c r="AB829" s="110"/>
      <c r="AC829" s="433">
        <v>75</v>
      </c>
      <c r="AD829" s="111">
        <v>4500</v>
      </c>
      <c r="AE829" s="110"/>
      <c r="AF829" s="110"/>
      <c r="AG829" s="110"/>
      <c r="AH829" s="1048"/>
    </row>
    <row r="830" spans="1:34" ht="45" x14ac:dyDescent="0.25">
      <c r="A830" s="1047"/>
      <c r="B830" s="110" t="s">
        <v>2284</v>
      </c>
      <c r="C830" s="110"/>
      <c r="D830" s="433">
        <v>144</v>
      </c>
      <c r="E830" s="207" t="s">
        <v>1722</v>
      </c>
      <c r="F830" s="1178" t="s">
        <v>4353</v>
      </c>
      <c r="G830" s="1056" t="s">
        <v>4306</v>
      </c>
      <c r="H830" s="433" t="s">
        <v>3478</v>
      </c>
      <c r="I830" s="111">
        <v>15.119999999999997</v>
      </c>
      <c r="J830" s="111">
        <v>2177.2799999999997</v>
      </c>
      <c r="K830" s="110"/>
      <c r="L830" s="110"/>
      <c r="M830" s="110"/>
      <c r="N830" s="110"/>
      <c r="O830" s="110"/>
      <c r="P830" s="110"/>
      <c r="Q830" s="433">
        <v>80</v>
      </c>
      <c r="R830" s="111">
        <v>725.75999999999988</v>
      </c>
      <c r="S830" s="110"/>
      <c r="T830" s="110"/>
      <c r="U830" s="110"/>
      <c r="V830" s="110"/>
      <c r="W830" s="433">
        <v>44</v>
      </c>
      <c r="X830" s="111">
        <v>725.75999999999988</v>
      </c>
      <c r="Y830" s="110"/>
      <c r="Z830" s="110"/>
      <c r="AA830" s="110"/>
      <c r="AB830" s="110"/>
      <c r="AC830" s="433">
        <v>40</v>
      </c>
      <c r="AD830" s="111">
        <v>725.75999999999988</v>
      </c>
      <c r="AE830" s="110"/>
      <c r="AF830" s="110"/>
      <c r="AG830" s="110"/>
      <c r="AH830" s="1048"/>
    </row>
    <row r="831" spans="1:34" ht="45" x14ac:dyDescent="0.25">
      <c r="A831" s="1047"/>
      <c r="B831" s="110" t="s">
        <v>2285</v>
      </c>
      <c r="C831" s="110"/>
      <c r="D831" s="433">
        <v>120</v>
      </c>
      <c r="E831" s="207" t="s">
        <v>2321</v>
      </c>
      <c r="F831" s="1178" t="s">
        <v>4353</v>
      </c>
      <c r="G831" s="1056" t="s">
        <v>4306</v>
      </c>
      <c r="H831" s="433" t="s">
        <v>3478</v>
      </c>
      <c r="I831" s="111">
        <v>37.799999999999997</v>
      </c>
      <c r="J831" s="111">
        <v>4536</v>
      </c>
      <c r="K831" s="110"/>
      <c r="L831" s="110"/>
      <c r="M831" s="110"/>
      <c r="N831" s="110"/>
      <c r="O831" s="110"/>
      <c r="P831" s="110"/>
      <c r="Q831" s="433">
        <v>60</v>
      </c>
      <c r="R831" s="111">
        <v>1512</v>
      </c>
      <c r="S831" s="110"/>
      <c r="T831" s="110"/>
      <c r="U831" s="110"/>
      <c r="V831" s="110"/>
      <c r="W831" s="433">
        <v>30</v>
      </c>
      <c r="X831" s="111">
        <v>1512</v>
      </c>
      <c r="Y831" s="110"/>
      <c r="Z831" s="110"/>
      <c r="AA831" s="110"/>
      <c r="AB831" s="110"/>
      <c r="AC831" s="433">
        <v>30</v>
      </c>
      <c r="AD831" s="111">
        <v>1512</v>
      </c>
      <c r="AE831" s="110"/>
      <c r="AF831" s="110"/>
      <c r="AG831" s="110"/>
      <c r="AH831" s="1048"/>
    </row>
    <row r="832" spans="1:34" ht="45" x14ac:dyDescent="0.25">
      <c r="A832" s="1047"/>
      <c r="B832" s="110" t="s">
        <v>2286</v>
      </c>
      <c r="C832" s="110"/>
      <c r="D832" s="433">
        <v>120</v>
      </c>
      <c r="E832" s="207" t="s">
        <v>1722</v>
      </c>
      <c r="F832" s="1178" t="s">
        <v>4353</v>
      </c>
      <c r="G832" s="1056" t="s">
        <v>4306</v>
      </c>
      <c r="H832" s="433" t="s">
        <v>3478</v>
      </c>
      <c r="I832" s="111">
        <v>20.52</v>
      </c>
      <c r="J832" s="111">
        <v>2462.4</v>
      </c>
      <c r="K832" s="110"/>
      <c r="L832" s="110"/>
      <c r="M832" s="110"/>
      <c r="N832" s="110"/>
      <c r="O832" s="110"/>
      <c r="P832" s="110"/>
      <c r="Q832" s="433">
        <v>60</v>
      </c>
      <c r="R832" s="111">
        <v>820.80000000000007</v>
      </c>
      <c r="S832" s="110"/>
      <c r="T832" s="110"/>
      <c r="U832" s="110"/>
      <c r="V832" s="110"/>
      <c r="W832" s="433">
        <v>30</v>
      </c>
      <c r="X832" s="111">
        <v>820.80000000000007</v>
      </c>
      <c r="Y832" s="110"/>
      <c r="Z832" s="110"/>
      <c r="AA832" s="110"/>
      <c r="AB832" s="110"/>
      <c r="AC832" s="433">
        <v>30</v>
      </c>
      <c r="AD832" s="111">
        <v>820.80000000000007</v>
      </c>
      <c r="AE832" s="110"/>
      <c r="AF832" s="110"/>
      <c r="AG832" s="110"/>
      <c r="AH832" s="1048"/>
    </row>
    <row r="833" spans="1:34" ht="45" x14ac:dyDescent="0.25">
      <c r="A833" s="1047"/>
      <c r="B833" s="110" t="s">
        <v>2287</v>
      </c>
      <c r="C833" s="110"/>
      <c r="D833" s="433">
        <v>120</v>
      </c>
      <c r="E833" s="207" t="s">
        <v>1722</v>
      </c>
      <c r="F833" s="1178" t="s">
        <v>4353</v>
      </c>
      <c r="G833" s="1056" t="s">
        <v>4306</v>
      </c>
      <c r="H833" s="433" t="s">
        <v>3478</v>
      </c>
      <c r="I833" s="111">
        <v>32.4</v>
      </c>
      <c r="J833" s="111">
        <v>3888</v>
      </c>
      <c r="K833" s="110"/>
      <c r="L833" s="110"/>
      <c r="M833" s="110"/>
      <c r="N833" s="110"/>
      <c r="O833" s="110"/>
      <c r="P833" s="110"/>
      <c r="Q833" s="433">
        <v>60</v>
      </c>
      <c r="R833" s="111">
        <v>1296</v>
      </c>
      <c r="S833" s="110"/>
      <c r="T833" s="110"/>
      <c r="U833" s="110"/>
      <c r="V833" s="110"/>
      <c r="W833" s="433">
        <v>30</v>
      </c>
      <c r="X833" s="111">
        <v>1296</v>
      </c>
      <c r="Y833" s="110"/>
      <c r="Z833" s="110"/>
      <c r="AA833" s="110"/>
      <c r="AB833" s="110"/>
      <c r="AC833" s="433">
        <v>30</v>
      </c>
      <c r="AD833" s="111">
        <v>1296</v>
      </c>
      <c r="AE833" s="110"/>
      <c r="AF833" s="110"/>
      <c r="AG833" s="110"/>
      <c r="AH833" s="1048"/>
    </row>
    <row r="834" spans="1:34" ht="45" x14ac:dyDescent="0.25">
      <c r="A834" s="1047"/>
      <c r="B834" s="110" t="s">
        <v>2288</v>
      </c>
      <c r="C834" s="110"/>
      <c r="D834" s="433">
        <v>120</v>
      </c>
      <c r="E834" s="207" t="s">
        <v>1722</v>
      </c>
      <c r="F834" s="1178" t="s">
        <v>4353</v>
      </c>
      <c r="G834" s="1056" t="s">
        <v>4306</v>
      </c>
      <c r="H834" s="433" t="s">
        <v>3478</v>
      </c>
      <c r="I834" s="111">
        <v>278.64</v>
      </c>
      <c r="J834" s="111">
        <v>33436.799999999996</v>
      </c>
      <c r="K834" s="110"/>
      <c r="L834" s="110"/>
      <c r="M834" s="110"/>
      <c r="N834" s="110"/>
      <c r="O834" s="110"/>
      <c r="P834" s="110"/>
      <c r="Q834" s="433">
        <v>60</v>
      </c>
      <c r="R834" s="111">
        <v>11145.599999999999</v>
      </c>
      <c r="S834" s="110"/>
      <c r="T834" s="110"/>
      <c r="U834" s="110"/>
      <c r="V834" s="110"/>
      <c r="W834" s="433">
        <v>30</v>
      </c>
      <c r="X834" s="111">
        <v>11145.599999999999</v>
      </c>
      <c r="Y834" s="110"/>
      <c r="Z834" s="110"/>
      <c r="AA834" s="110"/>
      <c r="AB834" s="110"/>
      <c r="AC834" s="433">
        <v>30</v>
      </c>
      <c r="AD834" s="111">
        <v>11145.599999999999</v>
      </c>
      <c r="AE834" s="110"/>
      <c r="AF834" s="110"/>
      <c r="AG834" s="110"/>
      <c r="AH834" s="1048"/>
    </row>
    <row r="835" spans="1:34" ht="45" x14ac:dyDescent="0.25">
      <c r="A835" s="1047"/>
      <c r="B835" s="110" t="s">
        <v>2289</v>
      </c>
      <c r="C835" s="110"/>
      <c r="D835" s="433">
        <v>144</v>
      </c>
      <c r="E835" s="207" t="s">
        <v>2321</v>
      </c>
      <c r="F835" s="1178" t="s">
        <v>4353</v>
      </c>
      <c r="G835" s="1056" t="s">
        <v>4306</v>
      </c>
      <c r="H835" s="433" t="s">
        <v>3478</v>
      </c>
      <c r="I835" s="111">
        <v>2.76</v>
      </c>
      <c r="J835" s="111">
        <v>397.43999999999994</v>
      </c>
      <c r="K835" s="110"/>
      <c r="L835" s="110"/>
      <c r="M835" s="110"/>
      <c r="N835" s="110"/>
      <c r="O835" s="110"/>
      <c r="P835" s="110"/>
      <c r="Q835" s="433">
        <v>80</v>
      </c>
      <c r="R835" s="111">
        <v>132.47999999999999</v>
      </c>
      <c r="S835" s="110"/>
      <c r="T835" s="110"/>
      <c r="U835" s="110"/>
      <c r="V835" s="110"/>
      <c r="W835" s="433">
        <v>44</v>
      </c>
      <c r="X835" s="111">
        <v>132.47999999999999</v>
      </c>
      <c r="Y835" s="110"/>
      <c r="Z835" s="110"/>
      <c r="AA835" s="110"/>
      <c r="AB835" s="110"/>
      <c r="AC835" s="433">
        <v>40</v>
      </c>
      <c r="AD835" s="111">
        <v>132.47999999999999</v>
      </c>
      <c r="AE835" s="110"/>
      <c r="AF835" s="110"/>
      <c r="AG835" s="110"/>
      <c r="AH835" s="1048"/>
    </row>
    <row r="836" spans="1:34" ht="45" x14ac:dyDescent="0.25">
      <c r="A836" s="1047"/>
      <c r="B836" s="110" t="s">
        <v>2290</v>
      </c>
      <c r="C836" s="110"/>
      <c r="D836" s="433">
        <v>180</v>
      </c>
      <c r="E836" s="207" t="s">
        <v>1998</v>
      </c>
      <c r="F836" s="1178" t="s">
        <v>4353</v>
      </c>
      <c r="G836" s="1056" t="s">
        <v>4306</v>
      </c>
      <c r="H836" s="433" t="s">
        <v>3478</v>
      </c>
      <c r="I836" s="111">
        <v>15.12</v>
      </c>
      <c r="J836" s="111">
        <v>2721.6</v>
      </c>
      <c r="K836" s="110"/>
      <c r="L836" s="110"/>
      <c r="M836" s="110"/>
      <c r="N836" s="110"/>
      <c r="O836" s="110"/>
      <c r="P836" s="110"/>
      <c r="Q836" s="433">
        <v>80</v>
      </c>
      <c r="R836" s="111">
        <v>907.19999999999993</v>
      </c>
      <c r="S836" s="110"/>
      <c r="T836" s="110"/>
      <c r="U836" s="110"/>
      <c r="V836" s="110"/>
      <c r="W836" s="433">
        <v>50</v>
      </c>
      <c r="X836" s="111">
        <v>907.19999999999993</v>
      </c>
      <c r="Y836" s="110"/>
      <c r="Z836" s="110"/>
      <c r="AA836" s="110"/>
      <c r="AB836" s="110"/>
      <c r="AC836" s="433">
        <v>50</v>
      </c>
      <c r="AD836" s="111">
        <v>907.19999999999993</v>
      </c>
      <c r="AE836" s="110"/>
      <c r="AF836" s="110"/>
      <c r="AG836" s="110"/>
      <c r="AH836" s="1048"/>
    </row>
    <row r="837" spans="1:34" ht="45" x14ac:dyDescent="0.25">
      <c r="A837" s="1047"/>
      <c r="B837" s="110" t="s">
        <v>2291</v>
      </c>
      <c r="C837" s="110"/>
      <c r="D837" s="433">
        <v>120</v>
      </c>
      <c r="E837" s="207" t="s">
        <v>1998</v>
      </c>
      <c r="F837" s="1178" t="s">
        <v>4353</v>
      </c>
      <c r="G837" s="1056" t="s">
        <v>4306</v>
      </c>
      <c r="H837" s="433" t="s">
        <v>3478</v>
      </c>
      <c r="I837" s="111">
        <v>21.6</v>
      </c>
      <c r="J837" s="111">
        <v>2592</v>
      </c>
      <c r="K837" s="110"/>
      <c r="L837" s="110"/>
      <c r="M837" s="110"/>
      <c r="N837" s="110"/>
      <c r="O837" s="110"/>
      <c r="P837" s="110"/>
      <c r="Q837" s="433">
        <v>60</v>
      </c>
      <c r="R837" s="111">
        <v>864</v>
      </c>
      <c r="S837" s="110"/>
      <c r="T837" s="110"/>
      <c r="U837" s="110"/>
      <c r="V837" s="110"/>
      <c r="W837" s="433">
        <v>30</v>
      </c>
      <c r="X837" s="111">
        <v>864</v>
      </c>
      <c r="Y837" s="110"/>
      <c r="Z837" s="110"/>
      <c r="AA837" s="110"/>
      <c r="AB837" s="110"/>
      <c r="AC837" s="433">
        <v>30</v>
      </c>
      <c r="AD837" s="111">
        <v>864</v>
      </c>
      <c r="AE837" s="110"/>
      <c r="AF837" s="110"/>
      <c r="AG837" s="110"/>
      <c r="AH837" s="1048"/>
    </row>
    <row r="838" spans="1:34" ht="45" x14ac:dyDescent="0.25">
      <c r="A838" s="1047"/>
      <c r="B838" s="110" t="s">
        <v>2292</v>
      </c>
      <c r="C838" s="110"/>
      <c r="D838" s="433">
        <v>60</v>
      </c>
      <c r="E838" s="207" t="s">
        <v>1998</v>
      </c>
      <c r="F838" s="1178" t="s">
        <v>4353</v>
      </c>
      <c r="G838" s="1056" t="s">
        <v>4306</v>
      </c>
      <c r="H838" s="433" t="s">
        <v>3478</v>
      </c>
      <c r="I838" s="111">
        <v>37.799999999999997</v>
      </c>
      <c r="J838" s="111">
        <v>2268</v>
      </c>
      <c r="K838" s="110"/>
      <c r="L838" s="110"/>
      <c r="M838" s="110"/>
      <c r="N838" s="110"/>
      <c r="O838" s="110"/>
      <c r="P838" s="110"/>
      <c r="Q838" s="433">
        <v>20</v>
      </c>
      <c r="R838" s="111">
        <v>756</v>
      </c>
      <c r="S838" s="110"/>
      <c r="T838" s="110"/>
      <c r="U838" s="110"/>
      <c r="V838" s="110"/>
      <c r="W838" s="433">
        <v>20</v>
      </c>
      <c r="X838" s="111">
        <v>756</v>
      </c>
      <c r="Y838" s="110"/>
      <c r="Z838" s="110"/>
      <c r="AA838" s="110"/>
      <c r="AB838" s="110"/>
      <c r="AC838" s="433">
        <v>20</v>
      </c>
      <c r="AD838" s="111">
        <v>756</v>
      </c>
      <c r="AE838" s="110"/>
      <c r="AF838" s="110"/>
      <c r="AG838" s="110"/>
      <c r="AH838" s="1048"/>
    </row>
    <row r="839" spans="1:34" ht="45" x14ac:dyDescent="0.25">
      <c r="A839" s="1047"/>
      <c r="B839" s="110" t="s">
        <v>2293</v>
      </c>
      <c r="C839" s="110"/>
      <c r="D839" s="433">
        <v>180</v>
      </c>
      <c r="E839" s="207" t="s">
        <v>1722</v>
      </c>
      <c r="F839" s="1178" t="s">
        <v>4353</v>
      </c>
      <c r="G839" s="1056" t="s">
        <v>4306</v>
      </c>
      <c r="H839" s="433" t="s">
        <v>3478</v>
      </c>
      <c r="I839" s="111">
        <v>35</v>
      </c>
      <c r="J839" s="111">
        <v>6300</v>
      </c>
      <c r="K839" s="110"/>
      <c r="L839" s="110"/>
      <c r="M839" s="110"/>
      <c r="N839" s="110"/>
      <c r="O839" s="110"/>
      <c r="P839" s="110"/>
      <c r="Q839" s="433">
        <v>80</v>
      </c>
      <c r="R839" s="111">
        <v>2100</v>
      </c>
      <c r="S839" s="110"/>
      <c r="T839" s="110"/>
      <c r="U839" s="110"/>
      <c r="V839" s="110"/>
      <c r="W839" s="433">
        <v>50</v>
      </c>
      <c r="X839" s="111">
        <v>2100</v>
      </c>
      <c r="Y839" s="110"/>
      <c r="Z839" s="110"/>
      <c r="AA839" s="110"/>
      <c r="AB839" s="110"/>
      <c r="AC839" s="433">
        <v>50</v>
      </c>
      <c r="AD839" s="111">
        <v>2100</v>
      </c>
      <c r="AE839" s="110"/>
      <c r="AF839" s="110"/>
      <c r="AG839" s="110"/>
      <c r="AH839" s="1048"/>
    </row>
    <row r="840" spans="1:34" ht="45" x14ac:dyDescent="0.25">
      <c r="A840" s="1047"/>
      <c r="B840" s="110" t="s">
        <v>2294</v>
      </c>
      <c r="C840" s="110"/>
      <c r="D840" s="433">
        <v>360</v>
      </c>
      <c r="E840" s="207" t="s">
        <v>1998</v>
      </c>
      <c r="F840" s="1178" t="s">
        <v>4353</v>
      </c>
      <c r="G840" s="1056" t="s">
        <v>4306</v>
      </c>
      <c r="H840" s="433" t="s">
        <v>3478</v>
      </c>
      <c r="I840" s="111">
        <v>37.799999999999997</v>
      </c>
      <c r="J840" s="111">
        <v>13607.999999999998</v>
      </c>
      <c r="K840" s="110"/>
      <c r="L840" s="110"/>
      <c r="M840" s="110"/>
      <c r="N840" s="110"/>
      <c r="O840" s="110"/>
      <c r="P840" s="110"/>
      <c r="Q840" s="433">
        <v>160</v>
      </c>
      <c r="R840" s="111">
        <v>4535.9999999999991</v>
      </c>
      <c r="S840" s="110"/>
      <c r="T840" s="110"/>
      <c r="U840" s="110"/>
      <c r="V840" s="110"/>
      <c r="W840" s="433">
        <v>100</v>
      </c>
      <c r="X840" s="111">
        <v>4535.9999999999991</v>
      </c>
      <c r="Y840" s="110"/>
      <c r="Z840" s="110"/>
      <c r="AA840" s="110"/>
      <c r="AB840" s="110"/>
      <c r="AC840" s="433">
        <v>100</v>
      </c>
      <c r="AD840" s="111">
        <v>4535.9999999999991</v>
      </c>
      <c r="AE840" s="110"/>
      <c r="AF840" s="110"/>
      <c r="AG840" s="110"/>
      <c r="AH840" s="1048"/>
    </row>
    <row r="841" spans="1:34" ht="45" x14ac:dyDescent="0.25">
      <c r="A841" s="1047"/>
      <c r="B841" s="110" t="s">
        <v>2295</v>
      </c>
      <c r="C841" s="110"/>
      <c r="D841" s="433">
        <v>480</v>
      </c>
      <c r="E841" s="207" t="s">
        <v>2321</v>
      </c>
      <c r="F841" s="1178" t="s">
        <v>4353</v>
      </c>
      <c r="G841" s="1056" t="s">
        <v>4306</v>
      </c>
      <c r="H841" s="433" t="s">
        <v>3478</v>
      </c>
      <c r="I841" s="111">
        <v>37.799999999999997</v>
      </c>
      <c r="J841" s="111">
        <v>18144</v>
      </c>
      <c r="K841" s="110"/>
      <c r="L841" s="110"/>
      <c r="M841" s="110"/>
      <c r="N841" s="110"/>
      <c r="O841" s="110"/>
      <c r="P841" s="110"/>
      <c r="Q841" s="433">
        <v>280</v>
      </c>
      <c r="R841" s="111">
        <v>6048</v>
      </c>
      <c r="S841" s="110"/>
      <c r="T841" s="110"/>
      <c r="U841" s="110"/>
      <c r="V841" s="110"/>
      <c r="W841" s="433">
        <v>100</v>
      </c>
      <c r="X841" s="111">
        <v>6048</v>
      </c>
      <c r="Y841" s="110"/>
      <c r="Z841" s="110"/>
      <c r="AA841" s="110"/>
      <c r="AB841" s="110"/>
      <c r="AC841" s="433">
        <v>100</v>
      </c>
      <c r="AD841" s="111">
        <v>6048</v>
      </c>
      <c r="AE841" s="110"/>
      <c r="AF841" s="110"/>
      <c r="AG841" s="110"/>
      <c r="AH841" s="1048"/>
    </row>
    <row r="842" spans="1:34" ht="45" x14ac:dyDescent="0.25">
      <c r="A842" s="1047"/>
      <c r="B842" s="110" t="s">
        <v>2296</v>
      </c>
      <c r="C842" s="110"/>
      <c r="D842" s="433">
        <v>60</v>
      </c>
      <c r="E842" s="207" t="s">
        <v>1998</v>
      </c>
      <c r="F842" s="1178" t="s">
        <v>4353</v>
      </c>
      <c r="G842" s="1056" t="s">
        <v>4306</v>
      </c>
      <c r="H842" s="433" t="s">
        <v>3478</v>
      </c>
      <c r="I842" s="111">
        <v>21.6</v>
      </c>
      <c r="J842" s="111">
        <v>1296</v>
      </c>
      <c r="K842" s="110"/>
      <c r="L842" s="110"/>
      <c r="M842" s="110"/>
      <c r="N842" s="110"/>
      <c r="O842" s="110"/>
      <c r="P842" s="110"/>
      <c r="Q842" s="433">
        <v>20</v>
      </c>
      <c r="R842" s="111">
        <v>432</v>
      </c>
      <c r="S842" s="110"/>
      <c r="T842" s="110"/>
      <c r="U842" s="110"/>
      <c r="V842" s="110"/>
      <c r="W842" s="433">
        <v>20</v>
      </c>
      <c r="X842" s="111">
        <v>432</v>
      </c>
      <c r="Y842" s="110"/>
      <c r="Z842" s="110"/>
      <c r="AA842" s="110"/>
      <c r="AB842" s="110"/>
      <c r="AC842" s="433">
        <v>20</v>
      </c>
      <c r="AD842" s="111">
        <v>432</v>
      </c>
      <c r="AE842" s="110"/>
      <c r="AF842" s="110"/>
      <c r="AG842" s="110"/>
      <c r="AH842" s="1048"/>
    </row>
    <row r="843" spans="1:34" ht="45" x14ac:dyDescent="0.25">
      <c r="A843" s="1047"/>
      <c r="B843" s="110" t="s">
        <v>2297</v>
      </c>
      <c r="C843" s="110"/>
      <c r="D843" s="433">
        <v>120</v>
      </c>
      <c r="E843" s="207" t="s">
        <v>1722</v>
      </c>
      <c r="F843" s="1178" t="s">
        <v>4353</v>
      </c>
      <c r="G843" s="1056" t="s">
        <v>4306</v>
      </c>
      <c r="H843" s="433" t="s">
        <v>3478</v>
      </c>
      <c r="I843" s="111">
        <v>20.52</v>
      </c>
      <c r="J843" s="111">
        <v>2462.4</v>
      </c>
      <c r="K843" s="110"/>
      <c r="L843" s="110"/>
      <c r="M843" s="110"/>
      <c r="N843" s="110"/>
      <c r="O843" s="110"/>
      <c r="P843" s="110"/>
      <c r="Q843" s="433">
        <v>60</v>
      </c>
      <c r="R843" s="111">
        <v>820.80000000000007</v>
      </c>
      <c r="S843" s="110"/>
      <c r="T843" s="110"/>
      <c r="U843" s="110"/>
      <c r="V843" s="110"/>
      <c r="W843" s="433">
        <v>30</v>
      </c>
      <c r="X843" s="111">
        <v>820.80000000000007</v>
      </c>
      <c r="Y843" s="110"/>
      <c r="Z843" s="110"/>
      <c r="AA843" s="110"/>
      <c r="AB843" s="110"/>
      <c r="AC843" s="433">
        <v>30</v>
      </c>
      <c r="AD843" s="111">
        <v>820.80000000000007</v>
      </c>
      <c r="AE843" s="110"/>
      <c r="AF843" s="110"/>
      <c r="AG843" s="110"/>
      <c r="AH843" s="1048"/>
    </row>
    <row r="844" spans="1:34" ht="45" x14ac:dyDescent="0.25">
      <c r="A844" s="1047"/>
      <c r="B844" s="110" t="s">
        <v>2298</v>
      </c>
      <c r="C844" s="110"/>
      <c r="D844" s="433">
        <v>120</v>
      </c>
      <c r="E844" s="207" t="s">
        <v>2322</v>
      </c>
      <c r="F844" s="1178" t="s">
        <v>4353</v>
      </c>
      <c r="G844" s="1056" t="s">
        <v>4306</v>
      </c>
      <c r="H844" s="433" t="s">
        <v>3478</v>
      </c>
      <c r="I844" s="111">
        <v>16.2</v>
      </c>
      <c r="J844" s="111">
        <v>1944</v>
      </c>
      <c r="K844" s="110"/>
      <c r="L844" s="110"/>
      <c r="M844" s="110"/>
      <c r="N844" s="110"/>
      <c r="O844" s="110"/>
      <c r="P844" s="110"/>
      <c r="Q844" s="433">
        <v>60</v>
      </c>
      <c r="R844" s="111">
        <v>648</v>
      </c>
      <c r="S844" s="110"/>
      <c r="T844" s="110"/>
      <c r="U844" s="110"/>
      <c r="V844" s="110"/>
      <c r="W844" s="433">
        <v>30</v>
      </c>
      <c r="X844" s="111">
        <v>648</v>
      </c>
      <c r="Y844" s="110"/>
      <c r="Z844" s="110"/>
      <c r="AA844" s="110"/>
      <c r="AB844" s="110"/>
      <c r="AC844" s="433">
        <v>30</v>
      </c>
      <c r="AD844" s="111">
        <v>648</v>
      </c>
      <c r="AE844" s="110"/>
      <c r="AF844" s="110"/>
      <c r="AG844" s="110"/>
      <c r="AH844" s="1048"/>
    </row>
    <row r="845" spans="1:34" ht="45" x14ac:dyDescent="0.25">
      <c r="A845" s="1047"/>
      <c r="B845" s="110" t="s">
        <v>2299</v>
      </c>
      <c r="C845" s="110"/>
      <c r="D845" s="433">
        <v>120</v>
      </c>
      <c r="E845" s="207" t="s">
        <v>1998</v>
      </c>
      <c r="F845" s="1178" t="s">
        <v>4353</v>
      </c>
      <c r="G845" s="1056" t="s">
        <v>4306</v>
      </c>
      <c r="H845" s="433" t="s">
        <v>3478</v>
      </c>
      <c r="I845" s="111">
        <v>41.04</v>
      </c>
      <c r="J845" s="111">
        <v>4924.8</v>
      </c>
      <c r="K845" s="110"/>
      <c r="L845" s="110"/>
      <c r="M845" s="110"/>
      <c r="N845" s="110"/>
      <c r="O845" s="110"/>
      <c r="P845" s="110"/>
      <c r="Q845" s="433">
        <v>60</v>
      </c>
      <c r="R845" s="111">
        <v>1641.6000000000001</v>
      </c>
      <c r="S845" s="110"/>
      <c r="T845" s="110"/>
      <c r="U845" s="110"/>
      <c r="V845" s="110"/>
      <c r="W845" s="433">
        <v>30</v>
      </c>
      <c r="X845" s="111">
        <v>1641.6000000000001</v>
      </c>
      <c r="Y845" s="110"/>
      <c r="Z845" s="110"/>
      <c r="AA845" s="110"/>
      <c r="AB845" s="110"/>
      <c r="AC845" s="433">
        <v>30</v>
      </c>
      <c r="AD845" s="111">
        <v>1641.6000000000001</v>
      </c>
      <c r="AE845" s="110"/>
      <c r="AF845" s="110"/>
      <c r="AG845" s="110"/>
      <c r="AH845" s="1048"/>
    </row>
    <row r="846" spans="1:34" ht="45" x14ac:dyDescent="0.25">
      <c r="A846" s="1047"/>
      <c r="B846" s="110" t="s">
        <v>2300</v>
      </c>
      <c r="C846" s="110"/>
      <c r="D846" s="433">
        <v>120</v>
      </c>
      <c r="E846" s="207" t="s">
        <v>1998</v>
      </c>
      <c r="F846" s="1178" t="s">
        <v>4353</v>
      </c>
      <c r="G846" s="1056" t="s">
        <v>4306</v>
      </c>
      <c r="H846" s="433" t="s">
        <v>3478</v>
      </c>
      <c r="I846" s="111">
        <v>41.04</v>
      </c>
      <c r="J846" s="111">
        <v>4924.8</v>
      </c>
      <c r="K846" s="110"/>
      <c r="L846" s="110"/>
      <c r="M846" s="110"/>
      <c r="N846" s="110"/>
      <c r="O846" s="110"/>
      <c r="P846" s="110"/>
      <c r="Q846" s="433">
        <v>60</v>
      </c>
      <c r="R846" s="111">
        <v>1641.6000000000001</v>
      </c>
      <c r="S846" s="110"/>
      <c r="T846" s="110"/>
      <c r="U846" s="110"/>
      <c r="V846" s="110"/>
      <c r="W846" s="433">
        <v>30</v>
      </c>
      <c r="X846" s="111">
        <v>1641.6000000000001</v>
      </c>
      <c r="Y846" s="110"/>
      <c r="Z846" s="110"/>
      <c r="AA846" s="110"/>
      <c r="AB846" s="110"/>
      <c r="AC846" s="433">
        <v>30</v>
      </c>
      <c r="AD846" s="111">
        <v>1641.6000000000001</v>
      </c>
      <c r="AE846" s="110"/>
      <c r="AF846" s="110"/>
      <c r="AG846" s="110"/>
      <c r="AH846" s="1048"/>
    </row>
    <row r="847" spans="1:34" ht="45" x14ac:dyDescent="0.25">
      <c r="A847" s="1047"/>
      <c r="B847" s="110" t="s">
        <v>2301</v>
      </c>
      <c r="C847" s="110"/>
      <c r="D847" s="433">
        <v>240</v>
      </c>
      <c r="E847" s="207" t="s">
        <v>1998</v>
      </c>
      <c r="F847" s="1178" t="s">
        <v>4353</v>
      </c>
      <c r="G847" s="1056" t="s">
        <v>4306</v>
      </c>
      <c r="H847" s="433" t="s">
        <v>3478</v>
      </c>
      <c r="I847" s="111">
        <v>27</v>
      </c>
      <c r="J847" s="111">
        <v>6480</v>
      </c>
      <c r="K847" s="110"/>
      <c r="L847" s="110"/>
      <c r="M847" s="110"/>
      <c r="N847" s="110"/>
      <c r="O847" s="110"/>
      <c r="P847" s="110"/>
      <c r="Q847" s="433">
        <v>140</v>
      </c>
      <c r="R847" s="111">
        <v>2160</v>
      </c>
      <c r="S847" s="110"/>
      <c r="T847" s="110"/>
      <c r="U847" s="110"/>
      <c r="V847" s="110"/>
      <c r="W847" s="433">
        <v>50</v>
      </c>
      <c r="X847" s="111">
        <v>2160</v>
      </c>
      <c r="Y847" s="110"/>
      <c r="Z847" s="110"/>
      <c r="AA847" s="110"/>
      <c r="AB847" s="110"/>
      <c r="AC847" s="433">
        <v>50</v>
      </c>
      <c r="AD847" s="111">
        <v>2160</v>
      </c>
      <c r="AE847" s="110"/>
      <c r="AF847" s="110"/>
      <c r="AG847" s="110"/>
      <c r="AH847" s="1048"/>
    </row>
    <row r="848" spans="1:34" ht="45" x14ac:dyDescent="0.25">
      <c r="A848" s="1047"/>
      <c r="B848" s="110" t="s">
        <v>2302</v>
      </c>
      <c r="C848" s="110"/>
      <c r="D848" s="433">
        <v>240</v>
      </c>
      <c r="E848" s="207" t="s">
        <v>1998</v>
      </c>
      <c r="F848" s="1178" t="s">
        <v>4353</v>
      </c>
      <c r="G848" s="1056" t="s">
        <v>4306</v>
      </c>
      <c r="H848" s="433" t="s">
        <v>3478</v>
      </c>
      <c r="I848" s="111">
        <v>36.72</v>
      </c>
      <c r="J848" s="111">
        <v>8812.7999999999993</v>
      </c>
      <c r="K848" s="110"/>
      <c r="L848" s="110"/>
      <c r="M848" s="110"/>
      <c r="N848" s="110"/>
      <c r="O848" s="110"/>
      <c r="P848" s="110"/>
      <c r="Q848" s="433">
        <v>140</v>
      </c>
      <c r="R848" s="111">
        <v>2937.6</v>
      </c>
      <c r="S848" s="110"/>
      <c r="T848" s="110"/>
      <c r="U848" s="110"/>
      <c r="V848" s="110"/>
      <c r="W848" s="433">
        <v>50</v>
      </c>
      <c r="X848" s="111">
        <v>2937.6</v>
      </c>
      <c r="Y848" s="110"/>
      <c r="Z848" s="110"/>
      <c r="AA848" s="110"/>
      <c r="AB848" s="110"/>
      <c r="AC848" s="433">
        <v>50</v>
      </c>
      <c r="AD848" s="111">
        <v>2937.6</v>
      </c>
      <c r="AE848" s="110"/>
      <c r="AF848" s="110"/>
      <c r="AG848" s="110"/>
      <c r="AH848" s="1048"/>
    </row>
    <row r="849" spans="1:34" ht="45" x14ac:dyDescent="0.25">
      <c r="A849" s="1047"/>
      <c r="B849" s="110" t="s">
        <v>2303</v>
      </c>
      <c r="C849" s="110"/>
      <c r="D849" s="433">
        <v>240</v>
      </c>
      <c r="E849" s="207" t="s">
        <v>1998</v>
      </c>
      <c r="F849" s="1178" t="s">
        <v>4353</v>
      </c>
      <c r="G849" s="1056" t="s">
        <v>4306</v>
      </c>
      <c r="H849" s="433" t="s">
        <v>3478</v>
      </c>
      <c r="I849" s="111">
        <v>129.6</v>
      </c>
      <c r="J849" s="111">
        <v>31104</v>
      </c>
      <c r="K849" s="110"/>
      <c r="L849" s="110"/>
      <c r="M849" s="110"/>
      <c r="N849" s="110"/>
      <c r="O849" s="110"/>
      <c r="P849" s="110"/>
      <c r="Q849" s="433">
        <v>140</v>
      </c>
      <c r="R849" s="111">
        <v>10368</v>
      </c>
      <c r="S849" s="110"/>
      <c r="T849" s="110"/>
      <c r="U849" s="110"/>
      <c r="V849" s="110"/>
      <c r="W849" s="433">
        <v>50</v>
      </c>
      <c r="X849" s="111">
        <v>10368</v>
      </c>
      <c r="Y849" s="110"/>
      <c r="Z849" s="110"/>
      <c r="AA849" s="110"/>
      <c r="AB849" s="110"/>
      <c r="AC849" s="433">
        <v>50</v>
      </c>
      <c r="AD849" s="111">
        <v>10368</v>
      </c>
      <c r="AE849" s="110"/>
      <c r="AF849" s="110"/>
      <c r="AG849" s="110"/>
      <c r="AH849" s="1048"/>
    </row>
    <row r="850" spans="1:34" ht="45" x14ac:dyDescent="0.25">
      <c r="A850" s="1047"/>
      <c r="B850" s="110" t="s">
        <v>2304</v>
      </c>
      <c r="C850" s="110"/>
      <c r="D850" s="433">
        <v>60</v>
      </c>
      <c r="E850" s="207" t="s">
        <v>1998</v>
      </c>
      <c r="F850" s="1178" t="s">
        <v>4353</v>
      </c>
      <c r="G850" s="1056" t="s">
        <v>4306</v>
      </c>
      <c r="H850" s="433" t="s">
        <v>3478</v>
      </c>
      <c r="I850" s="111">
        <v>35.64</v>
      </c>
      <c r="J850" s="111">
        <v>2138.4</v>
      </c>
      <c r="K850" s="110"/>
      <c r="L850" s="110"/>
      <c r="M850" s="110"/>
      <c r="N850" s="110"/>
      <c r="O850" s="110"/>
      <c r="P850" s="110"/>
      <c r="Q850" s="433">
        <v>20</v>
      </c>
      <c r="R850" s="111">
        <v>712.80000000000007</v>
      </c>
      <c r="S850" s="110"/>
      <c r="T850" s="110"/>
      <c r="U850" s="110"/>
      <c r="V850" s="110"/>
      <c r="W850" s="433">
        <v>20</v>
      </c>
      <c r="X850" s="111">
        <v>712.80000000000007</v>
      </c>
      <c r="Y850" s="110"/>
      <c r="Z850" s="110"/>
      <c r="AA850" s="110"/>
      <c r="AB850" s="110"/>
      <c r="AC850" s="433">
        <v>20</v>
      </c>
      <c r="AD850" s="111">
        <v>712.80000000000007</v>
      </c>
      <c r="AE850" s="110"/>
      <c r="AF850" s="110"/>
      <c r="AG850" s="110"/>
      <c r="AH850" s="1048"/>
    </row>
    <row r="851" spans="1:34" ht="45" x14ac:dyDescent="0.25">
      <c r="A851" s="1047"/>
      <c r="B851" s="110" t="s">
        <v>2305</v>
      </c>
      <c r="C851" s="110"/>
      <c r="D851" s="433">
        <v>360</v>
      </c>
      <c r="E851" s="207" t="s">
        <v>1998</v>
      </c>
      <c r="F851" s="1178" t="s">
        <v>4353</v>
      </c>
      <c r="G851" s="1056" t="s">
        <v>4306</v>
      </c>
      <c r="H851" s="433" t="s">
        <v>3478</v>
      </c>
      <c r="I851" s="111">
        <v>189</v>
      </c>
      <c r="J851" s="111">
        <v>68040</v>
      </c>
      <c r="K851" s="110"/>
      <c r="L851" s="110"/>
      <c r="M851" s="110"/>
      <c r="N851" s="110"/>
      <c r="O851" s="110"/>
      <c r="P851" s="110"/>
      <c r="Q851" s="433">
        <v>160</v>
      </c>
      <c r="R851" s="111">
        <v>22680</v>
      </c>
      <c r="S851" s="110"/>
      <c r="T851" s="110"/>
      <c r="U851" s="110"/>
      <c r="V851" s="110"/>
      <c r="W851" s="433">
        <v>100</v>
      </c>
      <c r="X851" s="111">
        <v>22680</v>
      </c>
      <c r="Y851" s="110"/>
      <c r="Z851" s="110"/>
      <c r="AA851" s="110"/>
      <c r="AB851" s="110"/>
      <c r="AC851" s="433">
        <v>100</v>
      </c>
      <c r="AD851" s="111">
        <v>22680</v>
      </c>
      <c r="AE851" s="110"/>
      <c r="AF851" s="110"/>
      <c r="AG851" s="110"/>
      <c r="AH851" s="1048"/>
    </row>
    <row r="852" spans="1:34" ht="45" x14ac:dyDescent="0.25">
      <c r="A852" s="1047"/>
      <c r="B852" s="110" t="s">
        <v>2306</v>
      </c>
      <c r="C852" s="110"/>
      <c r="D852" s="433">
        <v>120</v>
      </c>
      <c r="E852" s="207" t="s">
        <v>1998</v>
      </c>
      <c r="F852" s="1178" t="s">
        <v>4353</v>
      </c>
      <c r="G852" s="1056" t="s">
        <v>4306</v>
      </c>
      <c r="H852" s="433" t="s">
        <v>3478</v>
      </c>
      <c r="I852" s="111">
        <v>37.799999999999997</v>
      </c>
      <c r="J852" s="111">
        <v>4536</v>
      </c>
      <c r="K852" s="110"/>
      <c r="L852" s="110"/>
      <c r="M852" s="110"/>
      <c r="N852" s="110"/>
      <c r="O852" s="110"/>
      <c r="P852" s="110"/>
      <c r="Q852" s="433">
        <v>60</v>
      </c>
      <c r="R852" s="111">
        <v>1512</v>
      </c>
      <c r="S852" s="110"/>
      <c r="T852" s="110"/>
      <c r="U852" s="110"/>
      <c r="V852" s="110"/>
      <c r="W852" s="433">
        <v>30</v>
      </c>
      <c r="X852" s="111">
        <v>1512</v>
      </c>
      <c r="Y852" s="110"/>
      <c r="Z852" s="110"/>
      <c r="AA852" s="110"/>
      <c r="AB852" s="110"/>
      <c r="AC852" s="433">
        <v>30</v>
      </c>
      <c r="AD852" s="111">
        <v>1512</v>
      </c>
      <c r="AE852" s="110"/>
      <c r="AF852" s="110"/>
      <c r="AG852" s="110"/>
      <c r="AH852" s="1048"/>
    </row>
    <row r="853" spans="1:34" ht="45" x14ac:dyDescent="0.25">
      <c r="A853" s="1047"/>
      <c r="B853" s="110" t="s">
        <v>2307</v>
      </c>
      <c r="C853" s="110"/>
      <c r="D853" s="433">
        <v>120</v>
      </c>
      <c r="E853" s="207" t="s">
        <v>1998</v>
      </c>
      <c r="F853" s="1178" t="s">
        <v>4353</v>
      </c>
      <c r="G853" s="1056" t="s">
        <v>4306</v>
      </c>
      <c r="H853" s="433" t="s">
        <v>3478</v>
      </c>
      <c r="I853" s="111">
        <v>43.2</v>
      </c>
      <c r="J853" s="111">
        <v>5184</v>
      </c>
      <c r="K853" s="110"/>
      <c r="L853" s="110"/>
      <c r="M853" s="110"/>
      <c r="N853" s="110"/>
      <c r="O853" s="110"/>
      <c r="P853" s="110"/>
      <c r="Q853" s="433">
        <v>60</v>
      </c>
      <c r="R853" s="111">
        <v>1728</v>
      </c>
      <c r="S853" s="110"/>
      <c r="T853" s="110"/>
      <c r="U853" s="110"/>
      <c r="V853" s="110"/>
      <c r="W853" s="433">
        <v>30</v>
      </c>
      <c r="X853" s="111">
        <v>1728</v>
      </c>
      <c r="Y853" s="110"/>
      <c r="Z853" s="110"/>
      <c r="AA853" s="110"/>
      <c r="AB853" s="110"/>
      <c r="AC853" s="433">
        <v>30</v>
      </c>
      <c r="AD853" s="111">
        <v>1728</v>
      </c>
      <c r="AE853" s="110"/>
      <c r="AF853" s="110"/>
      <c r="AG853" s="110"/>
      <c r="AH853" s="1048"/>
    </row>
    <row r="854" spans="1:34" ht="45" x14ac:dyDescent="0.25">
      <c r="A854" s="1047"/>
      <c r="B854" s="110" t="s">
        <v>2308</v>
      </c>
      <c r="C854" s="110"/>
      <c r="D854" s="433">
        <v>120</v>
      </c>
      <c r="E854" s="207" t="s">
        <v>1998</v>
      </c>
      <c r="F854" s="1178" t="s">
        <v>4353</v>
      </c>
      <c r="G854" s="1056" t="s">
        <v>4306</v>
      </c>
      <c r="H854" s="433" t="s">
        <v>3478</v>
      </c>
      <c r="I854" s="111">
        <v>97.2</v>
      </c>
      <c r="J854" s="111">
        <v>11664</v>
      </c>
      <c r="K854" s="110"/>
      <c r="L854" s="110"/>
      <c r="M854" s="110"/>
      <c r="N854" s="110"/>
      <c r="O854" s="110"/>
      <c r="P854" s="110"/>
      <c r="Q854" s="433">
        <v>60</v>
      </c>
      <c r="R854" s="111">
        <v>3888</v>
      </c>
      <c r="S854" s="110"/>
      <c r="T854" s="110"/>
      <c r="U854" s="110"/>
      <c r="V854" s="110"/>
      <c r="W854" s="433">
        <v>30</v>
      </c>
      <c r="X854" s="111">
        <v>3888</v>
      </c>
      <c r="Y854" s="110"/>
      <c r="Z854" s="110"/>
      <c r="AA854" s="110"/>
      <c r="AB854" s="110"/>
      <c r="AC854" s="433">
        <v>30</v>
      </c>
      <c r="AD854" s="111">
        <v>3888</v>
      </c>
      <c r="AE854" s="110"/>
      <c r="AF854" s="110"/>
      <c r="AG854" s="110"/>
      <c r="AH854" s="1048"/>
    </row>
    <row r="855" spans="1:34" ht="45" x14ac:dyDescent="0.25">
      <c r="A855" s="1047"/>
      <c r="B855" s="110" t="s">
        <v>2309</v>
      </c>
      <c r="C855" s="110"/>
      <c r="D855" s="433">
        <v>120</v>
      </c>
      <c r="E855" s="207" t="s">
        <v>1998</v>
      </c>
      <c r="F855" s="1178" t="s">
        <v>4353</v>
      </c>
      <c r="G855" s="1056" t="s">
        <v>4306</v>
      </c>
      <c r="H855" s="433" t="s">
        <v>3478</v>
      </c>
      <c r="I855" s="111">
        <v>81</v>
      </c>
      <c r="J855" s="111">
        <v>9720</v>
      </c>
      <c r="K855" s="110"/>
      <c r="L855" s="110"/>
      <c r="M855" s="110"/>
      <c r="N855" s="110"/>
      <c r="O855" s="110"/>
      <c r="P855" s="110"/>
      <c r="Q855" s="433">
        <v>60</v>
      </c>
      <c r="R855" s="111">
        <v>3240</v>
      </c>
      <c r="S855" s="110"/>
      <c r="T855" s="110"/>
      <c r="U855" s="110"/>
      <c r="V855" s="110"/>
      <c r="W855" s="433">
        <v>30</v>
      </c>
      <c r="X855" s="111">
        <v>3240</v>
      </c>
      <c r="Y855" s="110"/>
      <c r="Z855" s="110"/>
      <c r="AA855" s="110"/>
      <c r="AB855" s="110"/>
      <c r="AC855" s="433">
        <v>30</v>
      </c>
      <c r="AD855" s="111">
        <v>3240</v>
      </c>
      <c r="AE855" s="110"/>
      <c r="AF855" s="110"/>
      <c r="AG855" s="110"/>
      <c r="AH855" s="1048"/>
    </row>
    <row r="856" spans="1:34" ht="45" x14ac:dyDescent="0.25">
      <c r="A856" s="1047"/>
      <c r="B856" s="110" t="s">
        <v>2310</v>
      </c>
      <c r="C856" s="110"/>
      <c r="D856" s="433">
        <v>120</v>
      </c>
      <c r="E856" s="207" t="s">
        <v>1998</v>
      </c>
      <c r="F856" s="1178" t="s">
        <v>4353</v>
      </c>
      <c r="G856" s="1056" t="s">
        <v>4306</v>
      </c>
      <c r="H856" s="433" t="s">
        <v>3478</v>
      </c>
      <c r="I856" s="111">
        <v>32.4</v>
      </c>
      <c r="J856" s="111">
        <v>3888</v>
      </c>
      <c r="K856" s="110"/>
      <c r="L856" s="110"/>
      <c r="M856" s="110"/>
      <c r="N856" s="110"/>
      <c r="O856" s="110"/>
      <c r="P856" s="110"/>
      <c r="Q856" s="433">
        <v>60</v>
      </c>
      <c r="R856" s="111">
        <v>1296</v>
      </c>
      <c r="S856" s="110"/>
      <c r="T856" s="110"/>
      <c r="U856" s="110"/>
      <c r="V856" s="110"/>
      <c r="W856" s="433">
        <v>30</v>
      </c>
      <c r="X856" s="111">
        <v>1296</v>
      </c>
      <c r="Y856" s="110"/>
      <c r="Z856" s="110"/>
      <c r="AA856" s="110"/>
      <c r="AB856" s="110"/>
      <c r="AC856" s="433">
        <v>30</v>
      </c>
      <c r="AD856" s="111">
        <v>1296</v>
      </c>
      <c r="AE856" s="110"/>
      <c r="AF856" s="110"/>
      <c r="AG856" s="110"/>
      <c r="AH856" s="1048"/>
    </row>
    <row r="857" spans="1:34" ht="45" x14ac:dyDescent="0.25">
      <c r="A857" s="1047"/>
      <c r="B857" s="110" t="s">
        <v>2311</v>
      </c>
      <c r="C857" s="110"/>
      <c r="D857" s="433">
        <v>120</v>
      </c>
      <c r="E857" s="207" t="s">
        <v>1998</v>
      </c>
      <c r="F857" s="1178" t="s">
        <v>4353</v>
      </c>
      <c r="G857" s="1056" t="s">
        <v>4306</v>
      </c>
      <c r="H857" s="433" t="s">
        <v>3478</v>
      </c>
      <c r="I857" s="111">
        <v>588</v>
      </c>
      <c r="J857" s="111">
        <v>70560</v>
      </c>
      <c r="K857" s="110"/>
      <c r="L857" s="110"/>
      <c r="M857" s="110"/>
      <c r="N857" s="110"/>
      <c r="O857" s="110"/>
      <c r="P857" s="110"/>
      <c r="Q857" s="433">
        <v>60</v>
      </c>
      <c r="R857" s="111">
        <v>23520</v>
      </c>
      <c r="S857" s="110"/>
      <c r="T857" s="110"/>
      <c r="U857" s="110"/>
      <c r="V857" s="110"/>
      <c r="W857" s="433">
        <v>30</v>
      </c>
      <c r="X857" s="111">
        <v>23520</v>
      </c>
      <c r="Y857" s="110"/>
      <c r="Z857" s="110"/>
      <c r="AA857" s="110"/>
      <c r="AB857" s="110"/>
      <c r="AC857" s="433">
        <v>30</v>
      </c>
      <c r="AD857" s="111">
        <v>23520</v>
      </c>
      <c r="AE857" s="110"/>
      <c r="AF857" s="110"/>
      <c r="AG857" s="110"/>
      <c r="AH857" s="1048"/>
    </row>
    <row r="858" spans="1:34" ht="45" x14ac:dyDescent="0.25">
      <c r="A858" s="1047"/>
      <c r="B858" s="110" t="s">
        <v>2312</v>
      </c>
      <c r="C858" s="110"/>
      <c r="D858" s="433">
        <v>120</v>
      </c>
      <c r="E858" s="207" t="s">
        <v>1998</v>
      </c>
      <c r="F858" s="1178" t="s">
        <v>4353</v>
      </c>
      <c r="G858" s="1056" t="s">
        <v>4306</v>
      </c>
      <c r="H858" s="433" t="s">
        <v>3478</v>
      </c>
      <c r="I858" s="111">
        <v>41.04</v>
      </c>
      <c r="J858" s="111">
        <v>4924.8</v>
      </c>
      <c r="K858" s="110"/>
      <c r="L858" s="110"/>
      <c r="M858" s="110"/>
      <c r="N858" s="110"/>
      <c r="O858" s="110"/>
      <c r="P858" s="110"/>
      <c r="Q858" s="433">
        <v>60</v>
      </c>
      <c r="R858" s="111">
        <v>1641.6000000000001</v>
      </c>
      <c r="S858" s="110"/>
      <c r="T858" s="110"/>
      <c r="U858" s="110"/>
      <c r="V858" s="110"/>
      <c r="W858" s="433">
        <v>30</v>
      </c>
      <c r="X858" s="111">
        <v>1641.6000000000001</v>
      </c>
      <c r="Y858" s="110"/>
      <c r="Z858" s="110"/>
      <c r="AA858" s="110"/>
      <c r="AB858" s="110"/>
      <c r="AC858" s="433">
        <v>30</v>
      </c>
      <c r="AD858" s="111">
        <v>1641.6000000000001</v>
      </c>
      <c r="AE858" s="110"/>
      <c r="AF858" s="110"/>
      <c r="AG858" s="110"/>
      <c r="AH858" s="1048"/>
    </row>
    <row r="859" spans="1:34" ht="45" x14ac:dyDescent="0.25">
      <c r="A859" s="1047"/>
      <c r="B859" s="110" t="s">
        <v>2313</v>
      </c>
      <c r="C859" s="110"/>
      <c r="D859" s="433">
        <v>120</v>
      </c>
      <c r="E859" s="207" t="s">
        <v>1998</v>
      </c>
      <c r="F859" s="1178" t="s">
        <v>4353</v>
      </c>
      <c r="G859" s="1056" t="s">
        <v>4306</v>
      </c>
      <c r="H859" s="433" t="s">
        <v>3478</v>
      </c>
      <c r="I859" s="111">
        <v>54</v>
      </c>
      <c r="J859" s="111">
        <v>6480</v>
      </c>
      <c r="K859" s="110"/>
      <c r="L859" s="110"/>
      <c r="M859" s="110"/>
      <c r="N859" s="110"/>
      <c r="O859" s="110"/>
      <c r="P859" s="110"/>
      <c r="Q859" s="433">
        <v>60</v>
      </c>
      <c r="R859" s="111">
        <v>2160</v>
      </c>
      <c r="S859" s="110"/>
      <c r="T859" s="110"/>
      <c r="U859" s="110"/>
      <c r="V859" s="110"/>
      <c r="W859" s="433">
        <v>30</v>
      </c>
      <c r="X859" s="111">
        <v>2160</v>
      </c>
      <c r="Y859" s="110"/>
      <c r="Z859" s="110"/>
      <c r="AA859" s="110"/>
      <c r="AB859" s="110"/>
      <c r="AC859" s="433">
        <v>30</v>
      </c>
      <c r="AD859" s="111">
        <v>2160</v>
      </c>
      <c r="AE859" s="110"/>
      <c r="AF859" s="110"/>
      <c r="AG859" s="110"/>
      <c r="AH859" s="1048"/>
    </row>
    <row r="860" spans="1:34" ht="45" x14ac:dyDescent="0.25">
      <c r="A860" s="1047"/>
      <c r="B860" s="110" t="s">
        <v>2314</v>
      </c>
      <c r="C860" s="110"/>
      <c r="D860" s="433">
        <v>120</v>
      </c>
      <c r="E860" s="207" t="s">
        <v>1998</v>
      </c>
      <c r="F860" s="1178" t="s">
        <v>4353</v>
      </c>
      <c r="G860" s="1056" t="s">
        <v>4306</v>
      </c>
      <c r="H860" s="433" t="s">
        <v>3478</v>
      </c>
      <c r="I860" s="111">
        <v>583.20000000000005</v>
      </c>
      <c r="J860" s="111">
        <v>69984</v>
      </c>
      <c r="K860" s="110"/>
      <c r="L860" s="110"/>
      <c r="M860" s="110"/>
      <c r="N860" s="110"/>
      <c r="O860" s="110"/>
      <c r="P860" s="110"/>
      <c r="Q860" s="433">
        <v>60</v>
      </c>
      <c r="R860" s="111">
        <v>23328</v>
      </c>
      <c r="S860" s="110"/>
      <c r="T860" s="110"/>
      <c r="U860" s="110"/>
      <c r="V860" s="110"/>
      <c r="W860" s="433">
        <v>30</v>
      </c>
      <c r="X860" s="111">
        <v>23328</v>
      </c>
      <c r="Y860" s="110"/>
      <c r="Z860" s="110"/>
      <c r="AA860" s="110"/>
      <c r="AB860" s="110"/>
      <c r="AC860" s="433">
        <v>30</v>
      </c>
      <c r="AD860" s="111">
        <v>23328</v>
      </c>
      <c r="AE860" s="110"/>
      <c r="AF860" s="110"/>
      <c r="AG860" s="110"/>
      <c r="AH860" s="1048"/>
    </row>
    <row r="861" spans="1:34" ht="45" x14ac:dyDescent="0.25">
      <c r="A861" s="1047"/>
      <c r="B861" s="110" t="s">
        <v>2315</v>
      </c>
      <c r="C861" s="110"/>
      <c r="D861" s="433">
        <v>36</v>
      </c>
      <c r="E861" s="207" t="s">
        <v>1998</v>
      </c>
      <c r="F861" s="1178" t="s">
        <v>4353</v>
      </c>
      <c r="G861" s="1056" t="s">
        <v>4306</v>
      </c>
      <c r="H861" s="433" t="s">
        <v>3478</v>
      </c>
      <c r="I861" s="111">
        <v>74</v>
      </c>
      <c r="J861" s="111">
        <v>2664</v>
      </c>
      <c r="K861" s="110"/>
      <c r="L861" s="110"/>
      <c r="M861" s="110"/>
      <c r="N861" s="110"/>
      <c r="O861" s="110"/>
      <c r="P861" s="110"/>
      <c r="Q861" s="433">
        <v>20</v>
      </c>
      <c r="R861" s="111">
        <v>888</v>
      </c>
      <c r="S861" s="110"/>
      <c r="T861" s="110"/>
      <c r="U861" s="110"/>
      <c r="V861" s="110"/>
      <c r="W861" s="433">
        <v>9</v>
      </c>
      <c r="X861" s="111">
        <v>888</v>
      </c>
      <c r="Y861" s="110"/>
      <c r="Z861" s="110"/>
      <c r="AA861" s="110"/>
      <c r="AB861" s="110"/>
      <c r="AC861" s="433">
        <v>7</v>
      </c>
      <c r="AD861" s="111">
        <v>888</v>
      </c>
      <c r="AE861" s="110"/>
      <c r="AF861" s="110"/>
      <c r="AG861" s="110"/>
      <c r="AH861" s="1048"/>
    </row>
    <row r="862" spans="1:34" ht="45" x14ac:dyDescent="0.25">
      <c r="A862" s="1047"/>
      <c r="B862" s="110" t="s">
        <v>4140</v>
      </c>
      <c r="C862" s="110"/>
      <c r="D862" s="433">
        <v>100</v>
      </c>
      <c r="E862" s="207" t="s">
        <v>1722</v>
      </c>
      <c r="F862" s="1178" t="s">
        <v>4353</v>
      </c>
      <c r="G862" s="1056" t="s">
        <v>4306</v>
      </c>
      <c r="H862" s="433" t="s">
        <v>3478</v>
      </c>
      <c r="I862" s="111">
        <v>79</v>
      </c>
      <c r="J862" s="111">
        <v>7900</v>
      </c>
      <c r="K862" s="110"/>
      <c r="L862" s="110"/>
      <c r="M862" s="110"/>
      <c r="N862" s="110"/>
      <c r="O862" s="110"/>
      <c r="P862" s="110"/>
      <c r="Q862" s="433">
        <v>40</v>
      </c>
      <c r="R862" s="111">
        <v>2633.3333333333335</v>
      </c>
      <c r="S862" s="110"/>
      <c r="T862" s="110"/>
      <c r="U862" s="110"/>
      <c r="V862" s="110"/>
      <c r="W862" s="433">
        <v>30</v>
      </c>
      <c r="X862" s="111">
        <v>2633.3333333333335</v>
      </c>
      <c r="Y862" s="110"/>
      <c r="Z862" s="110"/>
      <c r="AA862" s="110"/>
      <c r="AB862" s="110"/>
      <c r="AC862" s="433">
        <v>30</v>
      </c>
      <c r="AD862" s="111">
        <v>2633.3333333333335</v>
      </c>
      <c r="AE862" s="110"/>
      <c r="AF862" s="110"/>
      <c r="AG862" s="110"/>
      <c r="AH862" s="1048"/>
    </row>
    <row r="863" spans="1:34" ht="45" x14ac:dyDescent="0.25">
      <c r="A863" s="1047"/>
      <c r="B863" s="110" t="s">
        <v>4141</v>
      </c>
      <c r="C863" s="110"/>
      <c r="D863" s="433">
        <v>100</v>
      </c>
      <c r="E863" s="207" t="s">
        <v>1722</v>
      </c>
      <c r="F863" s="1178" t="s">
        <v>4353</v>
      </c>
      <c r="G863" s="1056" t="s">
        <v>4306</v>
      </c>
      <c r="H863" s="433" t="s">
        <v>3478</v>
      </c>
      <c r="I863" s="111">
        <v>85</v>
      </c>
      <c r="J863" s="111">
        <v>8500</v>
      </c>
      <c r="K863" s="110"/>
      <c r="L863" s="110"/>
      <c r="M863" s="110"/>
      <c r="N863" s="110"/>
      <c r="O863" s="110"/>
      <c r="P863" s="110"/>
      <c r="Q863" s="433">
        <v>40</v>
      </c>
      <c r="R863" s="111">
        <v>2833.3333333333335</v>
      </c>
      <c r="S863" s="110"/>
      <c r="T863" s="110"/>
      <c r="U863" s="110"/>
      <c r="V863" s="110"/>
      <c r="W863" s="433">
        <v>30</v>
      </c>
      <c r="X863" s="111">
        <v>2833.3333333333335</v>
      </c>
      <c r="Y863" s="110"/>
      <c r="Z863" s="110"/>
      <c r="AA863" s="110"/>
      <c r="AB863" s="110"/>
      <c r="AC863" s="433">
        <v>30</v>
      </c>
      <c r="AD863" s="111">
        <v>2833.3333333333335</v>
      </c>
      <c r="AE863" s="110"/>
      <c r="AF863" s="110"/>
      <c r="AG863" s="110"/>
      <c r="AH863" s="1048"/>
    </row>
    <row r="864" spans="1:34" ht="45" x14ac:dyDescent="0.25">
      <c r="A864" s="1047"/>
      <c r="B864" s="110" t="s">
        <v>4142</v>
      </c>
      <c r="C864" s="110"/>
      <c r="D864" s="433">
        <v>120</v>
      </c>
      <c r="E864" s="207" t="s">
        <v>1722</v>
      </c>
      <c r="F864" s="1178" t="s">
        <v>4353</v>
      </c>
      <c r="G864" s="1056" t="s">
        <v>4306</v>
      </c>
      <c r="H864" s="433" t="s">
        <v>3478</v>
      </c>
      <c r="I864" s="111">
        <v>61</v>
      </c>
      <c r="J864" s="111">
        <v>7320</v>
      </c>
      <c r="K864" s="110"/>
      <c r="L864" s="110"/>
      <c r="M864" s="110"/>
      <c r="N864" s="110"/>
      <c r="O864" s="110"/>
      <c r="P864" s="110"/>
      <c r="Q864" s="433">
        <v>60</v>
      </c>
      <c r="R864" s="111">
        <v>2440</v>
      </c>
      <c r="S864" s="110"/>
      <c r="T864" s="110"/>
      <c r="U864" s="110"/>
      <c r="V864" s="110"/>
      <c r="W864" s="433">
        <v>30</v>
      </c>
      <c r="X864" s="111">
        <v>2440</v>
      </c>
      <c r="Y864" s="110"/>
      <c r="Z864" s="110"/>
      <c r="AA864" s="110"/>
      <c r="AB864" s="110"/>
      <c r="AC864" s="433">
        <v>30</v>
      </c>
      <c r="AD864" s="111">
        <v>2440</v>
      </c>
      <c r="AE864" s="110"/>
      <c r="AF864" s="110"/>
      <c r="AG864" s="110"/>
      <c r="AH864" s="1048"/>
    </row>
    <row r="865" spans="1:34" ht="45" x14ac:dyDescent="0.25">
      <c r="A865" s="1047"/>
      <c r="B865" s="110" t="s">
        <v>4143</v>
      </c>
      <c r="C865" s="110"/>
      <c r="D865" s="433">
        <v>110</v>
      </c>
      <c r="E865" s="207" t="s">
        <v>1722</v>
      </c>
      <c r="F865" s="1178" t="s">
        <v>4353</v>
      </c>
      <c r="G865" s="1056" t="s">
        <v>4306</v>
      </c>
      <c r="H865" s="433" t="s">
        <v>3478</v>
      </c>
      <c r="I865" s="111">
        <v>54</v>
      </c>
      <c r="J865" s="111">
        <v>5940</v>
      </c>
      <c r="K865" s="110"/>
      <c r="L865" s="110"/>
      <c r="M865" s="110"/>
      <c r="N865" s="110"/>
      <c r="O865" s="110"/>
      <c r="P865" s="110"/>
      <c r="Q865" s="433">
        <v>60</v>
      </c>
      <c r="R865" s="111">
        <v>1980</v>
      </c>
      <c r="S865" s="110"/>
      <c r="T865" s="110"/>
      <c r="U865" s="110"/>
      <c r="V865" s="110"/>
      <c r="W865" s="433">
        <v>25</v>
      </c>
      <c r="X865" s="111">
        <v>1980</v>
      </c>
      <c r="Y865" s="110"/>
      <c r="Z865" s="110"/>
      <c r="AA865" s="110"/>
      <c r="AB865" s="110"/>
      <c r="AC865" s="433">
        <v>25</v>
      </c>
      <c r="AD865" s="111">
        <v>1980</v>
      </c>
      <c r="AE865" s="110"/>
      <c r="AF865" s="110"/>
      <c r="AG865" s="110"/>
      <c r="AH865" s="1048"/>
    </row>
    <row r="866" spans="1:34" ht="45" x14ac:dyDescent="0.25">
      <c r="A866" s="1047"/>
      <c r="B866" s="110" t="s">
        <v>4144</v>
      </c>
      <c r="C866" s="110"/>
      <c r="D866" s="433">
        <v>50</v>
      </c>
      <c r="E866" s="207" t="s">
        <v>1722</v>
      </c>
      <c r="F866" s="1178" t="s">
        <v>4353</v>
      </c>
      <c r="G866" s="1056" t="s">
        <v>4306</v>
      </c>
      <c r="H866" s="433" t="s">
        <v>3478</v>
      </c>
      <c r="I866" s="111">
        <v>836</v>
      </c>
      <c r="J866" s="111">
        <v>41800</v>
      </c>
      <c r="K866" s="110"/>
      <c r="L866" s="110"/>
      <c r="M866" s="110"/>
      <c r="N866" s="110"/>
      <c r="O866" s="110"/>
      <c r="P866" s="110"/>
      <c r="Q866" s="433">
        <v>25</v>
      </c>
      <c r="R866" s="111">
        <v>13933.333333333334</v>
      </c>
      <c r="S866" s="110"/>
      <c r="T866" s="110"/>
      <c r="U866" s="110"/>
      <c r="V866" s="110"/>
      <c r="W866" s="433">
        <v>13</v>
      </c>
      <c r="X866" s="111">
        <v>13933.333333333334</v>
      </c>
      <c r="Y866" s="110"/>
      <c r="Z866" s="110"/>
      <c r="AA866" s="110"/>
      <c r="AB866" s="110"/>
      <c r="AC866" s="433">
        <v>12</v>
      </c>
      <c r="AD866" s="111">
        <v>13933.333333333334</v>
      </c>
      <c r="AE866" s="110"/>
      <c r="AF866" s="110"/>
      <c r="AG866" s="110"/>
      <c r="AH866" s="1048"/>
    </row>
    <row r="867" spans="1:34" x14ac:dyDescent="0.25">
      <c r="A867" s="1047"/>
      <c r="B867" s="110"/>
      <c r="C867" s="110"/>
      <c r="D867" s="433"/>
      <c r="E867" s="207"/>
      <c r="F867" s="433"/>
      <c r="G867" s="110"/>
      <c r="H867" s="433"/>
      <c r="I867" s="111"/>
      <c r="J867" s="111"/>
      <c r="K867" s="110"/>
      <c r="L867" s="110"/>
      <c r="M867" s="110"/>
      <c r="N867" s="110"/>
      <c r="O867" s="110"/>
      <c r="P867" s="110"/>
      <c r="Q867" s="433"/>
      <c r="R867" s="111"/>
      <c r="S867" s="110"/>
      <c r="T867" s="110"/>
      <c r="U867" s="110"/>
      <c r="V867" s="110"/>
      <c r="W867" s="433"/>
      <c r="X867" s="111"/>
      <c r="Y867" s="110"/>
      <c r="Z867" s="110"/>
      <c r="AA867" s="110"/>
      <c r="AB867" s="110"/>
      <c r="AC867" s="433"/>
      <c r="AD867" s="111"/>
      <c r="AE867" s="110"/>
      <c r="AF867" s="110"/>
      <c r="AG867" s="110"/>
      <c r="AH867" s="1048"/>
    </row>
    <row r="868" spans="1:34" ht="45" x14ac:dyDescent="0.25">
      <c r="A868" s="1047"/>
      <c r="B868" s="110" t="s">
        <v>4145</v>
      </c>
      <c r="C868" s="110"/>
      <c r="D868" s="433">
        <v>200</v>
      </c>
      <c r="E868" s="207" t="s">
        <v>1767</v>
      </c>
      <c r="F868" s="1178" t="s">
        <v>4353</v>
      </c>
      <c r="G868" s="1056" t="s">
        <v>4306</v>
      </c>
      <c r="H868" s="433" t="s">
        <v>3478</v>
      </c>
      <c r="I868" s="111">
        <v>4668.67</v>
      </c>
      <c r="J868" s="111">
        <v>933734</v>
      </c>
      <c r="K868" s="110"/>
      <c r="L868" s="110"/>
      <c r="M868" s="110"/>
      <c r="N868" s="110"/>
      <c r="O868" s="110"/>
      <c r="P868" s="110"/>
      <c r="Q868" s="433">
        <v>100</v>
      </c>
      <c r="R868" s="111">
        <v>311244.66666666669</v>
      </c>
      <c r="S868" s="110"/>
      <c r="T868" s="110"/>
      <c r="U868" s="110"/>
      <c r="V868" s="110"/>
      <c r="W868" s="433">
        <v>50</v>
      </c>
      <c r="X868" s="111">
        <v>311244.66666666669</v>
      </c>
      <c r="Y868" s="110"/>
      <c r="Z868" s="110"/>
      <c r="AA868" s="110"/>
      <c r="AB868" s="110"/>
      <c r="AC868" s="433">
        <v>50</v>
      </c>
      <c r="AD868" s="111">
        <v>311244.66666666669</v>
      </c>
      <c r="AE868" s="110"/>
      <c r="AF868" s="110"/>
      <c r="AG868" s="110"/>
      <c r="AH868" s="1048"/>
    </row>
    <row r="869" spans="1:34" ht="45" x14ac:dyDescent="0.25">
      <c r="A869" s="1047"/>
      <c r="B869" s="110" t="s">
        <v>4146</v>
      </c>
      <c r="C869" s="110"/>
      <c r="D869" s="433">
        <v>15</v>
      </c>
      <c r="E869" s="207" t="s">
        <v>1767</v>
      </c>
      <c r="F869" s="1178" t="s">
        <v>4353</v>
      </c>
      <c r="G869" s="1056" t="s">
        <v>4306</v>
      </c>
      <c r="H869" s="433" t="s">
        <v>3478</v>
      </c>
      <c r="I869" s="111">
        <v>4169.88</v>
      </c>
      <c r="J869" s="111">
        <v>62548.200000000004</v>
      </c>
      <c r="K869" s="110"/>
      <c r="L869" s="110"/>
      <c r="M869" s="110"/>
      <c r="N869" s="110"/>
      <c r="O869" s="110"/>
      <c r="P869" s="110"/>
      <c r="Q869" s="433">
        <v>8</v>
      </c>
      <c r="R869" s="111">
        <v>20849.400000000001</v>
      </c>
      <c r="S869" s="110"/>
      <c r="T869" s="110"/>
      <c r="U869" s="110"/>
      <c r="V869" s="110"/>
      <c r="W869" s="433">
        <v>4</v>
      </c>
      <c r="X869" s="111">
        <v>20849.400000000001</v>
      </c>
      <c r="Y869" s="110"/>
      <c r="Z869" s="110"/>
      <c r="AA869" s="110"/>
      <c r="AB869" s="110"/>
      <c r="AC869" s="433">
        <v>3</v>
      </c>
      <c r="AD869" s="111">
        <v>20849.400000000001</v>
      </c>
      <c r="AE869" s="110"/>
      <c r="AF869" s="110"/>
      <c r="AG869" s="110"/>
      <c r="AH869" s="1048"/>
    </row>
    <row r="870" spans="1:34" ht="45" x14ac:dyDescent="0.25">
      <c r="A870" s="1047"/>
      <c r="B870" s="110" t="s">
        <v>4147</v>
      </c>
      <c r="C870" s="110"/>
      <c r="D870" s="433">
        <v>15</v>
      </c>
      <c r="E870" s="207" t="s">
        <v>1767</v>
      </c>
      <c r="F870" s="1178" t="s">
        <v>4353</v>
      </c>
      <c r="G870" s="1056" t="s">
        <v>4306</v>
      </c>
      <c r="H870" s="433" t="s">
        <v>3478</v>
      </c>
      <c r="I870" s="111">
        <v>3866.44</v>
      </c>
      <c r="J870" s="111">
        <v>57996.6</v>
      </c>
      <c r="K870" s="110"/>
      <c r="L870" s="110"/>
      <c r="M870" s="110"/>
      <c r="N870" s="110"/>
      <c r="O870" s="110"/>
      <c r="P870" s="110"/>
      <c r="Q870" s="433">
        <v>8</v>
      </c>
      <c r="R870" s="111">
        <v>19332.2</v>
      </c>
      <c r="S870" s="110"/>
      <c r="T870" s="110"/>
      <c r="U870" s="110"/>
      <c r="V870" s="110"/>
      <c r="W870" s="433">
        <v>4</v>
      </c>
      <c r="X870" s="111">
        <v>19332.2</v>
      </c>
      <c r="Y870" s="110"/>
      <c r="Z870" s="110"/>
      <c r="AA870" s="110"/>
      <c r="AB870" s="110"/>
      <c r="AC870" s="433">
        <v>3</v>
      </c>
      <c r="AD870" s="111">
        <v>19332.2</v>
      </c>
      <c r="AE870" s="110"/>
      <c r="AF870" s="110"/>
      <c r="AG870" s="110"/>
      <c r="AH870" s="1048"/>
    </row>
    <row r="871" spans="1:34" ht="45" x14ac:dyDescent="0.25">
      <c r="A871" s="1047"/>
      <c r="B871" s="110" t="s">
        <v>4148</v>
      </c>
      <c r="C871" s="110"/>
      <c r="D871" s="433">
        <v>25</v>
      </c>
      <c r="E871" s="207" t="s">
        <v>1767</v>
      </c>
      <c r="F871" s="1178" t="s">
        <v>4353</v>
      </c>
      <c r="G871" s="1056" t="s">
        <v>4306</v>
      </c>
      <c r="H871" s="433" t="s">
        <v>3478</v>
      </c>
      <c r="I871" s="111">
        <v>3866.44</v>
      </c>
      <c r="J871" s="111">
        <v>96661</v>
      </c>
      <c r="K871" s="110"/>
      <c r="L871" s="110"/>
      <c r="M871" s="110"/>
      <c r="N871" s="110"/>
      <c r="O871" s="110"/>
      <c r="P871" s="110"/>
      <c r="Q871" s="433"/>
      <c r="R871" s="111">
        <v>32220.333333333332</v>
      </c>
      <c r="S871" s="110"/>
      <c r="T871" s="110"/>
      <c r="U871" s="110"/>
      <c r="V871" s="110"/>
      <c r="W871" s="433"/>
      <c r="X871" s="111">
        <v>32220.333333333332</v>
      </c>
      <c r="Y871" s="110"/>
      <c r="Z871" s="110"/>
      <c r="AA871" s="110"/>
      <c r="AB871" s="110"/>
      <c r="AC871" s="433"/>
      <c r="AD871" s="111">
        <v>32220.333333333332</v>
      </c>
      <c r="AE871" s="110"/>
      <c r="AF871" s="110"/>
      <c r="AG871" s="110"/>
      <c r="AH871" s="1048"/>
    </row>
    <row r="872" spans="1:34" ht="45" x14ac:dyDescent="0.25">
      <c r="A872" s="1047"/>
      <c r="B872" s="110" t="s">
        <v>4149</v>
      </c>
      <c r="C872" s="110"/>
      <c r="D872" s="433">
        <v>5</v>
      </c>
      <c r="E872" s="207" t="s">
        <v>1767</v>
      </c>
      <c r="F872" s="1178" t="s">
        <v>4353</v>
      </c>
      <c r="G872" s="1056" t="s">
        <v>4306</v>
      </c>
      <c r="H872" s="433" t="s">
        <v>3478</v>
      </c>
      <c r="I872" s="111">
        <v>10121.26</v>
      </c>
      <c r="J872" s="111">
        <v>50606.3</v>
      </c>
      <c r="K872" s="110"/>
      <c r="L872" s="110"/>
      <c r="M872" s="110"/>
      <c r="N872" s="110"/>
      <c r="O872" s="110"/>
      <c r="P872" s="110"/>
      <c r="Q872" s="433">
        <v>2</v>
      </c>
      <c r="R872" s="111">
        <v>16868.766666666666</v>
      </c>
      <c r="S872" s="110"/>
      <c r="T872" s="110"/>
      <c r="U872" s="110"/>
      <c r="V872" s="110"/>
      <c r="W872" s="433">
        <v>2</v>
      </c>
      <c r="X872" s="111">
        <v>16868.766666666666</v>
      </c>
      <c r="Y872" s="110"/>
      <c r="Z872" s="110"/>
      <c r="AA872" s="110"/>
      <c r="AB872" s="110"/>
      <c r="AC872" s="433">
        <v>1</v>
      </c>
      <c r="AD872" s="111">
        <v>16868.766666666666</v>
      </c>
      <c r="AE872" s="110"/>
      <c r="AF872" s="110"/>
      <c r="AG872" s="110"/>
      <c r="AH872" s="1048"/>
    </row>
    <row r="873" spans="1:34" ht="45" x14ac:dyDescent="0.25">
      <c r="A873" s="1047"/>
      <c r="B873" s="110" t="s">
        <v>4150</v>
      </c>
      <c r="C873" s="110"/>
      <c r="D873" s="433">
        <v>12</v>
      </c>
      <c r="E873" s="207" t="s">
        <v>1767</v>
      </c>
      <c r="F873" s="1178" t="s">
        <v>4353</v>
      </c>
      <c r="G873" s="1056" t="s">
        <v>4306</v>
      </c>
      <c r="H873" s="433" t="s">
        <v>3478</v>
      </c>
      <c r="I873" s="111">
        <v>10212.26</v>
      </c>
      <c r="J873" s="111">
        <v>122547.12</v>
      </c>
      <c r="K873" s="110"/>
      <c r="L873" s="110"/>
      <c r="M873" s="110"/>
      <c r="N873" s="110"/>
      <c r="O873" s="110"/>
      <c r="P873" s="110"/>
      <c r="Q873" s="433">
        <v>6</v>
      </c>
      <c r="R873" s="111">
        <v>40849.040000000001</v>
      </c>
      <c r="S873" s="110"/>
      <c r="T873" s="110"/>
      <c r="U873" s="110"/>
      <c r="V873" s="110"/>
      <c r="W873" s="433">
        <v>3</v>
      </c>
      <c r="X873" s="111">
        <v>40849.040000000001</v>
      </c>
      <c r="Y873" s="110"/>
      <c r="Z873" s="110"/>
      <c r="AA873" s="110"/>
      <c r="AB873" s="110"/>
      <c r="AC873" s="433">
        <v>3</v>
      </c>
      <c r="AD873" s="111">
        <v>40849.040000000001</v>
      </c>
      <c r="AE873" s="110"/>
      <c r="AF873" s="110"/>
      <c r="AG873" s="110"/>
      <c r="AH873" s="1048"/>
    </row>
    <row r="874" spans="1:34" ht="45" x14ac:dyDescent="0.25">
      <c r="A874" s="1047"/>
      <c r="B874" s="110" t="s">
        <v>4151</v>
      </c>
      <c r="C874" s="110"/>
      <c r="D874" s="433">
        <v>15</v>
      </c>
      <c r="E874" s="207" t="s">
        <v>1767</v>
      </c>
      <c r="F874" s="1178" t="s">
        <v>4353</v>
      </c>
      <c r="G874" s="1056" t="s">
        <v>4306</v>
      </c>
      <c r="H874" s="433" t="s">
        <v>3478</v>
      </c>
      <c r="I874" s="111">
        <v>6414.89</v>
      </c>
      <c r="J874" s="111">
        <v>96223.35</v>
      </c>
      <c r="K874" s="110"/>
      <c r="L874" s="110"/>
      <c r="M874" s="110"/>
      <c r="N874" s="110"/>
      <c r="O874" s="110"/>
      <c r="P874" s="110"/>
      <c r="Q874" s="433">
        <v>8</v>
      </c>
      <c r="R874" s="111">
        <v>32074.45</v>
      </c>
      <c r="S874" s="110"/>
      <c r="T874" s="110"/>
      <c r="U874" s="110"/>
      <c r="V874" s="110"/>
      <c r="W874" s="433">
        <v>4</v>
      </c>
      <c r="X874" s="111">
        <v>32074.45</v>
      </c>
      <c r="Y874" s="110"/>
      <c r="Z874" s="110"/>
      <c r="AA874" s="110"/>
      <c r="AB874" s="110"/>
      <c r="AC874" s="433">
        <v>3</v>
      </c>
      <c r="AD874" s="111">
        <v>32074.45</v>
      </c>
      <c r="AE874" s="110"/>
      <c r="AF874" s="110"/>
      <c r="AG874" s="110"/>
      <c r="AH874" s="1048"/>
    </row>
    <row r="875" spans="1:34" ht="45" x14ac:dyDescent="0.25">
      <c r="A875" s="1047"/>
      <c r="B875" s="110" t="s">
        <v>4152</v>
      </c>
      <c r="C875" s="110"/>
      <c r="D875" s="433">
        <v>180</v>
      </c>
      <c r="E875" s="207" t="s">
        <v>1767</v>
      </c>
      <c r="F875" s="1178" t="s">
        <v>4353</v>
      </c>
      <c r="G875" s="1056" t="s">
        <v>4306</v>
      </c>
      <c r="H875" s="433" t="s">
        <v>3478</v>
      </c>
      <c r="I875" s="111">
        <v>3017.0699999999997</v>
      </c>
      <c r="J875" s="111">
        <v>543072.6</v>
      </c>
      <c r="K875" s="110"/>
      <c r="L875" s="110"/>
      <c r="M875" s="110"/>
      <c r="N875" s="110"/>
      <c r="O875" s="110"/>
      <c r="P875" s="110"/>
      <c r="Q875" s="433">
        <v>80</v>
      </c>
      <c r="R875" s="111">
        <v>181024.19999999998</v>
      </c>
      <c r="S875" s="110"/>
      <c r="T875" s="110"/>
      <c r="U875" s="110"/>
      <c r="V875" s="110"/>
      <c r="W875" s="433">
        <v>50</v>
      </c>
      <c r="X875" s="111">
        <v>181024.19999999998</v>
      </c>
      <c r="Y875" s="110"/>
      <c r="Z875" s="110"/>
      <c r="AA875" s="110"/>
      <c r="AB875" s="110"/>
      <c r="AC875" s="433">
        <v>50</v>
      </c>
      <c r="AD875" s="111">
        <v>181024.19999999998</v>
      </c>
      <c r="AE875" s="110"/>
      <c r="AF875" s="110"/>
      <c r="AG875" s="110"/>
      <c r="AH875" s="1048"/>
    </row>
    <row r="876" spans="1:34" ht="45" x14ac:dyDescent="0.25">
      <c r="A876" s="1047"/>
      <c r="B876" s="110" t="s">
        <v>4153</v>
      </c>
      <c r="C876" s="110"/>
      <c r="D876" s="433">
        <v>50</v>
      </c>
      <c r="E876" s="207" t="s">
        <v>1767</v>
      </c>
      <c r="F876" s="1178" t="s">
        <v>4353</v>
      </c>
      <c r="G876" s="1056" t="s">
        <v>4306</v>
      </c>
      <c r="H876" s="433" t="s">
        <v>3478</v>
      </c>
      <c r="I876" s="111">
        <v>4668.87</v>
      </c>
      <c r="J876" s="111">
        <v>233443.5</v>
      </c>
      <c r="K876" s="110"/>
      <c r="L876" s="110"/>
      <c r="M876" s="110"/>
      <c r="N876" s="110"/>
      <c r="O876" s="110"/>
      <c r="P876" s="110"/>
      <c r="Q876" s="433">
        <v>25</v>
      </c>
      <c r="R876" s="111">
        <v>77814.5</v>
      </c>
      <c r="S876" s="110"/>
      <c r="T876" s="110"/>
      <c r="U876" s="110"/>
      <c r="V876" s="110"/>
      <c r="W876" s="433">
        <v>13</v>
      </c>
      <c r="X876" s="111">
        <v>77814.5</v>
      </c>
      <c r="Y876" s="110"/>
      <c r="Z876" s="110"/>
      <c r="AA876" s="110"/>
      <c r="AB876" s="110"/>
      <c r="AC876" s="433">
        <v>12</v>
      </c>
      <c r="AD876" s="111">
        <v>77814.5</v>
      </c>
      <c r="AE876" s="110"/>
      <c r="AF876" s="110"/>
      <c r="AG876" s="110"/>
      <c r="AH876" s="1048"/>
    </row>
    <row r="877" spans="1:34" ht="45" x14ac:dyDescent="0.25">
      <c r="A877" s="1047"/>
      <c r="B877" s="110" t="s">
        <v>4154</v>
      </c>
      <c r="C877" s="110"/>
      <c r="D877" s="433">
        <v>15</v>
      </c>
      <c r="E877" s="207" t="s">
        <v>1767</v>
      </c>
      <c r="F877" s="1178" t="s">
        <v>4353</v>
      </c>
      <c r="G877" s="1056" t="s">
        <v>4306</v>
      </c>
      <c r="H877" s="433" t="s">
        <v>3478</v>
      </c>
      <c r="I877" s="111">
        <v>1077.44</v>
      </c>
      <c r="J877" s="111">
        <v>16161.6</v>
      </c>
      <c r="K877" s="110"/>
      <c r="L877" s="110"/>
      <c r="M877" s="110"/>
      <c r="N877" s="110"/>
      <c r="O877" s="110"/>
      <c r="P877" s="110"/>
      <c r="Q877" s="433">
        <v>8</v>
      </c>
      <c r="R877" s="111">
        <v>5387.2</v>
      </c>
      <c r="S877" s="110"/>
      <c r="T877" s="110"/>
      <c r="U877" s="110"/>
      <c r="V877" s="110"/>
      <c r="W877" s="433">
        <v>4</v>
      </c>
      <c r="X877" s="111">
        <v>5387.2</v>
      </c>
      <c r="Y877" s="110"/>
      <c r="Z877" s="110"/>
      <c r="AA877" s="110"/>
      <c r="AB877" s="110"/>
      <c r="AC877" s="433">
        <v>3</v>
      </c>
      <c r="AD877" s="111">
        <v>5387.2</v>
      </c>
      <c r="AE877" s="110"/>
      <c r="AF877" s="110"/>
      <c r="AG877" s="110"/>
      <c r="AH877" s="1048"/>
    </row>
    <row r="878" spans="1:34" ht="45" x14ac:dyDescent="0.25">
      <c r="A878" s="1047"/>
      <c r="B878" s="110" t="s">
        <v>4155</v>
      </c>
      <c r="C878" s="110"/>
      <c r="D878" s="433">
        <v>5</v>
      </c>
      <c r="E878" s="207" t="s">
        <v>1767</v>
      </c>
      <c r="F878" s="1178" t="s">
        <v>4353</v>
      </c>
      <c r="G878" s="1056" t="s">
        <v>4306</v>
      </c>
      <c r="H878" s="433" t="s">
        <v>3478</v>
      </c>
      <c r="I878" s="111">
        <v>6878.07</v>
      </c>
      <c r="J878" s="111">
        <v>34390.35</v>
      </c>
      <c r="K878" s="110"/>
      <c r="L878" s="110"/>
      <c r="M878" s="110"/>
      <c r="N878" s="110"/>
      <c r="O878" s="110"/>
      <c r="P878" s="110"/>
      <c r="Q878" s="433">
        <v>2</v>
      </c>
      <c r="R878" s="111">
        <v>11463.449999999999</v>
      </c>
      <c r="S878" s="110"/>
      <c r="T878" s="110"/>
      <c r="U878" s="110"/>
      <c r="V878" s="110"/>
      <c r="W878" s="433">
        <v>2</v>
      </c>
      <c r="X878" s="111">
        <v>11463.449999999999</v>
      </c>
      <c r="Y878" s="110"/>
      <c r="Z878" s="110"/>
      <c r="AA878" s="110"/>
      <c r="AB878" s="110"/>
      <c r="AC878" s="433">
        <v>1</v>
      </c>
      <c r="AD878" s="111">
        <v>11463.449999999999</v>
      </c>
      <c r="AE878" s="110"/>
      <c r="AF878" s="110"/>
      <c r="AG878" s="110"/>
      <c r="AH878" s="1048"/>
    </row>
    <row r="879" spans="1:34" ht="45" x14ac:dyDescent="0.25">
      <c r="A879" s="1047"/>
      <c r="B879" s="110" t="s">
        <v>4156</v>
      </c>
      <c r="C879" s="110"/>
      <c r="D879" s="433">
        <v>235</v>
      </c>
      <c r="E879" s="207" t="s">
        <v>1767</v>
      </c>
      <c r="F879" s="1178" t="s">
        <v>4353</v>
      </c>
      <c r="G879" s="1056" t="s">
        <v>4306</v>
      </c>
      <c r="H879" s="433" t="s">
        <v>3478</v>
      </c>
      <c r="I879" s="111">
        <v>121.25</v>
      </c>
      <c r="J879" s="111">
        <v>28493.75</v>
      </c>
      <c r="K879" s="110"/>
      <c r="L879" s="110"/>
      <c r="M879" s="110"/>
      <c r="N879" s="110"/>
      <c r="O879" s="110"/>
      <c r="P879" s="110"/>
      <c r="Q879" s="433">
        <v>135</v>
      </c>
      <c r="R879" s="111">
        <v>9497.9166666666661</v>
      </c>
      <c r="S879" s="110"/>
      <c r="T879" s="110"/>
      <c r="U879" s="110"/>
      <c r="V879" s="110"/>
      <c r="W879" s="433">
        <v>50</v>
      </c>
      <c r="X879" s="111">
        <v>9497.9166666666661</v>
      </c>
      <c r="Y879" s="110"/>
      <c r="Z879" s="110"/>
      <c r="AA879" s="110"/>
      <c r="AB879" s="110"/>
      <c r="AC879" s="433">
        <v>50</v>
      </c>
      <c r="AD879" s="111">
        <v>9497.9166666666661</v>
      </c>
      <c r="AE879" s="110"/>
      <c r="AF879" s="110"/>
      <c r="AG879" s="110"/>
      <c r="AH879" s="1048"/>
    </row>
    <row r="880" spans="1:34" ht="45" x14ac:dyDescent="0.25">
      <c r="A880" s="1047"/>
      <c r="B880" s="110" t="s">
        <v>4157</v>
      </c>
      <c r="C880" s="110"/>
      <c r="D880" s="433">
        <v>120</v>
      </c>
      <c r="E880" s="207" t="s">
        <v>1767</v>
      </c>
      <c r="F880" s="1178" t="s">
        <v>4353</v>
      </c>
      <c r="G880" s="1056" t="s">
        <v>4306</v>
      </c>
      <c r="H880" s="433" t="s">
        <v>3478</v>
      </c>
      <c r="I880" s="111">
        <v>272.97000000000003</v>
      </c>
      <c r="J880" s="111">
        <v>32756.400000000001</v>
      </c>
      <c r="K880" s="110"/>
      <c r="L880" s="110"/>
      <c r="M880" s="110"/>
      <c r="N880" s="110"/>
      <c r="O880" s="110"/>
      <c r="P880" s="110"/>
      <c r="Q880" s="433">
        <v>60</v>
      </c>
      <c r="R880" s="111">
        <v>10918.800000000001</v>
      </c>
      <c r="S880" s="110"/>
      <c r="T880" s="110"/>
      <c r="U880" s="110"/>
      <c r="V880" s="110"/>
      <c r="W880" s="433">
        <v>30</v>
      </c>
      <c r="X880" s="111">
        <v>10918.800000000001</v>
      </c>
      <c r="Y880" s="110"/>
      <c r="Z880" s="110"/>
      <c r="AA880" s="110"/>
      <c r="AB880" s="110"/>
      <c r="AC880" s="433">
        <v>30</v>
      </c>
      <c r="AD880" s="111">
        <v>10918.800000000001</v>
      </c>
      <c r="AE880" s="110"/>
      <c r="AF880" s="110"/>
      <c r="AG880" s="110"/>
      <c r="AH880" s="1048"/>
    </row>
    <row r="881" spans="1:34" ht="45" x14ac:dyDescent="0.25">
      <c r="A881" s="1047"/>
      <c r="B881" s="110" t="s">
        <v>4158</v>
      </c>
      <c r="C881" s="110"/>
      <c r="D881" s="433">
        <v>15</v>
      </c>
      <c r="E881" s="207" t="s">
        <v>1767</v>
      </c>
      <c r="F881" s="1178" t="s">
        <v>4353</v>
      </c>
      <c r="G881" s="1056" t="s">
        <v>4306</v>
      </c>
      <c r="H881" s="433" t="s">
        <v>3478</v>
      </c>
      <c r="I881" s="111">
        <v>211.39</v>
      </c>
      <c r="J881" s="111">
        <v>3170.85</v>
      </c>
      <c r="K881" s="110"/>
      <c r="L881" s="110"/>
      <c r="M881" s="110"/>
      <c r="N881" s="110"/>
      <c r="O881" s="110"/>
      <c r="P881" s="110"/>
      <c r="Q881" s="433">
        <v>8</v>
      </c>
      <c r="R881" s="111">
        <v>1056.95</v>
      </c>
      <c r="S881" s="110"/>
      <c r="T881" s="110"/>
      <c r="U881" s="110"/>
      <c r="V881" s="110"/>
      <c r="W881" s="433">
        <v>4</v>
      </c>
      <c r="X881" s="111">
        <v>1056.95</v>
      </c>
      <c r="Y881" s="110"/>
      <c r="Z881" s="110"/>
      <c r="AA881" s="110"/>
      <c r="AB881" s="110"/>
      <c r="AC881" s="433">
        <v>3</v>
      </c>
      <c r="AD881" s="111">
        <v>1056.95</v>
      </c>
      <c r="AE881" s="110"/>
      <c r="AF881" s="110"/>
      <c r="AG881" s="110"/>
      <c r="AH881" s="1048"/>
    </row>
    <row r="882" spans="1:34" ht="45" x14ac:dyDescent="0.25">
      <c r="A882" s="1047"/>
      <c r="B882" s="110" t="s">
        <v>4159</v>
      </c>
      <c r="C882" s="110"/>
      <c r="D882" s="433">
        <v>200</v>
      </c>
      <c r="E882" s="207" t="s">
        <v>1767</v>
      </c>
      <c r="F882" s="1178" t="s">
        <v>4353</v>
      </c>
      <c r="G882" s="1056" t="s">
        <v>4306</v>
      </c>
      <c r="H882" s="433" t="s">
        <v>3478</v>
      </c>
      <c r="I882" s="111">
        <v>747.69</v>
      </c>
      <c r="J882" s="111">
        <v>149538</v>
      </c>
      <c r="K882" s="110"/>
      <c r="L882" s="110"/>
      <c r="M882" s="110"/>
      <c r="N882" s="110"/>
      <c r="O882" s="110"/>
      <c r="P882" s="110"/>
      <c r="Q882" s="433">
        <v>100</v>
      </c>
      <c r="R882" s="111">
        <v>49846</v>
      </c>
      <c r="S882" s="110"/>
      <c r="T882" s="110"/>
      <c r="U882" s="110"/>
      <c r="V882" s="110"/>
      <c r="W882" s="433">
        <v>50</v>
      </c>
      <c r="X882" s="111">
        <v>49846</v>
      </c>
      <c r="Y882" s="110"/>
      <c r="Z882" s="110"/>
      <c r="AA882" s="110"/>
      <c r="AB882" s="110"/>
      <c r="AC882" s="433">
        <v>50</v>
      </c>
      <c r="AD882" s="111">
        <v>49846</v>
      </c>
      <c r="AE882" s="110"/>
      <c r="AF882" s="110"/>
      <c r="AG882" s="110"/>
      <c r="AH882" s="1048"/>
    </row>
    <row r="883" spans="1:34" ht="45" x14ac:dyDescent="0.25">
      <c r="A883" s="1047"/>
      <c r="B883" s="110" t="s">
        <v>4160</v>
      </c>
      <c r="C883" s="110"/>
      <c r="D883" s="433">
        <v>50</v>
      </c>
      <c r="E883" s="207" t="s">
        <v>1767</v>
      </c>
      <c r="F883" s="1178" t="s">
        <v>4353</v>
      </c>
      <c r="G883" s="1056" t="s">
        <v>4306</v>
      </c>
      <c r="H883" s="433" t="s">
        <v>3478</v>
      </c>
      <c r="I883" s="111">
        <v>2489.1</v>
      </c>
      <c r="J883" s="111">
        <v>124455</v>
      </c>
      <c r="K883" s="110"/>
      <c r="L883" s="110"/>
      <c r="M883" s="110"/>
      <c r="N883" s="110"/>
      <c r="O883" s="110"/>
      <c r="P883" s="110"/>
      <c r="Q883" s="433">
        <v>25</v>
      </c>
      <c r="R883" s="111">
        <v>41485</v>
      </c>
      <c r="S883" s="110"/>
      <c r="T883" s="110"/>
      <c r="U883" s="110"/>
      <c r="V883" s="110"/>
      <c r="W883" s="433">
        <v>13</v>
      </c>
      <c r="X883" s="111">
        <v>41485</v>
      </c>
      <c r="Y883" s="110"/>
      <c r="Z883" s="110"/>
      <c r="AA883" s="110"/>
      <c r="AB883" s="110"/>
      <c r="AC883" s="433">
        <v>12</v>
      </c>
      <c r="AD883" s="111">
        <v>41485</v>
      </c>
      <c r="AE883" s="110"/>
      <c r="AF883" s="110"/>
      <c r="AG883" s="110"/>
      <c r="AH883" s="1048"/>
    </row>
    <row r="884" spans="1:34" ht="45" x14ac:dyDescent="0.25">
      <c r="A884" s="1047"/>
      <c r="B884" s="110" t="s">
        <v>4161</v>
      </c>
      <c r="C884" s="110"/>
      <c r="D884" s="433">
        <v>90</v>
      </c>
      <c r="E884" s="207" t="s">
        <v>4162</v>
      </c>
      <c r="F884" s="1178" t="s">
        <v>4353</v>
      </c>
      <c r="G884" s="1056" t="s">
        <v>4306</v>
      </c>
      <c r="H884" s="433" t="s">
        <v>3478</v>
      </c>
      <c r="I884" s="111">
        <v>399.03</v>
      </c>
      <c r="J884" s="111">
        <v>35912.699999999997</v>
      </c>
      <c r="K884" s="110"/>
      <c r="L884" s="110"/>
      <c r="M884" s="110"/>
      <c r="N884" s="110"/>
      <c r="O884" s="110"/>
      <c r="P884" s="110"/>
      <c r="Q884" s="433">
        <v>30</v>
      </c>
      <c r="R884" s="111">
        <v>11970.9</v>
      </c>
      <c r="S884" s="110"/>
      <c r="T884" s="110"/>
      <c r="U884" s="110"/>
      <c r="V884" s="110"/>
      <c r="W884" s="433">
        <v>30</v>
      </c>
      <c r="X884" s="111">
        <v>11970.9</v>
      </c>
      <c r="Y884" s="110"/>
      <c r="Z884" s="110"/>
      <c r="AA884" s="110"/>
      <c r="AB884" s="110"/>
      <c r="AC884" s="433">
        <v>30</v>
      </c>
      <c r="AD884" s="111">
        <v>11970.9</v>
      </c>
      <c r="AE884" s="110"/>
      <c r="AF884" s="110"/>
      <c r="AG884" s="110"/>
      <c r="AH884" s="1048"/>
    </row>
    <row r="885" spans="1:34" ht="45" x14ac:dyDescent="0.25">
      <c r="A885" s="1047"/>
      <c r="B885" s="110" t="s">
        <v>4163</v>
      </c>
      <c r="C885" s="110"/>
      <c r="D885" s="433">
        <v>8</v>
      </c>
      <c r="E885" s="207" t="s">
        <v>1767</v>
      </c>
      <c r="F885" s="1178" t="s">
        <v>4353</v>
      </c>
      <c r="G885" s="1056" t="s">
        <v>4306</v>
      </c>
      <c r="H885" s="433" t="s">
        <v>3478</v>
      </c>
      <c r="I885" s="111">
        <v>7788.38</v>
      </c>
      <c r="J885" s="111">
        <v>62307.040000000001</v>
      </c>
      <c r="K885" s="110"/>
      <c r="L885" s="110"/>
      <c r="M885" s="110"/>
      <c r="N885" s="110"/>
      <c r="O885" s="110"/>
      <c r="P885" s="110"/>
      <c r="Q885" s="433">
        <v>3</v>
      </c>
      <c r="R885" s="111">
        <v>20769.013333333332</v>
      </c>
      <c r="S885" s="110"/>
      <c r="T885" s="110"/>
      <c r="U885" s="110"/>
      <c r="V885" s="110"/>
      <c r="W885" s="433">
        <v>3</v>
      </c>
      <c r="X885" s="111">
        <v>20769.013333333332</v>
      </c>
      <c r="Y885" s="110"/>
      <c r="Z885" s="110"/>
      <c r="AA885" s="110"/>
      <c r="AB885" s="110"/>
      <c r="AC885" s="433">
        <v>2</v>
      </c>
      <c r="AD885" s="111">
        <v>20769.013333333332</v>
      </c>
      <c r="AE885" s="110"/>
      <c r="AF885" s="110"/>
      <c r="AG885" s="110"/>
      <c r="AH885" s="1048"/>
    </row>
    <row r="886" spans="1:34" ht="45" x14ac:dyDescent="0.25">
      <c r="A886" s="1047"/>
      <c r="B886" s="110" t="s">
        <v>4164</v>
      </c>
      <c r="C886" s="110"/>
      <c r="D886" s="433">
        <v>8</v>
      </c>
      <c r="E886" s="207" t="s">
        <v>1767</v>
      </c>
      <c r="F886" s="1178" t="s">
        <v>4353</v>
      </c>
      <c r="G886" s="1056" t="s">
        <v>4306</v>
      </c>
      <c r="H886" s="433" t="s">
        <v>3478</v>
      </c>
      <c r="I886" s="111">
        <v>1497.95</v>
      </c>
      <c r="J886" s="111">
        <v>11983.6</v>
      </c>
      <c r="K886" s="110"/>
      <c r="L886" s="110"/>
      <c r="M886" s="110"/>
      <c r="N886" s="110"/>
      <c r="O886" s="110"/>
      <c r="P886" s="110"/>
      <c r="Q886" s="433">
        <v>3</v>
      </c>
      <c r="R886" s="111">
        <v>3994.5333333333333</v>
      </c>
      <c r="S886" s="110"/>
      <c r="T886" s="110"/>
      <c r="U886" s="110"/>
      <c r="V886" s="110"/>
      <c r="W886" s="433">
        <v>3</v>
      </c>
      <c r="X886" s="111">
        <v>3994.5333333333333</v>
      </c>
      <c r="Y886" s="110"/>
      <c r="Z886" s="110"/>
      <c r="AA886" s="110"/>
      <c r="AB886" s="110"/>
      <c r="AC886" s="433">
        <v>2</v>
      </c>
      <c r="AD886" s="111">
        <v>3994.5333333333333</v>
      </c>
      <c r="AE886" s="110"/>
      <c r="AF886" s="110"/>
      <c r="AG886" s="110"/>
      <c r="AH886" s="1048"/>
    </row>
    <row r="887" spans="1:34" ht="45" x14ac:dyDescent="0.25">
      <c r="A887" s="1047"/>
      <c r="B887" s="110" t="s">
        <v>4165</v>
      </c>
      <c r="C887" s="110"/>
      <c r="D887" s="433">
        <v>1400</v>
      </c>
      <c r="E887" s="207" t="s">
        <v>1806</v>
      </c>
      <c r="F887" s="1178" t="s">
        <v>4353</v>
      </c>
      <c r="G887" s="1056" t="s">
        <v>4306</v>
      </c>
      <c r="H887" s="433" t="s">
        <v>3478</v>
      </c>
      <c r="I887" s="111">
        <v>108.75</v>
      </c>
      <c r="J887" s="111">
        <v>152250</v>
      </c>
      <c r="K887" s="110"/>
      <c r="L887" s="110"/>
      <c r="M887" s="110"/>
      <c r="N887" s="110"/>
      <c r="O887" s="110"/>
      <c r="P887" s="110"/>
      <c r="Q887" s="433">
        <v>900</v>
      </c>
      <c r="R887" s="111">
        <v>50750</v>
      </c>
      <c r="S887" s="110"/>
      <c r="T887" s="110"/>
      <c r="U887" s="110"/>
      <c r="V887" s="110"/>
      <c r="W887" s="433">
        <v>300</v>
      </c>
      <c r="X887" s="111">
        <v>50750</v>
      </c>
      <c r="Y887" s="110"/>
      <c r="Z887" s="110"/>
      <c r="AA887" s="110"/>
      <c r="AB887" s="110"/>
      <c r="AC887" s="433">
        <v>200</v>
      </c>
      <c r="AD887" s="111">
        <v>50750</v>
      </c>
      <c r="AE887" s="110"/>
      <c r="AF887" s="110"/>
      <c r="AG887" s="110"/>
      <c r="AH887" s="1048"/>
    </row>
    <row r="888" spans="1:34" ht="45" x14ac:dyDescent="0.25">
      <c r="A888" s="1047"/>
      <c r="B888" s="110" t="s">
        <v>4166</v>
      </c>
      <c r="C888" s="110"/>
      <c r="D888" s="433">
        <v>800</v>
      </c>
      <c r="E888" s="207" t="s">
        <v>1806</v>
      </c>
      <c r="F888" s="1178" t="s">
        <v>4353</v>
      </c>
      <c r="G888" s="1056" t="s">
        <v>4306</v>
      </c>
      <c r="H888" s="433" t="s">
        <v>3478</v>
      </c>
      <c r="I888" s="111">
        <v>166.8</v>
      </c>
      <c r="J888" s="111">
        <v>133440</v>
      </c>
      <c r="K888" s="110"/>
      <c r="L888" s="110"/>
      <c r="M888" s="110"/>
      <c r="N888" s="110"/>
      <c r="O888" s="110"/>
      <c r="P888" s="110"/>
      <c r="Q888" s="433">
        <v>400</v>
      </c>
      <c r="R888" s="111">
        <v>44480</v>
      </c>
      <c r="S888" s="110"/>
      <c r="T888" s="110"/>
      <c r="U888" s="110"/>
      <c r="V888" s="110"/>
      <c r="W888" s="433">
        <v>200</v>
      </c>
      <c r="X888" s="111">
        <v>44480</v>
      </c>
      <c r="Y888" s="110"/>
      <c r="Z888" s="110"/>
      <c r="AA888" s="110"/>
      <c r="AB888" s="110"/>
      <c r="AC888" s="433">
        <v>200</v>
      </c>
      <c r="AD888" s="111">
        <v>44480</v>
      </c>
      <c r="AE888" s="110"/>
      <c r="AF888" s="110"/>
      <c r="AG888" s="110"/>
      <c r="AH888" s="1048"/>
    </row>
    <row r="889" spans="1:34" ht="45" x14ac:dyDescent="0.25">
      <c r="A889" s="1047"/>
      <c r="B889" s="110" t="s">
        <v>4167</v>
      </c>
      <c r="C889" s="110"/>
      <c r="D889" s="433">
        <v>400</v>
      </c>
      <c r="E889" s="207" t="s">
        <v>1806</v>
      </c>
      <c r="F889" s="1178" t="s">
        <v>4353</v>
      </c>
      <c r="G889" s="1056" t="s">
        <v>4306</v>
      </c>
      <c r="H889" s="433" t="s">
        <v>3478</v>
      </c>
      <c r="I889" s="111">
        <v>153</v>
      </c>
      <c r="J889" s="111">
        <v>61200</v>
      </c>
      <c r="K889" s="110"/>
      <c r="L889" s="110"/>
      <c r="M889" s="110"/>
      <c r="N889" s="110"/>
      <c r="O889" s="110"/>
      <c r="P889" s="110"/>
      <c r="Q889" s="433">
        <v>200</v>
      </c>
      <c r="R889" s="111">
        <v>20400</v>
      </c>
      <c r="S889" s="110"/>
      <c r="T889" s="110"/>
      <c r="U889" s="110"/>
      <c r="V889" s="110"/>
      <c r="W889" s="433">
        <v>100</v>
      </c>
      <c r="X889" s="111">
        <v>20400</v>
      </c>
      <c r="Y889" s="110"/>
      <c r="Z889" s="110"/>
      <c r="AA889" s="110"/>
      <c r="AB889" s="110"/>
      <c r="AC889" s="433">
        <v>100</v>
      </c>
      <c r="AD889" s="111">
        <v>20400</v>
      </c>
      <c r="AE889" s="110"/>
      <c r="AF889" s="110"/>
      <c r="AG889" s="110"/>
      <c r="AH889" s="1048"/>
    </row>
    <row r="890" spans="1:34" ht="45" x14ac:dyDescent="0.25">
      <c r="A890" s="1047"/>
      <c r="B890" s="110" t="s">
        <v>4168</v>
      </c>
      <c r="C890" s="110"/>
      <c r="D890" s="433">
        <v>358</v>
      </c>
      <c r="E890" s="207" t="s">
        <v>1806</v>
      </c>
      <c r="F890" s="1178" t="s">
        <v>4353</v>
      </c>
      <c r="G890" s="1056" t="s">
        <v>4306</v>
      </c>
      <c r="H890" s="433" t="s">
        <v>3478</v>
      </c>
      <c r="I890" s="111">
        <v>356.04</v>
      </c>
      <c r="J890" s="111">
        <v>127462.32</v>
      </c>
      <c r="K890" s="110"/>
      <c r="L890" s="110"/>
      <c r="M890" s="110"/>
      <c r="N890" s="110"/>
      <c r="O890" s="110"/>
      <c r="P890" s="110"/>
      <c r="Q890" s="433">
        <v>158</v>
      </c>
      <c r="R890" s="111">
        <v>42487.44</v>
      </c>
      <c r="S890" s="110"/>
      <c r="T890" s="110"/>
      <c r="U890" s="110"/>
      <c r="V890" s="110"/>
      <c r="W890" s="433">
        <v>100</v>
      </c>
      <c r="X890" s="111">
        <v>42487.44</v>
      </c>
      <c r="Y890" s="110"/>
      <c r="Z890" s="110"/>
      <c r="AA890" s="110"/>
      <c r="AB890" s="110"/>
      <c r="AC890" s="433">
        <v>100</v>
      </c>
      <c r="AD890" s="111">
        <v>42487.44</v>
      </c>
      <c r="AE890" s="110"/>
      <c r="AF890" s="110"/>
      <c r="AG890" s="110"/>
      <c r="AH890" s="1048"/>
    </row>
    <row r="891" spans="1:34" ht="45" x14ac:dyDescent="0.25">
      <c r="A891" s="1047"/>
      <c r="B891" s="110" t="s">
        <v>4169</v>
      </c>
      <c r="C891" s="110"/>
      <c r="D891" s="433">
        <v>120</v>
      </c>
      <c r="E891" s="207" t="s">
        <v>1806</v>
      </c>
      <c r="F891" s="1178" t="s">
        <v>4353</v>
      </c>
      <c r="G891" s="1056" t="s">
        <v>4306</v>
      </c>
      <c r="H891" s="433" t="s">
        <v>3478</v>
      </c>
      <c r="I891" s="111">
        <v>299.58999999999997</v>
      </c>
      <c r="J891" s="111">
        <v>35950.799999999996</v>
      </c>
      <c r="K891" s="110"/>
      <c r="L891" s="110"/>
      <c r="M891" s="110"/>
      <c r="N891" s="110"/>
      <c r="O891" s="110"/>
      <c r="P891" s="110"/>
      <c r="Q891" s="433">
        <v>60</v>
      </c>
      <c r="R891" s="111">
        <v>11983.599999999999</v>
      </c>
      <c r="S891" s="110"/>
      <c r="T891" s="110"/>
      <c r="U891" s="110"/>
      <c r="V891" s="110"/>
      <c r="W891" s="433">
        <v>30</v>
      </c>
      <c r="X891" s="111">
        <v>11983.599999999999</v>
      </c>
      <c r="Y891" s="110"/>
      <c r="Z891" s="110"/>
      <c r="AA891" s="110"/>
      <c r="AB891" s="110"/>
      <c r="AC891" s="433">
        <v>30</v>
      </c>
      <c r="AD891" s="111">
        <v>11983.599999999999</v>
      </c>
      <c r="AE891" s="110"/>
      <c r="AF891" s="110"/>
      <c r="AG891" s="110"/>
      <c r="AH891" s="1048"/>
    </row>
    <row r="892" spans="1:34" ht="45" x14ac:dyDescent="0.25">
      <c r="A892" s="1047"/>
      <c r="B892" s="110" t="s">
        <v>4170</v>
      </c>
      <c r="C892" s="110"/>
      <c r="D892" s="433">
        <v>120</v>
      </c>
      <c r="E892" s="207" t="s">
        <v>1806</v>
      </c>
      <c r="F892" s="1178" t="s">
        <v>4353</v>
      </c>
      <c r="G892" s="1056" t="s">
        <v>4306</v>
      </c>
      <c r="H892" s="433" t="s">
        <v>3478</v>
      </c>
      <c r="I892" s="111">
        <v>282.58999999999997</v>
      </c>
      <c r="J892" s="111">
        <v>33910.799999999996</v>
      </c>
      <c r="K892" s="110"/>
      <c r="L892" s="110"/>
      <c r="M892" s="110"/>
      <c r="N892" s="110"/>
      <c r="O892" s="110"/>
      <c r="P892" s="110"/>
      <c r="Q892" s="433">
        <v>60</v>
      </c>
      <c r="R892" s="111">
        <v>11303.599999999999</v>
      </c>
      <c r="S892" s="110"/>
      <c r="T892" s="110"/>
      <c r="U892" s="110"/>
      <c r="V892" s="110"/>
      <c r="W892" s="433">
        <v>30</v>
      </c>
      <c r="X892" s="111">
        <v>11303.599999999999</v>
      </c>
      <c r="Y892" s="110"/>
      <c r="Z892" s="110"/>
      <c r="AA892" s="110"/>
      <c r="AB892" s="110"/>
      <c r="AC892" s="433">
        <v>30</v>
      </c>
      <c r="AD892" s="111">
        <v>11303.599999999999</v>
      </c>
      <c r="AE892" s="110"/>
      <c r="AF892" s="110"/>
      <c r="AG892" s="110"/>
      <c r="AH892" s="1048"/>
    </row>
    <row r="893" spans="1:34" ht="45" x14ac:dyDescent="0.25">
      <c r="A893" s="1047"/>
      <c r="B893" s="110" t="s">
        <v>4171</v>
      </c>
      <c r="C893" s="110"/>
      <c r="D893" s="433">
        <v>5</v>
      </c>
      <c r="E893" s="207" t="s">
        <v>1767</v>
      </c>
      <c r="F893" s="1178" t="s">
        <v>4353</v>
      </c>
      <c r="G893" s="1056" t="s">
        <v>4306</v>
      </c>
      <c r="H893" s="433" t="s">
        <v>3478</v>
      </c>
      <c r="I893" s="111">
        <v>54031.7</v>
      </c>
      <c r="J893" s="111">
        <v>270158.5</v>
      </c>
      <c r="K893" s="110"/>
      <c r="L893" s="110"/>
      <c r="M893" s="110"/>
      <c r="N893" s="110"/>
      <c r="O893" s="110"/>
      <c r="P893" s="110"/>
      <c r="Q893" s="433">
        <v>2</v>
      </c>
      <c r="R893" s="111">
        <v>90052.833333333328</v>
      </c>
      <c r="S893" s="110"/>
      <c r="T893" s="110"/>
      <c r="U893" s="110"/>
      <c r="V893" s="110"/>
      <c r="W893" s="433">
        <v>2</v>
      </c>
      <c r="X893" s="111">
        <v>90052.833333333328</v>
      </c>
      <c r="Y893" s="110"/>
      <c r="Z893" s="110"/>
      <c r="AA893" s="110"/>
      <c r="AB893" s="110"/>
      <c r="AC893" s="433">
        <v>1</v>
      </c>
      <c r="AD893" s="111">
        <v>90052.833333333328</v>
      </c>
      <c r="AE893" s="110"/>
      <c r="AF893" s="110"/>
      <c r="AG893" s="110"/>
      <c r="AH893" s="1048"/>
    </row>
    <row r="894" spans="1:34" ht="45" x14ac:dyDescent="0.25">
      <c r="A894" s="1047"/>
      <c r="B894" s="110" t="s">
        <v>4172</v>
      </c>
      <c r="C894" s="110"/>
      <c r="D894" s="433">
        <v>100</v>
      </c>
      <c r="E894" s="207" t="s">
        <v>1767</v>
      </c>
      <c r="F894" s="1178" t="s">
        <v>4353</v>
      </c>
      <c r="G894" s="1056" t="s">
        <v>4306</v>
      </c>
      <c r="H894" s="433" t="s">
        <v>3478</v>
      </c>
      <c r="I894" s="111">
        <v>6000</v>
      </c>
      <c r="J894" s="111">
        <v>600000</v>
      </c>
      <c r="K894" s="110"/>
      <c r="L894" s="110"/>
      <c r="M894" s="110"/>
      <c r="N894" s="110"/>
      <c r="O894" s="110"/>
      <c r="P894" s="110"/>
      <c r="Q894" s="433">
        <v>40</v>
      </c>
      <c r="R894" s="111">
        <v>200000</v>
      </c>
      <c r="S894" s="110"/>
      <c r="T894" s="110"/>
      <c r="U894" s="110"/>
      <c r="V894" s="110"/>
      <c r="W894" s="433">
        <v>30</v>
      </c>
      <c r="X894" s="111">
        <v>200000</v>
      </c>
      <c r="Y894" s="110"/>
      <c r="Z894" s="110"/>
      <c r="AA894" s="110"/>
      <c r="AB894" s="110"/>
      <c r="AC894" s="433">
        <v>30</v>
      </c>
      <c r="AD894" s="111">
        <v>200000</v>
      </c>
      <c r="AE894" s="110"/>
      <c r="AF894" s="110"/>
      <c r="AG894" s="110"/>
      <c r="AH894" s="1048"/>
    </row>
    <row r="895" spans="1:34" ht="45" x14ac:dyDescent="0.25">
      <c r="A895" s="1047"/>
      <c r="B895" s="110" t="s">
        <v>4173</v>
      </c>
      <c r="C895" s="110"/>
      <c r="D895" s="433">
        <v>250</v>
      </c>
      <c r="E895" s="207" t="s">
        <v>1767</v>
      </c>
      <c r="F895" s="1178" t="s">
        <v>4353</v>
      </c>
      <c r="G895" s="1056" t="s">
        <v>4306</v>
      </c>
      <c r="H895" s="433" t="s">
        <v>3478</v>
      </c>
      <c r="I895" s="111">
        <v>515</v>
      </c>
      <c r="J895" s="111">
        <v>128750</v>
      </c>
      <c r="K895" s="110"/>
      <c r="L895" s="110"/>
      <c r="M895" s="110"/>
      <c r="N895" s="110"/>
      <c r="O895" s="110"/>
      <c r="P895" s="110"/>
      <c r="Q895" s="433">
        <v>150</v>
      </c>
      <c r="R895" s="111">
        <v>42916.666666666664</v>
      </c>
      <c r="S895" s="110"/>
      <c r="T895" s="110"/>
      <c r="U895" s="110"/>
      <c r="V895" s="110"/>
      <c r="W895" s="433">
        <v>50</v>
      </c>
      <c r="X895" s="111">
        <v>42916.666666666664</v>
      </c>
      <c r="Y895" s="110"/>
      <c r="Z895" s="110"/>
      <c r="AA895" s="110"/>
      <c r="AB895" s="110"/>
      <c r="AC895" s="433">
        <v>50</v>
      </c>
      <c r="AD895" s="111">
        <v>42916.666666666664</v>
      </c>
      <c r="AE895" s="110"/>
      <c r="AF895" s="110"/>
      <c r="AG895" s="110"/>
      <c r="AH895" s="1048"/>
    </row>
    <row r="896" spans="1:34" ht="45" x14ac:dyDescent="0.25">
      <c r="A896" s="1047"/>
      <c r="B896" s="110" t="s">
        <v>4174</v>
      </c>
      <c r="C896" s="110"/>
      <c r="D896" s="433">
        <v>3</v>
      </c>
      <c r="E896" s="207" t="s">
        <v>4175</v>
      </c>
      <c r="F896" s="1178" t="s">
        <v>4353</v>
      </c>
      <c r="G896" s="1056" t="s">
        <v>4306</v>
      </c>
      <c r="H896" s="433" t="s">
        <v>3478</v>
      </c>
      <c r="I896" s="111">
        <v>261469.02</v>
      </c>
      <c r="J896" s="111">
        <v>784407.05999999994</v>
      </c>
      <c r="K896" s="110"/>
      <c r="L896" s="110"/>
      <c r="M896" s="110"/>
      <c r="N896" s="110"/>
      <c r="O896" s="110"/>
      <c r="P896" s="110"/>
      <c r="Q896" s="433">
        <v>1</v>
      </c>
      <c r="R896" s="111">
        <v>261469.02</v>
      </c>
      <c r="S896" s="110"/>
      <c r="T896" s="110"/>
      <c r="U896" s="110"/>
      <c r="V896" s="110"/>
      <c r="W896" s="433">
        <v>1</v>
      </c>
      <c r="X896" s="111">
        <v>261469.02</v>
      </c>
      <c r="Y896" s="110"/>
      <c r="Z896" s="110"/>
      <c r="AA896" s="110"/>
      <c r="AB896" s="110"/>
      <c r="AC896" s="433">
        <v>1</v>
      </c>
      <c r="AD896" s="111">
        <v>261469.02</v>
      </c>
      <c r="AE896" s="110"/>
      <c r="AF896" s="110"/>
      <c r="AG896" s="110"/>
      <c r="AH896" s="1048"/>
    </row>
    <row r="897" spans="1:34" x14ac:dyDescent="0.25">
      <c r="A897" s="1047"/>
      <c r="B897" s="110"/>
      <c r="C897" s="110"/>
      <c r="D897" s="433"/>
      <c r="E897" s="207"/>
      <c r="F897" s="433"/>
      <c r="G897" s="110"/>
      <c r="H897" s="433"/>
      <c r="I897" s="111"/>
      <c r="J897" s="111"/>
      <c r="K897" s="110"/>
      <c r="L897" s="110"/>
      <c r="M897" s="110"/>
      <c r="N897" s="110"/>
      <c r="O897" s="110"/>
      <c r="P897" s="110"/>
      <c r="Q897" s="433"/>
      <c r="R897" s="111"/>
      <c r="S897" s="110"/>
      <c r="T897" s="110"/>
      <c r="U897" s="110"/>
      <c r="V897" s="110"/>
      <c r="W897" s="433"/>
      <c r="X897" s="111"/>
      <c r="Y897" s="110"/>
      <c r="Z897" s="110"/>
      <c r="AA897" s="110"/>
      <c r="AB897" s="110"/>
      <c r="AC897" s="433"/>
      <c r="AD897" s="111"/>
      <c r="AE897" s="110"/>
      <c r="AF897" s="110"/>
      <c r="AG897" s="110"/>
      <c r="AH897" s="1048"/>
    </row>
    <row r="898" spans="1:34" x14ac:dyDescent="0.25">
      <c r="A898" s="1047" t="s">
        <v>4176</v>
      </c>
      <c r="B898" s="110"/>
      <c r="C898" s="110"/>
      <c r="D898" s="433"/>
      <c r="E898" s="207"/>
      <c r="F898" s="433"/>
      <c r="G898" s="110"/>
      <c r="H898" s="433"/>
      <c r="I898" s="111"/>
      <c r="J898" s="111"/>
      <c r="K898" s="110"/>
      <c r="L898" s="110"/>
      <c r="M898" s="110"/>
      <c r="N898" s="110"/>
      <c r="O898" s="110"/>
      <c r="P898" s="110"/>
      <c r="Q898" s="433"/>
      <c r="R898" s="111"/>
      <c r="S898" s="110"/>
      <c r="T898" s="110"/>
      <c r="U898" s="110"/>
      <c r="V898" s="110"/>
      <c r="W898" s="433"/>
      <c r="X898" s="111"/>
      <c r="Y898" s="110"/>
      <c r="Z898" s="110"/>
      <c r="AA898" s="110"/>
      <c r="AB898" s="110"/>
      <c r="AC898" s="433"/>
      <c r="AD898" s="111"/>
      <c r="AE898" s="110"/>
      <c r="AF898" s="110"/>
      <c r="AG898" s="110"/>
      <c r="AH898" s="1048"/>
    </row>
    <row r="899" spans="1:34" ht="45" x14ac:dyDescent="0.25">
      <c r="A899" s="1047"/>
      <c r="B899" s="110" t="s">
        <v>2323</v>
      </c>
      <c r="C899" s="110"/>
      <c r="D899" s="433">
        <v>72</v>
      </c>
      <c r="E899" s="207" t="s">
        <v>1766</v>
      </c>
      <c r="F899" s="1178" t="s">
        <v>4353</v>
      </c>
      <c r="G899" s="1056" t="s">
        <v>4306</v>
      </c>
      <c r="H899" s="433" t="s">
        <v>3478</v>
      </c>
      <c r="I899" s="111">
        <v>36.979999999999997</v>
      </c>
      <c r="J899" s="111">
        <v>2662.56</v>
      </c>
      <c r="K899" s="110"/>
      <c r="L899" s="110"/>
      <c r="M899" s="110"/>
      <c r="N899" s="110"/>
      <c r="O899" s="110"/>
      <c r="P899" s="110"/>
      <c r="Q899" s="433">
        <v>40</v>
      </c>
      <c r="R899" s="111">
        <v>887.52</v>
      </c>
      <c r="S899" s="110"/>
      <c r="T899" s="110"/>
      <c r="U899" s="110"/>
      <c r="V899" s="110"/>
      <c r="W899" s="433">
        <v>22</v>
      </c>
      <c r="X899" s="111">
        <v>887.52</v>
      </c>
      <c r="Y899" s="110"/>
      <c r="Z899" s="110"/>
      <c r="AA899" s="110"/>
      <c r="AB899" s="110"/>
      <c r="AC899" s="433">
        <v>20</v>
      </c>
      <c r="AD899" s="111">
        <v>887.52</v>
      </c>
      <c r="AE899" s="110"/>
      <c r="AF899" s="110"/>
      <c r="AG899" s="110"/>
      <c r="AH899" s="1048"/>
    </row>
    <row r="900" spans="1:34" ht="45" x14ac:dyDescent="0.25">
      <c r="A900" s="1047"/>
      <c r="B900" s="110" t="s">
        <v>2324</v>
      </c>
      <c r="C900" s="110"/>
      <c r="D900" s="433">
        <v>6</v>
      </c>
      <c r="E900" s="207" t="s">
        <v>2442</v>
      </c>
      <c r="F900" s="1178" t="s">
        <v>4353</v>
      </c>
      <c r="G900" s="1056" t="s">
        <v>4306</v>
      </c>
      <c r="H900" s="433" t="s">
        <v>3478</v>
      </c>
      <c r="I900" s="111">
        <v>1013.9</v>
      </c>
      <c r="J900" s="111">
        <v>6083.4</v>
      </c>
      <c r="K900" s="110"/>
      <c r="L900" s="110"/>
      <c r="M900" s="110"/>
      <c r="N900" s="110"/>
      <c r="O900" s="110"/>
      <c r="P900" s="110"/>
      <c r="Q900" s="433">
        <v>2</v>
      </c>
      <c r="R900" s="111">
        <v>2027.8</v>
      </c>
      <c r="S900" s="110"/>
      <c r="T900" s="110"/>
      <c r="U900" s="110"/>
      <c r="V900" s="110"/>
      <c r="W900" s="433">
        <v>2</v>
      </c>
      <c r="X900" s="111">
        <v>2027.8</v>
      </c>
      <c r="Y900" s="110"/>
      <c r="Z900" s="110"/>
      <c r="AA900" s="110"/>
      <c r="AB900" s="110"/>
      <c r="AC900" s="433">
        <v>2</v>
      </c>
      <c r="AD900" s="111">
        <v>2027.8</v>
      </c>
      <c r="AE900" s="110"/>
      <c r="AF900" s="110"/>
      <c r="AG900" s="110"/>
      <c r="AH900" s="1048"/>
    </row>
    <row r="901" spans="1:34" ht="45" x14ac:dyDescent="0.25">
      <c r="A901" s="1047"/>
      <c r="B901" s="110" t="s">
        <v>4177</v>
      </c>
      <c r="C901" s="110"/>
      <c r="D901" s="433">
        <v>36</v>
      </c>
      <c r="E901" s="207" t="s">
        <v>2442</v>
      </c>
      <c r="F901" s="1178" t="s">
        <v>4353</v>
      </c>
      <c r="G901" s="1056" t="s">
        <v>4306</v>
      </c>
      <c r="H901" s="433" t="s">
        <v>3478</v>
      </c>
      <c r="I901" s="111">
        <v>60</v>
      </c>
      <c r="J901" s="111">
        <v>2160</v>
      </c>
      <c r="K901" s="110"/>
      <c r="L901" s="110"/>
      <c r="M901" s="110"/>
      <c r="N901" s="110"/>
      <c r="O901" s="110"/>
      <c r="P901" s="110"/>
      <c r="Q901" s="433">
        <v>20</v>
      </c>
      <c r="R901" s="111">
        <v>720</v>
      </c>
      <c r="S901" s="110"/>
      <c r="T901" s="110"/>
      <c r="U901" s="110"/>
      <c r="V901" s="110"/>
      <c r="W901" s="433">
        <v>9</v>
      </c>
      <c r="X901" s="111">
        <v>720</v>
      </c>
      <c r="Y901" s="110"/>
      <c r="Z901" s="110"/>
      <c r="AA901" s="110"/>
      <c r="AB901" s="110"/>
      <c r="AC901" s="433">
        <v>7</v>
      </c>
      <c r="AD901" s="111">
        <v>720</v>
      </c>
      <c r="AE901" s="110"/>
      <c r="AF901" s="110"/>
      <c r="AG901" s="110"/>
      <c r="AH901" s="1048"/>
    </row>
    <row r="902" spans="1:34" ht="45" x14ac:dyDescent="0.25">
      <c r="A902" s="1047"/>
      <c r="B902" s="110" t="s">
        <v>4178</v>
      </c>
      <c r="C902" s="110"/>
      <c r="D902" s="433">
        <v>38</v>
      </c>
      <c r="E902" s="207" t="s">
        <v>1766</v>
      </c>
      <c r="F902" s="1178" t="s">
        <v>4353</v>
      </c>
      <c r="G902" s="1056" t="s">
        <v>4306</v>
      </c>
      <c r="H902" s="433" t="s">
        <v>3478</v>
      </c>
      <c r="I902" s="111">
        <v>150</v>
      </c>
      <c r="J902" s="111">
        <v>5700</v>
      </c>
      <c r="K902" s="110"/>
      <c r="L902" s="110"/>
      <c r="M902" s="110"/>
      <c r="N902" s="110"/>
      <c r="O902" s="110"/>
      <c r="P902" s="110"/>
      <c r="Q902" s="433">
        <v>22</v>
      </c>
      <c r="R902" s="111">
        <v>1900</v>
      </c>
      <c r="S902" s="110"/>
      <c r="T902" s="110"/>
      <c r="U902" s="110"/>
      <c r="V902" s="110"/>
      <c r="W902" s="433">
        <v>8</v>
      </c>
      <c r="X902" s="111">
        <v>1900</v>
      </c>
      <c r="Y902" s="110"/>
      <c r="Z902" s="110"/>
      <c r="AA902" s="110"/>
      <c r="AB902" s="110"/>
      <c r="AC902" s="433">
        <v>8</v>
      </c>
      <c r="AD902" s="111">
        <v>1900</v>
      </c>
      <c r="AE902" s="110"/>
      <c r="AF902" s="110"/>
      <c r="AG902" s="110"/>
      <c r="AH902" s="1048"/>
    </row>
    <row r="903" spans="1:34" ht="45" x14ac:dyDescent="0.25">
      <c r="A903" s="1047"/>
      <c r="B903" s="110" t="s">
        <v>4179</v>
      </c>
      <c r="C903" s="110"/>
      <c r="D903" s="433">
        <v>38</v>
      </c>
      <c r="E903" s="207" t="s">
        <v>1766</v>
      </c>
      <c r="F903" s="1178" t="s">
        <v>4353</v>
      </c>
      <c r="G903" s="1056" t="s">
        <v>4306</v>
      </c>
      <c r="H903" s="433" t="s">
        <v>3478</v>
      </c>
      <c r="I903" s="111">
        <v>150</v>
      </c>
      <c r="J903" s="111">
        <v>5700</v>
      </c>
      <c r="K903" s="110"/>
      <c r="L903" s="110"/>
      <c r="M903" s="110"/>
      <c r="N903" s="110"/>
      <c r="O903" s="110"/>
      <c r="P903" s="110"/>
      <c r="Q903" s="433">
        <v>22</v>
      </c>
      <c r="R903" s="111">
        <v>1900</v>
      </c>
      <c r="S903" s="110"/>
      <c r="T903" s="110"/>
      <c r="U903" s="110"/>
      <c r="V903" s="110"/>
      <c r="W903" s="433">
        <v>8</v>
      </c>
      <c r="X903" s="111">
        <v>1900</v>
      </c>
      <c r="Y903" s="110"/>
      <c r="Z903" s="110"/>
      <c r="AA903" s="110"/>
      <c r="AB903" s="110"/>
      <c r="AC903" s="433">
        <v>8</v>
      </c>
      <c r="AD903" s="111">
        <v>1900</v>
      </c>
      <c r="AE903" s="110"/>
      <c r="AF903" s="110"/>
      <c r="AG903" s="110"/>
      <c r="AH903" s="1048"/>
    </row>
    <row r="904" spans="1:34" ht="45" x14ac:dyDescent="0.25">
      <c r="A904" s="1047"/>
      <c r="B904" s="110" t="s">
        <v>2326</v>
      </c>
      <c r="C904" s="110"/>
      <c r="D904" s="433">
        <v>5</v>
      </c>
      <c r="E904" s="207" t="s">
        <v>1766</v>
      </c>
      <c r="F904" s="1178" t="s">
        <v>4353</v>
      </c>
      <c r="G904" s="1056" t="s">
        <v>4306</v>
      </c>
      <c r="H904" s="433" t="s">
        <v>3478</v>
      </c>
      <c r="I904" s="111">
        <v>70.95</v>
      </c>
      <c r="J904" s="111">
        <v>354.75</v>
      </c>
      <c r="K904" s="110"/>
      <c r="L904" s="110"/>
      <c r="M904" s="110"/>
      <c r="N904" s="110"/>
      <c r="O904" s="110"/>
      <c r="P904" s="110"/>
      <c r="Q904" s="433">
        <v>2</v>
      </c>
      <c r="R904" s="111">
        <v>118.25</v>
      </c>
      <c r="S904" s="110"/>
      <c r="T904" s="110"/>
      <c r="U904" s="110"/>
      <c r="V904" s="110"/>
      <c r="W904" s="433">
        <v>2</v>
      </c>
      <c r="X904" s="111">
        <v>118.25</v>
      </c>
      <c r="Y904" s="110"/>
      <c r="Z904" s="110"/>
      <c r="AA904" s="110"/>
      <c r="AB904" s="110"/>
      <c r="AC904" s="433">
        <v>1</v>
      </c>
      <c r="AD904" s="111">
        <v>118.25</v>
      </c>
      <c r="AE904" s="110"/>
      <c r="AF904" s="110"/>
      <c r="AG904" s="110"/>
      <c r="AH904" s="1048"/>
    </row>
    <row r="905" spans="1:34" ht="45" x14ac:dyDescent="0.25">
      <c r="A905" s="1047"/>
      <c r="B905" s="110" t="s">
        <v>2327</v>
      </c>
      <c r="C905" s="110"/>
      <c r="D905" s="433">
        <v>24</v>
      </c>
      <c r="E905" s="207" t="s">
        <v>1766</v>
      </c>
      <c r="F905" s="1178" t="s">
        <v>4353</v>
      </c>
      <c r="G905" s="1056" t="s">
        <v>4306</v>
      </c>
      <c r="H905" s="433" t="s">
        <v>3478</v>
      </c>
      <c r="I905" s="111">
        <v>250.92</v>
      </c>
      <c r="J905" s="111">
        <v>6022.08</v>
      </c>
      <c r="K905" s="110"/>
      <c r="L905" s="110"/>
      <c r="M905" s="110"/>
      <c r="N905" s="110"/>
      <c r="O905" s="110"/>
      <c r="P905" s="110"/>
      <c r="Q905" s="433">
        <v>12</v>
      </c>
      <c r="R905" s="111">
        <v>2007.36</v>
      </c>
      <c r="S905" s="110"/>
      <c r="T905" s="110"/>
      <c r="U905" s="110"/>
      <c r="V905" s="110"/>
      <c r="W905" s="433">
        <v>6</v>
      </c>
      <c r="X905" s="111">
        <v>2007.36</v>
      </c>
      <c r="Y905" s="110"/>
      <c r="Z905" s="110"/>
      <c r="AA905" s="110"/>
      <c r="AB905" s="110"/>
      <c r="AC905" s="433">
        <v>6</v>
      </c>
      <c r="AD905" s="111">
        <v>2007.36</v>
      </c>
      <c r="AE905" s="110"/>
      <c r="AF905" s="110"/>
      <c r="AG905" s="110"/>
      <c r="AH905" s="1048"/>
    </row>
    <row r="906" spans="1:34" ht="45" x14ac:dyDescent="0.25">
      <c r="A906" s="1047"/>
      <c r="B906" s="110" t="s">
        <v>2328</v>
      </c>
      <c r="C906" s="110"/>
      <c r="D906" s="433">
        <v>24</v>
      </c>
      <c r="E906" s="207" t="s">
        <v>1766</v>
      </c>
      <c r="F906" s="1178" t="s">
        <v>4353</v>
      </c>
      <c r="G906" s="1056" t="s">
        <v>4306</v>
      </c>
      <c r="H906" s="433" t="s">
        <v>3478</v>
      </c>
      <c r="I906" s="111">
        <v>250.92</v>
      </c>
      <c r="J906" s="111">
        <v>6022.08</v>
      </c>
      <c r="K906" s="110"/>
      <c r="L906" s="110"/>
      <c r="M906" s="110"/>
      <c r="N906" s="110"/>
      <c r="O906" s="110"/>
      <c r="P906" s="110"/>
      <c r="Q906" s="433">
        <v>12</v>
      </c>
      <c r="R906" s="111">
        <v>2007.36</v>
      </c>
      <c r="S906" s="110"/>
      <c r="T906" s="110"/>
      <c r="U906" s="110"/>
      <c r="V906" s="110"/>
      <c r="W906" s="433">
        <v>6</v>
      </c>
      <c r="X906" s="111">
        <v>2007.36</v>
      </c>
      <c r="Y906" s="110"/>
      <c r="Z906" s="110"/>
      <c r="AA906" s="110"/>
      <c r="AB906" s="110"/>
      <c r="AC906" s="433">
        <v>6</v>
      </c>
      <c r="AD906" s="111">
        <v>2007.36</v>
      </c>
      <c r="AE906" s="110"/>
      <c r="AF906" s="110"/>
      <c r="AG906" s="110"/>
      <c r="AH906" s="1048"/>
    </row>
    <row r="907" spans="1:34" ht="45" x14ac:dyDescent="0.25">
      <c r="A907" s="1047"/>
      <c r="B907" s="110" t="s">
        <v>2329</v>
      </c>
      <c r="C907" s="110"/>
      <c r="D907" s="433">
        <v>24</v>
      </c>
      <c r="E907" s="207" t="s">
        <v>1766</v>
      </c>
      <c r="F907" s="1178" t="s">
        <v>4353</v>
      </c>
      <c r="G907" s="1056" t="s">
        <v>4306</v>
      </c>
      <c r="H907" s="433" t="s">
        <v>3478</v>
      </c>
      <c r="I907" s="111">
        <v>250.92</v>
      </c>
      <c r="J907" s="111">
        <v>6022.08</v>
      </c>
      <c r="K907" s="110"/>
      <c r="L907" s="110"/>
      <c r="M907" s="110"/>
      <c r="N907" s="110"/>
      <c r="O907" s="110"/>
      <c r="P907" s="110"/>
      <c r="Q907" s="433">
        <v>12</v>
      </c>
      <c r="R907" s="111">
        <v>2007.36</v>
      </c>
      <c r="S907" s="110"/>
      <c r="T907" s="110"/>
      <c r="U907" s="110"/>
      <c r="V907" s="110"/>
      <c r="W907" s="433">
        <v>6</v>
      </c>
      <c r="X907" s="111">
        <v>2007.36</v>
      </c>
      <c r="Y907" s="110"/>
      <c r="Z907" s="110"/>
      <c r="AA907" s="110"/>
      <c r="AB907" s="110"/>
      <c r="AC907" s="433">
        <v>6</v>
      </c>
      <c r="AD907" s="111">
        <v>2007.36</v>
      </c>
      <c r="AE907" s="110"/>
      <c r="AF907" s="110"/>
      <c r="AG907" s="110"/>
      <c r="AH907" s="1048"/>
    </row>
    <row r="908" spans="1:34" ht="45" x14ac:dyDescent="0.25">
      <c r="A908" s="1047"/>
      <c r="B908" s="110" t="s">
        <v>2330</v>
      </c>
      <c r="C908" s="110"/>
      <c r="D908" s="433">
        <v>18</v>
      </c>
      <c r="E908" s="207" t="s">
        <v>1949</v>
      </c>
      <c r="F908" s="1178" t="s">
        <v>4353</v>
      </c>
      <c r="G908" s="1056" t="s">
        <v>4306</v>
      </c>
      <c r="H908" s="433" t="s">
        <v>3478</v>
      </c>
      <c r="I908" s="111">
        <v>26.48</v>
      </c>
      <c r="J908" s="111">
        <v>476.64</v>
      </c>
      <c r="K908" s="110"/>
      <c r="L908" s="110"/>
      <c r="M908" s="110"/>
      <c r="N908" s="110"/>
      <c r="O908" s="110"/>
      <c r="P908" s="110"/>
      <c r="Q908" s="433">
        <v>9</v>
      </c>
      <c r="R908" s="111">
        <v>158.88</v>
      </c>
      <c r="S908" s="110"/>
      <c r="T908" s="110"/>
      <c r="U908" s="110"/>
      <c r="V908" s="110"/>
      <c r="W908" s="433">
        <v>5</v>
      </c>
      <c r="X908" s="111">
        <v>158.88</v>
      </c>
      <c r="Y908" s="110"/>
      <c r="Z908" s="110"/>
      <c r="AA908" s="110"/>
      <c r="AB908" s="110"/>
      <c r="AC908" s="433">
        <v>4</v>
      </c>
      <c r="AD908" s="111">
        <v>158.88</v>
      </c>
      <c r="AE908" s="110"/>
      <c r="AF908" s="110"/>
      <c r="AG908" s="110"/>
      <c r="AH908" s="1048"/>
    </row>
    <row r="909" spans="1:34" ht="45" x14ac:dyDescent="0.25">
      <c r="A909" s="1047"/>
      <c r="B909" s="110" t="s">
        <v>2331</v>
      </c>
      <c r="C909" s="110"/>
      <c r="D909" s="433">
        <v>18</v>
      </c>
      <c r="E909" s="207" t="s">
        <v>1766</v>
      </c>
      <c r="F909" s="1178" t="s">
        <v>4353</v>
      </c>
      <c r="G909" s="1056" t="s">
        <v>4306</v>
      </c>
      <c r="H909" s="433" t="s">
        <v>3478</v>
      </c>
      <c r="I909" s="111">
        <v>989.76</v>
      </c>
      <c r="J909" s="111">
        <v>17815.68</v>
      </c>
      <c r="K909" s="110"/>
      <c r="L909" s="110"/>
      <c r="M909" s="110"/>
      <c r="N909" s="110"/>
      <c r="O909" s="110"/>
      <c r="P909" s="110"/>
      <c r="Q909" s="433">
        <v>9</v>
      </c>
      <c r="R909" s="111">
        <v>5938.56</v>
      </c>
      <c r="S909" s="110"/>
      <c r="T909" s="110"/>
      <c r="U909" s="110"/>
      <c r="V909" s="110"/>
      <c r="W909" s="433">
        <v>5</v>
      </c>
      <c r="X909" s="111">
        <v>5938.56</v>
      </c>
      <c r="Y909" s="110"/>
      <c r="Z909" s="110"/>
      <c r="AA909" s="110"/>
      <c r="AB909" s="110"/>
      <c r="AC909" s="433">
        <v>4</v>
      </c>
      <c r="AD909" s="111">
        <v>5938.56</v>
      </c>
      <c r="AE909" s="110"/>
      <c r="AF909" s="110"/>
      <c r="AG909" s="110"/>
      <c r="AH909" s="1048"/>
    </row>
    <row r="910" spans="1:34" ht="45" x14ac:dyDescent="0.25">
      <c r="A910" s="1047"/>
      <c r="B910" s="110" t="s">
        <v>2316</v>
      </c>
      <c r="C910" s="110"/>
      <c r="D910" s="433">
        <v>70</v>
      </c>
      <c r="E910" s="207" t="s">
        <v>1766</v>
      </c>
      <c r="F910" s="1178" t="s">
        <v>4353</v>
      </c>
      <c r="G910" s="1056" t="s">
        <v>4306</v>
      </c>
      <c r="H910" s="433" t="s">
        <v>3478</v>
      </c>
      <c r="I910" s="111">
        <v>748.7</v>
      </c>
      <c r="J910" s="111">
        <v>52409</v>
      </c>
      <c r="K910" s="110"/>
      <c r="L910" s="110"/>
      <c r="M910" s="110"/>
      <c r="N910" s="110"/>
      <c r="O910" s="110"/>
      <c r="P910" s="110"/>
      <c r="Q910" s="433">
        <v>30</v>
      </c>
      <c r="R910" s="111">
        <v>17469.666666666668</v>
      </c>
      <c r="S910" s="110"/>
      <c r="T910" s="110"/>
      <c r="U910" s="110"/>
      <c r="V910" s="110"/>
      <c r="W910" s="433">
        <v>20</v>
      </c>
      <c r="X910" s="111">
        <v>17469.666666666668</v>
      </c>
      <c r="Y910" s="110"/>
      <c r="Z910" s="110"/>
      <c r="AA910" s="110"/>
      <c r="AB910" s="110"/>
      <c r="AC910" s="433">
        <v>20</v>
      </c>
      <c r="AD910" s="111">
        <v>17469.666666666668</v>
      </c>
      <c r="AE910" s="110"/>
      <c r="AF910" s="110"/>
      <c r="AG910" s="110"/>
      <c r="AH910" s="1048"/>
    </row>
    <row r="911" spans="1:34" ht="45" x14ac:dyDescent="0.25">
      <c r="A911" s="1047"/>
      <c r="B911" s="110" t="s">
        <v>2317</v>
      </c>
      <c r="C911" s="110"/>
      <c r="D911" s="433">
        <v>70</v>
      </c>
      <c r="E911" s="207" t="s">
        <v>1766</v>
      </c>
      <c r="F911" s="1178" t="s">
        <v>4353</v>
      </c>
      <c r="G911" s="1056" t="s">
        <v>4306</v>
      </c>
      <c r="H911" s="433" t="s">
        <v>3478</v>
      </c>
      <c r="I911" s="111">
        <v>748.7</v>
      </c>
      <c r="J911" s="111">
        <v>52409</v>
      </c>
      <c r="K911" s="110"/>
      <c r="L911" s="110"/>
      <c r="M911" s="110"/>
      <c r="N911" s="110"/>
      <c r="O911" s="110"/>
      <c r="P911" s="110"/>
      <c r="Q911" s="433">
        <v>30</v>
      </c>
      <c r="R911" s="111">
        <v>17469.666666666668</v>
      </c>
      <c r="S911" s="110"/>
      <c r="T911" s="110"/>
      <c r="U911" s="110"/>
      <c r="V911" s="110"/>
      <c r="W911" s="433">
        <v>20</v>
      </c>
      <c r="X911" s="111">
        <v>17469.666666666668</v>
      </c>
      <c r="Y911" s="110"/>
      <c r="Z911" s="110"/>
      <c r="AA911" s="110"/>
      <c r="AB911" s="110"/>
      <c r="AC911" s="433">
        <v>20</v>
      </c>
      <c r="AD911" s="111">
        <v>17469.666666666668</v>
      </c>
      <c r="AE911" s="110"/>
      <c r="AF911" s="110"/>
      <c r="AG911" s="110"/>
      <c r="AH911" s="1048"/>
    </row>
    <row r="912" spans="1:34" ht="45" x14ac:dyDescent="0.25">
      <c r="A912" s="1047"/>
      <c r="B912" s="110" t="s">
        <v>2318</v>
      </c>
      <c r="C912" s="110"/>
      <c r="D912" s="433">
        <v>17</v>
      </c>
      <c r="E912" s="207" t="s">
        <v>1766</v>
      </c>
      <c r="F912" s="1178" t="s">
        <v>4353</v>
      </c>
      <c r="G912" s="1056" t="s">
        <v>4306</v>
      </c>
      <c r="H912" s="433" t="s">
        <v>3478</v>
      </c>
      <c r="I912" s="111">
        <v>686</v>
      </c>
      <c r="J912" s="111">
        <v>11662</v>
      </c>
      <c r="K912" s="110"/>
      <c r="L912" s="110"/>
      <c r="M912" s="110"/>
      <c r="N912" s="110"/>
      <c r="O912" s="110"/>
      <c r="P912" s="110"/>
      <c r="Q912" s="433">
        <v>9</v>
      </c>
      <c r="R912" s="111">
        <v>3887.3333333333335</v>
      </c>
      <c r="S912" s="110"/>
      <c r="T912" s="110"/>
      <c r="U912" s="110"/>
      <c r="V912" s="110"/>
      <c r="W912" s="433">
        <v>4</v>
      </c>
      <c r="X912" s="111">
        <v>3887.3333333333335</v>
      </c>
      <c r="Y912" s="110"/>
      <c r="Z912" s="110"/>
      <c r="AA912" s="110"/>
      <c r="AB912" s="110"/>
      <c r="AC912" s="433">
        <v>4</v>
      </c>
      <c r="AD912" s="111">
        <v>3887.3333333333335</v>
      </c>
      <c r="AE912" s="110"/>
      <c r="AF912" s="110"/>
      <c r="AG912" s="110"/>
      <c r="AH912" s="1048"/>
    </row>
    <row r="913" spans="1:34" ht="45" x14ac:dyDescent="0.25">
      <c r="A913" s="1047"/>
      <c r="B913" s="110" t="s">
        <v>2319</v>
      </c>
      <c r="C913" s="110"/>
      <c r="D913" s="433">
        <v>14</v>
      </c>
      <c r="E913" s="207" t="s">
        <v>2442</v>
      </c>
      <c r="F913" s="1178" t="s">
        <v>4353</v>
      </c>
      <c r="G913" s="1056" t="s">
        <v>4306</v>
      </c>
      <c r="H913" s="433" t="s">
        <v>3478</v>
      </c>
      <c r="I913" s="111">
        <v>686</v>
      </c>
      <c r="J913" s="111">
        <v>9604</v>
      </c>
      <c r="K913" s="110"/>
      <c r="L913" s="110"/>
      <c r="M913" s="110"/>
      <c r="N913" s="110"/>
      <c r="O913" s="110"/>
      <c r="P913" s="110"/>
      <c r="Q913" s="433">
        <v>7</v>
      </c>
      <c r="R913" s="111">
        <v>3201.3333333333335</v>
      </c>
      <c r="S913" s="110"/>
      <c r="T913" s="110"/>
      <c r="U913" s="110"/>
      <c r="V913" s="110"/>
      <c r="W913" s="433">
        <v>4</v>
      </c>
      <c r="X913" s="111">
        <v>3201.3333333333335</v>
      </c>
      <c r="Y913" s="110"/>
      <c r="Z913" s="110"/>
      <c r="AA913" s="110"/>
      <c r="AB913" s="110"/>
      <c r="AC913" s="433">
        <v>3</v>
      </c>
      <c r="AD913" s="111">
        <v>3201.3333333333335</v>
      </c>
      <c r="AE913" s="110"/>
      <c r="AF913" s="110"/>
      <c r="AG913" s="110"/>
      <c r="AH913" s="1048"/>
    </row>
    <row r="914" spans="1:34" ht="45" x14ac:dyDescent="0.25">
      <c r="A914" s="1047"/>
      <c r="B914" s="110" t="s">
        <v>4180</v>
      </c>
      <c r="C914" s="110"/>
      <c r="D914" s="433">
        <v>7</v>
      </c>
      <c r="E914" s="207" t="s">
        <v>1766</v>
      </c>
      <c r="F914" s="1178" t="s">
        <v>4353</v>
      </c>
      <c r="G914" s="1056" t="s">
        <v>4306</v>
      </c>
      <c r="H914" s="433" t="s">
        <v>3478</v>
      </c>
      <c r="I914" s="111">
        <v>60.55</v>
      </c>
      <c r="J914" s="111">
        <v>423.84999999999997</v>
      </c>
      <c r="K914" s="110"/>
      <c r="L914" s="110"/>
      <c r="M914" s="110"/>
      <c r="N914" s="110"/>
      <c r="O914" s="110"/>
      <c r="P914" s="110"/>
      <c r="Q914" s="433">
        <v>3</v>
      </c>
      <c r="R914" s="111">
        <v>141.28333333333333</v>
      </c>
      <c r="S914" s="110"/>
      <c r="T914" s="110"/>
      <c r="U914" s="110"/>
      <c r="V914" s="110"/>
      <c r="W914" s="433">
        <v>2</v>
      </c>
      <c r="X914" s="111">
        <v>141.28333333333333</v>
      </c>
      <c r="Y914" s="110"/>
      <c r="Z914" s="110"/>
      <c r="AA914" s="110"/>
      <c r="AB914" s="110"/>
      <c r="AC914" s="433">
        <v>2</v>
      </c>
      <c r="AD914" s="111">
        <v>141.28333333333333</v>
      </c>
      <c r="AE914" s="110"/>
      <c r="AF914" s="110"/>
      <c r="AG914" s="110"/>
      <c r="AH914" s="1048"/>
    </row>
    <row r="915" spans="1:34" ht="45" x14ac:dyDescent="0.25">
      <c r="A915" s="1047"/>
      <c r="B915" s="1057" t="s">
        <v>2333</v>
      </c>
      <c r="C915" s="110"/>
      <c r="D915" s="433">
        <v>72</v>
      </c>
      <c r="E915" s="207" t="s">
        <v>1766</v>
      </c>
      <c r="F915" s="1178" t="s">
        <v>4353</v>
      </c>
      <c r="G915" s="1056" t="s">
        <v>4306</v>
      </c>
      <c r="H915" s="433" t="s">
        <v>3478</v>
      </c>
      <c r="I915" s="111">
        <v>194.58</v>
      </c>
      <c r="J915" s="111">
        <v>14009.76</v>
      </c>
      <c r="K915" s="110"/>
      <c r="L915" s="110"/>
      <c r="M915" s="110"/>
      <c r="N915" s="110"/>
      <c r="O915" s="110"/>
      <c r="P915" s="110"/>
      <c r="Q915" s="433">
        <v>40</v>
      </c>
      <c r="R915" s="111">
        <v>4669.92</v>
      </c>
      <c r="S915" s="110"/>
      <c r="T915" s="110"/>
      <c r="U915" s="110"/>
      <c r="V915" s="110"/>
      <c r="W915" s="433">
        <v>22</v>
      </c>
      <c r="X915" s="111">
        <v>4669.92</v>
      </c>
      <c r="Y915" s="110"/>
      <c r="Z915" s="110"/>
      <c r="AA915" s="110"/>
      <c r="AB915" s="110"/>
      <c r="AC915" s="433">
        <v>20</v>
      </c>
      <c r="AD915" s="111">
        <v>4669.92</v>
      </c>
      <c r="AE915" s="110"/>
      <c r="AF915" s="110"/>
      <c r="AG915" s="110"/>
      <c r="AH915" s="1048"/>
    </row>
    <row r="916" spans="1:34" ht="45" x14ac:dyDescent="0.25">
      <c r="A916" s="1047"/>
      <c r="B916" s="110" t="s">
        <v>2334</v>
      </c>
      <c r="C916" s="110"/>
      <c r="D916" s="433">
        <v>11</v>
      </c>
      <c r="E916" s="207" t="s">
        <v>1766</v>
      </c>
      <c r="F916" s="1178" t="s">
        <v>4353</v>
      </c>
      <c r="G916" s="1056" t="s">
        <v>4306</v>
      </c>
      <c r="H916" s="433" t="s">
        <v>3478</v>
      </c>
      <c r="I916" s="111">
        <v>46.78</v>
      </c>
      <c r="J916" s="111">
        <v>514.58000000000004</v>
      </c>
      <c r="K916" s="110"/>
      <c r="L916" s="110"/>
      <c r="M916" s="110"/>
      <c r="N916" s="110"/>
      <c r="O916" s="110"/>
      <c r="P916" s="110"/>
      <c r="Q916" s="433">
        <v>5</v>
      </c>
      <c r="R916" s="111">
        <v>171.52666666666667</v>
      </c>
      <c r="S916" s="110"/>
      <c r="T916" s="110"/>
      <c r="U916" s="110"/>
      <c r="V916" s="110"/>
      <c r="W916" s="433">
        <v>3</v>
      </c>
      <c r="X916" s="111">
        <v>171.52666666666667</v>
      </c>
      <c r="Y916" s="110"/>
      <c r="Z916" s="110"/>
      <c r="AA916" s="110"/>
      <c r="AB916" s="110"/>
      <c r="AC916" s="433">
        <v>3</v>
      </c>
      <c r="AD916" s="111">
        <v>171.52666666666667</v>
      </c>
      <c r="AE916" s="110"/>
      <c r="AF916" s="110"/>
      <c r="AG916" s="110"/>
      <c r="AH916" s="1048"/>
    </row>
    <row r="917" spans="1:34" ht="45" x14ac:dyDescent="0.25">
      <c r="A917" s="1047"/>
      <c r="B917" s="110" t="s">
        <v>4181</v>
      </c>
      <c r="C917" s="110"/>
      <c r="D917" s="433">
        <v>8</v>
      </c>
      <c r="E917" s="207" t="s">
        <v>1766</v>
      </c>
      <c r="F917" s="1178" t="s">
        <v>4353</v>
      </c>
      <c r="G917" s="1056" t="s">
        <v>4306</v>
      </c>
      <c r="H917" s="433" t="s">
        <v>3478</v>
      </c>
      <c r="I917" s="111">
        <v>590.39</v>
      </c>
      <c r="J917" s="111">
        <v>4723.12</v>
      </c>
      <c r="K917" s="110"/>
      <c r="L917" s="110"/>
      <c r="M917" s="110"/>
      <c r="N917" s="110"/>
      <c r="O917" s="110"/>
      <c r="P917" s="110"/>
      <c r="Q917" s="433">
        <v>3</v>
      </c>
      <c r="R917" s="111">
        <v>1574.3733333333332</v>
      </c>
      <c r="S917" s="110"/>
      <c r="T917" s="110"/>
      <c r="U917" s="110"/>
      <c r="V917" s="110"/>
      <c r="W917" s="433">
        <v>3</v>
      </c>
      <c r="X917" s="111">
        <v>1574.3733333333332</v>
      </c>
      <c r="Y917" s="110"/>
      <c r="Z917" s="110"/>
      <c r="AA917" s="110"/>
      <c r="AB917" s="110"/>
      <c r="AC917" s="433">
        <v>2</v>
      </c>
      <c r="AD917" s="111">
        <v>1574.3733333333332</v>
      </c>
      <c r="AE917" s="110"/>
      <c r="AF917" s="110"/>
      <c r="AG917" s="110"/>
      <c r="AH917" s="1048"/>
    </row>
    <row r="918" spans="1:34" ht="45" x14ac:dyDescent="0.25">
      <c r="A918" s="1047"/>
      <c r="B918" s="110" t="s">
        <v>2336</v>
      </c>
      <c r="C918" s="110"/>
      <c r="D918" s="433">
        <v>4</v>
      </c>
      <c r="E918" s="207" t="s">
        <v>4182</v>
      </c>
      <c r="F918" s="1178" t="s">
        <v>4353</v>
      </c>
      <c r="G918" s="1056" t="s">
        <v>4306</v>
      </c>
      <c r="H918" s="433" t="s">
        <v>3478</v>
      </c>
      <c r="I918" s="111">
        <v>400</v>
      </c>
      <c r="J918" s="111">
        <v>1600</v>
      </c>
      <c r="K918" s="110"/>
      <c r="L918" s="110"/>
      <c r="M918" s="110"/>
      <c r="N918" s="110"/>
      <c r="O918" s="110"/>
      <c r="P918" s="110"/>
      <c r="Q918" s="433">
        <v>2</v>
      </c>
      <c r="R918" s="111">
        <v>533.33333333333337</v>
      </c>
      <c r="S918" s="110"/>
      <c r="T918" s="110"/>
      <c r="U918" s="110"/>
      <c r="V918" s="110"/>
      <c r="W918" s="433">
        <v>1</v>
      </c>
      <c r="X918" s="111">
        <v>533.33333333333337</v>
      </c>
      <c r="Y918" s="110"/>
      <c r="Z918" s="110"/>
      <c r="AA918" s="110"/>
      <c r="AB918" s="110"/>
      <c r="AC918" s="433">
        <v>1</v>
      </c>
      <c r="AD918" s="111">
        <v>533.33333333333337</v>
      </c>
      <c r="AE918" s="110"/>
      <c r="AF918" s="110"/>
      <c r="AG918" s="110"/>
      <c r="AH918" s="1048"/>
    </row>
    <row r="919" spans="1:34" ht="45" x14ac:dyDescent="0.25">
      <c r="A919" s="1047"/>
      <c r="B919" s="110" t="s">
        <v>4183</v>
      </c>
      <c r="C919" s="110"/>
      <c r="D919" s="433">
        <v>12</v>
      </c>
      <c r="E919" s="207" t="s">
        <v>1766</v>
      </c>
      <c r="F919" s="1178" t="s">
        <v>4353</v>
      </c>
      <c r="G919" s="1056" t="s">
        <v>4306</v>
      </c>
      <c r="H919" s="433" t="s">
        <v>3478</v>
      </c>
      <c r="I919" s="111">
        <v>486</v>
      </c>
      <c r="J919" s="111">
        <v>5832</v>
      </c>
      <c r="K919" s="110"/>
      <c r="L919" s="110"/>
      <c r="M919" s="110"/>
      <c r="N919" s="110"/>
      <c r="O919" s="110"/>
      <c r="P919" s="110"/>
      <c r="Q919" s="433">
        <v>6</v>
      </c>
      <c r="R919" s="111">
        <v>1944</v>
      </c>
      <c r="S919" s="110"/>
      <c r="T919" s="110"/>
      <c r="U919" s="110"/>
      <c r="V919" s="110"/>
      <c r="W919" s="433">
        <v>3</v>
      </c>
      <c r="X919" s="111">
        <v>1944</v>
      </c>
      <c r="Y919" s="110"/>
      <c r="Z919" s="110"/>
      <c r="AA919" s="110"/>
      <c r="AB919" s="110"/>
      <c r="AC919" s="433">
        <v>3</v>
      </c>
      <c r="AD919" s="111">
        <v>1944</v>
      </c>
      <c r="AE919" s="110"/>
      <c r="AF919" s="110"/>
      <c r="AG919" s="110"/>
      <c r="AH919" s="1048"/>
    </row>
    <row r="920" spans="1:34" ht="45" x14ac:dyDescent="0.25">
      <c r="A920" s="1047"/>
      <c r="B920" s="110" t="s">
        <v>2338</v>
      </c>
      <c r="C920" s="110"/>
      <c r="D920" s="433">
        <v>12</v>
      </c>
      <c r="E920" s="207" t="s">
        <v>1766</v>
      </c>
      <c r="F920" s="1178" t="s">
        <v>4353</v>
      </c>
      <c r="G920" s="1056" t="s">
        <v>4306</v>
      </c>
      <c r="H920" s="433" t="s">
        <v>3478</v>
      </c>
      <c r="I920" s="111">
        <v>76.819999999999993</v>
      </c>
      <c r="J920" s="111">
        <v>921.83999999999992</v>
      </c>
      <c r="K920" s="110"/>
      <c r="L920" s="110"/>
      <c r="M920" s="110"/>
      <c r="N920" s="110"/>
      <c r="O920" s="110"/>
      <c r="P920" s="110"/>
      <c r="Q920" s="433">
        <v>6</v>
      </c>
      <c r="R920" s="111">
        <v>307.27999999999997</v>
      </c>
      <c r="S920" s="110"/>
      <c r="T920" s="110"/>
      <c r="U920" s="110"/>
      <c r="V920" s="110"/>
      <c r="W920" s="433">
        <v>3</v>
      </c>
      <c r="X920" s="111">
        <v>307.27999999999997</v>
      </c>
      <c r="Y920" s="110"/>
      <c r="Z920" s="110"/>
      <c r="AA920" s="110"/>
      <c r="AB920" s="110"/>
      <c r="AC920" s="433">
        <v>3</v>
      </c>
      <c r="AD920" s="111">
        <v>307.27999999999997</v>
      </c>
      <c r="AE920" s="110"/>
      <c r="AF920" s="110"/>
      <c r="AG920" s="110"/>
      <c r="AH920" s="1048"/>
    </row>
    <row r="921" spans="1:34" ht="45" x14ac:dyDescent="0.25">
      <c r="A921" s="1047"/>
      <c r="B921" s="110" t="s">
        <v>2339</v>
      </c>
      <c r="C921" s="110"/>
      <c r="D921" s="433">
        <v>10</v>
      </c>
      <c r="E921" s="207" t="s">
        <v>1766</v>
      </c>
      <c r="F921" s="1178" t="s">
        <v>4353</v>
      </c>
      <c r="G921" s="1056" t="s">
        <v>4306</v>
      </c>
      <c r="H921" s="433" t="s">
        <v>3478</v>
      </c>
      <c r="I921" s="111">
        <v>28.68</v>
      </c>
      <c r="J921" s="111">
        <v>286.8</v>
      </c>
      <c r="K921" s="110"/>
      <c r="L921" s="110"/>
      <c r="M921" s="110"/>
      <c r="N921" s="110"/>
      <c r="O921" s="110"/>
      <c r="P921" s="110"/>
      <c r="Q921" s="433">
        <v>5</v>
      </c>
      <c r="R921" s="111">
        <v>95.600000000000009</v>
      </c>
      <c r="S921" s="110"/>
      <c r="T921" s="110"/>
      <c r="U921" s="110"/>
      <c r="V921" s="110"/>
      <c r="W921" s="433">
        <v>3</v>
      </c>
      <c r="X921" s="111">
        <v>95.600000000000009</v>
      </c>
      <c r="Y921" s="110"/>
      <c r="Z921" s="110"/>
      <c r="AA921" s="110"/>
      <c r="AB921" s="110"/>
      <c r="AC921" s="433">
        <v>2</v>
      </c>
      <c r="AD921" s="111">
        <v>95.600000000000009</v>
      </c>
      <c r="AE921" s="110"/>
      <c r="AF921" s="110"/>
      <c r="AG921" s="110"/>
      <c r="AH921" s="1048"/>
    </row>
    <row r="922" spans="1:34" ht="45" x14ac:dyDescent="0.25">
      <c r="A922" s="1047"/>
      <c r="B922" s="110" t="s">
        <v>2340</v>
      </c>
      <c r="C922" s="110"/>
      <c r="D922" s="433">
        <v>28</v>
      </c>
      <c r="E922" s="207" t="s">
        <v>1766</v>
      </c>
      <c r="F922" s="1178" t="s">
        <v>4353</v>
      </c>
      <c r="G922" s="1056" t="s">
        <v>4306</v>
      </c>
      <c r="H922" s="433" t="s">
        <v>3478</v>
      </c>
      <c r="I922" s="111">
        <v>29.8</v>
      </c>
      <c r="J922" s="111">
        <v>834.4</v>
      </c>
      <c r="K922" s="110"/>
      <c r="L922" s="110"/>
      <c r="M922" s="110"/>
      <c r="N922" s="110"/>
      <c r="O922" s="110"/>
      <c r="P922" s="110"/>
      <c r="Q922" s="433">
        <v>14</v>
      </c>
      <c r="R922" s="111">
        <v>278.13333333333333</v>
      </c>
      <c r="S922" s="110"/>
      <c r="T922" s="110"/>
      <c r="U922" s="110"/>
      <c r="V922" s="110"/>
      <c r="W922" s="433">
        <v>7</v>
      </c>
      <c r="X922" s="111">
        <v>278.13333333333333</v>
      </c>
      <c r="Y922" s="110"/>
      <c r="Z922" s="110"/>
      <c r="AA922" s="110"/>
      <c r="AB922" s="110"/>
      <c r="AC922" s="433">
        <v>7</v>
      </c>
      <c r="AD922" s="111">
        <v>278.13333333333333</v>
      </c>
      <c r="AE922" s="110"/>
      <c r="AF922" s="110"/>
      <c r="AG922" s="110"/>
      <c r="AH922" s="1048"/>
    </row>
    <row r="923" spans="1:34" ht="45" x14ac:dyDescent="0.25">
      <c r="A923" s="1047"/>
      <c r="B923" s="110" t="s">
        <v>4184</v>
      </c>
      <c r="C923" s="110"/>
      <c r="D923" s="433">
        <v>7</v>
      </c>
      <c r="E923" s="207" t="s">
        <v>1766</v>
      </c>
      <c r="F923" s="1178" t="s">
        <v>4353</v>
      </c>
      <c r="G923" s="1056" t="s">
        <v>4306</v>
      </c>
      <c r="H923" s="433" t="s">
        <v>3478</v>
      </c>
      <c r="I923" s="111">
        <v>462.12</v>
      </c>
      <c r="J923" s="111">
        <v>3234.84</v>
      </c>
      <c r="K923" s="110"/>
      <c r="L923" s="110"/>
      <c r="M923" s="110"/>
      <c r="N923" s="110"/>
      <c r="O923" s="110"/>
      <c r="P923" s="110"/>
      <c r="Q923" s="433">
        <v>3</v>
      </c>
      <c r="R923" s="111">
        <v>1078.28</v>
      </c>
      <c r="S923" s="110"/>
      <c r="T923" s="110"/>
      <c r="U923" s="110"/>
      <c r="V923" s="110"/>
      <c r="W923" s="433">
        <v>2</v>
      </c>
      <c r="X923" s="111">
        <v>1078.28</v>
      </c>
      <c r="Y923" s="110"/>
      <c r="Z923" s="110"/>
      <c r="AA923" s="110"/>
      <c r="AB923" s="110"/>
      <c r="AC923" s="433">
        <v>2</v>
      </c>
      <c r="AD923" s="111">
        <v>1078.28</v>
      </c>
      <c r="AE923" s="110"/>
      <c r="AF923" s="110"/>
      <c r="AG923" s="110"/>
      <c r="AH923" s="1048"/>
    </row>
    <row r="924" spans="1:34" ht="45" x14ac:dyDescent="0.25">
      <c r="A924" s="1047"/>
      <c r="B924" s="110" t="s">
        <v>2342</v>
      </c>
      <c r="C924" s="110"/>
      <c r="D924" s="433">
        <v>1</v>
      </c>
      <c r="E924" s="207" t="s">
        <v>1766</v>
      </c>
      <c r="F924" s="1178" t="s">
        <v>4353</v>
      </c>
      <c r="G924" s="1056" t="s">
        <v>4306</v>
      </c>
      <c r="H924" s="433" t="s">
        <v>3478</v>
      </c>
      <c r="I924" s="111">
        <v>972.94</v>
      </c>
      <c r="J924" s="111">
        <v>972.94</v>
      </c>
      <c r="K924" s="110"/>
      <c r="L924" s="110"/>
      <c r="M924" s="110"/>
      <c r="N924" s="110"/>
      <c r="O924" s="110"/>
      <c r="P924" s="110"/>
      <c r="Q924" s="433">
        <v>1</v>
      </c>
      <c r="R924" s="111">
        <v>324.31333333333333</v>
      </c>
      <c r="S924" s="110"/>
      <c r="T924" s="110"/>
      <c r="U924" s="110"/>
      <c r="V924" s="110"/>
      <c r="W924" s="433">
        <v>0</v>
      </c>
      <c r="X924" s="111">
        <v>324.31333333333333</v>
      </c>
      <c r="Y924" s="110"/>
      <c r="Z924" s="110"/>
      <c r="AA924" s="110"/>
      <c r="AB924" s="110"/>
      <c r="AC924" s="433">
        <v>0</v>
      </c>
      <c r="AD924" s="111">
        <v>324.31333333333333</v>
      </c>
      <c r="AE924" s="110"/>
      <c r="AF924" s="110"/>
      <c r="AG924" s="110"/>
      <c r="AH924" s="1048"/>
    </row>
    <row r="925" spans="1:34" ht="45" x14ac:dyDescent="0.25">
      <c r="A925" s="1047"/>
      <c r="B925" s="110" t="s">
        <v>2343</v>
      </c>
      <c r="C925" s="110"/>
      <c r="D925" s="433">
        <v>15</v>
      </c>
      <c r="E925" s="207" t="s">
        <v>1766</v>
      </c>
      <c r="F925" s="1178" t="s">
        <v>4353</v>
      </c>
      <c r="G925" s="1056" t="s">
        <v>4306</v>
      </c>
      <c r="H925" s="433" t="s">
        <v>3478</v>
      </c>
      <c r="I925" s="111">
        <v>35.64</v>
      </c>
      <c r="J925" s="111">
        <v>534.6</v>
      </c>
      <c r="K925" s="110"/>
      <c r="L925" s="110"/>
      <c r="M925" s="110"/>
      <c r="N925" s="110"/>
      <c r="O925" s="110"/>
      <c r="P925" s="110"/>
      <c r="Q925" s="433">
        <v>8</v>
      </c>
      <c r="R925" s="111">
        <v>178.20000000000002</v>
      </c>
      <c r="S925" s="110"/>
      <c r="T925" s="110"/>
      <c r="U925" s="110"/>
      <c r="V925" s="110"/>
      <c r="W925" s="433">
        <v>4</v>
      </c>
      <c r="X925" s="111">
        <v>178.20000000000002</v>
      </c>
      <c r="Y925" s="110"/>
      <c r="Z925" s="110"/>
      <c r="AA925" s="110"/>
      <c r="AB925" s="110"/>
      <c r="AC925" s="433">
        <v>3</v>
      </c>
      <c r="AD925" s="111">
        <v>178.20000000000002</v>
      </c>
      <c r="AE925" s="110"/>
      <c r="AF925" s="110"/>
      <c r="AG925" s="110"/>
      <c r="AH925" s="1048"/>
    </row>
    <row r="926" spans="1:34" ht="45" x14ac:dyDescent="0.25">
      <c r="A926" s="1047"/>
      <c r="B926" s="110" t="s">
        <v>2344</v>
      </c>
      <c r="C926" s="110"/>
      <c r="D926" s="433">
        <v>10</v>
      </c>
      <c r="E926" s="207" t="s">
        <v>1766</v>
      </c>
      <c r="F926" s="1178" t="s">
        <v>4353</v>
      </c>
      <c r="G926" s="1056" t="s">
        <v>4306</v>
      </c>
      <c r="H926" s="433" t="s">
        <v>3478</v>
      </c>
      <c r="I926" s="111">
        <v>113.68000000000002</v>
      </c>
      <c r="J926" s="111">
        <v>1136.8000000000002</v>
      </c>
      <c r="K926" s="110"/>
      <c r="L926" s="110"/>
      <c r="M926" s="110"/>
      <c r="N926" s="110"/>
      <c r="O926" s="110"/>
      <c r="P926" s="110"/>
      <c r="Q926" s="433">
        <v>5</v>
      </c>
      <c r="R926" s="111">
        <v>378.93333333333339</v>
      </c>
      <c r="S926" s="110"/>
      <c r="T926" s="110"/>
      <c r="U926" s="110"/>
      <c r="V926" s="110"/>
      <c r="W926" s="433">
        <v>3</v>
      </c>
      <c r="X926" s="111">
        <v>378.93333333333339</v>
      </c>
      <c r="Y926" s="110"/>
      <c r="Z926" s="110"/>
      <c r="AA926" s="110"/>
      <c r="AB926" s="110"/>
      <c r="AC926" s="433">
        <v>2</v>
      </c>
      <c r="AD926" s="111">
        <v>378.93333333333339</v>
      </c>
      <c r="AE926" s="110"/>
      <c r="AF926" s="110"/>
      <c r="AG926" s="110"/>
      <c r="AH926" s="1048"/>
    </row>
    <row r="927" spans="1:34" ht="45" x14ac:dyDescent="0.25">
      <c r="A927" s="1047"/>
      <c r="B927" s="110" t="s">
        <v>2345</v>
      </c>
      <c r="C927" s="110"/>
      <c r="D927" s="433">
        <v>2</v>
      </c>
      <c r="E927" s="207" t="s">
        <v>1766</v>
      </c>
      <c r="F927" s="1178" t="s">
        <v>4353</v>
      </c>
      <c r="G927" s="1056" t="s">
        <v>4306</v>
      </c>
      <c r="H927" s="433" t="s">
        <v>3478</v>
      </c>
      <c r="I927" s="111">
        <v>63.5</v>
      </c>
      <c r="J927" s="111">
        <v>127</v>
      </c>
      <c r="K927" s="110"/>
      <c r="L927" s="110"/>
      <c r="M927" s="110"/>
      <c r="N927" s="110"/>
      <c r="O927" s="110"/>
      <c r="P927" s="110"/>
      <c r="Q927" s="433">
        <v>1</v>
      </c>
      <c r="R927" s="111">
        <v>42.333333333333336</v>
      </c>
      <c r="S927" s="110"/>
      <c r="T927" s="110"/>
      <c r="U927" s="110"/>
      <c r="V927" s="110"/>
      <c r="W927" s="433">
        <v>1</v>
      </c>
      <c r="X927" s="111">
        <v>42.333333333333336</v>
      </c>
      <c r="Y927" s="110"/>
      <c r="Z927" s="110"/>
      <c r="AA927" s="110"/>
      <c r="AB927" s="110"/>
      <c r="AC927" s="433">
        <v>0</v>
      </c>
      <c r="AD927" s="111">
        <v>42.333333333333336</v>
      </c>
      <c r="AE927" s="110"/>
      <c r="AF927" s="110"/>
      <c r="AG927" s="110"/>
      <c r="AH927" s="1048"/>
    </row>
    <row r="928" spans="1:34" ht="45" x14ac:dyDescent="0.25">
      <c r="A928" s="1047"/>
      <c r="B928" s="110" t="s">
        <v>2346</v>
      </c>
      <c r="C928" s="110"/>
      <c r="D928" s="433">
        <v>4</v>
      </c>
      <c r="E928" s="207" t="s">
        <v>1772</v>
      </c>
      <c r="F928" s="1178" t="s">
        <v>4353</v>
      </c>
      <c r="G928" s="1056" t="s">
        <v>4306</v>
      </c>
      <c r="H928" s="433" t="s">
        <v>3478</v>
      </c>
      <c r="I928" s="111">
        <v>740.9</v>
      </c>
      <c r="J928" s="111">
        <v>2963.6</v>
      </c>
      <c r="K928" s="110"/>
      <c r="L928" s="110"/>
      <c r="M928" s="110"/>
      <c r="N928" s="110"/>
      <c r="O928" s="110"/>
      <c r="P928" s="110"/>
      <c r="Q928" s="433">
        <v>2</v>
      </c>
      <c r="R928" s="111">
        <v>987.86666666666667</v>
      </c>
      <c r="S928" s="110"/>
      <c r="T928" s="110"/>
      <c r="U928" s="110"/>
      <c r="V928" s="110"/>
      <c r="W928" s="433">
        <v>1</v>
      </c>
      <c r="X928" s="111">
        <v>987.86666666666667</v>
      </c>
      <c r="Y928" s="110"/>
      <c r="Z928" s="110"/>
      <c r="AA928" s="110"/>
      <c r="AB928" s="110"/>
      <c r="AC928" s="433">
        <v>1</v>
      </c>
      <c r="AD928" s="111">
        <v>987.86666666666667</v>
      </c>
      <c r="AE928" s="110"/>
      <c r="AF928" s="110"/>
      <c r="AG928" s="110"/>
      <c r="AH928" s="1048"/>
    </row>
    <row r="929" spans="1:34" ht="45" x14ac:dyDescent="0.25">
      <c r="A929" s="1047"/>
      <c r="B929" s="110" t="s">
        <v>2347</v>
      </c>
      <c r="C929" s="110"/>
      <c r="D929" s="433">
        <v>7</v>
      </c>
      <c r="E929" s="207" t="s">
        <v>1767</v>
      </c>
      <c r="F929" s="1178" t="s">
        <v>4353</v>
      </c>
      <c r="G929" s="1056" t="s">
        <v>4306</v>
      </c>
      <c r="H929" s="433" t="s">
        <v>3478</v>
      </c>
      <c r="I929" s="111">
        <v>287.76</v>
      </c>
      <c r="J929" s="111">
        <v>2014.32</v>
      </c>
      <c r="K929" s="110"/>
      <c r="L929" s="110"/>
      <c r="M929" s="110"/>
      <c r="N929" s="110"/>
      <c r="O929" s="110"/>
      <c r="P929" s="110"/>
      <c r="Q929" s="433">
        <v>3</v>
      </c>
      <c r="R929" s="111">
        <v>671.43999999999994</v>
      </c>
      <c r="S929" s="110"/>
      <c r="T929" s="110"/>
      <c r="U929" s="110"/>
      <c r="V929" s="110"/>
      <c r="W929" s="433">
        <v>2</v>
      </c>
      <c r="X929" s="111">
        <v>671.43999999999994</v>
      </c>
      <c r="Y929" s="110"/>
      <c r="Z929" s="110"/>
      <c r="AA929" s="110"/>
      <c r="AB929" s="110"/>
      <c r="AC929" s="433">
        <v>2</v>
      </c>
      <c r="AD929" s="111">
        <v>671.43999999999994</v>
      </c>
      <c r="AE929" s="110"/>
      <c r="AF929" s="110"/>
      <c r="AG929" s="110"/>
      <c r="AH929" s="1048"/>
    </row>
    <row r="930" spans="1:34" ht="45" x14ac:dyDescent="0.25">
      <c r="A930" s="1047"/>
      <c r="B930" s="110" t="s">
        <v>2348</v>
      </c>
      <c r="C930" s="110"/>
      <c r="D930" s="433">
        <v>1</v>
      </c>
      <c r="E930" s="207" t="s">
        <v>1766</v>
      </c>
      <c r="F930" s="1178" t="s">
        <v>4353</v>
      </c>
      <c r="G930" s="1056" t="s">
        <v>4306</v>
      </c>
      <c r="H930" s="433" t="s">
        <v>3478</v>
      </c>
      <c r="I930" s="111">
        <v>100.36</v>
      </c>
      <c r="J930" s="111">
        <v>100.36</v>
      </c>
      <c r="K930" s="110"/>
      <c r="L930" s="110"/>
      <c r="M930" s="110"/>
      <c r="N930" s="110"/>
      <c r="O930" s="110"/>
      <c r="P930" s="110"/>
      <c r="Q930" s="433">
        <v>1</v>
      </c>
      <c r="R930" s="111">
        <v>33.453333333333333</v>
      </c>
      <c r="S930" s="110"/>
      <c r="T930" s="110"/>
      <c r="U930" s="110"/>
      <c r="V930" s="110"/>
      <c r="W930" s="433">
        <v>0</v>
      </c>
      <c r="X930" s="111">
        <v>33.453333333333333</v>
      </c>
      <c r="Y930" s="110"/>
      <c r="Z930" s="110"/>
      <c r="AA930" s="110"/>
      <c r="AB930" s="110"/>
      <c r="AC930" s="433">
        <v>0</v>
      </c>
      <c r="AD930" s="111">
        <v>33.453333333333333</v>
      </c>
      <c r="AE930" s="110"/>
      <c r="AF930" s="110"/>
      <c r="AG930" s="110"/>
      <c r="AH930" s="1048"/>
    </row>
    <row r="931" spans="1:34" ht="45" x14ac:dyDescent="0.25">
      <c r="A931" s="1047"/>
      <c r="B931" s="110" t="s">
        <v>2349</v>
      </c>
      <c r="C931" s="110"/>
      <c r="D931" s="433">
        <v>3</v>
      </c>
      <c r="E931" s="207" t="s">
        <v>1721</v>
      </c>
      <c r="F931" s="1178" t="s">
        <v>4353</v>
      </c>
      <c r="G931" s="1056" t="s">
        <v>4306</v>
      </c>
      <c r="H931" s="433" t="s">
        <v>3478</v>
      </c>
      <c r="I931" s="111">
        <v>100.36</v>
      </c>
      <c r="J931" s="111">
        <v>301.08</v>
      </c>
      <c r="K931" s="110"/>
      <c r="L931" s="110"/>
      <c r="M931" s="110"/>
      <c r="N931" s="110"/>
      <c r="O931" s="110"/>
      <c r="P931" s="110"/>
      <c r="Q931" s="433">
        <v>1</v>
      </c>
      <c r="R931" s="111">
        <v>100.36</v>
      </c>
      <c r="S931" s="110"/>
      <c r="T931" s="110"/>
      <c r="U931" s="110"/>
      <c r="V931" s="110"/>
      <c r="W931" s="433">
        <v>1</v>
      </c>
      <c r="X931" s="111">
        <v>100.36</v>
      </c>
      <c r="Y931" s="110"/>
      <c r="Z931" s="110"/>
      <c r="AA931" s="110"/>
      <c r="AB931" s="110"/>
      <c r="AC931" s="433">
        <v>1</v>
      </c>
      <c r="AD931" s="111">
        <v>100.36</v>
      </c>
      <c r="AE931" s="110"/>
      <c r="AF931" s="110"/>
      <c r="AG931" s="110"/>
      <c r="AH931" s="1048"/>
    </row>
    <row r="932" spans="1:34" ht="45" x14ac:dyDescent="0.25">
      <c r="A932" s="1047"/>
      <c r="B932" s="110" t="s">
        <v>2350</v>
      </c>
      <c r="C932" s="110"/>
      <c r="D932" s="433">
        <v>1</v>
      </c>
      <c r="E932" s="207" t="s">
        <v>1721</v>
      </c>
      <c r="F932" s="1178" t="s">
        <v>4353</v>
      </c>
      <c r="G932" s="1056" t="s">
        <v>4306</v>
      </c>
      <c r="H932" s="433" t="s">
        <v>3478</v>
      </c>
      <c r="I932" s="111">
        <v>100.36</v>
      </c>
      <c r="J932" s="111">
        <v>100.36</v>
      </c>
      <c r="K932" s="110"/>
      <c r="L932" s="110"/>
      <c r="M932" s="110"/>
      <c r="N932" s="110"/>
      <c r="O932" s="110"/>
      <c r="P932" s="110"/>
      <c r="Q932" s="433">
        <v>1</v>
      </c>
      <c r="R932" s="111">
        <v>33.453333333333333</v>
      </c>
      <c r="S932" s="110"/>
      <c r="T932" s="110"/>
      <c r="U932" s="110"/>
      <c r="V932" s="110"/>
      <c r="W932" s="433">
        <v>0</v>
      </c>
      <c r="X932" s="111">
        <v>33.453333333333333</v>
      </c>
      <c r="Y932" s="110"/>
      <c r="Z932" s="110"/>
      <c r="AA932" s="110"/>
      <c r="AB932" s="110"/>
      <c r="AC932" s="433">
        <v>0</v>
      </c>
      <c r="AD932" s="111">
        <v>33.453333333333333</v>
      </c>
      <c r="AE932" s="110"/>
      <c r="AF932" s="110"/>
      <c r="AG932" s="110"/>
      <c r="AH932" s="1048"/>
    </row>
    <row r="933" spans="1:34" ht="45" x14ac:dyDescent="0.25">
      <c r="A933" s="1047"/>
      <c r="B933" s="110" t="s">
        <v>2351</v>
      </c>
      <c r="C933" s="110"/>
      <c r="D933" s="433">
        <v>3</v>
      </c>
      <c r="E933" s="207" t="s">
        <v>1766</v>
      </c>
      <c r="F933" s="1178" t="s">
        <v>4353</v>
      </c>
      <c r="G933" s="1056" t="s">
        <v>4306</v>
      </c>
      <c r="H933" s="433" t="s">
        <v>3478</v>
      </c>
      <c r="I933" s="111">
        <v>193.05000000000004</v>
      </c>
      <c r="J933" s="111">
        <v>579.15000000000009</v>
      </c>
      <c r="K933" s="110"/>
      <c r="L933" s="110"/>
      <c r="M933" s="110"/>
      <c r="N933" s="110"/>
      <c r="O933" s="110"/>
      <c r="P933" s="110"/>
      <c r="Q933" s="433">
        <v>1</v>
      </c>
      <c r="R933" s="111">
        <v>193.05000000000004</v>
      </c>
      <c r="S933" s="110"/>
      <c r="T933" s="110"/>
      <c r="U933" s="110"/>
      <c r="V933" s="110"/>
      <c r="W933" s="433">
        <v>1</v>
      </c>
      <c r="X933" s="111">
        <v>193.05000000000004</v>
      </c>
      <c r="Y933" s="110"/>
      <c r="Z933" s="110"/>
      <c r="AA933" s="110"/>
      <c r="AB933" s="110"/>
      <c r="AC933" s="433">
        <v>1</v>
      </c>
      <c r="AD933" s="111">
        <v>193.05000000000004</v>
      </c>
      <c r="AE933" s="110"/>
      <c r="AF933" s="110"/>
      <c r="AG933" s="110"/>
      <c r="AH933" s="1048"/>
    </row>
    <row r="934" spans="1:34" ht="45" x14ac:dyDescent="0.25">
      <c r="A934" s="1047"/>
      <c r="B934" s="110" t="s">
        <v>2352</v>
      </c>
      <c r="C934" s="110"/>
      <c r="D934" s="433">
        <v>45</v>
      </c>
      <c r="E934" s="207" t="s">
        <v>1766</v>
      </c>
      <c r="F934" s="1178" t="s">
        <v>4353</v>
      </c>
      <c r="G934" s="1056" t="s">
        <v>4306</v>
      </c>
      <c r="H934" s="433" t="s">
        <v>3478</v>
      </c>
      <c r="I934" s="111">
        <v>32.840000000000003</v>
      </c>
      <c r="J934" s="111">
        <v>1477.8000000000002</v>
      </c>
      <c r="K934" s="110"/>
      <c r="L934" s="110"/>
      <c r="M934" s="110"/>
      <c r="N934" s="110"/>
      <c r="O934" s="110"/>
      <c r="P934" s="110"/>
      <c r="Q934" s="433">
        <v>25</v>
      </c>
      <c r="R934" s="111">
        <v>492.60000000000008</v>
      </c>
      <c r="S934" s="110"/>
      <c r="T934" s="110"/>
      <c r="U934" s="110"/>
      <c r="V934" s="110"/>
      <c r="W934" s="433">
        <v>10</v>
      </c>
      <c r="X934" s="111">
        <v>492.60000000000008</v>
      </c>
      <c r="Y934" s="110"/>
      <c r="Z934" s="110"/>
      <c r="AA934" s="110"/>
      <c r="AB934" s="110"/>
      <c r="AC934" s="433">
        <v>10</v>
      </c>
      <c r="AD934" s="111">
        <v>492.60000000000008</v>
      </c>
      <c r="AE934" s="110"/>
      <c r="AF934" s="110"/>
      <c r="AG934" s="110"/>
      <c r="AH934" s="1048"/>
    </row>
    <row r="935" spans="1:34" ht="45" x14ac:dyDescent="0.25">
      <c r="A935" s="1047"/>
      <c r="B935" s="110" t="s">
        <v>2353</v>
      </c>
      <c r="C935" s="110"/>
      <c r="D935" s="433">
        <v>45</v>
      </c>
      <c r="E935" s="207" t="s">
        <v>1766</v>
      </c>
      <c r="F935" s="1178" t="s">
        <v>4353</v>
      </c>
      <c r="G935" s="1056" t="s">
        <v>4306</v>
      </c>
      <c r="H935" s="433" t="s">
        <v>3478</v>
      </c>
      <c r="I935" s="111">
        <v>32.840000000000003</v>
      </c>
      <c r="J935" s="111">
        <v>1477.8000000000002</v>
      </c>
      <c r="K935" s="110"/>
      <c r="L935" s="110"/>
      <c r="M935" s="110"/>
      <c r="N935" s="110"/>
      <c r="O935" s="110"/>
      <c r="P935" s="110"/>
      <c r="Q935" s="433">
        <v>25</v>
      </c>
      <c r="R935" s="111">
        <v>492.60000000000008</v>
      </c>
      <c r="S935" s="110"/>
      <c r="T935" s="110"/>
      <c r="U935" s="110"/>
      <c r="V935" s="110"/>
      <c r="W935" s="433">
        <v>10</v>
      </c>
      <c r="X935" s="111">
        <v>492.60000000000008</v>
      </c>
      <c r="Y935" s="110"/>
      <c r="Z935" s="110"/>
      <c r="AA935" s="110"/>
      <c r="AB935" s="110"/>
      <c r="AC935" s="433">
        <v>10</v>
      </c>
      <c r="AD935" s="111">
        <v>492.60000000000008</v>
      </c>
      <c r="AE935" s="110"/>
      <c r="AF935" s="110"/>
      <c r="AG935" s="110"/>
      <c r="AH935" s="1048"/>
    </row>
    <row r="936" spans="1:34" ht="45" x14ac:dyDescent="0.25">
      <c r="A936" s="1047"/>
      <c r="B936" s="110" t="s">
        <v>2354</v>
      </c>
      <c r="C936" s="110"/>
      <c r="D936" s="433">
        <v>45</v>
      </c>
      <c r="E936" s="207" t="s">
        <v>3036</v>
      </c>
      <c r="F936" s="1178" t="s">
        <v>4353</v>
      </c>
      <c r="G936" s="1056" t="s">
        <v>4306</v>
      </c>
      <c r="H936" s="433" t="s">
        <v>3478</v>
      </c>
      <c r="I936" s="111">
        <v>32.840000000000003</v>
      </c>
      <c r="J936" s="111">
        <v>1477.8000000000002</v>
      </c>
      <c r="K936" s="110"/>
      <c r="L936" s="110"/>
      <c r="M936" s="110"/>
      <c r="N936" s="110"/>
      <c r="O936" s="110"/>
      <c r="P936" s="110"/>
      <c r="Q936" s="433">
        <v>25</v>
      </c>
      <c r="R936" s="111">
        <v>492.60000000000008</v>
      </c>
      <c r="S936" s="110"/>
      <c r="T936" s="110"/>
      <c r="U936" s="110"/>
      <c r="V936" s="110"/>
      <c r="W936" s="433">
        <v>10</v>
      </c>
      <c r="X936" s="111">
        <v>492.60000000000008</v>
      </c>
      <c r="Y936" s="110"/>
      <c r="Z936" s="110"/>
      <c r="AA936" s="110"/>
      <c r="AB936" s="110"/>
      <c r="AC936" s="433">
        <v>10</v>
      </c>
      <c r="AD936" s="111">
        <v>492.60000000000008</v>
      </c>
      <c r="AE936" s="110"/>
      <c r="AF936" s="110"/>
      <c r="AG936" s="110"/>
      <c r="AH936" s="1048"/>
    </row>
    <row r="937" spans="1:34" ht="45" x14ac:dyDescent="0.25">
      <c r="A937" s="1047"/>
      <c r="B937" s="110" t="s">
        <v>2355</v>
      </c>
      <c r="C937" s="110"/>
      <c r="D937" s="433">
        <v>55</v>
      </c>
      <c r="E937" s="207" t="s">
        <v>1766</v>
      </c>
      <c r="F937" s="1178" t="s">
        <v>4353</v>
      </c>
      <c r="G937" s="1056" t="s">
        <v>4306</v>
      </c>
      <c r="H937" s="433" t="s">
        <v>3478</v>
      </c>
      <c r="I937" s="111">
        <v>129.68</v>
      </c>
      <c r="J937" s="111">
        <v>7132.4000000000005</v>
      </c>
      <c r="K937" s="110"/>
      <c r="L937" s="110"/>
      <c r="M937" s="110"/>
      <c r="N937" s="110"/>
      <c r="O937" s="110"/>
      <c r="P937" s="110"/>
      <c r="Q937" s="433">
        <v>25</v>
      </c>
      <c r="R937" s="111">
        <v>2377.4666666666667</v>
      </c>
      <c r="S937" s="110"/>
      <c r="T937" s="110"/>
      <c r="U937" s="110"/>
      <c r="V937" s="110"/>
      <c r="W937" s="433">
        <v>20</v>
      </c>
      <c r="X937" s="111">
        <v>2377.4666666666667</v>
      </c>
      <c r="Y937" s="110"/>
      <c r="Z937" s="110"/>
      <c r="AA937" s="110"/>
      <c r="AB937" s="110"/>
      <c r="AC937" s="433">
        <v>10</v>
      </c>
      <c r="AD937" s="111">
        <v>2377.4666666666667</v>
      </c>
      <c r="AE937" s="110"/>
      <c r="AF937" s="110"/>
      <c r="AG937" s="110"/>
      <c r="AH937" s="1048"/>
    </row>
    <row r="938" spans="1:34" ht="45" x14ac:dyDescent="0.25">
      <c r="A938" s="1047"/>
      <c r="B938" s="110" t="s">
        <v>2356</v>
      </c>
      <c r="C938" s="110"/>
      <c r="D938" s="433">
        <v>5</v>
      </c>
      <c r="E938" s="207" t="s">
        <v>1766</v>
      </c>
      <c r="F938" s="1178" t="s">
        <v>4353</v>
      </c>
      <c r="G938" s="1056" t="s">
        <v>4306</v>
      </c>
      <c r="H938" s="433" t="s">
        <v>3478</v>
      </c>
      <c r="I938" s="111">
        <v>239.13000000000002</v>
      </c>
      <c r="J938" s="111">
        <v>1195.6500000000001</v>
      </c>
      <c r="K938" s="110"/>
      <c r="L938" s="110"/>
      <c r="M938" s="110"/>
      <c r="N938" s="110"/>
      <c r="O938" s="110"/>
      <c r="P938" s="110"/>
      <c r="Q938" s="433">
        <v>2</v>
      </c>
      <c r="R938" s="111">
        <v>398.55</v>
      </c>
      <c r="S938" s="110"/>
      <c r="T938" s="110"/>
      <c r="U938" s="110"/>
      <c r="V938" s="110"/>
      <c r="W938" s="433">
        <v>2</v>
      </c>
      <c r="X938" s="111">
        <v>398.55</v>
      </c>
      <c r="Y938" s="110"/>
      <c r="Z938" s="110"/>
      <c r="AA938" s="110"/>
      <c r="AB938" s="110"/>
      <c r="AC938" s="433">
        <v>1</v>
      </c>
      <c r="AD938" s="111">
        <v>398.55</v>
      </c>
      <c r="AE938" s="110"/>
      <c r="AF938" s="110"/>
      <c r="AG938" s="110"/>
      <c r="AH938" s="1048"/>
    </row>
    <row r="939" spans="1:34" ht="45" x14ac:dyDescent="0.25">
      <c r="A939" s="1047"/>
      <c r="B939" s="110" t="s">
        <v>2357</v>
      </c>
      <c r="C939" s="110"/>
      <c r="D939" s="433">
        <v>5</v>
      </c>
      <c r="E939" s="207" t="s">
        <v>1767</v>
      </c>
      <c r="F939" s="1178" t="s">
        <v>4353</v>
      </c>
      <c r="G939" s="1056" t="s">
        <v>4306</v>
      </c>
      <c r="H939" s="433" t="s">
        <v>3478</v>
      </c>
      <c r="I939" s="111">
        <v>239.13000000000002</v>
      </c>
      <c r="J939" s="111">
        <v>1195.6500000000001</v>
      </c>
      <c r="K939" s="110"/>
      <c r="L939" s="110"/>
      <c r="M939" s="110"/>
      <c r="N939" s="110"/>
      <c r="O939" s="110"/>
      <c r="P939" s="110"/>
      <c r="Q939" s="433">
        <v>2</v>
      </c>
      <c r="R939" s="111">
        <v>398.55</v>
      </c>
      <c r="S939" s="110"/>
      <c r="T939" s="110"/>
      <c r="U939" s="110"/>
      <c r="V939" s="110"/>
      <c r="W939" s="433">
        <v>2</v>
      </c>
      <c r="X939" s="111">
        <v>398.55</v>
      </c>
      <c r="Y939" s="110"/>
      <c r="Z939" s="110"/>
      <c r="AA939" s="110"/>
      <c r="AB939" s="110"/>
      <c r="AC939" s="433">
        <v>1</v>
      </c>
      <c r="AD939" s="111">
        <v>398.55</v>
      </c>
      <c r="AE939" s="110"/>
      <c r="AF939" s="110"/>
      <c r="AG939" s="110"/>
      <c r="AH939" s="1048"/>
    </row>
    <row r="940" spans="1:34" ht="45" x14ac:dyDescent="0.25">
      <c r="A940" s="1047"/>
      <c r="B940" s="110" t="s">
        <v>2358</v>
      </c>
      <c r="C940" s="110"/>
      <c r="D940" s="433">
        <v>5</v>
      </c>
      <c r="E940" s="207" t="s">
        <v>1767</v>
      </c>
      <c r="F940" s="1178" t="s">
        <v>4353</v>
      </c>
      <c r="G940" s="1056" t="s">
        <v>4306</v>
      </c>
      <c r="H940" s="433" t="s">
        <v>3478</v>
      </c>
      <c r="I940" s="111">
        <v>239</v>
      </c>
      <c r="J940" s="111">
        <v>1195</v>
      </c>
      <c r="K940" s="110"/>
      <c r="L940" s="110"/>
      <c r="M940" s="110"/>
      <c r="N940" s="110"/>
      <c r="O940" s="110"/>
      <c r="P940" s="110"/>
      <c r="Q940" s="433">
        <v>2</v>
      </c>
      <c r="R940" s="111">
        <v>398.33333333333331</v>
      </c>
      <c r="S940" s="110"/>
      <c r="T940" s="110"/>
      <c r="U940" s="110"/>
      <c r="V940" s="110"/>
      <c r="W940" s="433">
        <v>2</v>
      </c>
      <c r="X940" s="111">
        <v>398.33333333333331</v>
      </c>
      <c r="Y940" s="110"/>
      <c r="Z940" s="110"/>
      <c r="AA940" s="110"/>
      <c r="AB940" s="110"/>
      <c r="AC940" s="433">
        <v>1</v>
      </c>
      <c r="AD940" s="111">
        <v>398.33333333333331</v>
      </c>
      <c r="AE940" s="110"/>
      <c r="AF940" s="110"/>
      <c r="AG940" s="110"/>
      <c r="AH940" s="1048"/>
    </row>
    <row r="941" spans="1:34" ht="45" x14ac:dyDescent="0.25">
      <c r="A941" s="1047"/>
      <c r="B941" s="110" t="s">
        <v>2360</v>
      </c>
      <c r="C941" s="110"/>
      <c r="D941" s="433">
        <v>12</v>
      </c>
      <c r="E941" s="207" t="s">
        <v>1767</v>
      </c>
      <c r="F941" s="1178" t="s">
        <v>4353</v>
      </c>
      <c r="G941" s="1056" t="s">
        <v>4306</v>
      </c>
      <c r="H941" s="433" t="s">
        <v>3478</v>
      </c>
      <c r="I941" s="111">
        <v>99.969999999999985</v>
      </c>
      <c r="J941" s="111">
        <v>1199.6399999999999</v>
      </c>
      <c r="K941" s="110"/>
      <c r="L941" s="110"/>
      <c r="M941" s="110"/>
      <c r="N941" s="110"/>
      <c r="O941" s="110"/>
      <c r="P941" s="110"/>
      <c r="Q941" s="433">
        <v>6</v>
      </c>
      <c r="R941" s="111">
        <v>399.87999999999994</v>
      </c>
      <c r="S941" s="110"/>
      <c r="T941" s="110"/>
      <c r="U941" s="110"/>
      <c r="V941" s="110"/>
      <c r="W941" s="433">
        <v>3</v>
      </c>
      <c r="X941" s="111">
        <v>399.87999999999994</v>
      </c>
      <c r="Y941" s="110"/>
      <c r="Z941" s="110"/>
      <c r="AA941" s="110"/>
      <c r="AB941" s="110"/>
      <c r="AC941" s="433">
        <v>3</v>
      </c>
      <c r="AD941" s="111">
        <v>399.87999999999994</v>
      </c>
      <c r="AE941" s="110"/>
      <c r="AF941" s="110"/>
      <c r="AG941" s="110"/>
      <c r="AH941" s="1048"/>
    </row>
    <row r="942" spans="1:34" ht="45" x14ac:dyDescent="0.25">
      <c r="A942" s="1047"/>
      <c r="B942" s="110" t="s">
        <v>2361</v>
      </c>
      <c r="C942" s="110"/>
      <c r="D942" s="433">
        <v>25</v>
      </c>
      <c r="E942" s="207" t="s">
        <v>1767</v>
      </c>
      <c r="F942" s="1178" t="s">
        <v>4353</v>
      </c>
      <c r="G942" s="1056" t="s">
        <v>4306</v>
      </c>
      <c r="H942" s="433" t="s">
        <v>3478</v>
      </c>
      <c r="I942" s="111">
        <v>32.14</v>
      </c>
      <c r="J942" s="111">
        <v>803.5</v>
      </c>
      <c r="K942" s="110"/>
      <c r="L942" s="110"/>
      <c r="M942" s="110"/>
      <c r="N942" s="110"/>
      <c r="O942" s="110"/>
      <c r="P942" s="110"/>
      <c r="Q942" s="433"/>
      <c r="R942" s="111">
        <v>267.83333333333331</v>
      </c>
      <c r="S942" s="110"/>
      <c r="T942" s="110"/>
      <c r="U942" s="110"/>
      <c r="V942" s="110"/>
      <c r="W942" s="433"/>
      <c r="X942" s="111">
        <v>267.83333333333331</v>
      </c>
      <c r="Y942" s="110"/>
      <c r="Z942" s="110"/>
      <c r="AA942" s="110"/>
      <c r="AB942" s="110"/>
      <c r="AC942" s="433"/>
      <c r="AD942" s="111">
        <v>267.83333333333331</v>
      </c>
      <c r="AE942" s="110"/>
      <c r="AF942" s="110"/>
      <c r="AG942" s="110"/>
      <c r="AH942" s="1048"/>
    </row>
    <row r="943" spans="1:34" ht="45" x14ac:dyDescent="0.25">
      <c r="A943" s="1047"/>
      <c r="B943" s="110" t="s">
        <v>2362</v>
      </c>
      <c r="C943" s="110"/>
      <c r="D943" s="433">
        <v>25</v>
      </c>
      <c r="E943" s="207" t="s">
        <v>1767</v>
      </c>
      <c r="F943" s="1178" t="s">
        <v>4353</v>
      </c>
      <c r="G943" s="1056" t="s">
        <v>4306</v>
      </c>
      <c r="H943" s="433" t="s">
        <v>3478</v>
      </c>
      <c r="I943" s="111">
        <v>32.14</v>
      </c>
      <c r="J943" s="111">
        <v>803.5</v>
      </c>
      <c r="K943" s="110"/>
      <c r="L943" s="110"/>
      <c r="M943" s="110"/>
      <c r="N943" s="110"/>
      <c r="O943" s="110"/>
      <c r="P943" s="110"/>
      <c r="Q943" s="433"/>
      <c r="R943" s="111">
        <v>267.83333333333331</v>
      </c>
      <c r="S943" s="110"/>
      <c r="T943" s="110"/>
      <c r="U943" s="110"/>
      <c r="V943" s="110"/>
      <c r="W943" s="433"/>
      <c r="X943" s="111">
        <v>267.83333333333331</v>
      </c>
      <c r="Y943" s="110"/>
      <c r="Z943" s="110"/>
      <c r="AA943" s="110"/>
      <c r="AB943" s="110"/>
      <c r="AC943" s="433"/>
      <c r="AD943" s="111">
        <v>267.83333333333331</v>
      </c>
      <c r="AE943" s="110"/>
      <c r="AF943" s="110"/>
      <c r="AG943" s="110"/>
      <c r="AH943" s="1048"/>
    </row>
    <row r="944" spans="1:34" ht="45" x14ac:dyDescent="0.25">
      <c r="A944" s="1047"/>
      <c r="B944" s="110" t="s">
        <v>2363</v>
      </c>
      <c r="C944" s="110"/>
      <c r="D944" s="433">
        <v>25</v>
      </c>
      <c r="E944" s="207" t="s">
        <v>1767</v>
      </c>
      <c r="F944" s="1178" t="s">
        <v>4353</v>
      </c>
      <c r="G944" s="1056" t="s">
        <v>4306</v>
      </c>
      <c r="H944" s="433" t="s">
        <v>3478</v>
      </c>
      <c r="I944" s="111">
        <v>32.14</v>
      </c>
      <c r="J944" s="111">
        <v>803.5</v>
      </c>
      <c r="K944" s="110"/>
      <c r="L944" s="110"/>
      <c r="M944" s="110"/>
      <c r="N944" s="110"/>
      <c r="O944" s="110"/>
      <c r="P944" s="110"/>
      <c r="Q944" s="433"/>
      <c r="R944" s="111">
        <v>267.83333333333331</v>
      </c>
      <c r="S944" s="110"/>
      <c r="T944" s="110"/>
      <c r="U944" s="110"/>
      <c r="V944" s="110"/>
      <c r="W944" s="433"/>
      <c r="X944" s="111">
        <v>267.83333333333331</v>
      </c>
      <c r="Y944" s="110"/>
      <c r="Z944" s="110"/>
      <c r="AA944" s="110"/>
      <c r="AB944" s="110"/>
      <c r="AC944" s="433"/>
      <c r="AD944" s="111">
        <v>267.83333333333331</v>
      </c>
      <c r="AE944" s="110"/>
      <c r="AF944" s="110"/>
      <c r="AG944" s="110"/>
      <c r="AH944" s="1048"/>
    </row>
    <row r="945" spans="1:34" ht="45" x14ac:dyDescent="0.25">
      <c r="A945" s="1047"/>
      <c r="B945" s="110" t="s">
        <v>2364</v>
      </c>
      <c r="C945" s="110"/>
      <c r="D945" s="433">
        <v>25</v>
      </c>
      <c r="E945" s="207" t="s">
        <v>1766</v>
      </c>
      <c r="F945" s="1178" t="s">
        <v>4353</v>
      </c>
      <c r="G945" s="1056" t="s">
        <v>4306</v>
      </c>
      <c r="H945" s="433" t="s">
        <v>3478</v>
      </c>
      <c r="I945" s="111">
        <v>32.14</v>
      </c>
      <c r="J945" s="111">
        <v>803.5</v>
      </c>
      <c r="K945" s="110"/>
      <c r="L945" s="110"/>
      <c r="M945" s="110"/>
      <c r="N945" s="110"/>
      <c r="O945" s="110"/>
      <c r="P945" s="110"/>
      <c r="Q945" s="433"/>
      <c r="R945" s="111">
        <v>267.83333333333331</v>
      </c>
      <c r="S945" s="110"/>
      <c r="T945" s="110"/>
      <c r="U945" s="110"/>
      <c r="V945" s="110"/>
      <c r="W945" s="433"/>
      <c r="X945" s="111">
        <v>267.83333333333331</v>
      </c>
      <c r="Y945" s="110"/>
      <c r="Z945" s="110"/>
      <c r="AA945" s="110"/>
      <c r="AB945" s="110"/>
      <c r="AC945" s="433"/>
      <c r="AD945" s="111">
        <v>267.83333333333331</v>
      </c>
      <c r="AE945" s="110"/>
      <c r="AF945" s="110"/>
      <c r="AG945" s="110"/>
      <c r="AH945" s="1048"/>
    </row>
    <row r="946" spans="1:34" ht="45" x14ac:dyDescent="0.25">
      <c r="A946" s="1047"/>
      <c r="B946" s="110" t="s">
        <v>2365</v>
      </c>
      <c r="C946" s="110"/>
      <c r="D946" s="433">
        <v>50</v>
      </c>
      <c r="E946" s="207" t="s">
        <v>1767</v>
      </c>
      <c r="F946" s="1178" t="s">
        <v>4353</v>
      </c>
      <c r="G946" s="1056" t="s">
        <v>4306</v>
      </c>
      <c r="H946" s="433" t="s">
        <v>3478</v>
      </c>
      <c r="I946" s="111">
        <v>50.18</v>
      </c>
      <c r="J946" s="111">
        <v>2509</v>
      </c>
      <c r="K946" s="110"/>
      <c r="L946" s="110"/>
      <c r="M946" s="110"/>
      <c r="N946" s="110"/>
      <c r="O946" s="110"/>
      <c r="P946" s="110"/>
      <c r="Q946" s="433">
        <v>25</v>
      </c>
      <c r="R946" s="111">
        <v>836.33333333333337</v>
      </c>
      <c r="S946" s="110"/>
      <c r="T946" s="110"/>
      <c r="U946" s="110"/>
      <c r="V946" s="110"/>
      <c r="W946" s="433">
        <v>13</v>
      </c>
      <c r="X946" s="111">
        <v>836.33333333333337</v>
      </c>
      <c r="Y946" s="110"/>
      <c r="Z946" s="110"/>
      <c r="AA946" s="110"/>
      <c r="AB946" s="110"/>
      <c r="AC946" s="433">
        <v>12</v>
      </c>
      <c r="AD946" s="111">
        <v>836.33333333333337</v>
      </c>
      <c r="AE946" s="110"/>
      <c r="AF946" s="110"/>
      <c r="AG946" s="110"/>
      <c r="AH946" s="1048"/>
    </row>
    <row r="947" spans="1:34" ht="45" x14ac:dyDescent="0.25">
      <c r="A947" s="1047"/>
      <c r="B947" s="110" t="s">
        <v>2366</v>
      </c>
      <c r="C947" s="110"/>
      <c r="D947" s="433">
        <v>50</v>
      </c>
      <c r="E947" s="207" t="s">
        <v>1766</v>
      </c>
      <c r="F947" s="1178" t="s">
        <v>4353</v>
      </c>
      <c r="G947" s="1056" t="s">
        <v>4306</v>
      </c>
      <c r="H947" s="433" t="s">
        <v>3478</v>
      </c>
      <c r="I947" s="111">
        <v>50.18</v>
      </c>
      <c r="J947" s="111">
        <v>2509</v>
      </c>
      <c r="K947" s="110"/>
      <c r="L947" s="110"/>
      <c r="M947" s="110"/>
      <c r="N947" s="110"/>
      <c r="O947" s="110"/>
      <c r="P947" s="110"/>
      <c r="Q947" s="433">
        <v>25</v>
      </c>
      <c r="R947" s="111">
        <v>836.33333333333337</v>
      </c>
      <c r="S947" s="110"/>
      <c r="T947" s="110"/>
      <c r="U947" s="110"/>
      <c r="V947" s="110"/>
      <c r="W947" s="433">
        <v>13</v>
      </c>
      <c r="X947" s="111">
        <v>836.33333333333337</v>
      </c>
      <c r="Y947" s="110"/>
      <c r="Z947" s="110"/>
      <c r="AA947" s="110"/>
      <c r="AB947" s="110"/>
      <c r="AC947" s="433">
        <v>12</v>
      </c>
      <c r="AD947" s="111">
        <v>836.33333333333337</v>
      </c>
      <c r="AE947" s="110"/>
      <c r="AF947" s="110"/>
      <c r="AG947" s="110"/>
      <c r="AH947" s="1048"/>
    </row>
    <row r="948" spans="1:34" ht="45" x14ac:dyDescent="0.25">
      <c r="A948" s="1047"/>
      <c r="B948" s="110" t="s">
        <v>2367</v>
      </c>
      <c r="C948" s="110"/>
      <c r="D948" s="433">
        <v>50</v>
      </c>
      <c r="E948" s="207" t="s">
        <v>1766</v>
      </c>
      <c r="F948" s="1178" t="s">
        <v>4353</v>
      </c>
      <c r="G948" s="1056" t="s">
        <v>4306</v>
      </c>
      <c r="H948" s="433" t="s">
        <v>3478</v>
      </c>
      <c r="I948" s="111">
        <v>50.18</v>
      </c>
      <c r="J948" s="111">
        <v>2509</v>
      </c>
      <c r="K948" s="110"/>
      <c r="L948" s="110"/>
      <c r="M948" s="110"/>
      <c r="N948" s="110"/>
      <c r="O948" s="110"/>
      <c r="P948" s="110"/>
      <c r="Q948" s="433">
        <v>25</v>
      </c>
      <c r="R948" s="111">
        <v>836.33333333333337</v>
      </c>
      <c r="S948" s="110"/>
      <c r="T948" s="110"/>
      <c r="U948" s="110"/>
      <c r="V948" s="110"/>
      <c r="W948" s="433">
        <v>13</v>
      </c>
      <c r="X948" s="111">
        <v>836.33333333333337</v>
      </c>
      <c r="Y948" s="110"/>
      <c r="Z948" s="110"/>
      <c r="AA948" s="110"/>
      <c r="AB948" s="110"/>
      <c r="AC948" s="433">
        <v>12</v>
      </c>
      <c r="AD948" s="111">
        <v>836.33333333333337</v>
      </c>
      <c r="AE948" s="110"/>
      <c r="AF948" s="110"/>
      <c r="AG948" s="110"/>
      <c r="AH948" s="1048"/>
    </row>
    <row r="949" spans="1:34" ht="45" x14ac:dyDescent="0.25">
      <c r="A949" s="1047"/>
      <c r="B949" s="110" t="s">
        <v>2368</v>
      </c>
      <c r="C949" s="110"/>
      <c r="D949" s="433">
        <v>50</v>
      </c>
      <c r="E949" s="207" t="s">
        <v>1766</v>
      </c>
      <c r="F949" s="1178" t="s">
        <v>4353</v>
      </c>
      <c r="G949" s="1056" t="s">
        <v>4306</v>
      </c>
      <c r="H949" s="433" t="s">
        <v>3478</v>
      </c>
      <c r="I949" s="111">
        <v>50.18</v>
      </c>
      <c r="J949" s="111">
        <v>2509</v>
      </c>
      <c r="K949" s="110"/>
      <c r="L949" s="110"/>
      <c r="M949" s="110"/>
      <c r="N949" s="110"/>
      <c r="O949" s="110"/>
      <c r="P949" s="110"/>
      <c r="Q949" s="433">
        <v>25</v>
      </c>
      <c r="R949" s="111">
        <v>836.33333333333337</v>
      </c>
      <c r="S949" s="110"/>
      <c r="T949" s="110"/>
      <c r="U949" s="110"/>
      <c r="V949" s="110"/>
      <c r="W949" s="433">
        <v>13</v>
      </c>
      <c r="X949" s="111">
        <v>836.33333333333337</v>
      </c>
      <c r="Y949" s="110"/>
      <c r="Z949" s="110"/>
      <c r="AA949" s="110"/>
      <c r="AB949" s="110"/>
      <c r="AC949" s="433">
        <v>12</v>
      </c>
      <c r="AD949" s="111">
        <v>836.33333333333337</v>
      </c>
      <c r="AE949" s="110"/>
      <c r="AF949" s="110"/>
      <c r="AG949" s="110"/>
      <c r="AH949" s="1048"/>
    </row>
    <row r="950" spans="1:34" ht="45" x14ac:dyDescent="0.25">
      <c r="A950" s="1047"/>
      <c r="B950" s="110" t="s">
        <v>2369</v>
      </c>
      <c r="C950" s="110"/>
      <c r="D950" s="433">
        <v>3</v>
      </c>
      <c r="E950" s="207" t="s">
        <v>1722</v>
      </c>
      <c r="F950" s="1178" t="s">
        <v>4353</v>
      </c>
      <c r="G950" s="1056" t="s">
        <v>4306</v>
      </c>
      <c r="H950" s="433" t="s">
        <v>3478</v>
      </c>
      <c r="I950" s="111">
        <v>304.31</v>
      </c>
      <c r="J950" s="111">
        <v>912.93000000000006</v>
      </c>
      <c r="K950" s="110"/>
      <c r="L950" s="110"/>
      <c r="M950" s="110"/>
      <c r="N950" s="110"/>
      <c r="O950" s="110"/>
      <c r="P950" s="110"/>
      <c r="Q950" s="433">
        <v>1</v>
      </c>
      <c r="R950" s="111">
        <v>304.31</v>
      </c>
      <c r="S950" s="110"/>
      <c r="T950" s="110"/>
      <c r="U950" s="110"/>
      <c r="V950" s="110"/>
      <c r="W950" s="433">
        <v>1</v>
      </c>
      <c r="X950" s="111">
        <v>304.31</v>
      </c>
      <c r="Y950" s="110"/>
      <c r="Z950" s="110"/>
      <c r="AA950" s="110"/>
      <c r="AB950" s="110"/>
      <c r="AC950" s="433">
        <v>1</v>
      </c>
      <c r="AD950" s="111">
        <v>304.31</v>
      </c>
      <c r="AE950" s="110"/>
      <c r="AF950" s="110"/>
      <c r="AG950" s="110"/>
      <c r="AH950" s="1048"/>
    </row>
    <row r="951" spans="1:34" ht="45" x14ac:dyDescent="0.25">
      <c r="A951" s="1047"/>
      <c r="B951" s="110" t="s">
        <v>2370</v>
      </c>
      <c r="C951" s="110"/>
      <c r="D951" s="433">
        <v>3</v>
      </c>
      <c r="E951" s="207" t="s">
        <v>1766</v>
      </c>
      <c r="F951" s="1178" t="s">
        <v>4353</v>
      </c>
      <c r="G951" s="1056" t="s">
        <v>4306</v>
      </c>
      <c r="H951" s="433" t="s">
        <v>3478</v>
      </c>
      <c r="I951" s="111">
        <v>281</v>
      </c>
      <c r="J951" s="111">
        <v>843</v>
      </c>
      <c r="K951" s="110"/>
      <c r="L951" s="110"/>
      <c r="M951" s="110"/>
      <c r="N951" s="110"/>
      <c r="O951" s="110"/>
      <c r="P951" s="110"/>
      <c r="Q951" s="433">
        <v>1</v>
      </c>
      <c r="R951" s="111">
        <v>281</v>
      </c>
      <c r="S951" s="110"/>
      <c r="T951" s="110"/>
      <c r="U951" s="110"/>
      <c r="V951" s="110"/>
      <c r="W951" s="433">
        <v>1</v>
      </c>
      <c r="X951" s="111">
        <v>281</v>
      </c>
      <c r="Y951" s="110"/>
      <c r="Z951" s="110"/>
      <c r="AA951" s="110"/>
      <c r="AB951" s="110"/>
      <c r="AC951" s="433">
        <v>1</v>
      </c>
      <c r="AD951" s="111">
        <v>281</v>
      </c>
      <c r="AE951" s="110"/>
      <c r="AF951" s="110"/>
      <c r="AG951" s="110"/>
      <c r="AH951" s="1048"/>
    </row>
    <row r="952" spans="1:34" ht="45" x14ac:dyDescent="0.25">
      <c r="A952" s="1047"/>
      <c r="B952" s="110" t="s">
        <v>2371</v>
      </c>
      <c r="C952" s="110"/>
      <c r="D952" s="433">
        <v>15</v>
      </c>
      <c r="E952" s="207" t="s">
        <v>1766</v>
      </c>
      <c r="F952" s="1178" t="s">
        <v>4353</v>
      </c>
      <c r="G952" s="1056" t="s">
        <v>4306</v>
      </c>
      <c r="H952" s="433" t="s">
        <v>3478</v>
      </c>
      <c r="I952" s="111">
        <v>23.95</v>
      </c>
      <c r="J952" s="111">
        <v>359.25</v>
      </c>
      <c r="K952" s="110"/>
      <c r="L952" s="110"/>
      <c r="M952" s="110"/>
      <c r="N952" s="110"/>
      <c r="O952" s="110"/>
      <c r="P952" s="110"/>
      <c r="Q952" s="433">
        <v>8</v>
      </c>
      <c r="R952" s="111">
        <v>119.75</v>
      </c>
      <c r="S952" s="110"/>
      <c r="T952" s="110"/>
      <c r="U952" s="110"/>
      <c r="V952" s="110"/>
      <c r="W952" s="433">
        <v>4</v>
      </c>
      <c r="X952" s="111">
        <v>119.75</v>
      </c>
      <c r="Y952" s="110"/>
      <c r="Z952" s="110"/>
      <c r="AA952" s="110"/>
      <c r="AB952" s="110"/>
      <c r="AC952" s="433">
        <v>3</v>
      </c>
      <c r="AD952" s="111">
        <v>119.75</v>
      </c>
      <c r="AE952" s="110"/>
      <c r="AF952" s="110"/>
      <c r="AG952" s="110"/>
      <c r="AH952" s="1048"/>
    </row>
    <row r="953" spans="1:34" ht="45" x14ac:dyDescent="0.25">
      <c r="A953" s="1047"/>
      <c r="B953" s="110" t="s">
        <v>2372</v>
      </c>
      <c r="C953" s="110"/>
      <c r="D953" s="433">
        <v>5</v>
      </c>
      <c r="E953" s="207" t="s">
        <v>1766</v>
      </c>
      <c r="F953" s="1178" t="s">
        <v>4353</v>
      </c>
      <c r="G953" s="1056" t="s">
        <v>4306</v>
      </c>
      <c r="H953" s="433" t="s">
        <v>3478</v>
      </c>
      <c r="I953" s="111">
        <v>73.05</v>
      </c>
      <c r="J953" s="111">
        <v>365.25</v>
      </c>
      <c r="K953" s="110"/>
      <c r="L953" s="110"/>
      <c r="M953" s="110"/>
      <c r="N953" s="110"/>
      <c r="O953" s="110"/>
      <c r="P953" s="110"/>
      <c r="Q953" s="433">
        <v>2</v>
      </c>
      <c r="R953" s="111">
        <v>121.75</v>
      </c>
      <c r="S953" s="110"/>
      <c r="T953" s="110"/>
      <c r="U953" s="110"/>
      <c r="V953" s="110"/>
      <c r="W953" s="433">
        <v>2</v>
      </c>
      <c r="X953" s="111">
        <v>121.75</v>
      </c>
      <c r="Y953" s="110"/>
      <c r="Z953" s="110"/>
      <c r="AA953" s="110"/>
      <c r="AB953" s="110"/>
      <c r="AC953" s="433">
        <v>1</v>
      </c>
      <c r="AD953" s="111">
        <v>121.75</v>
      </c>
      <c r="AE953" s="110"/>
      <c r="AF953" s="110"/>
      <c r="AG953" s="110"/>
      <c r="AH953" s="1048"/>
    </row>
    <row r="954" spans="1:34" ht="45" x14ac:dyDescent="0.25">
      <c r="A954" s="1047"/>
      <c r="B954" s="110" t="s">
        <v>2373</v>
      </c>
      <c r="C954" s="110"/>
      <c r="D954" s="433">
        <v>19</v>
      </c>
      <c r="E954" s="207" t="s">
        <v>1766</v>
      </c>
      <c r="F954" s="1178" t="s">
        <v>4353</v>
      </c>
      <c r="G954" s="1056" t="s">
        <v>4306</v>
      </c>
      <c r="H954" s="433" t="s">
        <v>3478</v>
      </c>
      <c r="I954" s="111">
        <v>1198.6500000000001</v>
      </c>
      <c r="J954" s="111">
        <v>22774.350000000002</v>
      </c>
      <c r="K954" s="110"/>
      <c r="L954" s="110"/>
      <c r="M954" s="110"/>
      <c r="N954" s="110"/>
      <c r="O954" s="110"/>
      <c r="P954" s="110"/>
      <c r="Q954" s="433">
        <v>9</v>
      </c>
      <c r="R954" s="111">
        <v>7591.4500000000007</v>
      </c>
      <c r="S954" s="110"/>
      <c r="T954" s="110"/>
      <c r="U954" s="110"/>
      <c r="V954" s="110"/>
      <c r="W954" s="433">
        <v>6</v>
      </c>
      <c r="X954" s="111">
        <v>7591.4500000000007</v>
      </c>
      <c r="Y954" s="110"/>
      <c r="Z954" s="110"/>
      <c r="AA954" s="110"/>
      <c r="AB954" s="110"/>
      <c r="AC954" s="433">
        <v>4</v>
      </c>
      <c r="AD954" s="111">
        <v>7591.4500000000007</v>
      </c>
      <c r="AE954" s="110"/>
      <c r="AF954" s="110"/>
      <c r="AG954" s="110"/>
      <c r="AH954" s="1048"/>
    </row>
    <row r="955" spans="1:34" ht="45" x14ac:dyDescent="0.25">
      <c r="A955" s="1047"/>
      <c r="B955" s="110" t="s">
        <v>2374</v>
      </c>
      <c r="C955" s="110"/>
      <c r="D955" s="433">
        <v>5</v>
      </c>
      <c r="E955" s="207" t="s">
        <v>1766</v>
      </c>
      <c r="F955" s="1178" t="s">
        <v>4353</v>
      </c>
      <c r="G955" s="1056" t="s">
        <v>4306</v>
      </c>
      <c r="H955" s="433" t="s">
        <v>3478</v>
      </c>
      <c r="I955" s="111">
        <v>545.35</v>
      </c>
      <c r="J955" s="111">
        <v>2726.75</v>
      </c>
      <c r="K955" s="110"/>
      <c r="L955" s="110"/>
      <c r="M955" s="110"/>
      <c r="N955" s="110"/>
      <c r="O955" s="110"/>
      <c r="P955" s="110"/>
      <c r="Q955" s="433">
        <v>2</v>
      </c>
      <c r="R955" s="111">
        <v>908.91666666666663</v>
      </c>
      <c r="S955" s="110"/>
      <c r="T955" s="110"/>
      <c r="U955" s="110"/>
      <c r="V955" s="110"/>
      <c r="W955" s="433">
        <v>2</v>
      </c>
      <c r="X955" s="111">
        <v>908.91666666666663</v>
      </c>
      <c r="Y955" s="110"/>
      <c r="Z955" s="110"/>
      <c r="AA955" s="110"/>
      <c r="AB955" s="110"/>
      <c r="AC955" s="433">
        <v>1</v>
      </c>
      <c r="AD955" s="111">
        <v>908.91666666666663</v>
      </c>
      <c r="AE955" s="110"/>
      <c r="AF955" s="110"/>
      <c r="AG955" s="110"/>
      <c r="AH955" s="1048"/>
    </row>
    <row r="956" spans="1:34" ht="45" x14ac:dyDescent="0.25">
      <c r="A956" s="1047"/>
      <c r="B956" s="110" t="s">
        <v>2375</v>
      </c>
      <c r="C956" s="110"/>
      <c r="D956" s="433">
        <v>5</v>
      </c>
      <c r="E956" s="207" t="s">
        <v>1767</v>
      </c>
      <c r="F956" s="1178" t="s">
        <v>4353</v>
      </c>
      <c r="G956" s="1056" t="s">
        <v>4306</v>
      </c>
      <c r="H956" s="433" t="s">
        <v>3478</v>
      </c>
      <c r="I956" s="111">
        <v>675.68</v>
      </c>
      <c r="J956" s="111">
        <v>3378.3999999999996</v>
      </c>
      <c r="K956" s="110"/>
      <c r="L956" s="110"/>
      <c r="M956" s="110"/>
      <c r="N956" s="110"/>
      <c r="O956" s="110"/>
      <c r="P956" s="110"/>
      <c r="Q956" s="433">
        <v>2</v>
      </c>
      <c r="R956" s="111">
        <v>1126.1333333333332</v>
      </c>
      <c r="S956" s="110"/>
      <c r="T956" s="110"/>
      <c r="U956" s="110"/>
      <c r="V956" s="110"/>
      <c r="W956" s="433">
        <v>2</v>
      </c>
      <c r="X956" s="111">
        <v>1126.1333333333332</v>
      </c>
      <c r="Y956" s="110"/>
      <c r="Z956" s="110"/>
      <c r="AA956" s="110"/>
      <c r="AB956" s="110"/>
      <c r="AC956" s="433">
        <v>1</v>
      </c>
      <c r="AD956" s="111">
        <v>1126.1333333333332</v>
      </c>
      <c r="AE956" s="110"/>
      <c r="AF956" s="110"/>
      <c r="AG956" s="110"/>
      <c r="AH956" s="1048"/>
    </row>
    <row r="957" spans="1:34" ht="45" x14ac:dyDescent="0.25">
      <c r="A957" s="1047"/>
      <c r="B957" s="110" t="s">
        <v>2376</v>
      </c>
      <c r="C957" s="110"/>
      <c r="D957" s="433">
        <v>31</v>
      </c>
      <c r="E957" s="207" t="s">
        <v>1766</v>
      </c>
      <c r="F957" s="1178" t="s">
        <v>4353</v>
      </c>
      <c r="G957" s="1056" t="s">
        <v>4306</v>
      </c>
      <c r="H957" s="433" t="s">
        <v>3478</v>
      </c>
      <c r="I957" s="111">
        <v>131.99</v>
      </c>
      <c r="J957" s="111">
        <v>4091.6900000000005</v>
      </c>
      <c r="K957" s="110"/>
      <c r="L957" s="110"/>
      <c r="M957" s="110"/>
      <c r="N957" s="110"/>
      <c r="O957" s="110"/>
      <c r="P957" s="110"/>
      <c r="Q957" s="433">
        <v>15</v>
      </c>
      <c r="R957" s="111">
        <v>1363.8966666666668</v>
      </c>
      <c r="S957" s="110"/>
      <c r="T957" s="110"/>
      <c r="U957" s="110"/>
      <c r="V957" s="110"/>
      <c r="W957" s="433">
        <v>8</v>
      </c>
      <c r="X957" s="111">
        <v>1363.8966666666668</v>
      </c>
      <c r="Y957" s="110"/>
      <c r="Z957" s="110"/>
      <c r="AA957" s="110"/>
      <c r="AB957" s="110"/>
      <c r="AC957" s="433">
        <v>8</v>
      </c>
      <c r="AD957" s="111">
        <v>1363.8966666666668</v>
      </c>
      <c r="AE957" s="110"/>
      <c r="AF957" s="110"/>
      <c r="AG957" s="110"/>
      <c r="AH957" s="1048"/>
    </row>
    <row r="958" spans="1:34" ht="45" x14ac:dyDescent="0.25">
      <c r="A958" s="1047"/>
      <c r="B958" s="110" t="s">
        <v>2377</v>
      </c>
      <c r="C958" s="110"/>
      <c r="D958" s="433">
        <v>100</v>
      </c>
      <c r="E958" s="207" t="s">
        <v>1766</v>
      </c>
      <c r="F958" s="1178" t="s">
        <v>4353</v>
      </c>
      <c r="G958" s="1056" t="s">
        <v>4306</v>
      </c>
      <c r="H958" s="433" t="s">
        <v>3478</v>
      </c>
      <c r="I958" s="111">
        <v>124.25</v>
      </c>
      <c r="J958" s="111">
        <v>12425</v>
      </c>
      <c r="K958" s="110"/>
      <c r="L958" s="110"/>
      <c r="M958" s="110"/>
      <c r="N958" s="110"/>
      <c r="O958" s="110"/>
      <c r="P958" s="110"/>
      <c r="Q958" s="433">
        <v>40</v>
      </c>
      <c r="R958" s="111">
        <v>4141.666666666667</v>
      </c>
      <c r="S958" s="110"/>
      <c r="T958" s="110"/>
      <c r="U958" s="110"/>
      <c r="V958" s="110"/>
      <c r="W958" s="433">
        <v>30</v>
      </c>
      <c r="X958" s="111">
        <v>4141.666666666667</v>
      </c>
      <c r="Y958" s="110"/>
      <c r="Z958" s="110"/>
      <c r="AA958" s="110"/>
      <c r="AB958" s="110"/>
      <c r="AC958" s="433">
        <v>30</v>
      </c>
      <c r="AD958" s="111">
        <v>4141.666666666667</v>
      </c>
      <c r="AE958" s="110"/>
      <c r="AF958" s="110"/>
      <c r="AG958" s="110"/>
      <c r="AH958" s="1048"/>
    </row>
    <row r="959" spans="1:34" ht="45" x14ac:dyDescent="0.25">
      <c r="A959" s="1047"/>
      <c r="B959" s="110" t="s">
        <v>2378</v>
      </c>
      <c r="C959" s="110"/>
      <c r="D959" s="433">
        <v>6</v>
      </c>
      <c r="E959" s="207" t="s">
        <v>1766</v>
      </c>
      <c r="F959" s="1178" t="s">
        <v>4353</v>
      </c>
      <c r="G959" s="1056" t="s">
        <v>4306</v>
      </c>
      <c r="H959" s="433" t="s">
        <v>3478</v>
      </c>
      <c r="I959" s="111">
        <v>279.67</v>
      </c>
      <c r="J959" s="111">
        <v>1678.02</v>
      </c>
      <c r="K959" s="110"/>
      <c r="L959" s="110"/>
      <c r="M959" s="110"/>
      <c r="N959" s="110"/>
      <c r="O959" s="110"/>
      <c r="P959" s="110"/>
      <c r="Q959" s="433">
        <v>2</v>
      </c>
      <c r="R959" s="111">
        <v>559.34</v>
      </c>
      <c r="S959" s="110"/>
      <c r="T959" s="110"/>
      <c r="U959" s="110"/>
      <c r="V959" s="110"/>
      <c r="W959" s="433">
        <v>2</v>
      </c>
      <c r="X959" s="111">
        <v>559.34</v>
      </c>
      <c r="Y959" s="110"/>
      <c r="Z959" s="110"/>
      <c r="AA959" s="110"/>
      <c r="AB959" s="110"/>
      <c r="AC959" s="433">
        <v>2</v>
      </c>
      <c r="AD959" s="111">
        <v>559.34</v>
      </c>
      <c r="AE959" s="110"/>
      <c r="AF959" s="110"/>
      <c r="AG959" s="110"/>
      <c r="AH959" s="1048"/>
    </row>
    <row r="960" spans="1:34" ht="45" x14ac:dyDescent="0.25">
      <c r="A960" s="1047"/>
      <c r="B960" s="110" t="s">
        <v>2379</v>
      </c>
      <c r="C960" s="110"/>
      <c r="D960" s="433">
        <v>25</v>
      </c>
      <c r="E960" s="207" t="s">
        <v>1766</v>
      </c>
      <c r="F960" s="1178" t="s">
        <v>4353</v>
      </c>
      <c r="G960" s="1056" t="s">
        <v>4306</v>
      </c>
      <c r="H960" s="433" t="s">
        <v>3478</v>
      </c>
      <c r="I960" s="111">
        <v>485.16</v>
      </c>
      <c r="J960" s="111">
        <v>12129</v>
      </c>
      <c r="K960" s="110"/>
      <c r="L960" s="110"/>
      <c r="M960" s="110"/>
      <c r="N960" s="110"/>
      <c r="O960" s="110"/>
      <c r="P960" s="110"/>
      <c r="Q960" s="433"/>
      <c r="R960" s="111">
        <v>4043</v>
      </c>
      <c r="S960" s="110"/>
      <c r="T960" s="110"/>
      <c r="U960" s="110"/>
      <c r="V960" s="110"/>
      <c r="W960" s="433"/>
      <c r="X960" s="111">
        <v>4043</v>
      </c>
      <c r="Y960" s="110"/>
      <c r="Z960" s="110"/>
      <c r="AA960" s="110"/>
      <c r="AB960" s="110"/>
      <c r="AC960" s="433"/>
      <c r="AD960" s="111">
        <v>4043</v>
      </c>
      <c r="AE960" s="110"/>
      <c r="AF960" s="110"/>
      <c r="AG960" s="110"/>
      <c r="AH960" s="1048"/>
    </row>
    <row r="961" spans="1:34" ht="45" x14ac:dyDescent="0.25">
      <c r="A961" s="1047"/>
      <c r="B961" s="110" t="s">
        <v>2380</v>
      </c>
      <c r="C961" s="110"/>
      <c r="D961" s="433">
        <v>9</v>
      </c>
      <c r="E961" s="207" t="s">
        <v>1766</v>
      </c>
      <c r="F961" s="1178" t="s">
        <v>4353</v>
      </c>
      <c r="G961" s="1056" t="s">
        <v>4306</v>
      </c>
      <c r="H961" s="433" t="s">
        <v>3478</v>
      </c>
      <c r="I961" s="111">
        <v>181.28</v>
      </c>
      <c r="J961" s="111">
        <v>1631.52</v>
      </c>
      <c r="K961" s="110"/>
      <c r="L961" s="110"/>
      <c r="M961" s="110"/>
      <c r="N961" s="110"/>
      <c r="O961" s="110"/>
      <c r="P961" s="110"/>
      <c r="Q961" s="433">
        <v>4</v>
      </c>
      <c r="R961" s="111">
        <v>543.84</v>
      </c>
      <c r="S961" s="110"/>
      <c r="T961" s="110"/>
      <c r="U961" s="110"/>
      <c r="V961" s="110"/>
      <c r="W961" s="433">
        <v>3</v>
      </c>
      <c r="X961" s="111">
        <v>543.84</v>
      </c>
      <c r="Y961" s="110"/>
      <c r="Z961" s="110"/>
      <c r="AA961" s="110"/>
      <c r="AB961" s="110"/>
      <c r="AC961" s="433">
        <v>2</v>
      </c>
      <c r="AD961" s="111">
        <v>543.84</v>
      </c>
      <c r="AE961" s="110"/>
      <c r="AF961" s="110"/>
      <c r="AG961" s="110"/>
      <c r="AH961" s="1048"/>
    </row>
    <row r="962" spans="1:34" ht="45" x14ac:dyDescent="0.25">
      <c r="A962" s="1047"/>
      <c r="B962" s="110" t="s">
        <v>2381</v>
      </c>
      <c r="C962" s="110"/>
      <c r="D962" s="433">
        <v>10</v>
      </c>
      <c r="E962" s="207" t="s">
        <v>1766</v>
      </c>
      <c r="F962" s="1178" t="s">
        <v>4353</v>
      </c>
      <c r="G962" s="1056" t="s">
        <v>4306</v>
      </c>
      <c r="H962" s="433" t="s">
        <v>3478</v>
      </c>
      <c r="I962" s="111">
        <v>110.5</v>
      </c>
      <c r="J962" s="111">
        <v>1105</v>
      </c>
      <c r="K962" s="110"/>
      <c r="L962" s="110"/>
      <c r="M962" s="110"/>
      <c r="N962" s="110"/>
      <c r="O962" s="110"/>
      <c r="P962" s="110"/>
      <c r="Q962" s="433">
        <v>5</v>
      </c>
      <c r="R962" s="111">
        <v>368.33333333333331</v>
      </c>
      <c r="S962" s="110"/>
      <c r="T962" s="110"/>
      <c r="U962" s="110"/>
      <c r="V962" s="110"/>
      <c r="W962" s="433">
        <v>3</v>
      </c>
      <c r="X962" s="111">
        <v>368.33333333333331</v>
      </c>
      <c r="Y962" s="110"/>
      <c r="Z962" s="110"/>
      <c r="AA962" s="110"/>
      <c r="AB962" s="110"/>
      <c r="AC962" s="433">
        <v>2</v>
      </c>
      <c r="AD962" s="111">
        <v>368.33333333333331</v>
      </c>
      <c r="AE962" s="110"/>
      <c r="AF962" s="110"/>
      <c r="AG962" s="110"/>
      <c r="AH962" s="1048"/>
    </row>
    <row r="963" spans="1:34" ht="45" x14ac:dyDescent="0.25">
      <c r="A963" s="1047"/>
      <c r="B963" s="110" t="s">
        <v>2382</v>
      </c>
      <c r="C963" s="110"/>
      <c r="D963" s="433">
        <v>7</v>
      </c>
      <c r="E963" s="207" t="s">
        <v>1766</v>
      </c>
      <c r="F963" s="1178" t="s">
        <v>4353</v>
      </c>
      <c r="G963" s="1056" t="s">
        <v>4306</v>
      </c>
      <c r="H963" s="433" t="s">
        <v>3478</v>
      </c>
      <c r="I963" s="111">
        <v>230.87999999999997</v>
      </c>
      <c r="J963" s="111">
        <v>1616.1599999999999</v>
      </c>
      <c r="K963" s="110"/>
      <c r="L963" s="110"/>
      <c r="M963" s="110"/>
      <c r="N963" s="110"/>
      <c r="O963" s="110"/>
      <c r="P963" s="110"/>
      <c r="Q963" s="433">
        <v>3</v>
      </c>
      <c r="R963" s="111">
        <v>538.71999999999991</v>
      </c>
      <c r="S963" s="110"/>
      <c r="T963" s="110"/>
      <c r="U963" s="110"/>
      <c r="V963" s="110"/>
      <c r="W963" s="433">
        <v>2</v>
      </c>
      <c r="X963" s="111">
        <v>538.71999999999991</v>
      </c>
      <c r="Y963" s="110"/>
      <c r="Z963" s="110"/>
      <c r="AA963" s="110"/>
      <c r="AB963" s="110"/>
      <c r="AC963" s="433">
        <v>2</v>
      </c>
      <c r="AD963" s="111">
        <v>538.71999999999991</v>
      </c>
      <c r="AE963" s="110"/>
      <c r="AF963" s="110"/>
      <c r="AG963" s="110"/>
      <c r="AH963" s="1048"/>
    </row>
    <row r="964" spans="1:34" ht="45" x14ac:dyDescent="0.25">
      <c r="A964" s="1047"/>
      <c r="B964" s="110" t="s">
        <v>2383</v>
      </c>
      <c r="C964" s="110"/>
      <c r="D964" s="433">
        <v>4</v>
      </c>
      <c r="E964" s="207" t="s">
        <v>1767</v>
      </c>
      <c r="F964" s="1178" t="s">
        <v>4353</v>
      </c>
      <c r="G964" s="1056" t="s">
        <v>4306</v>
      </c>
      <c r="H964" s="433" t="s">
        <v>3478</v>
      </c>
      <c r="I964" s="111">
        <v>230.88</v>
      </c>
      <c r="J964" s="111">
        <v>923.52</v>
      </c>
      <c r="K964" s="110"/>
      <c r="L964" s="110"/>
      <c r="M964" s="110"/>
      <c r="N964" s="110"/>
      <c r="O964" s="110"/>
      <c r="P964" s="110"/>
      <c r="Q964" s="433">
        <v>2</v>
      </c>
      <c r="R964" s="111">
        <v>307.83999999999997</v>
      </c>
      <c r="S964" s="110"/>
      <c r="T964" s="110"/>
      <c r="U964" s="110"/>
      <c r="V964" s="110"/>
      <c r="W964" s="433">
        <v>1</v>
      </c>
      <c r="X964" s="111">
        <v>307.83999999999997</v>
      </c>
      <c r="Y964" s="110"/>
      <c r="Z964" s="110"/>
      <c r="AA964" s="110"/>
      <c r="AB964" s="110"/>
      <c r="AC964" s="433">
        <v>1</v>
      </c>
      <c r="AD964" s="111">
        <v>307.83999999999997</v>
      </c>
      <c r="AE964" s="110"/>
      <c r="AF964" s="110"/>
      <c r="AG964" s="110"/>
      <c r="AH964" s="1048"/>
    </row>
    <row r="965" spans="1:34" ht="45" x14ac:dyDescent="0.25">
      <c r="A965" s="1047"/>
      <c r="B965" s="110" t="s">
        <v>2384</v>
      </c>
      <c r="C965" s="110"/>
      <c r="D965" s="433">
        <v>4</v>
      </c>
      <c r="E965" s="207" t="s">
        <v>1766</v>
      </c>
      <c r="F965" s="1178" t="s">
        <v>4353</v>
      </c>
      <c r="G965" s="1056" t="s">
        <v>4306</v>
      </c>
      <c r="H965" s="433" t="s">
        <v>3478</v>
      </c>
      <c r="I965" s="111">
        <v>230.88</v>
      </c>
      <c r="J965" s="111">
        <v>923.52</v>
      </c>
      <c r="K965" s="110"/>
      <c r="L965" s="110"/>
      <c r="M965" s="110"/>
      <c r="N965" s="110"/>
      <c r="O965" s="110"/>
      <c r="P965" s="110"/>
      <c r="Q965" s="433">
        <v>2</v>
      </c>
      <c r="R965" s="111">
        <v>307.83999999999997</v>
      </c>
      <c r="S965" s="110"/>
      <c r="T965" s="110"/>
      <c r="U965" s="110"/>
      <c r="V965" s="110"/>
      <c r="W965" s="433">
        <v>1</v>
      </c>
      <c r="X965" s="111">
        <v>307.83999999999997</v>
      </c>
      <c r="Y965" s="110"/>
      <c r="Z965" s="110"/>
      <c r="AA965" s="110"/>
      <c r="AB965" s="110"/>
      <c r="AC965" s="433">
        <v>1</v>
      </c>
      <c r="AD965" s="111">
        <v>307.83999999999997</v>
      </c>
      <c r="AE965" s="110"/>
      <c r="AF965" s="110"/>
      <c r="AG965" s="110"/>
      <c r="AH965" s="1048"/>
    </row>
    <row r="966" spans="1:34" ht="45" x14ac:dyDescent="0.25">
      <c r="A966" s="1047"/>
      <c r="B966" s="110" t="s">
        <v>2385</v>
      </c>
      <c r="C966" s="110"/>
      <c r="D966" s="433">
        <v>100</v>
      </c>
      <c r="E966" s="207" t="s">
        <v>1766</v>
      </c>
      <c r="F966" s="1178" t="s">
        <v>4353</v>
      </c>
      <c r="G966" s="1056" t="s">
        <v>4306</v>
      </c>
      <c r="H966" s="433" t="s">
        <v>3478</v>
      </c>
      <c r="I966" s="111">
        <v>118.8</v>
      </c>
      <c r="J966" s="111">
        <v>11880</v>
      </c>
      <c r="K966" s="110"/>
      <c r="L966" s="110"/>
      <c r="M966" s="110"/>
      <c r="N966" s="110"/>
      <c r="O966" s="110"/>
      <c r="P966" s="110"/>
      <c r="Q966" s="433">
        <v>40</v>
      </c>
      <c r="R966" s="111">
        <v>3960</v>
      </c>
      <c r="S966" s="110"/>
      <c r="T966" s="110"/>
      <c r="U966" s="110"/>
      <c r="V966" s="110"/>
      <c r="W966" s="433">
        <v>30</v>
      </c>
      <c r="X966" s="111">
        <v>3960</v>
      </c>
      <c r="Y966" s="110"/>
      <c r="Z966" s="110"/>
      <c r="AA966" s="110"/>
      <c r="AB966" s="110"/>
      <c r="AC966" s="433">
        <v>30</v>
      </c>
      <c r="AD966" s="111">
        <v>3960</v>
      </c>
      <c r="AE966" s="110"/>
      <c r="AF966" s="110"/>
      <c r="AG966" s="110"/>
      <c r="AH966" s="1048"/>
    </row>
    <row r="967" spans="1:34" ht="45" x14ac:dyDescent="0.25">
      <c r="A967" s="1047"/>
      <c r="B967" s="110" t="s">
        <v>2386</v>
      </c>
      <c r="C967" s="110"/>
      <c r="D967" s="433">
        <v>100</v>
      </c>
      <c r="E967" s="207" t="s">
        <v>1722</v>
      </c>
      <c r="F967" s="1178" t="s">
        <v>4353</v>
      </c>
      <c r="G967" s="1056" t="s">
        <v>4306</v>
      </c>
      <c r="H967" s="433" t="s">
        <v>3478</v>
      </c>
      <c r="I967" s="111">
        <v>118.8</v>
      </c>
      <c r="J967" s="111">
        <v>11880</v>
      </c>
      <c r="K967" s="110"/>
      <c r="L967" s="110"/>
      <c r="M967" s="110"/>
      <c r="N967" s="110"/>
      <c r="O967" s="110"/>
      <c r="P967" s="110"/>
      <c r="Q967" s="433">
        <v>40</v>
      </c>
      <c r="R967" s="111">
        <v>3960</v>
      </c>
      <c r="S967" s="110"/>
      <c r="T967" s="110"/>
      <c r="U967" s="110"/>
      <c r="V967" s="110"/>
      <c r="W967" s="433">
        <v>30</v>
      </c>
      <c r="X967" s="111">
        <v>3960</v>
      </c>
      <c r="Y967" s="110"/>
      <c r="Z967" s="110"/>
      <c r="AA967" s="110"/>
      <c r="AB967" s="110"/>
      <c r="AC967" s="433">
        <v>30</v>
      </c>
      <c r="AD967" s="111">
        <v>3960</v>
      </c>
      <c r="AE967" s="110"/>
      <c r="AF967" s="110"/>
      <c r="AG967" s="110"/>
      <c r="AH967" s="1048"/>
    </row>
    <row r="968" spans="1:34" ht="45" x14ac:dyDescent="0.25">
      <c r="A968" s="1047"/>
      <c r="B968" s="110" t="s">
        <v>2387</v>
      </c>
      <c r="C968" s="110"/>
      <c r="D968" s="433">
        <v>8</v>
      </c>
      <c r="E968" s="207" t="s">
        <v>1722</v>
      </c>
      <c r="F968" s="1178" t="s">
        <v>4353</v>
      </c>
      <c r="G968" s="1056" t="s">
        <v>4306</v>
      </c>
      <c r="H968" s="433" t="s">
        <v>3478</v>
      </c>
      <c r="I968" s="111">
        <v>300</v>
      </c>
      <c r="J968" s="111">
        <v>2400</v>
      </c>
      <c r="K968" s="110"/>
      <c r="L968" s="110"/>
      <c r="M968" s="110"/>
      <c r="N968" s="110"/>
      <c r="O968" s="110"/>
      <c r="P968" s="110"/>
      <c r="Q968" s="433">
        <v>3</v>
      </c>
      <c r="R968" s="111">
        <v>800</v>
      </c>
      <c r="S968" s="110"/>
      <c r="T968" s="110"/>
      <c r="U968" s="110"/>
      <c r="V968" s="110"/>
      <c r="W968" s="433">
        <v>3</v>
      </c>
      <c r="X968" s="111">
        <v>800</v>
      </c>
      <c r="Y968" s="110"/>
      <c r="Z968" s="110"/>
      <c r="AA968" s="110"/>
      <c r="AB968" s="110"/>
      <c r="AC968" s="433">
        <v>2</v>
      </c>
      <c r="AD968" s="111">
        <v>800</v>
      </c>
      <c r="AE968" s="110"/>
      <c r="AF968" s="110"/>
      <c r="AG968" s="110"/>
      <c r="AH968" s="1048"/>
    </row>
    <row r="969" spans="1:34" ht="45" x14ac:dyDescent="0.25">
      <c r="A969" s="1047"/>
      <c r="B969" s="110" t="s">
        <v>4185</v>
      </c>
      <c r="C969" s="110"/>
      <c r="D969" s="433">
        <v>2</v>
      </c>
      <c r="E969" s="207" t="s">
        <v>1766</v>
      </c>
      <c r="F969" s="1178" t="s">
        <v>4353</v>
      </c>
      <c r="G969" s="1056" t="s">
        <v>4306</v>
      </c>
      <c r="H969" s="433" t="s">
        <v>3478</v>
      </c>
      <c r="I969" s="111">
        <v>209</v>
      </c>
      <c r="J969" s="111">
        <v>418</v>
      </c>
      <c r="K969" s="110"/>
      <c r="L969" s="110"/>
      <c r="M969" s="110"/>
      <c r="N969" s="110"/>
      <c r="O969" s="110"/>
      <c r="P969" s="110"/>
      <c r="Q969" s="433">
        <v>1</v>
      </c>
      <c r="R969" s="111">
        <v>139.33333333333334</v>
      </c>
      <c r="S969" s="110"/>
      <c r="T969" s="110"/>
      <c r="U969" s="110"/>
      <c r="V969" s="110"/>
      <c r="W969" s="433">
        <v>1</v>
      </c>
      <c r="X969" s="111">
        <v>139.33333333333334</v>
      </c>
      <c r="Y969" s="110"/>
      <c r="Z969" s="110"/>
      <c r="AA969" s="110"/>
      <c r="AB969" s="110"/>
      <c r="AC969" s="433">
        <v>0</v>
      </c>
      <c r="AD969" s="111">
        <v>139.33333333333334</v>
      </c>
      <c r="AE969" s="110"/>
      <c r="AF969" s="110"/>
      <c r="AG969" s="110"/>
      <c r="AH969" s="1048"/>
    </row>
    <row r="970" spans="1:34" ht="45" x14ac:dyDescent="0.25">
      <c r="A970" s="1047"/>
      <c r="B970" s="110" t="s">
        <v>2390</v>
      </c>
      <c r="C970" s="110"/>
      <c r="D970" s="433">
        <v>27</v>
      </c>
      <c r="E970" s="207" t="s">
        <v>1772</v>
      </c>
      <c r="F970" s="1178" t="s">
        <v>4353</v>
      </c>
      <c r="G970" s="1056" t="s">
        <v>4306</v>
      </c>
      <c r="H970" s="433" t="s">
        <v>3478</v>
      </c>
      <c r="I970" s="111">
        <v>66.47</v>
      </c>
      <c r="J970" s="111">
        <v>1794.69</v>
      </c>
      <c r="K970" s="110"/>
      <c r="L970" s="110"/>
      <c r="M970" s="110"/>
      <c r="N970" s="110"/>
      <c r="O970" s="110"/>
      <c r="P970" s="110"/>
      <c r="Q970" s="433">
        <v>14</v>
      </c>
      <c r="R970" s="111">
        <v>598.23</v>
      </c>
      <c r="S970" s="110"/>
      <c r="T970" s="110"/>
      <c r="U970" s="110"/>
      <c r="V970" s="110"/>
      <c r="W970" s="433">
        <v>8</v>
      </c>
      <c r="X970" s="111">
        <v>598.23</v>
      </c>
      <c r="Y970" s="110"/>
      <c r="Z970" s="110"/>
      <c r="AA970" s="110"/>
      <c r="AB970" s="110"/>
      <c r="AC970" s="433">
        <v>5</v>
      </c>
      <c r="AD970" s="111">
        <v>598.23</v>
      </c>
      <c r="AE970" s="110"/>
      <c r="AF970" s="110"/>
      <c r="AG970" s="110"/>
      <c r="AH970" s="1048"/>
    </row>
    <row r="971" spans="1:34" ht="45" x14ac:dyDescent="0.25">
      <c r="A971" s="1047"/>
      <c r="B971" s="110" t="s">
        <v>2391</v>
      </c>
      <c r="C971" s="110"/>
      <c r="D971" s="433">
        <v>6</v>
      </c>
      <c r="E971" s="207" t="s">
        <v>1766</v>
      </c>
      <c r="F971" s="1178" t="s">
        <v>4353</v>
      </c>
      <c r="G971" s="1056" t="s">
        <v>4306</v>
      </c>
      <c r="H971" s="433" t="s">
        <v>3478</v>
      </c>
      <c r="I971" s="111">
        <v>92.18</v>
      </c>
      <c r="J971" s="111">
        <v>553.08000000000004</v>
      </c>
      <c r="K971" s="110"/>
      <c r="L971" s="110"/>
      <c r="M971" s="110"/>
      <c r="N971" s="110"/>
      <c r="O971" s="110"/>
      <c r="P971" s="110"/>
      <c r="Q971" s="433">
        <v>2</v>
      </c>
      <c r="R971" s="111">
        <v>184.36</v>
      </c>
      <c r="S971" s="110"/>
      <c r="T971" s="110"/>
      <c r="U971" s="110"/>
      <c r="V971" s="110"/>
      <c r="W971" s="433">
        <v>2</v>
      </c>
      <c r="X971" s="111">
        <v>184.36</v>
      </c>
      <c r="Y971" s="110"/>
      <c r="Z971" s="110"/>
      <c r="AA971" s="110"/>
      <c r="AB971" s="110"/>
      <c r="AC971" s="433">
        <v>2</v>
      </c>
      <c r="AD971" s="111">
        <v>184.36</v>
      </c>
      <c r="AE971" s="110"/>
      <c r="AF971" s="110"/>
      <c r="AG971" s="110"/>
      <c r="AH971" s="1048"/>
    </row>
    <row r="972" spans="1:34" ht="45" x14ac:dyDescent="0.25">
      <c r="A972" s="1047"/>
      <c r="B972" s="110" t="s">
        <v>2392</v>
      </c>
      <c r="C972" s="110"/>
      <c r="D972" s="433">
        <v>5</v>
      </c>
      <c r="E972" s="207" t="s">
        <v>1766</v>
      </c>
      <c r="F972" s="1178" t="s">
        <v>4353</v>
      </c>
      <c r="G972" s="1056" t="s">
        <v>4306</v>
      </c>
      <c r="H972" s="433" t="s">
        <v>3478</v>
      </c>
      <c r="I972" s="111">
        <v>114.45</v>
      </c>
      <c r="J972" s="111">
        <v>572.25</v>
      </c>
      <c r="K972" s="110"/>
      <c r="L972" s="110"/>
      <c r="M972" s="110"/>
      <c r="N972" s="110"/>
      <c r="O972" s="110"/>
      <c r="P972" s="110"/>
      <c r="Q972" s="433">
        <v>2</v>
      </c>
      <c r="R972" s="111">
        <v>190.75</v>
      </c>
      <c r="S972" s="110"/>
      <c r="T972" s="110"/>
      <c r="U972" s="110"/>
      <c r="V972" s="110"/>
      <c r="W972" s="433">
        <v>2</v>
      </c>
      <c r="X972" s="111">
        <v>190.75</v>
      </c>
      <c r="Y972" s="110"/>
      <c r="Z972" s="110"/>
      <c r="AA972" s="110"/>
      <c r="AB972" s="110"/>
      <c r="AC972" s="433">
        <v>1</v>
      </c>
      <c r="AD972" s="111">
        <v>190.75</v>
      </c>
      <c r="AE972" s="110"/>
      <c r="AF972" s="110"/>
      <c r="AG972" s="110"/>
      <c r="AH972" s="1048"/>
    </row>
    <row r="973" spans="1:34" ht="45" x14ac:dyDescent="0.25">
      <c r="A973" s="1047"/>
      <c r="B973" s="110" t="s">
        <v>2393</v>
      </c>
      <c r="C973" s="110"/>
      <c r="D973" s="433">
        <v>3</v>
      </c>
      <c r="E973" s="207" t="s">
        <v>1766</v>
      </c>
      <c r="F973" s="1178" t="s">
        <v>4353</v>
      </c>
      <c r="G973" s="1056" t="s">
        <v>4306</v>
      </c>
      <c r="H973" s="433" t="s">
        <v>3478</v>
      </c>
      <c r="I973" s="111">
        <v>334.13</v>
      </c>
      <c r="J973" s="111">
        <v>1002.39</v>
      </c>
      <c r="K973" s="110"/>
      <c r="L973" s="110"/>
      <c r="M973" s="110"/>
      <c r="N973" s="110"/>
      <c r="O973" s="110"/>
      <c r="P973" s="110"/>
      <c r="Q973" s="433">
        <v>1</v>
      </c>
      <c r="R973" s="111">
        <v>334.13</v>
      </c>
      <c r="S973" s="110"/>
      <c r="T973" s="110"/>
      <c r="U973" s="110"/>
      <c r="V973" s="110"/>
      <c r="W973" s="433">
        <v>1</v>
      </c>
      <c r="X973" s="111">
        <v>334.13</v>
      </c>
      <c r="Y973" s="110"/>
      <c r="Z973" s="110"/>
      <c r="AA973" s="110"/>
      <c r="AB973" s="110"/>
      <c r="AC973" s="433">
        <v>1</v>
      </c>
      <c r="AD973" s="111">
        <v>334.13</v>
      </c>
      <c r="AE973" s="110"/>
      <c r="AF973" s="110"/>
      <c r="AG973" s="110"/>
      <c r="AH973" s="1048"/>
    </row>
    <row r="974" spans="1:34" ht="45" x14ac:dyDescent="0.25">
      <c r="A974" s="1047"/>
      <c r="B974" s="110" t="s">
        <v>2394</v>
      </c>
      <c r="C974" s="110"/>
      <c r="D974" s="433">
        <v>3</v>
      </c>
      <c r="E974" s="207" t="s">
        <v>1766</v>
      </c>
      <c r="F974" s="1178" t="s">
        <v>4353</v>
      </c>
      <c r="G974" s="1056" t="s">
        <v>4306</v>
      </c>
      <c r="H974" s="433" t="s">
        <v>3478</v>
      </c>
      <c r="I974" s="111">
        <v>334.13</v>
      </c>
      <c r="J974" s="111">
        <v>1002.39</v>
      </c>
      <c r="K974" s="110"/>
      <c r="L974" s="110"/>
      <c r="M974" s="110"/>
      <c r="N974" s="110"/>
      <c r="O974" s="110"/>
      <c r="P974" s="110"/>
      <c r="Q974" s="433">
        <v>1</v>
      </c>
      <c r="R974" s="111">
        <v>334.13</v>
      </c>
      <c r="S974" s="110"/>
      <c r="T974" s="110"/>
      <c r="U974" s="110"/>
      <c r="V974" s="110"/>
      <c r="W974" s="433">
        <v>1</v>
      </c>
      <c r="X974" s="111">
        <v>334.13</v>
      </c>
      <c r="Y974" s="110"/>
      <c r="Z974" s="110"/>
      <c r="AA974" s="110"/>
      <c r="AB974" s="110"/>
      <c r="AC974" s="433">
        <v>1</v>
      </c>
      <c r="AD974" s="111">
        <v>334.13</v>
      </c>
      <c r="AE974" s="110"/>
      <c r="AF974" s="110"/>
      <c r="AG974" s="110"/>
      <c r="AH974" s="1048"/>
    </row>
    <row r="975" spans="1:34" ht="45" x14ac:dyDescent="0.25">
      <c r="A975" s="1047"/>
      <c r="B975" s="110" t="s">
        <v>2395</v>
      </c>
      <c r="C975" s="110"/>
      <c r="D975" s="433">
        <v>9</v>
      </c>
      <c r="E975" s="207" t="s">
        <v>1766</v>
      </c>
      <c r="F975" s="1178" t="s">
        <v>4353</v>
      </c>
      <c r="G975" s="1056" t="s">
        <v>4306</v>
      </c>
      <c r="H975" s="433" t="s">
        <v>3478</v>
      </c>
      <c r="I975" s="111">
        <v>2143.62</v>
      </c>
      <c r="J975" s="111">
        <v>19292.579999999998</v>
      </c>
      <c r="K975" s="110"/>
      <c r="L975" s="110"/>
      <c r="M975" s="110"/>
      <c r="N975" s="110"/>
      <c r="O975" s="110"/>
      <c r="P975" s="110"/>
      <c r="Q975" s="433">
        <v>4</v>
      </c>
      <c r="R975" s="111">
        <v>6430.86</v>
      </c>
      <c r="S975" s="110"/>
      <c r="T975" s="110"/>
      <c r="U975" s="110"/>
      <c r="V975" s="110"/>
      <c r="W975" s="433">
        <v>3</v>
      </c>
      <c r="X975" s="111">
        <v>6430.86</v>
      </c>
      <c r="Y975" s="110"/>
      <c r="Z975" s="110"/>
      <c r="AA975" s="110"/>
      <c r="AB975" s="110"/>
      <c r="AC975" s="433">
        <v>2</v>
      </c>
      <c r="AD975" s="111">
        <v>6430.86</v>
      </c>
      <c r="AE975" s="110"/>
      <c r="AF975" s="110"/>
      <c r="AG975" s="110"/>
      <c r="AH975" s="1048"/>
    </row>
    <row r="976" spans="1:34" ht="45" x14ac:dyDescent="0.25">
      <c r="A976" s="1047"/>
      <c r="B976" s="110" t="s">
        <v>2396</v>
      </c>
      <c r="C976" s="110"/>
      <c r="D976" s="433">
        <v>4</v>
      </c>
      <c r="E976" s="207" t="s">
        <v>1766</v>
      </c>
      <c r="F976" s="1178" t="s">
        <v>4353</v>
      </c>
      <c r="G976" s="1056" t="s">
        <v>4306</v>
      </c>
      <c r="H976" s="433" t="s">
        <v>3478</v>
      </c>
      <c r="I976" s="111">
        <v>486.26</v>
      </c>
      <c r="J976" s="111">
        <v>1945.04</v>
      </c>
      <c r="K976" s="110"/>
      <c r="L976" s="110"/>
      <c r="M976" s="110"/>
      <c r="N976" s="110"/>
      <c r="O976" s="110"/>
      <c r="P976" s="110"/>
      <c r="Q976" s="433">
        <v>2</v>
      </c>
      <c r="R976" s="111">
        <v>648.34666666666669</v>
      </c>
      <c r="S976" s="110"/>
      <c r="T976" s="110"/>
      <c r="U976" s="110"/>
      <c r="V976" s="110"/>
      <c r="W976" s="433">
        <v>1</v>
      </c>
      <c r="X976" s="111">
        <v>648.34666666666669</v>
      </c>
      <c r="Y976" s="110"/>
      <c r="Z976" s="110"/>
      <c r="AA976" s="110"/>
      <c r="AB976" s="110"/>
      <c r="AC976" s="433">
        <v>1</v>
      </c>
      <c r="AD976" s="111">
        <v>648.34666666666669</v>
      </c>
      <c r="AE976" s="110"/>
      <c r="AF976" s="110"/>
      <c r="AG976" s="110"/>
      <c r="AH976" s="1048"/>
    </row>
    <row r="977" spans="1:34" ht="45" x14ac:dyDescent="0.25">
      <c r="A977" s="1047"/>
      <c r="B977" s="110" t="s">
        <v>2397</v>
      </c>
      <c r="C977" s="110"/>
      <c r="D977" s="433">
        <v>8</v>
      </c>
      <c r="E977" s="207" t="s">
        <v>1766</v>
      </c>
      <c r="F977" s="1178" t="s">
        <v>4353</v>
      </c>
      <c r="G977" s="1056" t="s">
        <v>4306</v>
      </c>
      <c r="H977" s="433" t="s">
        <v>3478</v>
      </c>
      <c r="I977" s="111">
        <v>460</v>
      </c>
      <c r="J977" s="111">
        <v>3680</v>
      </c>
      <c r="K977" s="110"/>
      <c r="L977" s="110"/>
      <c r="M977" s="110"/>
      <c r="N977" s="110"/>
      <c r="O977" s="110"/>
      <c r="P977" s="110"/>
      <c r="Q977" s="433">
        <v>3</v>
      </c>
      <c r="R977" s="111">
        <v>1226.6666666666667</v>
      </c>
      <c r="S977" s="110"/>
      <c r="T977" s="110"/>
      <c r="U977" s="110"/>
      <c r="V977" s="110"/>
      <c r="W977" s="433">
        <v>3</v>
      </c>
      <c r="X977" s="111">
        <v>1226.6666666666667</v>
      </c>
      <c r="Y977" s="110"/>
      <c r="Z977" s="110"/>
      <c r="AA977" s="110"/>
      <c r="AB977" s="110"/>
      <c r="AC977" s="433">
        <v>2</v>
      </c>
      <c r="AD977" s="111">
        <v>1226.6666666666667</v>
      </c>
      <c r="AE977" s="110"/>
      <c r="AF977" s="110"/>
      <c r="AG977" s="110"/>
      <c r="AH977" s="1048"/>
    </row>
    <row r="978" spans="1:34" ht="45" x14ac:dyDescent="0.25">
      <c r="A978" s="1047"/>
      <c r="B978" s="110" t="s">
        <v>2399</v>
      </c>
      <c r="C978" s="110"/>
      <c r="D978" s="433">
        <v>4</v>
      </c>
      <c r="E978" s="207" t="s">
        <v>1766</v>
      </c>
      <c r="F978" s="1178" t="s">
        <v>4353</v>
      </c>
      <c r="G978" s="1056" t="s">
        <v>4306</v>
      </c>
      <c r="H978" s="433" t="s">
        <v>3478</v>
      </c>
      <c r="I978" s="111">
        <v>200.48</v>
      </c>
      <c r="J978" s="111">
        <v>801.92</v>
      </c>
      <c r="K978" s="110"/>
      <c r="L978" s="110"/>
      <c r="M978" s="110"/>
      <c r="N978" s="110"/>
      <c r="O978" s="110"/>
      <c r="P978" s="110"/>
      <c r="Q978" s="433">
        <v>2</v>
      </c>
      <c r="R978" s="111">
        <v>267.30666666666667</v>
      </c>
      <c r="S978" s="110"/>
      <c r="T978" s="110"/>
      <c r="U978" s="110"/>
      <c r="V978" s="110"/>
      <c r="W978" s="433">
        <v>1</v>
      </c>
      <c r="X978" s="111">
        <v>267.30666666666667</v>
      </c>
      <c r="Y978" s="110"/>
      <c r="Z978" s="110"/>
      <c r="AA978" s="110"/>
      <c r="AB978" s="110"/>
      <c r="AC978" s="433">
        <v>1</v>
      </c>
      <c r="AD978" s="111">
        <v>267.30666666666667</v>
      </c>
      <c r="AE978" s="110"/>
      <c r="AF978" s="110"/>
      <c r="AG978" s="110"/>
      <c r="AH978" s="1048"/>
    </row>
    <row r="979" spans="1:34" ht="45" x14ac:dyDescent="0.25">
      <c r="A979" s="1047"/>
      <c r="B979" s="110" t="s">
        <v>2400</v>
      </c>
      <c r="C979" s="110"/>
      <c r="D979" s="433">
        <v>4</v>
      </c>
      <c r="E979" s="207" t="s">
        <v>1766</v>
      </c>
      <c r="F979" s="1178" t="s">
        <v>4353</v>
      </c>
      <c r="G979" s="1056" t="s">
        <v>4306</v>
      </c>
      <c r="H979" s="433" t="s">
        <v>3478</v>
      </c>
      <c r="I979" s="111">
        <v>171.52</v>
      </c>
      <c r="J979" s="111">
        <v>686.08</v>
      </c>
      <c r="K979" s="110"/>
      <c r="L979" s="110"/>
      <c r="M979" s="110"/>
      <c r="N979" s="110"/>
      <c r="O979" s="110"/>
      <c r="P979" s="110"/>
      <c r="Q979" s="433">
        <v>2</v>
      </c>
      <c r="R979" s="111">
        <v>228.69333333333336</v>
      </c>
      <c r="S979" s="110"/>
      <c r="T979" s="110"/>
      <c r="U979" s="110"/>
      <c r="V979" s="110"/>
      <c r="W979" s="433">
        <v>1</v>
      </c>
      <c r="X979" s="111">
        <v>228.69333333333336</v>
      </c>
      <c r="Y979" s="110"/>
      <c r="Z979" s="110"/>
      <c r="AA979" s="110"/>
      <c r="AB979" s="110"/>
      <c r="AC979" s="433">
        <v>1</v>
      </c>
      <c r="AD979" s="111">
        <v>228.69333333333336</v>
      </c>
      <c r="AE979" s="110"/>
      <c r="AF979" s="110"/>
      <c r="AG979" s="110"/>
      <c r="AH979" s="1048"/>
    </row>
    <row r="980" spans="1:34" ht="45" x14ac:dyDescent="0.25">
      <c r="A980" s="1047"/>
      <c r="B980" s="110" t="s">
        <v>2401</v>
      </c>
      <c r="C980" s="110"/>
      <c r="D980" s="433">
        <v>4</v>
      </c>
      <c r="E980" s="207" t="s">
        <v>1766</v>
      </c>
      <c r="F980" s="1178" t="s">
        <v>4353</v>
      </c>
      <c r="G980" s="1056" t="s">
        <v>4306</v>
      </c>
      <c r="H980" s="433" t="s">
        <v>3478</v>
      </c>
      <c r="I980" s="111">
        <v>185.55</v>
      </c>
      <c r="J980" s="111">
        <v>742.2</v>
      </c>
      <c r="K980" s="110"/>
      <c r="L980" s="110"/>
      <c r="M980" s="110"/>
      <c r="N980" s="110"/>
      <c r="O980" s="110"/>
      <c r="P980" s="110"/>
      <c r="Q980" s="433">
        <v>2</v>
      </c>
      <c r="R980" s="111">
        <v>247.4</v>
      </c>
      <c r="S980" s="110"/>
      <c r="T980" s="110"/>
      <c r="U980" s="110"/>
      <c r="V980" s="110"/>
      <c r="W980" s="433">
        <v>1</v>
      </c>
      <c r="X980" s="111">
        <v>247.4</v>
      </c>
      <c r="Y980" s="110"/>
      <c r="Z980" s="110"/>
      <c r="AA980" s="110"/>
      <c r="AB980" s="110"/>
      <c r="AC980" s="433">
        <v>1</v>
      </c>
      <c r="AD980" s="111">
        <v>247.4</v>
      </c>
      <c r="AE980" s="110"/>
      <c r="AF980" s="110"/>
      <c r="AG980" s="110"/>
      <c r="AH980" s="1048"/>
    </row>
    <row r="981" spans="1:34" ht="45" x14ac:dyDescent="0.25">
      <c r="A981" s="1047"/>
      <c r="B981" s="110" t="s">
        <v>2402</v>
      </c>
      <c r="C981" s="110"/>
      <c r="D981" s="433">
        <v>1</v>
      </c>
      <c r="E981" s="207" t="s">
        <v>1766</v>
      </c>
      <c r="F981" s="1178" t="s">
        <v>4353</v>
      </c>
      <c r="G981" s="1056" t="s">
        <v>4306</v>
      </c>
      <c r="H981" s="433" t="s">
        <v>3478</v>
      </c>
      <c r="I981" s="111">
        <v>2000</v>
      </c>
      <c r="J981" s="111">
        <v>2000</v>
      </c>
      <c r="K981" s="110"/>
      <c r="L981" s="110"/>
      <c r="M981" s="110"/>
      <c r="N981" s="110"/>
      <c r="O981" s="110"/>
      <c r="P981" s="110"/>
      <c r="Q981" s="433">
        <v>1</v>
      </c>
      <c r="R981" s="111">
        <v>666.66666666666663</v>
      </c>
      <c r="S981" s="110"/>
      <c r="T981" s="110"/>
      <c r="U981" s="110"/>
      <c r="V981" s="110"/>
      <c r="W981" s="433">
        <v>0</v>
      </c>
      <c r="X981" s="111">
        <v>666.66666666666663</v>
      </c>
      <c r="Y981" s="110"/>
      <c r="Z981" s="110"/>
      <c r="AA981" s="110"/>
      <c r="AB981" s="110"/>
      <c r="AC981" s="433">
        <v>0</v>
      </c>
      <c r="AD981" s="111">
        <v>666.66666666666663</v>
      </c>
      <c r="AE981" s="110"/>
      <c r="AF981" s="110"/>
      <c r="AG981" s="110"/>
      <c r="AH981" s="1048"/>
    </row>
    <row r="982" spans="1:34" ht="45" x14ac:dyDescent="0.25">
      <c r="A982" s="1047"/>
      <c r="B982" s="110" t="s">
        <v>2403</v>
      </c>
      <c r="C982" s="110"/>
      <c r="D982" s="433">
        <v>1</v>
      </c>
      <c r="E982" s="207" t="s">
        <v>1766</v>
      </c>
      <c r="F982" s="1178" t="s">
        <v>4353</v>
      </c>
      <c r="G982" s="1056" t="s">
        <v>4306</v>
      </c>
      <c r="H982" s="433" t="s">
        <v>3478</v>
      </c>
      <c r="I982" s="111">
        <v>1689.82</v>
      </c>
      <c r="J982" s="111">
        <v>1689.82</v>
      </c>
      <c r="K982" s="110"/>
      <c r="L982" s="110"/>
      <c r="M982" s="110"/>
      <c r="N982" s="110"/>
      <c r="O982" s="110"/>
      <c r="P982" s="110"/>
      <c r="Q982" s="433">
        <v>1</v>
      </c>
      <c r="R982" s="111">
        <v>563.27333333333331</v>
      </c>
      <c r="S982" s="110"/>
      <c r="T982" s="110"/>
      <c r="U982" s="110"/>
      <c r="V982" s="110"/>
      <c r="W982" s="433">
        <v>0</v>
      </c>
      <c r="X982" s="111">
        <v>563.27333333333331</v>
      </c>
      <c r="Y982" s="110"/>
      <c r="Z982" s="110"/>
      <c r="AA982" s="110"/>
      <c r="AB982" s="110"/>
      <c r="AC982" s="433">
        <v>0</v>
      </c>
      <c r="AD982" s="111">
        <v>563.27333333333331</v>
      </c>
      <c r="AE982" s="110"/>
      <c r="AF982" s="110"/>
      <c r="AG982" s="110"/>
      <c r="AH982" s="1048"/>
    </row>
    <row r="983" spans="1:34" ht="45" x14ac:dyDescent="0.25">
      <c r="A983" s="1047"/>
      <c r="B983" s="110" t="s">
        <v>2404</v>
      </c>
      <c r="C983" s="110"/>
      <c r="D983" s="433">
        <v>6</v>
      </c>
      <c r="E983" s="207" t="s">
        <v>2321</v>
      </c>
      <c r="F983" s="1178" t="s">
        <v>4353</v>
      </c>
      <c r="G983" s="1056" t="s">
        <v>4306</v>
      </c>
      <c r="H983" s="433" t="s">
        <v>3478</v>
      </c>
      <c r="I983" s="111">
        <v>52.44</v>
      </c>
      <c r="J983" s="111">
        <v>314.64</v>
      </c>
      <c r="K983" s="110"/>
      <c r="L983" s="110"/>
      <c r="M983" s="110"/>
      <c r="N983" s="110"/>
      <c r="O983" s="110"/>
      <c r="P983" s="110"/>
      <c r="Q983" s="433">
        <v>2</v>
      </c>
      <c r="R983" s="111">
        <v>104.88</v>
      </c>
      <c r="S983" s="110"/>
      <c r="T983" s="110"/>
      <c r="U983" s="110"/>
      <c r="V983" s="110"/>
      <c r="W983" s="433">
        <v>2</v>
      </c>
      <c r="X983" s="111">
        <v>104.88</v>
      </c>
      <c r="Y983" s="110"/>
      <c r="Z983" s="110"/>
      <c r="AA983" s="110"/>
      <c r="AB983" s="110"/>
      <c r="AC983" s="433">
        <v>2</v>
      </c>
      <c r="AD983" s="111">
        <v>104.88</v>
      </c>
      <c r="AE983" s="110"/>
      <c r="AF983" s="110"/>
      <c r="AG983" s="110"/>
      <c r="AH983" s="1048"/>
    </row>
    <row r="984" spans="1:34" ht="45" x14ac:dyDescent="0.25">
      <c r="A984" s="1047"/>
      <c r="B984" s="110" t="s">
        <v>2405</v>
      </c>
      <c r="C984" s="110"/>
      <c r="D984" s="433">
        <v>5</v>
      </c>
      <c r="E984" s="207" t="s">
        <v>1766</v>
      </c>
      <c r="F984" s="1178" t="s">
        <v>4353</v>
      </c>
      <c r="G984" s="1056" t="s">
        <v>4306</v>
      </c>
      <c r="H984" s="433" t="s">
        <v>3478</v>
      </c>
      <c r="I984" s="111">
        <v>45.06</v>
      </c>
      <c r="J984" s="111">
        <v>225.3</v>
      </c>
      <c r="K984" s="110"/>
      <c r="L984" s="110"/>
      <c r="M984" s="110"/>
      <c r="N984" s="110"/>
      <c r="O984" s="110"/>
      <c r="P984" s="110"/>
      <c r="Q984" s="433">
        <v>2</v>
      </c>
      <c r="R984" s="111">
        <v>75.100000000000009</v>
      </c>
      <c r="S984" s="110"/>
      <c r="T984" s="110"/>
      <c r="U984" s="110"/>
      <c r="V984" s="110"/>
      <c r="W984" s="433">
        <v>2</v>
      </c>
      <c r="X984" s="111">
        <v>75.100000000000009</v>
      </c>
      <c r="Y984" s="110"/>
      <c r="Z984" s="110"/>
      <c r="AA984" s="110"/>
      <c r="AB984" s="110"/>
      <c r="AC984" s="433">
        <v>1</v>
      </c>
      <c r="AD984" s="111">
        <v>75.100000000000009</v>
      </c>
      <c r="AE984" s="110"/>
      <c r="AF984" s="110"/>
      <c r="AG984" s="110"/>
      <c r="AH984" s="1048"/>
    </row>
    <row r="985" spans="1:34" ht="45" x14ac:dyDescent="0.25">
      <c r="A985" s="1047"/>
      <c r="B985" s="110" t="s">
        <v>2406</v>
      </c>
      <c r="C985" s="110"/>
      <c r="D985" s="433">
        <v>5</v>
      </c>
      <c r="E985" s="207" t="s">
        <v>1949</v>
      </c>
      <c r="F985" s="1178" t="s">
        <v>4353</v>
      </c>
      <c r="G985" s="1056" t="s">
        <v>4306</v>
      </c>
      <c r="H985" s="433" t="s">
        <v>3478</v>
      </c>
      <c r="I985" s="111">
        <v>49.94</v>
      </c>
      <c r="J985" s="111">
        <v>249.7</v>
      </c>
      <c r="K985" s="110"/>
      <c r="L985" s="110"/>
      <c r="M985" s="110"/>
      <c r="N985" s="110"/>
      <c r="O985" s="110"/>
      <c r="P985" s="110"/>
      <c r="Q985" s="433">
        <v>2</v>
      </c>
      <c r="R985" s="111">
        <v>83.233333333333334</v>
      </c>
      <c r="S985" s="110"/>
      <c r="T985" s="110"/>
      <c r="U985" s="110"/>
      <c r="V985" s="110"/>
      <c r="W985" s="433">
        <v>2</v>
      </c>
      <c r="X985" s="111">
        <v>83.233333333333334</v>
      </c>
      <c r="Y985" s="110"/>
      <c r="Z985" s="110"/>
      <c r="AA985" s="110"/>
      <c r="AB985" s="110"/>
      <c r="AC985" s="433">
        <v>1</v>
      </c>
      <c r="AD985" s="111">
        <v>83.233333333333334</v>
      </c>
      <c r="AE985" s="110"/>
      <c r="AF985" s="110"/>
      <c r="AG985" s="110"/>
      <c r="AH985" s="1048"/>
    </row>
    <row r="986" spans="1:34" ht="45" x14ac:dyDescent="0.25">
      <c r="A986" s="1047"/>
      <c r="B986" s="110" t="s">
        <v>4186</v>
      </c>
      <c r="C986" s="110"/>
      <c r="D986" s="433">
        <v>6</v>
      </c>
      <c r="E986" s="207" t="s">
        <v>2321</v>
      </c>
      <c r="F986" s="1178" t="s">
        <v>4353</v>
      </c>
      <c r="G986" s="1056" t="s">
        <v>4306</v>
      </c>
      <c r="H986" s="433" t="s">
        <v>3478</v>
      </c>
      <c r="I986" s="111">
        <v>83.13</v>
      </c>
      <c r="J986" s="111">
        <v>498.78</v>
      </c>
      <c r="K986" s="110"/>
      <c r="L986" s="110"/>
      <c r="M986" s="110"/>
      <c r="N986" s="110"/>
      <c r="O986" s="110"/>
      <c r="P986" s="110"/>
      <c r="Q986" s="433">
        <v>2</v>
      </c>
      <c r="R986" s="111">
        <v>166.26</v>
      </c>
      <c r="S986" s="110"/>
      <c r="T986" s="110"/>
      <c r="U986" s="110"/>
      <c r="V986" s="110"/>
      <c r="W986" s="433">
        <v>2</v>
      </c>
      <c r="X986" s="111">
        <v>166.26</v>
      </c>
      <c r="Y986" s="110"/>
      <c r="Z986" s="110"/>
      <c r="AA986" s="110"/>
      <c r="AB986" s="110"/>
      <c r="AC986" s="433">
        <v>2</v>
      </c>
      <c r="AD986" s="111">
        <v>166.26</v>
      </c>
      <c r="AE986" s="110"/>
      <c r="AF986" s="110"/>
      <c r="AG986" s="110"/>
      <c r="AH986" s="1048"/>
    </row>
    <row r="987" spans="1:34" ht="45" x14ac:dyDescent="0.25">
      <c r="A987" s="1047"/>
      <c r="B987" s="110" t="s">
        <v>2407</v>
      </c>
      <c r="C987" s="110"/>
      <c r="D987" s="433">
        <v>4</v>
      </c>
      <c r="E987" s="207" t="s">
        <v>1767</v>
      </c>
      <c r="F987" s="1178" t="s">
        <v>4353</v>
      </c>
      <c r="G987" s="1056" t="s">
        <v>4306</v>
      </c>
      <c r="H987" s="433" t="s">
        <v>3478</v>
      </c>
      <c r="I987" s="111">
        <v>274.49</v>
      </c>
      <c r="J987" s="111">
        <v>1097.96</v>
      </c>
      <c r="K987" s="110"/>
      <c r="L987" s="110"/>
      <c r="M987" s="110"/>
      <c r="N987" s="110"/>
      <c r="O987" s="110"/>
      <c r="P987" s="110"/>
      <c r="Q987" s="433">
        <v>2</v>
      </c>
      <c r="R987" s="111">
        <v>365.98666666666668</v>
      </c>
      <c r="S987" s="110"/>
      <c r="T987" s="110"/>
      <c r="U987" s="110"/>
      <c r="V987" s="110"/>
      <c r="W987" s="433">
        <v>1</v>
      </c>
      <c r="X987" s="111">
        <v>365.98666666666668</v>
      </c>
      <c r="Y987" s="110"/>
      <c r="Z987" s="110"/>
      <c r="AA987" s="110"/>
      <c r="AB987" s="110"/>
      <c r="AC987" s="433">
        <v>1</v>
      </c>
      <c r="AD987" s="111">
        <v>365.98666666666668</v>
      </c>
      <c r="AE987" s="110"/>
      <c r="AF987" s="110"/>
      <c r="AG987" s="110"/>
      <c r="AH987" s="1048"/>
    </row>
    <row r="988" spans="1:34" ht="45" x14ac:dyDescent="0.25">
      <c r="A988" s="1047"/>
      <c r="B988" s="110" t="s">
        <v>2408</v>
      </c>
      <c r="C988" s="110"/>
      <c r="D988" s="433">
        <v>2</v>
      </c>
      <c r="E988" s="207" t="s">
        <v>1722</v>
      </c>
      <c r="F988" s="1178" t="s">
        <v>4353</v>
      </c>
      <c r="G988" s="1056" t="s">
        <v>4306</v>
      </c>
      <c r="H988" s="433" t="s">
        <v>3478</v>
      </c>
      <c r="I988" s="111">
        <v>120</v>
      </c>
      <c r="J988" s="111">
        <v>240</v>
      </c>
      <c r="K988" s="110"/>
      <c r="L988" s="110"/>
      <c r="M988" s="110"/>
      <c r="N988" s="110"/>
      <c r="O988" s="110"/>
      <c r="P988" s="110"/>
      <c r="Q988" s="433">
        <v>1</v>
      </c>
      <c r="R988" s="111">
        <v>80</v>
      </c>
      <c r="S988" s="110"/>
      <c r="T988" s="110"/>
      <c r="U988" s="110"/>
      <c r="V988" s="110"/>
      <c r="W988" s="433">
        <v>1</v>
      </c>
      <c r="X988" s="111">
        <v>80</v>
      </c>
      <c r="Y988" s="110"/>
      <c r="Z988" s="110"/>
      <c r="AA988" s="110"/>
      <c r="AB988" s="110"/>
      <c r="AC988" s="433">
        <v>0</v>
      </c>
      <c r="AD988" s="111">
        <v>80</v>
      </c>
      <c r="AE988" s="110"/>
      <c r="AF988" s="110"/>
      <c r="AG988" s="110"/>
      <c r="AH988" s="1048"/>
    </row>
    <row r="989" spans="1:34" ht="45" x14ac:dyDescent="0.25">
      <c r="A989" s="1047"/>
      <c r="B989" s="110" t="s">
        <v>4187</v>
      </c>
      <c r="C989" s="110"/>
      <c r="D989" s="433">
        <v>6</v>
      </c>
      <c r="E989" s="207" t="s">
        <v>1767</v>
      </c>
      <c r="F989" s="1178" t="s">
        <v>4353</v>
      </c>
      <c r="G989" s="1056" t="s">
        <v>4306</v>
      </c>
      <c r="H989" s="433" t="s">
        <v>3478</v>
      </c>
      <c r="I989" s="111">
        <v>139.08000000000001</v>
      </c>
      <c r="J989" s="111">
        <v>834.48</v>
      </c>
      <c r="K989" s="110"/>
      <c r="L989" s="110"/>
      <c r="M989" s="110"/>
      <c r="N989" s="110"/>
      <c r="O989" s="110"/>
      <c r="P989" s="110"/>
      <c r="Q989" s="433">
        <v>2</v>
      </c>
      <c r="R989" s="111">
        <v>278.16000000000003</v>
      </c>
      <c r="S989" s="110"/>
      <c r="T989" s="110"/>
      <c r="U989" s="110"/>
      <c r="V989" s="110"/>
      <c r="W989" s="433">
        <v>2</v>
      </c>
      <c r="X989" s="111">
        <v>278.16000000000003</v>
      </c>
      <c r="Y989" s="110"/>
      <c r="Z989" s="110"/>
      <c r="AA989" s="110"/>
      <c r="AB989" s="110"/>
      <c r="AC989" s="433">
        <v>2</v>
      </c>
      <c r="AD989" s="111">
        <v>278.16000000000003</v>
      </c>
      <c r="AE989" s="110"/>
      <c r="AF989" s="110"/>
      <c r="AG989" s="110"/>
      <c r="AH989" s="1048"/>
    </row>
    <row r="990" spans="1:34" ht="45" x14ac:dyDescent="0.25">
      <c r="A990" s="1047"/>
      <c r="B990" s="110" t="s">
        <v>2409</v>
      </c>
      <c r="C990" s="110"/>
      <c r="D990" s="433">
        <v>15</v>
      </c>
      <c r="E990" s="207" t="s">
        <v>1767</v>
      </c>
      <c r="F990" s="1178" t="s">
        <v>4353</v>
      </c>
      <c r="G990" s="1056" t="s">
        <v>4306</v>
      </c>
      <c r="H990" s="433" t="s">
        <v>3478</v>
      </c>
      <c r="I990" s="111">
        <v>150</v>
      </c>
      <c r="J990" s="111">
        <v>2250</v>
      </c>
      <c r="K990" s="110"/>
      <c r="L990" s="110"/>
      <c r="M990" s="110"/>
      <c r="N990" s="110"/>
      <c r="O990" s="110"/>
      <c r="P990" s="110"/>
      <c r="Q990" s="433">
        <v>8</v>
      </c>
      <c r="R990" s="111">
        <v>750</v>
      </c>
      <c r="S990" s="110"/>
      <c r="T990" s="110"/>
      <c r="U990" s="110"/>
      <c r="V990" s="110"/>
      <c r="W990" s="433">
        <v>4</v>
      </c>
      <c r="X990" s="111">
        <v>750</v>
      </c>
      <c r="Y990" s="110"/>
      <c r="Z990" s="110"/>
      <c r="AA990" s="110"/>
      <c r="AB990" s="110"/>
      <c r="AC990" s="433">
        <v>3</v>
      </c>
      <c r="AD990" s="111">
        <v>750</v>
      </c>
      <c r="AE990" s="110"/>
      <c r="AF990" s="110"/>
      <c r="AG990" s="110"/>
      <c r="AH990" s="1048"/>
    </row>
    <row r="991" spans="1:34" ht="45" x14ac:dyDescent="0.25">
      <c r="A991" s="1047"/>
      <c r="B991" s="110" t="s">
        <v>2410</v>
      </c>
      <c r="C991" s="110"/>
      <c r="D991" s="433">
        <v>76</v>
      </c>
      <c r="E991" s="207" t="s">
        <v>1767</v>
      </c>
      <c r="F991" s="1178" t="s">
        <v>4353</v>
      </c>
      <c r="G991" s="1056" t="s">
        <v>4306</v>
      </c>
      <c r="H991" s="433" t="s">
        <v>3478</v>
      </c>
      <c r="I991" s="111">
        <v>107.63</v>
      </c>
      <c r="J991" s="111">
        <v>8179.8799999999992</v>
      </c>
      <c r="K991" s="110"/>
      <c r="L991" s="110"/>
      <c r="M991" s="110"/>
      <c r="N991" s="110"/>
      <c r="O991" s="110"/>
      <c r="P991" s="110"/>
      <c r="Q991" s="433">
        <v>26</v>
      </c>
      <c r="R991" s="111">
        <v>2726.6266666666666</v>
      </c>
      <c r="S991" s="110"/>
      <c r="T991" s="110"/>
      <c r="U991" s="110"/>
      <c r="V991" s="110"/>
      <c r="W991" s="433">
        <v>29</v>
      </c>
      <c r="X991" s="111">
        <v>2726.6266666666666</v>
      </c>
      <c r="Y991" s="110"/>
      <c r="Z991" s="110"/>
      <c r="AA991" s="110"/>
      <c r="AB991" s="110"/>
      <c r="AC991" s="433">
        <v>21</v>
      </c>
      <c r="AD991" s="111">
        <v>2726.6266666666666</v>
      </c>
      <c r="AE991" s="110"/>
      <c r="AF991" s="110"/>
      <c r="AG991" s="110"/>
      <c r="AH991" s="1048"/>
    </row>
    <row r="992" spans="1:34" ht="45" x14ac:dyDescent="0.25">
      <c r="A992" s="1047"/>
      <c r="B992" s="110" t="s">
        <v>4188</v>
      </c>
      <c r="C992" s="110"/>
      <c r="D992" s="433">
        <v>20</v>
      </c>
      <c r="E992" s="207" t="s">
        <v>1767</v>
      </c>
      <c r="F992" s="1178" t="s">
        <v>4353</v>
      </c>
      <c r="G992" s="1056" t="s">
        <v>4306</v>
      </c>
      <c r="H992" s="433" t="s">
        <v>3478</v>
      </c>
      <c r="I992" s="111">
        <v>350</v>
      </c>
      <c r="J992" s="111">
        <v>7000</v>
      </c>
      <c r="K992" s="110"/>
      <c r="L992" s="110"/>
      <c r="M992" s="110"/>
      <c r="N992" s="110"/>
      <c r="O992" s="110"/>
      <c r="P992" s="110"/>
      <c r="Q992" s="433">
        <v>10</v>
      </c>
      <c r="R992" s="111">
        <v>2333.3333333333335</v>
      </c>
      <c r="S992" s="110"/>
      <c r="T992" s="110"/>
      <c r="U992" s="110"/>
      <c r="V992" s="110"/>
      <c r="W992" s="433">
        <v>5</v>
      </c>
      <c r="X992" s="111">
        <v>2333.3333333333335</v>
      </c>
      <c r="Y992" s="110"/>
      <c r="Z992" s="110"/>
      <c r="AA992" s="110"/>
      <c r="AB992" s="110"/>
      <c r="AC992" s="433">
        <v>5</v>
      </c>
      <c r="AD992" s="111">
        <v>2333.3333333333335</v>
      </c>
      <c r="AE992" s="110"/>
      <c r="AF992" s="110"/>
      <c r="AG992" s="110"/>
      <c r="AH992" s="1048"/>
    </row>
    <row r="993" spans="1:34" ht="45" x14ac:dyDescent="0.25">
      <c r="A993" s="1047"/>
      <c r="B993" s="110" t="s">
        <v>4189</v>
      </c>
      <c r="C993" s="110"/>
      <c r="D993" s="433">
        <v>3</v>
      </c>
      <c r="E993" s="207" t="s">
        <v>1766</v>
      </c>
      <c r="F993" s="1178" t="s">
        <v>4353</v>
      </c>
      <c r="G993" s="1056" t="s">
        <v>4306</v>
      </c>
      <c r="H993" s="433" t="s">
        <v>3478</v>
      </c>
      <c r="I993" s="111">
        <v>250</v>
      </c>
      <c r="J993" s="111">
        <v>750</v>
      </c>
      <c r="K993" s="110"/>
      <c r="L993" s="110"/>
      <c r="M993" s="110"/>
      <c r="N993" s="110"/>
      <c r="O993" s="110"/>
      <c r="P993" s="110"/>
      <c r="Q993" s="433">
        <v>1</v>
      </c>
      <c r="R993" s="111">
        <v>250</v>
      </c>
      <c r="S993" s="110"/>
      <c r="T993" s="110"/>
      <c r="U993" s="110"/>
      <c r="V993" s="110"/>
      <c r="W993" s="433">
        <v>1</v>
      </c>
      <c r="X993" s="111">
        <v>250</v>
      </c>
      <c r="Y993" s="110"/>
      <c r="Z993" s="110"/>
      <c r="AA993" s="110"/>
      <c r="AB993" s="110"/>
      <c r="AC993" s="433">
        <v>1</v>
      </c>
      <c r="AD993" s="111">
        <v>250</v>
      </c>
      <c r="AE993" s="110"/>
      <c r="AF993" s="110"/>
      <c r="AG993" s="110"/>
      <c r="AH993" s="1048"/>
    </row>
    <row r="994" spans="1:34" ht="45" x14ac:dyDescent="0.25">
      <c r="A994" s="1047"/>
      <c r="B994" s="110" t="s">
        <v>2411</v>
      </c>
      <c r="C994" s="110"/>
      <c r="D994" s="433">
        <v>15</v>
      </c>
      <c r="E994" s="207" t="s">
        <v>1767</v>
      </c>
      <c r="F994" s="1178" t="s">
        <v>4353</v>
      </c>
      <c r="G994" s="1056" t="s">
        <v>4306</v>
      </c>
      <c r="H994" s="433" t="s">
        <v>3478</v>
      </c>
      <c r="I994" s="111">
        <v>176.1</v>
      </c>
      <c r="J994" s="111">
        <v>2641.5</v>
      </c>
      <c r="K994" s="110"/>
      <c r="L994" s="110"/>
      <c r="M994" s="110"/>
      <c r="N994" s="110"/>
      <c r="O994" s="110"/>
      <c r="P994" s="110"/>
      <c r="Q994" s="433">
        <v>8</v>
      </c>
      <c r="R994" s="111">
        <v>880.5</v>
      </c>
      <c r="S994" s="110"/>
      <c r="T994" s="110"/>
      <c r="U994" s="110"/>
      <c r="V994" s="110"/>
      <c r="W994" s="433">
        <v>4</v>
      </c>
      <c r="X994" s="111">
        <v>880.5</v>
      </c>
      <c r="Y994" s="110"/>
      <c r="Z994" s="110"/>
      <c r="AA994" s="110"/>
      <c r="AB994" s="110"/>
      <c r="AC994" s="433">
        <v>3</v>
      </c>
      <c r="AD994" s="111">
        <v>880.5</v>
      </c>
      <c r="AE994" s="110"/>
      <c r="AF994" s="110"/>
      <c r="AG994" s="110"/>
      <c r="AH994" s="1048"/>
    </row>
    <row r="995" spans="1:34" ht="45" x14ac:dyDescent="0.25">
      <c r="A995" s="1047"/>
      <c r="B995" s="110" t="s">
        <v>4190</v>
      </c>
      <c r="C995" s="110"/>
      <c r="D995" s="433">
        <v>5</v>
      </c>
      <c r="E995" s="207" t="s">
        <v>1722</v>
      </c>
      <c r="F995" s="1178" t="s">
        <v>4353</v>
      </c>
      <c r="G995" s="1056" t="s">
        <v>4306</v>
      </c>
      <c r="H995" s="433" t="s">
        <v>3478</v>
      </c>
      <c r="I995" s="111">
        <v>874</v>
      </c>
      <c r="J995" s="111">
        <v>4370</v>
      </c>
      <c r="K995" s="110"/>
      <c r="L995" s="110"/>
      <c r="M995" s="110"/>
      <c r="N995" s="110"/>
      <c r="O995" s="110"/>
      <c r="P995" s="110"/>
      <c r="Q995" s="433">
        <v>2</v>
      </c>
      <c r="R995" s="111">
        <v>1456.6666666666667</v>
      </c>
      <c r="S995" s="110"/>
      <c r="T995" s="110"/>
      <c r="U995" s="110"/>
      <c r="V995" s="110"/>
      <c r="W995" s="433">
        <v>2</v>
      </c>
      <c r="X995" s="111">
        <v>1456.6666666666667</v>
      </c>
      <c r="Y995" s="110"/>
      <c r="Z995" s="110"/>
      <c r="AA995" s="110"/>
      <c r="AB995" s="110"/>
      <c r="AC995" s="433">
        <v>1</v>
      </c>
      <c r="AD995" s="111">
        <v>1456.6666666666667</v>
      </c>
      <c r="AE995" s="110"/>
      <c r="AF995" s="110"/>
      <c r="AG995" s="110"/>
      <c r="AH995" s="1048"/>
    </row>
    <row r="996" spans="1:34" ht="45" x14ac:dyDescent="0.25">
      <c r="A996" s="1047"/>
      <c r="B996" s="110" t="s">
        <v>2412</v>
      </c>
      <c r="C996" s="110"/>
      <c r="D996" s="433">
        <v>9</v>
      </c>
      <c r="E996" s="207" t="s">
        <v>1767</v>
      </c>
      <c r="F996" s="1178" t="s">
        <v>4353</v>
      </c>
      <c r="G996" s="1056" t="s">
        <v>4306</v>
      </c>
      <c r="H996" s="433" t="s">
        <v>3478</v>
      </c>
      <c r="I996" s="111">
        <v>141.41</v>
      </c>
      <c r="J996" s="111">
        <v>1272.69</v>
      </c>
      <c r="K996" s="110"/>
      <c r="L996" s="110"/>
      <c r="M996" s="110"/>
      <c r="N996" s="110"/>
      <c r="O996" s="110"/>
      <c r="P996" s="110"/>
      <c r="Q996" s="433">
        <v>4</v>
      </c>
      <c r="R996" s="111">
        <v>424.23</v>
      </c>
      <c r="S996" s="110"/>
      <c r="T996" s="110"/>
      <c r="U996" s="110"/>
      <c r="V996" s="110"/>
      <c r="W996" s="433">
        <v>3</v>
      </c>
      <c r="X996" s="111">
        <v>424.23</v>
      </c>
      <c r="Y996" s="110"/>
      <c r="Z996" s="110"/>
      <c r="AA996" s="110"/>
      <c r="AB996" s="110"/>
      <c r="AC996" s="433">
        <v>2</v>
      </c>
      <c r="AD996" s="111">
        <v>424.23</v>
      </c>
      <c r="AE996" s="110"/>
      <c r="AF996" s="110"/>
      <c r="AG996" s="110"/>
      <c r="AH996" s="1048"/>
    </row>
    <row r="997" spans="1:34" ht="45" x14ac:dyDescent="0.25">
      <c r="A997" s="1047"/>
      <c r="B997" s="110" t="s">
        <v>2413</v>
      </c>
      <c r="C997" s="110"/>
      <c r="D997" s="433">
        <v>8</v>
      </c>
      <c r="E997" s="207" t="s">
        <v>1767</v>
      </c>
      <c r="F997" s="1178" t="s">
        <v>4353</v>
      </c>
      <c r="G997" s="1056" t="s">
        <v>4306</v>
      </c>
      <c r="H997" s="433" t="s">
        <v>3478</v>
      </c>
      <c r="I997" s="111">
        <v>215.6</v>
      </c>
      <c r="J997" s="111">
        <v>1724.8</v>
      </c>
      <c r="K997" s="110"/>
      <c r="L997" s="110"/>
      <c r="M997" s="110"/>
      <c r="N997" s="110"/>
      <c r="O997" s="110"/>
      <c r="P997" s="110"/>
      <c r="Q997" s="433">
        <v>3</v>
      </c>
      <c r="R997" s="111">
        <v>574.93333333333328</v>
      </c>
      <c r="S997" s="110"/>
      <c r="T997" s="110"/>
      <c r="U997" s="110"/>
      <c r="V997" s="110"/>
      <c r="W997" s="433">
        <v>3</v>
      </c>
      <c r="X997" s="111">
        <v>574.93333333333328</v>
      </c>
      <c r="Y997" s="110"/>
      <c r="Z997" s="110"/>
      <c r="AA997" s="110"/>
      <c r="AB997" s="110"/>
      <c r="AC997" s="433">
        <v>2</v>
      </c>
      <c r="AD997" s="111">
        <v>574.93333333333328</v>
      </c>
      <c r="AE997" s="110"/>
      <c r="AF997" s="110"/>
      <c r="AG997" s="110"/>
      <c r="AH997" s="1048"/>
    </row>
    <row r="998" spans="1:34" ht="45" x14ac:dyDescent="0.25">
      <c r="A998" s="1047"/>
      <c r="B998" s="110" t="s">
        <v>2414</v>
      </c>
      <c r="C998" s="110"/>
      <c r="D998" s="433">
        <v>7</v>
      </c>
      <c r="E998" s="207" t="s">
        <v>1767</v>
      </c>
      <c r="F998" s="1178" t="s">
        <v>4353</v>
      </c>
      <c r="G998" s="1056" t="s">
        <v>4306</v>
      </c>
      <c r="H998" s="433" t="s">
        <v>3478</v>
      </c>
      <c r="I998" s="111">
        <v>207.9</v>
      </c>
      <c r="J998" s="111">
        <v>1455.3</v>
      </c>
      <c r="K998" s="110"/>
      <c r="L998" s="110"/>
      <c r="M998" s="110"/>
      <c r="N998" s="110"/>
      <c r="O998" s="110"/>
      <c r="P998" s="110"/>
      <c r="Q998" s="433">
        <v>3</v>
      </c>
      <c r="R998" s="111">
        <v>485.09999999999997</v>
      </c>
      <c r="S998" s="110"/>
      <c r="T998" s="110"/>
      <c r="U998" s="110"/>
      <c r="V998" s="110"/>
      <c r="W998" s="433">
        <v>2</v>
      </c>
      <c r="X998" s="111">
        <v>485.09999999999997</v>
      </c>
      <c r="Y998" s="110"/>
      <c r="Z998" s="110"/>
      <c r="AA998" s="110"/>
      <c r="AB998" s="110"/>
      <c r="AC998" s="433">
        <v>2</v>
      </c>
      <c r="AD998" s="111">
        <v>485.09999999999997</v>
      </c>
      <c r="AE998" s="110"/>
      <c r="AF998" s="110"/>
      <c r="AG998" s="110"/>
      <c r="AH998" s="1048"/>
    </row>
    <row r="999" spans="1:34" ht="45" x14ac:dyDescent="0.25">
      <c r="A999" s="1047"/>
      <c r="B999" s="110" t="s">
        <v>2415</v>
      </c>
      <c r="C999" s="110"/>
      <c r="D999" s="433">
        <v>6</v>
      </c>
      <c r="E999" s="207" t="s">
        <v>1767</v>
      </c>
      <c r="F999" s="1178" t="s">
        <v>4353</v>
      </c>
      <c r="G999" s="1056" t="s">
        <v>4306</v>
      </c>
      <c r="H999" s="433" t="s">
        <v>3478</v>
      </c>
      <c r="I999" s="111">
        <v>91.2</v>
      </c>
      <c r="J999" s="111">
        <v>547.20000000000005</v>
      </c>
      <c r="K999" s="110"/>
      <c r="L999" s="110"/>
      <c r="M999" s="110"/>
      <c r="N999" s="110"/>
      <c r="O999" s="110"/>
      <c r="P999" s="110"/>
      <c r="Q999" s="433">
        <v>2</v>
      </c>
      <c r="R999" s="111">
        <v>182.4</v>
      </c>
      <c r="S999" s="110"/>
      <c r="T999" s="110"/>
      <c r="U999" s="110"/>
      <c r="V999" s="110"/>
      <c r="W999" s="433">
        <v>2</v>
      </c>
      <c r="X999" s="111">
        <v>182.4</v>
      </c>
      <c r="Y999" s="110"/>
      <c r="Z999" s="110"/>
      <c r="AA999" s="110"/>
      <c r="AB999" s="110"/>
      <c r="AC999" s="433">
        <v>2</v>
      </c>
      <c r="AD999" s="111">
        <v>182.4</v>
      </c>
      <c r="AE999" s="110"/>
      <c r="AF999" s="110"/>
      <c r="AG999" s="110"/>
      <c r="AH999" s="1048"/>
    </row>
    <row r="1000" spans="1:34" ht="45" x14ac:dyDescent="0.25">
      <c r="A1000" s="1047"/>
      <c r="B1000" s="110" t="s">
        <v>2416</v>
      </c>
      <c r="C1000" s="110"/>
      <c r="D1000" s="433">
        <v>60</v>
      </c>
      <c r="E1000" s="207" t="s">
        <v>1767</v>
      </c>
      <c r="F1000" s="1178" t="s">
        <v>4353</v>
      </c>
      <c r="G1000" s="1056" t="s">
        <v>4306</v>
      </c>
      <c r="H1000" s="433" t="s">
        <v>3478</v>
      </c>
      <c r="I1000" s="111">
        <v>22.39</v>
      </c>
      <c r="J1000" s="111">
        <v>1343.4</v>
      </c>
      <c r="K1000" s="110"/>
      <c r="L1000" s="110"/>
      <c r="M1000" s="110"/>
      <c r="N1000" s="110"/>
      <c r="O1000" s="110"/>
      <c r="P1000" s="110"/>
      <c r="Q1000" s="433">
        <v>20</v>
      </c>
      <c r="R1000" s="111">
        <v>447.8</v>
      </c>
      <c r="S1000" s="110"/>
      <c r="T1000" s="110"/>
      <c r="U1000" s="110"/>
      <c r="V1000" s="110"/>
      <c r="W1000" s="433">
        <v>20</v>
      </c>
      <c r="X1000" s="111">
        <v>447.8</v>
      </c>
      <c r="Y1000" s="110"/>
      <c r="Z1000" s="110"/>
      <c r="AA1000" s="110"/>
      <c r="AB1000" s="110"/>
      <c r="AC1000" s="433">
        <v>20</v>
      </c>
      <c r="AD1000" s="111">
        <v>447.8</v>
      </c>
      <c r="AE1000" s="110"/>
      <c r="AF1000" s="110"/>
      <c r="AG1000" s="110"/>
      <c r="AH1000" s="1048"/>
    </row>
    <row r="1001" spans="1:34" ht="45" x14ac:dyDescent="0.25">
      <c r="A1001" s="1047"/>
      <c r="B1001" s="110" t="s">
        <v>2417</v>
      </c>
      <c r="C1001" s="110"/>
      <c r="D1001" s="433">
        <v>60</v>
      </c>
      <c r="E1001" s="207" t="s">
        <v>1767</v>
      </c>
      <c r="F1001" s="1178" t="s">
        <v>4353</v>
      </c>
      <c r="G1001" s="1056" t="s">
        <v>4306</v>
      </c>
      <c r="H1001" s="433" t="s">
        <v>3478</v>
      </c>
      <c r="I1001" s="111">
        <v>22.39</v>
      </c>
      <c r="J1001" s="111">
        <v>1343.4</v>
      </c>
      <c r="K1001" s="110"/>
      <c r="L1001" s="110"/>
      <c r="M1001" s="110"/>
      <c r="N1001" s="110"/>
      <c r="O1001" s="110"/>
      <c r="P1001" s="110"/>
      <c r="Q1001" s="433">
        <v>20</v>
      </c>
      <c r="R1001" s="111">
        <v>447.8</v>
      </c>
      <c r="S1001" s="110"/>
      <c r="T1001" s="110"/>
      <c r="U1001" s="110"/>
      <c r="V1001" s="110"/>
      <c r="W1001" s="433">
        <v>20</v>
      </c>
      <c r="X1001" s="111">
        <v>447.8</v>
      </c>
      <c r="Y1001" s="110"/>
      <c r="Z1001" s="110"/>
      <c r="AA1001" s="110"/>
      <c r="AB1001" s="110"/>
      <c r="AC1001" s="433">
        <v>20</v>
      </c>
      <c r="AD1001" s="111">
        <v>447.8</v>
      </c>
      <c r="AE1001" s="110"/>
      <c r="AF1001" s="110"/>
      <c r="AG1001" s="110"/>
      <c r="AH1001" s="1048"/>
    </row>
    <row r="1002" spans="1:34" ht="45" x14ac:dyDescent="0.25">
      <c r="A1002" s="1047"/>
      <c r="B1002" s="110" t="s">
        <v>2418</v>
      </c>
      <c r="C1002" s="110"/>
      <c r="D1002" s="433">
        <v>60</v>
      </c>
      <c r="E1002" s="207" t="s">
        <v>1767</v>
      </c>
      <c r="F1002" s="1178" t="s">
        <v>4353</v>
      </c>
      <c r="G1002" s="1056" t="s">
        <v>4306</v>
      </c>
      <c r="H1002" s="433" t="s">
        <v>3478</v>
      </c>
      <c r="I1002" s="111">
        <v>22.39</v>
      </c>
      <c r="J1002" s="111">
        <v>1343.4</v>
      </c>
      <c r="K1002" s="110"/>
      <c r="L1002" s="110"/>
      <c r="M1002" s="110"/>
      <c r="N1002" s="110"/>
      <c r="O1002" s="110"/>
      <c r="P1002" s="110"/>
      <c r="Q1002" s="433">
        <v>20</v>
      </c>
      <c r="R1002" s="111">
        <v>447.8</v>
      </c>
      <c r="S1002" s="110"/>
      <c r="T1002" s="110"/>
      <c r="U1002" s="110"/>
      <c r="V1002" s="110"/>
      <c r="W1002" s="433">
        <v>20</v>
      </c>
      <c r="X1002" s="111">
        <v>447.8</v>
      </c>
      <c r="Y1002" s="110"/>
      <c r="Z1002" s="110"/>
      <c r="AA1002" s="110"/>
      <c r="AB1002" s="110"/>
      <c r="AC1002" s="433">
        <v>20</v>
      </c>
      <c r="AD1002" s="111">
        <v>447.8</v>
      </c>
      <c r="AE1002" s="110"/>
      <c r="AF1002" s="110"/>
      <c r="AG1002" s="110"/>
      <c r="AH1002" s="1048"/>
    </row>
    <row r="1003" spans="1:34" ht="45" x14ac:dyDescent="0.25">
      <c r="A1003" s="1047"/>
      <c r="B1003" s="110" t="s">
        <v>4191</v>
      </c>
      <c r="C1003" s="110"/>
      <c r="D1003" s="433">
        <v>2</v>
      </c>
      <c r="E1003" s="207" t="s">
        <v>1767</v>
      </c>
      <c r="F1003" s="1178" t="s">
        <v>4353</v>
      </c>
      <c r="G1003" s="1056" t="s">
        <v>4306</v>
      </c>
      <c r="H1003" s="433" t="s">
        <v>3478</v>
      </c>
      <c r="I1003" s="111">
        <v>2500</v>
      </c>
      <c r="J1003" s="111">
        <v>5000</v>
      </c>
      <c r="K1003" s="110"/>
      <c r="L1003" s="110"/>
      <c r="M1003" s="110"/>
      <c r="N1003" s="110"/>
      <c r="O1003" s="110"/>
      <c r="P1003" s="110"/>
      <c r="Q1003" s="433">
        <v>1</v>
      </c>
      <c r="R1003" s="111">
        <v>1666.6666666666667</v>
      </c>
      <c r="S1003" s="110"/>
      <c r="T1003" s="110"/>
      <c r="U1003" s="110"/>
      <c r="V1003" s="110"/>
      <c r="W1003" s="433">
        <v>1</v>
      </c>
      <c r="X1003" s="111">
        <v>1666.6666666666667</v>
      </c>
      <c r="Y1003" s="110"/>
      <c r="Z1003" s="110"/>
      <c r="AA1003" s="110"/>
      <c r="AB1003" s="110"/>
      <c r="AC1003" s="433">
        <v>0</v>
      </c>
      <c r="AD1003" s="111">
        <v>1666.6666666666667</v>
      </c>
      <c r="AE1003" s="110"/>
      <c r="AF1003" s="110"/>
      <c r="AG1003" s="110"/>
      <c r="AH1003" s="1048"/>
    </row>
    <row r="1004" spans="1:34" ht="45" x14ac:dyDescent="0.25">
      <c r="A1004" s="1047"/>
      <c r="B1004" s="110" t="s">
        <v>2420</v>
      </c>
      <c r="C1004" s="110"/>
      <c r="D1004" s="433">
        <v>2</v>
      </c>
      <c r="E1004" s="207" t="s">
        <v>1767</v>
      </c>
      <c r="F1004" s="1178" t="s">
        <v>4353</v>
      </c>
      <c r="G1004" s="1056" t="s">
        <v>4306</v>
      </c>
      <c r="H1004" s="433" t="s">
        <v>3478</v>
      </c>
      <c r="I1004" s="111">
        <v>500</v>
      </c>
      <c r="J1004" s="111">
        <v>1000</v>
      </c>
      <c r="K1004" s="110"/>
      <c r="L1004" s="110"/>
      <c r="M1004" s="110"/>
      <c r="N1004" s="110"/>
      <c r="O1004" s="110"/>
      <c r="P1004" s="110"/>
      <c r="Q1004" s="433">
        <v>1</v>
      </c>
      <c r="R1004" s="111">
        <v>333.33333333333331</v>
      </c>
      <c r="S1004" s="110"/>
      <c r="T1004" s="110"/>
      <c r="U1004" s="110"/>
      <c r="V1004" s="110"/>
      <c r="W1004" s="433">
        <v>1</v>
      </c>
      <c r="X1004" s="111">
        <v>333.33333333333331</v>
      </c>
      <c r="Y1004" s="110"/>
      <c r="Z1004" s="110"/>
      <c r="AA1004" s="110"/>
      <c r="AB1004" s="110"/>
      <c r="AC1004" s="433">
        <v>0</v>
      </c>
      <c r="AD1004" s="111">
        <v>333.33333333333331</v>
      </c>
      <c r="AE1004" s="110"/>
      <c r="AF1004" s="110"/>
      <c r="AG1004" s="110"/>
      <c r="AH1004" s="1048"/>
    </row>
    <row r="1005" spans="1:34" ht="45" x14ac:dyDescent="0.25">
      <c r="A1005" s="1047"/>
      <c r="B1005" s="110" t="s">
        <v>2421</v>
      </c>
      <c r="C1005" s="110"/>
      <c r="D1005" s="433">
        <v>9</v>
      </c>
      <c r="E1005" s="207" t="s">
        <v>1766</v>
      </c>
      <c r="F1005" s="1178" t="s">
        <v>4353</v>
      </c>
      <c r="G1005" s="1056" t="s">
        <v>4306</v>
      </c>
      <c r="H1005" s="433" t="s">
        <v>3478</v>
      </c>
      <c r="I1005" s="111">
        <v>25</v>
      </c>
      <c r="J1005" s="111">
        <v>225</v>
      </c>
      <c r="K1005" s="110"/>
      <c r="L1005" s="110"/>
      <c r="M1005" s="110"/>
      <c r="N1005" s="110"/>
      <c r="O1005" s="110"/>
      <c r="P1005" s="110"/>
      <c r="Q1005" s="433">
        <v>4</v>
      </c>
      <c r="R1005" s="111">
        <v>75</v>
      </c>
      <c r="S1005" s="110"/>
      <c r="T1005" s="110"/>
      <c r="U1005" s="110"/>
      <c r="V1005" s="110"/>
      <c r="W1005" s="433">
        <v>3</v>
      </c>
      <c r="X1005" s="111">
        <v>75</v>
      </c>
      <c r="Y1005" s="110"/>
      <c r="Z1005" s="110"/>
      <c r="AA1005" s="110"/>
      <c r="AB1005" s="110"/>
      <c r="AC1005" s="433">
        <v>2</v>
      </c>
      <c r="AD1005" s="111">
        <v>75</v>
      </c>
      <c r="AE1005" s="110"/>
      <c r="AF1005" s="110"/>
      <c r="AG1005" s="110"/>
      <c r="AH1005" s="1048"/>
    </row>
    <row r="1006" spans="1:34" ht="45" x14ac:dyDescent="0.25">
      <c r="A1006" s="1047"/>
      <c r="B1006" s="110" t="s">
        <v>2422</v>
      </c>
      <c r="C1006" s="110"/>
      <c r="D1006" s="433">
        <v>100</v>
      </c>
      <c r="E1006" s="207" t="s">
        <v>1766</v>
      </c>
      <c r="F1006" s="1178" t="s">
        <v>4353</v>
      </c>
      <c r="G1006" s="1056" t="s">
        <v>4306</v>
      </c>
      <c r="H1006" s="433" t="s">
        <v>3478</v>
      </c>
      <c r="I1006" s="111">
        <v>149.88</v>
      </c>
      <c r="J1006" s="111">
        <v>14988</v>
      </c>
      <c r="K1006" s="110"/>
      <c r="L1006" s="110"/>
      <c r="M1006" s="110"/>
      <c r="N1006" s="110"/>
      <c r="O1006" s="110"/>
      <c r="P1006" s="110"/>
      <c r="Q1006" s="433">
        <v>40</v>
      </c>
      <c r="R1006" s="111">
        <v>4996</v>
      </c>
      <c r="S1006" s="110"/>
      <c r="T1006" s="110"/>
      <c r="U1006" s="110"/>
      <c r="V1006" s="110"/>
      <c r="W1006" s="433">
        <v>30</v>
      </c>
      <c r="X1006" s="111">
        <v>4996</v>
      </c>
      <c r="Y1006" s="110"/>
      <c r="Z1006" s="110"/>
      <c r="AA1006" s="110"/>
      <c r="AB1006" s="110"/>
      <c r="AC1006" s="433">
        <v>30</v>
      </c>
      <c r="AD1006" s="111">
        <v>4996</v>
      </c>
      <c r="AE1006" s="110"/>
      <c r="AF1006" s="110"/>
      <c r="AG1006" s="110"/>
      <c r="AH1006" s="1048"/>
    </row>
    <row r="1007" spans="1:34" ht="45" x14ac:dyDescent="0.25">
      <c r="A1007" s="1047"/>
      <c r="B1007" s="110" t="s">
        <v>2423</v>
      </c>
      <c r="C1007" s="110"/>
      <c r="D1007" s="433">
        <v>68</v>
      </c>
      <c r="E1007" s="207" t="s">
        <v>1766</v>
      </c>
      <c r="F1007" s="1178" t="s">
        <v>4353</v>
      </c>
      <c r="G1007" s="1056" t="s">
        <v>4306</v>
      </c>
      <c r="H1007" s="433" t="s">
        <v>3478</v>
      </c>
      <c r="I1007" s="111">
        <v>130.68</v>
      </c>
      <c r="J1007" s="111">
        <v>8886.24</v>
      </c>
      <c r="K1007" s="110"/>
      <c r="L1007" s="110"/>
      <c r="M1007" s="110"/>
      <c r="N1007" s="110"/>
      <c r="O1007" s="110"/>
      <c r="P1007" s="110"/>
      <c r="Q1007" s="433">
        <v>28</v>
      </c>
      <c r="R1007" s="111">
        <v>2962.08</v>
      </c>
      <c r="S1007" s="110"/>
      <c r="T1007" s="110"/>
      <c r="U1007" s="110"/>
      <c r="V1007" s="110"/>
      <c r="W1007" s="433">
        <v>25</v>
      </c>
      <c r="X1007" s="111">
        <v>2962.08</v>
      </c>
      <c r="Y1007" s="110"/>
      <c r="Z1007" s="110"/>
      <c r="AA1007" s="110"/>
      <c r="AB1007" s="110"/>
      <c r="AC1007" s="433">
        <v>15</v>
      </c>
      <c r="AD1007" s="111">
        <v>2962.08</v>
      </c>
      <c r="AE1007" s="110"/>
      <c r="AF1007" s="110"/>
      <c r="AG1007" s="110"/>
      <c r="AH1007" s="1048"/>
    </row>
    <row r="1008" spans="1:34" ht="45" x14ac:dyDescent="0.25">
      <c r="A1008" s="1047"/>
      <c r="B1008" s="110" t="s">
        <v>2424</v>
      </c>
      <c r="C1008" s="110"/>
      <c r="D1008" s="433">
        <v>7</v>
      </c>
      <c r="E1008" s="207" t="s">
        <v>1766</v>
      </c>
      <c r="F1008" s="1178" t="s">
        <v>4353</v>
      </c>
      <c r="G1008" s="1056" t="s">
        <v>4306</v>
      </c>
      <c r="H1008" s="433" t="s">
        <v>3478</v>
      </c>
      <c r="I1008" s="111">
        <v>321.71999999999997</v>
      </c>
      <c r="J1008" s="111">
        <v>2252.04</v>
      </c>
      <c r="K1008" s="110"/>
      <c r="L1008" s="110"/>
      <c r="M1008" s="110"/>
      <c r="N1008" s="110"/>
      <c r="O1008" s="110"/>
      <c r="P1008" s="110"/>
      <c r="Q1008" s="433">
        <v>3</v>
      </c>
      <c r="R1008" s="111">
        <v>750.68</v>
      </c>
      <c r="S1008" s="110"/>
      <c r="T1008" s="110"/>
      <c r="U1008" s="110"/>
      <c r="V1008" s="110"/>
      <c r="W1008" s="433">
        <v>2</v>
      </c>
      <c r="X1008" s="111">
        <v>750.68</v>
      </c>
      <c r="Y1008" s="110"/>
      <c r="Z1008" s="110"/>
      <c r="AA1008" s="110"/>
      <c r="AB1008" s="110"/>
      <c r="AC1008" s="433">
        <v>2</v>
      </c>
      <c r="AD1008" s="111">
        <v>750.68</v>
      </c>
      <c r="AE1008" s="110"/>
      <c r="AF1008" s="110"/>
      <c r="AG1008" s="110"/>
      <c r="AH1008" s="1048"/>
    </row>
    <row r="1009" spans="1:34" ht="45" x14ac:dyDescent="0.25">
      <c r="A1009" s="1047"/>
      <c r="B1009" s="110" t="s">
        <v>2425</v>
      </c>
      <c r="C1009" s="110"/>
      <c r="D1009" s="433">
        <v>5</v>
      </c>
      <c r="E1009" s="207" t="s">
        <v>1767</v>
      </c>
      <c r="F1009" s="1178" t="s">
        <v>4353</v>
      </c>
      <c r="G1009" s="1056" t="s">
        <v>4306</v>
      </c>
      <c r="H1009" s="433" t="s">
        <v>3478</v>
      </c>
      <c r="I1009" s="111">
        <v>247.16</v>
      </c>
      <c r="J1009" s="111">
        <v>1235.8</v>
      </c>
      <c r="K1009" s="110"/>
      <c r="L1009" s="110"/>
      <c r="M1009" s="110"/>
      <c r="N1009" s="110"/>
      <c r="O1009" s="110"/>
      <c r="P1009" s="110"/>
      <c r="Q1009" s="433">
        <v>2</v>
      </c>
      <c r="R1009" s="111">
        <v>411.93333333333334</v>
      </c>
      <c r="S1009" s="110"/>
      <c r="T1009" s="110"/>
      <c r="U1009" s="110"/>
      <c r="V1009" s="110"/>
      <c r="W1009" s="433">
        <v>2</v>
      </c>
      <c r="X1009" s="111">
        <v>411.93333333333334</v>
      </c>
      <c r="Y1009" s="110"/>
      <c r="Z1009" s="110"/>
      <c r="AA1009" s="110"/>
      <c r="AB1009" s="110"/>
      <c r="AC1009" s="433">
        <v>1</v>
      </c>
      <c r="AD1009" s="111">
        <v>411.93333333333334</v>
      </c>
      <c r="AE1009" s="110"/>
      <c r="AF1009" s="110"/>
      <c r="AG1009" s="110"/>
      <c r="AH1009" s="1048"/>
    </row>
    <row r="1010" spans="1:34" ht="45" x14ac:dyDescent="0.25">
      <c r="A1010" s="1047"/>
      <c r="B1010" s="110" t="s">
        <v>2426</v>
      </c>
      <c r="C1010" s="110"/>
      <c r="D1010" s="433">
        <v>3</v>
      </c>
      <c r="E1010" s="207" t="s">
        <v>1722</v>
      </c>
      <c r="F1010" s="1178" t="s">
        <v>4353</v>
      </c>
      <c r="G1010" s="1056" t="s">
        <v>4306</v>
      </c>
      <c r="H1010" s="433" t="s">
        <v>3478</v>
      </c>
      <c r="I1010" s="111">
        <v>321.72000000000003</v>
      </c>
      <c r="J1010" s="111">
        <v>965.16000000000008</v>
      </c>
      <c r="K1010" s="110"/>
      <c r="L1010" s="110"/>
      <c r="M1010" s="110"/>
      <c r="N1010" s="110"/>
      <c r="O1010" s="110"/>
      <c r="P1010" s="110"/>
      <c r="Q1010" s="433">
        <v>1</v>
      </c>
      <c r="R1010" s="111">
        <v>321.72000000000003</v>
      </c>
      <c r="S1010" s="110"/>
      <c r="T1010" s="110"/>
      <c r="U1010" s="110"/>
      <c r="V1010" s="110"/>
      <c r="W1010" s="433">
        <v>1</v>
      </c>
      <c r="X1010" s="111">
        <v>321.72000000000003</v>
      </c>
      <c r="Y1010" s="110"/>
      <c r="Z1010" s="110"/>
      <c r="AA1010" s="110"/>
      <c r="AB1010" s="110"/>
      <c r="AC1010" s="433">
        <v>1</v>
      </c>
      <c r="AD1010" s="111">
        <v>321.72000000000003</v>
      </c>
      <c r="AE1010" s="110"/>
      <c r="AF1010" s="110"/>
      <c r="AG1010" s="110"/>
      <c r="AH1010" s="1048"/>
    </row>
    <row r="1011" spans="1:34" ht="45" x14ac:dyDescent="0.25">
      <c r="A1011" s="1047"/>
      <c r="B1011" s="110" t="s">
        <v>4192</v>
      </c>
      <c r="C1011" s="110"/>
      <c r="D1011" s="433">
        <v>3</v>
      </c>
      <c r="E1011" s="207" t="s">
        <v>1767</v>
      </c>
      <c r="F1011" s="1178" t="s">
        <v>4353</v>
      </c>
      <c r="G1011" s="1056" t="s">
        <v>4306</v>
      </c>
      <c r="H1011" s="433" t="s">
        <v>3478</v>
      </c>
      <c r="I1011" s="111">
        <v>300</v>
      </c>
      <c r="J1011" s="111">
        <v>900</v>
      </c>
      <c r="K1011" s="110"/>
      <c r="L1011" s="110"/>
      <c r="M1011" s="110"/>
      <c r="N1011" s="110"/>
      <c r="O1011" s="110"/>
      <c r="P1011" s="110"/>
      <c r="Q1011" s="433">
        <v>1</v>
      </c>
      <c r="R1011" s="111">
        <v>300</v>
      </c>
      <c r="S1011" s="110"/>
      <c r="T1011" s="110"/>
      <c r="U1011" s="110"/>
      <c r="V1011" s="110"/>
      <c r="W1011" s="433">
        <v>1</v>
      </c>
      <c r="X1011" s="111">
        <v>300</v>
      </c>
      <c r="Y1011" s="110"/>
      <c r="Z1011" s="110"/>
      <c r="AA1011" s="110"/>
      <c r="AB1011" s="110"/>
      <c r="AC1011" s="433">
        <v>1</v>
      </c>
      <c r="AD1011" s="111">
        <v>300</v>
      </c>
      <c r="AE1011" s="110"/>
      <c r="AF1011" s="110"/>
      <c r="AG1011" s="110"/>
      <c r="AH1011" s="1048"/>
    </row>
    <row r="1012" spans="1:34" ht="45" x14ac:dyDescent="0.25">
      <c r="A1012" s="1047"/>
      <c r="B1012" s="110" t="s">
        <v>2427</v>
      </c>
      <c r="C1012" s="110"/>
      <c r="D1012" s="433">
        <v>40</v>
      </c>
      <c r="E1012" s="207" t="s">
        <v>1767</v>
      </c>
      <c r="F1012" s="1178" t="s">
        <v>4353</v>
      </c>
      <c r="G1012" s="1056" t="s">
        <v>4306</v>
      </c>
      <c r="H1012" s="433" t="s">
        <v>3478</v>
      </c>
      <c r="I1012" s="111">
        <v>766.06</v>
      </c>
      <c r="J1012" s="111">
        <v>30642.399999999998</v>
      </c>
      <c r="K1012" s="110"/>
      <c r="L1012" s="110"/>
      <c r="M1012" s="110"/>
      <c r="N1012" s="110"/>
      <c r="O1012" s="110"/>
      <c r="P1012" s="110"/>
      <c r="Q1012" s="433">
        <v>20</v>
      </c>
      <c r="R1012" s="111">
        <v>10214.133333333333</v>
      </c>
      <c r="S1012" s="110"/>
      <c r="T1012" s="110"/>
      <c r="U1012" s="110"/>
      <c r="V1012" s="110"/>
      <c r="W1012" s="433">
        <v>10</v>
      </c>
      <c r="X1012" s="111">
        <v>10214.133333333333</v>
      </c>
      <c r="Y1012" s="110"/>
      <c r="Z1012" s="110"/>
      <c r="AA1012" s="110"/>
      <c r="AB1012" s="110"/>
      <c r="AC1012" s="433">
        <v>10</v>
      </c>
      <c r="AD1012" s="111">
        <v>10214.133333333333</v>
      </c>
      <c r="AE1012" s="110"/>
      <c r="AF1012" s="110"/>
      <c r="AG1012" s="110"/>
      <c r="AH1012" s="1048"/>
    </row>
    <row r="1013" spans="1:34" ht="45" x14ac:dyDescent="0.25">
      <c r="A1013" s="1047"/>
      <c r="B1013" s="110" t="s">
        <v>2429</v>
      </c>
      <c r="C1013" s="110"/>
      <c r="D1013" s="433">
        <v>5</v>
      </c>
      <c r="E1013" s="207" t="s">
        <v>1766</v>
      </c>
      <c r="F1013" s="1178" t="s">
        <v>4353</v>
      </c>
      <c r="G1013" s="1056" t="s">
        <v>4306</v>
      </c>
      <c r="H1013" s="433" t="s">
        <v>3478</v>
      </c>
      <c r="I1013" s="111">
        <v>86.38</v>
      </c>
      <c r="J1013" s="111">
        <v>431.9</v>
      </c>
      <c r="K1013" s="110"/>
      <c r="L1013" s="110"/>
      <c r="M1013" s="110"/>
      <c r="N1013" s="110"/>
      <c r="O1013" s="110"/>
      <c r="P1013" s="110"/>
      <c r="Q1013" s="433">
        <v>2</v>
      </c>
      <c r="R1013" s="111">
        <v>143.96666666666667</v>
      </c>
      <c r="S1013" s="110"/>
      <c r="T1013" s="110"/>
      <c r="U1013" s="110"/>
      <c r="V1013" s="110"/>
      <c r="W1013" s="433">
        <v>2</v>
      </c>
      <c r="X1013" s="111">
        <v>143.96666666666667</v>
      </c>
      <c r="Y1013" s="110"/>
      <c r="Z1013" s="110"/>
      <c r="AA1013" s="110"/>
      <c r="AB1013" s="110"/>
      <c r="AC1013" s="433">
        <v>1</v>
      </c>
      <c r="AD1013" s="111">
        <v>143.96666666666667</v>
      </c>
      <c r="AE1013" s="110"/>
      <c r="AF1013" s="110"/>
      <c r="AG1013" s="110"/>
      <c r="AH1013" s="1048"/>
    </row>
    <row r="1014" spans="1:34" ht="45" x14ac:dyDescent="0.25">
      <c r="A1014" s="1047"/>
      <c r="B1014" s="110" t="s">
        <v>2430</v>
      </c>
      <c r="C1014" s="110"/>
      <c r="D1014" s="433">
        <v>19</v>
      </c>
      <c r="E1014" s="207" t="s">
        <v>1767</v>
      </c>
      <c r="F1014" s="1178" t="s">
        <v>4353</v>
      </c>
      <c r="G1014" s="1056" t="s">
        <v>4306</v>
      </c>
      <c r="H1014" s="433" t="s">
        <v>3478</v>
      </c>
      <c r="I1014" s="111">
        <v>93.96</v>
      </c>
      <c r="J1014" s="111">
        <v>1785.2399999999998</v>
      </c>
      <c r="K1014" s="110"/>
      <c r="L1014" s="110"/>
      <c r="M1014" s="110"/>
      <c r="N1014" s="110"/>
      <c r="O1014" s="110"/>
      <c r="P1014" s="110"/>
      <c r="Q1014" s="433">
        <v>9</v>
      </c>
      <c r="R1014" s="111">
        <v>595.07999999999993</v>
      </c>
      <c r="S1014" s="110"/>
      <c r="T1014" s="110"/>
      <c r="U1014" s="110"/>
      <c r="V1014" s="110"/>
      <c r="W1014" s="433">
        <v>6</v>
      </c>
      <c r="X1014" s="111">
        <v>595.07999999999993</v>
      </c>
      <c r="Y1014" s="110"/>
      <c r="Z1014" s="110"/>
      <c r="AA1014" s="110"/>
      <c r="AB1014" s="110"/>
      <c r="AC1014" s="433">
        <v>4</v>
      </c>
      <c r="AD1014" s="111">
        <v>595.07999999999993</v>
      </c>
      <c r="AE1014" s="110"/>
      <c r="AF1014" s="110"/>
      <c r="AG1014" s="110"/>
      <c r="AH1014" s="1048"/>
    </row>
    <row r="1015" spans="1:34" ht="45" x14ac:dyDescent="0.25">
      <c r="A1015" s="1047"/>
      <c r="B1015" s="110" t="s">
        <v>2431</v>
      </c>
      <c r="C1015" s="110"/>
      <c r="D1015" s="433">
        <v>13</v>
      </c>
      <c r="E1015" s="207" t="s">
        <v>1767</v>
      </c>
      <c r="F1015" s="1178" t="s">
        <v>4353</v>
      </c>
      <c r="G1015" s="1056" t="s">
        <v>4306</v>
      </c>
      <c r="H1015" s="433" t="s">
        <v>3478</v>
      </c>
      <c r="I1015" s="111">
        <v>122.52</v>
      </c>
      <c r="J1015" s="111">
        <v>1592.76</v>
      </c>
      <c r="K1015" s="110"/>
      <c r="L1015" s="110"/>
      <c r="M1015" s="110"/>
      <c r="N1015" s="110"/>
      <c r="O1015" s="110"/>
      <c r="P1015" s="110"/>
      <c r="Q1015" s="433">
        <v>6</v>
      </c>
      <c r="R1015" s="111">
        <v>530.91999999999996</v>
      </c>
      <c r="S1015" s="110"/>
      <c r="T1015" s="110"/>
      <c r="U1015" s="110"/>
      <c r="V1015" s="110"/>
      <c r="W1015" s="433">
        <v>4</v>
      </c>
      <c r="X1015" s="111">
        <v>530.91999999999996</v>
      </c>
      <c r="Y1015" s="110"/>
      <c r="Z1015" s="110"/>
      <c r="AA1015" s="110"/>
      <c r="AB1015" s="110"/>
      <c r="AC1015" s="433">
        <v>3</v>
      </c>
      <c r="AD1015" s="111">
        <v>530.91999999999996</v>
      </c>
      <c r="AE1015" s="110"/>
      <c r="AF1015" s="110"/>
      <c r="AG1015" s="110"/>
      <c r="AH1015" s="1048"/>
    </row>
    <row r="1016" spans="1:34" ht="45" x14ac:dyDescent="0.25">
      <c r="A1016" s="1047"/>
      <c r="B1016" s="110" t="s">
        <v>2432</v>
      </c>
      <c r="C1016" s="110"/>
      <c r="D1016" s="433">
        <v>6</v>
      </c>
      <c r="E1016" s="207" t="s">
        <v>1767</v>
      </c>
      <c r="F1016" s="1178" t="s">
        <v>4353</v>
      </c>
      <c r="G1016" s="1056" t="s">
        <v>4306</v>
      </c>
      <c r="H1016" s="433" t="s">
        <v>3478</v>
      </c>
      <c r="I1016" s="111">
        <v>550</v>
      </c>
      <c r="J1016" s="111">
        <v>3300</v>
      </c>
      <c r="K1016" s="110"/>
      <c r="L1016" s="110"/>
      <c r="M1016" s="110"/>
      <c r="N1016" s="110"/>
      <c r="O1016" s="110"/>
      <c r="P1016" s="110"/>
      <c r="Q1016" s="433">
        <v>2</v>
      </c>
      <c r="R1016" s="111">
        <v>1100</v>
      </c>
      <c r="S1016" s="110"/>
      <c r="T1016" s="110"/>
      <c r="U1016" s="110"/>
      <c r="V1016" s="110"/>
      <c r="W1016" s="433">
        <v>2</v>
      </c>
      <c r="X1016" s="111">
        <v>1100</v>
      </c>
      <c r="Y1016" s="110"/>
      <c r="Z1016" s="110"/>
      <c r="AA1016" s="110"/>
      <c r="AB1016" s="110"/>
      <c r="AC1016" s="433">
        <v>2</v>
      </c>
      <c r="AD1016" s="111">
        <v>1100</v>
      </c>
      <c r="AE1016" s="110"/>
      <c r="AF1016" s="110"/>
      <c r="AG1016" s="110"/>
      <c r="AH1016" s="1048"/>
    </row>
    <row r="1017" spans="1:34" ht="45" x14ac:dyDescent="0.25">
      <c r="A1017" s="1047"/>
      <c r="B1017" s="110" t="s">
        <v>2433</v>
      </c>
      <c r="C1017" s="110"/>
      <c r="D1017" s="433">
        <v>2</v>
      </c>
      <c r="E1017" s="207" t="s">
        <v>1767</v>
      </c>
      <c r="F1017" s="1178" t="s">
        <v>4353</v>
      </c>
      <c r="G1017" s="1056" t="s">
        <v>4306</v>
      </c>
      <c r="H1017" s="433" t="s">
        <v>3478</v>
      </c>
      <c r="I1017" s="111">
        <v>10.73</v>
      </c>
      <c r="J1017" s="111">
        <v>21.46</v>
      </c>
      <c r="K1017" s="110"/>
      <c r="L1017" s="110"/>
      <c r="M1017" s="110"/>
      <c r="N1017" s="110"/>
      <c r="O1017" s="110"/>
      <c r="P1017" s="110"/>
      <c r="Q1017" s="433">
        <v>1</v>
      </c>
      <c r="R1017" s="111">
        <v>7.1533333333333333</v>
      </c>
      <c r="S1017" s="110"/>
      <c r="T1017" s="110"/>
      <c r="U1017" s="110"/>
      <c r="V1017" s="110"/>
      <c r="W1017" s="433">
        <v>1</v>
      </c>
      <c r="X1017" s="111">
        <v>7.1533333333333333</v>
      </c>
      <c r="Y1017" s="110"/>
      <c r="Z1017" s="110"/>
      <c r="AA1017" s="110"/>
      <c r="AB1017" s="110"/>
      <c r="AC1017" s="433">
        <v>0</v>
      </c>
      <c r="AD1017" s="111">
        <v>7.1533333333333333</v>
      </c>
      <c r="AE1017" s="110"/>
      <c r="AF1017" s="110"/>
      <c r="AG1017" s="110"/>
      <c r="AH1017" s="1048"/>
    </row>
    <row r="1018" spans="1:34" ht="45" x14ac:dyDescent="0.25">
      <c r="A1018" s="1047"/>
      <c r="B1018" s="110" t="s">
        <v>2434</v>
      </c>
      <c r="C1018" s="110"/>
      <c r="D1018" s="433">
        <v>14</v>
      </c>
      <c r="E1018" s="207" t="s">
        <v>1767</v>
      </c>
      <c r="F1018" s="1178" t="s">
        <v>4353</v>
      </c>
      <c r="G1018" s="1056" t="s">
        <v>4306</v>
      </c>
      <c r="H1018" s="433" t="s">
        <v>3478</v>
      </c>
      <c r="I1018" s="111">
        <v>15.63</v>
      </c>
      <c r="J1018" s="111">
        <v>218.82000000000002</v>
      </c>
      <c r="K1018" s="110"/>
      <c r="L1018" s="110"/>
      <c r="M1018" s="110"/>
      <c r="N1018" s="110"/>
      <c r="O1018" s="110"/>
      <c r="P1018" s="110"/>
      <c r="Q1018" s="433">
        <v>7</v>
      </c>
      <c r="R1018" s="111">
        <v>72.940000000000012</v>
      </c>
      <c r="S1018" s="110"/>
      <c r="T1018" s="110"/>
      <c r="U1018" s="110"/>
      <c r="V1018" s="110"/>
      <c r="W1018" s="433">
        <v>4</v>
      </c>
      <c r="X1018" s="111">
        <v>72.940000000000012</v>
      </c>
      <c r="Y1018" s="110"/>
      <c r="Z1018" s="110"/>
      <c r="AA1018" s="110"/>
      <c r="AB1018" s="110"/>
      <c r="AC1018" s="433">
        <v>3</v>
      </c>
      <c r="AD1018" s="111">
        <v>72.940000000000012</v>
      </c>
      <c r="AE1018" s="110"/>
      <c r="AF1018" s="110"/>
      <c r="AG1018" s="110"/>
      <c r="AH1018" s="1048"/>
    </row>
    <row r="1019" spans="1:34" ht="45" x14ac:dyDescent="0.25">
      <c r="A1019" s="1047"/>
      <c r="B1019" s="110" t="s">
        <v>2435</v>
      </c>
      <c r="C1019" s="110"/>
      <c r="D1019" s="433">
        <v>4</v>
      </c>
      <c r="E1019" s="207" t="s">
        <v>1767</v>
      </c>
      <c r="F1019" s="1178" t="s">
        <v>4353</v>
      </c>
      <c r="G1019" s="1056" t="s">
        <v>4306</v>
      </c>
      <c r="H1019" s="433" t="s">
        <v>3478</v>
      </c>
      <c r="I1019" s="111">
        <v>25.35</v>
      </c>
      <c r="J1019" s="111">
        <v>101.4</v>
      </c>
      <c r="K1019" s="110"/>
      <c r="L1019" s="110"/>
      <c r="M1019" s="110"/>
      <c r="N1019" s="110"/>
      <c r="O1019" s="110"/>
      <c r="P1019" s="110"/>
      <c r="Q1019" s="433">
        <v>2</v>
      </c>
      <c r="R1019" s="111">
        <v>33.800000000000004</v>
      </c>
      <c r="S1019" s="110"/>
      <c r="T1019" s="110"/>
      <c r="U1019" s="110"/>
      <c r="V1019" s="110"/>
      <c r="W1019" s="433">
        <v>1</v>
      </c>
      <c r="X1019" s="111">
        <v>33.800000000000004</v>
      </c>
      <c r="Y1019" s="110"/>
      <c r="Z1019" s="110"/>
      <c r="AA1019" s="110"/>
      <c r="AB1019" s="110"/>
      <c r="AC1019" s="433">
        <v>1</v>
      </c>
      <c r="AD1019" s="111">
        <v>33.800000000000004</v>
      </c>
      <c r="AE1019" s="110"/>
      <c r="AF1019" s="110"/>
      <c r="AG1019" s="110"/>
      <c r="AH1019" s="1048"/>
    </row>
    <row r="1020" spans="1:34" ht="45" x14ac:dyDescent="0.25">
      <c r="A1020" s="1047"/>
      <c r="B1020" s="110" t="s">
        <v>2436</v>
      </c>
      <c r="C1020" s="110"/>
      <c r="D1020" s="433">
        <v>65</v>
      </c>
      <c r="E1020" s="207" t="s">
        <v>1766</v>
      </c>
      <c r="F1020" s="1178" t="s">
        <v>4353</v>
      </c>
      <c r="G1020" s="1056" t="s">
        <v>4306</v>
      </c>
      <c r="H1020" s="433" t="s">
        <v>3478</v>
      </c>
      <c r="I1020" s="111">
        <v>4.34</v>
      </c>
      <c r="J1020" s="111">
        <v>282.09999999999997</v>
      </c>
      <c r="K1020" s="110"/>
      <c r="L1020" s="110"/>
      <c r="M1020" s="110"/>
      <c r="N1020" s="110"/>
      <c r="O1020" s="110"/>
      <c r="P1020" s="110"/>
      <c r="Q1020" s="433">
        <v>25</v>
      </c>
      <c r="R1020" s="111">
        <v>94.033333333333317</v>
      </c>
      <c r="S1020" s="110"/>
      <c r="T1020" s="110"/>
      <c r="U1020" s="110"/>
      <c r="V1020" s="110"/>
      <c r="W1020" s="433">
        <v>20</v>
      </c>
      <c r="X1020" s="111">
        <v>94.033333333333317</v>
      </c>
      <c r="Y1020" s="110"/>
      <c r="Z1020" s="110"/>
      <c r="AA1020" s="110"/>
      <c r="AB1020" s="110"/>
      <c r="AC1020" s="433">
        <v>20</v>
      </c>
      <c r="AD1020" s="111">
        <v>94.033333333333317</v>
      </c>
      <c r="AE1020" s="110"/>
      <c r="AF1020" s="110"/>
      <c r="AG1020" s="110"/>
      <c r="AH1020" s="1048"/>
    </row>
    <row r="1021" spans="1:34" ht="45" x14ac:dyDescent="0.25">
      <c r="A1021" s="1047"/>
      <c r="B1021" s="110" t="s">
        <v>2437</v>
      </c>
      <c r="C1021" s="110"/>
      <c r="D1021" s="433">
        <v>3</v>
      </c>
      <c r="E1021" s="207" t="s">
        <v>1767</v>
      </c>
      <c r="F1021" s="1178" t="s">
        <v>4353</v>
      </c>
      <c r="G1021" s="1056" t="s">
        <v>4306</v>
      </c>
      <c r="H1021" s="433" t="s">
        <v>3478</v>
      </c>
      <c r="I1021" s="111">
        <v>56</v>
      </c>
      <c r="J1021" s="111">
        <v>168</v>
      </c>
      <c r="K1021" s="110"/>
      <c r="L1021" s="110"/>
      <c r="M1021" s="110"/>
      <c r="N1021" s="110"/>
      <c r="O1021" s="110"/>
      <c r="P1021" s="110"/>
      <c r="Q1021" s="433">
        <v>1</v>
      </c>
      <c r="R1021" s="111">
        <v>56</v>
      </c>
      <c r="S1021" s="110"/>
      <c r="T1021" s="110"/>
      <c r="U1021" s="110"/>
      <c r="V1021" s="110"/>
      <c r="W1021" s="433">
        <v>1</v>
      </c>
      <c r="X1021" s="111">
        <v>56</v>
      </c>
      <c r="Y1021" s="110"/>
      <c r="Z1021" s="110"/>
      <c r="AA1021" s="110"/>
      <c r="AB1021" s="110"/>
      <c r="AC1021" s="433">
        <v>1</v>
      </c>
      <c r="AD1021" s="111">
        <v>56</v>
      </c>
      <c r="AE1021" s="110"/>
      <c r="AF1021" s="110"/>
      <c r="AG1021" s="110"/>
      <c r="AH1021" s="1048"/>
    </row>
    <row r="1022" spans="1:34" ht="45" x14ac:dyDescent="0.25">
      <c r="A1022" s="1047"/>
      <c r="B1022" s="110" t="s">
        <v>2438</v>
      </c>
      <c r="C1022" s="110"/>
      <c r="D1022" s="433">
        <v>1</v>
      </c>
      <c r="E1022" s="207" t="s">
        <v>1725</v>
      </c>
      <c r="F1022" s="1178" t="s">
        <v>4353</v>
      </c>
      <c r="G1022" s="1056" t="s">
        <v>4306</v>
      </c>
      <c r="H1022" s="433" t="s">
        <v>3478</v>
      </c>
      <c r="I1022" s="111">
        <v>500</v>
      </c>
      <c r="J1022" s="111">
        <v>500</v>
      </c>
      <c r="K1022" s="110"/>
      <c r="L1022" s="110"/>
      <c r="M1022" s="110"/>
      <c r="N1022" s="110"/>
      <c r="O1022" s="110"/>
      <c r="P1022" s="110"/>
      <c r="Q1022" s="433">
        <v>1</v>
      </c>
      <c r="R1022" s="111">
        <v>166.66666666666666</v>
      </c>
      <c r="S1022" s="110"/>
      <c r="T1022" s="110"/>
      <c r="U1022" s="110"/>
      <c r="V1022" s="110"/>
      <c r="W1022" s="433">
        <v>0</v>
      </c>
      <c r="X1022" s="111">
        <v>166.66666666666666</v>
      </c>
      <c r="Y1022" s="110"/>
      <c r="Z1022" s="110"/>
      <c r="AA1022" s="110"/>
      <c r="AB1022" s="110"/>
      <c r="AC1022" s="433">
        <v>0</v>
      </c>
      <c r="AD1022" s="111">
        <v>166.66666666666666</v>
      </c>
      <c r="AE1022" s="110"/>
      <c r="AF1022" s="110"/>
      <c r="AG1022" s="110"/>
      <c r="AH1022" s="1048"/>
    </row>
    <row r="1023" spans="1:34" ht="45" x14ac:dyDescent="0.25">
      <c r="A1023" s="1047"/>
      <c r="B1023" s="110" t="s">
        <v>2440</v>
      </c>
      <c r="C1023" s="110"/>
      <c r="D1023" s="433">
        <v>5</v>
      </c>
      <c r="E1023" s="207" t="s">
        <v>1722</v>
      </c>
      <c r="F1023" s="1178" t="s">
        <v>4353</v>
      </c>
      <c r="G1023" s="1056" t="s">
        <v>4306</v>
      </c>
      <c r="H1023" s="433" t="s">
        <v>3478</v>
      </c>
      <c r="I1023" s="111">
        <v>75</v>
      </c>
      <c r="J1023" s="111">
        <v>375</v>
      </c>
      <c r="K1023" s="110"/>
      <c r="L1023" s="110"/>
      <c r="M1023" s="110"/>
      <c r="N1023" s="110"/>
      <c r="O1023" s="110"/>
      <c r="P1023" s="110"/>
      <c r="Q1023" s="433">
        <v>2</v>
      </c>
      <c r="R1023" s="111">
        <v>125</v>
      </c>
      <c r="S1023" s="110"/>
      <c r="T1023" s="110"/>
      <c r="U1023" s="110"/>
      <c r="V1023" s="110"/>
      <c r="W1023" s="433">
        <v>2</v>
      </c>
      <c r="X1023" s="111">
        <v>125</v>
      </c>
      <c r="Y1023" s="110"/>
      <c r="Z1023" s="110"/>
      <c r="AA1023" s="110"/>
      <c r="AB1023" s="110"/>
      <c r="AC1023" s="433">
        <v>1</v>
      </c>
      <c r="AD1023" s="111">
        <v>125</v>
      </c>
      <c r="AE1023" s="110"/>
      <c r="AF1023" s="110"/>
      <c r="AG1023" s="110"/>
      <c r="AH1023" s="1048"/>
    </row>
    <row r="1024" spans="1:34" ht="45" x14ac:dyDescent="0.25">
      <c r="A1024" s="1047"/>
      <c r="B1024" s="110" t="s">
        <v>2441</v>
      </c>
      <c r="C1024" s="110"/>
      <c r="D1024" s="433">
        <v>5</v>
      </c>
      <c r="E1024" s="207" t="s">
        <v>1722</v>
      </c>
      <c r="F1024" s="1178" t="s">
        <v>4353</v>
      </c>
      <c r="G1024" s="1056" t="s">
        <v>4306</v>
      </c>
      <c r="H1024" s="433" t="s">
        <v>3478</v>
      </c>
      <c r="I1024" s="111">
        <v>75</v>
      </c>
      <c r="J1024" s="111">
        <v>375</v>
      </c>
      <c r="K1024" s="110"/>
      <c r="L1024" s="110"/>
      <c r="M1024" s="110"/>
      <c r="N1024" s="110"/>
      <c r="O1024" s="110"/>
      <c r="P1024" s="110"/>
      <c r="Q1024" s="433">
        <v>2</v>
      </c>
      <c r="R1024" s="111">
        <v>125</v>
      </c>
      <c r="S1024" s="110"/>
      <c r="T1024" s="110"/>
      <c r="U1024" s="110"/>
      <c r="V1024" s="110"/>
      <c r="W1024" s="433">
        <v>2</v>
      </c>
      <c r="X1024" s="111">
        <v>125</v>
      </c>
      <c r="Y1024" s="110"/>
      <c r="Z1024" s="110"/>
      <c r="AA1024" s="110"/>
      <c r="AB1024" s="110"/>
      <c r="AC1024" s="433">
        <v>1</v>
      </c>
      <c r="AD1024" s="111">
        <v>125</v>
      </c>
      <c r="AE1024" s="110"/>
      <c r="AF1024" s="110"/>
      <c r="AG1024" s="110"/>
      <c r="AH1024" s="1048"/>
    </row>
    <row r="1025" spans="1:34" ht="45" x14ac:dyDescent="0.25">
      <c r="A1025" s="1047"/>
      <c r="B1025" s="110" t="s">
        <v>4193</v>
      </c>
      <c r="C1025" s="110"/>
      <c r="D1025" s="433">
        <v>4</v>
      </c>
      <c r="E1025" s="207" t="s">
        <v>1721</v>
      </c>
      <c r="F1025" s="1178" t="s">
        <v>4353</v>
      </c>
      <c r="G1025" s="1056" t="s">
        <v>4306</v>
      </c>
      <c r="H1025" s="433" t="s">
        <v>3478</v>
      </c>
      <c r="I1025" s="111">
        <v>139</v>
      </c>
      <c r="J1025" s="111">
        <v>556</v>
      </c>
      <c r="K1025" s="110"/>
      <c r="L1025" s="110"/>
      <c r="M1025" s="110"/>
      <c r="N1025" s="110"/>
      <c r="O1025" s="110"/>
      <c r="P1025" s="110"/>
      <c r="Q1025" s="433">
        <v>2</v>
      </c>
      <c r="R1025" s="111">
        <v>185.33333333333334</v>
      </c>
      <c r="S1025" s="110"/>
      <c r="T1025" s="110"/>
      <c r="U1025" s="110"/>
      <c r="V1025" s="110"/>
      <c r="W1025" s="433">
        <v>1</v>
      </c>
      <c r="X1025" s="111">
        <v>185.33333333333334</v>
      </c>
      <c r="Y1025" s="110"/>
      <c r="Z1025" s="110"/>
      <c r="AA1025" s="110"/>
      <c r="AB1025" s="110"/>
      <c r="AC1025" s="433">
        <v>1</v>
      </c>
      <c r="AD1025" s="111">
        <v>185.33333333333334</v>
      </c>
      <c r="AE1025" s="110"/>
      <c r="AF1025" s="110"/>
      <c r="AG1025" s="110"/>
      <c r="AH1025" s="1048"/>
    </row>
    <row r="1026" spans="1:34" ht="45" x14ac:dyDescent="0.25">
      <c r="A1026" s="1047"/>
      <c r="B1026" s="110" t="s">
        <v>4194</v>
      </c>
      <c r="C1026" s="110"/>
      <c r="D1026" s="433">
        <v>3</v>
      </c>
      <c r="E1026" s="207" t="s">
        <v>1725</v>
      </c>
      <c r="F1026" s="1178" t="s">
        <v>4353</v>
      </c>
      <c r="G1026" s="1056" t="s">
        <v>4306</v>
      </c>
      <c r="H1026" s="433" t="s">
        <v>3478</v>
      </c>
      <c r="I1026" s="111">
        <v>400</v>
      </c>
      <c r="J1026" s="111">
        <v>1200</v>
      </c>
      <c r="K1026" s="110"/>
      <c r="L1026" s="110"/>
      <c r="M1026" s="110"/>
      <c r="N1026" s="110"/>
      <c r="O1026" s="110"/>
      <c r="P1026" s="110"/>
      <c r="Q1026" s="433">
        <v>1</v>
      </c>
      <c r="R1026" s="111">
        <v>400</v>
      </c>
      <c r="S1026" s="110"/>
      <c r="T1026" s="110"/>
      <c r="U1026" s="110"/>
      <c r="V1026" s="110"/>
      <c r="W1026" s="433">
        <v>1</v>
      </c>
      <c r="X1026" s="111">
        <v>400</v>
      </c>
      <c r="Y1026" s="110"/>
      <c r="Z1026" s="110"/>
      <c r="AA1026" s="110"/>
      <c r="AB1026" s="110"/>
      <c r="AC1026" s="433">
        <v>1</v>
      </c>
      <c r="AD1026" s="111">
        <v>400</v>
      </c>
      <c r="AE1026" s="110"/>
      <c r="AF1026" s="110"/>
      <c r="AG1026" s="110"/>
      <c r="AH1026" s="1048"/>
    </row>
    <row r="1027" spans="1:34" ht="45" x14ac:dyDescent="0.25">
      <c r="A1027" s="1047"/>
      <c r="B1027" s="110" t="s">
        <v>4195</v>
      </c>
      <c r="C1027" s="110"/>
      <c r="D1027" s="433">
        <v>3</v>
      </c>
      <c r="E1027" s="207" t="s">
        <v>1722</v>
      </c>
      <c r="F1027" s="1178" t="s">
        <v>4353</v>
      </c>
      <c r="G1027" s="1056" t="s">
        <v>4306</v>
      </c>
      <c r="H1027" s="433" t="s">
        <v>3478</v>
      </c>
      <c r="I1027" s="111">
        <v>320</v>
      </c>
      <c r="J1027" s="111">
        <v>960</v>
      </c>
      <c r="K1027" s="110"/>
      <c r="L1027" s="110"/>
      <c r="M1027" s="110"/>
      <c r="N1027" s="110"/>
      <c r="O1027" s="110"/>
      <c r="P1027" s="110"/>
      <c r="Q1027" s="433">
        <v>1</v>
      </c>
      <c r="R1027" s="111">
        <v>320</v>
      </c>
      <c r="S1027" s="110"/>
      <c r="T1027" s="110"/>
      <c r="U1027" s="110"/>
      <c r="V1027" s="110"/>
      <c r="W1027" s="433">
        <v>1</v>
      </c>
      <c r="X1027" s="111">
        <v>320</v>
      </c>
      <c r="Y1027" s="110"/>
      <c r="Z1027" s="110"/>
      <c r="AA1027" s="110"/>
      <c r="AB1027" s="110"/>
      <c r="AC1027" s="433">
        <v>1</v>
      </c>
      <c r="AD1027" s="111">
        <v>320</v>
      </c>
      <c r="AE1027" s="110"/>
      <c r="AF1027" s="110"/>
      <c r="AG1027" s="110"/>
      <c r="AH1027" s="1048"/>
    </row>
    <row r="1028" spans="1:34" ht="45" x14ac:dyDescent="0.25">
      <c r="A1028" s="1047"/>
      <c r="B1028" s="110" t="s">
        <v>4196</v>
      </c>
      <c r="C1028" s="110"/>
      <c r="D1028" s="433">
        <v>20</v>
      </c>
      <c r="E1028" s="207" t="s">
        <v>2196</v>
      </c>
      <c r="F1028" s="1178" t="s">
        <v>4353</v>
      </c>
      <c r="G1028" s="1056" t="s">
        <v>4306</v>
      </c>
      <c r="H1028" s="433" t="s">
        <v>3478</v>
      </c>
      <c r="I1028" s="111">
        <v>84</v>
      </c>
      <c r="J1028" s="111">
        <v>1680</v>
      </c>
      <c r="K1028" s="110"/>
      <c r="L1028" s="110"/>
      <c r="M1028" s="110"/>
      <c r="N1028" s="110"/>
      <c r="O1028" s="110"/>
      <c r="P1028" s="110"/>
      <c r="Q1028" s="433">
        <v>10</v>
      </c>
      <c r="R1028" s="111">
        <v>560</v>
      </c>
      <c r="S1028" s="110"/>
      <c r="T1028" s="110"/>
      <c r="U1028" s="110"/>
      <c r="V1028" s="110"/>
      <c r="W1028" s="433">
        <v>5</v>
      </c>
      <c r="X1028" s="111">
        <v>560</v>
      </c>
      <c r="Y1028" s="110"/>
      <c r="Z1028" s="110"/>
      <c r="AA1028" s="110"/>
      <c r="AB1028" s="110"/>
      <c r="AC1028" s="433">
        <v>5</v>
      </c>
      <c r="AD1028" s="111">
        <v>560</v>
      </c>
      <c r="AE1028" s="110"/>
      <c r="AF1028" s="110"/>
      <c r="AG1028" s="110"/>
      <c r="AH1028" s="1048"/>
    </row>
    <row r="1029" spans="1:34" ht="45" x14ac:dyDescent="0.25">
      <c r="A1029" s="1047"/>
      <c r="B1029" s="110" t="s">
        <v>4197</v>
      </c>
      <c r="C1029" s="110"/>
      <c r="D1029" s="433">
        <v>5</v>
      </c>
      <c r="E1029" s="207" t="s">
        <v>2321</v>
      </c>
      <c r="F1029" s="1178" t="s">
        <v>4353</v>
      </c>
      <c r="G1029" s="1056" t="s">
        <v>4306</v>
      </c>
      <c r="H1029" s="433" t="s">
        <v>3478</v>
      </c>
      <c r="I1029" s="111">
        <v>600</v>
      </c>
      <c r="J1029" s="111">
        <v>3000</v>
      </c>
      <c r="K1029" s="110"/>
      <c r="L1029" s="110"/>
      <c r="M1029" s="110"/>
      <c r="N1029" s="110"/>
      <c r="O1029" s="110"/>
      <c r="P1029" s="110"/>
      <c r="Q1029" s="433">
        <v>2</v>
      </c>
      <c r="R1029" s="111">
        <v>1000</v>
      </c>
      <c r="S1029" s="110"/>
      <c r="T1029" s="110"/>
      <c r="U1029" s="110"/>
      <c r="V1029" s="110"/>
      <c r="W1029" s="433">
        <v>2</v>
      </c>
      <c r="X1029" s="111">
        <v>1000</v>
      </c>
      <c r="Y1029" s="110"/>
      <c r="Z1029" s="110"/>
      <c r="AA1029" s="110"/>
      <c r="AB1029" s="110"/>
      <c r="AC1029" s="433">
        <v>1</v>
      </c>
      <c r="AD1029" s="111">
        <v>1000</v>
      </c>
      <c r="AE1029" s="110"/>
      <c r="AF1029" s="110"/>
      <c r="AG1029" s="110"/>
      <c r="AH1029" s="1048"/>
    </row>
    <row r="1030" spans="1:34" ht="45" x14ac:dyDescent="0.25">
      <c r="A1030" s="1047"/>
      <c r="B1030" s="110" t="s">
        <v>4198</v>
      </c>
      <c r="C1030" s="110"/>
      <c r="D1030" s="433">
        <v>5</v>
      </c>
      <c r="E1030" s="207" t="s">
        <v>1721</v>
      </c>
      <c r="F1030" s="1178" t="s">
        <v>4353</v>
      </c>
      <c r="G1030" s="1056" t="s">
        <v>4306</v>
      </c>
      <c r="H1030" s="433" t="s">
        <v>3478</v>
      </c>
      <c r="I1030" s="111">
        <v>125</v>
      </c>
      <c r="J1030" s="111">
        <v>625</v>
      </c>
      <c r="K1030" s="110"/>
      <c r="L1030" s="110"/>
      <c r="M1030" s="110"/>
      <c r="N1030" s="110"/>
      <c r="O1030" s="110"/>
      <c r="P1030" s="110"/>
      <c r="Q1030" s="433">
        <v>2</v>
      </c>
      <c r="R1030" s="111">
        <v>208.33333333333334</v>
      </c>
      <c r="S1030" s="110"/>
      <c r="T1030" s="110"/>
      <c r="U1030" s="110"/>
      <c r="V1030" s="110"/>
      <c r="W1030" s="433">
        <v>2</v>
      </c>
      <c r="X1030" s="111">
        <v>208.33333333333334</v>
      </c>
      <c r="Y1030" s="110"/>
      <c r="Z1030" s="110"/>
      <c r="AA1030" s="110"/>
      <c r="AB1030" s="110"/>
      <c r="AC1030" s="433">
        <v>1</v>
      </c>
      <c r="AD1030" s="111">
        <v>208.33333333333334</v>
      </c>
      <c r="AE1030" s="110"/>
      <c r="AF1030" s="110"/>
      <c r="AG1030" s="110"/>
      <c r="AH1030" s="1048"/>
    </row>
    <row r="1031" spans="1:34" ht="45" x14ac:dyDescent="0.25">
      <c r="A1031" s="1047"/>
      <c r="B1031" s="110" t="s">
        <v>4199</v>
      </c>
      <c r="C1031" s="110"/>
      <c r="D1031" s="433">
        <v>10</v>
      </c>
      <c r="E1031" s="207" t="s">
        <v>1749</v>
      </c>
      <c r="F1031" s="1178" t="s">
        <v>4353</v>
      </c>
      <c r="G1031" s="1056" t="s">
        <v>4306</v>
      </c>
      <c r="H1031" s="433" t="s">
        <v>3478</v>
      </c>
      <c r="I1031" s="111">
        <v>30</v>
      </c>
      <c r="J1031" s="111">
        <v>300</v>
      </c>
      <c r="K1031" s="110"/>
      <c r="L1031" s="110"/>
      <c r="M1031" s="110"/>
      <c r="N1031" s="110"/>
      <c r="O1031" s="110"/>
      <c r="P1031" s="110"/>
      <c r="Q1031" s="433">
        <v>5</v>
      </c>
      <c r="R1031" s="111">
        <v>100</v>
      </c>
      <c r="S1031" s="110"/>
      <c r="T1031" s="110"/>
      <c r="U1031" s="110"/>
      <c r="V1031" s="110"/>
      <c r="W1031" s="433">
        <v>3</v>
      </c>
      <c r="X1031" s="111">
        <v>100</v>
      </c>
      <c r="Y1031" s="110"/>
      <c r="Z1031" s="110"/>
      <c r="AA1031" s="110"/>
      <c r="AB1031" s="110"/>
      <c r="AC1031" s="433">
        <v>2</v>
      </c>
      <c r="AD1031" s="111">
        <v>100</v>
      </c>
      <c r="AE1031" s="110"/>
      <c r="AF1031" s="110"/>
      <c r="AG1031" s="110"/>
      <c r="AH1031" s="1048"/>
    </row>
    <row r="1032" spans="1:34" ht="45" x14ac:dyDescent="0.25">
      <c r="A1032" s="1047"/>
      <c r="B1032" s="110" t="s">
        <v>4200</v>
      </c>
      <c r="C1032" s="110"/>
      <c r="D1032" s="433">
        <v>3</v>
      </c>
      <c r="E1032" s="207" t="s">
        <v>1722</v>
      </c>
      <c r="F1032" s="1178" t="s">
        <v>4353</v>
      </c>
      <c r="G1032" s="1056" t="s">
        <v>4306</v>
      </c>
      <c r="H1032" s="433" t="s">
        <v>3478</v>
      </c>
      <c r="I1032" s="111">
        <v>139</v>
      </c>
      <c r="J1032" s="111">
        <v>417</v>
      </c>
      <c r="K1032" s="110"/>
      <c r="L1032" s="110"/>
      <c r="M1032" s="110"/>
      <c r="N1032" s="110"/>
      <c r="O1032" s="110"/>
      <c r="P1032" s="110"/>
      <c r="Q1032" s="433">
        <v>1</v>
      </c>
      <c r="R1032" s="111">
        <v>139</v>
      </c>
      <c r="S1032" s="110"/>
      <c r="T1032" s="110"/>
      <c r="U1032" s="110"/>
      <c r="V1032" s="110"/>
      <c r="W1032" s="433">
        <v>1</v>
      </c>
      <c r="X1032" s="111">
        <v>139</v>
      </c>
      <c r="Y1032" s="110"/>
      <c r="Z1032" s="110"/>
      <c r="AA1032" s="110"/>
      <c r="AB1032" s="110"/>
      <c r="AC1032" s="433">
        <v>1</v>
      </c>
      <c r="AD1032" s="111">
        <v>139</v>
      </c>
      <c r="AE1032" s="110"/>
      <c r="AF1032" s="110"/>
      <c r="AG1032" s="110"/>
      <c r="AH1032" s="1048"/>
    </row>
    <row r="1033" spans="1:34" ht="45" x14ac:dyDescent="0.25">
      <c r="A1033" s="1047"/>
      <c r="B1033" s="110" t="s">
        <v>4201</v>
      </c>
      <c r="C1033" s="110"/>
      <c r="D1033" s="433">
        <v>3</v>
      </c>
      <c r="E1033" s="207" t="s">
        <v>1722</v>
      </c>
      <c r="F1033" s="1178" t="s">
        <v>4353</v>
      </c>
      <c r="G1033" s="1056" t="s">
        <v>4306</v>
      </c>
      <c r="H1033" s="433" t="s">
        <v>3478</v>
      </c>
      <c r="I1033" s="111">
        <v>139</v>
      </c>
      <c r="J1033" s="111">
        <v>417</v>
      </c>
      <c r="K1033" s="110"/>
      <c r="L1033" s="110"/>
      <c r="M1033" s="110"/>
      <c r="N1033" s="110"/>
      <c r="O1033" s="110"/>
      <c r="P1033" s="110"/>
      <c r="Q1033" s="433">
        <v>1</v>
      </c>
      <c r="R1033" s="111">
        <v>139</v>
      </c>
      <c r="S1033" s="110"/>
      <c r="T1033" s="110"/>
      <c r="U1033" s="110"/>
      <c r="V1033" s="110"/>
      <c r="W1033" s="433">
        <v>1</v>
      </c>
      <c r="X1033" s="111">
        <v>139</v>
      </c>
      <c r="Y1033" s="110"/>
      <c r="Z1033" s="110"/>
      <c r="AA1033" s="110"/>
      <c r="AB1033" s="110"/>
      <c r="AC1033" s="433">
        <v>1</v>
      </c>
      <c r="AD1033" s="111">
        <v>139</v>
      </c>
      <c r="AE1033" s="110"/>
      <c r="AF1033" s="110"/>
      <c r="AG1033" s="110"/>
      <c r="AH1033" s="1048"/>
    </row>
    <row r="1034" spans="1:34" ht="45" x14ac:dyDescent="0.25">
      <c r="A1034" s="1047"/>
      <c r="B1034" s="110" t="s">
        <v>4202</v>
      </c>
      <c r="C1034" s="110"/>
      <c r="D1034" s="433">
        <v>20</v>
      </c>
      <c r="E1034" s="207" t="s">
        <v>1721</v>
      </c>
      <c r="F1034" s="1178" t="s">
        <v>4353</v>
      </c>
      <c r="G1034" s="1056" t="s">
        <v>4306</v>
      </c>
      <c r="H1034" s="433" t="s">
        <v>3478</v>
      </c>
      <c r="I1034" s="111">
        <v>6</v>
      </c>
      <c r="J1034" s="111">
        <v>120</v>
      </c>
      <c r="K1034" s="110"/>
      <c r="L1034" s="110"/>
      <c r="M1034" s="110"/>
      <c r="N1034" s="110"/>
      <c r="O1034" s="110"/>
      <c r="P1034" s="110"/>
      <c r="Q1034" s="433">
        <v>10</v>
      </c>
      <c r="R1034" s="111">
        <v>40</v>
      </c>
      <c r="S1034" s="110"/>
      <c r="T1034" s="110"/>
      <c r="U1034" s="110"/>
      <c r="V1034" s="110"/>
      <c r="W1034" s="433">
        <v>5</v>
      </c>
      <c r="X1034" s="111">
        <v>40</v>
      </c>
      <c r="Y1034" s="110"/>
      <c r="Z1034" s="110"/>
      <c r="AA1034" s="110"/>
      <c r="AB1034" s="110"/>
      <c r="AC1034" s="433">
        <v>5</v>
      </c>
      <c r="AD1034" s="111">
        <v>40</v>
      </c>
      <c r="AE1034" s="110"/>
      <c r="AF1034" s="110"/>
      <c r="AG1034" s="110"/>
      <c r="AH1034" s="1048"/>
    </row>
    <row r="1035" spans="1:34" ht="45" x14ac:dyDescent="0.25">
      <c r="A1035" s="1047"/>
      <c r="B1035" s="110" t="s">
        <v>4203</v>
      </c>
      <c r="C1035" s="110"/>
      <c r="D1035" s="433">
        <v>5</v>
      </c>
      <c r="E1035" s="207" t="s">
        <v>2321</v>
      </c>
      <c r="F1035" s="1178" t="s">
        <v>4353</v>
      </c>
      <c r="G1035" s="1056" t="s">
        <v>4306</v>
      </c>
      <c r="H1035" s="433" t="s">
        <v>3478</v>
      </c>
      <c r="I1035" s="111">
        <v>180</v>
      </c>
      <c r="J1035" s="111">
        <v>900</v>
      </c>
      <c r="K1035" s="110"/>
      <c r="L1035" s="110"/>
      <c r="M1035" s="110"/>
      <c r="N1035" s="110"/>
      <c r="O1035" s="110"/>
      <c r="P1035" s="110"/>
      <c r="Q1035" s="433">
        <v>2</v>
      </c>
      <c r="R1035" s="111">
        <v>300</v>
      </c>
      <c r="S1035" s="110"/>
      <c r="T1035" s="110"/>
      <c r="U1035" s="110"/>
      <c r="V1035" s="110"/>
      <c r="W1035" s="433">
        <v>2</v>
      </c>
      <c r="X1035" s="111">
        <v>300</v>
      </c>
      <c r="Y1035" s="110"/>
      <c r="Z1035" s="110"/>
      <c r="AA1035" s="110"/>
      <c r="AB1035" s="110"/>
      <c r="AC1035" s="433">
        <v>1</v>
      </c>
      <c r="AD1035" s="111">
        <v>300</v>
      </c>
      <c r="AE1035" s="110"/>
      <c r="AF1035" s="110"/>
      <c r="AG1035" s="110"/>
      <c r="AH1035" s="1048"/>
    </row>
    <row r="1036" spans="1:34" ht="45" x14ac:dyDescent="0.25">
      <c r="A1036" s="1047"/>
      <c r="B1036" s="110" t="s">
        <v>4204</v>
      </c>
      <c r="C1036" s="110"/>
      <c r="D1036" s="433">
        <v>5</v>
      </c>
      <c r="E1036" s="207" t="s">
        <v>1721</v>
      </c>
      <c r="F1036" s="1178" t="s">
        <v>4353</v>
      </c>
      <c r="G1036" s="1056" t="s">
        <v>4306</v>
      </c>
      <c r="H1036" s="433" t="s">
        <v>3478</v>
      </c>
      <c r="I1036" s="111">
        <v>290</v>
      </c>
      <c r="J1036" s="111">
        <v>1450</v>
      </c>
      <c r="K1036" s="110"/>
      <c r="L1036" s="110"/>
      <c r="M1036" s="110"/>
      <c r="N1036" s="110"/>
      <c r="O1036" s="110"/>
      <c r="P1036" s="110"/>
      <c r="Q1036" s="433">
        <v>2</v>
      </c>
      <c r="R1036" s="111">
        <v>483.33333333333331</v>
      </c>
      <c r="S1036" s="110"/>
      <c r="T1036" s="110"/>
      <c r="U1036" s="110"/>
      <c r="V1036" s="110"/>
      <c r="W1036" s="433">
        <v>2</v>
      </c>
      <c r="X1036" s="111">
        <v>483.33333333333331</v>
      </c>
      <c r="Y1036" s="110"/>
      <c r="Z1036" s="110"/>
      <c r="AA1036" s="110"/>
      <c r="AB1036" s="110"/>
      <c r="AC1036" s="433">
        <v>1</v>
      </c>
      <c r="AD1036" s="111">
        <v>483.33333333333331</v>
      </c>
      <c r="AE1036" s="110"/>
      <c r="AF1036" s="110"/>
      <c r="AG1036" s="110"/>
      <c r="AH1036" s="1048"/>
    </row>
    <row r="1037" spans="1:34" ht="45" x14ac:dyDescent="0.25">
      <c r="A1037" s="1047"/>
      <c r="B1037" s="110" t="s">
        <v>4205</v>
      </c>
      <c r="C1037" s="110"/>
      <c r="D1037" s="433">
        <v>5</v>
      </c>
      <c r="E1037" s="207" t="s">
        <v>1721</v>
      </c>
      <c r="F1037" s="1178" t="s">
        <v>4353</v>
      </c>
      <c r="G1037" s="1056" t="s">
        <v>4306</v>
      </c>
      <c r="H1037" s="433" t="s">
        <v>3478</v>
      </c>
      <c r="I1037" s="111">
        <v>561</v>
      </c>
      <c r="J1037" s="111">
        <v>2805</v>
      </c>
      <c r="K1037" s="110"/>
      <c r="L1037" s="110"/>
      <c r="M1037" s="110"/>
      <c r="N1037" s="110"/>
      <c r="O1037" s="110"/>
      <c r="P1037" s="110"/>
      <c r="Q1037" s="433">
        <v>2</v>
      </c>
      <c r="R1037" s="111">
        <v>935</v>
      </c>
      <c r="S1037" s="110"/>
      <c r="T1037" s="110"/>
      <c r="U1037" s="110"/>
      <c r="V1037" s="110"/>
      <c r="W1037" s="433">
        <v>2</v>
      </c>
      <c r="X1037" s="111">
        <v>935</v>
      </c>
      <c r="Y1037" s="110"/>
      <c r="Z1037" s="110"/>
      <c r="AA1037" s="110"/>
      <c r="AB1037" s="110"/>
      <c r="AC1037" s="433">
        <v>1</v>
      </c>
      <c r="AD1037" s="111">
        <v>935</v>
      </c>
      <c r="AE1037" s="110"/>
      <c r="AF1037" s="110"/>
      <c r="AG1037" s="110"/>
      <c r="AH1037" s="1048"/>
    </row>
    <row r="1038" spans="1:34" ht="45" x14ac:dyDescent="0.25">
      <c r="A1038" s="1047"/>
      <c r="B1038" s="110" t="s">
        <v>4206</v>
      </c>
      <c r="C1038" s="110"/>
      <c r="D1038" s="433">
        <v>6</v>
      </c>
      <c r="E1038" s="207" t="s">
        <v>1997</v>
      </c>
      <c r="F1038" s="1178" t="s">
        <v>4353</v>
      </c>
      <c r="G1038" s="1056" t="s">
        <v>4306</v>
      </c>
      <c r="H1038" s="433" t="s">
        <v>3478</v>
      </c>
      <c r="I1038" s="111">
        <v>128</v>
      </c>
      <c r="J1038" s="111">
        <v>768</v>
      </c>
      <c r="K1038" s="110"/>
      <c r="L1038" s="110"/>
      <c r="M1038" s="110"/>
      <c r="N1038" s="110"/>
      <c r="O1038" s="110"/>
      <c r="P1038" s="110"/>
      <c r="Q1038" s="433">
        <v>2</v>
      </c>
      <c r="R1038" s="111">
        <v>256</v>
      </c>
      <c r="S1038" s="110"/>
      <c r="T1038" s="110"/>
      <c r="U1038" s="110"/>
      <c r="V1038" s="110"/>
      <c r="W1038" s="433">
        <v>2</v>
      </c>
      <c r="X1038" s="111">
        <v>256</v>
      </c>
      <c r="Y1038" s="110"/>
      <c r="Z1038" s="110"/>
      <c r="AA1038" s="110"/>
      <c r="AB1038" s="110"/>
      <c r="AC1038" s="433">
        <v>2</v>
      </c>
      <c r="AD1038" s="111">
        <v>256</v>
      </c>
      <c r="AE1038" s="110"/>
      <c r="AF1038" s="110"/>
      <c r="AG1038" s="110"/>
      <c r="AH1038" s="1048"/>
    </row>
    <row r="1039" spans="1:34" ht="45" x14ac:dyDescent="0.25">
      <c r="A1039" s="1047"/>
      <c r="B1039" s="110" t="s">
        <v>4207</v>
      </c>
      <c r="C1039" s="110"/>
      <c r="D1039" s="433">
        <v>3</v>
      </c>
      <c r="E1039" s="207" t="s">
        <v>1721</v>
      </c>
      <c r="F1039" s="1178" t="s">
        <v>4353</v>
      </c>
      <c r="G1039" s="1056" t="s">
        <v>4306</v>
      </c>
      <c r="H1039" s="433" t="s">
        <v>3478</v>
      </c>
      <c r="I1039" s="111">
        <v>128</v>
      </c>
      <c r="J1039" s="111">
        <v>384</v>
      </c>
      <c r="K1039" s="110"/>
      <c r="L1039" s="110"/>
      <c r="M1039" s="110"/>
      <c r="N1039" s="110"/>
      <c r="O1039" s="110"/>
      <c r="P1039" s="110"/>
      <c r="Q1039" s="433">
        <v>1</v>
      </c>
      <c r="R1039" s="111">
        <v>128</v>
      </c>
      <c r="S1039" s="110"/>
      <c r="T1039" s="110"/>
      <c r="U1039" s="110"/>
      <c r="V1039" s="110"/>
      <c r="W1039" s="433">
        <v>1</v>
      </c>
      <c r="X1039" s="111">
        <v>128</v>
      </c>
      <c r="Y1039" s="110"/>
      <c r="Z1039" s="110"/>
      <c r="AA1039" s="110"/>
      <c r="AB1039" s="110"/>
      <c r="AC1039" s="433">
        <v>1</v>
      </c>
      <c r="AD1039" s="111">
        <v>128</v>
      </c>
      <c r="AE1039" s="110"/>
      <c r="AF1039" s="110"/>
      <c r="AG1039" s="110"/>
      <c r="AH1039" s="1048"/>
    </row>
    <row r="1040" spans="1:34" ht="45" x14ac:dyDescent="0.25">
      <c r="A1040" s="1047"/>
      <c r="B1040" s="110" t="s">
        <v>4208</v>
      </c>
      <c r="C1040" s="110"/>
      <c r="D1040" s="433">
        <v>3</v>
      </c>
      <c r="E1040" s="207" t="s">
        <v>1721</v>
      </c>
      <c r="F1040" s="1178" t="s">
        <v>4353</v>
      </c>
      <c r="G1040" s="1056" t="s">
        <v>4306</v>
      </c>
      <c r="H1040" s="433" t="s">
        <v>3478</v>
      </c>
      <c r="I1040" s="111">
        <v>128</v>
      </c>
      <c r="J1040" s="111">
        <v>384</v>
      </c>
      <c r="K1040" s="110"/>
      <c r="L1040" s="110"/>
      <c r="M1040" s="110"/>
      <c r="N1040" s="110"/>
      <c r="O1040" s="110"/>
      <c r="P1040" s="110"/>
      <c r="Q1040" s="433">
        <v>1</v>
      </c>
      <c r="R1040" s="111">
        <v>128</v>
      </c>
      <c r="S1040" s="110"/>
      <c r="T1040" s="110"/>
      <c r="U1040" s="110"/>
      <c r="V1040" s="110"/>
      <c r="W1040" s="433">
        <v>1</v>
      </c>
      <c r="X1040" s="111">
        <v>128</v>
      </c>
      <c r="Y1040" s="110"/>
      <c r="Z1040" s="110"/>
      <c r="AA1040" s="110"/>
      <c r="AB1040" s="110"/>
      <c r="AC1040" s="433">
        <v>1</v>
      </c>
      <c r="AD1040" s="111">
        <v>128</v>
      </c>
      <c r="AE1040" s="110"/>
      <c r="AF1040" s="110"/>
      <c r="AG1040" s="110"/>
      <c r="AH1040" s="1048"/>
    </row>
    <row r="1041" spans="1:34" ht="45" x14ac:dyDescent="0.25">
      <c r="A1041" s="1047"/>
      <c r="B1041" s="110" t="s">
        <v>4209</v>
      </c>
      <c r="C1041" s="110"/>
      <c r="D1041" s="433">
        <v>3</v>
      </c>
      <c r="E1041" s="207" t="s">
        <v>1721</v>
      </c>
      <c r="F1041" s="1178" t="s">
        <v>4353</v>
      </c>
      <c r="G1041" s="1056" t="s">
        <v>4306</v>
      </c>
      <c r="H1041" s="433" t="s">
        <v>3478</v>
      </c>
      <c r="I1041" s="111">
        <v>128</v>
      </c>
      <c r="J1041" s="111">
        <v>384</v>
      </c>
      <c r="K1041" s="110"/>
      <c r="L1041" s="110"/>
      <c r="M1041" s="110"/>
      <c r="N1041" s="110"/>
      <c r="O1041" s="110"/>
      <c r="P1041" s="110"/>
      <c r="Q1041" s="433">
        <v>1</v>
      </c>
      <c r="R1041" s="111">
        <v>128</v>
      </c>
      <c r="S1041" s="110"/>
      <c r="T1041" s="110"/>
      <c r="U1041" s="110"/>
      <c r="V1041" s="110"/>
      <c r="W1041" s="433">
        <v>1</v>
      </c>
      <c r="X1041" s="111">
        <v>128</v>
      </c>
      <c r="Y1041" s="110"/>
      <c r="Z1041" s="110"/>
      <c r="AA1041" s="110"/>
      <c r="AB1041" s="110"/>
      <c r="AC1041" s="433">
        <v>1</v>
      </c>
      <c r="AD1041" s="111">
        <v>128</v>
      </c>
      <c r="AE1041" s="110"/>
      <c r="AF1041" s="110"/>
      <c r="AG1041" s="110"/>
      <c r="AH1041" s="1048"/>
    </row>
    <row r="1042" spans="1:34" ht="45" x14ac:dyDescent="0.25">
      <c r="A1042" s="1047"/>
      <c r="B1042" s="110" t="s">
        <v>4210</v>
      </c>
      <c r="C1042" s="110"/>
      <c r="D1042" s="433">
        <v>3</v>
      </c>
      <c r="E1042" s="207" t="s">
        <v>1721</v>
      </c>
      <c r="F1042" s="1178" t="s">
        <v>4353</v>
      </c>
      <c r="G1042" s="1056" t="s">
        <v>4306</v>
      </c>
      <c r="H1042" s="433" t="s">
        <v>3478</v>
      </c>
      <c r="I1042" s="111">
        <v>128</v>
      </c>
      <c r="J1042" s="111">
        <v>384</v>
      </c>
      <c r="K1042" s="110"/>
      <c r="L1042" s="110"/>
      <c r="M1042" s="110"/>
      <c r="N1042" s="110"/>
      <c r="O1042" s="110"/>
      <c r="P1042" s="110"/>
      <c r="Q1042" s="433">
        <v>1</v>
      </c>
      <c r="R1042" s="111">
        <v>128</v>
      </c>
      <c r="S1042" s="110"/>
      <c r="T1042" s="110"/>
      <c r="U1042" s="110"/>
      <c r="V1042" s="110"/>
      <c r="W1042" s="433">
        <v>1</v>
      </c>
      <c r="X1042" s="111">
        <v>128</v>
      </c>
      <c r="Y1042" s="110"/>
      <c r="Z1042" s="110"/>
      <c r="AA1042" s="110"/>
      <c r="AB1042" s="110"/>
      <c r="AC1042" s="433">
        <v>1</v>
      </c>
      <c r="AD1042" s="111">
        <v>128</v>
      </c>
      <c r="AE1042" s="110"/>
      <c r="AF1042" s="110"/>
      <c r="AG1042" s="110"/>
      <c r="AH1042" s="1048"/>
    </row>
    <row r="1043" spans="1:34" ht="45" x14ac:dyDescent="0.25">
      <c r="A1043" s="1047"/>
      <c r="B1043" s="110" t="s">
        <v>4211</v>
      </c>
      <c r="C1043" s="110"/>
      <c r="D1043" s="433">
        <v>50</v>
      </c>
      <c r="E1043" s="207" t="s">
        <v>1722</v>
      </c>
      <c r="F1043" s="1178" t="s">
        <v>4353</v>
      </c>
      <c r="G1043" s="1056" t="s">
        <v>4306</v>
      </c>
      <c r="H1043" s="433" t="s">
        <v>3478</v>
      </c>
      <c r="I1043" s="111">
        <v>300</v>
      </c>
      <c r="J1043" s="111">
        <v>15000</v>
      </c>
      <c r="K1043" s="110"/>
      <c r="L1043" s="110"/>
      <c r="M1043" s="110"/>
      <c r="N1043" s="110"/>
      <c r="O1043" s="110"/>
      <c r="P1043" s="110"/>
      <c r="Q1043" s="433">
        <v>25</v>
      </c>
      <c r="R1043" s="111">
        <v>5000</v>
      </c>
      <c r="S1043" s="110"/>
      <c r="T1043" s="110"/>
      <c r="U1043" s="110"/>
      <c r="V1043" s="110"/>
      <c r="W1043" s="433">
        <v>13</v>
      </c>
      <c r="X1043" s="111">
        <v>5000</v>
      </c>
      <c r="Y1043" s="110"/>
      <c r="Z1043" s="110"/>
      <c r="AA1043" s="110"/>
      <c r="AB1043" s="110"/>
      <c r="AC1043" s="433">
        <v>12</v>
      </c>
      <c r="AD1043" s="111">
        <v>5000</v>
      </c>
      <c r="AE1043" s="110"/>
      <c r="AF1043" s="110"/>
      <c r="AG1043" s="110"/>
      <c r="AH1043" s="1048"/>
    </row>
    <row r="1044" spans="1:34" ht="45" x14ac:dyDescent="0.25">
      <c r="A1044" s="1047"/>
      <c r="B1044" s="110" t="s">
        <v>4212</v>
      </c>
      <c r="C1044" s="110"/>
      <c r="D1044" s="433">
        <v>5</v>
      </c>
      <c r="E1044" s="207" t="s">
        <v>1873</v>
      </c>
      <c r="F1044" s="1178" t="s">
        <v>4353</v>
      </c>
      <c r="G1044" s="1056" t="s">
        <v>4306</v>
      </c>
      <c r="H1044" s="433" t="s">
        <v>3478</v>
      </c>
      <c r="I1044" s="111">
        <v>300</v>
      </c>
      <c r="J1044" s="111">
        <v>1500</v>
      </c>
      <c r="K1044" s="110"/>
      <c r="L1044" s="110"/>
      <c r="M1044" s="110"/>
      <c r="N1044" s="110"/>
      <c r="O1044" s="110"/>
      <c r="P1044" s="110"/>
      <c r="Q1044" s="433">
        <v>2</v>
      </c>
      <c r="R1044" s="111">
        <v>500</v>
      </c>
      <c r="S1044" s="110"/>
      <c r="T1044" s="110"/>
      <c r="U1044" s="110"/>
      <c r="V1044" s="110"/>
      <c r="W1044" s="433">
        <v>2</v>
      </c>
      <c r="X1044" s="111">
        <v>500</v>
      </c>
      <c r="Y1044" s="110"/>
      <c r="Z1044" s="110"/>
      <c r="AA1044" s="110"/>
      <c r="AB1044" s="110"/>
      <c r="AC1044" s="433">
        <v>1</v>
      </c>
      <c r="AD1044" s="111">
        <v>500</v>
      </c>
      <c r="AE1044" s="110"/>
      <c r="AF1044" s="110"/>
      <c r="AG1044" s="110"/>
      <c r="AH1044" s="1048"/>
    </row>
    <row r="1045" spans="1:34" ht="45" x14ac:dyDescent="0.25">
      <c r="A1045" s="1047"/>
      <c r="B1045" s="110" t="s">
        <v>4213</v>
      </c>
      <c r="C1045" s="110"/>
      <c r="D1045" s="433">
        <v>3</v>
      </c>
      <c r="E1045" s="207" t="s">
        <v>1767</v>
      </c>
      <c r="F1045" s="1178" t="s">
        <v>4353</v>
      </c>
      <c r="G1045" s="1056" t="s">
        <v>4306</v>
      </c>
      <c r="H1045" s="433" t="s">
        <v>3478</v>
      </c>
      <c r="I1045" s="111">
        <v>282</v>
      </c>
      <c r="J1045" s="111">
        <v>846</v>
      </c>
      <c r="K1045" s="110"/>
      <c r="L1045" s="110"/>
      <c r="M1045" s="110"/>
      <c r="N1045" s="110"/>
      <c r="O1045" s="110"/>
      <c r="P1045" s="110"/>
      <c r="Q1045" s="433">
        <v>1</v>
      </c>
      <c r="R1045" s="111">
        <v>282</v>
      </c>
      <c r="S1045" s="110"/>
      <c r="T1045" s="110"/>
      <c r="U1045" s="110"/>
      <c r="V1045" s="110"/>
      <c r="W1045" s="433">
        <v>1</v>
      </c>
      <c r="X1045" s="111">
        <v>282</v>
      </c>
      <c r="Y1045" s="110"/>
      <c r="Z1045" s="110"/>
      <c r="AA1045" s="110"/>
      <c r="AB1045" s="110"/>
      <c r="AC1045" s="433">
        <v>1</v>
      </c>
      <c r="AD1045" s="111">
        <v>282</v>
      </c>
      <c r="AE1045" s="110"/>
      <c r="AF1045" s="110"/>
      <c r="AG1045" s="110"/>
      <c r="AH1045" s="1048"/>
    </row>
    <row r="1046" spans="1:34" ht="45" x14ac:dyDescent="0.25">
      <c r="A1046" s="1047"/>
      <c r="B1046" s="110" t="s">
        <v>4214</v>
      </c>
      <c r="C1046" s="110"/>
      <c r="D1046" s="433">
        <v>3</v>
      </c>
      <c r="E1046" s="207" t="s">
        <v>1767</v>
      </c>
      <c r="F1046" s="1178" t="s">
        <v>4353</v>
      </c>
      <c r="G1046" s="1056" t="s">
        <v>4306</v>
      </c>
      <c r="H1046" s="433" t="s">
        <v>3478</v>
      </c>
      <c r="I1046" s="111">
        <v>282</v>
      </c>
      <c r="J1046" s="111">
        <v>846</v>
      </c>
      <c r="K1046" s="110"/>
      <c r="L1046" s="110"/>
      <c r="M1046" s="110"/>
      <c r="N1046" s="110"/>
      <c r="O1046" s="110"/>
      <c r="P1046" s="110"/>
      <c r="Q1046" s="433">
        <v>1</v>
      </c>
      <c r="R1046" s="111">
        <v>282</v>
      </c>
      <c r="S1046" s="110"/>
      <c r="T1046" s="110"/>
      <c r="U1046" s="110"/>
      <c r="V1046" s="110"/>
      <c r="W1046" s="433">
        <v>1</v>
      </c>
      <c r="X1046" s="111">
        <v>282</v>
      </c>
      <c r="Y1046" s="110"/>
      <c r="Z1046" s="110"/>
      <c r="AA1046" s="110"/>
      <c r="AB1046" s="110"/>
      <c r="AC1046" s="433">
        <v>1</v>
      </c>
      <c r="AD1046" s="111">
        <v>282</v>
      </c>
      <c r="AE1046" s="110"/>
      <c r="AF1046" s="110"/>
      <c r="AG1046" s="110"/>
      <c r="AH1046" s="1048"/>
    </row>
    <row r="1047" spans="1:34" ht="45" x14ac:dyDescent="0.25">
      <c r="A1047" s="1047"/>
      <c r="B1047" s="110" t="s">
        <v>4215</v>
      </c>
      <c r="C1047" s="110"/>
      <c r="D1047" s="433">
        <v>5</v>
      </c>
      <c r="E1047" s="207" t="s">
        <v>2811</v>
      </c>
      <c r="F1047" s="1178" t="s">
        <v>4353</v>
      </c>
      <c r="G1047" s="1056" t="s">
        <v>4306</v>
      </c>
      <c r="H1047" s="433" t="s">
        <v>3478</v>
      </c>
      <c r="I1047" s="111">
        <v>199</v>
      </c>
      <c r="J1047" s="111">
        <v>995</v>
      </c>
      <c r="K1047" s="110"/>
      <c r="L1047" s="110"/>
      <c r="M1047" s="110"/>
      <c r="N1047" s="110"/>
      <c r="O1047" s="110"/>
      <c r="P1047" s="110"/>
      <c r="Q1047" s="433">
        <v>2</v>
      </c>
      <c r="R1047" s="111">
        <v>331.66666666666669</v>
      </c>
      <c r="S1047" s="110"/>
      <c r="T1047" s="110"/>
      <c r="U1047" s="110"/>
      <c r="V1047" s="110"/>
      <c r="W1047" s="433">
        <v>2</v>
      </c>
      <c r="X1047" s="111">
        <v>331.66666666666669</v>
      </c>
      <c r="Y1047" s="110"/>
      <c r="Z1047" s="110"/>
      <c r="AA1047" s="110"/>
      <c r="AB1047" s="110"/>
      <c r="AC1047" s="433">
        <v>1</v>
      </c>
      <c r="AD1047" s="111">
        <v>331.66666666666669</v>
      </c>
      <c r="AE1047" s="110"/>
      <c r="AF1047" s="110"/>
      <c r="AG1047" s="110"/>
      <c r="AH1047" s="1048"/>
    </row>
    <row r="1048" spans="1:34" ht="45" x14ac:dyDescent="0.25">
      <c r="A1048" s="1047"/>
      <c r="B1048" s="110" t="s">
        <v>4216</v>
      </c>
      <c r="C1048" s="110"/>
      <c r="D1048" s="433">
        <v>10</v>
      </c>
      <c r="E1048" s="207" t="s">
        <v>1721</v>
      </c>
      <c r="F1048" s="1178" t="s">
        <v>4353</v>
      </c>
      <c r="G1048" s="1056" t="s">
        <v>4306</v>
      </c>
      <c r="H1048" s="433" t="s">
        <v>3478</v>
      </c>
      <c r="I1048" s="111">
        <v>78</v>
      </c>
      <c r="J1048" s="111">
        <v>780</v>
      </c>
      <c r="K1048" s="110"/>
      <c r="L1048" s="110"/>
      <c r="M1048" s="110"/>
      <c r="N1048" s="110"/>
      <c r="O1048" s="110"/>
      <c r="P1048" s="110"/>
      <c r="Q1048" s="433">
        <v>5</v>
      </c>
      <c r="R1048" s="111">
        <v>260</v>
      </c>
      <c r="S1048" s="110"/>
      <c r="T1048" s="110"/>
      <c r="U1048" s="110"/>
      <c r="V1048" s="110"/>
      <c r="W1048" s="433">
        <v>3</v>
      </c>
      <c r="X1048" s="111">
        <v>260</v>
      </c>
      <c r="Y1048" s="110"/>
      <c r="Z1048" s="110"/>
      <c r="AA1048" s="110"/>
      <c r="AB1048" s="110"/>
      <c r="AC1048" s="433">
        <v>2</v>
      </c>
      <c r="AD1048" s="111">
        <v>260</v>
      </c>
      <c r="AE1048" s="110"/>
      <c r="AF1048" s="110"/>
      <c r="AG1048" s="110"/>
      <c r="AH1048" s="1048"/>
    </row>
    <row r="1049" spans="1:34" ht="45" x14ac:dyDescent="0.25">
      <c r="A1049" s="1047"/>
      <c r="B1049" s="110" t="s">
        <v>4217</v>
      </c>
      <c r="C1049" s="110"/>
      <c r="D1049" s="433">
        <v>5</v>
      </c>
      <c r="E1049" s="207" t="s">
        <v>1721</v>
      </c>
      <c r="F1049" s="1178" t="s">
        <v>4353</v>
      </c>
      <c r="G1049" s="1056" t="s">
        <v>4306</v>
      </c>
      <c r="H1049" s="433" t="s">
        <v>3478</v>
      </c>
      <c r="I1049" s="111">
        <v>150</v>
      </c>
      <c r="J1049" s="111">
        <v>750</v>
      </c>
      <c r="K1049" s="110"/>
      <c r="L1049" s="110"/>
      <c r="M1049" s="110"/>
      <c r="N1049" s="110"/>
      <c r="O1049" s="110"/>
      <c r="P1049" s="110"/>
      <c r="Q1049" s="433">
        <v>2</v>
      </c>
      <c r="R1049" s="111">
        <v>250</v>
      </c>
      <c r="S1049" s="110"/>
      <c r="T1049" s="110"/>
      <c r="U1049" s="110"/>
      <c r="V1049" s="110"/>
      <c r="W1049" s="433">
        <v>2</v>
      </c>
      <c r="X1049" s="111">
        <v>250</v>
      </c>
      <c r="Y1049" s="110"/>
      <c r="Z1049" s="110"/>
      <c r="AA1049" s="110"/>
      <c r="AB1049" s="110"/>
      <c r="AC1049" s="433">
        <v>1</v>
      </c>
      <c r="AD1049" s="111">
        <v>250</v>
      </c>
      <c r="AE1049" s="110"/>
      <c r="AF1049" s="110"/>
      <c r="AG1049" s="110"/>
      <c r="AH1049" s="1048"/>
    </row>
    <row r="1050" spans="1:34" ht="45" x14ac:dyDescent="0.25">
      <c r="A1050" s="1047"/>
      <c r="B1050" s="110" t="s">
        <v>4218</v>
      </c>
      <c r="C1050" s="110"/>
      <c r="D1050" s="433">
        <v>30</v>
      </c>
      <c r="E1050" s="207" t="s">
        <v>4219</v>
      </c>
      <c r="F1050" s="1178" t="s">
        <v>4353</v>
      </c>
      <c r="G1050" s="1056" t="s">
        <v>4306</v>
      </c>
      <c r="H1050" s="433" t="s">
        <v>3478</v>
      </c>
      <c r="I1050" s="111">
        <v>220</v>
      </c>
      <c r="J1050" s="111">
        <v>6600</v>
      </c>
      <c r="K1050" s="110"/>
      <c r="L1050" s="110"/>
      <c r="M1050" s="110"/>
      <c r="N1050" s="110"/>
      <c r="O1050" s="110"/>
      <c r="P1050" s="110"/>
      <c r="Q1050" s="433">
        <v>15</v>
      </c>
      <c r="R1050" s="111">
        <v>2200</v>
      </c>
      <c r="S1050" s="110"/>
      <c r="T1050" s="110"/>
      <c r="U1050" s="110"/>
      <c r="V1050" s="110"/>
      <c r="W1050" s="433">
        <v>8</v>
      </c>
      <c r="X1050" s="111">
        <v>2200</v>
      </c>
      <c r="Y1050" s="110"/>
      <c r="Z1050" s="110"/>
      <c r="AA1050" s="110"/>
      <c r="AB1050" s="110"/>
      <c r="AC1050" s="433">
        <v>7</v>
      </c>
      <c r="AD1050" s="111">
        <v>2200</v>
      </c>
      <c r="AE1050" s="110"/>
      <c r="AF1050" s="110"/>
      <c r="AG1050" s="110"/>
      <c r="AH1050" s="1048"/>
    </row>
    <row r="1051" spans="1:34" ht="45" x14ac:dyDescent="0.25">
      <c r="A1051" s="1047"/>
      <c r="B1051" s="110" t="s">
        <v>4220</v>
      </c>
      <c r="C1051" s="110"/>
      <c r="D1051" s="433">
        <v>30</v>
      </c>
      <c r="E1051" s="207" t="s">
        <v>1873</v>
      </c>
      <c r="F1051" s="1178" t="s">
        <v>4353</v>
      </c>
      <c r="G1051" s="1056" t="s">
        <v>4306</v>
      </c>
      <c r="H1051" s="433" t="s">
        <v>3478</v>
      </c>
      <c r="I1051" s="111">
        <v>58</v>
      </c>
      <c r="J1051" s="111">
        <v>1740</v>
      </c>
      <c r="K1051" s="110"/>
      <c r="L1051" s="110"/>
      <c r="M1051" s="110"/>
      <c r="N1051" s="110"/>
      <c r="O1051" s="110"/>
      <c r="P1051" s="110"/>
      <c r="Q1051" s="433">
        <v>15</v>
      </c>
      <c r="R1051" s="111">
        <v>580</v>
      </c>
      <c r="S1051" s="110"/>
      <c r="T1051" s="110"/>
      <c r="U1051" s="110"/>
      <c r="V1051" s="110"/>
      <c r="W1051" s="433">
        <v>8</v>
      </c>
      <c r="X1051" s="111">
        <v>580</v>
      </c>
      <c r="Y1051" s="110"/>
      <c r="Z1051" s="110"/>
      <c r="AA1051" s="110"/>
      <c r="AB1051" s="110"/>
      <c r="AC1051" s="433">
        <v>7</v>
      </c>
      <c r="AD1051" s="111">
        <v>580</v>
      </c>
      <c r="AE1051" s="110"/>
      <c r="AF1051" s="110"/>
      <c r="AG1051" s="110"/>
      <c r="AH1051" s="1048"/>
    </row>
    <row r="1052" spans="1:34" ht="45" x14ac:dyDescent="0.25">
      <c r="A1052" s="1047"/>
      <c r="B1052" s="110" t="s">
        <v>4221</v>
      </c>
      <c r="C1052" s="110"/>
      <c r="D1052" s="433">
        <v>30</v>
      </c>
      <c r="E1052" s="207" t="s">
        <v>1873</v>
      </c>
      <c r="F1052" s="1178" t="s">
        <v>4353</v>
      </c>
      <c r="G1052" s="1056" t="s">
        <v>4306</v>
      </c>
      <c r="H1052" s="433" t="s">
        <v>3478</v>
      </c>
      <c r="I1052" s="111">
        <v>48</v>
      </c>
      <c r="J1052" s="111">
        <v>1440</v>
      </c>
      <c r="K1052" s="110"/>
      <c r="L1052" s="110"/>
      <c r="M1052" s="110"/>
      <c r="N1052" s="110"/>
      <c r="O1052" s="110"/>
      <c r="P1052" s="110"/>
      <c r="Q1052" s="433">
        <v>15</v>
      </c>
      <c r="R1052" s="111">
        <v>480</v>
      </c>
      <c r="S1052" s="110"/>
      <c r="T1052" s="110"/>
      <c r="U1052" s="110"/>
      <c r="V1052" s="110"/>
      <c r="W1052" s="433">
        <v>8</v>
      </c>
      <c r="X1052" s="111">
        <v>480</v>
      </c>
      <c r="Y1052" s="110"/>
      <c r="Z1052" s="110"/>
      <c r="AA1052" s="110"/>
      <c r="AB1052" s="110"/>
      <c r="AC1052" s="433">
        <v>7</v>
      </c>
      <c r="AD1052" s="111">
        <v>480</v>
      </c>
      <c r="AE1052" s="110"/>
      <c r="AF1052" s="110"/>
      <c r="AG1052" s="110"/>
      <c r="AH1052" s="1048"/>
    </row>
    <row r="1053" spans="1:34" ht="45" x14ac:dyDescent="0.25">
      <c r="A1053" s="1047"/>
      <c r="B1053" s="110" t="s">
        <v>4222</v>
      </c>
      <c r="C1053" s="110"/>
      <c r="D1053" s="433">
        <v>10</v>
      </c>
      <c r="E1053" s="207" t="s">
        <v>1722</v>
      </c>
      <c r="F1053" s="1178" t="s">
        <v>4353</v>
      </c>
      <c r="G1053" s="1056" t="s">
        <v>4306</v>
      </c>
      <c r="H1053" s="433" t="s">
        <v>3478</v>
      </c>
      <c r="I1053" s="111">
        <v>55</v>
      </c>
      <c r="J1053" s="111">
        <v>550</v>
      </c>
      <c r="K1053" s="110"/>
      <c r="L1053" s="110"/>
      <c r="M1053" s="110"/>
      <c r="N1053" s="110"/>
      <c r="O1053" s="110"/>
      <c r="P1053" s="110"/>
      <c r="Q1053" s="433">
        <v>5</v>
      </c>
      <c r="R1053" s="111">
        <v>183.33333333333334</v>
      </c>
      <c r="S1053" s="110"/>
      <c r="T1053" s="110"/>
      <c r="U1053" s="110"/>
      <c r="V1053" s="110"/>
      <c r="W1053" s="433">
        <v>3</v>
      </c>
      <c r="X1053" s="111">
        <v>183.33333333333334</v>
      </c>
      <c r="Y1053" s="110"/>
      <c r="Z1053" s="110"/>
      <c r="AA1053" s="110"/>
      <c r="AB1053" s="110"/>
      <c r="AC1053" s="433">
        <v>2</v>
      </c>
      <c r="AD1053" s="111">
        <v>183.33333333333334</v>
      </c>
      <c r="AE1053" s="110"/>
      <c r="AF1053" s="110"/>
      <c r="AG1053" s="110"/>
      <c r="AH1053" s="1048"/>
    </row>
    <row r="1054" spans="1:34" ht="45" x14ac:dyDescent="0.25">
      <c r="A1054" s="1047"/>
      <c r="B1054" s="110" t="s">
        <v>4223</v>
      </c>
      <c r="C1054" s="110"/>
      <c r="D1054" s="433">
        <v>1</v>
      </c>
      <c r="E1054" s="207" t="s">
        <v>1721</v>
      </c>
      <c r="F1054" s="1178" t="s">
        <v>4353</v>
      </c>
      <c r="G1054" s="1056" t="s">
        <v>4306</v>
      </c>
      <c r="H1054" s="433" t="s">
        <v>3478</v>
      </c>
      <c r="I1054" s="111">
        <v>400</v>
      </c>
      <c r="J1054" s="111">
        <v>400</v>
      </c>
      <c r="K1054" s="110"/>
      <c r="L1054" s="110"/>
      <c r="M1054" s="110"/>
      <c r="N1054" s="110"/>
      <c r="O1054" s="110"/>
      <c r="P1054" s="110"/>
      <c r="Q1054" s="433">
        <v>1</v>
      </c>
      <c r="R1054" s="111">
        <v>133.33333333333334</v>
      </c>
      <c r="S1054" s="110"/>
      <c r="T1054" s="110"/>
      <c r="U1054" s="110"/>
      <c r="V1054" s="110"/>
      <c r="W1054" s="433">
        <v>0</v>
      </c>
      <c r="X1054" s="111">
        <v>133.33333333333334</v>
      </c>
      <c r="Y1054" s="110"/>
      <c r="Z1054" s="110"/>
      <c r="AA1054" s="110"/>
      <c r="AB1054" s="110"/>
      <c r="AC1054" s="433">
        <v>0</v>
      </c>
      <c r="AD1054" s="111">
        <v>133.33333333333334</v>
      </c>
      <c r="AE1054" s="110"/>
      <c r="AF1054" s="110"/>
      <c r="AG1054" s="110"/>
      <c r="AH1054" s="1048"/>
    </row>
    <row r="1055" spans="1:34" ht="45" x14ac:dyDescent="0.25">
      <c r="A1055" s="1047"/>
      <c r="B1055" s="110" t="s">
        <v>4224</v>
      </c>
      <c r="C1055" s="110"/>
      <c r="D1055" s="433">
        <v>5</v>
      </c>
      <c r="E1055" s="207" t="s">
        <v>1721</v>
      </c>
      <c r="F1055" s="1178" t="s">
        <v>4353</v>
      </c>
      <c r="G1055" s="1056" t="s">
        <v>4306</v>
      </c>
      <c r="H1055" s="433" t="s">
        <v>3478</v>
      </c>
      <c r="I1055" s="111">
        <v>85</v>
      </c>
      <c r="J1055" s="111">
        <v>425</v>
      </c>
      <c r="K1055" s="110"/>
      <c r="L1055" s="110"/>
      <c r="M1055" s="110"/>
      <c r="N1055" s="110"/>
      <c r="O1055" s="110"/>
      <c r="P1055" s="110"/>
      <c r="Q1055" s="433">
        <v>2</v>
      </c>
      <c r="R1055" s="111">
        <v>141.66666666666666</v>
      </c>
      <c r="S1055" s="110"/>
      <c r="T1055" s="110"/>
      <c r="U1055" s="110"/>
      <c r="V1055" s="110"/>
      <c r="W1055" s="433">
        <v>2</v>
      </c>
      <c r="X1055" s="111">
        <v>141.66666666666666</v>
      </c>
      <c r="Y1055" s="110"/>
      <c r="Z1055" s="110"/>
      <c r="AA1055" s="110"/>
      <c r="AB1055" s="110"/>
      <c r="AC1055" s="433">
        <v>1</v>
      </c>
      <c r="AD1055" s="111">
        <v>141.66666666666666</v>
      </c>
      <c r="AE1055" s="110"/>
      <c r="AF1055" s="110"/>
      <c r="AG1055" s="110"/>
      <c r="AH1055" s="1048"/>
    </row>
    <row r="1056" spans="1:34" ht="45" x14ac:dyDescent="0.25">
      <c r="A1056" s="1047"/>
      <c r="B1056" s="110" t="s">
        <v>4225</v>
      </c>
      <c r="C1056" s="110"/>
      <c r="D1056" s="433">
        <v>5</v>
      </c>
      <c r="E1056" s="207" t="s">
        <v>2247</v>
      </c>
      <c r="F1056" s="1178" t="s">
        <v>4353</v>
      </c>
      <c r="G1056" s="1056" t="s">
        <v>4306</v>
      </c>
      <c r="H1056" s="433" t="s">
        <v>3478</v>
      </c>
      <c r="I1056" s="111">
        <v>160</v>
      </c>
      <c r="J1056" s="111">
        <v>800</v>
      </c>
      <c r="K1056" s="110"/>
      <c r="L1056" s="110"/>
      <c r="M1056" s="110"/>
      <c r="N1056" s="110"/>
      <c r="O1056" s="110"/>
      <c r="P1056" s="110"/>
      <c r="Q1056" s="433">
        <v>2</v>
      </c>
      <c r="R1056" s="111">
        <v>266.66666666666669</v>
      </c>
      <c r="S1056" s="110"/>
      <c r="T1056" s="110"/>
      <c r="U1056" s="110"/>
      <c r="V1056" s="110"/>
      <c r="W1056" s="433">
        <v>2</v>
      </c>
      <c r="X1056" s="111">
        <v>266.66666666666669</v>
      </c>
      <c r="Y1056" s="110"/>
      <c r="Z1056" s="110"/>
      <c r="AA1056" s="110"/>
      <c r="AB1056" s="110"/>
      <c r="AC1056" s="433">
        <v>1</v>
      </c>
      <c r="AD1056" s="111">
        <v>266.66666666666669</v>
      </c>
      <c r="AE1056" s="110"/>
      <c r="AF1056" s="110"/>
      <c r="AG1056" s="110"/>
      <c r="AH1056" s="1048"/>
    </row>
    <row r="1057" spans="1:34" ht="45" x14ac:dyDescent="0.25">
      <c r="A1057" s="1047"/>
      <c r="B1057" s="110" t="s">
        <v>4226</v>
      </c>
      <c r="C1057" s="110"/>
      <c r="D1057" s="433">
        <v>50</v>
      </c>
      <c r="E1057" s="207" t="s">
        <v>1721</v>
      </c>
      <c r="F1057" s="1178" t="s">
        <v>4353</v>
      </c>
      <c r="G1057" s="1056" t="s">
        <v>4306</v>
      </c>
      <c r="H1057" s="433" t="s">
        <v>3478</v>
      </c>
      <c r="I1057" s="111">
        <v>442</v>
      </c>
      <c r="J1057" s="111">
        <v>22100</v>
      </c>
      <c r="K1057" s="110"/>
      <c r="L1057" s="110"/>
      <c r="M1057" s="110"/>
      <c r="N1057" s="110"/>
      <c r="O1057" s="110"/>
      <c r="P1057" s="110"/>
      <c r="Q1057" s="433">
        <v>25</v>
      </c>
      <c r="R1057" s="111">
        <v>7366.666666666667</v>
      </c>
      <c r="S1057" s="110"/>
      <c r="T1057" s="110"/>
      <c r="U1057" s="110"/>
      <c r="V1057" s="110"/>
      <c r="W1057" s="433">
        <v>13</v>
      </c>
      <c r="X1057" s="111">
        <v>7366.666666666667</v>
      </c>
      <c r="Y1057" s="110"/>
      <c r="Z1057" s="110"/>
      <c r="AA1057" s="110"/>
      <c r="AB1057" s="110"/>
      <c r="AC1057" s="433">
        <v>12</v>
      </c>
      <c r="AD1057" s="111">
        <v>7366.666666666667</v>
      </c>
      <c r="AE1057" s="110"/>
      <c r="AF1057" s="110"/>
      <c r="AG1057" s="110"/>
      <c r="AH1057" s="1048"/>
    </row>
    <row r="1058" spans="1:34" ht="45" x14ac:dyDescent="0.25">
      <c r="A1058" s="1047"/>
      <c r="B1058" s="110" t="s">
        <v>4227</v>
      </c>
      <c r="C1058" s="110"/>
      <c r="D1058" s="433">
        <v>50</v>
      </c>
      <c r="E1058" s="207" t="s">
        <v>1721</v>
      </c>
      <c r="F1058" s="1178" t="s">
        <v>4353</v>
      </c>
      <c r="G1058" s="1056" t="s">
        <v>4306</v>
      </c>
      <c r="H1058" s="433" t="s">
        <v>3478</v>
      </c>
      <c r="I1058" s="111">
        <v>54.5</v>
      </c>
      <c r="J1058" s="111">
        <v>2725</v>
      </c>
      <c r="K1058" s="110"/>
      <c r="L1058" s="110"/>
      <c r="M1058" s="110"/>
      <c r="N1058" s="110"/>
      <c r="O1058" s="110"/>
      <c r="P1058" s="110"/>
      <c r="Q1058" s="433">
        <v>25</v>
      </c>
      <c r="R1058" s="111">
        <v>908.33333333333337</v>
      </c>
      <c r="S1058" s="110"/>
      <c r="T1058" s="110"/>
      <c r="U1058" s="110"/>
      <c r="V1058" s="110"/>
      <c r="W1058" s="433">
        <v>13</v>
      </c>
      <c r="X1058" s="111">
        <v>908.33333333333337</v>
      </c>
      <c r="Y1058" s="110"/>
      <c r="Z1058" s="110"/>
      <c r="AA1058" s="110"/>
      <c r="AB1058" s="110"/>
      <c r="AC1058" s="433">
        <v>12</v>
      </c>
      <c r="AD1058" s="111">
        <v>908.33333333333337</v>
      </c>
      <c r="AE1058" s="110"/>
      <c r="AF1058" s="110"/>
      <c r="AG1058" s="110"/>
      <c r="AH1058" s="1048"/>
    </row>
    <row r="1059" spans="1:34" ht="45" x14ac:dyDescent="0.25">
      <c r="A1059" s="1047"/>
      <c r="B1059" s="110" t="s">
        <v>4228</v>
      </c>
      <c r="C1059" s="110"/>
      <c r="D1059" s="433">
        <v>8</v>
      </c>
      <c r="E1059" s="207" t="s">
        <v>2321</v>
      </c>
      <c r="F1059" s="1178" t="s">
        <v>4353</v>
      </c>
      <c r="G1059" s="1056" t="s">
        <v>4306</v>
      </c>
      <c r="H1059" s="433" t="s">
        <v>3478</v>
      </c>
      <c r="I1059" s="111">
        <v>306.25</v>
      </c>
      <c r="J1059" s="111">
        <v>2450</v>
      </c>
      <c r="K1059" s="110"/>
      <c r="L1059" s="110"/>
      <c r="M1059" s="110"/>
      <c r="N1059" s="110"/>
      <c r="O1059" s="110"/>
      <c r="P1059" s="110"/>
      <c r="Q1059" s="433">
        <v>3</v>
      </c>
      <c r="R1059" s="111">
        <v>816.66666666666663</v>
      </c>
      <c r="S1059" s="110"/>
      <c r="T1059" s="110"/>
      <c r="U1059" s="110"/>
      <c r="V1059" s="110"/>
      <c r="W1059" s="433">
        <v>3</v>
      </c>
      <c r="X1059" s="111">
        <v>816.66666666666663</v>
      </c>
      <c r="Y1059" s="110"/>
      <c r="Z1059" s="110"/>
      <c r="AA1059" s="110"/>
      <c r="AB1059" s="110"/>
      <c r="AC1059" s="433">
        <v>2</v>
      </c>
      <c r="AD1059" s="111">
        <v>816.66666666666663</v>
      </c>
      <c r="AE1059" s="110"/>
      <c r="AF1059" s="110"/>
      <c r="AG1059" s="110"/>
      <c r="AH1059" s="1048"/>
    </row>
    <row r="1060" spans="1:34" ht="45" x14ac:dyDescent="0.25">
      <c r="A1060" s="1047"/>
      <c r="B1060" s="110" t="s">
        <v>4229</v>
      </c>
      <c r="C1060" s="110"/>
      <c r="D1060" s="433">
        <v>4</v>
      </c>
      <c r="E1060" s="207" t="s">
        <v>2321</v>
      </c>
      <c r="F1060" s="1178" t="s">
        <v>4353</v>
      </c>
      <c r="G1060" s="1056" t="s">
        <v>4306</v>
      </c>
      <c r="H1060" s="433" t="s">
        <v>3478</v>
      </c>
      <c r="I1060" s="111">
        <v>1000</v>
      </c>
      <c r="J1060" s="111">
        <v>4000</v>
      </c>
      <c r="K1060" s="110"/>
      <c r="L1060" s="110"/>
      <c r="M1060" s="110"/>
      <c r="N1060" s="110"/>
      <c r="O1060" s="110"/>
      <c r="P1060" s="110"/>
      <c r="Q1060" s="433">
        <v>2</v>
      </c>
      <c r="R1060" s="111">
        <v>1333.3333333333333</v>
      </c>
      <c r="S1060" s="110"/>
      <c r="T1060" s="110"/>
      <c r="U1060" s="110"/>
      <c r="V1060" s="110"/>
      <c r="W1060" s="433">
        <v>1</v>
      </c>
      <c r="X1060" s="111">
        <v>1333.3333333333333</v>
      </c>
      <c r="Y1060" s="110"/>
      <c r="Z1060" s="110"/>
      <c r="AA1060" s="110"/>
      <c r="AB1060" s="110"/>
      <c r="AC1060" s="433">
        <v>1</v>
      </c>
      <c r="AD1060" s="111">
        <v>1333.3333333333333</v>
      </c>
      <c r="AE1060" s="110"/>
      <c r="AF1060" s="110"/>
      <c r="AG1060" s="110"/>
      <c r="AH1060" s="1048"/>
    </row>
    <row r="1061" spans="1:34" ht="45" x14ac:dyDescent="0.25">
      <c r="A1061" s="1047"/>
      <c r="B1061" s="110" t="s">
        <v>4230</v>
      </c>
      <c r="C1061" s="110"/>
      <c r="D1061" s="433">
        <v>50</v>
      </c>
      <c r="E1061" s="207" t="s">
        <v>1721</v>
      </c>
      <c r="F1061" s="1178" t="s">
        <v>4353</v>
      </c>
      <c r="G1061" s="1056" t="s">
        <v>4306</v>
      </c>
      <c r="H1061" s="433" t="s">
        <v>3478</v>
      </c>
      <c r="I1061" s="111">
        <v>500</v>
      </c>
      <c r="J1061" s="111">
        <v>25000</v>
      </c>
      <c r="K1061" s="110"/>
      <c r="L1061" s="110"/>
      <c r="M1061" s="110"/>
      <c r="N1061" s="110"/>
      <c r="O1061" s="110"/>
      <c r="P1061" s="110"/>
      <c r="Q1061" s="433">
        <v>25</v>
      </c>
      <c r="R1061" s="111">
        <v>8333.3333333333339</v>
      </c>
      <c r="S1061" s="110"/>
      <c r="T1061" s="110"/>
      <c r="U1061" s="110"/>
      <c r="V1061" s="110"/>
      <c r="W1061" s="433">
        <v>13</v>
      </c>
      <c r="X1061" s="111">
        <v>8333.3333333333339</v>
      </c>
      <c r="Y1061" s="110"/>
      <c r="Z1061" s="110"/>
      <c r="AA1061" s="110"/>
      <c r="AB1061" s="110"/>
      <c r="AC1061" s="433">
        <v>12</v>
      </c>
      <c r="AD1061" s="111">
        <v>8333.3333333333339</v>
      </c>
      <c r="AE1061" s="110"/>
      <c r="AF1061" s="110"/>
      <c r="AG1061" s="110"/>
      <c r="AH1061" s="1048"/>
    </row>
    <row r="1062" spans="1:34" ht="45" x14ac:dyDescent="0.25">
      <c r="A1062" s="1047"/>
      <c r="B1062" s="110" t="s">
        <v>4231</v>
      </c>
      <c r="C1062" s="110"/>
      <c r="D1062" s="433">
        <v>4</v>
      </c>
      <c r="E1062" s="207" t="s">
        <v>1721</v>
      </c>
      <c r="F1062" s="1178" t="s">
        <v>4353</v>
      </c>
      <c r="G1062" s="1056" t="s">
        <v>4306</v>
      </c>
      <c r="H1062" s="433" t="s">
        <v>3478</v>
      </c>
      <c r="I1062" s="111">
        <v>130</v>
      </c>
      <c r="J1062" s="111">
        <v>520</v>
      </c>
      <c r="K1062" s="110"/>
      <c r="L1062" s="110"/>
      <c r="M1062" s="110"/>
      <c r="N1062" s="110"/>
      <c r="O1062" s="110"/>
      <c r="P1062" s="110"/>
      <c r="Q1062" s="433">
        <v>2</v>
      </c>
      <c r="R1062" s="111">
        <v>173.33333333333334</v>
      </c>
      <c r="S1062" s="110"/>
      <c r="T1062" s="110"/>
      <c r="U1062" s="110"/>
      <c r="V1062" s="110"/>
      <c r="W1062" s="433">
        <v>1</v>
      </c>
      <c r="X1062" s="111">
        <v>173.33333333333334</v>
      </c>
      <c r="Y1062" s="110"/>
      <c r="Z1062" s="110"/>
      <c r="AA1062" s="110"/>
      <c r="AB1062" s="110"/>
      <c r="AC1062" s="433">
        <v>1</v>
      </c>
      <c r="AD1062" s="111">
        <v>173.33333333333334</v>
      </c>
      <c r="AE1062" s="110"/>
      <c r="AF1062" s="110"/>
      <c r="AG1062" s="110"/>
      <c r="AH1062" s="1048"/>
    </row>
    <row r="1063" spans="1:34" ht="45" x14ac:dyDescent="0.25">
      <c r="A1063" s="1047"/>
      <c r="B1063" s="110" t="s">
        <v>4232</v>
      </c>
      <c r="C1063" s="110"/>
      <c r="D1063" s="433">
        <v>2</v>
      </c>
      <c r="E1063" s="207" t="s">
        <v>2247</v>
      </c>
      <c r="F1063" s="1178" t="s">
        <v>4353</v>
      </c>
      <c r="G1063" s="1056" t="s">
        <v>4306</v>
      </c>
      <c r="H1063" s="433" t="s">
        <v>3478</v>
      </c>
      <c r="I1063" s="111">
        <v>358.44</v>
      </c>
      <c r="J1063" s="111">
        <v>716.88</v>
      </c>
      <c r="K1063" s="110"/>
      <c r="L1063" s="110"/>
      <c r="M1063" s="110"/>
      <c r="N1063" s="110"/>
      <c r="O1063" s="110"/>
      <c r="P1063" s="110"/>
      <c r="Q1063" s="433">
        <v>1</v>
      </c>
      <c r="R1063" s="111">
        <v>238.96</v>
      </c>
      <c r="S1063" s="110"/>
      <c r="T1063" s="110"/>
      <c r="U1063" s="110"/>
      <c r="V1063" s="110"/>
      <c r="W1063" s="433">
        <v>1</v>
      </c>
      <c r="X1063" s="111">
        <v>238.96</v>
      </c>
      <c r="Y1063" s="110"/>
      <c r="Z1063" s="110"/>
      <c r="AA1063" s="110"/>
      <c r="AB1063" s="110"/>
      <c r="AC1063" s="433">
        <v>0</v>
      </c>
      <c r="AD1063" s="111">
        <v>238.96</v>
      </c>
      <c r="AE1063" s="110"/>
      <c r="AF1063" s="110"/>
      <c r="AG1063" s="110"/>
      <c r="AH1063" s="1048"/>
    </row>
    <row r="1064" spans="1:34" ht="45" x14ac:dyDescent="0.25">
      <c r="A1064" s="1047"/>
      <c r="B1064" s="110" t="s">
        <v>4233</v>
      </c>
      <c r="C1064" s="110"/>
      <c r="D1064" s="433">
        <v>2</v>
      </c>
      <c r="E1064" s="207" t="s">
        <v>2247</v>
      </c>
      <c r="F1064" s="1178" t="s">
        <v>4353</v>
      </c>
      <c r="G1064" s="1056" t="s">
        <v>4306</v>
      </c>
      <c r="H1064" s="433" t="s">
        <v>3478</v>
      </c>
      <c r="I1064" s="111">
        <v>320.76</v>
      </c>
      <c r="J1064" s="111">
        <v>641.52</v>
      </c>
      <c r="K1064" s="110"/>
      <c r="L1064" s="110"/>
      <c r="M1064" s="110"/>
      <c r="N1064" s="110"/>
      <c r="O1064" s="110"/>
      <c r="P1064" s="110"/>
      <c r="Q1064" s="433">
        <v>1</v>
      </c>
      <c r="R1064" s="111">
        <v>213.84</v>
      </c>
      <c r="S1064" s="110"/>
      <c r="T1064" s="110"/>
      <c r="U1064" s="110"/>
      <c r="V1064" s="110"/>
      <c r="W1064" s="433">
        <v>1</v>
      </c>
      <c r="X1064" s="111">
        <v>213.84</v>
      </c>
      <c r="Y1064" s="110"/>
      <c r="Z1064" s="110"/>
      <c r="AA1064" s="110"/>
      <c r="AB1064" s="110"/>
      <c r="AC1064" s="433">
        <v>0</v>
      </c>
      <c r="AD1064" s="111">
        <v>213.84</v>
      </c>
      <c r="AE1064" s="110"/>
      <c r="AF1064" s="110"/>
      <c r="AG1064" s="110"/>
      <c r="AH1064" s="1048"/>
    </row>
    <row r="1065" spans="1:34" ht="45" x14ac:dyDescent="0.25">
      <c r="A1065" s="1047"/>
      <c r="B1065" s="110" t="s">
        <v>4234</v>
      </c>
      <c r="C1065" s="110"/>
      <c r="D1065" s="433">
        <v>50</v>
      </c>
      <c r="E1065" s="207" t="s">
        <v>1733</v>
      </c>
      <c r="F1065" s="1178" t="s">
        <v>4353</v>
      </c>
      <c r="G1065" s="1056" t="s">
        <v>4306</v>
      </c>
      <c r="H1065" s="433" t="s">
        <v>3478</v>
      </c>
      <c r="I1065" s="111">
        <v>85</v>
      </c>
      <c r="J1065" s="111">
        <v>4250</v>
      </c>
      <c r="K1065" s="110"/>
      <c r="L1065" s="110"/>
      <c r="M1065" s="110"/>
      <c r="N1065" s="110"/>
      <c r="O1065" s="110"/>
      <c r="P1065" s="110"/>
      <c r="Q1065" s="433">
        <v>25</v>
      </c>
      <c r="R1065" s="111">
        <v>1416.6666666666667</v>
      </c>
      <c r="S1065" s="110"/>
      <c r="T1065" s="110"/>
      <c r="U1065" s="110"/>
      <c r="V1065" s="110"/>
      <c r="W1065" s="433">
        <v>13</v>
      </c>
      <c r="X1065" s="111">
        <v>1416.6666666666667</v>
      </c>
      <c r="Y1065" s="110"/>
      <c r="Z1065" s="110"/>
      <c r="AA1065" s="110"/>
      <c r="AB1065" s="110"/>
      <c r="AC1065" s="433">
        <v>12</v>
      </c>
      <c r="AD1065" s="111">
        <v>1416.6666666666667</v>
      </c>
      <c r="AE1065" s="110"/>
      <c r="AF1065" s="110"/>
      <c r="AG1065" s="110"/>
      <c r="AH1065" s="1048"/>
    </row>
    <row r="1066" spans="1:34" ht="45" x14ac:dyDescent="0.25">
      <c r="A1066" s="1047"/>
      <c r="B1066" s="110" t="s">
        <v>4235</v>
      </c>
      <c r="C1066" s="110"/>
      <c r="D1066" s="433">
        <v>8</v>
      </c>
      <c r="E1066" s="207" t="s">
        <v>1721</v>
      </c>
      <c r="F1066" s="1178" t="s">
        <v>4353</v>
      </c>
      <c r="G1066" s="1056" t="s">
        <v>4306</v>
      </c>
      <c r="H1066" s="433" t="s">
        <v>3478</v>
      </c>
      <c r="I1066" s="111">
        <v>35</v>
      </c>
      <c r="J1066" s="111">
        <v>280</v>
      </c>
      <c r="K1066" s="110"/>
      <c r="L1066" s="110"/>
      <c r="M1066" s="110"/>
      <c r="N1066" s="110"/>
      <c r="O1066" s="110"/>
      <c r="P1066" s="110"/>
      <c r="Q1066" s="433">
        <v>3</v>
      </c>
      <c r="R1066" s="111">
        <v>93.333333333333329</v>
      </c>
      <c r="S1066" s="110"/>
      <c r="T1066" s="110"/>
      <c r="U1066" s="110"/>
      <c r="V1066" s="110"/>
      <c r="W1066" s="433">
        <v>3</v>
      </c>
      <c r="X1066" s="111">
        <v>93.333333333333329</v>
      </c>
      <c r="Y1066" s="110"/>
      <c r="Z1066" s="110"/>
      <c r="AA1066" s="110"/>
      <c r="AB1066" s="110"/>
      <c r="AC1066" s="433">
        <v>2</v>
      </c>
      <c r="AD1066" s="111">
        <v>93.333333333333329</v>
      </c>
      <c r="AE1066" s="110"/>
      <c r="AF1066" s="110"/>
      <c r="AG1066" s="110"/>
      <c r="AH1066" s="1048"/>
    </row>
    <row r="1067" spans="1:34" ht="45" x14ac:dyDescent="0.25">
      <c r="A1067" s="1047"/>
      <c r="B1067" s="110" t="s">
        <v>4236</v>
      </c>
      <c r="C1067" s="110"/>
      <c r="D1067" s="433">
        <v>3</v>
      </c>
      <c r="E1067" s="207" t="s">
        <v>4237</v>
      </c>
      <c r="F1067" s="1178" t="s">
        <v>4353</v>
      </c>
      <c r="G1067" s="1056" t="s">
        <v>4306</v>
      </c>
      <c r="H1067" s="433" t="s">
        <v>3478</v>
      </c>
      <c r="I1067" s="111">
        <v>300</v>
      </c>
      <c r="J1067" s="111">
        <v>900</v>
      </c>
      <c r="K1067" s="110"/>
      <c r="L1067" s="110"/>
      <c r="M1067" s="110"/>
      <c r="N1067" s="110"/>
      <c r="O1067" s="110"/>
      <c r="P1067" s="110"/>
      <c r="Q1067" s="433">
        <v>1</v>
      </c>
      <c r="R1067" s="111">
        <v>300</v>
      </c>
      <c r="S1067" s="110"/>
      <c r="T1067" s="110"/>
      <c r="U1067" s="110"/>
      <c r="V1067" s="110"/>
      <c r="W1067" s="433">
        <v>1</v>
      </c>
      <c r="X1067" s="111">
        <v>300</v>
      </c>
      <c r="Y1067" s="110"/>
      <c r="Z1067" s="110"/>
      <c r="AA1067" s="110"/>
      <c r="AB1067" s="110"/>
      <c r="AC1067" s="433">
        <v>1</v>
      </c>
      <c r="AD1067" s="111">
        <v>300</v>
      </c>
      <c r="AE1067" s="110"/>
      <c r="AF1067" s="110"/>
      <c r="AG1067" s="110"/>
      <c r="AH1067" s="1048"/>
    </row>
    <row r="1068" spans="1:34" ht="45" x14ac:dyDescent="0.25">
      <c r="A1068" s="1047"/>
      <c r="B1068" s="110" t="s">
        <v>4238</v>
      </c>
      <c r="C1068" s="110"/>
      <c r="D1068" s="433">
        <v>1</v>
      </c>
      <c r="E1068" s="207" t="s">
        <v>1725</v>
      </c>
      <c r="F1068" s="1178" t="s">
        <v>4353</v>
      </c>
      <c r="G1068" s="1056" t="s">
        <v>4306</v>
      </c>
      <c r="H1068" s="433" t="s">
        <v>3478</v>
      </c>
      <c r="I1068" s="111">
        <v>380</v>
      </c>
      <c r="J1068" s="111">
        <v>380</v>
      </c>
      <c r="K1068" s="110"/>
      <c r="L1068" s="110"/>
      <c r="M1068" s="110"/>
      <c r="N1068" s="110"/>
      <c r="O1068" s="110"/>
      <c r="P1068" s="110"/>
      <c r="Q1068" s="433">
        <v>1</v>
      </c>
      <c r="R1068" s="111">
        <v>126.66666666666667</v>
      </c>
      <c r="S1068" s="110"/>
      <c r="T1068" s="110"/>
      <c r="U1068" s="110"/>
      <c r="V1068" s="110"/>
      <c r="W1068" s="433">
        <v>0</v>
      </c>
      <c r="X1068" s="111">
        <v>126.66666666666667</v>
      </c>
      <c r="Y1068" s="110"/>
      <c r="Z1068" s="110"/>
      <c r="AA1068" s="110"/>
      <c r="AB1068" s="110"/>
      <c r="AC1068" s="433">
        <v>0</v>
      </c>
      <c r="AD1068" s="111">
        <v>126.66666666666667</v>
      </c>
      <c r="AE1068" s="110"/>
      <c r="AF1068" s="110"/>
      <c r="AG1068" s="110"/>
      <c r="AH1068" s="1048"/>
    </row>
    <row r="1069" spans="1:34" x14ac:dyDescent="0.25">
      <c r="A1069" s="1047"/>
      <c r="B1069" s="110"/>
      <c r="C1069" s="110"/>
      <c r="D1069" s="433"/>
      <c r="E1069" s="207"/>
      <c r="F1069" s="1178"/>
      <c r="G1069" s="110"/>
      <c r="H1069" s="433"/>
      <c r="I1069" s="111"/>
      <c r="J1069" s="111"/>
      <c r="K1069" s="110"/>
      <c r="L1069" s="110"/>
      <c r="M1069" s="110"/>
      <c r="N1069" s="110"/>
      <c r="O1069" s="110"/>
      <c r="P1069" s="110"/>
      <c r="Q1069" s="433"/>
      <c r="R1069" s="111"/>
      <c r="S1069" s="110"/>
      <c r="T1069" s="110"/>
      <c r="U1069" s="110"/>
      <c r="V1069" s="110"/>
      <c r="W1069" s="433"/>
      <c r="X1069" s="111"/>
      <c r="Y1069" s="110"/>
      <c r="Z1069" s="110"/>
      <c r="AA1069" s="110"/>
      <c r="AB1069" s="110"/>
      <c r="AC1069" s="433"/>
      <c r="AD1069" s="111"/>
      <c r="AE1069" s="110"/>
      <c r="AF1069" s="110"/>
      <c r="AG1069" s="110"/>
      <c r="AH1069" s="1048"/>
    </row>
    <row r="1070" spans="1:34" ht="45" x14ac:dyDescent="0.25">
      <c r="A1070" s="1047"/>
      <c r="B1070" s="110" t="s">
        <v>4239</v>
      </c>
      <c r="C1070" s="110"/>
      <c r="D1070" s="433">
        <v>200</v>
      </c>
      <c r="E1070" s="207" t="s">
        <v>1721</v>
      </c>
      <c r="F1070" s="1178" t="s">
        <v>4353</v>
      </c>
      <c r="G1070" s="1056" t="s">
        <v>4306</v>
      </c>
      <c r="H1070" s="433" t="s">
        <v>3478</v>
      </c>
      <c r="I1070" s="111">
        <v>17.399999999999999</v>
      </c>
      <c r="J1070" s="111">
        <v>3479.9999999999995</v>
      </c>
      <c r="K1070" s="110"/>
      <c r="L1070" s="110"/>
      <c r="M1070" s="110"/>
      <c r="N1070" s="110"/>
      <c r="O1070" s="110"/>
      <c r="P1070" s="110"/>
      <c r="Q1070" s="433">
        <v>100</v>
      </c>
      <c r="R1070" s="111">
        <v>1159.9999999999998</v>
      </c>
      <c r="S1070" s="110"/>
      <c r="T1070" s="110"/>
      <c r="U1070" s="110"/>
      <c r="V1070" s="110"/>
      <c r="W1070" s="433">
        <v>50</v>
      </c>
      <c r="X1070" s="111">
        <v>1159.9999999999998</v>
      </c>
      <c r="Y1070" s="110"/>
      <c r="Z1070" s="110"/>
      <c r="AA1070" s="110"/>
      <c r="AB1070" s="110"/>
      <c r="AC1070" s="433">
        <v>50</v>
      </c>
      <c r="AD1070" s="111">
        <v>1159.9999999999998</v>
      </c>
      <c r="AE1070" s="110"/>
      <c r="AF1070" s="110"/>
      <c r="AG1070" s="110"/>
      <c r="AH1070" s="1048"/>
    </row>
    <row r="1071" spans="1:34" ht="45" x14ac:dyDescent="0.25">
      <c r="A1071" s="1047"/>
      <c r="B1071" s="110" t="s">
        <v>4240</v>
      </c>
      <c r="C1071" s="110"/>
      <c r="D1071" s="433">
        <v>170</v>
      </c>
      <c r="E1071" s="207" t="s">
        <v>1721</v>
      </c>
      <c r="F1071" s="1178" t="s">
        <v>4353</v>
      </c>
      <c r="G1071" s="1056" t="s">
        <v>4306</v>
      </c>
      <c r="H1071" s="433" t="s">
        <v>3478</v>
      </c>
      <c r="I1071" s="111">
        <v>6836</v>
      </c>
      <c r="J1071" s="111">
        <v>1162120</v>
      </c>
      <c r="K1071" s="110"/>
      <c r="L1071" s="110"/>
      <c r="M1071" s="110"/>
      <c r="N1071" s="110"/>
      <c r="O1071" s="110"/>
      <c r="P1071" s="110"/>
      <c r="Q1071" s="433">
        <v>70</v>
      </c>
      <c r="R1071" s="111">
        <v>387373.33333333331</v>
      </c>
      <c r="S1071" s="110"/>
      <c r="T1071" s="110"/>
      <c r="U1071" s="110"/>
      <c r="V1071" s="110"/>
      <c r="W1071" s="433">
        <v>50</v>
      </c>
      <c r="X1071" s="111">
        <v>387373.33333333331</v>
      </c>
      <c r="Y1071" s="110"/>
      <c r="Z1071" s="110"/>
      <c r="AA1071" s="110"/>
      <c r="AB1071" s="110"/>
      <c r="AC1071" s="433">
        <v>50</v>
      </c>
      <c r="AD1071" s="111">
        <v>387373.33333333331</v>
      </c>
      <c r="AE1071" s="110"/>
      <c r="AF1071" s="110"/>
      <c r="AG1071" s="110"/>
      <c r="AH1071" s="1048"/>
    </row>
    <row r="1072" spans="1:34" ht="45" x14ac:dyDescent="0.25">
      <c r="A1072" s="1047"/>
      <c r="B1072" s="110" t="s">
        <v>4241</v>
      </c>
      <c r="C1072" s="110"/>
      <c r="D1072" s="433">
        <v>10</v>
      </c>
      <c r="E1072" s="207" t="s">
        <v>1721</v>
      </c>
      <c r="F1072" s="1178" t="s">
        <v>4353</v>
      </c>
      <c r="G1072" s="1056" t="s">
        <v>4306</v>
      </c>
      <c r="H1072" s="433" t="s">
        <v>3478</v>
      </c>
      <c r="I1072" s="111">
        <v>11540</v>
      </c>
      <c r="J1072" s="111">
        <v>115400</v>
      </c>
      <c r="K1072" s="110"/>
      <c r="L1072" s="110"/>
      <c r="M1072" s="110"/>
      <c r="N1072" s="110"/>
      <c r="O1072" s="110"/>
      <c r="P1072" s="110"/>
      <c r="Q1072" s="433">
        <v>5</v>
      </c>
      <c r="R1072" s="111">
        <v>38466.666666666664</v>
      </c>
      <c r="S1072" s="110"/>
      <c r="T1072" s="110"/>
      <c r="U1072" s="110"/>
      <c r="V1072" s="110"/>
      <c r="W1072" s="433">
        <v>3</v>
      </c>
      <c r="X1072" s="111">
        <v>38466.666666666664</v>
      </c>
      <c r="Y1072" s="110"/>
      <c r="Z1072" s="110"/>
      <c r="AA1072" s="110"/>
      <c r="AB1072" s="110"/>
      <c r="AC1072" s="433">
        <v>2</v>
      </c>
      <c r="AD1072" s="111">
        <v>38466.666666666664</v>
      </c>
      <c r="AE1072" s="110"/>
      <c r="AF1072" s="110"/>
      <c r="AG1072" s="110"/>
      <c r="AH1072" s="1048"/>
    </row>
    <row r="1073" spans="1:34" ht="45" x14ac:dyDescent="0.25">
      <c r="A1073" s="1047"/>
      <c r="B1073" s="110" t="s">
        <v>4242</v>
      </c>
      <c r="C1073" s="110"/>
      <c r="D1073" s="433">
        <v>10</v>
      </c>
      <c r="E1073" s="207" t="s">
        <v>1721</v>
      </c>
      <c r="F1073" s="1178" t="s">
        <v>4353</v>
      </c>
      <c r="G1073" s="1056" t="s">
        <v>4306</v>
      </c>
      <c r="H1073" s="433" t="s">
        <v>3478</v>
      </c>
      <c r="I1073" s="111">
        <v>10534</v>
      </c>
      <c r="J1073" s="111">
        <v>105340</v>
      </c>
      <c r="K1073" s="110"/>
      <c r="L1073" s="110"/>
      <c r="M1073" s="110"/>
      <c r="N1073" s="110"/>
      <c r="O1073" s="110"/>
      <c r="P1073" s="110"/>
      <c r="Q1073" s="433">
        <v>5</v>
      </c>
      <c r="R1073" s="111">
        <v>35113.333333333336</v>
      </c>
      <c r="S1073" s="110"/>
      <c r="T1073" s="110"/>
      <c r="U1073" s="110"/>
      <c r="V1073" s="110"/>
      <c r="W1073" s="433">
        <v>3</v>
      </c>
      <c r="X1073" s="111">
        <v>35113.333333333336</v>
      </c>
      <c r="Y1073" s="110"/>
      <c r="Z1073" s="110"/>
      <c r="AA1073" s="110"/>
      <c r="AB1073" s="110"/>
      <c r="AC1073" s="433">
        <v>2</v>
      </c>
      <c r="AD1073" s="111">
        <v>35113.333333333336</v>
      </c>
      <c r="AE1073" s="110"/>
      <c r="AF1073" s="110"/>
      <c r="AG1073" s="110"/>
      <c r="AH1073" s="1048"/>
    </row>
    <row r="1074" spans="1:34" ht="45" x14ac:dyDescent="0.25">
      <c r="A1074" s="1047"/>
      <c r="B1074" s="110"/>
      <c r="C1074" s="110"/>
      <c r="D1074" s="433"/>
      <c r="E1074" s="207"/>
      <c r="F1074" s="1178" t="s">
        <v>4353</v>
      </c>
      <c r="G1074" s="110"/>
      <c r="H1074" s="433"/>
      <c r="I1074" s="111"/>
      <c r="J1074" s="111"/>
      <c r="K1074" s="110"/>
      <c r="L1074" s="110"/>
      <c r="M1074" s="110"/>
      <c r="N1074" s="110"/>
      <c r="O1074" s="110"/>
      <c r="P1074" s="110"/>
      <c r="Q1074" s="433"/>
      <c r="R1074" s="111"/>
      <c r="S1074" s="110"/>
      <c r="T1074" s="110"/>
      <c r="U1074" s="110"/>
      <c r="V1074" s="110"/>
      <c r="W1074" s="433"/>
      <c r="X1074" s="111"/>
      <c r="Y1074" s="110"/>
      <c r="Z1074" s="110"/>
      <c r="AA1074" s="110"/>
      <c r="AB1074" s="110"/>
      <c r="AC1074" s="433"/>
      <c r="AD1074" s="111"/>
      <c r="AE1074" s="110"/>
      <c r="AF1074" s="110"/>
      <c r="AG1074" s="110"/>
      <c r="AH1074" s="1048"/>
    </row>
    <row r="1075" spans="1:34" ht="45" x14ac:dyDescent="0.25">
      <c r="A1075" s="1047"/>
      <c r="B1075" s="110" t="s">
        <v>4243</v>
      </c>
      <c r="C1075" s="110"/>
      <c r="D1075" s="433">
        <v>70</v>
      </c>
      <c r="E1075" s="207" t="s">
        <v>1721</v>
      </c>
      <c r="F1075" s="1178" t="s">
        <v>4353</v>
      </c>
      <c r="G1075" s="1056" t="s">
        <v>4306</v>
      </c>
      <c r="H1075" s="433" t="s">
        <v>3478</v>
      </c>
      <c r="I1075" s="111">
        <v>2900</v>
      </c>
      <c r="J1075" s="111">
        <v>203000</v>
      </c>
      <c r="K1075" s="110"/>
      <c r="L1075" s="110"/>
      <c r="M1075" s="110"/>
      <c r="N1075" s="110"/>
      <c r="O1075" s="110"/>
      <c r="P1075" s="110"/>
      <c r="Q1075" s="433">
        <v>30</v>
      </c>
      <c r="R1075" s="111">
        <v>67666.666666666672</v>
      </c>
      <c r="S1075" s="110"/>
      <c r="T1075" s="110"/>
      <c r="U1075" s="110"/>
      <c r="V1075" s="110"/>
      <c r="W1075" s="433">
        <v>20</v>
      </c>
      <c r="X1075" s="111">
        <v>67666.666666666672</v>
      </c>
      <c r="Y1075" s="110"/>
      <c r="Z1075" s="110"/>
      <c r="AA1075" s="110"/>
      <c r="AB1075" s="110"/>
      <c r="AC1075" s="433">
        <v>20</v>
      </c>
      <c r="AD1075" s="111">
        <v>67666.666666666672</v>
      </c>
      <c r="AE1075" s="110"/>
      <c r="AF1075" s="110"/>
      <c r="AG1075" s="110"/>
      <c r="AH1075" s="1048"/>
    </row>
    <row r="1076" spans="1:34" ht="45" x14ac:dyDescent="0.25">
      <c r="A1076" s="1047"/>
      <c r="B1076" s="110" t="s">
        <v>4244</v>
      </c>
      <c r="C1076" s="110"/>
      <c r="D1076" s="433">
        <v>2</v>
      </c>
      <c r="E1076" s="207" t="s">
        <v>1721</v>
      </c>
      <c r="F1076" s="1178" t="s">
        <v>4353</v>
      </c>
      <c r="G1076" s="1056" t="s">
        <v>4306</v>
      </c>
      <c r="H1076" s="433" t="s">
        <v>3478</v>
      </c>
      <c r="I1076" s="111">
        <v>5568</v>
      </c>
      <c r="J1076" s="111">
        <v>11136</v>
      </c>
      <c r="K1076" s="110"/>
      <c r="L1076" s="110"/>
      <c r="M1076" s="110"/>
      <c r="N1076" s="110"/>
      <c r="O1076" s="110"/>
      <c r="P1076" s="110"/>
      <c r="Q1076" s="433">
        <v>1</v>
      </c>
      <c r="R1076" s="111">
        <v>3712</v>
      </c>
      <c r="S1076" s="110"/>
      <c r="T1076" s="110"/>
      <c r="U1076" s="110"/>
      <c r="V1076" s="110"/>
      <c r="W1076" s="433">
        <v>1</v>
      </c>
      <c r="X1076" s="111">
        <v>3712</v>
      </c>
      <c r="Y1076" s="110"/>
      <c r="Z1076" s="110"/>
      <c r="AA1076" s="110"/>
      <c r="AB1076" s="110"/>
      <c r="AC1076" s="433">
        <v>0</v>
      </c>
      <c r="AD1076" s="111">
        <v>3712</v>
      </c>
      <c r="AE1076" s="110"/>
      <c r="AF1076" s="110"/>
      <c r="AG1076" s="110"/>
      <c r="AH1076" s="1048"/>
    </row>
    <row r="1077" spans="1:34" ht="45" x14ac:dyDescent="0.25">
      <c r="A1077" s="1047"/>
      <c r="B1077" s="110" t="s">
        <v>4245</v>
      </c>
      <c r="C1077" s="110"/>
      <c r="D1077" s="433">
        <v>3</v>
      </c>
      <c r="E1077" s="207" t="s">
        <v>1721</v>
      </c>
      <c r="F1077" s="1178" t="s">
        <v>4353</v>
      </c>
      <c r="G1077" s="1056" t="s">
        <v>4306</v>
      </c>
      <c r="H1077" s="433" t="s">
        <v>3478</v>
      </c>
      <c r="I1077" s="111">
        <v>4988</v>
      </c>
      <c r="J1077" s="111">
        <v>14964</v>
      </c>
      <c r="K1077" s="110"/>
      <c r="L1077" s="110"/>
      <c r="M1077" s="110"/>
      <c r="N1077" s="110"/>
      <c r="O1077" s="110"/>
      <c r="P1077" s="110"/>
      <c r="Q1077" s="433">
        <v>1</v>
      </c>
      <c r="R1077" s="111">
        <v>4988</v>
      </c>
      <c r="S1077" s="110"/>
      <c r="T1077" s="110"/>
      <c r="U1077" s="110"/>
      <c r="V1077" s="110"/>
      <c r="W1077" s="433">
        <v>1</v>
      </c>
      <c r="X1077" s="111">
        <v>4988</v>
      </c>
      <c r="Y1077" s="110"/>
      <c r="Z1077" s="110"/>
      <c r="AA1077" s="110"/>
      <c r="AB1077" s="110"/>
      <c r="AC1077" s="433">
        <v>1</v>
      </c>
      <c r="AD1077" s="111">
        <v>4988</v>
      </c>
      <c r="AE1077" s="110"/>
      <c r="AF1077" s="110"/>
      <c r="AG1077" s="110"/>
      <c r="AH1077" s="1048"/>
    </row>
    <row r="1078" spans="1:34" ht="45" x14ac:dyDescent="0.25">
      <c r="A1078" s="1047"/>
      <c r="B1078" s="110" t="s">
        <v>4246</v>
      </c>
      <c r="C1078" s="110"/>
      <c r="D1078" s="433">
        <v>15</v>
      </c>
      <c r="E1078" s="207" t="s">
        <v>1721</v>
      </c>
      <c r="F1078" s="1178" t="s">
        <v>4353</v>
      </c>
      <c r="G1078" s="1056" t="s">
        <v>4306</v>
      </c>
      <c r="H1078" s="433" t="s">
        <v>3478</v>
      </c>
      <c r="I1078" s="111">
        <v>696</v>
      </c>
      <c r="J1078" s="111">
        <v>10440</v>
      </c>
      <c r="K1078" s="110"/>
      <c r="L1078" s="110"/>
      <c r="M1078" s="110"/>
      <c r="N1078" s="110"/>
      <c r="O1078" s="110"/>
      <c r="P1078" s="110"/>
      <c r="Q1078" s="433">
        <v>8</v>
      </c>
      <c r="R1078" s="111">
        <v>3480</v>
      </c>
      <c r="S1078" s="110"/>
      <c r="T1078" s="110"/>
      <c r="U1078" s="110"/>
      <c r="V1078" s="110"/>
      <c r="W1078" s="433">
        <v>4</v>
      </c>
      <c r="X1078" s="111">
        <v>3480</v>
      </c>
      <c r="Y1078" s="110"/>
      <c r="Z1078" s="110"/>
      <c r="AA1078" s="110"/>
      <c r="AB1078" s="110"/>
      <c r="AC1078" s="433">
        <v>3</v>
      </c>
      <c r="AD1078" s="111">
        <v>3480</v>
      </c>
      <c r="AE1078" s="110"/>
      <c r="AF1078" s="110"/>
      <c r="AG1078" s="110"/>
      <c r="AH1078" s="1048"/>
    </row>
    <row r="1079" spans="1:34" ht="45" x14ac:dyDescent="0.25">
      <c r="A1079" s="1047"/>
      <c r="B1079" s="110" t="s">
        <v>4247</v>
      </c>
      <c r="C1079" s="110"/>
      <c r="D1079" s="433">
        <v>10</v>
      </c>
      <c r="E1079" s="207" t="s">
        <v>1721</v>
      </c>
      <c r="F1079" s="1178" t="s">
        <v>4353</v>
      </c>
      <c r="G1079" s="1056" t="s">
        <v>4306</v>
      </c>
      <c r="H1079" s="433" t="s">
        <v>3478</v>
      </c>
      <c r="I1079" s="111">
        <v>927.99999999999977</v>
      </c>
      <c r="J1079" s="111">
        <v>9279.9999999999982</v>
      </c>
      <c r="K1079" s="110"/>
      <c r="L1079" s="110"/>
      <c r="M1079" s="110"/>
      <c r="N1079" s="110"/>
      <c r="O1079" s="110"/>
      <c r="P1079" s="110"/>
      <c r="Q1079" s="433">
        <v>5</v>
      </c>
      <c r="R1079" s="111">
        <v>3093.3333333333326</v>
      </c>
      <c r="S1079" s="110"/>
      <c r="T1079" s="110"/>
      <c r="U1079" s="110"/>
      <c r="V1079" s="110"/>
      <c r="W1079" s="433">
        <v>3</v>
      </c>
      <c r="X1079" s="111">
        <v>3093.3333333333326</v>
      </c>
      <c r="Y1079" s="110"/>
      <c r="Z1079" s="110"/>
      <c r="AA1079" s="110"/>
      <c r="AB1079" s="110"/>
      <c r="AC1079" s="433">
        <v>2</v>
      </c>
      <c r="AD1079" s="111">
        <v>3093.3333333333326</v>
      </c>
      <c r="AE1079" s="110"/>
      <c r="AF1079" s="110"/>
      <c r="AG1079" s="110"/>
      <c r="AH1079" s="1048"/>
    </row>
    <row r="1080" spans="1:34" ht="45" x14ac:dyDescent="0.25">
      <c r="A1080" s="1047"/>
      <c r="B1080" s="110" t="s">
        <v>4248</v>
      </c>
      <c r="C1080" s="110"/>
      <c r="D1080" s="433">
        <v>5</v>
      </c>
      <c r="E1080" s="207" t="s">
        <v>1721</v>
      </c>
      <c r="F1080" s="1178" t="s">
        <v>4353</v>
      </c>
      <c r="G1080" s="1056" t="s">
        <v>4306</v>
      </c>
      <c r="H1080" s="433" t="s">
        <v>3478</v>
      </c>
      <c r="I1080" s="111">
        <v>1160</v>
      </c>
      <c r="J1080" s="111">
        <v>5800</v>
      </c>
      <c r="K1080" s="110"/>
      <c r="L1080" s="110"/>
      <c r="M1080" s="110"/>
      <c r="N1080" s="110"/>
      <c r="O1080" s="110"/>
      <c r="P1080" s="110"/>
      <c r="Q1080" s="433">
        <v>2</v>
      </c>
      <c r="R1080" s="111">
        <v>1933.3333333333333</v>
      </c>
      <c r="S1080" s="110"/>
      <c r="T1080" s="110"/>
      <c r="U1080" s="110"/>
      <c r="V1080" s="110"/>
      <c r="W1080" s="433">
        <v>2</v>
      </c>
      <c r="X1080" s="111">
        <v>1933.3333333333333</v>
      </c>
      <c r="Y1080" s="110"/>
      <c r="Z1080" s="110"/>
      <c r="AA1080" s="110"/>
      <c r="AB1080" s="110"/>
      <c r="AC1080" s="433">
        <v>1</v>
      </c>
      <c r="AD1080" s="111">
        <v>1933.3333333333333</v>
      </c>
      <c r="AE1080" s="110"/>
      <c r="AF1080" s="110"/>
      <c r="AG1080" s="110"/>
      <c r="AH1080" s="1048"/>
    </row>
    <row r="1081" spans="1:34" ht="45" x14ac:dyDescent="0.25">
      <c r="A1081" s="1047"/>
      <c r="B1081" s="110" t="s">
        <v>4249</v>
      </c>
      <c r="C1081" s="110"/>
      <c r="D1081" s="433">
        <v>5</v>
      </c>
      <c r="E1081" s="207" t="s">
        <v>1721</v>
      </c>
      <c r="F1081" s="1178" t="s">
        <v>4353</v>
      </c>
      <c r="G1081" s="1056" t="s">
        <v>4306</v>
      </c>
      <c r="H1081" s="433" t="s">
        <v>3478</v>
      </c>
      <c r="I1081" s="111">
        <v>1392</v>
      </c>
      <c r="J1081" s="111">
        <v>6960</v>
      </c>
      <c r="K1081" s="110"/>
      <c r="L1081" s="110"/>
      <c r="M1081" s="110"/>
      <c r="N1081" s="110"/>
      <c r="O1081" s="110"/>
      <c r="P1081" s="110"/>
      <c r="Q1081" s="433">
        <v>2</v>
      </c>
      <c r="R1081" s="111">
        <v>2320</v>
      </c>
      <c r="S1081" s="110"/>
      <c r="T1081" s="110"/>
      <c r="U1081" s="110"/>
      <c r="V1081" s="110"/>
      <c r="W1081" s="433">
        <v>2</v>
      </c>
      <c r="X1081" s="111">
        <v>2320</v>
      </c>
      <c r="Y1081" s="110"/>
      <c r="Z1081" s="110"/>
      <c r="AA1081" s="110"/>
      <c r="AB1081" s="110"/>
      <c r="AC1081" s="433">
        <v>1</v>
      </c>
      <c r="AD1081" s="111">
        <v>2320</v>
      </c>
      <c r="AE1081" s="110"/>
      <c r="AF1081" s="110"/>
      <c r="AG1081" s="110"/>
      <c r="AH1081" s="1048"/>
    </row>
    <row r="1082" spans="1:34" ht="45" x14ac:dyDescent="0.25">
      <c r="A1082" s="1047"/>
      <c r="B1082" s="110" t="s">
        <v>4250</v>
      </c>
      <c r="C1082" s="110"/>
      <c r="D1082" s="433">
        <v>5</v>
      </c>
      <c r="E1082" s="207" t="s">
        <v>1721</v>
      </c>
      <c r="F1082" s="1178" t="s">
        <v>4353</v>
      </c>
      <c r="G1082" s="1056" t="s">
        <v>4306</v>
      </c>
      <c r="H1082" s="433" t="s">
        <v>3478</v>
      </c>
      <c r="I1082" s="111">
        <v>1624</v>
      </c>
      <c r="J1082" s="111">
        <v>8120</v>
      </c>
      <c r="K1082" s="110"/>
      <c r="L1082" s="110"/>
      <c r="M1082" s="110"/>
      <c r="N1082" s="110"/>
      <c r="O1082" s="110"/>
      <c r="P1082" s="110"/>
      <c r="Q1082" s="433">
        <v>2</v>
      </c>
      <c r="R1082" s="111">
        <v>2706.6666666666665</v>
      </c>
      <c r="S1082" s="110"/>
      <c r="T1082" s="110"/>
      <c r="U1082" s="110"/>
      <c r="V1082" s="110"/>
      <c r="W1082" s="433">
        <v>2</v>
      </c>
      <c r="X1082" s="111">
        <v>2706.6666666666665</v>
      </c>
      <c r="Y1082" s="110"/>
      <c r="Z1082" s="110"/>
      <c r="AA1082" s="110"/>
      <c r="AB1082" s="110"/>
      <c r="AC1082" s="433">
        <v>1</v>
      </c>
      <c r="AD1082" s="111">
        <v>2706.6666666666665</v>
      </c>
      <c r="AE1082" s="110"/>
      <c r="AF1082" s="110"/>
      <c r="AG1082" s="110"/>
      <c r="AH1082" s="1048"/>
    </row>
    <row r="1083" spans="1:34" ht="45" x14ac:dyDescent="0.25">
      <c r="A1083" s="1047"/>
      <c r="B1083" s="110" t="s">
        <v>4251</v>
      </c>
      <c r="C1083" s="110"/>
      <c r="D1083" s="433">
        <v>5</v>
      </c>
      <c r="E1083" s="207" t="s">
        <v>1721</v>
      </c>
      <c r="F1083" s="1178" t="s">
        <v>4353</v>
      </c>
      <c r="G1083" s="1056" t="s">
        <v>4306</v>
      </c>
      <c r="H1083" s="433" t="s">
        <v>3478</v>
      </c>
      <c r="I1083" s="111">
        <v>2320</v>
      </c>
      <c r="J1083" s="111">
        <v>11600</v>
      </c>
      <c r="K1083" s="110"/>
      <c r="L1083" s="110"/>
      <c r="M1083" s="110"/>
      <c r="N1083" s="110"/>
      <c r="O1083" s="110"/>
      <c r="P1083" s="110"/>
      <c r="Q1083" s="433">
        <v>2</v>
      </c>
      <c r="R1083" s="111">
        <v>3866.6666666666665</v>
      </c>
      <c r="S1083" s="110"/>
      <c r="T1083" s="110"/>
      <c r="U1083" s="110"/>
      <c r="V1083" s="110"/>
      <c r="W1083" s="433">
        <v>2</v>
      </c>
      <c r="X1083" s="111">
        <v>3866.6666666666665</v>
      </c>
      <c r="Y1083" s="110"/>
      <c r="Z1083" s="110"/>
      <c r="AA1083" s="110"/>
      <c r="AB1083" s="110"/>
      <c r="AC1083" s="433">
        <v>1</v>
      </c>
      <c r="AD1083" s="111">
        <v>3866.6666666666665</v>
      </c>
      <c r="AE1083" s="110"/>
      <c r="AF1083" s="110"/>
      <c r="AG1083" s="110"/>
      <c r="AH1083" s="1048"/>
    </row>
    <row r="1084" spans="1:34" ht="45" x14ac:dyDescent="0.25">
      <c r="A1084" s="1047"/>
      <c r="B1084" s="110" t="s">
        <v>4252</v>
      </c>
      <c r="C1084" s="110"/>
      <c r="D1084" s="433">
        <v>5</v>
      </c>
      <c r="E1084" s="207" t="s">
        <v>1721</v>
      </c>
      <c r="F1084" s="1178" t="s">
        <v>4353</v>
      </c>
      <c r="G1084" s="1056" t="s">
        <v>4306</v>
      </c>
      <c r="H1084" s="433" t="s">
        <v>3478</v>
      </c>
      <c r="I1084" s="111">
        <v>2552</v>
      </c>
      <c r="J1084" s="111">
        <v>12760</v>
      </c>
      <c r="K1084" s="110"/>
      <c r="L1084" s="110"/>
      <c r="M1084" s="110"/>
      <c r="N1084" s="110"/>
      <c r="O1084" s="110"/>
      <c r="P1084" s="110"/>
      <c r="Q1084" s="433">
        <v>2</v>
      </c>
      <c r="R1084" s="111">
        <v>4253.333333333333</v>
      </c>
      <c r="S1084" s="110"/>
      <c r="T1084" s="110"/>
      <c r="U1084" s="110"/>
      <c r="V1084" s="110"/>
      <c r="W1084" s="433">
        <v>2</v>
      </c>
      <c r="X1084" s="111">
        <v>4253.333333333333</v>
      </c>
      <c r="Y1084" s="110"/>
      <c r="Z1084" s="110"/>
      <c r="AA1084" s="110"/>
      <c r="AB1084" s="110"/>
      <c r="AC1084" s="433">
        <v>1</v>
      </c>
      <c r="AD1084" s="111">
        <v>4253.333333333333</v>
      </c>
      <c r="AE1084" s="110"/>
      <c r="AF1084" s="110"/>
      <c r="AG1084" s="110"/>
      <c r="AH1084" s="1048"/>
    </row>
    <row r="1085" spans="1:34" ht="45" x14ac:dyDescent="0.25">
      <c r="A1085" s="1047"/>
      <c r="B1085" s="110" t="s">
        <v>4253</v>
      </c>
      <c r="C1085" s="110"/>
      <c r="D1085" s="433">
        <v>35</v>
      </c>
      <c r="E1085" s="207" t="s">
        <v>1721</v>
      </c>
      <c r="F1085" s="1178" t="s">
        <v>4353</v>
      </c>
      <c r="G1085" s="1056" t="s">
        <v>4306</v>
      </c>
      <c r="H1085" s="433" t="s">
        <v>3478</v>
      </c>
      <c r="I1085" s="111">
        <v>4697</v>
      </c>
      <c r="J1085" s="111">
        <v>164395</v>
      </c>
      <c r="K1085" s="110"/>
      <c r="L1085" s="110"/>
      <c r="M1085" s="110"/>
      <c r="N1085" s="110"/>
      <c r="O1085" s="110"/>
      <c r="P1085" s="110"/>
      <c r="Q1085" s="433">
        <v>19</v>
      </c>
      <c r="R1085" s="111">
        <v>54798.333333333336</v>
      </c>
      <c r="S1085" s="110"/>
      <c r="T1085" s="110"/>
      <c r="U1085" s="110"/>
      <c r="V1085" s="110"/>
      <c r="W1085" s="433">
        <v>8</v>
      </c>
      <c r="X1085" s="111">
        <v>54798.333333333336</v>
      </c>
      <c r="Y1085" s="110"/>
      <c r="Z1085" s="110"/>
      <c r="AA1085" s="110"/>
      <c r="AB1085" s="110"/>
      <c r="AC1085" s="433">
        <v>8</v>
      </c>
      <c r="AD1085" s="111">
        <v>54798.333333333336</v>
      </c>
      <c r="AE1085" s="110"/>
      <c r="AF1085" s="110"/>
      <c r="AG1085" s="110"/>
      <c r="AH1085" s="1048"/>
    </row>
    <row r="1086" spans="1:34" x14ac:dyDescent="0.25">
      <c r="A1086" s="1047"/>
      <c r="B1086" s="110"/>
      <c r="C1086" s="110"/>
      <c r="D1086" s="433"/>
      <c r="E1086" s="207"/>
      <c r="F1086" s="1178"/>
      <c r="G1086" s="110"/>
      <c r="H1086" s="433"/>
      <c r="I1086" s="111"/>
      <c r="J1086" s="111"/>
      <c r="K1086" s="110"/>
      <c r="L1086" s="110"/>
      <c r="M1086" s="110"/>
      <c r="N1086" s="110"/>
      <c r="O1086" s="110"/>
      <c r="P1086" s="110"/>
      <c r="Q1086" s="433"/>
      <c r="R1086" s="111"/>
      <c r="S1086" s="110"/>
      <c r="T1086" s="110"/>
      <c r="U1086" s="110"/>
      <c r="V1086" s="110"/>
      <c r="W1086" s="433"/>
      <c r="X1086" s="111"/>
      <c r="Y1086" s="110"/>
      <c r="Z1086" s="110"/>
      <c r="AA1086" s="110"/>
      <c r="AB1086" s="110"/>
      <c r="AC1086" s="433"/>
      <c r="AD1086" s="111"/>
      <c r="AE1086" s="110"/>
      <c r="AF1086" s="110"/>
      <c r="AG1086" s="110"/>
      <c r="AH1086" s="1048"/>
    </row>
    <row r="1087" spans="1:34" ht="45" x14ac:dyDescent="0.25">
      <c r="A1087" s="1047"/>
      <c r="B1087" s="110" t="s">
        <v>4254</v>
      </c>
      <c r="C1087" s="110"/>
      <c r="D1087" s="433">
        <v>20</v>
      </c>
      <c r="E1087" s="207" t="s">
        <v>1767</v>
      </c>
      <c r="F1087" s="1178" t="s">
        <v>4353</v>
      </c>
      <c r="G1087" s="1056" t="s">
        <v>4306</v>
      </c>
      <c r="H1087" s="433" t="s">
        <v>3478</v>
      </c>
      <c r="I1087" s="111">
        <v>1624</v>
      </c>
      <c r="J1087" s="111">
        <v>32480</v>
      </c>
      <c r="K1087" s="110"/>
      <c r="L1087" s="110"/>
      <c r="M1087" s="110"/>
      <c r="N1087" s="110"/>
      <c r="O1087" s="110"/>
      <c r="P1087" s="110"/>
      <c r="Q1087" s="433">
        <v>10</v>
      </c>
      <c r="R1087" s="111">
        <v>10826.666666666666</v>
      </c>
      <c r="S1087" s="110"/>
      <c r="T1087" s="110"/>
      <c r="U1087" s="110"/>
      <c r="V1087" s="110"/>
      <c r="W1087" s="433">
        <v>5</v>
      </c>
      <c r="X1087" s="111">
        <v>10826.666666666666</v>
      </c>
      <c r="Y1087" s="110"/>
      <c r="Z1087" s="110"/>
      <c r="AA1087" s="110"/>
      <c r="AB1087" s="110"/>
      <c r="AC1087" s="433">
        <v>5</v>
      </c>
      <c r="AD1087" s="111">
        <v>10826.666666666666</v>
      </c>
      <c r="AE1087" s="110"/>
      <c r="AF1087" s="110"/>
      <c r="AG1087" s="110"/>
      <c r="AH1087" s="1048"/>
    </row>
    <row r="1088" spans="1:34" ht="45" x14ac:dyDescent="0.25">
      <c r="A1088" s="1047"/>
      <c r="B1088" s="110" t="s">
        <v>4255</v>
      </c>
      <c r="C1088" s="110"/>
      <c r="D1088" s="433">
        <v>20</v>
      </c>
      <c r="E1088" s="207" t="s">
        <v>1767</v>
      </c>
      <c r="F1088" s="1178" t="s">
        <v>4353</v>
      </c>
      <c r="G1088" s="1056" t="s">
        <v>4306</v>
      </c>
      <c r="H1088" s="433" t="s">
        <v>3478</v>
      </c>
      <c r="I1088" s="111">
        <v>6727.9999999999982</v>
      </c>
      <c r="J1088" s="111">
        <v>134559.99999999997</v>
      </c>
      <c r="K1088" s="110"/>
      <c r="L1088" s="110"/>
      <c r="M1088" s="110"/>
      <c r="N1088" s="110"/>
      <c r="O1088" s="110"/>
      <c r="P1088" s="110"/>
      <c r="Q1088" s="433">
        <v>10</v>
      </c>
      <c r="R1088" s="111">
        <v>44853.333333333321</v>
      </c>
      <c r="S1088" s="110"/>
      <c r="T1088" s="110"/>
      <c r="U1088" s="110"/>
      <c r="V1088" s="110"/>
      <c r="W1088" s="433">
        <v>5</v>
      </c>
      <c r="X1088" s="111">
        <v>44853.333333333321</v>
      </c>
      <c r="Y1088" s="110"/>
      <c r="Z1088" s="110"/>
      <c r="AA1088" s="110"/>
      <c r="AB1088" s="110"/>
      <c r="AC1088" s="433">
        <v>5</v>
      </c>
      <c r="AD1088" s="111">
        <v>44853.333333333321</v>
      </c>
      <c r="AE1088" s="110"/>
      <c r="AF1088" s="110"/>
      <c r="AG1088" s="110"/>
      <c r="AH1088" s="1048"/>
    </row>
    <row r="1089" spans="1:34" ht="45" x14ac:dyDescent="0.25">
      <c r="A1089" s="1047"/>
      <c r="B1089" s="110" t="s">
        <v>4256</v>
      </c>
      <c r="C1089" s="110"/>
      <c r="D1089" s="433">
        <v>20</v>
      </c>
      <c r="E1089" s="207" t="s">
        <v>1767</v>
      </c>
      <c r="F1089" s="1178" t="s">
        <v>4353</v>
      </c>
      <c r="G1089" s="1056" t="s">
        <v>4306</v>
      </c>
      <c r="H1089" s="433" t="s">
        <v>3478</v>
      </c>
      <c r="I1089" s="111">
        <v>2088</v>
      </c>
      <c r="J1089" s="111">
        <v>41760</v>
      </c>
      <c r="K1089" s="110"/>
      <c r="L1089" s="110"/>
      <c r="M1089" s="110"/>
      <c r="N1089" s="110"/>
      <c r="O1089" s="110"/>
      <c r="P1089" s="110"/>
      <c r="Q1089" s="433">
        <v>10</v>
      </c>
      <c r="R1089" s="111">
        <v>13920</v>
      </c>
      <c r="S1089" s="110"/>
      <c r="T1089" s="110"/>
      <c r="U1089" s="110"/>
      <c r="V1089" s="110"/>
      <c r="W1089" s="433">
        <v>5</v>
      </c>
      <c r="X1089" s="111">
        <v>13920</v>
      </c>
      <c r="Y1089" s="110"/>
      <c r="Z1089" s="110"/>
      <c r="AA1089" s="110"/>
      <c r="AB1089" s="110"/>
      <c r="AC1089" s="433">
        <v>5</v>
      </c>
      <c r="AD1089" s="111">
        <v>13920</v>
      </c>
      <c r="AE1089" s="110"/>
      <c r="AF1089" s="110"/>
      <c r="AG1089" s="110"/>
      <c r="AH1089" s="1048"/>
    </row>
    <row r="1090" spans="1:34" ht="45" x14ac:dyDescent="0.25">
      <c r="A1090" s="1047"/>
      <c r="B1090" s="110" t="s">
        <v>4257</v>
      </c>
      <c r="C1090" s="110"/>
      <c r="D1090" s="433">
        <v>20</v>
      </c>
      <c r="E1090" s="207" t="s">
        <v>1767</v>
      </c>
      <c r="F1090" s="1178" t="s">
        <v>4353</v>
      </c>
      <c r="G1090" s="1056" t="s">
        <v>4306</v>
      </c>
      <c r="H1090" s="433" t="s">
        <v>3478</v>
      </c>
      <c r="I1090" s="111">
        <v>1276</v>
      </c>
      <c r="J1090" s="111">
        <v>25520</v>
      </c>
      <c r="K1090" s="110"/>
      <c r="L1090" s="110"/>
      <c r="M1090" s="110"/>
      <c r="N1090" s="110"/>
      <c r="O1090" s="110"/>
      <c r="P1090" s="110"/>
      <c r="Q1090" s="433">
        <v>10</v>
      </c>
      <c r="R1090" s="111">
        <v>8506.6666666666661</v>
      </c>
      <c r="S1090" s="110"/>
      <c r="T1090" s="110"/>
      <c r="U1090" s="110"/>
      <c r="V1090" s="110"/>
      <c r="W1090" s="433">
        <v>5</v>
      </c>
      <c r="X1090" s="111">
        <v>8506.6666666666661</v>
      </c>
      <c r="Y1090" s="110"/>
      <c r="Z1090" s="110"/>
      <c r="AA1090" s="110"/>
      <c r="AB1090" s="110"/>
      <c r="AC1090" s="433">
        <v>5</v>
      </c>
      <c r="AD1090" s="111">
        <v>8506.6666666666661</v>
      </c>
      <c r="AE1090" s="110"/>
      <c r="AF1090" s="110"/>
      <c r="AG1090" s="110"/>
      <c r="AH1090" s="1048"/>
    </row>
    <row r="1091" spans="1:34" ht="45" x14ac:dyDescent="0.25">
      <c r="A1091" s="1047"/>
      <c r="B1091" s="110" t="s">
        <v>4258</v>
      </c>
      <c r="C1091" s="110"/>
      <c r="D1091" s="433">
        <v>40</v>
      </c>
      <c r="E1091" s="207" t="s">
        <v>1767</v>
      </c>
      <c r="F1091" s="1178" t="s">
        <v>4353</v>
      </c>
      <c r="G1091" s="1056" t="s">
        <v>4306</v>
      </c>
      <c r="H1091" s="433" t="s">
        <v>3478</v>
      </c>
      <c r="I1091" s="111">
        <v>1136.8</v>
      </c>
      <c r="J1091" s="111">
        <v>45472</v>
      </c>
      <c r="K1091" s="110"/>
      <c r="L1091" s="110"/>
      <c r="M1091" s="110"/>
      <c r="N1091" s="110"/>
      <c r="O1091" s="110"/>
      <c r="P1091" s="110"/>
      <c r="Q1091" s="433">
        <v>20</v>
      </c>
      <c r="R1091" s="111">
        <v>15157.333333333334</v>
      </c>
      <c r="S1091" s="110"/>
      <c r="T1091" s="110"/>
      <c r="U1091" s="110"/>
      <c r="V1091" s="110"/>
      <c r="W1091" s="433">
        <v>10</v>
      </c>
      <c r="X1091" s="111">
        <v>15157.333333333334</v>
      </c>
      <c r="Y1091" s="110"/>
      <c r="Z1091" s="110"/>
      <c r="AA1091" s="110"/>
      <c r="AB1091" s="110"/>
      <c r="AC1091" s="433">
        <v>10</v>
      </c>
      <c r="AD1091" s="111">
        <v>15157.333333333334</v>
      </c>
      <c r="AE1091" s="110"/>
      <c r="AF1091" s="110"/>
      <c r="AG1091" s="110"/>
      <c r="AH1091" s="1048"/>
    </row>
    <row r="1092" spans="1:34" ht="45" x14ac:dyDescent="0.25">
      <c r="A1092" s="1047"/>
      <c r="B1092" s="110" t="s">
        <v>4259</v>
      </c>
      <c r="C1092" s="110"/>
      <c r="D1092" s="433">
        <v>20</v>
      </c>
      <c r="E1092" s="207" t="s">
        <v>1767</v>
      </c>
      <c r="F1092" s="1178" t="s">
        <v>4353</v>
      </c>
      <c r="G1092" s="1056" t="s">
        <v>4306</v>
      </c>
      <c r="H1092" s="433" t="s">
        <v>3478</v>
      </c>
      <c r="I1092" s="111">
        <v>3711.9999999999991</v>
      </c>
      <c r="J1092" s="111">
        <v>74239.999999999985</v>
      </c>
      <c r="K1092" s="110"/>
      <c r="L1092" s="110"/>
      <c r="M1092" s="110"/>
      <c r="N1092" s="110"/>
      <c r="O1092" s="110"/>
      <c r="P1092" s="110"/>
      <c r="Q1092" s="433">
        <v>10</v>
      </c>
      <c r="R1092" s="111">
        <v>24746.666666666661</v>
      </c>
      <c r="S1092" s="110"/>
      <c r="T1092" s="110"/>
      <c r="U1092" s="110"/>
      <c r="V1092" s="110"/>
      <c r="W1092" s="433">
        <v>5</v>
      </c>
      <c r="X1092" s="111">
        <v>24746.666666666661</v>
      </c>
      <c r="Y1092" s="110"/>
      <c r="Z1092" s="110"/>
      <c r="AA1092" s="110"/>
      <c r="AB1092" s="110"/>
      <c r="AC1092" s="433">
        <v>5</v>
      </c>
      <c r="AD1092" s="111">
        <v>24746.666666666661</v>
      </c>
      <c r="AE1092" s="110"/>
      <c r="AF1092" s="110"/>
      <c r="AG1092" s="110"/>
      <c r="AH1092" s="1048"/>
    </row>
    <row r="1093" spans="1:34" ht="45" x14ac:dyDescent="0.25">
      <c r="A1093" s="1047"/>
      <c r="B1093" s="110" t="s">
        <v>4260</v>
      </c>
      <c r="C1093" s="110"/>
      <c r="D1093" s="433">
        <v>20</v>
      </c>
      <c r="E1093" s="207" t="s">
        <v>1767</v>
      </c>
      <c r="F1093" s="1178" t="s">
        <v>4353</v>
      </c>
      <c r="G1093" s="1056" t="s">
        <v>4306</v>
      </c>
      <c r="H1093" s="433" t="s">
        <v>3478</v>
      </c>
      <c r="I1093" s="111">
        <v>3711.9999999999991</v>
      </c>
      <c r="J1093" s="111">
        <v>74239.999999999985</v>
      </c>
      <c r="K1093" s="110"/>
      <c r="L1093" s="110"/>
      <c r="M1093" s="110"/>
      <c r="N1093" s="110"/>
      <c r="O1093" s="110"/>
      <c r="P1093" s="110"/>
      <c r="Q1093" s="433">
        <v>10</v>
      </c>
      <c r="R1093" s="111">
        <v>24746.666666666661</v>
      </c>
      <c r="S1093" s="110"/>
      <c r="T1093" s="110"/>
      <c r="U1093" s="110"/>
      <c r="V1093" s="110"/>
      <c r="W1093" s="433">
        <v>5</v>
      </c>
      <c r="X1093" s="111">
        <v>24746.666666666661</v>
      </c>
      <c r="Y1093" s="110"/>
      <c r="Z1093" s="110"/>
      <c r="AA1093" s="110"/>
      <c r="AB1093" s="110"/>
      <c r="AC1093" s="433">
        <v>5</v>
      </c>
      <c r="AD1093" s="111">
        <v>24746.666666666661</v>
      </c>
      <c r="AE1093" s="110"/>
      <c r="AF1093" s="110"/>
      <c r="AG1093" s="110"/>
      <c r="AH1093" s="1048"/>
    </row>
    <row r="1094" spans="1:34" ht="45" x14ac:dyDescent="0.25">
      <c r="A1094" s="1047"/>
      <c r="B1094" s="110" t="s">
        <v>4261</v>
      </c>
      <c r="C1094" s="110"/>
      <c r="D1094" s="433">
        <v>42</v>
      </c>
      <c r="E1094" s="207" t="s">
        <v>1767</v>
      </c>
      <c r="F1094" s="1178" t="s">
        <v>4353</v>
      </c>
      <c r="G1094" s="1056" t="s">
        <v>4306</v>
      </c>
      <c r="H1094" s="433" t="s">
        <v>3478</v>
      </c>
      <c r="I1094" s="111">
        <v>2204</v>
      </c>
      <c r="J1094" s="111">
        <v>92568</v>
      </c>
      <c r="K1094" s="110"/>
      <c r="L1094" s="110"/>
      <c r="M1094" s="110"/>
      <c r="N1094" s="110"/>
      <c r="O1094" s="110"/>
      <c r="P1094" s="110"/>
      <c r="Q1094" s="433">
        <v>20</v>
      </c>
      <c r="R1094" s="111">
        <v>30856</v>
      </c>
      <c r="S1094" s="110"/>
      <c r="T1094" s="110"/>
      <c r="U1094" s="110"/>
      <c r="V1094" s="110"/>
      <c r="W1094" s="433">
        <v>12</v>
      </c>
      <c r="X1094" s="111">
        <v>30856</v>
      </c>
      <c r="Y1094" s="110"/>
      <c r="Z1094" s="110"/>
      <c r="AA1094" s="110"/>
      <c r="AB1094" s="110"/>
      <c r="AC1094" s="433">
        <v>10</v>
      </c>
      <c r="AD1094" s="111">
        <v>30856</v>
      </c>
      <c r="AE1094" s="110"/>
      <c r="AF1094" s="110"/>
      <c r="AG1094" s="110"/>
      <c r="AH1094" s="1048"/>
    </row>
    <row r="1095" spans="1:34" ht="45" x14ac:dyDescent="0.25">
      <c r="A1095" s="1047"/>
      <c r="B1095" s="110" t="s">
        <v>4262</v>
      </c>
      <c r="C1095" s="110"/>
      <c r="D1095" s="433">
        <v>20</v>
      </c>
      <c r="E1095" s="207" t="s">
        <v>1767</v>
      </c>
      <c r="F1095" s="1178" t="s">
        <v>4353</v>
      </c>
      <c r="G1095" s="1056" t="s">
        <v>4306</v>
      </c>
      <c r="H1095" s="433" t="s">
        <v>3478</v>
      </c>
      <c r="I1095" s="111">
        <v>3479.9999999999991</v>
      </c>
      <c r="J1095" s="111">
        <v>69599.999999999985</v>
      </c>
      <c r="K1095" s="110"/>
      <c r="L1095" s="110"/>
      <c r="M1095" s="110"/>
      <c r="N1095" s="110"/>
      <c r="O1095" s="110"/>
      <c r="P1095" s="110"/>
      <c r="Q1095" s="433">
        <v>10</v>
      </c>
      <c r="R1095" s="111">
        <v>23199.999999999996</v>
      </c>
      <c r="S1095" s="110"/>
      <c r="T1095" s="110"/>
      <c r="U1095" s="110"/>
      <c r="V1095" s="110"/>
      <c r="W1095" s="433">
        <v>5</v>
      </c>
      <c r="X1095" s="111">
        <v>23199.999999999996</v>
      </c>
      <c r="Y1095" s="110"/>
      <c r="Z1095" s="110"/>
      <c r="AA1095" s="110"/>
      <c r="AB1095" s="110"/>
      <c r="AC1095" s="433">
        <v>5</v>
      </c>
      <c r="AD1095" s="111">
        <v>23199.999999999996</v>
      </c>
      <c r="AE1095" s="110"/>
      <c r="AF1095" s="110"/>
      <c r="AG1095" s="110"/>
      <c r="AH1095" s="1048"/>
    </row>
    <row r="1096" spans="1:34" ht="45" x14ac:dyDescent="0.25">
      <c r="A1096" s="1047"/>
      <c r="B1096" s="110" t="s">
        <v>4263</v>
      </c>
      <c r="C1096" s="110"/>
      <c r="D1096" s="433">
        <v>43</v>
      </c>
      <c r="E1096" s="207" t="s">
        <v>1772</v>
      </c>
      <c r="F1096" s="1178" t="s">
        <v>4353</v>
      </c>
      <c r="G1096" s="1056" t="s">
        <v>4306</v>
      </c>
      <c r="H1096" s="433" t="s">
        <v>3478</v>
      </c>
      <c r="I1096" s="111">
        <v>2204</v>
      </c>
      <c r="J1096" s="111">
        <v>94772</v>
      </c>
      <c r="K1096" s="110"/>
      <c r="L1096" s="110"/>
      <c r="M1096" s="110"/>
      <c r="N1096" s="110"/>
      <c r="O1096" s="110"/>
      <c r="P1096" s="110"/>
      <c r="Q1096" s="433">
        <v>20</v>
      </c>
      <c r="R1096" s="111">
        <v>31590.666666666668</v>
      </c>
      <c r="S1096" s="110"/>
      <c r="T1096" s="110"/>
      <c r="U1096" s="110"/>
      <c r="V1096" s="110"/>
      <c r="W1096" s="433">
        <v>12</v>
      </c>
      <c r="X1096" s="111">
        <v>31590.666666666668</v>
      </c>
      <c r="Y1096" s="110"/>
      <c r="Z1096" s="110"/>
      <c r="AA1096" s="110"/>
      <c r="AB1096" s="110"/>
      <c r="AC1096" s="433">
        <v>11</v>
      </c>
      <c r="AD1096" s="111">
        <v>31590.666666666668</v>
      </c>
      <c r="AE1096" s="110"/>
      <c r="AF1096" s="110"/>
      <c r="AG1096" s="110"/>
      <c r="AH1096" s="1048"/>
    </row>
    <row r="1097" spans="1:34" ht="45" x14ac:dyDescent="0.25">
      <c r="A1097" s="1047"/>
      <c r="B1097" s="110" t="s">
        <v>4264</v>
      </c>
      <c r="C1097" s="110"/>
      <c r="D1097" s="433">
        <v>40</v>
      </c>
      <c r="E1097" s="207" t="s">
        <v>1767</v>
      </c>
      <c r="F1097" s="1178" t="s">
        <v>4353</v>
      </c>
      <c r="G1097" s="1056" t="s">
        <v>4306</v>
      </c>
      <c r="H1097" s="433" t="s">
        <v>3478</v>
      </c>
      <c r="I1097" s="111">
        <v>348</v>
      </c>
      <c r="J1097" s="111">
        <v>13920</v>
      </c>
      <c r="K1097" s="110"/>
      <c r="L1097" s="110"/>
      <c r="M1097" s="110"/>
      <c r="N1097" s="110"/>
      <c r="O1097" s="110"/>
      <c r="P1097" s="110"/>
      <c r="Q1097" s="433">
        <v>20</v>
      </c>
      <c r="R1097" s="111">
        <v>4640</v>
      </c>
      <c r="S1097" s="110"/>
      <c r="T1097" s="110"/>
      <c r="U1097" s="110"/>
      <c r="V1097" s="110"/>
      <c r="W1097" s="433">
        <v>10</v>
      </c>
      <c r="X1097" s="111">
        <v>4640</v>
      </c>
      <c r="Y1097" s="110"/>
      <c r="Z1097" s="110"/>
      <c r="AA1097" s="110"/>
      <c r="AB1097" s="110"/>
      <c r="AC1097" s="433">
        <v>10</v>
      </c>
      <c r="AD1097" s="111">
        <v>4640</v>
      </c>
      <c r="AE1097" s="110"/>
      <c r="AF1097" s="110"/>
      <c r="AG1097" s="110"/>
      <c r="AH1097" s="1048"/>
    </row>
    <row r="1098" spans="1:34" ht="45" x14ac:dyDescent="0.25">
      <c r="A1098" s="1047"/>
      <c r="B1098" s="110" t="s">
        <v>4265</v>
      </c>
      <c r="C1098" s="110"/>
      <c r="D1098" s="433">
        <v>20</v>
      </c>
      <c r="E1098" s="207" t="s">
        <v>1767</v>
      </c>
      <c r="F1098" s="1178" t="s">
        <v>4353</v>
      </c>
      <c r="G1098" s="1056" t="s">
        <v>4306</v>
      </c>
      <c r="H1098" s="433" t="s">
        <v>3478</v>
      </c>
      <c r="I1098" s="111">
        <v>11699.759999999998</v>
      </c>
      <c r="J1098" s="111">
        <v>233995.19999999995</v>
      </c>
      <c r="K1098" s="110"/>
      <c r="L1098" s="110"/>
      <c r="M1098" s="110"/>
      <c r="N1098" s="110"/>
      <c r="O1098" s="110"/>
      <c r="P1098" s="110"/>
      <c r="Q1098" s="433">
        <v>10</v>
      </c>
      <c r="R1098" s="111">
        <v>77998.39999999998</v>
      </c>
      <c r="S1098" s="110"/>
      <c r="T1098" s="110"/>
      <c r="U1098" s="110"/>
      <c r="V1098" s="110"/>
      <c r="W1098" s="433">
        <v>5</v>
      </c>
      <c r="X1098" s="111">
        <v>77998.39999999998</v>
      </c>
      <c r="Y1098" s="110"/>
      <c r="Z1098" s="110"/>
      <c r="AA1098" s="110"/>
      <c r="AB1098" s="110"/>
      <c r="AC1098" s="433">
        <v>5</v>
      </c>
      <c r="AD1098" s="111">
        <v>77998.39999999998</v>
      </c>
      <c r="AE1098" s="110"/>
      <c r="AF1098" s="110"/>
      <c r="AG1098" s="110"/>
      <c r="AH1098" s="1048"/>
    </row>
    <row r="1099" spans="1:34" ht="45" x14ac:dyDescent="0.25">
      <c r="A1099" s="1047"/>
      <c r="B1099" s="110" t="s">
        <v>4266</v>
      </c>
      <c r="C1099" s="110"/>
      <c r="D1099" s="433">
        <v>20</v>
      </c>
      <c r="E1099" s="207" t="s">
        <v>1767</v>
      </c>
      <c r="F1099" s="1178" t="s">
        <v>4353</v>
      </c>
      <c r="G1099" s="1056" t="s">
        <v>4306</v>
      </c>
      <c r="H1099" s="433" t="s">
        <v>3478</v>
      </c>
      <c r="I1099" s="111">
        <v>5800</v>
      </c>
      <c r="J1099" s="111">
        <v>116000</v>
      </c>
      <c r="K1099" s="110"/>
      <c r="L1099" s="110"/>
      <c r="M1099" s="110"/>
      <c r="N1099" s="110"/>
      <c r="O1099" s="110"/>
      <c r="P1099" s="110"/>
      <c r="Q1099" s="433">
        <v>10</v>
      </c>
      <c r="R1099" s="111">
        <v>38666.666666666664</v>
      </c>
      <c r="S1099" s="110"/>
      <c r="T1099" s="110"/>
      <c r="U1099" s="110"/>
      <c r="V1099" s="110"/>
      <c r="W1099" s="433">
        <v>5</v>
      </c>
      <c r="X1099" s="111">
        <v>38666.666666666664</v>
      </c>
      <c r="Y1099" s="110"/>
      <c r="Z1099" s="110"/>
      <c r="AA1099" s="110"/>
      <c r="AB1099" s="110"/>
      <c r="AC1099" s="433">
        <v>5</v>
      </c>
      <c r="AD1099" s="111">
        <v>38666.666666666664</v>
      </c>
      <c r="AE1099" s="110"/>
      <c r="AF1099" s="110"/>
      <c r="AG1099" s="110"/>
      <c r="AH1099" s="1048"/>
    </row>
    <row r="1100" spans="1:34" ht="45" x14ac:dyDescent="0.25">
      <c r="A1100" s="1047"/>
      <c r="B1100" s="110" t="s">
        <v>4267</v>
      </c>
      <c r="C1100" s="110"/>
      <c r="D1100" s="433">
        <v>20</v>
      </c>
      <c r="E1100" s="207" t="s">
        <v>1767</v>
      </c>
      <c r="F1100" s="1178" t="s">
        <v>4353</v>
      </c>
      <c r="G1100" s="1056" t="s">
        <v>4306</v>
      </c>
      <c r="H1100" s="433" t="s">
        <v>3478</v>
      </c>
      <c r="I1100" s="111">
        <v>11774</v>
      </c>
      <c r="J1100" s="111">
        <v>235480</v>
      </c>
      <c r="K1100" s="110"/>
      <c r="L1100" s="110"/>
      <c r="M1100" s="110"/>
      <c r="N1100" s="110"/>
      <c r="O1100" s="110"/>
      <c r="P1100" s="110"/>
      <c r="Q1100" s="433">
        <v>10</v>
      </c>
      <c r="R1100" s="111">
        <v>78493.333333333328</v>
      </c>
      <c r="S1100" s="110"/>
      <c r="T1100" s="110"/>
      <c r="U1100" s="110"/>
      <c r="V1100" s="110"/>
      <c r="W1100" s="433">
        <v>5</v>
      </c>
      <c r="X1100" s="111">
        <v>78493.333333333328</v>
      </c>
      <c r="Y1100" s="110"/>
      <c r="Z1100" s="110"/>
      <c r="AA1100" s="110"/>
      <c r="AB1100" s="110"/>
      <c r="AC1100" s="433">
        <v>5</v>
      </c>
      <c r="AD1100" s="111">
        <v>78493.333333333328</v>
      </c>
      <c r="AE1100" s="110"/>
      <c r="AF1100" s="110"/>
      <c r="AG1100" s="110"/>
      <c r="AH1100" s="1048"/>
    </row>
    <row r="1101" spans="1:34" ht="45" x14ac:dyDescent="0.25">
      <c r="A1101" s="1047"/>
      <c r="B1101" s="110" t="s">
        <v>4268</v>
      </c>
      <c r="C1101" s="110"/>
      <c r="D1101" s="433">
        <v>20</v>
      </c>
      <c r="E1101" s="207" t="s">
        <v>1767</v>
      </c>
      <c r="F1101" s="1178" t="s">
        <v>4353</v>
      </c>
      <c r="G1101" s="1056" t="s">
        <v>4306</v>
      </c>
      <c r="H1101" s="433" t="s">
        <v>3478</v>
      </c>
      <c r="I1101" s="111">
        <v>11020</v>
      </c>
      <c r="J1101" s="111">
        <v>220400</v>
      </c>
      <c r="K1101" s="110"/>
      <c r="L1101" s="110"/>
      <c r="M1101" s="110"/>
      <c r="N1101" s="110"/>
      <c r="O1101" s="110"/>
      <c r="P1101" s="110"/>
      <c r="Q1101" s="433">
        <v>10</v>
      </c>
      <c r="R1101" s="111">
        <v>73466.666666666672</v>
      </c>
      <c r="S1101" s="110"/>
      <c r="T1101" s="110"/>
      <c r="U1101" s="110"/>
      <c r="V1101" s="110"/>
      <c r="W1101" s="433">
        <v>5</v>
      </c>
      <c r="X1101" s="111">
        <v>73466.666666666672</v>
      </c>
      <c r="Y1101" s="110"/>
      <c r="Z1101" s="110"/>
      <c r="AA1101" s="110"/>
      <c r="AB1101" s="110"/>
      <c r="AC1101" s="433">
        <v>5</v>
      </c>
      <c r="AD1101" s="111">
        <v>73466.666666666672</v>
      </c>
      <c r="AE1101" s="110"/>
      <c r="AF1101" s="110"/>
      <c r="AG1101" s="110"/>
      <c r="AH1101" s="1048"/>
    </row>
    <row r="1102" spans="1:34" ht="45" x14ac:dyDescent="0.25">
      <c r="A1102" s="1047"/>
      <c r="B1102" s="110" t="s">
        <v>4269</v>
      </c>
      <c r="C1102" s="110"/>
      <c r="D1102" s="433">
        <v>20</v>
      </c>
      <c r="E1102" s="207" t="s">
        <v>1767</v>
      </c>
      <c r="F1102" s="1178" t="s">
        <v>4353</v>
      </c>
      <c r="G1102" s="1056" t="s">
        <v>4306</v>
      </c>
      <c r="H1102" s="433" t="s">
        <v>3478</v>
      </c>
      <c r="I1102" s="111">
        <v>13571.999999999996</v>
      </c>
      <c r="J1102" s="111">
        <v>271439.99999999994</v>
      </c>
      <c r="K1102" s="110"/>
      <c r="L1102" s="110"/>
      <c r="M1102" s="110"/>
      <c r="N1102" s="110"/>
      <c r="O1102" s="110"/>
      <c r="P1102" s="110"/>
      <c r="Q1102" s="433">
        <v>10</v>
      </c>
      <c r="R1102" s="111">
        <v>90479.999999999985</v>
      </c>
      <c r="S1102" s="110"/>
      <c r="T1102" s="110"/>
      <c r="U1102" s="110"/>
      <c r="V1102" s="110"/>
      <c r="W1102" s="433">
        <v>5</v>
      </c>
      <c r="X1102" s="111">
        <v>90479.999999999985</v>
      </c>
      <c r="Y1102" s="110"/>
      <c r="Z1102" s="110"/>
      <c r="AA1102" s="110"/>
      <c r="AB1102" s="110"/>
      <c r="AC1102" s="433">
        <v>5</v>
      </c>
      <c r="AD1102" s="111">
        <v>90479.999999999985</v>
      </c>
      <c r="AE1102" s="110"/>
      <c r="AF1102" s="110"/>
      <c r="AG1102" s="110"/>
      <c r="AH1102" s="1048"/>
    </row>
    <row r="1103" spans="1:34" ht="45" x14ac:dyDescent="0.25">
      <c r="A1103" s="1047"/>
      <c r="B1103" s="110" t="s">
        <v>4270</v>
      </c>
      <c r="C1103" s="110"/>
      <c r="D1103" s="433">
        <v>10</v>
      </c>
      <c r="E1103" s="207" t="s">
        <v>1767</v>
      </c>
      <c r="F1103" s="1178" t="s">
        <v>4353</v>
      </c>
      <c r="G1103" s="1056" t="s">
        <v>4306</v>
      </c>
      <c r="H1103" s="433" t="s">
        <v>3478</v>
      </c>
      <c r="I1103" s="111">
        <v>5800</v>
      </c>
      <c r="J1103" s="111">
        <v>58000</v>
      </c>
      <c r="K1103" s="110"/>
      <c r="L1103" s="110"/>
      <c r="M1103" s="110"/>
      <c r="N1103" s="110"/>
      <c r="O1103" s="110"/>
      <c r="P1103" s="110"/>
      <c r="Q1103" s="433">
        <v>5</v>
      </c>
      <c r="R1103" s="111">
        <v>19333.333333333332</v>
      </c>
      <c r="S1103" s="110"/>
      <c r="T1103" s="110"/>
      <c r="U1103" s="110"/>
      <c r="V1103" s="110"/>
      <c r="W1103" s="433">
        <v>3</v>
      </c>
      <c r="X1103" s="111">
        <v>19333.333333333332</v>
      </c>
      <c r="Y1103" s="110"/>
      <c r="Z1103" s="110"/>
      <c r="AA1103" s="110"/>
      <c r="AB1103" s="110"/>
      <c r="AC1103" s="433">
        <v>2</v>
      </c>
      <c r="AD1103" s="111">
        <v>19333.333333333332</v>
      </c>
      <c r="AE1103" s="110"/>
      <c r="AF1103" s="110"/>
      <c r="AG1103" s="110"/>
      <c r="AH1103" s="1048"/>
    </row>
    <row r="1104" spans="1:34" ht="45" x14ac:dyDescent="0.25">
      <c r="A1104" s="1047"/>
      <c r="B1104" s="110" t="s">
        <v>4271</v>
      </c>
      <c r="C1104" s="110"/>
      <c r="D1104" s="433">
        <v>20</v>
      </c>
      <c r="E1104" s="207" t="s">
        <v>1767</v>
      </c>
      <c r="F1104" s="1178" t="s">
        <v>4353</v>
      </c>
      <c r="G1104" s="1056" t="s">
        <v>4306</v>
      </c>
      <c r="H1104" s="433" t="s">
        <v>3478</v>
      </c>
      <c r="I1104" s="111">
        <v>1971.9999999999995</v>
      </c>
      <c r="J1104" s="111">
        <v>39439.999999999993</v>
      </c>
      <c r="K1104" s="110"/>
      <c r="L1104" s="110"/>
      <c r="M1104" s="110"/>
      <c r="N1104" s="110"/>
      <c r="O1104" s="110"/>
      <c r="P1104" s="110"/>
      <c r="Q1104" s="433">
        <v>10</v>
      </c>
      <c r="R1104" s="111">
        <v>13146.666666666664</v>
      </c>
      <c r="S1104" s="110"/>
      <c r="T1104" s="110"/>
      <c r="U1104" s="110"/>
      <c r="V1104" s="110"/>
      <c r="W1104" s="433">
        <v>5</v>
      </c>
      <c r="X1104" s="111">
        <v>13146.666666666664</v>
      </c>
      <c r="Y1104" s="110"/>
      <c r="Z1104" s="110"/>
      <c r="AA1104" s="110"/>
      <c r="AB1104" s="110"/>
      <c r="AC1104" s="433">
        <v>5</v>
      </c>
      <c r="AD1104" s="111">
        <v>13146.666666666664</v>
      </c>
      <c r="AE1104" s="110"/>
      <c r="AF1104" s="110"/>
      <c r="AG1104" s="110"/>
      <c r="AH1104" s="1048"/>
    </row>
    <row r="1105" spans="1:34" ht="45" x14ac:dyDescent="0.25">
      <c r="A1105" s="1047"/>
      <c r="B1105" s="110" t="s">
        <v>4272</v>
      </c>
      <c r="C1105" s="110"/>
      <c r="D1105" s="433">
        <v>20</v>
      </c>
      <c r="E1105" s="207" t="s">
        <v>1767</v>
      </c>
      <c r="F1105" s="1178" t="s">
        <v>4353</v>
      </c>
      <c r="G1105" s="1056" t="s">
        <v>4306</v>
      </c>
      <c r="H1105" s="433" t="s">
        <v>3478</v>
      </c>
      <c r="I1105" s="111">
        <v>12760</v>
      </c>
      <c r="J1105" s="111">
        <v>255200</v>
      </c>
      <c r="K1105" s="110"/>
      <c r="L1105" s="110"/>
      <c r="M1105" s="110"/>
      <c r="N1105" s="110"/>
      <c r="O1105" s="110"/>
      <c r="P1105" s="110"/>
      <c r="Q1105" s="433">
        <v>10</v>
      </c>
      <c r="R1105" s="111">
        <v>85066.666666666672</v>
      </c>
      <c r="S1105" s="110"/>
      <c r="T1105" s="110"/>
      <c r="U1105" s="110"/>
      <c r="V1105" s="110"/>
      <c r="W1105" s="433">
        <v>5</v>
      </c>
      <c r="X1105" s="111">
        <v>85066.666666666672</v>
      </c>
      <c r="Y1105" s="110"/>
      <c r="Z1105" s="110"/>
      <c r="AA1105" s="110"/>
      <c r="AB1105" s="110"/>
      <c r="AC1105" s="433">
        <v>5</v>
      </c>
      <c r="AD1105" s="111">
        <v>85066.666666666672</v>
      </c>
      <c r="AE1105" s="110"/>
      <c r="AF1105" s="110"/>
      <c r="AG1105" s="110"/>
      <c r="AH1105" s="1048"/>
    </row>
    <row r="1106" spans="1:34" ht="45" x14ac:dyDescent="0.25">
      <c r="A1106" s="1047"/>
      <c r="B1106" s="110" t="s">
        <v>4273</v>
      </c>
      <c r="C1106" s="110"/>
      <c r="D1106" s="433">
        <v>20</v>
      </c>
      <c r="E1106" s="207" t="s">
        <v>1767</v>
      </c>
      <c r="F1106" s="1178" t="s">
        <v>4353</v>
      </c>
      <c r="G1106" s="1056" t="s">
        <v>4306</v>
      </c>
      <c r="H1106" s="433" t="s">
        <v>3478</v>
      </c>
      <c r="I1106" s="111">
        <v>4640</v>
      </c>
      <c r="J1106" s="111">
        <v>92800</v>
      </c>
      <c r="K1106" s="110"/>
      <c r="L1106" s="110"/>
      <c r="M1106" s="110"/>
      <c r="N1106" s="110"/>
      <c r="O1106" s="110"/>
      <c r="P1106" s="110"/>
      <c r="Q1106" s="433">
        <v>10</v>
      </c>
      <c r="R1106" s="111">
        <v>30933.333333333332</v>
      </c>
      <c r="S1106" s="110"/>
      <c r="T1106" s="110"/>
      <c r="U1106" s="110"/>
      <c r="V1106" s="110"/>
      <c r="W1106" s="433">
        <v>5</v>
      </c>
      <c r="X1106" s="111">
        <v>30933.333333333332</v>
      </c>
      <c r="Y1106" s="110"/>
      <c r="Z1106" s="110"/>
      <c r="AA1106" s="110"/>
      <c r="AB1106" s="110"/>
      <c r="AC1106" s="433">
        <v>5</v>
      </c>
      <c r="AD1106" s="111">
        <v>30933.333333333332</v>
      </c>
      <c r="AE1106" s="110"/>
      <c r="AF1106" s="110"/>
      <c r="AG1106" s="110"/>
      <c r="AH1106" s="1048"/>
    </row>
    <row r="1107" spans="1:34" ht="45" x14ac:dyDescent="0.25">
      <c r="A1107" s="1047"/>
      <c r="B1107" s="110" t="s">
        <v>4274</v>
      </c>
      <c r="C1107" s="110"/>
      <c r="D1107" s="433">
        <v>20</v>
      </c>
      <c r="E1107" s="207" t="s">
        <v>1767</v>
      </c>
      <c r="F1107" s="1178" t="s">
        <v>4353</v>
      </c>
      <c r="G1107" s="1056" t="s">
        <v>4306</v>
      </c>
      <c r="H1107" s="433" t="s">
        <v>3478</v>
      </c>
      <c r="I1107" s="111">
        <v>2784</v>
      </c>
      <c r="J1107" s="111">
        <v>55680</v>
      </c>
      <c r="K1107" s="110"/>
      <c r="L1107" s="110"/>
      <c r="M1107" s="110"/>
      <c r="N1107" s="110"/>
      <c r="O1107" s="110"/>
      <c r="P1107" s="110"/>
      <c r="Q1107" s="433">
        <v>10</v>
      </c>
      <c r="R1107" s="111">
        <v>18560</v>
      </c>
      <c r="S1107" s="110"/>
      <c r="T1107" s="110"/>
      <c r="U1107" s="110"/>
      <c r="V1107" s="110"/>
      <c r="W1107" s="433">
        <v>5</v>
      </c>
      <c r="X1107" s="111">
        <v>18560</v>
      </c>
      <c r="Y1107" s="110"/>
      <c r="Z1107" s="110"/>
      <c r="AA1107" s="110"/>
      <c r="AB1107" s="110"/>
      <c r="AC1107" s="433">
        <v>5</v>
      </c>
      <c r="AD1107" s="111">
        <v>18560</v>
      </c>
      <c r="AE1107" s="110"/>
      <c r="AF1107" s="110"/>
      <c r="AG1107" s="110"/>
      <c r="AH1107" s="1048"/>
    </row>
    <row r="1108" spans="1:34" ht="45" x14ac:dyDescent="0.25">
      <c r="A1108" s="1047"/>
      <c r="B1108" s="110" t="s">
        <v>4275</v>
      </c>
      <c r="C1108" s="110"/>
      <c r="D1108" s="433">
        <v>10</v>
      </c>
      <c r="E1108" s="207" t="s">
        <v>1767</v>
      </c>
      <c r="F1108" s="1178" t="s">
        <v>4353</v>
      </c>
      <c r="G1108" s="1056" t="s">
        <v>4306</v>
      </c>
      <c r="H1108" s="433" t="s">
        <v>3478</v>
      </c>
      <c r="I1108" s="111">
        <v>6959.9999999999982</v>
      </c>
      <c r="J1108" s="111">
        <v>69599.999999999985</v>
      </c>
      <c r="K1108" s="110"/>
      <c r="L1108" s="110"/>
      <c r="M1108" s="110"/>
      <c r="N1108" s="110"/>
      <c r="O1108" s="110"/>
      <c r="P1108" s="110"/>
      <c r="Q1108" s="433">
        <v>5</v>
      </c>
      <c r="R1108" s="111">
        <v>23199.999999999996</v>
      </c>
      <c r="S1108" s="110"/>
      <c r="T1108" s="110"/>
      <c r="U1108" s="110"/>
      <c r="V1108" s="110"/>
      <c r="W1108" s="433">
        <v>3</v>
      </c>
      <c r="X1108" s="111">
        <v>23199.999999999996</v>
      </c>
      <c r="Y1108" s="110"/>
      <c r="Z1108" s="110"/>
      <c r="AA1108" s="110"/>
      <c r="AB1108" s="110"/>
      <c r="AC1108" s="433">
        <v>2</v>
      </c>
      <c r="AD1108" s="111">
        <v>23199.999999999996</v>
      </c>
      <c r="AE1108" s="110"/>
      <c r="AF1108" s="110"/>
      <c r="AG1108" s="110"/>
      <c r="AH1108" s="1048"/>
    </row>
    <row r="1109" spans="1:34" x14ac:dyDescent="0.25">
      <c r="A1109" s="1047"/>
      <c r="B1109" s="110"/>
      <c r="C1109" s="110"/>
      <c r="D1109" s="433"/>
      <c r="E1109" s="207"/>
      <c r="F1109" s="433"/>
      <c r="G1109" s="110"/>
      <c r="H1109" s="433"/>
      <c r="I1109" s="111"/>
      <c r="J1109" s="111"/>
      <c r="K1109" s="110"/>
      <c r="L1109" s="110"/>
      <c r="M1109" s="110"/>
      <c r="N1109" s="110"/>
      <c r="O1109" s="110"/>
      <c r="P1109" s="110"/>
      <c r="Q1109" s="433"/>
      <c r="R1109" s="111"/>
      <c r="S1109" s="110"/>
      <c r="T1109" s="110"/>
      <c r="U1109" s="110"/>
      <c r="V1109" s="110"/>
      <c r="W1109" s="433"/>
      <c r="X1109" s="111"/>
      <c r="Y1109" s="110"/>
      <c r="Z1109" s="110"/>
      <c r="AA1109" s="110"/>
      <c r="AB1109" s="110"/>
      <c r="AC1109" s="433"/>
      <c r="AD1109" s="111"/>
      <c r="AE1109" s="110"/>
      <c r="AF1109" s="110"/>
      <c r="AG1109" s="110"/>
      <c r="AH1109" s="1048"/>
    </row>
    <row r="1110" spans="1:34" ht="45" x14ac:dyDescent="0.25">
      <c r="A1110" s="1047"/>
      <c r="B1110" s="110" t="s">
        <v>4276</v>
      </c>
      <c r="C1110" s="110"/>
      <c r="D1110" s="433">
        <v>1</v>
      </c>
      <c r="E1110" s="207" t="s">
        <v>2949</v>
      </c>
      <c r="F1110" s="1178" t="s">
        <v>4353</v>
      </c>
      <c r="G1110" s="1056" t="s">
        <v>4306</v>
      </c>
      <c r="H1110" s="433" t="s">
        <v>3478</v>
      </c>
      <c r="I1110" s="111"/>
      <c r="J1110" s="111">
        <v>1699726.4621768731</v>
      </c>
      <c r="K1110" s="110"/>
      <c r="L1110" s="110"/>
      <c r="M1110" s="110"/>
      <c r="N1110" s="110">
        <v>485808.03</v>
      </c>
      <c r="O1110" s="110"/>
      <c r="P1110" s="110"/>
      <c r="Q1110" s="433">
        <v>1</v>
      </c>
      <c r="R1110" s="111">
        <v>566575.48739229108</v>
      </c>
      <c r="S1110" s="110"/>
      <c r="T1110" s="110"/>
      <c r="U1110" s="110"/>
      <c r="V1110" s="110"/>
      <c r="W1110" s="433">
        <v>0</v>
      </c>
      <c r="X1110" s="111">
        <v>566575.48739229108</v>
      </c>
      <c r="Y1110" s="110"/>
      <c r="Z1110" s="110"/>
      <c r="AA1110" s="110"/>
      <c r="AB1110" s="110"/>
      <c r="AC1110" s="433">
        <v>0</v>
      </c>
      <c r="AD1110" s="111">
        <v>566575.48739229108</v>
      </c>
      <c r="AE1110" s="110"/>
      <c r="AF1110" s="110"/>
      <c r="AG1110" s="110"/>
      <c r="AH1110" s="1048"/>
    </row>
    <row r="1111" spans="1:34" x14ac:dyDescent="0.25">
      <c r="A1111" s="1047"/>
      <c r="B1111" s="110"/>
      <c r="C1111" s="110"/>
      <c r="D1111" s="433"/>
      <c r="E1111" s="207"/>
      <c r="F1111" s="433"/>
      <c r="G1111" s="110"/>
      <c r="H1111" s="433"/>
      <c r="I1111" s="111"/>
      <c r="J1111" s="111"/>
      <c r="K1111" s="110"/>
      <c r="L1111" s="110"/>
      <c r="M1111" s="110"/>
      <c r="N1111" s="110"/>
      <c r="O1111" s="110"/>
      <c r="P1111" s="110"/>
      <c r="Q1111" s="433"/>
      <c r="R1111" s="111"/>
      <c r="S1111" s="110"/>
      <c r="T1111" s="110"/>
      <c r="U1111" s="110"/>
      <c r="V1111" s="110"/>
      <c r="W1111" s="433"/>
      <c r="X1111" s="111"/>
      <c r="Y1111" s="110"/>
      <c r="Z1111" s="110"/>
      <c r="AA1111" s="110"/>
      <c r="AB1111" s="110"/>
      <c r="AC1111" s="433"/>
      <c r="AD1111" s="111"/>
      <c r="AE1111" s="110"/>
      <c r="AF1111" s="110"/>
      <c r="AG1111" s="110"/>
      <c r="AH1111" s="1048"/>
    </row>
    <row r="1112" spans="1:34" x14ac:dyDescent="0.25">
      <c r="A1112" s="1058">
        <v>44104</v>
      </c>
      <c r="B1112" s="187" t="s">
        <v>1018</v>
      </c>
      <c r="C1112" s="110"/>
      <c r="D1112" s="433"/>
      <c r="E1112" s="207"/>
      <c r="F1112" s="433"/>
      <c r="G1112" s="110"/>
      <c r="H1112" s="433"/>
      <c r="I1112" s="111"/>
      <c r="J1112" s="111"/>
      <c r="K1112" s="110"/>
      <c r="L1112" s="110"/>
      <c r="M1112" s="110"/>
      <c r="N1112" s="110"/>
      <c r="O1112" s="110"/>
      <c r="P1112" s="110"/>
      <c r="Q1112" s="433"/>
      <c r="R1112" s="111"/>
      <c r="S1112" s="110"/>
      <c r="T1112" s="110"/>
      <c r="U1112" s="110"/>
      <c r="V1112" s="110"/>
      <c r="W1112" s="433"/>
      <c r="X1112" s="111"/>
      <c r="Y1112" s="110"/>
      <c r="Z1112" s="110"/>
      <c r="AA1112" s="110"/>
      <c r="AB1112" s="110"/>
      <c r="AC1112" s="433"/>
      <c r="AD1112" s="111"/>
      <c r="AE1112" s="110"/>
      <c r="AF1112" s="110"/>
      <c r="AG1112" s="110"/>
      <c r="AH1112" s="1048"/>
    </row>
    <row r="1113" spans="1:34" ht="45" x14ac:dyDescent="0.25">
      <c r="A1113" s="1047"/>
      <c r="B1113" s="110" t="s">
        <v>4277</v>
      </c>
      <c r="C1113" s="110"/>
      <c r="D1113" s="433">
        <v>280</v>
      </c>
      <c r="E1113" s="207" t="s">
        <v>4278</v>
      </c>
      <c r="F1113" s="1178" t="s">
        <v>4353</v>
      </c>
      <c r="G1113" s="1056" t="s">
        <v>4306</v>
      </c>
      <c r="H1113" s="433" t="s">
        <v>3478</v>
      </c>
      <c r="I1113" s="111">
        <v>2571.4285714285716</v>
      </c>
      <c r="J1113" s="111">
        <v>720000</v>
      </c>
      <c r="K1113" s="110"/>
      <c r="L1113" s="110"/>
      <c r="M1113" s="110"/>
      <c r="N1113" s="110"/>
      <c r="O1113" s="110"/>
      <c r="P1113" s="110"/>
      <c r="Q1113" s="433">
        <v>180</v>
      </c>
      <c r="R1113" s="111">
        <v>240000</v>
      </c>
      <c r="S1113" s="110"/>
      <c r="T1113" s="110"/>
      <c r="U1113" s="110"/>
      <c r="V1113" s="110"/>
      <c r="W1113" s="433">
        <v>50</v>
      </c>
      <c r="X1113" s="111">
        <v>240000</v>
      </c>
      <c r="Y1113" s="110"/>
      <c r="Z1113" s="110"/>
      <c r="AA1113" s="110"/>
      <c r="AB1113" s="110"/>
      <c r="AC1113" s="433">
        <v>50</v>
      </c>
      <c r="AD1113" s="111">
        <v>240000</v>
      </c>
      <c r="AE1113" s="110"/>
      <c r="AF1113" s="110"/>
      <c r="AG1113" s="110"/>
      <c r="AH1113" s="1048"/>
    </row>
    <row r="1114" spans="1:34" x14ac:dyDescent="0.25">
      <c r="A1114" s="1047"/>
      <c r="B1114" s="110"/>
      <c r="C1114" s="110"/>
      <c r="D1114" s="433"/>
      <c r="E1114" s="207"/>
      <c r="F1114" s="433"/>
      <c r="G1114" s="110"/>
      <c r="H1114" s="433"/>
      <c r="I1114" s="111"/>
      <c r="J1114" s="111"/>
      <c r="K1114" s="110"/>
      <c r="L1114" s="110"/>
      <c r="M1114" s="110"/>
      <c r="N1114" s="110"/>
      <c r="O1114" s="110"/>
      <c r="P1114" s="110"/>
      <c r="Q1114" s="433"/>
      <c r="R1114" s="111"/>
      <c r="S1114" s="110"/>
      <c r="T1114" s="110"/>
      <c r="U1114" s="110"/>
      <c r="V1114" s="110"/>
      <c r="W1114" s="433"/>
      <c r="X1114" s="111"/>
      <c r="Y1114" s="110"/>
      <c r="Z1114" s="110"/>
      <c r="AA1114" s="110"/>
      <c r="AB1114" s="110"/>
      <c r="AC1114" s="433"/>
      <c r="AD1114" s="111"/>
      <c r="AE1114" s="110"/>
      <c r="AF1114" s="110"/>
      <c r="AG1114" s="110"/>
      <c r="AH1114" s="1048"/>
    </row>
    <row r="1115" spans="1:34" x14ac:dyDescent="0.25">
      <c r="A1115" s="1047"/>
      <c r="B1115" s="110"/>
      <c r="C1115" s="110"/>
      <c r="D1115" s="433"/>
      <c r="E1115" s="207"/>
      <c r="F1115" s="433"/>
      <c r="G1115" s="110"/>
      <c r="H1115" s="433"/>
      <c r="I1115" s="111"/>
      <c r="J1115" s="111"/>
      <c r="K1115" s="110"/>
      <c r="L1115" s="110"/>
      <c r="M1115" s="110"/>
      <c r="N1115" s="110"/>
      <c r="O1115" s="110"/>
      <c r="P1115" s="110"/>
      <c r="Q1115" s="433"/>
      <c r="R1115" s="111"/>
      <c r="S1115" s="110"/>
      <c r="T1115" s="110"/>
      <c r="U1115" s="110"/>
      <c r="V1115" s="110"/>
      <c r="W1115" s="433"/>
      <c r="X1115" s="111"/>
      <c r="Y1115" s="110"/>
      <c r="Z1115" s="110"/>
      <c r="AA1115" s="110"/>
      <c r="AB1115" s="110"/>
      <c r="AC1115" s="433"/>
      <c r="AD1115" s="111"/>
      <c r="AE1115" s="110"/>
      <c r="AF1115" s="110"/>
      <c r="AG1115" s="110"/>
      <c r="AH1115" s="1048"/>
    </row>
    <row r="1116" spans="1:34" x14ac:dyDescent="0.25">
      <c r="A1116" s="1058">
        <v>5000</v>
      </c>
      <c r="B1116" s="187" t="s">
        <v>1022</v>
      </c>
      <c r="C1116" s="110"/>
      <c r="D1116" s="433"/>
      <c r="E1116" s="207"/>
      <c r="F1116" s="433"/>
      <c r="G1116" s="110"/>
      <c r="H1116" s="433"/>
      <c r="I1116" s="111"/>
      <c r="J1116" s="111"/>
      <c r="K1116" s="110"/>
      <c r="L1116" s="110"/>
      <c r="M1116" s="110"/>
      <c r="N1116" s="110"/>
      <c r="O1116" s="110"/>
      <c r="P1116" s="110"/>
      <c r="Q1116" s="433"/>
      <c r="R1116" s="111"/>
      <c r="S1116" s="110"/>
      <c r="T1116" s="110"/>
      <c r="U1116" s="110"/>
      <c r="V1116" s="110"/>
      <c r="W1116" s="433"/>
      <c r="X1116" s="111"/>
      <c r="Y1116" s="110"/>
      <c r="Z1116" s="110"/>
      <c r="AA1116" s="110"/>
      <c r="AB1116" s="110"/>
      <c r="AC1116" s="433"/>
      <c r="AD1116" s="111"/>
      <c r="AE1116" s="110"/>
      <c r="AF1116" s="110"/>
      <c r="AG1116" s="110"/>
      <c r="AH1116" s="1048"/>
    </row>
    <row r="1117" spans="1:34" x14ac:dyDescent="0.25">
      <c r="A1117" s="1058">
        <v>5100</v>
      </c>
      <c r="B1117" s="187" t="s">
        <v>1023</v>
      </c>
      <c r="C1117" s="110"/>
      <c r="D1117" s="433"/>
      <c r="E1117" s="207"/>
      <c r="F1117" s="433"/>
      <c r="G1117" s="110"/>
      <c r="H1117" s="433"/>
      <c r="I1117" s="111"/>
      <c r="J1117" s="111"/>
      <c r="K1117" s="110"/>
      <c r="L1117" s="110"/>
      <c r="M1117" s="110"/>
      <c r="N1117" s="110"/>
      <c r="O1117" s="110"/>
      <c r="P1117" s="110"/>
      <c r="Q1117" s="433"/>
      <c r="R1117" s="111"/>
      <c r="S1117" s="110"/>
      <c r="T1117" s="110"/>
      <c r="U1117" s="110"/>
      <c r="V1117" s="110"/>
      <c r="W1117" s="433"/>
      <c r="X1117" s="111"/>
      <c r="Y1117" s="110"/>
      <c r="Z1117" s="110"/>
      <c r="AA1117" s="110"/>
      <c r="AB1117" s="110"/>
      <c r="AC1117" s="433"/>
      <c r="AD1117" s="111"/>
      <c r="AE1117" s="110"/>
      <c r="AF1117" s="110"/>
      <c r="AG1117" s="110"/>
      <c r="AH1117" s="1048"/>
    </row>
    <row r="1118" spans="1:34" x14ac:dyDescent="0.25">
      <c r="A1118" s="1058">
        <v>51107</v>
      </c>
      <c r="B1118" s="187" t="s">
        <v>4279</v>
      </c>
      <c r="C1118" s="110"/>
      <c r="D1118" s="433"/>
      <c r="E1118" s="207"/>
      <c r="F1118" s="433"/>
      <c r="G1118" s="110"/>
      <c r="H1118" s="433"/>
      <c r="I1118" s="111"/>
      <c r="J1118" s="111"/>
      <c r="K1118" s="110"/>
      <c r="L1118" s="110"/>
      <c r="M1118" s="110"/>
      <c r="N1118" s="110"/>
      <c r="O1118" s="110"/>
      <c r="P1118" s="110"/>
      <c r="Q1118" s="433"/>
      <c r="R1118" s="111"/>
      <c r="S1118" s="110"/>
      <c r="T1118" s="110"/>
      <c r="U1118" s="110"/>
      <c r="V1118" s="110"/>
      <c r="W1118" s="433"/>
      <c r="X1118" s="111"/>
      <c r="Y1118" s="110"/>
      <c r="Z1118" s="110"/>
      <c r="AA1118" s="110"/>
      <c r="AB1118" s="110"/>
      <c r="AC1118" s="433"/>
      <c r="AD1118" s="111"/>
      <c r="AE1118" s="110"/>
      <c r="AF1118" s="110"/>
      <c r="AG1118" s="110"/>
      <c r="AH1118" s="1048"/>
    </row>
    <row r="1119" spans="1:34" ht="45" x14ac:dyDescent="0.25">
      <c r="A1119" s="1047"/>
      <c r="B1119" s="110" t="s">
        <v>4280</v>
      </c>
      <c r="C1119" s="110"/>
      <c r="D1119" s="433">
        <v>20</v>
      </c>
      <c r="E1119" s="207" t="s">
        <v>1767</v>
      </c>
      <c r="F1119" s="1178" t="s">
        <v>4353</v>
      </c>
      <c r="G1119" s="1056" t="s">
        <v>4306</v>
      </c>
      <c r="H1119" s="433" t="s">
        <v>3478</v>
      </c>
      <c r="I1119" s="111">
        <v>3248</v>
      </c>
      <c r="J1119" s="111">
        <v>64960</v>
      </c>
      <c r="K1119" s="110"/>
      <c r="L1119" s="110"/>
      <c r="M1119" s="110"/>
      <c r="N1119" s="110"/>
      <c r="O1119" s="110"/>
      <c r="P1119" s="110"/>
      <c r="Q1119" s="433">
        <v>10</v>
      </c>
      <c r="R1119" s="111">
        <v>21653.333333333332</v>
      </c>
      <c r="S1119" s="110"/>
      <c r="T1119" s="110"/>
      <c r="U1119" s="110"/>
      <c r="V1119" s="110"/>
      <c r="W1119" s="433">
        <v>5</v>
      </c>
      <c r="X1119" s="111">
        <v>21653.333333333332</v>
      </c>
      <c r="Y1119" s="110"/>
      <c r="Z1119" s="110"/>
      <c r="AA1119" s="110"/>
      <c r="AB1119" s="110"/>
      <c r="AC1119" s="433">
        <v>5</v>
      </c>
      <c r="AD1119" s="111">
        <v>21653.333333333332</v>
      </c>
      <c r="AE1119" s="110"/>
      <c r="AF1119" s="110"/>
      <c r="AG1119" s="110"/>
      <c r="AH1119" s="1048"/>
    </row>
    <row r="1120" spans="1:34" ht="45" x14ac:dyDescent="0.25">
      <c r="A1120" s="1047"/>
      <c r="B1120" s="110" t="s">
        <v>4281</v>
      </c>
      <c r="C1120" s="110"/>
      <c r="D1120" s="433">
        <v>5</v>
      </c>
      <c r="E1120" s="207" t="s">
        <v>1767</v>
      </c>
      <c r="F1120" s="1178" t="s">
        <v>4353</v>
      </c>
      <c r="G1120" s="1056" t="s">
        <v>4306</v>
      </c>
      <c r="H1120" s="433" t="s">
        <v>3478</v>
      </c>
      <c r="I1120" s="111">
        <v>4059.9999999999991</v>
      </c>
      <c r="J1120" s="111">
        <v>20299.999999999996</v>
      </c>
      <c r="K1120" s="110"/>
      <c r="L1120" s="110"/>
      <c r="M1120" s="110"/>
      <c r="N1120" s="110"/>
      <c r="O1120" s="110"/>
      <c r="P1120" s="110"/>
      <c r="Q1120" s="433">
        <v>2</v>
      </c>
      <c r="R1120" s="111">
        <v>6766.6666666666652</v>
      </c>
      <c r="S1120" s="110"/>
      <c r="T1120" s="110"/>
      <c r="U1120" s="110"/>
      <c r="V1120" s="110"/>
      <c r="W1120" s="433">
        <v>2</v>
      </c>
      <c r="X1120" s="111">
        <v>6766.6666666666652</v>
      </c>
      <c r="Y1120" s="110"/>
      <c r="Z1120" s="110"/>
      <c r="AA1120" s="110"/>
      <c r="AB1120" s="110"/>
      <c r="AC1120" s="433">
        <v>1</v>
      </c>
      <c r="AD1120" s="111">
        <v>6766.6666666666652</v>
      </c>
      <c r="AE1120" s="110"/>
      <c r="AF1120" s="110"/>
      <c r="AG1120" s="110"/>
      <c r="AH1120" s="1048"/>
    </row>
    <row r="1121" spans="1:34" x14ac:dyDescent="0.25">
      <c r="A1121" s="1047"/>
      <c r="B1121" s="110"/>
      <c r="C1121" s="110"/>
      <c r="D1121" s="433"/>
      <c r="E1121" s="207"/>
      <c r="F1121" s="433"/>
      <c r="G1121" s="110"/>
      <c r="H1121" s="433"/>
      <c r="I1121" s="111"/>
      <c r="J1121" s="111"/>
      <c r="K1121" s="110"/>
      <c r="L1121" s="110"/>
      <c r="M1121" s="110"/>
      <c r="N1121" s="110"/>
      <c r="O1121" s="110"/>
      <c r="P1121" s="110"/>
      <c r="Q1121" s="433"/>
      <c r="R1121" s="111"/>
      <c r="S1121" s="110"/>
      <c r="T1121" s="110"/>
      <c r="U1121" s="110"/>
      <c r="V1121" s="110"/>
      <c r="W1121" s="433"/>
      <c r="X1121" s="111"/>
      <c r="Y1121" s="110"/>
      <c r="Z1121" s="110"/>
      <c r="AA1121" s="110"/>
      <c r="AB1121" s="110"/>
      <c r="AC1121" s="433"/>
      <c r="AD1121" s="111"/>
      <c r="AE1121" s="110"/>
      <c r="AF1121" s="110"/>
      <c r="AG1121" s="110"/>
      <c r="AH1121" s="1048"/>
    </row>
    <row r="1122" spans="1:34" x14ac:dyDescent="0.25">
      <c r="A1122" s="1058">
        <v>51201</v>
      </c>
      <c r="B1122" s="187" t="s">
        <v>4282</v>
      </c>
      <c r="C1122" s="110"/>
      <c r="D1122" s="433"/>
      <c r="E1122" s="207"/>
      <c r="F1122" s="433"/>
      <c r="G1122" s="110"/>
      <c r="H1122" s="433"/>
      <c r="I1122" s="111"/>
      <c r="J1122" s="111"/>
      <c r="K1122" s="110"/>
      <c r="L1122" s="110"/>
      <c r="M1122" s="110"/>
      <c r="N1122" s="110"/>
      <c r="O1122" s="110"/>
      <c r="P1122" s="110"/>
      <c r="Q1122" s="433"/>
      <c r="R1122" s="111"/>
      <c r="S1122" s="110"/>
      <c r="T1122" s="110"/>
      <c r="U1122" s="110"/>
      <c r="V1122" s="110"/>
      <c r="W1122" s="433"/>
      <c r="X1122" s="111"/>
      <c r="Y1122" s="110"/>
      <c r="Z1122" s="110"/>
      <c r="AA1122" s="110"/>
      <c r="AB1122" s="110"/>
      <c r="AC1122" s="433"/>
      <c r="AD1122" s="111"/>
      <c r="AE1122" s="110"/>
      <c r="AF1122" s="110"/>
      <c r="AG1122" s="110"/>
      <c r="AH1122" s="1048"/>
    </row>
    <row r="1123" spans="1:34" ht="45" x14ac:dyDescent="0.25">
      <c r="A1123" s="1047"/>
      <c r="B1123" s="110" t="s">
        <v>4283</v>
      </c>
      <c r="C1123" s="110"/>
      <c r="D1123" s="433">
        <v>2</v>
      </c>
      <c r="E1123" s="207" t="s">
        <v>2992</v>
      </c>
      <c r="F1123" s="1178" t="s">
        <v>4353</v>
      </c>
      <c r="G1123" s="1056" t="s">
        <v>4306</v>
      </c>
      <c r="H1123" s="433" t="s">
        <v>3478</v>
      </c>
      <c r="I1123" s="111">
        <v>23200</v>
      </c>
      <c r="J1123" s="111">
        <v>46400</v>
      </c>
      <c r="K1123" s="110"/>
      <c r="L1123" s="110"/>
      <c r="M1123" s="110"/>
      <c r="N1123" s="110"/>
      <c r="O1123" s="110"/>
      <c r="P1123" s="110"/>
      <c r="Q1123" s="433">
        <v>1</v>
      </c>
      <c r="R1123" s="111">
        <v>15466.666666666666</v>
      </c>
      <c r="S1123" s="110"/>
      <c r="T1123" s="110"/>
      <c r="U1123" s="110"/>
      <c r="V1123" s="110"/>
      <c r="W1123" s="433">
        <v>1</v>
      </c>
      <c r="X1123" s="111">
        <v>15466.666666666666</v>
      </c>
      <c r="Y1123" s="110"/>
      <c r="Z1123" s="110"/>
      <c r="AA1123" s="110"/>
      <c r="AB1123" s="110"/>
      <c r="AC1123" s="433">
        <v>0</v>
      </c>
      <c r="AD1123" s="111">
        <v>15466.666666666666</v>
      </c>
      <c r="AE1123" s="110"/>
      <c r="AF1123" s="110"/>
      <c r="AG1123" s="110"/>
      <c r="AH1123" s="1048"/>
    </row>
    <row r="1124" spans="1:34" ht="45" x14ac:dyDescent="0.25">
      <c r="A1124" s="1047"/>
      <c r="B1124" s="110" t="s">
        <v>4284</v>
      </c>
      <c r="C1124" s="110"/>
      <c r="D1124" s="433">
        <v>1</v>
      </c>
      <c r="E1124" s="207" t="s">
        <v>1767</v>
      </c>
      <c r="F1124" s="1178" t="s">
        <v>4353</v>
      </c>
      <c r="G1124" s="1056" t="s">
        <v>4306</v>
      </c>
      <c r="H1124" s="433" t="s">
        <v>3478</v>
      </c>
      <c r="I1124" s="111">
        <v>14731.999999999998</v>
      </c>
      <c r="J1124" s="111">
        <v>14731.999999999998</v>
      </c>
      <c r="K1124" s="110"/>
      <c r="L1124" s="110"/>
      <c r="M1124" s="110"/>
      <c r="N1124" s="110"/>
      <c r="O1124" s="110"/>
      <c r="P1124" s="110"/>
      <c r="Q1124" s="433">
        <v>1</v>
      </c>
      <c r="R1124" s="111">
        <v>4910.6666666666661</v>
      </c>
      <c r="S1124" s="110"/>
      <c r="T1124" s="110"/>
      <c r="U1124" s="110"/>
      <c r="V1124" s="110"/>
      <c r="W1124" s="433">
        <v>0</v>
      </c>
      <c r="X1124" s="111">
        <v>4910.6666666666661</v>
      </c>
      <c r="Y1124" s="110"/>
      <c r="Z1124" s="110"/>
      <c r="AA1124" s="110"/>
      <c r="AB1124" s="110"/>
      <c r="AC1124" s="433">
        <v>0</v>
      </c>
      <c r="AD1124" s="111">
        <v>4910.6666666666661</v>
      </c>
      <c r="AE1124" s="110"/>
      <c r="AF1124" s="110"/>
      <c r="AG1124" s="110"/>
      <c r="AH1124" s="1048"/>
    </row>
    <row r="1125" spans="1:34" x14ac:dyDescent="0.25">
      <c r="A1125" s="1047"/>
      <c r="B1125" s="110"/>
      <c r="C1125" s="110"/>
      <c r="D1125" s="433"/>
      <c r="E1125" s="207"/>
      <c r="F1125" s="433"/>
      <c r="G1125" s="110"/>
      <c r="H1125" s="433"/>
      <c r="I1125" s="111"/>
      <c r="J1125" s="111"/>
      <c r="K1125" s="110"/>
      <c r="L1125" s="110"/>
      <c r="M1125" s="110"/>
      <c r="N1125" s="110"/>
      <c r="O1125" s="110"/>
      <c r="P1125" s="110"/>
      <c r="Q1125" s="433"/>
      <c r="R1125" s="111"/>
      <c r="S1125" s="110"/>
      <c r="T1125" s="110"/>
      <c r="U1125" s="110"/>
      <c r="V1125" s="110"/>
      <c r="W1125" s="433"/>
      <c r="X1125" s="111"/>
      <c r="Y1125" s="110"/>
      <c r="Z1125" s="110"/>
      <c r="AA1125" s="110"/>
      <c r="AB1125" s="110"/>
      <c r="AC1125" s="433"/>
      <c r="AD1125" s="111"/>
      <c r="AE1125" s="110"/>
      <c r="AF1125" s="110"/>
      <c r="AG1125" s="110"/>
      <c r="AH1125" s="1048"/>
    </row>
    <row r="1126" spans="1:34" x14ac:dyDescent="0.25">
      <c r="A1126" s="1047">
        <v>51503</v>
      </c>
      <c r="B1126" s="110" t="s">
        <v>4285</v>
      </c>
      <c r="C1126" s="110"/>
      <c r="D1126" s="433"/>
      <c r="E1126" s="207"/>
      <c r="F1126" s="433"/>
      <c r="G1126" s="110"/>
      <c r="H1126" s="433"/>
      <c r="I1126" s="111"/>
      <c r="J1126" s="111"/>
      <c r="K1126" s="110"/>
      <c r="L1126" s="110"/>
      <c r="M1126" s="110"/>
      <c r="N1126" s="110"/>
      <c r="O1126" s="110"/>
      <c r="P1126" s="110"/>
      <c r="Q1126" s="433"/>
      <c r="R1126" s="111"/>
      <c r="S1126" s="110"/>
      <c r="T1126" s="110"/>
      <c r="U1126" s="110"/>
      <c r="V1126" s="110"/>
      <c r="W1126" s="433"/>
      <c r="X1126" s="111"/>
      <c r="Y1126" s="110"/>
      <c r="Z1126" s="110"/>
      <c r="AA1126" s="110"/>
      <c r="AB1126" s="110"/>
      <c r="AC1126" s="433"/>
      <c r="AD1126" s="111"/>
      <c r="AE1126" s="110"/>
      <c r="AF1126" s="110"/>
      <c r="AG1126" s="110"/>
      <c r="AH1126" s="1048"/>
    </row>
    <row r="1127" spans="1:34" ht="45" x14ac:dyDescent="0.25">
      <c r="A1127" s="1047"/>
      <c r="B1127" s="110" t="s">
        <v>4286</v>
      </c>
      <c r="C1127" s="110"/>
      <c r="D1127" s="433">
        <v>1</v>
      </c>
      <c r="E1127" s="207" t="s">
        <v>1767</v>
      </c>
      <c r="F1127" s="1178" t="s">
        <v>4353</v>
      </c>
      <c r="G1127" s="1056" t="s">
        <v>4306</v>
      </c>
      <c r="H1127" s="433" t="s">
        <v>3478</v>
      </c>
      <c r="I1127" s="111">
        <v>9280</v>
      </c>
      <c r="J1127" s="111">
        <v>9280</v>
      </c>
      <c r="K1127" s="110"/>
      <c r="L1127" s="110"/>
      <c r="M1127" s="110"/>
      <c r="N1127" s="110"/>
      <c r="O1127" s="110"/>
      <c r="P1127" s="110"/>
      <c r="Q1127" s="433">
        <v>1</v>
      </c>
      <c r="R1127" s="111">
        <v>3093.3333333333335</v>
      </c>
      <c r="S1127" s="110"/>
      <c r="T1127" s="110"/>
      <c r="U1127" s="110"/>
      <c r="V1127" s="110"/>
      <c r="W1127" s="433">
        <v>0</v>
      </c>
      <c r="X1127" s="111">
        <v>3093.3333333333335</v>
      </c>
      <c r="Y1127" s="110"/>
      <c r="Z1127" s="110"/>
      <c r="AA1127" s="110"/>
      <c r="AB1127" s="110"/>
      <c r="AC1127" s="433">
        <v>0</v>
      </c>
      <c r="AD1127" s="111">
        <v>3093.3333333333335</v>
      </c>
      <c r="AE1127" s="110"/>
      <c r="AF1127" s="110"/>
      <c r="AG1127" s="110"/>
      <c r="AH1127" s="1048"/>
    </row>
    <row r="1128" spans="1:34" x14ac:dyDescent="0.25">
      <c r="A1128" s="1047"/>
      <c r="B1128" s="110"/>
      <c r="C1128" s="110"/>
      <c r="D1128" s="433"/>
      <c r="E1128" s="207"/>
      <c r="F1128" s="433"/>
      <c r="G1128" s="110"/>
      <c r="H1128" s="433"/>
      <c r="I1128" s="111"/>
      <c r="J1128" s="111"/>
      <c r="K1128" s="110"/>
      <c r="L1128" s="110"/>
      <c r="M1128" s="110"/>
      <c r="N1128" s="110"/>
      <c r="O1128" s="110"/>
      <c r="P1128" s="110"/>
      <c r="Q1128" s="433"/>
      <c r="R1128" s="111"/>
      <c r="S1128" s="110"/>
      <c r="T1128" s="110"/>
      <c r="U1128" s="110"/>
      <c r="V1128" s="110"/>
      <c r="W1128" s="433"/>
      <c r="X1128" s="111"/>
      <c r="Y1128" s="110"/>
      <c r="Z1128" s="110"/>
      <c r="AA1128" s="110"/>
      <c r="AB1128" s="110"/>
      <c r="AC1128" s="433"/>
      <c r="AD1128" s="111"/>
      <c r="AE1128" s="110"/>
      <c r="AF1128" s="110"/>
      <c r="AG1128" s="110"/>
      <c r="AH1128" s="1048"/>
    </row>
    <row r="1129" spans="1:34" x14ac:dyDescent="0.25">
      <c r="A1129" s="1058">
        <v>51903</v>
      </c>
      <c r="B1129" s="187" t="s">
        <v>1390</v>
      </c>
      <c r="C1129" s="110"/>
      <c r="D1129" s="433"/>
      <c r="E1129" s="207"/>
      <c r="F1129" s="433"/>
      <c r="G1129" s="110"/>
      <c r="H1129" s="433"/>
      <c r="I1129" s="111"/>
      <c r="J1129" s="111"/>
      <c r="K1129" s="110"/>
      <c r="L1129" s="110"/>
      <c r="M1129" s="110"/>
      <c r="N1129" s="110"/>
      <c r="O1129" s="110"/>
      <c r="P1129" s="110"/>
      <c r="Q1129" s="433"/>
      <c r="R1129" s="111"/>
      <c r="S1129" s="110"/>
      <c r="T1129" s="110"/>
      <c r="U1129" s="110"/>
      <c r="V1129" s="110"/>
      <c r="W1129" s="433"/>
      <c r="X1129" s="111"/>
      <c r="Y1129" s="110"/>
      <c r="Z1129" s="110"/>
      <c r="AA1129" s="110"/>
      <c r="AB1129" s="110"/>
      <c r="AC1129" s="433"/>
      <c r="AD1129" s="111"/>
      <c r="AE1129" s="110"/>
      <c r="AF1129" s="110"/>
      <c r="AG1129" s="110"/>
      <c r="AH1129" s="1048"/>
    </row>
    <row r="1130" spans="1:34" ht="45" x14ac:dyDescent="0.25">
      <c r="A1130" s="1047"/>
      <c r="B1130" s="110" t="s">
        <v>4287</v>
      </c>
      <c r="C1130" s="110"/>
      <c r="D1130" s="433">
        <v>1</v>
      </c>
      <c r="E1130" s="207" t="s">
        <v>2992</v>
      </c>
      <c r="F1130" s="1178" t="s">
        <v>4353</v>
      </c>
      <c r="G1130" s="1056" t="s">
        <v>4306</v>
      </c>
      <c r="H1130" s="433" t="s">
        <v>3478</v>
      </c>
      <c r="I1130" s="111">
        <v>40000</v>
      </c>
      <c r="J1130" s="111">
        <v>40000</v>
      </c>
      <c r="K1130" s="110"/>
      <c r="L1130" s="110"/>
      <c r="M1130" s="110"/>
      <c r="N1130" s="110"/>
      <c r="O1130" s="110"/>
      <c r="P1130" s="110"/>
      <c r="Q1130" s="433">
        <v>1</v>
      </c>
      <c r="R1130" s="111">
        <v>13333.333333333334</v>
      </c>
      <c r="S1130" s="110"/>
      <c r="T1130" s="110"/>
      <c r="U1130" s="110"/>
      <c r="V1130" s="110"/>
      <c r="W1130" s="433">
        <v>0</v>
      </c>
      <c r="X1130" s="111">
        <v>13333.333333333334</v>
      </c>
      <c r="Y1130" s="110"/>
      <c r="Z1130" s="110"/>
      <c r="AA1130" s="110"/>
      <c r="AB1130" s="110"/>
      <c r="AC1130" s="433">
        <v>0</v>
      </c>
      <c r="AD1130" s="111">
        <v>13333.333333333334</v>
      </c>
      <c r="AE1130" s="110"/>
      <c r="AF1130" s="110"/>
      <c r="AG1130" s="110"/>
      <c r="AH1130" s="1048"/>
    </row>
    <row r="1131" spans="1:34" x14ac:dyDescent="0.25">
      <c r="A1131" s="1047"/>
      <c r="B1131" s="110"/>
      <c r="C1131" s="110"/>
      <c r="D1131" s="433"/>
      <c r="E1131" s="207"/>
      <c r="F1131" s="433"/>
      <c r="G1131" s="110"/>
      <c r="H1131" s="433"/>
      <c r="I1131" s="111"/>
      <c r="J1131" s="111"/>
      <c r="K1131" s="110"/>
      <c r="L1131" s="110"/>
      <c r="M1131" s="110"/>
      <c r="N1131" s="110"/>
      <c r="O1131" s="110"/>
      <c r="P1131" s="110"/>
      <c r="Q1131" s="433"/>
      <c r="R1131" s="111"/>
      <c r="S1131" s="110"/>
      <c r="T1131" s="110"/>
      <c r="U1131" s="110"/>
      <c r="V1131" s="110"/>
      <c r="W1131" s="433"/>
      <c r="X1131" s="111"/>
      <c r="Y1131" s="110"/>
      <c r="Z1131" s="110"/>
      <c r="AA1131" s="110"/>
      <c r="AB1131" s="110"/>
      <c r="AC1131" s="433"/>
      <c r="AD1131" s="111"/>
      <c r="AE1131" s="110"/>
      <c r="AF1131" s="110"/>
      <c r="AG1131" s="110"/>
      <c r="AH1131" s="1048"/>
    </row>
    <row r="1132" spans="1:34" x14ac:dyDescent="0.25">
      <c r="A1132" s="1058">
        <v>51908</v>
      </c>
      <c r="B1132" s="187" t="s">
        <v>4288</v>
      </c>
      <c r="C1132" s="110"/>
      <c r="D1132" s="433"/>
      <c r="E1132" s="207"/>
      <c r="F1132" s="433"/>
      <c r="G1132" s="110"/>
      <c r="H1132" s="433"/>
      <c r="I1132" s="111"/>
      <c r="J1132" s="111"/>
      <c r="K1132" s="110"/>
      <c r="L1132" s="110"/>
      <c r="M1132" s="110"/>
      <c r="N1132" s="110"/>
      <c r="O1132" s="110"/>
      <c r="P1132" s="110"/>
      <c r="Q1132" s="433"/>
      <c r="R1132" s="111"/>
      <c r="S1132" s="110"/>
      <c r="T1132" s="110"/>
      <c r="U1132" s="110"/>
      <c r="V1132" s="110"/>
      <c r="W1132" s="433"/>
      <c r="X1132" s="111"/>
      <c r="Y1132" s="110"/>
      <c r="Z1132" s="110"/>
      <c r="AA1132" s="110"/>
      <c r="AB1132" s="110"/>
      <c r="AC1132" s="433"/>
      <c r="AD1132" s="111"/>
      <c r="AE1132" s="110"/>
      <c r="AF1132" s="110"/>
      <c r="AG1132" s="110"/>
      <c r="AH1132" s="1048"/>
    </row>
    <row r="1133" spans="1:34" ht="45" x14ac:dyDescent="0.25">
      <c r="A1133" s="1047"/>
      <c r="B1133" s="110" t="s">
        <v>4289</v>
      </c>
      <c r="C1133" s="110"/>
      <c r="D1133" s="433">
        <v>1</v>
      </c>
      <c r="E1133" s="207" t="s">
        <v>1767</v>
      </c>
      <c r="F1133" s="1178" t="s">
        <v>4353</v>
      </c>
      <c r="G1133" s="1056" t="s">
        <v>4306</v>
      </c>
      <c r="H1133" s="433" t="s">
        <v>3478</v>
      </c>
      <c r="I1133" s="111">
        <v>10000</v>
      </c>
      <c r="J1133" s="111">
        <v>10000</v>
      </c>
      <c r="K1133" s="110"/>
      <c r="L1133" s="110"/>
      <c r="M1133" s="110"/>
      <c r="N1133" s="110"/>
      <c r="O1133" s="110"/>
      <c r="P1133" s="110"/>
      <c r="Q1133" s="433">
        <v>1</v>
      </c>
      <c r="R1133" s="111">
        <v>3333.3333333333335</v>
      </c>
      <c r="S1133" s="110"/>
      <c r="T1133" s="110"/>
      <c r="U1133" s="110"/>
      <c r="V1133" s="110"/>
      <c r="W1133" s="433">
        <v>0</v>
      </c>
      <c r="X1133" s="111">
        <v>3333.3333333333335</v>
      </c>
      <c r="Y1133" s="110"/>
      <c r="Z1133" s="110"/>
      <c r="AA1133" s="110"/>
      <c r="AB1133" s="110"/>
      <c r="AC1133" s="433">
        <v>0</v>
      </c>
      <c r="AD1133" s="111">
        <v>3333.3333333333335</v>
      </c>
      <c r="AE1133" s="110"/>
      <c r="AF1133" s="110"/>
      <c r="AG1133" s="110"/>
      <c r="AH1133" s="1048"/>
    </row>
    <row r="1134" spans="1:34" ht="45" x14ac:dyDescent="0.25">
      <c r="A1134" s="1047"/>
      <c r="B1134" s="1057" t="s">
        <v>4290</v>
      </c>
      <c r="C1134" s="110"/>
      <c r="D1134" s="433">
        <v>2</v>
      </c>
      <c r="E1134" s="207" t="s">
        <v>1767</v>
      </c>
      <c r="F1134" s="1178" t="s">
        <v>4353</v>
      </c>
      <c r="G1134" s="1056" t="s">
        <v>4306</v>
      </c>
      <c r="H1134" s="433" t="s">
        <v>3478</v>
      </c>
      <c r="I1134" s="111">
        <v>4158</v>
      </c>
      <c r="J1134" s="111">
        <v>8316</v>
      </c>
      <c r="K1134" s="110"/>
      <c r="L1134" s="110"/>
      <c r="M1134" s="110"/>
      <c r="N1134" s="110"/>
      <c r="O1134" s="110"/>
      <c r="P1134" s="110"/>
      <c r="Q1134" s="433">
        <v>1</v>
      </c>
      <c r="R1134" s="111">
        <v>2772</v>
      </c>
      <c r="S1134" s="110"/>
      <c r="T1134" s="110"/>
      <c r="U1134" s="110"/>
      <c r="V1134" s="110"/>
      <c r="W1134" s="433">
        <v>1</v>
      </c>
      <c r="X1134" s="111">
        <v>2772</v>
      </c>
      <c r="Y1134" s="110"/>
      <c r="Z1134" s="110"/>
      <c r="AA1134" s="110"/>
      <c r="AB1134" s="110"/>
      <c r="AC1134" s="433">
        <v>0</v>
      </c>
      <c r="AD1134" s="111">
        <v>2772</v>
      </c>
      <c r="AE1134" s="110"/>
      <c r="AF1134" s="110"/>
      <c r="AG1134" s="110"/>
      <c r="AH1134" s="1048"/>
    </row>
    <row r="1135" spans="1:34" x14ac:dyDescent="0.25">
      <c r="A1135" s="1047"/>
      <c r="B1135" s="110"/>
      <c r="C1135" s="110"/>
      <c r="D1135" s="433"/>
      <c r="E1135" s="207"/>
      <c r="F1135" s="433"/>
      <c r="G1135" s="110"/>
      <c r="H1135" s="433"/>
      <c r="I1135" s="111"/>
      <c r="J1135" s="111"/>
      <c r="K1135" s="110"/>
      <c r="L1135" s="110"/>
      <c r="M1135" s="110"/>
      <c r="N1135" s="110"/>
      <c r="O1135" s="110"/>
      <c r="P1135" s="110"/>
      <c r="Q1135" s="433"/>
      <c r="R1135" s="111"/>
      <c r="S1135" s="110"/>
      <c r="T1135" s="110"/>
      <c r="U1135" s="110"/>
      <c r="V1135" s="110"/>
      <c r="W1135" s="433"/>
      <c r="X1135" s="111"/>
      <c r="Y1135" s="110"/>
      <c r="Z1135" s="110"/>
      <c r="AA1135" s="110"/>
      <c r="AB1135" s="110"/>
      <c r="AC1135" s="433"/>
      <c r="AD1135" s="111"/>
      <c r="AE1135" s="110"/>
      <c r="AF1135" s="110"/>
      <c r="AG1135" s="110"/>
      <c r="AH1135" s="1048"/>
    </row>
    <row r="1136" spans="1:34" x14ac:dyDescent="0.25">
      <c r="A1136" s="1058">
        <v>53000</v>
      </c>
      <c r="B1136" s="187" t="s">
        <v>4291</v>
      </c>
      <c r="C1136" s="110"/>
      <c r="D1136" s="433"/>
      <c r="E1136" s="207"/>
      <c r="F1136" s="433"/>
      <c r="G1136" s="110"/>
      <c r="H1136" s="433"/>
      <c r="I1136" s="111"/>
      <c r="J1136" s="111"/>
      <c r="K1136" s="110"/>
      <c r="L1136" s="110"/>
      <c r="M1136" s="110"/>
      <c r="N1136" s="110"/>
      <c r="O1136" s="110"/>
      <c r="P1136" s="110"/>
      <c r="Q1136" s="433"/>
      <c r="R1136" s="111"/>
      <c r="S1136" s="110"/>
      <c r="T1136" s="110"/>
      <c r="U1136" s="110"/>
      <c r="V1136" s="110"/>
      <c r="W1136" s="433"/>
      <c r="X1136" s="111"/>
      <c r="Y1136" s="110"/>
      <c r="Z1136" s="110"/>
      <c r="AA1136" s="110"/>
      <c r="AB1136" s="110"/>
      <c r="AC1136" s="433"/>
      <c r="AD1136" s="111"/>
      <c r="AE1136" s="110"/>
      <c r="AF1136" s="110"/>
      <c r="AG1136" s="110"/>
      <c r="AH1136" s="1048"/>
    </row>
    <row r="1137" spans="1:34" x14ac:dyDescent="0.25">
      <c r="A1137" s="1058">
        <v>53100</v>
      </c>
      <c r="B1137" s="187" t="s">
        <v>4292</v>
      </c>
      <c r="C1137" s="110"/>
      <c r="D1137" s="433"/>
      <c r="E1137" s="207"/>
      <c r="F1137" s="433"/>
      <c r="G1137" s="110"/>
      <c r="H1137" s="433"/>
      <c r="I1137" s="111"/>
      <c r="J1137" s="111"/>
      <c r="K1137" s="110"/>
      <c r="L1137" s="110"/>
      <c r="M1137" s="110"/>
      <c r="N1137" s="110"/>
      <c r="O1137" s="110"/>
      <c r="P1137" s="110"/>
      <c r="Q1137" s="433"/>
      <c r="R1137" s="111"/>
      <c r="S1137" s="110"/>
      <c r="T1137" s="110"/>
      <c r="U1137" s="110"/>
      <c r="V1137" s="110"/>
      <c r="W1137" s="433"/>
      <c r="X1137" s="111"/>
      <c r="Y1137" s="110"/>
      <c r="Z1137" s="110"/>
      <c r="AA1137" s="110"/>
      <c r="AB1137" s="110"/>
      <c r="AC1137" s="433"/>
      <c r="AD1137" s="111"/>
      <c r="AE1137" s="110"/>
      <c r="AF1137" s="110"/>
      <c r="AG1137" s="110"/>
      <c r="AH1137" s="1048"/>
    </row>
    <row r="1138" spans="1:34" x14ac:dyDescent="0.25">
      <c r="A1138" s="1058">
        <v>53102</v>
      </c>
      <c r="B1138" s="187" t="s">
        <v>4292</v>
      </c>
      <c r="C1138" s="110"/>
      <c r="D1138" s="433"/>
      <c r="E1138" s="207"/>
      <c r="F1138" s="433"/>
      <c r="G1138" s="110"/>
      <c r="H1138" s="433"/>
      <c r="I1138" s="111"/>
      <c r="J1138" s="111"/>
      <c r="K1138" s="110"/>
      <c r="L1138" s="110"/>
      <c r="M1138" s="110"/>
      <c r="N1138" s="110"/>
      <c r="O1138" s="110"/>
      <c r="P1138" s="110"/>
      <c r="Q1138" s="433"/>
      <c r="R1138" s="111"/>
      <c r="S1138" s="110"/>
      <c r="T1138" s="110"/>
      <c r="U1138" s="110"/>
      <c r="V1138" s="110"/>
      <c r="W1138" s="433"/>
      <c r="X1138" s="111"/>
      <c r="Y1138" s="110"/>
      <c r="Z1138" s="110"/>
      <c r="AA1138" s="110"/>
      <c r="AB1138" s="110"/>
      <c r="AC1138" s="433"/>
      <c r="AD1138" s="111"/>
      <c r="AE1138" s="110"/>
      <c r="AF1138" s="110"/>
      <c r="AG1138" s="110"/>
      <c r="AH1138" s="1048"/>
    </row>
    <row r="1139" spans="1:34" ht="45" x14ac:dyDescent="0.25">
      <c r="A1139" s="1047"/>
      <c r="B1139" s="110" t="s">
        <v>4293</v>
      </c>
      <c r="C1139" s="110"/>
      <c r="D1139" s="433">
        <v>1</v>
      </c>
      <c r="E1139" s="207" t="s">
        <v>1721</v>
      </c>
      <c r="F1139" s="1178" t="s">
        <v>4353</v>
      </c>
      <c r="G1139" s="1056" t="s">
        <v>4306</v>
      </c>
      <c r="H1139" s="433" t="s">
        <v>3478</v>
      </c>
      <c r="I1139" s="111">
        <v>6000</v>
      </c>
      <c r="J1139" s="111">
        <v>6000</v>
      </c>
      <c r="K1139" s="110"/>
      <c r="L1139" s="110"/>
      <c r="M1139" s="110"/>
      <c r="N1139" s="110"/>
      <c r="O1139" s="110"/>
      <c r="P1139" s="110"/>
      <c r="Q1139" s="433">
        <v>1</v>
      </c>
      <c r="R1139" s="111">
        <v>2000</v>
      </c>
      <c r="S1139" s="110"/>
      <c r="T1139" s="110"/>
      <c r="U1139" s="110"/>
      <c r="V1139" s="110"/>
      <c r="W1139" s="433">
        <v>0</v>
      </c>
      <c r="X1139" s="111">
        <v>2000</v>
      </c>
      <c r="Y1139" s="110"/>
      <c r="Z1139" s="110"/>
      <c r="AA1139" s="110"/>
      <c r="AB1139" s="110"/>
      <c r="AC1139" s="433">
        <v>0</v>
      </c>
      <c r="AD1139" s="111">
        <v>2000</v>
      </c>
      <c r="AE1139" s="110"/>
      <c r="AF1139" s="110"/>
      <c r="AG1139" s="110"/>
      <c r="AH1139" s="1048"/>
    </row>
    <row r="1140" spans="1:34" ht="45" x14ac:dyDescent="0.25">
      <c r="A1140" s="1047"/>
      <c r="B1140" s="110" t="s">
        <v>1129</v>
      </c>
      <c r="C1140" s="110"/>
      <c r="D1140" s="433">
        <v>1</v>
      </c>
      <c r="E1140" s="207" t="s">
        <v>1721</v>
      </c>
      <c r="F1140" s="1178" t="s">
        <v>4353</v>
      </c>
      <c r="G1140" s="1056" t="s">
        <v>4306</v>
      </c>
      <c r="H1140" s="433" t="s">
        <v>3478</v>
      </c>
      <c r="I1140" s="111">
        <v>5000</v>
      </c>
      <c r="J1140" s="111">
        <v>5000</v>
      </c>
      <c r="K1140" s="110"/>
      <c r="L1140" s="110"/>
      <c r="M1140" s="110"/>
      <c r="N1140" s="110"/>
      <c r="O1140" s="110"/>
      <c r="P1140" s="110"/>
      <c r="Q1140" s="433">
        <v>1</v>
      </c>
      <c r="R1140" s="111">
        <v>1666.6666666666667</v>
      </c>
      <c r="S1140" s="110"/>
      <c r="T1140" s="110"/>
      <c r="U1140" s="110"/>
      <c r="V1140" s="110"/>
      <c r="W1140" s="433">
        <v>0</v>
      </c>
      <c r="X1140" s="111">
        <v>1666.6666666666667</v>
      </c>
      <c r="Y1140" s="110"/>
      <c r="Z1140" s="110"/>
      <c r="AA1140" s="110"/>
      <c r="AB1140" s="110"/>
      <c r="AC1140" s="433">
        <v>0</v>
      </c>
      <c r="AD1140" s="111">
        <v>1666.6666666666667</v>
      </c>
      <c r="AE1140" s="110"/>
      <c r="AF1140" s="110"/>
      <c r="AG1140" s="110"/>
      <c r="AH1140" s="1048"/>
    </row>
    <row r="1141" spans="1:34" ht="45" x14ac:dyDescent="0.25">
      <c r="A1141" s="1047"/>
      <c r="B1141" s="110" t="s">
        <v>1130</v>
      </c>
      <c r="C1141" s="110"/>
      <c r="D1141" s="433">
        <v>1</v>
      </c>
      <c r="E1141" s="207" t="s">
        <v>1721</v>
      </c>
      <c r="F1141" s="1178" t="s">
        <v>4353</v>
      </c>
      <c r="G1141" s="1056" t="s">
        <v>4306</v>
      </c>
      <c r="H1141" s="433" t="s">
        <v>3478</v>
      </c>
      <c r="I1141" s="111">
        <v>38600</v>
      </c>
      <c r="J1141" s="111">
        <v>38600</v>
      </c>
      <c r="K1141" s="110"/>
      <c r="L1141" s="110"/>
      <c r="M1141" s="110"/>
      <c r="N1141" s="110"/>
      <c r="O1141" s="110"/>
      <c r="P1141" s="110"/>
      <c r="Q1141" s="433">
        <v>1</v>
      </c>
      <c r="R1141" s="111">
        <v>12866.666666666666</v>
      </c>
      <c r="S1141" s="110"/>
      <c r="T1141" s="110"/>
      <c r="U1141" s="110"/>
      <c r="V1141" s="110"/>
      <c r="W1141" s="433">
        <v>0</v>
      </c>
      <c r="X1141" s="111">
        <v>12866.666666666666</v>
      </c>
      <c r="Y1141" s="110"/>
      <c r="Z1141" s="110"/>
      <c r="AA1141" s="110"/>
      <c r="AB1141" s="110"/>
      <c r="AC1141" s="433">
        <v>0</v>
      </c>
      <c r="AD1141" s="111">
        <v>12866.666666666666</v>
      </c>
      <c r="AE1141" s="110"/>
      <c r="AF1141" s="110"/>
      <c r="AG1141" s="110"/>
      <c r="AH1141" s="1048"/>
    </row>
    <row r="1142" spans="1:34" ht="45" x14ac:dyDescent="0.25">
      <c r="A1142" s="1047"/>
      <c r="B1142" s="110" t="s">
        <v>1131</v>
      </c>
      <c r="C1142" s="110"/>
      <c r="D1142" s="433">
        <v>1</v>
      </c>
      <c r="E1142" s="207" t="s">
        <v>1721</v>
      </c>
      <c r="F1142" s="1178" t="s">
        <v>4353</v>
      </c>
      <c r="G1142" s="1056" t="s">
        <v>4306</v>
      </c>
      <c r="H1142" s="433" t="s">
        <v>3478</v>
      </c>
      <c r="I1142" s="111">
        <v>20690</v>
      </c>
      <c r="J1142" s="111">
        <v>20690</v>
      </c>
      <c r="K1142" s="110"/>
      <c r="L1142" s="110"/>
      <c r="M1142" s="110"/>
      <c r="N1142" s="110"/>
      <c r="O1142" s="110"/>
      <c r="P1142" s="110"/>
      <c r="Q1142" s="433">
        <v>1</v>
      </c>
      <c r="R1142" s="111">
        <v>6896.666666666667</v>
      </c>
      <c r="S1142" s="110"/>
      <c r="T1142" s="110"/>
      <c r="U1142" s="110"/>
      <c r="V1142" s="110"/>
      <c r="W1142" s="433">
        <v>0</v>
      </c>
      <c r="X1142" s="111">
        <v>6896.666666666667</v>
      </c>
      <c r="Y1142" s="110"/>
      <c r="Z1142" s="110"/>
      <c r="AA1142" s="110"/>
      <c r="AB1142" s="110"/>
      <c r="AC1142" s="433">
        <v>0</v>
      </c>
      <c r="AD1142" s="111">
        <v>6896.666666666667</v>
      </c>
      <c r="AE1142" s="110"/>
      <c r="AF1142" s="110"/>
      <c r="AG1142" s="110"/>
      <c r="AH1142" s="1048"/>
    </row>
    <row r="1143" spans="1:34" x14ac:dyDescent="0.25">
      <c r="A1143" s="1047"/>
      <c r="B1143" s="110"/>
      <c r="C1143" s="110"/>
      <c r="D1143" s="433"/>
      <c r="E1143" s="207"/>
      <c r="F1143" s="433"/>
      <c r="G1143" s="110"/>
      <c r="H1143" s="433"/>
      <c r="I1143" s="111"/>
      <c r="J1143" s="111"/>
      <c r="K1143" s="110"/>
      <c r="L1143" s="110"/>
      <c r="M1143" s="110"/>
      <c r="N1143" s="110"/>
      <c r="O1143" s="110"/>
      <c r="P1143" s="110"/>
      <c r="Q1143" s="433"/>
      <c r="R1143" s="111"/>
      <c r="S1143" s="110"/>
      <c r="T1143" s="110"/>
      <c r="U1143" s="110"/>
      <c r="V1143" s="110"/>
      <c r="W1143" s="433"/>
      <c r="X1143" s="111"/>
      <c r="Y1143" s="110"/>
      <c r="Z1143" s="110"/>
      <c r="AA1143" s="110"/>
      <c r="AB1143" s="110"/>
      <c r="AC1143" s="433"/>
      <c r="AD1143" s="111"/>
      <c r="AE1143" s="110"/>
      <c r="AF1143" s="110"/>
      <c r="AG1143" s="110"/>
      <c r="AH1143" s="1048"/>
    </row>
    <row r="1144" spans="1:34" x14ac:dyDescent="0.25">
      <c r="A1144" s="1058">
        <v>53201</v>
      </c>
      <c r="B1144" s="187" t="s">
        <v>4294</v>
      </c>
      <c r="C1144" s="110"/>
      <c r="D1144" s="433"/>
      <c r="E1144" s="207"/>
      <c r="F1144" s="433"/>
      <c r="G1144" s="110"/>
      <c r="H1144" s="433"/>
      <c r="I1144" s="111"/>
      <c r="J1144" s="111"/>
      <c r="K1144" s="110"/>
      <c r="L1144" s="110"/>
      <c r="M1144" s="110"/>
      <c r="N1144" s="110"/>
      <c r="O1144" s="110"/>
      <c r="P1144" s="110"/>
      <c r="Q1144" s="433"/>
      <c r="R1144" s="111"/>
      <c r="S1144" s="110"/>
      <c r="T1144" s="110"/>
      <c r="U1144" s="110"/>
      <c r="V1144" s="110"/>
      <c r="W1144" s="433"/>
      <c r="X1144" s="111"/>
      <c r="Y1144" s="110"/>
      <c r="Z1144" s="110"/>
      <c r="AA1144" s="110"/>
      <c r="AB1144" s="110"/>
      <c r="AC1144" s="433"/>
      <c r="AD1144" s="111"/>
      <c r="AE1144" s="110"/>
      <c r="AF1144" s="110"/>
      <c r="AG1144" s="110"/>
      <c r="AH1144" s="1048"/>
    </row>
    <row r="1145" spans="1:34" ht="45" x14ac:dyDescent="0.25">
      <c r="A1145" s="1047"/>
      <c r="B1145" s="110" t="s">
        <v>4295</v>
      </c>
      <c r="C1145" s="110"/>
      <c r="D1145" s="433">
        <v>1</v>
      </c>
      <c r="E1145" s="207" t="s">
        <v>1721</v>
      </c>
      <c r="F1145" s="1178" t="s">
        <v>4353</v>
      </c>
      <c r="G1145" s="1056" t="s">
        <v>4306</v>
      </c>
      <c r="H1145" s="433" t="s">
        <v>3478</v>
      </c>
      <c r="I1145" s="111">
        <v>3500</v>
      </c>
      <c r="J1145" s="111">
        <v>3500</v>
      </c>
      <c r="K1145" s="110"/>
      <c r="L1145" s="110"/>
      <c r="M1145" s="110"/>
      <c r="N1145" s="110"/>
      <c r="O1145" s="110"/>
      <c r="P1145" s="110"/>
      <c r="Q1145" s="433">
        <v>1</v>
      </c>
      <c r="R1145" s="111">
        <v>1166.6666666666667</v>
      </c>
      <c r="S1145" s="110"/>
      <c r="T1145" s="110"/>
      <c r="U1145" s="110"/>
      <c r="V1145" s="110"/>
      <c r="W1145" s="433">
        <v>0</v>
      </c>
      <c r="X1145" s="111">
        <v>1166.6666666666667</v>
      </c>
      <c r="Y1145" s="110"/>
      <c r="Z1145" s="110"/>
      <c r="AA1145" s="110"/>
      <c r="AB1145" s="110"/>
      <c r="AC1145" s="433">
        <v>0</v>
      </c>
      <c r="AD1145" s="111">
        <v>1166.6666666666667</v>
      </c>
      <c r="AE1145" s="110"/>
      <c r="AF1145" s="110"/>
      <c r="AG1145" s="110"/>
      <c r="AH1145" s="1048"/>
    </row>
    <row r="1146" spans="1:34" ht="45" x14ac:dyDescent="0.25">
      <c r="A1146" s="1047"/>
      <c r="B1146" s="110" t="s">
        <v>4296</v>
      </c>
      <c r="C1146" s="110"/>
      <c r="D1146" s="433">
        <v>1</v>
      </c>
      <c r="E1146" s="207" t="s">
        <v>1721</v>
      </c>
      <c r="F1146" s="1178" t="s">
        <v>4353</v>
      </c>
      <c r="G1146" s="1056" t="s">
        <v>4306</v>
      </c>
      <c r="H1146" s="433" t="s">
        <v>3478</v>
      </c>
      <c r="I1146" s="111">
        <v>28000</v>
      </c>
      <c r="J1146" s="111">
        <v>28000</v>
      </c>
      <c r="K1146" s="110"/>
      <c r="L1146" s="110"/>
      <c r="M1146" s="110"/>
      <c r="N1146" s="110"/>
      <c r="O1146" s="110"/>
      <c r="P1146" s="110"/>
      <c r="Q1146" s="433">
        <v>1</v>
      </c>
      <c r="R1146" s="111">
        <v>9333.3333333333339</v>
      </c>
      <c r="S1146" s="110"/>
      <c r="T1146" s="110"/>
      <c r="U1146" s="110"/>
      <c r="V1146" s="110"/>
      <c r="W1146" s="433">
        <v>0</v>
      </c>
      <c r="X1146" s="111">
        <v>9333.3333333333339</v>
      </c>
      <c r="Y1146" s="110"/>
      <c r="Z1146" s="110"/>
      <c r="AA1146" s="110"/>
      <c r="AB1146" s="110"/>
      <c r="AC1146" s="433">
        <v>0</v>
      </c>
      <c r="AD1146" s="111">
        <v>9333.3333333333339</v>
      </c>
      <c r="AE1146" s="110"/>
      <c r="AF1146" s="110"/>
      <c r="AG1146" s="110"/>
      <c r="AH1146" s="1048"/>
    </row>
    <row r="1147" spans="1:34" x14ac:dyDescent="0.25">
      <c r="A1147" s="1047"/>
      <c r="B1147" s="110"/>
      <c r="C1147" s="110"/>
      <c r="D1147" s="433"/>
      <c r="E1147" s="207"/>
      <c r="F1147" s="433"/>
      <c r="G1147" s="110"/>
      <c r="H1147" s="433"/>
      <c r="I1147" s="111"/>
      <c r="J1147" s="111"/>
      <c r="K1147" s="110"/>
      <c r="L1147" s="110"/>
      <c r="M1147" s="110"/>
      <c r="N1147" s="110"/>
      <c r="O1147" s="110"/>
      <c r="P1147" s="110"/>
      <c r="Q1147" s="433"/>
      <c r="R1147" s="111"/>
      <c r="S1147" s="110"/>
      <c r="T1147" s="110"/>
      <c r="U1147" s="110"/>
      <c r="V1147" s="110"/>
      <c r="W1147" s="433"/>
      <c r="X1147" s="111"/>
      <c r="Y1147" s="110"/>
      <c r="Z1147" s="110"/>
      <c r="AA1147" s="110"/>
      <c r="AB1147" s="110"/>
      <c r="AC1147" s="433"/>
      <c r="AD1147" s="111"/>
      <c r="AE1147" s="110"/>
      <c r="AF1147" s="110"/>
      <c r="AG1147" s="110"/>
      <c r="AH1147" s="1048"/>
    </row>
    <row r="1148" spans="1:34" x14ac:dyDescent="0.25">
      <c r="A1148" s="1058">
        <v>54101</v>
      </c>
      <c r="B1148" s="187" t="s">
        <v>4297</v>
      </c>
      <c r="C1148" s="110"/>
      <c r="D1148" s="433"/>
      <c r="E1148" s="207"/>
      <c r="F1148" s="433"/>
      <c r="G1148" s="110"/>
      <c r="H1148" s="433"/>
      <c r="I1148" s="111"/>
      <c r="J1148" s="111"/>
      <c r="K1148" s="110"/>
      <c r="L1148" s="110"/>
      <c r="M1148" s="110"/>
      <c r="N1148" s="110"/>
      <c r="O1148" s="110"/>
      <c r="P1148" s="110"/>
      <c r="Q1148" s="433"/>
      <c r="R1148" s="111"/>
      <c r="S1148" s="110"/>
      <c r="T1148" s="110"/>
      <c r="U1148" s="110"/>
      <c r="V1148" s="110"/>
      <c r="W1148" s="433"/>
      <c r="X1148" s="111"/>
      <c r="Y1148" s="110"/>
      <c r="Z1148" s="110"/>
      <c r="AA1148" s="110"/>
      <c r="AB1148" s="110"/>
      <c r="AC1148" s="433"/>
      <c r="AD1148" s="111"/>
      <c r="AE1148" s="110"/>
      <c r="AF1148" s="110"/>
      <c r="AG1148" s="110"/>
      <c r="AH1148" s="1048"/>
    </row>
    <row r="1149" spans="1:34" ht="45" x14ac:dyDescent="0.25">
      <c r="A1149" s="1047"/>
      <c r="B1149" s="110" t="s">
        <v>4298</v>
      </c>
      <c r="C1149" s="110"/>
      <c r="D1149" s="433">
        <v>1</v>
      </c>
      <c r="E1149" s="207" t="s">
        <v>3336</v>
      </c>
      <c r="F1149" s="1178" t="s">
        <v>4353</v>
      </c>
      <c r="G1149" s="1056" t="s">
        <v>4306</v>
      </c>
      <c r="H1149" s="433" t="s">
        <v>3478</v>
      </c>
      <c r="I1149" s="111">
        <v>1551724.14</v>
      </c>
      <c r="J1149" s="111">
        <v>1551724.14</v>
      </c>
      <c r="K1149" s="110"/>
      <c r="L1149" s="110"/>
      <c r="M1149" s="110"/>
      <c r="N1149" s="110"/>
      <c r="O1149" s="110"/>
      <c r="P1149" s="110"/>
      <c r="Q1149" s="433">
        <v>1</v>
      </c>
      <c r="R1149" s="111">
        <v>517241.37999999995</v>
      </c>
      <c r="S1149" s="110"/>
      <c r="T1149" s="110"/>
      <c r="U1149" s="110"/>
      <c r="V1149" s="110"/>
      <c r="W1149" s="433">
        <v>0</v>
      </c>
      <c r="X1149" s="111">
        <v>517241.37999999995</v>
      </c>
      <c r="Y1149" s="110"/>
      <c r="Z1149" s="110"/>
      <c r="AA1149" s="110"/>
      <c r="AB1149" s="110"/>
      <c r="AC1149" s="433">
        <v>0</v>
      </c>
      <c r="AD1149" s="111">
        <v>517241.37999999995</v>
      </c>
      <c r="AE1149" s="110"/>
      <c r="AF1149" s="110"/>
      <c r="AG1149" s="110"/>
      <c r="AH1149" s="1048"/>
    </row>
    <row r="1150" spans="1:34" x14ac:dyDescent="0.25">
      <c r="A1150" s="1047"/>
      <c r="B1150" s="110"/>
      <c r="C1150" s="110"/>
      <c r="D1150" s="433"/>
      <c r="E1150" s="207"/>
      <c r="F1150" s="433"/>
      <c r="G1150" s="110"/>
      <c r="H1150" s="433"/>
      <c r="I1150" s="111"/>
      <c r="J1150" s="111"/>
      <c r="K1150" s="110"/>
      <c r="L1150" s="110"/>
      <c r="M1150" s="110"/>
      <c r="N1150" s="110"/>
      <c r="O1150" s="110"/>
      <c r="P1150" s="110"/>
      <c r="Q1150" s="433"/>
      <c r="R1150" s="111"/>
      <c r="S1150" s="110"/>
      <c r="T1150" s="110"/>
      <c r="U1150" s="110"/>
      <c r="V1150" s="110"/>
      <c r="W1150" s="433"/>
      <c r="X1150" s="111"/>
      <c r="Y1150" s="110"/>
      <c r="Z1150" s="110"/>
      <c r="AA1150" s="110"/>
      <c r="AB1150" s="110"/>
      <c r="AC1150" s="433"/>
      <c r="AD1150" s="111"/>
      <c r="AE1150" s="110"/>
      <c r="AF1150" s="110"/>
      <c r="AG1150" s="110"/>
      <c r="AH1150" s="1048"/>
    </row>
    <row r="1151" spans="1:34" x14ac:dyDescent="0.25">
      <c r="A1151" s="1058">
        <v>51107</v>
      </c>
      <c r="B1151" s="187" t="s">
        <v>1026</v>
      </c>
      <c r="C1151" s="110"/>
      <c r="D1151" s="433"/>
      <c r="E1151" s="207"/>
      <c r="F1151" s="433"/>
      <c r="G1151" s="110"/>
      <c r="H1151" s="433"/>
      <c r="I1151" s="111"/>
      <c r="J1151" s="111"/>
      <c r="K1151" s="110"/>
      <c r="L1151" s="110"/>
      <c r="M1151" s="110"/>
      <c r="N1151" s="110"/>
      <c r="O1151" s="110"/>
      <c r="P1151" s="110"/>
      <c r="Q1151" s="433"/>
      <c r="R1151" s="111"/>
      <c r="S1151" s="110"/>
      <c r="T1151" s="110"/>
      <c r="U1151" s="110"/>
      <c r="V1151" s="110"/>
      <c r="W1151" s="433"/>
      <c r="X1151" s="111"/>
      <c r="Y1151" s="110"/>
      <c r="Z1151" s="110"/>
      <c r="AA1151" s="110"/>
      <c r="AB1151" s="110"/>
      <c r="AC1151" s="433"/>
      <c r="AD1151" s="111"/>
      <c r="AE1151" s="110"/>
      <c r="AF1151" s="110"/>
      <c r="AG1151" s="110"/>
      <c r="AH1151" s="1048"/>
    </row>
    <row r="1152" spans="1:34" ht="45" x14ac:dyDescent="0.25">
      <c r="A1152" s="1047"/>
      <c r="B1152" s="110" t="s">
        <v>4281</v>
      </c>
      <c r="C1152" s="110"/>
      <c r="D1152" s="433">
        <v>5</v>
      </c>
      <c r="E1152" s="207" t="s">
        <v>1721</v>
      </c>
      <c r="F1152" s="1178" t="s">
        <v>4353</v>
      </c>
      <c r="G1152" s="1056" t="s">
        <v>4306</v>
      </c>
      <c r="H1152" s="433" t="s">
        <v>3478</v>
      </c>
      <c r="I1152" s="111">
        <v>4059.9999999999991</v>
      </c>
      <c r="J1152" s="111">
        <v>20299.999999999996</v>
      </c>
      <c r="K1152" s="110"/>
      <c r="L1152" s="110"/>
      <c r="M1152" s="110"/>
      <c r="N1152" s="110"/>
      <c r="O1152" s="110"/>
      <c r="P1152" s="110"/>
      <c r="Q1152" s="433">
        <v>2</v>
      </c>
      <c r="R1152" s="111">
        <v>6766.6666666666652</v>
      </c>
      <c r="S1152" s="110"/>
      <c r="T1152" s="110"/>
      <c r="U1152" s="110"/>
      <c r="V1152" s="110"/>
      <c r="W1152" s="433">
        <v>2</v>
      </c>
      <c r="X1152" s="111">
        <v>6766.6666666666652</v>
      </c>
      <c r="Y1152" s="110"/>
      <c r="Z1152" s="110"/>
      <c r="AA1152" s="110"/>
      <c r="AB1152" s="110"/>
      <c r="AC1152" s="433">
        <v>1</v>
      </c>
      <c r="AD1152" s="111">
        <v>6766.6666666666652</v>
      </c>
      <c r="AE1152" s="110"/>
      <c r="AF1152" s="110"/>
      <c r="AG1152" s="110"/>
      <c r="AH1152" s="1048"/>
    </row>
    <row r="1153" spans="1:34" ht="45" x14ac:dyDescent="0.25">
      <c r="A1153" s="1047"/>
      <c r="B1153" s="1057" t="s">
        <v>4299</v>
      </c>
      <c r="C1153" s="110"/>
      <c r="D1153" s="433">
        <v>3</v>
      </c>
      <c r="E1153" s="207" t="s">
        <v>1793</v>
      </c>
      <c r="F1153" s="1178" t="s">
        <v>4353</v>
      </c>
      <c r="G1153" s="1056" t="s">
        <v>4306</v>
      </c>
      <c r="H1153" s="433" t="s">
        <v>3478</v>
      </c>
      <c r="I1153" s="111">
        <v>1207.22</v>
      </c>
      <c r="J1153" s="111">
        <v>3621.66</v>
      </c>
      <c r="K1153" s="110"/>
      <c r="L1153" s="110"/>
      <c r="M1153" s="110"/>
      <c r="N1153" s="110"/>
      <c r="O1153" s="110"/>
      <c r="P1153" s="110"/>
      <c r="Q1153" s="433">
        <v>1</v>
      </c>
      <c r="R1153" s="111">
        <v>1207.22</v>
      </c>
      <c r="S1153" s="110"/>
      <c r="T1153" s="110"/>
      <c r="U1153" s="110"/>
      <c r="V1153" s="110"/>
      <c r="W1153" s="433">
        <v>1</v>
      </c>
      <c r="X1153" s="111">
        <v>1207.22</v>
      </c>
      <c r="Y1153" s="110"/>
      <c r="Z1153" s="110"/>
      <c r="AA1153" s="110"/>
      <c r="AB1153" s="110"/>
      <c r="AC1153" s="433">
        <v>1</v>
      </c>
      <c r="AD1153" s="111">
        <v>1207.22</v>
      </c>
      <c r="AE1153" s="110"/>
      <c r="AF1153" s="110"/>
      <c r="AG1153" s="110"/>
      <c r="AH1153" s="1048"/>
    </row>
    <row r="1154" spans="1:34" ht="45" x14ac:dyDescent="0.25">
      <c r="A1154" s="1047"/>
      <c r="B1154" s="1057" t="s">
        <v>4300</v>
      </c>
      <c r="C1154" s="110"/>
      <c r="D1154" s="433">
        <v>2</v>
      </c>
      <c r="E1154" s="207" t="s">
        <v>1793</v>
      </c>
      <c r="F1154" s="1178" t="s">
        <v>4353</v>
      </c>
      <c r="G1154" s="1056" t="s">
        <v>4306</v>
      </c>
      <c r="H1154" s="433" t="s">
        <v>3478</v>
      </c>
      <c r="I1154" s="111">
        <v>3615.84</v>
      </c>
      <c r="J1154" s="111">
        <v>7231.68</v>
      </c>
      <c r="K1154" s="110"/>
      <c r="L1154" s="110"/>
      <c r="M1154" s="110"/>
      <c r="N1154" s="110"/>
      <c r="O1154" s="110"/>
      <c r="P1154" s="110"/>
      <c r="Q1154" s="433">
        <v>1</v>
      </c>
      <c r="R1154" s="111">
        <v>2410.56</v>
      </c>
      <c r="S1154" s="110"/>
      <c r="T1154" s="110"/>
      <c r="U1154" s="110"/>
      <c r="V1154" s="110"/>
      <c r="W1154" s="433">
        <v>1</v>
      </c>
      <c r="X1154" s="111">
        <v>2410.56</v>
      </c>
      <c r="Y1154" s="110"/>
      <c r="Z1154" s="110"/>
      <c r="AA1154" s="110"/>
      <c r="AB1154" s="110"/>
      <c r="AC1154" s="433">
        <v>0</v>
      </c>
      <c r="AD1154" s="111">
        <v>2410.56</v>
      </c>
      <c r="AE1154" s="110"/>
      <c r="AF1154" s="110"/>
      <c r="AG1154" s="110"/>
      <c r="AH1154" s="1048"/>
    </row>
    <row r="1155" spans="1:34" ht="45" x14ac:dyDescent="0.25">
      <c r="A1155" s="1047"/>
      <c r="B1155" s="110" t="s">
        <v>4301</v>
      </c>
      <c r="C1155" s="110"/>
      <c r="D1155" s="433">
        <v>1</v>
      </c>
      <c r="E1155" s="207" t="s">
        <v>1793</v>
      </c>
      <c r="F1155" s="1178" t="s">
        <v>4353</v>
      </c>
      <c r="G1155" s="1056" t="s">
        <v>4306</v>
      </c>
      <c r="H1155" s="433" t="s">
        <v>3478</v>
      </c>
      <c r="I1155" s="111">
        <v>1000</v>
      </c>
      <c r="J1155" s="111">
        <v>1000</v>
      </c>
      <c r="K1155" s="110"/>
      <c r="L1155" s="110"/>
      <c r="M1155" s="110"/>
      <c r="N1155" s="110"/>
      <c r="O1155" s="110"/>
      <c r="P1155" s="110"/>
      <c r="Q1155" s="433">
        <v>1</v>
      </c>
      <c r="R1155" s="111">
        <v>333.33333333333331</v>
      </c>
      <c r="S1155" s="110"/>
      <c r="T1155" s="110"/>
      <c r="U1155" s="110"/>
      <c r="V1155" s="110"/>
      <c r="W1155" s="433">
        <v>0</v>
      </c>
      <c r="X1155" s="111">
        <v>333.33333333333331</v>
      </c>
      <c r="Y1155" s="110"/>
      <c r="Z1155" s="110"/>
      <c r="AA1155" s="110"/>
      <c r="AB1155" s="110"/>
      <c r="AC1155" s="433">
        <v>0</v>
      </c>
      <c r="AD1155" s="111">
        <v>333.33333333333331</v>
      </c>
      <c r="AE1155" s="110"/>
      <c r="AF1155" s="110"/>
      <c r="AG1155" s="110"/>
      <c r="AH1155" s="1048"/>
    </row>
    <row r="1156" spans="1:34" ht="45" x14ac:dyDescent="0.25">
      <c r="A1156" s="1047"/>
      <c r="B1156" s="110" t="s">
        <v>4280</v>
      </c>
      <c r="C1156" s="110"/>
      <c r="D1156" s="433">
        <v>20</v>
      </c>
      <c r="E1156" s="207" t="s">
        <v>1793</v>
      </c>
      <c r="F1156" s="1178" t="s">
        <v>4353</v>
      </c>
      <c r="G1156" s="1056" t="s">
        <v>4306</v>
      </c>
      <c r="H1156" s="433" t="s">
        <v>3478</v>
      </c>
      <c r="I1156" s="111">
        <v>3248</v>
      </c>
      <c r="J1156" s="111">
        <v>64960</v>
      </c>
      <c r="K1156" s="110"/>
      <c r="L1156" s="110"/>
      <c r="M1156" s="110"/>
      <c r="N1156" s="110"/>
      <c r="O1156" s="110"/>
      <c r="P1156" s="110"/>
      <c r="Q1156" s="433">
        <v>10</v>
      </c>
      <c r="R1156" s="111"/>
      <c r="S1156" s="110"/>
      <c r="T1156" s="110"/>
      <c r="U1156" s="110"/>
      <c r="V1156" s="110"/>
      <c r="W1156" s="433">
        <v>5</v>
      </c>
      <c r="X1156" s="111"/>
      <c r="Y1156" s="110"/>
      <c r="Z1156" s="110"/>
      <c r="AA1156" s="110"/>
      <c r="AB1156" s="110"/>
      <c r="AC1156" s="433">
        <v>5</v>
      </c>
      <c r="AD1156" s="111"/>
      <c r="AE1156" s="110"/>
      <c r="AF1156" s="110"/>
      <c r="AG1156" s="110"/>
      <c r="AH1156" s="1048"/>
    </row>
    <row r="1157" spans="1:34" x14ac:dyDescent="0.25">
      <c r="A1157" s="1058">
        <v>51201</v>
      </c>
      <c r="B1157" s="187" t="s">
        <v>4282</v>
      </c>
      <c r="C1157" s="110"/>
      <c r="D1157" s="433"/>
      <c r="E1157" s="207"/>
      <c r="F1157" s="1178"/>
      <c r="G1157" s="110"/>
      <c r="H1157" s="433"/>
      <c r="I1157" s="111"/>
      <c r="J1157" s="111"/>
      <c r="K1157" s="110"/>
      <c r="L1157" s="110"/>
      <c r="M1157" s="110"/>
      <c r="N1157" s="110"/>
      <c r="O1157" s="110"/>
      <c r="P1157" s="110"/>
      <c r="Q1157" s="433"/>
      <c r="R1157" s="111"/>
      <c r="S1157" s="110"/>
      <c r="T1157" s="110"/>
      <c r="U1157" s="110"/>
      <c r="V1157" s="110"/>
      <c r="W1157" s="433"/>
      <c r="X1157" s="111"/>
      <c r="Y1157" s="110"/>
      <c r="Z1157" s="110"/>
      <c r="AA1157" s="110"/>
      <c r="AB1157" s="110"/>
      <c r="AC1157" s="433"/>
      <c r="AD1157" s="111"/>
      <c r="AE1157" s="110"/>
      <c r="AF1157" s="110"/>
      <c r="AG1157" s="110"/>
      <c r="AH1157" s="1048"/>
    </row>
    <row r="1158" spans="1:34" ht="45" x14ac:dyDescent="0.25">
      <c r="A1158" s="1047"/>
      <c r="B1158" s="110" t="s">
        <v>4283</v>
      </c>
      <c r="C1158" s="110"/>
      <c r="D1158" s="433">
        <v>2</v>
      </c>
      <c r="E1158" s="207" t="s">
        <v>1776</v>
      </c>
      <c r="F1158" s="1178" t="s">
        <v>4353</v>
      </c>
      <c r="G1158" s="1056" t="s">
        <v>4306</v>
      </c>
      <c r="H1158" s="433" t="s">
        <v>3478</v>
      </c>
      <c r="I1158" s="111">
        <v>23200</v>
      </c>
      <c r="J1158" s="111">
        <v>46400</v>
      </c>
      <c r="K1158" s="110"/>
      <c r="L1158" s="110"/>
      <c r="M1158" s="110"/>
      <c r="N1158" s="110"/>
      <c r="O1158" s="110"/>
      <c r="P1158" s="110"/>
      <c r="Q1158" s="433">
        <v>1</v>
      </c>
      <c r="R1158" s="111">
        <v>15466.666666666666</v>
      </c>
      <c r="S1158" s="110"/>
      <c r="T1158" s="110"/>
      <c r="U1158" s="110"/>
      <c r="V1158" s="110"/>
      <c r="W1158" s="433">
        <v>1</v>
      </c>
      <c r="X1158" s="111">
        <v>15466.666666666666</v>
      </c>
      <c r="Y1158" s="110"/>
      <c r="Z1158" s="110"/>
      <c r="AA1158" s="110"/>
      <c r="AB1158" s="110"/>
      <c r="AC1158" s="433">
        <v>0</v>
      </c>
      <c r="AD1158" s="111">
        <v>15466.666666666666</v>
      </c>
      <c r="AE1158" s="110"/>
      <c r="AF1158" s="110"/>
      <c r="AG1158" s="110"/>
      <c r="AH1158" s="1048"/>
    </row>
    <row r="1159" spans="1:34" ht="45" x14ac:dyDescent="0.25">
      <c r="A1159" s="1047"/>
      <c r="B1159" s="110" t="s">
        <v>4284</v>
      </c>
      <c r="C1159" s="110"/>
      <c r="D1159" s="433">
        <v>1</v>
      </c>
      <c r="E1159" s="207" t="s">
        <v>1721</v>
      </c>
      <c r="F1159" s="1178" t="s">
        <v>4353</v>
      </c>
      <c r="G1159" s="1056" t="s">
        <v>4306</v>
      </c>
      <c r="H1159" s="433" t="s">
        <v>3478</v>
      </c>
      <c r="I1159" s="111">
        <v>14731.999999999998</v>
      </c>
      <c r="J1159" s="111">
        <v>14731.999999999998</v>
      </c>
      <c r="K1159" s="110"/>
      <c r="L1159" s="110"/>
      <c r="M1159" s="110"/>
      <c r="N1159" s="110"/>
      <c r="O1159" s="110"/>
      <c r="P1159" s="110"/>
      <c r="Q1159" s="433">
        <v>1</v>
      </c>
      <c r="R1159" s="111">
        <v>4910.6666666666661</v>
      </c>
      <c r="S1159" s="110"/>
      <c r="T1159" s="110"/>
      <c r="U1159" s="110"/>
      <c r="V1159" s="110"/>
      <c r="W1159" s="433">
        <v>0</v>
      </c>
      <c r="X1159" s="111">
        <v>4910.6666666666661</v>
      </c>
      <c r="Y1159" s="110"/>
      <c r="Z1159" s="110"/>
      <c r="AA1159" s="110"/>
      <c r="AB1159" s="110"/>
      <c r="AC1159" s="433">
        <v>0</v>
      </c>
      <c r="AD1159" s="111">
        <v>4910.6666666666661</v>
      </c>
      <c r="AE1159" s="110"/>
      <c r="AF1159" s="110"/>
      <c r="AG1159" s="110"/>
      <c r="AH1159" s="1048"/>
    </row>
    <row r="1160" spans="1:34" x14ac:dyDescent="0.25">
      <c r="A1160" s="1047"/>
      <c r="B1160" s="110"/>
      <c r="C1160" s="110"/>
      <c r="D1160" s="433"/>
      <c r="E1160" s="207"/>
      <c r="F1160" s="433"/>
      <c r="G1160" s="110"/>
      <c r="H1160" s="433"/>
      <c r="I1160" s="111"/>
      <c r="J1160" s="111"/>
      <c r="K1160" s="110"/>
      <c r="L1160" s="110"/>
      <c r="M1160" s="110"/>
      <c r="N1160" s="110"/>
      <c r="O1160" s="110"/>
      <c r="P1160" s="110"/>
      <c r="Q1160" s="433"/>
      <c r="R1160" s="111"/>
      <c r="S1160" s="110"/>
      <c r="T1160" s="110"/>
      <c r="U1160" s="110"/>
      <c r="V1160" s="110"/>
      <c r="W1160" s="433"/>
      <c r="X1160" s="111"/>
      <c r="Y1160" s="110"/>
      <c r="Z1160" s="110"/>
      <c r="AA1160" s="110"/>
      <c r="AB1160" s="110"/>
      <c r="AC1160" s="433"/>
      <c r="AD1160" s="111"/>
      <c r="AE1160" s="110"/>
      <c r="AF1160" s="110"/>
      <c r="AG1160" s="110"/>
      <c r="AH1160" s="1048"/>
    </row>
    <row r="1161" spans="1:34" x14ac:dyDescent="0.25">
      <c r="A1161" s="1058">
        <v>51503</v>
      </c>
      <c r="B1161" s="187" t="s">
        <v>4285</v>
      </c>
      <c r="C1161" s="110"/>
      <c r="D1161" s="433"/>
      <c r="E1161" s="207"/>
      <c r="F1161" s="433"/>
      <c r="G1161" s="110"/>
      <c r="H1161" s="433"/>
      <c r="I1161" s="111"/>
      <c r="J1161" s="111"/>
      <c r="K1161" s="110"/>
      <c r="L1161" s="110"/>
      <c r="M1161" s="110"/>
      <c r="N1161" s="110"/>
      <c r="O1161" s="110"/>
      <c r="P1161" s="110"/>
      <c r="Q1161" s="433"/>
      <c r="R1161" s="111"/>
      <c r="S1161" s="110"/>
      <c r="T1161" s="110"/>
      <c r="U1161" s="110"/>
      <c r="V1161" s="110"/>
      <c r="W1161" s="433"/>
      <c r="X1161" s="111"/>
      <c r="Y1161" s="110"/>
      <c r="Z1161" s="110"/>
      <c r="AA1161" s="110"/>
      <c r="AB1161" s="110"/>
      <c r="AC1161" s="433"/>
      <c r="AD1161" s="111"/>
      <c r="AE1161" s="110"/>
      <c r="AF1161" s="110"/>
      <c r="AG1161" s="110"/>
      <c r="AH1161" s="1048"/>
    </row>
    <row r="1162" spans="1:34" ht="45" x14ac:dyDescent="0.25">
      <c r="A1162" s="1047"/>
      <c r="B1162" s="110" t="s">
        <v>4286</v>
      </c>
      <c r="C1162" s="110"/>
      <c r="D1162" s="433">
        <v>1</v>
      </c>
      <c r="E1162" s="207" t="s">
        <v>1721</v>
      </c>
      <c r="F1162" s="1178" t="s">
        <v>4353</v>
      </c>
      <c r="G1162" s="1056" t="s">
        <v>4306</v>
      </c>
      <c r="H1162" s="433" t="s">
        <v>3478</v>
      </c>
      <c r="I1162" s="111">
        <v>9280</v>
      </c>
      <c r="J1162" s="111">
        <v>9280</v>
      </c>
      <c r="K1162" s="110"/>
      <c r="L1162" s="110"/>
      <c r="M1162" s="110"/>
      <c r="N1162" s="110"/>
      <c r="O1162" s="110"/>
      <c r="P1162" s="110"/>
      <c r="Q1162" s="433">
        <v>1</v>
      </c>
      <c r="R1162" s="111">
        <v>3093.3333333333335</v>
      </c>
      <c r="S1162" s="110"/>
      <c r="T1162" s="110"/>
      <c r="U1162" s="110"/>
      <c r="V1162" s="110"/>
      <c r="W1162" s="433">
        <v>0</v>
      </c>
      <c r="X1162" s="111">
        <v>3093.3333333333335</v>
      </c>
      <c r="Y1162" s="110"/>
      <c r="Z1162" s="110"/>
      <c r="AA1162" s="110"/>
      <c r="AB1162" s="110"/>
      <c r="AC1162" s="433">
        <v>0</v>
      </c>
      <c r="AD1162" s="111">
        <v>3093.3333333333335</v>
      </c>
      <c r="AE1162" s="110"/>
      <c r="AF1162" s="110"/>
      <c r="AG1162" s="110"/>
      <c r="AH1162" s="1048"/>
    </row>
    <row r="1163" spans="1:34" x14ac:dyDescent="0.25">
      <c r="A1163" s="1047"/>
      <c r="B1163" s="110"/>
      <c r="C1163" s="110"/>
      <c r="D1163" s="433"/>
      <c r="E1163" s="207"/>
      <c r="F1163" s="433"/>
      <c r="G1163" s="110"/>
      <c r="H1163" s="433"/>
      <c r="I1163" s="111"/>
      <c r="J1163" s="111"/>
      <c r="K1163" s="110"/>
      <c r="L1163" s="110"/>
      <c r="M1163" s="110"/>
      <c r="N1163" s="110"/>
      <c r="O1163" s="110"/>
      <c r="P1163" s="110"/>
      <c r="Q1163" s="433"/>
      <c r="R1163" s="111"/>
      <c r="S1163" s="110"/>
      <c r="T1163" s="110"/>
      <c r="U1163" s="110"/>
      <c r="V1163" s="110"/>
      <c r="W1163" s="433"/>
      <c r="X1163" s="111"/>
      <c r="Y1163" s="110"/>
      <c r="Z1163" s="110"/>
      <c r="AA1163" s="110"/>
      <c r="AB1163" s="110"/>
      <c r="AC1163" s="433"/>
      <c r="AD1163" s="111"/>
      <c r="AE1163" s="110"/>
      <c r="AF1163" s="110"/>
      <c r="AG1163" s="110"/>
      <c r="AH1163" s="1048"/>
    </row>
    <row r="1164" spans="1:34" ht="45" x14ac:dyDescent="0.25">
      <c r="A1164" s="1047"/>
      <c r="B1164" s="1057" t="s">
        <v>4302</v>
      </c>
      <c r="C1164" s="110"/>
      <c r="D1164" s="433">
        <v>1</v>
      </c>
      <c r="E1164" s="207" t="s">
        <v>1767</v>
      </c>
      <c r="F1164" s="1178" t="s">
        <v>4353</v>
      </c>
      <c r="G1164" s="1056" t="s">
        <v>4306</v>
      </c>
      <c r="H1164" s="433" t="s">
        <v>3478</v>
      </c>
      <c r="I1164" s="111">
        <v>20200.72</v>
      </c>
      <c r="J1164" s="111">
        <v>20200.72</v>
      </c>
      <c r="K1164" s="110"/>
      <c r="L1164" s="110"/>
      <c r="M1164" s="110"/>
      <c r="N1164" s="110"/>
      <c r="O1164" s="110"/>
      <c r="P1164" s="110"/>
      <c r="Q1164" s="433">
        <v>1</v>
      </c>
      <c r="R1164" s="111">
        <v>6733.5733333333337</v>
      </c>
      <c r="S1164" s="110"/>
      <c r="T1164" s="110"/>
      <c r="U1164" s="110"/>
      <c r="V1164" s="110"/>
      <c r="W1164" s="433">
        <v>0</v>
      </c>
      <c r="X1164" s="111">
        <v>6733.5733333333337</v>
      </c>
      <c r="Y1164" s="110"/>
      <c r="Z1164" s="110"/>
      <c r="AA1164" s="110"/>
      <c r="AB1164" s="110"/>
      <c r="AC1164" s="433">
        <v>0</v>
      </c>
      <c r="AD1164" s="111">
        <v>6733.5733333333337</v>
      </c>
      <c r="AE1164" s="110"/>
      <c r="AF1164" s="110"/>
      <c r="AG1164" s="110"/>
      <c r="AH1164" s="1048"/>
    </row>
    <row r="1165" spans="1:34" x14ac:dyDescent="0.25">
      <c r="A1165" s="1047"/>
      <c r="B1165" s="110"/>
      <c r="C1165" s="110"/>
      <c r="D1165" s="433"/>
      <c r="E1165" s="207"/>
      <c r="F1165" s="433"/>
      <c r="G1165" s="110"/>
      <c r="H1165" s="433"/>
      <c r="I1165" s="111"/>
      <c r="J1165" s="111"/>
      <c r="K1165" s="110"/>
      <c r="L1165" s="110"/>
      <c r="M1165" s="110"/>
      <c r="N1165" s="110"/>
      <c r="O1165" s="110"/>
      <c r="P1165" s="110"/>
      <c r="Q1165" s="433"/>
      <c r="R1165" s="111"/>
      <c r="S1165" s="110"/>
      <c r="T1165" s="110"/>
      <c r="U1165" s="110"/>
      <c r="V1165" s="110"/>
      <c r="W1165" s="433"/>
      <c r="X1165" s="111"/>
      <c r="Y1165" s="110"/>
      <c r="Z1165" s="110"/>
      <c r="AA1165" s="110"/>
      <c r="AB1165" s="110"/>
      <c r="AC1165" s="433"/>
      <c r="AD1165" s="111"/>
      <c r="AE1165" s="110"/>
      <c r="AF1165" s="110"/>
      <c r="AG1165" s="110"/>
      <c r="AH1165" s="1048"/>
    </row>
    <row r="1166" spans="1:34" x14ac:dyDescent="0.25">
      <c r="A1166" s="1058">
        <v>51903</v>
      </c>
      <c r="B1166" s="187" t="s">
        <v>1390</v>
      </c>
      <c r="C1166" s="110"/>
      <c r="D1166" s="433"/>
      <c r="E1166" s="207"/>
      <c r="F1166" s="433"/>
      <c r="G1166" s="110"/>
      <c r="H1166" s="433"/>
      <c r="I1166" s="111"/>
      <c r="J1166" s="111"/>
      <c r="K1166" s="110"/>
      <c r="L1166" s="110"/>
      <c r="M1166" s="110"/>
      <c r="N1166" s="110"/>
      <c r="O1166" s="110"/>
      <c r="P1166" s="110"/>
      <c r="Q1166" s="433"/>
      <c r="R1166" s="111"/>
      <c r="S1166" s="110"/>
      <c r="T1166" s="110"/>
      <c r="U1166" s="110"/>
      <c r="V1166" s="110"/>
      <c r="W1166" s="433"/>
      <c r="X1166" s="111"/>
      <c r="Y1166" s="110"/>
      <c r="Z1166" s="110"/>
      <c r="AA1166" s="110"/>
      <c r="AB1166" s="110"/>
      <c r="AC1166" s="433"/>
      <c r="AD1166" s="111"/>
      <c r="AE1166" s="110"/>
      <c r="AF1166" s="110"/>
      <c r="AG1166" s="110"/>
      <c r="AH1166" s="1048"/>
    </row>
    <row r="1167" spans="1:34" ht="45" x14ac:dyDescent="0.25">
      <c r="A1167" s="1047"/>
      <c r="B1167" s="110" t="s">
        <v>4287</v>
      </c>
      <c r="C1167" s="110"/>
      <c r="D1167" s="433">
        <v>1</v>
      </c>
      <c r="E1167" s="207" t="s">
        <v>1776</v>
      </c>
      <c r="F1167" s="1178" t="s">
        <v>4353</v>
      </c>
      <c r="G1167" s="1056" t="s">
        <v>4306</v>
      </c>
      <c r="H1167" s="433" t="s">
        <v>3478</v>
      </c>
      <c r="I1167" s="111">
        <v>40000</v>
      </c>
      <c r="J1167" s="111">
        <v>40000</v>
      </c>
      <c r="K1167" s="110"/>
      <c r="L1167" s="110"/>
      <c r="M1167" s="110"/>
      <c r="N1167" s="110"/>
      <c r="O1167" s="110"/>
      <c r="P1167" s="110"/>
      <c r="Q1167" s="433">
        <v>1</v>
      </c>
      <c r="R1167" s="111">
        <v>13333.333333333334</v>
      </c>
      <c r="S1167" s="110"/>
      <c r="T1167" s="110"/>
      <c r="U1167" s="110"/>
      <c r="V1167" s="110"/>
      <c r="W1167" s="433">
        <v>0</v>
      </c>
      <c r="X1167" s="111">
        <v>13333.333333333334</v>
      </c>
      <c r="Y1167" s="110"/>
      <c r="Z1167" s="110"/>
      <c r="AA1167" s="110"/>
      <c r="AB1167" s="110"/>
      <c r="AC1167" s="433">
        <v>0</v>
      </c>
      <c r="AD1167" s="111">
        <v>13333.333333333334</v>
      </c>
      <c r="AE1167" s="110"/>
      <c r="AF1167" s="110"/>
      <c r="AG1167" s="110"/>
      <c r="AH1167" s="1048"/>
    </row>
    <row r="1168" spans="1:34" x14ac:dyDescent="0.25">
      <c r="A1168" s="1047"/>
      <c r="B1168" s="110"/>
      <c r="C1168" s="110"/>
      <c r="D1168" s="433"/>
      <c r="E1168" s="207"/>
      <c r="F1168" s="433"/>
      <c r="G1168" s="110"/>
      <c r="H1168" s="433"/>
      <c r="I1168" s="111"/>
      <c r="J1168" s="111"/>
      <c r="K1168" s="110"/>
      <c r="L1168" s="110"/>
      <c r="M1168" s="110"/>
      <c r="N1168" s="110"/>
      <c r="O1168" s="110"/>
      <c r="P1168" s="110"/>
      <c r="Q1168" s="433"/>
      <c r="R1168" s="111"/>
      <c r="S1168" s="110"/>
      <c r="T1168" s="110"/>
      <c r="U1168" s="110"/>
      <c r="V1168" s="110"/>
      <c r="W1168" s="433"/>
      <c r="X1168" s="111"/>
      <c r="Y1168" s="110"/>
      <c r="Z1168" s="110"/>
      <c r="AA1168" s="110"/>
      <c r="AB1168" s="110"/>
      <c r="AC1168" s="433"/>
      <c r="AD1168" s="111"/>
      <c r="AE1168" s="110"/>
      <c r="AF1168" s="110"/>
      <c r="AG1168" s="110"/>
      <c r="AH1168" s="1048"/>
    </row>
    <row r="1169" spans="1:36" ht="16.5" thickBot="1" x14ac:dyDescent="0.3">
      <c r="A1169" s="1049"/>
      <c r="B1169" s="1347" t="s">
        <v>1070</v>
      </c>
      <c r="C1169" s="1348"/>
      <c r="D1169" s="1348"/>
      <c r="E1169" s="1348"/>
      <c r="F1169" s="1348"/>
      <c r="G1169" s="1348"/>
      <c r="H1169" s="1349"/>
      <c r="I1169" s="1054"/>
      <c r="J1169" s="1055">
        <v>94109400</v>
      </c>
      <c r="K1169" s="1050"/>
      <c r="L1169" s="1050"/>
      <c r="M1169" s="1050"/>
      <c r="N1169" s="1050"/>
      <c r="O1169" s="1050"/>
      <c r="P1169" s="1050"/>
      <c r="Q1169" s="1051"/>
      <c r="R1169" s="1054">
        <v>31369800</v>
      </c>
      <c r="S1169" s="1050"/>
      <c r="T1169" s="1050"/>
      <c r="U1169" s="1050"/>
      <c r="V1169" s="1050"/>
      <c r="W1169" s="1051"/>
      <c r="X1169" s="1054">
        <v>31369800</v>
      </c>
      <c r="Y1169" s="1050"/>
      <c r="Z1169" s="1050"/>
      <c r="AA1169" s="1050"/>
      <c r="AB1169" s="1050"/>
      <c r="AC1169" s="1051"/>
      <c r="AD1169" s="1054">
        <v>31369800</v>
      </c>
      <c r="AE1169" s="1050"/>
      <c r="AF1169" s="1050"/>
      <c r="AG1169" s="1050"/>
      <c r="AH1169" s="1052"/>
      <c r="AJ1169" s="1181">
        <f>R1169+X1169+AD1169</f>
        <v>94109400</v>
      </c>
    </row>
  </sheetData>
  <mergeCells count="30">
    <mergeCell ref="A6:A9"/>
    <mergeCell ref="B6:B9"/>
    <mergeCell ref="C6:C9"/>
    <mergeCell ref="D6:D9"/>
    <mergeCell ref="E6:E9"/>
    <mergeCell ref="AE6:AF8"/>
    <mergeCell ref="AG6:AH8"/>
    <mergeCell ref="Q6:R6"/>
    <mergeCell ref="W6:X6"/>
    <mergeCell ref="AC6:AD6"/>
    <mergeCell ref="S6:T8"/>
    <mergeCell ref="U6:V8"/>
    <mergeCell ref="Y6:Z8"/>
    <mergeCell ref="Q7:Q9"/>
    <mergeCell ref="R7:R9"/>
    <mergeCell ref="W7:W9"/>
    <mergeCell ref="X7:X9"/>
    <mergeCell ref="AC7:AC9"/>
    <mergeCell ref="AD7:AD9"/>
    <mergeCell ref="B1169:H1169"/>
    <mergeCell ref="C1:J4"/>
    <mergeCell ref="AA6:AB8"/>
    <mergeCell ref="O6:P8"/>
    <mergeCell ref="G6:G9"/>
    <mergeCell ref="H6:H9"/>
    <mergeCell ref="I6:I9"/>
    <mergeCell ref="J6:J9"/>
    <mergeCell ref="K6:L8"/>
    <mergeCell ref="M6:N8"/>
    <mergeCell ref="F6:F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231"/>
  <sheetViews>
    <sheetView topLeftCell="A133" zoomScale="80" zoomScaleNormal="80" workbookViewId="0">
      <selection activeCell="G11" sqref="G11"/>
    </sheetView>
  </sheetViews>
  <sheetFormatPr baseColWidth="10" defaultRowHeight="15" x14ac:dyDescent="0.25"/>
  <cols>
    <col min="1" max="1" width="15.7109375" customWidth="1"/>
    <col min="2" max="2" width="49.42578125" style="969" customWidth="1"/>
    <col min="3" max="3" width="19.85546875" style="969" customWidth="1"/>
    <col min="4" max="4" width="14" style="223" customWidth="1"/>
    <col min="5" max="5" width="11.42578125" style="223" customWidth="1"/>
    <col min="6" max="7" width="17" style="223" customWidth="1"/>
    <col min="8" max="8" width="20.85546875" style="223" customWidth="1"/>
    <col min="10" max="10" width="19.28515625" customWidth="1"/>
    <col min="11" max="11" width="0" hidden="1" customWidth="1"/>
    <col min="12" max="12" width="15.140625" style="106" hidden="1" customWidth="1"/>
    <col min="13" max="16" width="0" hidden="1" customWidth="1"/>
    <col min="17" max="17" width="15.28515625" style="223" customWidth="1"/>
    <col min="18" max="18" width="17.42578125" style="223" bestFit="1" customWidth="1"/>
    <col min="19" max="19" width="14.7109375" style="223" customWidth="1"/>
    <col min="20" max="20" width="17.42578125" style="165" bestFit="1" customWidth="1"/>
    <col min="21" max="21" width="14.140625" style="223" customWidth="1"/>
    <col min="22" max="22" width="17.42578125" style="223" bestFit="1" customWidth="1"/>
    <col min="23" max="23" width="14" style="223" customWidth="1"/>
    <col min="24" max="24" width="17.42578125" style="223" bestFit="1" customWidth="1"/>
    <col min="25" max="25" width="14.7109375" style="223" customWidth="1"/>
    <col min="26" max="26" width="17.42578125" style="223" bestFit="1" customWidth="1"/>
    <col min="27" max="27" width="11.42578125" style="223"/>
    <col min="28" max="28" width="17.42578125" style="223" bestFit="1" customWidth="1"/>
    <col min="29" max="29" width="11.42578125" style="223"/>
    <col min="30" max="30" width="17.42578125" bestFit="1" customWidth="1"/>
    <col min="31" max="31" width="11.42578125" style="223" customWidth="1"/>
    <col min="32" max="32" width="17.42578125" bestFit="1" customWidth="1"/>
    <col min="33" max="33" width="11.42578125" customWidth="1"/>
    <col min="34" max="34" width="17.42578125" bestFit="1" customWidth="1"/>
    <col min="35" max="35" width="20.42578125" style="106" bestFit="1" customWidth="1"/>
  </cols>
  <sheetData>
    <row r="1" spans="1:35" ht="15" customHeight="1" x14ac:dyDescent="0.25">
      <c r="D1" s="1380" t="s">
        <v>3461</v>
      </c>
      <c r="E1" s="1380"/>
      <c r="F1" s="1380"/>
      <c r="G1" s="1380"/>
      <c r="H1" s="1380"/>
      <c r="I1" s="1380"/>
      <c r="J1" s="1380"/>
      <c r="K1" s="1380"/>
      <c r="L1" s="1380"/>
      <c r="M1" s="1380"/>
      <c r="N1" s="1380"/>
      <c r="O1" s="1380"/>
      <c r="P1" s="1380"/>
      <c r="Q1" s="1380"/>
      <c r="R1" s="1380"/>
      <c r="S1" s="1380"/>
      <c r="T1" s="1380"/>
      <c r="U1" s="1380"/>
      <c r="V1" s="1380"/>
      <c r="W1" s="1176"/>
      <c r="X1" s="1176"/>
    </row>
    <row r="2" spans="1:35" ht="15" customHeight="1" x14ac:dyDescent="0.25">
      <c r="D2" s="1380"/>
      <c r="E2" s="1380"/>
      <c r="F2" s="1380"/>
      <c r="G2" s="1380"/>
      <c r="H2" s="1380"/>
      <c r="I2" s="1380"/>
      <c r="J2" s="1380"/>
      <c r="K2" s="1380"/>
      <c r="L2" s="1380"/>
      <c r="M2" s="1380"/>
      <c r="N2" s="1380"/>
      <c r="O2" s="1380"/>
      <c r="P2" s="1380"/>
      <c r="Q2" s="1380"/>
      <c r="R2" s="1380"/>
      <c r="S2" s="1380"/>
      <c r="T2" s="1380"/>
      <c r="U2" s="1380"/>
      <c r="V2" s="1380"/>
      <c r="W2" s="1176"/>
      <c r="X2" s="1176"/>
    </row>
    <row r="3" spans="1:35" ht="15" customHeight="1" x14ac:dyDescent="0.25">
      <c r="D3" s="1380"/>
      <c r="E3" s="1380"/>
      <c r="F3" s="1380"/>
      <c r="G3" s="1380"/>
      <c r="H3" s="1380"/>
      <c r="I3" s="1380"/>
      <c r="J3" s="1380"/>
      <c r="K3" s="1380"/>
      <c r="L3" s="1380"/>
      <c r="M3" s="1380"/>
      <c r="N3" s="1380"/>
      <c r="O3" s="1380"/>
      <c r="P3" s="1380"/>
      <c r="Q3" s="1380"/>
      <c r="R3" s="1380"/>
      <c r="S3" s="1380"/>
      <c r="T3" s="1380"/>
      <c r="U3" s="1380"/>
      <c r="V3" s="1380"/>
      <c r="W3" s="1176"/>
      <c r="X3" s="1176"/>
    </row>
    <row r="4" spans="1:35" ht="15" customHeight="1" x14ac:dyDescent="0.25"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  <c r="O4" s="1381"/>
      <c r="P4" s="1381"/>
      <c r="Q4" s="1381"/>
      <c r="R4" s="1381"/>
      <c r="S4" s="1381"/>
      <c r="T4" s="1381"/>
      <c r="U4" s="1381"/>
      <c r="V4" s="1381"/>
      <c r="W4" s="1177"/>
      <c r="X4" s="1177"/>
    </row>
    <row r="5" spans="1:35" ht="15" customHeight="1" x14ac:dyDescent="0.25">
      <c r="A5" s="1341" t="s">
        <v>0</v>
      </c>
      <c r="B5" s="1341" t="s">
        <v>1</v>
      </c>
      <c r="C5" s="1341" t="s">
        <v>2</v>
      </c>
      <c r="D5" s="1341" t="s">
        <v>3</v>
      </c>
      <c r="E5" s="1341" t="s">
        <v>4</v>
      </c>
      <c r="F5" s="1341" t="s">
        <v>5</v>
      </c>
      <c r="G5" s="1341" t="s">
        <v>6</v>
      </c>
      <c r="H5" s="1331" t="s">
        <v>7</v>
      </c>
      <c r="I5" s="1331" t="s">
        <v>8</v>
      </c>
      <c r="J5" s="1336" t="s">
        <v>9</v>
      </c>
      <c r="K5" s="1378" t="s">
        <v>3452</v>
      </c>
      <c r="L5" s="1378"/>
      <c r="M5" s="1378" t="s">
        <v>3368</v>
      </c>
      <c r="N5" s="1378"/>
      <c r="O5" s="1378" t="s">
        <v>3372</v>
      </c>
      <c r="P5" s="1378"/>
      <c r="Q5" s="1378" t="s">
        <v>3455</v>
      </c>
      <c r="R5" s="1378"/>
      <c r="S5" s="1378" t="s">
        <v>3369</v>
      </c>
      <c r="T5" s="1378"/>
      <c r="U5" s="1378" t="s">
        <v>3456</v>
      </c>
      <c r="V5" s="1378"/>
      <c r="W5" s="1378" t="s">
        <v>3457</v>
      </c>
      <c r="X5" s="1378"/>
      <c r="Y5" s="1378" t="s">
        <v>3370</v>
      </c>
      <c r="Z5" s="1378"/>
      <c r="AA5" s="1378" t="s">
        <v>3458</v>
      </c>
      <c r="AB5" s="1378"/>
      <c r="AC5" s="1378" t="s">
        <v>3371</v>
      </c>
      <c r="AD5" s="1378"/>
      <c r="AE5" s="1378" t="s">
        <v>3453</v>
      </c>
      <c r="AF5" s="1378"/>
      <c r="AG5" s="1378" t="s">
        <v>3454</v>
      </c>
      <c r="AH5" s="1378"/>
      <c r="AI5" s="1379" t="s">
        <v>4307</v>
      </c>
    </row>
    <row r="6" spans="1:35" x14ac:dyDescent="0.25">
      <c r="A6" s="1342"/>
      <c r="B6" s="1342"/>
      <c r="C6" s="1342"/>
      <c r="D6" s="1342"/>
      <c r="E6" s="1342"/>
      <c r="F6" s="1342"/>
      <c r="G6" s="1342"/>
      <c r="H6" s="1331"/>
      <c r="I6" s="1331"/>
      <c r="J6" s="1337"/>
      <c r="K6" s="1331" t="s">
        <v>3459</v>
      </c>
      <c r="L6" s="1331" t="s">
        <v>3460</v>
      </c>
      <c r="M6" s="1331" t="s">
        <v>3459</v>
      </c>
      <c r="N6" s="1331" t="s">
        <v>3460</v>
      </c>
      <c r="O6" s="1331" t="s">
        <v>3459</v>
      </c>
      <c r="P6" s="1331" t="s">
        <v>3460</v>
      </c>
      <c r="Q6" s="1331" t="s">
        <v>3459</v>
      </c>
      <c r="R6" s="1331" t="s">
        <v>3460</v>
      </c>
      <c r="S6" s="1331" t="s">
        <v>3459</v>
      </c>
      <c r="T6" s="1335" t="s">
        <v>3460</v>
      </c>
      <c r="U6" s="1331" t="s">
        <v>3459</v>
      </c>
      <c r="V6" s="1331" t="s">
        <v>3460</v>
      </c>
      <c r="W6" s="1331" t="s">
        <v>3459</v>
      </c>
      <c r="X6" s="1331" t="s">
        <v>3460</v>
      </c>
      <c r="Y6" s="1331" t="s">
        <v>3459</v>
      </c>
      <c r="Z6" s="1331" t="s">
        <v>3460</v>
      </c>
      <c r="AA6" s="1331" t="s">
        <v>3459</v>
      </c>
      <c r="AB6" s="1331" t="s">
        <v>3460</v>
      </c>
      <c r="AC6" s="1331" t="s">
        <v>3459</v>
      </c>
      <c r="AD6" s="1331" t="s">
        <v>3460</v>
      </c>
      <c r="AE6" s="1331" t="s">
        <v>3459</v>
      </c>
      <c r="AF6" s="1331" t="s">
        <v>3460</v>
      </c>
      <c r="AG6" s="1331" t="s">
        <v>3459</v>
      </c>
      <c r="AH6" s="1331" t="s">
        <v>3460</v>
      </c>
      <c r="AI6" s="1379"/>
    </row>
    <row r="7" spans="1:35" ht="55.5" customHeight="1" x14ac:dyDescent="0.25">
      <c r="A7" s="1343"/>
      <c r="B7" s="1343"/>
      <c r="C7" s="1343"/>
      <c r="D7" s="1343"/>
      <c r="E7" s="1343"/>
      <c r="F7" s="1343"/>
      <c r="G7" s="1343"/>
      <c r="H7" s="1331"/>
      <c r="I7" s="1341"/>
      <c r="J7" s="1338"/>
      <c r="K7" s="1341"/>
      <c r="L7" s="1341"/>
      <c r="M7" s="1341"/>
      <c r="N7" s="1341"/>
      <c r="O7" s="1341"/>
      <c r="P7" s="1341"/>
      <c r="Q7" s="1341"/>
      <c r="R7" s="1341"/>
      <c r="S7" s="1341"/>
      <c r="T7" s="1336"/>
      <c r="U7" s="1341"/>
      <c r="V7" s="1341"/>
      <c r="W7" s="1341"/>
      <c r="X7" s="1341"/>
      <c r="Y7" s="1341"/>
      <c r="Z7" s="1341"/>
      <c r="AA7" s="1341"/>
      <c r="AB7" s="1341"/>
      <c r="AC7" s="1341"/>
      <c r="AD7" s="1341"/>
      <c r="AE7" s="1341"/>
      <c r="AF7" s="1341"/>
      <c r="AG7" s="1341"/>
      <c r="AH7" s="1341"/>
      <c r="AI7" s="1379"/>
    </row>
    <row r="8" spans="1:35" x14ac:dyDescent="0.25">
      <c r="A8" s="100">
        <v>2000</v>
      </c>
      <c r="B8" s="1066" t="s">
        <v>10</v>
      </c>
      <c r="C8" s="1066"/>
      <c r="D8" s="1067"/>
      <c r="E8" s="1067"/>
      <c r="F8" s="1067"/>
      <c r="G8" s="1067"/>
      <c r="H8" s="1067"/>
      <c r="I8" s="384"/>
      <c r="J8" s="1068">
        <f>J10+J33+J51+J56+J61+J66+J71+J74+J77</f>
        <v>510347.5</v>
      </c>
      <c r="K8" s="384"/>
      <c r="L8" s="298"/>
      <c r="M8" s="110"/>
      <c r="N8" s="110"/>
      <c r="O8" s="110"/>
      <c r="P8" s="110"/>
      <c r="Q8" s="1067"/>
      <c r="R8" s="1067"/>
      <c r="S8" s="1067"/>
      <c r="T8" s="1069"/>
      <c r="U8" s="1067"/>
      <c r="V8" s="1067"/>
      <c r="W8" s="1067"/>
      <c r="X8" s="1067"/>
      <c r="Y8" s="1067"/>
      <c r="Z8" s="1067"/>
      <c r="AA8" s="1067"/>
      <c r="AB8" s="1067"/>
      <c r="AC8" s="1067"/>
      <c r="AD8" s="384"/>
      <c r="AE8" s="1067"/>
      <c r="AF8" s="384"/>
      <c r="AG8" s="384"/>
      <c r="AH8" s="384"/>
      <c r="AI8" s="1068">
        <f>AI10+AI33+AI51+AI56+AI61+AI66+AI71+AI74+AI77</f>
        <v>510347.52250915748</v>
      </c>
    </row>
    <row r="9" spans="1:35" ht="22.5" x14ac:dyDescent="0.25">
      <c r="A9" s="299">
        <v>2100</v>
      </c>
      <c r="B9" s="1070" t="s">
        <v>11</v>
      </c>
      <c r="C9" s="1070"/>
      <c r="D9" s="1071"/>
      <c r="E9" s="1071"/>
      <c r="F9" s="1071"/>
      <c r="G9" s="1071"/>
      <c r="H9" s="1071"/>
      <c r="I9" s="385"/>
      <c r="J9" s="1072"/>
      <c r="K9" s="110"/>
      <c r="L9" s="111"/>
      <c r="M9" s="110"/>
      <c r="N9" s="110"/>
      <c r="O9" s="110"/>
      <c r="P9" s="110"/>
      <c r="Q9" s="1071"/>
      <c r="R9" s="1071"/>
      <c r="S9" s="1071"/>
      <c r="T9" s="1073"/>
      <c r="U9" s="1071"/>
      <c r="V9" s="1071"/>
      <c r="W9" s="1071"/>
      <c r="X9" s="1071"/>
      <c r="Y9" s="1071"/>
      <c r="Z9" s="1071"/>
      <c r="AA9" s="1071"/>
      <c r="AB9" s="1071"/>
      <c r="AC9" s="1071"/>
      <c r="AD9" s="385"/>
      <c r="AE9" s="1071"/>
      <c r="AF9" s="385"/>
      <c r="AG9" s="385"/>
      <c r="AH9" s="385"/>
      <c r="AI9" s="303"/>
    </row>
    <row r="10" spans="1:35" s="1081" customFormat="1" x14ac:dyDescent="0.25">
      <c r="A10" s="310">
        <v>21102</v>
      </c>
      <c r="B10" s="1074" t="s">
        <v>14</v>
      </c>
      <c r="C10" s="1074"/>
      <c r="D10" s="1075"/>
      <c r="E10" s="1075"/>
      <c r="F10" s="1075"/>
      <c r="G10" s="1075"/>
      <c r="H10" s="1075"/>
      <c r="I10" s="1076"/>
      <c r="J10" s="1077">
        <f>SUM(J11:J31)</f>
        <v>19554.059999999998</v>
      </c>
      <c r="K10" s="1076"/>
      <c r="L10" s="1078"/>
      <c r="M10" s="1079"/>
      <c r="N10" s="1079"/>
      <c r="O10" s="1079"/>
      <c r="P10" s="1079"/>
      <c r="Q10" s="1075"/>
      <c r="R10" s="1075"/>
      <c r="S10" s="1075"/>
      <c r="T10" s="1080"/>
      <c r="U10" s="1075"/>
      <c r="V10" s="1075"/>
      <c r="W10" s="1075"/>
      <c r="X10" s="1075"/>
      <c r="Y10" s="1075"/>
      <c r="Z10" s="1075"/>
      <c r="AA10" s="1075"/>
      <c r="AB10" s="1075"/>
      <c r="AC10" s="1075"/>
      <c r="AD10" s="1076"/>
      <c r="AE10" s="1075"/>
      <c r="AF10" s="1076"/>
      <c r="AG10" s="1076"/>
      <c r="AH10" s="1076"/>
      <c r="AI10" s="1078">
        <f>SUM(AI11:AI31)</f>
        <v>19554.059999999998</v>
      </c>
    </row>
    <row r="11" spans="1:35" ht="56.25" x14ac:dyDescent="0.25">
      <c r="A11" s="11"/>
      <c r="B11" s="15" t="s">
        <v>1715</v>
      </c>
      <c r="C11" s="15"/>
      <c r="D11" s="207">
        <f>10+10</f>
        <v>20</v>
      </c>
      <c r="E11" s="162" t="s">
        <v>1721</v>
      </c>
      <c r="F11" s="697" t="s">
        <v>4308</v>
      </c>
      <c r="G11" s="15" t="s">
        <v>3463</v>
      </c>
      <c r="H11" s="155" t="s">
        <v>4309</v>
      </c>
      <c r="I11" s="111">
        <v>83.16</v>
      </c>
      <c r="J11" s="1082">
        <f t="shared" ref="J11:J31" si="0">D11*I11</f>
        <v>1663.1999999999998</v>
      </c>
      <c r="K11" s="110"/>
      <c r="L11" s="111"/>
      <c r="M11" s="110"/>
      <c r="N11" s="110"/>
      <c r="O11" s="110"/>
      <c r="P11" s="110"/>
      <c r="Q11" s="207">
        <v>3</v>
      </c>
      <c r="R11" s="1083">
        <f t="shared" ref="R11:R17" si="1">I11*Q11</f>
        <v>249.48</v>
      </c>
      <c r="S11" s="207">
        <v>3</v>
      </c>
      <c r="T11" s="1084">
        <v>249.48</v>
      </c>
      <c r="U11" s="207">
        <v>3</v>
      </c>
      <c r="V11" s="1083">
        <v>249.48</v>
      </c>
      <c r="W11" s="207">
        <v>3</v>
      </c>
      <c r="X11" s="207">
        <v>249.48</v>
      </c>
      <c r="Y11" s="207">
        <v>3</v>
      </c>
      <c r="Z11" s="207">
        <v>249.48</v>
      </c>
      <c r="AA11" s="207">
        <v>3</v>
      </c>
      <c r="AB11" s="207">
        <v>249.48</v>
      </c>
      <c r="AC11" s="207">
        <v>2</v>
      </c>
      <c r="AD11" s="1082">
        <f>I11*AC11</f>
        <v>166.32</v>
      </c>
      <c r="AE11" s="110">
        <v>0</v>
      </c>
      <c r="AF11" s="111">
        <v>0</v>
      </c>
      <c r="AG11" s="110">
        <v>0</v>
      </c>
      <c r="AH11" s="111">
        <v>0</v>
      </c>
      <c r="AI11" s="111">
        <f>R11+T11+V11+X11+Z11+AB11+AD11</f>
        <v>1663.1999999999998</v>
      </c>
    </row>
    <row r="12" spans="1:35" ht="56.25" x14ac:dyDescent="0.25">
      <c r="B12" s="15" t="s">
        <v>30</v>
      </c>
      <c r="C12" s="15"/>
      <c r="D12" s="207">
        <f>5+5</f>
        <v>10</v>
      </c>
      <c r="E12" s="162" t="s">
        <v>1722</v>
      </c>
      <c r="F12" s="697" t="s">
        <v>4308</v>
      </c>
      <c r="G12" s="15" t="s">
        <v>3463</v>
      </c>
      <c r="H12" s="155" t="s">
        <v>4309</v>
      </c>
      <c r="I12" s="111">
        <v>18.010000000000002</v>
      </c>
      <c r="J12" s="1082">
        <f t="shared" si="0"/>
        <v>180.10000000000002</v>
      </c>
      <c r="K12" s="110"/>
      <c r="L12" s="111"/>
      <c r="M12" s="110"/>
      <c r="N12" s="110"/>
      <c r="O12" s="110"/>
      <c r="P12" s="110"/>
      <c r="Q12" s="207">
        <v>2</v>
      </c>
      <c r="R12" s="1083">
        <f t="shared" si="1"/>
        <v>36.020000000000003</v>
      </c>
      <c r="S12" s="207">
        <v>2</v>
      </c>
      <c r="T12" s="1084">
        <v>36.020000000000003</v>
      </c>
      <c r="U12" s="207">
        <v>1</v>
      </c>
      <c r="V12" s="207">
        <v>18.010000000000002</v>
      </c>
      <c r="W12" s="207">
        <v>1</v>
      </c>
      <c r="X12" s="207">
        <v>18.010000000000002</v>
      </c>
      <c r="Y12" s="207">
        <v>1</v>
      </c>
      <c r="Z12" s="207">
        <v>18.010000000000002</v>
      </c>
      <c r="AA12" s="207">
        <v>1</v>
      </c>
      <c r="AB12" s="207">
        <v>18.010000000000002</v>
      </c>
      <c r="AC12" s="207">
        <v>2</v>
      </c>
      <c r="AD12" s="207">
        <v>36.020000000000003</v>
      </c>
      <c r="AE12" s="110">
        <v>0</v>
      </c>
      <c r="AF12" s="111">
        <v>0</v>
      </c>
      <c r="AG12" s="110">
        <v>0</v>
      </c>
      <c r="AH12" s="111">
        <v>0</v>
      </c>
      <c r="AI12" s="111">
        <f>R12+T12+V12+X12+Z12+AB12+AD12</f>
        <v>180.10000000000002</v>
      </c>
    </row>
    <row r="13" spans="1:35" ht="56.25" x14ac:dyDescent="0.25">
      <c r="B13" s="15" t="s">
        <v>57</v>
      </c>
      <c r="C13" s="15"/>
      <c r="D13" s="207">
        <f>10+10</f>
        <v>20</v>
      </c>
      <c r="E13" s="162" t="s">
        <v>1722</v>
      </c>
      <c r="F13" s="697" t="s">
        <v>4308</v>
      </c>
      <c r="G13" s="15" t="s">
        <v>3463</v>
      </c>
      <c r="H13" s="155" t="s">
        <v>4309</v>
      </c>
      <c r="I13" s="111">
        <v>21</v>
      </c>
      <c r="J13" s="1082">
        <f t="shared" si="0"/>
        <v>420</v>
      </c>
      <c r="K13" s="110"/>
      <c r="L13" s="111"/>
      <c r="M13" s="110"/>
      <c r="N13" s="110"/>
      <c r="O13" s="110"/>
      <c r="P13" s="110"/>
      <c r="Q13" s="207">
        <v>3</v>
      </c>
      <c r="R13" s="1083">
        <f t="shared" si="1"/>
        <v>63</v>
      </c>
      <c r="S13" s="207">
        <v>3</v>
      </c>
      <c r="T13" s="1084">
        <v>63</v>
      </c>
      <c r="U13" s="207">
        <v>3</v>
      </c>
      <c r="V13" s="1084">
        <v>63</v>
      </c>
      <c r="W13" s="207">
        <v>3</v>
      </c>
      <c r="X13" s="1084">
        <v>63</v>
      </c>
      <c r="Y13" s="207">
        <v>3</v>
      </c>
      <c r="Z13" s="1084">
        <v>63</v>
      </c>
      <c r="AA13" s="207">
        <v>3</v>
      </c>
      <c r="AB13" s="1084">
        <v>63</v>
      </c>
      <c r="AC13" s="207">
        <v>2</v>
      </c>
      <c r="AD13" s="111">
        <v>42</v>
      </c>
      <c r="AE13" s="110">
        <v>0</v>
      </c>
      <c r="AF13" s="111">
        <v>0</v>
      </c>
      <c r="AG13" s="110">
        <v>0</v>
      </c>
      <c r="AH13" s="111">
        <v>0</v>
      </c>
      <c r="AI13" s="111">
        <f>R13+T13+V13+X13+Z13+AB13+AD13</f>
        <v>420</v>
      </c>
    </row>
    <row r="14" spans="1:35" ht="56.25" x14ac:dyDescent="0.25">
      <c r="B14" s="15" t="s">
        <v>61</v>
      </c>
      <c r="C14" s="15"/>
      <c r="D14" s="207">
        <f>20+20</f>
        <v>40</v>
      </c>
      <c r="E14" s="162" t="s">
        <v>1722</v>
      </c>
      <c r="F14" s="697" t="s">
        <v>4308</v>
      </c>
      <c r="G14" s="15" t="s">
        <v>3463</v>
      </c>
      <c r="H14" s="155" t="s">
        <v>4309</v>
      </c>
      <c r="I14" s="111">
        <v>22.55</v>
      </c>
      <c r="J14" s="1082">
        <f t="shared" si="0"/>
        <v>902</v>
      </c>
      <c r="K14" s="110"/>
      <c r="L14" s="111"/>
      <c r="M14" s="110"/>
      <c r="N14" s="110"/>
      <c r="O14" s="110"/>
      <c r="P14" s="110"/>
      <c r="Q14" s="207">
        <v>6</v>
      </c>
      <c r="R14" s="1083">
        <f t="shared" si="1"/>
        <v>135.30000000000001</v>
      </c>
      <c r="S14" s="207">
        <v>6</v>
      </c>
      <c r="T14" s="1084">
        <v>135.30000000000001</v>
      </c>
      <c r="U14" s="207">
        <v>6</v>
      </c>
      <c r="V14" s="207">
        <v>135.30000000000001</v>
      </c>
      <c r="W14" s="207">
        <v>6</v>
      </c>
      <c r="X14" s="207">
        <v>135.30000000000001</v>
      </c>
      <c r="Y14" s="207">
        <v>6</v>
      </c>
      <c r="Z14" s="207">
        <v>135.30000000000001</v>
      </c>
      <c r="AA14" s="207">
        <v>6</v>
      </c>
      <c r="AB14" s="207">
        <v>135.30000000000001</v>
      </c>
      <c r="AC14" s="207">
        <v>4</v>
      </c>
      <c r="AD14" s="1082">
        <f>I14*AC14</f>
        <v>90.2</v>
      </c>
      <c r="AE14" s="110">
        <v>0</v>
      </c>
      <c r="AF14" s="111">
        <v>0</v>
      </c>
      <c r="AG14" s="110">
        <v>0</v>
      </c>
      <c r="AH14" s="111">
        <v>0</v>
      </c>
      <c r="AI14" s="111">
        <f>R14+T14+V14+X14+Z14+AB14+AD14</f>
        <v>902</v>
      </c>
    </row>
    <row r="15" spans="1:35" ht="56.25" x14ac:dyDescent="0.25">
      <c r="B15" s="15" t="s">
        <v>22</v>
      </c>
      <c r="C15" s="15"/>
      <c r="D15" s="207">
        <f>20+20</f>
        <v>40</v>
      </c>
      <c r="E15" s="162" t="s">
        <v>1722</v>
      </c>
      <c r="F15" s="697" t="s">
        <v>4308</v>
      </c>
      <c r="G15" s="15" t="s">
        <v>3463</v>
      </c>
      <c r="H15" s="155" t="s">
        <v>4309</v>
      </c>
      <c r="I15" s="111">
        <v>48.71</v>
      </c>
      <c r="J15" s="1082">
        <f t="shared" si="0"/>
        <v>1948.4</v>
      </c>
      <c r="K15" s="110"/>
      <c r="L15" s="111"/>
      <c r="M15" s="110"/>
      <c r="N15" s="110"/>
      <c r="O15" s="110"/>
      <c r="P15" s="110"/>
      <c r="Q15" s="207">
        <v>6</v>
      </c>
      <c r="R15" s="1083">
        <f t="shared" si="1"/>
        <v>292.26</v>
      </c>
      <c r="S15" s="207">
        <v>6</v>
      </c>
      <c r="T15" s="1084">
        <v>292.26</v>
      </c>
      <c r="U15" s="207">
        <v>6</v>
      </c>
      <c r="V15" s="207">
        <v>292.26</v>
      </c>
      <c r="W15" s="207">
        <v>6</v>
      </c>
      <c r="X15" s="207">
        <v>292.26</v>
      </c>
      <c r="Y15" s="207">
        <v>6</v>
      </c>
      <c r="Z15" s="207">
        <v>292.26</v>
      </c>
      <c r="AA15" s="207">
        <v>6</v>
      </c>
      <c r="AB15" s="207">
        <v>292.26</v>
      </c>
      <c r="AC15" s="207">
        <v>4</v>
      </c>
      <c r="AD15" s="1082">
        <f>I15*AC15</f>
        <v>194.84</v>
      </c>
      <c r="AE15" s="110">
        <v>0</v>
      </c>
      <c r="AF15" s="111">
        <v>0</v>
      </c>
      <c r="AG15" s="110">
        <v>0</v>
      </c>
      <c r="AH15" s="111">
        <v>0</v>
      </c>
      <c r="AI15" s="111">
        <f>R15+T15+V15+X15+Z15+AB15+AD15</f>
        <v>1948.3999999999999</v>
      </c>
    </row>
    <row r="16" spans="1:35" ht="56.25" x14ac:dyDescent="0.25">
      <c r="B16" s="15" t="s">
        <v>95</v>
      </c>
      <c r="C16" s="15"/>
      <c r="D16" s="207">
        <f>10+10</f>
        <v>20</v>
      </c>
      <c r="E16" s="162" t="s">
        <v>1721</v>
      </c>
      <c r="F16" s="697" t="s">
        <v>4308</v>
      </c>
      <c r="G16" s="15" t="s">
        <v>3463</v>
      </c>
      <c r="H16" s="155" t="s">
        <v>4309</v>
      </c>
      <c r="I16" s="111">
        <v>22.72</v>
      </c>
      <c r="J16" s="1082">
        <f t="shared" si="0"/>
        <v>454.4</v>
      </c>
      <c r="K16" s="110"/>
      <c r="L16" s="111"/>
      <c r="M16" s="110"/>
      <c r="N16" s="110"/>
      <c r="O16" s="110"/>
      <c r="P16" s="110"/>
      <c r="Q16" s="207">
        <v>3</v>
      </c>
      <c r="R16" s="1083">
        <f t="shared" si="1"/>
        <v>68.16</v>
      </c>
      <c r="S16" s="207">
        <v>3</v>
      </c>
      <c r="T16" s="1084">
        <v>68.16</v>
      </c>
      <c r="U16" s="207">
        <v>3</v>
      </c>
      <c r="V16" s="207">
        <v>68.16</v>
      </c>
      <c r="W16" s="207">
        <v>3</v>
      </c>
      <c r="X16" s="207">
        <v>68.16</v>
      </c>
      <c r="Y16" s="207">
        <v>3</v>
      </c>
      <c r="Z16" s="207">
        <v>68.16</v>
      </c>
      <c r="AA16" s="207">
        <v>3</v>
      </c>
      <c r="AB16" s="207">
        <v>68.16</v>
      </c>
      <c r="AC16" s="207">
        <v>2</v>
      </c>
      <c r="AD16" s="110">
        <f>22.72*2</f>
        <v>45.44</v>
      </c>
      <c r="AE16" s="110">
        <v>0</v>
      </c>
      <c r="AF16" s="111">
        <v>0</v>
      </c>
      <c r="AG16" s="110">
        <v>0</v>
      </c>
      <c r="AH16" s="111">
        <v>0</v>
      </c>
      <c r="AI16" s="111">
        <f t="shared" ref="AI16:AI31" si="2">R16+T16+V16+X16+Z16+AB16+AD16</f>
        <v>454.39999999999992</v>
      </c>
    </row>
    <row r="17" spans="2:35" ht="56.25" x14ac:dyDescent="0.25">
      <c r="B17" s="12" t="s">
        <v>4310</v>
      </c>
      <c r="C17" s="12"/>
      <c r="D17" s="207">
        <f>20+20</f>
        <v>40</v>
      </c>
      <c r="E17" s="207" t="s">
        <v>1725</v>
      </c>
      <c r="F17" s="697" t="s">
        <v>4308</v>
      </c>
      <c r="G17" s="15" t="s">
        <v>3463</v>
      </c>
      <c r="H17" s="155" t="s">
        <v>4309</v>
      </c>
      <c r="I17" s="111">
        <v>4</v>
      </c>
      <c r="J17" s="1082">
        <f t="shared" si="0"/>
        <v>160</v>
      </c>
      <c r="K17" s="110"/>
      <c r="L17" s="111"/>
      <c r="M17" s="110"/>
      <c r="N17" s="110"/>
      <c r="O17" s="110"/>
      <c r="P17" s="110"/>
      <c r="Q17" s="207">
        <v>6</v>
      </c>
      <c r="R17" s="1083">
        <f t="shared" si="1"/>
        <v>24</v>
      </c>
      <c r="S17" s="207">
        <v>6</v>
      </c>
      <c r="T17" s="1084">
        <v>24</v>
      </c>
      <c r="U17" s="207">
        <v>6</v>
      </c>
      <c r="V17" s="1084">
        <v>24</v>
      </c>
      <c r="W17" s="207">
        <v>6</v>
      </c>
      <c r="X17" s="1084">
        <v>24</v>
      </c>
      <c r="Y17" s="207">
        <v>6</v>
      </c>
      <c r="Z17" s="1084">
        <v>24</v>
      </c>
      <c r="AA17" s="207">
        <v>6</v>
      </c>
      <c r="AB17" s="1084">
        <v>24</v>
      </c>
      <c r="AC17" s="207">
        <v>4</v>
      </c>
      <c r="AD17" s="1084">
        <v>16</v>
      </c>
      <c r="AE17" s="110">
        <v>0</v>
      </c>
      <c r="AF17" s="111">
        <v>0</v>
      </c>
      <c r="AG17" s="110">
        <v>0</v>
      </c>
      <c r="AH17" s="111">
        <v>0</v>
      </c>
      <c r="AI17" s="111">
        <f t="shared" si="2"/>
        <v>160</v>
      </c>
    </row>
    <row r="18" spans="2:35" ht="56.25" x14ac:dyDescent="0.25">
      <c r="B18" s="149" t="s">
        <v>4311</v>
      </c>
      <c r="C18" s="149"/>
      <c r="D18" s="207">
        <f>23+23</f>
        <v>46</v>
      </c>
      <c r="E18" s="207" t="s">
        <v>1725</v>
      </c>
      <c r="F18" s="697" t="s">
        <v>4308</v>
      </c>
      <c r="G18" s="15" t="s">
        <v>3463</v>
      </c>
      <c r="H18" s="155" t="s">
        <v>4309</v>
      </c>
      <c r="I18" s="111">
        <v>5</v>
      </c>
      <c r="J18" s="1082">
        <f t="shared" si="0"/>
        <v>230</v>
      </c>
      <c r="K18" s="110"/>
      <c r="L18" s="111"/>
      <c r="M18" s="110"/>
      <c r="N18" s="110"/>
      <c r="O18" s="110"/>
      <c r="P18" s="110"/>
      <c r="Q18" s="207">
        <v>8</v>
      </c>
      <c r="R18" s="1084">
        <v>40</v>
      </c>
      <c r="S18" s="207">
        <v>8</v>
      </c>
      <c r="T18" s="1084">
        <v>40</v>
      </c>
      <c r="U18" s="207">
        <v>8</v>
      </c>
      <c r="V18" s="1084">
        <v>40</v>
      </c>
      <c r="W18" s="207">
        <v>8</v>
      </c>
      <c r="X18" s="1084">
        <v>40</v>
      </c>
      <c r="Y18" s="207">
        <v>8</v>
      </c>
      <c r="Z18" s="1084">
        <v>40</v>
      </c>
      <c r="AA18" s="207">
        <v>3</v>
      </c>
      <c r="AB18" s="1084">
        <v>15</v>
      </c>
      <c r="AC18" s="207">
        <v>3</v>
      </c>
      <c r="AD18" s="111">
        <v>15</v>
      </c>
      <c r="AE18" s="110">
        <v>0</v>
      </c>
      <c r="AF18" s="111">
        <v>0</v>
      </c>
      <c r="AG18" s="110">
        <v>0</v>
      </c>
      <c r="AH18" s="111">
        <v>0</v>
      </c>
      <c r="AI18" s="111">
        <f t="shared" si="2"/>
        <v>230</v>
      </c>
    </row>
    <row r="19" spans="2:35" ht="56.25" x14ac:dyDescent="0.25">
      <c r="B19" s="12" t="s">
        <v>4312</v>
      </c>
      <c r="C19" s="12"/>
      <c r="D19" s="207">
        <f>10+10</f>
        <v>20</v>
      </c>
      <c r="E19" s="162" t="s">
        <v>1721</v>
      </c>
      <c r="F19" s="697" t="s">
        <v>4308</v>
      </c>
      <c r="G19" s="15" t="s">
        <v>3463</v>
      </c>
      <c r="H19" s="155" t="s">
        <v>4309</v>
      </c>
      <c r="I19" s="111">
        <v>50</v>
      </c>
      <c r="J19" s="1082">
        <f t="shared" si="0"/>
        <v>1000</v>
      </c>
      <c r="K19" s="110"/>
      <c r="L19" s="111"/>
      <c r="M19" s="110"/>
      <c r="N19" s="110"/>
      <c r="O19" s="110"/>
      <c r="P19" s="110"/>
      <c r="Q19" s="207">
        <v>3</v>
      </c>
      <c r="R19" s="1084">
        <v>150</v>
      </c>
      <c r="S19" s="207">
        <v>3</v>
      </c>
      <c r="T19" s="1084">
        <v>150</v>
      </c>
      <c r="U19" s="207">
        <v>3</v>
      </c>
      <c r="V19" s="1084">
        <v>150</v>
      </c>
      <c r="W19" s="207">
        <v>3</v>
      </c>
      <c r="X19" s="1084">
        <v>150</v>
      </c>
      <c r="Y19" s="207">
        <v>3</v>
      </c>
      <c r="Z19" s="1084">
        <v>150</v>
      </c>
      <c r="AA19" s="207">
        <v>3</v>
      </c>
      <c r="AB19" s="1084">
        <v>150</v>
      </c>
      <c r="AC19" s="207">
        <v>2</v>
      </c>
      <c r="AD19" s="111">
        <v>100</v>
      </c>
      <c r="AE19" s="110">
        <v>0</v>
      </c>
      <c r="AF19" s="111">
        <v>0</v>
      </c>
      <c r="AG19" s="110">
        <v>0</v>
      </c>
      <c r="AH19" s="111">
        <v>0</v>
      </c>
      <c r="AI19" s="111">
        <f t="shared" si="2"/>
        <v>1000</v>
      </c>
    </row>
    <row r="20" spans="2:35" ht="56.25" x14ac:dyDescent="0.25">
      <c r="B20" s="12" t="s">
        <v>4313</v>
      </c>
      <c r="C20" s="12"/>
      <c r="D20" s="207">
        <f>10+10</f>
        <v>20</v>
      </c>
      <c r="E20" s="162" t="s">
        <v>1722</v>
      </c>
      <c r="F20" s="697" t="s">
        <v>4308</v>
      </c>
      <c r="G20" s="15" t="s">
        <v>3463</v>
      </c>
      <c r="H20" s="155" t="s">
        <v>4309</v>
      </c>
      <c r="I20" s="111">
        <v>60</v>
      </c>
      <c r="J20" s="1082">
        <f t="shared" si="0"/>
        <v>1200</v>
      </c>
      <c r="K20" s="110"/>
      <c r="L20" s="111"/>
      <c r="M20" s="110"/>
      <c r="N20" s="110"/>
      <c r="O20" s="110"/>
      <c r="P20" s="110"/>
      <c r="Q20" s="207">
        <v>3</v>
      </c>
      <c r="R20" s="1084">
        <v>180</v>
      </c>
      <c r="S20" s="207">
        <v>3</v>
      </c>
      <c r="T20" s="1084">
        <v>180</v>
      </c>
      <c r="U20" s="207">
        <v>3</v>
      </c>
      <c r="V20" s="1084">
        <v>180</v>
      </c>
      <c r="W20" s="207">
        <v>3</v>
      </c>
      <c r="X20" s="1084">
        <v>180</v>
      </c>
      <c r="Y20" s="207">
        <v>3</v>
      </c>
      <c r="Z20" s="1084">
        <v>180</v>
      </c>
      <c r="AA20" s="207">
        <v>3</v>
      </c>
      <c r="AB20" s="1084">
        <v>180</v>
      </c>
      <c r="AC20" s="207">
        <v>2</v>
      </c>
      <c r="AD20" s="111">
        <v>120</v>
      </c>
      <c r="AE20" s="110">
        <v>0</v>
      </c>
      <c r="AF20" s="111">
        <v>0</v>
      </c>
      <c r="AG20" s="110">
        <v>0</v>
      </c>
      <c r="AH20" s="111">
        <v>0</v>
      </c>
      <c r="AI20" s="111">
        <f t="shared" si="2"/>
        <v>1200</v>
      </c>
    </row>
    <row r="21" spans="2:35" ht="56.25" x14ac:dyDescent="0.25">
      <c r="B21" s="15" t="s">
        <v>1717</v>
      </c>
      <c r="C21" s="15"/>
      <c r="D21" s="207">
        <f>10+10</f>
        <v>20</v>
      </c>
      <c r="E21" s="162" t="s">
        <v>1722</v>
      </c>
      <c r="F21" s="697" t="s">
        <v>4308</v>
      </c>
      <c r="G21" s="15" t="s">
        <v>3463</v>
      </c>
      <c r="H21" s="155" t="s">
        <v>4309</v>
      </c>
      <c r="I21" s="111">
        <v>73.680000000000007</v>
      </c>
      <c r="J21" s="1082">
        <f t="shared" si="0"/>
        <v>1473.6000000000001</v>
      </c>
      <c r="K21" s="110"/>
      <c r="L21" s="111"/>
      <c r="M21" s="110"/>
      <c r="N21" s="110"/>
      <c r="O21" s="110"/>
      <c r="P21" s="110"/>
      <c r="Q21" s="207">
        <v>3</v>
      </c>
      <c r="R21" s="1083">
        <f>I21*Q21</f>
        <v>221.04000000000002</v>
      </c>
      <c r="S21" s="207">
        <v>3</v>
      </c>
      <c r="T21" s="1084">
        <v>221.04</v>
      </c>
      <c r="U21" s="207">
        <v>3</v>
      </c>
      <c r="V21" s="1083">
        <v>221.04</v>
      </c>
      <c r="W21" s="207">
        <v>3</v>
      </c>
      <c r="X21" s="1083">
        <v>221.04</v>
      </c>
      <c r="Y21" s="207">
        <v>3</v>
      </c>
      <c r="Z21" s="1083">
        <v>221.04</v>
      </c>
      <c r="AA21" s="207">
        <v>3</v>
      </c>
      <c r="AB21" s="1083">
        <v>221.04</v>
      </c>
      <c r="AC21" s="207">
        <v>2</v>
      </c>
      <c r="AD21" s="111">
        <f>I21*AC21</f>
        <v>147.36000000000001</v>
      </c>
      <c r="AE21" s="110">
        <v>0</v>
      </c>
      <c r="AF21" s="111">
        <v>0</v>
      </c>
      <c r="AG21" s="110">
        <v>0</v>
      </c>
      <c r="AH21" s="111">
        <v>0</v>
      </c>
      <c r="AI21" s="111">
        <f t="shared" si="2"/>
        <v>1473.6</v>
      </c>
    </row>
    <row r="22" spans="2:35" ht="56.25" x14ac:dyDescent="0.25">
      <c r="B22" s="15" t="s">
        <v>80</v>
      </c>
      <c r="C22" s="15"/>
      <c r="D22" s="207">
        <f>20+20</f>
        <v>40</v>
      </c>
      <c r="E22" s="162" t="s">
        <v>1721</v>
      </c>
      <c r="F22" s="697" t="s">
        <v>4308</v>
      </c>
      <c r="G22" s="15" t="s">
        <v>3463</v>
      </c>
      <c r="H22" s="155" t="s">
        <v>4309</v>
      </c>
      <c r="I22" s="111">
        <v>10.97</v>
      </c>
      <c r="J22" s="1082">
        <f t="shared" si="0"/>
        <v>438.8</v>
      </c>
      <c r="K22" s="110"/>
      <c r="L22" s="111"/>
      <c r="M22" s="110"/>
      <c r="N22" s="110"/>
      <c r="O22" s="110"/>
      <c r="P22" s="110"/>
      <c r="Q22" s="207">
        <v>6</v>
      </c>
      <c r="R22" s="1083">
        <f>I22*Q22</f>
        <v>65.820000000000007</v>
      </c>
      <c r="S22" s="207">
        <v>6</v>
      </c>
      <c r="T22" s="1084">
        <v>65.819999999999993</v>
      </c>
      <c r="U22" s="207">
        <v>6</v>
      </c>
      <c r="V22" s="207">
        <v>65.819999999999993</v>
      </c>
      <c r="W22" s="207">
        <v>6</v>
      </c>
      <c r="X22" s="207">
        <v>65.819999999999993</v>
      </c>
      <c r="Y22" s="207">
        <v>6</v>
      </c>
      <c r="Z22" s="207">
        <v>65.819999999999993</v>
      </c>
      <c r="AA22" s="207">
        <v>6</v>
      </c>
      <c r="AB22" s="207">
        <v>65.819999999999993</v>
      </c>
      <c r="AC22" s="207">
        <v>4</v>
      </c>
      <c r="AD22" s="1083">
        <f>I22*AC22</f>
        <v>43.88</v>
      </c>
      <c r="AE22" s="110">
        <v>0</v>
      </c>
      <c r="AF22" s="111">
        <v>0</v>
      </c>
      <c r="AG22" s="110">
        <v>0</v>
      </c>
      <c r="AH22" s="111">
        <v>0</v>
      </c>
      <c r="AI22" s="111">
        <f t="shared" si="2"/>
        <v>438.79999999999995</v>
      </c>
    </row>
    <row r="23" spans="2:35" ht="56.25" x14ac:dyDescent="0.25">
      <c r="B23" s="15" t="s">
        <v>43</v>
      </c>
      <c r="C23" s="15"/>
      <c r="D23" s="207">
        <f>10+10</f>
        <v>20</v>
      </c>
      <c r="E23" s="162" t="s">
        <v>1721</v>
      </c>
      <c r="F23" s="697" t="s">
        <v>4308</v>
      </c>
      <c r="G23" s="15" t="s">
        <v>3463</v>
      </c>
      <c r="H23" s="155" t="s">
        <v>4309</v>
      </c>
      <c r="I23" s="111">
        <v>10.97</v>
      </c>
      <c r="J23" s="1082">
        <f t="shared" si="0"/>
        <v>219.4</v>
      </c>
      <c r="K23" s="110"/>
      <c r="L23" s="111"/>
      <c r="M23" s="110"/>
      <c r="N23" s="110"/>
      <c r="O23" s="110"/>
      <c r="P23" s="110"/>
      <c r="Q23" s="207">
        <v>3</v>
      </c>
      <c r="R23" s="1083">
        <f>I23*Q23</f>
        <v>32.910000000000004</v>
      </c>
      <c r="S23" s="207">
        <v>3</v>
      </c>
      <c r="T23" s="1084">
        <v>32.909999999999997</v>
      </c>
      <c r="U23" s="207">
        <v>3</v>
      </c>
      <c r="V23" s="207">
        <v>32.909999999999997</v>
      </c>
      <c r="W23" s="207">
        <v>3</v>
      </c>
      <c r="X23" s="207">
        <v>32.909999999999997</v>
      </c>
      <c r="Y23" s="207">
        <v>3</v>
      </c>
      <c r="Z23" s="207">
        <v>32.909999999999997</v>
      </c>
      <c r="AA23" s="207">
        <v>3</v>
      </c>
      <c r="AB23" s="207">
        <v>32.909999999999997</v>
      </c>
      <c r="AC23" s="207">
        <v>2</v>
      </c>
      <c r="AD23" s="1082">
        <f>I23*AC23</f>
        <v>21.94</v>
      </c>
      <c r="AE23" s="110">
        <v>0</v>
      </c>
      <c r="AF23" s="111">
        <v>0</v>
      </c>
      <c r="AG23" s="110">
        <v>0</v>
      </c>
      <c r="AH23" s="111">
        <v>0</v>
      </c>
      <c r="AI23" s="111">
        <f t="shared" si="2"/>
        <v>219.39999999999998</v>
      </c>
    </row>
    <row r="24" spans="2:35" ht="56.25" x14ac:dyDescent="0.25">
      <c r="B24" s="15" t="s">
        <v>82</v>
      </c>
      <c r="C24" s="15"/>
      <c r="D24" s="207">
        <f>33+33</f>
        <v>66</v>
      </c>
      <c r="E24" s="162" t="s">
        <v>1721</v>
      </c>
      <c r="F24" s="697" t="s">
        <v>4308</v>
      </c>
      <c r="G24" s="15" t="s">
        <v>3463</v>
      </c>
      <c r="H24" s="155" t="s">
        <v>4309</v>
      </c>
      <c r="I24" s="111">
        <v>0.79</v>
      </c>
      <c r="J24" s="1082">
        <f t="shared" si="0"/>
        <v>52.14</v>
      </c>
      <c r="K24" s="110"/>
      <c r="L24" s="111"/>
      <c r="M24" s="110"/>
      <c r="N24" s="110"/>
      <c r="O24" s="110"/>
      <c r="P24" s="110"/>
      <c r="Q24" s="207">
        <v>10</v>
      </c>
      <c r="R24" s="1083">
        <f>I24*10</f>
        <v>7.9</v>
      </c>
      <c r="S24" s="207">
        <v>10</v>
      </c>
      <c r="T24" s="1084">
        <v>7.9</v>
      </c>
      <c r="U24" s="207">
        <v>10</v>
      </c>
      <c r="V24" s="1084">
        <v>7.9</v>
      </c>
      <c r="W24" s="207">
        <v>10</v>
      </c>
      <c r="X24" s="1084">
        <v>7.9</v>
      </c>
      <c r="Y24" s="207">
        <v>10</v>
      </c>
      <c r="Z24" s="1084">
        <v>7.9</v>
      </c>
      <c r="AA24" s="207">
        <v>10</v>
      </c>
      <c r="AB24" s="1084">
        <v>7.9</v>
      </c>
      <c r="AC24" s="207">
        <v>6</v>
      </c>
      <c r="AD24" s="1082">
        <f>I24*AC24</f>
        <v>4.74</v>
      </c>
      <c r="AE24" s="110">
        <v>0</v>
      </c>
      <c r="AF24" s="111">
        <v>0</v>
      </c>
      <c r="AG24" s="110">
        <v>0</v>
      </c>
      <c r="AH24" s="111">
        <v>0</v>
      </c>
      <c r="AI24" s="111">
        <f t="shared" si="2"/>
        <v>52.14</v>
      </c>
    </row>
    <row r="25" spans="2:35" ht="56.25" x14ac:dyDescent="0.25">
      <c r="B25" s="15" t="s">
        <v>23</v>
      </c>
      <c r="C25" s="15"/>
      <c r="D25" s="207">
        <f>31+31</f>
        <v>62</v>
      </c>
      <c r="E25" s="162" t="s">
        <v>1721</v>
      </c>
      <c r="F25" s="697" t="s">
        <v>4308</v>
      </c>
      <c r="G25" s="15" t="s">
        <v>3463</v>
      </c>
      <c r="H25" s="155" t="s">
        <v>4309</v>
      </c>
      <c r="I25" s="111">
        <v>3.11</v>
      </c>
      <c r="J25" s="1082">
        <f t="shared" si="0"/>
        <v>192.82</v>
      </c>
      <c r="K25" s="110"/>
      <c r="L25" s="111"/>
      <c r="M25" s="110"/>
      <c r="N25" s="110"/>
      <c r="O25" s="110"/>
      <c r="P25" s="110"/>
      <c r="Q25" s="207">
        <v>10</v>
      </c>
      <c r="R25" s="1083">
        <f>I25*Q25</f>
        <v>31.099999999999998</v>
      </c>
      <c r="S25" s="207">
        <v>10</v>
      </c>
      <c r="T25" s="1084">
        <v>31.1</v>
      </c>
      <c r="U25" s="207">
        <v>10</v>
      </c>
      <c r="V25" s="1084">
        <v>31.1</v>
      </c>
      <c r="W25" s="207">
        <v>10</v>
      </c>
      <c r="X25" s="1084">
        <v>31.1</v>
      </c>
      <c r="Y25" s="207">
        <v>10</v>
      </c>
      <c r="Z25" s="1084">
        <v>31.1</v>
      </c>
      <c r="AA25" s="207">
        <v>10</v>
      </c>
      <c r="AB25" s="1084">
        <v>31.1</v>
      </c>
      <c r="AC25" s="207">
        <v>2</v>
      </c>
      <c r="AD25" s="1082">
        <f>I25*AC25</f>
        <v>6.22</v>
      </c>
      <c r="AE25" s="110">
        <v>0</v>
      </c>
      <c r="AF25" s="111">
        <v>0</v>
      </c>
      <c r="AG25" s="110">
        <v>0</v>
      </c>
      <c r="AH25" s="111">
        <v>0</v>
      </c>
      <c r="AI25" s="111">
        <f t="shared" si="2"/>
        <v>192.82</v>
      </c>
    </row>
    <row r="26" spans="2:35" ht="56.25" x14ac:dyDescent="0.25">
      <c r="B26" s="15" t="s">
        <v>221</v>
      </c>
      <c r="C26" s="15"/>
      <c r="D26" s="207">
        <f>10+10</f>
        <v>20</v>
      </c>
      <c r="E26" s="162" t="s">
        <v>1722</v>
      </c>
      <c r="F26" s="697" t="s">
        <v>4308</v>
      </c>
      <c r="G26" s="15" t="s">
        <v>3463</v>
      </c>
      <c r="H26" s="155" t="s">
        <v>4309</v>
      </c>
      <c r="I26" s="111">
        <v>10.37</v>
      </c>
      <c r="J26" s="1082">
        <f t="shared" si="0"/>
        <v>207.39999999999998</v>
      </c>
      <c r="K26" s="110"/>
      <c r="L26" s="111"/>
      <c r="M26" s="110"/>
      <c r="N26" s="110"/>
      <c r="O26" s="110"/>
      <c r="P26" s="110"/>
      <c r="Q26" s="207">
        <v>3</v>
      </c>
      <c r="R26" s="1083">
        <f>I26*Q26</f>
        <v>31.11</v>
      </c>
      <c r="S26" s="207">
        <v>3</v>
      </c>
      <c r="T26" s="1084">
        <v>31.11</v>
      </c>
      <c r="U26" s="207">
        <v>3</v>
      </c>
      <c r="V26" s="207">
        <v>31.11</v>
      </c>
      <c r="W26" s="207">
        <v>3</v>
      </c>
      <c r="X26" s="207">
        <v>31.11</v>
      </c>
      <c r="Y26" s="207">
        <v>3</v>
      </c>
      <c r="Z26" s="207">
        <v>31.11</v>
      </c>
      <c r="AA26" s="207">
        <v>3</v>
      </c>
      <c r="AB26" s="207">
        <v>31.11</v>
      </c>
      <c r="AC26" s="207">
        <v>2</v>
      </c>
      <c r="AD26" s="1082">
        <f>AC26*I26</f>
        <v>20.74</v>
      </c>
      <c r="AE26" s="110">
        <v>0</v>
      </c>
      <c r="AF26" s="111">
        <v>0</v>
      </c>
      <c r="AG26" s="110">
        <v>0</v>
      </c>
      <c r="AH26" s="111">
        <v>0</v>
      </c>
      <c r="AI26" s="111">
        <f t="shared" si="2"/>
        <v>207.40000000000003</v>
      </c>
    </row>
    <row r="27" spans="2:35" ht="56.25" x14ac:dyDescent="0.25">
      <c r="B27" s="15" t="s">
        <v>1716</v>
      </c>
      <c r="C27" s="15"/>
      <c r="D27" s="207">
        <f>6+6</f>
        <v>12</v>
      </c>
      <c r="E27" s="162" t="s">
        <v>1722</v>
      </c>
      <c r="F27" s="697" t="s">
        <v>4308</v>
      </c>
      <c r="G27" s="15" t="s">
        <v>3463</v>
      </c>
      <c r="H27" s="155" t="s">
        <v>4309</v>
      </c>
      <c r="I27" s="111">
        <v>262.55</v>
      </c>
      <c r="J27" s="1082">
        <f t="shared" si="0"/>
        <v>3150.6000000000004</v>
      </c>
      <c r="K27" s="110"/>
      <c r="L27" s="111"/>
      <c r="M27" s="110"/>
      <c r="N27" s="110"/>
      <c r="O27" s="110"/>
      <c r="P27" s="110"/>
      <c r="Q27" s="207">
        <v>2</v>
      </c>
      <c r="R27" s="1083">
        <f>I27*Q27</f>
        <v>525.1</v>
      </c>
      <c r="S27" s="207">
        <v>2</v>
      </c>
      <c r="T27" s="1084">
        <v>525.1</v>
      </c>
      <c r="U27" s="207">
        <v>2</v>
      </c>
      <c r="V27" s="1084">
        <v>525.1</v>
      </c>
      <c r="W27" s="207">
        <v>2</v>
      </c>
      <c r="X27" s="1084">
        <v>525.1</v>
      </c>
      <c r="Y27" s="207">
        <v>2</v>
      </c>
      <c r="Z27" s="1084">
        <v>525.1</v>
      </c>
      <c r="AA27" s="207">
        <v>1</v>
      </c>
      <c r="AB27" s="1084">
        <v>262.55</v>
      </c>
      <c r="AC27" s="207">
        <v>1</v>
      </c>
      <c r="AD27" s="1084">
        <v>262.55</v>
      </c>
      <c r="AE27" s="110">
        <v>0</v>
      </c>
      <c r="AF27" s="111">
        <v>0</v>
      </c>
      <c r="AG27" s="110">
        <v>0</v>
      </c>
      <c r="AH27" s="111">
        <v>0</v>
      </c>
      <c r="AI27" s="111">
        <f t="shared" si="2"/>
        <v>3150.6000000000004</v>
      </c>
    </row>
    <row r="28" spans="2:35" ht="56.25" x14ac:dyDescent="0.25">
      <c r="B28" s="15" t="s">
        <v>2135</v>
      </c>
      <c r="C28" s="15"/>
      <c r="D28" s="207">
        <f>5+5</f>
        <v>10</v>
      </c>
      <c r="E28" s="162" t="s">
        <v>1722</v>
      </c>
      <c r="F28" s="697" t="s">
        <v>4308</v>
      </c>
      <c r="G28" s="15" t="s">
        <v>3463</v>
      </c>
      <c r="H28" s="155" t="s">
        <v>4309</v>
      </c>
      <c r="I28" s="111">
        <v>62.62</v>
      </c>
      <c r="J28" s="1082">
        <f t="shared" si="0"/>
        <v>626.19999999999993</v>
      </c>
      <c r="K28" s="110"/>
      <c r="L28" s="111"/>
      <c r="M28" s="110"/>
      <c r="N28" s="110"/>
      <c r="O28" s="110"/>
      <c r="P28" s="110"/>
      <c r="Q28" s="207">
        <v>2</v>
      </c>
      <c r="R28" s="1083">
        <f>Q28*I28</f>
        <v>125.24</v>
      </c>
      <c r="S28" s="207">
        <v>2</v>
      </c>
      <c r="T28" s="1084">
        <v>125.24</v>
      </c>
      <c r="U28" s="207">
        <v>1</v>
      </c>
      <c r="V28" s="111">
        <v>62.62</v>
      </c>
      <c r="W28" s="207">
        <v>1</v>
      </c>
      <c r="X28" s="111">
        <v>62.62</v>
      </c>
      <c r="Y28" s="207">
        <v>1</v>
      </c>
      <c r="Z28" s="111">
        <v>62.62</v>
      </c>
      <c r="AA28" s="207">
        <v>1</v>
      </c>
      <c r="AB28" s="111">
        <v>62.62</v>
      </c>
      <c r="AC28" s="207">
        <v>2</v>
      </c>
      <c r="AD28" s="110">
        <v>125.24</v>
      </c>
      <c r="AE28" s="110">
        <v>0</v>
      </c>
      <c r="AF28" s="111">
        <v>0</v>
      </c>
      <c r="AG28" s="110">
        <v>0</v>
      </c>
      <c r="AH28" s="111">
        <v>0</v>
      </c>
      <c r="AI28" s="111">
        <f t="shared" si="2"/>
        <v>626.19999999999993</v>
      </c>
    </row>
    <row r="29" spans="2:35" ht="56.25" x14ac:dyDescent="0.25">
      <c r="B29" s="15" t="s">
        <v>25</v>
      </c>
      <c r="C29" s="15"/>
      <c r="D29" s="207">
        <f>20+20</f>
        <v>40</v>
      </c>
      <c r="E29" s="162" t="s">
        <v>1722</v>
      </c>
      <c r="F29" s="697" t="s">
        <v>4308</v>
      </c>
      <c r="G29" s="15" t="s">
        <v>3463</v>
      </c>
      <c r="H29" s="155" t="s">
        <v>4309</v>
      </c>
      <c r="I29" s="111">
        <v>34.729999999999997</v>
      </c>
      <c r="J29" s="1082">
        <f t="shared" si="0"/>
        <v>1389.1999999999998</v>
      </c>
      <c r="K29" s="110"/>
      <c r="L29" s="111"/>
      <c r="M29" s="110"/>
      <c r="N29" s="110"/>
      <c r="O29" s="110"/>
      <c r="P29" s="110"/>
      <c r="Q29" s="207">
        <v>6</v>
      </c>
      <c r="R29" s="1083">
        <f>I29*Q29</f>
        <v>208.38</v>
      </c>
      <c r="S29" s="207">
        <v>6</v>
      </c>
      <c r="T29" s="1084">
        <v>208.38</v>
      </c>
      <c r="U29" s="207">
        <v>6</v>
      </c>
      <c r="V29" s="207">
        <v>208.38</v>
      </c>
      <c r="W29" s="207">
        <v>6</v>
      </c>
      <c r="X29" s="207">
        <v>208.38</v>
      </c>
      <c r="Y29" s="207">
        <v>6</v>
      </c>
      <c r="Z29" s="207">
        <v>208.38</v>
      </c>
      <c r="AA29" s="207">
        <v>6</v>
      </c>
      <c r="AB29" s="207">
        <v>208.38</v>
      </c>
      <c r="AC29" s="207">
        <v>4</v>
      </c>
      <c r="AD29" s="1082">
        <f>I29*AC29</f>
        <v>138.91999999999999</v>
      </c>
      <c r="AE29" s="110">
        <v>0</v>
      </c>
      <c r="AF29" s="111">
        <v>0</v>
      </c>
      <c r="AG29" s="110">
        <v>0</v>
      </c>
      <c r="AH29" s="111">
        <v>0</v>
      </c>
      <c r="AI29" s="111">
        <f t="shared" si="2"/>
        <v>1389.2000000000003</v>
      </c>
    </row>
    <row r="30" spans="2:35" ht="56.25" x14ac:dyDescent="0.25">
      <c r="B30" s="15" t="s">
        <v>90</v>
      </c>
      <c r="C30" s="15"/>
      <c r="D30" s="207">
        <f>50+50</f>
        <v>100</v>
      </c>
      <c r="E30" s="162" t="s">
        <v>1721</v>
      </c>
      <c r="F30" s="697" t="s">
        <v>4308</v>
      </c>
      <c r="G30" s="15" t="s">
        <v>3463</v>
      </c>
      <c r="H30" s="155" t="s">
        <v>4309</v>
      </c>
      <c r="I30" s="111">
        <v>16.350000000000001</v>
      </c>
      <c r="J30" s="1082">
        <f t="shared" si="0"/>
        <v>1635.0000000000002</v>
      </c>
      <c r="K30" s="110"/>
      <c r="L30" s="111"/>
      <c r="M30" s="110"/>
      <c r="N30" s="110"/>
      <c r="O30" s="110"/>
      <c r="P30" s="110"/>
      <c r="Q30" s="207">
        <v>15</v>
      </c>
      <c r="R30" s="1083">
        <f>I30*Q30</f>
        <v>245.25000000000003</v>
      </c>
      <c r="S30" s="207">
        <v>15</v>
      </c>
      <c r="T30" s="1084">
        <v>245.25</v>
      </c>
      <c r="U30" s="207">
        <v>15</v>
      </c>
      <c r="V30" s="207">
        <v>245.25</v>
      </c>
      <c r="W30" s="207">
        <v>15</v>
      </c>
      <c r="X30" s="207">
        <v>245.25</v>
      </c>
      <c r="Y30" s="207">
        <v>15</v>
      </c>
      <c r="Z30" s="207">
        <v>245.25</v>
      </c>
      <c r="AA30" s="207">
        <v>15</v>
      </c>
      <c r="AB30" s="207">
        <v>245.25</v>
      </c>
      <c r="AC30" s="207">
        <v>10</v>
      </c>
      <c r="AD30" s="1083">
        <f>I30*AC30</f>
        <v>163.5</v>
      </c>
      <c r="AE30" s="110">
        <v>0</v>
      </c>
      <c r="AF30" s="111">
        <v>0</v>
      </c>
      <c r="AG30" s="110">
        <v>0</v>
      </c>
      <c r="AH30" s="111">
        <v>0</v>
      </c>
      <c r="AI30" s="111">
        <f t="shared" si="2"/>
        <v>1635</v>
      </c>
    </row>
    <row r="31" spans="2:35" ht="56.25" x14ac:dyDescent="0.25">
      <c r="B31" s="1085" t="s">
        <v>28</v>
      </c>
      <c r="C31" s="1085"/>
      <c r="D31" s="207">
        <f>10+10</f>
        <v>20</v>
      </c>
      <c r="E31" s="162" t="s">
        <v>1721</v>
      </c>
      <c r="F31" s="697" t="s">
        <v>4308</v>
      </c>
      <c r="G31" s="15" t="s">
        <v>3463</v>
      </c>
      <c r="H31" s="155" t="s">
        <v>4309</v>
      </c>
      <c r="I31" s="111">
        <v>100.54</v>
      </c>
      <c r="J31" s="1082">
        <f t="shared" si="0"/>
        <v>2010.8000000000002</v>
      </c>
      <c r="K31" s="110"/>
      <c r="L31" s="111"/>
      <c r="M31" s="110"/>
      <c r="N31" s="110"/>
      <c r="O31" s="110"/>
      <c r="P31" s="110"/>
      <c r="Q31" s="207">
        <v>3</v>
      </c>
      <c r="R31" s="1083">
        <f>I31*Q31</f>
        <v>301.62</v>
      </c>
      <c r="S31" s="207">
        <v>3</v>
      </c>
      <c r="T31" s="1084">
        <v>301.62</v>
      </c>
      <c r="U31" s="207">
        <v>3</v>
      </c>
      <c r="V31" s="207">
        <v>301.62</v>
      </c>
      <c r="W31" s="207">
        <v>3</v>
      </c>
      <c r="X31" s="207">
        <v>301.62</v>
      </c>
      <c r="Y31" s="207">
        <v>3</v>
      </c>
      <c r="Z31" s="207">
        <v>301.62</v>
      </c>
      <c r="AA31" s="207">
        <v>3</v>
      </c>
      <c r="AB31" s="207">
        <v>301.62</v>
      </c>
      <c r="AC31" s="207">
        <v>2</v>
      </c>
      <c r="AD31" s="1082">
        <f>I31*AC31</f>
        <v>201.08</v>
      </c>
      <c r="AE31" s="110">
        <v>0</v>
      </c>
      <c r="AF31" s="111">
        <v>0</v>
      </c>
      <c r="AG31" s="110">
        <v>0</v>
      </c>
      <c r="AH31" s="111">
        <v>0</v>
      </c>
      <c r="AI31" s="111">
        <f t="shared" si="2"/>
        <v>2010.7999999999997</v>
      </c>
    </row>
    <row r="32" spans="2:35" x14ac:dyDescent="0.25">
      <c r="B32" s="1085"/>
      <c r="C32" s="1085"/>
      <c r="D32" s="207"/>
      <c r="E32" s="162"/>
      <c r="F32" s="162"/>
      <c r="G32" s="162"/>
      <c r="H32" s="207"/>
      <c r="I32" s="111"/>
      <c r="J32" s="1082"/>
      <c r="K32" s="110"/>
      <c r="L32" s="111"/>
      <c r="M32" s="110"/>
      <c r="N32" s="110"/>
      <c r="O32" s="110"/>
      <c r="P32" s="110"/>
      <c r="Q32" s="207"/>
      <c r="R32" s="207"/>
      <c r="S32" s="207"/>
      <c r="T32" s="1084"/>
      <c r="U32" s="207"/>
      <c r="V32" s="207"/>
      <c r="W32" s="207"/>
      <c r="X32" s="207"/>
      <c r="Y32" s="207"/>
      <c r="Z32" s="207"/>
      <c r="AA32" s="207"/>
      <c r="AB32" s="207"/>
      <c r="AC32" s="207"/>
      <c r="AD32" s="110"/>
      <c r="AE32" s="207"/>
      <c r="AF32" s="110"/>
      <c r="AG32" s="110"/>
      <c r="AH32" s="110"/>
      <c r="AI32" s="111"/>
    </row>
    <row r="33" spans="1:35" s="1092" customFormat="1" x14ac:dyDescent="0.25">
      <c r="A33" s="1086">
        <v>21106</v>
      </c>
      <c r="B33" s="1086" t="s">
        <v>102</v>
      </c>
      <c r="C33" s="1086"/>
      <c r="D33" s="1087"/>
      <c r="E33" s="1087"/>
      <c r="F33" s="1087"/>
      <c r="G33" s="1087"/>
      <c r="H33" s="1087"/>
      <c r="I33" s="1088"/>
      <c r="J33" s="1077">
        <f>SUM(J34:J48)</f>
        <v>76595.73</v>
      </c>
      <c r="K33" s="1088"/>
      <c r="L33" s="1089"/>
      <c r="M33" s="1090"/>
      <c r="N33" s="1090"/>
      <c r="O33" s="1090"/>
      <c r="P33" s="1090"/>
      <c r="Q33" s="1087"/>
      <c r="R33" s="1087"/>
      <c r="S33" s="1087"/>
      <c r="T33" s="1091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8"/>
      <c r="AE33" s="1087"/>
      <c r="AF33" s="1088"/>
      <c r="AG33" s="1088"/>
      <c r="AH33" s="1088"/>
      <c r="AI33" s="1078">
        <f>SUM(AI34:AI48)</f>
        <v>76595.73000000001</v>
      </c>
    </row>
    <row r="34" spans="1:35" ht="56.25" x14ac:dyDescent="0.25">
      <c r="B34" s="178" t="s">
        <v>1727</v>
      </c>
      <c r="C34" s="178"/>
      <c r="D34" s="207">
        <f>20+20</f>
        <v>40</v>
      </c>
      <c r="E34" s="207" t="s">
        <v>1725</v>
      </c>
      <c r="F34" s="697" t="s">
        <v>4308</v>
      </c>
      <c r="G34" s="15" t="s">
        <v>3463</v>
      </c>
      <c r="H34" s="155" t="s">
        <v>4309</v>
      </c>
      <c r="I34" s="111">
        <v>147.87</v>
      </c>
      <c r="J34" s="1082">
        <f t="shared" ref="J34:J48" si="3">D34*I34</f>
        <v>5914.8</v>
      </c>
      <c r="K34" s="110"/>
      <c r="L34" s="111"/>
      <c r="M34" s="110"/>
      <c r="N34" s="110"/>
      <c r="O34" s="110"/>
      <c r="P34" s="110"/>
      <c r="Q34" s="207">
        <v>6</v>
      </c>
      <c r="R34" s="1083">
        <f>I34*Q34</f>
        <v>887.22</v>
      </c>
      <c r="S34" s="207">
        <v>6</v>
      </c>
      <c r="T34" s="1084">
        <v>887.22</v>
      </c>
      <c r="U34" s="207">
        <v>6</v>
      </c>
      <c r="V34" s="207">
        <v>887.22</v>
      </c>
      <c r="W34" s="207">
        <v>6</v>
      </c>
      <c r="X34" s="207">
        <v>887.22</v>
      </c>
      <c r="Y34" s="207">
        <v>6</v>
      </c>
      <c r="Z34" s="207">
        <v>887.22</v>
      </c>
      <c r="AA34" s="207">
        <v>6</v>
      </c>
      <c r="AB34" s="207">
        <v>887.22</v>
      </c>
      <c r="AC34" s="207">
        <v>4</v>
      </c>
      <c r="AD34" s="1082">
        <f>I34*AC34</f>
        <v>591.48</v>
      </c>
      <c r="AE34" s="110">
        <v>0</v>
      </c>
      <c r="AF34" s="111">
        <v>0</v>
      </c>
      <c r="AG34" s="110">
        <v>0</v>
      </c>
      <c r="AH34" s="111">
        <v>0</v>
      </c>
      <c r="AI34" s="111">
        <f t="shared" ref="AI34:AI48" si="4">R34+T34+V34+X34+Z34+AB34+AD34</f>
        <v>5914.8000000000011</v>
      </c>
    </row>
    <row r="35" spans="1:35" ht="56.25" x14ac:dyDescent="0.25">
      <c r="B35" s="15" t="s">
        <v>125</v>
      </c>
      <c r="C35" s="15"/>
      <c r="D35" s="207">
        <f>29+30</f>
        <v>59</v>
      </c>
      <c r="E35" s="1093" t="s">
        <v>1721</v>
      </c>
      <c r="F35" s="697" t="s">
        <v>4308</v>
      </c>
      <c r="G35" s="15" t="s">
        <v>3463</v>
      </c>
      <c r="H35" s="155" t="s">
        <v>4309</v>
      </c>
      <c r="I35" s="111">
        <v>30.06</v>
      </c>
      <c r="J35" s="1082">
        <f t="shared" si="3"/>
        <v>1773.54</v>
      </c>
      <c r="K35" s="110"/>
      <c r="L35" s="111"/>
      <c r="M35" s="110"/>
      <c r="N35" s="110"/>
      <c r="O35" s="110"/>
      <c r="P35" s="110"/>
      <c r="Q35" s="207">
        <v>10</v>
      </c>
      <c r="R35" s="1083">
        <f>I35*Q35</f>
        <v>300.59999999999997</v>
      </c>
      <c r="S35" s="207">
        <v>10</v>
      </c>
      <c r="T35" s="1084">
        <v>300.60000000000002</v>
      </c>
      <c r="U35" s="207">
        <v>10</v>
      </c>
      <c r="V35" s="1084">
        <v>300.60000000000002</v>
      </c>
      <c r="W35" s="207">
        <v>10</v>
      </c>
      <c r="X35" s="1084">
        <v>300.60000000000002</v>
      </c>
      <c r="Y35" s="207">
        <v>5</v>
      </c>
      <c r="Z35" s="1083">
        <f>I35*Y35</f>
        <v>150.29999999999998</v>
      </c>
      <c r="AA35" s="207">
        <v>5</v>
      </c>
      <c r="AB35" s="1083">
        <v>150.30000000000001</v>
      </c>
      <c r="AC35" s="207">
        <v>9</v>
      </c>
      <c r="AD35" s="1082">
        <f>AC35*I35</f>
        <v>270.53999999999996</v>
      </c>
      <c r="AE35" s="110">
        <v>0</v>
      </c>
      <c r="AF35" s="111">
        <v>0</v>
      </c>
      <c r="AG35" s="110">
        <v>0</v>
      </c>
      <c r="AH35" s="111">
        <v>0</v>
      </c>
      <c r="AI35" s="111">
        <f t="shared" si="4"/>
        <v>1773.54</v>
      </c>
    </row>
    <row r="36" spans="1:35" ht="56.25" x14ac:dyDescent="0.25">
      <c r="B36" s="15" t="s">
        <v>126</v>
      </c>
      <c r="C36" s="15"/>
      <c r="D36" s="207">
        <f>20+20</f>
        <v>40</v>
      </c>
      <c r="E36" s="1093" t="s">
        <v>1721</v>
      </c>
      <c r="F36" s="697" t="s">
        <v>4308</v>
      </c>
      <c r="G36" s="15" t="s">
        <v>3463</v>
      </c>
      <c r="H36" s="155" t="s">
        <v>4309</v>
      </c>
      <c r="I36" s="111">
        <v>31</v>
      </c>
      <c r="J36" s="1082">
        <f t="shared" si="3"/>
        <v>1240</v>
      </c>
      <c r="K36" s="110"/>
      <c r="L36" s="111"/>
      <c r="M36" s="110"/>
      <c r="N36" s="110"/>
      <c r="O36" s="110"/>
      <c r="P36" s="110"/>
      <c r="Q36" s="207">
        <v>6</v>
      </c>
      <c r="R36" s="1083">
        <f>I36*Q36</f>
        <v>186</v>
      </c>
      <c r="S36" s="207">
        <v>6</v>
      </c>
      <c r="T36" s="1084">
        <v>186</v>
      </c>
      <c r="U36" s="207">
        <v>6</v>
      </c>
      <c r="V36" s="1083">
        <v>186</v>
      </c>
      <c r="W36" s="207">
        <v>6</v>
      </c>
      <c r="X36" s="1083">
        <v>186</v>
      </c>
      <c r="Y36" s="207">
        <v>6</v>
      </c>
      <c r="Z36" s="1083">
        <v>186</v>
      </c>
      <c r="AA36" s="207">
        <v>6</v>
      </c>
      <c r="AB36" s="1083">
        <v>186</v>
      </c>
      <c r="AC36" s="207">
        <v>4</v>
      </c>
      <c r="AD36" s="1082">
        <f>AC36*I36</f>
        <v>124</v>
      </c>
      <c r="AE36" s="110">
        <v>0</v>
      </c>
      <c r="AF36" s="111">
        <v>0</v>
      </c>
      <c r="AG36" s="110">
        <v>0</v>
      </c>
      <c r="AH36" s="111">
        <v>0</v>
      </c>
      <c r="AI36" s="111">
        <f t="shared" si="4"/>
        <v>1240</v>
      </c>
    </row>
    <row r="37" spans="1:35" ht="56.25" x14ac:dyDescent="0.25">
      <c r="B37" s="15" t="s">
        <v>2637</v>
      </c>
      <c r="C37" s="15"/>
      <c r="D37" s="207">
        <f>20+20</f>
        <v>40</v>
      </c>
      <c r="E37" s="1093" t="s">
        <v>1721</v>
      </c>
      <c r="F37" s="697" t="s">
        <v>4308</v>
      </c>
      <c r="G37" s="15" t="s">
        <v>3463</v>
      </c>
      <c r="H37" s="155" t="s">
        <v>4309</v>
      </c>
      <c r="I37" s="111">
        <v>97.75</v>
      </c>
      <c r="J37" s="1082">
        <f t="shared" si="3"/>
        <v>3910</v>
      </c>
      <c r="K37" s="110"/>
      <c r="L37" s="111"/>
      <c r="M37" s="110"/>
      <c r="N37" s="110"/>
      <c r="O37" s="110"/>
      <c r="P37" s="110"/>
      <c r="Q37" s="207">
        <v>6</v>
      </c>
      <c r="R37" s="1083">
        <f>Q37*I37</f>
        <v>586.5</v>
      </c>
      <c r="S37" s="207">
        <v>6</v>
      </c>
      <c r="T37" s="1084">
        <v>586.5</v>
      </c>
      <c r="U37" s="207">
        <v>6</v>
      </c>
      <c r="V37" s="1084">
        <v>586.5</v>
      </c>
      <c r="W37" s="207">
        <v>6</v>
      </c>
      <c r="X37" s="1084">
        <v>586.5</v>
      </c>
      <c r="Y37" s="207">
        <v>6</v>
      </c>
      <c r="Z37" s="1084">
        <v>586.5</v>
      </c>
      <c r="AA37" s="207">
        <v>6</v>
      </c>
      <c r="AB37" s="1084">
        <v>586.5</v>
      </c>
      <c r="AC37" s="207">
        <v>4</v>
      </c>
      <c r="AD37" s="1082">
        <f>AC37*I37</f>
        <v>391</v>
      </c>
      <c r="AE37" s="110">
        <v>0</v>
      </c>
      <c r="AF37" s="111">
        <v>0</v>
      </c>
      <c r="AG37" s="110">
        <v>0</v>
      </c>
      <c r="AH37" s="111">
        <v>0</v>
      </c>
      <c r="AI37" s="111">
        <f t="shared" si="4"/>
        <v>3910</v>
      </c>
    </row>
    <row r="38" spans="1:35" ht="56.25" x14ac:dyDescent="0.25">
      <c r="B38" s="15" t="s">
        <v>2226</v>
      </c>
      <c r="C38" s="15"/>
      <c r="D38" s="207">
        <f>20+20</f>
        <v>40</v>
      </c>
      <c r="E38" s="1093" t="s">
        <v>1721</v>
      </c>
      <c r="F38" s="697" t="s">
        <v>4308</v>
      </c>
      <c r="G38" s="15" t="s">
        <v>3463</v>
      </c>
      <c r="H38" s="155" t="s">
        <v>4309</v>
      </c>
      <c r="I38" s="111">
        <v>5.55</v>
      </c>
      <c r="J38" s="1082">
        <f t="shared" si="3"/>
        <v>222</v>
      </c>
      <c r="K38" s="110"/>
      <c r="L38" s="111"/>
      <c r="M38" s="110"/>
      <c r="N38" s="110"/>
      <c r="O38" s="110"/>
      <c r="P38" s="110"/>
      <c r="Q38" s="207">
        <v>6</v>
      </c>
      <c r="R38" s="1083">
        <f t="shared" ref="R38:R48" si="5">Q38*I38</f>
        <v>33.299999999999997</v>
      </c>
      <c r="S38" s="207">
        <v>6</v>
      </c>
      <c r="T38" s="1084">
        <v>33.299999999999997</v>
      </c>
      <c r="U38" s="207">
        <v>6</v>
      </c>
      <c r="V38" s="1084">
        <v>33.299999999999997</v>
      </c>
      <c r="W38" s="207">
        <v>6</v>
      </c>
      <c r="X38" s="1084">
        <v>33.299999999999997</v>
      </c>
      <c r="Y38" s="207">
        <v>6</v>
      </c>
      <c r="Z38" s="1084">
        <v>33.299999999999997</v>
      </c>
      <c r="AA38" s="207">
        <v>6</v>
      </c>
      <c r="AB38" s="1084">
        <v>33.299999999999997</v>
      </c>
      <c r="AC38" s="207">
        <v>4</v>
      </c>
      <c r="AD38" s="1082">
        <f t="shared" ref="AD38:AD48" si="6">AC38*I38</f>
        <v>22.2</v>
      </c>
      <c r="AE38" s="110">
        <v>0</v>
      </c>
      <c r="AF38" s="111">
        <v>0</v>
      </c>
      <c r="AG38" s="110">
        <v>0</v>
      </c>
      <c r="AH38" s="111">
        <v>0</v>
      </c>
      <c r="AI38" s="111">
        <f t="shared" si="4"/>
        <v>222</v>
      </c>
    </row>
    <row r="39" spans="1:35" ht="56.25" x14ac:dyDescent="0.25">
      <c r="B39" s="15" t="s">
        <v>119</v>
      </c>
      <c r="C39" s="15"/>
      <c r="D39" s="207">
        <f>55+43+205</f>
        <v>303</v>
      </c>
      <c r="E39" s="207" t="s">
        <v>1725</v>
      </c>
      <c r="F39" s="697" t="s">
        <v>4308</v>
      </c>
      <c r="G39" s="15" t="s">
        <v>3463</v>
      </c>
      <c r="H39" s="155" t="s">
        <v>4309</v>
      </c>
      <c r="I39" s="111">
        <v>85.05</v>
      </c>
      <c r="J39" s="1082">
        <f t="shared" si="3"/>
        <v>25770.149999999998</v>
      </c>
      <c r="K39" s="110"/>
      <c r="L39" s="111"/>
      <c r="M39" s="110"/>
      <c r="N39" s="110"/>
      <c r="O39" s="110"/>
      <c r="P39" s="110"/>
      <c r="Q39" s="207">
        <v>45</v>
      </c>
      <c r="R39" s="1083">
        <f t="shared" si="5"/>
        <v>3827.25</v>
      </c>
      <c r="S39" s="207">
        <v>45</v>
      </c>
      <c r="T39" s="1084">
        <v>3827.25</v>
      </c>
      <c r="U39" s="207">
        <v>45</v>
      </c>
      <c r="V39" s="1084">
        <v>3827.25</v>
      </c>
      <c r="W39" s="207">
        <v>45</v>
      </c>
      <c r="X39" s="1084">
        <v>3827.25</v>
      </c>
      <c r="Y39" s="207">
        <v>45</v>
      </c>
      <c r="Z39" s="1084">
        <v>3827.25</v>
      </c>
      <c r="AA39" s="207">
        <v>45</v>
      </c>
      <c r="AB39" s="1084">
        <v>3827.25</v>
      </c>
      <c r="AC39" s="207">
        <v>33</v>
      </c>
      <c r="AD39" s="1082">
        <f t="shared" si="6"/>
        <v>2806.65</v>
      </c>
      <c r="AE39" s="110">
        <v>0</v>
      </c>
      <c r="AF39" s="111">
        <v>0</v>
      </c>
      <c r="AG39" s="110">
        <v>0</v>
      </c>
      <c r="AH39" s="111">
        <v>0</v>
      </c>
      <c r="AI39" s="111">
        <f t="shared" si="4"/>
        <v>25770.15</v>
      </c>
    </row>
    <row r="40" spans="1:35" ht="56.25" x14ac:dyDescent="0.25">
      <c r="B40" s="15" t="s">
        <v>111</v>
      </c>
      <c r="C40" s="15"/>
      <c r="D40" s="207">
        <f>50+50</f>
        <v>100</v>
      </c>
      <c r="E40" s="207" t="s">
        <v>1725</v>
      </c>
      <c r="F40" s="697" t="s">
        <v>4308</v>
      </c>
      <c r="G40" s="15" t="s">
        <v>3463</v>
      </c>
      <c r="H40" s="155" t="s">
        <v>4309</v>
      </c>
      <c r="I40" s="111">
        <v>119.06</v>
      </c>
      <c r="J40" s="1082">
        <f t="shared" si="3"/>
        <v>11906</v>
      </c>
      <c r="K40" s="110"/>
      <c r="L40" s="111"/>
      <c r="M40" s="110"/>
      <c r="N40" s="110"/>
      <c r="O40" s="110"/>
      <c r="P40" s="110"/>
      <c r="Q40" s="207">
        <v>15</v>
      </c>
      <c r="R40" s="1083">
        <f t="shared" si="5"/>
        <v>1785.9</v>
      </c>
      <c r="S40" s="207">
        <v>15</v>
      </c>
      <c r="T40" s="1084">
        <v>1785.9</v>
      </c>
      <c r="U40" s="207">
        <v>15</v>
      </c>
      <c r="V40" s="1084">
        <v>1785.9</v>
      </c>
      <c r="W40" s="207">
        <v>15</v>
      </c>
      <c r="X40" s="1084">
        <v>1785.9</v>
      </c>
      <c r="Y40" s="207">
        <v>15</v>
      </c>
      <c r="Z40" s="1084">
        <v>1785.9</v>
      </c>
      <c r="AA40" s="207">
        <v>15</v>
      </c>
      <c r="AB40" s="1084">
        <v>1785.9</v>
      </c>
      <c r="AC40" s="207">
        <v>10</v>
      </c>
      <c r="AD40" s="1082">
        <f t="shared" si="6"/>
        <v>1190.5999999999999</v>
      </c>
      <c r="AE40" s="110">
        <v>0</v>
      </c>
      <c r="AF40" s="111">
        <v>0</v>
      </c>
      <c r="AG40" s="110">
        <v>0</v>
      </c>
      <c r="AH40" s="111">
        <v>0</v>
      </c>
      <c r="AI40" s="111">
        <f t="shared" si="4"/>
        <v>11906</v>
      </c>
    </row>
    <row r="41" spans="1:35" ht="56.25" x14ac:dyDescent="0.25">
      <c r="B41" s="15" t="s">
        <v>2637</v>
      </c>
      <c r="C41" s="15"/>
      <c r="D41" s="207">
        <f>50+50</f>
        <v>100</v>
      </c>
      <c r="E41" s="1093" t="s">
        <v>1721</v>
      </c>
      <c r="F41" s="697" t="s">
        <v>4308</v>
      </c>
      <c r="G41" s="15" t="s">
        <v>3463</v>
      </c>
      <c r="H41" s="155" t="s">
        <v>4309</v>
      </c>
      <c r="I41" s="111">
        <v>91.75</v>
      </c>
      <c r="J41" s="1082">
        <f t="shared" si="3"/>
        <v>9175</v>
      </c>
      <c r="K41" s="110"/>
      <c r="L41" s="111"/>
      <c r="M41" s="110"/>
      <c r="N41" s="110"/>
      <c r="O41" s="110"/>
      <c r="P41" s="110"/>
      <c r="Q41" s="207">
        <v>15</v>
      </c>
      <c r="R41" s="1083">
        <f t="shared" si="5"/>
        <v>1376.25</v>
      </c>
      <c r="S41" s="207">
        <v>15</v>
      </c>
      <c r="T41" s="1084">
        <v>1376.25</v>
      </c>
      <c r="U41" s="207">
        <v>15</v>
      </c>
      <c r="V41" s="1084">
        <v>1376.25</v>
      </c>
      <c r="W41" s="207">
        <v>15</v>
      </c>
      <c r="X41" s="1084">
        <v>1376.25</v>
      </c>
      <c r="Y41" s="207">
        <v>15</v>
      </c>
      <c r="Z41" s="1084">
        <v>1376.25</v>
      </c>
      <c r="AA41" s="207">
        <v>15</v>
      </c>
      <c r="AB41" s="1084">
        <v>1376.25</v>
      </c>
      <c r="AC41" s="207">
        <v>10</v>
      </c>
      <c r="AD41" s="1082">
        <f t="shared" si="6"/>
        <v>917.5</v>
      </c>
      <c r="AE41" s="110">
        <v>0</v>
      </c>
      <c r="AF41" s="111">
        <v>0</v>
      </c>
      <c r="AG41" s="110">
        <v>0</v>
      </c>
      <c r="AH41" s="111">
        <v>0</v>
      </c>
      <c r="AI41" s="111">
        <f t="shared" si="4"/>
        <v>9175</v>
      </c>
    </row>
    <row r="42" spans="1:35" ht="56.25" x14ac:dyDescent="0.25">
      <c r="B42" s="15" t="s">
        <v>115</v>
      </c>
      <c r="C42" s="15"/>
      <c r="D42" s="207">
        <f>21+21</f>
        <v>42</v>
      </c>
      <c r="E42" s="207" t="s">
        <v>1725</v>
      </c>
      <c r="F42" s="697" t="s">
        <v>4308</v>
      </c>
      <c r="G42" s="15" t="s">
        <v>3463</v>
      </c>
      <c r="H42" s="155" t="s">
        <v>4309</v>
      </c>
      <c r="I42" s="111">
        <v>19.88</v>
      </c>
      <c r="J42" s="1082">
        <f t="shared" si="3"/>
        <v>834.95999999999992</v>
      </c>
      <c r="K42" s="110"/>
      <c r="L42" s="111"/>
      <c r="M42" s="110"/>
      <c r="N42" s="110"/>
      <c r="O42" s="110"/>
      <c r="P42" s="110"/>
      <c r="Q42" s="207">
        <v>6</v>
      </c>
      <c r="R42" s="1083">
        <f t="shared" si="5"/>
        <v>119.28</v>
      </c>
      <c r="S42" s="207">
        <v>6</v>
      </c>
      <c r="T42" s="1084">
        <v>119.28</v>
      </c>
      <c r="U42" s="207">
        <v>6</v>
      </c>
      <c r="V42" s="1084">
        <v>119.28</v>
      </c>
      <c r="W42" s="207">
        <v>6</v>
      </c>
      <c r="X42" s="1084">
        <v>119.28</v>
      </c>
      <c r="Y42" s="207">
        <v>6</v>
      </c>
      <c r="Z42" s="1084">
        <v>119.28</v>
      </c>
      <c r="AA42" s="207">
        <v>6</v>
      </c>
      <c r="AB42" s="1084">
        <v>119.28</v>
      </c>
      <c r="AC42" s="207">
        <v>6</v>
      </c>
      <c r="AD42" s="1082">
        <f t="shared" si="6"/>
        <v>119.28</v>
      </c>
      <c r="AE42" s="110">
        <v>0</v>
      </c>
      <c r="AF42" s="111">
        <v>0</v>
      </c>
      <c r="AG42" s="110">
        <v>0</v>
      </c>
      <c r="AH42" s="111">
        <v>0</v>
      </c>
      <c r="AI42" s="111">
        <f t="shared" si="4"/>
        <v>834.95999999999992</v>
      </c>
    </row>
    <row r="43" spans="1:35" ht="56.25" x14ac:dyDescent="0.25">
      <c r="B43" s="15" t="s">
        <v>4314</v>
      </c>
      <c r="C43" s="15"/>
      <c r="D43" s="207">
        <f>200+200</f>
        <v>400</v>
      </c>
      <c r="E43" s="1093" t="s">
        <v>1721</v>
      </c>
      <c r="F43" s="697" t="s">
        <v>4308</v>
      </c>
      <c r="G43" s="15" t="s">
        <v>3463</v>
      </c>
      <c r="H43" s="155" t="s">
        <v>4309</v>
      </c>
      <c r="I43" s="111">
        <v>1.38</v>
      </c>
      <c r="J43" s="1082">
        <f t="shared" si="3"/>
        <v>552</v>
      </c>
      <c r="K43" s="110"/>
      <c r="L43" s="111"/>
      <c r="M43" s="110"/>
      <c r="N43" s="110"/>
      <c r="O43" s="110"/>
      <c r="P43" s="110"/>
      <c r="Q43" s="207">
        <v>70</v>
      </c>
      <c r="R43" s="1083">
        <f t="shared" si="5"/>
        <v>96.6</v>
      </c>
      <c r="S43" s="207">
        <v>70</v>
      </c>
      <c r="T43" s="1083">
        <v>96.6</v>
      </c>
      <c r="U43" s="207">
        <v>70</v>
      </c>
      <c r="V43" s="1083">
        <v>96.6</v>
      </c>
      <c r="W43" s="207">
        <v>70</v>
      </c>
      <c r="X43" s="1083">
        <v>96.6</v>
      </c>
      <c r="Y43" s="207">
        <v>70</v>
      </c>
      <c r="Z43" s="1083">
        <v>96.6</v>
      </c>
      <c r="AA43" s="207">
        <v>25</v>
      </c>
      <c r="AB43" s="1083">
        <v>34.5</v>
      </c>
      <c r="AC43" s="207">
        <v>25</v>
      </c>
      <c r="AD43" s="1082">
        <f t="shared" si="6"/>
        <v>34.5</v>
      </c>
      <c r="AE43" s="110">
        <v>0</v>
      </c>
      <c r="AF43" s="111">
        <v>0</v>
      </c>
      <c r="AG43" s="110">
        <v>0</v>
      </c>
      <c r="AH43" s="111">
        <v>0</v>
      </c>
      <c r="AI43" s="111">
        <f t="shared" si="4"/>
        <v>552</v>
      </c>
    </row>
    <row r="44" spans="1:35" ht="56.25" x14ac:dyDescent="0.25">
      <c r="B44" s="15" t="s">
        <v>2636</v>
      </c>
      <c r="C44" s="15"/>
      <c r="D44" s="207">
        <f>202+202</f>
        <v>404</v>
      </c>
      <c r="E44" s="1093" t="s">
        <v>1721</v>
      </c>
      <c r="F44" s="697" t="s">
        <v>4308</v>
      </c>
      <c r="G44" s="15" t="s">
        <v>3463</v>
      </c>
      <c r="H44" s="155" t="s">
        <v>4309</v>
      </c>
      <c r="I44" s="111">
        <v>3.32</v>
      </c>
      <c r="J44" s="1082">
        <f t="shared" si="3"/>
        <v>1341.28</v>
      </c>
      <c r="K44" s="110"/>
      <c r="L44" s="111"/>
      <c r="M44" s="110"/>
      <c r="N44" s="110"/>
      <c r="O44" s="110"/>
      <c r="P44" s="110"/>
      <c r="Q44" s="207">
        <v>70</v>
      </c>
      <c r="R44" s="1083">
        <f t="shared" si="5"/>
        <v>232.39999999999998</v>
      </c>
      <c r="S44" s="207">
        <v>70</v>
      </c>
      <c r="T44" s="1084">
        <v>232.4</v>
      </c>
      <c r="U44" s="207">
        <v>70</v>
      </c>
      <c r="V44" s="1084">
        <v>232.4</v>
      </c>
      <c r="W44" s="207">
        <v>70</v>
      </c>
      <c r="X44" s="1084">
        <v>232.4</v>
      </c>
      <c r="Y44" s="207">
        <v>70</v>
      </c>
      <c r="Z44" s="1084">
        <v>232.4</v>
      </c>
      <c r="AA44" s="207">
        <v>25</v>
      </c>
      <c r="AB44" s="1084">
        <f>AA44*I44</f>
        <v>83</v>
      </c>
      <c r="AC44" s="207">
        <v>29</v>
      </c>
      <c r="AD44" s="1082">
        <f t="shared" si="6"/>
        <v>96.28</v>
      </c>
      <c r="AE44" s="110">
        <v>0</v>
      </c>
      <c r="AF44" s="111">
        <v>0</v>
      </c>
      <c r="AG44" s="110">
        <v>0</v>
      </c>
      <c r="AH44" s="111">
        <v>0</v>
      </c>
      <c r="AI44" s="111">
        <f t="shared" si="4"/>
        <v>1341.28</v>
      </c>
    </row>
    <row r="45" spans="1:35" ht="56.25" x14ac:dyDescent="0.25">
      <c r="B45" s="15" t="s">
        <v>1139</v>
      </c>
      <c r="C45" s="15"/>
      <c r="D45" s="207">
        <f>100+100</f>
        <v>200</v>
      </c>
      <c r="E45" s="1093" t="s">
        <v>1721</v>
      </c>
      <c r="F45" s="697" t="s">
        <v>4308</v>
      </c>
      <c r="G45" s="15" t="s">
        <v>3463</v>
      </c>
      <c r="H45" s="155" t="s">
        <v>4309</v>
      </c>
      <c r="I45" s="111">
        <v>1.89</v>
      </c>
      <c r="J45" s="1082">
        <f t="shared" si="3"/>
        <v>378</v>
      </c>
      <c r="K45" s="110"/>
      <c r="L45" s="111"/>
      <c r="M45" s="110"/>
      <c r="N45" s="110"/>
      <c r="O45" s="110"/>
      <c r="P45" s="110"/>
      <c r="Q45" s="207">
        <v>30</v>
      </c>
      <c r="R45" s="1083">
        <f t="shared" si="5"/>
        <v>56.699999999999996</v>
      </c>
      <c r="S45" s="207">
        <v>30</v>
      </c>
      <c r="T45" s="1084">
        <v>56.7</v>
      </c>
      <c r="U45" s="207">
        <v>30</v>
      </c>
      <c r="V45" s="1084">
        <v>56.7</v>
      </c>
      <c r="W45" s="207">
        <v>30</v>
      </c>
      <c r="X45" s="1084">
        <v>56.7</v>
      </c>
      <c r="Y45" s="207">
        <v>30</v>
      </c>
      <c r="Z45" s="1084">
        <v>56.7</v>
      </c>
      <c r="AA45" s="207">
        <v>30</v>
      </c>
      <c r="AB45" s="1084">
        <v>56.7</v>
      </c>
      <c r="AC45" s="207">
        <v>20</v>
      </c>
      <c r="AD45" s="1082">
        <f t="shared" si="6"/>
        <v>37.799999999999997</v>
      </c>
      <c r="AE45" s="110">
        <v>0</v>
      </c>
      <c r="AF45" s="111">
        <v>0</v>
      </c>
      <c r="AG45" s="110">
        <v>0</v>
      </c>
      <c r="AH45" s="111">
        <v>0</v>
      </c>
      <c r="AI45" s="111">
        <f t="shared" si="4"/>
        <v>378</v>
      </c>
    </row>
    <row r="46" spans="1:35" ht="56.25" x14ac:dyDescent="0.25">
      <c r="B46" s="15" t="s">
        <v>4315</v>
      </c>
      <c r="C46" s="15"/>
      <c r="D46" s="207">
        <f>100+100</f>
        <v>200</v>
      </c>
      <c r="E46" s="1093" t="s">
        <v>1721</v>
      </c>
      <c r="F46" s="697" t="s">
        <v>4308</v>
      </c>
      <c r="G46" s="15" t="s">
        <v>3463</v>
      </c>
      <c r="H46" s="155" t="s">
        <v>4309</v>
      </c>
      <c r="I46" s="111">
        <v>1.89</v>
      </c>
      <c r="J46" s="1082">
        <f t="shared" si="3"/>
        <v>378</v>
      </c>
      <c r="K46" s="110"/>
      <c r="L46" s="111"/>
      <c r="M46" s="110"/>
      <c r="N46" s="110"/>
      <c r="O46" s="110"/>
      <c r="P46" s="110"/>
      <c r="Q46" s="207">
        <v>30</v>
      </c>
      <c r="R46" s="1083">
        <f t="shared" si="5"/>
        <v>56.699999999999996</v>
      </c>
      <c r="S46" s="207">
        <v>30</v>
      </c>
      <c r="T46" s="1084">
        <v>56.7</v>
      </c>
      <c r="U46" s="207">
        <v>30</v>
      </c>
      <c r="V46" s="1084">
        <v>56.7</v>
      </c>
      <c r="W46" s="207">
        <v>30</v>
      </c>
      <c r="X46" s="1084">
        <v>56.7</v>
      </c>
      <c r="Y46" s="207">
        <v>30</v>
      </c>
      <c r="Z46" s="1084">
        <v>56.7</v>
      </c>
      <c r="AA46" s="207">
        <v>30</v>
      </c>
      <c r="AB46" s="1084">
        <v>56.7</v>
      </c>
      <c r="AC46" s="207">
        <v>20</v>
      </c>
      <c r="AD46" s="1082">
        <f t="shared" si="6"/>
        <v>37.799999999999997</v>
      </c>
      <c r="AE46" s="110">
        <v>0</v>
      </c>
      <c r="AF46" s="111">
        <v>0</v>
      </c>
      <c r="AG46" s="110">
        <v>0</v>
      </c>
      <c r="AH46" s="111">
        <v>0</v>
      </c>
      <c r="AI46" s="111">
        <f t="shared" si="4"/>
        <v>378</v>
      </c>
    </row>
    <row r="47" spans="1:35" ht="56.25" x14ac:dyDescent="0.25">
      <c r="B47" s="182" t="s">
        <v>2153</v>
      </c>
      <c r="C47" s="182"/>
      <c r="D47" s="1093">
        <f>100+100</f>
        <v>200</v>
      </c>
      <c r="E47" s="1093" t="s">
        <v>1721</v>
      </c>
      <c r="F47" s="697" t="s">
        <v>4308</v>
      </c>
      <c r="G47" s="15" t="s">
        <v>3463</v>
      </c>
      <c r="H47" s="155" t="s">
        <v>4309</v>
      </c>
      <c r="I47" s="334">
        <v>1.89</v>
      </c>
      <c r="J47" s="1094">
        <f t="shared" si="3"/>
        <v>378</v>
      </c>
      <c r="K47" s="110"/>
      <c r="L47" s="111"/>
      <c r="M47" s="110"/>
      <c r="N47" s="110"/>
      <c r="O47" s="110"/>
      <c r="P47" s="110"/>
      <c r="Q47" s="207">
        <v>30</v>
      </c>
      <c r="R47" s="1083">
        <f t="shared" si="5"/>
        <v>56.699999999999996</v>
      </c>
      <c r="S47" s="207">
        <v>30</v>
      </c>
      <c r="T47" s="1084">
        <v>56.7</v>
      </c>
      <c r="U47" s="207">
        <v>30</v>
      </c>
      <c r="V47" s="1084">
        <v>56.7</v>
      </c>
      <c r="W47" s="207">
        <v>30</v>
      </c>
      <c r="X47" s="1084">
        <v>56.7</v>
      </c>
      <c r="Y47" s="207">
        <v>30</v>
      </c>
      <c r="Z47" s="1084">
        <v>56.7</v>
      </c>
      <c r="AA47" s="207">
        <v>30</v>
      </c>
      <c r="AB47" s="1084">
        <v>56.7</v>
      </c>
      <c r="AC47" s="207">
        <v>20</v>
      </c>
      <c r="AD47" s="1082">
        <f t="shared" si="6"/>
        <v>37.799999999999997</v>
      </c>
      <c r="AE47" s="110">
        <v>0</v>
      </c>
      <c r="AF47" s="111">
        <v>0</v>
      </c>
      <c r="AG47" s="110">
        <v>0</v>
      </c>
      <c r="AH47" s="111">
        <v>0</v>
      </c>
      <c r="AI47" s="111">
        <f t="shared" si="4"/>
        <v>378</v>
      </c>
    </row>
    <row r="48" spans="1:35" ht="56.25" x14ac:dyDescent="0.25">
      <c r="A48" s="110"/>
      <c r="B48" s="15" t="s">
        <v>124</v>
      </c>
      <c r="C48" s="15"/>
      <c r="D48" s="207">
        <f>100+100</f>
        <v>200</v>
      </c>
      <c r="E48" s="207" t="s">
        <v>1725</v>
      </c>
      <c r="F48" s="697" t="s">
        <v>4308</v>
      </c>
      <c r="G48" s="15" t="s">
        <v>3463</v>
      </c>
      <c r="H48" s="155" t="s">
        <v>4309</v>
      </c>
      <c r="I48" s="111">
        <v>64.11</v>
      </c>
      <c r="J48" s="1082">
        <f t="shared" si="3"/>
        <v>12822</v>
      </c>
      <c r="K48" s="110"/>
      <c r="L48" s="111"/>
      <c r="M48" s="110"/>
      <c r="N48" s="110"/>
      <c r="O48" s="110"/>
      <c r="P48" s="110"/>
      <c r="Q48" s="207">
        <v>30</v>
      </c>
      <c r="R48" s="1083">
        <f t="shared" si="5"/>
        <v>1923.3</v>
      </c>
      <c r="S48" s="207">
        <v>30</v>
      </c>
      <c r="T48" s="1084">
        <v>1923.3</v>
      </c>
      <c r="U48" s="207">
        <v>30</v>
      </c>
      <c r="V48" s="1084">
        <v>1923.3</v>
      </c>
      <c r="W48" s="207">
        <v>30</v>
      </c>
      <c r="X48" s="1084">
        <v>1923.3</v>
      </c>
      <c r="Y48" s="207">
        <v>30</v>
      </c>
      <c r="Z48" s="1084">
        <v>1923.3</v>
      </c>
      <c r="AA48" s="207">
        <v>30</v>
      </c>
      <c r="AB48" s="1084">
        <v>1923.3</v>
      </c>
      <c r="AC48" s="207">
        <v>20</v>
      </c>
      <c r="AD48" s="1082">
        <f t="shared" si="6"/>
        <v>1282.2</v>
      </c>
      <c r="AE48" s="110">
        <v>0</v>
      </c>
      <c r="AF48" s="111">
        <v>0</v>
      </c>
      <c r="AG48" s="110">
        <v>0</v>
      </c>
      <c r="AH48" s="111">
        <v>0</v>
      </c>
      <c r="AI48" s="111">
        <f t="shared" si="4"/>
        <v>12822</v>
      </c>
    </row>
    <row r="49" spans="1:35" x14ac:dyDescent="0.25">
      <c r="A49" s="110"/>
      <c r="B49" s="62"/>
      <c r="C49" s="62"/>
      <c r="D49" s="207"/>
      <c r="E49" s="207"/>
      <c r="F49" s="207"/>
      <c r="G49" s="207"/>
      <c r="H49" s="207"/>
      <c r="I49" s="111"/>
      <c r="J49" s="1082"/>
      <c r="K49" s="110"/>
      <c r="L49" s="111"/>
      <c r="M49" s="110"/>
      <c r="N49" s="110"/>
      <c r="O49" s="110"/>
      <c r="P49" s="110"/>
      <c r="Q49" s="207"/>
      <c r="R49" s="207"/>
      <c r="S49" s="207"/>
      <c r="T49" s="1084"/>
      <c r="U49" s="207"/>
      <c r="V49" s="207"/>
      <c r="W49" s="207"/>
      <c r="X49" s="207"/>
      <c r="Y49" s="207"/>
      <c r="Z49" s="207"/>
      <c r="AA49" s="207"/>
      <c r="AB49" s="207"/>
      <c r="AC49" s="207"/>
      <c r="AD49" s="110"/>
      <c r="AE49" s="207"/>
      <c r="AF49" s="110"/>
      <c r="AG49" s="110"/>
      <c r="AH49" s="110"/>
      <c r="AI49" s="111"/>
    </row>
    <row r="50" spans="1:35" x14ac:dyDescent="0.25">
      <c r="A50" s="376">
        <v>217</v>
      </c>
      <c r="B50" s="1095" t="s">
        <v>4316</v>
      </c>
      <c r="C50" s="1095"/>
      <c r="D50" s="1096"/>
      <c r="E50" s="1096"/>
      <c r="F50" s="1096"/>
      <c r="G50" s="1096"/>
      <c r="H50" s="1096"/>
      <c r="I50" s="379"/>
      <c r="J50" s="1097"/>
      <c r="K50" s="418"/>
      <c r="L50" s="111"/>
      <c r="M50" s="110"/>
      <c r="N50" s="110"/>
      <c r="O50" s="110"/>
      <c r="P50" s="110"/>
      <c r="Q50" s="1096"/>
      <c r="R50" s="1096"/>
      <c r="S50" s="1096"/>
      <c r="T50" s="1098"/>
      <c r="U50" s="1096"/>
      <c r="V50" s="1096"/>
      <c r="W50" s="1096"/>
      <c r="X50" s="1096"/>
      <c r="Y50" s="1096"/>
      <c r="Z50" s="1096"/>
      <c r="AA50" s="1096"/>
      <c r="AB50" s="1096"/>
      <c r="AC50" s="1096"/>
      <c r="AD50" s="418"/>
      <c r="AE50" s="1096"/>
      <c r="AF50" s="418"/>
      <c r="AG50" s="418"/>
      <c r="AH50" s="418"/>
      <c r="AI50" s="379"/>
    </row>
    <row r="51" spans="1:35" s="1092" customFormat="1" x14ac:dyDescent="0.25">
      <c r="A51" s="311">
        <v>21701</v>
      </c>
      <c r="B51" s="1099" t="s">
        <v>3593</v>
      </c>
      <c r="C51" s="1099"/>
      <c r="D51" s="1087"/>
      <c r="E51" s="1087"/>
      <c r="F51" s="1087"/>
      <c r="G51" s="1087"/>
      <c r="H51" s="1087"/>
      <c r="I51" s="1089"/>
      <c r="J51" s="1077">
        <f>J52</f>
        <v>11432</v>
      </c>
      <c r="K51" s="1088"/>
      <c r="L51" s="1100"/>
      <c r="M51" s="1090"/>
      <c r="N51" s="1090"/>
      <c r="O51" s="1090"/>
      <c r="P51" s="1090"/>
      <c r="Q51" s="1087"/>
      <c r="R51" s="1087"/>
      <c r="S51" s="1087"/>
      <c r="T51" s="1091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8"/>
      <c r="AE51" s="1087"/>
      <c r="AF51" s="1088"/>
      <c r="AG51" s="1088"/>
      <c r="AH51" s="1088"/>
      <c r="AI51" s="1078">
        <f>AI52</f>
        <v>11431.983333333332</v>
      </c>
    </row>
    <row r="52" spans="1:35" ht="56.25" x14ac:dyDescent="0.25">
      <c r="A52" s="162"/>
      <c r="B52" s="76" t="s">
        <v>4317</v>
      </c>
      <c r="C52" s="76"/>
      <c r="D52" s="207">
        <v>12</v>
      </c>
      <c r="E52" s="207" t="s">
        <v>1725</v>
      </c>
      <c r="F52" s="697" t="s">
        <v>4308</v>
      </c>
      <c r="G52" s="15" t="s">
        <v>3463</v>
      </c>
      <c r="H52" s="155" t="s">
        <v>4309</v>
      </c>
      <c r="I52" s="111">
        <f>J52/D52</f>
        <v>952.66666666666663</v>
      </c>
      <c r="J52" s="1082">
        <f>2609+8823</f>
        <v>11432</v>
      </c>
      <c r="K52" s="110"/>
      <c r="L52" s="111"/>
      <c r="M52" s="110"/>
      <c r="N52" s="110"/>
      <c r="O52" s="110"/>
      <c r="P52" s="110"/>
      <c r="Q52" s="207">
        <v>2</v>
      </c>
      <c r="R52" s="1083">
        <f>I52*Q52</f>
        <v>1905.3333333333333</v>
      </c>
      <c r="S52" s="207">
        <v>2</v>
      </c>
      <c r="T52" s="1084">
        <v>1905.33</v>
      </c>
      <c r="U52" s="207">
        <v>2</v>
      </c>
      <c r="V52" s="1084">
        <v>1905.33</v>
      </c>
      <c r="W52" s="207">
        <v>2</v>
      </c>
      <c r="X52" s="1084">
        <v>1905.33</v>
      </c>
      <c r="Y52" s="207">
        <v>2</v>
      </c>
      <c r="Z52" s="1084">
        <v>1905.33</v>
      </c>
      <c r="AA52" s="207">
        <v>2</v>
      </c>
      <c r="AB52" s="1084">
        <v>1905.33</v>
      </c>
      <c r="AC52" s="110">
        <v>0</v>
      </c>
      <c r="AD52" s="111">
        <v>0</v>
      </c>
      <c r="AE52" s="110">
        <v>0</v>
      </c>
      <c r="AF52" s="111">
        <v>0</v>
      </c>
      <c r="AG52" s="110">
        <v>0</v>
      </c>
      <c r="AH52" s="111">
        <v>0</v>
      </c>
      <c r="AI52" s="111">
        <f t="shared" ref="AI52" si="7">R52+T52+V52+X52+Z52+AB52+AD52</f>
        <v>11431.983333333332</v>
      </c>
    </row>
    <row r="53" spans="1:35" x14ac:dyDescent="0.25">
      <c r="A53" s="110"/>
      <c r="B53" s="15"/>
      <c r="C53" s="15"/>
      <c r="D53" s="207"/>
      <c r="E53" s="207"/>
      <c r="F53" s="207"/>
      <c r="G53" s="207"/>
      <c r="H53" s="207"/>
      <c r="I53" s="111"/>
      <c r="J53" s="1082"/>
      <c r="K53" s="110"/>
      <c r="L53" s="111"/>
      <c r="M53" s="110"/>
      <c r="N53" s="110"/>
      <c r="O53" s="110"/>
      <c r="P53" s="110"/>
      <c r="Q53" s="207"/>
      <c r="R53" s="207"/>
      <c r="S53" s="207"/>
      <c r="T53" s="1084"/>
      <c r="U53" s="207"/>
      <c r="V53" s="207"/>
      <c r="W53" s="207"/>
      <c r="X53" s="207"/>
      <c r="Y53" s="207"/>
      <c r="Z53" s="207"/>
      <c r="AA53" s="207"/>
      <c r="AB53" s="207"/>
      <c r="AC53" s="207"/>
      <c r="AD53" s="110"/>
      <c r="AE53" s="207"/>
      <c r="AF53" s="110"/>
      <c r="AG53" s="110"/>
      <c r="AH53" s="110"/>
      <c r="AI53" s="111"/>
    </row>
    <row r="54" spans="1:35" ht="33.75" x14ac:dyDescent="0.25">
      <c r="A54" s="299">
        <v>2200</v>
      </c>
      <c r="B54" s="1101" t="s">
        <v>4318</v>
      </c>
      <c r="C54" s="1101"/>
      <c r="D54" s="1071"/>
      <c r="E54" s="1071"/>
      <c r="F54" s="1071"/>
      <c r="G54" s="1071"/>
      <c r="H54" s="1071"/>
      <c r="I54" s="303"/>
      <c r="J54" s="1102"/>
      <c r="K54" s="385"/>
      <c r="L54" s="111"/>
      <c r="M54" s="110"/>
      <c r="N54" s="110"/>
      <c r="O54" s="110"/>
      <c r="P54" s="110"/>
      <c r="Q54" s="1071"/>
      <c r="R54" s="1071"/>
      <c r="S54" s="1071"/>
      <c r="T54" s="1073"/>
      <c r="U54" s="1071"/>
      <c r="V54" s="1071"/>
      <c r="W54" s="1071"/>
      <c r="X54" s="1071"/>
      <c r="Y54" s="1071"/>
      <c r="Z54" s="1071"/>
      <c r="AA54" s="1071"/>
      <c r="AB54" s="1071"/>
      <c r="AC54" s="1071"/>
      <c r="AD54" s="385"/>
      <c r="AE54" s="1071"/>
      <c r="AF54" s="385"/>
      <c r="AG54" s="385"/>
      <c r="AH54" s="385"/>
      <c r="AI54" s="303"/>
    </row>
    <row r="55" spans="1:35" x14ac:dyDescent="0.25">
      <c r="A55" s="376">
        <v>221</v>
      </c>
      <c r="B55" s="1095" t="s">
        <v>4319</v>
      </c>
      <c r="C55" s="1095"/>
      <c r="D55" s="1096"/>
      <c r="E55" s="1096"/>
      <c r="F55" s="1096"/>
      <c r="G55" s="1096"/>
      <c r="H55" s="1096"/>
      <c r="I55" s="379"/>
      <c r="J55" s="1097"/>
      <c r="K55" s="418"/>
      <c r="L55" s="111"/>
      <c r="M55" s="110"/>
      <c r="N55" s="110"/>
      <c r="O55" s="110"/>
      <c r="P55" s="110"/>
      <c r="Q55" s="1096"/>
      <c r="R55" s="1096"/>
      <c r="S55" s="1096"/>
      <c r="T55" s="1098"/>
      <c r="U55" s="1096"/>
      <c r="V55" s="1096"/>
      <c r="W55" s="1096"/>
      <c r="X55" s="1096"/>
      <c r="Y55" s="1096"/>
      <c r="Z55" s="1096"/>
      <c r="AA55" s="1096"/>
      <c r="AB55" s="1096"/>
      <c r="AC55" s="1096"/>
      <c r="AD55" s="418"/>
      <c r="AE55" s="1096"/>
      <c r="AF55" s="418"/>
      <c r="AG55" s="418"/>
      <c r="AH55" s="418"/>
      <c r="AI55" s="379"/>
    </row>
    <row r="56" spans="1:35" s="1110" customFormat="1" ht="28.5" x14ac:dyDescent="0.25">
      <c r="A56" s="1103">
        <v>22105</v>
      </c>
      <c r="B56" s="1104" t="s">
        <v>3964</v>
      </c>
      <c r="C56" s="1104"/>
      <c r="D56" s="190"/>
      <c r="E56" s="190"/>
      <c r="F56" s="190"/>
      <c r="G56" s="190"/>
      <c r="H56" s="190"/>
      <c r="I56" s="314"/>
      <c r="J56" s="1105">
        <f>J57</f>
        <v>77099.929999999993</v>
      </c>
      <c r="K56" s="1106"/>
      <c r="L56" s="111"/>
      <c r="M56" s="1107"/>
      <c r="N56" s="1107"/>
      <c r="O56" s="1107"/>
      <c r="P56" s="1107"/>
      <c r="Q56" s="190"/>
      <c r="R56" s="190"/>
      <c r="S56" s="190"/>
      <c r="T56" s="1108"/>
      <c r="U56" s="190"/>
      <c r="V56" s="190"/>
      <c r="W56" s="190"/>
      <c r="X56" s="190"/>
      <c r="Y56" s="190"/>
      <c r="Z56" s="190"/>
      <c r="AA56" s="190"/>
      <c r="AB56" s="190"/>
      <c r="AC56" s="190"/>
      <c r="AD56" s="1106"/>
      <c r="AE56" s="190"/>
      <c r="AF56" s="1106"/>
      <c r="AG56" s="1106"/>
      <c r="AH56" s="1106"/>
      <c r="AI56" s="1109">
        <f>AI57</f>
        <v>77099.953461538462</v>
      </c>
    </row>
    <row r="57" spans="1:35" ht="56.25" x14ac:dyDescent="0.25">
      <c r="A57" s="162"/>
      <c r="B57" s="219" t="s">
        <v>4320</v>
      </c>
      <c r="C57" s="219"/>
      <c r="D57" s="207">
        <v>260</v>
      </c>
      <c r="E57" s="207" t="s">
        <v>1755</v>
      </c>
      <c r="F57" s="697" t="s">
        <v>4308</v>
      </c>
      <c r="G57" s="15" t="s">
        <v>3463</v>
      </c>
      <c r="H57" s="155" t="s">
        <v>4309</v>
      </c>
      <c r="I57" s="1083">
        <f>J57/D57</f>
        <v>296.53819230769227</v>
      </c>
      <c r="J57" s="111">
        <f>49500+2400+25199.93</f>
        <v>77099.929999999993</v>
      </c>
      <c r="K57" s="110"/>
      <c r="L57" s="111"/>
      <c r="M57" s="110"/>
      <c r="N57" s="110"/>
      <c r="O57" s="110"/>
      <c r="P57" s="110"/>
      <c r="Q57" s="207">
        <v>30</v>
      </c>
      <c r="R57" s="1083">
        <f>I57*Q57</f>
        <v>8896.1457692307686</v>
      </c>
      <c r="S57" s="207">
        <v>30</v>
      </c>
      <c r="T57" s="1084">
        <v>8896.15</v>
      </c>
      <c r="U57" s="207">
        <v>30</v>
      </c>
      <c r="V57" s="1084">
        <v>8896.15</v>
      </c>
      <c r="W57" s="207">
        <v>30</v>
      </c>
      <c r="X57" s="1084">
        <v>8896.15</v>
      </c>
      <c r="Y57" s="207">
        <v>30</v>
      </c>
      <c r="Z57" s="1084">
        <v>8896.15</v>
      </c>
      <c r="AA57" s="207">
        <v>30</v>
      </c>
      <c r="AB57" s="1084">
        <v>8896.15</v>
      </c>
      <c r="AC57" s="207">
        <v>40</v>
      </c>
      <c r="AD57" s="1082">
        <f>I57*AC57</f>
        <v>11861.527692307691</v>
      </c>
      <c r="AE57" s="207">
        <v>40</v>
      </c>
      <c r="AF57" s="110">
        <v>11861.53</v>
      </c>
      <c r="AG57" s="110">
        <v>0</v>
      </c>
      <c r="AH57" s="111">
        <v>0</v>
      </c>
      <c r="AI57" s="111">
        <f>R57+T57+V57+X57+Z57+AB57+AD57+AF57+AH57</f>
        <v>77099.953461538462</v>
      </c>
    </row>
    <row r="58" spans="1:35" x14ac:dyDescent="0.25">
      <c r="A58" s="162"/>
      <c r="B58" s="219"/>
      <c r="C58" s="219"/>
      <c r="D58" s="207"/>
      <c r="E58" s="207"/>
      <c r="F58" s="207"/>
      <c r="G58" s="207"/>
      <c r="H58" s="207"/>
      <c r="I58" s="111"/>
      <c r="J58" s="1082"/>
      <c r="K58" s="110"/>
      <c r="L58" s="111"/>
      <c r="M58" s="110"/>
      <c r="N58" s="110"/>
      <c r="O58" s="110"/>
      <c r="P58" s="110"/>
      <c r="Q58" s="207"/>
      <c r="R58" s="207"/>
      <c r="S58" s="207"/>
      <c r="T58" s="1084"/>
      <c r="U58" s="207"/>
      <c r="V58" s="207"/>
      <c r="W58" s="207"/>
      <c r="X58" s="207"/>
      <c r="Y58" s="207"/>
      <c r="Z58" s="207"/>
      <c r="AA58" s="207"/>
      <c r="AB58" s="207"/>
      <c r="AC58" s="207"/>
      <c r="AD58" s="110"/>
      <c r="AE58" s="207"/>
      <c r="AF58" s="110"/>
      <c r="AG58" s="110"/>
      <c r="AH58" s="110"/>
      <c r="AI58" s="111"/>
    </row>
    <row r="59" spans="1:35" x14ac:dyDescent="0.25">
      <c r="A59" s="299">
        <v>2600</v>
      </c>
      <c r="B59" s="1101" t="s">
        <v>656</v>
      </c>
      <c r="C59" s="1101"/>
      <c r="D59" s="1071"/>
      <c r="E59" s="1071"/>
      <c r="F59" s="1071"/>
      <c r="G59" s="1071"/>
      <c r="H59" s="1071"/>
      <c r="I59" s="303"/>
      <c r="J59" s="1102"/>
      <c r="K59" s="385"/>
      <c r="L59" s="111"/>
      <c r="M59" s="110"/>
      <c r="N59" s="110"/>
      <c r="O59" s="110"/>
      <c r="P59" s="110"/>
      <c r="Q59" s="1071"/>
      <c r="R59" s="1071"/>
      <c r="S59" s="1071"/>
      <c r="T59" s="1073"/>
      <c r="U59" s="1071"/>
      <c r="V59" s="1071"/>
      <c r="W59" s="1071"/>
      <c r="X59" s="1071"/>
      <c r="Y59" s="1071"/>
      <c r="Z59" s="1071"/>
      <c r="AA59" s="1071"/>
      <c r="AB59" s="1071"/>
      <c r="AC59" s="1071"/>
      <c r="AD59" s="385"/>
      <c r="AE59" s="1071"/>
      <c r="AF59" s="385"/>
      <c r="AG59" s="385"/>
      <c r="AH59" s="385"/>
      <c r="AI59" s="303"/>
    </row>
    <row r="60" spans="1:35" x14ac:dyDescent="0.25">
      <c r="A60" s="376">
        <v>261</v>
      </c>
      <c r="B60" s="1095" t="s">
        <v>656</v>
      </c>
      <c r="C60" s="1095"/>
      <c r="D60" s="1096"/>
      <c r="E60" s="1096"/>
      <c r="F60" s="1096"/>
      <c r="G60" s="1096"/>
      <c r="H60" s="1096"/>
      <c r="I60" s="379"/>
      <c r="J60" s="1097"/>
      <c r="K60" s="418"/>
      <c r="L60" s="111"/>
      <c r="M60" s="110"/>
      <c r="N60" s="110"/>
      <c r="O60" s="110"/>
      <c r="P60" s="110"/>
      <c r="Q60" s="1096"/>
      <c r="R60" s="1096"/>
      <c r="S60" s="1096"/>
      <c r="T60" s="1098"/>
      <c r="U60" s="1096"/>
      <c r="V60" s="1096"/>
      <c r="W60" s="1096"/>
      <c r="X60" s="1096"/>
      <c r="Y60" s="1096"/>
      <c r="Z60" s="1096"/>
      <c r="AA60" s="1096"/>
      <c r="AB60" s="1096"/>
      <c r="AC60" s="1096"/>
      <c r="AD60" s="418"/>
      <c r="AE60" s="1096"/>
      <c r="AF60" s="418"/>
      <c r="AG60" s="418"/>
      <c r="AH60" s="418"/>
      <c r="AI60" s="379"/>
    </row>
    <row r="61" spans="1:35" s="1092" customFormat="1" x14ac:dyDescent="0.25">
      <c r="A61" s="1103">
        <v>26101</v>
      </c>
      <c r="B61" s="1104" t="s">
        <v>656</v>
      </c>
      <c r="C61" s="1104"/>
      <c r="D61" s="1087"/>
      <c r="E61" s="1087"/>
      <c r="F61" s="1087"/>
      <c r="G61" s="1087"/>
      <c r="H61" s="1087"/>
      <c r="I61" s="1089"/>
      <c r="J61" s="1077">
        <f>J62</f>
        <v>122011.4</v>
      </c>
      <c r="K61" s="1088"/>
      <c r="L61" s="1100"/>
      <c r="M61" s="1090"/>
      <c r="N61" s="1090"/>
      <c r="O61" s="1090"/>
      <c r="P61" s="1090"/>
      <c r="Q61" s="1087"/>
      <c r="R61" s="1087"/>
      <c r="S61" s="1087"/>
      <c r="T61" s="1091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8"/>
      <c r="AE61" s="1087"/>
      <c r="AF61" s="1088"/>
      <c r="AG61" s="1088"/>
      <c r="AH61" s="1088"/>
      <c r="AI61" s="1078">
        <f>AI62</f>
        <v>122011.4157142857</v>
      </c>
    </row>
    <row r="62" spans="1:35" ht="56.25" x14ac:dyDescent="0.25">
      <c r="A62" s="162"/>
      <c r="B62" s="55" t="s">
        <v>656</v>
      </c>
      <c r="C62" s="55"/>
      <c r="D62" s="207">
        <v>4900</v>
      </c>
      <c r="E62" s="207" t="s">
        <v>1736</v>
      </c>
      <c r="F62" s="697" t="s">
        <v>4308</v>
      </c>
      <c r="G62" s="15" t="s">
        <v>3463</v>
      </c>
      <c r="H62" s="155" t="s">
        <v>4309</v>
      </c>
      <c r="I62" s="1083">
        <f>J62/D62</f>
        <v>24.900285714285712</v>
      </c>
      <c r="J62" s="111">
        <f>50001.17+12003.2+60007.03</f>
        <v>122011.4</v>
      </c>
      <c r="K62" s="110"/>
      <c r="L62" s="111"/>
      <c r="M62" s="110"/>
      <c r="N62" s="110"/>
      <c r="O62" s="110"/>
      <c r="P62" s="110"/>
      <c r="Q62" s="1111">
        <v>690</v>
      </c>
      <c r="R62" s="1083">
        <f>I62*Q62</f>
        <v>17181.197142857141</v>
      </c>
      <c r="S62" s="207">
        <v>690</v>
      </c>
      <c r="T62" s="1084">
        <v>17181.2</v>
      </c>
      <c r="U62" s="207">
        <v>690</v>
      </c>
      <c r="V62" s="1084">
        <v>17181.2</v>
      </c>
      <c r="W62" s="207">
        <v>690</v>
      </c>
      <c r="X62" s="1084">
        <v>17181.2</v>
      </c>
      <c r="Y62" s="207">
        <v>690</v>
      </c>
      <c r="Z62" s="1084">
        <v>17181.2</v>
      </c>
      <c r="AA62" s="207">
        <v>690</v>
      </c>
      <c r="AB62" s="1084">
        <v>17181.2</v>
      </c>
      <c r="AC62" s="207">
        <v>380</v>
      </c>
      <c r="AD62" s="1082">
        <f>I62*AC62</f>
        <v>9462.1085714285709</v>
      </c>
      <c r="AE62" s="207">
        <v>380</v>
      </c>
      <c r="AF62" s="110">
        <v>9462.11</v>
      </c>
      <c r="AG62" s="110">
        <v>0</v>
      </c>
      <c r="AH62" s="111">
        <v>0</v>
      </c>
      <c r="AI62" s="111">
        <f>R62+T62+V62+X62+Z62+AB62+AD62+AF62+AH62</f>
        <v>122011.4157142857</v>
      </c>
    </row>
    <row r="63" spans="1:35" x14ac:dyDescent="0.25">
      <c r="A63" s="162"/>
      <c r="B63" s="55"/>
      <c r="C63" s="55"/>
      <c r="D63" s="207"/>
      <c r="E63" s="207"/>
      <c r="F63" s="207"/>
      <c r="G63" s="207"/>
      <c r="H63" s="207"/>
      <c r="I63" s="207"/>
      <c r="J63" s="111"/>
      <c r="K63" s="110"/>
      <c r="L63" s="111"/>
      <c r="M63" s="110"/>
      <c r="N63" s="110"/>
      <c r="O63" s="110"/>
      <c r="P63" s="110"/>
      <c r="Q63" s="207"/>
      <c r="R63" s="207"/>
      <c r="S63" s="207"/>
      <c r="T63" s="1084"/>
      <c r="U63" s="207"/>
      <c r="V63" s="207"/>
      <c r="W63" s="207"/>
      <c r="X63" s="207"/>
      <c r="Y63" s="207"/>
      <c r="Z63" s="207"/>
      <c r="AA63" s="207"/>
      <c r="AB63" s="207"/>
      <c r="AC63" s="207"/>
      <c r="AD63" s="110"/>
      <c r="AE63" s="207"/>
      <c r="AF63" s="110"/>
      <c r="AG63" s="110"/>
      <c r="AH63" s="110"/>
      <c r="AI63" s="111"/>
    </row>
    <row r="64" spans="1:35" ht="22.5" x14ac:dyDescent="0.25">
      <c r="A64" s="299">
        <v>2700</v>
      </c>
      <c r="B64" s="1101" t="s">
        <v>660</v>
      </c>
      <c r="C64" s="1101"/>
      <c r="D64" s="1071"/>
      <c r="E64" s="1071"/>
      <c r="F64" s="1071"/>
      <c r="G64" s="1071"/>
      <c r="H64" s="1071"/>
      <c r="I64" s="1071"/>
      <c r="J64" s="303"/>
      <c r="K64" s="385"/>
      <c r="L64" s="111"/>
      <c r="M64" s="110"/>
      <c r="N64" s="110"/>
      <c r="O64" s="110"/>
      <c r="P64" s="110"/>
      <c r="Q64" s="1071"/>
      <c r="R64" s="1071"/>
      <c r="S64" s="1071"/>
      <c r="T64" s="1073"/>
      <c r="U64" s="1071"/>
      <c r="V64" s="1071"/>
      <c r="W64" s="1071"/>
      <c r="X64" s="1071"/>
      <c r="Y64" s="1071"/>
      <c r="Z64" s="1071"/>
      <c r="AA64" s="1071"/>
      <c r="AB64" s="1071"/>
      <c r="AC64" s="1071"/>
      <c r="AD64" s="385"/>
      <c r="AE64" s="1071"/>
      <c r="AF64" s="385"/>
      <c r="AG64" s="385"/>
      <c r="AH64" s="385"/>
      <c r="AI64" s="303"/>
    </row>
    <row r="65" spans="1:35" x14ac:dyDescent="0.25">
      <c r="A65" s="376">
        <v>271</v>
      </c>
      <c r="B65" s="1095" t="s">
        <v>661</v>
      </c>
      <c r="C65" s="1095"/>
      <c r="D65" s="1096"/>
      <c r="E65" s="1096"/>
      <c r="F65" s="1096"/>
      <c r="G65" s="1096"/>
      <c r="H65" s="1096"/>
      <c r="I65" s="1096"/>
      <c r="J65" s="379"/>
      <c r="K65" s="418"/>
      <c r="L65" s="111"/>
      <c r="M65" s="110"/>
      <c r="N65" s="110"/>
      <c r="O65" s="110"/>
      <c r="P65" s="110"/>
      <c r="Q65" s="1096"/>
      <c r="R65" s="1096"/>
      <c r="S65" s="1096"/>
      <c r="T65" s="1098"/>
      <c r="U65" s="1096"/>
      <c r="V65" s="1096"/>
      <c r="W65" s="1096"/>
      <c r="X65" s="1096"/>
      <c r="Y65" s="1096"/>
      <c r="Z65" s="1096"/>
      <c r="AA65" s="1096"/>
      <c r="AB65" s="1096"/>
      <c r="AC65" s="1096"/>
      <c r="AD65" s="418"/>
      <c r="AE65" s="1096"/>
      <c r="AF65" s="418"/>
      <c r="AG65" s="418"/>
      <c r="AH65" s="418"/>
      <c r="AI65" s="379"/>
    </row>
    <row r="66" spans="1:35" s="1110" customFormat="1" ht="30" x14ac:dyDescent="0.25">
      <c r="A66" s="1112">
        <v>27106</v>
      </c>
      <c r="B66" s="1113" t="s">
        <v>667</v>
      </c>
      <c r="C66" s="1113"/>
      <c r="D66" s="190"/>
      <c r="E66" s="190"/>
      <c r="F66" s="190"/>
      <c r="G66" s="190"/>
      <c r="H66" s="190"/>
      <c r="I66" s="190"/>
      <c r="J66" s="1109">
        <f>J67+J68+J69</f>
        <v>127256.08</v>
      </c>
      <c r="K66" s="1106"/>
      <c r="L66" s="111"/>
      <c r="M66" s="1107"/>
      <c r="N66" s="1107"/>
      <c r="O66" s="1107"/>
      <c r="P66" s="1107"/>
      <c r="Q66" s="190"/>
      <c r="R66" s="190"/>
      <c r="S66" s="190"/>
      <c r="T66" s="1108"/>
      <c r="U66" s="190"/>
      <c r="V66" s="190"/>
      <c r="W66" s="190"/>
      <c r="X66" s="190"/>
      <c r="Y66" s="190"/>
      <c r="Z66" s="190"/>
      <c r="AA66" s="190"/>
      <c r="AB66" s="190"/>
      <c r="AC66" s="190"/>
      <c r="AD66" s="1106"/>
      <c r="AE66" s="190"/>
      <c r="AF66" s="1106"/>
      <c r="AG66" s="1106"/>
      <c r="AH66" s="1106"/>
      <c r="AI66" s="1109">
        <f>AI67+AI68+AI69</f>
        <v>127256.08</v>
      </c>
    </row>
    <row r="67" spans="1:35" ht="56.25" x14ac:dyDescent="0.25">
      <c r="B67" s="16" t="s">
        <v>4321</v>
      </c>
      <c r="C67" s="16"/>
      <c r="D67" s="207">
        <f>400+400</f>
        <v>800</v>
      </c>
      <c r="E67" s="207" t="s">
        <v>1721</v>
      </c>
      <c r="F67" s="697" t="s">
        <v>4308</v>
      </c>
      <c r="G67" s="15" t="s">
        <v>3463</v>
      </c>
      <c r="H67" s="155" t="s">
        <v>4309</v>
      </c>
      <c r="I67" s="111">
        <v>141.6</v>
      </c>
      <c r="J67" s="1082">
        <f>I67*D67</f>
        <v>113280</v>
      </c>
      <c r="K67" s="110"/>
      <c r="L67" s="111"/>
      <c r="M67" s="110"/>
      <c r="N67" s="110"/>
      <c r="O67" s="110"/>
      <c r="P67" s="110"/>
      <c r="Q67" s="207">
        <v>100</v>
      </c>
      <c r="R67" s="1083">
        <f>I67*Q67</f>
        <v>14160</v>
      </c>
      <c r="S67" s="207">
        <v>100</v>
      </c>
      <c r="T67" s="1084">
        <v>14160</v>
      </c>
      <c r="U67" s="207">
        <v>100</v>
      </c>
      <c r="V67" s="1084">
        <v>14160</v>
      </c>
      <c r="W67" s="207">
        <v>100</v>
      </c>
      <c r="X67" s="1084">
        <v>14160</v>
      </c>
      <c r="Y67" s="207">
        <v>100</v>
      </c>
      <c r="Z67" s="1084">
        <v>14160</v>
      </c>
      <c r="AA67" s="207">
        <v>100</v>
      </c>
      <c r="AB67" s="1084">
        <v>14160</v>
      </c>
      <c r="AC67" s="207">
        <v>100</v>
      </c>
      <c r="AD67" s="1084">
        <v>14160</v>
      </c>
      <c r="AE67" s="207">
        <v>100</v>
      </c>
      <c r="AF67" s="1084">
        <v>14160</v>
      </c>
      <c r="AG67" s="110">
        <v>0</v>
      </c>
      <c r="AH67" s="111">
        <v>0</v>
      </c>
      <c r="AI67" s="111">
        <f>R67+T67+V67+X67+Z67+AB67+AD67+AF67+AH67</f>
        <v>113280</v>
      </c>
    </row>
    <row r="68" spans="1:35" ht="56.25" x14ac:dyDescent="0.25">
      <c r="B68" s="51" t="s">
        <v>4322</v>
      </c>
      <c r="C68" s="51"/>
      <c r="D68" s="207">
        <v>12</v>
      </c>
      <c r="E68" s="207" t="s">
        <v>1721</v>
      </c>
      <c r="F68" s="697" t="s">
        <v>4308</v>
      </c>
      <c r="G68" s="15" t="s">
        <v>3463</v>
      </c>
      <c r="H68" s="155" t="s">
        <v>4309</v>
      </c>
      <c r="I68" s="111">
        <f>J68/D68</f>
        <v>402.16666666666669</v>
      </c>
      <c r="J68" s="1082">
        <v>4826</v>
      </c>
      <c r="K68" s="110"/>
      <c r="L68" s="111"/>
      <c r="M68" s="110"/>
      <c r="N68" s="110"/>
      <c r="O68" s="110"/>
      <c r="P68" s="110"/>
      <c r="Q68" s="207">
        <v>12</v>
      </c>
      <c r="R68" s="1083">
        <f t="shared" ref="R68:R69" si="8">I68*Q68</f>
        <v>4826</v>
      </c>
      <c r="S68" s="207">
        <v>0</v>
      </c>
      <c r="T68" s="1084">
        <v>0</v>
      </c>
      <c r="U68" s="207">
        <v>0</v>
      </c>
      <c r="V68" s="1084">
        <v>0</v>
      </c>
      <c r="W68" s="207">
        <v>0</v>
      </c>
      <c r="X68" s="1084">
        <v>0</v>
      </c>
      <c r="Y68" s="207">
        <v>0</v>
      </c>
      <c r="Z68" s="1084">
        <v>0</v>
      </c>
      <c r="AA68" s="207">
        <v>0</v>
      </c>
      <c r="AB68" s="1084">
        <v>0</v>
      </c>
      <c r="AC68" s="207">
        <v>0</v>
      </c>
      <c r="AD68" s="1084">
        <v>0</v>
      </c>
      <c r="AE68" s="207">
        <v>0</v>
      </c>
      <c r="AF68" s="1084">
        <v>0</v>
      </c>
      <c r="AG68" s="207">
        <v>0</v>
      </c>
      <c r="AH68" s="1084">
        <v>0</v>
      </c>
      <c r="AI68" s="111">
        <f>R68+T68+V68+X68+Z68+AB68+AD68+AF68+AH68</f>
        <v>4826</v>
      </c>
    </row>
    <row r="69" spans="1:35" ht="56.25" x14ac:dyDescent="0.25">
      <c r="A69" s="162"/>
      <c r="B69" s="55" t="s">
        <v>4323</v>
      </c>
      <c r="C69" s="55"/>
      <c r="D69" s="207">
        <v>26</v>
      </c>
      <c r="E69" s="207" t="s">
        <v>1721</v>
      </c>
      <c r="F69" s="697" t="s">
        <v>4308</v>
      </c>
      <c r="G69" s="15" t="s">
        <v>3463</v>
      </c>
      <c r="H69" s="155" t="s">
        <v>4309</v>
      </c>
      <c r="I69" s="1083">
        <f>J69/D69</f>
        <v>351.92615384615385</v>
      </c>
      <c r="J69" s="111">
        <v>9150.08</v>
      </c>
      <c r="K69" s="110"/>
      <c r="L69" s="111"/>
      <c r="M69" s="110"/>
      <c r="N69" s="110"/>
      <c r="O69" s="110"/>
      <c r="P69" s="110"/>
      <c r="Q69" s="207">
        <v>26</v>
      </c>
      <c r="R69" s="1083">
        <f t="shared" si="8"/>
        <v>9150.08</v>
      </c>
      <c r="S69" s="207">
        <v>0</v>
      </c>
      <c r="T69" s="1084">
        <v>0</v>
      </c>
      <c r="U69" s="207">
        <v>0</v>
      </c>
      <c r="V69" s="1084">
        <v>0</v>
      </c>
      <c r="W69" s="207">
        <v>0</v>
      </c>
      <c r="X69" s="1084">
        <v>0</v>
      </c>
      <c r="Y69" s="207">
        <v>0</v>
      </c>
      <c r="Z69" s="1084">
        <v>0</v>
      </c>
      <c r="AA69" s="207">
        <v>0</v>
      </c>
      <c r="AB69" s="1084">
        <v>0</v>
      </c>
      <c r="AC69" s="207">
        <v>0</v>
      </c>
      <c r="AD69" s="1084">
        <v>0</v>
      </c>
      <c r="AE69" s="207">
        <v>0</v>
      </c>
      <c r="AF69" s="1084">
        <v>0</v>
      </c>
      <c r="AG69" s="207">
        <v>0</v>
      </c>
      <c r="AH69" s="1084">
        <v>0</v>
      </c>
      <c r="AI69" s="111">
        <f>R69+T69+V69+X69+Z69+AB69+AD69+AF69+AH69</f>
        <v>9150.08</v>
      </c>
    </row>
    <row r="70" spans="1:35" x14ac:dyDescent="0.25">
      <c r="A70" s="11">
        <v>272</v>
      </c>
      <c r="B70" s="55"/>
      <c r="C70" s="55"/>
      <c r="D70" s="207"/>
      <c r="E70" s="207"/>
      <c r="F70" s="207"/>
      <c r="G70" s="207"/>
      <c r="H70" s="207"/>
      <c r="I70" s="207"/>
      <c r="J70" s="111"/>
      <c r="K70" s="110"/>
      <c r="L70" s="111"/>
      <c r="M70" s="110"/>
      <c r="N70" s="110"/>
      <c r="O70" s="110"/>
      <c r="P70" s="110"/>
      <c r="Q70" s="207"/>
      <c r="R70" s="207"/>
      <c r="S70" s="207"/>
      <c r="T70" s="1084"/>
      <c r="U70" s="207"/>
      <c r="V70" s="207"/>
      <c r="W70" s="207"/>
      <c r="X70" s="207"/>
      <c r="Y70" s="207"/>
      <c r="Z70" s="207"/>
      <c r="AA70" s="207"/>
      <c r="AB70" s="207"/>
      <c r="AC70" s="207"/>
      <c r="AD70" s="110"/>
      <c r="AE70" s="207"/>
      <c r="AF70" s="110"/>
      <c r="AG70" s="110"/>
      <c r="AH70" s="110"/>
      <c r="AI70" s="111"/>
    </row>
    <row r="71" spans="1:35" s="1092" customFormat="1" ht="30" x14ac:dyDescent="0.25">
      <c r="A71" s="1114">
        <v>27202</v>
      </c>
      <c r="B71" s="1115" t="s">
        <v>4324</v>
      </c>
      <c r="C71" s="1115"/>
      <c r="D71" s="1116"/>
      <c r="E71" s="1116"/>
      <c r="F71" s="1116"/>
      <c r="G71" s="1116"/>
      <c r="H71" s="1116"/>
      <c r="I71" s="1116"/>
      <c r="J71" s="1117">
        <f>J72</f>
        <v>2910</v>
      </c>
      <c r="K71" s="1118"/>
      <c r="L71" s="1100"/>
      <c r="M71" s="1090"/>
      <c r="N71" s="1090"/>
      <c r="O71" s="1090"/>
      <c r="P71" s="1090"/>
      <c r="Q71" s="1087"/>
      <c r="R71" s="1087"/>
      <c r="S71" s="1087"/>
      <c r="T71" s="1091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8"/>
      <c r="AE71" s="1087"/>
      <c r="AF71" s="1088"/>
      <c r="AG71" s="1088"/>
      <c r="AH71" s="1088"/>
      <c r="AI71" s="1078">
        <f>AI72</f>
        <v>2910</v>
      </c>
    </row>
    <row r="72" spans="1:35" ht="56.25" x14ac:dyDescent="0.25">
      <c r="A72" s="162"/>
      <c r="B72" s="55" t="s">
        <v>4325</v>
      </c>
      <c r="C72" s="55"/>
      <c r="D72" s="207">
        <v>12</v>
      </c>
      <c r="E72" s="207" t="s">
        <v>1721</v>
      </c>
      <c r="F72" s="697" t="s">
        <v>4308</v>
      </c>
      <c r="G72" s="15" t="s">
        <v>3463</v>
      </c>
      <c r="H72" s="155" t="s">
        <v>4309</v>
      </c>
      <c r="I72" s="1083">
        <f>J72/D72</f>
        <v>242.5</v>
      </c>
      <c r="J72" s="111">
        <v>2910</v>
      </c>
      <c r="K72" s="110"/>
      <c r="L72" s="111"/>
      <c r="M72" s="110"/>
      <c r="N72" s="110"/>
      <c r="O72" s="110"/>
      <c r="P72" s="110"/>
      <c r="Q72" s="1119">
        <v>12</v>
      </c>
      <c r="R72" s="1084">
        <f>I72*Q72</f>
        <v>2910</v>
      </c>
      <c r="S72" s="110">
        <v>0</v>
      </c>
      <c r="T72" s="111">
        <v>0</v>
      </c>
      <c r="U72" s="110">
        <v>0</v>
      </c>
      <c r="V72" s="111">
        <v>0</v>
      </c>
      <c r="W72" s="110">
        <v>0</v>
      </c>
      <c r="X72" s="111">
        <v>0</v>
      </c>
      <c r="Y72" s="110">
        <v>0</v>
      </c>
      <c r="Z72" s="111">
        <v>0</v>
      </c>
      <c r="AA72" s="110">
        <v>0</v>
      </c>
      <c r="AB72" s="111">
        <v>0</v>
      </c>
      <c r="AC72" s="110">
        <v>0</v>
      </c>
      <c r="AD72" s="111">
        <v>0</v>
      </c>
      <c r="AE72" s="110">
        <v>0</v>
      </c>
      <c r="AF72" s="111">
        <v>0</v>
      </c>
      <c r="AG72" s="110">
        <v>0</v>
      </c>
      <c r="AH72" s="111">
        <v>0</v>
      </c>
      <c r="AI72" s="111">
        <f>R72+T72+V72+X72+Z72+AB72+AD72+AF72+AH72</f>
        <v>2910</v>
      </c>
    </row>
    <row r="73" spans="1:35" x14ac:dyDescent="0.25">
      <c r="A73" s="162"/>
      <c r="B73" s="55"/>
      <c r="C73" s="55"/>
      <c r="D73" s="207"/>
      <c r="E73" s="207"/>
      <c r="F73" s="207"/>
      <c r="G73" s="207"/>
      <c r="H73" s="207"/>
      <c r="I73" s="1083"/>
      <c r="J73" s="111"/>
      <c r="K73" s="110"/>
      <c r="L73" s="111"/>
      <c r="M73" s="110"/>
      <c r="N73" s="110"/>
      <c r="O73" s="110"/>
      <c r="P73" s="110"/>
      <c r="Q73" s="207"/>
      <c r="R73" s="207"/>
      <c r="S73" s="207"/>
      <c r="T73" s="1084"/>
      <c r="U73" s="207"/>
      <c r="V73" s="207"/>
      <c r="W73" s="207"/>
      <c r="X73" s="207"/>
      <c r="Y73" s="207"/>
      <c r="Z73" s="207"/>
      <c r="AA73" s="207"/>
      <c r="AB73" s="207"/>
      <c r="AC73" s="207"/>
      <c r="AD73" s="110"/>
      <c r="AE73" s="207"/>
      <c r="AF73" s="110"/>
      <c r="AG73" s="110"/>
      <c r="AH73" s="110"/>
      <c r="AI73" s="111"/>
    </row>
    <row r="74" spans="1:35" s="1092" customFormat="1" x14ac:dyDescent="0.25">
      <c r="A74" s="1114">
        <v>27401</v>
      </c>
      <c r="B74" s="1120" t="s">
        <v>685</v>
      </c>
      <c r="C74" s="1120"/>
      <c r="D74" s="1116"/>
      <c r="E74" s="1116"/>
      <c r="F74" s="1116"/>
      <c r="G74" s="1116"/>
      <c r="H74" s="1116"/>
      <c r="I74" s="1121"/>
      <c r="J74" s="1117">
        <f>J75</f>
        <v>72790</v>
      </c>
      <c r="K74" s="1118"/>
      <c r="L74" s="1100"/>
      <c r="M74" s="1090"/>
      <c r="N74" s="1090"/>
      <c r="O74" s="1090"/>
      <c r="P74" s="1090"/>
      <c r="Q74" s="1087"/>
      <c r="R74" s="1087"/>
      <c r="S74" s="1087"/>
      <c r="T74" s="1091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8"/>
      <c r="AE74" s="1087"/>
      <c r="AF74" s="1088"/>
      <c r="AG74" s="1088"/>
      <c r="AH74" s="1088"/>
      <c r="AI74" s="1078">
        <f>AI75</f>
        <v>72790</v>
      </c>
    </row>
    <row r="75" spans="1:35" ht="56.25" x14ac:dyDescent="0.25">
      <c r="A75" s="9"/>
      <c r="B75" s="39" t="s">
        <v>4326</v>
      </c>
      <c r="C75" s="39"/>
      <c r="D75" s="208">
        <v>290</v>
      </c>
      <c r="E75" s="208" t="s">
        <v>1721</v>
      </c>
      <c r="F75" s="697" t="s">
        <v>4308</v>
      </c>
      <c r="G75" s="15" t="s">
        <v>3463</v>
      </c>
      <c r="H75" s="155" t="s">
        <v>4309</v>
      </c>
      <c r="I75" s="1122">
        <f>J75/D75</f>
        <v>251</v>
      </c>
      <c r="J75" s="131">
        <v>72790</v>
      </c>
      <c r="K75" s="130"/>
      <c r="L75" s="111"/>
      <c r="M75" s="110"/>
      <c r="N75" s="110"/>
      <c r="O75" s="110"/>
      <c r="P75" s="110"/>
      <c r="Q75" s="207">
        <v>40</v>
      </c>
      <c r="R75" s="1083">
        <f>Q75*I75</f>
        <v>10040</v>
      </c>
      <c r="S75" s="207">
        <v>40</v>
      </c>
      <c r="T75" s="1084">
        <v>10040</v>
      </c>
      <c r="U75" s="207">
        <v>40</v>
      </c>
      <c r="V75" s="1084">
        <v>10040</v>
      </c>
      <c r="W75" s="207">
        <v>40</v>
      </c>
      <c r="X75" s="1084">
        <v>10040</v>
      </c>
      <c r="Y75" s="207">
        <v>40</v>
      </c>
      <c r="Z75" s="1084">
        <v>10040</v>
      </c>
      <c r="AA75" s="207">
        <v>40</v>
      </c>
      <c r="AB75" s="1084">
        <v>10040</v>
      </c>
      <c r="AC75" s="207">
        <v>50</v>
      </c>
      <c r="AD75" s="1082">
        <f>I75*AC75</f>
        <v>12550</v>
      </c>
      <c r="AE75" s="110">
        <v>0</v>
      </c>
      <c r="AF75" s="111">
        <v>0</v>
      </c>
      <c r="AG75" s="110">
        <v>0</v>
      </c>
      <c r="AH75" s="111">
        <v>0</v>
      </c>
      <c r="AI75" s="111">
        <f>R75+T75+V75+X75+Z75+AB75+AD75+AF75+AH75</f>
        <v>72790</v>
      </c>
    </row>
    <row r="76" spans="1:35" ht="34.5" x14ac:dyDescent="0.25">
      <c r="A76" s="1123">
        <v>294</v>
      </c>
      <c r="B76" s="33" t="s">
        <v>4327</v>
      </c>
      <c r="C76" s="33"/>
      <c r="D76" s="207"/>
      <c r="E76" s="207"/>
      <c r="F76" s="207"/>
      <c r="G76" s="207"/>
      <c r="H76" s="207"/>
      <c r="I76" s="111"/>
      <c r="J76" s="1082"/>
      <c r="K76" s="110"/>
      <c r="L76" s="111"/>
      <c r="M76" s="110"/>
      <c r="N76" s="110"/>
      <c r="O76" s="110"/>
      <c r="P76" s="110"/>
      <c r="Q76" s="207"/>
      <c r="R76" s="207"/>
      <c r="S76" s="207"/>
      <c r="T76" s="1084"/>
      <c r="U76" s="207"/>
      <c r="V76" s="207"/>
      <c r="W76" s="207"/>
      <c r="X76" s="207"/>
      <c r="Y76" s="207"/>
      <c r="Z76" s="207"/>
      <c r="AA76" s="207"/>
      <c r="AB76" s="207"/>
      <c r="AC76" s="207"/>
      <c r="AD76" s="110"/>
      <c r="AE76" s="207"/>
      <c r="AF76" s="110"/>
      <c r="AG76" s="110"/>
      <c r="AH76" s="110"/>
      <c r="AI76" s="111"/>
    </row>
    <row r="77" spans="1:35" s="1110" customFormat="1" ht="30" x14ac:dyDescent="0.25">
      <c r="A77" s="1075">
        <v>29403</v>
      </c>
      <c r="B77" s="1124" t="s">
        <v>4328</v>
      </c>
      <c r="C77" s="1124"/>
      <c r="D77" s="190"/>
      <c r="E77" s="190"/>
      <c r="F77" s="190"/>
      <c r="G77" s="190"/>
      <c r="H77" s="190"/>
      <c r="I77" s="314"/>
      <c r="J77" s="1105">
        <f>J78</f>
        <v>698.3</v>
      </c>
      <c r="K77" s="1106"/>
      <c r="L77" s="111"/>
      <c r="M77" s="1107"/>
      <c r="N77" s="1107"/>
      <c r="O77" s="1107"/>
      <c r="P77" s="1107"/>
      <c r="Q77" s="190"/>
      <c r="R77" s="190"/>
      <c r="S77" s="190"/>
      <c r="T77" s="1108"/>
      <c r="U77" s="190"/>
      <c r="V77" s="190"/>
      <c r="W77" s="190"/>
      <c r="X77" s="190"/>
      <c r="Y77" s="190"/>
      <c r="Z77" s="190"/>
      <c r="AA77" s="190"/>
      <c r="AB77" s="190"/>
      <c r="AC77" s="190"/>
      <c r="AD77" s="1106"/>
      <c r="AE77" s="190"/>
      <c r="AF77" s="1106"/>
      <c r="AG77" s="1106"/>
      <c r="AH77" s="1106"/>
      <c r="AI77" s="1105">
        <f>AI78</f>
        <v>698.3</v>
      </c>
    </row>
    <row r="78" spans="1:35" ht="56.25" x14ac:dyDescent="0.25">
      <c r="A78" s="110"/>
      <c r="B78" s="37" t="s">
        <v>2164</v>
      </c>
      <c r="C78" s="37"/>
      <c r="D78" s="207">
        <v>10</v>
      </c>
      <c r="E78" s="207" t="s">
        <v>1721</v>
      </c>
      <c r="F78" s="697" t="s">
        <v>4308</v>
      </c>
      <c r="G78" s="15" t="s">
        <v>3463</v>
      </c>
      <c r="H78" s="155" t="s">
        <v>4309</v>
      </c>
      <c r="I78" s="111">
        <v>69.83</v>
      </c>
      <c r="J78" s="1082">
        <f>D78*I78</f>
        <v>698.3</v>
      </c>
      <c r="K78" s="110"/>
      <c r="L78" s="111"/>
      <c r="M78" s="110"/>
      <c r="N78" s="110"/>
      <c r="O78" s="110"/>
      <c r="P78" s="110"/>
      <c r="Q78" s="207">
        <v>10</v>
      </c>
      <c r="R78" s="1083">
        <f>I78*Q78</f>
        <v>698.3</v>
      </c>
      <c r="S78" s="207">
        <v>0</v>
      </c>
      <c r="T78" s="1084">
        <v>0</v>
      </c>
      <c r="U78" s="207">
        <v>0</v>
      </c>
      <c r="V78" s="1084">
        <v>0</v>
      </c>
      <c r="W78" s="110">
        <v>0</v>
      </c>
      <c r="X78" s="111">
        <v>0</v>
      </c>
      <c r="Y78" s="110">
        <v>0</v>
      </c>
      <c r="Z78" s="111">
        <v>0</v>
      </c>
      <c r="AA78" s="110">
        <v>0</v>
      </c>
      <c r="AB78" s="111">
        <v>0</v>
      </c>
      <c r="AC78" s="110">
        <v>0</v>
      </c>
      <c r="AD78" s="111">
        <v>0</v>
      </c>
      <c r="AE78" s="110">
        <v>0</v>
      </c>
      <c r="AF78" s="111">
        <v>0</v>
      </c>
      <c r="AG78" s="110">
        <v>0</v>
      </c>
      <c r="AH78" s="111">
        <v>0</v>
      </c>
      <c r="AI78" s="111">
        <f>R78+T78+V78+X78+Z78+AB78+AD78+AF78+AH78</f>
        <v>698.3</v>
      </c>
    </row>
    <row r="79" spans="1:35" x14ac:dyDescent="0.25">
      <c r="A79" s="110"/>
      <c r="B79" s="37"/>
      <c r="C79" s="37"/>
      <c r="D79" s="207"/>
      <c r="E79" s="207"/>
      <c r="F79" s="207"/>
      <c r="G79" s="207"/>
      <c r="H79" s="207"/>
      <c r="I79" s="111"/>
      <c r="J79" s="1082"/>
      <c r="K79" s="110"/>
      <c r="L79" s="111"/>
      <c r="M79" s="110"/>
      <c r="N79" s="110"/>
      <c r="O79" s="110"/>
      <c r="P79" s="110"/>
      <c r="Q79" s="207"/>
      <c r="R79" s="207"/>
      <c r="S79" s="207"/>
      <c r="T79" s="1084"/>
      <c r="U79" s="207"/>
      <c r="V79" s="207"/>
      <c r="W79" s="207"/>
      <c r="X79" s="207"/>
      <c r="Y79" s="207"/>
      <c r="Z79" s="207"/>
      <c r="AA79" s="207"/>
      <c r="AB79" s="207"/>
      <c r="AC79" s="207"/>
      <c r="AD79" s="110"/>
      <c r="AE79" s="207"/>
      <c r="AF79" s="110"/>
      <c r="AG79" s="110"/>
      <c r="AH79" s="110"/>
      <c r="AI79" s="111"/>
    </row>
    <row r="80" spans="1:35" s="1092" customFormat="1" x14ac:dyDescent="0.25">
      <c r="A80" s="102">
        <v>3000</v>
      </c>
      <c r="B80" s="1066" t="s">
        <v>786</v>
      </c>
      <c r="C80" s="1066"/>
      <c r="D80" s="1125"/>
      <c r="E80" s="1125"/>
      <c r="F80" s="1125"/>
      <c r="G80" s="1125"/>
      <c r="H80" s="1125"/>
      <c r="I80" s="1126"/>
      <c r="J80" s="1127">
        <f>J95+J100+J111+J115+J119+J126+J83+J90</f>
        <v>1259348.324</v>
      </c>
      <c r="K80" s="1128"/>
      <c r="L80" s="1126"/>
      <c r="M80" s="1090"/>
      <c r="N80" s="1090"/>
      <c r="O80" s="1090"/>
      <c r="P80" s="1090"/>
      <c r="Q80" s="1125"/>
      <c r="R80" s="1125"/>
      <c r="S80" s="1125"/>
      <c r="T80" s="1129"/>
      <c r="U80" s="1125"/>
      <c r="V80" s="1125"/>
      <c r="W80" s="1125"/>
      <c r="X80" s="1125"/>
      <c r="Y80" s="1125"/>
      <c r="Z80" s="1125"/>
      <c r="AA80" s="1125"/>
      <c r="AB80" s="1125"/>
      <c r="AC80" s="1125"/>
      <c r="AD80" s="1128"/>
      <c r="AE80" s="1125"/>
      <c r="AF80" s="1128"/>
      <c r="AG80" s="1128"/>
      <c r="AH80" s="1128"/>
      <c r="AI80" s="1127">
        <f>AI95+AI100+AI111+AI115+AI119+AI126+AI83+AI90</f>
        <v>1259348.3423999997</v>
      </c>
    </row>
    <row r="81" spans="1:35" x14ac:dyDescent="0.25">
      <c r="A81" s="393">
        <v>3100</v>
      </c>
      <c r="B81" s="1070" t="s">
        <v>787</v>
      </c>
      <c r="C81" s="1070"/>
      <c r="D81" s="1071"/>
      <c r="E81" s="1071"/>
      <c r="F81" s="1071"/>
      <c r="G81" s="1071"/>
      <c r="H81" s="1071"/>
      <c r="I81" s="303"/>
      <c r="J81" s="385"/>
      <c r="K81" s="385"/>
      <c r="L81" s="111"/>
      <c r="M81" s="110"/>
      <c r="N81" s="110"/>
      <c r="O81" s="110"/>
      <c r="P81" s="110"/>
      <c r="Q81" s="1071"/>
      <c r="R81" s="1071"/>
      <c r="S81" s="1071"/>
      <c r="T81" s="1073"/>
      <c r="U81" s="1071"/>
      <c r="V81" s="1071"/>
      <c r="W81" s="1071"/>
      <c r="X81" s="1071"/>
      <c r="Y81" s="1071"/>
      <c r="Z81" s="1071"/>
      <c r="AA81" s="1071"/>
      <c r="AB81" s="1071"/>
      <c r="AC81" s="1071"/>
      <c r="AD81" s="385"/>
      <c r="AE81" s="1071"/>
      <c r="AF81" s="385"/>
      <c r="AG81" s="385"/>
      <c r="AH81" s="385"/>
      <c r="AI81" s="303"/>
    </row>
    <row r="82" spans="1:35" ht="22.5" x14ac:dyDescent="0.25">
      <c r="A82" s="661">
        <v>317</v>
      </c>
      <c r="B82" s="1130" t="s">
        <v>800</v>
      </c>
      <c r="C82" s="1130"/>
      <c r="D82" s="1096"/>
      <c r="E82" s="1096"/>
      <c r="F82" s="1096"/>
      <c r="G82" s="1096"/>
      <c r="H82" s="1096"/>
      <c r="I82" s="379"/>
      <c r="J82" s="418"/>
      <c r="K82" s="418"/>
      <c r="L82" s="111"/>
      <c r="M82" s="110"/>
      <c r="N82" s="110"/>
      <c r="O82" s="110"/>
      <c r="P82" s="110"/>
      <c r="Q82" s="1096"/>
      <c r="R82" s="1096"/>
      <c r="S82" s="1096"/>
      <c r="T82" s="1098"/>
      <c r="U82" s="1096"/>
      <c r="V82" s="1096"/>
      <c r="W82" s="1096"/>
      <c r="X82" s="1096"/>
      <c r="Y82" s="1096"/>
      <c r="Z82" s="1096"/>
      <c r="AA82" s="1096"/>
      <c r="AB82" s="1096"/>
      <c r="AC82" s="1096"/>
      <c r="AD82" s="418"/>
      <c r="AE82" s="1096"/>
      <c r="AF82" s="418"/>
      <c r="AG82" s="418"/>
      <c r="AH82" s="418"/>
      <c r="AI82" s="379"/>
    </row>
    <row r="83" spans="1:35" s="1092" customFormat="1" ht="22.5" x14ac:dyDescent="0.25">
      <c r="A83" s="394">
        <v>31701</v>
      </c>
      <c r="B83" s="1131" t="s">
        <v>4329</v>
      </c>
      <c r="C83" s="1131"/>
      <c r="D83" s="1087"/>
      <c r="E83" s="1087"/>
      <c r="F83" s="1087"/>
      <c r="G83" s="1087"/>
      <c r="H83" s="1087"/>
      <c r="I83" s="1089"/>
      <c r="J83" s="1077">
        <f>J84</f>
        <v>19562.240000000002</v>
      </c>
      <c r="K83" s="1088"/>
      <c r="L83" s="1100"/>
      <c r="M83" s="1090"/>
      <c r="N83" s="1090"/>
      <c r="O83" s="1090"/>
      <c r="P83" s="1090"/>
      <c r="Q83" s="1087"/>
      <c r="R83" s="1087"/>
      <c r="S83" s="1087"/>
      <c r="T83" s="1091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8"/>
      <c r="AE83" s="1087"/>
      <c r="AF83" s="1088"/>
      <c r="AG83" s="1088"/>
      <c r="AH83" s="1088"/>
      <c r="AI83" s="1077">
        <f>AI84</f>
        <v>19562.240000000002</v>
      </c>
    </row>
    <row r="84" spans="1:35" ht="56.25" x14ac:dyDescent="0.25">
      <c r="A84" s="74"/>
      <c r="B84" s="35" t="s">
        <v>1354</v>
      </c>
      <c r="C84" s="1132"/>
      <c r="D84" s="207">
        <v>8</v>
      </c>
      <c r="E84" s="207" t="s">
        <v>1755</v>
      </c>
      <c r="F84" s="697" t="s">
        <v>4308</v>
      </c>
      <c r="G84" s="15" t="s">
        <v>3463</v>
      </c>
      <c r="H84" s="155" t="s">
        <v>4309</v>
      </c>
      <c r="I84" s="111">
        <f>J84/D84</f>
        <v>2445.2800000000002</v>
      </c>
      <c r="J84" s="1082">
        <v>19562.240000000002</v>
      </c>
      <c r="K84" s="110"/>
      <c r="L84" s="111"/>
      <c r="M84" s="110"/>
      <c r="N84" s="110"/>
      <c r="O84" s="110"/>
      <c r="P84" s="110"/>
      <c r="Q84" s="207">
        <v>1</v>
      </c>
      <c r="R84" s="1084">
        <v>2445.2800000000002</v>
      </c>
      <c r="S84" s="207">
        <v>1</v>
      </c>
      <c r="T84" s="1084">
        <v>2445.2800000000002</v>
      </c>
      <c r="U84" s="207">
        <v>1</v>
      </c>
      <c r="V84" s="1084">
        <v>2445.2800000000002</v>
      </c>
      <c r="W84" s="207">
        <v>1</v>
      </c>
      <c r="X84" s="1084">
        <v>2445.2800000000002</v>
      </c>
      <c r="Y84" s="207">
        <v>1</v>
      </c>
      <c r="Z84" s="1084">
        <v>2445.2800000000002</v>
      </c>
      <c r="AA84" s="207">
        <v>1</v>
      </c>
      <c r="AB84" s="1084">
        <v>2445.2800000000002</v>
      </c>
      <c r="AC84" s="207">
        <v>1</v>
      </c>
      <c r="AD84" s="1084">
        <v>2445.2800000000002</v>
      </c>
      <c r="AE84" s="207">
        <v>1</v>
      </c>
      <c r="AF84" s="1084">
        <v>2445.2800000000002</v>
      </c>
      <c r="AG84" s="110">
        <v>0</v>
      </c>
      <c r="AH84" s="111">
        <v>0</v>
      </c>
      <c r="AI84" s="111">
        <f>R84+T84+V84+X84+Z84+AB84+AD84+AF84+AH84</f>
        <v>19562.240000000002</v>
      </c>
    </row>
    <row r="85" spans="1:35" x14ac:dyDescent="0.25">
      <c r="A85" s="74"/>
      <c r="B85" s="1133"/>
      <c r="C85" s="1133"/>
      <c r="D85" s="207"/>
      <c r="E85" s="207"/>
      <c r="F85" s="207"/>
      <c r="G85" s="207"/>
      <c r="H85" s="207"/>
      <c r="I85" s="111"/>
      <c r="J85" s="110"/>
      <c r="K85" s="110"/>
      <c r="L85" s="111"/>
      <c r="M85" s="110"/>
      <c r="N85" s="110"/>
      <c r="O85" s="110"/>
      <c r="P85" s="110"/>
      <c r="Q85" s="207"/>
      <c r="R85" s="207"/>
      <c r="S85" s="207"/>
      <c r="T85" s="1084"/>
      <c r="U85" s="207"/>
      <c r="V85" s="207"/>
      <c r="W85" s="207"/>
      <c r="X85" s="207"/>
      <c r="Y85" s="207"/>
      <c r="Z85" s="207"/>
      <c r="AA85" s="207"/>
      <c r="AB85" s="207"/>
      <c r="AC85" s="207"/>
      <c r="AD85" s="110"/>
      <c r="AE85" s="207"/>
      <c r="AF85" s="110"/>
      <c r="AG85" s="110"/>
      <c r="AH85" s="110"/>
      <c r="AI85" s="111"/>
    </row>
    <row r="86" spans="1:35" ht="22.5" x14ac:dyDescent="0.25">
      <c r="A86" s="661">
        <v>323</v>
      </c>
      <c r="B86" s="1130" t="s">
        <v>4330</v>
      </c>
      <c r="C86" s="1130"/>
      <c r="D86" s="1096"/>
      <c r="E86" s="1096"/>
      <c r="F86" s="1096"/>
      <c r="G86" s="1096"/>
      <c r="H86" s="1096"/>
      <c r="I86" s="379"/>
      <c r="J86" s="418"/>
      <c r="K86" s="418"/>
      <c r="L86" s="111"/>
      <c r="M86" s="110"/>
      <c r="N86" s="110"/>
      <c r="O86" s="110"/>
      <c r="P86" s="110"/>
      <c r="Q86" s="1096"/>
      <c r="R86" s="1096"/>
      <c r="S86" s="1096"/>
      <c r="T86" s="1098"/>
      <c r="U86" s="1096"/>
      <c r="V86" s="1096"/>
      <c r="W86" s="1096"/>
      <c r="X86" s="1096"/>
      <c r="Y86" s="1096"/>
      <c r="Z86" s="1096"/>
      <c r="AA86" s="1096"/>
      <c r="AB86" s="1096"/>
      <c r="AC86" s="1096"/>
      <c r="AD86" s="418"/>
      <c r="AE86" s="1096"/>
      <c r="AF86" s="418"/>
      <c r="AG86" s="418"/>
      <c r="AH86" s="418"/>
      <c r="AI86" s="379"/>
    </row>
    <row r="87" spans="1:35" x14ac:dyDescent="0.25">
      <c r="A87" s="394">
        <v>32301</v>
      </c>
      <c r="B87" s="1134" t="s">
        <v>815</v>
      </c>
      <c r="C87" s="1134"/>
      <c r="D87" s="1135"/>
      <c r="E87" s="1135"/>
      <c r="F87" s="1135"/>
      <c r="G87" s="1135"/>
      <c r="H87" s="1135"/>
      <c r="I87" s="314"/>
      <c r="J87" s="387"/>
      <c r="K87" s="387"/>
      <c r="L87" s="111"/>
      <c r="M87" s="110"/>
      <c r="N87" s="110"/>
      <c r="O87" s="110"/>
      <c r="P87" s="110"/>
      <c r="Q87" s="1135"/>
      <c r="R87" s="1135"/>
      <c r="S87" s="1135"/>
      <c r="T87" s="1108"/>
      <c r="U87" s="1135"/>
      <c r="V87" s="1135"/>
      <c r="W87" s="1135"/>
      <c r="X87" s="1135"/>
      <c r="Y87" s="1135"/>
      <c r="Z87" s="1135"/>
      <c r="AA87" s="1135"/>
      <c r="AB87" s="1135"/>
      <c r="AC87" s="1135"/>
      <c r="AD87" s="387"/>
      <c r="AE87" s="1135"/>
      <c r="AF87" s="387"/>
      <c r="AG87" s="387"/>
      <c r="AH87" s="387"/>
      <c r="AI87" s="1077">
        <f>AI88</f>
        <v>0</v>
      </c>
    </row>
    <row r="88" spans="1:35" x14ac:dyDescent="0.25">
      <c r="A88" s="74"/>
      <c r="B88" s="1133"/>
      <c r="C88" s="1133"/>
      <c r="D88" s="207"/>
      <c r="E88" s="207"/>
      <c r="F88" s="207"/>
      <c r="G88" s="207"/>
      <c r="H88" s="207"/>
      <c r="I88" s="111"/>
      <c r="J88" s="110"/>
      <c r="K88" s="110"/>
      <c r="L88" s="111"/>
      <c r="M88" s="110"/>
      <c r="N88" s="110"/>
      <c r="O88" s="110"/>
      <c r="P88" s="110"/>
      <c r="Q88" s="207"/>
      <c r="R88" s="207"/>
      <c r="S88" s="207"/>
      <c r="T88" s="1084"/>
      <c r="U88" s="207"/>
      <c r="V88" s="207"/>
      <c r="W88" s="207"/>
      <c r="X88" s="207"/>
      <c r="Y88" s="207"/>
      <c r="Z88" s="207"/>
      <c r="AA88" s="207"/>
      <c r="AB88" s="207"/>
      <c r="AC88" s="207"/>
      <c r="AD88" s="110"/>
      <c r="AE88" s="207"/>
      <c r="AF88" s="110"/>
      <c r="AG88" s="110"/>
      <c r="AH88" s="110"/>
      <c r="AI88" s="111"/>
    </row>
    <row r="89" spans="1:35" x14ac:dyDescent="0.25">
      <c r="A89" s="661">
        <v>329</v>
      </c>
      <c r="B89" s="1130" t="s">
        <v>826</v>
      </c>
      <c r="C89" s="1130"/>
      <c r="D89" s="1096"/>
      <c r="E89" s="1096"/>
      <c r="F89" s="1096"/>
      <c r="G89" s="1096"/>
      <c r="H89" s="1096"/>
      <c r="I89" s="379"/>
      <c r="J89" s="418"/>
      <c r="K89" s="418"/>
      <c r="L89" s="111"/>
      <c r="M89" s="110"/>
      <c r="N89" s="110"/>
      <c r="O89" s="110"/>
      <c r="P89" s="110"/>
      <c r="Q89" s="1096"/>
      <c r="R89" s="1096"/>
      <c r="S89" s="1096"/>
      <c r="T89" s="1098"/>
      <c r="U89" s="1096"/>
      <c r="V89" s="1096"/>
      <c r="W89" s="1096"/>
      <c r="X89" s="1096"/>
      <c r="Y89" s="1096"/>
      <c r="Z89" s="1096"/>
      <c r="AA89" s="1096"/>
      <c r="AB89" s="1096"/>
      <c r="AC89" s="1096"/>
      <c r="AD89" s="418"/>
      <c r="AE89" s="1096"/>
      <c r="AF89" s="418"/>
      <c r="AG89" s="418"/>
      <c r="AH89" s="418"/>
      <c r="AI89" s="379"/>
    </row>
    <row r="90" spans="1:35" s="1092" customFormat="1" x14ac:dyDescent="0.25">
      <c r="A90" s="394">
        <v>32901</v>
      </c>
      <c r="B90" s="1134" t="s">
        <v>826</v>
      </c>
      <c r="C90" s="1134"/>
      <c r="D90" s="1087"/>
      <c r="E90" s="1087"/>
      <c r="F90" s="1087"/>
      <c r="G90" s="1087"/>
      <c r="H90" s="1087"/>
      <c r="I90" s="1089"/>
      <c r="J90" s="1077">
        <f>J91</f>
        <v>14977.72</v>
      </c>
      <c r="K90" s="1088"/>
      <c r="L90" s="1100"/>
      <c r="M90" s="1090"/>
      <c r="N90" s="1090"/>
      <c r="O90" s="1090"/>
      <c r="P90" s="1090"/>
      <c r="Q90" s="1087"/>
      <c r="R90" s="1087"/>
      <c r="S90" s="1087"/>
      <c r="T90" s="1091"/>
      <c r="U90" s="1087"/>
      <c r="V90" s="1087"/>
      <c r="W90" s="1087"/>
      <c r="X90" s="1087"/>
      <c r="Y90" s="1087"/>
      <c r="Z90" s="1087"/>
      <c r="AA90" s="1087"/>
      <c r="AB90" s="1087"/>
      <c r="AC90" s="1087"/>
      <c r="AD90" s="1088"/>
      <c r="AE90" s="1087"/>
      <c r="AF90" s="1088"/>
      <c r="AG90" s="1088"/>
      <c r="AH90" s="1088"/>
      <c r="AI90" s="1077">
        <f>AI91</f>
        <v>14977.720000000001</v>
      </c>
    </row>
    <row r="91" spans="1:35" ht="56.25" x14ac:dyDescent="0.25">
      <c r="A91" s="74"/>
      <c r="B91" s="35" t="s">
        <v>4331</v>
      </c>
      <c r="C91" s="35"/>
      <c r="D91" s="207">
        <v>28</v>
      </c>
      <c r="E91" s="207" t="s">
        <v>1755</v>
      </c>
      <c r="F91" s="697" t="s">
        <v>4308</v>
      </c>
      <c r="G91" s="15" t="s">
        <v>3463</v>
      </c>
      <c r="H91" s="155" t="s">
        <v>4309</v>
      </c>
      <c r="I91" s="111">
        <f>J91/D91</f>
        <v>534.91857142857145</v>
      </c>
      <c r="J91" s="1082">
        <v>14977.72</v>
      </c>
      <c r="K91" s="110"/>
      <c r="L91" s="111"/>
      <c r="M91" s="110"/>
      <c r="N91" s="110"/>
      <c r="O91" s="110"/>
      <c r="P91" s="110"/>
      <c r="Q91" s="207">
        <v>3</v>
      </c>
      <c r="R91" s="1083">
        <f>I91*Q91</f>
        <v>1604.7557142857145</v>
      </c>
      <c r="S91" s="207">
        <v>3</v>
      </c>
      <c r="T91" s="1084">
        <v>1604.76</v>
      </c>
      <c r="U91" s="207">
        <v>3</v>
      </c>
      <c r="V91" s="1084">
        <v>1604.76</v>
      </c>
      <c r="W91" s="207">
        <v>3</v>
      </c>
      <c r="X91" s="1084">
        <v>1604.76</v>
      </c>
      <c r="Y91" s="207">
        <v>4</v>
      </c>
      <c r="Z91" s="1083">
        <f>I91*Y91</f>
        <v>2139.6742857142858</v>
      </c>
      <c r="AA91" s="207">
        <v>4</v>
      </c>
      <c r="AB91" s="1084">
        <v>2139.67</v>
      </c>
      <c r="AC91" s="207">
        <v>4</v>
      </c>
      <c r="AD91" s="1084">
        <v>2139.67</v>
      </c>
      <c r="AE91" s="207">
        <v>4</v>
      </c>
      <c r="AF91" s="1084">
        <v>2139.67</v>
      </c>
      <c r="AG91" s="110">
        <v>0</v>
      </c>
      <c r="AH91" s="111">
        <v>0</v>
      </c>
      <c r="AI91" s="111">
        <f>R91+T91+V91+X91+Z91+AB91+AD91+AF91+AH91</f>
        <v>14977.720000000001</v>
      </c>
    </row>
    <row r="92" spans="1:35" x14ac:dyDescent="0.25">
      <c r="A92" s="74"/>
      <c r="B92" s="1133"/>
      <c r="C92" s="1133"/>
      <c r="D92" s="207"/>
      <c r="E92" s="207"/>
      <c r="F92" s="207"/>
      <c r="G92" s="207"/>
      <c r="H92" s="207"/>
      <c r="I92" s="111"/>
      <c r="J92" s="110"/>
      <c r="K92" s="110"/>
      <c r="L92" s="111"/>
      <c r="M92" s="110"/>
      <c r="N92" s="110"/>
      <c r="O92" s="110"/>
      <c r="P92" s="110"/>
      <c r="Q92" s="207"/>
      <c r="R92" s="207"/>
      <c r="S92" s="207"/>
      <c r="T92" s="1084"/>
      <c r="U92" s="207"/>
      <c r="V92" s="207"/>
      <c r="W92" s="207"/>
      <c r="X92" s="207"/>
      <c r="Y92" s="207"/>
      <c r="Z92" s="207"/>
      <c r="AA92" s="207"/>
      <c r="AB92" s="207"/>
      <c r="AC92" s="207"/>
      <c r="AD92" s="110"/>
      <c r="AE92" s="207"/>
      <c r="AF92" s="110"/>
      <c r="AG92" s="110"/>
      <c r="AH92" s="110"/>
      <c r="AI92" s="111"/>
    </row>
    <row r="93" spans="1:35" ht="22.5" x14ac:dyDescent="0.25">
      <c r="A93" s="393">
        <v>3300</v>
      </c>
      <c r="B93" s="1070" t="s">
        <v>4332</v>
      </c>
      <c r="C93" s="1070"/>
      <c r="D93" s="1071"/>
      <c r="E93" s="1071"/>
      <c r="F93" s="1071"/>
      <c r="G93" s="1071"/>
      <c r="H93" s="1071"/>
      <c r="I93" s="303"/>
      <c r="J93" s="385"/>
      <c r="K93" s="385"/>
      <c r="L93" s="111"/>
      <c r="M93" s="110"/>
      <c r="N93" s="110"/>
      <c r="O93" s="110"/>
      <c r="P93" s="110"/>
      <c r="Q93" s="1071"/>
      <c r="R93" s="1071"/>
      <c r="S93" s="1071"/>
      <c r="T93" s="1073"/>
      <c r="U93" s="1071"/>
      <c r="V93" s="1071"/>
      <c r="W93" s="1071"/>
      <c r="X93" s="1071"/>
      <c r="Y93" s="1071"/>
      <c r="Z93" s="1071"/>
      <c r="AA93" s="1071"/>
      <c r="AB93" s="1071"/>
      <c r="AC93" s="1071"/>
      <c r="AD93" s="385"/>
      <c r="AE93" s="1071"/>
      <c r="AF93" s="385"/>
      <c r="AG93" s="385"/>
      <c r="AH93" s="385"/>
      <c r="AI93" s="303"/>
    </row>
    <row r="94" spans="1:35" ht="22.5" x14ac:dyDescent="0.25">
      <c r="A94" s="661">
        <v>331</v>
      </c>
      <c r="B94" s="1130" t="s">
        <v>828</v>
      </c>
      <c r="C94" s="1130"/>
      <c r="D94" s="1096"/>
      <c r="E94" s="1096"/>
      <c r="F94" s="1096"/>
      <c r="G94" s="1096"/>
      <c r="H94" s="1096"/>
      <c r="I94" s="379"/>
      <c r="J94" s="418"/>
      <c r="K94" s="418"/>
      <c r="L94" s="111"/>
      <c r="M94" s="110"/>
      <c r="N94" s="110"/>
      <c r="O94" s="110"/>
      <c r="P94" s="110"/>
      <c r="Q94" s="1096"/>
      <c r="R94" s="1096"/>
      <c r="S94" s="1096"/>
      <c r="T94" s="1098"/>
      <c r="U94" s="1096"/>
      <c r="V94" s="1096"/>
      <c r="W94" s="1096"/>
      <c r="X94" s="1096"/>
      <c r="Y94" s="1096"/>
      <c r="Z94" s="1096"/>
      <c r="AA94" s="1096"/>
      <c r="AB94" s="1096"/>
      <c r="AC94" s="1096"/>
      <c r="AD94" s="418"/>
      <c r="AE94" s="1096"/>
      <c r="AF94" s="418"/>
      <c r="AG94" s="418"/>
      <c r="AH94" s="418"/>
      <c r="AI94" s="379"/>
    </row>
    <row r="95" spans="1:35" s="1092" customFormat="1" x14ac:dyDescent="0.25">
      <c r="A95" s="394">
        <v>33102</v>
      </c>
      <c r="B95" s="1136" t="s">
        <v>830</v>
      </c>
      <c r="C95" s="1136"/>
      <c r="D95" s="1087"/>
      <c r="E95" s="1087"/>
      <c r="F95" s="1087"/>
      <c r="G95" s="1087"/>
      <c r="H95" s="1087"/>
      <c r="I95" s="1089"/>
      <c r="J95" s="1077">
        <f>J96+J97+J98</f>
        <v>804336.87</v>
      </c>
      <c r="K95" s="1088"/>
      <c r="L95" s="1089"/>
      <c r="M95" s="1090"/>
      <c r="N95" s="1090"/>
      <c r="O95" s="1090"/>
      <c r="P95" s="1090"/>
      <c r="Q95" s="1087"/>
      <c r="R95" s="1087"/>
      <c r="S95" s="1087"/>
      <c r="T95" s="1091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8"/>
      <c r="AE95" s="1087"/>
      <c r="AF95" s="1088"/>
      <c r="AG95" s="1088"/>
      <c r="AH95" s="1088"/>
      <c r="AI95" s="1077">
        <f>AI96+AI97+AI98</f>
        <v>804336.875</v>
      </c>
    </row>
    <row r="96" spans="1:35" ht="56.25" x14ac:dyDescent="0.25">
      <c r="A96" s="110"/>
      <c r="B96" s="51" t="s">
        <v>4333</v>
      </c>
      <c r="C96" s="51"/>
      <c r="D96" s="207">
        <v>12</v>
      </c>
      <c r="E96" s="207" t="s">
        <v>1755</v>
      </c>
      <c r="F96" s="697" t="s">
        <v>4308</v>
      </c>
      <c r="G96" s="15" t="s">
        <v>3463</v>
      </c>
      <c r="H96" s="155" t="s">
        <v>4309</v>
      </c>
      <c r="I96" s="111">
        <f>J96/D96</f>
        <v>21650</v>
      </c>
      <c r="J96" s="1082">
        <f>235800+24000</f>
        <v>259800</v>
      </c>
      <c r="K96" s="110"/>
      <c r="L96" s="111"/>
      <c r="M96" s="110"/>
      <c r="N96" s="110"/>
      <c r="O96" s="110"/>
      <c r="P96" s="110"/>
      <c r="Q96" s="207">
        <v>2</v>
      </c>
      <c r="R96" s="1083">
        <f>I96*Q96</f>
        <v>43300</v>
      </c>
      <c r="S96" s="207">
        <v>2</v>
      </c>
      <c r="T96" s="1084">
        <f>I96*S96</f>
        <v>43300</v>
      </c>
      <c r="U96" s="207">
        <v>2</v>
      </c>
      <c r="V96" s="1083">
        <f>I96*U96</f>
        <v>43300</v>
      </c>
      <c r="W96" s="207">
        <v>2</v>
      </c>
      <c r="X96" s="1084">
        <v>43300</v>
      </c>
      <c r="Y96" s="207">
        <v>1</v>
      </c>
      <c r="Z96" s="1084">
        <v>21650</v>
      </c>
      <c r="AA96" s="207">
        <v>1</v>
      </c>
      <c r="AB96" s="1084">
        <v>21650</v>
      </c>
      <c r="AC96" s="207">
        <v>1</v>
      </c>
      <c r="AD96" s="111">
        <v>21650</v>
      </c>
      <c r="AE96" s="207">
        <v>1</v>
      </c>
      <c r="AF96" s="111">
        <v>21650</v>
      </c>
      <c r="AG96" s="110">
        <v>0</v>
      </c>
      <c r="AH96" s="111">
        <v>0</v>
      </c>
      <c r="AI96" s="111">
        <f>R96+T96+V96+X96+Z96+AB96+AD96+AF96+AH96</f>
        <v>259800</v>
      </c>
    </row>
    <row r="97" spans="1:35" ht="56.25" x14ac:dyDescent="0.25">
      <c r="A97" s="110"/>
      <c r="B97" s="51" t="s">
        <v>1101</v>
      </c>
      <c r="C97" s="51"/>
      <c r="D97" s="207">
        <v>12</v>
      </c>
      <c r="E97" s="207" t="s">
        <v>1755</v>
      </c>
      <c r="F97" s="697" t="s">
        <v>4308</v>
      </c>
      <c r="G97" s="15" t="s">
        <v>3463</v>
      </c>
      <c r="H97" s="155" t="s">
        <v>4309</v>
      </c>
      <c r="I97" s="111">
        <v>21144</v>
      </c>
      <c r="J97" s="1082">
        <f>I97*D97</f>
        <v>253728</v>
      </c>
      <c r="K97" s="110"/>
      <c r="L97" s="111"/>
      <c r="M97" s="110"/>
      <c r="N97" s="110"/>
      <c r="O97" s="110"/>
      <c r="P97" s="110"/>
      <c r="Q97" s="207">
        <v>2</v>
      </c>
      <c r="R97" s="1083">
        <f t="shared" ref="R97:R98" si="9">I97*Q97</f>
        <v>42288</v>
      </c>
      <c r="S97" s="207">
        <v>2</v>
      </c>
      <c r="T97" s="1084">
        <f t="shared" ref="T97:T98" si="10">I97*S97</f>
        <v>42288</v>
      </c>
      <c r="U97" s="207">
        <v>2</v>
      </c>
      <c r="V97" s="1083">
        <f t="shared" ref="V97:V98" si="11">I97*U97</f>
        <v>42288</v>
      </c>
      <c r="W97" s="207">
        <v>2</v>
      </c>
      <c r="X97" s="1084">
        <v>42288</v>
      </c>
      <c r="Y97" s="207">
        <v>1</v>
      </c>
      <c r="Z97" s="1084">
        <v>21144</v>
      </c>
      <c r="AA97" s="207">
        <v>1</v>
      </c>
      <c r="AB97" s="1084">
        <v>21144</v>
      </c>
      <c r="AC97" s="207">
        <v>1</v>
      </c>
      <c r="AD97" s="111">
        <v>21144</v>
      </c>
      <c r="AE97" s="207">
        <v>1</v>
      </c>
      <c r="AF97" s="111">
        <v>21144</v>
      </c>
      <c r="AG97" s="110">
        <v>0</v>
      </c>
      <c r="AH97" s="111">
        <v>0</v>
      </c>
      <c r="AI97" s="111">
        <f>R97+T97+V97+X97+Z97+AB97+AD97+AF97+AH97</f>
        <v>253728</v>
      </c>
    </row>
    <row r="98" spans="1:35" ht="56.25" x14ac:dyDescent="0.25">
      <c r="A98" s="110"/>
      <c r="B98" s="51" t="s">
        <v>4334</v>
      </c>
      <c r="C98" s="51"/>
      <c r="D98" s="207">
        <v>12</v>
      </c>
      <c r="E98" s="207" t="s">
        <v>1755</v>
      </c>
      <c r="F98" s="697" t="s">
        <v>4308</v>
      </c>
      <c r="G98" s="15" t="s">
        <v>3463</v>
      </c>
      <c r="H98" s="155" t="s">
        <v>4309</v>
      </c>
      <c r="I98" s="111">
        <f>J98/D98</f>
        <v>24234.072499999998</v>
      </c>
      <c r="J98" s="1082">
        <f>307862.06-17053.19</f>
        <v>290808.87</v>
      </c>
      <c r="K98" s="110"/>
      <c r="L98" s="111"/>
      <c r="M98" s="110"/>
      <c r="N98" s="110"/>
      <c r="O98" s="110"/>
      <c r="P98" s="110"/>
      <c r="Q98" s="207">
        <v>2</v>
      </c>
      <c r="R98" s="1083">
        <f t="shared" si="9"/>
        <v>48468.144999999997</v>
      </c>
      <c r="S98" s="207">
        <v>2</v>
      </c>
      <c r="T98" s="1084">
        <f t="shared" si="10"/>
        <v>48468.144999999997</v>
      </c>
      <c r="U98" s="207">
        <v>2</v>
      </c>
      <c r="V98" s="1083">
        <f t="shared" si="11"/>
        <v>48468.144999999997</v>
      </c>
      <c r="W98" s="207">
        <v>2</v>
      </c>
      <c r="X98" s="1084">
        <v>48468.15</v>
      </c>
      <c r="Y98" s="207">
        <v>1</v>
      </c>
      <c r="Z98" s="1084">
        <v>24234.072499999998</v>
      </c>
      <c r="AA98" s="207">
        <v>1</v>
      </c>
      <c r="AB98" s="1084">
        <v>24234.072499999998</v>
      </c>
      <c r="AC98" s="207">
        <v>1</v>
      </c>
      <c r="AD98" s="111">
        <v>24234.072499999998</v>
      </c>
      <c r="AE98" s="207">
        <v>1</v>
      </c>
      <c r="AF98" s="111">
        <v>24234.072499999998</v>
      </c>
      <c r="AG98" s="110">
        <v>0</v>
      </c>
      <c r="AH98" s="111">
        <v>0</v>
      </c>
      <c r="AI98" s="111">
        <f>R98+T98+V98+X98+Z98+AB98+AD98+AF98+AH98</f>
        <v>290808.875</v>
      </c>
    </row>
    <row r="99" spans="1:35" x14ac:dyDescent="0.25">
      <c r="A99" s="110"/>
      <c r="B99" s="51"/>
      <c r="C99" s="51"/>
      <c r="D99" s="207"/>
      <c r="E99" s="207"/>
      <c r="F99" s="207"/>
      <c r="G99" s="207"/>
      <c r="H99" s="207"/>
      <c r="I99" s="111"/>
      <c r="J99" s="1082"/>
      <c r="K99" s="110"/>
      <c r="L99" s="111"/>
      <c r="M99" s="110"/>
      <c r="N99" s="110"/>
      <c r="O99" s="110"/>
      <c r="P99" s="110"/>
      <c r="Q99" s="207"/>
      <c r="R99" s="207"/>
      <c r="S99" s="207"/>
      <c r="T99" s="1084"/>
      <c r="U99" s="207"/>
      <c r="V99" s="207"/>
      <c r="W99" s="207"/>
      <c r="X99" s="207"/>
      <c r="Y99" s="207"/>
      <c r="Z99" s="207"/>
      <c r="AA99" s="207"/>
      <c r="AB99" s="207"/>
      <c r="AC99" s="207"/>
      <c r="AD99" s="110"/>
      <c r="AE99" s="207"/>
      <c r="AF99" s="110"/>
      <c r="AG99" s="110"/>
      <c r="AH99" s="110"/>
      <c r="AI99" s="111"/>
    </row>
    <row r="100" spans="1:35" ht="33.75" x14ac:dyDescent="0.25">
      <c r="A100" s="394">
        <v>33604</v>
      </c>
      <c r="B100" s="1137" t="s">
        <v>853</v>
      </c>
      <c r="C100" s="1137"/>
      <c r="D100" s="1135"/>
      <c r="E100" s="1135"/>
      <c r="F100" s="1135"/>
      <c r="G100" s="1135"/>
      <c r="H100" s="1135"/>
      <c r="I100" s="314"/>
      <c r="J100" s="1105">
        <f>J101+J102+J103+J104+J105+J106+J107+J108</f>
        <v>264003.96399999998</v>
      </c>
      <c r="K100" s="387"/>
      <c r="L100" s="314"/>
      <c r="M100" s="110"/>
      <c r="N100" s="110"/>
      <c r="O100" s="110"/>
      <c r="P100" s="110"/>
      <c r="Q100" s="1135"/>
      <c r="R100" s="1135"/>
      <c r="S100" s="1135"/>
      <c r="T100" s="1108"/>
      <c r="U100" s="1135"/>
      <c r="V100" s="1135"/>
      <c r="W100" s="1135"/>
      <c r="X100" s="1135"/>
      <c r="Y100" s="1135"/>
      <c r="Z100" s="1135"/>
      <c r="AA100" s="1135"/>
      <c r="AB100" s="1135"/>
      <c r="AC100" s="1135"/>
      <c r="AD100" s="387"/>
      <c r="AE100" s="1135"/>
      <c r="AF100" s="387"/>
      <c r="AG100" s="387"/>
      <c r="AH100" s="387"/>
      <c r="AI100" s="1105">
        <f>AI101+AI102+AI103+AI104+AI105+AI106+AI107+AI108</f>
        <v>264003.95999999996</v>
      </c>
    </row>
    <row r="101" spans="1:35" ht="56.25" x14ac:dyDescent="0.25">
      <c r="A101" s="110"/>
      <c r="B101" s="15" t="s">
        <v>4335</v>
      </c>
      <c r="C101" s="15"/>
      <c r="D101" s="207">
        <v>50</v>
      </c>
      <c r="E101" s="207" t="s">
        <v>1755</v>
      </c>
      <c r="F101" s="697" t="s">
        <v>4308</v>
      </c>
      <c r="G101" s="15" t="s">
        <v>3463</v>
      </c>
      <c r="H101" s="155" t="s">
        <v>4309</v>
      </c>
      <c r="I101" s="111">
        <f t="shared" ref="I101:I108" si="12">J101/D101</f>
        <v>4222.2920000000004</v>
      </c>
      <c r="J101" s="1082">
        <f>96512.3+6090+96512.3+12000</f>
        <v>211114.6</v>
      </c>
      <c r="K101" s="110"/>
      <c r="L101" s="111"/>
      <c r="M101" s="110"/>
      <c r="N101" s="110"/>
      <c r="O101" s="110"/>
      <c r="P101" s="110"/>
      <c r="Q101" s="207">
        <v>10</v>
      </c>
      <c r="R101" s="1083">
        <f>I101*Q101</f>
        <v>42222.920000000006</v>
      </c>
      <c r="S101" s="207">
        <v>10</v>
      </c>
      <c r="T101" s="1083">
        <v>42222.92</v>
      </c>
      <c r="U101" s="207">
        <v>10</v>
      </c>
      <c r="V101" s="1083">
        <v>42222.92</v>
      </c>
      <c r="W101" s="207">
        <v>10</v>
      </c>
      <c r="X101" s="1083">
        <v>42222.92</v>
      </c>
      <c r="Y101" s="207">
        <v>10</v>
      </c>
      <c r="Z101" s="1083">
        <v>42222.92</v>
      </c>
      <c r="AA101" s="110">
        <v>0</v>
      </c>
      <c r="AB101" s="111">
        <v>0</v>
      </c>
      <c r="AC101" s="110">
        <v>0</v>
      </c>
      <c r="AD101" s="111">
        <v>0</v>
      </c>
      <c r="AE101" s="110">
        <v>0</v>
      </c>
      <c r="AF101" s="111">
        <v>0</v>
      </c>
      <c r="AG101" s="110">
        <v>0</v>
      </c>
      <c r="AH101" s="111">
        <v>0</v>
      </c>
      <c r="AI101" s="111">
        <f t="shared" ref="AI101:AI108" si="13">R101+T101+V101+X101+Z101+AB101+AD101+AF101+AH101</f>
        <v>211114.59999999998</v>
      </c>
    </row>
    <row r="102" spans="1:35" ht="56.25" x14ac:dyDescent="0.25">
      <c r="A102" s="110"/>
      <c r="B102" s="15" t="s">
        <v>4336</v>
      </c>
      <c r="C102" s="15"/>
      <c r="D102" s="207">
        <v>100</v>
      </c>
      <c r="E102" s="207" t="s">
        <v>1755</v>
      </c>
      <c r="F102" s="697" t="s">
        <v>4308</v>
      </c>
      <c r="G102" s="15" t="s">
        <v>3463</v>
      </c>
      <c r="H102" s="155" t="s">
        <v>4309</v>
      </c>
      <c r="I102" s="111">
        <f t="shared" si="12"/>
        <v>62.743000000000002</v>
      </c>
      <c r="J102" s="1082">
        <v>6274.3</v>
      </c>
      <c r="K102" s="110"/>
      <c r="L102" s="111"/>
      <c r="M102" s="110"/>
      <c r="N102" s="110"/>
      <c r="O102" s="110"/>
      <c r="P102" s="110"/>
      <c r="Q102" s="207">
        <v>20</v>
      </c>
      <c r="R102" s="1083">
        <f>I102*Q102</f>
        <v>1254.8600000000001</v>
      </c>
      <c r="S102" s="207">
        <v>20</v>
      </c>
      <c r="T102" s="1084">
        <v>1254.8599999999999</v>
      </c>
      <c r="U102" s="207">
        <v>20</v>
      </c>
      <c r="V102" s="1084">
        <v>1254.8599999999999</v>
      </c>
      <c r="W102" s="207">
        <v>20</v>
      </c>
      <c r="X102" s="1084">
        <v>1254.8599999999999</v>
      </c>
      <c r="Y102" s="207">
        <v>20</v>
      </c>
      <c r="Z102" s="1084">
        <v>1254.8599999999999</v>
      </c>
      <c r="AA102" s="110">
        <v>0</v>
      </c>
      <c r="AB102" s="111">
        <v>0</v>
      </c>
      <c r="AC102" s="110">
        <v>0</v>
      </c>
      <c r="AD102" s="111">
        <v>0</v>
      </c>
      <c r="AE102" s="110">
        <v>0</v>
      </c>
      <c r="AF102" s="111">
        <v>0</v>
      </c>
      <c r="AG102" s="110">
        <v>0</v>
      </c>
      <c r="AH102" s="111">
        <v>0</v>
      </c>
      <c r="AI102" s="111">
        <f t="shared" si="13"/>
        <v>6274.2999999999993</v>
      </c>
    </row>
    <row r="103" spans="1:35" ht="56.25" x14ac:dyDescent="0.25">
      <c r="A103" s="1138"/>
      <c r="B103" s="12" t="s">
        <v>4337</v>
      </c>
      <c r="C103" s="12"/>
      <c r="D103" s="207">
        <v>5</v>
      </c>
      <c r="E103" s="207" t="s">
        <v>1755</v>
      </c>
      <c r="F103" s="697" t="s">
        <v>4308</v>
      </c>
      <c r="G103" s="15" t="s">
        <v>3463</v>
      </c>
      <c r="H103" s="155" t="s">
        <v>4309</v>
      </c>
      <c r="I103" s="111">
        <f t="shared" si="12"/>
        <v>579.86080000000004</v>
      </c>
      <c r="J103" s="1082">
        <v>2899.3040000000001</v>
      </c>
      <c r="K103" s="110"/>
      <c r="L103" s="111"/>
      <c r="M103" s="110"/>
      <c r="N103" s="110"/>
      <c r="O103" s="110"/>
      <c r="P103" s="110"/>
      <c r="Q103" s="207">
        <v>1</v>
      </c>
      <c r="R103" s="111">
        <v>579.86</v>
      </c>
      <c r="S103" s="207">
        <v>1</v>
      </c>
      <c r="T103" s="111">
        <v>579.86</v>
      </c>
      <c r="U103" s="207">
        <v>1</v>
      </c>
      <c r="V103" s="111">
        <v>579.86</v>
      </c>
      <c r="W103" s="207">
        <v>1</v>
      </c>
      <c r="X103" s="111">
        <v>579.86</v>
      </c>
      <c r="Y103" s="207">
        <v>1</v>
      </c>
      <c r="Z103" s="111">
        <v>579.86</v>
      </c>
      <c r="AA103" s="110">
        <v>0</v>
      </c>
      <c r="AB103" s="111">
        <v>0</v>
      </c>
      <c r="AC103" s="110">
        <v>0</v>
      </c>
      <c r="AD103" s="111">
        <v>0</v>
      </c>
      <c r="AE103" s="110">
        <v>0</v>
      </c>
      <c r="AF103" s="111">
        <v>0</v>
      </c>
      <c r="AG103" s="110">
        <v>0</v>
      </c>
      <c r="AH103" s="111">
        <v>0</v>
      </c>
      <c r="AI103" s="111">
        <f t="shared" si="13"/>
        <v>2899.3</v>
      </c>
    </row>
    <row r="104" spans="1:35" ht="56.25" x14ac:dyDescent="0.25">
      <c r="A104" s="1138"/>
      <c r="B104" s="12" t="s">
        <v>4338</v>
      </c>
      <c r="C104" s="12"/>
      <c r="D104" s="207">
        <v>5</v>
      </c>
      <c r="E104" s="207" t="s">
        <v>1755</v>
      </c>
      <c r="F104" s="697" t="s">
        <v>4308</v>
      </c>
      <c r="G104" s="15" t="s">
        <v>3463</v>
      </c>
      <c r="H104" s="155" t="s">
        <v>4309</v>
      </c>
      <c r="I104" s="111">
        <f t="shared" si="12"/>
        <v>375.84000000000003</v>
      </c>
      <c r="J104" s="1082">
        <v>1879.2</v>
      </c>
      <c r="K104" s="110"/>
      <c r="L104" s="111"/>
      <c r="M104" s="110"/>
      <c r="N104" s="110"/>
      <c r="O104" s="110"/>
      <c r="P104" s="110"/>
      <c r="Q104" s="207">
        <v>1</v>
      </c>
      <c r="R104" s="207">
        <v>375.84</v>
      </c>
      <c r="S104" s="207">
        <v>1</v>
      </c>
      <c r="T104" s="207">
        <v>375.84</v>
      </c>
      <c r="U104" s="207">
        <v>1</v>
      </c>
      <c r="V104" s="207">
        <v>375.84</v>
      </c>
      <c r="W104" s="207">
        <v>1</v>
      </c>
      <c r="X104" s="207">
        <v>375.84</v>
      </c>
      <c r="Y104" s="207">
        <v>1</v>
      </c>
      <c r="Z104" s="207">
        <v>375.84</v>
      </c>
      <c r="AA104" s="110">
        <v>0</v>
      </c>
      <c r="AB104" s="111">
        <v>0</v>
      </c>
      <c r="AC104" s="110">
        <v>0</v>
      </c>
      <c r="AD104" s="111">
        <v>0</v>
      </c>
      <c r="AE104" s="110">
        <v>0</v>
      </c>
      <c r="AF104" s="111">
        <v>0</v>
      </c>
      <c r="AG104" s="110">
        <v>0</v>
      </c>
      <c r="AH104" s="111">
        <v>0</v>
      </c>
      <c r="AI104" s="111">
        <f t="shared" si="13"/>
        <v>1879.1999999999998</v>
      </c>
    </row>
    <row r="105" spans="1:35" ht="56.25" x14ac:dyDescent="0.25">
      <c r="A105" s="1138"/>
      <c r="B105" s="12" t="s">
        <v>2829</v>
      </c>
      <c r="C105" s="12"/>
      <c r="D105" s="207">
        <v>2</v>
      </c>
      <c r="E105" s="207" t="s">
        <v>1755</v>
      </c>
      <c r="F105" s="697" t="s">
        <v>4308</v>
      </c>
      <c r="G105" s="15" t="s">
        <v>3463</v>
      </c>
      <c r="H105" s="155" t="s">
        <v>4309</v>
      </c>
      <c r="I105" s="111">
        <f t="shared" si="12"/>
        <v>1666.92</v>
      </c>
      <c r="J105" s="1082">
        <v>3333.84</v>
      </c>
      <c r="K105" s="110"/>
      <c r="L105" s="111"/>
      <c r="M105" s="110"/>
      <c r="N105" s="110"/>
      <c r="O105" s="110"/>
      <c r="P105" s="110"/>
      <c r="Q105" s="207">
        <v>1</v>
      </c>
      <c r="R105" s="1084">
        <v>1666.92</v>
      </c>
      <c r="S105" s="207">
        <v>1</v>
      </c>
      <c r="T105" s="1084">
        <v>1666.92</v>
      </c>
      <c r="U105" s="110">
        <v>0</v>
      </c>
      <c r="V105" s="111">
        <v>0</v>
      </c>
      <c r="W105" s="110">
        <v>0</v>
      </c>
      <c r="X105" s="111">
        <v>0</v>
      </c>
      <c r="Y105" s="110">
        <v>0</v>
      </c>
      <c r="Z105" s="111">
        <v>0</v>
      </c>
      <c r="AA105" s="110">
        <v>0</v>
      </c>
      <c r="AB105" s="111">
        <v>0</v>
      </c>
      <c r="AC105" s="110">
        <v>0</v>
      </c>
      <c r="AD105" s="111">
        <v>0</v>
      </c>
      <c r="AE105" s="110">
        <v>0</v>
      </c>
      <c r="AF105" s="111">
        <v>0</v>
      </c>
      <c r="AG105" s="110">
        <v>0</v>
      </c>
      <c r="AH105" s="111">
        <v>0</v>
      </c>
      <c r="AI105" s="111">
        <f t="shared" si="13"/>
        <v>3333.84</v>
      </c>
    </row>
    <row r="106" spans="1:35" ht="56.25" x14ac:dyDescent="0.25">
      <c r="A106" s="1138"/>
      <c r="B106" s="12" t="s">
        <v>4339</v>
      </c>
      <c r="C106" s="12"/>
      <c r="D106" s="207">
        <v>170</v>
      </c>
      <c r="E106" s="207" t="s">
        <v>1755</v>
      </c>
      <c r="F106" s="697" t="s">
        <v>4308</v>
      </c>
      <c r="G106" s="15" t="s">
        <v>3463</v>
      </c>
      <c r="H106" s="155" t="s">
        <v>4309</v>
      </c>
      <c r="I106" s="111">
        <f t="shared" si="12"/>
        <v>175.39199999999997</v>
      </c>
      <c r="J106" s="1082">
        <v>29816.639999999996</v>
      </c>
      <c r="K106" s="110"/>
      <c r="L106" s="111"/>
      <c r="M106" s="110"/>
      <c r="N106" s="110"/>
      <c r="O106" s="110"/>
      <c r="P106" s="110"/>
      <c r="Q106" s="207">
        <v>20</v>
      </c>
      <c r="R106" s="1083">
        <f>I106*Q106</f>
        <v>3507.8399999999992</v>
      </c>
      <c r="S106" s="207">
        <v>20</v>
      </c>
      <c r="T106" s="1084">
        <v>3507.84</v>
      </c>
      <c r="U106" s="207">
        <v>20</v>
      </c>
      <c r="V106" s="1084">
        <v>3507.84</v>
      </c>
      <c r="W106" s="207">
        <v>20</v>
      </c>
      <c r="X106" s="1084">
        <v>3507.84</v>
      </c>
      <c r="Y106" s="207">
        <v>30</v>
      </c>
      <c r="Z106" s="1084">
        <f>I106*Y106</f>
        <v>5261.7599999999993</v>
      </c>
      <c r="AA106" s="207">
        <v>30</v>
      </c>
      <c r="AB106" s="1084">
        <v>5261.76</v>
      </c>
      <c r="AC106" s="207">
        <v>30</v>
      </c>
      <c r="AD106" s="1084">
        <v>5261.76</v>
      </c>
      <c r="AE106" s="110">
        <v>0</v>
      </c>
      <c r="AF106" s="111">
        <v>0</v>
      </c>
      <c r="AG106" s="110">
        <v>0</v>
      </c>
      <c r="AH106" s="111">
        <v>0</v>
      </c>
      <c r="AI106" s="111">
        <f t="shared" si="13"/>
        <v>29816.639999999999</v>
      </c>
    </row>
    <row r="107" spans="1:35" ht="56.25" x14ac:dyDescent="0.25">
      <c r="A107" s="1138"/>
      <c r="B107" s="12" t="s">
        <v>4340</v>
      </c>
      <c r="C107" s="12"/>
      <c r="D107" s="207">
        <v>178</v>
      </c>
      <c r="E107" s="207" t="s">
        <v>1755</v>
      </c>
      <c r="F107" s="697" t="s">
        <v>4308</v>
      </c>
      <c r="G107" s="15" t="s">
        <v>3463</v>
      </c>
      <c r="H107" s="155" t="s">
        <v>4309</v>
      </c>
      <c r="I107" s="111">
        <f t="shared" si="12"/>
        <v>20.88</v>
      </c>
      <c r="J107" s="1082">
        <v>3716.64</v>
      </c>
      <c r="K107" s="110"/>
      <c r="L107" s="111"/>
      <c r="M107" s="110"/>
      <c r="N107" s="110"/>
      <c r="O107" s="110"/>
      <c r="P107" s="110"/>
      <c r="Q107" s="207">
        <v>20</v>
      </c>
      <c r="R107" s="1083">
        <f t="shared" ref="R107:R108" si="14">I107*Q107</f>
        <v>417.59999999999997</v>
      </c>
      <c r="S107" s="207">
        <v>20</v>
      </c>
      <c r="T107" s="1084">
        <v>417.6</v>
      </c>
      <c r="U107" s="207">
        <v>20</v>
      </c>
      <c r="V107" s="1084">
        <v>417.6</v>
      </c>
      <c r="W107" s="207">
        <v>20</v>
      </c>
      <c r="X107" s="1084">
        <v>417.6</v>
      </c>
      <c r="Y107" s="207">
        <v>30</v>
      </c>
      <c r="Z107" s="1083">
        <f>I107*Y107</f>
        <v>626.4</v>
      </c>
      <c r="AA107" s="207">
        <v>30</v>
      </c>
      <c r="AB107" s="1084">
        <v>626.4</v>
      </c>
      <c r="AC107" s="207">
        <v>38</v>
      </c>
      <c r="AD107" s="1082">
        <f>AC107*I107</f>
        <v>793.43999999999994</v>
      </c>
      <c r="AE107" s="110">
        <v>0</v>
      </c>
      <c r="AF107" s="111">
        <v>0</v>
      </c>
      <c r="AG107" s="110">
        <v>0</v>
      </c>
      <c r="AH107" s="111">
        <v>0</v>
      </c>
      <c r="AI107" s="111">
        <f t="shared" si="13"/>
        <v>3716.6400000000003</v>
      </c>
    </row>
    <row r="108" spans="1:35" ht="56.25" x14ac:dyDescent="0.25">
      <c r="A108" s="1138"/>
      <c r="B108" s="12" t="s">
        <v>4341</v>
      </c>
      <c r="C108" s="12"/>
      <c r="D108" s="207">
        <v>170</v>
      </c>
      <c r="E108" s="207" t="s">
        <v>1755</v>
      </c>
      <c r="F108" s="697" t="s">
        <v>4308</v>
      </c>
      <c r="G108" s="15" t="s">
        <v>3463</v>
      </c>
      <c r="H108" s="155" t="s">
        <v>4309</v>
      </c>
      <c r="I108" s="111">
        <f t="shared" si="12"/>
        <v>29.232000000000003</v>
      </c>
      <c r="J108" s="1082">
        <v>4969.4400000000005</v>
      </c>
      <c r="K108" s="110"/>
      <c r="L108" s="111"/>
      <c r="M108" s="110"/>
      <c r="N108" s="110"/>
      <c r="O108" s="110"/>
      <c r="P108" s="110"/>
      <c r="Q108" s="207">
        <v>20</v>
      </c>
      <c r="R108" s="1083">
        <f t="shared" si="14"/>
        <v>584.6400000000001</v>
      </c>
      <c r="S108" s="207">
        <v>20</v>
      </c>
      <c r="T108" s="1083">
        <v>584.64</v>
      </c>
      <c r="U108" s="207">
        <v>20</v>
      </c>
      <c r="V108" s="1083">
        <v>584.64</v>
      </c>
      <c r="W108" s="207">
        <v>20</v>
      </c>
      <c r="X108" s="1083">
        <v>584.64</v>
      </c>
      <c r="Y108" s="207">
        <v>30</v>
      </c>
      <c r="Z108" s="1083">
        <f>I108*Y108</f>
        <v>876.96</v>
      </c>
      <c r="AA108" s="207">
        <v>30</v>
      </c>
      <c r="AB108" s="207">
        <v>876.96</v>
      </c>
      <c r="AC108" s="207">
        <v>30</v>
      </c>
      <c r="AD108" s="207">
        <v>876.96</v>
      </c>
      <c r="AE108" s="110">
        <v>0</v>
      </c>
      <c r="AF108" s="111">
        <v>0</v>
      </c>
      <c r="AG108" s="110">
        <v>0</v>
      </c>
      <c r="AH108" s="111">
        <v>0</v>
      </c>
      <c r="AI108" s="111">
        <f t="shared" si="13"/>
        <v>4969.4400000000005</v>
      </c>
    </row>
    <row r="109" spans="1:35" x14ac:dyDescent="0.25">
      <c r="A109" s="110"/>
      <c r="B109" s="178"/>
      <c r="C109" s="178"/>
      <c r="D109" s="207"/>
      <c r="E109" s="207"/>
      <c r="F109" s="207"/>
      <c r="G109" s="207"/>
      <c r="H109" s="207"/>
      <c r="I109" s="111"/>
      <c r="J109" s="1082"/>
      <c r="K109" s="110"/>
      <c r="L109" s="111"/>
      <c r="M109" s="110"/>
      <c r="N109" s="110"/>
      <c r="O109" s="110"/>
      <c r="P109" s="110"/>
      <c r="Q109" s="207"/>
      <c r="R109" s="207"/>
      <c r="S109" s="207"/>
      <c r="T109" s="1084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110"/>
      <c r="AE109" s="207"/>
      <c r="AF109" s="110"/>
      <c r="AG109" s="110"/>
      <c r="AH109" s="110"/>
      <c r="AI109" s="111"/>
    </row>
    <row r="110" spans="1:35" x14ac:dyDescent="0.25">
      <c r="A110" s="1139">
        <v>371</v>
      </c>
      <c r="B110" s="1140" t="s">
        <v>926</v>
      </c>
      <c r="C110" s="1140"/>
      <c r="D110" s="1141"/>
      <c r="E110" s="1141"/>
      <c r="F110" s="1141"/>
      <c r="G110" s="1141"/>
      <c r="H110" s="1141"/>
      <c r="I110" s="345"/>
      <c r="J110" s="1142"/>
      <c r="K110" s="413"/>
      <c r="L110" s="111"/>
      <c r="M110" s="110"/>
      <c r="N110" s="110"/>
      <c r="O110" s="110"/>
      <c r="P110" s="110"/>
      <c r="Q110" s="1096"/>
      <c r="R110" s="1096"/>
      <c r="S110" s="1096"/>
      <c r="T110" s="1098"/>
      <c r="U110" s="1096"/>
      <c r="V110" s="1096"/>
      <c r="W110" s="1096"/>
      <c r="X110" s="1096"/>
      <c r="Y110" s="1096"/>
      <c r="Z110" s="1096"/>
      <c r="AA110" s="1096"/>
      <c r="AB110" s="1096"/>
      <c r="AC110" s="1096"/>
      <c r="AD110" s="418"/>
      <c r="AE110" s="1096"/>
      <c r="AF110" s="418"/>
      <c r="AG110" s="418"/>
      <c r="AH110" s="418"/>
      <c r="AI110" s="379"/>
    </row>
    <row r="111" spans="1:35" s="1092" customFormat="1" x14ac:dyDescent="0.25">
      <c r="A111" s="1143">
        <v>37101</v>
      </c>
      <c r="B111" s="1144" t="s">
        <v>4342</v>
      </c>
      <c r="C111" s="1144"/>
      <c r="D111" s="1087"/>
      <c r="E111" s="1087"/>
      <c r="F111" s="1087"/>
      <c r="G111" s="1087"/>
      <c r="H111" s="1087"/>
      <c r="I111" s="1089"/>
      <c r="J111" s="1077">
        <f>J112</f>
        <v>10834</v>
      </c>
      <c r="K111" s="1088"/>
      <c r="L111" s="1100"/>
      <c r="M111" s="1090"/>
      <c r="N111" s="1090"/>
      <c r="O111" s="1090"/>
      <c r="P111" s="1090"/>
      <c r="Q111" s="1087"/>
      <c r="R111" s="1087"/>
      <c r="S111" s="1087"/>
      <c r="T111" s="1091"/>
      <c r="U111" s="1087"/>
      <c r="V111" s="1087"/>
      <c r="W111" s="1087"/>
      <c r="X111" s="1087"/>
      <c r="Y111" s="1087"/>
      <c r="Z111" s="1087"/>
      <c r="AA111" s="1087"/>
      <c r="AB111" s="1087"/>
      <c r="AC111" s="1087"/>
      <c r="AD111" s="1088"/>
      <c r="AE111" s="1087"/>
      <c r="AF111" s="1088"/>
      <c r="AG111" s="1088"/>
      <c r="AH111" s="1088"/>
      <c r="AI111" s="1077">
        <f>AI112</f>
        <v>10834</v>
      </c>
    </row>
    <row r="112" spans="1:35" ht="56.25" x14ac:dyDescent="0.25">
      <c r="A112" s="1145"/>
      <c r="B112" s="1146" t="s">
        <v>4343</v>
      </c>
      <c r="C112" s="1146"/>
      <c r="D112" s="207">
        <v>2</v>
      </c>
      <c r="E112" s="207" t="s">
        <v>1755</v>
      </c>
      <c r="F112" s="697" t="s">
        <v>4308</v>
      </c>
      <c r="G112" s="15" t="s">
        <v>3463</v>
      </c>
      <c r="H112" s="155" t="s">
        <v>4309</v>
      </c>
      <c r="I112" s="111">
        <v>5417</v>
      </c>
      <c r="J112" s="1082">
        <f>5417+5417</f>
        <v>10834</v>
      </c>
      <c r="K112" s="110"/>
      <c r="L112" s="111"/>
      <c r="M112" s="110"/>
      <c r="N112" s="110"/>
      <c r="O112" s="110"/>
      <c r="P112" s="110"/>
      <c r="Q112" s="207">
        <v>0</v>
      </c>
      <c r="R112" s="1084">
        <v>0</v>
      </c>
      <c r="S112" s="207">
        <v>0</v>
      </c>
      <c r="T112" s="1084">
        <v>0</v>
      </c>
      <c r="U112" s="207">
        <v>2</v>
      </c>
      <c r="V112" s="1083">
        <f>I112*U112</f>
        <v>10834</v>
      </c>
      <c r="W112" s="207">
        <v>0</v>
      </c>
      <c r="X112" s="1084">
        <v>0</v>
      </c>
      <c r="Y112" s="207">
        <v>0</v>
      </c>
      <c r="Z112" s="1084">
        <v>0</v>
      </c>
      <c r="AA112" s="207">
        <v>0</v>
      </c>
      <c r="AB112" s="1084">
        <v>0</v>
      </c>
      <c r="AC112" s="207">
        <v>0</v>
      </c>
      <c r="AD112" s="1084">
        <v>0</v>
      </c>
      <c r="AE112" s="207">
        <v>0</v>
      </c>
      <c r="AF112" s="1084">
        <v>0</v>
      </c>
      <c r="AG112" s="207">
        <v>0</v>
      </c>
      <c r="AH112" s="1084">
        <v>0</v>
      </c>
      <c r="AI112" s="111">
        <f t="shared" ref="AI112" si="15">R112+T112+V112+X112+Z112+AB112+AD112+AF112+AH112</f>
        <v>10834</v>
      </c>
    </row>
    <row r="113" spans="1:35" x14ac:dyDescent="0.25">
      <c r="A113" s="1145"/>
      <c r="B113" s="1146"/>
      <c r="C113" s="1146"/>
      <c r="D113" s="207"/>
      <c r="E113" s="207"/>
      <c r="F113" s="207"/>
      <c r="G113" s="207"/>
      <c r="H113" s="207"/>
      <c r="I113" s="111"/>
      <c r="J113" s="1082"/>
      <c r="K113" s="110"/>
      <c r="L113" s="111"/>
      <c r="M113" s="110"/>
      <c r="N113" s="110"/>
      <c r="O113" s="110"/>
      <c r="P113" s="110"/>
      <c r="Q113" s="207"/>
      <c r="R113" s="207"/>
      <c r="S113" s="207"/>
      <c r="T113" s="1084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110"/>
      <c r="AE113" s="207"/>
      <c r="AF113" s="110"/>
      <c r="AG113" s="110"/>
      <c r="AH113" s="110"/>
      <c r="AI113" s="111"/>
    </row>
    <row r="114" spans="1:35" x14ac:dyDescent="0.25">
      <c r="A114" s="1147">
        <v>372</v>
      </c>
      <c r="B114" s="1148" t="s">
        <v>928</v>
      </c>
      <c r="C114" s="1148"/>
      <c r="D114" s="1141"/>
      <c r="E114" s="1141"/>
      <c r="F114" s="1141"/>
      <c r="G114" s="1141"/>
      <c r="H114" s="1141"/>
      <c r="I114" s="345"/>
      <c r="J114" s="1142"/>
      <c r="K114" s="413"/>
      <c r="L114" s="111"/>
      <c r="M114" s="110"/>
      <c r="N114" s="110"/>
      <c r="O114" s="110"/>
      <c r="P114" s="110"/>
      <c r="Q114" s="1096"/>
      <c r="R114" s="1096"/>
      <c r="S114" s="1096"/>
      <c r="T114" s="1098"/>
      <c r="U114" s="1096"/>
      <c r="V114" s="1096"/>
      <c r="W114" s="1096"/>
      <c r="X114" s="1096"/>
      <c r="Y114" s="1096"/>
      <c r="Z114" s="1096"/>
      <c r="AA114" s="1096"/>
      <c r="AB114" s="1096"/>
      <c r="AC114" s="1096"/>
      <c r="AD114" s="418"/>
      <c r="AE114" s="1096"/>
      <c r="AF114" s="418"/>
      <c r="AG114" s="418"/>
      <c r="AH114" s="418"/>
      <c r="AI114" s="379"/>
    </row>
    <row r="115" spans="1:35" s="1092" customFormat="1" x14ac:dyDescent="0.25">
      <c r="A115" s="1143">
        <v>37201</v>
      </c>
      <c r="B115" s="1144" t="s">
        <v>928</v>
      </c>
      <c r="C115" s="1144"/>
      <c r="D115" s="1087"/>
      <c r="E115" s="1087"/>
      <c r="F115" s="1087"/>
      <c r="G115" s="1087"/>
      <c r="H115" s="1087"/>
      <c r="I115" s="1089"/>
      <c r="J115" s="1077">
        <f>J116</f>
        <v>21833.32</v>
      </c>
      <c r="K115" s="1088"/>
      <c r="L115" s="1100"/>
      <c r="M115" s="1090"/>
      <c r="N115" s="1090"/>
      <c r="O115" s="1090"/>
      <c r="P115" s="1090"/>
      <c r="Q115" s="1087"/>
      <c r="R115" s="1087"/>
      <c r="S115" s="1087"/>
      <c r="T115" s="1091"/>
      <c r="U115" s="1087"/>
      <c r="V115" s="1087"/>
      <c r="W115" s="1087"/>
      <c r="X115" s="1087"/>
      <c r="Y115" s="1087"/>
      <c r="Z115" s="1087"/>
      <c r="AA115" s="1087"/>
      <c r="AB115" s="1087"/>
      <c r="AC115" s="1087"/>
      <c r="AD115" s="1088"/>
      <c r="AE115" s="1087"/>
      <c r="AF115" s="1088"/>
      <c r="AG115" s="1088"/>
      <c r="AH115" s="1088"/>
      <c r="AI115" s="1077">
        <f>AI116</f>
        <v>21833.321199999998</v>
      </c>
    </row>
    <row r="116" spans="1:35" ht="56.25" x14ac:dyDescent="0.25">
      <c r="A116" s="1145"/>
      <c r="B116" s="1146" t="s">
        <v>4344</v>
      </c>
      <c r="C116" s="1146"/>
      <c r="D116" s="207">
        <v>50</v>
      </c>
      <c r="E116" s="207" t="s">
        <v>1755</v>
      </c>
      <c r="F116" s="697" t="s">
        <v>4308</v>
      </c>
      <c r="G116" s="15" t="s">
        <v>3463</v>
      </c>
      <c r="H116" s="155" t="s">
        <v>4309</v>
      </c>
      <c r="I116" s="111">
        <f>J116/D116</f>
        <v>436.66640000000001</v>
      </c>
      <c r="J116" s="1082">
        <f>416.66+3600+416.66+17400</f>
        <v>21833.32</v>
      </c>
      <c r="K116" s="110"/>
      <c r="L116" s="111"/>
      <c r="M116" s="110"/>
      <c r="N116" s="110"/>
      <c r="O116" s="110"/>
      <c r="P116" s="110"/>
      <c r="Q116" s="1119">
        <v>8</v>
      </c>
      <c r="R116" s="1084">
        <f>I116*Q116</f>
        <v>3493.3312000000001</v>
      </c>
      <c r="S116" s="207">
        <v>8</v>
      </c>
      <c r="T116" s="1084">
        <v>3493.33</v>
      </c>
      <c r="U116" s="207">
        <v>8</v>
      </c>
      <c r="V116" s="1084">
        <v>3493.33</v>
      </c>
      <c r="W116" s="207">
        <v>8</v>
      </c>
      <c r="X116" s="1084">
        <v>3493.33</v>
      </c>
      <c r="Y116" s="207">
        <v>8</v>
      </c>
      <c r="Z116" s="1084">
        <v>3493.33</v>
      </c>
      <c r="AA116" s="207">
        <v>4</v>
      </c>
      <c r="AB116" s="1083">
        <f>Z116/2</f>
        <v>1746.665</v>
      </c>
      <c r="AC116" s="207">
        <v>4</v>
      </c>
      <c r="AD116" s="110">
        <v>1746.67</v>
      </c>
      <c r="AE116" s="207">
        <v>2</v>
      </c>
      <c r="AF116" s="110">
        <f>AD116/2</f>
        <v>873.33500000000004</v>
      </c>
      <c r="AG116" s="110"/>
      <c r="AH116" s="110"/>
      <c r="AI116" s="111">
        <f t="shared" ref="AI116" si="16">R116+T116+V116+X116+Z116+AB116+AD116+AF116+AH116</f>
        <v>21833.321199999998</v>
      </c>
    </row>
    <row r="117" spans="1:35" x14ac:dyDescent="0.25">
      <c r="A117" s="1145"/>
      <c r="B117" s="1146"/>
      <c r="C117" s="1146"/>
      <c r="D117" s="207"/>
      <c r="E117" s="207"/>
      <c r="F117" s="207"/>
      <c r="G117" s="207"/>
      <c r="H117" s="207"/>
      <c r="I117" s="111"/>
      <c r="J117" s="1082"/>
      <c r="K117" s="110"/>
      <c r="L117" s="111"/>
      <c r="M117" s="110"/>
      <c r="N117" s="110"/>
      <c r="O117" s="110"/>
      <c r="P117" s="110"/>
      <c r="Q117" s="207"/>
      <c r="R117" s="207"/>
      <c r="S117" s="207"/>
      <c r="T117" s="1084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110"/>
      <c r="AE117" s="207"/>
      <c r="AF117" s="110"/>
      <c r="AG117" s="110"/>
      <c r="AH117" s="110"/>
      <c r="AI117" s="111"/>
    </row>
    <row r="118" spans="1:35" x14ac:dyDescent="0.25">
      <c r="A118" s="1147">
        <v>375</v>
      </c>
      <c r="B118" s="1148" t="s">
        <v>4345</v>
      </c>
      <c r="C118" s="1148"/>
      <c r="D118" s="1141"/>
      <c r="E118" s="1141"/>
      <c r="F118" s="1141"/>
      <c r="G118" s="1141"/>
      <c r="H118" s="1141"/>
      <c r="I118" s="345"/>
      <c r="J118" s="1142"/>
      <c r="K118" s="413"/>
      <c r="L118" s="111"/>
      <c r="M118" s="110"/>
      <c r="N118" s="110"/>
      <c r="O118" s="110"/>
      <c r="P118" s="110"/>
      <c r="Q118" s="1096"/>
      <c r="R118" s="1096"/>
      <c r="S118" s="1096"/>
      <c r="T118" s="1098"/>
      <c r="U118" s="1096"/>
      <c r="V118" s="1096"/>
      <c r="W118" s="1096"/>
      <c r="X118" s="1096"/>
      <c r="Y118" s="1096"/>
      <c r="Z118" s="1096"/>
      <c r="AA118" s="1096"/>
      <c r="AB118" s="1096"/>
      <c r="AC118" s="1096"/>
      <c r="AD118" s="418"/>
      <c r="AE118" s="1096"/>
      <c r="AF118" s="418"/>
      <c r="AG118" s="418"/>
      <c r="AH118" s="418"/>
      <c r="AI118" s="379"/>
    </row>
    <row r="119" spans="1:35" s="1092" customFormat="1" x14ac:dyDescent="0.25">
      <c r="A119" s="1143">
        <v>37501</v>
      </c>
      <c r="B119" s="1144" t="s">
        <v>4345</v>
      </c>
      <c r="C119" s="1144"/>
      <c r="D119" s="1087"/>
      <c r="E119" s="1087"/>
      <c r="F119" s="1087"/>
      <c r="G119" s="1087"/>
      <c r="H119" s="1087"/>
      <c r="I119" s="1089"/>
      <c r="J119" s="1077">
        <f>J120</f>
        <v>77792.209999999992</v>
      </c>
      <c r="K119" s="1088"/>
      <c r="L119" s="1100"/>
      <c r="M119" s="1090"/>
      <c r="N119" s="1090"/>
      <c r="O119" s="1090"/>
      <c r="P119" s="1090"/>
      <c r="Q119" s="1087"/>
      <c r="R119" s="1087"/>
      <c r="S119" s="1087"/>
      <c r="T119" s="1091"/>
      <c r="U119" s="1087"/>
      <c r="V119" s="1087"/>
      <c r="W119" s="1087"/>
      <c r="X119" s="1087"/>
      <c r="Y119" s="1087"/>
      <c r="Z119" s="1087"/>
      <c r="AA119" s="1087"/>
      <c r="AB119" s="1087"/>
      <c r="AC119" s="1087"/>
      <c r="AD119" s="1088"/>
      <c r="AE119" s="1087"/>
      <c r="AF119" s="1088"/>
      <c r="AG119" s="1088"/>
      <c r="AH119" s="1088"/>
      <c r="AI119" s="1077">
        <f>AI120</f>
        <v>77792.22619999999</v>
      </c>
    </row>
    <row r="120" spans="1:35" ht="56.25" x14ac:dyDescent="0.25">
      <c r="A120" s="1149"/>
      <c r="B120" s="1146" t="s">
        <v>4346</v>
      </c>
      <c r="C120" s="1146"/>
      <c r="D120" s="207">
        <v>100</v>
      </c>
      <c r="E120" s="207" t="s">
        <v>1758</v>
      </c>
      <c r="F120" s="697" t="s">
        <v>4308</v>
      </c>
      <c r="G120" s="15" t="s">
        <v>3463</v>
      </c>
      <c r="H120" s="155" t="s">
        <v>4309</v>
      </c>
      <c r="I120" s="111">
        <f>J120/D120</f>
        <v>777.92209999999989</v>
      </c>
      <c r="J120" s="1082">
        <f>39992.22+37799.99</f>
        <v>77792.209999999992</v>
      </c>
      <c r="K120" s="110"/>
      <c r="L120" s="111"/>
      <c r="M120" s="110"/>
      <c r="N120" s="110"/>
      <c r="O120" s="110"/>
      <c r="P120" s="110"/>
      <c r="Q120" s="1119">
        <v>13</v>
      </c>
      <c r="R120" s="1084">
        <f>I120*Q120</f>
        <v>10112.987299999999</v>
      </c>
      <c r="S120" s="207">
        <v>13</v>
      </c>
      <c r="T120" s="1084">
        <v>10112.99</v>
      </c>
      <c r="U120" s="207">
        <v>13</v>
      </c>
      <c r="V120" s="1084">
        <v>10112.99</v>
      </c>
      <c r="W120" s="207">
        <v>13</v>
      </c>
      <c r="X120" s="1084">
        <v>10112.99</v>
      </c>
      <c r="Y120" s="207">
        <v>13</v>
      </c>
      <c r="Z120" s="1084">
        <v>10112.99</v>
      </c>
      <c r="AA120" s="207">
        <v>13</v>
      </c>
      <c r="AB120" s="1084">
        <v>10112.99</v>
      </c>
      <c r="AC120" s="207">
        <v>13</v>
      </c>
      <c r="AD120" s="1084">
        <v>10112.99</v>
      </c>
      <c r="AE120" s="207">
        <v>9</v>
      </c>
      <c r="AF120" s="1082">
        <f>I120*AE120</f>
        <v>7001.2988999999989</v>
      </c>
      <c r="AG120" s="110"/>
      <c r="AH120" s="110"/>
      <c r="AI120" s="111">
        <f t="shared" ref="AI120" si="17">R120+T120+V120+X120+Z120+AB120+AD120+AF120+AH120</f>
        <v>77792.22619999999</v>
      </c>
    </row>
    <row r="121" spans="1:35" x14ac:dyDescent="0.25">
      <c r="A121" s="1149"/>
      <c r="B121" s="1146"/>
      <c r="C121" s="1146"/>
      <c r="D121" s="207"/>
      <c r="E121" s="207"/>
      <c r="F121" s="207"/>
      <c r="G121" s="207"/>
      <c r="H121" s="207"/>
      <c r="I121" s="111"/>
      <c r="J121" s="1082"/>
      <c r="K121" s="110"/>
      <c r="L121" s="111"/>
      <c r="M121" s="110"/>
      <c r="N121" s="110"/>
      <c r="O121" s="110"/>
      <c r="P121" s="110"/>
      <c r="Q121" s="207"/>
      <c r="R121" s="207"/>
      <c r="S121" s="207"/>
      <c r="T121" s="1084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110"/>
      <c r="AE121" s="207"/>
      <c r="AF121" s="110"/>
      <c r="AG121" s="110"/>
      <c r="AH121" s="110"/>
      <c r="AI121" s="111"/>
    </row>
    <row r="122" spans="1:35" x14ac:dyDescent="0.25">
      <c r="A122" s="1150">
        <v>379</v>
      </c>
      <c r="B122" s="1151" t="s">
        <v>941</v>
      </c>
      <c r="C122" s="1151"/>
      <c r="D122" s="1096"/>
      <c r="E122" s="1096"/>
      <c r="F122" s="1096"/>
      <c r="G122" s="1096"/>
      <c r="H122" s="1096"/>
      <c r="I122" s="379"/>
      <c r="J122" s="1097"/>
      <c r="K122" s="418"/>
      <c r="L122" s="111"/>
      <c r="M122" s="110"/>
      <c r="N122" s="110"/>
      <c r="O122" s="110"/>
      <c r="P122" s="110"/>
      <c r="Q122" s="1096"/>
      <c r="R122" s="1096"/>
      <c r="S122" s="1096"/>
      <c r="T122" s="1098"/>
      <c r="U122" s="1096"/>
      <c r="V122" s="1096"/>
      <c r="W122" s="1096"/>
      <c r="X122" s="1096"/>
      <c r="Y122" s="1096"/>
      <c r="Z122" s="1096"/>
      <c r="AA122" s="1096"/>
      <c r="AB122" s="1096"/>
      <c r="AC122" s="1096"/>
      <c r="AD122" s="418"/>
      <c r="AE122" s="1096"/>
      <c r="AF122" s="418"/>
      <c r="AG122" s="418"/>
      <c r="AH122" s="418"/>
      <c r="AI122" s="379"/>
    </row>
    <row r="123" spans="1:35" x14ac:dyDescent="0.25">
      <c r="A123" s="1152">
        <v>37901</v>
      </c>
      <c r="B123" s="1153" t="s">
        <v>941</v>
      </c>
      <c r="C123" s="1153"/>
      <c r="D123" s="1135"/>
      <c r="E123" s="1135"/>
      <c r="F123" s="1135"/>
      <c r="G123" s="1135"/>
      <c r="H123" s="1135"/>
      <c r="I123" s="314"/>
      <c r="J123" s="1154"/>
      <c r="K123" s="387"/>
      <c r="L123" s="314"/>
      <c r="M123" s="387"/>
      <c r="N123" s="387"/>
      <c r="O123" s="387"/>
      <c r="P123" s="387"/>
      <c r="Q123" s="1135"/>
      <c r="R123" s="1135"/>
      <c r="S123" s="1135"/>
      <c r="T123" s="1108"/>
      <c r="U123" s="1135"/>
      <c r="V123" s="1135"/>
      <c r="W123" s="1135"/>
      <c r="X123" s="1135"/>
      <c r="Y123" s="1135"/>
      <c r="Z123" s="1135"/>
      <c r="AA123" s="1135"/>
      <c r="AB123" s="1135"/>
      <c r="AC123" s="1135"/>
      <c r="AD123" s="387"/>
      <c r="AE123" s="1135"/>
      <c r="AF123" s="387"/>
      <c r="AG123" s="387"/>
      <c r="AH123" s="387"/>
      <c r="AI123" s="314"/>
    </row>
    <row r="124" spans="1:35" x14ac:dyDescent="0.25">
      <c r="A124" s="1149"/>
      <c r="B124" s="1146"/>
      <c r="C124" s="1146"/>
      <c r="D124" s="207"/>
      <c r="E124" s="207"/>
      <c r="F124" s="207"/>
      <c r="G124" s="207"/>
      <c r="H124" s="207"/>
      <c r="I124" s="111"/>
      <c r="J124" s="1082"/>
      <c r="K124" s="110"/>
      <c r="L124" s="111"/>
      <c r="M124" s="110"/>
      <c r="N124" s="110"/>
      <c r="O124" s="110"/>
      <c r="P124" s="110"/>
      <c r="Q124" s="207"/>
      <c r="R124" s="207"/>
      <c r="S124" s="207"/>
      <c r="T124" s="1084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110"/>
      <c r="AE124" s="207"/>
      <c r="AF124" s="110"/>
      <c r="AG124" s="110"/>
      <c r="AH124" s="110"/>
      <c r="AI124" s="111"/>
    </row>
    <row r="125" spans="1:35" x14ac:dyDescent="0.25">
      <c r="A125" s="1147">
        <v>382</v>
      </c>
      <c r="B125" s="1148" t="s">
        <v>944</v>
      </c>
      <c r="C125" s="1148"/>
      <c r="D125" s="1141"/>
      <c r="E125" s="1141"/>
      <c r="F125" s="1141"/>
      <c r="G125" s="1141"/>
      <c r="H125" s="1141"/>
      <c r="I125" s="345"/>
      <c r="J125" s="1142"/>
      <c r="K125" s="413"/>
      <c r="L125" s="111"/>
      <c r="M125" s="110"/>
      <c r="N125" s="110"/>
      <c r="O125" s="110"/>
      <c r="P125" s="110"/>
      <c r="Q125" s="1096"/>
      <c r="R125" s="1096"/>
      <c r="S125" s="1096"/>
      <c r="T125" s="1098"/>
      <c r="U125" s="1096"/>
      <c r="V125" s="1096"/>
      <c r="W125" s="1096"/>
      <c r="X125" s="1096"/>
      <c r="Y125" s="1096"/>
      <c r="Z125" s="1096"/>
      <c r="AA125" s="1096"/>
      <c r="AB125" s="1096"/>
      <c r="AC125" s="1096"/>
      <c r="AD125" s="418"/>
      <c r="AE125" s="1096"/>
      <c r="AF125" s="418"/>
      <c r="AG125" s="418"/>
      <c r="AH125" s="418"/>
      <c r="AI125" s="379"/>
    </row>
    <row r="126" spans="1:35" s="1092" customFormat="1" x14ac:dyDescent="0.25">
      <c r="A126" s="1143">
        <v>38201</v>
      </c>
      <c r="B126" s="1144" t="s">
        <v>944</v>
      </c>
      <c r="C126" s="1144"/>
      <c r="D126" s="1087"/>
      <c r="E126" s="1087"/>
      <c r="F126" s="1087"/>
      <c r="G126" s="1087"/>
      <c r="H126" s="1087"/>
      <c r="I126" s="1089"/>
      <c r="J126" s="1077">
        <f>J127</f>
        <v>46008</v>
      </c>
      <c r="K126" s="1088"/>
      <c r="L126" s="1100"/>
      <c r="M126" s="1090"/>
      <c r="N126" s="1090"/>
      <c r="O126" s="1090"/>
      <c r="P126" s="1090"/>
      <c r="Q126" s="1087"/>
      <c r="R126" s="1087"/>
      <c r="S126" s="1087"/>
      <c r="T126" s="1091"/>
      <c r="U126" s="1087"/>
      <c r="V126" s="1087"/>
      <c r="W126" s="1087"/>
      <c r="X126" s="1087"/>
      <c r="Y126" s="1087"/>
      <c r="Z126" s="1087"/>
      <c r="AA126" s="1087"/>
      <c r="AB126" s="1087"/>
      <c r="AC126" s="1087"/>
      <c r="AD126" s="1088"/>
      <c r="AE126" s="1087"/>
      <c r="AF126" s="1088"/>
      <c r="AG126" s="1088"/>
      <c r="AH126" s="1088"/>
      <c r="AI126" s="1077">
        <f>AI127</f>
        <v>46008</v>
      </c>
    </row>
    <row r="127" spans="1:35" ht="56.25" x14ac:dyDescent="0.25">
      <c r="A127" s="1145"/>
      <c r="B127" s="1155" t="s">
        <v>4347</v>
      </c>
      <c r="C127" s="1155"/>
      <c r="D127" s="207">
        <v>2</v>
      </c>
      <c r="E127" s="207" t="s">
        <v>1755</v>
      </c>
      <c r="F127" s="697" t="s">
        <v>4308</v>
      </c>
      <c r="G127" s="15" t="s">
        <v>3463</v>
      </c>
      <c r="H127" s="155" t="s">
        <v>4309</v>
      </c>
      <c r="I127" s="111">
        <v>23004</v>
      </c>
      <c r="J127" s="1082">
        <f>23004+23004</f>
        <v>46008</v>
      </c>
      <c r="K127" s="110"/>
      <c r="L127" s="111"/>
      <c r="M127" s="110"/>
      <c r="N127" s="110"/>
      <c r="O127" s="110"/>
      <c r="P127" s="110"/>
      <c r="Q127" s="207">
        <v>0</v>
      </c>
      <c r="R127" s="1084">
        <v>0</v>
      </c>
      <c r="S127" s="207">
        <v>0</v>
      </c>
      <c r="T127" s="1084">
        <v>0</v>
      </c>
      <c r="U127" s="207">
        <v>1</v>
      </c>
      <c r="V127" s="1084">
        <v>23004</v>
      </c>
      <c r="W127" s="207">
        <v>0</v>
      </c>
      <c r="X127" s="1084">
        <v>0</v>
      </c>
      <c r="Y127" s="207">
        <v>0</v>
      </c>
      <c r="Z127" s="1084">
        <v>0</v>
      </c>
      <c r="AA127" s="207">
        <v>1</v>
      </c>
      <c r="AB127" s="1084">
        <v>23004</v>
      </c>
      <c r="AC127" s="207">
        <v>0</v>
      </c>
      <c r="AD127" s="1084">
        <v>0</v>
      </c>
      <c r="AE127" s="207">
        <v>0</v>
      </c>
      <c r="AF127" s="1084">
        <v>0</v>
      </c>
      <c r="AG127" s="207">
        <v>0</v>
      </c>
      <c r="AH127" s="1084">
        <v>0</v>
      </c>
      <c r="AI127" s="111">
        <f t="shared" ref="AI127" si="18">R127+T127+V127+X127+Z127+AB127+AD127+AF127+AH127</f>
        <v>46008</v>
      </c>
    </row>
    <row r="128" spans="1:35" x14ac:dyDescent="0.25">
      <c r="A128" s="1145"/>
      <c r="B128" s="1146"/>
      <c r="C128" s="1146"/>
      <c r="D128" s="207"/>
      <c r="E128" s="207"/>
      <c r="F128" s="207"/>
      <c r="G128" s="207"/>
      <c r="H128" s="207"/>
      <c r="I128" s="111"/>
      <c r="J128" s="1082"/>
      <c r="K128" s="110"/>
      <c r="L128" s="111"/>
      <c r="M128" s="110"/>
      <c r="N128" s="110"/>
      <c r="O128" s="110"/>
      <c r="P128" s="110"/>
      <c r="Q128" s="207"/>
      <c r="R128" s="207"/>
      <c r="S128" s="207"/>
      <c r="T128" s="1084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110"/>
      <c r="AE128" s="207"/>
      <c r="AF128" s="110"/>
      <c r="AG128" s="110"/>
      <c r="AH128" s="110"/>
      <c r="AI128" s="111"/>
    </row>
    <row r="129" spans="1:35" ht="22.5" x14ac:dyDescent="0.25">
      <c r="A129" s="102">
        <v>4000</v>
      </c>
      <c r="B129" s="1066" t="s">
        <v>965</v>
      </c>
      <c r="C129" s="1066"/>
      <c r="D129" s="1067"/>
      <c r="E129" s="1067"/>
      <c r="F129" s="1067"/>
      <c r="G129" s="1067"/>
      <c r="H129" s="1067"/>
      <c r="I129" s="298"/>
      <c r="J129" s="1068">
        <f>J132</f>
        <v>174253458.18000001</v>
      </c>
      <c r="K129" s="384"/>
      <c r="L129" s="298"/>
      <c r="M129" s="110"/>
      <c r="N129" s="110"/>
      <c r="O129" s="110"/>
      <c r="P129" s="110"/>
      <c r="Q129" s="1067"/>
      <c r="R129" s="1067"/>
      <c r="S129" s="1067"/>
      <c r="T129" s="1069"/>
      <c r="U129" s="1067"/>
      <c r="V129" s="1067"/>
      <c r="W129" s="1067"/>
      <c r="X129" s="1067"/>
      <c r="Y129" s="1067"/>
      <c r="Z129" s="1067"/>
      <c r="AA129" s="1067"/>
      <c r="AB129" s="1067"/>
      <c r="AC129" s="1067"/>
      <c r="AD129" s="384"/>
      <c r="AE129" s="1067"/>
      <c r="AF129" s="384"/>
      <c r="AG129" s="384"/>
      <c r="AH129" s="384"/>
      <c r="AI129" s="1068">
        <f>AI132</f>
        <v>174253458.22235337</v>
      </c>
    </row>
    <row r="130" spans="1:35" x14ac:dyDescent="0.25">
      <c r="A130" s="393">
        <v>4400</v>
      </c>
      <c r="B130" s="1070" t="s">
        <v>1013</v>
      </c>
      <c r="C130" s="1070"/>
      <c r="D130" s="1071"/>
      <c r="E130" s="1071"/>
      <c r="F130" s="1071"/>
      <c r="G130" s="1071"/>
      <c r="H130" s="1071"/>
      <c r="I130" s="303"/>
      <c r="J130" s="385"/>
      <c r="K130" s="385"/>
      <c r="L130" s="111"/>
      <c r="M130" s="110"/>
      <c r="N130" s="110"/>
      <c r="O130" s="110"/>
      <c r="P130" s="110"/>
      <c r="Q130" s="1071"/>
      <c r="R130" s="1071"/>
      <c r="S130" s="1071"/>
      <c r="T130" s="1073"/>
      <c r="U130" s="1071"/>
      <c r="V130" s="1071"/>
      <c r="W130" s="1071"/>
      <c r="X130" s="1071"/>
      <c r="Y130" s="1071"/>
      <c r="Z130" s="1071"/>
      <c r="AA130" s="1071"/>
      <c r="AB130" s="1071"/>
      <c r="AC130" s="1071"/>
      <c r="AD130" s="385"/>
      <c r="AE130" s="1071"/>
      <c r="AF130" s="385"/>
      <c r="AG130" s="385"/>
      <c r="AH130" s="385"/>
      <c r="AI130" s="303"/>
    </row>
    <row r="131" spans="1:35" x14ac:dyDescent="0.25">
      <c r="A131" s="661">
        <v>441</v>
      </c>
      <c r="B131" s="1156" t="s">
        <v>4348</v>
      </c>
      <c r="C131" s="1156"/>
      <c r="D131" s="1096"/>
      <c r="E131" s="1096"/>
      <c r="F131" s="1096"/>
      <c r="G131" s="1096"/>
      <c r="H131" s="1096"/>
      <c r="I131" s="379"/>
      <c r="J131" s="418"/>
      <c r="K131" s="418"/>
      <c r="L131" s="111"/>
      <c r="M131" s="110"/>
      <c r="N131" s="110"/>
      <c r="O131" s="110"/>
      <c r="P131" s="110"/>
      <c r="Q131" s="1096"/>
      <c r="R131" s="1096"/>
      <c r="S131" s="1096"/>
      <c r="T131" s="1098"/>
      <c r="U131" s="1096"/>
      <c r="V131" s="1096"/>
      <c r="W131" s="1096"/>
      <c r="X131" s="1096"/>
      <c r="Y131" s="1096"/>
      <c r="Z131" s="1096"/>
      <c r="AA131" s="1096"/>
      <c r="AB131" s="1096"/>
      <c r="AC131" s="1096"/>
      <c r="AD131" s="418"/>
      <c r="AE131" s="1096"/>
      <c r="AF131" s="418"/>
      <c r="AG131" s="418"/>
      <c r="AH131" s="418"/>
      <c r="AI131" s="379"/>
    </row>
    <row r="132" spans="1:35" x14ac:dyDescent="0.25">
      <c r="A132" s="394">
        <v>44102</v>
      </c>
      <c r="B132" s="1157" t="s">
        <v>1016</v>
      </c>
      <c r="C132" s="1157"/>
      <c r="D132" s="1158"/>
      <c r="E132" s="1158"/>
      <c r="F132" s="1158"/>
      <c r="G132" s="1158"/>
      <c r="H132" s="1158"/>
      <c r="I132" s="1109"/>
      <c r="J132" s="1105">
        <f>J133+J134+J135+J136+J137+J138</f>
        <v>174253458.18000001</v>
      </c>
      <c r="K132" s="1159"/>
      <c r="L132" s="1109"/>
      <c r="M132" s="110"/>
      <c r="N132" s="110"/>
      <c r="O132" s="110"/>
      <c r="P132" s="110"/>
      <c r="Q132" s="1135"/>
      <c r="R132" s="1135"/>
      <c r="S132" s="1135"/>
      <c r="T132" s="1108"/>
      <c r="U132" s="1135"/>
      <c r="V132" s="1135"/>
      <c r="W132" s="1135"/>
      <c r="X132" s="1135"/>
      <c r="Y132" s="1135"/>
      <c r="Z132" s="1135"/>
      <c r="AA132" s="1135"/>
      <c r="AB132" s="1135"/>
      <c r="AC132" s="1135"/>
      <c r="AD132" s="387"/>
      <c r="AE132" s="1135"/>
      <c r="AF132" s="387"/>
      <c r="AG132" s="387"/>
      <c r="AH132" s="387"/>
      <c r="AI132" s="1105">
        <f>AI133+AI134+AI135+AI136+AI137+AI138</f>
        <v>174253458.22235337</v>
      </c>
    </row>
    <row r="133" spans="1:35" ht="56.25" x14ac:dyDescent="0.25">
      <c r="A133" s="74"/>
      <c r="B133" s="70" t="s">
        <v>4349</v>
      </c>
      <c r="C133" s="70"/>
      <c r="D133" s="1160">
        <v>84000</v>
      </c>
      <c r="E133" s="207" t="s">
        <v>4350</v>
      </c>
      <c r="F133" s="697" t="s">
        <v>4308</v>
      </c>
      <c r="G133" s="15" t="s">
        <v>3463</v>
      </c>
      <c r="H133" s="155" t="s">
        <v>4309</v>
      </c>
      <c r="I133" s="111">
        <f>J133/D133</f>
        <v>300.38458761904764</v>
      </c>
      <c r="J133" s="1082">
        <v>25232305.359999999</v>
      </c>
      <c r="K133" s="110"/>
      <c r="L133" s="111"/>
      <c r="M133" s="110"/>
      <c r="N133" s="110"/>
      <c r="O133" s="110"/>
      <c r="P133" s="110"/>
      <c r="Q133" s="1111">
        <v>9333</v>
      </c>
      <c r="R133" s="1084">
        <f>I133*Q133</f>
        <v>2803489.3562485715</v>
      </c>
      <c r="S133" s="1111">
        <v>9333</v>
      </c>
      <c r="T133" s="1084">
        <v>2803489.36</v>
      </c>
      <c r="U133" s="1111">
        <v>9333</v>
      </c>
      <c r="V133" s="1084">
        <v>2803489.36</v>
      </c>
      <c r="W133" s="1111">
        <v>9333</v>
      </c>
      <c r="X133" s="1084">
        <v>2803489.36</v>
      </c>
      <c r="Y133" s="1111">
        <v>9333</v>
      </c>
      <c r="Z133" s="1084">
        <v>2803489.36</v>
      </c>
      <c r="AA133" s="1111">
        <v>9333</v>
      </c>
      <c r="AB133" s="1084">
        <v>2803489.36</v>
      </c>
      <c r="AC133" s="1111">
        <v>9334</v>
      </c>
      <c r="AD133" s="111">
        <f>I133*AC133</f>
        <v>2803789.7408361905</v>
      </c>
      <c r="AE133" s="1111">
        <v>9334</v>
      </c>
      <c r="AF133" s="111">
        <v>2803789.74</v>
      </c>
      <c r="AG133" s="1161">
        <v>9334</v>
      </c>
      <c r="AH133" s="111">
        <v>2803789.74</v>
      </c>
      <c r="AI133" s="111">
        <f t="shared" ref="AI133:AI138" si="19">R133+T133+V133+X133+Z133+AB133+AD133+AF133+AH133</f>
        <v>25232305.377084762</v>
      </c>
    </row>
    <row r="134" spans="1:35" ht="56.25" x14ac:dyDescent="0.25">
      <c r="A134" s="110"/>
      <c r="B134" s="70" t="s">
        <v>4349</v>
      </c>
      <c r="C134" s="70"/>
      <c r="D134" s="1160">
        <v>18000</v>
      </c>
      <c r="E134" s="207" t="s">
        <v>4350</v>
      </c>
      <c r="F134" s="697" t="s">
        <v>4308</v>
      </c>
      <c r="G134" s="15" t="s">
        <v>3463</v>
      </c>
      <c r="H134" s="155" t="s">
        <v>4309</v>
      </c>
      <c r="I134" s="111">
        <f>J134/D134</f>
        <v>278.19034555555555</v>
      </c>
      <c r="J134" s="1082">
        <v>5007426.22</v>
      </c>
      <c r="K134" s="110"/>
      <c r="L134" s="111"/>
      <c r="M134" s="110"/>
      <c r="N134" s="110"/>
      <c r="O134" s="110"/>
      <c r="P134" s="110"/>
      <c r="Q134" s="1111">
        <f>18000/9</f>
        <v>2000</v>
      </c>
      <c r="R134" s="1084">
        <f>Q134*I134</f>
        <v>556380.69111111108</v>
      </c>
      <c r="S134" s="1111">
        <v>2000</v>
      </c>
      <c r="T134" s="1084">
        <v>556380.68999999994</v>
      </c>
      <c r="U134" s="1111">
        <v>2000</v>
      </c>
      <c r="V134" s="1084">
        <v>556380.68999999994</v>
      </c>
      <c r="W134" s="1111">
        <v>2000</v>
      </c>
      <c r="X134" s="1084">
        <v>556380.68999999994</v>
      </c>
      <c r="Y134" s="1111">
        <v>2000</v>
      </c>
      <c r="Z134" s="1084">
        <v>556380.68999999994</v>
      </c>
      <c r="AA134" s="1111">
        <v>2000</v>
      </c>
      <c r="AB134" s="1084">
        <v>556380.68999999994</v>
      </c>
      <c r="AC134" s="1111">
        <v>2000</v>
      </c>
      <c r="AD134" s="1084">
        <v>556380.68999999994</v>
      </c>
      <c r="AE134" s="1111">
        <v>2000</v>
      </c>
      <c r="AF134" s="1084">
        <v>556380.68999999994</v>
      </c>
      <c r="AG134" s="1111">
        <v>2000</v>
      </c>
      <c r="AH134" s="1084">
        <v>556380.68999999994</v>
      </c>
      <c r="AI134" s="111">
        <f t="shared" si="19"/>
        <v>5007426.2111111097</v>
      </c>
    </row>
    <row r="135" spans="1:35" ht="56.25" x14ac:dyDescent="0.25">
      <c r="A135" s="110"/>
      <c r="B135" s="70" t="s">
        <v>4349</v>
      </c>
      <c r="C135" s="70"/>
      <c r="D135" s="1160">
        <v>299074</v>
      </c>
      <c r="E135" s="207" t="s">
        <v>4350</v>
      </c>
      <c r="F135" s="697" t="s">
        <v>4308</v>
      </c>
      <c r="G135" s="15" t="s">
        <v>3463</v>
      </c>
      <c r="H135" s="155" t="s">
        <v>4309</v>
      </c>
      <c r="I135" s="111">
        <f>J135/D135</f>
        <v>402.50505299691713</v>
      </c>
      <c r="J135" s="1082">
        <v>120378796.22</v>
      </c>
      <c r="K135" s="110"/>
      <c r="L135" s="111"/>
      <c r="M135" s="110"/>
      <c r="N135" s="110"/>
      <c r="O135" s="110"/>
      <c r="P135" s="110"/>
      <c r="Q135" s="1111">
        <v>33230</v>
      </c>
      <c r="R135" s="1084">
        <f>I135*Q135</f>
        <v>13375242.911087556</v>
      </c>
      <c r="S135" s="1111">
        <v>33230</v>
      </c>
      <c r="T135" s="1084">
        <v>13375242.91</v>
      </c>
      <c r="U135" s="1111">
        <v>33230</v>
      </c>
      <c r="V135" s="1084">
        <v>13375242.91</v>
      </c>
      <c r="W135" s="1111">
        <v>33230</v>
      </c>
      <c r="X135" s="1084">
        <v>13375242.91</v>
      </c>
      <c r="Y135" s="1111">
        <v>33230</v>
      </c>
      <c r="Z135" s="1084">
        <v>13375242.91</v>
      </c>
      <c r="AA135" s="1111">
        <v>33231</v>
      </c>
      <c r="AB135" s="1084">
        <f>I135*AA135</f>
        <v>13375645.416140553</v>
      </c>
      <c r="AC135" s="1111">
        <v>33231</v>
      </c>
      <c r="AD135" s="1084">
        <v>13375645.42</v>
      </c>
      <c r="AE135" s="1111">
        <v>33231</v>
      </c>
      <c r="AF135" s="1084">
        <v>13375645.42</v>
      </c>
      <c r="AG135" s="1161">
        <v>33231</v>
      </c>
      <c r="AH135" s="1084">
        <v>13375645.42</v>
      </c>
      <c r="AI135" s="111">
        <f t="shared" si="19"/>
        <v>120378796.22722811</v>
      </c>
    </row>
    <row r="136" spans="1:35" ht="56.25" x14ac:dyDescent="0.25">
      <c r="A136" s="110"/>
      <c r="B136" s="70" t="s">
        <v>4349</v>
      </c>
      <c r="C136" s="70"/>
      <c r="D136" s="1160">
        <v>2000</v>
      </c>
      <c r="E136" s="207" t="s">
        <v>4350</v>
      </c>
      <c r="F136" s="697" t="s">
        <v>4308</v>
      </c>
      <c r="G136" s="15" t="s">
        <v>3463</v>
      </c>
      <c r="H136" s="155" t="s">
        <v>4309</v>
      </c>
      <c r="I136" s="111">
        <v>314.25</v>
      </c>
      <c r="J136" s="1082">
        <f>D136*I136</f>
        <v>628500</v>
      </c>
      <c r="K136" s="110"/>
      <c r="L136" s="111"/>
      <c r="M136" s="110"/>
      <c r="N136" s="110"/>
      <c r="O136" s="110"/>
      <c r="P136" s="110"/>
      <c r="Q136" s="1119">
        <v>222</v>
      </c>
      <c r="R136" s="1084">
        <f>I136*Q136</f>
        <v>69763.5</v>
      </c>
      <c r="S136" s="1119">
        <v>222</v>
      </c>
      <c r="T136" s="1084">
        <v>69763.5</v>
      </c>
      <c r="U136" s="1119">
        <v>222</v>
      </c>
      <c r="V136" s="1084">
        <v>69763.5</v>
      </c>
      <c r="W136" s="1119">
        <v>222</v>
      </c>
      <c r="X136" s="1084">
        <v>69763.5</v>
      </c>
      <c r="Y136" s="1119">
        <v>222</v>
      </c>
      <c r="Z136" s="1084">
        <v>69763.5</v>
      </c>
      <c r="AA136" s="1119">
        <v>222</v>
      </c>
      <c r="AB136" s="1084">
        <v>69763.5</v>
      </c>
      <c r="AC136" s="207">
        <v>222</v>
      </c>
      <c r="AD136" s="1084">
        <v>69763.5</v>
      </c>
      <c r="AE136" s="207">
        <v>223</v>
      </c>
      <c r="AF136" s="1084">
        <f>69763.5+314.25</f>
        <v>70077.75</v>
      </c>
      <c r="AG136" s="207">
        <v>223</v>
      </c>
      <c r="AH136" s="1084">
        <f>69763.5+314.25</f>
        <v>70077.75</v>
      </c>
      <c r="AI136" s="111">
        <f t="shared" si="19"/>
        <v>628500</v>
      </c>
    </row>
    <row r="137" spans="1:35" ht="56.25" x14ac:dyDescent="0.25">
      <c r="A137" s="110"/>
      <c r="B137" s="70" t="s">
        <v>4351</v>
      </c>
      <c r="C137" s="70"/>
      <c r="D137" s="1160">
        <v>150</v>
      </c>
      <c r="E137" s="207" t="s">
        <v>4352</v>
      </c>
      <c r="F137" s="697" t="s">
        <v>4308</v>
      </c>
      <c r="G137" s="15" t="s">
        <v>3463</v>
      </c>
      <c r="H137" s="155" t="s">
        <v>4309</v>
      </c>
      <c r="I137" s="1162">
        <f>J137/D137</f>
        <v>88164.888133333341</v>
      </c>
      <c r="J137" s="1082">
        <v>13224733.220000001</v>
      </c>
      <c r="K137" s="110"/>
      <c r="L137" s="111"/>
      <c r="M137" s="110"/>
      <c r="N137" s="110"/>
      <c r="O137" s="110"/>
      <c r="P137" s="110"/>
      <c r="Q137" s="207">
        <v>16</v>
      </c>
      <c r="R137" s="1083">
        <f>I137*Q137</f>
        <v>1410638.2101333335</v>
      </c>
      <c r="S137" s="207">
        <v>16</v>
      </c>
      <c r="T137" s="1084">
        <v>1410638.21</v>
      </c>
      <c r="U137" s="207">
        <v>16</v>
      </c>
      <c r="V137" s="1084">
        <v>1410638.21</v>
      </c>
      <c r="W137" s="207">
        <v>17</v>
      </c>
      <c r="X137" s="1083">
        <f>I137*W137</f>
        <v>1498803.0982666668</v>
      </c>
      <c r="Y137" s="207">
        <v>17</v>
      </c>
      <c r="Z137" s="1084">
        <v>1498803.1</v>
      </c>
      <c r="AA137" s="207">
        <v>17</v>
      </c>
      <c r="AB137" s="1084">
        <v>1498803.1</v>
      </c>
      <c r="AC137" s="207">
        <v>17</v>
      </c>
      <c r="AD137" s="1084">
        <v>1498803.1</v>
      </c>
      <c r="AE137" s="207">
        <v>17</v>
      </c>
      <c r="AF137" s="1084">
        <v>1498803.1</v>
      </c>
      <c r="AG137" s="110">
        <v>17</v>
      </c>
      <c r="AH137" s="1084">
        <v>1498803.1</v>
      </c>
      <c r="AI137" s="111">
        <f t="shared" si="19"/>
        <v>13224733.228399999</v>
      </c>
    </row>
    <row r="138" spans="1:35" ht="56.25" x14ac:dyDescent="0.25">
      <c r="A138" s="110"/>
      <c r="B138" s="82" t="s">
        <v>4349</v>
      </c>
      <c r="C138" s="82"/>
      <c r="D138" s="1163">
        <v>544</v>
      </c>
      <c r="E138" s="207" t="s">
        <v>4350</v>
      </c>
      <c r="F138" s="697" t="s">
        <v>4308</v>
      </c>
      <c r="G138" s="15" t="s">
        <v>3463</v>
      </c>
      <c r="H138" s="155" t="s">
        <v>4309</v>
      </c>
      <c r="I138" s="69">
        <f>J138/D138</f>
        <v>17981.060955882353</v>
      </c>
      <c r="J138" s="1082">
        <v>9781697.1600000001</v>
      </c>
      <c r="K138" s="110"/>
      <c r="L138" s="111"/>
      <c r="M138" s="110"/>
      <c r="N138" s="110"/>
      <c r="O138" s="110"/>
      <c r="P138" s="110"/>
      <c r="Q138" s="207">
        <v>60</v>
      </c>
      <c r="R138" s="1083">
        <f>I138*Q138</f>
        <v>1078863.6573529411</v>
      </c>
      <c r="S138" s="207">
        <v>60</v>
      </c>
      <c r="T138" s="1084">
        <v>1078863.6599999999</v>
      </c>
      <c r="U138" s="207">
        <v>60</v>
      </c>
      <c r="V138" s="1084">
        <v>1078863.6599999999</v>
      </c>
      <c r="W138" s="207">
        <v>60</v>
      </c>
      <c r="X138" s="1084">
        <v>1078863.6599999999</v>
      </c>
      <c r="Y138" s="207">
        <v>60</v>
      </c>
      <c r="Z138" s="1084">
        <v>1078863.6599999999</v>
      </c>
      <c r="AA138" s="207">
        <v>60</v>
      </c>
      <c r="AB138" s="1084">
        <v>1078863.6599999999</v>
      </c>
      <c r="AC138" s="207">
        <v>60</v>
      </c>
      <c r="AD138" s="1084">
        <v>1078863.6599999999</v>
      </c>
      <c r="AE138" s="207">
        <v>60</v>
      </c>
      <c r="AF138" s="1084">
        <v>1078863.6599999999</v>
      </c>
      <c r="AG138" s="110">
        <v>64</v>
      </c>
      <c r="AH138" s="1082">
        <f>I138*AG138</f>
        <v>1150787.9011764706</v>
      </c>
      <c r="AI138" s="111">
        <f t="shared" si="19"/>
        <v>9781697.1785294134</v>
      </c>
    </row>
    <row r="139" spans="1:35" s="1171" customFormat="1" ht="15.75" x14ac:dyDescent="0.25">
      <c r="A139" s="1164"/>
      <c r="B139" s="1165" t="s">
        <v>1070</v>
      </c>
      <c r="C139" s="1165"/>
      <c r="D139" s="1166"/>
      <c r="E139" s="1166"/>
      <c r="F139" s="1166"/>
      <c r="G139" s="1166"/>
      <c r="H139" s="1166"/>
      <c r="I139" s="1167"/>
      <c r="J139" s="1168">
        <f>J129+J80+J8</f>
        <v>176023154.00400001</v>
      </c>
      <c r="K139" s="1169"/>
      <c r="L139" s="1170"/>
      <c r="Q139" s="1172"/>
      <c r="R139" s="1173">
        <f>SUM(R11:R138)</f>
        <v>19581026.751393221</v>
      </c>
      <c r="S139" s="1172"/>
      <c r="T139" s="1173">
        <f>SUM(T11:T138)</f>
        <v>19563442.385000002</v>
      </c>
      <c r="U139" s="1172"/>
      <c r="V139" s="1173">
        <f>SUM(V11:V138)</f>
        <v>19595532.835000001</v>
      </c>
      <c r="W139" s="1172"/>
      <c r="X139" s="1173">
        <f>SUM(X11:X138)</f>
        <v>19649859.728266668</v>
      </c>
      <c r="Y139" s="1172"/>
      <c r="Z139" s="1173">
        <f>SUM(Z11:Z138)</f>
        <v>19585471.306785714</v>
      </c>
      <c r="AA139" s="1172"/>
      <c r="AB139" s="1173">
        <f>SUM(AB11:AB138)</f>
        <v>19562198.613640554</v>
      </c>
      <c r="AC139" s="1172"/>
      <c r="AD139" s="1173">
        <f>SUM(AD11:AD138)</f>
        <v>19531606.209599927</v>
      </c>
      <c r="AE139" s="1172"/>
      <c r="AF139" s="1173">
        <f>SUM(AF11:AF138)</f>
        <v>19498531.656400003</v>
      </c>
      <c r="AG139" s="1174"/>
      <c r="AH139" s="1173">
        <f>SUM(AH11:AH138)</f>
        <v>19455484.601176474</v>
      </c>
      <c r="AI139" s="1168">
        <f>AI129+AI80+AI8</f>
        <v>176023154.08726254</v>
      </c>
    </row>
    <row r="140" spans="1:35" x14ac:dyDescent="0.25">
      <c r="I140" s="106"/>
    </row>
    <row r="141" spans="1:35" x14ac:dyDescent="0.25">
      <c r="I141" s="106"/>
    </row>
    <row r="142" spans="1:35" x14ac:dyDescent="0.25">
      <c r="I142" s="106"/>
    </row>
    <row r="143" spans="1:35" x14ac:dyDescent="0.25">
      <c r="I143" s="106"/>
    </row>
    <row r="144" spans="1:35" x14ac:dyDescent="0.25">
      <c r="I144" s="106"/>
      <c r="AF144" s="1175">
        <f>J139-AI139</f>
        <v>-8.3262532949447632E-2</v>
      </c>
    </row>
    <row r="145" spans="9:9" x14ac:dyDescent="0.25">
      <c r="I145" s="106"/>
    </row>
    <row r="146" spans="9:9" x14ac:dyDescent="0.25">
      <c r="I146" s="106"/>
    </row>
    <row r="147" spans="9:9" x14ac:dyDescent="0.25">
      <c r="I147" s="106"/>
    </row>
    <row r="148" spans="9:9" x14ac:dyDescent="0.25">
      <c r="I148" s="106"/>
    </row>
    <row r="149" spans="9:9" x14ac:dyDescent="0.25">
      <c r="I149" s="106"/>
    </row>
    <row r="150" spans="9:9" x14ac:dyDescent="0.25">
      <c r="I150" s="106"/>
    </row>
    <row r="151" spans="9:9" x14ac:dyDescent="0.25">
      <c r="I151" s="106"/>
    </row>
    <row r="152" spans="9:9" x14ac:dyDescent="0.25">
      <c r="I152" s="106"/>
    </row>
    <row r="153" spans="9:9" x14ac:dyDescent="0.25">
      <c r="I153" s="106"/>
    </row>
    <row r="154" spans="9:9" x14ac:dyDescent="0.25">
      <c r="I154" s="106"/>
    </row>
    <row r="155" spans="9:9" x14ac:dyDescent="0.25">
      <c r="I155" s="106"/>
    </row>
    <row r="156" spans="9:9" x14ac:dyDescent="0.25">
      <c r="I156" s="106"/>
    </row>
    <row r="157" spans="9:9" x14ac:dyDescent="0.25">
      <c r="I157" s="106"/>
    </row>
    <row r="158" spans="9:9" x14ac:dyDescent="0.25">
      <c r="I158" s="106"/>
    </row>
    <row r="159" spans="9:9" x14ac:dyDescent="0.25">
      <c r="I159" s="106"/>
    </row>
    <row r="160" spans="9:9" x14ac:dyDescent="0.25">
      <c r="I160" s="106"/>
    </row>
    <row r="161" spans="9:9" x14ac:dyDescent="0.25">
      <c r="I161" s="106"/>
    </row>
    <row r="162" spans="9:9" x14ac:dyDescent="0.25">
      <c r="I162" s="106"/>
    </row>
    <row r="163" spans="9:9" x14ac:dyDescent="0.25">
      <c r="I163" s="106"/>
    </row>
    <row r="164" spans="9:9" x14ac:dyDescent="0.25">
      <c r="I164" s="106"/>
    </row>
    <row r="165" spans="9:9" x14ac:dyDescent="0.25">
      <c r="I165" s="106"/>
    </row>
    <row r="166" spans="9:9" x14ac:dyDescent="0.25">
      <c r="I166" s="106"/>
    </row>
    <row r="167" spans="9:9" x14ac:dyDescent="0.25">
      <c r="I167" s="106"/>
    </row>
    <row r="168" spans="9:9" x14ac:dyDescent="0.25">
      <c r="I168" s="106"/>
    </row>
    <row r="169" spans="9:9" x14ac:dyDescent="0.25">
      <c r="I169" s="106"/>
    </row>
    <row r="170" spans="9:9" x14ac:dyDescent="0.25">
      <c r="I170" s="106"/>
    </row>
    <row r="171" spans="9:9" x14ac:dyDescent="0.25">
      <c r="I171" s="106"/>
    </row>
    <row r="172" spans="9:9" x14ac:dyDescent="0.25">
      <c r="I172" s="106"/>
    </row>
    <row r="173" spans="9:9" x14ac:dyDescent="0.25">
      <c r="I173" s="106"/>
    </row>
    <row r="174" spans="9:9" x14ac:dyDescent="0.25">
      <c r="I174" s="106"/>
    </row>
    <row r="175" spans="9:9" x14ac:dyDescent="0.25">
      <c r="I175" s="106"/>
    </row>
    <row r="176" spans="9:9" x14ac:dyDescent="0.25">
      <c r="I176" s="106"/>
    </row>
    <row r="177" spans="9:9" x14ac:dyDescent="0.25">
      <c r="I177" s="106"/>
    </row>
    <row r="178" spans="9:9" x14ac:dyDescent="0.25">
      <c r="I178" s="106"/>
    </row>
    <row r="179" spans="9:9" x14ac:dyDescent="0.25">
      <c r="I179" s="106"/>
    </row>
    <row r="180" spans="9:9" x14ac:dyDescent="0.25">
      <c r="I180" s="106"/>
    </row>
    <row r="181" spans="9:9" x14ac:dyDescent="0.25">
      <c r="I181" s="106"/>
    </row>
    <row r="182" spans="9:9" x14ac:dyDescent="0.25">
      <c r="I182" s="106"/>
    </row>
    <row r="183" spans="9:9" x14ac:dyDescent="0.25">
      <c r="I183" s="106"/>
    </row>
    <row r="184" spans="9:9" x14ac:dyDescent="0.25">
      <c r="I184" s="106"/>
    </row>
    <row r="185" spans="9:9" x14ac:dyDescent="0.25">
      <c r="I185" s="106"/>
    </row>
    <row r="186" spans="9:9" x14ac:dyDescent="0.25">
      <c r="I186" s="106"/>
    </row>
    <row r="187" spans="9:9" x14ac:dyDescent="0.25">
      <c r="I187" s="106"/>
    </row>
    <row r="188" spans="9:9" x14ac:dyDescent="0.25">
      <c r="I188" s="106"/>
    </row>
    <row r="189" spans="9:9" x14ac:dyDescent="0.25">
      <c r="I189" s="106"/>
    </row>
    <row r="190" spans="9:9" x14ac:dyDescent="0.25">
      <c r="I190" s="106"/>
    </row>
    <row r="191" spans="9:9" x14ac:dyDescent="0.25">
      <c r="I191" s="106"/>
    </row>
    <row r="192" spans="9:9" x14ac:dyDescent="0.25">
      <c r="I192" s="106"/>
    </row>
    <row r="193" spans="9:9" x14ac:dyDescent="0.25">
      <c r="I193" s="106"/>
    </row>
    <row r="194" spans="9:9" x14ac:dyDescent="0.25">
      <c r="I194" s="106"/>
    </row>
    <row r="195" spans="9:9" x14ac:dyDescent="0.25">
      <c r="I195" s="106"/>
    </row>
    <row r="196" spans="9:9" x14ac:dyDescent="0.25">
      <c r="I196" s="106"/>
    </row>
    <row r="197" spans="9:9" x14ac:dyDescent="0.25">
      <c r="I197" s="106"/>
    </row>
    <row r="198" spans="9:9" x14ac:dyDescent="0.25">
      <c r="I198" s="106"/>
    </row>
    <row r="199" spans="9:9" x14ac:dyDescent="0.25">
      <c r="I199" s="106"/>
    </row>
    <row r="200" spans="9:9" x14ac:dyDescent="0.25">
      <c r="I200" s="106"/>
    </row>
    <row r="201" spans="9:9" x14ac:dyDescent="0.25">
      <c r="I201" s="106"/>
    </row>
    <row r="202" spans="9:9" x14ac:dyDescent="0.25">
      <c r="I202" s="106"/>
    </row>
    <row r="203" spans="9:9" x14ac:dyDescent="0.25">
      <c r="I203" s="106"/>
    </row>
    <row r="204" spans="9:9" x14ac:dyDescent="0.25">
      <c r="I204" s="106"/>
    </row>
    <row r="205" spans="9:9" x14ac:dyDescent="0.25">
      <c r="I205" s="106"/>
    </row>
    <row r="206" spans="9:9" x14ac:dyDescent="0.25">
      <c r="I206" s="106"/>
    </row>
    <row r="207" spans="9:9" x14ac:dyDescent="0.25">
      <c r="I207" s="106"/>
    </row>
    <row r="208" spans="9:9" x14ac:dyDescent="0.25">
      <c r="I208" s="106"/>
    </row>
    <row r="209" spans="9:9" x14ac:dyDescent="0.25">
      <c r="I209" s="106"/>
    </row>
    <row r="210" spans="9:9" x14ac:dyDescent="0.25">
      <c r="I210" s="106"/>
    </row>
    <row r="211" spans="9:9" x14ac:dyDescent="0.25">
      <c r="I211" s="106"/>
    </row>
    <row r="212" spans="9:9" x14ac:dyDescent="0.25">
      <c r="I212" s="106"/>
    </row>
    <row r="213" spans="9:9" x14ac:dyDescent="0.25">
      <c r="I213" s="106"/>
    </row>
    <row r="214" spans="9:9" x14ac:dyDescent="0.25">
      <c r="I214" s="106"/>
    </row>
    <row r="215" spans="9:9" x14ac:dyDescent="0.25">
      <c r="I215" s="106"/>
    </row>
    <row r="216" spans="9:9" x14ac:dyDescent="0.25">
      <c r="I216" s="106"/>
    </row>
    <row r="217" spans="9:9" x14ac:dyDescent="0.25">
      <c r="I217" s="106"/>
    </row>
    <row r="218" spans="9:9" x14ac:dyDescent="0.25">
      <c r="I218" s="106"/>
    </row>
    <row r="219" spans="9:9" x14ac:dyDescent="0.25">
      <c r="I219" s="106"/>
    </row>
    <row r="220" spans="9:9" x14ac:dyDescent="0.25">
      <c r="I220" s="106">
        <v>19.826000000000001</v>
      </c>
    </row>
    <row r="221" spans="9:9" x14ac:dyDescent="0.25">
      <c r="I221" s="106"/>
    </row>
    <row r="222" spans="9:9" x14ac:dyDescent="0.25">
      <c r="I222" s="106"/>
    </row>
    <row r="223" spans="9:9" x14ac:dyDescent="0.25">
      <c r="I223" s="106"/>
    </row>
    <row r="224" spans="9:9" x14ac:dyDescent="0.25">
      <c r="I224" s="106"/>
    </row>
    <row r="225" spans="9:9" x14ac:dyDescent="0.25">
      <c r="I225" s="106"/>
    </row>
    <row r="226" spans="9:9" x14ac:dyDescent="0.25">
      <c r="I226" s="106"/>
    </row>
    <row r="227" spans="9:9" x14ac:dyDescent="0.25">
      <c r="I227" s="106"/>
    </row>
    <row r="228" spans="9:9" x14ac:dyDescent="0.25">
      <c r="I228" s="106"/>
    </row>
    <row r="229" spans="9:9" x14ac:dyDescent="0.25">
      <c r="I229" s="106"/>
    </row>
    <row r="230" spans="9:9" x14ac:dyDescent="0.25">
      <c r="I230" s="106"/>
    </row>
    <row r="231" spans="9:9" x14ac:dyDescent="0.25">
      <c r="I231" s="106">
        <v>141.6</v>
      </c>
    </row>
  </sheetData>
  <mergeCells count="48"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D1:V4"/>
    <mergeCell ref="AE5:AF5"/>
    <mergeCell ref="J5:J7"/>
    <mergeCell ref="K5:L5"/>
    <mergeCell ref="M5:N5"/>
    <mergeCell ref="O5:P5"/>
    <mergeCell ref="Q5:R5"/>
    <mergeCell ref="S5:T5"/>
    <mergeCell ref="S6:S7"/>
    <mergeCell ref="T6:T7"/>
    <mergeCell ref="Z6:Z7"/>
    <mergeCell ref="V6:V7"/>
    <mergeCell ref="W6:W7"/>
    <mergeCell ref="X6:X7"/>
    <mergeCell ref="Y6:Y7"/>
    <mergeCell ref="AG5:AH5"/>
    <mergeCell ref="AI5:AI7"/>
    <mergeCell ref="K6:K7"/>
    <mergeCell ref="L6:L7"/>
    <mergeCell ref="M6:M7"/>
    <mergeCell ref="N6:N7"/>
    <mergeCell ref="O6:O7"/>
    <mergeCell ref="P6:P7"/>
    <mergeCell ref="Q6:Q7"/>
    <mergeCell ref="R6:R7"/>
    <mergeCell ref="U5:V5"/>
    <mergeCell ref="W5:X5"/>
    <mergeCell ref="Y5:Z5"/>
    <mergeCell ref="AA5:AB5"/>
    <mergeCell ref="AC5:AD5"/>
    <mergeCell ref="U6:U7"/>
    <mergeCell ref="AG6:AG7"/>
    <mergeCell ref="AH6:AH7"/>
    <mergeCell ref="AA6:AA7"/>
    <mergeCell ref="AB6:AB7"/>
    <mergeCell ref="AC6:AC7"/>
    <mergeCell ref="AD6:AD7"/>
    <mergeCell ref="AE6:AE7"/>
    <mergeCell ref="AF6:AF7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FB2704"/>
  <sheetViews>
    <sheetView tabSelected="1" topLeftCell="H2652" zoomScale="80" zoomScaleNormal="80" workbookViewId="0">
      <selection activeCell="AF2696" sqref="AF2696"/>
    </sheetView>
  </sheetViews>
  <sheetFormatPr baseColWidth="10" defaultRowHeight="15" x14ac:dyDescent="0.25"/>
  <cols>
    <col min="1" max="1" width="21" hidden="1" customWidth="1"/>
    <col min="2" max="2" width="14" hidden="1" customWidth="1"/>
    <col min="3" max="3" width="21.42578125" hidden="1" customWidth="1"/>
    <col min="4" max="4" width="19.28515625" hidden="1" customWidth="1"/>
    <col min="5" max="5" width="26.42578125" style="223" customWidth="1"/>
    <col min="6" max="6" width="71" style="1312" customWidth="1"/>
    <col min="7" max="7" width="17" customWidth="1"/>
    <col min="8" max="8" width="18.7109375" style="1313" customWidth="1"/>
    <col min="9" max="9" width="11.5703125" bestFit="1" customWidth="1"/>
    <col min="10" max="10" width="50.28515625" customWidth="1"/>
    <col min="11" max="11" width="22.42578125" customWidth="1"/>
    <col min="12" max="12" width="35.42578125" customWidth="1"/>
    <col min="13" max="13" width="13.7109375" bestFit="1" customWidth="1"/>
    <col min="14" max="14" width="14.7109375" bestFit="1" customWidth="1"/>
    <col min="15" max="15" width="14" hidden="1" customWidth="1"/>
    <col min="16" max="16" width="0" hidden="1" customWidth="1"/>
    <col min="17" max="17" width="14" hidden="1" customWidth="1"/>
    <col min="18" max="18" width="0" hidden="1" customWidth="1"/>
    <col min="19" max="19" width="13.42578125" style="1184" bestFit="1" customWidth="1"/>
    <col min="20" max="20" width="13.7109375" style="1183" bestFit="1" customWidth="1"/>
    <col min="21" max="21" width="13.42578125" style="1183" hidden="1" customWidth="1"/>
    <col min="22" max="22" width="0" style="1183" hidden="1" customWidth="1"/>
    <col min="23" max="23" width="13.42578125" style="1311" bestFit="1" customWidth="1"/>
    <col min="24" max="24" width="13.7109375" style="1183" bestFit="1" customWidth="1"/>
    <col min="25" max="25" width="16.85546875" style="1183" hidden="1" customWidth="1"/>
    <col min="26" max="26" width="0" style="1183" hidden="1" customWidth="1"/>
    <col min="27" max="27" width="16.7109375" style="1183" hidden="1" customWidth="1"/>
    <col min="28" max="28" width="0" style="1183" hidden="1" customWidth="1"/>
    <col min="29" max="29" width="15.28515625" style="1183" hidden="1" customWidth="1"/>
    <col min="30" max="30" width="0" style="1183" hidden="1" customWidth="1"/>
    <col min="31" max="31" width="15.140625" style="1184" customWidth="1"/>
    <col min="32" max="32" width="13.7109375" style="1183" bestFit="1" customWidth="1"/>
    <col min="33" max="33" width="14.7109375" hidden="1" customWidth="1"/>
    <col min="34" max="34" width="0" hidden="1" customWidth="1"/>
    <col min="35" max="35" width="16.28515625" hidden="1" customWidth="1"/>
    <col min="36" max="36" width="0" hidden="1" customWidth="1"/>
    <col min="37" max="37" width="14.7109375" hidden="1" customWidth="1"/>
    <col min="38" max="38" width="0" hidden="1" customWidth="1"/>
    <col min="39" max="39" width="14.7109375" bestFit="1" customWidth="1"/>
  </cols>
  <sheetData>
    <row r="1" spans="1:16382" ht="15" customHeight="1" x14ac:dyDescent="0.25">
      <c r="F1" s="1182"/>
      <c r="G1" s="1182"/>
      <c r="H1" s="1182"/>
      <c r="I1" s="1182"/>
      <c r="J1" s="1382" t="s">
        <v>4354</v>
      </c>
      <c r="K1" s="1382"/>
      <c r="L1" s="1382"/>
      <c r="M1" s="1382"/>
      <c r="N1" s="1382"/>
      <c r="O1" s="1382"/>
      <c r="P1" s="1382"/>
      <c r="Q1" s="1382"/>
      <c r="R1" s="1382"/>
      <c r="S1" s="1382"/>
      <c r="T1" s="1182"/>
      <c r="U1" s="1182"/>
      <c r="V1" s="1182"/>
      <c r="W1" s="1182"/>
      <c r="X1" s="1182"/>
      <c r="Y1" s="1182"/>
    </row>
    <row r="2" spans="1:16382" ht="15" customHeight="1" x14ac:dyDescent="0.25">
      <c r="F2" s="1182"/>
      <c r="G2" s="1182"/>
      <c r="H2" s="1182"/>
      <c r="I2" s="1182"/>
      <c r="J2" s="1382"/>
      <c r="K2" s="1382"/>
      <c r="L2" s="1382"/>
      <c r="M2" s="1382"/>
      <c r="N2" s="1382"/>
      <c r="O2" s="1382"/>
      <c r="P2" s="1382"/>
      <c r="Q2" s="1382"/>
      <c r="R2" s="1382"/>
      <c r="S2" s="1382"/>
      <c r="T2" s="1182"/>
      <c r="U2" s="1182"/>
      <c r="V2" s="1182"/>
      <c r="W2" s="1182"/>
      <c r="X2" s="1182"/>
      <c r="Y2" s="1182"/>
    </row>
    <row r="3" spans="1:16382" ht="15" customHeight="1" x14ac:dyDescent="0.25">
      <c r="F3" s="1182"/>
      <c r="G3" s="1182"/>
      <c r="H3" s="1182"/>
      <c r="I3" s="1182"/>
      <c r="J3" s="1382"/>
      <c r="K3" s="1382"/>
      <c r="L3" s="1382"/>
      <c r="M3" s="1382"/>
      <c r="N3" s="1382"/>
      <c r="O3" s="1382"/>
      <c r="P3" s="1382"/>
      <c r="Q3" s="1382"/>
      <c r="R3" s="1382"/>
      <c r="S3" s="1382"/>
      <c r="T3" s="1182"/>
      <c r="U3" s="1182"/>
      <c r="V3" s="1182"/>
      <c r="W3" s="1182"/>
      <c r="X3" s="1182"/>
      <c r="Y3" s="1182"/>
    </row>
    <row r="4" spans="1:16382" ht="30.75" customHeight="1" x14ac:dyDescent="0.25">
      <c r="F4" s="1182"/>
      <c r="G4" s="1182"/>
      <c r="H4" s="1182"/>
      <c r="I4" s="1182"/>
      <c r="J4" s="1382"/>
      <c r="K4" s="1382"/>
      <c r="L4" s="1382"/>
      <c r="M4" s="1382"/>
      <c r="N4" s="1382"/>
      <c r="O4" s="1382"/>
      <c r="P4" s="1382"/>
      <c r="Q4" s="1382"/>
      <c r="R4" s="1382"/>
      <c r="S4" s="1382"/>
      <c r="T4" s="1182"/>
      <c r="U4" s="1182"/>
      <c r="V4" s="1182"/>
      <c r="W4" s="1182"/>
      <c r="X4" s="1182"/>
      <c r="Y4" s="1182"/>
    </row>
    <row r="5" spans="1:16382" s="1186" customFormat="1" ht="26.25" customHeight="1" x14ac:dyDescent="0.25">
      <c r="A5" s="1383" t="s">
        <v>4355</v>
      </c>
      <c r="B5" s="1383" t="s">
        <v>4356</v>
      </c>
      <c r="C5" s="1383" t="s">
        <v>4357</v>
      </c>
      <c r="D5" s="1383" t="s">
        <v>4358</v>
      </c>
      <c r="E5" s="1386" t="s">
        <v>0</v>
      </c>
      <c r="F5" s="1389" t="s">
        <v>1</v>
      </c>
      <c r="G5" s="1392" t="s">
        <v>2</v>
      </c>
      <c r="H5" s="1395" t="s">
        <v>3</v>
      </c>
      <c r="I5" s="1392" t="s">
        <v>4</v>
      </c>
      <c r="J5" s="1393" t="s">
        <v>5</v>
      </c>
      <c r="K5" s="1393" t="s">
        <v>6</v>
      </c>
      <c r="L5" s="1398" t="s">
        <v>7</v>
      </c>
      <c r="M5" s="1400" t="s">
        <v>8</v>
      </c>
      <c r="N5" s="1402" t="s">
        <v>9</v>
      </c>
      <c r="O5" s="1399" t="s">
        <v>4359</v>
      </c>
      <c r="P5" s="1403"/>
      <c r="Q5" s="1403"/>
      <c r="R5" s="1403"/>
      <c r="S5" s="1403"/>
      <c r="T5" s="1403"/>
      <c r="U5" s="1403"/>
      <c r="V5" s="1403"/>
      <c r="W5" s="1403"/>
      <c r="X5" s="1403"/>
      <c r="Y5" s="1403"/>
      <c r="Z5" s="1403"/>
      <c r="AA5" s="1403"/>
      <c r="AB5" s="1403"/>
      <c r="AC5" s="1403"/>
      <c r="AD5" s="1403"/>
      <c r="AE5" s="1403"/>
      <c r="AF5" s="1403"/>
      <c r="AG5" s="1403"/>
      <c r="AH5" s="1403"/>
      <c r="AI5" s="1403"/>
      <c r="AJ5" s="1403"/>
      <c r="AK5" s="1403"/>
      <c r="AL5" s="1403"/>
      <c r="AM5" s="1403"/>
      <c r="AN5" s="1185"/>
      <c r="AO5" s="1185"/>
      <c r="AP5" s="1185"/>
      <c r="AQ5" s="1185"/>
      <c r="AR5" s="1185"/>
      <c r="AS5" s="1185"/>
      <c r="AT5" s="1185"/>
      <c r="AU5" s="1185"/>
      <c r="AV5" s="1185"/>
      <c r="AW5" s="1185"/>
      <c r="AX5" s="1185"/>
      <c r="AY5" s="1185"/>
      <c r="AZ5" s="1185"/>
      <c r="BA5" s="1185"/>
      <c r="BB5" s="1185"/>
      <c r="BC5" s="1185"/>
      <c r="BD5" s="1185"/>
      <c r="BE5" s="1185"/>
      <c r="BF5" s="1185"/>
      <c r="BG5" s="1185"/>
      <c r="BH5" s="1185"/>
      <c r="BI5" s="1185"/>
      <c r="BJ5" s="1185"/>
      <c r="BK5" s="1185"/>
      <c r="BL5" s="1185"/>
      <c r="BM5" s="1185"/>
      <c r="BN5" s="1185"/>
      <c r="BO5" s="1185"/>
      <c r="BP5" s="1185"/>
      <c r="BQ5" s="1185"/>
      <c r="BR5" s="1185"/>
      <c r="BS5" s="1185"/>
      <c r="BT5" s="1185"/>
      <c r="BU5" s="1185"/>
      <c r="BV5" s="1185"/>
      <c r="BW5" s="1185"/>
      <c r="BX5" s="1185"/>
      <c r="BY5" s="1185"/>
      <c r="BZ5" s="1185"/>
      <c r="CA5" s="1185"/>
      <c r="CB5" s="1185"/>
      <c r="CC5" s="1185"/>
      <c r="CD5" s="1185"/>
      <c r="CE5" s="1185"/>
      <c r="CF5" s="1185"/>
      <c r="CG5" s="1185"/>
      <c r="CH5" s="1185"/>
      <c r="CI5" s="1185"/>
      <c r="CJ5" s="1185"/>
      <c r="CK5" s="1185"/>
      <c r="CL5" s="1185"/>
      <c r="CM5" s="1185"/>
      <c r="CN5" s="1185"/>
      <c r="CO5" s="1185"/>
      <c r="CP5" s="1185"/>
      <c r="CQ5" s="1185"/>
      <c r="CR5" s="1185"/>
      <c r="CS5" s="1185"/>
      <c r="CT5" s="1185"/>
      <c r="CU5" s="1185"/>
      <c r="CV5" s="1185"/>
      <c r="CW5" s="1185"/>
      <c r="CX5" s="1185"/>
      <c r="CY5" s="1185"/>
      <c r="CZ5" s="1185"/>
      <c r="DA5" s="1185"/>
      <c r="DB5" s="1185"/>
      <c r="DC5" s="1185"/>
      <c r="DD5" s="1185"/>
      <c r="DE5" s="1185"/>
      <c r="DF5" s="1185"/>
      <c r="DG5" s="1185"/>
      <c r="DH5" s="1185"/>
      <c r="DI5" s="1185"/>
      <c r="DJ5" s="1185"/>
      <c r="DK5" s="1185"/>
      <c r="DL5" s="1185"/>
      <c r="DM5" s="1185"/>
      <c r="DN5" s="1185"/>
      <c r="DO5" s="1185"/>
      <c r="DP5" s="1185"/>
      <c r="DQ5" s="1185"/>
      <c r="DR5" s="1185"/>
      <c r="DS5" s="1185"/>
      <c r="DT5" s="1185"/>
      <c r="DU5" s="1185"/>
      <c r="DV5" s="1185"/>
      <c r="DW5" s="1185"/>
      <c r="DX5" s="1185"/>
      <c r="DY5" s="1185"/>
      <c r="DZ5" s="1185"/>
      <c r="EA5" s="1185"/>
      <c r="EB5" s="1185"/>
      <c r="EC5" s="1185"/>
      <c r="ED5" s="1185"/>
      <c r="EE5" s="1185"/>
      <c r="EF5" s="1185"/>
      <c r="EG5" s="1185"/>
      <c r="EH5" s="1185"/>
      <c r="EI5" s="1185"/>
      <c r="EJ5" s="1185"/>
      <c r="EK5" s="1185"/>
      <c r="EL5" s="1185"/>
      <c r="EM5" s="1185"/>
      <c r="EN5" s="1185"/>
      <c r="EO5" s="1185"/>
      <c r="EP5" s="1185"/>
      <c r="EQ5" s="1185"/>
      <c r="ER5" s="1185"/>
      <c r="ES5" s="1185"/>
      <c r="ET5" s="1185"/>
      <c r="EU5" s="1185"/>
      <c r="EV5" s="1185"/>
      <c r="EW5" s="1185"/>
      <c r="EX5" s="1185"/>
      <c r="EY5" s="1185"/>
      <c r="EZ5" s="1185"/>
      <c r="FA5" s="1185"/>
      <c r="FB5" s="1185"/>
      <c r="FC5" s="1185"/>
      <c r="FD5" s="1185"/>
      <c r="FE5" s="1185"/>
      <c r="FF5" s="1185"/>
      <c r="FG5" s="1185"/>
      <c r="FH5" s="1185"/>
      <c r="FI5" s="1185"/>
      <c r="FJ5" s="1185"/>
      <c r="FK5" s="1185"/>
      <c r="FL5" s="1185"/>
      <c r="FM5" s="1185"/>
      <c r="FN5" s="1185"/>
      <c r="FO5" s="1185"/>
      <c r="FP5" s="1185"/>
      <c r="FQ5" s="1185"/>
      <c r="FR5" s="1185"/>
      <c r="FS5" s="1185"/>
      <c r="FT5" s="1185"/>
      <c r="FU5" s="1185"/>
      <c r="FV5" s="1185"/>
      <c r="FW5" s="1185"/>
      <c r="FX5" s="1185"/>
      <c r="FY5" s="1185"/>
      <c r="FZ5" s="1185"/>
      <c r="GA5" s="1185"/>
      <c r="GB5" s="1185"/>
      <c r="GC5" s="1185"/>
      <c r="GD5" s="1185"/>
      <c r="GE5" s="1185"/>
      <c r="GF5" s="1185"/>
      <c r="GG5" s="1185"/>
      <c r="GH5" s="1185"/>
      <c r="GI5" s="1185"/>
      <c r="GJ5" s="1185"/>
      <c r="GK5" s="1185"/>
      <c r="GL5" s="1185"/>
      <c r="GM5" s="1185"/>
      <c r="GN5" s="1185"/>
      <c r="GO5" s="1185"/>
      <c r="GP5" s="1185"/>
      <c r="GQ5" s="1185"/>
      <c r="GR5" s="1185"/>
      <c r="GS5" s="1185"/>
      <c r="GT5" s="1185"/>
      <c r="GU5" s="1185"/>
      <c r="GV5" s="1185"/>
      <c r="GW5" s="1185"/>
      <c r="GX5" s="1185"/>
      <c r="GY5" s="1185"/>
      <c r="GZ5" s="1185"/>
      <c r="HA5" s="1185"/>
      <c r="HB5" s="1185"/>
      <c r="HC5" s="1185"/>
      <c r="HD5" s="1185"/>
      <c r="HE5" s="1185"/>
      <c r="HF5" s="1185"/>
      <c r="HG5" s="1185"/>
      <c r="HH5" s="1185"/>
      <c r="HI5" s="1185"/>
      <c r="HJ5" s="1185"/>
      <c r="HK5" s="1185"/>
      <c r="HL5" s="1185"/>
      <c r="HM5" s="1185"/>
      <c r="HN5" s="1185"/>
      <c r="HO5" s="1185"/>
      <c r="HP5" s="1185"/>
      <c r="HQ5" s="1185"/>
      <c r="HR5" s="1185"/>
      <c r="HS5" s="1185"/>
      <c r="HT5" s="1185"/>
      <c r="HU5" s="1185"/>
      <c r="HV5" s="1185"/>
      <c r="HW5" s="1185"/>
      <c r="HX5" s="1185"/>
      <c r="HY5" s="1185"/>
      <c r="HZ5" s="1185"/>
      <c r="IA5" s="1185"/>
      <c r="IB5" s="1185"/>
      <c r="IC5" s="1185"/>
      <c r="ID5" s="1185"/>
      <c r="IE5" s="1185"/>
      <c r="IF5" s="1185"/>
      <c r="IG5" s="1185"/>
      <c r="IH5" s="1185"/>
      <c r="II5" s="1185"/>
      <c r="IJ5" s="1185"/>
      <c r="IK5" s="1185"/>
      <c r="IL5" s="1185"/>
      <c r="IM5" s="1185"/>
      <c r="IN5" s="1185"/>
      <c r="IO5" s="1185"/>
      <c r="IP5" s="1185"/>
      <c r="IQ5" s="1185"/>
      <c r="IR5" s="1185"/>
      <c r="IS5" s="1185"/>
      <c r="IT5" s="1185"/>
      <c r="IU5" s="1185"/>
      <c r="IV5" s="1185"/>
      <c r="IW5" s="1185"/>
      <c r="IX5" s="1185"/>
      <c r="IY5" s="1185"/>
      <c r="IZ5" s="1185"/>
      <c r="JA5" s="1185"/>
      <c r="JB5" s="1185"/>
      <c r="JC5" s="1185"/>
      <c r="JD5" s="1185"/>
      <c r="JE5" s="1185"/>
      <c r="JF5" s="1185"/>
      <c r="JG5" s="1185"/>
      <c r="JH5" s="1185"/>
      <c r="JI5" s="1185"/>
      <c r="JJ5" s="1185"/>
      <c r="JK5" s="1185"/>
      <c r="JL5" s="1185"/>
      <c r="JM5" s="1185"/>
      <c r="JN5" s="1185"/>
      <c r="JO5" s="1185"/>
      <c r="JP5" s="1185"/>
      <c r="JQ5" s="1185"/>
      <c r="JR5" s="1185"/>
      <c r="JS5" s="1185"/>
      <c r="JT5" s="1185"/>
      <c r="JU5" s="1185"/>
      <c r="JV5" s="1185"/>
      <c r="JW5" s="1185"/>
      <c r="JX5" s="1185"/>
      <c r="JY5" s="1185"/>
      <c r="JZ5" s="1185"/>
      <c r="KA5" s="1185"/>
      <c r="KB5" s="1185"/>
      <c r="KC5" s="1185"/>
      <c r="KD5" s="1185"/>
      <c r="KE5" s="1185"/>
      <c r="KF5" s="1185"/>
      <c r="KG5" s="1185"/>
      <c r="KH5" s="1185"/>
      <c r="KI5" s="1185"/>
      <c r="KJ5" s="1185"/>
      <c r="KK5" s="1185"/>
      <c r="KL5" s="1185"/>
      <c r="KM5" s="1185"/>
      <c r="KN5" s="1185"/>
      <c r="KO5" s="1185"/>
      <c r="KP5" s="1185"/>
      <c r="KQ5" s="1185"/>
      <c r="KR5" s="1185"/>
      <c r="KS5" s="1185"/>
      <c r="KT5" s="1185"/>
      <c r="KU5" s="1185"/>
      <c r="KV5" s="1185"/>
      <c r="KW5" s="1185"/>
      <c r="KX5" s="1185"/>
      <c r="KY5" s="1185"/>
      <c r="KZ5" s="1185"/>
      <c r="LA5" s="1185"/>
      <c r="LB5" s="1185"/>
      <c r="LC5" s="1185"/>
      <c r="LD5" s="1185"/>
      <c r="LE5" s="1185"/>
      <c r="LF5" s="1185"/>
      <c r="LG5" s="1185"/>
      <c r="LH5" s="1185"/>
      <c r="LI5" s="1185"/>
      <c r="LJ5" s="1185"/>
      <c r="LK5" s="1185"/>
      <c r="LL5" s="1185"/>
      <c r="LM5" s="1185"/>
      <c r="LN5" s="1185"/>
      <c r="LO5" s="1185"/>
      <c r="LP5" s="1185"/>
      <c r="LQ5" s="1185"/>
      <c r="LR5" s="1185"/>
      <c r="LS5" s="1185"/>
      <c r="LT5" s="1185"/>
      <c r="LU5" s="1185"/>
      <c r="LV5" s="1185"/>
      <c r="LW5" s="1185"/>
      <c r="LX5" s="1185"/>
      <c r="LY5" s="1185"/>
      <c r="LZ5" s="1185"/>
      <c r="MA5" s="1185"/>
      <c r="MB5" s="1185"/>
      <c r="MC5" s="1185"/>
      <c r="MD5" s="1185"/>
      <c r="ME5" s="1185"/>
      <c r="MF5" s="1185"/>
      <c r="MG5" s="1185"/>
      <c r="MH5" s="1185"/>
      <c r="MI5" s="1185"/>
      <c r="MJ5" s="1185"/>
      <c r="MK5" s="1185"/>
      <c r="ML5" s="1185"/>
      <c r="MM5" s="1185"/>
      <c r="MN5" s="1185"/>
      <c r="MO5" s="1185"/>
      <c r="MP5" s="1185"/>
      <c r="MQ5" s="1185"/>
      <c r="MR5" s="1185"/>
      <c r="MS5" s="1185"/>
      <c r="MT5" s="1185"/>
      <c r="MU5" s="1185"/>
      <c r="MV5" s="1185"/>
      <c r="MW5" s="1185"/>
      <c r="MX5" s="1185"/>
      <c r="MY5" s="1185"/>
      <c r="MZ5" s="1185"/>
      <c r="NA5" s="1185"/>
      <c r="NB5" s="1185"/>
      <c r="NC5" s="1185"/>
      <c r="ND5" s="1185"/>
      <c r="NE5" s="1185"/>
      <c r="NF5" s="1185"/>
      <c r="NG5" s="1185"/>
      <c r="NH5" s="1185"/>
      <c r="NI5" s="1185"/>
      <c r="NJ5" s="1185"/>
      <c r="NK5" s="1185"/>
      <c r="NL5" s="1185"/>
      <c r="NM5" s="1185"/>
      <c r="NN5" s="1185"/>
      <c r="NO5" s="1185"/>
      <c r="NP5" s="1185"/>
      <c r="NQ5" s="1185"/>
      <c r="NR5" s="1185"/>
      <c r="NS5" s="1185"/>
      <c r="NT5" s="1185"/>
      <c r="NU5" s="1185"/>
      <c r="NV5" s="1185"/>
      <c r="NW5" s="1185"/>
      <c r="NX5" s="1185"/>
      <c r="NY5" s="1185"/>
      <c r="NZ5" s="1185"/>
      <c r="OA5" s="1185"/>
      <c r="OB5" s="1185"/>
      <c r="OC5" s="1185"/>
      <c r="OD5" s="1185"/>
      <c r="OE5" s="1185"/>
      <c r="OF5" s="1185"/>
      <c r="OG5" s="1185"/>
      <c r="OH5" s="1185"/>
      <c r="OI5" s="1185"/>
      <c r="OJ5" s="1185"/>
      <c r="OK5" s="1185"/>
      <c r="OL5" s="1185"/>
      <c r="OM5" s="1185"/>
      <c r="ON5" s="1185"/>
      <c r="OO5" s="1185"/>
      <c r="OP5" s="1185"/>
      <c r="OQ5" s="1185"/>
      <c r="OR5" s="1185"/>
      <c r="OS5" s="1185"/>
      <c r="OT5" s="1185"/>
      <c r="OU5" s="1185"/>
      <c r="OV5" s="1185"/>
      <c r="OW5" s="1185"/>
      <c r="OX5" s="1185"/>
      <c r="OY5" s="1185"/>
      <c r="OZ5" s="1185"/>
      <c r="PA5" s="1185"/>
      <c r="PB5" s="1185"/>
      <c r="PC5" s="1185"/>
      <c r="PD5" s="1185"/>
      <c r="PE5" s="1185"/>
      <c r="PF5" s="1185"/>
      <c r="PG5" s="1185"/>
      <c r="PH5" s="1185"/>
      <c r="PI5" s="1185"/>
      <c r="PJ5" s="1185"/>
      <c r="PK5" s="1185"/>
      <c r="PL5" s="1185"/>
      <c r="PM5" s="1185"/>
      <c r="PN5" s="1185"/>
      <c r="PO5" s="1185"/>
      <c r="PP5" s="1185"/>
      <c r="PQ5" s="1185"/>
      <c r="PR5" s="1185"/>
      <c r="PS5" s="1185"/>
      <c r="PT5" s="1185"/>
      <c r="PU5" s="1185"/>
      <c r="PV5" s="1185"/>
      <c r="PW5" s="1185"/>
      <c r="PX5" s="1185"/>
      <c r="PY5" s="1185"/>
      <c r="PZ5" s="1185"/>
      <c r="QA5" s="1185"/>
      <c r="QB5" s="1185"/>
      <c r="QC5" s="1185"/>
      <c r="QD5" s="1185"/>
      <c r="QE5" s="1185"/>
      <c r="QF5" s="1185"/>
      <c r="QG5" s="1185"/>
      <c r="QH5" s="1185"/>
      <c r="QI5" s="1185"/>
      <c r="QJ5" s="1185"/>
      <c r="QK5" s="1185"/>
      <c r="QL5" s="1185"/>
      <c r="QM5" s="1185"/>
      <c r="QN5" s="1185"/>
      <c r="QO5" s="1185"/>
      <c r="QP5" s="1185"/>
      <c r="QQ5" s="1185"/>
      <c r="QR5" s="1185"/>
      <c r="QS5" s="1185"/>
      <c r="QT5" s="1185"/>
      <c r="QU5" s="1185"/>
      <c r="QV5" s="1185"/>
      <c r="QW5" s="1185"/>
      <c r="QX5" s="1185"/>
      <c r="QY5" s="1185"/>
      <c r="QZ5" s="1185"/>
      <c r="RA5" s="1185"/>
      <c r="RB5" s="1185"/>
      <c r="RC5" s="1185"/>
      <c r="RD5" s="1185"/>
      <c r="RE5" s="1185"/>
      <c r="RF5" s="1185"/>
      <c r="RG5" s="1185"/>
      <c r="RH5" s="1185"/>
      <c r="RI5" s="1185"/>
      <c r="RJ5" s="1185"/>
      <c r="RK5" s="1185"/>
      <c r="RL5" s="1185"/>
      <c r="RM5" s="1185"/>
      <c r="RN5" s="1185"/>
      <c r="RO5" s="1185"/>
      <c r="RP5" s="1185"/>
      <c r="RQ5" s="1185"/>
      <c r="RR5" s="1185"/>
      <c r="RS5" s="1185"/>
      <c r="RT5" s="1185"/>
      <c r="RU5" s="1185"/>
      <c r="RV5" s="1185"/>
      <c r="RW5" s="1185"/>
      <c r="RX5" s="1185"/>
      <c r="RY5" s="1185"/>
      <c r="RZ5" s="1185"/>
      <c r="SA5" s="1185"/>
      <c r="SB5" s="1185"/>
      <c r="SC5" s="1185"/>
      <c r="SD5" s="1185"/>
      <c r="SE5" s="1185"/>
      <c r="SF5" s="1185"/>
      <c r="SG5" s="1185"/>
      <c r="SH5" s="1185"/>
      <c r="SI5" s="1185"/>
      <c r="SJ5" s="1185"/>
      <c r="SK5" s="1185"/>
      <c r="SL5" s="1185"/>
      <c r="SM5" s="1185"/>
      <c r="SN5" s="1185"/>
      <c r="SO5" s="1185"/>
      <c r="SP5" s="1185"/>
      <c r="SQ5" s="1185"/>
      <c r="SR5" s="1185"/>
      <c r="SS5" s="1185"/>
      <c r="ST5" s="1185"/>
      <c r="SU5" s="1185"/>
      <c r="SV5" s="1185"/>
      <c r="SW5" s="1185"/>
      <c r="SX5" s="1185"/>
      <c r="SY5" s="1185"/>
      <c r="SZ5" s="1185"/>
      <c r="TA5" s="1185"/>
      <c r="TB5" s="1185"/>
      <c r="TC5" s="1185"/>
      <c r="TD5" s="1185"/>
      <c r="TE5" s="1185"/>
      <c r="TF5" s="1185"/>
      <c r="TG5" s="1185"/>
      <c r="TH5" s="1185"/>
      <c r="TI5" s="1185"/>
      <c r="TJ5" s="1185"/>
      <c r="TK5" s="1185"/>
      <c r="TL5" s="1185"/>
      <c r="TM5" s="1185"/>
      <c r="TN5" s="1185"/>
      <c r="TO5" s="1185"/>
      <c r="TP5" s="1185"/>
      <c r="TQ5" s="1185"/>
      <c r="TR5" s="1185"/>
      <c r="TS5" s="1185"/>
      <c r="TT5" s="1185"/>
      <c r="TU5" s="1185"/>
      <c r="TV5" s="1185"/>
      <c r="TW5" s="1185"/>
      <c r="TX5" s="1185"/>
      <c r="TY5" s="1185"/>
      <c r="TZ5" s="1185"/>
      <c r="UA5" s="1185"/>
      <c r="UB5" s="1185"/>
      <c r="UC5" s="1185"/>
      <c r="UD5" s="1185"/>
      <c r="UE5" s="1185"/>
      <c r="UF5" s="1185"/>
      <c r="UG5" s="1185"/>
      <c r="UH5" s="1185"/>
      <c r="UI5" s="1185"/>
      <c r="UJ5" s="1185"/>
      <c r="UK5" s="1185"/>
      <c r="UL5" s="1185"/>
      <c r="UM5" s="1185"/>
      <c r="UN5" s="1185"/>
      <c r="UO5" s="1185"/>
      <c r="UP5" s="1185"/>
      <c r="UQ5" s="1185"/>
      <c r="UR5" s="1185"/>
      <c r="US5" s="1185"/>
      <c r="UT5" s="1185"/>
      <c r="UU5" s="1185"/>
      <c r="UV5" s="1185"/>
      <c r="UW5" s="1185"/>
      <c r="UX5" s="1185"/>
      <c r="UY5" s="1185"/>
      <c r="UZ5" s="1185"/>
      <c r="VA5" s="1185"/>
      <c r="VB5" s="1185"/>
      <c r="VC5" s="1185"/>
      <c r="VD5" s="1185"/>
      <c r="VE5" s="1185"/>
      <c r="VF5" s="1185"/>
      <c r="VG5" s="1185"/>
      <c r="VH5" s="1185"/>
      <c r="VI5" s="1185"/>
      <c r="VJ5" s="1185"/>
      <c r="VK5" s="1185"/>
      <c r="VL5" s="1185"/>
      <c r="VM5" s="1185"/>
      <c r="VN5" s="1185"/>
      <c r="VO5" s="1185"/>
      <c r="VP5" s="1185"/>
      <c r="VQ5" s="1185"/>
      <c r="VR5" s="1185"/>
      <c r="VS5" s="1185"/>
      <c r="VT5" s="1185"/>
      <c r="VU5" s="1185"/>
      <c r="VV5" s="1185"/>
      <c r="VW5" s="1185"/>
      <c r="VX5" s="1185"/>
      <c r="VY5" s="1185"/>
      <c r="VZ5" s="1185"/>
      <c r="WA5" s="1185"/>
      <c r="WB5" s="1185"/>
      <c r="WC5" s="1185"/>
      <c r="WD5" s="1185"/>
      <c r="WE5" s="1185"/>
      <c r="WF5" s="1185"/>
      <c r="WG5" s="1185"/>
      <c r="WH5" s="1185"/>
      <c r="WI5" s="1185"/>
      <c r="WJ5" s="1185"/>
      <c r="WK5" s="1185"/>
      <c r="WL5" s="1185"/>
      <c r="WM5" s="1185"/>
      <c r="WN5" s="1185"/>
      <c r="WO5" s="1185"/>
      <c r="WP5" s="1185"/>
      <c r="WQ5" s="1185"/>
      <c r="WR5" s="1185"/>
      <c r="WS5" s="1185"/>
      <c r="WT5" s="1185"/>
      <c r="WU5" s="1185"/>
      <c r="WV5" s="1185"/>
      <c r="WW5" s="1185"/>
      <c r="WX5" s="1185"/>
      <c r="WY5" s="1185"/>
      <c r="WZ5" s="1185"/>
      <c r="XA5" s="1185"/>
      <c r="XB5" s="1185"/>
      <c r="XC5" s="1185"/>
      <c r="XD5" s="1185"/>
      <c r="XE5" s="1185"/>
      <c r="XF5" s="1185"/>
      <c r="XG5" s="1185"/>
      <c r="XH5" s="1185"/>
      <c r="XI5" s="1185"/>
      <c r="XJ5" s="1185"/>
      <c r="XK5" s="1185"/>
      <c r="XL5" s="1185"/>
      <c r="XM5" s="1185"/>
      <c r="XN5" s="1185"/>
      <c r="XO5" s="1185"/>
      <c r="XP5" s="1185"/>
      <c r="XQ5" s="1185"/>
      <c r="XR5" s="1185"/>
      <c r="XS5" s="1185"/>
      <c r="XT5" s="1185"/>
      <c r="XU5" s="1185"/>
      <c r="XV5" s="1185"/>
      <c r="XW5" s="1185"/>
      <c r="XX5" s="1185"/>
      <c r="XY5" s="1185"/>
      <c r="XZ5" s="1185"/>
      <c r="YA5" s="1185"/>
      <c r="YB5" s="1185"/>
      <c r="YC5" s="1185"/>
      <c r="YD5" s="1185"/>
      <c r="YE5" s="1185"/>
      <c r="YF5" s="1185"/>
      <c r="YG5" s="1185"/>
      <c r="YH5" s="1185"/>
      <c r="YI5" s="1185"/>
      <c r="YJ5" s="1185"/>
      <c r="YK5" s="1185"/>
      <c r="YL5" s="1185"/>
      <c r="YM5" s="1185"/>
      <c r="YN5" s="1185"/>
      <c r="YO5" s="1185"/>
      <c r="YP5" s="1185"/>
      <c r="YQ5" s="1185"/>
      <c r="YR5" s="1185"/>
      <c r="YS5" s="1185"/>
      <c r="YT5" s="1185"/>
      <c r="YU5" s="1185"/>
      <c r="YV5" s="1185"/>
      <c r="YW5" s="1185"/>
      <c r="YX5" s="1185"/>
      <c r="YY5" s="1185"/>
      <c r="YZ5" s="1185"/>
      <c r="ZA5" s="1185"/>
      <c r="ZB5" s="1185"/>
      <c r="ZC5" s="1185"/>
      <c r="ZD5" s="1185"/>
      <c r="ZE5" s="1185"/>
      <c r="ZF5" s="1185"/>
      <c r="ZG5" s="1185"/>
      <c r="ZH5" s="1185"/>
      <c r="ZI5" s="1185"/>
      <c r="ZJ5" s="1185"/>
      <c r="ZK5" s="1185"/>
      <c r="ZL5" s="1185"/>
      <c r="ZM5" s="1185"/>
      <c r="ZN5" s="1185"/>
      <c r="ZO5" s="1185"/>
      <c r="ZP5" s="1185"/>
      <c r="ZQ5" s="1185"/>
      <c r="ZR5" s="1185"/>
      <c r="ZS5" s="1185"/>
      <c r="ZT5" s="1185"/>
      <c r="ZU5" s="1185"/>
      <c r="ZV5" s="1185"/>
      <c r="ZW5" s="1185"/>
      <c r="ZX5" s="1185"/>
      <c r="ZY5" s="1185"/>
      <c r="ZZ5" s="1185"/>
      <c r="AAA5" s="1185"/>
      <c r="AAB5" s="1185"/>
      <c r="AAC5" s="1185"/>
      <c r="AAD5" s="1185"/>
      <c r="AAE5" s="1185"/>
      <c r="AAF5" s="1185"/>
      <c r="AAG5" s="1185"/>
      <c r="AAH5" s="1185"/>
      <c r="AAI5" s="1185"/>
      <c r="AAJ5" s="1185"/>
      <c r="AAK5" s="1185"/>
      <c r="AAL5" s="1185"/>
      <c r="AAM5" s="1185"/>
      <c r="AAN5" s="1185"/>
      <c r="AAO5" s="1185"/>
      <c r="AAP5" s="1185"/>
      <c r="AAQ5" s="1185"/>
      <c r="AAR5" s="1185"/>
      <c r="AAS5" s="1185"/>
      <c r="AAT5" s="1185"/>
      <c r="AAU5" s="1185"/>
      <c r="AAV5" s="1185"/>
      <c r="AAW5" s="1185"/>
      <c r="AAX5" s="1185"/>
      <c r="AAY5" s="1185"/>
      <c r="AAZ5" s="1185"/>
      <c r="ABA5" s="1185"/>
      <c r="ABB5" s="1185"/>
      <c r="ABC5" s="1185"/>
      <c r="ABD5" s="1185"/>
      <c r="ABE5" s="1185"/>
      <c r="ABF5" s="1185"/>
      <c r="ABG5" s="1185"/>
      <c r="ABH5" s="1185"/>
      <c r="ABI5" s="1185"/>
      <c r="ABJ5" s="1185"/>
      <c r="ABK5" s="1185"/>
      <c r="ABL5" s="1185"/>
      <c r="ABM5" s="1185"/>
      <c r="ABN5" s="1185"/>
      <c r="ABO5" s="1185"/>
      <c r="ABP5" s="1185"/>
      <c r="ABQ5" s="1185"/>
      <c r="ABR5" s="1185"/>
      <c r="ABS5" s="1185"/>
      <c r="ABT5" s="1185"/>
      <c r="ABU5" s="1185"/>
      <c r="ABV5" s="1185"/>
      <c r="ABW5" s="1185"/>
      <c r="ABX5" s="1185"/>
      <c r="ABY5" s="1185"/>
      <c r="ABZ5" s="1185"/>
      <c r="ACA5" s="1185"/>
      <c r="ACB5" s="1185"/>
      <c r="ACC5" s="1185"/>
      <c r="ACD5" s="1185"/>
      <c r="ACE5" s="1185"/>
      <c r="ACF5" s="1185"/>
      <c r="ACG5" s="1185"/>
      <c r="ACH5" s="1185"/>
      <c r="ACI5" s="1185"/>
      <c r="ACJ5" s="1185"/>
      <c r="ACK5" s="1185"/>
      <c r="ACL5" s="1185"/>
      <c r="ACM5" s="1185"/>
      <c r="ACN5" s="1185"/>
      <c r="ACO5" s="1185"/>
      <c r="ACP5" s="1185"/>
      <c r="ACQ5" s="1185"/>
      <c r="ACR5" s="1185"/>
      <c r="ACS5" s="1185"/>
      <c r="ACT5" s="1185"/>
      <c r="ACU5" s="1185"/>
      <c r="ACV5" s="1185"/>
      <c r="ACW5" s="1185"/>
      <c r="ACX5" s="1185"/>
      <c r="ACY5" s="1185"/>
      <c r="ACZ5" s="1185"/>
      <c r="ADA5" s="1185"/>
      <c r="ADB5" s="1185"/>
      <c r="ADC5" s="1185"/>
      <c r="ADD5" s="1185"/>
      <c r="ADE5" s="1185"/>
      <c r="ADF5" s="1185"/>
      <c r="ADG5" s="1185"/>
      <c r="ADH5" s="1185"/>
      <c r="ADI5" s="1185"/>
      <c r="ADJ5" s="1185"/>
      <c r="ADK5" s="1185"/>
      <c r="ADL5" s="1185"/>
      <c r="ADM5" s="1185"/>
      <c r="ADN5" s="1185"/>
      <c r="ADO5" s="1185"/>
      <c r="ADP5" s="1185"/>
      <c r="ADQ5" s="1185"/>
      <c r="ADR5" s="1185"/>
      <c r="ADS5" s="1185"/>
      <c r="ADT5" s="1185"/>
      <c r="ADU5" s="1185"/>
      <c r="ADV5" s="1185"/>
      <c r="ADW5" s="1185"/>
      <c r="ADX5" s="1185"/>
      <c r="ADY5" s="1185"/>
      <c r="ADZ5" s="1185"/>
      <c r="AEA5" s="1185"/>
      <c r="AEB5" s="1185"/>
      <c r="AEC5" s="1185"/>
      <c r="AED5" s="1185"/>
      <c r="AEE5" s="1185"/>
      <c r="AEF5" s="1185"/>
      <c r="AEG5" s="1185"/>
      <c r="AEH5" s="1185"/>
      <c r="AEI5" s="1185"/>
      <c r="AEJ5" s="1185"/>
      <c r="AEK5" s="1185"/>
      <c r="AEL5" s="1185"/>
      <c r="AEM5" s="1185"/>
      <c r="AEN5" s="1185"/>
      <c r="AEO5" s="1185"/>
      <c r="AEP5" s="1185"/>
      <c r="AEQ5" s="1185"/>
      <c r="AER5" s="1185"/>
      <c r="AES5" s="1185"/>
      <c r="AET5" s="1185"/>
      <c r="AEU5" s="1185"/>
      <c r="AEV5" s="1185"/>
      <c r="AEW5" s="1185"/>
      <c r="AEX5" s="1185"/>
      <c r="AEY5" s="1185"/>
      <c r="AEZ5" s="1185"/>
      <c r="AFA5" s="1185"/>
      <c r="AFB5" s="1185"/>
      <c r="AFC5" s="1185"/>
      <c r="AFD5" s="1185"/>
      <c r="AFE5" s="1185"/>
      <c r="AFF5" s="1185"/>
      <c r="AFG5" s="1185"/>
      <c r="AFH5" s="1185"/>
      <c r="AFI5" s="1185"/>
      <c r="AFJ5" s="1185"/>
      <c r="AFK5" s="1185"/>
      <c r="AFL5" s="1185"/>
      <c r="AFM5" s="1185"/>
      <c r="AFN5" s="1185"/>
      <c r="AFO5" s="1185"/>
      <c r="AFP5" s="1185"/>
      <c r="AFQ5" s="1185"/>
      <c r="AFR5" s="1185"/>
      <c r="AFS5" s="1185"/>
      <c r="AFT5" s="1185"/>
      <c r="AFU5" s="1185"/>
      <c r="AFV5" s="1185"/>
      <c r="AFW5" s="1185"/>
      <c r="AFX5" s="1185"/>
      <c r="AFY5" s="1185"/>
      <c r="AFZ5" s="1185"/>
      <c r="AGA5" s="1185"/>
      <c r="AGB5" s="1185"/>
      <c r="AGC5" s="1185"/>
      <c r="AGD5" s="1185"/>
      <c r="AGE5" s="1185"/>
      <c r="AGF5" s="1185"/>
      <c r="AGG5" s="1185"/>
      <c r="AGH5" s="1185"/>
      <c r="AGI5" s="1185"/>
      <c r="AGJ5" s="1185"/>
      <c r="AGK5" s="1185"/>
      <c r="AGL5" s="1185"/>
      <c r="AGM5" s="1185"/>
      <c r="AGN5" s="1185"/>
      <c r="AGO5" s="1185"/>
      <c r="AGP5" s="1185"/>
      <c r="AGQ5" s="1185"/>
      <c r="AGR5" s="1185"/>
      <c r="AGS5" s="1185"/>
      <c r="AGT5" s="1185"/>
      <c r="AGU5" s="1185"/>
      <c r="AGV5" s="1185"/>
      <c r="AGW5" s="1185"/>
      <c r="AGX5" s="1185"/>
      <c r="AGY5" s="1185"/>
      <c r="AGZ5" s="1185"/>
      <c r="AHA5" s="1185"/>
      <c r="AHB5" s="1185"/>
      <c r="AHC5" s="1185"/>
      <c r="AHD5" s="1185"/>
      <c r="AHE5" s="1185"/>
      <c r="AHF5" s="1185"/>
      <c r="AHG5" s="1185"/>
      <c r="AHH5" s="1185"/>
      <c r="AHI5" s="1185"/>
      <c r="AHJ5" s="1185"/>
      <c r="AHK5" s="1185"/>
      <c r="AHL5" s="1185"/>
      <c r="AHM5" s="1185"/>
      <c r="AHN5" s="1185"/>
      <c r="AHO5" s="1185"/>
      <c r="AHP5" s="1185"/>
      <c r="AHQ5" s="1185"/>
      <c r="AHR5" s="1185"/>
      <c r="AHS5" s="1185"/>
      <c r="AHT5" s="1185"/>
      <c r="AHU5" s="1185"/>
      <c r="AHV5" s="1185"/>
      <c r="AHW5" s="1185"/>
      <c r="AHX5" s="1185"/>
      <c r="AHY5" s="1185"/>
      <c r="AHZ5" s="1185"/>
      <c r="AIA5" s="1185"/>
      <c r="AIB5" s="1185"/>
      <c r="AIC5" s="1185"/>
      <c r="AID5" s="1185"/>
      <c r="AIE5" s="1185"/>
      <c r="AIF5" s="1185"/>
      <c r="AIG5" s="1185"/>
      <c r="AIH5" s="1185"/>
      <c r="AII5" s="1185"/>
      <c r="AIJ5" s="1185"/>
      <c r="AIK5" s="1185"/>
      <c r="AIL5" s="1185"/>
      <c r="AIM5" s="1185"/>
      <c r="AIN5" s="1185"/>
      <c r="AIO5" s="1185"/>
      <c r="AIP5" s="1185"/>
      <c r="AIQ5" s="1185"/>
      <c r="AIR5" s="1185"/>
      <c r="AIS5" s="1185"/>
      <c r="AIT5" s="1185"/>
      <c r="AIU5" s="1185"/>
      <c r="AIV5" s="1185"/>
      <c r="AIW5" s="1185"/>
      <c r="AIX5" s="1185"/>
      <c r="AIY5" s="1185"/>
      <c r="AIZ5" s="1185"/>
      <c r="AJA5" s="1185"/>
      <c r="AJB5" s="1185"/>
      <c r="AJC5" s="1185"/>
      <c r="AJD5" s="1185"/>
      <c r="AJE5" s="1185"/>
      <c r="AJF5" s="1185"/>
      <c r="AJG5" s="1185"/>
      <c r="AJH5" s="1185"/>
      <c r="AJI5" s="1185"/>
      <c r="AJJ5" s="1185"/>
      <c r="AJK5" s="1185"/>
      <c r="AJL5" s="1185"/>
      <c r="AJM5" s="1185"/>
      <c r="AJN5" s="1185"/>
      <c r="AJO5" s="1185"/>
      <c r="AJP5" s="1185"/>
      <c r="AJQ5" s="1185"/>
      <c r="AJR5" s="1185"/>
      <c r="AJS5" s="1185"/>
      <c r="AJT5" s="1185"/>
      <c r="AJU5" s="1185"/>
      <c r="AJV5" s="1185"/>
      <c r="AJW5" s="1185"/>
      <c r="AJX5" s="1185"/>
      <c r="AJY5" s="1185"/>
      <c r="AJZ5" s="1185"/>
      <c r="AKA5" s="1185"/>
      <c r="AKB5" s="1185"/>
      <c r="AKC5" s="1185"/>
      <c r="AKD5" s="1185"/>
      <c r="AKE5" s="1185"/>
      <c r="AKF5" s="1185"/>
      <c r="AKG5" s="1185"/>
      <c r="AKH5" s="1185"/>
      <c r="AKI5" s="1185"/>
      <c r="AKJ5" s="1185"/>
      <c r="AKK5" s="1185"/>
      <c r="AKL5" s="1185"/>
      <c r="AKM5" s="1185"/>
      <c r="AKN5" s="1185"/>
      <c r="AKO5" s="1185"/>
      <c r="AKP5" s="1185"/>
      <c r="AKQ5" s="1185"/>
      <c r="AKR5" s="1185"/>
      <c r="AKS5" s="1185"/>
      <c r="AKT5" s="1185"/>
      <c r="AKU5" s="1185"/>
      <c r="AKV5" s="1185"/>
      <c r="AKW5" s="1185"/>
      <c r="AKX5" s="1185"/>
      <c r="AKY5" s="1185"/>
      <c r="AKZ5" s="1185"/>
      <c r="ALA5" s="1185"/>
      <c r="ALB5" s="1185"/>
      <c r="ALC5" s="1185"/>
      <c r="ALD5" s="1185"/>
      <c r="ALE5" s="1185"/>
      <c r="ALF5" s="1185"/>
      <c r="ALG5" s="1185"/>
      <c r="ALH5" s="1185"/>
      <c r="ALI5" s="1185"/>
      <c r="ALJ5" s="1185"/>
      <c r="ALK5" s="1185"/>
      <c r="ALL5" s="1185"/>
      <c r="ALM5" s="1185"/>
      <c r="ALN5" s="1185"/>
      <c r="ALO5" s="1185"/>
      <c r="ALP5" s="1185"/>
      <c r="ALQ5" s="1185"/>
      <c r="ALR5" s="1185"/>
      <c r="ALS5" s="1185"/>
      <c r="ALT5" s="1185"/>
      <c r="ALU5" s="1185"/>
      <c r="ALV5" s="1185"/>
      <c r="ALW5" s="1185"/>
      <c r="ALX5" s="1185"/>
      <c r="ALY5" s="1185"/>
      <c r="ALZ5" s="1185"/>
      <c r="AMA5" s="1185"/>
      <c r="AMB5" s="1185"/>
      <c r="AMC5" s="1185"/>
      <c r="AMD5" s="1185"/>
      <c r="AME5" s="1185"/>
      <c r="AMF5" s="1185"/>
      <c r="AMG5" s="1185"/>
      <c r="AMH5" s="1185"/>
      <c r="AMI5" s="1185"/>
      <c r="AMJ5" s="1185"/>
      <c r="AMK5" s="1185"/>
      <c r="AML5" s="1185"/>
      <c r="AMM5" s="1185"/>
      <c r="AMN5" s="1185"/>
      <c r="AMO5" s="1185"/>
      <c r="AMP5" s="1185"/>
      <c r="AMQ5" s="1185"/>
      <c r="AMR5" s="1185"/>
      <c r="AMS5" s="1185"/>
      <c r="AMT5" s="1185"/>
      <c r="AMU5" s="1185"/>
      <c r="AMV5" s="1185"/>
      <c r="AMW5" s="1185"/>
      <c r="AMX5" s="1185"/>
      <c r="AMY5" s="1185"/>
      <c r="AMZ5" s="1185"/>
      <c r="ANA5" s="1185"/>
      <c r="ANB5" s="1185"/>
      <c r="ANC5" s="1185"/>
      <c r="AND5" s="1185"/>
      <c r="ANE5" s="1185"/>
      <c r="ANF5" s="1185"/>
      <c r="ANG5" s="1185"/>
      <c r="ANH5" s="1185"/>
      <c r="ANI5" s="1185"/>
      <c r="ANJ5" s="1185"/>
      <c r="ANK5" s="1185"/>
      <c r="ANL5" s="1185"/>
      <c r="ANM5" s="1185"/>
      <c r="ANN5" s="1185"/>
      <c r="ANO5" s="1185"/>
      <c r="ANP5" s="1185"/>
      <c r="ANQ5" s="1185"/>
      <c r="ANR5" s="1185"/>
      <c r="ANS5" s="1185"/>
      <c r="ANT5" s="1185"/>
      <c r="ANU5" s="1185"/>
      <c r="ANV5" s="1185"/>
      <c r="ANW5" s="1185"/>
      <c r="ANX5" s="1185"/>
      <c r="ANY5" s="1185"/>
      <c r="ANZ5" s="1185"/>
      <c r="AOA5" s="1185"/>
      <c r="AOB5" s="1185"/>
      <c r="AOC5" s="1185"/>
      <c r="AOD5" s="1185"/>
      <c r="AOE5" s="1185"/>
      <c r="AOF5" s="1185"/>
      <c r="AOG5" s="1185"/>
      <c r="AOH5" s="1185"/>
      <c r="AOI5" s="1185"/>
      <c r="AOJ5" s="1185"/>
      <c r="AOK5" s="1185"/>
      <c r="AOL5" s="1185"/>
      <c r="AOM5" s="1185"/>
      <c r="AON5" s="1185"/>
      <c r="AOO5" s="1185"/>
      <c r="AOP5" s="1185"/>
      <c r="AOQ5" s="1185"/>
      <c r="AOR5" s="1185"/>
      <c r="AOS5" s="1185"/>
      <c r="AOT5" s="1185"/>
      <c r="AOU5" s="1185"/>
      <c r="AOV5" s="1185"/>
      <c r="AOW5" s="1185"/>
      <c r="AOX5" s="1185"/>
      <c r="AOY5" s="1185"/>
      <c r="AOZ5" s="1185"/>
      <c r="APA5" s="1185"/>
      <c r="APB5" s="1185"/>
      <c r="APC5" s="1185"/>
      <c r="APD5" s="1185"/>
      <c r="APE5" s="1185"/>
      <c r="APF5" s="1185"/>
      <c r="APG5" s="1185"/>
      <c r="APH5" s="1185"/>
      <c r="API5" s="1185"/>
      <c r="APJ5" s="1185"/>
      <c r="APK5" s="1185"/>
      <c r="APL5" s="1185"/>
      <c r="APM5" s="1185"/>
      <c r="APN5" s="1185"/>
      <c r="APO5" s="1185"/>
      <c r="APP5" s="1185"/>
      <c r="APQ5" s="1185"/>
      <c r="APR5" s="1185"/>
      <c r="APS5" s="1185"/>
      <c r="APT5" s="1185"/>
      <c r="APU5" s="1185"/>
      <c r="APV5" s="1185"/>
      <c r="APW5" s="1185"/>
      <c r="APX5" s="1185"/>
      <c r="APY5" s="1185"/>
      <c r="APZ5" s="1185"/>
      <c r="AQA5" s="1185"/>
      <c r="AQB5" s="1185"/>
      <c r="AQC5" s="1185"/>
      <c r="AQD5" s="1185"/>
      <c r="AQE5" s="1185"/>
      <c r="AQF5" s="1185"/>
      <c r="AQG5" s="1185"/>
      <c r="AQH5" s="1185"/>
      <c r="AQI5" s="1185"/>
      <c r="AQJ5" s="1185"/>
      <c r="AQK5" s="1185"/>
      <c r="AQL5" s="1185"/>
      <c r="AQM5" s="1185"/>
      <c r="AQN5" s="1185"/>
      <c r="AQO5" s="1185"/>
      <c r="AQP5" s="1185"/>
      <c r="AQQ5" s="1185"/>
      <c r="AQR5" s="1185"/>
      <c r="AQS5" s="1185"/>
      <c r="AQT5" s="1185"/>
      <c r="AQU5" s="1185"/>
      <c r="AQV5" s="1185"/>
      <c r="AQW5" s="1185"/>
      <c r="AQX5" s="1185"/>
      <c r="AQY5" s="1185"/>
      <c r="AQZ5" s="1185"/>
      <c r="ARA5" s="1185"/>
      <c r="ARB5" s="1185"/>
      <c r="ARC5" s="1185"/>
      <c r="ARD5" s="1185"/>
      <c r="ARE5" s="1185"/>
      <c r="ARF5" s="1185"/>
      <c r="ARG5" s="1185"/>
      <c r="ARH5" s="1185"/>
      <c r="ARI5" s="1185"/>
      <c r="ARJ5" s="1185"/>
      <c r="ARK5" s="1185"/>
      <c r="ARL5" s="1185"/>
      <c r="ARM5" s="1185"/>
      <c r="ARN5" s="1185"/>
      <c r="ARO5" s="1185"/>
      <c r="ARP5" s="1185"/>
      <c r="ARQ5" s="1185"/>
      <c r="ARR5" s="1185"/>
      <c r="ARS5" s="1185"/>
      <c r="ART5" s="1185"/>
      <c r="ARU5" s="1185"/>
      <c r="ARV5" s="1185"/>
      <c r="ARW5" s="1185"/>
      <c r="ARX5" s="1185"/>
      <c r="ARY5" s="1185"/>
      <c r="ARZ5" s="1185"/>
      <c r="ASA5" s="1185"/>
      <c r="ASB5" s="1185"/>
      <c r="ASC5" s="1185"/>
      <c r="ASD5" s="1185"/>
      <c r="ASE5" s="1185"/>
      <c r="ASF5" s="1185"/>
      <c r="ASG5" s="1185"/>
      <c r="ASH5" s="1185"/>
      <c r="ASI5" s="1185"/>
      <c r="ASJ5" s="1185"/>
      <c r="ASK5" s="1185"/>
      <c r="ASL5" s="1185"/>
      <c r="ASM5" s="1185"/>
      <c r="ASN5" s="1185"/>
      <c r="ASO5" s="1185"/>
      <c r="ASP5" s="1185"/>
      <c r="ASQ5" s="1185"/>
      <c r="ASR5" s="1185"/>
      <c r="ASS5" s="1185"/>
      <c r="AST5" s="1185"/>
      <c r="ASU5" s="1185"/>
      <c r="ASV5" s="1185"/>
      <c r="ASW5" s="1185"/>
      <c r="ASX5" s="1185"/>
      <c r="ASY5" s="1185"/>
      <c r="ASZ5" s="1185"/>
      <c r="ATA5" s="1185"/>
      <c r="ATB5" s="1185"/>
      <c r="ATC5" s="1185"/>
      <c r="ATD5" s="1185"/>
      <c r="ATE5" s="1185"/>
      <c r="ATF5" s="1185"/>
      <c r="ATG5" s="1185"/>
      <c r="ATH5" s="1185"/>
      <c r="ATI5" s="1185"/>
      <c r="ATJ5" s="1185"/>
      <c r="ATK5" s="1185"/>
      <c r="ATL5" s="1185"/>
      <c r="ATM5" s="1185"/>
      <c r="ATN5" s="1185"/>
      <c r="ATO5" s="1185"/>
      <c r="ATP5" s="1185"/>
      <c r="ATQ5" s="1185"/>
      <c r="ATR5" s="1185"/>
      <c r="ATS5" s="1185"/>
      <c r="ATT5" s="1185"/>
      <c r="ATU5" s="1185"/>
      <c r="ATV5" s="1185"/>
      <c r="ATW5" s="1185"/>
      <c r="ATX5" s="1185"/>
      <c r="ATY5" s="1185"/>
      <c r="ATZ5" s="1185"/>
      <c r="AUA5" s="1185"/>
      <c r="AUB5" s="1185"/>
      <c r="AUC5" s="1185"/>
      <c r="AUD5" s="1185"/>
      <c r="AUE5" s="1185"/>
      <c r="AUF5" s="1185"/>
      <c r="AUG5" s="1185"/>
      <c r="AUH5" s="1185"/>
      <c r="AUI5" s="1185"/>
      <c r="AUJ5" s="1185"/>
      <c r="AUK5" s="1185"/>
      <c r="AUL5" s="1185"/>
      <c r="AUM5" s="1185"/>
      <c r="AUN5" s="1185"/>
      <c r="AUO5" s="1185"/>
      <c r="AUP5" s="1185"/>
      <c r="AUQ5" s="1185"/>
      <c r="AUR5" s="1185"/>
      <c r="AUS5" s="1185"/>
      <c r="AUT5" s="1185"/>
      <c r="AUU5" s="1185"/>
      <c r="AUV5" s="1185"/>
      <c r="AUW5" s="1185"/>
      <c r="AUX5" s="1185"/>
      <c r="AUY5" s="1185"/>
      <c r="AUZ5" s="1185"/>
      <c r="AVA5" s="1185"/>
      <c r="AVB5" s="1185"/>
      <c r="AVC5" s="1185"/>
      <c r="AVD5" s="1185"/>
      <c r="AVE5" s="1185"/>
      <c r="AVF5" s="1185"/>
      <c r="AVG5" s="1185"/>
      <c r="AVH5" s="1185"/>
      <c r="AVI5" s="1185"/>
      <c r="AVJ5" s="1185"/>
      <c r="AVK5" s="1185"/>
      <c r="AVL5" s="1185"/>
      <c r="AVM5" s="1185"/>
      <c r="AVN5" s="1185"/>
      <c r="AVO5" s="1185"/>
      <c r="AVP5" s="1185"/>
      <c r="AVQ5" s="1185"/>
      <c r="AVR5" s="1185"/>
      <c r="AVS5" s="1185"/>
      <c r="AVT5" s="1185"/>
      <c r="AVU5" s="1185"/>
      <c r="AVV5" s="1185"/>
      <c r="AVW5" s="1185"/>
      <c r="AVX5" s="1185"/>
      <c r="AVY5" s="1185"/>
      <c r="AVZ5" s="1185"/>
      <c r="AWA5" s="1185"/>
      <c r="AWB5" s="1185"/>
      <c r="AWC5" s="1185"/>
      <c r="AWD5" s="1185"/>
      <c r="AWE5" s="1185"/>
      <c r="AWF5" s="1185"/>
      <c r="AWG5" s="1185"/>
      <c r="AWH5" s="1185"/>
      <c r="AWI5" s="1185"/>
      <c r="AWJ5" s="1185"/>
      <c r="AWK5" s="1185"/>
      <c r="AWL5" s="1185"/>
      <c r="AWM5" s="1185"/>
      <c r="AWN5" s="1185"/>
      <c r="AWO5" s="1185"/>
      <c r="AWP5" s="1185"/>
      <c r="AWQ5" s="1185"/>
      <c r="AWR5" s="1185"/>
      <c r="AWS5" s="1185"/>
      <c r="AWT5" s="1185"/>
      <c r="AWU5" s="1185"/>
      <c r="AWV5" s="1185"/>
      <c r="AWW5" s="1185"/>
      <c r="AWX5" s="1185"/>
      <c r="AWY5" s="1185"/>
      <c r="AWZ5" s="1185"/>
      <c r="AXA5" s="1185"/>
      <c r="AXB5" s="1185"/>
      <c r="AXC5" s="1185"/>
      <c r="AXD5" s="1185"/>
      <c r="AXE5" s="1185"/>
      <c r="AXF5" s="1185"/>
      <c r="AXG5" s="1185"/>
      <c r="AXH5" s="1185"/>
      <c r="AXI5" s="1185"/>
      <c r="AXJ5" s="1185"/>
      <c r="AXK5" s="1185"/>
      <c r="AXL5" s="1185"/>
      <c r="AXM5" s="1185"/>
      <c r="AXN5" s="1185"/>
      <c r="AXO5" s="1185"/>
      <c r="AXP5" s="1185"/>
      <c r="AXQ5" s="1185"/>
      <c r="AXR5" s="1185"/>
      <c r="AXS5" s="1185"/>
      <c r="AXT5" s="1185"/>
      <c r="AXU5" s="1185"/>
      <c r="AXV5" s="1185"/>
      <c r="AXW5" s="1185"/>
      <c r="AXX5" s="1185"/>
      <c r="AXY5" s="1185"/>
      <c r="AXZ5" s="1185"/>
      <c r="AYA5" s="1185"/>
      <c r="AYB5" s="1185"/>
      <c r="AYC5" s="1185"/>
      <c r="AYD5" s="1185"/>
      <c r="AYE5" s="1185"/>
      <c r="AYF5" s="1185"/>
      <c r="AYG5" s="1185"/>
      <c r="AYH5" s="1185"/>
      <c r="AYI5" s="1185"/>
      <c r="AYJ5" s="1185"/>
      <c r="AYK5" s="1185"/>
      <c r="AYL5" s="1185"/>
      <c r="AYM5" s="1185"/>
      <c r="AYN5" s="1185"/>
      <c r="AYO5" s="1185"/>
      <c r="AYP5" s="1185"/>
      <c r="AYQ5" s="1185"/>
      <c r="AYR5" s="1185"/>
      <c r="AYS5" s="1185"/>
      <c r="AYT5" s="1185"/>
      <c r="AYU5" s="1185"/>
      <c r="AYV5" s="1185"/>
      <c r="AYW5" s="1185"/>
      <c r="AYX5" s="1185"/>
      <c r="AYY5" s="1185"/>
      <c r="AYZ5" s="1185"/>
      <c r="AZA5" s="1185"/>
      <c r="AZB5" s="1185"/>
      <c r="AZC5" s="1185"/>
      <c r="AZD5" s="1185"/>
      <c r="AZE5" s="1185"/>
      <c r="AZF5" s="1185"/>
      <c r="AZG5" s="1185"/>
      <c r="AZH5" s="1185"/>
      <c r="AZI5" s="1185"/>
      <c r="AZJ5" s="1185"/>
      <c r="AZK5" s="1185"/>
      <c r="AZL5" s="1185"/>
      <c r="AZM5" s="1185"/>
      <c r="AZN5" s="1185"/>
      <c r="AZO5" s="1185"/>
      <c r="AZP5" s="1185"/>
      <c r="AZQ5" s="1185"/>
      <c r="AZR5" s="1185"/>
      <c r="AZS5" s="1185"/>
      <c r="AZT5" s="1185"/>
      <c r="AZU5" s="1185"/>
      <c r="AZV5" s="1185"/>
      <c r="AZW5" s="1185"/>
      <c r="AZX5" s="1185"/>
      <c r="AZY5" s="1185"/>
      <c r="AZZ5" s="1185"/>
      <c r="BAA5" s="1185"/>
      <c r="BAB5" s="1185"/>
      <c r="BAC5" s="1185"/>
      <c r="BAD5" s="1185"/>
      <c r="BAE5" s="1185"/>
      <c r="BAF5" s="1185"/>
      <c r="BAG5" s="1185"/>
      <c r="BAH5" s="1185"/>
      <c r="BAI5" s="1185"/>
      <c r="BAJ5" s="1185"/>
      <c r="BAK5" s="1185"/>
      <c r="BAL5" s="1185"/>
      <c r="BAM5" s="1185"/>
      <c r="BAN5" s="1185"/>
      <c r="BAO5" s="1185"/>
      <c r="BAP5" s="1185"/>
      <c r="BAQ5" s="1185"/>
      <c r="BAR5" s="1185"/>
      <c r="BAS5" s="1185"/>
      <c r="BAT5" s="1185"/>
      <c r="BAU5" s="1185"/>
      <c r="BAV5" s="1185"/>
      <c r="BAW5" s="1185"/>
      <c r="BAX5" s="1185"/>
      <c r="BAY5" s="1185"/>
      <c r="BAZ5" s="1185"/>
      <c r="BBA5" s="1185"/>
      <c r="BBB5" s="1185"/>
      <c r="BBC5" s="1185"/>
      <c r="BBD5" s="1185"/>
      <c r="BBE5" s="1185"/>
      <c r="BBF5" s="1185"/>
      <c r="BBG5" s="1185"/>
      <c r="BBH5" s="1185"/>
      <c r="BBI5" s="1185"/>
      <c r="BBJ5" s="1185"/>
      <c r="BBK5" s="1185"/>
      <c r="BBL5" s="1185"/>
      <c r="BBM5" s="1185"/>
      <c r="BBN5" s="1185"/>
      <c r="BBO5" s="1185"/>
      <c r="BBP5" s="1185"/>
      <c r="BBQ5" s="1185"/>
      <c r="BBR5" s="1185"/>
      <c r="BBS5" s="1185"/>
      <c r="BBT5" s="1185"/>
      <c r="BBU5" s="1185"/>
      <c r="BBV5" s="1185"/>
      <c r="BBW5" s="1185"/>
      <c r="BBX5" s="1185"/>
      <c r="BBY5" s="1185"/>
      <c r="BBZ5" s="1185"/>
      <c r="BCA5" s="1185"/>
      <c r="BCB5" s="1185"/>
      <c r="BCC5" s="1185"/>
      <c r="BCD5" s="1185"/>
      <c r="BCE5" s="1185"/>
      <c r="BCF5" s="1185"/>
      <c r="BCG5" s="1185"/>
      <c r="BCH5" s="1185"/>
      <c r="BCI5" s="1185"/>
      <c r="BCJ5" s="1185"/>
      <c r="BCK5" s="1185"/>
      <c r="BCL5" s="1185"/>
      <c r="BCM5" s="1185"/>
      <c r="BCN5" s="1185"/>
      <c r="BCO5" s="1185"/>
      <c r="BCP5" s="1185"/>
      <c r="BCQ5" s="1185"/>
      <c r="BCR5" s="1185"/>
      <c r="BCS5" s="1185"/>
      <c r="BCT5" s="1185"/>
      <c r="BCU5" s="1185"/>
      <c r="BCV5" s="1185"/>
      <c r="BCW5" s="1185"/>
      <c r="BCX5" s="1185"/>
      <c r="BCY5" s="1185"/>
      <c r="BCZ5" s="1185"/>
      <c r="BDA5" s="1185"/>
      <c r="BDB5" s="1185"/>
      <c r="BDC5" s="1185"/>
      <c r="BDD5" s="1185"/>
      <c r="BDE5" s="1185"/>
      <c r="BDF5" s="1185"/>
      <c r="BDG5" s="1185"/>
      <c r="BDH5" s="1185"/>
      <c r="BDI5" s="1185"/>
      <c r="BDJ5" s="1185"/>
      <c r="BDK5" s="1185"/>
      <c r="BDL5" s="1185"/>
      <c r="BDM5" s="1185"/>
      <c r="BDN5" s="1185"/>
      <c r="BDO5" s="1185"/>
      <c r="BDP5" s="1185"/>
      <c r="BDQ5" s="1185"/>
      <c r="BDR5" s="1185"/>
      <c r="BDS5" s="1185"/>
      <c r="BDT5" s="1185"/>
      <c r="BDU5" s="1185"/>
      <c r="BDV5" s="1185"/>
      <c r="BDW5" s="1185"/>
      <c r="BDX5" s="1185"/>
      <c r="BDY5" s="1185"/>
      <c r="BDZ5" s="1185"/>
      <c r="BEA5" s="1185"/>
      <c r="BEB5" s="1185"/>
      <c r="BEC5" s="1185"/>
      <c r="BED5" s="1185"/>
      <c r="BEE5" s="1185"/>
      <c r="BEF5" s="1185"/>
      <c r="BEG5" s="1185"/>
      <c r="BEH5" s="1185"/>
      <c r="BEI5" s="1185"/>
      <c r="BEJ5" s="1185"/>
      <c r="BEK5" s="1185"/>
      <c r="BEL5" s="1185"/>
      <c r="BEM5" s="1185"/>
      <c r="BEN5" s="1185"/>
      <c r="BEO5" s="1185"/>
      <c r="BEP5" s="1185"/>
      <c r="BEQ5" s="1185"/>
      <c r="BER5" s="1185"/>
      <c r="BES5" s="1185"/>
      <c r="BET5" s="1185"/>
      <c r="BEU5" s="1185"/>
      <c r="BEV5" s="1185"/>
      <c r="BEW5" s="1185"/>
      <c r="BEX5" s="1185"/>
      <c r="BEY5" s="1185"/>
      <c r="BEZ5" s="1185"/>
      <c r="BFA5" s="1185"/>
      <c r="BFB5" s="1185"/>
      <c r="BFC5" s="1185"/>
      <c r="BFD5" s="1185"/>
      <c r="BFE5" s="1185"/>
      <c r="BFF5" s="1185"/>
      <c r="BFG5" s="1185"/>
      <c r="BFH5" s="1185"/>
      <c r="BFI5" s="1185"/>
      <c r="BFJ5" s="1185"/>
      <c r="BFK5" s="1185"/>
      <c r="BFL5" s="1185"/>
      <c r="BFM5" s="1185"/>
      <c r="BFN5" s="1185"/>
      <c r="BFO5" s="1185"/>
      <c r="BFP5" s="1185"/>
      <c r="BFQ5" s="1185"/>
      <c r="BFR5" s="1185"/>
      <c r="BFS5" s="1185"/>
      <c r="BFT5" s="1185"/>
      <c r="BFU5" s="1185"/>
      <c r="BFV5" s="1185"/>
      <c r="BFW5" s="1185"/>
      <c r="BFX5" s="1185"/>
      <c r="BFY5" s="1185"/>
      <c r="BFZ5" s="1185"/>
      <c r="BGA5" s="1185"/>
      <c r="BGB5" s="1185"/>
      <c r="BGC5" s="1185"/>
      <c r="BGD5" s="1185"/>
      <c r="BGE5" s="1185"/>
      <c r="BGF5" s="1185"/>
      <c r="BGG5" s="1185"/>
      <c r="BGH5" s="1185"/>
      <c r="BGI5" s="1185"/>
      <c r="BGJ5" s="1185"/>
      <c r="BGK5" s="1185"/>
      <c r="BGL5" s="1185"/>
      <c r="BGM5" s="1185"/>
      <c r="BGN5" s="1185"/>
      <c r="BGO5" s="1185"/>
      <c r="BGP5" s="1185"/>
      <c r="BGQ5" s="1185"/>
      <c r="BGR5" s="1185"/>
      <c r="BGS5" s="1185"/>
      <c r="BGT5" s="1185"/>
      <c r="BGU5" s="1185"/>
      <c r="BGV5" s="1185"/>
      <c r="BGW5" s="1185"/>
      <c r="BGX5" s="1185"/>
      <c r="BGY5" s="1185"/>
      <c r="BGZ5" s="1185"/>
      <c r="BHA5" s="1185"/>
      <c r="BHB5" s="1185"/>
      <c r="BHC5" s="1185"/>
      <c r="BHD5" s="1185"/>
      <c r="BHE5" s="1185"/>
      <c r="BHF5" s="1185"/>
      <c r="BHG5" s="1185"/>
      <c r="BHH5" s="1185"/>
      <c r="BHI5" s="1185"/>
      <c r="BHJ5" s="1185"/>
      <c r="BHK5" s="1185"/>
      <c r="BHL5" s="1185"/>
      <c r="BHM5" s="1185"/>
      <c r="BHN5" s="1185"/>
      <c r="BHO5" s="1185"/>
      <c r="BHP5" s="1185"/>
      <c r="BHQ5" s="1185"/>
      <c r="BHR5" s="1185"/>
      <c r="BHS5" s="1185"/>
      <c r="BHT5" s="1185"/>
      <c r="BHU5" s="1185"/>
      <c r="BHV5" s="1185"/>
      <c r="BHW5" s="1185"/>
      <c r="BHX5" s="1185"/>
      <c r="BHY5" s="1185"/>
      <c r="BHZ5" s="1185"/>
      <c r="BIA5" s="1185"/>
      <c r="BIB5" s="1185"/>
      <c r="BIC5" s="1185"/>
      <c r="BID5" s="1185"/>
      <c r="BIE5" s="1185"/>
      <c r="BIF5" s="1185"/>
      <c r="BIG5" s="1185"/>
      <c r="BIH5" s="1185"/>
      <c r="BII5" s="1185"/>
      <c r="BIJ5" s="1185"/>
      <c r="BIK5" s="1185"/>
      <c r="BIL5" s="1185"/>
      <c r="BIM5" s="1185"/>
      <c r="BIN5" s="1185"/>
      <c r="BIO5" s="1185"/>
      <c r="BIP5" s="1185"/>
      <c r="BIQ5" s="1185"/>
      <c r="BIR5" s="1185"/>
      <c r="BIS5" s="1185"/>
      <c r="BIT5" s="1185"/>
      <c r="BIU5" s="1185"/>
      <c r="BIV5" s="1185"/>
      <c r="BIW5" s="1185"/>
      <c r="BIX5" s="1185"/>
      <c r="BIY5" s="1185"/>
      <c r="BIZ5" s="1185"/>
      <c r="BJA5" s="1185"/>
      <c r="BJB5" s="1185"/>
      <c r="BJC5" s="1185"/>
      <c r="BJD5" s="1185"/>
      <c r="BJE5" s="1185"/>
      <c r="BJF5" s="1185"/>
      <c r="BJG5" s="1185"/>
      <c r="BJH5" s="1185"/>
      <c r="BJI5" s="1185"/>
      <c r="BJJ5" s="1185"/>
      <c r="BJK5" s="1185"/>
      <c r="BJL5" s="1185"/>
      <c r="BJM5" s="1185"/>
      <c r="BJN5" s="1185"/>
      <c r="BJO5" s="1185"/>
      <c r="BJP5" s="1185"/>
      <c r="BJQ5" s="1185"/>
      <c r="BJR5" s="1185"/>
      <c r="BJS5" s="1185"/>
      <c r="BJT5" s="1185"/>
      <c r="BJU5" s="1185"/>
      <c r="BJV5" s="1185"/>
      <c r="BJW5" s="1185"/>
      <c r="BJX5" s="1185"/>
      <c r="BJY5" s="1185"/>
      <c r="BJZ5" s="1185"/>
      <c r="BKA5" s="1185"/>
      <c r="BKB5" s="1185"/>
      <c r="BKC5" s="1185"/>
      <c r="BKD5" s="1185"/>
      <c r="BKE5" s="1185"/>
      <c r="BKF5" s="1185"/>
      <c r="BKG5" s="1185"/>
      <c r="BKH5" s="1185"/>
      <c r="BKI5" s="1185"/>
      <c r="BKJ5" s="1185"/>
      <c r="BKK5" s="1185"/>
      <c r="BKL5" s="1185"/>
      <c r="BKM5" s="1185"/>
      <c r="BKN5" s="1185"/>
      <c r="BKO5" s="1185"/>
      <c r="BKP5" s="1185"/>
      <c r="BKQ5" s="1185"/>
      <c r="BKR5" s="1185"/>
      <c r="BKS5" s="1185"/>
      <c r="BKT5" s="1185"/>
      <c r="BKU5" s="1185"/>
      <c r="BKV5" s="1185"/>
      <c r="BKW5" s="1185"/>
      <c r="BKX5" s="1185"/>
      <c r="BKY5" s="1185"/>
      <c r="BKZ5" s="1185"/>
      <c r="BLA5" s="1185"/>
      <c r="BLB5" s="1185"/>
      <c r="BLC5" s="1185"/>
      <c r="BLD5" s="1185"/>
      <c r="BLE5" s="1185"/>
      <c r="BLF5" s="1185"/>
      <c r="BLG5" s="1185"/>
      <c r="BLH5" s="1185"/>
      <c r="BLI5" s="1185"/>
      <c r="BLJ5" s="1185"/>
      <c r="BLK5" s="1185"/>
      <c r="BLL5" s="1185"/>
      <c r="BLM5" s="1185"/>
      <c r="BLN5" s="1185"/>
      <c r="BLO5" s="1185"/>
      <c r="BLP5" s="1185"/>
      <c r="BLQ5" s="1185"/>
      <c r="BLR5" s="1185"/>
      <c r="BLS5" s="1185"/>
      <c r="BLT5" s="1185"/>
      <c r="BLU5" s="1185"/>
      <c r="BLV5" s="1185"/>
      <c r="BLW5" s="1185"/>
      <c r="BLX5" s="1185"/>
      <c r="BLY5" s="1185"/>
      <c r="BLZ5" s="1185"/>
      <c r="BMA5" s="1185"/>
      <c r="BMB5" s="1185"/>
      <c r="BMC5" s="1185"/>
      <c r="BMD5" s="1185"/>
      <c r="BME5" s="1185"/>
      <c r="BMF5" s="1185"/>
      <c r="BMG5" s="1185"/>
      <c r="BMH5" s="1185"/>
      <c r="BMI5" s="1185"/>
      <c r="BMJ5" s="1185"/>
      <c r="BMK5" s="1185"/>
      <c r="BML5" s="1185"/>
      <c r="BMM5" s="1185"/>
      <c r="BMN5" s="1185"/>
      <c r="BMO5" s="1185"/>
      <c r="BMP5" s="1185"/>
      <c r="BMQ5" s="1185"/>
      <c r="BMR5" s="1185"/>
      <c r="BMS5" s="1185"/>
      <c r="BMT5" s="1185"/>
      <c r="BMU5" s="1185"/>
      <c r="BMV5" s="1185"/>
      <c r="BMW5" s="1185"/>
      <c r="BMX5" s="1185"/>
      <c r="BMY5" s="1185"/>
      <c r="BMZ5" s="1185"/>
      <c r="BNA5" s="1185"/>
      <c r="BNB5" s="1185"/>
      <c r="BNC5" s="1185"/>
      <c r="BND5" s="1185"/>
      <c r="BNE5" s="1185"/>
      <c r="BNF5" s="1185"/>
      <c r="BNG5" s="1185"/>
      <c r="BNH5" s="1185"/>
      <c r="BNI5" s="1185"/>
      <c r="BNJ5" s="1185"/>
      <c r="BNK5" s="1185"/>
      <c r="BNL5" s="1185"/>
      <c r="BNM5" s="1185"/>
      <c r="BNN5" s="1185"/>
      <c r="BNO5" s="1185"/>
      <c r="BNP5" s="1185"/>
      <c r="BNQ5" s="1185"/>
      <c r="BNR5" s="1185"/>
      <c r="BNS5" s="1185"/>
      <c r="BNT5" s="1185"/>
      <c r="BNU5" s="1185"/>
      <c r="BNV5" s="1185"/>
      <c r="BNW5" s="1185"/>
      <c r="BNX5" s="1185"/>
      <c r="BNY5" s="1185"/>
      <c r="BNZ5" s="1185"/>
      <c r="BOA5" s="1185"/>
      <c r="BOB5" s="1185"/>
      <c r="BOC5" s="1185"/>
      <c r="BOD5" s="1185"/>
      <c r="BOE5" s="1185"/>
      <c r="BOF5" s="1185"/>
      <c r="BOG5" s="1185"/>
      <c r="BOH5" s="1185"/>
      <c r="BOI5" s="1185"/>
      <c r="BOJ5" s="1185"/>
      <c r="BOK5" s="1185"/>
      <c r="BOL5" s="1185"/>
      <c r="BOM5" s="1185"/>
      <c r="BON5" s="1185"/>
      <c r="BOO5" s="1185"/>
      <c r="BOP5" s="1185"/>
      <c r="BOQ5" s="1185"/>
      <c r="BOR5" s="1185"/>
      <c r="BOS5" s="1185"/>
      <c r="BOT5" s="1185"/>
      <c r="BOU5" s="1185"/>
      <c r="BOV5" s="1185"/>
      <c r="BOW5" s="1185"/>
      <c r="BOX5" s="1185"/>
      <c r="BOY5" s="1185"/>
      <c r="BOZ5" s="1185"/>
      <c r="BPA5" s="1185"/>
      <c r="BPB5" s="1185"/>
      <c r="BPC5" s="1185"/>
      <c r="BPD5" s="1185"/>
      <c r="BPE5" s="1185"/>
      <c r="BPF5" s="1185"/>
      <c r="BPG5" s="1185"/>
      <c r="BPH5" s="1185"/>
      <c r="BPI5" s="1185"/>
      <c r="BPJ5" s="1185"/>
      <c r="BPK5" s="1185"/>
      <c r="BPL5" s="1185"/>
      <c r="BPM5" s="1185"/>
      <c r="BPN5" s="1185"/>
      <c r="BPO5" s="1185"/>
      <c r="BPP5" s="1185"/>
      <c r="BPQ5" s="1185"/>
      <c r="BPR5" s="1185"/>
      <c r="BPS5" s="1185"/>
      <c r="BPT5" s="1185"/>
      <c r="BPU5" s="1185"/>
      <c r="BPV5" s="1185"/>
      <c r="BPW5" s="1185"/>
      <c r="BPX5" s="1185"/>
      <c r="BPY5" s="1185"/>
      <c r="BPZ5" s="1185"/>
      <c r="BQA5" s="1185"/>
      <c r="BQB5" s="1185"/>
      <c r="BQC5" s="1185"/>
      <c r="BQD5" s="1185"/>
      <c r="BQE5" s="1185"/>
      <c r="BQF5" s="1185"/>
      <c r="BQG5" s="1185"/>
      <c r="BQH5" s="1185"/>
      <c r="BQI5" s="1185"/>
      <c r="BQJ5" s="1185"/>
      <c r="BQK5" s="1185"/>
      <c r="BQL5" s="1185"/>
      <c r="BQM5" s="1185"/>
      <c r="BQN5" s="1185"/>
      <c r="BQO5" s="1185"/>
      <c r="BQP5" s="1185"/>
      <c r="BQQ5" s="1185"/>
      <c r="BQR5" s="1185"/>
      <c r="BQS5" s="1185"/>
      <c r="BQT5" s="1185"/>
      <c r="BQU5" s="1185"/>
      <c r="BQV5" s="1185"/>
      <c r="BQW5" s="1185"/>
      <c r="BQX5" s="1185"/>
      <c r="BQY5" s="1185"/>
      <c r="BQZ5" s="1185"/>
      <c r="BRA5" s="1185"/>
      <c r="BRB5" s="1185"/>
      <c r="BRC5" s="1185"/>
      <c r="BRD5" s="1185"/>
      <c r="BRE5" s="1185"/>
      <c r="BRF5" s="1185"/>
      <c r="BRG5" s="1185"/>
      <c r="BRH5" s="1185"/>
      <c r="BRI5" s="1185"/>
      <c r="BRJ5" s="1185"/>
      <c r="BRK5" s="1185"/>
      <c r="BRL5" s="1185"/>
      <c r="BRM5" s="1185"/>
      <c r="BRN5" s="1185"/>
      <c r="BRO5" s="1185"/>
      <c r="BRP5" s="1185"/>
      <c r="BRQ5" s="1185"/>
      <c r="BRR5" s="1185"/>
      <c r="BRS5" s="1185"/>
      <c r="BRT5" s="1185"/>
      <c r="BRU5" s="1185"/>
      <c r="BRV5" s="1185"/>
      <c r="BRW5" s="1185"/>
      <c r="BRX5" s="1185"/>
      <c r="BRY5" s="1185"/>
      <c r="BRZ5" s="1185"/>
      <c r="BSA5" s="1185"/>
      <c r="BSB5" s="1185"/>
      <c r="BSC5" s="1185"/>
      <c r="BSD5" s="1185"/>
      <c r="BSE5" s="1185"/>
      <c r="BSF5" s="1185"/>
      <c r="BSG5" s="1185"/>
      <c r="BSH5" s="1185"/>
      <c r="BSI5" s="1185"/>
      <c r="BSJ5" s="1185"/>
      <c r="BSK5" s="1185"/>
      <c r="BSL5" s="1185"/>
      <c r="BSM5" s="1185"/>
      <c r="BSN5" s="1185"/>
      <c r="BSO5" s="1185"/>
      <c r="BSP5" s="1185"/>
      <c r="BSQ5" s="1185"/>
      <c r="BSR5" s="1185"/>
      <c r="BSS5" s="1185"/>
      <c r="BST5" s="1185"/>
      <c r="BSU5" s="1185"/>
      <c r="BSV5" s="1185"/>
      <c r="BSW5" s="1185"/>
      <c r="BSX5" s="1185"/>
      <c r="BSY5" s="1185"/>
      <c r="BSZ5" s="1185"/>
      <c r="BTA5" s="1185"/>
      <c r="BTB5" s="1185"/>
      <c r="BTC5" s="1185"/>
      <c r="BTD5" s="1185"/>
      <c r="BTE5" s="1185"/>
      <c r="BTF5" s="1185"/>
      <c r="BTG5" s="1185"/>
      <c r="BTH5" s="1185"/>
      <c r="BTI5" s="1185"/>
      <c r="BTJ5" s="1185"/>
      <c r="BTK5" s="1185"/>
      <c r="BTL5" s="1185"/>
      <c r="BTM5" s="1185"/>
      <c r="BTN5" s="1185"/>
      <c r="BTO5" s="1185"/>
      <c r="BTP5" s="1185"/>
      <c r="BTQ5" s="1185"/>
      <c r="BTR5" s="1185"/>
      <c r="BTS5" s="1185"/>
      <c r="BTT5" s="1185"/>
      <c r="BTU5" s="1185"/>
      <c r="BTV5" s="1185"/>
      <c r="BTW5" s="1185"/>
      <c r="BTX5" s="1185"/>
      <c r="BTY5" s="1185"/>
      <c r="BTZ5" s="1185"/>
      <c r="BUA5" s="1185"/>
      <c r="BUB5" s="1185"/>
      <c r="BUC5" s="1185"/>
      <c r="BUD5" s="1185"/>
      <c r="BUE5" s="1185"/>
      <c r="BUF5" s="1185"/>
      <c r="BUG5" s="1185"/>
      <c r="BUH5" s="1185"/>
      <c r="BUI5" s="1185"/>
      <c r="BUJ5" s="1185"/>
      <c r="BUK5" s="1185"/>
      <c r="BUL5" s="1185"/>
      <c r="BUM5" s="1185"/>
      <c r="BUN5" s="1185"/>
      <c r="BUO5" s="1185"/>
      <c r="BUP5" s="1185"/>
      <c r="BUQ5" s="1185"/>
      <c r="BUR5" s="1185"/>
      <c r="BUS5" s="1185"/>
      <c r="BUT5" s="1185"/>
      <c r="BUU5" s="1185"/>
      <c r="BUV5" s="1185"/>
      <c r="BUW5" s="1185"/>
      <c r="BUX5" s="1185"/>
      <c r="BUY5" s="1185"/>
      <c r="BUZ5" s="1185"/>
      <c r="BVA5" s="1185"/>
      <c r="BVB5" s="1185"/>
      <c r="BVC5" s="1185"/>
      <c r="BVD5" s="1185"/>
      <c r="BVE5" s="1185"/>
      <c r="BVF5" s="1185"/>
      <c r="BVG5" s="1185"/>
      <c r="BVH5" s="1185"/>
      <c r="BVI5" s="1185"/>
      <c r="BVJ5" s="1185"/>
      <c r="BVK5" s="1185"/>
      <c r="BVL5" s="1185"/>
      <c r="BVM5" s="1185"/>
      <c r="BVN5" s="1185"/>
      <c r="BVO5" s="1185"/>
      <c r="BVP5" s="1185"/>
      <c r="BVQ5" s="1185"/>
      <c r="BVR5" s="1185"/>
      <c r="BVS5" s="1185"/>
      <c r="BVT5" s="1185"/>
      <c r="BVU5" s="1185"/>
      <c r="BVV5" s="1185"/>
      <c r="BVW5" s="1185"/>
      <c r="BVX5" s="1185"/>
      <c r="BVY5" s="1185"/>
      <c r="BVZ5" s="1185"/>
      <c r="BWA5" s="1185"/>
      <c r="BWB5" s="1185"/>
      <c r="BWC5" s="1185"/>
      <c r="BWD5" s="1185"/>
      <c r="BWE5" s="1185"/>
      <c r="BWF5" s="1185"/>
      <c r="BWG5" s="1185"/>
      <c r="BWH5" s="1185"/>
      <c r="BWI5" s="1185"/>
      <c r="BWJ5" s="1185"/>
      <c r="BWK5" s="1185"/>
      <c r="BWL5" s="1185"/>
      <c r="BWM5" s="1185"/>
      <c r="BWN5" s="1185"/>
      <c r="BWO5" s="1185"/>
      <c r="BWP5" s="1185"/>
      <c r="BWQ5" s="1185"/>
      <c r="BWR5" s="1185"/>
      <c r="BWS5" s="1185"/>
      <c r="BWT5" s="1185"/>
      <c r="BWU5" s="1185"/>
      <c r="BWV5" s="1185"/>
      <c r="BWW5" s="1185"/>
      <c r="BWX5" s="1185"/>
      <c r="BWY5" s="1185"/>
      <c r="BWZ5" s="1185"/>
      <c r="BXA5" s="1185"/>
      <c r="BXB5" s="1185"/>
      <c r="BXC5" s="1185"/>
      <c r="BXD5" s="1185"/>
      <c r="BXE5" s="1185"/>
      <c r="BXF5" s="1185"/>
      <c r="BXG5" s="1185"/>
      <c r="BXH5" s="1185"/>
      <c r="BXI5" s="1185"/>
      <c r="BXJ5" s="1185"/>
      <c r="BXK5" s="1185"/>
      <c r="BXL5" s="1185"/>
      <c r="BXM5" s="1185"/>
      <c r="BXN5" s="1185"/>
      <c r="BXO5" s="1185"/>
      <c r="BXP5" s="1185"/>
      <c r="BXQ5" s="1185"/>
      <c r="BXR5" s="1185"/>
      <c r="BXS5" s="1185"/>
      <c r="BXT5" s="1185"/>
      <c r="BXU5" s="1185"/>
      <c r="BXV5" s="1185"/>
      <c r="BXW5" s="1185"/>
      <c r="BXX5" s="1185"/>
      <c r="BXY5" s="1185"/>
      <c r="BXZ5" s="1185"/>
      <c r="BYA5" s="1185"/>
      <c r="BYB5" s="1185"/>
      <c r="BYC5" s="1185"/>
      <c r="BYD5" s="1185"/>
      <c r="BYE5" s="1185"/>
      <c r="BYF5" s="1185"/>
      <c r="BYG5" s="1185"/>
      <c r="BYH5" s="1185"/>
      <c r="BYI5" s="1185"/>
      <c r="BYJ5" s="1185"/>
      <c r="BYK5" s="1185"/>
      <c r="BYL5" s="1185"/>
      <c r="BYM5" s="1185"/>
      <c r="BYN5" s="1185"/>
      <c r="BYO5" s="1185"/>
      <c r="BYP5" s="1185"/>
      <c r="BYQ5" s="1185"/>
      <c r="BYR5" s="1185"/>
      <c r="BYS5" s="1185"/>
      <c r="BYT5" s="1185"/>
      <c r="BYU5" s="1185"/>
      <c r="BYV5" s="1185"/>
      <c r="BYW5" s="1185"/>
      <c r="BYX5" s="1185"/>
      <c r="BYY5" s="1185"/>
      <c r="BYZ5" s="1185"/>
      <c r="BZA5" s="1185"/>
      <c r="BZB5" s="1185"/>
      <c r="BZC5" s="1185"/>
      <c r="BZD5" s="1185"/>
      <c r="BZE5" s="1185"/>
      <c r="BZF5" s="1185"/>
      <c r="BZG5" s="1185"/>
      <c r="BZH5" s="1185"/>
      <c r="BZI5" s="1185"/>
      <c r="BZJ5" s="1185"/>
      <c r="BZK5" s="1185"/>
      <c r="BZL5" s="1185"/>
      <c r="BZM5" s="1185"/>
      <c r="BZN5" s="1185"/>
      <c r="BZO5" s="1185"/>
      <c r="BZP5" s="1185"/>
      <c r="BZQ5" s="1185"/>
      <c r="BZR5" s="1185"/>
      <c r="BZS5" s="1185"/>
      <c r="BZT5" s="1185"/>
      <c r="BZU5" s="1185"/>
      <c r="BZV5" s="1185"/>
      <c r="BZW5" s="1185"/>
      <c r="BZX5" s="1185"/>
      <c r="BZY5" s="1185"/>
      <c r="BZZ5" s="1185"/>
      <c r="CAA5" s="1185"/>
      <c r="CAB5" s="1185"/>
      <c r="CAC5" s="1185"/>
      <c r="CAD5" s="1185"/>
      <c r="CAE5" s="1185"/>
      <c r="CAF5" s="1185"/>
      <c r="CAG5" s="1185"/>
      <c r="CAH5" s="1185"/>
      <c r="CAI5" s="1185"/>
      <c r="CAJ5" s="1185"/>
      <c r="CAK5" s="1185"/>
      <c r="CAL5" s="1185"/>
      <c r="CAM5" s="1185"/>
      <c r="CAN5" s="1185"/>
      <c r="CAO5" s="1185"/>
      <c r="CAP5" s="1185"/>
      <c r="CAQ5" s="1185"/>
      <c r="CAR5" s="1185"/>
      <c r="CAS5" s="1185"/>
      <c r="CAT5" s="1185"/>
      <c r="CAU5" s="1185"/>
      <c r="CAV5" s="1185"/>
      <c r="CAW5" s="1185"/>
      <c r="CAX5" s="1185"/>
      <c r="CAY5" s="1185"/>
      <c r="CAZ5" s="1185"/>
      <c r="CBA5" s="1185"/>
      <c r="CBB5" s="1185"/>
      <c r="CBC5" s="1185"/>
      <c r="CBD5" s="1185"/>
      <c r="CBE5" s="1185"/>
      <c r="CBF5" s="1185"/>
      <c r="CBG5" s="1185"/>
      <c r="CBH5" s="1185"/>
      <c r="CBI5" s="1185"/>
      <c r="CBJ5" s="1185"/>
      <c r="CBK5" s="1185"/>
      <c r="CBL5" s="1185"/>
      <c r="CBM5" s="1185"/>
      <c r="CBN5" s="1185"/>
      <c r="CBO5" s="1185"/>
      <c r="CBP5" s="1185"/>
      <c r="CBQ5" s="1185"/>
      <c r="CBR5" s="1185"/>
      <c r="CBS5" s="1185"/>
      <c r="CBT5" s="1185"/>
      <c r="CBU5" s="1185"/>
      <c r="CBV5" s="1185"/>
      <c r="CBW5" s="1185"/>
      <c r="CBX5" s="1185"/>
      <c r="CBY5" s="1185"/>
      <c r="CBZ5" s="1185"/>
      <c r="CCA5" s="1185"/>
      <c r="CCB5" s="1185"/>
      <c r="CCC5" s="1185"/>
      <c r="CCD5" s="1185"/>
      <c r="CCE5" s="1185"/>
      <c r="CCF5" s="1185"/>
      <c r="CCG5" s="1185"/>
      <c r="CCH5" s="1185"/>
      <c r="CCI5" s="1185"/>
      <c r="CCJ5" s="1185"/>
      <c r="CCK5" s="1185"/>
      <c r="CCL5" s="1185"/>
      <c r="CCM5" s="1185"/>
      <c r="CCN5" s="1185"/>
      <c r="CCO5" s="1185"/>
      <c r="CCP5" s="1185"/>
      <c r="CCQ5" s="1185"/>
      <c r="CCR5" s="1185"/>
      <c r="CCS5" s="1185"/>
      <c r="CCT5" s="1185"/>
      <c r="CCU5" s="1185"/>
      <c r="CCV5" s="1185"/>
      <c r="CCW5" s="1185"/>
      <c r="CCX5" s="1185"/>
      <c r="CCY5" s="1185"/>
      <c r="CCZ5" s="1185"/>
      <c r="CDA5" s="1185"/>
      <c r="CDB5" s="1185"/>
      <c r="CDC5" s="1185"/>
      <c r="CDD5" s="1185"/>
      <c r="CDE5" s="1185"/>
      <c r="CDF5" s="1185"/>
      <c r="CDG5" s="1185"/>
      <c r="CDH5" s="1185"/>
      <c r="CDI5" s="1185"/>
      <c r="CDJ5" s="1185"/>
      <c r="CDK5" s="1185"/>
      <c r="CDL5" s="1185"/>
      <c r="CDM5" s="1185"/>
      <c r="CDN5" s="1185"/>
      <c r="CDO5" s="1185"/>
      <c r="CDP5" s="1185"/>
      <c r="CDQ5" s="1185"/>
      <c r="CDR5" s="1185"/>
      <c r="CDS5" s="1185"/>
      <c r="CDT5" s="1185"/>
      <c r="CDU5" s="1185"/>
      <c r="CDV5" s="1185"/>
      <c r="CDW5" s="1185"/>
      <c r="CDX5" s="1185"/>
      <c r="CDY5" s="1185"/>
      <c r="CDZ5" s="1185"/>
      <c r="CEA5" s="1185"/>
      <c r="CEB5" s="1185"/>
      <c r="CEC5" s="1185"/>
      <c r="CED5" s="1185"/>
      <c r="CEE5" s="1185"/>
      <c r="CEF5" s="1185"/>
      <c r="CEG5" s="1185"/>
      <c r="CEH5" s="1185"/>
      <c r="CEI5" s="1185"/>
      <c r="CEJ5" s="1185"/>
      <c r="CEK5" s="1185"/>
      <c r="CEL5" s="1185"/>
      <c r="CEM5" s="1185"/>
      <c r="CEN5" s="1185"/>
      <c r="CEO5" s="1185"/>
      <c r="CEP5" s="1185"/>
      <c r="CEQ5" s="1185"/>
      <c r="CER5" s="1185"/>
      <c r="CES5" s="1185"/>
      <c r="CET5" s="1185"/>
      <c r="CEU5" s="1185"/>
      <c r="CEV5" s="1185"/>
      <c r="CEW5" s="1185"/>
      <c r="CEX5" s="1185"/>
      <c r="CEY5" s="1185"/>
      <c r="CEZ5" s="1185"/>
      <c r="CFA5" s="1185"/>
      <c r="CFB5" s="1185"/>
      <c r="CFC5" s="1185"/>
      <c r="CFD5" s="1185"/>
      <c r="CFE5" s="1185"/>
      <c r="CFF5" s="1185"/>
      <c r="CFG5" s="1185"/>
      <c r="CFH5" s="1185"/>
      <c r="CFI5" s="1185"/>
      <c r="CFJ5" s="1185"/>
      <c r="CFK5" s="1185"/>
      <c r="CFL5" s="1185"/>
      <c r="CFM5" s="1185"/>
      <c r="CFN5" s="1185"/>
      <c r="CFO5" s="1185"/>
      <c r="CFP5" s="1185"/>
      <c r="CFQ5" s="1185"/>
      <c r="CFR5" s="1185"/>
      <c r="CFS5" s="1185"/>
      <c r="CFT5" s="1185"/>
      <c r="CFU5" s="1185"/>
      <c r="CFV5" s="1185"/>
      <c r="CFW5" s="1185"/>
      <c r="CFX5" s="1185"/>
      <c r="CFY5" s="1185"/>
      <c r="CFZ5" s="1185"/>
      <c r="CGA5" s="1185"/>
      <c r="CGB5" s="1185"/>
      <c r="CGC5" s="1185"/>
      <c r="CGD5" s="1185"/>
      <c r="CGE5" s="1185"/>
      <c r="CGF5" s="1185"/>
      <c r="CGG5" s="1185"/>
      <c r="CGH5" s="1185"/>
      <c r="CGI5" s="1185"/>
      <c r="CGJ5" s="1185"/>
      <c r="CGK5" s="1185"/>
      <c r="CGL5" s="1185"/>
      <c r="CGM5" s="1185"/>
      <c r="CGN5" s="1185"/>
      <c r="CGO5" s="1185"/>
      <c r="CGP5" s="1185"/>
      <c r="CGQ5" s="1185"/>
      <c r="CGR5" s="1185"/>
      <c r="CGS5" s="1185"/>
      <c r="CGT5" s="1185"/>
      <c r="CGU5" s="1185"/>
      <c r="CGV5" s="1185"/>
      <c r="CGW5" s="1185"/>
      <c r="CGX5" s="1185"/>
      <c r="CGY5" s="1185"/>
      <c r="CGZ5" s="1185"/>
      <c r="CHA5" s="1185"/>
      <c r="CHB5" s="1185"/>
      <c r="CHC5" s="1185"/>
      <c r="CHD5" s="1185"/>
      <c r="CHE5" s="1185"/>
      <c r="CHF5" s="1185"/>
      <c r="CHG5" s="1185"/>
      <c r="CHH5" s="1185"/>
      <c r="CHI5" s="1185"/>
      <c r="CHJ5" s="1185"/>
      <c r="CHK5" s="1185"/>
      <c r="CHL5" s="1185"/>
      <c r="CHM5" s="1185"/>
      <c r="CHN5" s="1185"/>
      <c r="CHO5" s="1185"/>
      <c r="CHP5" s="1185"/>
      <c r="CHQ5" s="1185"/>
      <c r="CHR5" s="1185"/>
      <c r="CHS5" s="1185"/>
      <c r="CHT5" s="1185"/>
      <c r="CHU5" s="1185"/>
      <c r="CHV5" s="1185"/>
      <c r="CHW5" s="1185"/>
      <c r="CHX5" s="1185"/>
      <c r="CHY5" s="1185"/>
      <c r="CHZ5" s="1185"/>
      <c r="CIA5" s="1185"/>
      <c r="CIB5" s="1185"/>
      <c r="CIC5" s="1185"/>
      <c r="CID5" s="1185"/>
      <c r="CIE5" s="1185"/>
      <c r="CIF5" s="1185"/>
      <c r="CIG5" s="1185"/>
      <c r="CIH5" s="1185"/>
      <c r="CII5" s="1185"/>
      <c r="CIJ5" s="1185"/>
      <c r="CIK5" s="1185"/>
      <c r="CIL5" s="1185"/>
      <c r="CIM5" s="1185"/>
      <c r="CIN5" s="1185"/>
      <c r="CIO5" s="1185"/>
      <c r="CIP5" s="1185"/>
      <c r="CIQ5" s="1185"/>
      <c r="CIR5" s="1185"/>
      <c r="CIS5" s="1185"/>
      <c r="CIT5" s="1185"/>
      <c r="CIU5" s="1185"/>
      <c r="CIV5" s="1185"/>
      <c r="CIW5" s="1185"/>
      <c r="CIX5" s="1185"/>
      <c r="CIY5" s="1185"/>
      <c r="CIZ5" s="1185"/>
      <c r="CJA5" s="1185"/>
      <c r="CJB5" s="1185"/>
      <c r="CJC5" s="1185"/>
      <c r="CJD5" s="1185"/>
      <c r="CJE5" s="1185"/>
      <c r="CJF5" s="1185"/>
      <c r="CJG5" s="1185"/>
      <c r="CJH5" s="1185"/>
      <c r="CJI5" s="1185"/>
      <c r="CJJ5" s="1185"/>
      <c r="CJK5" s="1185"/>
      <c r="CJL5" s="1185"/>
      <c r="CJM5" s="1185"/>
      <c r="CJN5" s="1185"/>
      <c r="CJO5" s="1185"/>
      <c r="CJP5" s="1185"/>
      <c r="CJQ5" s="1185"/>
      <c r="CJR5" s="1185"/>
      <c r="CJS5" s="1185"/>
      <c r="CJT5" s="1185"/>
      <c r="CJU5" s="1185"/>
      <c r="CJV5" s="1185"/>
      <c r="CJW5" s="1185"/>
      <c r="CJX5" s="1185"/>
      <c r="CJY5" s="1185"/>
      <c r="CJZ5" s="1185"/>
      <c r="CKA5" s="1185"/>
      <c r="CKB5" s="1185"/>
      <c r="CKC5" s="1185"/>
      <c r="CKD5" s="1185"/>
      <c r="CKE5" s="1185"/>
      <c r="CKF5" s="1185"/>
      <c r="CKG5" s="1185"/>
      <c r="CKH5" s="1185"/>
      <c r="CKI5" s="1185"/>
      <c r="CKJ5" s="1185"/>
      <c r="CKK5" s="1185"/>
      <c r="CKL5" s="1185"/>
      <c r="CKM5" s="1185"/>
      <c r="CKN5" s="1185"/>
      <c r="CKO5" s="1185"/>
      <c r="CKP5" s="1185"/>
      <c r="CKQ5" s="1185"/>
      <c r="CKR5" s="1185"/>
      <c r="CKS5" s="1185"/>
      <c r="CKT5" s="1185"/>
      <c r="CKU5" s="1185"/>
      <c r="CKV5" s="1185"/>
      <c r="CKW5" s="1185"/>
      <c r="CKX5" s="1185"/>
      <c r="CKY5" s="1185"/>
      <c r="CKZ5" s="1185"/>
      <c r="CLA5" s="1185"/>
      <c r="CLB5" s="1185"/>
      <c r="CLC5" s="1185"/>
      <c r="CLD5" s="1185"/>
      <c r="CLE5" s="1185"/>
      <c r="CLF5" s="1185"/>
      <c r="CLG5" s="1185"/>
      <c r="CLH5" s="1185"/>
      <c r="CLI5" s="1185"/>
      <c r="CLJ5" s="1185"/>
      <c r="CLK5" s="1185"/>
      <c r="CLL5" s="1185"/>
      <c r="CLM5" s="1185"/>
      <c r="CLN5" s="1185"/>
      <c r="CLO5" s="1185"/>
      <c r="CLP5" s="1185"/>
      <c r="CLQ5" s="1185"/>
      <c r="CLR5" s="1185"/>
      <c r="CLS5" s="1185"/>
      <c r="CLT5" s="1185"/>
      <c r="CLU5" s="1185"/>
      <c r="CLV5" s="1185"/>
      <c r="CLW5" s="1185"/>
      <c r="CLX5" s="1185"/>
      <c r="CLY5" s="1185"/>
      <c r="CLZ5" s="1185"/>
      <c r="CMA5" s="1185"/>
      <c r="CMB5" s="1185"/>
      <c r="CMC5" s="1185"/>
      <c r="CMD5" s="1185"/>
      <c r="CME5" s="1185"/>
      <c r="CMF5" s="1185"/>
      <c r="CMG5" s="1185"/>
      <c r="CMH5" s="1185"/>
      <c r="CMI5" s="1185"/>
      <c r="CMJ5" s="1185"/>
      <c r="CMK5" s="1185"/>
      <c r="CML5" s="1185"/>
      <c r="CMM5" s="1185"/>
      <c r="CMN5" s="1185"/>
      <c r="CMO5" s="1185"/>
      <c r="CMP5" s="1185"/>
      <c r="CMQ5" s="1185"/>
      <c r="CMR5" s="1185"/>
      <c r="CMS5" s="1185"/>
      <c r="CMT5" s="1185"/>
      <c r="CMU5" s="1185"/>
      <c r="CMV5" s="1185"/>
      <c r="CMW5" s="1185"/>
      <c r="CMX5" s="1185"/>
      <c r="CMY5" s="1185"/>
      <c r="CMZ5" s="1185"/>
      <c r="CNA5" s="1185"/>
      <c r="CNB5" s="1185"/>
      <c r="CNC5" s="1185"/>
      <c r="CND5" s="1185"/>
      <c r="CNE5" s="1185"/>
      <c r="CNF5" s="1185"/>
      <c r="CNG5" s="1185"/>
      <c r="CNH5" s="1185"/>
      <c r="CNI5" s="1185"/>
      <c r="CNJ5" s="1185"/>
      <c r="CNK5" s="1185"/>
      <c r="CNL5" s="1185"/>
      <c r="CNM5" s="1185"/>
      <c r="CNN5" s="1185"/>
      <c r="CNO5" s="1185"/>
      <c r="CNP5" s="1185"/>
      <c r="CNQ5" s="1185"/>
      <c r="CNR5" s="1185"/>
      <c r="CNS5" s="1185"/>
      <c r="CNT5" s="1185"/>
      <c r="CNU5" s="1185"/>
      <c r="CNV5" s="1185"/>
      <c r="CNW5" s="1185"/>
      <c r="CNX5" s="1185"/>
      <c r="CNY5" s="1185"/>
      <c r="CNZ5" s="1185"/>
      <c r="COA5" s="1185"/>
      <c r="COB5" s="1185"/>
      <c r="COC5" s="1185"/>
      <c r="COD5" s="1185"/>
      <c r="COE5" s="1185"/>
      <c r="COF5" s="1185"/>
      <c r="COG5" s="1185"/>
      <c r="COH5" s="1185"/>
      <c r="COI5" s="1185"/>
      <c r="COJ5" s="1185"/>
      <c r="COK5" s="1185"/>
      <c r="COL5" s="1185"/>
      <c r="COM5" s="1185"/>
      <c r="CON5" s="1185"/>
      <c r="COO5" s="1185"/>
      <c r="COP5" s="1185"/>
      <c r="COQ5" s="1185"/>
      <c r="COR5" s="1185"/>
      <c r="COS5" s="1185"/>
      <c r="COT5" s="1185"/>
      <c r="COU5" s="1185"/>
      <c r="COV5" s="1185"/>
      <c r="COW5" s="1185"/>
      <c r="COX5" s="1185"/>
      <c r="COY5" s="1185"/>
      <c r="COZ5" s="1185"/>
      <c r="CPA5" s="1185"/>
      <c r="CPB5" s="1185"/>
      <c r="CPC5" s="1185"/>
      <c r="CPD5" s="1185"/>
      <c r="CPE5" s="1185"/>
      <c r="CPF5" s="1185"/>
      <c r="CPG5" s="1185"/>
      <c r="CPH5" s="1185"/>
      <c r="CPI5" s="1185"/>
      <c r="CPJ5" s="1185"/>
      <c r="CPK5" s="1185"/>
      <c r="CPL5" s="1185"/>
      <c r="CPM5" s="1185"/>
      <c r="CPN5" s="1185"/>
      <c r="CPO5" s="1185"/>
      <c r="CPP5" s="1185"/>
      <c r="CPQ5" s="1185"/>
      <c r="CPR5" s="1185"/>
      <c r="CPS5" s="1185"/>
      <c r="CPT5" s="1185"/>
      <c r="CPU5" s="1185"/>
      <c r="CPV5" s="1185"/>
      <c r="CPW5" s="1185"/>
      <c r="CPX5" s="1185"/>
      <c r="CPY5" s="1185"/>
      <c r="CPZ5" s="1185"/>
      <c r="CQA5" s="1185"/>
      <c r="CQB5" s="1185"/>
      <c r="CQC5" s="1185"/>
      <c r="CQD5" s="1185"/>
      <c r="CQE5" s="1185"/>
      <c r="CQF5" s="1185"/>
      <c r="CQG5" s="1185"/>
      <c r="CQH5" s="1185"/>
      <c r="CQI5" s="1185"/>
      <c r="CQJ5" s="1185"/>
      <c r="CQK5" s="1185"/>
      <c r="CQL5" s="1185"/>
      <c r="CQM5" s="1185"/>
      <c r="CQN5" s="1185"/>
      <c r="CQO5" s="1185"/>
      <c r="CQP5" s="1185"/>
      <c r="CQQ5" s="1185"/>
      <c r="CQR5" s="1185"/>
      <c r="CQS5" s="1185"/>
      <c r="CQT5" s="1185"/>
      <c r="CQU5" s="1185"/>
      <c r="CQV5" s="1185"/>
      <c r="CQW5" s="1185"/>
      <c r="CQX5" s="1185"/>
      <c r="CQY5" s="1185"/>
      <c r="CQZ5" s="1185"/>
      <c r="CRA5" s="1185"/>
      <c r="CRB5" s="1185"/>
      <c r="CRC5" s="1185"/>
      <c r="CRD5" s="1185"/>
      <c r="CRE5" s="1185"/>
      <c r="CRF5" s="1185"/>
      <c r="CRG5" s="1185"/>
      <c r="CRH5" s="1185"/>
      <c r="CRI5" s="1185"/>
      <c r="CRJ5" s="1185"/>
      <c r="CRK5" s="1185"/>
      <c r="CRL5" s="1185"/>
      <c r="CRM5" s="1185"/>
      <c r="CRN5" s="1185"/>
      <c r="CRO5" s="1185"/>
      <c r="CRP5" s="1185"/>
      <c r="CRQ5" s="1185"/>
      <c r="CRR5" s="1185"/>
      <c r="CRS5" s="1185"/>
      <c r="CRT5" s="1185"/>
      <c r="CRU5" s="1185"/>
      <c r="CRV5" s="1185"/>
      <c r="CRW5" s="1185"/>
      <c r="CRX5" s="1185"/>
      <c r="CRY5" s="1185"/>
      <c r="CRZ5" s="1185"/>
      <c r="CSA5" s="1185"/>
      <c r="CSB5" s="1185"/>
      <c r="CSC5" s="1185"/>
      <c r="CSD5" s="1185"/>
      <c r="CSE5" s="1185"/>
      <c r="CSF5" s="1185"/>
      <c r="CSG5" s="1185"/>
      <c r="CSH5" s="1185"/>
      <c r="CSI5" s="1185"/>
      <c r="CSJ5" s="1185"/>
      <c r="CSK5" s="1185"/>
      <c r="CSL5" s="1185"/>
      <c r="CSM5" s="1185"/>
      <c r="CSN5" s="1185"/>
      <c r="CSO5" s="1185"/>
      <c r="CSP5" s="1185"/>
      <c r="CSQ5" s="1185"/>
      <c r="CSR5" s="1185"/>
      <c r="CSS5" s="1185"/>
      <c r="CST5" s="1185"/>
      <c r="CSU5" s="1185"/>
      <c r="CSV5" s="1185"/>
      <c r="CSW5" s="1185"/>
      <c r="CSX5" s="1185"/>
      <c r="CSY5" s="1185"/>
      <c r="CSZ5" s="1185"/>
      <c r="CTA5" s="1185"/>
      <c r="CTB5" s="1185"/>
      <c r="CTC5" s="1185"/>
      <c r="CTD5" s="1185"/>
      <c r="CTE5" s="1185"/>
      <c r="CTF5" s="1185"/>
      <c r="CTG5" s="1185"/>
      <c r="CTH5" s="1185"/>
      <c r="CTI5" s="1185"/>
      <c r="CTJ5" s="1185"/>
      <c r="CTK5" s="1185"/>
      <c r="CTL5" s="1185"/>
      <c r="CTM5" s="1185"/>
      <c r="CTN5" s="1185"/>
      <c r="CTO5" s="1185"/>
      <c r="CTP5" s="1185"/>
      <c r="CTQ5" s="1185"/>
      <c r="CTR5" s="1185"/>
      <c r="CTS5" s="1185"/>
      <c r="CTT5" s="1185"/>
      <c r="CTU5" s="1185"/>
      <c r="CTV5" s="1185"/>
      <c r="CTW5" s="1185"/>
      <c r="CTX5" s="1185"/>
      <c r="CTY5" s="1185"/>
      <c r="CTZ5" s="1185"/>
      <c r="CUA5" s="1185"/>
      <c r="CUB5" s="1185"/>
      <c r="CUC5" s="1185"/>
      <c r="CUD5" s="1185"/>
      <c r="CUE5" s="1185"/>
      <c r="CUF5" s="1185"/>
      <c r="CUG5" s="1185"/>
      <c r="CUH5" s="1185"/>
      <c r="CUI5" s="1185"/>
      <c r="CUJ5" s="1185"/>
      <c r="CUK5" s="1185"/>
      <c r="CUL5" s="1185"/>
      <c r="CUM5" s="1185"/>
      <c r="CUN5" s="1185"/>
      <c r="CUO5" s="1185"/>
      <c r="CUP5" s="1185"/>
      <c r="CUQ5" s="1185"/>
      <c r="CUR5" s="1185"/>
      <c r="CUS5" s="1185"/>
      <c r="CUT5" s="1185"/>
      <c r="CUU5" s="1185"/>
      <c r="CUV5" s="1185"/>
      <c r="CUW5" s="1185"/>
      <c r="CUX5" s="1185"/>
      <c r="CUY5" s="1185"/>
      <c r="CUZ5" s="1185"/>
      <c r="CVA5" s="1185"/>
      <c r="CVB5" s="1185"/>
      <c r="CVC5" s="1185"/>
      <c r="CVD5" s="1185"/>
      <c r="CVE5" s="1185"/>
      <c r="CVF5" s="1185"/>
      <c r="CVG5" s="1185"/>
      <c r="CVH5" s="1185"/>
      <c r="CVI5" s="1185"/>
      <c r="CVJ5" s="1185"/>
      <c r="CVK5" s="1185"/>
      <c r="CVL5" s="1185"/>
      <c r="CVM5" s="1185"/>
      <c r="CVN5" s="1185"/>
      <c r="CVO5" s="1185"/>
      <c r="CVP5" s="1185"/>
      <c r="CVQ5" s="1185"/>
      <c r="CVR5" s="1185"/>
      <c r="CVS5" s="1185"/>
      <c r="CVT5" s="1185"/>
      <c r="CVU5" s="1185"/>
      <c r="CVV5" s="1185"/>
      <c r="CVW5" s="1185"/>
      <c r="CVX5" s="1185"/>
      <c r="CVY5" s="1185"/>
      <c r="CVZ5" s="1185"/>
      <c r="CWA5" s="1185"/>
      <c r="CWB5" s="1185"/>
      <c r="CWC5" s="1185"/>
      <c r="CWD5" s="1185"/>
      <c r="CWE5" s="1185"/>
      <c r="CWF5" s="1185"/>
      <c r="CWG5" s="1185"/>
      <c r="CWH5" s="1185"/>
      <c r="CWI5" s="1185"/>
      <c r="CWJ5" s="1185"/>
      <c r="CWK5" s="1185"/>
      <c r="CWL5" s="1185"/>
      <c r="CWM5" s="1185"/>
      <c r="CWN5" s="1185"/>
      <c r="CWO5" s="1185"/>
      <c r="CWP5" s="1185"/>
      <c r="CWQ5" s="1185"/>
      <c r="CWR5" s="1185"/>
      <c r="CWS5" s="1185"/>
      <c r="CWT5" s="1185"/>
      <c r="CWU5" s="1185"/>
      <c r="CWV5" s="1185"/>
      <c r="CWW5" s="1185"/>
      <c r="CWX5" s="1185"/>
      <c r="CWY5" s="1185"/>
      <c r="CWZ5" s="1185"/>
      <c r="CXA5" s="1185"/>
      <c r="CXB5" s="1185"/>
      <c r="CXC5" s="1185"/>
      <c r="CXD5" s="1185"/>
      <c r="CXE5" s="1185"/>
      <c r="CXF5" s="1185"/>
      <c r="CXG5" s="1185"/>
      <c r="CXH5" s="1185"/>
      <c r="CXI5" s="1185"/>
      <c r="CXJ5" s="1185"/>
      <c r="CXK5" s="1185"/>
      <c r="CXL5" s="1185"/>
      <c r="CXM5" s="1185"/>
      <c r="CXN5" s="1185"/>
      <c r="CXO5" s="1185"/>
      <c r="CXP5" s="1185"/>
      <c r="CXQ5" s="1185"/>
      <c r="CXR5" s="1185"/>
      <c r="CXS5" s="1185"/>
      <c r="CXT5" s="1185"/>
      <c r="CXU5" s="1185"/>
      <c r="CXV5" s="1185"/>
      <c r="CXW5" s="1185"/>
      <c r="CXX5" s="1185"/>
      <c r="CXY5" s="1185"/>
      <c r="CXZ5" s="1185"/>
      <c r="CYA5" s="1185"/>
      <c r="CYB5" s="1185"/>
      <c r="CYC5" s="1185"/>
      <c r="CYD5" s="1185"/>
      <c r="CYE5" s="1185"/>
      <c r="CYF5" s="1185"/>
      <c r="CYG5" s="1185"/>
      <c r="CYH5" s="1185"/>
      <c r="CYI5" s="1185"/>
      <c r="CYJ5" s="1185"/>
      <c r="CYK5" s="1185"/>
      <c r="CYL5" s="1185"/>
      <c r="CYM5" s="1185"/>
      <c r="CYN5" s="1185"/>
      <c r="CYO5" s="1185"/>
      <c r="CYP5" s="1185"/>
      <c r="CYQ5" s="1185"/>
      <c r="CYR5" s="1185"/>
      <c r="CYS5" s="1185"/>
      <c r="CYT5" s="1185"/>
      <c r="CYU5" s="1185"/>
      <c r="CYV5" s="1185"/>
      <c r="CYW5" s="1185"/>
      <c r="CYX5" s="1185"/>
      <c r="CYY5" s="1185"/>
      <c r="CYZ5" s="1185"/>
      <c r="CZA5" s="1185"/>
      <c r="CZB5" s="1185"/>
      <c r="CZC5" s="1185"/>
      <c r="CZD5" s="1185"/>
      <c r="CZE5" s="1185"/>
      <c r="CZF5" s="1185"/>
      <c r="CZG5" s="1185"/>
      <c r="CZH5" s="1185"/>
      <c r="CZI5" s="1185"/>
      <c r="CZJ5" s="1185"/>
      <c r="CZK5" s="1185"/>
      <c r="CZL5" s="1185"/>
      <c r="CZM5" s="1185"/>
      <c r="CZN5" s="1185"/>
      <c r="CZO5" s="1185"/>
      <c r="CZP5" s="1185"/>
      <c r="CZQ5" s="1185"/>
      <c r="CZR5" s="1185"/>
      <c r="CZS5" s="1185"/>
      <c r="CZT5" s="1185"/>
      <c r="CZU5" s="1185"/>
      <c r="CZV5" s="1185"/>
      <c r="CZW5" s="1185"/>
      <c r="CZX5" s="1185"/>
      <c r="CZY5" s="1185"/>
      <c r="CZZ5" s="1185"/>
      <c r="DAA5" s="1185"/>
      <c r="DAB5" s="1185"/>
      <c r="DAC5" s="1185"/>
      <c r="DAD5" s="1185"/>
      <c r="DAE5" s="1185"/>
      <c r="DAF5" s="1185"/>
      <c r="DAG5" s="1185"/>
      <c r="DAH5" s="1185"/>
      <c r="DAI5" s="1185"/>
      <c r="DAJ5" s="1185"/>
      <c r="DAK5" s="1185"/>
      <c r="DAL5" s="1185"/>
      <c r="DAM5" s="1185"/>
      <c r="DAN5" s="1185"/>
      <c r="DAO5" s="1185"/>
      <c r="DAP5" s="1185"/>
      <c r="DAQ5" s="1185"/>
      <c r="DAR5" s="1185"/>
      <c r="DAS5" s="1185"/>
      <c r="DAT5" s="1185"/>
      <c r="DAU5" s="1185"/>
      <c r="DAV5" s="1185"/>
      <c r="DAW5" s="1185"/>
      <c r="DAX5" s="1185"/>
      <c r="DAY5" s="1185"/>
      <c r="DAZ5" s="1185"/>
      <c r="DBA5" s="1185"/>
      <c r="DBB5" s="1185"/>
      <c r="DBC5" s="1185"/>
      <c r="DBD5" s="1185"/>
      <c r="DBE5" s="1185"/>
      <c r="DBF5" s="1185"/>
      <c r="DBG5" s="1185"/>
      <c r="DBH5" s="1185"/>
      <c r="DBI5" s="1185"/>
      <c r="DBJ5" s="1185"/>
      <c r="DBK5" s="1185"/>
      <c r="DBL5" s="1185"/>
      <c r="DBM5" s="1185"/>
      <c r="DBN5" s="1185"/>
      <c r="DBO5" s="1185"/>
      <c r="DBP5" s="1185"/>
      <c r="DBQ5" s="1185"/>
      <c r="DBR5" s="1185"/>
      <c r="DBS5" s="1185"/>
      <c r="DBT5" s="1185"/>
      <c r="DBU5" s="1185"/>
      <c r="DBV5" s="1185"/>
      <c r="DBW5" s="1185"/>
      <c r="DBX5" s="1185"/>
      <c r="DBY5" s="1185"/>
      <c r="DBZ5" s="1185"/>
      <c r="DCA5" s="1185"/>
      <c r="DCB5" s="1185"/>
      <c r="DCC5" s="1185"/>
      <c r="DCD5" s="1185"/>
      <c r="DCE5" s="1185"/>
      <c r="DCF5" s="1185"/>
      <c r="DCG5" s="1185"/>
      <c r="DCH5" s="1185"/>
      <c r="DCI5" s="1185"/>
      <c r="DCJ5" s="1185"/>
      <c r="DCK5" s="1185"/>
      <c r="DCL5" s="1185"/>
      <c r="DCM5" s="1185"/>
      <c r="DCN5" s="1185"/>
      <c r="DCO5" s="1185"/>
      <c r="DCP5" s="1185"/>
      <c r="DCQ5" s="1185"/>
      <c r="DCR5" s="1185"/>
      <c r="DCS5" s="1185"/>
      <c r="DCT5" s="1185"/>
      <c r="DCU5" s="1185"/>
      <c r="DCV5" s="1185"/>
      <c r="DCW5" s="1185"/>
      <c r="DCX5" s="1185"/>
      <c r="DCY5" s="1185"/>
      <c r="DCZ5" s="1185"/>
      <c r="DDA5" s="1185"/>
      <c r="DDB5" s="1185"/>
      <c r="DDC5" s="1185"/>
      <c r="DDD5" s="1185"/>
      <c r="DDE5" s="1185"/>
      <c r="DDF5" s="1185"/>
      <c r="DDG5" s="1185"/>
      <c r="DDH5" s="1185"/>
      <c r="DDI5" s="1185"/>
      <c r="DDJ5" s="1185"/>
      <c r="DDK5" s="1185"/>
      <c r="DDL5" s="1185"/>
      <c r="DDM5" s="1185"/>
      <c r="DDN5" s="1185"/>
      <c r="DDO5" s="1185"/>
      <c r="DDP5" s="1185"/>
      <c r="DDQ5" s="1185"/>
      <c r="DDR5" s="1185"/>
      <c r="DDS5" s="1185"/>
      <c r="DDT5" s="1185"/>
      <c r="DDU5" s="1185"/>
      <c r="DDV5" s="1185"/>
      <c r="DDW5" s="1185"/>
      <c r="DDX5" s="1185"/>
      <c r="DDY5" s="1185"/>
      <c r="DDZ5" s="1185"/>
      <c r="DEA5" s="1185"/>
      <c r="DEB5" s="1185"/>
      <c r="DEC5" s="1185"/>
      <c r="DED5" s="1185"/>
      <c r="DEE5" s="1185"/>
      <c r="DEF5" s="1185"/>
      <c r="DEG5" s="1185"/>
      <c r="DEH5" s="1185"/>
      <c r="DEI5" s="1185"/>
      <c r="DEJ5" s="1185"/>
      <c r="DEK5" s="1185"/>
      <c r="DEL5" s="1185"/>
      <c r="DEM5" s="1185"/>
      <c r="DEN5" s="1185"/>
      <c r="DEO5" s="1185"/>
      <c r="DEP5" s="1185"/>
      <c r="DEQ5" s="1185"/>
      <c r="DER5" s="1185"/>
      <c r="DES5" s="1185"/>
      <c r="DET5" s="1185"/>
      <c r="DEU5" s="1185"/>
      <c r="DEV5" s="1185"/>
      <c r="DEW5" s="1185"/>
      <c r="DEX5" s="1185"/>
      <c r="DEY5" s="1185"/>
      <c r="DEZ5" s="1185"/>
      <c r="DFA5" s="1185"/>
      <c r="DFB5" s="1185"/>
      <c r="DFC5" s="1185"/>
      <c r="DFD5" s="1185"/>
      <c r="DFE5" s="1185"/>
      <c r="DFF5" s="1185"/>
      <c r="DFG5" s="1185"/>
      <c r="DFH5" s="1185"/>
      <c r="DFI5" s="1185"/>
      <c r="DFJ5" s="1185"/>
      <c r="DFK5" s="1185"/>
      <c r="DFL5" s="1185"/>
      <c r="DFM5" s="1185"/>
      <c r="DFN5" s="1185"/>
      <c r="DFO5" s="1185"/>
      <c r="DFP5" s="1185"/>
      <c r="DFQ5" s="1185"/>
      <c r="DFR5" s="1185"/>
      <c r="DFS5" s="1185"/>
      <c r="DFT5" s="1185"/>
      <c r="DFU5" s="1185"/>
      <c r="DFV5" s="1185"/>
      <c r="DFW5" s="1185"/>
      <c r="DFX5" s="1185"/>
      <c r="DFY5" s="1185"/>
      <c r="DFZ5" s="1185"/>
      <c r="DGA5" s="1185"/>
      <c r="DGB5" s="1185"/>
      <c r="DGC5" s="1185"/>
      <c r="DGD5" s="1185"/>
      <c r="DGE5" s="1185"/>
      <c r="DGF5" s="1185"/>
      <c r="DGG5" s="1185"/>
      <c r="DGH5" s="1185"/>
      <c r="DGI5" s="1185"/>
      <c r="DGJ5" s="1185"/>
      <c r="DGK5" s="1185"/>
      <c r="DGL5" s="1185"/>
      <c r="DGM5" s="1185"/>
      <c r="DGN5" s="1185"/>
      <c r="DGO5" s="1185"/>
      <c r="DGP5" s="1185"/>
      <c r="DGQ5" s="1185"/>
      <c r="DGR5" s="1185"/>
      <c r="DGS5" s="1185"/>
      <c r="DGT5" s="1185"/>
      <c r="DGU5" s="1185"/>
      <c r="DGV5" s="1185"/>
      <c r="DGW5" s="1185"/>
      <c r="DGX5" s="1185"/>
      <c r="DGY5" s="1185"/>
      <c r="DGZ5" s="1185"/>
      <c r="DHA5" s="1185"/>
      <c r="DHB5" s="1185"/>
      <c r="DHC5" s="1185"/>
      <c r="DHD5" s="1185"/>
      <c r="DHE5" s="1185"/>
      <c r="DHF5" s="1185"/>
      <c r="DHG5" s="1185"/>
      <c r="DHH5" s="1185"/>
      <c r="DHI5" s="1185"/>
      <c r="DHJ5" s="1185"/>
      <c r="DHK5" s="1185"/>
      <c r="DHL5" s="1185"/>
      <c r="DHM5" s="1185"/>
      <c r="DHN5" s="1185"/>
      <c r="DHO5" s="1185"/>
      <c r="DHP5" s="1185"/>
      <c r="DHQ5" s="1185"/>
      <c r="DHR5" s="1185"/>
      <c r="DHS5" s="1185"/>
      <c r="DHT5" s="1185"/>
      <c r="DHU5" s="1185"/>
      <c r="DHV5" s="1185"/>
      <c r="DHW5" s="1185"/>
      <c r="DHX5" s="1185"/>
      <c r="DHY5" s="1185"/>
      <c r="DHZ5" s="1185"/>
      <c r="DIA5" s="1185"/>
      <c r="DIB5" s="1185"/>
      <c r="DIC5" s="1185"/>
      <c r="DID5" s="1185"/>
      <c r="DIE5" s="1185"/>
      <c r="DIF5" s="1185"/>
      <c r="DIG5" s="1185"/>
      <c r="DIH5" s="1185"/>
      <c r="DII5" s="1185"/>
      <c r="DIJ5" s="1185"/>
      <c r="DIK5" s="1185"/>
      <c r="DIL5" s="1185"/>
      <c r="DIM5" s="1185"/>
      <c r="DIN5" s="1185"/>
      <c r="DIO5" s="1185"/>
      <c r="DIP5" s="1185"/>
      <c r="DIQ5" s="1185"/>
      <c r="DIR5" s="1185"/>
      <c r="DIS5" s="1185"/>
      <c r="DIT5" s="1185"/>
      <c r="DIU5" s="1185"/>
      <c r="DIV5" s="1185"/>
      <c r="DIW5" s="1185"/>
      <c r="DIX5" s="1185"/>
      <c r="DIY5" s="1185"/>
      <c r="DIZ5" s="1185"/>
      <c r="DJA5" s="1185"/>
      <c r="DJB5" s="1185"/>
      <c r="DJC5" s="1185"/>
      <c r="DJD5" s="1185"/>
      <c r="DJE5" s="1185"/>
      <c r="DJF5" s="1185"/>
      <c r="DJG5" s="1185"/>
      <c r="DJH5" s="1185"/>
      <c r="DJI5" s="1185"/>
      <c r="DJJ5" s="1185"/>
      <c r="DJK5" s="1185"/>
      <c r="DJL5" s="1185"/>
      <c r="DJM5" s="1185"/>
      <c r="DJN5" s="1185"/>
      <c r="DJO5" s="1185"/>
      <c r="DJP5" s="1185"/>
      <c r="DJQ5" s="1185"/>
      <c r="DJR5" s="1185"/>
      <c r="DJS5" s="1185"/>
      <c r="DJT5" s="1185"/>
      <c r="DJU5" s="1185"/>
      <c r="DJV5" s="1185"/>
      <c r="DJW5" s="1185"/>
      <c r="DJX5" s="1185"/>
      <c r="DJY5" s="1185"/>
      <c r="DJZ5" s="1185"/>
      <c r="DKA5" s="1185"/>
      <c r="DKB5" s="1185"/>
      <c r="DKC5" s="1185"/>
      <c r="DKD5" s="1185"/>
      <c r="DKE5" s="1185"/>
      <c r="DKF5" s="1185"/>
      <c r="DKG5" s="1185"/>
      <c r="DKH5" s="1185"/>
      <c r="DKI5" s="1185"/>
      <c r="DKJ5" s="1185"/>
      <c r="DKK5" s="1185"/>
      <c r="DKL5" s="1185"/>
      <c r="DKM5" s="1185"/>
      <c r="DKN5" s="1185"/>
      <c r="DKO5" s="1185"/>
      <c r="DKP5" s="1185"/>
      <c r="DKQ5" s="1185"/>
      <c r="DKR5" s="1185"/>
      <c r="DKS5" s="1185"/>
      <c r="DKT5" s="1185"/>
      <c r="DKU5" s="1185"/>
      <c r="DKV5" s="1185"/>
      <c r="DKW5" s="1185"/>
      <c r="DKX5" s="1185"/>
      <c r="DKY5" s="1185"/>
      <c r="DKZ5" s="1185"/>
      <c r="DLA5" s="1185"/>
      <c r="DLB5" s="1185"/>
      <c r="DLC5" s="1185"/>
      <c r="DLD5" s="1185"/>
      <c r="DLE5" s="1185"/>
      <c r="DLF5" s="1185"/>
      <c r="DLG5" s="1185"/>
      <c r="DLH5" s="1185"/>
      <c r="DLI5" s="1185"/>
      <c r="DLJ5" s="1185"/>
      <c r="DLK5" s="1185"/>
      <c r="DLL5" s="1185"/>
      <c r="DLM5" s="1185"/>
      <c r="DLN5" s="1185"/>
      <c r="DLO5" s="1185"/>
      <c r="DLP5" s="1185"/>
      <c r="DLQ5" s="1185"/>
      <c r="DLR5" s="1185"/>
      <c r="DLS5" s="1185"/>
      <c r="DLT5" s="1185"/>
      <c r="DLU5" s="1185"/>
      <c r="DLV5" s="1185"/>
      <c r="DLW5" s="1185"/>
      <c r="DLX5" s="1185"/>
      <c r="DLY5" s="1185"/>
      <c r="DLZ5" s="1185"/>
      <c r="DMA5" s="1185"/>
      <c r="DMB5" s="1185"/>
      <c r="DMC5" s="1185"/>
      <c r="DMD5" s="1185"/>
      <c r="DME5" s="1185"/>
      <c r="DMF5" s="1185"/>
      <c r="DMG5" s="1185"/>
      <c r="DMH5" s="1185"/>
      <c r="DMI5" s="1185"/>
      <c r="DMJ5" s="1185"/>
      <c r="DMK5" s="1185"/>
      <c r="DML5" s="1185"/>
      <c r="DMM5" s="1185"/>
      <c r="DMN5" s="1185"/>
      <c r="DMO5" s="1185"/>
      <c r="DMP5" s="1185"/>
      <c r="DMQ5" s="1185"/>
      <c r="DMR5" s="1185"/>
      <c r="DMS5" s="1185"/>
      <c r="DMT5" s="1185"/>
      <c r="DMU5" s="1185"/>
      <c r="DMV5" s="1185"/>
      <c r="DMW5" s="1185"/>
      <c r="DMX5" s="1185"/>
      <c r="DMY5" s="1185"/>
      <c r="DMZ5" s="1185"/>
      <c r="DNA5" s="1185"/>
      <c r="DNB5" s="1185"/>
      <c r="DNC5" s="1185"/>
      <c r="DND5" s="1185"/>
      <c r="DNE5" s="1185"/>
      <c r="DNF5" s="1185"/>
      <c r="DNG5" s="1185"/>
      <c r="DNH5" s="1185"/>
      <c r="DNI5" s="1185"/>
      <c r="DNJ5" s="1185"/>
      <c r="DNK5" s="1185"/>
      <c r="DNL5" s="1185"/>
      <c r="DNM5" s="1185"/>
      <c r="DNN5" s="1185"/>
      <c r="DNO5" s="1185"/>
      <c r="DNP5" s="1185"/>
      <c r="DNQ5" s="1185"/>
      <c r="DNR5" s="1185"/>
      <c r="DNS5" s="1185"/>
      <c r="DNT5" s="1185"/>
      <c r="DNU5" s="1185"/>
      <c r="DNV5" s="1185"/>
      <c r="DNW5" s="1185"/>
      <c r="DNX5" s="1185"/>
      <c r="DNY5" s="1185"/>
      <c r="DNZ5" s="1185"/>
      <c r="DOA5" s="1185"/>
      <c r="DOB5" s="1185"/>
      <c r="DOC5" s="1185"/>
      <c r="DOD5" s="1185"/>
      <c r="DOE5" s="1185"/>
      <c r="DOF5" s="1185"/>
      <c r="DOG5" s="1185"/>
      <c r="DOH5" s="1185"/>
      <c r="DOI5" s="1185"/>
      <c r="DOJ5" s="1185"/>
      <c r="DOK5" s="1185"/>
      <c r="DOL5" s="1185"/>
      <c r="DOM5" s="1185"/>
      <c r="DON5" s="1185"/>
      <c r="DOO5" s="1185"/>
      <c r="DOP5" s="1185"/>
      <c r="DOQ5" s="1185"/>
      <c r="DOR5" s="1185"/>
      <c r="DOS5" s="1185"/>
      <c r="DOT5" s="1185"/>
      <c r="DOU5" s="1185"/>
      <c r="DOV5" s="1185"/>
      <c r="DOW5" s="1185"/>
      <c r="DOX5" s="1185"/>
      <c r="DOY5" s="1185"/>
      <c r="DOZ5" s="1185"/>
      <c r="DPA5" s="1185"/>
      <c r="DPB5" s="1185"/>
      <c r="DPC5" s="1185"/>
      <c r="DPD5" s="1185"/>
      <c r="DPE5" s="1185"/>
      <c r="DPF5" s="1185"/>
      <c r="DPG5" s="1185"/>
      <c r="DPH5" s="1185"/>
      <c r="DPI5" s="1185"/>
      <c r="DPJ5" s="1185"/>
      <c r="DPK5" s="1185"/>
      <c r="DPL5" s="1185"/>
      <c r="DPM5" s="1185"/>
      <c r="DPN5" s="1185"/>
      <c r="DPO5" s="1185"/>
      <c r="DPP5" s="1185"/>
      <c r="DPQ5" s="1185"/>
      <c r="DPR5" s="1185"/>
      <c r="DPS5" s="1185"/>
      <c r="DPT5" s="1185"/>
      <c r="DPU5" s="1185"/>
      <c r="DPV5" s="1185"/>
      <c r="DPW5" s="1185"/>
      <c r="DPX5" s="1185"/>
      <c r="DPY5" s="1185"/>
      <c r="DPZ5" s="1185"/>
      <c r="DQA5" s="1185"/>
      <c r="DQB5" s="1185"/>
      <c r="DQC5" s="1185"/>
      <c r="DQD5" s="1185"/>
      <c r="DQE5" s="1185"/>
      <c r="DQF5" s="1185"/>
      <c r="DQG5" s="1185"/>
      <c r="DQH5" s="1185"/>
      <c r="DQI5" s="1185"/>
      <c r="DQJ5" s="1185"/>
      <c r="DQK5" s="1185"/>
      <c r="DQL5" s="1185"/>
      <c r="DQM5" s="1185"/>
      <c r="DQN5" s="1185"/>
      <c r="DQO5" s="1185"/>
      <c r="DQP5" s="1185"/>
      <c r="DQQ5" s="1185"/>
      <c r="DQR5" s="1185"/>
      <c r="DQS5" s="1185"/>
      <c r="DQT5" s="1185"/>
      <c r="DQU5" s="1185"/>
      <c r="DQV5" s="1185"/>
      <c r="DQW5" s="1185"/>
      <c r="DQX5" s="1185"/>
      <c r="DQY5" s="1185"/>
      <c r="DQZ5" s="1185"/>
      <c r="DRA5" s="1185"/>
      <c r="DRB5" s="1185"/>
      <c r="DRC5" s="1185"/>
      <c r="DRD5" s="1185"/>
      <c r="DRE5" s="1185"/>
      <c r="DRF5" s="1185"/>
      <c r="DRG5" s="1185"/>
      <c r="DRH5" s="1185"/>
      <c r="DRI5" s="1185"/>
      <c r="DRJ5" s="1185"/>
      <c r="DRK5" s="1185"/>
      <c r="DRL5" s="1185"/>
      <c r="DRM5" s="1185"/>
      <c r="DRN5" s="1185"/>
      <c r="DRO5" s="1185"/>
      <c r="DRP5" s="1185"/>
      <c r="DRQ5" s="1185"/>
      <c r="DRR5" s="1185"/>
      <c r="DRS5" s="1185"/>
      <c r="DRT5" s="1185"/>
      <c r="DRU5" s="1185"/>
      <c r="DRV5" s="1185"/>
      <c r="DRW5" s="1185"/>
      <c r="DRX5" s="1185"/>
      <c r="DRY5" s="1185"/>
      <c r="DRZ5" s="1185"/>
      <c r="DSA5" s="1185"/>
      <c r="DSB5" s="1185"/>
      <c r="DSC5" s="1185"/>
      <c r="DSD5" s="1185"/>
      <c r="DSE5" s="1185"/>
      <c r="DSF5" s="1185"/>
      <c r="DSG5" s="1185"/>
      <c r="DSH5" s="1185"/>
      <c r="DSI5" s="1185"/>
      <c r="DSJ5" s="1185"/>
      <c r="DSK5" s="1185"/>
      <c r="DSL5" s="1185"/>
      <c r="DSM5" s="1185"/>
      <c r="DSN5" s="1185"/>
      <c r="DSO5" s="1185"/>
      <c r="DSP5" s="1185"/>
      <c r="DSQ5" s="1185"/>
      <c r="DSR5" s="1185"/>
      <c r="DSS5" s="1185"/>
      <c r="DST5" s="1185"/>
      <c r="DSU5" s="1185"/>
      <c r="DSV5" s="1185"/>
      <c r="DSW5" s="1185"/>
      <c r="DSX5" s="1185"/>
      <c r="DSY5" s="1185"/>
      <c r="DSZ5" s="1185"/>
      <c r="DTA5" s="1185"/>
      <c r="DTB5" s="1185"/>
      <c r="DTC5" s="1185"/>
      <c r="DTD5" s="1185"/>
      <c r="DTE5" s="1185"/>
      <c r="DTF5" s="1185"/>
      <c r="DTG5" s="1185"/>
      <c r="DTH5" s="1185"/>
      <c r="DTI5" s="1185"/>
      <c r="DTJ5" s="1185"/>
      <c r="DTK5" s="1185"/>
      <c r="DTL5" s="1185"/>
      <c r="DTM5" s="1185"/>
      <c r="DTN5" s="1185"/>
      <c r="DTO5" s="1185"/>
      <c r="DTP5" s="1185"/>
      <c r="DTQ5" s="1185"/>
      <c r="DTR5" s="1185"/>
      <c r="DTS5" s="1185"/>
      <c r="DTT5" s="1185"/>
      <c r="DTU5" s="1185"/>
      <c r="DTV5" s="1185"/>
      <c r="DTW5" s="1185"/>
      <c r="DTX5" s="1185"/>
      <c r="DTY5" s="1185"/>
      <c r="DTZ5" s="1185"/>
      <c r="DUA5" s="1185"/>
      <c r="DUB5" s="1185"/>
      <c r="DUC5" s="1185"/>
      <c r="DUD5" s="1185"/>
      <c r="DUE5" s="1185"/>
      <c r="DUF5" s="1185"/>
      <c r="DUG5" s="1185"/>
      <c r="DUH5" s="1185"/>
      <c r="DUI5" s="1185"/>
      <c r="DUJ5" s="1185"/>
      <c r="DUK5" s="1185"/>
      <c r="DUL5" s="1185"/>
      <c r="DUM5" s="1185"/>
      <c r="DUN5" s="1185"/>
      <c r="DUO5" s="1185"/>
      <c r="DUP5" s="1185"/>
      <c r="DUQ5" s="1185"/>
      <c r="DUR5" s="1185"/>
      <c r="DUS5" s="1185"/>
      <c r="DUT5" s="1185"/>
      <c r="DUU5" s="1185"/>
      <c r="DUV5" s="1185"/>
      <c r="DUW5" s="1185"/>
      <c r="DUX5" s="1185"/>
      <c r="DUY5" s="1185"/>
      <c r="DUZ5" s="1185"/>
      <c r="DVA5" s="1185"/>
      <c r="DVB5" s="1185"/>
      <c r="DVC5" s="1185"/>
      <c r="DVD5" s="1185"/>
      <c r="DVE5" s="1185"/>
      <c r="DVF5" s="1185"/>
      <c r="DVG5" s="1185"/>
      <c r="DVH5" s="1185"/>
      <c r="DVI5" s="1185"/>
      <c r="DVJ5" s="1185"/>
      <c r="DVK5" s="1185"/>
      <c r="DVL5" s="1185"/>
      <c r="DVM5" s="1185"/>
      <c r="DVN5" s="1185"/>
      <c r="DVO5" s="1185"/>
      <c r="DVP5" s="1185"/>
      <c r="DVQ5" s="1185"/>
      <c r="DVR5" s="1185"/>
      <c r="DVS5" s="1185"/>
      <c r="DVT5" s="1185"/>
      <c r="DVU5" s="1185"/>
      <c r="DVV5" s="1185"/>
      <c r="DVW5" s="1185"/>
      <c r="DVX5" s="1185"/>
      <c r="DVY5" s="1185"/>
      <c r="DVZ5" s="1185"/>
      <c r="DWA5" s="1185"/>
      <c r="DWB5" s="1185"/>
      <c r="DWC5" s="1185"/>
      <c r="DWD5" s="1185"/>
      <c r="DWE5" s="1185"/>
      <c r="DWF5" s="1185"/>
      <c r="DWG5" s="1185"/>
      <c r="DWH5" s="1185"/>
      <c r="DWI5" s="1185"/>
      <c r="DWJ5" s="1185"/>
      <c r="DWK5" s="1185"/>
      <c r="DWL5" s="1185"/>
      <c r="DWM5" s="1185"/>
      <c r="DWN5" s="1185"/>
      <c r="DWO5" s="1185"/>
      <c r="DWP5" s="1185"/>
      <c r="DWQ5" s="1185"/>
      <c r="DWR5" s="1185"/>
      <c r="DWS5" s="1185"/>
      <c r="DWT5" s="1185"/>
      <c r="DWU5" s="1185"/>
      <c r="DWV5" s="1185"/>
      <c r="DWW5" s="1185"/>
      <c r="DWX5" s="1185"/>
      <c r="DWY5" s="1185"/>
      <c r="DWZ5" s="1185"/>
      <c r="DXA5" s="1185"/>
      <c r="DXB5" s="1185"/>
      <c r="DXC5" s="1185"/>
      <c r="DXD5" s="1185"/>
      <c r="DXE5" s="1185"/>
      <c r="DXF5" s="1185"/>
      <c r="DXG5" s="1185"/>
      <c r="DXH5" s="1185"/>
      <c r="DXI5" s="1185"/>
      <c r="DXJ5" s="1185"/>
      <c r="DXK5" s="1185"/>
      <c r="DXL5" s="1185"/>
      <c r="DXM5" s="1185"/>
      <c r="DXN5" s="1185"/>
      <c r="DXO5" s="1185"/>
      <c r="DXP5" s="1185"/>
      <c r="DXQ5" s="1185"/>
      <c r="DXR5" s="1185"/>
      <c r="DXS5" s="1185"/>
      <c r="DXT5" s="1185"/>
      <c r="DXU5" s="1185"/>
      <c r="DXV5" s="1185"/>
      <c r="DXW5" s="1185"/>
      <c r="DXX5" s="1185"/>
      <c r="DXY5" s="1185"/>
      <c r="DXZ5" s="1185"/>
      <c r="DYA5" s="1185"/>
      <c r="DYB5" s="1185"/>
      <c r="DYC5" s="1185"/>
      <c r="DYD5" s="1185"/>
      <c r="DYE5" s="1185"/>
      <c r="DYF5" s="1185"/>
      <c r="DYG5" s="1185"/>
      <c r="DYH5" s="1185"/>
      <c r="DYI5" s="1185"/>
      <c r="DYJ5" s="1185"/>
      <c r="DYK5" s="1185"/>
      <c r="DYL5" s="1185"/>
      <c r="DYM5" s="1185"/>
      <c r="DYN5" s="1185"/>
      <c r="DYO5" s="1185"/>
      <c r="DYP5" s="1185"/>
      <c r="DYQ5" s="1185"/>
      <c r="DYR5" s="1185"/>
      <c r="DYS5" s="1185"/>
      <c r="DYT5" s="1185"/>
      <c r="DYU5" s="1185"/>
      <c r="DYV5" s="1185"/>
      <c r="DYW5" s="1185"/>
      <c r="DYX5" s="1185"/>
      <c r="DYY5" s="1185"/>
      <c r="DYZ5" s="1185"/>
      <c r="DZA5" s="1185"/>
      <c r="DZB5" s="1185"/>
      <c r="DZC5" s="1185"/>
      <c r="DZD5" s="1185"/>
      <c r="DZE5" s="1185"/>
      <c r="DZF5" s="1185"/>
      <c r="DZG5" s="1185"/>
      <c r="DZH5" s="1185"/>
      <c r="DZI5" s="1185"/>
      <c r="DZJ5" s="1185"/>
      <c r="DZK5" s="1185"/>
      <c r="DZL5" s="1185"/>
      <c r="DZM5" s="1185"/>
      <c r="DZN5" s="1185"/>
      <c r="DZO5" s="1185"/>
      <c r="DZP5" s="1185"/>
      <c r="DZQ5" s="1185"/>
      <c r="DZR5" s="1185"/>
      <c r="DZS5" s="1185"/>
      <c r="DZT5" s="1185"/>
      <c r="DZU5" s="1185"/>
      <c r="DZV5" s="1185"/>
      <c r="DZW5" s="1185"/>
      <c r="DZX5" s="1185"/>
      <c r="DZY5" s="1185"/>
      <c r="DZZ5" s="1185"/>
      <c r="EAA5" s="1185"/>
      <c r="EAB5" s="1185"/>
      <c r="EAC5" s="1185"/>
      <c r="EAD5" s="1185"/>
      <c r="EAE5" s="1185"/>
      <c r="EAF5" s="1185"/>
      <c r="EAG5" s="1185"/>
      <c r="EAH5" s="1185"/>
      <c r="EAI5" s="1185"/>
      <c r="EAJ5" s="1185"/>
      <c r="EAK5" s="1185"/>
      <c r="EAL5" s="1185"/>
      <c r="EAM5" s="1185"/>
      <c r="EAN5" s="1185"/>
      <c r="EAO5" s="1185"/>
      <c r="EAP5" s="1185"/>
      <c r="EAQ5" s="1185"/>
      <c r="EAR5" s="1185"/>
      <c r="EAS5" s="1185"/>
      <c r="EAT5" s="1185"/>
      <c r="EAU5" s="1185"/>
      <c r="EAV5" s="1185"/>
      <c r="EAW5" s="1185"/>
      <c r="EAX5" s="1185"/>
      <c r="EAY5" s="1185"/>
      <c r="EAZ5" s="1185"/>
      <c r="EBA5" s="1185"/>
      <c r="EBB5" s="1185"/>
      <c r="EBC5" s="1185"/>
      <c r="EBD5" s="1185"/>
      <c r="EBE5" s="1185"/>
      <c r="EBF5" s="1185"/>
      <c r="EBG5" s="1185"/>
      <c r="EBH5" s="1185"/>
      <c r="EBI5" s="1185"/>
      <c r="EBJ5" s="1185"/>
      <c r="EBK5" s="1185"/>
      <c r="EBL5" s="1185"/>
      <c r="EBM5" s="1185"/>
      <c r="EBN5" s="1185"/>
      <c r="EBO5" s="1185"/>
      <c r="EBP5" s="1185"/>
      <c r="EBQ5" s="1185"/>
      <c r="EBR5" s="1185"/>
      <c r="EBS5" s="1185"/>
      <c r="EBT5" s="1185"/>
      <c r="EBU5" s="1185"/>
      <c r="EBV5" s="1185"/>
      <c r="EBW5" s="1185"/>
      <c r="EBX5" s="1185"/>
      <c r="EBY5" s="1185"/>
      <c r="EBZ5" s="1185"/>
      <c r="ECA5" s="1185"/>
      <c r="ECB5" s="1185"/>
      <c r="ECC5" s="1185"/>
      <c r="ECD5" s="1185"/>
      <c r="ECE5" s="1185"/>
      <c r="ECF5" s="1185"/>
      <c r="ECG5" s="1185"/>
      <c r="ECH5" s="1185"/>
      <c r="ECI5" s="1185"/>
      <c r="ECJ5" s="1185"/>
      <c r="ECK5" s="1185"/>
      <c r="ECL5" s="1185"/>
      <c r="ECM5" s="1185"/>
      <c r="ECN5" s="1185"/>
      <c r="ECO5" s="1185"/>
      <c r="ECP5" s="1185"/>
      <c r="ECQ5" s="1185"/>
      <c r="ECR5" s="1185"/>
      <c r="ECS5" s="1185"/>
      <c r="ECT5" s="1185"/>
      <c r="ECU5" s="1185"/>
      <c r="ECV5" s="1185"/>
      <c r="ECW5" s="1185"/>
      <c r="ECX5" s="1185"/>
      <c r="ECY5" s="1185"/>
      <c r="ECZ5" s="1185"/>
      <c r="EDA5" s="1185"/>
      <c r="EDB5" s="1185"/>
      <c r="EDC5" s="1185"/>
      <c r="EDD5" s="1185"/>
      <c r="EDE5" s="1185"/>
      <c r="EDF5" s="1185"/>
      <c r="EDG5" s="1185"/>
      <c r="EDH5" s="1185"/>
      <c r="EDI5" s="1185"/>
      <c r="EDJ5" s="1185"/>
      <c r="EDK5" s="1185"/>
      <c r="EDL5" s="1185"/>
      <c r="EDM5" s="1185"/>
      <c r="EDN5" s="1185"/>
      <c r="EDO5" s="1185"/>
      <c r="EDP5" s="1185"/>
      <c r="EDQ5" s="1185"/>
      <c r="EDR5" s="1185"/>
      <c r="EDS5" s="1185"/>
      <c r="EDT5" s="1185"/>
      <c r="EDU5" s="1185"/>
      <c r="EDV5" s="1185"/>
      <c r="EDW5" s="1185"/>
      <c r="EDX5" s="1185"/>
      <c r="EDY5" s="1185"/>
      <c r="EDZ5" s="1185"/>
      <c r="EEA5" s="1185"/>
      <c r="EEB5" s="1185"/>
      <c r="EEC5" s="1185"/>
      <c r="EED5" s="1185"/>
      <c r="EEE5" s="1185"/>
      <c r="EEF5" s="1185"/>
      <c r="EEG5" s="1185"/>
      <c r="EEH5" s="1185"/>
      <c r="EEI5" s="1185"/>
      <c r="EEJ5" s="1185"/>
      <c r="EEK5" s="1185"/>
      <c r="EEL5" s="1185"/>
      <c r="EEM5" s="1185"/>
      <c r="EEN5" s="1185"/>
      <c r="EEO5" s="1185"/>
      <c r="EEP5" s="1185"/>
      <c r="EEQ5" s="1185"/>
      <c r="EER5" s="1185"/>
      <c r="EES5" s="1185"/>
      <c r="EET5" s="1185"/>
      <c r="EEU5" s="1185"/>
      <c r="EEV5" s="1185"/>
      <c r="EEW5" s="1185"/>
      <c r="EEX5" s="1185"/>
      <c r="EEY5" s="1185"/>
      <c r="EEZ5" s="1185"/>
      <c r="EFA5" s="1185"/>
      <c r="EFB5" s="1185"/>
      <c r="EFC5" s="1185"/>
      <c r="EFD5" s="1185"/>
      <c r="EFE5" s="1185"/>
      <c r="EFF5" s="1185"/>
      <c r="EFG5" s="1185"/>
      <c r="EFH5" s="1185"/>
      <c r="EFI5" s="1185"/>
      <c r="EFJ5" s="1185"/>
      <c r="EFK5" s="1185"/>
      <c r="EFL5" s="1185"/>
      <c r="EFM5" s="1185"/>
      <c r="EFN5" s="1185"/>
      <c r="EFO5" s="1185"/>
      <c r="EFP5" s="1185"/>
      <c r="EFQ5" s="1185"/>
      <c r="EFR5" s="1185"/>
      <c r="EFS5" s="1185"/>
      <c r="EFT5" s="1185"/>
      <c r="EFU5" s="1185"/>
      <c r="EFV5" s="1185"/>
      <c r="EFW5" s="1185"/>
      <c r="EFX5" s="1185"/>
      <c r="EFY5" s="1185"/>
      <c r="EFZ5" s="1185"/>
      <c r="EGA5" s="1185"/>
      <c r="EGB5" s="1185"/>
      <c r="EGC5" s="1185"/>
      <c r="EGD5" s="1185"/>
      <c r="EGE5" s="1185"/>
      <c r="EGF5" s="1185"/>
      <c r="EGG5" s="1185"/>
      <c r="EGH5" s="1185"/>
      <c r="EGI5" s="1185"/>
      <c r="EGJ5" s="1185"/>
      <c r="EGK5" s="1185"/>
      <c r="EGL5" s="1185"/>
      <c r="EGM5" s="1185"/>
      <c r="EGN5" s="1185"/>
      <c r="EGO5" s="1185"/>
      <c r="EGP5" s="1185"/>
      <c r="EGQ5" s="1185"/>
      <c r="EGR5" s="1185"/>
      <c r="EGS5" s="1185"/>
      <c r="EGT5" s="1185"/>
      <c r="EGU5" s="1185"/>
      <c r="EGV5" s="1185"/>
      <c r="EGW5" s="1185"/>
      <c r="EGX5" s="1185"/>
      <c r="EGY5" s="1185"/>
      <c r="EGZ5" s="1185"/>
      <c r="EHA5" s="1185"/>
      <c r="EHB5" s="1185"/>
      <c r="EHC5" s="1185"/>
      <c r="EHD5" s="1185"/>
      <c r="EHE5" s="1185"/>
      <c r="EHF5" s="1185"/>
      <c r="EHG5" s="1185"/>
      <c r="EHH5" s="1185"/>
      <c r="EHI5" s="1185"/>
      <c r="EHJ5" s="1185"/>
      <c r="EHK5" s="1185"/>
      <c r="EHL5" s="1185"/>
      <c r="EHM5" s="1185"/>
      <c r="EHN5" s="1185"/>
      <c r="EHO5" s="1185"/>
      <c r="EHP5" s="1185"/>
      <c r="EHQ5" s="1185"/>
      <c r="EHR5" s="1185"/>
      <c r="EHS5" s="1185"/>
      <c r="EHT5" s="1185"/>
      <c r="EHU5" s="1185"/>
      <c r="EHV5" s="1185"/>
      <c r="EHW5" s="1185"/>
      <c r="EHX5" s="1185"/>
      <c r="EHY5" s="1185"/>
      <c r="EHZ5" s="1185"/>
      <c r="EIA5" s="1185"/>
      <c r="EIB5" s="1185"/>
      <c r="EIC5" s="1185"/>
      <c r="EID5" s="1185"/>
      <c r="EIE5" s="1185"/>
      <c r="EIF5" s="1185"/>
      <c r="EIG5" s="1185"/>
      <c r="EIH5" s="1185"/>
      <c r="EII5" s="1185"/>
      <c r="EIJ5" s="1185"/>
      <c r="EIK5" s="1185"/>
      <c r="EIL5" s="1185"/>
      <c r="EIM5" s="1185"/>
      <c r="EIN5" s="1185"/>
      <c r="EIO5" s="1185"/>
      <c r="EIP5" s="1185"/>
      <c r="EIQ5" s="1185"/>
      <c r="EIR5" s="1185"/>
      <c r="EIS5" s="1185"/>
      <c r="EIT5" s="1185"/>
      <c r="EIU5" s="1185"/>
      <c r="EIV5" s="1185"/>
      <c r="EIW5" s="1185"/>
      <c r="EIX5" s="1185"/>
      <c r="EIY5" s="1185"/>
      <c r="EIZ5" s="1185"/>
      <c r="EJA5" s="1185"/>
      <c r="EJB5" s="1185"/>
      <c r="EJC5" s="1185"/>
      <c r="EJD5" s="1185"/>
      <c r="EJE5" s="1185"/>
      <c r="EJF5" s="1185"/>
      <c r="EJG5" s="1185"/>
      <c r="EJH5" s="1185"/>
      <c r="EJI5" s="1185"/>
      <c r="EJJ5" s="1185"/>
      <c r="EJK5" s="1185"/>
      <c r="EJL5" s="1185"/>
      <c r="EJM5" s="1185"/>
      <c r="EJN5" s="1185"/>
      <c r="EJO5" s="1185"/>
      <c r="EJP5" s="1185"/>
      <c r="EJQ5" s="1185"/>
      <c r="EJR5" s="1185"/>
      <c r="EJS5" s="1185"/>
      <c r="EJT5" s="1185"/>
      <c r="EJU5" s="1185"/>
      <c r="EJV5" s="1185"/>
      <c r="EJW5" s="1185"/>
      <c r="EJX5" s="1185"/>
      <c r="EJY5" s="1185"/>
      <c r="EJZ5" s="1185"/>
      <c r="EKA5" s="1185"/>
      <c r="EKB5" s="1185"/>
      <c r="EKC5" s="1185"/>
      <c r="EKD5" s="1185"/>
      <c r="EKE5" s="1185"/>
      <c r="EKF5" s="1185"/>
      <c r="EKG5" s="1185"/>
      <c r="EKH5" s="1185"/>
      <c r="EKI5" s="1185"/>
      <c r="EKJ5" s="1185"/>
      <c r="EKK5" s="1185"/>
      <c r="EKL5" s="1185"/>
      <c r="EKM5" s="1185"/>
      <c r="EKN5" s="1185"/>
      <c r="EKO5" s="1185"/>
      <c r="EKP5" s="1185"/>
      <c r="EKQ5" s="1185"/>
      <c r="EKR5" s="1185"/>
      <c r="EKS5" s="1185"/>
      <c r="EKT5" s="1185"/>
      <c r="EKU5" s="1185"/>
      <c r="EKV5" s="1185"/>
      <c r="EKW5" s="1185"/>
      <c r="EKX5" s="1185"/>
      <c r="EKY5" s="1185"/>
      <c r="EKZ5" s="1185"/>
      <c r="ELA5" s="1185"/>
      <c r="ELB5" s="1185"/>
      <c r="ELC5" s="1185"/>
      <c r="ELD5" s="1185"/>
      <c r="ELE5" s="1185"/>
      <c r="ELF5" s="1185"/>
      <c r="ELG5" s="1185"/>
      <c r="ELH5" s="1185"/>
      <c r="ELI5" s="1185"/>
      <c r="ELJ5" s="1185"/>
      <c r="ELK5" s="1185"/>
      <c r="ELL5" s="1185"/>
      <c r="ELM5" s="1185"/>
      <c r="ELN5" s="1185"/>
      <c r="ELO5" s="1185"/>
      <c r="ELP5" s="1185"/>
      <c r="ELQ5" s="1185"/>
      <c r="ELR5" s="1185"/>
      <c r="ELS5" s="1185"/>
      <c r="ELT5" s="1185"/>
      <c r="ELU5" s="1185"/>
      <c r="ELV5" s="1185"/>
      <c r="ELW5" s="1185"/>
      <c r="ELX5" s="1185"/>
      <c r="ELY5" s="1185"/>
      <c r="ELZ5" s="1185"/>
      <c r="EMA5" s="1185"/>
      <c r="EMB5" s="1185"/>
      <c r="EMC5" s="1185"/>
      <c r="EMD5" s="1185"/>
      <c r="EME5" s="1185"/>
      <c r="EMF5" s="1185"/>
      <c r="EMG5" s="1185"/>
      <c r="EMH5" s="1185"/>
      <c r="EMI5" s="1185"/>
      <c r="EMJ5" s="1185"/>
      <c r="EMK5" s="1185"/>
      <c r="EML5" s="1185"/>
      <c r="EMM5" s="1185"/>
      <c r="EMN5" s="1185"/>
      <c r="EMO5" s="1185"/>
      <c r="EMP5" s="1185"/>
      <c r="EMQ5" s="1185"/>
      <c r="EMR5" s="1185"/>
      <c r="EMS5" s="1185"/>
      <c r="EMT5" s="1185"/>
      <c r="EMU5" s="1185"/>
      <c r="EMV5" s="1185"/>
      <c r="EMW5" s="1185"/>
      <c r="EMX5" s="1185"/>
      <c r="EMY5" s="1185"/>
      <c r="EMZ5" s="1185"/>
      <c r="ENA5" s="1185"/>
      <c r="ENB5" s="1185"/>
      <c r="ENC5" s="1185"/>
      <c r="END5" s="1185"/>
      <c r="ENE5" s="1185"/>
      <c r="ENF5" s="1185"/>
      <c r="ENG5" s="1185"/>
      <c r="ENH5" s="1185"/>
      <c r="ENI5" s="1185"/>
      <c r="ENJ5" s="1185"/>
      <c r="ENK5" s="1185"/>
      <c r="ENL5" s="1185"/>
      <c r="ENM5" s="1185"/>
      <c r="ENN5" s="1185"/>
      <c r="ENO5" s="1185"/>
      <c r="ENP5" s="1185"/>
      <c r="ENQ5" s="1185"/>
      <c r="ENR5" s="1185"/>
      <c r="ENS5" s="1185"/>
      <c r="ENT5" s="1185"/>
      <c r="ENU5" s="1185"/>
      <c r="ENV5" s="1185"/>
      <c r="ENW5" s="1185"/>
      <c r="ENX5" s="1185"/>
      <c r="ENY5" s="1185"/>
      <c r="ENZ5" s="1185"/>
      <c r="EOA5" s="1185"/>
      <c r="EOB5" s="1185"/>
      <c r="EOC5" s="1185"/>
      <c r="EOD5" s="1185"/>
      <c r="EOE5" s="1185"/>
      <c r="EOF5" s="1185"/>
      <c r="EOG5" s="1185"/>
      <c r="EOH5" s="1185"/>
      <c r="EOI5" s="1185"/>
      <c r="EOJ5" s="1185"/>
      <c r="EOK5" s="1185"/>
      <c r="EOL5" s="1185"/>
      <c r="EOM5" s="1185"/>
      <c r="EON5" s="1185"/>
      <c r="EOO5" s="1185"/>
      <c r="EOP5" s="1185"/>
      <c r="EOQ5" s="1185"/>
      <c r="EOR5" s="1185"/>
      <c r="EOS5" s="1185"/>
      <c r="EOT5" s="1185"/>
      <c r="EOU5" s="1185"/>
      <c r="EOV5" s="1185"/>
      <c r="EOW5" s="1185"/>
      <c r="EOX5" s="1185"/>
      <c r="EOY5" s="1185"/>
      <c r="EOZ5" s="1185"/>
      <c r="EPA5" s="1185"/>
      <c r="EPB5" s="1185"/>
      <c r="EPC5" s="1185"/>
      <c r="EPD5" s="1185"/>
      <c r="EPE5" s="1185"/>
      <c r="EPF5" s="1185"/>
      <c r="EPG5" s="1185"/>
      <c r="EPH5" s="1185"/>
      <c r="EPI5" s="1185"/>
      <c r="EPJ5" s="1185"/>
      <c r="EPK5" s="1185"/>
      <c r="EPL5" s="1185"/>
      <c r="EPM5" s="1185"/>
      <c r="EPN5" s="1185"/>
      <c r="EPO5" s="1185"/>
      <c r="EPP5" s="1185"/>
      <c r="EPQ5" s="1185"/>
      <c r="EPR5" s="1185"/>
      <c r="EPS5" s="1185"/>
      <c r="EPT5" s="1185"/>
      <c r="EPU5" s="1185"/>
      <c r="EPV5" s="1185"/>
      <c r="EPW5" s="1185"/>
      <c r="EPX5" s="1185"/>
      <c r="EPY5" s="1185"/>
      <c r="EPZ5" s="1185"/>
      <c r="EQA5" s="1185"/>
      <c r="EQB5" s="1185"/>
      <c r="EQC5" s="1185"/>
      <c r="EQD5" s="1185"/>
      <c r="EQE5" s="1185"/>
      <c r="EQF5" s="1185"/>
      <c r="EQG5" s="1185"/>
      <c r="EQH5" s="1185"/>
      <c r="EQI5" s="1185"/>
      <c r="EQJ5" s="1185"/>
      <c r="EQK5" s="1185"/>
      <c r="EQL5" s="1185"/>
      <c r="EQM5" s="1185"/>
      <c r="EQN5" s="1185"/>
      <c r="EQO5" s="1185"/>
      <c r="EQP5" s="1185"/>
      <c r="EQQ5" s="1185"/>
      <c r="EQR5" s="1185"/>
      <c r="EQS5" s="1185"/>
      <c r="EQT5" s="1185"/>
      <c r="EQU5" s="1185"/>
      <c r="EQV5" s="1185"/>
      <c r="EQW5" s="1185"/>
      <c r="EQX5" s="1185"/>
      <c r="EQY5" s="1185"/>
      <c r="EQZ5" s="1185"/>
      <c r="ERA5" s="1185"/>
      <c r="ERB5" s="1185"/>
      <c r="ERC5" s="1185"/>
      <c r="ERD5" s="1185"/>
      <c r="ERE5" s="1185"/>
      <c r="ERF5" s="1185"/>
      <c r="ERG5" s="1185"/>
      <c r="ERH5" s="1185"/>
      <c r="ERI5" s="1185"/>
      <c r="ERJ5" s="1185"/>
      <c r="ERK5" s="1185"/>
      <c r="ERL5" s="1185"/>
      <c r="ERM5" s="1185"/>
      <c r="ERN5" s="1185"/>
      <c r="ERO5" s="1185"/>
      <c r="ERP5" s="1185"/>
      <c r="ERQ5" s="1185"/>
      <c r="ERR5" s="1185"/>
      <c r="ERS5" s="1185"/>
      <c r="ERT5" s="1185"/>
      <c r="ERU5" s="1185"/>
      <c r="ERV5" s="1185"/>
      <c r="ERW5" s="1185"/>
      <c r="ERX5" s="1185"/>
      <c r="ERY5" s="1185"/>
      <c r="ERZ5" s="1185"/>
      <c r="ESA5" s="1185"/>
      <c r="ESB5" s="1185"/>
      <c r="ESC5" s="1185"/>
      <c r="ESD5" s="1185"/>
      <c r="ESE5" s="1185"/>
      <c r="ESF5" s="1185"/>
      <c r="ESG5" s="1185"/>
      <c r="ESH5" s="1185"/>
      <c r="ESI5" s="1185"/>
      <c r="ESJ5" s="1185"/>
      <c r="ESK5" s="1185"/>
      <c r="ESL5" s="1185"/>
      <c r="ESM5" s="1185"/>
      <c r="ESN5" s="1185"/>
      <c r="ESO5" s="1185"/>
      <c r="ESP5" s="1185"/>
      <c r="ESQ5" s="1185"/>
      <c r="ESR5" s="1185"/>
      <c r="ESS5" s="1185"/>
      <c r="EST5" s="1185"/>
      <c r="ESU5" s="1185"/>
      <c r="ESV5" s="1185"/>
      <c r="ESW5" s="1185"/>
      <c r="ESX5" s="1185"/>
      <c r="ESY5" s="1185"/>
      <c r="ESZ5" s="1185"/>
      <c r="ETA5" s="1185"/>
      <c r="ETB5" s="1185"/>
      <c r="ETC5" s="1185"/>
      <c r="ETD5" s="1185"/>
      <c r="ETE5" s="1185"/>
      <c r="ETF5" s="1185"/>
      <c r="ETG5" s="1185"/>
      <c r="ETH5" s="1185"/>
      <c r="ETI5" s="1185"/>
      <c r="ETJ5" s="1185"/>
      <c r="ETK5" s="1185"/>
      <c r="ETL5" s="1185"/>
      <c r="ETM5" s="1185"/>
      <c r="ETN5" s="1185"/>
      <c r="ETO5" s="1185"/>
      <c r="ETP5" s="1185"/>
      <c r="ETQ5" s="1185"/>
      <c r="ETR5" s="1185"/>
      <c r="ETS5" s="1185"/>
      <c r="ETT5" s="1185"/>
      <c r="ETU5" s="1185"/>
      <c r="ETV5" s="1185"/>
      <c r="ETW5" s="1185"/>
      <c r="ETX5" s="1185"/>
      <c r="ETY5" s="1185"/>
      <c r="ETZ5" s="1185"/>
      <c r="EUA5" s="1185"/>
      <c r="EUB5" s="1185"/>
      <c r="EUC5" s="1185"/>
      <c r="EUD5" s="1185"/>
      <c r="EUE5" s="1185"/>
      <c r="EUF5" s="1185"/>
      <c r="EUG5" s="1185"/>
      <c r="EUH5" s="1185"/>
      <c r="EUI5" s="1185"/>
      <c r="EUJ5" s="1185"/>
      <c r="EUK5" s="1185"/>
      <c r="EUL5" s="1185"/>
      <c r="EUM5" s="1185"/>
      <c r="EUN5" s="1185"/>
      <c r="EUO5" s="1185"/>
      <c r="EUP5" s="1185"/>
      <c r="EUQ5" s="1185"/>
      <c r="EUR5" s="1185"/>
      <c r="EUS5" s="1185"/>
      <c r="EUT5" s="1185"/>
      <c r="EUU5" s="1185"/>
      <c r="EUV5" s="1185"/>
      <c r="EUW5" s="1185"/>
      <c r="EUX5" s="1185"/>
      <c r="EUY5" s="1185"/>
      <c r="EUZ5" s="1185"/>
      <c r="EVA5" s="1185"/>
      <c r="EVB5" s="1185"/>
      <c r="EVC5" s="1185"/>
      <c r="EVD5" s="1185"/>
      <c r="EVE5" s="1185"/>
      <c r="EVF5" s="1185"/>
      <c r="EVG5" s="1185"/>
      <c r="EVH5" s="1185"/>
      <c r="EVI5" s="1185"/>
      <c r="EVJ5" s="1185"/>
      <c r="EVK5" s="1185"/>
      <c r="EVL5" s="1185"/>
      <c r="EVM5" s="1185"/>
      <c r="EVN5" s="1185"/>
      <c r="EVO5" s="1185"/>
      <c r="EVP5" s="1185"/>
      <c r="EVQ5" s="1185"/>
      <c r="EVR5" s="1185"/>
      <c r="EVS5" s="1185"/>
      <c r="EVT5" s="1185"/>
      <c r="EVU5" s="1185"/>
      <c r="EVV5" s="1185"/>
      <c r="EVW5" s="1185"/>
      <c r="EVX5" s="1185"/>
      <c r="EVY5" s="1185"/>
      <c r="EVZ5" s="1185"/>
      <c r="EWA5" s="1185"/>
      <c r="EWB5" s="1185"/>
      <c r="EWC5" s="1185"/>
      <c r="EWD5" s="1185"/>
      <c r="EWE5" s="1185"/>
      <c r="EWF5" s="1185"/>
      <c r="EWG5" s="1185"/>
      <c r="EWH5" s="1185"/>
      <c r="EWI5" s="1185"/>
      <c r="EWJ5" s="1185"/>
      <c r="EWK5" s="1185"/>
      <c r="EWL5" s="1185"/>
      <c r="EWM5" s="1185"/>
      <c r="EWN5" s="1185"/>
      <c r="EWO5" s="1185"/>
      <c r="EWP5" s="1185"/>
      <c r="EWQ5" s="1185"/>
      <c r="EWR5" s="1185"/>
      <c r="EWS5" s="1185"/>
      <c r="EWT5" s="1185"/>
      <c r="EWU5" s="1185"/>
      <c r="EWV5" s="1185"/>
      <c r="EWW5" s="1185"/>
      <c r="EWX5" s="1185"/>
      <c r="EWY5" s="1185"/>
      <c r="EWZ5" s="1185"/>
      <c r="EXA5" s="1185"/>
      <c r="EXB5" s="1185"/>
      <c r="EXC5" s="1185"/>
      <c r="EXD5" s="1185"/>
      <c r="EXE5" s="1185"/>
      <c r="EXF5" s="1185"/>
      <c r="EXG5" s="1185"/>
      <c r="EXH5" s="1185"/>
      <c r="EXI5" s="1185"/>
      <c r="EXJ5" s="1185"/>
      <c r="EXK5" s="1185"/>
      <c r="EXL5" s="1185"/>
      <c r="EXM5" s="1185"/>
      <c r="EXN5" s="1185"/>
      <c r="EXO5" s="1185"/>
      <c r="EXP5" s="1185"/>
      <c r="EXQ5" s="1185"/>
      <c r="EXR5" s="1185"/>
      <c r="EXS5" s="1185"/>
      <c r="EXT5" s="1185"/>
      <c r="EXU5" s="1185"/>
      <c r="EXV5" s="1185"/>
      <c r="EXW5" s="1185"/>
      <c r="EXX5" s="1185"/>
      <c r="EXY5" s="1185"/>
      <c r="EXZ5" s="1185"/>
      <c r="EYA5" s="1185"/>
      <c r="EYB5" s="1185"/>
      <c r="EYC5" s="1185"/>
      <c r="EYD5" s="1185"/>
      <c r="EYE5" s="1185"/>
      <c r="EYF5" s="1185"/>
      <c r="EYG5" s="1185"/>
      <c r="EYH5" s="1185"/>
      <c r="EYI5" s="1185"/>
      <c r="EYJ5" s="1185"/>
      <c r="EYK5" s="1185"/>
      <c r="EYL5" s="1185"/>
      <c r="EYM5" s="1185"/>
      <c r="EYN5" s="1185"/>
      <c r="EYO5" s="1185"/>
      <c r="EYP5" s="1185"/>
      <c r="EYQ5" s="1185"/>
      <c r="EYR5" s="1185"/>
      <c r="EYS5" s="1185"/>
      <c r="EYT5" s="1185"/>
      <c r="EYU5" s="1185"/>
      <c r="EYV5" s="1185"/>
      <c r="EYW5" s="1185"/>
      <c r="EYX5" s="1185"/>
      <c r="EYY5" s="1185"/>
      <c r="EYZ5" s="1185"/>
      <c r="EZA5" s="1185"/>
      <c r="EZB5" s="1185"/>
      <c r="EZC5" s="1185"/>
      <c r="EZD5" s="1185"/>
      <c r="EZE5" s="1185"/>
      <c r="EZF5" s="1185"/>
      <c r="EZG5" s="1185"/>
      <c r="EZH5" s="1185"/>
      <c r="EZI5" s="1185"/>
      <c r="EZJ5" s="1185"/>
      <c r="EZK5" s="1185"/>
      <c r="EZL5" s="1185"/>
      <c r="EZM5" s="1185"/>
      <c r="EZN5" s="1185"/>
      <c r="EZO5" s="1185"/>
      <c r="EZP5" s="1185"/>
      <c r="EZQ5" s="1185"/>
      <c r="EZR5" s="1185"/>
      <c r="EZS5" s="1185"/>
      <c r="EZT5" s="1185"/>
      <c r="EZU5" s="1185"/>
      <c r="EZV5" s="1185"/>
      <c r="EZW5" s="1185"/>
      <c r="EZX5" s="1185"/>
      <c r="EZY5" s="1185"/>
      <c r="EZZ5" s="1185"/>
      <c r="FAA5" s="1185"/>
      <c r="FAB5" s="1185"/>
      <c r="FAC5" s="1185"/>
      <c r="FAD5" s="1185"/>
      <c r="FAE5" s="1185"/>
      <c r="FAF5" s="1185"/>
      <c r="FAG5" s="1185"/>
      <c r="FAH5" s="1185"/>
      <c r="FAI5" s="1185"/>
      <c r="FAJ5" s="1185"/>
      <c r="FAK5" s="1185"/>
      <c r="FAL5" s="1185"/>
      <c r="FAM5" s="1185"/>
      <c r="FAN5" s="1185"/>
      <c r="FAO5" s="1185"/>
      <c r="FAP5" s="1185"/>
      <c r="FAQ5" s="1185"/>
      <c r="FAR5" s="1185"/>
      <c r="FAS5" s="1185"/>
      <c r="FAT5" s="1185"/>
      <c r="FAU5" s="1185"/>
      <c r="FAV5" s="1185"/>
      <c r="FAW5" s="1185"/>
      <c r="FAX5" s="1185"/>
      <c r="FAY5" s="1185"/>
      <c r="FAZ5" s="1185"/>
      <c r="FBA5" s="1185"/>
      <c r="FBB5" s="1185"/>
      <c r="FBC5" s="1185"/>
      <c r="FBD5" s="1185"/>
      <c r="FBE5" s="1185"/>
      <c r="FBF5" s="1185"/>
      <c r="FBG5" s="1185"/>
      <c r="FBH5" s="1185"/>
      <c r="FBI5" s="1185"/>
      <c r="FBJ5" s="1185"/>
      <c r="FBK5" s="1185"/>
      <c r="FBL5" s="1185"/>
      <c r="FBM5" s="1185"/>
      <c r="FBN5" s="1185"/>
      <c r="FBO5" s="1185"/>
      <c r="FBP5" s="1185"/>
      <c r="FBQ5" s="1185"/>
      <c r="FBR5" s="1185"/>
      <c r="FBS5" s="1185"/>
      <c r="FBT5" s="1185"/>
      <c r="FBU5" s="1185"/>
      <c r="FBV5" s="1185"/>
      <c r="FBW5" s="1185"/>
      <c r="FBX5" s="1185"/>
      <c r="FBY5" s="1185"/>
      <c r="FBZ5" s="1185"/>
      <c r="FCA5" s="1185"/>
      <c r="FCB5" s="1185"/>
      <c r="FCC5" s="1185"/>
      <c r="FCD5" s="1185"/>
      <c r="FCE5" s="1185"/>
      <c r="FCF5" s="1185"/>
      <c r="FCG5" s="1185"/>
      <c r="FCH5" s="1185"/>
      <c r="FCI5" s="1185"/>
      <c r="FCJ5" s="1185"/>
      <c r="FCK5" s="1185"/>
      <c r="FCL5" s="1185"/>
      <c r="FCM5" s="1185"/>
      <c r="FCN5" s="1185"/>
      <c r="FCO5" s="1185"/>
      <c r="FCP5" s="1185"/>
      <c r="FCQ5" s="1185"/>
      <c r="FCR5" s="1185"/>
      <c r="FCS5" s="1185"/>
      <c r="FCT5" s="1185"/>
      <c r="FCU5" s="1185"/>
      <c r="FCV5" s="1185"/>
      <c r="FCW5" s="1185"/>
      <c r="FCX5" s="1185"/>
      <c r="FCY5" s="1185"/>
      <c r="FCZ5" s="1185"/>
      <c r="FDA5" s="1185"/>
      <c r="FDB5" s="1185"/>
      <c r="FDC5" s="1185"/>
      <c r="FDD5" s="1185"/>
      <c r="FDE5" s="1185"/>
      <c r="FDF5" s="1185"/>
      <c r="FDG5" s="1185"/>
      <c r="FDH5" s="1185"/>
      <c r="FDI5" s="1185"/>
      <c r="FDJ5" s="1185"/>
      <c r="FDK5" s="1185"/>
      <c r="FDL5" s="1185"/>
      <c r="FDM5" s="1185"/>
      <c r="FDN5" s="1185"/>
      <c r="FDO5" s="1185"/>
      <c r="FDP5" s="1185"/>
      <c r="FDQ5" s="1185"/>
      <c r="FDR5" s="1185"/>
      <c r="FDS5" s="1185"/>
      <c r="FDT5" s="1185"/>
      <c r="FDU5" s="1185"/>
      <c r="FDV5" s="1185"/>
      <c r="FDW5" s="1185"/>
      <c r="FDX5" s="1185"/>
      <c r="FDY5" s="1185"/>
      <c r="FDZ5" s="1185"/>
      <c r="FEA5" s="1185"/>
      <c r="FEB5" s="1185"/>
      <c r="FEC5" s="1185"/>
      <c r="FED5" s="1185"/>
      <c r="FEE5" s="1185"/>
      <c r="FEF5" s="1185"/>
      <c r="FEG5" s="1185"/>
      <c r="FEH5" s="1185"/>
      <c r="FEI5" s="1185"/>
      <c r="FEJ5" s="1185"/>
      <c r="FEK5" s="1185"/>
      <c r="FEL5" s="1185"/>
      <c r="FEM5" s="1185"/>
      <c r="FEN5" s="1185"/>
      <c r="FEO5" s="1185"/>
      <c r="FEP5" s="1185"/>
      <c r="FEQ5" s="1185"/>
      <c r="FER5" s="1185"/>
      <c r="FES5" s="1185"/>
      <c r="FET5" s="1185"/>
      <c r="FEU5" s="1185"/>
      <c r="FEV5" s="1185"/>
      <c r="FEW5" s="1185"/>
      <c r="FEX5" s="1185"/>
      <c r="FEY5" s="1185"/>
      <c r="FEZ5" s="1185"/>
      <c r="FFA5" s="1185"/>
      <c r="FFB5" s="1185"/>
      <c r="FFC5" s="1185"/>
      <c r="FFD5" s="1185"/>
      <c r="FFE5" s="1185"/>
      <c r="FFF5" s="1185"/>
      <c r="FFG5" s="1185"/>
      <c r="FFH5" s="1185"/>
      <c r="FFI5" s="1185"/>
      <c r="FFJ5" s="1185"/>
      <c r="FFK5" s="1185"/>
      <c r="FFL5" s="1185"/>
      <c r="FFM5" s="1185"/>
      <c r="FFN5" s="1185"/>
      <c r="FFO5" s="1185"/>
      <c r="FFP5" s="1185"/>
      <c r="FFQ5" s="1185"/>
      <c r="FFR5" s="1185"/>
      <c r="FFS5" s="1185"/>
      <c r="FFT5" s="1185"/>
      <c r="FFU5" s="1185"/>
      <c r="FFV5" s="1185"/>
      <c r="FFW5" s="1185"/>
      <c r="FFX5" s="1185"/>
      <c r="FFY5" s="1185"/>
      <c r="FFZ5" s="1185"/>
      <c r="FGA5" s="1185"/>
      <c r="FGB5" s="1185"/>
      <c r="FGC5" s="1185"/>
      <c r="FGD5" s="1185"/>
      <c r="FGE5" s="1185"/>
      <c r="FGF5" s="1185"/>
      <c r="FGG5" s="1185"/>
      <c r="FGH5" s="1185"/>
      <c r="FGI5" s="1185"/>
      <c r="FGJ5" s="1185"/>
      <c r="FGK5" s="1185"/>
      <c r="FGL5" s="1185"/>
      <c r="FGM5" s="1185"/>
      <c r="FGN5" s="1185"/>
      <c r="FGO5" s="1185"/>
      <c r="FGP5" s="1185"/>
      <c r="FGQ5" s="1185"/>
      <c r="FGR5" s="1185"/>
      <c r="FGS5" s="1185"/>
      <c r="FGT5" s="1185"/>
      <c r="FGU5" s="1185"/>
      <c r="FGV5" s="1185"/>
      <c r="FGW5" s="1185"/>
      <c r="FGX5" s="1185"/>
      <c r="FGY5" s="1185"/>
      <c r="FGZ5" s="1185"/>
      <c r="FHA5" s="1185"/>
      <c r="FHB5" s="1185"/>
      <c r="FHC5" s="1185"/>
      <c r="FHD5" s="1185"/>
      <c r="FHE5" s="1185"/>
      <c r="FHF5" s="1185"/>
      <c r="FHG5" s="1185"/>
      <c r="FHH5" s="1185"/>
      <c r="FHI5" s="1185"/>
      <c r="FHJ5" s="1185"/>
      <c r="FHK5" s="1185"/>
      <c r="FHL5" s="1185"/>
      <c r="FHM5" s="1185"/>
      <c r="FHN5" s="1185"/>
      <c r="FHO5" s="1185"/>
      <c r="FHP5" s="1185"/>
      <c r="FHQ5" s="1185"/>
      <c r="FHR5" s="1185"/>
      <c r="FHS5" s="1185"/>
      <c r="FHT5" s="1185"/>
      <c r="FHU5" s="1185"/>
      <c r="FHV5" s="1185"/>
      <c r="FHW5" s="1185"/>
      <c r="FHX5" s="1185"/>
      <c r="FHY5" s="1185"/>
      <c r="FHZ5" s="1185"/>
      <c r="FIA5" s="1185"/>
      <c r="FIB5" s="1185"/>
      <c r="FIC5" s="1185"/>
      <c r="FID5" s="1185"/>
      <c r="FIE5" s="1185"/>
      <c r="FIF5" s="1185"/>
      <c r="FIG5" s="1185"/>
      <c r="FIH5" s="1185"/>
      <c r="FII5" s="1185"/>
      <c r="FIJ5" s="1185"/>
      <c r="FIK5" s="1185"/>
      <c r="FIL5" s="1185"/>
      <c r="FIM5" s="1185"/>
      <c r="FIN5" s="1185"/>
      <c r="FIO5" s="1185"/>
      <c r="FIP5" s="1185"/>
      <c r="FIQ5" s="1185"/>
      <c r="FIR5" s="1185"/>
      <c r="FIS5" s="1185"/>
      <c r="FIT5" s="1185"/>
      <c r="FIU5" s="1185"/>
      <c r="FIV5" s="1185"/>
      <c r="FIW5" s="1185"/>
      <c r="FIX5" s="1185"/>
      <c r="FIY5" s="1185"/>
      <c r="FIZ5" s="1185"/>
      <c r="FJA5" s="1185"/>
      <c r="FJB5" s="1185"/>
      <c r="FJC5" s="1185"/>
      <c r="FJD5" s="1185"/>
      <c r="FJE5" s="1185"/>
      <c r="FJF5" s="1185"/>
      <c r="FJG5" s="1185"/>
      <c r="FJH5" s="1185"/>
      <c r="FJI5" s="1185"/>
      <c r="FJJ5" s="1185"/>
      <c r="FJK5" s="1185"/>
      <c r="FJL5" s="1185"/>
      <c r="FJM5" s="1185"/>
      <c r="FJN5" s="1185"/>
      <c r="FJO5" s="1185"/>
      <c r="FJP5" s="1185"/>
      <c r="FJQ5" s="1185"/>
      <c r="FJR5" s="1185"/>
      <c r="FJS5" s="1185"/>
      <c r="FJT5" s="1185"/>
      <c r="FJU5" s="1185"/>
      <c r="FJV5" s="1185"/>
      <c r="FJW5" s="1185"/>
      <c r="FJX5" s="1185"/>
      <c r="FJY5" s="1185"/>
      <c r="FJZ5" s="1185"/>
      <c r="FKA5" s="1185"/>
      <c r="FKB5" s="1185"/>
      <c r="FKC5" s="1185"/>
      <c r="FKD5" s="1185"/>
      <c r="FKE5" s="1185"/>
      <c r="FKF5" s="1185"/>
      <c r="FKG5" s="1185"/>
      <c r="FKH5" s="1185"/>
      <c r="FKI5" s="1185"/>
      <c r="FKJ5" s="1185"/>
      <c r="FKK5" s="1185"/>
      <c r="FKL5" s="1185"/>
      <c r="FKM5" s="1185"/>
      <c r="FKN5" s="1185"/>
      <c r="FKO5" s="1185"/>
      <c r="FKP5" s="1185"/>
      <c r="FKQ5" s="1185"/>
      <c r="FKR5" s="1185"/>
      <c r="FKS5" s="1185"/>
      <c r="FKT5" s="1185"/>
      <c r="FKU5" s="1185"/>
      <c r="FKV5" s="1185"/>
      <c r="FKW5" s="1185"/>
      <c r="FKX5" s="1185"/>
      <c r="FKY5" s="1185"/>
      <c r="FKZ5" s="1185"/>
      <c r="FLA5" s="1185"/>
      <c r="FLB5" s="1185"/>
      <c r="FLC5" s="1185"/>
      <c r="FLD5" s="1185"/>
      <c r="FLE5" s="1185"/>
      <c r="FLF5" s="1185"/>
      <c r="FLG5" s="1185"/>
      <c r="FLH5" s="1185"/>
      <c r="FLI5" s="1185"/>
      <c r="FLJ5" s="1185"/>
      <c r="FLK5" s="1185"/>
      <c r="FLL5" s="1185"/>
      <c r="FLM5" s="1185"/>
      <c r="FLN5" s="1185"/>
      <c r="FLO5" s="1185"/>
      <c r="FLP5" s="1185"/>
      <c r="FLQ5" s="1185"/>
      <c r="FLR5" s="1185"/>
      <c r="FLS5" s="1185"/>
      <c r="FLT5" s="1185"/>
      <c r="FLU5" s="1185"/>
      <c r="FLV5" s="1185"/>
      <c r="FLW5" s="1185"/>
      <c r="FLX5" s="1185"/>
      <c r="FLY5" s="1185"/>
      <c r="FLZ5" s="1185"/>
      <c r="FMA5" s="1185"/>
      <c r="FMB5" s="1185"/>
      <c r="FMC5" s="1185"/>
      <c r="FMD5" s="1185"/>
      <c r="FME5" s="1185"/>
      <c r="FMF5" s="1185"/>
      <c r="FMG5" s="1185"/>
      <c r="FMH5" s="1185"/>
      <c r="FMI5" s="1185"/>
      <c r="FMJ5" s="1185"/>
      <c r="FMK5" s="1185"/>
      <c r="FML5" s="1185"/>
      <c r="FMM5" s="1185"/>
      <c r="FMN5" s="1185"/>
      <c r="FMO5" s="1185"/>
      <c r="FMP5" s="1185"/>
      <c r="FMQ5" s="1185"/>
      <c r="FMR5" s="1185"/>
      <c r="FMS5" s="1185"/>
      <c r="FMT5" s="1185"/>
      <c r="FMU5" s="1185"/>
      <c r="FMV5" s="1185"/>
      <c r="FMW5" s="1185"/>
      <c r="FMX5" s="1185"/>
      <c r="FMY5" s="1185"/>
      <c r="FMZ5" s="1185"/>
      <c r="FNA5" s="1185"/>
      <c r="FNB5" s="1185"/>
      <c r="FNC5" s="1185"/>
      <c r="FND5" s="1185"/>
      <c r="FNE5" s="1185"/>
      <c r="FNF5" s="1185"/>
      <c r="FNG5" s="1185"/>
      <c r="FNH5" s="1185"/>
      <c r="FNI5" s="1185"/>
      <c r="FNJ5" s="1185"/>
      <c r="FNK5" s="1185"/>
      <c r="FNL5" s="1185"/>
      <c r="FNM5" s="1185"/>
      <c r="FNN5" s="1185"/>
      <c r="FNO5" s="1185"/>
      <c r="FNP5" s="1185"/>
      <c r="FNQ5" s="1185"/>
      <c r="FNR5" s="1185"/>
      <c r="FNS5" s="1185"/>
      <c r="FNT5" s="1185"/>
      <c r="FNU5" s="1185"/>
      <c r="FNV5" s="1185"/>
      <c r="FNW5" s="1185"/>
      <c r="FNX5" s="1185"/>
      <c r="FNY5" s="1185"/>
      <c r="FNZ5" s="1185"/>
      <c r="FOA5" s="1185"/>
      <c r="FOB5" s="1185"/>
      <c r="FOC5" s="1185"/>
      <c r="FOD5" s="1185"/>
      <c r="FOE5" s="1185"/>
      <c r="FOF5" s="1185"/>
      <c r="FOG5" s="1185"/>
      <c r="FOH5" s="1185"/>
      <c r="FOI5" s="1185"/>
      <c r="FOJ5" s="1185"/>
      <c r="FOK5" s="1185"/>
      <c r="FOL5" s="1185"/>
      <c r="FOM5" s="1185"/>
      <c r="FON5" s="1185"/>
      <c r="FOO5" s="1185"/>
      <c r="FOP5" s="1185"/>
      <c r="FOQ5" s="1185"/>
      <c r="FOR5" s="1185"/>
      <c r="FOS5" s="1185"/>
      <c r="FOT5" s="1185"/>
      <c r="FOU5" s="1185"/>
      <c r="FOV5" s="1185"/>
      <c r="FOW5" s="1185"/>
      <c r="FOX5" s="1185"/>
      <c r="FOY5" s="1185"/>
      <c r="FOZ5" s="1185"/>
      <c r="FPA5" s="1185"/>
      <c r="FPB5" s="1185"/>
      <c r="FPC5" s="1185"/>
      <c r="FPD5" s="1185"/>
      <c r="FPE5" s="1185"/>
      <c r="FPF5" s="1185"/>
      <c r="FPG5" s="1185"/>
      <c r="FPH5" s="1185"/>
      <c r="FPI5" s="1185"/>
      <c r="FPJ5" s="1185"/>
      <c r="FPK5" s="1185"/>
      <c r="FPL5" s="1185"/>
      <c r="FPM5" s="1185"/>
      <c r="FPN5" s="1185"/>
      <c r="FPO5" s="1185"/>
      <c r="FPP5" s="1185"/>
      <c r="FPQ5" s="1185"/>
      <c r="FPR5" s="1185"/>
      <c r="FPS5" s="1185"/>
      <c r="FPT5" s="1185"/>
      <c r="FPU5" s="1185"/>
      <c r="FPV5" s="1185"/>
      <c r="FPW5" s="1185"/>
      <c r="FPX5" s="1185"/>
      <c r="FPY5" s="1185"/>
      <c r="FPZ5" s="1185"/>
      <c r="FQA5" s="1185"/>
      <c r="FQB5" s="1185"/>
      <c r="FQC5" s="1185"/>
      <c r="FQD5" s="1185"/>
      <c r="FQE5" s="1185"/>
      <c r="FQF5" s="1185"/>
      <c r="FQG5" s="1185"/>
      <c r="FQH5" s="1185"/>
      <c r="FQI5" s="1185"/>
      <c r="FQJ5" s="1185"/>
      <c r="FQK5" s="1185"/>
      <c r="FQL5" s="1185"/>
      <c r="FQM5" s="1185"/>
      <c r="FQN5" s="1185"/>
      <c r="FQO5" s="1185"/>
      <c r="FQP5" s="1185"/>
      <c r="FQQ5" s="1185"/>
      <c r="FQR5" s="1185"/>
      <c r="FQS5" s="1185"/>
      <c r="FQT5" s="1185"/>
      <c r="FQU5" s="1185"/>
      <c r="FQV5" s="1185"/>
      <c r="FQW5" s="1185"/>
      <c r="FQX5" s="1185"/>
      <c r="FQY5" s="1185"/>
      <c r="FQZ5" s="1185"/>
      <c r="FRA5" s="1185"/>
      <c r="FRB5" s="1185"/>
      <c r="FRC5" s="1185"/>
      <c r="FRD5" s="1185"/>
      <c r="FRE5" s="1185"/>
      <c r="FRF5" s="1185"/>
      <c r="FRG5" s="1185"/>
      <c r="FRH5" s="1185"/>
      <c r="FRI5" s="1185"/>
      <c r="FRJ5" s="1185"/>
      <c r="FRK5" s="1185"/>
      <c r="FRL5" s="1185"/>
      <c r="FRM5" s="1185"/>
      <c r="FRN5" s="1185"/>
      <c r="FRO5" s="1185"/>
      <c r="FRP5" s="1185"/>
      <c r="FRQ5" s="1185"/>
      <c r="FRR5" s="1185"/>
      <c r="FRS5" s="1185"/>
      <c r="FRT5" s="1185"/>
      <c r="FRU5" s="1185"/>
      <c r="FRV5" s="1185"/>
      <c r="FRW5" s="1185"/>
      <c r="FRX5" s="1185"/>
      <c r="FRY5" s="1185"/>
      <c r="FRZ5" s="1185"/>
      <c r="FSA5" s="1185"/>
      <c r="FSB5" s="1185"/>
      <c r="FSC5" s="1185"/>
      <c r="FSD5" s="1185"/>
      <c r="FSE5" s="1185"/>
      <c r="FSF5" s="1185"/>
      <c r="FSG5" s="1185"/>
      <c r="FSH5" s="1185"/>
      <c r="FSI5" s="1185"/>
      <c r="FSJ5" s="1185"/>
      <c r="FSK5" s="1185"/>
      <c r="FSL5" s="1185"/>
      <c r="FSM5" s="1185"/>
      <c r="FSN5" s="1185"/>
      <c r="FSO5" s="1185"/>
      <c r="FSP5" s="1185"/>
      <c r="FSQ5" s="1185"/>
      <c r="FSR5" s="1185"/>
      <c r="FSS5" s="1185"/>
      <c r="FST5" s="1185"/>
      <c r="FSU5" s="1185"/>
      <c r="FSV5" s="1185"/>
      <c r="FSW5" s="1185"/>
      <c r="FSX5" s="1185"/>
      <c r="FSY5" s="1185"/>
      <c r="FSZ5" s="1185"/>
      <c r="FTA5" s="1185"/>
      <c r="FTB5" s="1185"/>
      <c r="FTC5" s="1185"/>
      <c r="FTD5" s="1185"/>
      <c r="FTE5" s="1185"/>
      <c r="FTF5" s="1185"/>
      <c r="FTG5" s="1185"/>
      <c r="FTH5" s="1185"/>
      <c r="FTI5" s="1185"/>
      <c r="FTJ5" s="1185"/>
      <c r="FTK5" s="1185"/>
      <c r="FTL5" s="1185"/>
      <c r="FTM5" s="1185"/>
      <c r="FTN5" s="1185"/>
      <c r="FTO5" s="1185"/>
      <c r="FTP5" s="1185"/>
      <c r="FTQ5" s="1185"/>
      <c r="FTR5" s="1185"/>
      <c r="FTS5" s="1185"/>
      <c r="FTT5" s="1185"/>
      <c r="FTU5" s="1185"/>
      <c r="FTV5" s="1185"/>
      <c r="FTW5" s="1185"/>
      <c r="FTX5" s="1185"/>
      <c r="FTY5" s="1185"/>
      <c r="FTZ5" s="1185"/>
      <c r="FUA5" s="1185"/>
      <c r="FUB5" s="1185"/>
      <c r="FUC5" s="1185"/>
      <c r="FUD5" s="1185"/>
      <c r="FUE5" s="1185"/>
      <c r="FUF5" s="1185"/>
      <c r="FUG5" s="1185"/>
      <c r="FUH5" s="1185"/>
      <c r="FUI5" s="1185"/>
      <c r="FUJ5" s="1185"/>
      <c r="FUK5" s="1185"/>
      <c r="FUL5" s="1185"/>
      <c r="FUM5" s="1185"/>
      <c r="FUN5" s="1185"/>
      <c r="FUO5" s="1185"/>
      <c r="FUP5" s="1185"/>
      <c r="FUQ5" s="1185"/>
      <c r="FUR5" s="1185"/>
      <c r="FUS5" s="1185"/>
      <c r="FUT5" s="1185"/>
      <c r="FUU5" s="1185"/>
      <c r="FUV5" s="1185"/>
      <c r="FUW5" s="1185"/>
      <c r="FUX5" s="1185"/>
      <c r="FUY5" s="1185"/>
      <c r="FUZ5" s="1185"/>
      <c r="FVA5" s="1185"/>
      <c r="FVB5" s="1185"/>
      <c r="FVC5" s="1185"/>
      <c r="FVD5" s="1185"/>
      <c r="FVE5" s="1185"/>
      <c r="FVF5" s="1185"/>
      <c r="FVG5" s="1185"/>
      <c r="FVH5" s="1185"/>
      <c r="FVI5" s="1185"/>
      <c r="FVJ5" s="1185"/>
      <c r="FVK5" s="1185"/>
      <c r="FVL5" s="1185"/>
      <c r="FVM5" s="1185"/>
      <c r="FVN5" s="1185"/>
      <c r="FVO5" s="1185"/>
      <c r="FVP5" s="1185"/>
      <c r="FVQ5" s="1185"/>
      <c r="FVR5" s="1185"/>
      <c r="FVS5" s="1185"/>
      <c r="FVT5" s="1185"/>
      <c r="FVU5" s="1185"/>
      <c r="FVV5" s="1185"/>
      <c r="FVW5" s="1185"/>
      <c r="FVX5" s="1185"/>
      <c r="FVY5" s="1185"/>
      <c r="FVZ5" s="1185"/>
      <c r="FWA5" s="1185"/>
      <c r="FWB5" s="1185"/>
      <c r="FWC5" s="1185"/>
      <c r="FWD5" s="1185"/>
      <c r="FWE5" s="1185"/>
      <c r="FWF5" s="1185"/>
      <c r="FWG5" s="1185"/>
      <c r="FWH5" s="1185"/>
      <c r="FWI5" s="1185"/>
      <c r="FWJ5" s="1185"/>
      <c r="FWK5" s="1185"/>
      <c r="FWL5" s="1185"/>
      <c r="FWM5" s="1185"/>
      <c r="FWN5" s="1185"/>
      <c r="FWO5" s="1185"/>
      <c r="FWP5" s="1185"/>
      <c r="FWQ5" s="1185"/>
      <c r="FWR5" s="1185"/>
      <c r="FWS5" s="1185"/>
      <c r="FWT5" s="1185"/>
      <c r="FWU5" s="1185"/>
      <c r="FWV5" s="1185"/>
      <c r="FWW5" s="1185"/>
      <c r="FWX5" s="1185"/>
      <c r="FWY5" s="1185"/>
      <c r="FWZ5" s="1185"/>
      <c r="FXA5" s="1185"/>
      <c r="FXB5" s="1185"/>
      <c r="FXC5" s="1185"/>
      <c r="FXD5" s="1185"/>
      <c r="FXE5" s="1185"/>
      <c r="FXF5" s="1185"/>
      <c r="FXG5" s="1185"/>
      <c r="FXH5" s="1185"/>
      <c r="FXI5" s="1185"/>
      <c r="FXJ5" s="1185"/>
      <c r="FXK5" s="1185"/>
      <c r="FXL5" s="1185"/>
      <c r="FXM5" s="1185"/>
      <c r="FXN5" s="1185"/>
      <c r="FXO5" s="1185"/>
      <c r="FXP5" s="1185"/>
      <c r="FXQ5" s="1185"/>
      <c r="FXR5" s="1185"/>
      <c r="FXS5" s="1185"/>
      <c r="FXT5" s="1185"/>
      <c r="FXU5" s="1185"/>
      <c r="FXV5" s="1185"/>
      <c r="FXW5" s="1185"/>
      <c r="FXX5" s="1185"/>
      <c r="FXY5" s="1185"/>
      <c r="FXZ5" s="1185"/>
      <c r="FYA5" s="1185"/>
      <c r="FYB5" s="1185"/>
      <c r="FYC5" s="1185"/>
      <c r="FYD5" s="1185"/>
      <c r="FYE5" s="1185"/>
      <c r="FYF5" s="1185"/>
      <c r="FYG5" s="1185"/>
      <c r="FYH5" s="1185"/>
      <c r="FYI5" s="1185"/>
      <c r="FYJ5" s="1185"/>
      <c r="FYK5" s="1185"/>
      <c r="FYL5" s="1185"/>
      <c r="FYM5" s="1185"/>
      <c r="FYN5" s="1185"/>
      <c r="FYO5" s="1185"/>
      <c r="FYP5" s="1185"/>
      <c r="FYQ5" s="1185"/>
      <c r="FYR5" s="1185"/>
      <c r="FYS5" s="1185"/>
      <c r="FYT5" s="1185"/>
      <c r="FYU5" s="1185"/>
      <c r="FYV5" s="1185"/>
      <c r="FYW5" s="1185"/>
      <c r="FYX5" s="1185"/>
      <c r="FYY5" s="1185"/>
      <c r="FYZ5" s="1185"/>
      <c r="FZA5" s="1185"/>
      <c r="FZB5" s="1185"/>
      <c r="FZC5" s="1185"/>
      <c r="FZD5" s="1185"/>
      <c r="FZE5" s="1185"/>
      <c r="FZF5" s="1185"/>
      <c r="FZG5" s="1185"/>
      <c r="FZH5" s="1185"/>
      <c r="FZI5" s="1185"/>
      <c r="FZJ5" s="1185"/>
      <c r="FZK5" s="1185"/>
      <c r="FZL5" s="1185"/>
      <c r="FZM5" s="1185"/>
      <c r="FZN5" s="1185"/>
      <c r="FZO5" s="1185"/>
      <c r="FZP5" s="1185"/>
      <c r="FZQ5" s="1185"/>
      <c r="FZR5" s="1185"/>
      <c r="FZS5" s="1185"/>
      <c r="FZT5" s="1185"/>
      <c r="FZU5" s="1185"/>
      <c r="FZV5" s="1185"/>
      <c r="FZW5" s="1185"/>
      <c r="FZX5" s="1185"/>
      <c r="FZY5" s="1185"/>
      <c r="FZZ5" s="1185"/>
      <c r="GAA5" s="1185"/>
      <c r="GAB5" s="1185"/>
      <c r="GAC5" s="1185"/>
      <c r="GAD5" s="1185"/>
      <c r="GAE5" s="1185"/>
      <c r="GAF5" s="1185"/>
      <c r="GAG5" s="1185"/>
      <c r="GAH5" s="1185"/>
      <c r="GAI5" s="1185"/>
      <c r="GAJ5" s="1185"/>
      <c r="GAK5" s="1185"/>
      <c r="GAL5" s="1185"/>
      <c r="GAM5" s="1185"/>
      <c r="GAN5" s="1185"/>
      <c r="GAO5" s="1185"/>
      <c r="GAP5" s="1185"/>
      <c r="GAQ5" s="1185"/>
      <c r="GAR5" s="1185"/>
      <c r="GAS5" s="1185"/>
      <c r="GAT5" s="1185"/>
      <c r="GAU5" s="1185"/>
      <c r="GAV5" s="1185"/>
      <c r="GAW5" s="1185"/>
      <c r="GAX5" s="1185"/>
      <c r="GAY5" s="1185"/>
      <c r="GAZ5" s="1185"/>
      <c r="GBA5" s="1185"/>
      <c r="GBB5" s="1185"/>
      <c r="GBC5" s="1185"/>
      <c r="GBD5" s="1185"/>
      <c r="GBE5" s="1185"/>
      <c r="GBF5" s="1185"/>
      <c r="GBG5" s="1185"/>
      <c r="GBH5" s="1185"/>
      <c r="GBI5" s="1185"/>
      <c r="GBJ5" s="1185"/>
      <c r="GBK5" s="1185"/>
      <c r="GBL5" s="1185"/>
      <c r="GBM5" s="1185"/>
      <c r="GBN5" s="1185"/>
      <c r="GBO5" s="1185"/>
      <c r="GBP5" s="1185"/>
      <c r="GBQ5" s="1185"/>
      <c r="GBR5" s="1185"/>
      <c r="GBS5" s="1185"/>
      <c r="GBT5" s="1185"/>
      <c r="GBU5" s="1185"/>
      <c r="GBV5" s="1185"/>
      <c r="GBW5" s="1185"/>
      <c r="GBX5" s="1185"/>
      <c r="GBY5" s="1185"/>
      <c r="GBZ5" s="1185"/>
      <c r="GCA5" s="1185"/>
      <c r="GCB5" s="1185"/>
      <c r="GCC5" s="1185"/>
      <c r="GCD5" s="1185"/>
      <c r="GCE5" s="1185"/>
      <c r="GCF5" s="1185"/>
      <c r="GCG5" s="1185"/>
      <c r="GCH5" s="1185"/>
      <c r="GCI5" s="1185"/>
      <c r="GCJ5" s="1185"/>
      <c r="GCK5" s="1185"/>
      <c r="GCL5" s="1185"/>
      <c r="GCM5" s="1185"/>
      <c r="GCN5" s="1185"/>
      <c r="GCO5" s="1185"/>
      <c r="GCP5" s="1185"/>
      <c r="GCQ5" s="1185"/>
      <c r="GCR5" s="1185"/>
      <c r="GCS5" s="1185"/>
      <c r="GCT5" s="1185"/>
      <c r="GCU5" s="1185"/>
      <c r="GCV5" s="1185"/>
      <c r="GCW5" s="1185"/>
      <c r="GCX5" s="1185"/>
      <c r="GCY5" s="1185"/>
      <c r="GCZ5" s="1185"/>
      <c r="GDA5" s="1185"/>
      <c r="GDB5" s="1185"/>
      <c r="GDC5" s="1185"/>
      <c r="GDD5" s="1185"/>
      <c r="GDE5" s="1185"/>
      <c r="GDF5" s="1185"/>
      <c r="GDG5" s="1185"/>
      <c r="GDH5" s="1185"/>
      <c r="GDI5" s="1185"/>
      <c r="GDJ5" s="1185"/>
      <c r="GDK5" s="1185"/>
      <c r="GDL5" s="1185"/>
      <c r="GDM5" s="1185"/>
      <c r="GDN5" s="1185"/>
      <c r="GDO5" s="1185"/>
      <c r="GDP5" s="1185"/>
      <c r="GDQ5" s="1185"/>
      <c r="GDR5" s="1185"/>
      <c r="GDS5" s="1185"/>
      <c r="GDT5" s="1185"/>
      <c r="GDU5" s="1185"/>
      <c r="GDV5" s="1185"/>
      <c r="GDW5" s="1185"/>
      <c r="GDX5" s="1185"/>
      <c r="GDY5" s="1185"/>
      <c r="GDZ5" s="1185"/>
      <c r="GEA5" s="1185"/>
      <c r="GEB5" s="1185"/>
      <c r="GEC5" s="1185"/>
      <c r="GED5" s="1185"/>
      <c r="GEE5" s="1185"/>
      <c r="GEF5" s="1185"/>
      <c r="GEG5" s="1185"/>
      <c r="GEH5" s="1185"/>
      <c r="GEI5" s="1185"/>
      <c r="GEJ5" s="1185"/>
      <c r="GEK5" s="1185"/>
      <c r="GEL5" s="1185"/>
      <c r="GEM5" s="1185"/>
      <c r="GEN5" s="1185"/>
      <c r="GEO5" s="1185"/>
      <c r="GEP5" s="1185"/>
      <c r="GEQ5" s="1185"/>
      <c r="GER5" s="1185"/>
      <c r="GES5" s="1185"/>
      <c r="GET5" s="1185"/>
      <c r="GEU5" s="1185"/>
      <c r="GEV5" s="1185"/>
      <c r="GEW5" s="1185"/>
      <c r="GEX5" s="1185"/>
      <c r="GEY5" s="1185"/>
      <c r="GEZ5" s="1185"/>
      <c r="GFA5" s="1185"/>
      <c r="GFB5" s="1185"/>
      <c r="GFC5" s="1185"/>
      <c r="GFD5" s="1185"/>
      <c r="GFE5" s="1185"/>
      <c r="GFF5" s="1185"/>
      <c r="GFG5" s="1185"/>
      <c r="GFH5" s="1185"/>
      <c r="GFI5" s="1185"/>
      <c r="GFJ5" s="1185"/>
      <c r="GFK5" s="1185"/>
      <c r="GFL5" s="1185"/>
      <c r="GFM5" s="1185"/>
      <c r="GFN5" s="1185"/>
      <c r="GFO5" s="1185"/>
      <c r="GFP5" s="1185"/>
      <c r="GFQ5" s="1185"/>
      <c r="GFR5" s="1185"/>
      <c r="GFS5" s="1185"/>
      <c r="GFT5" s="1185"/>
      <c r="GFU5" s="1185"/>
      <c r="GFV5" s="1185"/>
      <c r="GFW5" s="1185"/>
      <c r="GFX5" s="1185"/>
      <c r="GFY5" s="1185"/>
      <c r="GFZ5" s="1185"/>
      <c r="GGA5" s="1185"/>
      <c r="GGB5" s="1185"/>
      <c r="GGC5" s="1185"/>
      <c r="GGD5" s="1185"/>
      <c r="GGE5" s="1185"/>
      <c r="GGF5" s="1185"/>
      <c r="GGG5" s="1185"/>
      <c r="GGH5" s="1185"/>
      <c r="GGI5" s="1185"/>
      <c r="GGJ5" s="1185"/>
      <c r="GGK5" s="1185"/>
      <c r="GGL5" s="1185"/>
      <c r="GGM5" s="1185"/>
      <c r="GGN5" s="1185"/>
      <c r="GGO5" s="1185"/>
      <c r="GGP5" s="1185"/>
      <c r="GGQ5" s="1185"/>
      <c r="GGR5" s="1185"/>
      <c r="GGS5" s="1185"/>
      <c r="GGT5" s="1185"/>
      <c r="GGU5" s="1185"/>
      <c r="GGV5" s="1185"/>
      <c r="GGW5" s="1185"/>
      <c r="GGX5" s="1185"/>
      <c r="GGY5" s="1185"/>
      <c r="GGZ5" s="1185"/>
      <c r="GHA5" s="1185"/>
      <c r="GHB5" s="1185"/>
      <c r="GHC5" s="1185"/>
      <c r="GHD5" s="1185"/>
      <c r="GHE5" s="1185"/>
      <c r="GHF5" s="1185"/>
      <c r="GHG5" s="1185"/>
      <c r="GHH5" s="1185"/>
      <c r="GHI5" s="1185"/>
      <c r="GHJ5" s="1185"/>
      <c r="GHK5" s="1185"/>
      <c r="GHL5" s="1185"/>
      <c r="GHM5" s="1185"/>
      <c r="GHN5" s="1185"/>
      <c r="GHO5" s="1185"/>
      <c r="GHP5" s="1185"/>
      <c r="GHQ5" s="1185"/>
      <c r="GHR5" s="1185"/>
      <c r="GHS5" s="1185"/>
      <c r="GHT5" s="1185"/>
      <c r="GHU5" s="1185"/>
      <c r="GHV5" s="1185"/>
      <c r="GHW5" s="1185"/>
      <c r="GHX5" s="1185"/>
      <c r="GHY5" s="1185"/>
      <c r="GHZ5" s="1185"/>
      <c r="GIA5" s="1185"/>
      <c r="GIB5" s="1185"/>
      <c r="GIC5" s="1185"/>
      <c r="GID5" s="1185"/>
      <c r="GIE5" s="1185"/>
      <c r="GIF5" s="1185"/>
      <c r="GIG5" s="1185"/>
      <c r="GIH5" s="1185"/>
      <c r="GII5" s="1185"/>
      <c r="GIJ5" s="1185"/>
      <c r="GIK5" s="1185"/>
      <c r="GIL5" s="1185"/>
      <c r="GIM5" s="1185"/>
      <c r="GIN5" s="1185"/>
      <c r="GIO5" s="1185"/>
      <c r="GIP5" s="1185"/>
      <c r="GIQ5" s="1185"/>
      <c r="GIR5" s="1185"/>
      <c r="GIS5" s="1185"/>
      <c r="GIT5" s="1185"/>
      <c r="GIU5" s="1185"/>
      <c r="GIV5" s="1185"/>
      <c r="GIW5" s="1185"/>
      <c r="GIX5" s="1185"/>
      <c r="GIY5" s="1185"/>
      <c r="GIZ5" s="1185"/>
      <c r="GJA5" s="1185"/>
      <c r="GJB5" s="1185"/>
      <c r="GJC5" s="1185"/>
      <c r="GJD5" s="1185"/>
      <c r="GJE5" s="1185"/>
      <c r="GJF5" s="1185"/>
      <c r="GJG5" s="1185"/>
      <c r="GJH5" s="1185"/>
      <c r="GJI5" s="1185"/>
      <c r="GJJ5" s="1185"/>
      <c r="GJK5" s="1185"/>
      <c r="GJL5" s="1185"/>
      <c r="GJM5" s="1185"/>
      <c r="GJN5" s="1185"/>
      <c r="GJO5" s="1185"/>
      <c r="GJP5" s="1185"/>
      <c r="GJQ5" s="1185"/>
      <c r="GJR5" s="1185"/>
      <c r="GJS5" s="1185"/>
      <c r="GJT5" s="1185"/>
      <c r="GJU5" s="1185"/>
      <c r="GJV5" s="1185"/>
      <c r="GJW5" s="1185"/>
      <c r="GJX5" s="1185"/>
      <c r="GJY5" s="1185"/>
      <c r="GJZ5" s="1185"/>
      <c r="GKA5" s="1185"/>
      <c r="GKB5" s="1185"/>
      <c r="GKC5" s="1185"/>
      <c r="GKD5" s="1185"/>
      <c r="GKE5" s="1185"/>
      <c r="GKF5" s="1185"/>
      <c r="GKG5" s="1185"/>
      <c r="GKH5" s="1185"/>
      <c r="GKI5" s="1185"/>
      <c r="GKJ5" s="1185"/>
      <c r="GKK5" s="1185"/>
      <c r="GKL5" s="1185"/>
      <c r="GKM5" s="1185"/>
      <c r="GKN5" s="1185"/>
      <c r="GKO5" s="1185"/>
      <c r="GKP5" s="1185"/>
      <c r="GKQ5" s="1185"/>
      <c r="GKR5" s="1185"/>
      <c r="GKS5" s="1185"/>
      <c r="GKT5" s="1185"/>
      <c r="GKU5" s="1185"/>
      <c r="GKV5" s="1185"/>
      <c r="GKW5" s="1185"/>
      <c r="GKX5" s="1185"/>
      <c r="GKY5" s="1185"/>
      <c r="GKZ5" s="1185"/>
      <c r="GLA5" s="1185"/>
      <c r="GLB5" s="1185"/>
      <c r="GLC5" s="1185"/>
      <c r="GLD5" s="1185"/>
      <c r="GLE5" s="1185"/>
      <c r="GLF5" s="1185"/>
      <c r="GLG5" s="1185"/>
      <c r="GLH5" s="1185"/>
      <c r="GLI5" s="1185"/>
      <c r="GLJ5" s="1185"/>
      <c r="GLK5" s="1185"/>
      <c r="GLL5" s="1185"/>
      <c r="GLM5" s="1185"/>
      <c r="GLN5" s="1185"/>
      <c r="GLO5" s="1185"/>
      <c r="GLP5" s="1185"/>
      <c r="GLQ5" s="1185"/>
      <c r="GLR5" s="1185"/>
      <c r="GLS5" s="1185"/>
      <c r="GLT5" s="1185"/>
      <c r="GLU5" s="1185"/>
      <c r="GLV5" s="1185"/>
      <c r="GLW5" s="1185"/>
      <c r="GLX5" s="1185"/>
      <c r="GLY5" s="1185"/>
      <c r="GLZ5" s="1185"/>
      <c r="GMA5" s="1185"/>
      <c r="GMB5" s="1185"/>
      <c r="GMC5" s="1185"/>
      <c r="GMD5" s="1185"/>
      <c r="GME5" s="1185"/>
      <c r="GMF5" s="1185"/>
      <c r="GMG5" s="1185"/>
      <c r="GMH5" s="1185"/>
      <c r="GMI5" s="1185"/>
      <c r="GMJ5" s="1185"/>
      <c r="GMK5" s="1185"/>
      <c r="GML5" s="1185"/>
      <c r="GMM5" s="1185"/>
      <c r="GMN5" s="1185"/>
      <c r="GMO5" s="1185"/>
      <c r="GMP5" s="1185"/>
      <c r="GMQ5" s="1185"/>
      <c r="GMR5" s="1185"/>
      <c r="GMS5" s="1185"/>
      <c r="GMT5" s="1185"/>
      <c r="GMU5" s="1185"/>
      <c r="GMV5" s="1185"/>
      <c r="GMW5" s="1185"/>
      <c r="GMX5" s="1185"/>
      <c r="GMY5" s="1185"/>
      <c r="GMZ5" s="1185"/>
      <c r="GNA5" s="1185"/>
      <c r="GNB5" s="1185"/>
      <c r="GNC5" s="1185"/>
      <c r="GND5" s="1185"/>
      <c r="GNE5" s="1185"/>
      <c r="GNF5" s="1185"/>
      <c r="GNG5" s="1185"/>
      <c r="GNH5" s="1185"/>
      <c r="GNI5" s="1185"/>
      <c r="GNJ5" s="1185"/>
      <c r="GNK5" s="1185"/>
      <c r="GNL5" s="1185"/>
      <c r="GNM5" s="1185"/>
      <c r="GNN5" s="1185"/>
      <c r="GNO5" s="1185"/>
      <c r="GNP5" s="1185"/>
      <c r="GNQ5" s="1185"/>
      <c r="GNR5" s="1185"/>
      <c r="GNS5" s="1185"/>
      <c r="GNT5" s="1185"/>
      <c r="GNU5" s="1185"/>
      <c r="GNV5" s="1185"/>
      <c r="GNW5" s="1185"/>
      <c r="GNX5" s="1185"/>
      <c r="GNY5" s="1185"/>
      <c r="GNZ5" s="1185"/>
      <c r="GOA5" s="1185"/>
      <c r="GOB5" s="1185"/>
      <c r="GOC5" s="1185"/>
      <c r="GOD5" s="1185"/>
      <c r="GOE5" s="1185"/>
      <c r="GOF5" s="1185"/>
      <c r="GOG5" s="1185"/>
      <c r="GOH5" s="1185"/>
      <c r="GOI5" s="1185"/>
      <c r="GOJ5" s="1185"/>
      <c r="GOK5" s="1185"/>
      <c r="GOL5" s="1185"/>
      <c r="GOM5" s="1185"/>
      <c r="GON5" s="1185"/>
      <c r="GOO5" s="1185"/>
      <c r="GOP5" s="1185"/>
      <c r="GOQ5" s="1185"/>
      <c r="GOR5" s="1185"/>
      <c r="GOS5" s="1185"/>
      <c r="GOT5" s="1185"/>
      <c r="GOU5" s="1185"/>
      <c r="GOV5" s="1185"/>
      <c r="GOW5" s="1185"/>
      <c r="GOX5" s="1185"/>
      <c r="GOY5" s="1185"/>
      <c r="GOZ5" s="1185"/>
      <c r="GPA5" s="1185"/>
      <c r="GPB5" s="1185"/>
      <c r="GPC5" s="1185"/>
      <c r="GPD5" s="1185"/>
      <c r="GPE5" s="1185"/>
      <c r="GPF5" s="1185"/>
      <c r="GPG5" s="1185"/>
      <c r="GPH5" s="1185"/>
      <c r="GPI5" s="1185"/>
      <c r="GPJ5" s="1185"/>
      <c r="GPK5" s="1185"/>
      <c r="GPL5" s="1185"/>
      <c r="GPM5" s="1185"/>
      <c r="GPN5" s="1185"/>
      <c r="GPO5" s="1185"/>
      <c r="GPP5" s="1185"/>
      <c r="GPQ5" s="1185"/>
      <c r="GPR5" s="1185"/>
      <c r="GPS5" s="1185"/>
      <c r="GPT5" s="1185"/>
      <c r="GPU5" s="1185"/>
      <c r="GPV5" s="1185"/>
      <c r="GPW5" s="1185"/>
      <c r="GPX5" s="1185"/>
      <c r="GPY5" s="1185"/>
      <c r="GPZ5" s="1185"/>
      <c r="GQA5" s="1185"/>
      <c r="GQB5" s="1185"/>
      <c r="GQC5" s="1185"/>
      <c r="GQD5" s="1185"/>
      <c r="GQE5" s="1185"/>
      <c r="GQF5" s="1185"/>
      <c r="GQG5" s="1185"/>
      <c r="GQH5" s="1185"/>
      <c r="GQI5" s="1185"/>
      <c r="GQJ5" s="1185"/>
      <c r="GQK5" s="1185"/>
      <c r="GQL5" s="1185"/>
      <c r="GQM5" s="1185"/>
      <c r="GQN5" s="1185"/>
      <c r="GQO5" s="1185"/>
      <c r="GQP5" s="1185"/>
      <c r="GQQ5" s="1185"/>
      <c r="GQR5" s="1185"/>
      <c r="GQS5" s="1185"/>
      <c r="GQT5" s="1185"/>
      <c r="GQU5" s="1185"/>
      <c r="GQV5" s="1185"/>
      <c r="GQW5" s="1185"/>
      <c r="GQX5" s="1185"/>
      <c r="GQY5" s="1185"/>
      <c r="GQZ5" s="1185"/>
      <c r="GRA5" s="1185"/>
      <c r="GRB5" s="1185"/>
      <c r="GRC5" s="1185"/>
      <c r="GRD5" s="1185"/>
      <c r="GRE5" s="1185"/>
      <c r="GRF5" s="1185"/>
      <c r="GRG5" s="1185"/>
      <c r="GRH5" s="1185"/>
      <c r="GRI5" s="1185"/>
      <c r="GRJ5" s="1185"/>
      <c r="GRK5" s="1185"/>
      <c r="GRL5" s="1185"/>
      <c r="GRM5" s="1185"/>
      <c r="GRN5" s="1185"/>
      <c r="GRO5" s="1185"/>
      <c r="GRP5" s="1185"/>
      <c r="GRQ5" s="1185"/>
      <c r="GRR5" s="1185"/>
      <c r="GRS5" s="1185"/>
      <c r="GRT5" s="1185"/>
      <c r="GRU5" s="1185"/>
      <c r="GRV5" s="1185"/>
      <c r="GRW5" s="1185"/>
      <c r="GRX5" s="1185"/>
      <c r="GRY5" s="1185"/>
      <c r="GRZ5" s="1185"/>
      <c r="GSA5" s="1185"/>
      <c r="GSB5" s="1185"/>
      <c r="GSC5" s="1185"/>
      <c r="GSD5" s="1185"/>
      <c r="GSE5" s="1185"/>
      <c r="GSF5" s="1185"/>
      <c r="GSG5" s="1185"/>
      <c r="GSH5" s="1185"/>
      <c r="GSI5" s="1185"/>
      <c r="GSJ5" s="1185"/>
      <c r="GSK5" s="1185"/>
      <c r="GSL5" s="1185"/>
      <c r="GSM5" s="1185"/>
      <c r="GSN5" s="1185"/>
      <c r="GSO5" s="1185"/>
      <c r="GSP5" s="1185"/>
      <c r="GSQ5" s="1185"/>
      <c r="GSR5" s="1185"/>
      <c r="GSS5" s="1185"/>
      <c r="GST5" s="1185"/>
      <c r="GSU5" s="1185"/>
      <c r="GSV5" s="1185"/>
      <c r="GSW5" s="1185"/>
      <c r="GSX5" s="1185"/>
      <c r="GSY5" s="1185"/>
      <c r="GSZ5" s="1185"/>
      <c r="GTA5" s="1185"/>
      <c r="GTB5" s="1185"/>
      <c r="GTC5" s="1185"/>
      <c r="GTD5" s="1185"/>
      <c r="GTE5" s="1185"/>
      <c r="GTF5" s="1185"/>
      <c r="GTG5" s="1185"/>
      <c r="GTH5" s="1185"/>
      <c r="GTI5" s="1185"/>
      <c r="GTJ5" s="1185"/>
      <c r="GTK5" s="1185"/>
      <c r="GTL5" s="1185"/>
      <c r="GTM5" s="1185"/>
      <c r="GTN5" s="1185"/>
      <c r="GTO5" s="1185"/>
      <c r="GTP5" s="1185"/>
      <c r="GTQ5" s="1185"/>
      <c r="GTR5" s="1185"/>
      <c r="GTS5" s="1185"/>
      <c r="GTT5" s="1185"/>
      <c r="GTU5" s="1185"/>
      <c r="GTV5" s="1185"/>
      <c r="GTW5" s="1185"/>
      <c r="GTX5" s="1185"/>
      <c r="GTY5" s="1185"/>
      <c r="GTZ5" s="1185"/>
      <c r="GUA5" s="1185"/>
      <c r="GUB5" s="1185"/>
      <c r="GUC5" s="1185"/>
      <c r="GUD5" s="1185"/>
      <c r="GUE5" s="1185"/>
      <c r="GUF5" s="1185"/>
      <c r="GUG5" s="1185"/>
      <c r="GUH5" s="1185"/>
      <c r="GUI5" s="1185"/>
      <c r="GUJ5" s="1185"/>
      <c r="GUK5" s="1185"/>
      <c r="GUL5" s="1185"/>
      <c r="GUM5" s="1185"/>
      <c r="GUN5" s="1185"/>
      <c r="GUO5" s="1185"/>
      <c r="GUP5" s="1185"/>
      <c r="GUQ5" s="1185"/>
      <c r="GUR5" s="1185"/>
      <c r="GUS5" s="1185"/>
      <c r="GUT5" s="1185"/>
      <c r="GUU5" s="1185"/>
      <c r="GUV5" s="1185"/>
      <c r="GUW5" s="1185"/>
      <c r="GUX5" s="1185"/>
      <c r="GUY5" s="1185"/>
      <c r="GUZ5" s="1185"/>
      <c r="GVA5" s="1185"/>
      <c r="GVB5" s="1185"/>
      <c r="GVC5" s="1185"/>
      <c r="GVD5" s="1185"/>
      <c r="GVE5" s="1185"/>
      <c r="GVF5" s="1185"/>
      <c r="GVG5" s="1185"/>
      <c r="GVH5" s="1185"/>
      <c r="GVI5" s="1185"/>
      <c r="GVJ5" s="1185"/>
      <c r="GVK5" s="1185"/>
      <c r="GVL5" s="1185"/>
      <c r="GVM5" s="1185"/>
      <c r="GVN5" s="1185"/>
      <c r="GVO5" s="1185"/>
      <c r="GVP5" s="1185"/>
      <c r="GVQ5" s="1185"/>
      <c r="GVR5" s="1185"/>
      <c r="GVS5" s="1185"/>
      <c r="GVT5" s="1185"/>
      <c r="GVU5" s="1185"/>
      <c r="GVV5" s="1185"/>
      <c r="GVW5" s="1185"/>
      <c r="GVX5" s="1185"/>
      <c r="GVY5" s="1185"/>
      <c r="GVZ5" s="1185"/>
      <c r="GWA5" s="1185"/>
      <c r="GWB5" s="1185"/>
      <c r="GWC5" s="1185"/>
      <c r="GWD5" s="1185"/>
      <c r="GWE5" s="1185"/>
      <c r="GWF5" s="1185"/>
      <c r="GWG5" s="1185"/>
      <c r="GWH5" s="1185"/>
      <c r="GWI5" s="1185"/>
      <c r="GWJ5" s="1185"/>
      <c r="GWK5" s="1185"/>
      <c r="GWL5" s="1185"/>
      <c r="GWM5" s="1185"/>
      <c r="GWN5" s="1185"/>
      <c r="GWO5" s="1185"/>
      <c r="GWP5" s="1185"/>
      <c r="GWQ5" s="1185"/>
      <c r="GWR5" s="1185"/>
      <c r="GWS5" s="1185"/>
      <c r="GWT5" s="1185"/>
      <c r="GWU5" s="1185"/>
      <c r="GWV5" s="1185"/>
      <c r="GWW5" s="1185"/>
      <c r="GWX5" s="1185"/>
      <c r="GWY5" s="1185"/>
      <c r="GWZ5" s="1185"/>
      <c r="GXA5" s="1185"/>
      <c r="GXB5" s="1185"/>
      <c r="GXC5" s="1185"/>
      <c r="GXD5" s="1185"/>
      <c r="GXE5" s="1185"/>
      <c r="GXF5" s="1185"/>
      <c r="GXG5" s="1185"/>
      <c r="GXH5" s="1185"/>
      <c r="GXI5" s="1185"/>
      <c r="GXJ5" s="1185"/>
      <c r="GXK5" s="1185"/>
      <c r="GXL5" s="1185"/>
      <c r="GXM5" s="1185"/>
      <c r="GXN5" s="1185"/>
      <c r="GXO5" s="1185"/>
      <c r="GXP5" s="1185"/>
      <c r="GXQ5" s="1185"/>
      <c r="GXR5" s="1185"/>
      <c r="GXS5" s="1185"/>
      <c r="GXT5" s="1185"/>
      <c r="GXU5" s="1185"/>
      <c r="GXV5" s="1185"/>
      <c r="GXW5" s="1185"/>
      <c r="GXX5" s="1185"/>
      <c r="GXY5" s="1185"/>
      <c r="GXZ5" s="1185"/>
      <c r="GYA5" s="1185"/>
      <c r="GYB5" s="1185"/>
      <c r="GYC5" s="1185"/>
      <c r="GYD5" s="1185"/>
      <c r="GYE5" s="1185"/>
      <c r="GYF5" s="1185"/>
      <c r="GYG5" s="1185"/>
      <c r="GYH5" s="1185"/>
      <c r="GYI5" s="1185"/>
      <c r="GYJ5" s="1185"/>
      <c r="GYK5" s="1185"/>
      <c r="GYL5" s="1185"/>
      <c r="GYM5" s="1185"/>
      <c r="GYN5" s="1185"/>
      <c r="GYO5" s="1185"/>
      <c r="GYP5" s="1185"/>
      <c r="GYQ5" s="1185"/>
      <c r="GYR5" s="1185"/>
      <c r="GYS5" s="1185"/>
      <c r="GYT5" s="1185"/>
      <c r="GYU5" s="1185"/>
      <c r="GYV5" s="1185"/>
      <c r="GYW5" s="1185"/>
      <c r="GYX5" s="1185"/>
      <c r="GYY5" s="1185"/>
      <c r="GYZ5" s="1185"/>
      <c r="GZA5" s="1185"/>
      <c r="GZB5" s="1185"/>
      <c r="GZC5" s="1185"/>
      <c r="GZD5" s="1185"/>
      <c r="GZE5" s="1185"/>
      <c r="GZF5" s="1185"/>
      <c r="GZG5" s="1185"/>
      <c r="GZH5" s="1185"/>
      <c r="GZI5" s="1185"/>
      <c r="GZJ5" s="1185"/>
      <c r="GZK5" s="1185"/>
      <c r="GZL5" s="1185"/>
      <c r="GZM5" s="1185"/>
      <c r="GZN5" s="1185"/>
      <c r="GZO5" s="1185"/>
      <c r="GZP5" s="1185"/>
      <c r="GZQ5" s="1185"/>
      <c r="GZR5" s="1185"/>
      <c r="GZS5" s="1185"/>
      <c r="GZT5" s="1185"/>
      <c r="GZU5" s="1185"/>
      <c r="GZV5" s="1185"/>
      <c r="GZW5" s="1185"/>
      <c r="GZX5" s="1185"/>
      <c r="GZY5" s="1185"/>
      <c r="GZZ5" s="1185"/>
      <c r="HAA5" s="1185"/>
      <c r="HAB5" s="1185"/>
      <c r="HAC5" s="1185"/>
      <c r="HAD5" s="1185"/>
      <c r="HAE5" s="1185"/>
      <c r="HAF5" s="1185"/>
      <c r="HAG5" s="1185"/>
      <c r="HAH5" s="1185"/>
      <c r="HAI5" s="1185"/>
      <c r="HAJ5" s="1185"/>
      <c r="HAK5" s="1185"/>
      <c r="HAL5" s="1185"/>
      <c r="HAM5" s="1185"/>
      <c r="HAN5" s="1185"/>
      <c r="HAO5" s="1185"/>
      <c r="HAP5" s="1185"/>
      <c r="HAQ5" s="1185"/>
      <c r="HAR5" s="1185"/>
      <c r="HAS5" s="1185"/>
      <c r="HAT5" s="1185"/>
      <c r="HAU5" s="1185"/>
      <c r="HAV5" s="1185"/>
      <c r="HAW5" s="1185"/>
      <c r="HAX5" s="1185"/>
      <c r="HAY5" s="1185"/>
      <c r="HAZ5" s="1185"/>
      <c r="HBA5" s="1185"/>
      <c r="HBB5" s="1185"/>
      <c r="HBC5" s="1185"/>
      <c r="HBD5" s="1185"/>
      <c r="HBE5" s="1185"/>
      <c r="HBF5" s="1185"/>
      <c r="HBG5" s="1185"/>
      <c r="HBH5" s="1185"/>
      <c r="HBI5" s="1185"/>
      <c r="HBJ5" s="1185"/>
      <c r="HBK5" s="1185"/>
      <c r="HBL5" s="1185"/>
      <c r="HBM5" s="1185"/>
      <c r="HBN5" s="1185"/>
      <c r="HBO5" s="1185"/>
      <c r="HBP5" s="1185"/>
      <c r="HBQ5" s="1185"/>
      <c r="HBR5" s="1185"/>
      <c r="HBS5" s="1185"/>
      <c r="HBT5" s="1185"/>
      <c r="HBU5" s="1185"/>
      <c r="HBV5" s="1185"/>
      <c r="HBW5" s="1185"/>
      <c r="HBX5" s="1185"/>
      <c r="HBY5" s="1185"/>
      <c r="HBZ5" s="1185"/>
      <c r="HCA5" s="1185"/>
      <c r="HCB5" s="1185"/>
      <c r="HCC5" s="1185"/>
      <c r="HCD5" s="1185"/>
      <c r="HCE5" s="1185"/>
      <c r="HCF5" s="1185"/>
      <c r="HCG5" s="1185"/>
      <c r="HCH5" s="1185"/>
      <c r="HCI5" s="1185"/>
      <c r="HCJ5" s="1185"/>
      <c r="HCK5" s="1185"/>
      <c r="HCL5" s="1185"/>
      <c r="HCM5" s="1185"/>
      <c r="HCN5" s="1185"/>
      <c r="HCO5" s="1185"/>
      <c r="HCP5" s="1185"/>
      <c r="HCQ5" s="1185"/>
      <c r="HCR5" s="1185"/>
      <c r="HCS5" s="1185"/>
      <c r="HCT5" s="1185"/>
      <c r="HCU5" s="1185"/>
      <c r="HCV5" s="1185"/>
      <c r="HCW5" s="1185"/>
      <c r="HCX5" s="1185"/>
      <c r="HCY5" s="1185"/>
      <c r="HCZ5" s="1185"/>
      <c r="HDA5" s="1185"/>
      <c r="HDB5" s="1185"/>
      <c r="HDC5" s="1185"/>
      <c r="HDD5" s="1185"/>
      <c r="HDE5" s="1185"/>
      <c r="HDF5" s="1185"/>
      <c r="HDG5" s="1185"/>
      <c r="HDH5" s="1185"/>
      <c r="HDI5" s="1185"/>
      <c r="HDJ5" s="1185"/>
      <c r="HDK5" s="1185"/>
      <c r="HDL5" s="1185"/>
      <c r="HDM5" s="1185"/>
      <c r="HDN5" s="1185"/>
      <c r="HDO5" s="1185"/>
      <c r="HDP5" s="1185"/>
      <c r="HDQ5" s="1185"/>
      <c r="HDR5" s="1185"/>
      <c r="HDS5" s="1185"/>
      <c r="HDT5" s="1185"/>
      <c r="HDU5" s="1185"/>
      <c r="HDV5" s="1185"/>
      <c r="HDW5" s="1185"/>
      <c r="HDX5" s="1185"/>
      <c r="HDY5" s="1185"/>
      <c r="HDZ5" s="1185"/>
      <c r="HEA5" s="1185"/>
      <c r="HEB5" s="1185"/>
      <c r="HEC5" s="1185"/>
      <c r="HED5" s="1185"/>
      <c r="HEE5" s="1185"/>
      <c r="HEF5" s="1185"/>
      <c r="HEG5" s="1185"/>
      <c r="HEH5" s="1185"/>
      <c r="HEI5" s="1185"/>
      <c r="HEJ5" s="1185"/>
      <c r="HEK5" s="1185"/>
      <c r="HEL5" s="1185"/>
      <c r="HEM5" s="1185"/>
      <c r="HEN5" s="1185"/>
      <c r="HEO5" s="1185"/>
      <c r="HEP5" s="1185"/>
      <c r="HEQ5" s="1185"/>
      <c r="HER5" s="1185"/>
      <c r="HES5" s="1185"/>
      <c r="HET5" s="1185"/>
      <c r="HEU5" s="1185"/>
      <c r="HEV5" s="1185"/>
      <c r="HEW5" s="1185"/>
      <c r="HEX5" s="1185"/>
      <c r="HEY5" s="1185"/>
      <c r="HEZ5" s="1185"/>
      <c r="HFA5" s="1185"/>
      <c r="HFB5" s="1185"/>
      <c r="HFC5" s="1185"/>
      <c r="HFD5" s="1185"/>
      <c r="HFE5" s="1185"/>
      <c r="HFF5" s="1185"/>
      <c r="HFG5" s="1185"/>
      <c r="HFH5" s="1185"/>
      <c r="HFI5" s="1185"/>
      <c r="HFJ5" s="1185"/>
      <c r="HFK5" s="1185"/>
      <c r="HFL5" s="1185"/>
      <c r="HFM5" s="1185"/>
      <c r="HFN5" s="1185"/>
      <c r="HFO5" s="1185"/>
      <c r="HFP5" s="1185"/>
      <c r="HFQ5" s="1185"/>
      <c r="HFR5" s="1185"/>
      <c r="HFS5" s="1185"/>
      <c r="HFT5" s="1185"/>
      <c r="HFU5" s="1185"/>
      <c r="HFV5" s="1185"/>
      <c r="HFW5" s="1185"/>
      <c r="HFX5" s="1185"/>
      <c r="HFY5" s="1185"/>
      <c r="HFZ5" s="1185"/>
      <c r="HGA5" s="1185"/>
      <c r="HGB5" s="1185"/>
      <c r="HGC5" s="1185"/>
      <c r="HGD5" s="1185"/>
      <c r="HGE5" s="1185"/>
      <c r="HGF5" s="1185"/>
      <c r="HGG5" s="1185"/>
      <c r="HGH5" s="1185"/>
      <c r="HGI5" s="1185"/>
      <c r="HGJ5" s="1185"/>
      <c r="HGK5" s="1185"/>
      <c r="HGL5" s="1185"/>
      <c r="HGM5" s="1185"/>
      <c r="HGN5" s="1185"/>
      <c r="HGO5" s="1185"/>
      <c r="HGP5" s="1185"/>
      <c r="HGQ5" s="1185"/>
      <c r="HGR5" s="1185"/>
      <c r="HGS5" s="1185"/>
      <c r="HGT5" s="1185"/>
      <c r="HGU5" s="1185"/>
      <c r="HGV5" s="1185"/>
      <c r="HGW5" s="1185"/>
      <c r="HGX5" s="1185"/>
      <c r="HGY5" s="1185"/>
      <c r="HGZ5" s="1185"/>
      <c r="HHA5" s="1185"/>
      <c r="HHB5" s="1185"/>
      <c r="HHC5" s="1185"/>
      <c r="HHD5" s="1185"/>
      <c r="HHE5" s="1185"/>
      <c r="HHF5" s="1185"/>
      <c r="HHG5" s="1185"/>
      <c r="HHH5" s="1185"/>
      <c r="HHI5" s="1185"/>
      <c r="HHJ5" s="1185"/>
      <c r="HHK5" s="1185"/>
      <c r="HHL5" s="1185"/>
      <c r="HHM5" s="1185"/>
      <c r="HHN5" s="1185"/>
      <c r="HHO5" s="1185"/>
      <c r="HHP5" s="1185"/>
      <c r="HHQ5" s="1185"/>
      <c r="HHR5" s="1185"/>
      <c r="HHS5" s="1185"/>
      <c r="HHT5" s="1185"/>
      <c r="HHU5" s="1185"/>
      <c r="HHV5" s="1185"/>
      <c r="HHW5" s="1185"/>
      <c r="HHX5" s="1185"/>
      <c r="HHY5" s="1185"/>
      <c r="HHZ5" s="1185"/>
      <c r="HIA5" s="1185"/>
      <c r="HIB5" s="1185"/>
      <c r="HIC5" s="1185"/>
      <c r="HID5" s="1185"/>
      <c r="HIE5" s="1185"/>
      <c r="HIF5" s="1185"/>
      <c r="HIG5" s="1185"/>
      <c r="HIH5" s="1185"/>
      <c r="HII5" s="1185"/>
      <c r="HIJ5" s="1185"/>
      <c r="HIK5" s="1185"/>
      <c r="HIL5" s="1185"/>
      <c r="HIM5" s="1185"/>
      <c r="HIN5" s="1185"/>
      <c r="HIO5" s="1185"/>
      <c r="HIP5" s="1185"/>
      <c r="HIQ5" s="1185"/>
      <c r="HIR5" s="1185"/>
      <c r="HIS5" s="1185"/>
      <c r="HIT5" s="1185"/>
      <c r="HIU5" s="1185"/>
      <c r="HIV5" s="1185"/>
      <c r="HIW5" s="1185"/>
      <c r="HIX5" s="1185"/>
      <c r="HIY5" s="1185"/>
      <c r="HIZ5" s="1185"/>
      <c r="HJA5" s="1185"/>
      <c r="HJB5" s="1185"/>
      <c r="HJC5" s="1185"/>
      <c r="HJD5" s="1185"/>
      <c r="HJE5" s="1185"/>
      <c r="HJF5" s="1185"/>
      <c r="HJG5" s="1185"/>
      <c r="HJH5" s="1185"/>
      <c r="HJI5" s="1185"/>
      <c r="HJJ5" s="1185"/>
      <c r="HJK5" s="1185"/>
      <c r="HJL5" s="1185"/>
      <c r="HJM5" s="1185"/>
      <c r="HJN5" s="1185"/>
      <c r="HJO5" s="1185"/>
      <c r="HJP5" s="1185"/>
      <c r="HJQ5" s="1185"/>
      <c r="HJR5" s="1185"/>
      <c r="HJS5" s="1185"/>
      <c r="HJT5" s="1185"/>
      <c r="HJU5" s="1185"/>
      <c r="HJV5" s="1185"/>
      <c r="HJW5" s="1185"/>
      <c r="HJX5" s="1185"/>
      <c r="HJY5" s="1185"/>
      <c r="HJZ5" s="1185"/>
      <c r="HKA5" s="1185"/>
      <c r="HKB5" s="1185"/>
      <c r="HKC5" s="1185"/>
      <c r="HKD5" s="1185"/>
      <c r="HKE5" s="1185"/>
      <c r="HKF5" s="1185"/>
      <c r="HKG5" s="1185"/>
      <c r="HKH5" s="1185"/>
      <c r="HKI5" s="1185"/>
      <c r="HKJ5" s="1185"/>
      <c r="HKK5" s="1185"/>
      <c r="HKL5" s="1185"/>
      <c r="HKM5" s="1185"/>
      <c r="HKN5" s="1185"/>
      <c r="HKO5" s="1185"/>
      <c r="HKP5" s="1185"/>
      <c r="HKQ5" s="1185"/>
      <c r="HKR5" s="1185"/>
      <c r="HKS5" s="1185"/>
      <c r="HKT5" s="1185"/>
      <c r="HKU5" s="1185"/>
      <c r="HKV5" s="1185"/>
      <c r="HKW5" s="1185"/>
      <c r="HKX5" s="1185"/>
      <c r="HKY5" s="1185"/>
      <c r="HKZ5" s="1185"/>
      <c r="HLA5" s="1185"/>
      <c r="HLB5" s="1185"/>
      <c r="HLC5" s="1185"/>
      <c r="HLD5" s="1185"/>
      <c r="HLE5" s="1185"/>
      <c r="HLF5" s="1185"/>
      <c r="HLG5" s="1185"/>
      <c r="HLH5" s="1185"/>
      <c r="HLI5" s="1185"/>
      <c r="HLJ5" s="1185"/>
      <c r="HLK5" s="1185"/>
      <c r="HLL5" s="1185"/>
      <c r="HLM5" s="1185"/>
      <c r="HLN5" s="1185"/>
      <c r="HLO5" s="1185"/>
      <c r="HLP5" s="1185"/>
      <c r="HLQ5" s="1185"/>
      <c r="HLR5" s="1185"/>
      <c r="HLS5" s="1185"/>
      <c r="HLT5" s="1185"/>
      <c r="HLU5" s="1185"/>
      <c r="HLV5" s="1185"/>
      <c r="HLW5" s="1185"/>
      <c r="HLX5" s="1185"/>
      <c r="HLY5" s="1185"/>
      <c r="HLZ5" s="1185"/>
      <c r="HMA5" s="1185"/>
      <c r="HMB5" s="1185"/>
      <c r="HMC5" s="1185"/>
      <c r="HMD5" s="1185"/>
      <c r="HME5" s="1185"/>
      <c r="HMF5" s="1185"/>
      <c r="HMG5" s="1185"/>
      <c r="HMH5" s="1185"/>
      <c r="HMI5" s="1185"/>
      <c r="HMJ5" s="1185"/>
      <c r="HMK5" s="1185"/>
      <c r="HML5" s="1185"/>
      <c r="HMM5" s="1185"/>
      <c r="HMN5" s="1185"/>
      <c r="HMO5" s="1185"/>
      <c r="HMP5" s="1185"/>
      <c r="HMQ5" s="1185"/>
      <c r="HMR5" s="1185"/>
      <c r="HMS5" s="1185"/>
      <c r="HMT5" s="1185"/>
      <c r="HMU5" s="1185"/>
      <c r="HMV5" s="1185"/>
      <c r="HMW5" s="1185"/>
      <c r="HMX5" s="1185"/>
      <c r="HMY5" s="1185"/>
      <c r="HMZ5" s="1185"/>
      <c r="HNA5" s="1185"/>
      <c r="HNB5" s="1185"/>
      <c r="HNC5" s="1185"/>
      <c r="HND5" s="1185"/>
      <c r="HNE5" s="1185"/>
      <c r="HNF5" s="1185"/>
      <c r="HNG5" s="1185"/>
      <c r="HNH5" s="1185"/>
      <c r="HNI5" s="1185"/>
      <c r="HNJ5" s="1185"/>
      <c r="HNK5" s="1185"/>
      <c r="HNL5" s="1185"/>
      <c r="HNM5" s="1185"/>
      <c r="HNN5" s="1185"/>
      <c r="HNO5" s="1185"/>
      <c r="HNP5" s="1185"/>
      <c r="HNQ5" s="1185"/>
      <c r="HNR5" s="1185"/>
      <c r="HNS5" s="1185"/>
      <c r="HNT5" s="1185"/>
      <c r="HNU5" s="1185"/>
      <c r="HNV5" s="1185"/>
      <c r="HNW5" s="1185"/>
      <c r="HNX5" s="1185"/>
      <c r="HNY5" s="1185"/>
      <c r="HNZ5" s="1185"/>
      <c r="HOA5" s="1185"/>
      <c r="HOB5" s="1185"/>
      <c r="HOC5" s="1185"/>
      <c r="HOD5" s="1185"/>
      <c r="HOE5" s="1185"/>
      <c r="HOF5" s="1185"/>
      <c r="HOG5" s="1185"/>
      <c r="HOH5" s="1185"/>
      <c r="HOI5" s="1185"/>
      <c r="HOJ5" s="1185"/>
      <c r="HOK5" s="1185"/>
      <c r="HOL5" s="1185"/>
      <c r="HOM5" s="1185"/>
      <c r="HON5" s="1185"/>
      <c r="HOO5" s="1185"/>
      <c r="HOP5" s="1185"/>
      <c r="HOQ5" s="1185"/>
      <c r="HOR5" s="1185"/>
      <c r="HOS5" s="1185"/>
      <c r="HOT5" s="1185"/>
      <c r="HOU5" s="1185"/>
      <c r="HOV5" s="1185"/>
      <c r="HOW5" s="1185"/>
      <c r="HOX5" s="1185"/>
      <c r="HOY5" s="1185"/>
      <c r="HOZ5" s="1185"/>
      <c r="HPA5" s="1185"/>
      <c r="HPB5" s="1185"/>
      <c r="HPC5" s="1185"/>
      <c r="HPD5" s="1185"/>
      <c r="HPE5" s="1185"/>
      <c r="HPF5" s="1185"/>
      <c r="HPG5" s="1185"/>
      <c r="HPH5" s="1185"/>
      <c r="HPI5" s="1185"/>
      <c r="HPJ5" s="1185"/>
      <c r="HPK5" s="1185"/>
      <c r="HPL5" s="1185"/>
      <c r="HPM5" s="1185"/>
      <c r="HPN5" s="1185"/>
      <c r="HPO5" s="1185"/>
      <c r="HPP5" s="1185"/>
      <c r="HPQ5" s="1185"/>
      <c r="HPR5" s="1185"/>
      <c r="HPS5" s="1185"/>
      <c r="HPT5" s="1185"/>
      <c r="HPU5" s="1185"/>
      <c r="HPV5" s="1185"/>
      <c r="HPW5" s="1185"/>
      <c r="HPX5" s="1185"/>
      <c r="HPY5" s="1185"/>
      <c r="HPZ5" s="1185"/>
      <c r="HQA5" s="1185"/>
      <c r="HQB5" s="1185"/>
      <c r="HQC5" s="1185"/>
      <c r="HQD5" s="1185"/>
      <c r="HQE5" s="1185"/>
      <c r="HQF5" s="1185"/>
      <c r="HQG5" s="1185"/>
      <c r="HQH5" s="1185"/>
      <c r="HQI5" s="1185"/>
      <c r="HQJ5" s="1185"/>
      <c r="HQK5" s="1185"/>
      <c r="HQL5" s="1185"/>
      <c r="HQM5" s="1185"/>
      <c r="HQN5" s="1185"/>
      <c r="HQO5" s="1185"/>
      <c r="HQP5" s="1185"/>
      <c r="HQQ5" s="1185"/>
      <c r="HQR5" s="1185"/>
      <c r="HQS5" s="1185"/>
      <c r="HQT5" s="1185"/>
      <c r="HQU5" s="1185"/>
      <c r="HQV5" s="1185"/>
      <c r="HQW5" s="1185"/>
      <c r="HQX5" s="1185"/>
      <c r="HQY5" s="1185"/>
      <c r="HQZ5" s="1185"/>
      <c r="HRA5" s="1185"/>
      <c r="HRB5" s="1185"/>
      <c r="HRC5" s="1185"/>
      <c r="HRD5" s="1185"/>
      <c r="HRE5" s="1185"/>
      <c r="HRF5" s="1185"/>
      <c r="HRG5" s="1185"/>
      <c r="HRH5" s="1185"/>
      <c r="HRI5" s="1185"/>
      <c r="HRJ5" s="1185"/>
      <c r="HRK5" s="1185"/>
      <c r="HRL5" s="1185"/>
      <c r="HRM5" s="1185"/>
      <c r="HRN5" s="1185"/>
      <c r="HRO5" s="1185"/>
      <c r="HRP5" s="1185"/>
      <c r="HRQ5" s="1185"/>
      <c r="HRR5" s="1185"/>
      <c r="HRS5" s="1185"/>
      <c r="HRT5" s="1185"/>
      <c r="HRU5" s="1185"/>
      <c r="HRV5" s="1185"/>
      <c r="HRW5" s="1185"/>
      <c r="HRX5" s="1185"/>
      <c r="HRY5" s="1185"/>
      <c r="HRZ5" s="1185"/>
      <c r="HSA5" s="1185"/>
      <c r="HSB5" s="1185"/>
      <c r="HSC5" s="1185"/>
      <c r="HSD5" s="1185"/>
      <c r="HSE5" s="1185"/>
      <c r="HSF5" s="1185"/>
      <c r="HSG5" s="1185"/>
      <c r="HSH5" s="1185"/>
      <c r="HSI5" s="1185"/>
      <c r="HSJ5" s="1185"/>
      <c r="HSK5" s="1185"/>
      <c r="HSL5" s="1185"/>
      <c r="HSM5" s="1185"/>
      <c r="HSN5" s="1185"/>
      <c r="HSO5" s="1185"/>
      <c r="HSP5" s="1185"/>
      <c r="HSQ5" s="1185"/>
      <c r="HSR5" s="1185"/>
      <c r="HSS5" s="1185"/>
      <c r="HST5" s="1185"/>
      <c r="HSU5" s="1185"/>
      <c r="HSV5" s="1185"/>
      <c r="HSW5" s="1185"/>
      <c r="HSX5" s="1185"/>
      <c r="HSY5" s="1185"/>
      <c r="HSZ5" s="1185"/>
      <c r="HTA5" s="1185"/>
      <c r="HTB5" s="1185"/>
      <c r="HTC5" s="1185"/>
      <c r="HTD5" s="1185"/>
      <c r="HTE5" s="1185"/>
      <c r="HTF5" s="1185"/>
      <c r="HTG5" s="1185"/>
      <c r="HTH5" s="1185"/>
      <c r="HTI5" s="1185"/>
      <c r="HTJ5" s="1185"/>
      <c r="HTK5" s="1185"/>
      <c r="HTL5" s="1185"/>
      <c r="HTM5" s="1185"/>
      <c r="HTN5" s="1185"/>
      <c r="HTO5" s="1185"/>
      <c r="HTP5" s="1185"/>
      <c r="HTQ5" s="1185"/>
      <c r="HTR5" s="1185"/>
      <c r="HTS5" s="1185"/>
      <c r="HTT5" s="1185"/>
      <c r="HTU5" s="1185"/>
      <c r="HTV5" s="1185"/>
      <c r="HTW5" s="1185"/>
      <c r="HTX5" s="1185"/>
      <c r="HTY5" s="1185"/>
      <c r="HTZ5" s="1185"/>
      <c r="HUA5" s="1185"/>
      <c r="HUB5" s="1185"/>
      <c r="HUC5" s="1185"/>
      <c r="HUD5" s="1185"/>
      <c r="HUE5" s="1185"/>
      <c r="HUF5" s="1185"/>
      <c r="HUG5" s="1185"/>
      <c r="HUH5" s="1185"/>
      <c r="HUI5" s="1185"/>
      <c r="HUJ5" s="1185"/>
      <c r="HUK5" s="1185"/>
      <c r="HUL5" s="1185"/>
      <c r="HUM5" s="1185"/>
      <c r="HUN5" s="1185"/>
      <c r="HUO5" s="1185"/>
      <c r="HUP5" s="1185"/>
      <c r="HUQ5" s="1185"/>
      <c r="HUR5" s="1185"/>
      <c r="HUS5" s="1185"/>
      <c r="HUT5" s="1185"/>
      <c r="HUU5" s="1185"/>
      <c r="HUV5" s="1185"/>
      <c r="HUW5" s="1185"/>
      <c r="HUX5" s="1185"/>
      <c r="HUY5" s="1185"/>
      <c r="HUZ5" s="1185"/>
      <c r="HVA5" s="1185"/>
      <c r="HVB5" s="1185"/>
      <c r="HVC5" s="1185"/>
      <c r="HVD5" s="1185"/>
      <c r="HVE5" s="1185"/>
      <c r="HVF5" s="1185"/>
      <c r="HVG5" s="1185"/>
      <c r="HVH5" s="1185"/>
      <c r="HVI5" s="1185"/>
      <c r="HVJ5" s="1185"/>
      <c r="HVK5" s="1185"/>
      <c r="HVL5" s="1185"/>
      <c r="HVM5" s="1185"/>
      <c r="HVN5" s="1185"/>
      <c r="HVO5" s="1185"/>
      <c r="HVP5" s="1185"/>
      <c r="HVQ5" s="1185"/>
      <c r="HVR5" s="1185"/>
      <c r="HVS5" s="1185"/>
      <c r="HVT5" s="1185"/>
      <c r="HVU5" s="1185"/>
      <c r="HVV5" s="1185"/>
      <c r="HVW5" s="1185"/>
      <c r="HVX5" s="1185"/>
      <c r="HVY5" s="1185"/>
      <c r="HVZ5" s="1185"/>
      <c r="HWA5" s="1185"/>
      <c r="HWB5" s="1185"/>
      <c r="HWC5" s="1185"/>
      <c r="HWD5" s="1185"/>
      <c r="HWE5" s="1185"/>
      <c r="HWF5" s="1185"/>
      <c r="HWG5" s="1185"/>
      <c r="HWH5" s="1185"/>
      <c r="HWI5" s="1185"/>
      <c r="HWJ5" s="1185"/>
      <c r="HWK5" s="1185"/>
      <c r="HWL5" s="1185"/>
      <c r="HWM5" s="1185"/>
      <c r="HWN5" s="1185"/>
      <c r="HWO5" s="1185"/>
      <c r="HWP5" s="1185"/>
      <c r="HWQ5" s="1185"/>
      <c r="HWR5" s="1185"/>
      <c r="HWS5" s="1185"/>
      <c r="HWT5" s="1185"/>
      <c r="HWU5" s="1185"/>
      <c r="HWV5" s="1185"/>
      <c r="HWW5" s="1185"/>
      <c r="HWX5" s="1185"/>
      <c r="HWY5" s="1185"/>
      <c r="HWZ5" s="1185"/>
      <c r="HXA5" s="1185"/>
      <c r="HXB5" s="1185"/>
      <c r="HXC5" s="1185"/>
      <c r="HXD5" s="1185"/>
      <c r="HXE5" s="1185"/>
      <c r="HXF5" s="1185"/>
      <c r="HXG5" s="1185"/>
      <c r="HXH5" s="1185"/>
      <c r="HXI5" s="1185"/>
      <c r="HXJ5" s="1185"/>
      <c r="HXK5" s="1185"/>
      <c r="HXL5" s="1185"/>
      <c r="HXM5" s="1185"/>
      <c r="HXN5" s="1185"/>
      <c r="HXO5" s="1185"/>
      <c r="HXP5" s="1185"/>
      <c r="HXQ5" s="1185"/>
      <c r="HXR5" s="1185"/>
      <c r="HXS5" s="1185"/>
      <c r="HXT5" s="1185"/>
      <c r="HXU5" s="1185"/>
      <c r="HXV5" s="1185"/>
      <c r="HXW5" s="1185"/>
      <c r="HXX5" s="1185"/>
      <c r="HXY5" s="1185"/>
      <c r="HXZ5" s="1185"/>
      <c r="HYA5" s="1185"/>
      <c r="HYB5" s="1185"/>
      <c r="HYC5" s="1185"/>
      <c r="HYD5" s="1185"/>
      <c r="HYE5" s="1185"/>
      <c r="HYF5" s="1185"/>
      <c r="HYG5" s="1185"/>
      <c r="HYH5" s="1185"/>
      <c r="HYI5" s="1185"/>
      <c r="HYJ5" s="1185"/>
      <c r="HYK5" s="1185"/>
      <c r="HYL5" s="1185"/>
      <c r="HYM5" s="1185"/>
      <c r="HYN5" s="1185"/>
      <c r="HYO5" s="1185"/>
      <c r="HYP5" s="1185"/>
      <c r="HYQ5" s="1185"/>
      <c r="HYR5" s="1185"/>
      <c r="HYS5" s="1185"/>
      <c r="HYT5" s="1185"/>
      <c r="HYU5" s="1185"/>
      <c r="HYV5" s="1185"/>
      <c r="HYW5" s="1185"/>
      <c r="HYX5" s="1185"/>
      <c r="HYY5" s="1185"/>
      <c r="HYZ5" s="1185"/>
      <c r="HZA5" s="1185"/>
      <c r="HZB5" s="1185"/>
      <c r="HZC5" s="1185"/>
      <c r="HZD5" s="1185"/>
      <c r="HZE5" s="1185"/>
      <c r="HZF5" s="1185"/>
      <c r="HZG5" s="1185"/>
      <c r="HZH5" s="1185"/>
      <c r="HZI5" s="1185"/>
      <c r="HZJ5" s="1185"/>
      <c r="HZK5" s="1185"/>
      <c r="HZL5" s="1185"/>
      <c r="HZM5" s="1185"/>
      <c r="HZN5" s="1185"/>
      <c r="HZO5" s="1185"/>
      <c r="HZP5" s="1185"/>
      <c r="HZQ5" s="1185"/>
      <c r="HZR5" s="1185"/>
      <c r="HZS5" s="1185"/>
      <c r="HZT5" s="1185"/>
      <c r="HZU5" s="1185"/>
      <c r="HZV5" s="1185"/>
      <c r="HZW5" s="1185"/>
      <c r="HZX5" s="1185"/>
      <c r="HZY5" s="1185"/>
      <c r="HZZ5" s="1185"/>
      <c r="IAA5" s="1185"/>
      <c r="IAB5" s="1185"/>
      <c r="IAC5" s="1185"/>
      <c r="IAD5" s="1185"/>
      <c r="IAE5" s="1185"/>
      <c r="IAF5" s="1185"/>
      <c r="IAG5" s="1185"/>
      <c r="IAH5" s="1185"/>
      <c r="IAI5" s="1185"/>
      <c r="IAJ5" s="1185"/>
      <c r="IAK5" s="1185"/>
      <c r="IAL5" s="1185"/>
      <c r="IAM5" s="1185"/>
      <c r="IAN5" s="1185"/>
      <c r="IAO5" s="1185"/>
      <c r="IAP5" s="1185"/>
      <c r="IAQ5" s="1185"/>
      <c r="IAR5" s="1185"/>
      <c r="IAS5" s="1185"/>
      <c r="IAT5" s="1185"/>
      <c r="IAU5" s="1185"/>
      <c r="IAV5" s="1185"/>
      <c r="IAW5" s="1185"/>
      <c r="IAX5" s="1185"/>
      <c r="IAY5" s="1185"/>
      <c r="IAZ5" s="1185"/>
      <c r="IBA5" s="1185"/>
      <c r="IBB5" s="1185"/>
      <c r="IBC5" s="1185"/>
      <c r="IBD5" s="1185"/>
      <c r="IBE5" s="1185"/>
      <c r="IBF5" s="1185"/>
      <c r="IBG5" s="1185"/>
      <c r="IBH5" s="1185"/>
      <c r="IBI5" s="1185"/>
      <c r="IBJ5" s="1185"/>
      <c r="IBK5" s="1185"/>
      <c r="IBL5" s="1185"/>
      <c r="IBM5" s="1185"/>
      <c r="IBN5" s="1185"/>
      <c r="IBO5" s="1185"/>
      <c r="IBP5" s="1185"/>
      <c r="IBQ5" s="1185"/>
      <c r="IBR5" s="1185"/>
      <c r="IBS5" s="1185"/>
      <c r="IBT5" s="1185"/>
      <c r="IBU5" s="1185"/>
      <c r="IBV5" s="1185"/>
      <c r="IBW5" s="1185"/>
      <c r="IBX5" s="1185"/>
      <c r="IBY5" s="1185"/>
      <c r="IBZ5" s="1185"/>
      <c r="ICA5" s="1185"/>
      <c r="ICB5" s="1185"/>
      <c r="ICC5" s="1185"/>
      <c r="ICD5" s="1185"/>
      <c r="ICE5" s="1185"/>
      <c r="ICF5" s="1185"/>
      <c r="ICG5" s="1185"/>
      <c r="ICH5" s="1185"/>
      <c r="ICI5" s="1185"/>
      <c r="ICJ5" s="1185"/>
      <c r="ICK5" s="1185"/>
      <c r="ICL5" s="1185"/>
      <c r="ICM5" s="1185"/>
      <c r="ICN5" s="1185"/>
      <c r="ICO5" s="1185"/>
      <c r="ICP5" s="1185"/>
      <c r="ICQ5" s="1185"/>
      <c r="ICR5" s="1185"/>
      <c r="ICS5" s="1185"/>
      <c r="ICT5" s="1185"/>
      <c r="ICU5" s="1185"/>
      <c r="ICV5" s="1185"/>
      <c r="ICW5" s="1185"/>
      <c r="ICX5" s="1185"/>
      <c r="ICY5" s="1185"/>
      <c r="ICZ5" s="1185"/>
      <c r="IDA5" s="1185"/>
      <c r="IDB5" s="1185"/>
      <c r="IDC5" s="1185"/>
      <c r="IDD5" s="1185"/>
      <c r="IDE5" s="1185"/>
      <c r="IDF5" s="1185"/>
      <c r="IDG5" s="1185"/>
      <c r="IDH5" s="1185"/>
      <c r="IDI5" s="1185"/>
      <c r="IDJ5" s="1185"/>
      <c r="IDK5" s="1185"/>
      <c r="IDL5" s="1185"/>
      <c r="IDM5" s="1185"/>
      <c r="IDN5" s="1185"/>
      <c r="IDO5" s="1185"/>
      <c r="IDP5" s="1185"/>
      <c r="IDQ5" s="1185"/>
      <c r="IDR5" s="1185"/>
      <c r="IDS5" s="1185"/>
      <c r="IDT5" s="1185"/>
      <c r="IDU5" s="1185"/>
      <c r="IDV5" s="1185"/>
      <c r="IDW5" s="1185"/>
      <c r="IDX5" s="1185"/>
      <c r="IDY5" s="1185"/>
      <c r="IDZ5" s="1185"/>
      <c r="IEA5" s="1185"/>
      <c r="IEB5" s="1185"/>
      <c r="IEC5" s="1185"/>
      <c r="IED5" s="1185"/>
      <c r="IEE5" s="1185"/>
      <c r="IEF5" s="1185"/>
      <c r="IEG5" s="1185"/>
      <c r="IEH5" s="1185"/>
      <c r="IEI5" s="1185"/>
      <c r="IEJ5" s="1185"/>
      <c r="IEK5" s="1185"/>
      <c r="IEL5" s="1185"/>
      <c r="IEM5" s="1185"/>
      <c r="IEN5" s="1185"/>
      <c r="IEO5" s="1185"/>
      <c r="IEP5" s="1185"/>
      <c r="IEQ5" s="1185"/>
      <c r="IER5" s="1185"/>
      <c r="IES5" s="1185"/>
      <c r="IET5" s="1185"/>
      <c r="IEU5" s="1185"/>
      <c r="IEV5" s="1185"/>
      <c r="IEW5" s="1185"/>
      <c r="IEX5" s="1185"/>
      <c r="IEY5" s="1185"/>
      <c r="IEZ5" s="1185"/>
      <c r="IFA5" s="1185"/>
      <c r="IFB5" s="1185"/>
      <c r="IFC5" s="1185"/>
      <c r="IFD5" s="1185"/>
      <c r="IFE5" s="1185"/>
      <c r="IFF5" s="1185"/>
      <c r="IFG5" s="1185"/>
      <c r="IFH5" s="1185"/>
      <c r="IFI5" s="1185"/>
      <c r="IFJ5" s="1185"/>
      <c r="IFK5" s="1185"/>
      <c r="IFL5" s="1185"/>
      <c r="IFM5" s="1185"/>
      <c r="IFN5" s="1185"/>
      <c r="IFO5" s="1185"/>
      <c r="IFP5" s="1185"/>
      <c r="IFQ5" s="1185"/>
      <c r="IFR5" s="1185"/>
      <c r="IFS5" s="1185"/>
      <c r="IFT5" s="1185"/>
      <c r="IFU5" s="1185"/>
      <c r="IFV5" s="1185"/>
      <c r="IFW5" s="1185"/>
      <c r="IFX5" s="1185"/>
      <c r="IFY5" s="1185"/>
      <c r="IFZ5" s="1185"/>
      <c r="IGA5" s="1185"/>
      <c r="IGB5" s="1185"/>
      <c r="IGC5" s="1185"/>
      <c r="IGD5" s="1185"/>
      <c r="IGE5" s="1185"/>
      <c r="IGF5" s="1185"/>
      <c r="IGG5" s="1185"/>
      <c r="IGH5" s="1185"/>
      <c r="IGI5" s="1185"/>
      <c r="IGJ5" s="1185"/>
      <c r="IGK5" s="1185"/>
      <c r="IGL5" s="1185"/>
      <c r="IGM5" s="1185"/>
      <c r="IGN5" s="1185"/>
      <c r="IGO5" s="1185"/>
      <c r="IGP5" s="1185"/>
      <c r="IGQ5" s="1185"/>
      <c r="IGR5" s="1185"/>
      <c r="IGS5" s="1185"/>
      <c r="IGT5" s="1185"/>
      <c r="IGU5" s="1185"/>
      <c r="IGV5" s="1185"/>
      <c r="IGW5" s="1185"/>
      <c r="IGX5" s="1185"/>
      <c r="IGY5" s="1185"/>
      <c r="IGZ5" s="1185"/>
      <c r="IHA5" s="1185"/>
      <c r="IHB5" s="1185"/>
      <c r="IHC5" s="1185"/>
      <c r="IHD5" s="1185"/>
      <c r="IHE5" s="1185"/>
      <c r="IHF5" s="1185"/>
      <c r="IHG5" s="1185"/>
      <c r="IHH5" s="1185"/>
      <c r="IHI5" s="1185"/>
      <c r="IHJ5" s="1185"/>
      <c r="IHK5" s="1185"/>
      <c r="IHL5" s="1185"/>
      <c r="IHM5" s="1185"/>
      <c r="IHN5" s="1185"/>
      <c r="IHO5" s="1185"/>
      <c r="IHP5" s="1185"/>
      <c r="IHQ5" s="1185"/>
      <c r="IHR5" s="1185"/>
      <c r="IHS5" s="1185"/>
      <c r="IHT5" s="1185"/>
      <c r="IHU5" s="1185"/>
      <c r="IHV5" s="1185"/>
      <c r="IHW5" s="1185"/>
      <c r="IHX5" s="1185"/>
      <c r="IHY5" s="1185"/>
      <c r="IHZ5" s="1185"/>
      <c r="IIA5" s="1185"/>
      <c r="IIB5" s="1185"/>
      <c r="IIC5" s="1185"/>
      <c r="IID5" s="1185"/>
      <c r="IIE5" s="1185"/>
      <c r="IIF5" s="1185"/>
      <c r="IIG5" s="1185"/>
      <c r="IIH5" s="1185"/>
      <c r="III5" s="1185"/>
      <c r="IIJ5" s="1185"/>
      <c r="IIK5" s="1185"/>
      <c r="IIL5" s="1185"/>
      <c r="IIM5" s="1185"/>
      <c r="IIN5" s="1185"/>
      <c r="IIO5" s="1185"/>
      <c r="IIP5" s="1185"/>
      <c r="IIQ5" s="1185"/>
      <c r="IIR5" s="1185"/>
      <c r="IIS5" s="1185"/>
      <c r="IIT5" s="1185"/>
      <c r="IIU5" s="1185"/>
      <c r="IIV5" s="1185"/>
      <c r="IIW5" s="1185"/>
      <c r="IIX5" s="1185"/>
      <c r="IIY5" s="1185"/>
      <c r="IIZ5" s="1185"/>
      <c r="IJA5" s="1185"/>
      <c r="IJB5" s="1185"/>
      <c r="IJC5" s="1185"/>
      <c r="IJD5" s="1185"/>
      <c r="IJE5" s="1185"/>
      <c r="IJF5" s="1185"/>
      <c r="IJG5" s="1185"/>
      <c r="IJH5" s="1185"/>
      <c r="IJI5" s="1185"/>
      <c r="IJJ5" s="1185"/>
      <c r="IJK5" s="1185"/>
      <c r="IJL5" s="1185"/>
      <c r="IJM5" s="1185"/>
      <c r="IJN5" s="1185"/>
      <c r="IJO5" s="1185"/>
      <c r="IJP5" s="1185"/>
      <c r="IJQ5" s="1185"/>
      <c r="IJR5" s="1185"/>
      <c r="IJS5" s="1185"/>
      <c r="IJT5" s="1185"/>
      <c r="IJU5" s="1185"/>
      <c r="IJV5" s="1185"/>
      <c r="IJW5" s="1185"/>
      <c r="IJX5" s="1185"/>
      <c r="IJY5" s="1185"/>
      <c r="IJZ5" s="1185"/>
      <c r="IKA5" s="1185"/>
      <c r="IKB5" s="1185"/>
      <c r="IKC5" s="1185"/>
      <c r="IKD5" s="1185"/>
      <c r="IKE5" s="1185"/>
      <c r="IKF5" s="1185"/>
      <c r="IKG5" s="1185"/>
      <c r="IKH5" s="1185"/>
      <c r="IKI5" s="1185"/>
      <c r="IKJ5" s="1185"/>
      <c r="IKK5" s="1185"/>
      <c r="IKL5" s="1185"/>
      <c r="IKM5" s="1185"/>
      <c r="IKN5" s="1185"/>
      <c r="IKO5" s="1185"/>
      <c r="IKP5" s="1185"/>
      <c r="IKQ5" s="1185"/>
      <c r="IKR5" s="1185"/>
      <c r="IKS5" s="1185"/>
      <c r="IKT5" s="1185"/>
      <c r="IKU5" s="1185"/>
      <c r="IKV5" s="1185"/>
      <c r="IKW5" s="1185"/>
      <c r="IKX5" s="1185"/>
      <c r="IKY5" s="1185"/>
      <c r="IKZ5" s="1185"/>
      <c r="ILA5" s="1185"/>
      <c r="ILB5" s="1185"/>
      <c r="ILC5" s="1185"/>
      <c r="ILD5" s="1185"/>
      <c r="ILE5" s="1185"/>
      <c r="ILF5" s="1185"/>
      <c r="ILG5" s="1185"/>
      <c r="ILH5" s="1185"/>
      <c r="ILI5" s="1185"/>
      <c r="ILJ5" s="1185"/>
      <c r="ILK5" s="1185"/>
      <c r="ILL5" s="1185"/>
      <c r="ILM5" s="1185"/>
      <c r="ILN5" s="1185"/>
      <c r="ILO5" s="1185"/>
      <c r="ILP5" s="1185"/>
      <c r="ILQ5" s="1185"/>
      <c r="ILR5" s="1185"/>
      <c r="ILS5" s="1185"/>
      <c r="ILT5" s="1185"/>
      <c r="ILU5" s="1185"/>
      <c r="ILV5" s="1185"/>
      <c r="ILW5" s="1185"/>
      <c r="ILX5" s="1185"/>
      <c r="ILY5" s="1185"/>
      <c r="ILZ5" s="1185"/>
      <c r="IMA5" s="1185"/>
      <c r="IMB5" s="1185"/>
      <c r="IMC5" s="1185"/>
      <c r="IMD5" s="1185"/>
      <c r="IME5" s="1185"/>
      <c r="IMF5" s="1185"/>
      <c r="IMG5" s="1185"/>
      <c r="IMH5" s="1185"/>
      <c r="IMI5" s="1185"/>
      <c r="IMJ5" s="1185"/>
      <c r="IMK5" s="1185"/>
      <c r="IML5" s="1185"/>
      <c r="IMM5" s="1185"/>
      <c r="IMN5" s="1185"/>
      <c r="IMO5" s="1185"/>
      <c r="IMP5" s="1185"/>
      <c r="IMQ5" s="1185"/>
      <c r="IMR5" s="1185"/>
      <c r="IMS5" s="1185"/>
      <c r="IMT5" s="1185"/>
      <c r="IMU5" s="1185"/>
      <c r="IMV5" s="1185"/>
      <c r="IMW5" s="1185"/>
      <c r="IMX5" s="1185"/>
      <c r="IMY5" s="1185"/>
      <c r="IMZ5" s="1185"/>
      <c r="INA5" s="1185"/>
      <c r="INB5" s="1185"/>
      <c r="INC5" s="1185"/>
      <c r="IND5" s="1185"/>
      <c r="INE5" s="1185"/>
      <c r="INF5" s="1185"/>
      <c r="ING5" s="1185"/>
      <c r="INH5" s="1185"/>
      <c r="INI5" s="1185"/>
      <c r="INJ5" s="1185"/>
      <c r="INK5" s="1185"/>
      <c r="INL5" s="1185"/>
      <c r="INM5" s="1185"/>
      <c r="INN5" s="1185"/>
      <c r="INO5" s="1185"/>
      <c r="INP5" s="1185"/>
      <c r="INQ5" s="1185"/>
      <c r="INR5" s="1185"/>
      <c r="INS5" s="1185"/>
      <c r="INT5" s="1185"/>
      <c r="INU5" s="1185"/>
      <c r="INV5" s="1185"/>
      <c r="INW5" s="1185"/>
      <c r="INX5" s="1185"/>
      <c r="INY5" s="1185"/>
      <c r="INZ5" s="1185"/>
      <c r="IOA5" s="1185"/>
      <c r="IOB5" s="1185"/>
      <c r="IOC5" s="1185"/>
      <c r="IOD5" s="1185"/>
      <c r="IOE5" s="1185"/>
      <c r="IOF5" s="1185"/>
      <c r="IOG5" s="1185"/>
      <c r="IOH5" s="1185"/>
      <c r="IOI5" s="1185"/>
      <c r="IOJ5" s="1185"/>
      <c r="IOK5" s="1185"/>
      <c r="IOL5" s="1185"/>
      <c r="IOM5" s="1185"/>
      <c r="ION5" s="1185"/>
      <c r="IOO5" s="1185"/>
      <c r="IOP5" s="1185"/>
      <c r="IOQ5" s="1185"/>
      <c r="IOR5" s="1185"/>
      <c r="IOS5" s="1185"/>
      <c r="IOT5" s="1185"/>
      <c r="IOU5" s="1185"/>
      <c r="IOV5" s="1185"/>
      <c r="IOW5" s="1185"/>
      <c r="IOX5" s="1185"/>
      <c r="IOY5" s="1185"/>
      <c r="IOZ5" s="1185"/>
      <c r="IPA5" s="1185"/>
      <c r="IPB5" s="1185"/>
      <c r="IPC5" s="1185"/>
      <c r="IPD5" s="1185"/>
      <c r="IPE5" s="1185"/>
      <c r="IPF5" s="1185"/>
      <c r="IPG5" s="1185"/>
      <c r="IPH5" s="1185"/>
      <c r="IPI5" s="1185"/>
      <c r="IPJ5" s="1185"/>
      <c r="IPK5" s="1185"/>
      <c r="IPL5" s="1185"/>
      <c r="IPM5" s="1185"/>
      <c r="IPN5" s="1185"/>
      <c r="IPO5" s="1185"/>
      <c r="IPP5" s="1185"/>
      <c r="IPQ5" s="1185"/>
      <c r="IPR5" s="1185"/>
      <c r="IPS5" s="1185"/>
      <c r="IPT5" s="1185"/>
      <c r="IPU5" s="1185"/>
      <c r="IPV5" s="1185"/>
      <c r="IPW5" s="1185"/>
      <c r="IPX5" s="1185"/>
      <c r="IPY5" s="1185"/>
      <c r="IPZ5" s="1185"/>
      <c r="IQA5" s="1185"/>
      <c r="IQB5" s="1185"/>
      <c r="IQC5" s="1185"/>
      <c r="IQD5" s="1185"/>
      <c r="IQE5" s="1185"/>
      <c r="IQF5" s="1185"/>
      <c r="IQG5" s="1185"/>
      <c r="IQH5" s="1185"/>
      <c r="IQI5" s="1185"/>
      <c r="IQJ5" s="1185"/>
      <c r="IQK5" s="1185"/>
      <c r="IQL5" s="1185"/>
      <c r="IQM5" s="1185"/>
      <c r="IQN5" s="1185"/>
      <c r="IQO5" s="1185"/>
      <c r="IQP5" s="1185"/>
      <c r="IQQ5" s="1185"/>
      <c r="IQR5" s="1185"/>
      <c r="IQS5" s="1185"/>
      <c r="IQT5" s="1185"/>
      <c r="IQU5" s="1185"/>
      <c r="IQV5" s="1185"/>
      <c r="IQW5" s="1185"/>
      <c r="IQX5" s="1185"/>
      <c r="IQY5" s="1185"/>
      <c r="IQZ5" s="1185"/>
      <c r="IRA5" s="1185"/>
      <c r="IRB5" s="1185"/>
      <c r="IRC5" s="1185"/>
      <c r="IRD5" s="1185"/>
      <c r="IRE5" s="1185"/>
      <c r="IRF5" s="1185"/>
      <c r="IRG5" s="1185"/>
      <c r="IRH5" s="1185"/>
      <c r="IRI5" s="1185"/>
      <c r="IRJ5" s="1185"/>
      <c r="IRK5" s="1185"/>
      <c r="IRL5" s="1185"/>
      <c r="IRM5" s="1185"/>
      <c r="IRN5" s="1185"/>
      <c r="IRO5" s="1185"/>
      <c r="IRP5" s="1185"/>
      <c r="IRQ5" s="1185"/>
      <c r="IRR5" s="1185"/>
      <c r="IRS5" s="1185"/>
      <c r="IRT5" s="1185"/>
      <c r="IRU5" s="1185"/>
      <c r="IRV5" s="1185"/>
      <c r="IRW5" s="1185"/>
      <c r="IRX5" s="1185"/>
      <c r="IRY5" s="1185"/>
      <c r="IRZ5" s="1185"/>
      <c r="ISA5" s="1185"/>
      <c r="ISB5" s="1185"/>
      <c r="ISC5" s="1185"/>
      <c r="ISD5" s="1185"/>
      <c r="ISE5" s="1185"/>
      <c r="ISF5" s="1185"/>
      <c r="ISG5" s="1185"/>
      <c r="ISH5" s="1185"/>
      <c r="ISI5" s="1185"/>
      <c r="ISJ5" s="1185"/>
      <c r="ISK5" s="1185"/>
      <c r="ISL5" s="1185"/>
      <c r="ISM5" s="1185"/>
      <c r="ISN5" s="1185"/>
      <c r="ISO5" s="1185"/>
      <c r="ISP5" s="1185"/>
      <c r="ISQ5" s="1185"/>
      <c r="ISR5" s="1185"/>
      <c r="ISS5" s="1185"/>
      <c r="IST5" s="1185"/>
      <c r="ISU5" s="1185"/>
      <c r="ISV5" s="1185"/>
      <c r="ISW5" s="1185"/>
      <c r="ISX5" s="1185"/>
      <c r="ISY5" s="1185"/>
      <c r="ISZ5" s="1185"/>
      <c r="ITA5" s="1185"/>
      <c r="ITB5" s="1185"/>
      <c r="ITC5" s="1185"/>
      <c r="ITD5" s="1185"/>
      <c r="ITE5" s="1185"/>
      <c r="ITF5" s="1185"/>
      <c r="ITG5" s="1185"/>
      <c r="ITH5" s="1185"/>
      <c r="ITI5" s="1185"/>
      <c r="ITJ5" s="1185"/>
      <c r="ITK5" s="1185"/>
      <c r="ITL5" s="1185"/>
      <c r="ITM5" s="1185"/>
      <c r="ITN5" s="1185"/>
      <c r="ITO5" s="1185"/>
      <c r="ITP5" s="1185"/>
      <c r="ITQ5" s="1185"/>
      <c r="ITR5" s="1185"/>
      <c r="ITS5" s="1185"/>
      <c r="ITT5" s="1185"/>
      <c r="ITU5" s="1185"/>
      <c r="ITV5" s="1185"/>
      <c r="ITW5" s="1185"/>
      <c r="ITX5" s="1185"/>
      <c r="ITY5" s="1185"/>
      <c r="ITZ5" s="1185"/>
      <c r="IUA5" s="1185"/>
      <c r="IUB5" s="1185"/>
      <c r="IUC5" s="1185"/>
      <c r="IUD5" s="1185"/>
      <c r="IUE5" s="1185"/>
      <c r="IUF5" s="1185"/>
      <c r="IUG5" s="1185"/>
      <c r="IUH5" s="1185"/>
      <c r="IUI5" s="1185"/>
      <c r="IUJ5" s="1185"/>
      <c r="IUK5" s="1185"/>
      <c r="IUL5" s="1185"/>
      <c r="IUM5" s="1185"/>
      <c r="IUN5" s="1185"/>
      <c r="IUO5" s="1185"/>
      <c r="IUP5" s="1185"/>
      <c r="IUQ5" s="1185"/>
      <c r="IUR5" s="1185"/>
      <c r="IUS5" s="1185"/>
      <c r="IUT5" s="1185"/>
      <c r="IUU5" s="1185"/>
      <c r="IUV5" s="1185"/>
      <c r="IUW5" s="1185"/>
      <c r="IUX5" s="1185"/>
      <c r="IUY5" s="1185"/>
      <c r="IUZ5" s="1185"/>
      <c r="IVA5" s="1185"/>
      <c r="IVB5" s="1185"/>
      <c r="IVC5" s="1185"/>
      <c r="IVD5" s="1185"/>
      <c r="IVE5" s="1185"/>
      <c r="IVF5" s="1185"/>
      <c r="IVG5" s="1185"/>
      <c r="IVH5" s="1185"/>
      <c r="IVI5" s="1185"/>
      <c r="IVJ5" s="1185"/>
      <c r="IVK5" s="1185"/>
      <c r="IVL5" s="1185"/>
      <c r="IVM5" s="1185"/>
      <c r="IVN5" s="1185"/>
      <c r="IVO5" s="1185"/>
      <c r="IVP5" s="1185"/>
      <c r="IVQ5" s="1185"/>
      <c r="IVR5" s="1185"/>
      <c r="IVS5" s="1185"/>
      <c r="IVT5" s="1185"/>
      <c r="IVU5" s="1185"/>
      <c r="IVV5" s="1185"/>
      <c r="IVW5" s="1185"/>
      <c r="IVX5" s="1185"/>
      <c r="IVY5" s="1185"/>
      <c r="IVZ5" s="1185"/>
      <c r="IWA5" s="1185"/>
      <c r="IWB5" s="1185"/>
      <c r="IWC5" s="1185"/>
      <c r="IWD5" s="1185"/>
      <c r="IWE5" s="1185"/>
      <c r="IWF5" s="1185"/>
      <c r="IWG5" s="1185"/>
      <c r="IWH5" s="1185"/>
      <c r="IWI5" s="1185"/>
      <c r="IWJ5" s="1185"/>
      <c r="IWK5" s="1185"/>
      <c r="IWL5" s="1185"/>
      <c r="IWM5" s="1185"/>
      <c r="IWN5" s="1185"/>
      <c r="IWO5" s="1185"/>
      <c r="IWP5" s="1185"/>
      <c r="IWQ5" s="1185"/>
      <c r="IWR5" s="1185"/>
      <c r="IWS5" s="1185"/>
      <c r="IWT5" s="1185"/>
      <c r="IWU5" s="1185"/>
      <c r="IWV5" s="1185"/>
      <c r="IWW5" s="1185"/>
      <c r="IWX5" s="1185"/>
      <c r="IWY5" s="1185"/>
      <c r="IWZ5" s="1185"/>
      <c r="IXA5" s="1185"/>
      <c r="IXB5" s="1185"/>
      <c r="IXC5" s="1185"/>
      <c r="IXD5" s="1185"/>
      <c r="IXE5" s="1185"/>
      <c r="IXF5" s="1185"/>
      <c r="IXG5" s="1185"/>
      <c r="IXH5" s="1185"/>
      <c r="IXI5" s="1185"/>
      <c r="IXJ5" s="1185"/>
      <c r="IXK5" s="1185"/>
      <c r="IXL5" s="1185"/>
      <c r="IXM5" s="1185"/>
      <c r="IXN5" s="1185"/>
      <c r="IXO5" s="1185"/>
      <c r="IXP5" s="1185"/>
      <c r="IXQ5" s="1185"/>
      <c r="IXR5" s="1185"/>
      <c r="IXS5" s="1185"/>
      <c r="IXT5" s="1185"/>
      <c r="IXU5" s="1185"/>
      <c r="IXV5" s="1185"/>
      <c r="IXW5" s="1185"/>
      <c r="IXX5" s="1185"/>
      <c r="IXY5" s="1185"/>
      <c r="IXZ5" s="1185"/>
      <c r="IYA5" s="1185"/>
      <c r="IYB5" s="1185"/>
      <c r="IYC5" s="1185"/>
      <c r="IYD5" s="1185"/>
      <c r="IYE5" s="1185"/>
      <c r="IYF5" s="1185"/>
      <c r="IYG5" s="1185"/>
      <c r="IYH5" s="1185"/>
      <c r="IYI5" s="1185"/>
      <c r="IYJ5" s="1185"/>
      <c r="IYK5" s="1185"/>
      <c r="IYL5" s="1185"/>
      <c r="IYM5" s="1185"/>
      <c r="IYN5" s="1185"/>
      <c r="IYO5" s="1185"/>
      <c r="IYP5" s="1185"/>
      <c r="IYQ5" s="1185"/>
      <c r="IYR5" s="1185"/>
      <c r="IYS5" s="1185"/>
      <c r="IYT5" s="1185"/>
      <c r="IYU5" s="1185"/>
      <c r="IYV5" s="1185"/>
      <c r="IYW5" s="1185"/>
      <c r="IYX5" s="1185"/>
      <c r="IYY5" s="1185"/>
      <c r="IYZ5" s="1185"/>
      <c r="IZA5" s="1185"/>
      <c r="IZB5" s="1185"/>
      <c r="IZC5" s="1185"/>
      <c r="IZD5" s="1185"/>
      <c r="IZE5" s="1185"/>
      <c r="IZF5" s="1185"/>
      <c r="IZG5" s="1185"/>
      <c r="IZH5" s="1185"/>
      <c r="IZI5" s="1185"/>
      <c r="IZJ5" s="1185"/>
      <c r="IZK5" s="1185"/>
      <c r="IZL5" s="1185"/>
      <c r="IZM5" s="1185"/>
      <c r="IZN5" s="1185"/>
      <c r="IZO5" s="1185"/>
      <c r="IZP5" s="1185"/>
      <c r="IZQ5" s="1185"/>
      <c r="IZR5" s="1185"/>
      <c r="IZS5" s="1185"/>
      <c r="IZT5" s="1185"/>
      <c r="IZU5" s="1185"/>
      <c r="IZV5" s="1185"/>
      <c r="IZW5" s="1185"/>
      <c r="IZX5" s="1185"/>
      <c r="IZY5" s="1185"/>
      <c r="IZZ5" s="1185"/>
      <c r="JAA5" s="1185"/>
      <c r="JAB5" s="1185"/>
      <c r="JAC5" s="1185"/>
      <c r="JAD5" s="1185"/>
      <c r="JAE5" s="1185"/>
      <c r="JAF5" s="1185"/>
      <c r="JAG5" s="1185"/>
      <c r="JAH5" s="1185"/>
      <c r="JAI5" s="1185"/>
      <c r="JAJ5" s="1185"/>
      <c r="JAK5" s="1185"/>
      <c r="JAL5" s="1185"/>
      <c r="JAM5" s="1185"/>
      <c r="JAN5" s="1185"/>
      <c r="JAO5" s="1185"/>
      <c r="JAP5" s="1185"/>
      <c r="JAQ5" s="1185"/>
      <c r="JAR5" s="1185"/>
      <c r="JAS5" s="1185"/>
      <c r="JAT5" s="1185"/>
      <c r="JAU5" s="1185"/>
      <c r="JAV5" s="1185"/>
      <c r="JAW5" s="1185"/>
      <c r="JAX5" s="1185"/>
      <c r="JAY5" s="1185"/>
      <c r="JAZ5" s="1185"/>
      <c r="JBA5" s="1185"/>
      <c r="JBB5" s="1185"/>
      <c r="JBC5" s="1185"/>
      <c r="JBD5" s="1185"/>
      <c r="JBE5" s="1185"/>
      <c r="JBF5" s="1185"/>
      <c r="JBG5" s="1185"/>
      <c r="JBH5" s="1185"/>
      <c r="JBI5" s="1185"/>
      <c r="JBJ5" s="1185"/>
      <c r="JBK5" s="1185"/>
      <c r="JBL5" s="1185"/>
      <c r="JBM5" s="1185"/>
      <c r="JBN5" s="1185"/>
      <c r="JBO5" s="1185"/>
      <c r="JBP5" s="1185"/>
      <c r="JBQ5" s="1185"/>
      <c r="JBR5" s="1185"/>
      <c r="JBS5" s="1185"/>
      <c r="JBT5" s="1185"/>
      <c r="JBU5" s="1185"/>
      <c r="JBV5" s="1185"/>
      <c r="JBW5" s="1185"/>
      <c r="JBX5" s="1185"/>
      <c r="JBY5" s="1185"/>
      <c r="JBZ5" s="1185"/>
      <c r="JCA5" s="1185"/>
      <c r="JCB5" s="1185"/>
      <c r="JCC5" s="1185"/>
      <c r="JCD5" s="1185"/>
      <c r="JCE5" s="1185"/>
      <c r="JCF5" s="1185"/>
      <c r="JCG5" s="1185"/>
      <c r="JCH5" s="1185"/>
      <c r="JCI5" s="1185"/>
      <c r="JCJ5" s="1185"/>
      <c r="JCK5" s="1185"/>
      <c r="JCL5" s="1185"/>
      <c r="JCM5" s="1185"/>
      <c r="JCN5" s="1185"/>
      <c r="JCO5" s="1185"/>
      <c r="JCP5" s="1185"/>
      <c r="JCQ5" s="1185"/>
      <c r="JCR5" s="1185"/>
      <c r="JCS5" s="1185"/>
      <c r="JCT5" s="1185"/>
      <c r="JCU5" s="1185"/>
      <c r="JCV5" s="1185"/>
      <c r="JCW5" s="1185"/>
      <c r="JCX5" s="1185"/>
      <c r="JCY5" s="1185"/>
      <c r="JCZ5" s="1185"/>
      <c r="JDA5" s="1185"/>
      <c r="JDB5" s="1185"/>
      <c r="JDC5" s="1185"/>
      <c r="JDD5" s="1185"/>
      <c r="JDE5" s="1185"/>
      <c r="JDF5" s="1185"/>
      <c r="JDG5" s="1185"/>
      <c r="JDH5" s="1185"/>
      <c r="JDI5" s="1185"/>
      <c r="JDJ5" s="1185"/>
      <c r="JDK5" s="1185"/>
      <c r="JDL5" s="1185"/>
      <c r="JDM5" s="1185"/>
      <c r="JDN5" s="1185"/>
      <c r="JDO5" s="1185"/>
      <c r="JDP5" s="1185"/>
      <c r="JDQ5" s="1185"/>
      <c r="JDR5" s="1185"/>
      <c r="JDS5" s="1185"/>
      <c r="JDT5" s="1185"/>
      <c r="JDU5" s="1185"/>
      <c r="JDV5" s="1185"/>
      <c r="JDW5" s="1185"/>
      <c r="JDX5" s="1185"/>
      <c r="JDY5" s="1185"/>
      <c r="JDZ5" s="1185"/>
      <c r="JEA5" s="1185"/>
      <c r="JEB5" s="1185"/>
      <c r="JEC5" s="1185"/>
      <c r="JED5" s="1185"/>
      <c r="JEE5" s="1185"/>
      <c r="JEF5" s="1185"/>
      <c r="JEG5" s="1185"/>
      <c r="JEH5" s="1185"/>
      <c r="JEI5" s="1185"/>
      <c r="JEJ5" s="1185"/>
      <c r="JEK5" s="1185"/>
      <c r="JEL5" s="1185"/>
      <c r="JEM5" s="1185"/>
      <c r="JEN5" s="1185"/>
      <c r="JEO5" s="1185"/>
      <c r="JEP5" s="1185"/>
      <c r="JEQ5" s="1185"/>
      <c r="JER5" s="1185"/>
      <c r="JES5" s="1185"/>
      <c r="JET5" s="1185"/>
      <c r="JEU5" s="1185"/>
      <c r="JEV5" s="1185"/>
      <c r="JEW5" s="1185"/>
      <c r="JEX5" s="1185"/>
      <c r="JEY5" s="1185"/>
      <c r="JEZ5" s="1185"/>
      <c r="JFA5" s="1185"/>
      <c r="JFB5" s="1185"/>
      <c r="JFC5" s="1185"/>
      <c r="JFD5" s="1185"/>
      <c r="JFE5" s="1185"/>
      <c r="JFF5" s="1185"/>
      <c r="JFG5" s="1185"/>
      <c r="JFH5" s="1185"/>
      <c r="JFI5" s="1185"/>
      <c r="JFJ5" s="1185"/>
      <c r="JFK5" s="1185"/>
      <c r="JFL5" s="1185"/>
      <c r="JFM5" s="1185"/>
      <c r="JFN5" s="1185"/>
      <c r="JFO5" s="1185"/>
      <c r="JFP5" s="1185"/>
      <c r="JFQ5" s="1185"/>
      <c r="JFR5" s="1185"/>
      <c r="JFS5" s="1185"/>
      <c r="JFT5" s="1185"/>
      <c r="JFU5" s="1185"/>
      <c r="JFV5" s="1185"/>
      <c r="JFW5" s="1185"/>
      <c r="JFX5" s="1185"/>
      <c r="JFY5" s="1185"/>
      <c r="JFZ5" s="1185"/>
      <c r="JGA5" s="1185"/>
      <c r="JGB5" s="1185"/>
      <c r="JGC5" s="1185"/>
      <c r="JGD5" s="1185"/>
      <c r="JGE5" s="1185"/>
      <c r="JGF5" s="1185"/>
      <c r="JGG5" s="1185"/>
      <c r="JGH5" s="1185"/>
      <c r="JGI5" s="1185"/>
      <c r="JGJ5" s="1185"/>
      <c r="JGK5" s="1185"/>
      <c r="JGL5" s="1185"/>
      <c r="JGM5" s="1185"/>
      <c r="JGN5" s="1185"/>
      <c r="JGO5" s="1185"/>
      <c r="JGP5" s="1185"/>
      <c r="JGQ5" s="1185"/>
      <c r="JGR5" s="1185"/>
      <c r="JGS5" s="1185"/>
      <c r="JGT5" s="1185"/>
      <c r="JGU5" s="1185"/>
      <c r="JGV5" s="1185"/>
      <c r="JGW5" s="1185"/>
      <c r="JGX5" s="1185"/>
      <c r="JGY5" s="1185"/>
      <c r="JGZ5" s="1185"/>
      <c r="JHA5" s="1185"/>
      <c r="JHB5" s="1185"/>
      <c r="JHC5" s="1185"/>
      <c r="JHD5" s="1185"/>
      <c r="JHE5" s="1185"/>
      <c r="JHF5" s="1185"/>
      <c r="JHG5" s="1185"/>
      <c r="JHH5" s="1185"/>
      <c r="JHI5" s="1185"/>
      <c r="JHJ5" s="1185"/>
      <c r="JHK5" s="1185"/>
      <c r="JHL5" s="1185"/>
      <c r="JHM5" s="1185"/>
      <c r="JHN5" s="1185"/>
      <c r="JHO5" s="1185"/>
      <c r="JHP5" s="1185"/>
      <c r="JHQ5" s="1185"/>
      <c r="JHR5" s="1185"/>
      <c r="JHS5" s="1185"/>
      <c r="JHT5" s="1185"/>
      <c r="JHU5" s="1185"/>
      <c r="JHV5" s="1185"/>
      <c r="JHW5" s="1185"/>
      <c r="JHX5" s="1185"/>
      <c r="JHY5" s="1185"/>
      <c r="JHZ5" s="1185"/>
      <c r="JIA5" s="1185"/>
      <c r="JIB5" s="1185"/>
      <c r="JIC5" s="1185"/>
      <c r="JID5" s="1185"/>
      <c r="JIE5" s="1185"/>
      <c r="JIF5" s="1185"/>
      <c r="JIG5" s="1185"/>
      <c r="JIH5" s="1185"/>
      <c r="JII5" s="1185"/>
      <c r="JIJ5" s="1185"/>
      <c r="JIK5" s="1185"/>
      <c r="JIL5" s="1185"/>
      <c r="JIM5" s="1185"/>
      <c r="JIN5" s="1185"/>
      <c r="JIO5" s="1185"/>
      <c r="JIP5" s="1185"/>
      <c r="JIQ5" s="1185"/>
      <c r="JIR5" s="1185"/>
      <c r="JIS5" s="1185"/>
      <c r="JIT5" s="1185"/>
      <c r="JIU5" s="1185"/>
      <c r="JIV5" s="1185"/>
      <c r="JIW5" s="1185"/>
      <c r="JIX5" s="1185"/>
      <c r="JIY5" s="1185"/>
      <c r="JIZ5" s="1185"/>
      <c r="JJA5" s="1185"/>
      <c r="JJB5" s="1185"/>
      <c r="JJC5" s="1185"/>
      <c r="JJD5" s="1185"/>
      <c r="JJE5" s="1185"/>
      <c r="JJF5" s="1185"/>
      <c r="JJG5" s="1185"/>
      <c r="JJH5" s="1185"/>
      <c r="JJI5" s="1185"/>
      <c r="JJJ5" s="1185"/>
      <c r="JJK5" s="1185"/>
      <c r="JJL5" s="1185"/>
      <c r="JJM5" s="1185"/>
      <c r="JJN5" s="1185"/>
      <c r="JJO5" s="1185"/>
      <c r="JJP5" s="1185"/>
      <c r="JJQ5" s="1185"/>
      <c r="JJR5" s="1185"/>
      <c r="JJS5" s="1185"/>
      <c r="JJT5" s="1185"/>
      <c r="JJU5" s="1185"/>
      <c r="JJV5" s="1185"/>
      <c r="JJW5" s="1185"/>
      <c r="JJX5" s="1185"/>
      <c r="JJY5" s="1185"/>
      <c r="JJZ5" s="1185"/>
      <c r="JKA5" s="1185"/>
      <c r="JKB5" s="1185"/>
      <c r="JKC5" s="1185"/>
      <c r="JKD5" s="1185"/>
      <c r="JKE5" s="1185"/>
      <c r="JKF5" s="1185"/>
      <c r="JKG5" s="1185"/>
      <c r="JKH5" s="1185"/>
      <c r="JKI5" s="1185"/>
      <c r="JKJ5" s="1185"/>
      <c r="JKK5" s="1185"/>
      <c r="JKL5" s="1185"/>
      <c r="JKM5" s="1185"/>
      <c r="JKN5" s="1185"/>
      <c r="JKO5" s="1185"/>
      <c r="JKP5" s="1185"/>
      <c r="JKQ5" s="1185"/>
      <c r="JKR5" s="1185"/>
      <c r="JKS5" s="1185"/>
      <c r="JKT5" s="1185"/>
      <c r="JKU5" s="1185"/>
      <c r="JKV5" s="1185"/>
      <c r="JKW5" s="1185"/>
      <c r="JKX5" s="1185"/>
      <c r="JKY5" s="1185"/>
      <c r="JKZ5" s="1185"/>
      <c r="JLA5" s="1185"/>
      <c r="JLB5" s="1185"/>
      <c r="JLC5" s="1185"/>
      <c r="JLD5" s="1185"/>
      <c r="JLE5" s="1185"/>
      <c r="JLF5" s="1185"/>
      <c r="JLG5" s="1185"/>
      <c r="JLH5" s="1185"/>
      <c r="JLI5" s="1185"/>
      <c r="JLJ5" s="1185"/>
      <c r="JLK5" s="1185"/>
      <c r="JLL5" s="1185"/>
      <c r="JLM5" s="1185"/>
      <c r="JLN5" s="1185"/>
      <c r="JLO5" s="1185"/>
      <c r="JLP5" s="1185"/>
      <c r="JLQ5" s="1185"/>
      <c r="JLR5" s="1185"/>
      <c r="JLS5" s="1185"/>
      <c r="JLT5" s="1185"/>
      <c r="JLU5" s="1185"/>
      <c r="JLV5" s="1185"/>
      <c r="JLW5" s="1185"/>
      <c r="JLX5" s="1185"/>
      <c r="JLY5" s="1185"/>
      <c r="JLZ5" s="1185"/>
      <c r="JMA5" s="1185"/>
      <c r="JMB5" s="1185"/>
      <c r="JMC5" s="1185"/>
      <c r="JMD5" s="1185"/>
      <c r="JME5" s="1185"/>
      <c r="JMF5" s="1185"/>
      <c r="JMG5" s="1185"/>
      <c r="JMH5" s="1185"/>
      <c r="JMI5" s="1185"/>
      <c r="JMJ5" s="1185"/>
      <c r="JMK5" s="1185"/>
      <c r="JML5" s="1185"/>
      <c r="JMM5" s="1185"/>
      <c r="JMN5" s="1185"/>
      <c r="JMO5" s="1185"/>
      <c r="JMP5" s="1185"/>
      <c r="JMQ5" s="1185"/>
      <c r="JMR5" s="1185"/>
      <c r="JMS5" s="1185"/>
      <c r="JMT5" s="1185"/>
      <c r="JMU5" s="1185"/>
      <c r="JMV5" s="1185"/>
      <c r="JMW5" s="1185"/>
      <c r="JMX5" s="1185"/>
      <c r="JMY5" s="1185"/>
      <c r="JMZ5" s="1185"/>
      <c r="JNA5" s="1185"/>
      <c r="JNB5" s="1185"/>
      <c r="JNC5" s="1185"/>
      <c r="JND5" s="1185"/>
      <c r="JNE5" s="1185"/>
      <c r="JNF5" s="1185"/>
      <c r="JNG5" s="1185"/>
      <c r="JNH5" s="1185"/>
      <c r="JNI5" s="1185"/>
      <c r="JNJ5" s="1185"/>
      <c r="JNK5" s="1185"/>
      <c r="JNL5" s="1185"/>
      <c r="JNM5" s="1185"/>
      <c r="JNN5" s="1185"/>
      <c r="JNO5" s="1185"/>
      <c r="JNP5" s="1185"/>
      <c r="JNQ5" s="1185"/>
      <c r="JNR5" s="1185"/>
      <c r="JNS5" s="1185"/>
      <c r="JNT5" s="1185"/>
      <c r="JNU5" s="1185"/>
      <c r="JNV5" s="1185"/>
      <c r="JNW5" s="1185"/>
      <c r="JNX5" s="1185"/>
      <c r="JNY5" s="1185"/>
      <c r="JNZ5" s="1185"/>
      <c r="JOA5" s="1185"/>
      <c r="JOB5" s="1185"/>
      <c r="JOC5" s="1185"/>
      <c r="JOD5" s="1185"/>
      <c r="JOE5" s="1185"/>
      <c r="JOF5" s="1185"/>
      <c r="JOG5" s="1185"/>
      <c r="JOH5" s="1185"/>
      <c r="JOI5" s="1185"/>
      <c r="JOJ5" s="1185"/>
      <c r="JOK5" s="1185"/>
      <c r="JOL5" s="1185"/>
      <c r="JOM5" s="1185"/>
      <c r="JON5" s="1185"/>
      <c r="JOO5" s="1185"/>
      <c r="JOP5" s="1185"/>
      <c r="JOQ5" s="1185"/>
      <c r="JOR5" s="1185"/>
      <c r="JOS5" s="1185"/>
      <c r="JOT5" s="1185"/>
      <c r="JOU5" s="1185"/>
      <c r="JOV5" s="1185"/>
      <c r="JOW5" s="1185"/>
      <c r="JOX5" s="1185"/>
      <c r="JOY5" s="1185"/>
      <c r="JOZ5" s="1185"/>
      <c r="JPA5" s="1185"/>
      <c r="JPB5" s="1185"/>
      <c r="JPC5" s="1185"/>
      <c r="JPD5" s="1185"/>
      <c r="JPE5" s="1185"/>
      <c r="JPF5" s="1185"/>
      <c r="JPG5" s="1185"/>
      <c r="JPH5" s="1185"/>
      <c r="JPI5" s="1185"/>
      <c r="JPJ5" s="1185"/>
      <c r="JPK5" s="1185"/>
      <c r="JPL5" s="1185"/>
      <c r="JPM5" s="1185"/>
      <c r="JPN5" s="1185"/>
      <c r="JPO5" s="1185"/>
      <c r="JPP5" s="1185"/>
      <c r="JPQ5" s="1185"/>
      <c r="JPR5" s="1185"/>
      <c r="JPS5" s="1185"/>
      <c r="JPT5" s="1185"/>
      <c r="JPU5" s="1185"/>
      <c r="JPV5" s="1185"/>
      <c r="JPW5" s="1185"/>
      <c r="JPX5" s="1185"/>
      <c r="JPY5" s="1185"/>
      <c r="JPZ5" s="1185"/>
      <c r="JQA5" s="1185"/>
      <c r="JQB5" s="1185"/>
      <c r="JQC5" s="1185"/>
      <c r="JQD5" s="1185"/>
      <c r="JQE5" s="1185"/>
      <c r="JQF5" s="1185"/>
      <c r="JQG5" s="1185"/>
      <c r="JQH5" s="1185"/>
      <c r="JQI5" s="1185"/>
      <c r="JQJ5" s="1185"/>
      <c r="JQK5" s="1185"/>
      <c r="JQL5" s="1185"/>
      <c r="JQM5" s="1185"/>
      <c r="JQN5" s="1185"/>
      <c r="JQO5" s="1185"/>
      <c r="JQP5" s="1185"/>
      <c r="JQQ5" s="1185"/>
      <c r="JQR5" s="1185"/>
      <c r="JQS5" s="1185"/>
      <c r="JQT5" s="1185"/>
      <c r="JQU5" s="1185"/>
      <c r="JQV5" s="1185"/>
      <c r="JQW5" s="1185"/>
      <c r="JQX5" s="1185"/>
      <c r="JQY5" s="1185"/>
      <c r="JQZ5" s="1185"/>
      <c r="JRA5" s="1185"/>
      <c r="JRB5" s="1185"/>
      <c r="JRC5" s="1185"/>
      <c r="JRD5" s="1185"/>
      <c r="JRE5" s="1185"/>
      <c r="JRF5" s="1185"/>
      <c r="JRG5" s="1185"/>
      <c r="JRH5" s="1185"/>
      <c r="JRI5" s="1185"/>
      <c r="JRJ5" s="1185"/>
      <c r="JRK5" s="1185"/>
      <c r="JRL5" s="1185"/>
      <c r="JRM5" s="1185"/>
      <c r="JRN5" s="1185"/>
      <c r="JRO5" s="1185"/>
      <c r="JRP5" s="1185"/>
      <c r="JRQ5" s="1185"/>
      <c r="JRR5" s="1185"/>
      <c r="JRS5" s="1185"/>
      <c r="JRT5" s="1185"/>
      <c r="JRU5" s="1185"/>
      <c r="JRV5" s="1185"/>
      <c r="JRW5" s="1185"/>
      <c r="JRX5" s="1185"/>
      <c r="JRY5" s="1185"/>
      <c r="JRZ5" s="1185"/>
      <c r="JSA5" s="1185"/>
      <c r="JSB5" s="1185"/>
      <c r="JSC5" s="1185"/>
      <c r="JSD5" s="1185"/>
      <c r="JSE5" s="1185"/>
      <c r="JSF5" s="1185"/>
      <c r="JSG5" s="1185"/>
      <c r="JSH5" s="1185"/>
      <c r="JSI5" s="1185"/>
      <c r="JSJ5" s="1185"/>
      <c r="JSK5" s="1185"/>
      <c r="JSL5" s="1185"/>
      <c r="JSM5" s="1185"/>
      <c r="JSN5" s="1185"/>
      <c r="JSO5" s="1185"/>
      <c r="JSP5" s="1185"/>
      <c r="JSQ5" s="1185"/>
      <c r="JSR5" s="1185"/>
      <c r="JSS5" s="1185"/>
      <c r="JST5" s="1185"/>
      <c r="JSU5" s="1185"/>
      <c r="JSV5" s="1185"/>
      <c r="JSW5" s="1185"/>
      <c r="JSX5" s="1185"/>
      <c r="JSY5" s="1185"/>
      <c r="JSZ5" s="1185"/>
      <c r="JTA5" s="1185"/>
      <c r="JTB5" s="1185"/>
      <c r="JTC5" s="1185"/>
      <c r="JTD5" s="1185"/>
      <c r="JTE5" s="1185"/>
      <c r="JTF5" s="1185"/>
      <c r="JTG5" s="1185"/>
      <c r="JTH5" s="1185"/>
      <c r="JTI5" s="1185"/>
      <c r="JTJ5" s="1185"/>
      <c r="JTK5" s="1185"/>
      <c r="JTL5" s="1185"/>
      <c r="JTM5" s="1185"/>
      <c r="JTN5" s="1185"/>
      <c r="JTO5" s="1185"/>
      <c r="JTP5" s="1185"/>
      <c r="JTQ5" s="1185"/>
      <c r="JTR5" s="1185"/>
      <c r="JTS5" s="1185"/>
      <c r="JTT5" s="1185"/>
      <c r="JTU5" s="1185"/>
      <c r="JTV5" s="1185"/>
      <c r="JTW5" s="1185"/>
      <c r="JTX5" s="1185"/>
      <c r="JTY5" s="1185"/>
      <c r="JTZ5" s="1185"/>
      <c r="JUA5" s="1185"/>
      <c r="JUB5" s="1185"/>
      <c r="JUC5" s="1185"/>
      <c r="JUD5" s="1185"/>
      <c r="JUE5" s="1185"/>
      <c r="JUF5" s="1185"/>
      <c r="JUG5" s="1185"/>
      <c r="JUH5" s="1185"/>
      <c r="JUI5" s="1185"/>
      <c r="JUJ5" s="1185"/>
      <c r="JUK5" s="1185"/>
      <c r="JUL5" s="1185"/>
      <c r="JUM5" s="1185"/>
      <c r="JUN5" s="1185"/>
      <c r="JUO5" s="1185"/>
      <c r="JUP5" s="1185"/>
      <c r="JUQ5" s="1185"/>
      <c r="JUR5" s="1185"/>
      <c r="JUS5" s="1185"/>
      <c r="JUT5" s="1185"/>
      <c r="JUU5" s="1185"/>
      <c r="JUV5" s="1185"/>
      <c r="JUW5" s="1185"/>
      <c r="JUX5" s="1185"/>
      <c r="JUY5" s="1185"/>
      <c r="JUZ5" s="1185"/>
      <c r="JVA5" s="1185"/>
      <c r="JVB5" s="1185"/>
      <c r="JVC5" s="1185"/>
      <c r="JVD5" s="1185"/>
      <c r="JVE5" s="1185"/>
      <c r="JVF5" s="1185"/>
      <c r="JVG5" s="1185"/>
      <c r="JVH5" s="1185"/>
      <c r="JVI5" s="1185"/>
      <c r="JVJ5" s="1185"/>
      <c r="JVK5" s="1185"/>
      <c r="JVL5" s="1185"/>
      <c r="JVM5" s="1185"/>
      <c r="JVN5" s="1185"/>
      <c r="JVO5" s="1185"/>
      <c r="JVP5" s="1185"/>
      <c r="JVQ5" s="1185"/>
      <c r="JVR5" s="1185"/>
      <c r="JVS5" s="1185"/>
      <c r="JVT5" s="1185"/>
      <c r="JVU5" s="1185"/>
      <c r="JVV5" s="1185"/>
      <c r="JVW5" s="1185"/>
      <c r="JVX5" s="1185"/>
      <c r="JVY5" s="1185"/>
      <c r="JVZ5" s="1185"/>
      <c r="JWA5" s="1185"/>
      <c r="JWB5" s="1185"/>
      <c r="JWC5" s="1185"/>
      <c r="JWD5" s="1185"/>
      <c r="JWE5" s="1185"/>
      <c r="JWF5" s="1185"/>
      <c r="JWG5" s="1185"/>
      <c r="JWH5" s="1185"/>
      <c r="JWI5" s="1185"/>
      <c r="JWJ5" s="1185"/>
      <c r="JWK5" s="1185"/>
      <c r="JWL5" s="1185"/>
      <c r="JWM5" s="1185"/>
      <c r="JWN5" s="1185"/>
      <c r="JWO5" s="1185"/>
      <c r="JWP5" s="1185"/>
      <c r="JWQ5" s="1185"/>
      <c r="JWR5" s="1185"/>
      <c r="JWS5" s="1185"/>
      <c r="JWT5" s="1185"/>
      <c r="JWU5" s="1185"/>
      <c r="JWV5" s="1185"/>
      <c r="JWW5" s="1185"/>
      <c r="JWX5" s="1185"/>
      <c r="JWY5" s="1185"/>
      <c r="JWZ5" s="1185"/>
      <c r="JXA5" s="1185"/>
      <c r="JXB5" s="1185"/>
      <c r="JXC5" s="1185"/>
      <c r="JXD5" s="1185"/>
      <c r="JXE5" s="1185"/>
      <c r="JXF5" s="1185"/>
      <c r="JXG5" s="1185"/>
      <c r="JXH5" s="1185"/>
      <c r="JXI5" s="1185"/>
      <c r="JXJ5" s="1185"/>
      <c r="JXK5" s="1185"/>
      <c r="JXL5" s="1185"/>
      <c r="JXM5" s="1185"/>
      <c r="JXN5" s="1185"/>
      <c r="JXO5" s="1185"/>
      <c r="JXP5" s="1185"/>
      <c r="JXQ5" s="1185"/>
      <c r="JXR5" s="1185"/>
      <c r="JXS5" s="1185"/>
      <c r="JXT5" s="1185"/>
      <c r="JXU5" s="1185"/>
      <c r="JXV5" s="1185"/>
      <c r="JXW5" s="1185"/>
      <c r="JXX5" s="1185"/>
      <c r="JXY5" s="1185"/>
      <c r="JXZ5" s="1185"/>
      <c r="JYA5" s="1185"/>
      <c r="JYB5" s="1185"/>
      <c r="JYC5" s="1185"/>
      <c r="JYD5" s="1185"/>
      <c r="JYE5" s="1185"/>
      <c r="JYF5" s="1185"/>
      <c r="JYG5" s="1185"/>
      <c r="JYH5" s="1185"/>
      <c r="JYI5" s="1185"/>
      <c r="JYJ5" s="1185"/>
      <c r="JYK5" s="1185"/>
      <c r="JYL5" s="1185"/>
      <c r="JYM5" s="1185"/>
      <c r="JYN5" s="1185"/>
      <c r="JYO5" s="1185"/>
      <c r="JYP5" s="1185"/>
      <c r="JYQ5" s="1185"/>
      <c r="JYR5" s="1185"/>
      <c r="JYS5" s="1185"/>
      <c r="JYT5" s="1185"/>
      <c r="JYU5" s="1185"/>
      <c r="JYV5" s="1185"/>
      <c r="JYW5" s="1185"/>
      <c r="JYX5" s="1185"/>
      <c r="JYY5" s="1185"/>
      <c r="JYZ5" s="1185"/>
      <c r="JZA5" s="1185"/>
      <c r="JZB5" s="1185"/>
      <c r="JZC5" s="1185"/>
      <c r="JZD5" s="1185"/>
      <c r="JZE5" s="1185"/>
      <c r="JZF5" s="1185"/>
      <c r="JZG5" s="1185"/>
      <c r="JZH5" s="1185"/>
      <c r="JZI5" s="1185"/>
      <c r="JZJ5" s="1185"/>
      <c r="JZK5" s="1185"/>
      <c r="JZL5" s="1185"/>
      <c r="JZM5" s="1185"/>
      <c r="JZN5" s="1185"/>
      <c r="JZO5" s="1185"/>
      <c r="JZP5" s="1185"/>
      <c r="JZQ5" s="1185"/>
      <c r="JZR5" s="1185"/>
      <c r="JZS5" s="1185"/>
      <c r="JZT5" s="1185"/>
      <c r="JZU5" s="1185"/>
      <c r="JZV5" s="1185"/>
      <c r="JZW5" s="1185"/>
      <c r="JZX5" s="1185"/>
      <c r="JZY5" s="1185"/>
      <c r="JZZ5" s="1185"/>
      <c r="KAA5" s="1185"/>
      <c r="KAB5" s="1185"/>
      <c r="KAC5" s="1185"/>
      <c r="KAD5" s="1185"/>
      <c r="KAE5" s="1185"/>
      <c r="KAF5" s="1185"/>
      <c r="KAG5" s="1185"/>
      <c r="KAH5" s="1185"/>
      <c r="KAI5" s="1185"/>
      <c r="KAJ5" s="1185"/>
      <c r="KAK5" s="1185"/>
      <c r="KAL5" s="1185"/>
      <c r="KAM5" s="1185"/>
      <c r="KAN5" s="1185"/>
      <c r="KAO5" s="1185"/>
      <c r="KAP5" s="1185"/>
      <c r="KAQ5" s="1185"/>
      <c r="KAR5" s="1185"/>
      <c r="KAS5" s="1185"/>
      <c r="KAT5" s="1185"/>
      <c r="KAU5" s="1185"/>
      <c r="KAV5" s="1185"/>
      <c r="KAW5" s="1185"/>
      <c r="KAX5" s="1185"/>
      <c r="KAY5" s="1185"/>
      <c r="KAZ5" s="1185"/>
      <c r="KBA5" s="1185"/>
      <c r="KBB5" s="1185"/>
      <c r="KBC5" s="1185"/>
      <c r="KBD5" s="1185"/>
      <c r="KBE5" s="1185"/>
      <c r="KBF5" s="1185"/>
      <c r="KBG5" s="1185"/>
      <c r="KBH5" s="1185"/>
      <c r="KBI5" s="1185"/>
      <c r="KBJ5" s="1185"/>
      <c r="KBK5" s="1185"/>
      <c r="KBL5" s="1185"/>
      <c r="KBM5" s="1185"/>
      <c r="KBN5" s="1185"/>
      <c r="KBO5" s="1185"/>
      <c r="KBP5" s="1185"/>
      <c r="KBQ5" s="1185"/>
      <c r="KBR5" s="1185"/>
      <c r="KBS5" s="1185"/>
      <c r="KBT5" s="1185"/>
      <c r="KBU5" s="1185"/>
      <c r="KBV5" s="1185"/>
      <c r="KBW5" s="1185"/>
      <c r="KBX5" s="1185"/>
      <c r="KBY5" s="1185"/>
      <c r="KBZ5" s="1185"/>
      <c r="KCA5" s="1185"/>
      <c r="KCB5" s="1185"/>
      <c r="KCC5" s="1185"/>
      <c r="KCD5" s="1185"/>
      <c r="KCE5" s="1185"/>
      <c r="KCF5" s="1185"/>
      <c r="KCG5" s="1185"/>
      <c r="KCH5" s="1185"/>
      <c r="KCI5" s="1185"/>
      <c r="KCJ5" s="1185"/>
      <c r="KCK5" s="1185"/>
      <c r="KCL5" s="1185"/>
      <c r="KCM5" s="1185"/>
      <c r="KCN5" s="1185"/>
      <c r="KCO5" s="1185"/>
      <c r="KCP5" s="1185"/>
      <c r="KCQ5" s="1185"/>
      <c r="KCR5" s="1185"/>
      <c r="KCS5" s="1185"/>
      <c r="KCT5" s="1185"/>
      <c r="KCU5" s="1185"/>
      <c r="KCV5" s="1185"/>
      <c r="KCW5" s="1185"/>
      <c r="KCX5" s="1185"/>
      <c r="KCY5" s="1185"/>
      <c r="KCZ5" s="1185"/>
      <c r="KDA5" s="1185"/>
      <c r="KDB5" s="1185"/>
      <c r="KDC5" s="1185"/>
      <c r="KDD5" s="1185"/>
      <c r="KDE5" s="1185"/>
      <c r="KDF5" s="1185"/>
      <c r="KDG5" s="1185"/>
      <c r="KDH5" s="1185"/>
      <c r="KDI5" s="1185"/>
      <c r="KDJ5" s="1185"/>
      <c r="KDK5" s="1185"/>
      <c r="KDL5" s="1185"/>
      <c r="KDM5" s="1185"/>
      <c r="KDN5" s="1185"/>
      <c r="KDO5" s="1185"/>
      <c r="KDP5" s="1185"/>
      <c r="KDQ5" s="1185"/>
      <c r="KDR5" s="1185"/>
      <c r="KDS5" s="1185"/>
      <c r="KDT5" s="1185"/>
      <c r="KDU5" s="1185"/>
      <c r="KDV5" s="1185"/>
      <c r="KDW5" s="1185"/>
      <c r="KDX5" s="1185"/>
      <c r="KDY5" s="1185"/>
      <c r="KDZ5" s="1185"/>
      <c r="KEA5" s="1185"/>
      <c r="KEB5" s="1185"/>
      <c r="KEC5" s="1185"/>
      <c r="KED5" s="1185"/>
      <c r="KEE5" s="1185"/>
      <c r="KEF5" s="1185"/>
      <c r="KEG5" s="1185"/>
      <c r="KEH5" s="1185"/>
      <c r="KEI5" s="1185"/>
      <c r="KEJ5" s="1185"/>
      <c r="KEK5" s="1185"/>
      <c r="KEL5" s="1185"/>
      <c r="KEM5" s="1185"/>
      <c r="KEN5" s="1185"/>
      <c r="KEO5" s="1185"/>
      <c r="KEP5" s="1185"/>
      <c r="KEQ5" s="1185"/>
      <c r="KER5" s="1185"/>
      <c r="KES5" s="1185"/>
      <c r="KET5" s="1185"/>
      <c r="KEU5" s="1185"/>
      <c r="KEV5" s="1185"/>
      <c r="KEW5" s="1185"/>
      <c r="KEX5" s="1185"/>
      <c r="KEY5" s="1185"/>
      <c r="KEZ5" s="1185"/>
      <c r="KFA5" s="1185"/>
      <c r="KFB5" s="1185"/>
      <c r="KFC5" s="1185"/>
      <c r="KFD5" s="1185"/>
      <c r="KFE5" s="1185"/>
      <c r="KFF5" s="1185"/>
      <c r="KFG5" s="1185"/>
      <c r="KFH5" s="1185"/>
      <c r="KFI5" s="1185"/>
      <c r="KFJ5" s="1185"/>
      <c r="KFK5" s="1185"/>
      <c r="KFL5" s="1185"/>
      <c r="KFM5" s="1185"/>
      <c r="KFN5" s="1185"/>
      <c r="KFO5" s="1185"/>
      <c r="KFP5" s="1185"/>
      <c r="KFQ5" s="1185"/>
      <c r="KFR5" s="1185"/>
      <c r="KFS5" s="1185"/>
      <c r="KFT5" s="1185"/>
      <c r="KFU5" s="1185"/>
      <c r="KFV5" s="1185"/>
      <c r="KFW5" s="1185"/>
      <c r="KFX5" s="1185"/>
      <c r="KFY5" s="1185"/>
      <c r="KFZ5" s="1185"/>
      <c r="KGA5" s="1185"/>
      <c r="KGB5" s="1185"/>
      <c r="KGC5" s="1185"/>
      <c r="KGD5" s="1185"/>
      <c r="KGE5" s="1185"/>
      <c r="KGF5" s="1185"/>
      <c r="KGG5" s="1185"/>
      <c r="KGH5" s="1185"/>
      <c r="KGI5" s="1185"/>
      <c r="KGJ5" s="1185"/>
      <c r="KGK5" s="1185"/>
      <c r="KGL5" s="1185"/>
      <c r="KGM5" s="1185"/>
      <c r="KGN5" s="1185"/>
      <c r="KGO5" s="1185"/>
      <c r="KGP5" s="1185"/>
      <c r="KGQ5" s="1185"/>
      <c r="KGR5" s="1185"/>
      <c r="KGS5" s="1185"/>
      <c r="KGT5" s="1185"/>
      <c r="KGU5" s="1185"/>
      <c r="KGV5" s="1185"/>
      <c r="KGW5" s="1185"/>
      <c r="KGX5" s="1185"/>
      <c r="KGY5" s="1185"/>
      <c r="KGZ5" s="1185"/>
      <c r="KHA5" s="1185"/>
      <c r="KHB5" s="1185"/>
      <c r="KHC5" s="1185"/>
      <c r="KHD5" s="1185"/>
      <c r="KHE5" s="1185"/>
      <c r="KHF5" s="1185"/>
      <c r="KHG5" s="1185"/>
      <c r="KHH5" s="1185"/>
      <c r="KHI5" s="1185"/>
      <c r="KHJ5" s="1185"/>
      <c r="KHK5" s="1185"/>
      <c r="KHL5" s="1185"/>
      <c r="KHM5" s="1185"/>
      <c r="KHN5" s="1185"/>
      <c r="KHO5" s="1185"/>
      <c r="KHP5" s="1185"/>
      <c r="KHQ5" s="1185"/>
      <c r="KHR5" s="1185"/>
      <c r="KHS5" s="1185"/>
      <c r="KHT5" s="1185"/>
      <c r="KHU5" s="1185"/>
      <c r="KHV5" s="1185"/>
      <c r="KHW5" s="1185"/>
      <c r="KHX5" s="1185"/>
      <c r="KHY5" s="1185"/>
      <c r="KHZ5" s="1185"/>
      <c r="KIA5" s="1185"/>
      <c r="KIB5" s="1185"/>
      <c r="KIC5" s="1185"/>
      <c r="KID5" s="1185"/>
      <c r="KIE5" s="1185"/>
      <c r="KIF5" s="1185"/>
      <c r="KIG5" s="1185"/>
      <c r="KIH5" s="1185"/>
      <c r="KII5" s="1185"/>
      <c r="KIJ5" s="1185"/>
      <c r="KIK5" s="1185"/>
      <c r="KIL5" s="1185"/>
      <c r="KIM5" s="1185"/>
      <c r="KIN5" s="1185"/>
      <c r="KIO5" s="1185"/>
      <c r="KIP5" s="1185"/>
      <c r="KIQ5" s="1185"/>
      <c r="KIR5" s="1185"/>
      <c r="KIS5" s="1185"/>
      <c r="KIT5" s="1185"/>
      <c r="KIU5" s="1185"/>
      <c r="KIV5" s="1185"/>
      <c r="KIW5" s="1185"/>
      <c r="KIX5" s="1185"/>
      <c r="KIY5" s="1185"/>
      <c r="KIZ5" s="1185"/>
      <c r="KJA5" s="1185"/>
      <c r="KJB5" s="1185"/>
      <c r="KJC5" s="1185"/>
      <c r="KJD5" s="1185"/>
      <c r="KJE5" s="1185"/>
      <c r="KJF5" s="1185"/>
      <c r="KJG5" s="1185"/>
      <c r="KJH5" s="1185"/>
      <c r="KJI5" s="1185"/>
      <c r="KJJ5" s="1185"/>
      <c r="KJK5" s="1185"/>
      <c r="KJL5" s="1185"/>
      <c r="KJM5" s="1185"/>
      <c r="KJN5" s="1185"/>
      <c r="KJO5" s="1185"/>
      <c r="KJP5" s="1185"/>
      <c r="KJQ5" s="1185"/>
      <c r="KJR5" s="1185"/>
      <c r="KJS5" s="1185"/>
      <c r="KJT5" s="1185"/>
      <c r="KJU5" s="1185"/>
      <c r="KJV5" s="1185"/>
      <c r="KJW5" s="1185"/>
      <c r="KJX5" s="1185"/>
      <c r="KJY5" s="1185"/>
      <c r="KJZ5" s="1185"/>
      <c r="KKA5" s="1185"/>
      <c r="KKB5" s="1185"/>
      <c r="KKC5" s="1185"/>
      <c r="KKD5" s="1185"/>
      <c r="KKE5" s="1185"/>
      <c r="KKF5" s="1185"/>
      <c r="KKG5" s="1185"/>
      <c r="KKH5" s="1185"/>
      <c r="KKI5" s="1185"/>
      <c r="KKJ5" s="1185"/>
      <c r="KKK5" s="1185"/>
      <c r="KKL5" s="1185"/>
      <c r="KKM5" s="1185"/>
      <c r="KKN5" s="1185"/>
      <c r="KKO5" s="1185"/>
      <c r="KKP5" s="1185"/>
      <c r="KKQ5" s="1185"/>
      <c r="KKR5" s="1185"/>
      <c r="KKS5" s="1185"/>
      <c r="KKT5" s="1185"/>
      <c r="KKU5" s="1185"/>
      <c r="KKV5" s="1185"/>
      <c r="KKW5" s="1185"/>
      <c r="KKX5" s="1185"/>
      <c r="KKY5" s="1185"/>
      <c r="KKZ5" s="1185"/>
      <c r="KLA5" s="1185"/>
      <c r="KLB5" s="1185"/>
      <c r="KLC5" s="1185"/>
      <c r="KLD5" s="1185"/>
      <c r="KLE5" s="1185"/>
      <c r="KLF5" s="1185"/>
      <c r="KLG5" s="1185"/>
      <c r="KLH5" s="1185"/>
      <c r="KLI5" s="1185"/>
      <c r="KLJ5" s="1185"/>
      <c r="KLK5" s="1185"/>
      <c r="KLL5" s="1185"/>
      <c r="KLM5" s="1185"/>
      <c r="KLN5" s="1185"/>
      <c r="KLO5" s="1185"/>
      <c r="KLP5" s="1185"/>
      <c r="KLQ5" s="1185"/>
      <c r="KLR5" s="1185"/>
      <c r="KLS5" s="1185"/>
      <c r="KLT5" s="1185"/>
      <c r="KLU5" s="1185"/>
      <c r="KLV5" s="1185"/>
      <c r="KLW5" s="1185"/>
      <c r="KLX5" s="1185"/>
      <c r="KLY5" s="1185"/>
      <c r="KLZ5" s="1185"/>
      <c r="KMA5" s="1185"/>
      <c r="KMB5" s="1185"/>
      <c r="KMC5" s="1185"/>
      <c r="KMD5" s="1185"/>
      <c r="KME5" s="1185"/>
      <c r="KMF5" s="1185"/>
      <c r="KMG5" s="1185"/>
      <c r="KMH5" s="1185"/>
      <c r="KMI5" s="1185"/>
      <c r="KMJ5" s="1185"/>
      <c r="KMK5" s="1185"/>
      <c r="KML5" s="1185"/>
      <c r="KMM5" s="1185"/>
      <c r="KMN5" s="1185"/>
      <c r="KMO5" s="1185"/>
      <c r="KMP5" s="1185"/>
      <c r="KMQ5" s="1185"/>
      <c r="KMR5" s="1185"/>
      <c r="KMS5" s="1185"/>
      <c r="KMT5" s="1185"/>
      <c r="KMU5" s="1185"/>
      <c r="KMV5" s="1185"/>
      <c r="KMW5" s="1185"/>
      <c r="KMX5" s="1185"/>
      <c r="KMY5" s="1185"/>
      <c r="KMZ5" s="1185"/>
      <c r="KNA5" s="1185"/>
      <c r="KNB5" s="1185"/>
      <c r="KNC5" s="1185"/>
      <c r="KND5" s="1185"/>
      <c r="KNE5" s="1185"/>
      <c r="KNF5" s="1185"/>
      <c r="KNG5" s="1185"/>
      <c r="KNH5" s="1185"/>
      <c r="KNI5" s="1185"/>
      <c r="KNJ5" s="1185"/>
      <c r="KNK5" s="1185"/>
      <c r="KNL5" s="1185"/>
      <c r="KNM5" s="1185"/>
      <c r="KNN5" s="1185"/>
      <c r="KNO5" s="1185"/>
      <c r="KNP5" s="1185"/>
      <c r="KNQ5" s="1185"/>
      <c r="KNR5" s="1185"/>
      <c r="KNS5" s="1185"/>
      <c r="KNT5" s="1185"/>
      <c r="KNU5" s="1185"/>
      <c r="KNV5" s="1185"/>
      <c r="KNW5" s="1185"/>
      <c r="KNX5" s="1185"/>
      <c r="KNY5" s="1185"/>
      <c r="KNZ5" s="1185"/>
      <c r="KOA5" s="1185"/>
      <c r="KOB5" s="1185"/>
      <c r="KOC5" s="1185"/>
      <c r="KOD5" s="1185"/>
      <c r="KOE5" s="1185"/>
      <c r="KOF5" s="1185"/>
      <c r="KOG5" s="1185"/>
      <c r="KOH5" s="1185"/>
      <c r="KOI5" s="1185"/>
      <c r="KOJ5" s="1185"/>
      <c r="KOK5" s="1185"/>
      <c r="KOL5" s="1185"/>
      <c r="KOM5" s="1185"/>
      <c r="KON5" s="1185"/>
      <c r="KOO5" s="1185"/>
      <c r="KOP5" s="1185"/>
      <c r="KOQ5" s="1185"/>
      <c r="KOR5" s="1185"/>
      <c r="KOS5" s="1185"/>
      <c r="KOT5" s="1185"/>
      <c r="KOU5" s="1185"/>
      <c r="KOV5" s="1185"/>
      <c r="KOW5" s="1185"/>
      <c r="KOX5" s="1185"/>
      <c r="KOY5" s="1185"/>
      <c r="KOZ5" s="1185"/>
      <c r="KPA5" s="1185"/>
      <c r="KPB5" s="1185"/>
      <c r="KPC5" s="1185"/>
      <c r="KPD5" s="1185"/>
      <c r="KPE5" s="1185"/>
      <c r="KPF5" s="1185"/>
      <c r="KPG5" s="1185"/>
      <c r="KPH5" s="1185"/>
      <c r="KPI5" s="1185"/>
      <c r="KPJ5" s="1185"/>
      <c r="KPK5" s="1185"/>
      <c r="KPL5" s="1185"/>
      <c r="KPM5" s="1185"/>
      <c r="KPN5" s="1185"/>
      <c r="KPO5" s="1185"/>
      <c r="KPP5" s="1185"/>
      <c r="KPQ5" s="1185"/>
      <c r="KPR5" s="1185"/>
      <c r="KPS5" s="1185"/>
      <c r="KPT5" s="1185"/>
      <c r="KPU5" s="1185"/>
      <c r="KPV5" s="1185"/>
      <c r="KPW5" s="1185"/>
      <c r="KPX5" s="1185"/>
      <c r="KPY5" s="1185"/>
      <c r="KPZ5" s="1185"/>
      <c r="KQA5" s="1185"/>
      <c r="KQB5" s="1185"/>
      <c r="KQC5" s="1185"/>
      <c r="KQD5" s="1185"/>
      <c r="KQE5" s="1185"/>
      <c r="KQF5" s="1185"/>
      <c r="KQG5" s="1185"/>
      <c r="KQH5" s="1185"/>
      <c r="KQI5" s="1185"/>
      <c r="KQJ5" s="1185"/>
      <c r="KQK5" s="1185"/>
      <c r="KQL5" s="1185"/>
      <c r="KQM5" s="1185"/>
      <c r="KQN5" s="1185"/>
      <c r="KQO5" s="1185"/>
      <c r="KQP5" s="1185"/>
      <c r="KQQ5" s="1185"/>
      <c r="KQR5" s="1185"/>
      <c r="KQS5" s="1185"/>
      <c r="KQT5" s="1185"/>
      <c r="KQU5" s="1185"/>
      <c r="KQV5" s="1185"/>
      <c r="KQW5" s="1185"/>
      <c r="KQX5" s="1185"/>
      <c r="KQY5" s="1185"/>
      <c r="KQZ5" s="1185"/>
      <c r="KRA5" s="1185"/>
      <c r="KRB5" s="1185"/>
      <c r="KRC5" s="1185"/>
      <c r="KRD5" s="1185"/>
      <c r="KRE5" s="1185"/>
      <c r="KRF5" s="1185"/>
      <c r="KRG5" s="1185"/>
      <c r="KRH5" s="1185"/>
      <c r="KRI5" s="1185"/>
      <c r="KRJ5" s="1185"/>
      <c r="KRK5" s="1185"/>
      <c r="KRL5" s="1185"/>
      <c r="KRM5" s="1185"/>
      <c r="KRN5" s="1185"/>
      <c r="KRO5" s="1185"/>
      <c r="KRP5" s="1185"/>
      <c r="KRQ5" s="1185"/>
      <c r="KRR5" s="1185"/>
      <c r="KRS5" s="1185"/>
      <c r="KRT5" s="1185"/>
      <c r="KRU5" s="1185"/>
      <c r="KRV5" s="1185"/>
      <c r="KRW5" s="1185"/>
      <c r="KRX5" s="1185"/>
      <c r="KRY5" s="1185"/>
      <c r="KRZ5" s="1185"/>
      <c r="KSA5" s="1185"/>
      <c r="KSB5" s="1185"/>
      <c r="KSC5" s="1185"/>
      <c r="KSD5" s="1185"/>
      <c r="KSE5" s="1185"/>
      <c r="KSF5" s="1185"/>
      <c r="KSG5" s="1185"/>
      <c r="KSH5" s="1185"/>
      <c r="KSI5" s="1185"/>
      <c r="KSJ5" s="1185"/>
      <c r="KSK5" s="1185"/>
      <c r="KSL5" s="1185"/>
      <c r="KSM5" s="1185"/>
      <c r="KSN5" s="1185"/>
      <c r="KSO5" s="1185"/>
      <c r="KSP5" s="1185"/>
      <c r="KSQ5" s="1185"/>
      <c r="KSR5" s="1185"/>
      <c r="KSS5" s="1185"/>
      <c r="KST5" s="1185"/>
      <c r="KSU5" s="1185"/>
      <c r="KSV5" s="1185"/>
      <c r="KSW5" s="1185"/>
      <c r="KSX5" s="1185"/>
      <c r="KSY5" s="1185"/>
      <c r="KSZ5" s="1185"/>
      <c r="KTA5" s="1185"/>
      <c r="KTB5" s="1185"/>
      <c r="KTC5" s="1185"/>
      <c r="KTD5" s="1185"/>
      <c r="KTE5" s="1185"/>
      <c r="KTF5" s="1185"/>
      <c r="KTG5" s="1185"/>
      <c r="KTH5" s="1185"/>
      <c r="KTI5" s="1185"/>
      <c r="KTJ5" s="1185"/>
      <c r="KTK5" s="1185"/>
      <c r="KTL5" s="1185"/>
      <c r="KTM5" s="1185"/>
      <c r="KTN5" s="1185"/>
      <c r="KTO5" s="1185"/>
      <c r="KTP5" s="1185"/>
      <c r="KTQ5" s="1185"/>
      <c r="KTR5" s="1185"/>
      <c r="KTS5" s="1185"/>
      <c r="KTT5" s="1185"/>
      <c r="KTU5" s="1185"/>
      <c r="KTV5" s="1185"/>
      <c r="KTW5" s="1185"/>
      <c r="KTX5" s="1185"/>
      <c r="KTY5" s="1185"/>
      <c r="KTZ5" s="1185"/>
      <c r="KUA5" s="1185"/>
      <c r="KUB5" s="1185"/>
      <c r="KUC5" s="1185"/>
      <c r="KUD5" s="1185"/>
      <c r="KUE5" s="1185"/>
      <c r="KUF5" s="1185"/>
      <c r="KUG5" s="1185"/>
      <c r="KUH5" s="1185"/>
      <c r="KUI5" s="1185"/>
      <c r="KUJ5" s="1185"/>
      <c r="KUK5" s="1185"/>
      <c r="KUL5" s="1185"/>
      <c r="KUM5" s="1185"/>
      <c r="KUN5" s="1185"/>
      <c r="KUO5" s="1185"/>
      <c r="KUP5" s="1185"/>
      <c r="KUQ5" s="1185"/>
      <c r="KUR5" s="1185"/>
      <c r="KUS5" s="1185"/>
      <c r="KUT5" s="1185"/>
      <c r="KUU5" s="1185"/>
      <c r="KUV5" s="1185"/>
      <c r="KUW5" s="1185"/>
      <c r="KUX5" s="1185"/>
      <c r="KUY5" s="1185"/>
      <c r="KUZ5" s="1185"/>
      <c r="KVA5" s="1185"/>
      <c r="KVB5" s="1185"/>
      <c r="KVC5" s="1185"/>
      <c r="KVD5" s="1185"/>
      <c r="KVE5" s="1185"/>
      <c r="KVF5" s="1185"/>
      <c r="KVG5" s="1185"/>
      <c r="KVH5" s="1185"/>
      <c r="KVI5" s="1185"/>
      <c r="KVJ5" s="1185"/>
      <c r="KVK5" s="1185"/>
      <c r="KVL5" s="1185"/>
      <c r="KVM5" s="1185"/>
      <c r="KVN5" s="1185"/>
      <c r="KVO5" s="1185"/>
      <c r="KVP5" s="1185"/>
      <c r="KVQ5" s="1185"/>
      <c r="KVR5" s="1185"/>
      <c r="KVS5" s="1185"/>
      <c r="KVT5" s="1185"/>
      <c r="KVU5" s="1185"/>
      <c r="KVV5" s="1185"/>
      <c r="KVW5" s="1185"/>
      <c r="KVX5" s="1185"/>
      <c r="KVY5" s="1185"/>
      <c r="KVZ5" s="1185"/>
      <c r="KWA5" s="1185"/>
      <c r="KWB5" s="1185"/>
      <c r="KWC5" s="1185"/>
      <c r="KWD5" s="1185"/>
      <c r="KWE5" s="1185"/>
      <c r="KWF5" s="1185"/>
      <c r="KWG5" s="1185"/>
      <c r="KWH5" s="1185"/>
      <c r="KWI5" s="1185"/>
      <c r="KWJ5" s="1185"/>
      <c r="KWK5" s="1185"/>
      <c r="KWL5" s="1185"/>
      <c r="KWM5" s="1185"/>
      <c r="KWN5" s="1185"/>
      <c r="KWO5" s="1185"/>
      <c r="KWP5" s="1185"/>
      <c r="KWQ5" s="1185"/>
      <c r="KWR5" s="1185"/>
      <c r="KWS5" s="1185"/>
      <c r="KWT5" s="1185"/>
      <c r="KWU5" s="1185"/>
      <c r="KWV5" s="1185"/>
      <c r="KWW5" s="1185"/>
      <c r="KWX5" s="1185"/>
      <c r="KWY5" s="1185"/>
      <c r="KWZ5" s="1185"/>
      <c r="KXA5" s="1185"/>
      <c r="KXB5" s="1185"/>
      <c r="KXC5" s="1185"/>
      <c r="KXD5" s="1185"/>
      <c r="KXE5" s="1185"/>
      <c r="KXF5" s="1185"/>
      <c r="KXG5" s="1185"/>
      <c r="KXH5" s="1185"/>
      <c r="KXI5" s="1185"/>
      <c r="KXJ5" s="1185"/>
      <c r="KXK5" s="1185"/>
      <c r="KXL5" s="1185"/>
      <c r="KXM5" s="1185"/>
      <c r="KXN5" s="1185"/>
      <c r="KXO5" s="1185"/>
      <c r="KXP5" s="1185"/>
      <c r="KXQ5" s="1185"/>
      <c r="KXR5" s="1185"/>
      <c r="KXS5" s="1185"/>
      <c r="KXT5" s="1185"/>
      <c r="KXU5" s="1185"/>
      <c r="KXV5" s="1185"/>
      <c r="KXW5" s="1185"/>
      <c r="KXX5" s="1185"/>
      <c r="KXY5" s="1185"/>
      <c r="KXZ5" s="1185"/>
      <c r="KYA5" s="1185"/>
      <c r="KYB5" s="1185"/>
      <c r="KYC5" s="1185"/>
      <c r="KYD5" s="1185"/>
      <c r="KYE5" s="1185"/>
      <c r="KYF5" s="1185"/>
      <c r="KYG5" s="1185"/>
      <c r="KYH5" s="1185"/>
      <c r="KYI5" s="1185"/>
      <c r="KYJ5" s="1185"/>
      <c r="KYK5" s="1185"/>
      <c r="KYL5" s="1185"/>
      <c r="KYM5" s="1185"/>
      <c r="KYN5" s="1185"/>
      <c r="KYO5" s="1185"/>
      <c r="KYP5" s="1185"/>
      <c r="KYQ5" s="1185"/>
      <c r="KYR5" s="1185"/>
      <c r="KYS5" s="1185"/>
      <c r="KYT5" s="1185"/>
      <c r="KYU5" s="1185"/>
      <c r="KYV5" s="1185"/>
      <c r="KYW5" s="1185"/>
      <c r="KYX5" s="1185"/>
      <c r="KYY5" s="1185"/>
      <c r="KYZ5" s="1185"/>
      <c r="KZA5" s="1185"/>
      <c r="KZB5" s="1185"/>
      <c r="KZC5" s="1185"/>
      <c r="KZD5" s="1185"/>
      <c r="KZE5" s="1185"/>
      <c r="KZF5" s="1185"/>
      <c r="KZG5" s="1185"/>
      <c r="KZH5" s="1185"/>
      <c r="KZI5" s="1185"/>
      <c r="KZJ5" s="1185"/>
      <c r="KZK5" s="1185"/>
      <c r="KZL5" s="1185"/>
      <c r="KZM5" s="1185"/>
      <c r="KZN5" s="1185"/>
      <c r="KZO5" s="1185"/>
      <c r="KZP5" s="1185"/>
      <c r="KZQ5" s="1185"/>
      <c r="KZR5" s="1185"/>
      <c r="KZS5" s="1185"/>
      <c r="KZT5" s="1185"/>
      <c r="KZU5" s="1185"/>
      <c r="KZV5" s="1185"/>
      <c r="KZW5" s="1185"/>
      <c r="KZX5" s="1185"/>
      <c r="KZY5" s="1185"/>
      <c r="KZZ5" s="1185"/>
      <c r="LAA5" s="1185"/>
      <c r="LAB5" s="1185"/>
      <c r="LAC5" s="1185"/>
      <c r="LAD5" s="1185"/>
      <c r="LAE5" s="1185"/>
      <c r="LAF5" s="1185"/>
      <c r="LAG5" s="1185"/>
      <c r="LAH5" s="1185"/>
      <c r="LAI5" s="1185"/>
      <c r="LAJ5" s="1185"/>
      <c r="LAK5" s="1185"/>
      <c r="LAL5" s="1185"/>
      <c r="LAM5" s="1185"/>
      <c r="LAN5" s="1185"/>
      <c r="LAO5" s="1185"/>
      <c r="LAP5" s="1185"/>
      <c r="LAQ5" s="1185"/>
      <c r="LAR5" s="1185"/>
      <c r="LAS5" s="1185"/>
      <c r="LAT5" s="1185"/>
      <c r="LAU5" s="1185"/>
      <c r="LAV5" s="1185"/>
      <c r="LAW5" s="1185"/>
      <c r="LAX5" s="1185"/>
      <c r="LAY5" s="1185"/>
      <c r="LAZ5" s="1185"/>
      <c r="LBA5" s="1185"/>
      <c r="LBB5" s="1185"/>
      <c r="LBC5" s="1185"/>
      <c r="LBD5" s="1185"/>
      <c r="LBE5" s="1185"/>
      <c r="LBF5" s="1185"/>
      <c r="LBG5" s="1185"/>
      <c r="LBH5" s="1185"/>
      <c r="LBI5" s="1185"/>
      <c r="LBJ5" s="1185"/>
      <c r="LBK5" s="1185"/>
      <c r="LBL5" s="1185"/>
      <c r="LBM5" s="1185"/>
      <c r="LBN5" s="1185"/>
      <c r="LBO5" s="1185"/>
      <c r="LBP5" s="1185"/>
      <c r="LBQ5" s="1185"/>
      <c r="LBR5" s="1185"/>
      <c r="LBS5" s="1185"/>
      <c r="LBT5" s="1185"/>
      <c r="LBU5" s="1185"/>
      <c r="LBV5" s="1185"/>
      <c r="LBW5" s="1185"/>
      <c r="LBX5" s="1185"/>
      <c r="LBY5" s="1185"/>
      <c r="LBZ5" s="1185"/>
      <c r="LCA5" s="1185"/>
      <c r="LCB5" s="1185"/>
      <c r="LCC5" s="1185"/>
      <c r="LCD5" s="1185"/>
      <c r="LCE5" s="1185"/>
      <c r="LCF5" s="1185"/>
      <c r="LCG5" s="1185"/>
      <c r="LCH5" s="1185"/>
      <c r="LCI5" s="1185"/>
      <c r="LCJ5" s="1185"/>
      <c r="LCK5" s="1185"/>
      <c r="LCL5" s="1185"/>
      <c r="LCM5" s="1185"/>
      <c r="LCN5" s="1185"/>
      <c r="LCO5" s="1185"/>
      <c r="LCP5" s="1185"/>
      <c r="LCQ5" s="1185"/>
      <c r="LCR5" s="1185"/>
      <c r="LCS5" s="1185"/>
      <c r="LCT5" s="1185"/>
      <c r="LCU5" s="1185"/>
      <c r="LCV5" s="1185"/>
      <c r="LCW5" s="1185"/>
      <c r="LCX5" s="1185"/>
      <c r="LCY5" s="1185"/>
      <c r="LCZ5" s="1185"/>
      <c r="LDA5" s="1185"/>
      <c r="LDB5" s="1185"/>
      <c r="LDC5" s="1185"/>
      <c r="LDD5" s="1185"/>
      <c r="LDE5" s="1185"/>
      <c r="LDF5" s="1185"/>
      <c r="LDG5" s="1185"/>
      <c r="LDH5" s="1185"/>
      <c r="LDI5" s="1185"/>
      <c r="LDJ5" s="1185"/>
      <c r="LDK5" s="1185"/>
      <c r="LDL5" s="1185"/>
      <c r="LDM5" s="1185"/>
      <c r="LDN5" s="1185"/>
      <c r="LDO5" s="1185"/>
      <c r="LDP5" s="1185"/>
      <c r="LDQ5" s="1185"/>
      <c r="LDR5" s="1185"/>
      <c r="LDS5" s="1185"/>
      <c r="LDT5" s="1185"/>
      <c r="LDU5" s="1185"/>
      <c r="LDV5" s="1185"/>
      <c r="LDW5" s="1185"/>
      <c r="LDX5" s="1185"/>
      <c r="LDY5" s="1185"/>
      <c r="LDZ5" s="1185"/>
      <c r="LEA5" s="1185"/>
      <c r="LEB5" s="1185"/>
      <c r="LEC5" s="1185"/>
      <c r="LED5" s="1185"/>
      <c r="LEE5" s="1185"/>
      <c r="LEF5" s="1185"/>
      <c r="LEG5" s="1185"/>
      <c r="LEH5" s="1185"/>
      <c r="LEI5" s="1185"/>
      <c r="LEJ5" s="1185"/>
      <c r="LEK5" s="1185"/>
      <c r="LEL5" s="1185"/>
      <c r="LEM5" s="1185"/>
      <c r="LEN5" s="1185"/>
      <c r="LEO5" s="1185"/>
      <c r="LEP5" s="1185"/>
      <c r="LEQ5" s="1185"/>
      <c r="LER5" s="1185"/>
      <c r="LES5" s="1185"/>
      <c r="LET5" s="1185"/>
      <c r="LEU5" s="1185"/>
      <c r="LEV5" s="1185"/>
      <c r="LEW5" s="1185"/>
      <c r="LEX5" s="1185"/>
      <c r="LEY5" s="1185"/>
      <c r="LEZ5" s="1185"/>
      <c r="LFA5" s="1185"/>
      <c r="LFB5" s="1185"/>
      <c r="LFC5" s="1185"/>
      <c r="LFD5" s="1185"/>
      <c r="LFE5" s="1185"/>
      <c r="LFF5" s="1185"/>
      <c r="LFG5" s="1185"/>
      <c r="LFH5" s="1185"/>
      <c r="LFI5" s="1185"/>
      <c r="LFJ5" s="1185"/>
      <c r="LFK5" s="1185"/>
      <c r="LFL5" s="1185"/>
      <c r="LFM5" s="1185"/>
      <c r="LFN5" s="1185"/>
      <c r="LFO5" s="1185"/>
      <c r="LFP5" s="1185"/>
      <c r="LFQ5" s="1185"/>
      <c r="LFR5" s="1185"/>
      <c r="LFS5" s="1185"/>
      <c r="LFT5" s="1185"/>
      <c r="LFU5" s="1185"/>
      <c r="LFV5" s="1185"/>
      <c r="LFW5" s="1185"/>
      <c r="LFX5" s="1185"/>
      <c r="LFY5" s="1185"/>
      <c r="LFZ5" s="1185"/>
      <c r="LGA5" s="1185"/>
      <c r="LGB5" s="1185"/>
      <c r="LGC5" s="1185"/>
      <c r="LGD5" s="1185"/>
      <c r="LGE5" s="1185"/>
      <c r="LGF5" s="1185"/>
      <c r="LGG5" s="1185"/>
      <c r="LGH5" s="1185"/>
      <c r="LGI5" s="1185"/>
      <c r="LGJ5" s="1185"/>
      <c r="LGK5" s="1185"/>
      <c r="LGL5" s="1185"/>
      <c r="LGM5" s="1185"/>
      <c r="LGN5" s="1185"/>
      <c r="LGO5" s="1185"/>
      <c r="LGP5" s="1185"/>
      <c r="LGQ5" s="1185"/>
      <c r="LGR5" s="1185"/>
      <c r="LGS5" s="1185"/>
      <c r="LGT5" s="1185"/>
      <c r="LGU5" s="1185"/>
      <c r="LGV5" s="1185"/>
      <c r="LGW5" s="1185"/>
      <c r="LGX5" s="1185"/>
      <c r="LGY5" s="1185"/>
      <c r="LGZ5" s="1185"/>
      <c r="LHA5" s="1185"/>
      <c r="LHB5" s="1185"/>
      <c r="LHC5" s="1185"/>
      <c r="LHD5" s="1185"/>
      <c r="LHE5" s="1185"/>
      <c r="LHF5" s="1185"/>
      <c r="LHG5" s="1185"/>
      <c r="LHH5" s="1185"/>
      <c r="LHI5" s="1185"/>
      <c r="LHJ5" s="1185"/>
      <c r="LHK5" s="1185"/>
      <c r="LHL5" s="1185"/>
      <c r="LHM5" s="1185"/>
      <c r="LHN5" s="1185"/>
      <c r="LHO5" s="1185"/>
      <c r="LHP5" s="1185"/>
      <c r="LHQ5" s="1185"/>
      <c r="LHR5" s="1185"/>
      <c r="LHS5" s="1185"/>
      <c r="LHT5" s="1185"/>
      <c r="LHU5" s="1185"/>
      <c r="LHV5" s="1185"/>
      <c r="LHW5" s="1185"/>
      <c r="LHX5" s="1185"/>
      <c r="LHY5" s="1185"/>
      <c r="LHZ5" s="1185"/>
      <c r="LIA5" s="1185"/>
      <c r="LIB5" s="1185"/>
      <c r="LIC5" s="1185"/>
      <c r="LID5" s="1185"/>
      <c r="LIE5" s="1185"/>
      <c r="LIF5" s="1185"/>
      <c r="LIG5" s="1185"/>
      <c r="LIH5" s="1185"/>
      <c r="LII5" s="1185"/>
      <c r="LIJ5" s="1185"/>
      <c r="LIK5" s="1185"/>
      <c r="LIL5" s="1185"/>
      <c r="LIM5" s="1185"/>
      <c r="LIN5" s="1185"/>
      <c r="LIO5" s="1185"/>
      <c r="LIP5" s="1185"/>
      <c r="LIQ5" s="1185"/>
      <c r="LIR5" s="1185"/>
      <c r="LIS5" s="1185"/>
      <c r="LIT5" s="1185"/>
      <c r="LIU5" s="1185"/>
      <c r="LIV5" s="1185"/>
      <c r="LIW5" s="1185"/>
      <c r="LIX5" s="1185"/>
      <c r="LIY5" s="1185"/>
      <c r="LIZ5" s="1185"/>
      <c r="LJA5" s="1185"/>
      <c r="LJB5" s="1185"/>
      <c r="LJC5" s="1185"/>
      <c r="LJD5" s="1185"/>
      <c r="LJE5" s="1185"/>
      <c r="LJF5" s="1185"/>
      <c r="LJG5" s="1185"/>
      <c r="LJH5" s="1185"/>
      <c r="LJI5" s="1185"/>
      <c r="LJJ5" s="1185"/>
      <c r="LJK5" s="1185"/>
      <c r="LJL5" s="1185"/>
      <c r="LJM5" s="1185"/>
      <c r="LJN5" s="1185"/>
      <c r="LJO5" s="1185"/>
      <c r="LJP5" s="1185"/>
      <c r="LJQ5" s="1185"/>
      <c r="LJR5" s="1185"/>
      <c r="LJS5" s="1185"/>
      <c r="LJT5" s="1185"/>
      <c r="LJU5" s="1185"/>
      <c r="LJV5" s="1185"/>
      <c r="LJW5" s="1185"/>
      <c r="LJX5" s="1185"/>
      <c r="LJY5" s="1185"/>
      <c r="LJZ5" s="1185"/>
      <c r="LKA5" s="1185"/>
      <c r="LKB5" s="1185"/>
      <c r="LKC5" s="1185"/>
      <c r="LKD5" s="1185"/>
      <c r="LKE5" s="1185"/>
      <c r="LKF5" s="1185"/>
      <c r="LKG5" s="1185"/>
      <c r="LKH5" s="1185"/>
      <c r="LKI5" s="1185"/>
      <c r="LKJ5" s="1185"/>
      <c r="LKK5" s="1185"/>
      <c r="LKL5" s="1185"/>
      <c r="LKM5" s="1185"/>
      <c r="LKN5" s="1185"/>
      <c r="LKO5" s="1185"/>
      <c r="LKP5" s="1185"/>
      <c r="LKQ5" s="1185"/>
      <c r="LKR5" s="1185"/>
      <c r="LKS5" s="1185"/>
      <c r="LKT5" s="1185"/>
      <c r="LKU5" s="1185"/>
      <c r="LKV5" s="1185"/>
      <c r="LKW5" s="1185"/>
      <c r="LKX5" s="1185"/>
      <c r="LKY5" s="1185"/>
      <c r="LKZ5" s="1185"/>
      <c r="LLA5" s="1185"/>
      <c r="LLB5" s="1185"/>
      <c r="LLC5" s="1185"/>
      <c r="LLD5" s="1185"/>
      <c r="LLE5" s="1185"/>
      <c r="LLF5" s="1185"/>
      <c r="LLG5" s="1185"/>
      <c r="LLH5" s="1185"/>
      <c r="LLI5" s="1185"/>
      <c r="LLJ5" s="1185"/>
      <c r="LLK5" s="1185"/>
      <c r="LLL5" s="1185"/>
      <c r="LLM5" s="1185"/>
      <c r="LLN5" s="1185"/>
      <c r="LLO5" s="1185"/>
      <c r="LLP5" s="1185"/>
      <c r="LLQ5" s="1185"/>
      <c r="LLR5" s="1185"/>
      <c r="LLS5" s="1185"/>
      <c r="LLT5" s="1185"/>
      <c r="LLU5" s="1185"/>
      <c r="LLV5" s="1185"/>
      <c r="LLW5" s="1185"/>
      <c r="LLX5" s="1185"/>
      <c r="LLY5" s="1185"/>
      <c r="LLZ5" s="1185"/>
      <c r="LMA5" s="1185"/>
      <c r="LMB5" s="1185"/>
      <c r="LMC5" s="1185"/>
      <c r="LMD5" s="1185"/>
      <c r="LME5" s="1185"/>
      <c r="LMF5" s="1185"/>
      <c r="LMG5" s="1185"/>
      <c r="LMH5" s="1185"/>
      <c r="LMI5" s="1185"/>
      <c r="LMJ5" s="1185"/>
      <c r="LMK5" s="1185"/>
      <c r="LML5" s="1185"/>
      <c r="LMM5" s="1185"/>
      <c r="LMN5" s="1185"/>
      <c r="LMO5" s="1185"/>
      <c r="LMP5" s="1185"/>
      <c r="LMQ5" s="1185"/>
      <c r="LMR5" s="1185"/>
      <c r="LMS5" s="1185"/>
      <c r="LMT5" s="1185"/>
      <c r="LMU5" s="1185"/>
      <c r="LMV5" s="1185"/>
      <c r="LMW5" s="1185"/>
      <c r="LMX5" s="1185"/>
      <c r="LMY5" s="1185"/>
      <c r="LMZ5" s="1185"/>
      <c r="LNA5" s="1185"/>
      <c r="LNB5" s="1185"/>
      <c r="LNC5" s="1185"/>
      <c r="LND5" s="1185"/>
      <c r="LNE5" s="1185"/>
      <c r="LNF5" s="1185"/>
      <c r="LNG5" s="1185"/>
      <c r="LNH5" s="1185"/>
      <c r="LNI5" s="1185"/>
      <c r="LNJ5" s="1185"/>
      <c r="LNK5" s="1185"/>
      <c r="LNL5" s="1185"/>
      <c r="LNM5" s="1185"/>
      <c r="LNN5" s="1185"/>
      <c r="LNO5" s="1185"/>
      <c r="LNP5" s="1185"/>
      <c r="LNQ5" s="1185"/>
      <c r="LNR5" s="1185"/>
      <c r="LNS5" s="1185"/>
      <c r="LNT5" s="1185"/>
      <c r="LNU5" s="1185"/>
      <c r="LNV5" s="1185"/>
      <c r="LNW5" s="1185"/>
      <c r="LNX5" s="1185"/>
      <c r="LNY5" s="1185"/>
      <c r="LNZ5" s="1185"/>
      <c r="LOA5" s="1185"/>
      <c r="LOB5" s="1185"/>
      <c r="LOC5" s="1185"/>
      <c r="LOD5" s="1185"/>
      <c r="LOE5" s="1185"/>
      <c r="LOF5" s="1185"/>
      <c r="LOG5" s="1185"/>
      <c r="LOH5" s="1185"/>
      <c r="LOI5" s="1185"/>
      <c r="LOJ5" s="1185"/>
      <c r="LOK5" s="1185"/>
      <c r="LOL5" s="1185"/>
      <c r="LOM5" s="1185"/>
      <c r="LON5" s="1185"/>
      <c r="LOO5" s="1185"/>
      <c r="LOP5" s="1185"/>
      <c r="LOQ5" s="1185"/>
      <c r="LOR5" s="1185"/>
      <c r="LOS5" s="1185"/>
      <c r="LOT5" s="1185"/>
      <c r="LOU5" s="1185"/>
      <c r="LOV5" s="1185"/>
      <c r="LOW5" s="1185"/>
      <c r="LOX5" s="1185"/>
      <c r="LOY5" s="1185"/>
      <c r="LOZ5" s="1185"/>
      <c r="LPA5" s="1185"/>
      <c r="LPB5" s="1185"/>
      <c r="LPC5" s="1185"/>
      <c r="LPD5" s="1185"/>
      <c r="LPE5" s="1185"/>
      <c r="LPF5" s="1185"/>
      <c r="LPG5" s="1185"/>
      <c r="LPH5" s="1185"/>
      <c r="LPI5" s="1185"/>
      <c r="LPJ5" s="1185"/>
      <c r="LPK5" s="1185"/>
      <c r="LPL5" s="1185"/>
      <c r="LPM5" s="1185"/>
      <c r="LPN5" s="1185"/>
      <c r="LPO5" s="1185"/>
      <c r="LPP5" s="1185"/>
      <c r="LPQ5" s="1185"/>
      <c r="LPR5" s="1185"/>
      <c r="LPS5" s="1185"/>
      <c r="LPT5" s="1185"/>
      <c r="LPU5" s="1185"/>
      <c r="LPV5" s="1185"/>
      <c r="LPW5" s="1185"/>
      <c r="LPX5" s="1185"/>
      <c r="LPY5" s="1185"/>
      <c r="LPZ5" s="1185"/>
      <c r="LQA5" s="1185"/>
      <c r="LQB5" s="1185"/>
      <c r="LQC5" s="1185"/>
      <c r="LQD5" s="1185"/>
      <c r="LQE5" s="1185"/>
      <c r="LQF5" s="1185"/>
      <c r="LQG5" s="1185"/>
      <c r="LQH5" s="1185"/>
      <c r="LQI5" s="1185"/>
      <c r="LQJ5" s="1185"/>
      <c r="LQK5" s="1185"/>
      <c r="LQL5" s="1185"/>
      <c r="LQM5" s="1185"/>
      <c r="LQN5" s="1185"/>
      <c r="LQO5" s="1185"/>
      <c r="LQP5" s="1185"/>
      <c r="LQQ5" s="1185"/>
      <c r="LQR5" s="1185"/>
      <c r="LQS5" s="1185"/>
      <c r="LQT5" s="1185"/>
      <c r="LQU5" s="1185"/>
      <c r="LQV5" s="1185"/>
      <c r="LQW5" s="1185"/>
      <c r="LQX5" s="1185"/>
      <c r="LQY5" s="1185"/>
      <c r="LQZ5" s="1185"/>
      <c r="LRA5" s="1185"/>
      <c r="LRB5" s="1185"/>
      <c r="LRC5" s="1185"/>
      <c r="LRD5" s="1185"/>
      <c r="LRE5" s="1185"/>
      <c r="LRF5" s="1185"/>
      <c r="LRG5" s="1185"/>
      <c r="LRH5" s="1185"/>
      <c r="LRI5" s="1185"/>
      <c r="LRJ5" s="1185"/>
      <c r="LRK5" s="1185"/>
      <c r="LRL5" s="1185"/>
      <c r="LRM5" s="1185"/>
      <c r="LRN5" s="1185"/>
      <c r="LRO5" s="1185"/>
      <c r="LRP5" s="1185"/>
      <c r="LRQ5" s="1185"/>
      <c r="LRR5" s="1185"/>
      <c r="LRS5" s="1185"/>
      <c r="LRT5" s="1185"/>
      <c r="LRU5" s="1185"/>
      <c r="LRV5" s="1185"/>
      <c r="LRW5" s="1185"/>
      <c r="LRX5" s="1185"/>
      <c r="LRY5" s="1185"/>
      <c r="LRZ5" s="1185"/>
      <c r="LSA5" s="1185"/>
      <c r="LSB5" s="1185"/>
      <c r="LSC5" s="1185"/>
      <c r="LSD5" s="1185"/>
      <c r="LSE5" s="1185"/>
      <c r="LSF5" s="1185"/>
      <c r="LSG5" s="1185"/>
      <c r="LSH5" s="1185"/>
      <c r="LSI5" s="1185"/>
      <c r="LSJ5" s="1185"/>
      <c r="LSK5" s="1185"/>
      <c r="LSL5" s="1185"/>
      <c r="LSM5" s="1185"/>
      <c r="LSN5" s="1185"/>
      <c r="LSO5" s="1185"/>
      <c r="LSP5" s="1185"/>
      <c r="LSQ5" s="1185"/>
      <c r="LSR5" s="1185"/>
      <c r="LSS5" s="1185"/>
      <c r="LST5" s="1185"/>
      <c r="LSU5" s="1185"/>
      <c r="LSV5" s="1185"/>
      <c r="LSW5" s="1185"/>
      <c r="LSX5" s="1185"/>
      <c r="LSY5" s="1185"/>
      <c r="LSZ5" s="1185"/>
      <c r="LTA5" s="1185"/>
      <c r="LTB5" s="1185"/>
      <c r="LTC5" s="1185"/>
      <c r="LTD5" s="1185"/>
      <c r="LTE5" s="1185"/>
      <c r="LTF5" s="1185"/>
      <c r="LTG5" s="1185"/>
      <c r="LTH5" s="1185"/>
      <c r="LTI5" s="1185"/>
      <c r="LTJ5" s="1185"/>
      <c r="LTK5" s="1185"/>
      <c r="LTL5" s="1185"/>
      <c r="LTM5" s="1185"/>
      <c r="LTN5" s="1185"/>
      <c r="LTO5" s="1185"/>
      <c r="LTP5" s="1185"/>
      <c r="LTQ5" s="1185"/>
      <c r="LTR5" s="1185"/>
      <c r="LTS5" s="1185"/>
      <c r="LTT5" s="1185"/>
      <c r="LTU5" s="1185"/>
      <c r="LTV5" s="1185"/>
      <c r="LTW5" s="1185"/>
      <c r="LTX5" s="1185"/>
      <c r="LTY5" s="1185"/>
      <c r="LTZ5" s="1185"/>
      <c r="LUA5" s="1185"/>
      <c r="LUB5" s="1185"/>
      <c r="LUC5" s="1185"/>
      <c r="LUD5" s="1185"/>
      <c r="LUE5" s="1185"/>
      <c r="LUF5" s="1185"/>
      <c r="LUG5" s="1185"/>
      <c r="LUH5" s="1185"/>
      <c r="LUI5" s="1185"/>
      <c r="LUJ5" s="1185"/>
      <c r="LUK5" s="1185"/>
      <c r="LUL5" s="1185"/>
      <c r="LUM5" s="1185"/>
      <c r="LUN5" s="1185"/>
      <c r="LUO5" s="1185"/>
      <c r="LUP5" s="1185"/>
      <c r="LUQ5" s="1185"/>
      <c r="LUR5" s="1185"/>
      <c r="LUS5" s="1185"/>
      <c r="LUT5" s="1185"/>
      <c r="LUU5" s="1185"/>
      <c r="LUV5" s="1185"/>
      <c r="LUW5" s="1185"/>
      <c r="LUX5" s="1185"/>
      <c r="LUY5" s="1185"/>
      <c r="LUZ5" s="1185"/>
      <c r="LVA5" s="1185"/>
      <c r="LVB5" s="1185"/>
      <c r="LVC5" s="1185"/>
      <c r="LVD5" s="1185"/>
      <c r="LVE5" s="1185"/>
      <c r="LVF5" s="1185"/>
      <c r="LVG5" s="1185"/>
      <c r="LVH5" s="1185"/>
      <c r="LVI5" s="1185"/>
      <c r="LVJ5" s="1185"/>
      <c r="LVK5" s="1185"/>
      <c r="LVL5" s="1185"/>
      <c r="LVM5" s="1185"/>
      <c r="LVN5" s="1185"/>
      <c r="LVO5" s="1185"/>
      <c r="LVP5" s="1185"/>
      <c r="LVQ5" s="1185"/>
      <c r="LVR5" s="1185"/>
      <c r="LVS5" s="1185"/>
      <c r="LVT5" s="1185"/>
      <c r="LVU5" s="1185"/>
      <c r="LVV5" s="1185"/>
      <c r="LVW5" s="1185"/>
      <c r="LVX5" s="1185"/>
      <c r="LVY5" s="1185"/>
      <c r="LVZ5" s="1185"/>
      <c r="LWA5" s="1185"/>
      <c r="LWB5" s="1185"/>
      <c r="LWC5" s="1185"/>
      <c r="LWD5" s="1185"/>
      <c r="LWE5" s="1185"/>
      <c r="LWF5" s="1185"/>
      <c r="LWG5" s="1185"/>
      <c r="LWH5" s="1185"/>
      <c r="LWI5" s="1185"/>
      <c r="LWJ5" s="1185"/>
      <c r="LWK5" s="1185"/>
      <c r="LWL5" s="1185"/>
      <c r="LWM5" s="1185"/>
      <c r="LWN5" s="1185"/>
      <c r="LWO5" s="1185"/>
      <c r="LWP5" s="1185"/>
      <c r="LWQ5" s="1185"/>
      <c r="LWR5" s="1185"/>
      <c r="LWS5" s="1185"/>
      <c r="LWT5" s="1185"/>
      <c r="LWU5" s="1185"/>
      <c r="LWV5" s="1185"/>
      <c r="LWW5" s="1185"/>
      <c r="LWX5" s="1185"/>
      <c r="LWY5" s="1185"/>
      <c r="LWZ5" s="1185"/>
      <c r="LXA5" s="1185"/>
      <c r="LXB5" s="1185"/>
      <c r="LXC5" s="1185"/>
      <c r="LXD5" s="1185"/>
      <c r="LXE5" s="1185"/>
      <c r="LXF5" s="1185"/>
      <c r="LXG5" s="1185"/>
      <c r="LXH5" s="1185"/>
      <c r="LXI5" s="1185"/>
      <c r="LXJ5" s="1185"/>
      <c r="LXK5" s="1185"/>
      <c r="LXL5" s="1185"/>
      <c r="LXM5" s="1185"/>
      <c r="LXN5" s="1185"/>
      <c r="LXO5" s="1185"/>
      <c r="LXP5" s="1185"/>
      <c r="LXQ5" s="1185"/>
      <c r="LXR5" s="1185"/>
      <c r="LXS5" s="1185"/>
      <c r="LXT5" s="1185"/>
      <c r="LXU5" s="1185"/>
      <c r="LXV5" s="1185"/>
      <c r="LXW5" s="1185"/>
      <c r="LXX5" s="1185"/>
      <c r="LXY5" s="1185"/>
      <c r="LXZ5" s="1185"/>
      <c r="LYA5" s="1185"/>
      <c r="LYB5" s="1185"/>
      <c r="LYC5" s="1185"/>
      <c r="LYD5" s="1185"/>
      <c r="LYE5" s="1185"/>
      <c r="LYF5" s="1185"/>
      <c r="LYG5" s="1185"/>
      <c r="LYH5" s="1185"/>
      <c r="LYI5" s="1185"/>
      <c r="LYJ5" s="1185"/>
      <c r="LYK5" s="1185"/>
      <c r="LYL5" s="1185"/>
      <c r="LYM5" s="1185"/>
      <c r="LYN5" s="1185"/>
      <c r="LYO5" s="1185"/>
      <c r="LYP5" s="1185"/>
      <c r="LYQ5" s="1185"/>
      <c r="LYR5" s="1185"/>
      <c r="LYS5" s="1185"/>
      <c r="LYT5" s="1185"/>
      <c r="LYU5" s="1185"/>
      <c r="LYV5" s="1185"/>
      <c r="LYW5" s="1185"/>
      <c r="LYX5" s="1185"/>
      <c r="LYY5" s="1185"/>
      <c r="LYZ5" s="1185"/>
      <c r="LZA5" s="1185"/>
      <c r="LZB5" s="1185"/>
      <c r="LZC5" s="1185"/>
      <c r="LZD5" s="1185"/>
      <c r="LZE5" s="1185"/>
      <c r="LZF5" s="1185"/>
      <c r="LZG5" s="1185"/>
      <c r="LZH5" s="1185"/>
      <c r="LZI5" s="1185"/>
      <c r="LZJ5" s="1185"/>
      <c r="LZK5" s="1185"/>
      <c r="LZL5" s="1185"/>
      <c r="LZM5" s="1185"/>
      <c r="LZN5" s="1185"/>
      <c r="LZO5" s="1185"/>
      <c r="LZP5" s="1185"/>
      <c r="LZQ5" s="1185"/>
      <c r="LZR5" s="1185"/>
      <c r="LZS5" s="1185"/>
      <c r="LZT5" s="1185"/>
      <c r="LZU5" s="1185"/>
      <c r="LZV5" s="1185"/>
      <c r="LZW5" s="1185"/>
      <c r="LZX5" s="1185"/>
      <c r="LZY5" s="1185"/>
      <c r="LZZ5" s="1185"/>
      <c r="MAA5" s="1185"/>
      <c r="MAB5" s="1185"/>
      <c r="MAC5" s="1185"/>
      <c r="MAD5" s="1185"/>
      <c r="MAE5" s="1185"/>
      <c r="MAF5" s="1185"/>
      <c r="MAG5" s="1185"/>
      <c r="MAH5" s="1185"/>
      <c r="MAI5" s="1185"/>
      <c r="MAJ5" s="1185"/>
      <c r="MAK5" s="1185"/>
      <c r="MAL5" s="1185"/>
      <c r="MAM5" s="1185"/>
      <c r="MAN5" s="1185"/>
      <c r="MAO5" s="1185"/>
      <c r="MAP5" s="1185"/>
      <c r="MAQ5" s="1185"/>
      <c r="MAR5" s="1185"/>
      <c r="MAS5" s="1185"/>
      <c r="MAT5" s="1185"/>
      <c r="MAU5" s="1185"/>
      <c r="MAV5" s="1185"/>
      <c r="MAW5" s="1185"/>
      <c r="MAX5" s="1185"/>
      <c r="MAY5" s="1185"/>
      <c r="MAZ5" s="1185"/>
      <c r="MBA5" s="1185"/>
      <c r="MBB5" s="1185"/>
      <c r="MBC5" s="1185"/>
      <c r="MBD5" s="1185"/>
      <c r="MBE5" s="1185"/>
      <c r="MBF5" s="1185"/>
      <c r="MBG5" s="1185"/>
      <c r="MBH5" s="1185"/>
      <c r="MBI5" s="1185"/>
      <c r="MBJ5" s="1185"/>
      <c r="MBK5" s="1185"/>
      <c r="MBL5" s="1185"/>
      <c r="MBM5" s="1185"/>
      <c r="MBN5" s="1185"/>
      <c r="MBO5" s="1185"/>
      <c r="MBP5" s="1185"/>
      <c r="MBQ5" s="1185"/>
      <c r="MBR5" s="1185"/>
      <c r="MBS5" s="1185"/>
      <c r="MBT5" s="1185"/>
      <c r="MBU5" s="1185"/>
      <c r="MBV5" s="1185"/>
      <c r="MBW5" s="1185"/>
      <c r="MBX5" s="1185"/>
      <c r="MBY5" s="1185"/>
      <c r="MBZ5" s="1185"/>
      <c r="MCA5" s="1185"/>
      <c r="MCB5" s="1185"/>
      <c r="MCC5" s="1185"/>
      <c r="MCD5" s="1185"/>
      <c r="MCE5" s="1185"/>
      <c r="MCF5" s="1185"/>
      <c r="MCG5" s="1185"/>
      <c r="MCH5" s="1185"/>
      <c r="MCI5" s="1185"/>
      <c r="MCJ5" s="1185"/>
      <c r="MCK5" s="1185"/>
      <c r="MCL5" s="1185"/>
      <c r="MCM5" s="1185"/>
      <c r="MCN5" s="1185"/>
      <c r="MCO5" s="1185"/>
      <c r="MCP5" s="1185"/>
      <c r="MCQ5" s="1185"/>
      <c r="MCR5" s="1185"/>
      <c r="MCS5" s="1185"/>
      <c r="MCT5" s="1185"/>
      <c r="MCU5" s="1185"/>
      <c r="MCV5" s="1185"/>
      <c r="MCW5" s="1185"/>
      <c r="MCX5" s="1185"/>
      <c r="MCY5" s="1185"/>
      <c r="MCZ5" s="1185"/>
      <c r="MDA5" s="1185"/>
      <c r="MDB5" s="1185"/>
      <c r="MDC5" s="1185"/>
      <c r="MDD5" s="1185"/>
      <c r="MDE5" s="1185"/>
      <c r="MDF5" s="1185"/>
      <c r="MDG5" s="1185"/>
      <c r="MDH5" s="1185"/>
      <c r="MDI5" s="1185"/>
      <c r="MDJ5" s="1185"/>
      <c r="MDK5" s="1185"/>
      <c r="MDL5" s="1185"/>
      <c r="MDM5" s="1185"/>
      <c r="MDN5" s="1185"/>
      <c r="MDO5" s="1185"/>
      <c r="MDP5" s="1185"/>
      <c r="MDQ5" s="1185"/>
      <c r="MDR5" s="1185"/>
      <c r="MDS5" s="1185"/>
      <c r="MDT5" s="1185"/>
      <c r="MDU5" s="1185"/>
      <c r="MDV5" s="1185"/>
      <c r="MDW5" s="1185"/>
      <c r="MDX5" s="1185"/>
      <c r="MDY5" s="1185"/>
      <c r="MDZ5" s="1185"/>
      <c r="MEA5" s="1185"/>
      <c r="MEB5" s="1185"/>
      <c r="MEC5" s="1185"/>
      <c r="MED5" s="1185"/>
      <c r="MEE5" s="1185"/>
      <c r="MEF5" s="1185"/>
      <c r="MEG5" s="1185"/>
      <c r="MEH5" s="1185"/>
      <c r="MEI5" s="1185"/>
      <c r="MEJ5" s="1185"/>
      <c r="MEK5" s="1185"/>
      <c r="MEL5" s="1185"/>
      <c r="MEM5" s="1185"/>
      <c r="MEN5" s="1185"/>
      <c r="MEO5" s="1185"/>
      <c r="MEP5" s="1185"/>
      <c r="MEQ5" s="1185"/>
      <c r="MER5" s="1185"/>
      <c r="MES5" s="1185"/>
      <c r="MET5" s="1185"/>
      <c r="MEU5" s="1185"/>
      <c r="MEV5" s="1185"/>
      <c r="MEW5" s="1185"/>
      <c r="MEX5" s="1185"/>
      <c r="MEY5" s="1185"/>
      <c r="MEZ5" s="1185"/>
      <c r="MFA5" s="1185"/>
      <c r="MFB5" s="1185"/>
      <c r="MFC5" s="1185"/>
      <c r="MFD5" s="1185"/>
      <c r="MFE5" s="1185"/>
      <c r="MFF5" s="1185"/>
      <c r="MFG5" s="1185"/>
      <c r="MFH5" s="1185"/>
      <c r="MFI5" s="1185"/>
      <c r="MFJ5" s="1185"/>
      <c r="MFK5" s="1185"/>
      <c r="MFL5" s="1185"/>
      <c r="MFM5" s="1185"/>
      <c r="MFN5" s="1185"/>
      <c r="MFO5" s="1185"/>
      <c r="MFP5" s="1185"/>
      <c r="MFQ5" s="1185"/>
      <c r="MFR5" s="1185"/>
      <c r="MFS5" s="1185"/>
      <c r="MFT5" s="1185"/>
      <c r="MFU5" s="1185"/>
      <c r="MFV5" s="1185"/>
      <c r="MFW5" s="1185"/>
      <c r="MFX5" s="1185"/>
      <c r="MFY5" s="1185"/>
      <c r="MFZ5" s="1185"/>
      <c r="MGA5" s="1185"/>
      <c r="MGB5" s="1185"/>
      <c r="MGC5" s="1185"/>
      <c r="MGD5" s="1185"/>
      <c r="MGE5" s="1185"/>
      <c r="MGF5" s="1185"/>
      <c r="MGG5" s="1185"/>
      <c r="MGH5" s="1185"/>
      <c r="MGI5" s="1185"/>
      <c r="MGJ5" s="1185"/>
      <c r="MGK5" s="1185"/>
      <c r="MGL5" s="1185"/>
      <c r="MGM5" s="1185"/>
      <c r="MGN5" s="1185"/>
      <c r="MGO5" s="1185"/>
      <c r="MGP5" s="1185"/>
      <c r="MGQ5" s="1185"/>
      <c r="MGR5" s="1185"/>
      <c r="MGS5" s="1185"/>
      <c r="MGT5" s="1185"/>
      <c r="MGU5" s="1185"/>
      <c r="MGV5" s="1185"/>
      <c r="MGW5" s="1185"/>
      <c r="MGX5" s="1185"/>
      <c r="MGY5" s="1185"/>
      <c r="MGZ5" s="1185"/>
      <c r="MHA5" s="1185"/>
      <c r="MHB5" s="1185"/>
      <c r="MHC5" s="1185"/>
      <c r="MHD5" s="1185"/>
      <c r="MHE5" s="1185"/>
      <c r="MHF5" s="1185"/>
      <c r="MHG5" s="1185"/>
      <c r="MHH5" s="1185"/>
      <c r="MHI5" s="1185"/>
      <c r="MHJ5" s="1185"/>
      <c r="MHK5" s="1185"/>
      <c r="MHL5" s="1185"/>
      <c r="MHM5" s="1185"/>
      <c r="MHN5" s="1185"/>
      <c r="MHO5" s="1185"/>
      <c r="MHP5" s="1185"/>
      <c r="MHQ5" s="1185"/>
      <c r="MHR5" s="1185"/>
      <c r="MHS5" s="1185"/>
      <c r="MHT5" s="1185"/>
      <c r="MHU5" s="1185"/>
      <c r="MHV5" s="1185"/>
      <c r="MHW5" s="1185"/>
      <c r="MHX5" s="1185"/>
      <c r="MHY5" s="1185"/>
      <c r="MHZ5" s="1185"/>
      <c r="MIA5" s="1185"/>
      <c r="MIB5" s="1185"/>
      <c r="MIC5" s="1185"/>
      <c r="MID5" s="1185"/>
      <c r="MIE5" s="1185"/>
      <c r="MIF5" s="1185"/>
      <c r="MIG5" s="1185"/>
      <c r="MIH5" s="1185"/>
      <c r="MII5" s="1185"/>
      <c r="MIJ5" s="1185"/>
      <c r="MIK5" s="1185"/>
      <c r="MIL5" s="1185"/>
      <c r="MIM5" s="1185"/>
      <c r="MIN5" s="1185"/>
      <c r="MIO5" s="1185"/>
      <c r="MIP5" s="1185"/>
      <c r="MIQ5" s="1185"/>
      <c r="MIR5" s="1185"/>
      <c r="MIS5" s="1185"/>
      <c r="MIT5" s="1185"/>
      <c r="MIU5" s="1185"/>
      <c r="MIV5" s="1185"/>
      <c r="MIW5" s="1185"/>
      <c r="MIX5" s="1185"/>
      <c r="MIY5" s="1185"/>
      <c r="MIZ5" s="1185"/>
      <c r="MJA5" s="1185"/>
      <c r="MJB5" s="1185"/>
      <c r="MJC5" s="1185"/>
      <c r="MJD5" s="1185"/>
      <c r="MJE5" s="1185"/>
      <c r="MJF5" s="1185"/>
      <c r="MJG5" s="1185"/>
      <c r="MJH5" s="1185"/>
      <c r="MJI5" s="1185"/>
      <c r="MJJ5" s="1185"/>
      <c r="MJK5" s="1185"/>
      <c r="MJL5" s="1185"/>
      <c r="MJM5" s="1185"/>
      <c r="MJN5" s="1185"/>
      <c r="MJO5" s="1185"/>
      <c r="MJP5" s="1185"/>
      <c r="MJQ5" s="1185"/>
      <c r="MJR5" s="1185"/>
      <c r="MJS5" s="1185"/>
      <c r="MJT5" s="1185"/>
      <c r="MJU5" s="1185"/>
      <c r="MJV5" s="1185"/>
      <c r="MJW5" s="1185"/>
      <c r="MJX5" s="1185"/>
      <c r="MJY5" s="1185"/>
      <c r="MJZ5" s="1185"/>
      <c r="MKA5" s="1185"/>
      <c r="MKB5" s="1185"/>
      <c r="MKC5" s="1185"/>
      <c r="MKD5" s="1185"/>
      <c r="MKE5" s="1185"/>
      <c r="MKF5" s="1185"/>
      <c r="MKG5" s="1185"/>
      <c r="MKH5" s="1185"/>
      <c r="MKI5" s="1185"/>
      <c r="MKJ5" s="1185"/>
      <c r="MKK5" s="1185"/>
      <c r="MKL5" s="1185"/>
      <c r="MKM5" s="1185"/>
      <c r="MKN5" s="1185"/>
      <c r="MKO5" s="1185"/>
      <c r="MKP5" s="1185"/>
      <c r="MKQ5" s="1185"/>
      <c r="MKR5" s="1185"/>
      <c r="MKS5" s="1185"/>
      <c r="MKT5" s="1185"/>
      <c r="MKU5" s="1185"/>
      <c r="MKV5" s="1185"/>
      <c r="MKW5" s="1185"/>
      <c r="MKX5" s="1185"/>
      <c r="MKY5" s="1185"/>
      <c r="MKZ5" s="1185"/>
      <c r="MLA5" s="1185"/>
      <c r="MLB5" s="1185"/>
      <c r="MLC5" s="1185"/>
      <c r="MLD5" s="1185"/>
      <c r="MLE5" s="1185"/>
      <c r="MLF5" s="1185"/>
      <c r="MLG5" s="1185"/>
      <c r="MLH5" s="1185"/>
      <c r="MLI5" s="1185"/>
      <c r="MLJ5" s="1185"/>
      <c r="MLK5" s="1185"/>
      <c r="MLL5" s="1185"/>
      <c r="MLM5" s="1185"/>
      <c r="MLN5" s="1185"/>
      <c r="MLO5" s="1185"/>
      <c r="MLP5" s="1185"/>
      <c r="MLQ5" s="1185"/>
      <c r="MLR5" s="1185"/>
      <c r="MLS5" s="1185"/>
      <c r="MLT5" s="1185"/>
      <c r="MLU5" s="1185"/>
      <c r="MLV5" s="1185"/>
      <c r="MLW5" s="1185"/>
      <c r="MLX5" s="1185"/>
      <c r="MLY5" s="1185"/>
      <c r="MLZ5" s="1185"/>
      <c r="MMA5" s="1185"/>
      <c r="MMB5" s="1185"/>
      <c r="MMC5" s="1185"/>
      <c r="MMD5" s="1185"/>
      <c r="MME5" s="1185"/>
      <c r="MMF5" s="1185"/>
      <c r="MMG5" s="1185"/>
      <c r="MMH5" s="1185"/>
      <c r="MMI5" s="1185"/>
      <c r="MMJ5" s="1185"/>
      <c r="MMK5" s="1185"/>
      <c r="MML5" s="1185"/>
      <c r="MMM5" s="1185"/>
      <c r="MMN5" s="1185"/>
      <c r="MMO5" s="1185"/>
      <c r="MMP5" s="1185"/>
      <c r="MMQ5" s="1185"/>
      <c r="MMR5" s="1185"/>
      <c r="MMS5" s="1185"/>
      <c r="MMT5" s="1185"/>
      <c r="MMU5" s="1185"/>
      <c r="MMV5" s="1185"/>
      <c r="MMW5" s="1185"/>
      <c r="MMX5" s="1185"/>
      <c r="MMY5" s="1185"/>
      <c r="MMZ5" s="1185"/>
      <c r="MNA5" s="1185"/>
      <c r="MNB5" s="1185"/>
      <c r="MNC5" s="1185"/>
      <c r="MND5" s="1185"/>
      <c r="MNE5" s="1185"/>
      <c r="MNF5" s="1185"/>
      <c r="MNG5" s="1185"/>
      <c r="MNH5" s="1185"/>
      <c r="MNI5" s="1185"/>
      <c r="MNJ5" s="1185"/>
      <c r="MNK5" s="1185"/>
      <c r="MNL5" s="1185"/>
      <c r="MNM5" s="1185"/>
      <c r="MNN5" s="1185"/>
      <c r="MNO5" s="1185"/>
      <c r="MNP5" s="1185"/>
      <c r="MNQ5" s="1185"/>
      <c r="MNR5" s="1185"/>
      <c r="MNS5" s="1185"/>
      <c r="MNT5" s="1185"/>
      <c r="MNU5" s="1185"/>
      <c r="MNV5" s="1185"/>
      <c r="MNW5" s="1185"/>
      <c r="MNX5" s="1185"/>
      <c r="MNY5" s="1185"/>
      <c r="MNZ5" s="1185"/>
      <c r="MOA5" s="1185"/>
      <c r="MOB5" s="1185"/>
      <c r="MOC5" s="1185"/>
      <c r="MOD5" s="1185"/>
      <c r="MOE5" s="1185"/>
      <c r="MOF5" s="1185"/>
      <c r="MOG5" s="1185"/>
      <c r="MOH5" s="1185"/>
      <c r="MOI5" s="1185"/>
      <c r="MOJ5" s="1185"/>
      <c r="MOK5" s="1185"/>
      <c r="MOL5" s="1185"/>
      <c r="MOM5" s="1185"/>
      <c r="MON5" s="1185"/>
      <c r="MOO5" s="1185"/>
      <c r="MOP5" s="1185"/>
      <c r="MOQ5" s="1185"/>
      <c r="MOR5" s="1185"/>
      <c r="MOS5" s="1185"/>
      <c r="MOT5" s="1185"/>
      <c r="MOU5" s="1185"/>
      <c r="MOV5" s="1185"/>
      <c r="MOW5" s="1185"/>
      <c r="MOX5" s="1185"/>
      <c r="MOY5" s="1185"/>
      <c r="MOZ5" s="1185"/>
      <c r="MPA5" s="1185"/>
      <c r="MPB5" s="1185"/>
      <c r="MPC5" s="1185"/>
      <c r="MPD5" s="1185"/>
      <c r="MPE5" s="1185"/>
      <c r="MPF5" s="1185"/>
      <c r="MPG5" s="1185"/>
      <c r="MPH5" s="1185"/>
      <c r="MPI5" s="1185"/>
      <c r="MPJ5" s="1185"/>
      <c r="MPK5" s="1185"/>
      <c r="MPL5" s="1185"/>
      <c r="MPM5" s="1185"/>
      <c r="MPN5" s="1185"/>
      <c r="MPO5" s="1185"/>
      <c r="MPP5" s="1185"/>
      <c r="MPQ5" s="1185"/>
      <c r="MPR5" s="1185"/>
      <c r="MPS5" s="1185"/>
      <c r="MPT5" s="1185"/>
      <c r="MPU5" s="1185"/>
      <c r="MPV5" s="1185"/>
      <c r="MPW5" s="1185"/>
      <c r="MPX5" s="1185"/>
      <c r="MPY5" s="1185"/>
      <c r="MPZ5" s="1185"/>
      <c r="MQA5" s="1185"/>
      <c r="MQB5" s="1185"/>
      <c r="MQC5" s="1185"/>
      <c r="MQD5" s="1185"/>
      <c r="MQE5" s="1185"/>
      <c r="MQF5" s="1185"/>
      <c r="MQG5" s="1185"/>
      <c r="MQH5" s="1185"/>
      <c r="MQI5" s="1185"/>
      <c r="MQJ5" s="1185"/>
      <c r="MQK5" s="1185"/>
      <c r="MQL5" s="1185"/>
      <c r="MQM5" s="1185"/>
      <c r="MQN5" s="1185"/>
      <c r="MQO5" s="1185"/>
      <c r="MQP5" s="1185"/>
      <c r="MQQ5" s="1185"/>
      <c r="MQR5" s="1185"/>
      <c r="MQS5" s="1185"/>
      <c r="MQT5" s="1185"/>
      <c r="MQU5" s="1185"/>
      <c r="MQV5" s="1185"/>
      <c r="MQW5" s="1185"/>
      <c r="MQX5" s="1185"/>
      <c r="MQY5" s="1185"/>
      <c r="MQZ5" s="1185"/>
      <c r="MRA5" s="1185"/>
      <c r="MRB5" s="1185"/>
      <c r="MRC5" s="1185"/>
      <c r="MRD5" s="1185"/>
      <c r="MRE5" s="1185"/>
      <c r="MRF5" s="1185"/>
      <c r="MRG5" s="1185"/>
      <c r="MRH5" s="1185"/>
      <c r="MRI5" s="1185"/>
      <c r="MRJ5" s="1185"/>
      <c r="MRK5" s="1185"/>
      <c r="MRL5" s="1185"/>
      <c r="MRM5" s="1185"/>
      <c r="MRN5" s="1185"/>
      <c r="MRO5" s="1185"/>
      <c r="MRP5" s="1185"/>
      <c r="MRQ5" s="1185"/>
      <c r="MRR5" s="1185"/>
      <c r="MRS5" s="1185"/>
      <c r="MRT5" s="1185"/>
      <c r="MRU5" s="1185"/>
      <c r="MRV5" s="1185"/>
      <c r="MRW5" s="1185"/>
      <c r="MRX5" s="1185"/>
      <c r="MRY5" s="1185"/>
      <c r="MRZ5" s="1185"/>
      <c r="MSA5" s="1185"/>
      <c r="MSB5" s="1185"/>
      <c r="MSC5" s="1185"/>
      <c r="MSD5" s="1185"/>
      <c r="MSE5" s="1185"/>
      <c r="MSF5" s="1185"/>
      <c r="MSG5" s="1185"/>
      <c r="MSH5" s="1185"/>
      <c r="MSI5" s="1185"/>
      <c r="MSJ5" s="1185"/>
      <c r="MSK5" s="1185"/>
      <c r="MSL5" s="1185"/>
      <c r="MSM5" s="1185"/>
      <c r="MSN5" s="1185"/>
      <c r="MSO5" s="1185"/>
      <c r="MSP5" s="1185"/>
      <c r="MSQ5" s="1185"/>
      <c r="MSR5" s="1185"/>
      <c r="MSS5" s="1185"/>
      <c r="MST5" s="1185"/>
      <c r="MSU5" s="1185"/>
      <c r="MSV5" s="1185"/>
      <c r="MSW5" s="1185"/>
      <c r="MSX5" s="1185"/>
      <c r="MSY5" s="1185"/>
      <c r="MSZ5" s="1185"/>
      <c r="MTA5" s="1185"/>
      <c r="MTB5" s="1185"/>
      <c r="MTC5" s="1185"/>
      <c r="MTD5" s="1185"/>
      <c r="MTE5" s="1185"/>
      <c r="MTF5" s="1185"/>
      <c r="MTG5" s="1185"/>
      <c r="MTH5" s="1185"/>
      <c r="MTI5" s="1185"/>
      <c r="MTJ5" s="1185"/>
      <c r="MTK5" s="1185"/>
      <c r="MTL5" s="1185"/>
      <c r="MTM5" s="1185"/>
      <c r="MTN5" s="1185"/>
      <c r="MTO5" s="1185"/>
      <c r="MTP5" s="1185"/>
      <c r="MTQ5" s="1185"/>
      <c r="MTR5" s="1185"/>
      <c r="MTS5" s="1185"/>
      <c r="MTT5" s="1185"/>
      <c r="MTU5" s="1185"/>
      <c r="MTV5" s="1185"/>
      <c r="MTW5" s="1185"/>
      <c r="MTX5" s="1185"/>
      <c r="MTY5" s="1185"/>
      <c r="MTZ5" s="1185"/>
      <c r="MUA5" s="1185"/>
      <c r="MUB5" s="1185"/>
      <c r="MUC5" s="1185"/>
      <c r="MUD5" s="1185"/>
      <c r="MUE5" s="1185"/>
      <c r="MUF5" s="1185"/>
      <c r="MUG5" s="1185"/>
      <c r="MUH5" s="1185"/>
      <c r="MUI5" s="1185"/>
      <c r="MUJ5" s="1185"/>
      <c r="MUK5" s="1185"/>
      <c r="MUL5" s="1185"/>
      <c r="MUM5" s="1185"/>
      <c r="MUN5" s="1185"/>
      <c r="MUO5" s="1185"/>
      <c r="MUP5" s="1185"/>
      <c r="MUQ5" s="1185"/>
      <c r="MUR5" s="1185"/>
      <c r="MUS5" s="1185"/>
      <c r="MUT5" s="1185"/>
      <c r="MUU5" s="1185"/>
      <c r="MUV5" s="1185"/>
      <c r="MUW5" s="1185"/>
      <c r="MUX5" s="1185"/>
      <c r="MUY5" s="1185"/>
      <c r="MUZ5" s="1185"/>
      <c r="MVA5" s="1185"/>
      <c r="MVB5" s="1185"/>
      <c r="MVC5" s="1185"/>
      <c r="MVD5" s="1185"/>
      <c r="MVE5" s="1185"/>
      <c r="MVF5" s="1185"/>
      <c r="MVG5" s="1185"/>
      <c r="MVH5" s="1185"/>
      <c r="MVI5" s="1185"/>
      <c r="MVJ5" s="1185"/>
      <c r="MVK5" s="1185"/>
      <c r="MVL5" s="1185"/>
      <c r="MVM5" s="1185"/>
      <c r="MVN5" s="1185"/>
      <c r="MVO5" s="1185"/>
      <c r="MVP5" s="1185"/>
      <c r="MVQ5" s="1185"/>
      <c r="MVR5" s="1185"/>
      <c r="MVS5" s="1185"/>
      <c r="MVT5" s="1185"/>
      <c r="MVU5" s="1185"/>
      <c r="MVV5" s="1185"/>
      <c r="MVW5" s="1185"/>
      <c r="MVX5" s="1185"/>
      <c r="MVY5" s="1185"/>
      <c r="MVZ5" s="1185"/>
      <c r="MWA5" s="1185"/>
      <c r="MWB5" s="1185"/>
      <c r="MWC5" s="1185"/>
      <c r="MWD5" s="1185"/>
      <c r="MWE5" s="1185"/>
      <c r="MWF5" s="1185"/>
      <c r="MWG5" s="1185"/>
      <c r="MWH5" s="1185"/>
      <c r="MWI5" s="1185"/>
      <c r="MWJ5" s="1185"/>
      <c r="MWK5" s="1185"/>
      <c r="MWL5" s="1185"/>
      <c r="MWM5" s="1185"/>
      <c r="MWN5" s="1185"/>
      <c r="MWO5" s="1185"/>
      <c r="MWP5" s="1185"/>
      <c r="MWQ5" s="1185"/>
      <c r="MWR5" s="1185"/>
      <c r="MWS5" s="1185"/>
      <c r="MWT5" s="1185"/>
      <c r="MWU5" s="1185"/>
      <c r="MWV5" s="1185"/>
      <c r="MWW5" s="1185"/>
      <c r="MWX5" s="1185"/>
      <c r="MWY5" s="1185"/>
      <c r="MWZ5" s="1185"/>
      <c r="MXA5" s="1185"/>
      <c r="MXB5" s="1185"/>
      <c r="MXC5" s="1185"/>
      <c r="MXD5" s="1185"/>
      <c r="MXE5" s="1185"/>
      <c r="MXF5" s="1185"/>
      <c r="MXG5" s="1185"/>
      <c r="MXH5" s="1185"/>
      <c r="MXI5" s="1185"/>
      <c r="MXJ5" s="1185"/>
      <c r="MXK5" s="1185"/>
      <c r="MXL5" s="1185"/>
      <c r="MXM5" s="1185"/>
      <c r="MXN5" s="1185"/>
      <c r="MXO5" s="1185"/>
      <c r="MXP5" s="1185"/>
      <c r="MXQ5" s="1185"/>
      <c r="MXR5" s="1185"/>
      <c r="MXS5" s="1185"/>
      <c r="MXT5" s="1185"/>
      <c r="MXU5" s="1185"/>
      <c r="MXV5" s="1185"/>
      <c r="MXW5" s="1185"/>
      <c r="MXX5" s="1185"/>
      <c r="MXY5" s="1185"/>
      <c r="MXZ5" s="1185"/>
      <c r="MYA5" s="1185"/>
      <c r="MYB5" s="1185"/>
      <c r="MYC5" s="1185"/>
      <c r="MYD5" s="1185"/>
      <c r="MYE5" s="1185"/>
      <c r="MYF5" s="1185"/>
      <c r="MYG5" s="1185"/>
      <c r="MYH5" s="1185"/>
      <c r="MYI5" s="1185"/>
      <c r="MYJ5" s="1185"/>
      <c r="MYK5" s="1185"/>
      <c r="MYL5" s="1185"/>
      <c r="MYM5" s="1185"/>
      <c r="MYN5" s="1185"/>
      <c r="MYO5" s="1185"/>
      <c r="MYP5" s="1185"/>
      <c r="MYQ5" s="1185"/>
      <c r="MYR5" s="1185"/>
      <c r="MYS5" s="1185"/>
      <c r="MYT5" s="1185"/>
      <c r="MYU5" s="1185"/>
      <c r="MYV5" s="1185"/>
      <c r="MYW5" s="1185"/>
      <c r="MYX5" s="1185"/>
      <c r="MYY5" s="1185"/>
      <c r="MYZ5" s="1185"/>
      <c r="MZA5" s="1185"/>
      <c r="MZB5" s="1185"/>
      <c r="MZC5" s="1185"/>
      <c r="MZD5" s="1185"/>
      <c r="MZE5" s="1185"/>
      <c r="MZF5" s="1185"/>
      <c r="MZG5" s="1185"/>
      <c r="MZH5" s="1185"/>
      <c r="MZI5" s="1185"/>
      <c r="MZJ5" s="1185"/>
      <c r="MZK5" s="1185"/>
      <c r="MZL5" s="1185"/>
      <c r="MZM5" s="1185"/>
      <c r="MZN5" s="1185"/>
      <c r="MZO5" s="1185"/>
      <c r="MZP5" s="1185"/>
      <c r="MZQ5" s="1185"/>
      <c r="MZR5" s="1185"/>
      <c r="MZS5" s="1185"/>
      <c r="MZT5" s="1185"/>
      <c r="MZU5" s="1185"/>
      <c r="MZV5" s="1185"/>
      <c r="MZW5" s="1185"/>
      <c r="MZX5" s="1185"/>
      <c r="MZY5" s="1185"/>
      <c r="MZZ5" s="1185"/>
      <c r="NAA5" s="1185"/>
      <c r="NAB5" s="1185"/>
      <c r="NAC5" s="1185"/>
      <c r="NAD5" s="1185"/>
      <c r="NAE5" s="1185"/>
      <c r="NAF5" s="1185"/>
      <c r="NAG5" s="1185"/>
      <c r="NAH5" s="1185"/>
      <c r="NAI5" s="1185"/>
      <c r="NAJ5" s="1185"/>
      <c r="NAK5" s="1185"/>
      <c r="NAL5" s="1185"/>
      <c r="NAM5" s="1185"/>
      <c r="NAN5" s="1185"/>
      <c r="NAO5" s="1185"/>
      <c r="NAP5" s="1185"/>
      <c r="NAQ5" s="1185"/>
      <c r="NAR5" s="1185"/>
      <c r="NAS5" s="1185"/>
      <c r="NAT5" s="1185"/>
      <c r="NAU5" s="1185"/>
      <c r="NAV5" s="1185"/>
      <c r="NAW5" s="1185"/>
      <c r="NAX5" s="1185"/>
      <c r="NAY5" s="1185"/>
      <c r="NAZ5" s="1185"/>
      <c r="NBA5" s="1185"/>
      <c r="NBB5" s="1185"/>
      <c r="NBC5" s="1185"/>
      <c r="NBD5" s="1185"/>
      <c r="NBE5" s="1185"/>
      <c r="NBF5" s="1185"/>
      <c r="NBG5" s="1185"/>
      <c r="NBH5" s="1185"/>
      <c r="NBI5" s="1185"/>
      <c r="NBJ5" s="1185"/>
      <c r="NBK5" s="1185"/>
      <c r="NBL5" s="1185"/>
      <c r="NBM5" s="1185"/>
      <c r="NBN5" s="1185"/>
      <c r="NBO5" s="1185"/>
      <c r="NBP5" s="1185"/>
      <c r="NBQ5" s="1185"/>
      <c r="NBR5" s="1185"/>
      <c r="NBS5" s="1185"/>
      <c r="NBT5" s="1185"/>
      <c r="NBU5" s="1185"/>
      <c r="NBV5" s="1185"/>
      <c r="NBW5" s="1185"/>
      <c r="NBX5" s="1185"/>
      <c r="NBY5" s="1185"/>
      <c r="NBZ5" s="1185"/>
      <c r="NCA5" s="1185"/>
      <c r="NCB5" s="1185"/>
      <c r="NCC5" s="1185"/>
      <c r="NCD5" s="1185"/>
      <c r="NCE5" s="1185"/>
      <c r="NCF5" s="1185"/>
      <c r="NCG5" s="1185"/>
      <c r="NCH5" s="1185"/>
      <c r="NCI5" s="1185"/>
      <c r="NCJ5" s="1185"/>
      <c r="NCK5" s="1185"/>
      <c r="NCL5" s="1185"/>
      <c r="NCM5" s="1185"/>
      <c r="NCN5" s="1185"/>
      <c r="NCO5" s="1185"/>
      <c r="NCP5" s="1185"/>
      <c r="NCQ5" s="1185"/>
      <c r="NCR5" s="1185"/>
      <c r="NCS5" s="1185"/>
      <c r="NCT5" s="1185"/>
      <c r="NCU5" s="1185"/>
      <c r="NCV5" s="1185"/>
      <c r="NCW5" s="1185"/>
      <c r="NCX5" s="1185"/>
      <c r="NCY5" s="1185"/>
      <c r="NCZ5" s="1185"/>
      <c r="NDA5" s="1185"/>
      <c r="NDB5" s="1185"/>
      <c r="NDC5" s="1185"/>
      <c r="NDD5" s="1185"/>
      <c r="NDE5" s="1185"/>
      <c r="NDF5" s="1185"/>
      <c r="NDG5" s="1185"/>
      <c r="NDH5" s="1185"/>
      <c r="NDI5" s="1185"/>
      <c r="NDJ5" s="1185"/>
      <c r="NDK5" s="1185"/>
      <c r="NDL5" s="1185"/>
      <c r="NDM5" s="1185"/>
      <c r="NDN5" s="1185"/>
      <c r="NDO5" s="1185"/>
      <c r="NDP5" s="1185"/>
      <c r="NDQ5" s="1185"/>
      <c r="NDR5" s="1185"/>
      <c r="NDS5" s="1185"/>
      <c r="NDT5" s="1185"/>
      <c r="NDU5" s="1185"/>
      <c r="NDV5" s="1185"/>
      <c r="NDW5" s="1185"/>
      <c r="NDX5" s="1185"/>
      <c r="NDY5" s="1185"/>
      <c r="NDZ5" s="1185"/>
      <c r="NEA5" s="1185"/>
      <c r="NEB5" s="1185"/>
      <c r="NEC5" s="1185"/>
      <c r="NED5" s="1185"/>
      <c r="NEE5" s="1185"/>
      <c r="NEF5" s="1185"/>
      <c r="NEG5" s="1185"/>
      <c r="NEH5" s="1185"/>
      <c r="NEI5" s="1185"/>
      <c r="NEJ5" s="1185"/>
      <c r="NEK5" s="1185"/>
      <c r="NEL5" s="1185"/>
      <c r="NEM5" s="1185"/>
      <c r="NEN5" s="1185"/>
      <c r="NEO5" s="1185"/>
      <c r="NEP5" s="1185"/>
      <c r="NEQ5" s="1185"/>
      <c r="NER5" s="1185"/>
      <c r="NES5" s="1185"/>
      <c r="NET5" s="1185"/>
      <c r="NEU5" s="1185"/>
      <c r="NEV5" s="1185"/>
      <c r="NEW5" s="1185"/>
      <c r="NEX5" s="1185"/>
      <c r="NEY5" s="1185"/>
      <c r="NEZ5" s="1185"/>
      <c r="NFA5" s="1185"/>
      <c r="NFB5" s="1185"/>
      <c r="NFC5" s="1185"/>
      <c r="NFD5" s="1185"/>
      <c r="NFE5" s="1185"/>
      <c r="NFF5" s="1185"/>
      <c r="NFG5" s="1185"/>
      <c r="NFH5" s="1185"/>
      <c r="NFI5" s="1185"/>
      <c r="NFJ5" s="1185"/>
      <c r="NFK5" s="1185"/>
      <c r="NFL5" s="1185"/>
      <c r="NFM5" s="1185"/>
      <c r="NFN5" s="1185"/>
      <c r="NFO5" s="1185"/>
      <c r="NFP5" s="1185"/>
      <c r="NFQ5" s="1185"/>
      <c r="NFR5" s="1185"/>
      <c r="NFS5" s="1185"/>
      <c r="NFT5" s="1185"/>
      <c r="NFU5" s="1185"/>
      <c r="NFV5" s="1185"/>
      <c r="NFW5" s="1185"/>
      <c r="NFX5" s="1185"/>
      <c r="NFY5" s="1185"/>
      <c r="NFZ5" s="1185"/>
      <c r="NGA5" s="1185"/>
      <c r="NGB5" s="1185"/>
      <c r="NGC5" s="1185"/>
      <c r="NGD5" s="1185"/>
      <c r="NGE5" s="1185"/>
      <c r="NGF5" s="1185"/>
      <c r="NGG5" s="1185"/>
      <c r="NGH5" s="1185"/>
      <c r="NGI5" s="1185"/>
      <c r="NGJ5" s="1185"/>
      <c r="NGK5" s="1185"/>
      <c r="NGL5" s="1185"/>
      <c r="NGM5" s="1185"/>
      <c r="NGN5" s="1185"/>
      <c r="NGO5" s="1185"/>
      <c r="NGP5" s="1185"/>
      <c r="NGQ5" s="1185"/>
      <c r="NGR5" s="1185"/>
      <c r="NGS5" s="1185"/>
      <c r="NGT5" s="1185"/>
      <c r="NGU5" s="1185"/>
      <c r="NGV5" s="1185"/>
      <c r="NGW5" s="1185"/>
      <c r="NGX5" s="1185"/>
      <c r="NGY5" s="1185"/>
      <c r="NGZ5" s="1185"/>
      <c r="NHA5" s="1185"/>
      <c r="NHB5" s="1185"/>
      <c r="NHC5" s="1185"/>
      <c r="NHD5" s="1185"/>
      <c r="NHE5" s="1185"/>
      <c r="NHF5" s="1185"/>
      <c r="NHG5" s="1185"/>
      <c r="NHH5" s="1185"/>
      <c r="NHI5" s="1185"/>
      <c r="NHJ5" s="1185"/>
      <c r="NHK5" s="1185"/>
      <c r="NHL5" s="1185"/>
      <c r="NHM5" s="1185"/>
      <c r="NHN5" s="1185"/>
      <c r="NHO5" s="1185"/>
      <c r="NHP5" s="1185"/>
      <c r="NHQ5" s="1185"/>
      <c r="NHR5" s="1185"/>
      <c r="NHS5" s="1185"/>
      <c r="NHT5" s="1185"/>
      <c r="NHU5" s="1185"/>
      <c r="NHV5" s="1185"/>
      <c r="NHW5" s="1185"/>
      <c r="NHX5" s="1185"/>
      <c r="NHY5" s="1185"/>
      <c r="NHZ5" s="1185"/>
      <c r="NIA5" s="1185"/>
      <c r="NIB5" s="1185"/>
      <c r="NIC5" s="1185"/>
      <c r="NID5" s="1185"/>
      <c r="NIE5" s="1185"/>
      <c r="NIF5" s="1185"/>
      <c r="NIG5" s="1185"/>
      <c r="NIH5" s="1185"/>
      <c r="NII5" s="1185"/>
      <c r="NIJ5" s="1185"/>
      <c r="NIK5" s="1185"/>
      <c r="NIL5" s="1185"/>
      <c r="NIM5" s="1185"/>
      <c r="NIN5" s="1185"/>
      <c r="NIO5" s="1185"/>
      <c r="NIP5" s="1185"/>
      <c r="NIQ5" s="1185"/>
      <c r="NIR5" s="1185"/>
      <c r="NIS5" s="1185"/>
      <c r="NIT5" s="1185"/>
      <c r="NIU5" s="1185"/>
      <c r="NIV5" s="1185"/>
      <c r="NIW5" s="1185"/>
      <c r="NIX5" s="1185"/>
      <c r="NIY5" s="1185"/>
      <c r="NIZ5" s="1185"/>
      <c r="NJA5" s="1185"/>
      <c r="NJB5" s="1185"/>
      <c r="NJC5" s="1185"/>
      <c r="NJD5" s="1185"/>
      <c r="NJE5" s="1185"/>
      <c r="NJF5" s="1185"/>
      <c r="NJG5" s="1185"/>
      <c r="NJH5" s="1185"/>
      <c r="NJI5" s="1185"/>
      <c r="NJJ5" s="1185"/>
      <c r="NJK5" s="1185"/>
      <c r="NJL5" s="1185"/>
      <c r="NJM5" s="1185"/>
      <c r="NJN5" s="1185"/>
      <c r="NJO5" s="1185"/>
      <c r="NJP5" s="1185"/>
      <c r="NJQ5" s="1185"/>
      <c r="NJR5" s="1185"/>
      <c r="NJS5" s="1185"/>
      <c r="NJT5" s="1185"/>
      <c r="NJU5" s="1185"/>
      <c r="NJV5" s="1185"/>
      <c r="NJW5" s="1185"/>
      <c r="NJX5" s="1185"/>
      <c r="NJY5" s="1185"/>
      <c r="NJZ5" s="1185"/>
      <c r="NKA5" s="1185"/>
      <c r="NKB5" s="1185"/>
      <c r="NKC5" s="1185"/>
      <c r="NKD5" s="1185"/>
      <c r="NKE5" s="1185"/>
      <c r="NKF5" s="1185"/>
      <c r="NKG5" s="1185"/>
      <c r="NKH5" s="1185"/>
      <c r="NKI5" s="1185"/>
      <c r="NKJ5" s="1185"/>
      <c r="NKK5" s="1185"/>
      <c r="NKL5" s="1185"/>
      <c r="NKM5" s="1185"/>
      <c r="NKN5" s="1185"/>
      <c r="NKO5" s="1185"/>
      <c r="NKP5" s="1185"/>
      <c r="NKQ5" s="1185"/>
      <c r="NKR5" s="1185"/>
      <c r="NKS5" s="1185"/>
      <c r="NKT5" s="1185"/>
      <c r="NKU5" s="1185"/>
      <c r="NKV5" s="1185"/>
      <c r="NKW5" s="1185"/>
      <c r="NKX5" s="1185"/>
      <c r="NKY5" s="1185"/>
      <c r="NKZ5" s="1185"/>
      <c r="NLA5" s="1185"/>
      <c r="NLB5" s="1185"/>
      <c r="NLC5" s="1185"/>
      <c r="NLD5" s="1185"/>
      <c r="NLE5" s="1185"/>
      <c r="NLF5" s="1185"/>
      <c r="NLG5" s="1185"/>
      <c r="NLH5" s="1185"/>
      <c r="NLI5" s="1185"/>
      <c r="NLJ5" s="1185"/>
      <c r="NLK5" s="1185"/>
      <c r="NLL5" s="1185"/>
      <c r="NLM5" s="1185"/>
      <c r="NLN5" s="1185"/>
      <c r="NLO5" s="1185"/>
      <c r="NLP5" s="1185"/>
      <c r="NLQ5" s="1185"/>
      <c r="NLR5" s="1185"/>
      <c r="NLS5" s="1185"/>
      <c r="NLT5" s="1185"/>
      <c r="NLU5" s="1185"/>
      <c r="NLV5" s="1185"/>
      <c r="NLW5" s="1185"/>
      <c r="NLX5" s="1185"/>
      <c r="NLY5" s="1185"/>
      <c r="NLZ5" s="1185"/>
      <c r="NMA5" s="1185"/>
      <c r="NMB5" s="1185"/>
      <c r="NMC5" s="1185"/>
      <c r="NMD5" s="1185"/>
      <c r="NME5" s="1185"/>
      <c r="NMF5" s="1185"/>
      <c r="NMG5" s="1185"/>
      <c r="NMH5" s="1185"/>
      <c r="NMI5" s="1185"/>
      <c r="NMJ5" s="1185"/>
      <c r="NMK5" s="1185"/>
      <c r="NML5" s="1185"/>
      <c r="NMM5" s="1185"/>
      <c r="NMN5" s="1185"/>
      <c r="NMO5" s="1185"/>
      <c r="NMP5" s="1185"/>
      <c r="NMQ5" s="1185"/>
      <c r="NMR5" s="1185"/>
      <c r="NMS5" s="1185"/>
      <c r="NMT5" s="1185"/>
      <c r="NMU5" s="1185"/>
      <c r="NMV5" s="1185"/>
      <c r="NMW5" s="1185"/>
      <c r="NMX5" s="1185"/>
      <c r="NMY5" s="1185"/>
      <c r="NMZ5" s="1185"/>
      <c r="NNA5" s="1185"/>
      <c r="NNB5" s="1185"/>
      <c r="NNC5" s="1185"/>
      <c r="NND5" s="1185"/>
      <c r="NNE5" s="1185"/>
      <c r="NNF5" s="1185"/>
      <c r="NNG5" s="1185"/>
      <c r="NNH5" s="1185"/>
      <c r="NNI5" s="1185"/>
      <c r="NNJ5" s="1185"/>
      <c r="NNK5" s="1185"/>
      <c r="NNL5" s="1185"/>
      <c r="NNM5" s="1185"/>
      <c r="NNN5" s="1185"/>
      <c r="NNO5" s="1185"/>
      <c r="NNP5" s="1185"/>
      <c r="NNQ5" s="1185"/>
      <c r="NNR5" s="1185"/>
      <c r="NNS5" s="1185"/>
      <c r="NNT5" s="1185"/>
      <c r="NNU5" s="1185"/>
      <c r="NNV5" s="1185"/>
      <c r="NNW5" s="1185"/>
      <c r="NNX5" s="1185"/>
      <c r="NNY5" s="1185"/>
      <c r="NNZ5" s="1185"/>
      <c r="NOA5" s="1185"/>
      <c r="NOB5" s="1185"/>
      <c r="NOC5" s="1185"/>
      <c r="NOD5" s="1185"/>
      <c r="NOE5" s="1185"/>
      <c r="NOF5" s="1185"/>
      <c r="NOG5" s="1185"/>
      <c r="NOH5" s="1185"/>
      <c r="NOI5" s="1185"/>
      <c r="NOJ5" s="1185"/>
      <c r="NOK5" s="1185"/>
      <c r="NOL5" s="1185"/>
      <c r="NOM5" s="1185"/>
      <c r="NON5" s="1185"/>
      <c r="NOO5" s="1185"/>
      <c r="NOP5" s="1185"/>
      <c r="NOQ5" s="1185"/>
      <c r="NOR5" s="1185"/>
      <c r="NOS5" s="1185"/>
      <c r="NOT5" s="1185"/>
      <c r="NOU5" s="1185"/>
      <c r="NOV5" s="1185"/>
      <c r="NOW5" s="1185"/>
      <c r="NOX5" s="1185"/>
      <c r="NOY5" s="1185"/>
      <c r="NOZ5" s="1185"/>
      <c r="NPA5" s="1185"/>
      <c r="NPB5" s="1185"/>
      <c r="NPC5" s="1185"/>
      <c r="NPD5" s="1185"/>
      <c r="NPE5" s="1185"/>
      <c r="NPF5" s="1185"/>
      <c r="NPG5" s="1185"/>
      <c r="NPH5" s="1185"/>
      <c r="NPI5" s="1185"/>
      <c r="NPJ5" s="1185"/>
      <c r="NPK5" s="1185"/>
      <c r="NPL5" s="1185"/>
      <c r="NPM5" s="1185"/>
      <c r="NPN5" s="1185"/>
      <c r="NPO5" s="1185"/>
      <c r="NPP5" s="1185"/>
      <c r="NPQ5" s="1185"/>
      <c r="NPR5" s="1185"/>
      <c r="NPS5" s="1185"/>
      <c r="NPT5" s="1185"/>
      <c r="NPU5" s="1185"/>
      <c r="NPV5" s="1185"/>
      <c r="NPW5" s="1185"/>
      <c r="NPX5" s="1185"/>
      <c r="NPY5" s="1185"/>
      <c r="NPZ5" s="1185"/>
      <c r="NQA5" s="1185"/>
      <c r="NQB5" s="1185"/>
      <c r="NQC5" s="1185"/>
      <c r="NQD5" s="1185"/>
      <c r="NQE5" s="1185"/>
      <c r="NQF5" s="1185"/>
      <c r="NQG5" s="1185"/>
      <c r="NQH5" s="1185"/>
      <c r="NQI5" s="1185"/>
      <c r="NQJ5" s="1185"/>
      <c r="NQK5" s="1185"/>
      <c r="NQL5" s="1185"/>
      <c r="NQM5" s="1185"/>
      <c r="NQN5" s="1185"/>
      <c r="NQO5" s="1185"/>
      <c r="NQP5" s="1185"/>
      <c r="NQQ5" s="1185"/>
      <c r="NQR5" s="1185"/>
      <c r="NQS5" s="1185"/>
      <c r="NQT5" s="1185"/>
      <c r="NQU5" s="1185"/>
      <c r="NQV5" s="1185"/>
      <c r="NQW5" s="1185"/>
      <c r="NQX5" s="1185"/>
      <c r="NQY5" s="1185"/>
      <c r="NQZ5" s="1185"/>
      <c r="NRA5" s="1185"/>
      <c r="NRB5" s="1185"/>
      <c r="NRC5" s="1185"/>
      <c r="NRD5" s="1185"/>
      <c r="NRE5" s="1185"/>
      <c r="NRF5" s="1185"/>
      <c r="NRG5" s="1185"/>
      <c r="NRH5" s="1185"/>
      <c r="NRI5" s="1185"/>
      <c r="NRJ5" s="1185"/>
      <c r="NRK5" s="1185"/>
      <c r="NRL5" s="1185"/>
      <c r="NRM5" s="1185"/>
      <c r="NRN5" s="1185"/>
      <c r="NRO5" s="1185"/>
      <c r="NRP5" s="1185"/>
      <c r="NRQ5" s="1185"/>
      <c r="NRR5" s="1185"/>
      <c r="NRS5" s="1185"/>
      <c r="NRT5" s="1185"/>
      <c r="NRU5" s="1185"/>
      <c r="NRV5" s="1185"/>
      <c r="NRW5" s="1185"/>
      <c r="NRX5" s="1185"/>
      <c r="NRY5" s="1185"/>
      <c r="NRZ5" s="1185"/>
      <c r="NSA5" s="1185"/>
      <c r="NSB5" s="1185"/>
      <c r="NSC5" s="1185"/>
      <c r="NSD5" s="1185"/>
      <c r="NSE5" s="1185"/>
      <c r="NSF5" s="1185"/>
      <c r="NSG5" s="1185"/>
      <c r="NSH5" s="1185"/>
      <c r="NSI5" s="1185"/>
      <c r="NSJ5" s="1185"/>
      <c r="NSK5" s="1185"/>
      <c r="NSL5" s="1185"/>
      <c r="NSM5" s="1185"/>
      <c r="NSN5" s="1185"/>
      <c r="NSO5" s="1185"/>
      <c r="NSP5" s="1185"/>
      <c r="NSQ5" s="1185"/>
      <c r="NSR5" s="1185"/>
      <c r="NSS5" s="1185"/>
      <c r="NST5" s="1185"/>
      <c r="NSU5" s="1185"/>
      <c r="NSV5" s="1185"/>
      <c r="NSW5" s="1185"/>
      <c r="NSX5" s="1185"/>
      <c r="NSY5" s="1185"/>
      <c r="NSZ5" s="1185"/>
      <c r="NTA5" s="1185"/>
      <c r="NTB5" s="1185"/>
      <c r="NTC5" s="1185"/>
      <c r="NTD5" s="1185"/>
      <c r="NTE5" s="1185"/>
      <c r="NTF5" s="1185"/>
      <c r="NTG5" s="1185"/>
      <c r="NTH5" s="1185"/>
      <c r="NTI5" s="1185"/>
      <c r="NTJ5" s="1185"/>
      <c r="NTK5" s="1185"/>
      <c r="NTL5" s="1185"/>
      <c r="NTM5" s="1185"/>
      <c r="NTN5" s="1185"/>
      <c r="NTO5" s="1185"/>
      <c r="NTP5" s="1185"/>
      <c r="NTQ5" s="1185"/>
      <c r="NTR5" s="1185"/>
      <c r="NTS5" s="1185"/>
      <c r="NTT5" s="1185"/>
      <c r="NTU5" s="1185"/>
      <c r="NTV5" s="1185"/>
      <c r="NTW5" s="1185"/>
      <c r="NTX5" s="1185"/>
      <c r="NTY5" s="1185"/>
      <c r="NTZ5" s="1185"/>
      <c r="NUA5" s="1185"/>
      <c r="NUB5" s="1185"/>
      <c r="NUC5" s="1185"/>
      <c r="NUD5" s="1185"/>
      <c r="NUE5" s="1185"/>
      <c r="NUF5" s="1185"/>
      <c r="NUG5" s="1185"/>
      <c r="NUH5" s="1185"/>
      <c r="NUI5" s="1185"/>
      <c r="NUJ5" s="1185"/>
      <c r="NUK5" s="1185"/>
      <c r="NUL5" s="1185"/>
      <c r="NUM5" s="1185"/>
      <c r="NUN5" s="1185"/>
      <c r="NUO5" s="1185"/>
      <c r="NUP5" s="1185"/>
      <c r="NUQ5" s="1185"/>
      <c r="NUR5" s="1185"/>
      <c r="NUS5" s="1185"/>
      <c r="NUT5" s="1185"/>
      <c r="NUU5" s="1185"/>
      <c r="NUV5" s="1185"/>
      <c r="NUW5" s="1185"/>
      <c r="NUX5" s="1185"/>
      <c r="NUY5" s="1185"/>
      <c r="NUZ5" s="1185"/>
      <c r="NVA5" s="1185"/>
      <c r="NVB5" s="1185"/>
      <c r="NVC5" s="1185"/>
      <c r="NVD5" s="1185"/>
      <c r="NVE5" s="1185"/>
      <c r="NVF5" s="1185"/>
      <c r="NVG5" s="1185"/>
      <c r="NVH5" s="1185"/>
      <c r="NVI5" s="1185"/>
      <c r="NVJ5" s="1185"/>
      <c r="NVK5" s="1185"/>
      <c r="NVL5" s="1185"/>
      <c r="NVM5" s="1185"/>
      <c r="NVN5" s="1185"/>
      <c r="NVO5" s="1185"/>
      <c r="NVP5" s="1185"/>
      <c r="NVQ5" s="1185"/>
      <c r="NVR5" s="1185"/>
      <c r="NVS5" s="1185"/>
      <c r="NVT5" s="1185"/>
      <c r="NVU5" s="1185"/>
      <c r="NVV5" s="1185"/>
      <c r="NVW5" s="1185"/>
      <c r="NVX5" s="1185"/>
      <c r="NVY5" s="1185"/>
      <c r="NVZ5" s="1185"/>
      <c r="NWA5" s="1185"/>
      <c r="NWB5" s="1185"/>
      <c r="NWC5" s="1185"/>
      <c r="NWD5" s="1185"/>
      <c r="NWE5" s="1185"/>
      <c r="NWF5" s="1185"/>
      <c r="NWG5" s="1185"/>
      <c r="NWH5" s="1185"/>
      <c r="NWI5" s="1185"/>
      <c r="NWJ5" s="1185"/>
      <c r="NWK5" s="1185"/>
      <c r="NWL5" s="1185"/>
      <c r="NWM5" s="1185"/>
      <c r="NWN5" s="1185"/>
      <c r="NWO5" s="1185"/>
      <c r="NWP5" s="1185"/>
      <c r="NWQ5" s="1185"/>
      <c r="NWR5" s="1185"/>
      <c r="NWS5" s="1185"/>
      <c r="NWT5" s="1185"/>
      <c r="NWU5" s="1185"/>
      <c r="NWV5" s="1185"/>
      <c r="NWW5" s="1185"/>
      <c r="NWX5" s="1185"/>
      <c r="NWY5" s="1185"/>
      <c r="NWZ5" s="1185"/>
      <c r="NXA5" s="1185"/>
      <c r="NXB5" s="1185"/>
      <c r="NXC5" s="1185"/>
      <c r="NXD5" s="1185"/>
      <c r="NXE5" s="1185"/>
      <c r="NXF5" s="1185"/>
      <c r="NXG5" s="1185"/>
      <c r="NXH5" s="1185"/>
      <c r="NXI5" s="1185"/>
      <c r="NXJ5" s="1185"/>
      <c r="NXK5" s="1185"/>
      <c r="NXL5" s="1185"/>
      <c r="NXM5" s="1185"/>
      <c r="NXN5" s="1185"/>
      <c r="NXO5" s="1185"/>
      <c r="NXP5" s="1185"/>
      <c r="NXQ5" s="1185"/>
      <c r="NXR5" s="1185"/>
      <c r="NXS5" s="1185"/>
      <c r="NXT5" s="1185"/>
      <c r="NXU5" s="1185"/>
      <c r="NXV5" s="1185"/>
      <c r="NXW5" s="1185"/>
      <c r="NXX5" s="1185"/>
      <c r="NXY5" s="1185"/>
      <c r="NXZ5" s="1185"/>
      <c r="NYA5" s="1185"/>
      <c r="NYB5" s="1185"/>
      <c r="NYC5" s="1185"/>
      <c r="NYD5" s="1185"/>
      <c r="NYE5" s="1185"/>
      <c r="NYF5" s="1185"/>
      <c r="NYG5" s="1185"/>
      <c r="NYH5" s="1185"/>
      <c r="NYI5" s="1185"/>
      <c r="NYJ5" s="1185"/>
      <c r="NYK5" s="1185"/>
      <c r="NYL5" s="1185"/>
      <c r="NYM5" s="1185"/>
      <c r="NYN5" s="1185"/>
      <c r="NYO5" s="1185"/>
      <c r="NYP5" s="1185"/>
      <c r="NYQ5" s="1185"/>
      <c r="NYR5" s="1185"/>
      <c r="NYS5" s="1185"/>
      <c r="NYT5" s="1185"/>
      <c r="NYU5" s="1185"/>
      <c r="NYV5" s="1185"/>
      <c r="NYW5" s="1185"/>
      <c r="NYX5" s="1185"/>
      <c r="NYY5" s="1185"/>
      <c r="NYZ5" s="1185"/>
      <c r="NZA5" s="1185"/>
      <c r="NZB5" s="1185"/>
      <c r="NZC5" s="1185"/>
      <c r="NZD5" s="1185"/>
      <c r="NZE5" s="1185"/>
      <c r="NZF5" s="1185"/>
      <c r="NZG5" s="1185"/>
      <c r="NZH5" s="1185"/>
      <c r="NZI5" s="1185"/>
      <c r="NZJ5" s="1185"/>
      <c r="NZK5" s="1185"/>
      <c r="NZL5" s="1185"/>
      <c r="NZM5" s="1185"/>
      <c r="NZN5" s="1185"/>
      <c r="NZO5" s="1185"/>
      <c r="NZP5" s="1185"/>
      <c r="NZQ5" s="1185"/>
      <c r="NZR5" s="1185"/>
      <c r="NZS5" s="1185"/>
      <c r="NZT5" s="1185"/>
      <c r="NZU5" s="1185"/>
      <c r="NZV5" s="1185"/>
      <c r="NZW5" s="1185"/>
      <c r="NZX5" s="1185"/>
      <c r="NZY5" s="1185"/>
      <c r="NZZ5" s="1185"/>
      <c r="OAA5" s="1185"/>
      <c r="OAB5" s="1185"/>
      <c r="OAC5" s="1185"/>
      <c r="OAD5" s="1185"/>
      <c r="OAE5" s="1185"/>
      <c r="OAF5" s="1185"/>
      <c r="OAG5" s="1185"/>
      <c r="OAH5" s="1185"/>
      <c r="OAI5" s="1185"/>
      <c r="OAJ5" s="1185"/>
      <c r="OAK5" s="1185"/>
      <c r="OAL5" s="1185"/>
      <c r="OAM5" s="1185"/>
      <c r="OAN5" s="1185"/>
      <c r="OAO5" s="1185"/>
      <c r="OAP5" s="1185"/>
      <c r="OAQ5" s="1185"/>
      <c r="OAR5" s="1185"/>
      <c r="OAS5" s="1185"/>
      <c r="OAT5" s="1185"/>
      <c r="OAU5" s="1185"/>
      <c r="OAV5" s="1185"/>
      <c r="OAW5" s="1185"/>
      <c r="OAX5" s="1185"/>
      <c r="OAY5" s="1185"/>
      <c r="OAZ5" s="1185"/>
      <c r="OBA5" s="1185"/>
      <c r="OBB5" s="1185"/>
      <c r="OBC5" s="1185"/>
      <c r="OBD5" s="1185"/>
      <c r="OBE5" s="1185"/>
      <c r="OBF5" s="1185"/>
      <c r="OBG5" s="1185"/>
      <c r="OBH5" s="1185"/>
      <c r="OBI5" s="1185"/>
      <c r="OBJ5" s="1185"/>
      <c r="OBK5" s="1185"/>
      <c r="OBL5" s="1185"/>
      <c r="OBM5" s="1185"/>
      <c r="OBN5" s="1185"/>
      <c r="OBO5" s="1185"/>
      <c r="OBP5" s="1185"/>
      <c r="OBQ5" s="1185"/>
      <c r="OBR5" s="1185"/>
      <c r="OBS5" s="1185"/>
      <c r="OBT5" s="1185"/>
      <c r="OBU5" s="1185"/>
      <c r="OBV5" s="1185"/>
      <c r="OBW5" s="1185"/>
      <c r="OBX5" s="1185"/>
      <c r="OBY5" s="1185"/>
      <c r="OBZ5" s="1185"/>
      <c r="OCA5" s="1185"/>
      <c r="OCB5" s="1185"/>
      <c r="OCC5" s="1185"/>
      <c r="OCD5" s="1185"/>
      <c r="OCE5" s="1185"/>
      <c r="OCF5" s="1185"/>
      <c r="OCG5" s="1185"/>
      <c r="OCH5" s="1185"/>
      <c r="OCI5" s="1185"/>
      <c r="OCJ5" s="1185"/>
      <c r="OCK5" s="1185"/>
      <c r="OCL5" s="1185"/>
      <c r="OCM5" s="1185"/>
      <c r="OCN5" s="1185"/>
      <c r="OCO5" s="1185"/>
      <c r="OCP5" s="1185"/>
      <c r="OCQ5" s="1185"/>
      <c r="OCR5" s="1185"/>
      <c r="OCS5" s="1185"/>
      <c r="OCT5" s="1185"/>
      <c r="OCU5" s="1185"/>
      <c r="OCV5" s="1185"/>
      <c r="OCW5" s="1185"/>
      <c r="OCX5" s="1185"/>
      <c r="OCY5" s="1185"/>
      <c r="OCZ5" s="1185"/>
      <c r="ODA5" s="1185"/>
      <c r="ODB5" s="1185"/>
      <c r="ODC5" s="1185"/>
      <c r="ODD5" s="1185"/>
      <c r="ODE5" s="1185"/>
      <c r="ODF5" s="1185"/>
      <c r="ODG5" s="1185"/>
      <c r="ODH5" s="1185"/>
      <c r="ODI5" s="1185"/>
      <c r="ODJ5" s="1185"/>
      <c r="ODK5" s="1185"/>
      <c r="ODL5" s="1185"/>
      <c r="ODM5" s="1185"/>
      <c r="ODN5" s="1185"/>
      <c r="ODO5" s="1185"/>
      <c r="ODP5" s="1185"/>
      <c r="ODQ5" s="1185"/>
      <c r="ODR5" s="1185"/>
      <c r="ODS5" s="1185"/>
      <c r="ODT5" s="1185"/>
      <c r="ODU5" s="1185"/>
      <c r="ODV5" s="1185"/>
      <c r="ODW5" s="1185"/>
      <c r="ODX5" s="1185"/>
      <c r="ODY5" s="1185"/>
      <c r="ODZ5" s="1185"/>
      <c r="OEA5" s="1185"/>
      <c r="OEB5" s="1185"/>
      <c r="OEC5" s="1185"/>
      <c r="OED5" s="1185"/>
      <c r="OEE5" s="1185"/>
      <c r="OEF5" s="1185"/>
      <c r="OEG5" s="1185"/>
      <c r="OEH5" s="1185"/>
      <c r="OEI5" s="1185"/>
      <c r="OEJ5" s="1185"/>
      <c r="OEK5" s="1185"/>
      <c r="OEL5" s="1185"/>
      <c r="OEM5" s="1185"/>
      <c r="OEN5" s="1185"/>
      <c r="OEO5" s="1185"/>
      <c r="OEP5" s="1185"/>
      <c r="OEQ5" s="1185"/>
      <c r="OER5" s="1185"/>
      <c r="OES5" s="1185"/>
      <c r="OET5" s="1185"/>
      <c r="OEU5" s="1185"/>
      <c r="OEV5" s="1185"/>
      <c r="OEW5" s="1185"/>
      <c r="OEX5" s="1185"/>
      <c r="OEY5" s="1185"/>
      <c r="OEZ5" s="1185"/>
      <c r="OFA5" s="1185"/>
      <c r="OFB5" s="1185"/>
      <c r="OFC5" s="1185"/>
      <c r="OFD5" s="1185"/>
      <c r="OFE5" s="1185"/>
      <c r="OFF5" s="1185"/>
      <c r="OFG5" s="1185"/>
      <c r="OFH5" s="1185"/>
      <c r="OFI5" s="1185"/>
      <c r="OFJ5" s="1185"/>
      <c r="OFK5" s="1185"/>
      <c r="OFL5" s="1185"/>
      <c r="OFM5" s="1185"/>
      <c r="OFN5" s="1185"/>
      <c r="OFO5" s="1185"/>
      <c r="OFP5" s="1185"/>
      <c r="OFQ5" s="1185"/>
      <c r="OFR5" s="1185"/>
      <c r="OFS5" s="1185"/>
      <c r="OFT5" s="1185"/>
      <c r="OFU5" s="1185"/>
      <c r="OFV5" s="1185"/>
      <c r="OFW5" s="1185"/>
      <c r="OFX5" s="1185"/>
      <c r="OFY5" s="1185"/>
      <c r="OFZ5" s="1185"/>
      <c r="OGA5" s="1185"/>
      <c r="OGB5" s="1185"/>
      <c r="OGC5" s="1185"/>
      <c r="OGD5" s="1185"/>
      <c r="OGE5" s="1185"/>
      <c r="OGF5" s="1185"/>
      <c r="OGG5" s="1185"/>
      <c r="OGH5" s="1185"/>
      <c r="OGI5" s="1185"/>
      <c r="OGJ5" s="1185"/>
      <c r="OGK5" s="1185"/>
      <c r="OGL5" s="1185"/>
      <c r="OGM5" s="1185"/>
      <c r="OGN5" s="1185"/>
      <c r="OGO5" s="1185"/>
      <c r="OGP5" s="1185"/>
      <c r="OGQ5" s="1185"/>
      <c r="OGR5" s="1185"/>
      <c r="OGS5" s="1185"/>
      <c r="OGT5" s="1185"/>
      <c r="OGU5" s="1185"/>
      <c r="OGV5" s="1185"/>
      <c r="OGW5" s="1185"/>
      <c r="OGX5" s="1185"/>
      <c r="OGY5" s="1185"/>
      <c r="OGZ5" s="1185"/>
      <c r="OHA5" s="1185"/>
      <c r="OHB5" s="1185"/>
      <c r="OHC5" s="1185"/>
      <c r="OHD5" s="1185"/>
      <c r="OHE5" s="1185"/>
      <c r="OHF5" s="1185"/>
      <c r="OHG5" s="1185"/>
      <c r="OHH5" s="1185"/>
      <c r="OHI5" s="1185"/>
      <c r="OHJ5" s="1185"/>
      <c r="OHK5" s="1185"/>
      <c r="OHL5" s="1185"/>
      <c r="OHM5" s="1185"/>
      <c r="OHN5" s="1185"/>
      <c r="OHO5" s="1185"/>
      <c r="OHP5" s="1185"/>
      <c r="OHQ5" s="1185"/>
      <c r="OHR5" s="1185"/>
      <c r="OHS5" s="1185"/>
      <c r="OHT5" s="1185"/>
      <c r="OHU5" s="1185"/>
      <c r="OHV5" s="1185"/>
      <c r="OHW5" s="1185"/>
      <c r="OHX5" s="1185"/>
      <c r="OHY5" s="1185"/>
      <c r="OHZ5" s="1185"/>
      <c r="OIA5" s="1185"/>
      <c r="OIB5" s="1185"/>
      <c r="OIC5" s="1185"/>
      <c r="OID5" s="1185"/>
      <c r="OIE5" s="1185"/>
      <c r="OIF5" s="1185"/>
      <c r="OIG5" s="1185"/>
      <c r="OIH5" s="1185"/>
      <c r="OII5" s="1185"/>
      <c r="OIJ5" s="1185"/>
      <c r="OIK5" s="1185"/>
      <c r="OIL5" s="1185"/>
      <c r="OIM5" s="1185"/>
      <c r="OIN5" s="1185"/>
      <c r="OIO5" s="1185"/>
      <c r="OIP5" s="1185"/>
      <c r="OIQ5" s="1185"/>
      <c r="OIR5" s="1185"/>
      <c r="OIS5" s="1185"/>
      <c r="OIT5" s="1185"/>
      <c r="OIU5" s="1185"/>
      <c r="OIV5" s="1185"/>
      <c r="OIW5" s="1185"/>
      <c r="OIX5" s="1185"/>
      <c r="OIY5" s="1185"/>
      <c r="OIZ5" s="1185"/>
      <c r="OJA5" s="1185"/>
      <c r="OJB5" s="1185"/>
      <c r="OJC5" s="1185"/>
      <c r="OJD5" s="1185"/>
      <c r="OJE5" s="1185"/>
      <c r="OJF5" s="1185"/>
      <c r="OJG5" s="1185"/>
      <c r="OJH5" s="1185"/>
      <c r="OJI5" s="1185"/>
      <c r="OJJ5" s="1185"/>
      <c r="OJK5" s="1185"/>
      <c r="OJL5" s="1185"/>
      <c r="OJM5" s="1185"/>
      <c r="OJN5" s="1185"/>
      <c r="OJO5" s="1185"/>
      <c r="OJP5" s="1185"/>
      <c r="OJQ5" s="1185"/>
      <c r="OJR5" s="1185"/>
      <c r="OJS5" s="1185"/>
      <c r="OJT5" s="1185"/>
      <c r="OJU5" s="1185"/>
      <c r="OJV5" s="1185"/>
      <c r="OJW5" s="1185"/>
      <c r="OJX5" s="1185"/>
      <c r="OJY5" s="1185"/>
      <c r="OJZ5" s="1185"/>
      <c r="OKA5" s="1185"/>
      <c r="OKB5" s="1185"/>
      <c r="OKC5" s="1185"/>
      <c r="OKD5" s="1185"/>
      <c r="OKE5" s="1185"/>
      <c r="OKF5" s="1185"/>
      <c r="OKG5" s="1185"/>
      <c r="OKH5" s="1185"/>
      <c r="OKI5" s="1185"/>
      <c r="OKJ5" s="1185"/>
      <c r="OKK5" s="1185"/>
      <c r="OKL5" s="1185"/>
      <c r="OKM5" s="1185"/>
      <c r="OKN5" s="1185"/>
      <c r="OKO5" s="1185"/>
      <c r="OKP5" s="1185"/>
      <c r="OKQ5" s="1185"/>
      <c r="OKR5" s="1185"/>
      <c r="OKS5" s="1185"/>
      <c r="OKT5" s="1185"/>
      <c r="OKU5" s="1185"/>
      <c r="OKV5" s="1185"/>
      <c r="OKW5" s="1185"/>
      <c r="OKX5" s="1185"/>
      <c r="OKY5" s="1185"/>
      <c r="OKZ5" s="1185"/>
      <c r="OLA5" s="1185"/>
      <c r="OLB5" s="1185"/>
      <c r="OLC5" s="1185"/>
      <c r="OLD5" s="1185"/>
      <c r="OLE5" s="1185"/>
      <c r="OLF5" s="1185"/>
      <c r="OLG5" s="1185"/>
      <c r="OLH5" s="1185"/>
      <c r="OLI5" s="1185"/>
      <c r="OLJ5" s="1185"/>
      <c r="OLK5" s="1185"/>
      <c r="OLL5" s="1185"/>
      <c r="OLM5" s="1185"/>
      <c r="OLN5" s="1185"/>
      <c r="OLO5" s="1185"/>
      <c r="OLP5" s="1185"/>
      <c r="OLQ5" s="1185"/>
      <c r="OLR5" s="1185"/>
      <c r="OLS5" s="1185"/>
      <c r="OLT5" s="1185"/>
      <c r="OLU5" s="1185"/>
      <c r="OLV5" s="1185"/>
      <c r="OLW5" s="1185"/>
      <c r="OLX5" s="1185"/>
      <c r="OLY5" s="1185"/>
      <c r="OLZ5" s="1185"/>
      <c r="OMA5" s="1185"/>
      <c r="OMB5" s="1185"/>
      <c r="OMC5" s="1185"/>
      <c r="OMD5" s="1185"/>
      <c r="OME5" s="1185"/>
      <c r="OMF5" s="1185"/>
      <c r="OMG5" s="1185"/>
      <c r="OMH5" s="1185"/>
      <c r="OMI5" s="1185"/>
      <c r="OMJ5" s="1185"/>
      <c r="OMK5" s="1185"/>
      <c r="OML5" s="1185"/>
      <c r="OMM5" s="1185"/>
      <c r="OMN5" s="1185"/>
      <c r="OMO5" s="1185"/>
      <c r="OMP5" s="1185"/>
      <c r="OMQ5" s="1185"/>
      <c r="OMR5" s="1185"/>
      <c r="OMS5" s="1185"/>
      <c r="OMT5" s="1185"/>
      <c r="OMU5" s="1185"/>
      <c r="OMV5" s="1185"/>
      <c r="OMW5" s="1185"/>
      <c r="OMX5" s="1185"/>
      <c r="OMY5" s="1185"/>
      <c r="OMZ5" s="1185"/>
      <c r="ONA5" s="1185"/>
      <c r="ONB5" s="1185"/>
      <c r="ONC5" s="1185"/>
      <c r="OND5" s="1185"/>
      <c r="ONE5" s="1185"/>
      <c r="ONF5" s="1185"/>
      <c r="ONG5" s="1185"/>
      <c r="ONH5" s="1185"/>
      <c r="ONI5" s="1185"/>
      <c r="ONJ5" s="1185"/>
      <c r="ONK5" s="1185"/>
      <c r="ONL5" s="1185"/>
      <c r="ONM5" s="1185"/>
      <c r="ONN5" s="1185"/>
      <c r="ONO5" s="1185"/>
      <c r="ONP5" s="1185"/>
      <c r="ONQ5" s="1185"/>
      <c r="ONR5" s="1185"/>
      <c r="ONS5" s="1185"/>
      <c r="ONT5" s="1185"/>
      <c r="ONU5" s="1185"/>
      <c r="ONV5" s="1185"/>
      <c r="ONW5" s="1185"/>
      <c r="ONX5" s="1185"/>
      <c r="ONY5" s="1185"/>
      <c r="ONZ5" s="1185"/>
      <c r="OOA5" s="1185"/>
      <c r="OOB5" s="1185"/>
      <c r="OOC5" s="1185"/>
      <c r="OOD5" s="1185"/>
      <c r="OOE5" s="1185"/>
      <c r="OOF5" s="1185"/>
      <c r="OOG5" s="1185"/>
      <c r="OOH5" s="1185"/>
      <c r="OOI5" s="1185"/>
      <c r="OOJ5" s="1185"/>
      <c r="OOK5" s="1185"/>
      <c r="OOL5" s="1185"/>
      <c r="OOM5" s="1185"/>
      <c r="OON5" s="1185"/>
      <c r="OOO5" s="1185"/>
      <c r="OOP5" s="1185"/>
      <c r="OOQ5" s="1185"/>
      <c r="OOR5" s="1185"/>
      <c r="OOS5" s="1185"/>
      <c r="OOT5" s="1185"/>
      <c r="OOU5" s="1185"/>
      <c r="OOV5" s="1185"/>
      <c r="OOW5" s="1185"/>
      <c r="OOX5" s="1185"/>
      <c r="OOY5" s="1185"/>
      <c r="OOZ5" s="1185"/>
      <c r="OPA5" s="1185"/>
      <c r="OPB5" s="1185"/>
      <c r="OPC5" s="1185"/>
      <c r="OPD5" s="1185"/>
      <c r="OPE5" s="1185"/>
      <c r="OPF5" s="1185"/>
      <c r="OPG5" s="1185"/>
      <c r="OPH5" s="1185"/>
      <c r="OPI5" s="1185"/>
      <c r="OPJ5" s="1185"/>
      <c r="OPK5" s="1185"/>
      <c r="OPL5" s="1185"/>
      <c r="OPM5" s="1185"/>
      <c r="OPN5" s="1185"/>
      <c r="OPO5" s="1185"/>
      <c r="OPP5" s="1185"/>
      <c r="OPQ5" s="1185"/>
      <c r="OPR5" s="1185"/>
      <c r="OPS5" s="1185"/>
      <c r="OPT5" s="1185"/>
      <c r="OPU5" s="1185"/>
      <c r="OPV5" s="1185"/>
      <c r="OPW5" s="1185"/>
      <c r="OPX5" s="1185"/>
      <c r="OPY5" s="1185"/>
      <c r="OPZ5" s="1185"/>
      <c r="OQA5" s="1185"/>
      <c r="OQB5" s="1185"/>
      <c r="OQC5" s="1185"/>
      <c r="OQD5" s="1185"/>
      <c r="OQE5" s="1185"/>
      <c r="OQF5" s="1185"/>
      <c r="OQG5" s="1185"/>
      <c r="OQH5" s="1185"/>
      <c r="OQI5" s="1185"/>
      <c r="OQJ5" s="1185"/>
      <c r="OQK5" s="1185"/>
      <c r="OQL5" s="1185"/>
      <c r="OQM5" s="1185"/>
      <c r="OQN5" s="1185"/>
      <c r="OQO5" s="1185"/>
      <c r="OQP5" s="1185"/>
      <c r="OQQ5" s="1185"/>
      <c r="OQR5" s="1185"/>
      <c r="OQS5" s="1185"/>
      <c r="OQT5" s="1185"/>
      <c r="OQU5" s="1185"/>
      <c r="OQV5" s="1185"/>
      <c r="OQW5" s="1185"/>
      <c r="OQX5" s="1185"/>
      <c r="OQY5" s="1185"/>
      <c r="OQZ5" s="1185"/>
      <c r="ORA5" s="1185"/>
      <c r="ORB5" s="1185"/>
      <c r="ORC5" s="1185"/>
      <c r="ORD5" s="1185"/>
      <c r="ORE5" s="1185"/>
      <c r="ORF5" s="1185"/>
      <c r="ORG5" s="1185"/>
      <c r="ORH5" s="1185"/>
      <c r="ORI5" s="1185"/>
      <c r="ORJ5" s="1185"/>
      <c r="ORK5" s="1185"/>
      <c r="ORL5" s="1185"/>
      <c r="ORM5" s="1185"/>
      <c r="ORN5" s="1185"/>
      <c r="ORO5" s="1185"/>
      <c r="ORP5" s="1185"/>
      <c r="ORQ5" s="1185"/>
      <c r="ORR5" s="1185"/>
      <c r="ORS5" s="1185"/>
      <c r="ORT5" s="1185"/>
      <c r="ORU5" s="1185"/>
      <c r="ORV5" s="1185"/>
      <c r="ORW5" s="1185"/>
      <c r="ORX5" s="1185"/>
      <c r="ORY5" s="1185"/>
      <c r="ORZ5" s="1185"/>
      <c r="OSA5" s="1185"/>
      <c r="OSB5" s="1185"/>
      <c r="OSC5" s="1185"/>
      <c r="OSD5" s="1185"/>
      <c r="OSE5" s="1185"/>
      <c r="OSF5" s="1185"/>
      <c r="OSG5" s="1185"/>
      <c r="OSH5" s="1185"/>
      <c r="OSI5" s="1185"/>
      <c r="OSJ5" s="1185"/>
      <c r="OSK5" s="1185"/>
      <c r="OSL5" s="1185"/>
      <c r="OSM5" s="1185"/>
      <c r="OSN5" s="1185"/>
      <c r="OSO5" s="1185"/>
      <c r="OSP5" s="1185"/>
      <c r="OSQ5" s="1185"/>
      <c r="OSR5" s="1185"/>
      <c r="OSS5" s="1185"/>
      <c r="OST5" s="1185"/>
      <c r="OSU5" s="1185"/>
      <c r="OSV5" s="1185"/>
      <c r="OSW5" s="1185"/>
      <c r="OSX5" s="1185"/>
      <c r="OSY5" s="1185"/>
      <c r="OSZ5" s="1185"/>
      <c r="OTA5" s="1185"/>
      <c r="OTB5" s="1185"/>
      <c r="OTC5" s="1185"/>
      <c r="OTD5" s="1185"/>
      <c r="OTE5" s="1185"/>
      <c r="OTF5" s="1185"/>
      <c r="OTG5" s="1185"/>
      <c r="OTH5" s="1185"/>
      <c r="OTI5" s="1185"/>
      <c r="OTJ5" s="1185"/>
      <c r="OTK5" s="1185"/>
      <c r="OTL5" s="1185"/>
      <c r="OTM5" s="1185"/>
      <c r="OTN5" s="1185"/>
      <c r="OTO5" s="1185"/>
      <c r="OTP5" s="1185"/>
      <c r="OTQ5" s="1185"/>
      <c r="OTR5" s="1185"/>
      <c r="OTS5" s="1185"/>
      <c r="OTT5" s="1185"/>
      <c r="OTU5" s="1185"/>
      <c r="OTV5" s="1185"/>
      <c r="OTW5" s="1185"/>
      <c r="OTX5" s="1185"/>
      <c r="OTY5" s="1185"/>
      <c r="OTZ5" s="1185"/>
      <c r="OUA5" s="1185"/>
      <c r="OUB5" s="1185"/>
      <c r="OUC5" s="1185"/>
      <c r="OUD5" s="1185"/>
      <c r="OUE5" s="1185"/>
      <c r="OUF5" s="1185"/>
      <c r="OUG5" s="1185"/>
      <c r="OUH5" s="1185"/>
      <c r="OUI5" s="1185"/>
      <c r="OUJ5" s="1185"/>
      <c r="OUK5" s="1185"/>
      <c r="OUL5" s="1185"/>
      <c r="OUM5" s="1185"/>
      <c r="OUN5" s="1185"/>
      <c r="OUO5" s="1185"/>
      <c r="OUP5" s="1185"/>
      <c r="OUQ5" s="1185"/>
      <c r="OUR5" s="1185"/>
      <c r="OUS5" s="1185"/>
      <c r="OUT5" s="1185"/>
      <c r="OUU5" s="1185"/>
      <c r="OUV5" s="1185"/>
      <c r="OUW5" s="1185"/>
      <c r="OUX5" s="1185"/>
      <c r="OUY5" s="1185"/>
      <c r="OUZ5" s="1185"/>
      <c r="OVA5" s="1185"/>
      <c r="OVB5" s="1185"/>
      <c r="OVC5" s="1185"/>
      <c r="OVD5" s="1185"/>
      <c r="OVE5" s="1185"/>
      <c r="OVF5" s="1185"/>
      <c r="OVG5" s="1185"/>
      <c r="OVH5" s="1185"/>
      <c r="OVI5" s="1185"/>
      <c r="OVJ5" s="1185"/>
      <c r="OVK5" s="1185"/>
      <c r="OVL5" s="1185"/>
      <c r="OVM5" s="1185"/>
      <c r="OVN5" s="1185"/>
      <c r="OVO5" s="1185"/>
      <c r="OVP5" s="1185"/>
      <c r="OVQ5" s="1185"/>
      <c r="OVR5" s="1185"/>
      <c r="OVS5" s="1185"/>
      <c r="OVT5" s="1185"/>
      <c r="OVU5" s="1185"/>
      <c r="OVV5" s="1185"/>
      <c r="OVW5" s="1185"/>
      <c r="OVX5" s="1185"/>
      <c r="OVY5" s="1185"/>
      <c r="OVZ5" s="1185"/>
      <c r="OWA5" s="1185"/>
      <c r="OWB5" s="1185"/>
      <c r="OWC5" s="1185"/>
      <c r="OWD5" s="1185"/>
      <c r="OWE5" s="1185"/>
      <c r="OWF5" s="1185"/>
      <c r="OWG5" s="1185"/>
      <c r="OWH5" s="1185"/>
      <c r="OWI5" s="1185"/>
      <c r="OWJ5" s="1185"/>
      <c r="OWK5" s="1185"/>
      <c r="OWL5" s="1185"/>
      <c r="OWM5" s="1185"/>
      <c r="OWN5" s="1185"/>
      <c r="OWO5" s="1185"/>
      <c r="OWP5" s="1185"/>
      <c r="OWQ5" s="1185"/>
      <c r="OWR5" s="1185"/>
      <c r="OWS5" s="1185"/>
      <c r="OWT5" s="1185"/>
      <c r="OWU5" s="1185"/>
      <c r="OWV5" s="1185"/>
      <c r="OWW5" s="1185"/>
      <c r="OWX5" s="1185"/>
      <c r="OWY5" s="1185"/>
      <c r="OWZ5" s="1185"/>
      <c r="OXA5" s="1185"/>
      <c r="OXB5" s="1185"/>
      <c r="OXC5" s="1185"/>
      <c r="OXD5" s="1185"/>
      <c r="OXE5" s="1185"/>
      <c r="OXF5" s="1185"/>
      <c r="OXG5" s="1185"/>
      <c r="OXH5" s="1185"/>
      <c r="OXI5" s="1185"/>
      <c r="OXJ5" s="1185"/>
      <c r="OXK5" s="1185"/>
      <c r="OXL5" s="1185"/>
      <c r="OXM5" s="1185"/>
      <c r="OXN5" s="1185"/>
      <c r="OXO5" s="1185"/>
      <c r="OXP5" s="1185"/>
      <c r="OXQ5" s="1185"/>
      <c r="OXR5" s="1185"/>
      <c r="OXS5" s="1185"/>
      <c r="OXT5" s="1185"/>
      <c r="OXU5" s="1185"/>
      <c r="OXV5" s="1185"/>
      <c r="OXW5" s="1185"/>
      <c r="OXX5" s="1185"/>
      <c r="OXY5" s="1185"/>
      <c r="OXZ5" s="1185"/>
      <c r="OYA5" s="1185"/>
      <c r="OYB5" s="1185"/>
      <c r="OYC5" s="1185"/>
      <c r="OYD5" s="1185"/>
      <c r="OYE5" s="1185"/>
      <c r="OYF5" s="1185"/>
      <c r="OYG5" s="1185"/>
      <c r="OYH5" s="1185"/>
      <c r="OYI5" s="1185"/>
      <c r="OYJ5" s="1185"/>
      <c r="OYK5" s="1185"/>
      <c r="OYL5" s="1185"/>
      <c r="OYM5" s="1185"/>
      <c r="OYN5" s="1185"/>
      <c r="OYO5" s="1185"/>
      <c r="OYP5" s="1185"/>
      <c r="OYQ5" s="1185"/>
      <c r="OYR5" s="1185"/>
      <c r="OYS5" s="1185"/>
      <c r="OYT5" s="1185"/>
      <c r="OYU5" s="1185"/>
      <c r="OYV5" s="1185"/>
      <c r="OYW5" s="1185"/>
      <c r="OYX5" s="1185"/>
      <c r="OYY5" s="1185"/>
      <c r="OYZ5" s="1185"/>
      <c r="OZA5" s="1185"/>
      <c r="OZB5" s="1185"/>
      <c r="OZC5" s="1185"/>
      <c r="OZD5" s="1185"/>
      <c r="OZE5" s="1185"/>
      <c r="OZF5" s="1185"/>
      <c r="OZG5" s="1185"/>
      <c r="OZH5" s="1185"/>
      <c r="OZI5" s="1185"/>
      <c r="OZJ5" s="1185"/>
      <c r="OZK5" s="1185"/>
      <c r="OZL5" s="1185"/>
      <c r="OZM5" s="1185"/>
      <c r="OZN5" s="1185"/>
      <c r="OZO5" s="1185"/>
      <c r="OZP5" s="1185"/>
      <c r="OZQ5" s="1185"/>
      <c r="OZR5" s="1185"/>
      <c r="OZS5" s="1185"/>
      <c r="OZT5" s="1185"/>
      <c r="OZU5" s="1185"/>
      <c r="OZV5" s="1185"/>
      <c r="OZW5" s="1185"/>
      <c r="OZX5" s="1185"/>
      <c r="OZY5" s="1185"/>
      <c r="OZZ5" s="1185"/>
      <c r="PAA5" s="1185"/>
      <c r="PAB5" s="1185"/>
      <c r="PAC5" s="1185"/>
      <c r="PAD5" s="1185"/>
      <c r="PAE5" s="1185"/>
      <c r="PAF5" s="1185"/>
      <c r="PAG5" s="1185"/>
      <c r="PAH5" s="1185"/>
      <c r="PAI5" s="1185"/>
      <c r="PAJ5" s="1185"/>
      <c r="PAK5" s="1185"/>
      <c r="PAL5" s="1185"/>
      <c r="PAM5" s="1185"/>
      <c r="PAN5" s="1185"/>
      <c r="PAO5" s="1185"/>
      <c r="PAP5" s="1185"/>
      <c r="PAQ5" s="1185"/>
      <c r="PAR5" s="1185"/>
      <c r="PAS5" s="1185"/>
      <c r="PAT5" s="1185"/>
      <c r="PAU5" s="1185"/>
      <c r="PAV5" s="1185"/>
      <c r="PAW5" s="1185"/>
      <c r="PAX5" s="1185"/>
      <c r="PAY5" s="1185"/>
      <c r="PAZ5" s="1185"/>
      <c r="PBA5" s="1185"/>
      <c r="PBB5" s="1185"/>
      <c r="PBC5" s="1185"/>
      <c r="PBD5" s="1185"/>
      <c r="PBE5" s="1185"/>
      <c r="PBF5" s="1185"/>
      <c r="PBG5" s="1185"/>
      <c r="PBH5" s="1185"/>
      <c r="PBI5" s="1185"/>
      <c r="PBJ5" s="1185"/>
      <c r="PBK5" s="1185"/>
      <c r="PBL5" s="1185"/>
      <c r="PBM5" s="1185"/>
      <c r="PBN5" s="1185"/>
      <c r="PBO5" s="1185"/>
      <c r="PBP5" s="1185"/>
      <c r="PBQ5" s="1185"/>
      <c r="PBR5" s="1185"/>
      <c r="PBS5" s="1185"/>
      <c r="PBT5" s="1185"/>
      <c r="PBU5" s="1185"/>
      <c r="PBV5" s="1185"/>
      <c r="PBW5" s="1185"/>
      <c r="PBX5" s="1185"/>
      <c r="PBY5" s="1185"/>
      <c r="PBZ5" s="1185"/>
      <c r="PCA5" s="1185"/>
      <c r="PCB5" s="1185"/>
      <c r="PCC5" s="1185"/>
      <c r="PCD5" s="1185"/>
      <c r="PCE5" s="1185"/>
      <c r="PCF5" s="1185"/>
      <c r="PCG5" s="1185"/>
      <c r="PCH5" s="1185"/>
      <c r="PCI5" s="1185"/>
      <c r="PCJ5" s="1185"/>
      <c r="PCK5" s="1185"/>
      <c r="PCL5" s="1185"/>
      <c r="PCM5" s="1185"/>
      <c r="PCN5" s="1185"/>
      <c r="PCO5" s="1185"/>
      <c r="PCP5" s="1185"/>
      <c r="PCQ5" s="1185"/>
      <c r="PCR5" s="1185"/>
      <c r="PCS5" s="1185"/>
      <c r="PCT5" s="1185"/>
      <c r="PCU5" s="1185"/>
      <c r="PCV5" s="1185"/>
      <c r="PCW5" s="1185"/>
      <c r="PCX5" s="1185"/>
      <c r="PCY5" s="1185"/>
      <c r="PCZ5" s="1185"/>
      <c r="PDA5" s="1185"/>
      <c r="PDB5" s="1185"/>
      <c r="PDC5" s="1185"/>
      <c r="PDD5" s="1185"/>
      <c r="PDE5" s="1185"/>
      <c r="PDF5" s="1185"/>
      <c r="PDG5" s="1185"/>
      <c r="PDH5" s="1185"/>
      <c r="PDI5" s="1185"/>
      <c r="PDJ5" s="1185"/>
      <c r="PDK5" s="1185"/>
      <c r="PDL5" s="1185"/>
      <c r="PDM5" s="1185"/>
      <c r="PDN5" s="1185"/>
      <c r="PDO5" s="1185"/>
      <c r="PDP5" s="1185"/>
      <c r="PDQ5" s="1185"/>
      <c r="PDR5" s="1185"/>
      <c r="PDS5" s="1185"/>
      <c r="PDT5" s="1185"/>
      <c r="PDU5" s="1185"/>
      <c r="PDV5" s="1185"/>
      <c r="PDW5" s="1185"/>
      <c r="PDX5" s="1185"/>
      <c r="PDY5" s="1185"/>
      <c r="PDZ5" s="1185"/>
      <c r="PEA5" s="1185"/>
      <c r="PEB5" s="1185"/>
      <c r="PEC5" s="1185"/>
      <c r="PED5" s="1185"/>
      <c r="PEE5" s="1185"/>
      <c r="PEF5" s="1185"/>
      <c r="PEG5" s="1185"/>
      <c r="PEH5" s="1185"/>
      <c r="PEI5" s="1185"/>
      <c r="PEJ5" s="1185"/>
      <c r="PEK5" s="1185"/>
      <c r="PEL5" s="1185"/>
      <c r="PEM5" s="1185"/>
      <c r="PEN5" s="1185"/>
      <c r="PEO5" s="1185"/>
      <c r="PEP5" s="1185"/>
      <c r="PEQ5" s="1185"/>
      <c r="PER5" s="1185"/>
      <c r="PES5" s="1185"/>
      <c r="PET5" s="1185"/>
      <c r="PEU5" s="1185"/>
      <c r="PEV5" s="1185"/>
      <c r="PEW5" s="1185"/>
      <c r="PEX5" s="1185"/>
      <c r="PEY5" s="1185"/>
      <c r="PEZ5" s="1185"/>
      <c r="PFA5" s="1185"/>
      <c r="PFB5" s="1185"/>
      <c r="PFC5" s="1185"/>
      <c r="PFD5" s="1185"/>
      <c r="PFE5" s="1185"/>
      <c r="PFF5" s="1185"/>
      <c r="PFG5" s="1185"/>
      <c r="PFH5" s="1185"/>
      <c r="PFI5" s="1185"/>
      <c r="PFJ5" s="1185"/>
      <c r="PFK5" s="1185"/>
      <c r="PFL5" s="1185"/>
      <c r="PFM5" s="1185"/>
      <c r="PFN5" s="1185"/>
      <c r="PFO5" s="1185"/>
      <c r="PFP5" s="1185"/>
      <c r="PFQ5" s="1185"/>
      <c r="PFR5" s="1185"/>
      <c r="PFS5" s="1185"/>
      <c r="PFT5" s="1185"/>
      <c r="PFU5" s="1185"/>
      <c r="PFV5" s="1185"/>
      <c r="PFW5" s="1185"/>
      <c r="PFX5" s="1185"/>
      <c r="PFY5" s="1185"/>
      <c r="PFZ5" s="1185"/>
      <c r="PGA5" s="1185"/>
      <c r="PGB5" s="1185"/>
      <c r="PGC5" s="1185"/>
      <c r="PGD5" s="1185"/>
      <c r="PGE5" s="1185"/>
      <c r="PGF5" s="1185"/>
      <c r="PGG5" s="1185"/>
      <c r="PGH5" s="1185"/>
      <c r="PGI5" s="1185"/>
      <c r="PGJ5" s="1185"/>
      <c r="PGK5" s="1185"/>
      <c r="PGL5" s="1185"/>
      <c r="PGM5" s="1185"/>
      <c r="PGN5" s="1185"/>
      <c r="PGO5" s="1185"/>
      <c r="PGP5" s="1185"/>
      <c r="PGQ5" s="1185"/>
      <c r="PGR5" s="1185"/>
      <c r="PGS5" s="1185"/>
      <c r="PGT5" s="1185"/>
      <c r="PGU5" s="1185"/>
      <c r="PGV5" s="1185"/>
      <c r="PGW5" s="1185"/>
      <c r="PGX5" s="1185"/>
      <c r="PGY5" s="1185"/>
      <c r="PGZ5" s="1185"/>
      <c r="PHA5" s="1185"/>
      <c r="PHB5" s="1185"/>
      <c r="PHC5" s="1185"/>
      <c r="PHD5" s="1185"/>
      <c r="PHE5" s="1185"/>
      <c r="PHF5" s="1185"/>
      <c r="PHG5" s="1185"/>
      <c r="PHH5" s="1185"/>
      <c r="PHI5" s="1185"/>
      <c r="PHJ5" s="1185"/>
      <c r="PHK5" s="1185"/>
      <c r="PHL5" s="1185"/>
      <c r="PHM5" s="1185"/>
      <c r="PHN5" s="1185"/>
      <c r="PHO5" s="1185"/>
      <c r="PHP5" s="1185"/>
      <c r="PHQ5" s="1185"/>
      <c r="PHR5" s="1185"/>
      <c r="PHS5" s="1185"/>
      <c r="PHT5" s="1185"/>
      <c r="PHU5" s="1185"/>
      <c r="PHV5" s="1185"/>
      <c r="PHW5" s="1185"/>
      <c r="PHX5" s="1185"/>
      <c r="PHY5" s="1185"/>
      <c r="PHZ5" s="1185"/>
      <c r="PIA5" s="1185"/>
      <c r="PIB5" s="1185"/>
      <c r="PIC5" s="1185"/>
      <c r="PID5" s="1185"/>
      <c r="PIE5" s="1185"/>
      <c r="PIF5" s="1185"/>
      <c r="PIG5" s="1185"/>
      <c r="PIH5" s="1185"/>
      <c r="PII5" s="1185"/>
      <c r="PIJ5" s="1185"/>
      <c r="PIK5" s="1185"/>
      <c r="PIL5" s="1185"/>
      <c r="PIM5" s="1185"/>
      <c r="PIN5" s="1185"/>
      <c r="PIO5" s="1185"/>
      <c r="PIP5" s="1185"/>
      <c r="PIQ5" s="1185"/>
      <c r="PIR5" s="1185"/>
      <c r="PIS5" s="1185"/>
      <c r="PIT5" s="1185"/>
      <c r="PIU5" s="1185"/>
      <c r="PIV5" s="1185"/>
      <c r="PIW5" s="1185"/>
      <c r="PIX5" s="1185"/>
      <c r="PIY5" s="1185"/>
      <c r="PIZ5" s="1185"/>
      <c r="PJA5" s="1185"/>
      <c r="PJB5" s="1185"/>
      <c r="PJC5" s="1185"/>
      <c r="PJD5" s="1185"/>
      <c r="PJE5" s="1185"/>
      <c r="PJF5" s="1185"/>
      <c r="PJG5" s="1185"/>
      <c r="PJH5" s="1185"/>
      <c r="PJI5" s="1185"/>
      <c r="PJJ5" s="1185"/>
      <c r="PJK5" s="1185"/>
      <c r="PJL5" s="1185"/>
      <c r="PJM5" s="1185"/>
      <c r="PJN5" s="1185"/>
      <c r="PJO5" s="1185"/>
      <c r="PJP5" s="1185"/>
      <c r="PJQ5" s="1185"/>
      <c r="PJR5" s="1185"/>
      <c r="PJS5" s="1185"/>
      <c r="PJT5" s="1185"/>
      <c r="PJU5" s="1185"/>
      <c r="PJV5" s="1185"/>
      <c r="PJW5" s="1185"/>
      <c r="PJX5" s="1185"/>
      <c r="PJY5" s="1185"/>
      <c r="PJZ5" s="1185"/>
      <c r="PKA5" s="1185"/>
      <c r="PKB5" s="1185"/>
      <c r="PKC5" s="1185"/>
      <c r="PKD5" s="1185"/>
      <c r="PKE5" s="1185"/>
      <c r="PKF5" s="1185"/>
      <c r="PKG5" s="1185"/>
      <c r="PKH5" s="1185"/>
      <c r="PKI5" s="1185"/>
      <c r="PKJ5" s="1185"/>
      <c r="PKK5" s="1185"/>
      <c r="PKL5" s="1185"/>
      <c r="PKM5" s="1185"/>
      <c r="PKN5" s="1185"/>
      <c r="PKO5" s="1185"/>
      <c r="PKP5" s="1185"/>
      <c r="PKQ5" s="1185"/>
      <c r="PKR5" s="1185"/>
      <c r="PKS5" s="1185"/>
      <c r="PKT5" s="1185"/>
      <c r="PKU5" s="1185"/>
      <c r="PKV5" s="1185"/>
      <c r="PKW5" s="1185"/>
      <c r="PKX5" s="1185"/>
      <c r="PKY5" s="1185"/>
      <c r="PKZ5" s="1185"/>
      <c r="PLA5" s="1185"/>
      <c r="PLB5" s="1185"/>
      <c r="PLC5" s="1185"/>
      <c r="PLD5" s="1185"/>
      <c r="PLE5" s="1185"/>
      <c r="PLF5" s="1185"/>
      <c r="PLG5" s="1185"/>
      <c r="PLH5" s="1185"/>
      <c r="PLI5" s="1185"/>
      <c r="PLJ5" s="1185"/>
      <c r="PLK5" s="1185"/>
      <c r="PLL5" s="1185"/>
      <c r="PLM5" s="1185"/>
      <c r="PLN5" s="1185"/>
      <c r="PLO5" s="1185"/>
      <c r="PLP5" s="1185"/>
      <c r="PLQ5" s="1185"/>
      <c r="PLR5" s="1185"/>
      <c r="PLS5" s="1185"/>
      <c r="PLT5" s="1185"/>
      <c r="PLU5" s="1185"/>
      <c r="PLV5" s="1185"/>
      <c r="PLW5" s="1185"/>
      <c r="PLX5" s="1185"/>
      <c r="PLY5" s="1185"/>
      <c r="PLZ5" s="1185"/>
      <c r="PMA5" s="1185"/>
      <c r="PMB5" s="1185"/>
      <c r="PMC5" s="1185"/>
      <c r="PMD5" s="1185"/>
      <c r="PME5" s="1185"/>
      <c r="PMF5" s="1185"/>
      <c r="PMG5" s="1185"/>
      <c r="PMH5" s="1185"/>
      <c r="PMI5" s="1185"/>
      <c r="PMJ5" s="1185"/>
      <c r="PMK5" s="1185"/>
      <c r="PML5" s="1185"/>
      <c r="PMM5" s="1185"/>
      <c r="PMN5" s="1185"/>
      <c r="PMO5" s="1185"/>
      <c r="PMP5" s="1185"/>
      <c r="PMQ5" s="1185"/>
      <c r="PMR5" s="1185"/>
      <c r="PMS5" s="1185"/>
      <c r="PMT5" s="1185"/>
      <c r="PMU5" s="1185"/>
      <c r="PMV5" s="1185"/>
      <c r="PMW5" s="1185"/>
      <c r="PMX5" s="1185"/>
      <c r="PMY5" s="1185"/>
      <c r="PMZ5" s="1185"/>
      <c r="PNA5" s="1185"/>
      <c r="PNB5" s="1185"/>
      <c r="PNC5" s="1185"/>
      <c r="PND5" s="1185"/>
      <c r="PNE5" s="1185"/>
      <c r="PNF5" s="1185"/>
      <c r="PNG5" s="1185"/>
      <c r="PNH5" s="1185"/>
      <c r="PNI5" s="1185"/>
      <c r="PNJ5" s="1185"/>
      <c r="PNK5" s="1185"/>
      <c r="PNL5" s="1185"/>
      <c r="PNM5" s="1185"/>
      <c r="PNN5" s="1185"/>
      <c r="PNO5" s="1185"/>
      <c r="PNP5" s="1185"/>
      <c r="PNQ5" s="1185"/>
      <c r="PNR5" s="1185"/>
      <c r="PNS5" s="1185"/>
      <c r="PNT5" s="1185"/>
      <c r="PNU5" s="1185"/>
      <c r="PNV5" s="1185"/>
      <c r="PNW5" s="1185"/>
      <c r="PNX5" s="1185"/>
      <c r="PNY5" s="1185"/>
      <c r="PNZ5" s="1185"/>
      <c r="POA5" s="1185"/>
      <c r="POB5" s="1185"/>
      <c r="POC5" s="1185"/>
      <c r="POD5" s="1185"/>
      <c r="POE5" s="1185"/>
      <c r="POF5" s="1185"/>
      <c r="POG5" s="1185"/>
      <c r="POH5" s="1185"/>
      <c r="POI5" s="1185"/>
      <c r="POJ5" s="1185"/>
      <c r="POK5" s="1185"/>
      <c r="POL5" s="1185"/>
      <c r="POM5" s="1185"/>
      <c r="PON5" s="1185"/>
      <c r="POO5" s="1185"/>
      <c r="POP5" s="1185"/>
      <c r="POQ5" s="1185"/>
      <c r="POR5" s="1185"/>
      <c r="POS5" s="1185"/>
      <c r="POT5" s="1185"/>
      <c r="POU5" s="1185"/>
      <c r="POV5" s="1185"/>
      <c r="POW5" s="1185"/>
      <c r="POX5" s="1185"/>
      <c r="POY5" s="1185"/>
      <c r="POZ5" s="1185"/>
      <c r="PPA5" s="1185"/>
      <c r="PPB5" s="1185"/>
      <c r="PPC5" s="1185"/>
      <c r="PPD5" s="1185"/>
      <c r="PPE5" s="1185"/>
      <c r="PPF5" s="1185"/>
      <c r="PPG5" s="1185"/>
      <c r="PPH5" s="1185"/>
      <c r="PPI5" s="1185"/>
      <c r="PPJ5" s="1185"/>
      <c r="PPK5" s="1185"/>
      <c r="PPL5" s="1185"/>
      <c r="PPM5" s="1185"/>
      <c r="PPN5" s="1185"/>
      <c r="PPO5" s="1185"/>
      <c r="PPP5" s="1185"/>
      <c r="PPQ5" s="1185"/>
      <c r="PPR5" s="1185"/>
      <c r="PPS5" s="1185"/>
      <c r="PPT5" s="1185"/>
      <c r="PPU5" s="1185"/>
      <c r="PPV5" s="1185"/>
      <c r="PPW5" s="1185"/>
      <c r="PPX5" s="1185"/>
      <c r="PPY5" s="1185"/>
      <c r="PPZ5" s="1185"/>
      <c r="PQA5" s="1185"/>
      <c r="PQB5" s="1185"/>
      <c r="PQC5" s="1185"/>
      <c r="PQD5" s="1185"/>
      <c r="PQE5" s="1185"/>
      <c r="PQF5" s="1185"/>
      <c r="PQG5" s="1185"/>
      <c r="PQH5" s="1185"/>
      <c r="PQI5" s="1185"/>
      <c r="PQJ5" s="1185"/>
      <c r="PQK5" s="1185"/>
      <c r="PQL5" s="1185"/>
      <c r="PQM5" s="1185"/>
      <c r="PQN5" s="1185"/>
      <c r="PQO5" s="1185"/>
      <c r="PQP5" s="1185"/>
      <c r="PQQ5" s="1185"/>
      <c r="PQR5" s="1185"/>
      <c r="PQS5" s="1185"/>
      <c r="PQT5" s="1185"/>
      <c r="PQU5" s="1185"/>
      <c r="PQV5" s="1185"/>
      <c r="PQW5" s="1185"/>
      <c r="PQX5" s="1185"/>
      <c r="PQY5" s="1185"/>
      <c r="PQZ5" s="1185"/>
      <c r="PRA5" s="1185"/>
      <c r="PRB5" s="1185"/>
      <c r="PRC5" s="1185"/>
      <c r="PRD5" s="1185"/>
      <c r="PRE5" s="1185"/>
      <c r="PRF5" s="1185"/>
      <c r="PRG5" s="1185"/>
      <c r="PRH5" s="1185"/>
      <c r="PRI5" s="1185"/>
      <c r="PRJ5" s="1185"/>
      <c r="PRK5" s="1185"/>
      <c r="PRL5" s="1185"/>
      <c r="PRM5" s="1185"/>
      <c r="PRN5" s="1185"/>
      <c r="PRO5" s="1185"/>
      <c r="PRP5" s="1185"/>
      <c r="PRQ5" s="1185"/>
      <c r="PRR5" s="1185"/>
      <c r="PRS5" s="1185"/>
      <c r="PRT5" s="1185"/>
      <c r="PRU5" s="1185"/>
      <c r="PRV5" s="1185"/>
      <c r="PRW5" s="1185"/>
      <c r="PRX5" s="1185"/>
      <c r="PRY5" s="1185"/>
      <c r="PRZ5" s="1185"/>
      <c r="PSA5" s="1185"/>
      <c r="PSB5" s="1185"/>
      <c r="PSC5" s="1185"/>
      <c r="PSD5" s="1185"/>
      <c r="PSE5" s="1185"/>
      <c r="PSF5" s="1185"/>
      <c r="PSG5" s="1185"/>
      <c r="PSH5" s="1185"/>
      <c r="PSI5" s="1185"/>
      <c r="PSJ5" s="1185"/>
      <c r="PSK5" s="1185"/>
      <c r="PSL5" s="1185"/>
      <c r="PSM5" s="1185"/>
      <c r="PSN5" s="1185"/>
      <c r="PSO5" s="1185"/>
      <c r="PSP5" s="1185"/>
      <c r="PSQ5" s="1185"/>
      <c r="PSR5" s="1185"/>
      <c r="PSS5" s="1185"/>
      <c r="PST5" s="1185"/>
      <c r="PSU5" s="1185"/>
      <c r="PSV5" s="1185"/>
      <c r="PSW5" s="1185"/>
      <c r="PSX5" s="1185"/>
      <c r="PSY5" s="1185"/>
      <c r="PSZ5" s="1185"/>
      <c r="PTA5" s="1185"/>
      <c r="PTB5" s="1185"/>
      <c r="PTC5" s="1185"/>
      <c r="PTD5" s="1185"/>
      <c r="PTE5" s="1185"/>
      <c r="PTF5" s="1185"/>
      <c r="PTG5" s="1185"/>
      <c r="PTH5" s="1185"/>
      <c r="PTI5" s="1185"/>
      <c r="PTJ5" s="1185"/>
      <c r="PTK5" s="1185"/>
      <c r="PTL5" s="1185"/>
      <c r="PTM5" s="1185"/>
      <c r="PTN5" s="1185"/>
      <c r="PTO5" s="1185"/>
      <c r="PTP5" s="1185"/>
      <c r="PTQ5" s="1185"/>
      <c r="PTR5" s="1185"/>
      <c r="PTS5" s="1185"/>
      <c r="PTT5" s="1185"/>
      <c r="PTU5" s="1185"/>
      <c r="PTV5" s="1185"/>
      <c r="PTW5" s="1185"/>
      <c r="PTX5" s="1185"/>
      <c r="PTY5" s="1185"/>
      <c r="PTZ5" s="1185"/>
      <c r="PUA5" s="1185"/>
      <c r="PUB5" s="1185"/>
      <c r="PUC5" s="1185"/>
      <c r="PUD5" s="1185"/>
      <c r="PUE5" s="1185"/>
      <c r="PUF5" s="1185"/>
      <c r="PUG5" s="1185"/>
      <c r="PUH5" s="1185"/>
      <c r="PUI5" s="1185"/>
      <c r="PUJ5" s="1185"/>
      <c r="PUK5" s="1185"/>
      <c r="PUL5" s="1185"/>
      <c r="PUM5" s="1185"/>
      <c r="PUN5" s="1185"/>
      <c r="PUO5" s="1185"/>
      <c r="PUP5" s="1185"/>
      <c r="PUQ5" s="1185"/>
      <c r="PUR5" s="1185"/>
      <c r="PUS5" s="1185"/>
      <c r="PUT5" s="1185"/>
      <c r="PUU5" s="1185"/>
      <c r="PUV5" s="1185"/>
      <c r="PUW5" s="1185"/>
      <c r="PUX5" s="1185"/>
      <c r="PUY5" s="1185"/>
      <c r="PUZ5" s="1185"/>
      <c r="PVA5" s="1185"/>
      <c r="PVB5" s="1185"/>
      <c r="PVC5" s="1185"/>
      <c r="PVD5" s="1185"/>
      <c r="PVE5" s="1185"/>
      <c r="PVF5" s="1185"/>
      <c r="PVG5" s="1185"/>
      <c r="PVH5" s="1185"/>
      <c r="PVI5" s="1185"/>
      <c r="PVJ5" s="1185"/>
      <c r="PVK5" s="1185"/>
      <c r="PVL5" s="1185"/>
      <c r="PVM5" s="1185"/>
      <c r="PVN5" s="1185"/>
      <c r="PVO5" s="1185"/>
      <c r="PVP5" s="1185"/>
      <c r="PVQ5" s="1185"/>
      <c r="PVR5" s="1185"/>
      <c r="PVS5" s="1185"/>
      <c r="PVT5" s="1185"/>
      <c r="PVU5" s="1185"/>
      <c r="PVV5" s="1185"/>
      <c r="PVW5" s="1185"/>
      <c r="PVX5" s="1185"/>
      <c r="PVY5" s="1185"/>
      <c r="PVZ5" s="1185"/>
      <c r="PWA5" s="1185"/>
      <c r="PWB5" s="1185"/>
      <c r="PWC5" s="1185"/>
      <c r="PWD5" s="1185"/>
      <c r="PWE5" s="1185"/>
      <c r="PWF5" s="1185"/>
      <c r="PWG5" s="1185"/>
      <c r="PWH5" s="1185"/>
      <c r="PWI5" s="1185"/>
      <c r="PWJ5" s="1185"/>
      <c r="PWK5" s="1185"/>
      <c r="PWL5" s="1185"/>
      <c r="PWM5" s="1185"/>
      <c r="PWN5" s="1185"/>
      <c r="PWO5" s="1185"/>
      <c r="PWP5" s="1185"/>
      <c r="PWQ5" s="1185"/>
      <c r="PWR5" s="1185"/>
      <c r="PWS5" s="1185"/>
      <c r="PWT5" s="1185"/>
      <c r="PWU5" s="1185"/>
      <c r="PWV5" s="1185"/>
      <c r="PWW5" s="1185"/>
      <c r="PWX5" s="1185"/>
      <c r="PWY5" s="1185"/>
      <c r="PWZ5" s="1185"/>
      <c r="PXA5" s="1185"/>
      <c r="PXB5" s="1185"/>
      <c r="PXC5" s="1185"/>
      <c r="PXD5" s="1185"/>
      <c r="PXE5" s="1185"/>
      <c r="PXF5" s="1185"/>
      <c r="PXG5" s="1185"/>
      <c r="PXH5" s="1185"/>
      <c r="PXI5" s="1185"/>
      <c r="PXJ5" s="1185"/>
      <c r="PXK5" s="1185"/>
      <c r="PXL5" s="1185"/>
      <c r="PXM5" s="1185"/>
      <c r="PXN5" s="1185"/>
      <c r="PXO5" s="1185"/>
      <c r="PXP5" s="1185"/>
      <c r="PXQ5" s="1185"/>
      <c r="PXR5" s="1185"/>
      <c r="PXS5" s="1185"/>
      <c r="PXT5" s="1185"/>
      <c r="PXU5" s="1185"/>
      <c r="PXV5" s="1185"/>
      <c r="PXW5" s="1185"/>
      <c r="PXX5" s="1185"/>
      <c r="PXY5" s="1185"/>
      <c r="PXZ5" s="1185"/>
      <c r="PYA5" s="1185"/>
      <c r="PYB5" s="1185"/>
      <c r="PYC5" s="1185"/>
      <c r="PYD5" s="1185"/>
      <c r="PYE5" s="1185"/>
      <c r="PYF5" s="1185"/>
      <c r="PYG5" s="1185"/>
      <c r="PYH5" s="1185"/>
      <c r="PYI5" s="1185"/>
      <c r="PYJ5" s="1185"/>
      <c r="PYK5" s="1185"/>
      <c r="PYL5" s="1185"/>
      <c r="PYM5" s="1185"/>
      <c r="PYN5" s="1185"/>
      <c r="PYO5" s="1185"/>
      <c r="PYP5" s="1185"/>
      <c r="PYQ5" s="1185"/>
      <c r="PYR5" s="1185"/>
      <c r="PYS5" s="1185"/>
      <c r="PYT5" s="1185"/>
      <c r="PYU5" s="1185"/>
      <c r="PYV5" s="1185"/>
      <c r="PYW5" s="1185"/>
      <c r="PYX5" s="1185"/>
      <c r="PYY5" s="1185"/>
      <c r="PYZ5" s="1185"/>
      <c r="PZA5" s="1185"/>
      <c r="PZB5" s="1185"/>
      <c r="PZC5" s="1185"/>
      <c r="PZD5" s="1185"/>
      <c r="PZE5" s="1185"/>
      <c r="PZF5" s="1185"/>
      <c r="PZG5" s="1185"/>
      <c r="PZH5" s="1185"/>
      <c r="PZI5" s="1185"/>
      <c r="PZJ5" s="1185"/>
      <c r="PZK5" s="1185"/>
      <c r="PZL5" s="1185"/>
      <c r="PZM5" s="1185"/>
      <c r="PZN5" s="1185"/>
      <c r="PZO5" s="1185"/>
      <c r="PZP5" s="1185"/>
      <c r="PZQ5" s="1185"/>
      <c r="PZR5" s="1185"/>
      <c r="PZS5" s="1185"/>
      <c r="PZT5" s="1185"/>
      <c r="PZU5" s="1185"/>
      <c r="PZV5" s="1185"/>
      <c r="PZW5" s="1185"/>
      <c r="PZX5" s="1185"/>
      <c r="PZY5" s="1185"/>
      <c r="PZZ5" s="1185"/>
      <c r="QAA5" s="1185"/>
      <c r="QAB5" s="1185"/>
      <c r="QAC5" s="1185"/>
      <c r="QAD5" s="1185"/>
      <c r="QAE5" s="1185"/>
      <c r="QAF5" s="1185"/>
      <c r="QAG5" s="1185"/>
      <c r="QAH5" s="1185"/>
      <c r="QAI5" s="1185"/>
      <c r="QAJ5" s="1185"/>
      <c r="QAK5" s="1185"/>
      <c r="QAL5" s="1185"/>
      <c r="QAM5" s="1185"/>
      <c r="QAN5" s="1185"/>
      <c r="QAO5" s="1185"/>
      <c r="QAP5" s="1185"/>
      <c r="QAQ5" s="1185"/>
      <c r="QAR5" s="1185"/>
      <c r="QAS5" s="1185"/>
      <c r="QAT5" s="1185"/>
      <c r="QAU5" s="1185"/>
      <c r="QAV5" s="1185"/>
      <c r="QAW5" s="1185"/>
      <c r="QAX5" s="1185"/>
      <c r="QAY5" s="1185"/>
      <c r="QAZ5" s="1185"/>
      <c r="QBA5" s="1185"/>
      <c r="QBB5" s="1185"/>
      <c r="QBC5" s="1185"/>
      <c r="QBD5" s="1185"/>
      <c r="QBE5" s="1185"/>
      <c r="QBF5" s="1185"/>
      <c r="QBG5" s="1185"/>
      <c r="QBH5" s="1185"/>
      <c r="QBI5" s="1185"/>
      <c r="QBJ5" s="1185"/>
      <c r="QBK5" s="1185"/>
      <c r="QBL5" s="1185"/>
      <c r="QBM5" s="1185"/>
      <c r="QBN5" s="1185"/>
      <c r="QBO5" s="1185"/>
      <c r="QBP5" s="1185"/>
      <c r="QBQ5" s="1185"/>
      <c r="QBR5" s="1185"/>
      <c r="QBS5" s="1185"/>
      <c r="QBT5" s="1185"/>
      <c r="QBU5" s="1185"/>
      <c r="QBV5" s="1185"/>
      <c r="QBW5" s="1185"/>
      <c r="QBX5" s="1185"/>
      <c r="QBY5" s="1185"/>
      <c r="QBZ5" s="1185"/>
      <c r="QCA5" s="1185"/>
      <c r="QCB5" s="1185"/>
      <c r="QCC5" s="1185"/>
      <c r="QCD5" s="1185"/>
      <c r="QCE5" s="1185"/>
      <c r="QCF5" s="1185"/>
      <c r="QCG5" s="1185"/>
      <c r="QCH5" s="1185"/>
      <c r="QCI5" s="1185"/>
      <c r="QCJ5" s="1185"/>
      <c r="QCK5" s="1185"/>
      <c r="QCL5" s="1185"/>
      <c r="QCM5" s="1185"/>
      <c r="QCN5" s="1185"/>
      <c r="QCO5" s="1185"/>
      <c r="QCP5" s="1185"/>
      <c r="QCQ5" s="1185"/>
      <c r="QCR5" s="1185"/>
      <c r="QCS5" s="1185"/>
      <c r="QCT5" s="1185"/>
      <c r="QCU5" s="1185"/>
      <c r="QCV5" s="1185"/>
      <c r="QCW5" s="1185"/>
      <c r="QCX5" s="1185"/>
      <c r="QCY5" s="1185"/>
      <c r="QCZ5" s="1185"/>
      <c r="QDA5" s="1185"/>
      <c r="QDB5" s="1185"/>
      <c r="QDC5" s="1185"/>
      <c r="QDD5" s="1185"/>
      <c r="QDE5" s="1185"/>
      <c r="QDF5" s="1185"/>
      <c r="QDG5" s="1185"/>
      <c r="QDH5" s="1185"/>
      <c r="QDI5" s="1185"/>
      <c r="QDJ5" s="1185"/>
      <c r="QDK5" s="1185"/>
      <c r="QDL5" s="1185"/>
      <c r="QDM5" s="1185"/>
      <c r="QDN5" s="1185"/>
      <c r="QDO5" s="1185"/>
      <c r="QDP5" s="1185"/>
      <c r="QDQ5" s="1185"/>
      <c r="QDR5" s="1185"/>
      <c r="QDS5" s="1185"/>
      <c r="QDT5" s="1185"/>
      <c r="QDU5" s="1185"/>
      <c r="QDV5" s="1185"/>
      <c r="QDW5" s="1185"/>
      <c r="QDX5" s="1185"/>
      <c r="QDY5" s="1185"/>
      <c r="QDZ5" s="1185"/>
      <c r="QEA5" s="1185"/>
      <c r="QEB5" s="1185"/>
      <c r="QEC5" s="1185"/>
      <c r="QED5" s="1185"/>
      <c r="QEE5" s="1185"/>
      <c r="QEF5" s="1185"/>
      <c r="QEG5" s="1185"/>
      <c r="QEH5" s="1185"/>
      <c r="QEI5" s="1185"/>
      <c r="QEJ5" s="1185"/>
      <c r="QEK5" s="1185"/>
      <c r="QEL5" s="1185"/>
      <c r="QEM5" s="1185"/>
      <c r="QEN5" s="1185"/>
      <c r="QEO5" s="1185"/>
      <c r="QEP5" s="1185"/>
      <c r="QEQ5" s="1185"/>
      <c r="QER5" s="1185"/>
      <c r="QES5" s="1185"/>
      <c r="QET5" s="1185"/>
      <c r="QEU5" s="1185"/>
      <c r="QEV5" s="1185"/>
      <c r="QEW5" s="1185"/>
      <c r="QEX5" s="1185"/>
      <c r="QEY5" s="1185"/>
      <c r="QEZ5" s="1185"/>
      <c r="QFA5" s="1185"/>
      <c r="QFB5" s="1185"/>
      <c r="QFC5" s="1185"/>
      <c r="QFD5" s="1185"/>
      <c r="QFE5" s="1185"/>
      <c r="QFF5" s="1185"/>
      <c r="QFG5" s="1185"/>
      <c r="QFH5" s="1185"/>
      <c r="QFI5" s="1185"/>
      <c r="QFJ5" s="1185"/>
      <c r="QFK5" s="1185"/>
      <c r="QFL5" s="1185"/>
      <c r="QFM5" s="1185"/>
      <c r="QFN5" s="1185"/>
      <c r="QFO5" s="1185"/>
      <c r="QFP5" s="1185"/>
      <c r="QFQ5" s="1185"/>
      <c r="QFR5" s="1185"/>
      <c r="QFS5" s="1185"/>
      <c r="QFT5" s="1185"/>
      <c r="QFU5" s="1185"/>
      <c r="QFV5" s="1185"/>
      <c r="QFW5" s="1185"/>
      <c r="QFX5" s="1185"/>
      <c r="QFY5" s="1185"/>
      <c r="QFZ5" s="1185"/>
      <c r="QGA5" s="1185"/>
      <c r="QGB5" s="1185"/>
      <c r="QGC5" s="1185"/>
      <c r="QGD5" s="1185"/>
      <c r="QGE5" s="1185"/>
      <c r="QGF5" s="1185"/>
      <c r="QGG5" s="1185"/>
      <c r="QGH5" s="1185"/>
      <c r="QGI5" s="1185"/>
      <c r="QGJ5" s="1185"/>
      <c r="QGK5" s="1185"/>
      <c r="QGL5" s="1185"/>
      <c r="QGM5" s="1185"/>
      <c r="QGN5" s="1185"/>
      <c r="QGO5" s="1185"/>
      <c r="QGP5" s="1185"/>
      <c r="QGQ5" s="1185"/>
      <c r="QGR5" s="1185"/>
      <c r="QGS5" s="1185"/>
      <c r="QGT5" s="1185"/>
      <c r="QGU5" s="1185"/>
      <c r="QGV5" s="1185"/>
      <c r="QGW5" s="1185"/>
      <c r="QGX5" s="1185"/>
      <c r="QGY5" s="1185"/>
      <c r="QGZ5" s="1185"/>
      <c r="QHA5" s="1185"/>
      <c r="QHB5" s="1185"/>
      <c r="QHC5" s="1185"/>
      <c r="QHD5" s="1185"/>
      <c r="QHE5" s="1185"/>
      <c r="QHF5" s="1185"/>
      <c r="QHG5" s="1185"/>
      <c r="QHH5" s="1185"/>
      <c r="QHI5" s="1185"/>
      <c r="QHJ5" s="1185"/>
      <c r="QHK5" s="1185"/>
      <c r="QHL5" s="1185"/>
      <c r="QHM5" s="1185"/>
      <c r="QHN5" s="1185"/>
      <c r="QHO5" s="1185"/>
      <c r="QHP5" s="1185"/>
      <c r="QHQ5" s="1185"/>
      <c r="QHR5" s="1185"/>
      <c r="QHS5" s="1185"/>
      <c r="QHT5" s="1185"/>
      <c r="QHU5" s="1185"/>
      <c r="QHV5" s="1185"/>
      <c r="QHW5" s="1185"/>
      <c r="QHX5" s="1185"/>
      <c r="QHY5" s="1185"/>
      <c r="QHZ5" s="1185"/>
      <c r="QIA5" s="1185"/>
      <c r="QIB5" s="1185"/>
      <c r="QIC5" s="1185"/>
      <c r="QID5" s="1185"/>
      <c r="QIE5" s="1185"/>
      <c r="QIF5" s="1185"/>
      <c r="QIG5" s="1185"/>
      <c r="QIH5" s="1185"/>
      <c r="QII5" s="1185"/>
      <c r="QIJ5" s="1185"/>
      <c r="QIK5" s="1185"/>
      <c r="QIL5" s="1185"/>
      <c r="QIM5" s="1185"/>
      <c r="QIN5" s="1185"/>
      <c r="QIO5" s="1185"/>
      <c r="QIP5" s="1185"/>
      <c r="QIQ5" s="1185"/>
      <c r="QIR5" s="1185"/>
      <c r="QIS5" s="1185"/>
      <c r="QIT5" s="1185"/>
      <c r="QIU5" s="1185"/>
      <c r="QIV5" s="1185"/>
      <c r="QIW5" s="1185"/>
      <c r="QIX5" s="1185"/>
      <c r="QIY5" s="1185"/>
      <c r="QIZ5" s="1185"/>
      <c r="QJA5" s="1185"/>
      <c r="QJB5" s="1185"/>
      <c r="QJC5" s="1185"/>
      <c r="QJD5" s="1185"/>
      <c r="QJE5" s="1185"/>
      <c r="QJF5" s="1185"/>
      <c r="QJG5" s="1185"/>
      <c r="QJH5" s="1185"/>
      <c r="QJI5" s="1185"/>
      <c r="QJJ5" s="1185"/>
      <c r="QJK5" s="1185"/>
      <c r="QJL5" s="1185"/>
      <c r="QJM5" s="1185"/>
      <c r="QJN5" s="1185"/>
      <c r="QJO5" s="1185"/>
      <c r="QJP5" s="1185"/>
      <c r="QJQ5" s="1185"/>
      <c r="QJR5" s="1185"/>
      <c r="QJS5" s="1185"/>
      <c r="QJT5" s="1185"/>
      <c r="QJU5" s="1185"/>
      <c r="QJV5" s="1185"/>
      <c r="QJW5" s="1185"/>
      <c r="QJX5" s="1185"/>
      <c r="QJY5" s="1185"/>
      <c r="QJZ5" s="1185"/>
      <c r="QKA5" s="1185"/>
      <c r="QKB5" s="1185"/>
      <c r="QKC5" s="1185"/>
      <c r="QKD5" s="1185"/>
      <c r="QKE5" s="1185"/>
      <c r="QKF5" s="1185"/>
      <c r="QKG5" s="1185"/>
      <c r="QKH5" s="1185"/>
      <c r="QKI5" s="1185"/>
      <c r="QKJ5" s="1185"/>
      <c r="QKK5" s="1185"/>
      <c r="QKL5" s="1185"/>
      <c r="QKM5" s="1185"/>
      <c r="QKN5" s="1185"/>
      <c r="QKO5" s="1185"/>
      <c r="QKP5" s="1185"/>
      <c r="QKQ5" s="1185"/>
      <c r="QKR5" s="1185"/>
      <c r="QKS5" s="1185"/>
      <c r="QKT5" s="1185"/>
      <c r="QKU5" s="1185"/>
      <c r="QKV5" s="1185"/>
      <c r="QKW5" s="1185"/>
      <c r="QKX5" s="1185"/>
      <c r="QKY5" s="1185"/>
      <c r="QKZ5" s="1185"/>
      <c r="QLA5" s="1185"/>
      <c r="QLB5" s="1185"/>
      <c r="QLC5" s="1185"/>
      <c r="QLD5" s="1185"/>
      <c r="QLE5" s="1185"/>
      <c r="QLF5" s="1185"/>
      <c r="QLG5" s="1185"/>
      <c r="QLH5" s="1185"/>
      <c r="QLI5" s="1185"/>
      <c r="QLJ5" s="1185"/>
      <c r="QLK5" s="1185"/>
      <c r="QLL5" s="1185"/>
      <c r="QLM5" s="1185"/>
      <c r="QLN5" s="1185"/>
      <c r="QLO5" s="1185"/>
      <c r="QLP5" s="1185"/>
      <c r="QLQ5" s="1185"/>
      <c r="QLR5" s="1185"/>
      <c r="QLS5" s="1185"/>
      <c r="QLT5" s="1185"/>
      <c r="QLU5" s="1185"/>
      <c r="QLV5" s="1185"/>
      <c r="QLW5" s="1185"/>
      <c r="QLX5" s="1185"/>
      <c r="QLY5" s="1185"/>
      <c r="QLZ5" s="1185"/>
      <c r="QMA5" s="1185"/>
      <c r="QMB5" s="1185"/>
      <c r="QMC5" s="1185"/>
      <c r="QMD5" s="1185"/>
      <c r="QME5" s="1185"/>
      <c r="QMF5" s="1185"/>
      <c r="QMG5" s="1185"/>
      <c r="QMH5" s="1185"/>
      <c r="QMI5" s="1185"/>
      <c r="QMJ5" s="1185"/>
      <c r="QMK5" s="1185"/>
      <c r="QML5" s="1185"/>
      <c r="QMM5" s="1185"/>
      <c r="QMN5" s="1185"/>
      <c r="QMO5" s="1185"/>
      <c r="QMP5" s="1185"/>
      <c r="QMQ5" s="1185"/>
      <c r="QMR5" s="1185"/>
      <c r="QMS5" s="1185"/>
      <c r="QMT5" s="1185"/>
      <c r="QMU5" s="1185"/>
      <c r="QMV5" s="1185"/>
      <c r="QMW5" s="1185"/>
      <c r="QMX5" s="1185"/>
      <c r="QMY5" s="1185"/>
      <c r="QMZ5" s="1185"/>
      <c r="QNA5" s="1185"/>
      <c r="QNB5" s="1185"/>
      <c r="QNC5" s="1185"/>
      <c r="QND5" s="1185"/>
      <c r="QNE5" s="1185"/>
      <c r="QNF5" s="1185"/>
      <c r="QNG5" s="1185"/>
      <c r="QNH5" s="1185"/>
      <c r="QNI5" s="1185"/>
      <c r="QNJ5" s="1185"/>
      <c r="QNK5" s="1185"/>
      <c r="QNL5" s="1185"/>
      <c r="QNM5" s="1185"/>
      <c r="QNN5" s="1185"/>
      <c r="QNO5" s="1185"/>
      <c r="QNP5" s="1185"/>
      <c r="QNQ5" s="1185"/>
      <c r="QNR5" s="1185"/>
      <c r="QNS5" s="1185"/>
      <c r="QNT5" s="1185"/>
      <c r="QNU5" s="1185"/>
      <c r="QNV5" s="1185"/>
      <c r="QNW5" s="1185"/>
      <c r="QNX5" s="1185"/>
      <c r="QNY5" s="1185"/>
      <c r="QNZ5" s="1185"/>
      <c r="QOA5" s="1185"/>
      <c r="QOB5" s="1185"/>
      <c r="QOC5" s="1185"/>
      <c r="QOD5" s="1185"/>
      <c r="QOE5" s="1185"/>
      <c r="QOF5" s="1185"/>
      <c r="QOG5" s="1185"/>
      <c r="QOH5" s="1185"/>
      <c r="QOI5" s="1185"/>
      <c r="QOJ5" s="1185"/>
      <c r="QOK5" s="1185"/>
      <c r="QOL5" s="1185"/>
      <c r="QOM5" s="1185"/>
      <c r="QON5" s="1185"/>
      <c r="QOO5" s="1185"/>
      <c r="QOP5" s="1185"/>
      <c r="QOQ5" s="1185"/>
      <c r="QOR5" s="1185"/>
      <c r="QOS5" s="1185"/>
      <c r="QOT5" s="1185"/>
      <c r="QOU5" s="1185"/>
      <c r="QOV5" s="1185"/>
      <c r="QOW5" s="1185"/>
      <c r="QOX5" s="1185"/>
      <c r="QOY5" s="1185"/>
      <c r="QOZ5" s="1185"/>
      <c r="QPA5" s="1185"/>
      <c r="QPB5" s="1185"/>
      <c r="QPC5" s="1185"/>
      <c r="QPD5" s="1185"/>
      <c r="QPE5" s="1185"/>
      <c r="QPF5" s="1185"/>
      <c r="QPG5" s="1185"/>
      <c r="QPH5" s="1185"/>
      <c r="QPI5" s="1185"/>
      <c r="QPJ5" s="1185"/>
      <c r="QPK5" s="1185"/>
      <c r="QPL5" s="1185"/>
      <c r="QPM5" s="1185"/>
      <c r="QPN5" s="1185"/>
      <c r="QPO5" s="1185"/>
      <c r="QPP5" s="1185"/>
      <c r="QPQ5" s="1185"/>
      <c r="QPR5" s="1185"/>
      <c r="QPS5" s="1185"/>
      <c r="QPT5" s="1185"/>
      <c r="QPU5" s="1185"/>
      <c r="QPV5" s="1185"/>
      <c r="QPW5" s="1185"/>
      <c r="QPX5" s="1185"/>
      <c r="QPY5" s="1185"/>
      <c r="QPZ5" s="1185"/>
      <c r="QQA5" s="1185"/>
      <c r="QQB5" s="1185"/>
      <c r="QQC5" s="1185"/>
      <c r="QQD5" s="1185"/>
      <c r="QQE5" s="1185"/>
      <c r="QQF5" s="1185"/>
      <c r="QQG5" s="1185"/>
      <c r="QQH5" s="1185"/>
      <c r="QQI5" s="1185"/>
      <c r="QQJ5" s="1185"/>
      <c r="QQK5" s="1185"/>
      <c r="QQL5" s="1185"/>
      <c r="QQM5" s="1185"/>
      <c r="QQN5" s="1185"/>
      <c r="QQO5" s="1185"/>
      <c r="QQP5" s="1185"/>
      <c r="QQQ5" s="1185"/>
      <c r="QQR5" s="1185"/>
      <c r="QQS5" s="1185"/>
      <c r="QQT5" s="1185"/>
      <c r="QQU5" s="1185"/>
      <c r="QQV5" s="1185"/>
      <c r="QQW5" s="1185"/>
      <c r="QQX5" s="1185"/>
      <c r="QQY5" s="1185"/>
      <c r="QQZ5" s="1185"/>
      <c r="QRA5" s="1185"/>
      <c r="QRB5" s="1185"/>
      <c r="QRC5" s="1185"/>
      <c r="QRD5" s="1185"/>
      <c r="QRE5" s="1185"/>
      <c r="QRF5" s="1185"/>
      <c r="QRG5" s="1185"/>
      <c r="QRH5" s="1185"/>
      <c r="QRI5" s="1185"/>
      <c r="QRJ5" s="1185"/>
      <c r="QRK5" s="1185"/>
      <c r="QRL5" s="1185"/>
      <c r="QRM5" s="1185"/>
      <c r="QRN5" s="1185"/>
      <c r="QRO5" s="1185"/>
      <c r="QRP5" s="1185"/>
      <c r="QRQ5" s="1185"/>
      <c r="QRR5" s="1185"/>
      <c r="QRS5" s="1185"/>
      <c r="QRT5" s="1185"/>
      <c r="QRU5" s="1185"/>
      <c r="QRV5" s="1185"/>
      <c r="QRW5" s="1185"/>
      <c r="QRX5" s="1185"/>
      <c r="QRY5" s="1185"/>
      <c r="QRZ5" s="1185"/>
      <c r="QSA5" s="1185"/>
      <c r="QSB5" s="1185"/>
      <c r="QSC5" s="1185"/>
      <c r="QSD5" s="1185"/>
      <c r="QSE5" s="1185"/>
      <c r="QSF5" s="1185"/>
      <c r="QSG5" s="1185"/>
      <c r="QSH5" s="1185"/>
      <c r="QSI5" s="1185"/>
      <c r="QSJ5" s="1185"/>
      <c r="QSK5" s="1185"/>
      <c r="QSL5" s="1185"/>
      <c r="QSM5" s="1185"/>
      <c r="QSN5" s="1185"/>
      <c r="QSO5" s="1185"/>
      <c r="QSP5" s="1185"/>
      <c r="QSQ5" s="1185"/>
      <c r="QSR5" s="1185"/>
      <c r="QSS5" s="1185"/>
      <c r="QST5" s="1185"/>
      <c r="QSU5" s="1185"/>
      <c r="QSV5" s="1185"/>
      <c r="QSW5" s="1185"/>
      <c r="QSX5" s="1185"/>
      <c r="QSY5" s="1185"/>
      <c r="QSZ5" s="1185"/>
      <c r="QTA5" s="1185"/>
      <c r="QTB5" s="1185"/>
      <c r="QTC5" s="1185"/>
      <c r="QTD5" s="1185"/>
      <c r="QTE5" s="1185"/>
      <c r="QTF5" s="1185"/>
      <c r="QTG5" s="1185"/>
      <c r="QTH5" s="1185"/>
      <c r="QTI5" s="1185"/>
      <c r="QTJ5" s="1185"/>
      <c r="QTK5" s="1185"/>
      <c r="QTL5" s="1185"/>
      <c r="QTM5" s="1185"/>
      <c r="QTN5" s="1185"/>
      <c r="QTO5" s="1185"/>
      <c r="QTP5" s="1185"/>
      <c r="QTQ5" s="1185"/>
      <c r="QTR5" s="1185"/>
      <c r="QTS5" s="1185"/>
      <c r="QTT5" s="1185"/>
      <c r="QTU5" s="1185"/>
      <c r="QTV5" s="1185"/>
      <c r="QTW5" s="1185"/>
      <c r="QTX5" s="1185"/>
      <c r="QTY5" s="1185"/>
      <c r="QTZ5" s="1185"/>
      <c r="QUA5" s="1185"/>
      <c r="QUB5" s="1185"/>
      <c r="QUC5" s="1185"/>
      <c r="QUD5" s="1185"/>
      <c r="QUE5" s="1185"/>
      <c r="QUF5" s="1185"/>
      <c r="QUG5" s="1185"/>
      <c r="QUH5" s="1185"/>
      <c r="QUI5" s="1185"/>
      <c r="QUJ5" s="1185"/>
      <c r="QUK5" s="1185"/>
      <c r="QUL5" s="1185"/>
      <c r="QUM5" s="1185"/>
      <c r="QUN5" s="1185"/>
      <c r="QUO5" s="1185"/>
      <c r="QUP5" s="1185"/>
      <c r="QUQ5" s="1185"/>
      <c r="QUR5" s="1185"/>
      <c r="QUS5" s="1185"/>
      <c r="QUT5" s="1185"/>
      <c r="QUU5" s="1185"/>
      <c r="QUV5" s="1185"/>
      <c r="QUW5" s="1185"/>
      <c r="QUX5" s="1185"/>
      <c r="QUY5" s="1185"/>
      <c r="QUZ5" s="1185"/>
      <c r="QVA5" s="1185"/>
      <c r="QVB5" s="1185"/>
      <c r="QVC5" s="1185"/>
      <c r="QVD5" s="1185"/>
      <c r="QVE5" s="1185"/>
      <c r="QVF5" s="1185"/>
      <c r="QVG5" s="1185"/>
      <c r="QVH5" s="1185"/>
      <c r="QVI5" s="1185"/>
      <c r="QVJ5" s="1185"/>
      <c r="QVK5" s="1185"/>
      <c r="QVL5" s="1185"/>
      <c r="QVM5" s="1185"/>
      <c r="QVN5" s="1185"/>
      <c r="QVO5" s="1185"/>
      <c r="QVP5" s="1185"/>
      <c r="QVQ5" s="1185"/>
      <c r="QVR5" s="1185"/>
      <c r="QVS5" s="1185"/>
      <c r="QVT5" s="1185"/>
      <c r="QVU5" s="1185"/>
      <c r="QVV5" s="1185"/>
      <c r="QVW5" s="1185"/>
      <c r="QVX5" s="1185"/>
      <c r="QVY5" s="1185"/>
      <c r="QVZ5" s="1185"/>
      <c r="QWA5" s="1185"/>
      <c r="QWB5" s="1185"/>
      <c r="QWC5" s="1185"/>
      <c r="QWD5" s="1185"/>
      <c r="QWE5" s="1185"/>
      <c r="QWF5" s="1185"/>
      <c r="QWG5" s="1185"/>
      <c r="QWH5" s="1185"/>
      <c r="QWI5" s="1185"/>
      <c r="QWJ5" s="1185"/>
      <c r="QWK5" s="1185"/>
      <c r="QWL5" s="1185"/>
      <c r="QWM5" s="1185"/>
      <c r="QWN5" s="1185"/>
      <c r="QWO5" s="1185"/>
      <c r="QWP5" s="1185"/>
      <c r="QWQ5" s="1185"/>
      <c r="QWR5" s="1185"/>
      <c r="QWS5" s="1185"/>
      <c r="QWT5" s="1185"/>
      <c r="QWU5" s="1185"/>
      <c r="QWV5" s="1185"/>
      <c r="QWW5" s="1185"/>
      <c r="QWX5" s="1185"/>
      <c r="QWY5" s="1185"/>
      <c r="QWZ5" s="1185"/>
      <c r="QXA5" s="1185"/>
      <c r="QXB5" s="1185"/>
      <c r="QXC5" s="1185"/>
      <c r="QXD5" s="1185"/>
      <c r="QXE5" s="1185"/>
      <c r="QXF5" s="1185"/>
      <c r="QXG5" s="1185"/>
      <c r="QXH5" s="1185"/>
      <c r="QXI5" s="1185"/>
      <c r="QXJ5" s="1185"/>
      <c r="QXK5" s="1185"/>
      <c r="QXL5" s="1185"/>
      <c r="QXM5" s="1185"/>
      <c r="QXN5" s="1185"/>
      <c r="QXO5" s="1185"/>
      <c r="QXP5" s="1185"/>
      <c r="QXQ5" s="1185"/>
      <c r="QXR5" s="1185"/>
      <c r="QXS5" s="1185"/>
      <c r="QXT5" s="1185"/>
      <c r="QXU5" s="1185"/>
      <c r="QXV5" s="1185"/>
      <c r="QXW5" s="1185"/>
      <c r="QXX5" s="1185"/>
      <c r="QXY5" s="1185"/>
      <c r="QXZ5" s="1185"/>
      <c r="QYA5" s="1185"/>
      <c r="QYB5" s="1185"/>
      <c r="QYC5" s="1185"/>
      <c r="QYD5" s="1185"/>
      <c r="QYE5" s="1185"/>
      <c r="QYF5" s="1185"/>
      <c r="QYG5" s="1185"/>
      <c r="QYH5" s="1185"/>
      <c r="QYI5" s="1185"/>
      <c r="QYJ5" s="1185"/>
      <c r="QYK5" s="1185"/>
      <c r="QYL5" s="1185"/>
      <c r="QYM5" s="1185"/>
      <c r="QYN5" s="1185"/>
      <c r="QYO5" s="1185"/>
      <c r="QYP5" s="1185"/>
      <c r="QYQ5" s="1185"/>
      <c r="QYR5" s="1185"/>
      <c r="QYS5" s="1185"/>
      <c r="QYT5" s="1185"/>
      <c r="QYU5" s="1185"/>
      <c r="QYV5" s="1185"/>
      <c r="QYW5" s="1185"/>
      <c r="QYX5" s="1185"/>
      <c r="QYY5" s="1185"/>
      <c r="QYZ5" s="1185"/>
      <c r="QZA5" s="1185"/>
      <c r="QZB5" s="1185"/>
      <c r="QZC5" s="1185"/>
      <c r="QZD5" s="1185"/>
      <c r="QZE5" s="1185"/>
      <c r="QZF5" s="1185"/>
      <c r="QZG5" s="1185"/>
      <c r="QZH5" s="1185"/>
      <c r="QZI5" s="1185"/>
      <c r="QZJ5" s="1185"/>
      <c r="QZK5" s="1185"/>
      <c r="QZL5" s="1185"/>
      <c r="QZM5" s="1185"/>
      <c r="QZN5" s="1185"/>
      <c r="QZO5" s="1185"/>
      <c r="QZP5" s="1185"/>
      <c r="QZQ5" s="1185"/>
      <c r="QZR5" s="1185"/>
      <c r="QZS5" s="1185"/>
      <c r="QZT5" s="1185"/>
      <c r="QZU5" s="1185"/>
      <c r="QZV5" s="1185"/>
      <c r="QZW5" s="1185"/>
      <c r="QZX5" s="1185"/>
      <c r="QZY5" s="1185"/>
      <c r="QZZ5" s="1185"/>
      <c r="RAA5" s="1185"/>
      <c r="RAB5" s="1185"/>
      <c r="RAC5" s="1185"/>
      <c r="RAD5" s="1185"/>
      <c r="RAE5" s="1185"/>
      <c r="RAF5" s="1185"/>
      <c r="RAG5" s="1185"/>
      <c r="RAH5" s="1185"/>
      <c r="RAI5" s="1185"/>
      <c r="RAJ5" s="1185"/>
      <c r="RAK5" s="1185"/>
      <c r="RAL5" s="1185"/>
      <c r="RAM5" s="1185"/>
      <c r="RAN5" s="1185"/>
      <c r="RAO5" s="1185"/>
      <c r="RAP5" s="1185"/>
      <c r="RAQ5" s="1185"/>
      <c r="RAR5" s="1185"/>
      <c r="RAS5" s="1185"/>
      <c r="RAT5" s="1185"/>
      <c r="RAU5" s="1185"/>
      <c r="RAV5" s="1185"/>
      <c r="RAW5" s="1185"/>
      <c r="RAX5" s="1185"/>
      <c r="RAY5" s="1185"/>
      <c r="RAZ5" s="1185"/>
      <c r="RBA5" s="1185"/>
      <c r="RBB5" s="1185"/>
      <c r="RBC5" s="1185"/>
      <c r="RBD5" s="1185"/>
      <c r="RBE5" s="1185"/>
      <c r="RBF5" s="1185"/>
      <c r="RBG5" s="1185"/>
      <c r="RBH5" s="1185"/>
      <c r="RBI5" s="1185"/>
      <c r="RBJ5" s="1185"/>
      <c r="RBK5" s="1185"/>
      <c r="RBL5" s="1185"/>
      <c r="RBM5" s="1185"/>
      <c r="RBN5" s="1185"/>
      <c r="RBO5" s="1185"/>
      <c r="RBP5" s="1185"/>
      <c r="RBQ5" s="1185"/>
      <c r="RBR5" s="1185"/>
      <c r="RBS5" s="1185"/>
      <c r="RBT5" s="1185"/>
      <c r="RBU5" s="1185"/>
      <c r="RBV5" s="1185"/>
      <c r="RBW5" s="1185"/>
      <c r="RBX5" s="1185"/>
      <c r="RBY5" s="1185"/>
      <c r="RBZ5" s="1185"/>
      <c r="RCA5" s="1185"/>
      <c r="RCB5" s="1185"/>
      <c r="RCC5" s="1185"/>
      <c r="RCD5" s="1185"/>
      <c r="RCE5" s="1185"/>
      <c r="RCF5" s="1185"/>
      <c r="RCG5" s="1185"/>
      <c r="RCH5" s="1185"/>
      <c r="RCI5" s="1185"/>
      <c r="RCJ5" s="1185"/>
      <c r="RCK5" s="1185"/>
      <c r="RCL5" s="1185"/>
      <c r="RCM5" s="1185"/>
      <c r="RCN5" s="1185"/>
      <c r="RCO5" s="1185"/>
      <c r="RCP5" s="1185"/>
      <c r="RCQ5" s="1185"/>
      <c r="RCR5" s="1185"/>
      <c r="RCS5" s="1185"/>
      <c r="RCT5" s="1185"/>
      <c r="RCU5" s="1185"/>
      <c r="RCV5" s="1185"/>
      <c r="RCW5" s="1185"/>
      <c r="RCX5" s="1185"/>
      <c r="RCY5" s="1185"/>
      <c r="RCZ5" s="1185"/>
      <c r="RDA5" s="1185"/>
      <c r="RDB5" s="1185"/>
      <c r="RDC5" s="1185"/>
      <c r="RDD5" s="1185"/>
      <c r="RDE5" s="1185"/>
      <c r="RDF5" s="1185"/>
      <c r="RDG5" s="1185"/>
      <c r="RDH5" s="1185"/>
      <c r="RDI5" s="1185"/>
      <c r="RDJ5" s="1185"/>
      <c r="RDK5" s="1185"/>
      <c r="RDL5" s="1185"/>
      <c r="RDM5" s="1185"/>
      <c r="RDN5" s="1185"/>
      <c r="RDO5" s="1185"/>
      <c r="RDP5" s="1185"/>
      <c r="RDQ5" s="1185"/>
      <c r="RDR5" s="1185"/>
      <c r="RDS5" s="1185"/>
      <c r="RDT5" s="1185"/>
      <c r="RDU5" s="1185"/>
      <c r="RDV5" s="1185"/>
      <c r="RDW5" s="1185"/>
      <c r="RDX5" s="1185"/>
      <c r="RDY5" s="1185"/>
      <c r="RDZ5" s="1185"/>
      <c r="REA5" s="1185"/>
      <c r="REB5" s="1185"/>
      <c r="REC5" s="1185"/>
      <c r="RED5" s="1185"/>
      <c r="REE5" s="1185"/>
      <c r="REF5" s="1185"/>
      <c r="REG5" s="1185"/>
      <c r="REH5" s="1185"/>
      <c r="REI5" s="1185"/>
      <c r="REJ5" s="1185"/>
      <c r="REK5" s="1185"/>
      <c r="REL5" s="1185"/>
      <c r="REM5" s="1185"/>
      <c r="REN5" s="1185"/>
      <c r="REO5" s="1185"/>
      <c r="REP5" s="1185"/>
      <c r="REQ5" s="1185"/>
      <c r="RER5" s="1185"/>
      <c r="RES5" s="1185"/>
      <c r="RET5" s="1185"/>
      <c r="REU5" s="1185"/>
      <c r="REV5" s="1185"/>
      <c r="REW5" s="1185"/>
      <c r="REX5" s="1185"/>
      <c r="REY5" s="1185"/>
      <c r="REZ5" s="1185"/>
      <c r="RFA5" s="1185"/>
      <c r="RFB5" s="1185"/>
      <c r="RFC5" s="1185"/>
      <c r="RFD5" s="1185"/>
      <c r="RFE5" s="1185"/>
      <c r="RFF5" s="1185"/>
      <c r="RFG5" s="1185"/>
      <c r="RFH5" s="1185"/>
      <c r="RFI5" s="1185"/>
      <c r="RFJ5" s="1185"/>
      <c r="RFK5" s="1185"/>
      <c r="RFL5" s="1185"/>
      <c r="RFM5" s="1185"/>
      <c r="RFN5" s="1185"/>
      <c r="RFO5" s="1185"/>
      <c r="RFP5" s="1185"/>
      <c r="RFQ5" s="1185"/>
      <c r="RFR5" s="1185"/>
      <c r="RFS5" s="1185"/>
      <c r="RFT5" s="1185"/>
      <c r="RFU5" s="1185"/>
      <c r="RFV5" s="1185"/>
      <c r="RFW5" s="1185"/>
      <c r="RFX5" s="1185"/>
      <c r="RFY5" s="1185"/>
      <c r="RFZ5" s="1185"/>
      <c r="RGA5" s="1185"/>
      <c r="RGB5" s="1185"/>
      <c r="RGC5" s="1185"/>
      <c r="RGD5" s="1185"/>
      <c r="RGE5" s="1185"/>
      <c r="RGF5" s="1185"/>
      <c r="RGG5" s="1185"/>
      <c r="RGH5" s="1185"/>
      <c r="RGI5" s="1185"/>
      <c r="RGJ5" s="1185"/>
      <c r="RGK5" s="1185"/>
      <c r="RGL5" s="1185"/>
      <c r="RGM5" s="1185"/>
      <c r="RGN5" s="1185"/>
      <c r="RGO5" s="1185"/>
      <c r="RGP5" s="1185"/>
      <c r="RGQ5" s="1185"/>
      <c r="RGR5" s="1185"/>
      <c r="RGS5" s="1185"/>
      <c r="RGT5" s="1185"/>
      <c r="RGU5" s="1185"/>
      <c r="RGV5" s="1185"/>
      <c r="RGW5" s="1185"/>
      <c r="RGX5" s="1185"/>
      <c r="RGY5" s="1185"/>
      <c r="RGZ5" s="1185"/>
      <c r="RHA5" s="1185"/>
      <c r="RHB5" s="1185"/>
      <c r="RHC5" s="1185"/>
      <c r="RHD5" s="1185"/>
      <c r="RHE5" s="1185"/>
      <c r="RHF5" s="1185"/>
      <c r="RHG5" s="1185"/>
      <c r="RHH5" s="1185"/>
      <c r="RHI5" s="1185"/>
      <c r="RHJ5" s="1185"/>
      <c r="RHK5" s="1185"/>
      <c r="RHL5" s="1185"/>
      <c r="RHM5" s="1185"/>
      <c r="RHN5" s="1185"/>
      <c r="RHO5" s="1185"/>
      <c r="RHP5" s="1185"/>
      <c r="RHQ5" s="1185"/>
      <c r="RHR5" s="1185"/>
      <c r="RHS5" s="1185"/>
      <c r="RHT5" s="1185"/>
      <c r="RHU5" s="1185"/>
      <c r="RHV5" s="1185"/>
      <c r="RHW5" s="1185"/>
      <c r="RHX5" s="1185"/>
      <c r="RHY5" s="1185"/>
      <c r="RHZ5" s="1185"/>
      <c r="RIA5" s="1185"/>
      <c r="RIB5" s="1185"/>
      <c r="RIC5" s="1185"/>
      <c r="RID5" s="1185"/>
      <c r="RIE5" s="1185"/>
      <c r="RIF5" s="1185"/>
      <c r="RIG5" s="1185"/>
      <c r="RIH5" s="1185"/>
      <c r="RII5" s="1185"/>
      <c r="RIJ5" s="1185"/>
      <c r="RIK5" s="1185"/>
      <c r="RIL5" s="1185"/>
      <c r="RIM5" s="1185"/>
      <c r="RIN5" s="1185"/>
      <c r="RIO5" s="1185"/>
      <c r="RIP5" s="1185"/>
      <c r="RIQ5" s="1185"/>
      <c r="RIR5" s="1185"/>
      <c r="RIS5" s="1185"/>
      <c r="RIT5" s="1185"/>
      <c r="RIU5" s="1185"/>
      <c r="RIV5" s="1185"/>
      <c r="RIW5" s="1185"/>
      <c r="RIX5" s="1185"/>
      <c r="RIY5" s="1185"/>
      <c r="RIZ5" s="1185"/>
      <c r="RJA5" s="1185"/>
      <c r="RJB5" s="1185"/>
      <c r="RJC5" s="1185"/>
      <c r="RJD5" s="1185"/>
      <c r="RJE5" s="1185"/>
      <c r="RJF5" s="1185"/>
      <c r="RJG5" s="1185"/>
      <c r="RJH5" s="1185"/>
      <c r="RJI5" s="1185"/>
      <c r="RJJ5" s="1185"/>
      <c r="RJK5" s="1185"/>
      <c r="RJL5" s="1185"/>
      <c r="RJM5" s="1185"/>
      <c r="RJN5" s="1185"/>
      <c r="RJO5" s="1185"/>
      <c r="RJP5" s="1185"/>
      <c r="RJQ5" s="1185"/>
      <c r="RJR5" s="1185"/>
      <c r="RJS5" s="1185"/>
      <c r="RJT5" s="1185"/>
      <c r="RJU5" s="1185"/>
      <c r="RJV5" s="1185"/>
      <c r="RJW5" s="1185"/>
      <c r="RJX5" s="1185"/>
      <c r="RJY5" s="1185"/>
      <c r="RJZ5" s="1185"/>
      <c r="RKA5" s="1185"/>
      <c r="RKB5" s="1185"/>
      <c r="RKC5" s="1185"/>
      <c r="RKD5" s="1185"/>
      <c r="RKE5" s="1185"/>
      <c r="RKF5" s="1185"/>
      <c r="RKG5" s="1185"/>
      <c r="RKH5" s="1185"/>
      <c r="RKI5" s="1185"/>
      <c r="RKJ5" s="1185"/>
      <c r="RKK5" s="1185"/>
      <c r="RKL5" s="1185"/>
      <c r="RKM5" s="1185"/>
      <c r="RKN5" s="1185"/>
      <c r="RKO5" s="1185"/>
      <c r="RKP5" s="1185"/>
      <c r="RKQ5" s="1185"/>
      <c r="RKR5" s="1185"/>
      <c r="RKS5" s="1185"/>
      <c r="RKT5" s="1185"/>
      <c r="RKU5" s="1185"/>
      <c r="RKV5" s="1185"/>
      <c r="RKW5" s="1185"/>
      <c r="RKX5" s="1185"/>
      <c r="RKY5" s="1185"/>
      <c r="RKZ5" s="1185"/>
      <c r="RLA5" s="1185"/>
      <c r="RLB5" s="1185"/>
      <c r="RLC5" s="1185"/>
      <c r="RLD5" s="1185"/>
      <c r="RLE5" s="1185"/>
      <c r="RLF5" s="1185"/>
      <c r="RLG5" s="1185"/>
      <c r="RLH5" s="1185"/>
      <c r="RLI5" s="1185"/>
      <c r="RLJ5" s="1185"/>
      <c r="RLK5" s="1185"/>
      <c r="RLL5" s="1185"/>
      <c r="RLM5" s="1185"/>
      <c r="RLN5" s="1185"/>
      <c r="RLO5" s="1185"/>
      <c r="RLP5" s="1185"/>
      <c r="RLQ5" s="1185"/>
      <c r="RLR5" s="1185"/>
      <c r="RLS5" s="1185"/>
      <c r="RLT5" s="1185"/>
      <c r="RLU5" s="1185"/>
      <c r="RLV5" s="1185"/>
      <c r="RLW5" s="1185"/>
      <c r="RLX5" s="1185"/>
      <c r="RLY5" s="1185"/>
      <c r="RLZ5" s="1185"/>
      <c r="RMA5" s="1185"/>
      <c r="RMB5" s="1185"/>
      <c r="RMC5" s="1185"/>
      <c r="RMD5" s="1185"/>
      <c r="RME5" s="1185"/>
      <c r="RMF5" s="1185"/>
      <c r="RMG5" s="1185"/>
      <c r="RMH5" s="1185"/>
      <c r="RMI5" s="1185"/>
      <c r="RMJ5" s="1185"/>
      <c r="RMK5" s="1185"/>
      <c r="RML5" s="1185"/>
      <c r="RMM5" s="1185"/>
      <c r="RMN5" s="1185"/>
      <c r="RMO5" s="1185"/>
      <c r="RMP5" s="1185"/>
      <c r="RMQ5" s="1185"/>
      <c r="RMR5" s="1185"/>
      <c r="RMS5" s="1185"/>
      <c r="RMT5" s="1185"/>
      <c r="RMU5" s="1185"/>
      <c r="RMV5" s="1185"/>
      <c r="RMW5" s="1185"/>
      <c r="RMX5" s="1185"/>
      <c r="RMY5" s="1185"/>
      <c r="RMZ5" s="1185"/>
      <c r="RNA5" s="1185"/>
      <c r="RNB5" s="1185"/>
      <c r="RNC5" s="1185"/>
      <c r="RND5" s="1185"/>
      <c r="RNE5" s="1185"/>
      <c r="RNF5" s="1185"/>
      <c r="RNG5" s="1185"/>
      <c r="RNH5" s="1185"/>
      <c r="RNI5" s="1185"/>
      <c r="RNJ5" s="1185"/>
      <c r="RNK5" s="1185"/>
      <c r="RNL5" s="1185"/>
      <c r="RNM5" s="1185"/>
      <c r="RNN5" s="1185"/>
      <c r="RNO5" s="1185"/>
      <c r="RNP5" s="1185"/>
      <c r="RNQ5" s="1185"/>
      <c r="RNR5" s="1185"/>
      <c r="RNS5" s="1185"/>
      <c r="RNT5" s="1185"/>
      <c r="RNU5" s="1185"/>
      <c r="RNV5" s="1185"/>
      <c r="RNW5" s="1185"/>
      <c r="RNX5" s="1185"/>
      <c r="RNY5" s="1185"/>
      <c r="RNZ5" s="1185"/>
      <c r="ROA5" s="1185"/>
      <c r="ROB5" s="1185"/>
      <c r="ROC5" s="1185"/>
      <c r="ROD5" s="1185"/>
      <c r="ROE5" s="1185"/>
      <c r="ROF5" s="1185"/>
      <c r="ROG5" s="1185"/>
      <c r="ROH5" s="1185"/>
      <c r="ROI5" s="1185"/>
      <c r="ROJ5" s="1185"/>
      <c r="ROK5" s="1185"/>
      <c r="ROL5" s="1185"/>
      <c r="ROM5" s="1185"/>
      <c r="RON5" s="1185"/>
      <c r="ROO5" s="1185"/>
      <c r="ROP5" s="1185"/>
      <c r="ROQ5" s="1185"/>
      <c r="ROR5" s="1185"/>
      <c r="ROS5" s="1185"/>
      <c r="ROT5" s="1185"/>
      <c r="ROU5" s="1185"/>
      <c r="ROV5" s="1185"/>
      <c r="ROW5" s="1185"/>
      <c r="ROX5" s="1185"/>
      <c r="ROY5" s="1185"/>
      <c r="ROZ5" s="1185"/>
      <c r="RPA5" s="1185"/>
      <c r="RPB5" s="1185"/>
      <c r="RPC5" s="1185"/>
      <c r="RPD5" s="1185"/>
      <c r="RPE5" s="1185"/>
      <c r="RPF5" s="1185"/>
      <c r="RPG5" s="1185"/>
      <c r="RPH5" s="1185"/>
      <c r="RPI5" s="1185"/>
      <c r="RPJ5" s="1185"/>
      <c r="RPK5" s="1185"/>
      <c r="RPL5" s="1185"/>
      <c r="RPM5" s="1185"/>
      <c r="RPN5" s="1185"/>
      <c r="RPO5" s="1185"/>
      <c r="RPP5" s="1185"/>
      <c r="RPQ5" s="1185"/>
      <c r="RPR5" s="1185"/>
      <c r="RPS5" s="1185"/>
      <c r="RPT5" s="1185"/>
      <c r="RPU5" s="1185"/>
      <c r="RPV5" s="1185"/>
      <c r="RPW5" s="1185"/>
      <c r="RPX5" s="1185"/>
      <c r="RPY5" s="1185"/>
      <c r="RPZ5" s="1185"/>
      <c r="RQA5" s="1185"/>
      <c r="RQB5" s="1185"/>
      <c r="RQC5" s="1185"/>
      <c r="RQD5" s="1185"/>
      <c r="RQE5" s="1185"/>
      <c r="RQF5" s="1185"/>
      <c r="RQG5" s="1185"/>
      <c r="RQH5" s="1185"/>
      <c r="RQI5" s="1185"/>
      <c r="RQJ5" s="1185"/>
      <c r="RQK5" s="1185"/>
      <c r="RQL5" s="1185"/>
      <c r="RQM5" s="1185"/>
      <c r="RQN5" s="1185"/>
      <c r="RQO5" s="1185"/>
      <c r="RQP5" s="1185"/>
      <c r="RQQ5" s="1185"/>
      <c r="RQR5" s="1185"/>
      <c r="RQS5" s="1185"/>
      <c r="RQT5" s="1185"/>
      <c r="RQU5" s="1185"/>
      <c r="RQV5" s="1185"/>
      <c r="RQW5" s="1185"/>
      <c r="RQX5" s="1185"/>
      <c r="RQY5" s="1185"/>
      <c r="RQZ5" s="1185"/>
      <c r="RRA5" s="1185"/>
      <c r="RRB5" s="1185"/>
      <c r="RRC5" s="1185"/>
      <c r="RRD5" s="1185"/>
      <c r="RRE5" s="1185"/>
      <c r="RRF5" s="1185"/>
      <c r="RRG5" s="1185"/>
      <c r="RRH5" s="1185"/>
      <c r="RRI5" s="1185"/>
      <c r="RRJ5" s="1185"/>
      <c r="RRK5" s="1185"/>
      <c r="RRL5" s="1185"/>
      <c r="RRM5" s="1185"/>
      <c r="RRN5" s="1185"/>
      <c r="RRO5" s="1185"/>
      <c r="RRP5" s="1185"/>
      <c r="RRQ5" s="1185"/>
      <c r="RRR5" s="1185"/>
      <c r="RRS5" s="1185"/>
      <c r="RRT5" s="1185"/>
      <c r="RRU5" s="1185"/>
      <c r="RRV5" s="1185"/>
      <c r="RRW5" s="1185"/>
      <c r="RRX5" s="1185"/>
      <c r="RRY5" s="1185"/>
      <c r="RRZ5" s="1185"/>
      <c r="RSA5" s="1185"/>
      <c r="RSB5" s="1185"/>
      <c r="RSC5" s="1185"/>
      <c r="RSD5" s="1185"/>
      <c r="RSE5" s="1185"/>
      <c r="RSF5" s="1185"/>
      <c r="RSG5" s="1185"/>
      <c r="RSH5" s="1185"/>
      <c r="RSI5" s="1185"/>
      <c r="RSJ5" s="1185"/>
      <c r="RSK5" s="1185"/>
      <c r="RSL5" s="1185"/>
      <c r="RSM5" s="1185"/>
      <c r="RSN5" s="1185"/>
      <c r="RSO5" s="1185"/>
      <c r="RSP5" s="1185"/>
      <c r="RSQ5" s="1185"/>
      <c r="RSR5" s="1185"/>
      <c r="RSS5" s="1185"/>
      <c r="RST5" s="1185"/>
      <c r="RSU5" s="1185"/>
      <c r="RSV5" s="1185"/>
      <c r="RSW5" s="1185"/>
      <c r="RSX5" s="1185"/>
      <c r="RSY5" s="1185"/>
      <c r="RSZ5" s="1185"/>
      <c r="RTA5" s="1185"/>
      <c r="RTB5" s="1185"/>
      <c r="RTC5" s="1185"/>
      <c r="RTD5" s="1185"/>
      <c r="RTE5" s="1185"/>
      <c r="RTF5" s="1185"/>
      <c r="RTG5" s="1185"/>
      <c r="RTH5" s="1185"/>
      <c r="RTI5" s="1185"/>
      <c r="RTJ5" s="1185"/>
      <c r="RTK5" s="1185"/>
      <c r="RTL5" s="1185"/>
      <c r="RTM5" s="1185"/>
      <c r="RTN5" s="1185"/>
      <c r="RTO5" s="1185"/>
      <c r="RTP5" s="1185"/>
      <c r="RTQ5" s="1185"/>
      <c r="RTR5" s="1185"/>
      <c r="RTS5" s="1185"/>
      <c r="RTT5" s="1185"/>
      <c r="RTU5" s="1185"/>
      <c r="RTV5" s="1185"/>
      <c r="RTW5" s="1185"/>
      <c r="RTX5" s="1185"/>
      <c r="RTY5" s="1185"/>
      <c r="RTZ5" s="1185"/>
      <c r="RUA5" s="1185"/>
      <c r="RUB5" s="1185"/>
      <c r="RUC5" s="1185"/>
      <c r="RUD5" s="1185"/>
      <c r="RUE5" s="1185"/>
      <c r="RUF5" s="1185"/>
      <c r="RUG5" s="1185"/>
      <c r="RUH5" s="1185"/>
      <c r="RUI5" s="1185"/>
      <c r="RUJ5" s="1185"/>
      <c r="RUK5" s="1185"/>
      <c r="RUL5" s="1185"/>
      <c r="RUM5" s="1185"/>
      <c r="RUN5" s="1185"/>
      <c r="RUO5" s="1185"/>
      <c r="RUP5" s="1185"/>
      <c r="RUQ5" s="1185"/>
      <c r="RUR5" s="1185"/>
      <c r="RUS5" s="1185"/>
      <c r="RUT5" s="1185"/>
      <c r="RUU5" s="1185"/>
      <c r="RUV5" s="1185"/>
      <c r="RUW5" s="1185"/>
      <c r="RUX5" s="1185"/>
      <c r="RUY5" s="1185"/>
      <c r="RUZ5" s="1185"/>
      <c r="RVA5" s="1185"/>
      <c r="RVB5" s="1185"/>
      <c r="RVC5" s="1185"/>
      <c r="RVD5" s="1185"/>
      <c r="RVE5" s="1185"/>
      <c r="RVF5" s="1185"/>
      <c r="RVG5" s="1185"/>
      <c r="RVH5" s="1185"/>
      <c r="RVI5" s="1185"/>
      <c r="RVJ5" s="1185"/>
      <c r="RVK5" s="1185"/>
      <c r="RVL5" s="1185"/>
      <c r="RVM5" s="1185"/>
      <c r="RVN5" s="1185"/>
      <c r="RVO5" s="1185"/>
      <c r="RVP5" s="1185"/>
      <c r="RVQ5" s="1185"/>
      <c r="RVR5" s="1185"/>
      <c r="RVS5" s="1185"/>
      <c r="RVT5" s="1185"/>
      <c r="RVU5" s="1185"/>
      <c r="RVV5" s="1185"/>
      <c r="RVW5" s="1185"/>
      <c r="RVX5" s="1185"/>
      <c r="RVY5" s="1185"/>
      <c r="RVZ5" s="1185"/>
      <c r="RWA5" s="1185"/>
      <c r="RWB5" s="1185"/>
      <c r="RWC5" s="1185"/>
      <c r="RWD5" s="1185"/>
      <c r="RWE5" s="1185"/>
      <c r="RWF5" s="1185"/>
      <c r="RWG5" s="1185"/>
      <c r="RWH5" s="1185"/>
      <c r="RWI5" s="1185"/>
      <c r="RWJ5" s="1185"/>
      <c r="RWK5" s="1185"/>
      <c r="RWL5" s="1185"/>
      <c r="RWM5" s="1185"/>
      <c r="RWN5" s="1185"/>
      <c r="RWO5" s="1185"/>
      <c r="RWP5" s="1185"/>
      <c r="RWQ5" s="1185"/>
      <c r="RWR5" s="1185"/>
      <c r="RWS5" s="1185"/>
      <c r="RWT5" s="1185"/>
      <c r="RWU5" s="1185"/>
      <c r="RWV5" s="1185"/>
      <c r="RWW5" s="1185"/>
      <c r="RWX5" s="1185"/>
      <c r="RWY5" s="1185"/>
      <c r="RWZ5" s="1185"/>
      <c r="RXA5" s="1185"/>
      <c r="RXB5" s="1185"/>
      <c r="RXC5" s="1185"/>
      <c r="RXD5" s="1185"/>
      <c r="RXE5" s="1185"/>
      <c r="RXF5" s="1185"/>
      <c r="RXG5" s="1185"/>
      <c r="RXH5" s="1185"/>
      <c r="RXI5" s="1185"/>
      <c r="RXJ5" s="1185"/>
      <c r="RXK5" s="1185"/>
      <c r="RXL5" s="1185"/>
      <c r="RXM5" s="1185"/>
      <c r="RXN5" s="1185"/>
      <c r="RXO5" s="1185"/>
      <c r="RXP5" s="1185"/>
      <c r="RXQ5" s="1185"/>
      <c r="RXR5" s="1185"/>
      <c r="RXS5" s="1185"/>
      <c r="RXT5" s="1185"/>
      <c r="RXU5" s="1185"/>
      <c r="RXV5" s="1185"/>
      <c r="RXW5" s="1185"/>
      <c r="RXX5" s="1185"/>
      <c r="RXY5" s="1185"/>
      <c r="RXZ5" s="1185"/>
      <c r="RYA5" s="1185"/>
      <c r="RYB5" s="1185"/>
      <c r="RYC5" s="1185"/>
      <c r="RYD5" s="1185"/>
      <c r="RYE5" s="1185"/>
      <c r="RYF5" s="1185"/>
      <c r="RYG5" s="1185"/>
      <c r="RYH5" s="1185"/>
      <c r="RYI5" s="1185"/>
      <c r="RYJ5" s="1185"/>
      <c r="RYK5" s="1185"/>
      <c r="RYL5" s="1185"/>
      <c r="RYM5" s="1185"/>
      <c r="RYN5" s="1185"/>
      <c r="RYO5" s="1185"/>
      <c r="RYP5" s="1185"/>
      <c r="RYQ5" s="1185"/>
      <c r="RYR5" s="1185"/>
      <c r="RYS5" s="1185"/>
      <c r="RYT5" s="1185"/>
      <c r="RYU5" s="1185"/>
      <c r="RYV5" s="1185"/>
      <c r="RYW5" s="1185"/>
      <c r="RYX5" s="1185"/>
      <c r="RYY5" s="1185"/>
      <c r="RYZ5" s="1185"/>
      <c r="RZA5" s="1185"/>
      <c r="RZB5" s="1185"/>
      <c r="RZC5" s="1185"/>
      <c r="RZD5" s="1185"/>
      <c r="RZE5" s="1185"/>
      <c r="RZF5" s="1185"/>
      <c r="RZG5" s="1185"/>
      <c r="RZH5" s="1185"/>
      <c r="RZI5" s="1185"/>
      <c r="RZJ5" s="1185"/>
      <c r="RZK5" s="1185"/>
      <c r="RZL5" s="1185"/>
      <c r="RZM5" s="1185"/>
      <c r="RZN5" s="1185"/>
      <c r="RZO5" s="1185"/>
      <c r="RZP5" s="1185"/>
      <c r="RZQ5" s="1185"/>
      <c r="RZR5" s="1185"/>
      <c r="RZS5" s="1185"/>
      <c r="RZT5" s="1185"/>
      <c r="RZU5" s="1185"/>
      <c r="RZV5" s="1185"/>
      <c r="RZW5" s="1185"/>
      <c r="RZX5" s="1185"/>
      <c r="RZY5" s="1185"/>
      <c r="RZZ5" s="1185"/>
      <c r="SAA5" s="1185"/>
      <c r="SAB5" s="1185"/>
      <c r="SAC5" s="1185"/>
      <c r="SAD5" s="1185"/>
      <c r="SAE5" s="1185"/>
      <c r="SAF5" s="1185"/>
      <c r="SAG5" s="1185"/>
      <c r="SAH5" s="1185"/>
      <c r="SAI5" s="1185"/>
      <c r="SAJ5" s="1185"/>
      <c r="SAK5" s="1185"/>
      <c r="SAL5" s="1185"/>
      <c r="SAM5" s="1185"/>
      <c r="SAN5" s="1185"/>
      <c r="SAO5" s="1185"/>
      <c r="SAP5" s="1185"/>
      <c r="SAQ5" s="1185"/>
      <c r="SAR5" s="1185"/>
      <c r="SAS5" s="1185"/>
      <c r="SAT5" s="1185"/>
      <c r="SAU5" s="1185"/>
      <c r="SAV5" s="1185"/>
      <c r="SAW5" s="1185"/>
      <c r="SAX5" s="1185"/>
      <c r="SAY5" s="1185"/>
      <c r="SAZ5" s="1185"/>
      <c r="SBA5" s="1185"/>
      <c r="SBB5" s="1185"/>
      <c r="SBC5" s="1185"/>
      <c r="SBD5" s="1185"/>
      <c r="SBE5" s="1185"/>
      <c r="SBF5" s="1185"/>
      <c r="SBG5" s="1185"/>
      <c r="SBH5" s="1185"/>
      <c r="SBI5" s="1185"/>
      <c r="SBJ5" s="1185"/>
      <c r="SBK5" s="1185"/>
      <c r="SBL5" s="1185"/>
      <c r="SBM5" s="1185"/>
      <c r="SBN5" s="1185"/>
      <c r="SBO5" s="1185"/>
      <c r="SBP5" s="1185"/>
      <c r="SBQ5" s="1185"/>
      <c r="SBR5" s="1185"/>
      <c r="SBS5" s="1185"/>
      <c r="SBT5" s="1185"/>
      <c r="SBU5" s="1185"/>
      <c r="SBV5" s="1185"/>
      <c r="SBW5" s="1185"/>
      <c r="SBX5" s="1185"/>
      <c r="SBY5" s="1185"/>
      <c r="SBZ5" s="1185"/>
      <c r="SCA5" s="1185"/>
      <c r="SCB5" s="1185"/>
      <c r="SCC5" s="1185"/>
      <c r="SCD5" s="1185"/>
      <c r="SCE5" s="1185"/>
      <c r="SCF5" s="1185"/>
      <c r="SCG5" s="1185"/>
      <c r="SCH5" s="1185"/>
      <c r="SCI5" s="1185"/>
      <c r="SCJ5" s="1185"/>
      <c r="SCK5" s="1185"/>
      <c r="SCL5" s="1185"/>
      <c r="SCM5" s="1185"/>
      <c r="SCN5" s="1185"/>
      <c r="SCO5" s="1185"/>
      <c r="SCP5" s="1185"/>
      <c r="SCQ5" s="1185"/>
      <c r="SCR5" s="1185"/>
      <c r="SCS5" s="1185"/>
      <c r="SCT5" s="1185"/>
      <c r="SCU5" s="1185"/>
      <c r="SCV5" s="1185"/>
      <c r="SCW5" s="1185"/>
      <c r="SCX5" s="1185"/>
      <c r="SCY5" s="1185"/>
      <c r="SCZ5" s="1185"/>
      <c r="SDA5" s="1185"/>
      <c r="SDB5" s="1185"/>
      <c r="SDC5" s="1185"/>
      <c r="SDD5" s="1185"/>
      <c r="SDE5" s="1185"/>
      <c r="SDF5" s="1185"/>
      <c r="SDG5" s="1185"/>
      <c r="SDH5" s="1185"/>
      <c r="SDI5" s="1185"/>
      <c r="SDJ5" s="1185"/>
      <c r="SDK5" s="1185"/>
      <c r="SDL5" s="1185"/>
      <c r="SDM5" s="1185"/>
      <c r="SDN5" s="1185"/>
      <c r="SDO5" s="1185"/>
      <c r="SDP5" s="1185"/>
      <c r="SDQ5" s="1185"/>
      <c r="SDR5" s="1185"/>
      <c r="SDS5" s="1185"/>
      <c r="SDT5" s="1185"/>
      <c r="SDU5" s="1185"/>
      <c r="SDV5" s="1185"/>
      <c r="SDW5" s="1185"/>
      <c r="SDX5" s="1185"/>
      <c r="SDY5" s="1185"/>
      <c r="SDZ5" s="1185"/>
      <c r="SEA5" s="1185"/>
      <c r="SEB5" s="1185"/>
      <c r="SEC5" s="1185"/>
      <c r="SED5" s="1185"/>
      <c r="SEE5" s="1185"/>
      <c r="SEF5" s="1185"/>
      <c r="SEG5" s="1185"/>
      <c r="SEH5" s="1185"/>
      <c r="SEI5" s="1185"/>
      <c r="SEJ5" s="1185"/>
      <c r="SEK5" s="1185"/>
      <c r="SEL5" s="1185"/>
      <c r="SEM5" s="1185"/>
      <c r="SEN5" s="1185"/>
      <c r="SEO5" s="1185"/>
      <c r="SEP5" s="1185"/>
      <c r="SEQ5" s="1185"/>
      <c r="SER5" s="1185"/>
      <c r="SES5" s="1185"/>
      <c r="SET5" s="1185"/>
      <c r="SEU5" s="1185"/>
      <c r="SEV5" s="1185"/>
      <c r="SEW5" s="1185"/>
      <c r="SEX5" s="1185"/>
      <c r="SEY5" s="1185"/>
      <c r="SEZ5" s="1185"/>
      <c r="SFA5" s="1185"/>
      <c r="SFB5" s="1185"/>
      <c r="SFC5" s="1185"/>
      <c r="SFD5" s="1185"/>
      <c r="SFE5" s="1185"/>
      <c r="SFF5" s="1185"/>
      <c r="SFG5" s="1185"/>
      <c r="SFH5" s="1185"/>
      <c r="SFI5" s="1185"/>
      <c r="SFJ5" s="1185"/>
      <c r="SFK5" s="1185"/>
      <c r="SFL5" s="1185"/>
      <c r="SFM5" s="1185"/>
      <c r="SFN5" s="1185"/>
      <c r="SFO5" s="1185"/>
      <c r="SFP5" s="1185"/>
      <c r="SFQ5" s="1185"/>
      <c r="SFR5" s="1185"/>
      <c r="SFS5" s="1185"/>
      <c r="SFT5" s="1185"/>
      <c r="SFU5" s="1185"/>
      <c r="SFV5" s="1185"/>
      <c r="SFW5" s="1185"/>
      <c r="SFX5" s="1185"/>
      <c r="SFY5" s="1185"/>
      <c r="SFZ5" s="1185"/>
      <c r="SGA5" s="1185"/>
      <c r="SGB5" s="1185"/>
      <c r="SGC5" s="1185"/>
      <c r="SGD5" s="1185"/>
      <c r="SGE5" s="1185"/>
      <c r="SGF5" s="1185"/>
      <c r="SGG5" s="1185"/>
      <c r="SGH5" s="1185"/>
      <c r="SGI5" s="1185"/>
      <c r="SGJ5" s="1185"/>
      <c r="SGK5" s="1185"/>
      <c r="SGL5" s="1185"/>
      <c r="SGM5" s="1185"/>
      <c r="SGN5" s="1185"/>
      <c r="SGO5" s="1185"/>
      <c r="SGP5" s="1185"/>
      <c r="SGQ5" s="1185"/>
      <c r="SGR5" s="1185"/>
      <c r="SGS5" s="1185"/>
      <c r="SGT5" s="1185"/>
      <c r="SGU5" s="1185"/>
      <c r="SGV5" s="1185"/>
      <c r="SGW5" s="1185"/>
      <c r="SGX5" s="1185"/>
      <c r="SGY5" s="1185"/>
      <c r="SGZ5" s="1185"/>
      <c r="SHA5" s="1185"/>
      <c r="SHB5" s="1185"/>
      <c r="SHC5" s="1185"/>
      <c r="SHD5" s="1185"/>
      <c r="SHE5" s="1185"/>
      <c r="SHF5" s="1185"/>
      <c r="SHG5" s="1185"/>
      <c r="SHH5" s="1185"/>
      <c r="SHI5" s="1185"/>
      <c r="SHJ5" s="1185"/>
      <c r="SHK5" s="1185"/>
      <c r="SHL5" s="1185"/>
      <c r="SHM5" s="1185"/>
      <c r="SHN5" s="1185"/>
      <c r="SHO5" s="1185"/>
      <c r="SHP5" s="1185"/>
      <c r="SHQ5" s="1185"/>
      <c r="SHR5" s="1185"/>
      <c r="SHS5" s="1185"/>
      <c r="SHT5" s="1185"/>
      <c r="SHU5" s="1185"/>
      <c r="SHV5" s="1185"/>
      <c r="SHW5" s="1185"/>
      <c r="SHX5" s="1185"/>
      <c r="SHY5" s="1185"/>
      <c r="SHZ5" s="1185"/>
      <c r="SIA5" s="1185"/>
      <c r="SIB5" s="1185"/>
      <c r="SIC5" s="1185"/>
      <c r="SID5" s="1185"/>
      <c r="SIE5" s="1185"/>
      <c r="SIF5" s="1185"/>
      <c r="SIG5" s="1185"/>
      <c r="SIH5" s="1185"/>
      <c r="SII5" s="1185"/>
      <c r="SIJ5" s="1185"/>
      <c r="SIK5" s="1185"/>
      <c r="SIL5" s="1185"/>
      <c r="SIM5" s="1185"/>
      <c r="SIN5" s="1185"/>
      <c r="SIO5" s="1185"/>
      <c r="SIP5" s="1185"/>
      <c r="SIQ5" s="1185"/>
      <c r="SIR5" s="1185"/>
      <c r="SIS5" s="1185"/>
      <c r="SIT5" s="1185"/>
      <c r="SIU5" s="1185"/>
      <c r="SIV5" s="1185"/>
      <c r="SIW5" s="1185"/>
      <c r="SIX5" s="1185"/>
      <c r="SIY5" s="1185"/>
      <c r="SIZ5" s="1185"/>
      <c r="SJA5" s="1185"/>
      <c r="SJB5" s="1185"/>
      <c r="SJC5" s="1185"/>
      <c r="SJD5" s="1185"/>
      <c r="SJE5" s="1185"/>
      <c r="SJF5" s="1185"/>
      <c r="SJG5" s="1185"/>
      <c r="SJH5" s="1185"/>
      <c r="SJI5" s="1185"/>
      <c r="SJJ5" s="1185"/>
      <c r="SJK5" s="1185"/>
      <c r="SJL5" s="1185"/>
      <c r="SJM5" s="1185"/>
      <c r="SJN5" s="1185"/>
      <c r="SJO5" s="1185"/>
      <c r="SJP5" s="1185"/>
      <c r="SJQ5" s="1185"/>
      <c r="SJR5" s="1185"/>
      <c r="SJS5" s="1185"/>
      <c r="SJT5" s="1185"/>
      <c r="SJU5" s="1185"/>
      <c r="SJV5" s="1185"/>
      <c r="SJW5" s="1185"/>
      <c r="SJX5" s="1185"/>
      <c r="SJY5" s="1185"/>
      <c r="SJZ5" s="1185"/>
      <c r="SKA5" s="1185"/>
      <c r="SKB5" s="1185"/>
      <c r="SKC5" s="1185"/>
      <c r="SKD5" s="1185"/>
      <c r="SKE5" s="1185"/>
      <c r="SKF5" s="1185"/>
      <c r="SKG5" s="1185"/>
      <c r="SKH5" s="1185"/>
      <c r="SKI5" s="1185"/>
      <c r="SKJ5" s="1185"/>
      <c r="SKK5" s="1185"/>
      <c r="SKL5" s="1185"/>
      <c r="SKM5" s="1185"/>
      <c r="SKN5" s="1185"/>
      <c r="SKO5" s="1185"/>
      <c r="SKP5" s="1185"/>
      <c r="SKQ5" s="1185"/>
      <c r="SKR5" s="1185"/>
      <c r="SKS5" s="1185"/>
      <c r="SKT5" s="1185"/>
      <c r="SKU5" s="1185"/>
      <c r="SKV5" s="1185"/>
      <c r="SKW5" s="1185"/>
      <c r="SKX5" s="1185"/>
      <c r="SKY5" s="1185"/>
      <c r="SKZ5" s="1185"/>
      <c r="SLA5" s="1185"/>
      <c r="SLB5" s="1185"/>
      <c r="SLC5" s="1185"/>
      <c r="SLD5" s="1185"/>
      <c r="SLE5" s="1185"/>
      <c r="SLF5" s="1185"/>
      <c r="SLG5" s="1185"/>
      <c r="SLH5" s="1185"/>
      <c r="SLI5" s="1185"/>
      <c r="SLJ5" s="1185"/>
      <c r="SLK5" s="1185"/>
      <c r="SLL5" s="1185"/>
      <c r="SLM5" s="1185"/>
      <c r="SLN5" s="1185"/>
      <c r="SLO5" s="1185"/>
      <c r="SLP5" s="1185"/>
      <c r="SLQ5" s="1185"/>
      <c r="SLR5" s="1185"/>
      <c r="SLS5" s="1185"/>
      <c r="SLT5" s="1185"/>
      <c r="SLU5" s="1185"/>
      <c r="SLV5" s="1185"/>
      <c r="SLW5" s="1185"/>
      <c r="SLX5" s="1185"/>
      <c r="SLY5" s="1185"/>
      <c r="SLZ5" s="1185"/>
      <c r="SMA5" s="1185"/>
      <c r="SMB5" s="1185"/>
      <c r="SMC5" s="1185"/>
      <c r="SMD5" s="1185"/>
      <c r="SME5" s="1185"/>
      <c r="SMF5" s="1185"/>
      <c r="SMG5" s="1185"/>
      <c r="SMH5" s="1185"/>
      <c r="SMI5" s="1185"/>
      <c r="SMJ5" s="1185"/>
      <c r="SMK5" s="1185"/>
      <c r="SML5" s="1185"/>
      <c r="SMM5" s="1185"/>
      <c r="SMN5" s="1185"/>
      <c r="SMO5" s="1185"/>
      <c r="SMP5" s="1185"/>
      <c r="SMQ5" s="1185"/>
      <c r="SMR5" s="1185"/>
      <c r="SMS5" s="1185"/>
      <c r="SMT5" s="1185"/>
      <c r="SMU5" s="1185"/>
      <c r="SMV5" s="1185"/>
      <c r="SMW5" s="1185"/>
      <c r="SMX5" s="1185"/>
      <c r="SMY5" s="1185"/>
      <c r="SMZ5" s="1185"/>
      <c r="SNA5" s="1185"/>
      <c r="SNB5" s="1185"/>
      <c r="SNC5" s="1185"/>
      <c r="SND5" s="1185"/>
      <c r="SNE5" s="1185"/>
      <c r="SNF5" s="1185"/>
      <c r="SNG5" s="1185"/>
      <c r="SNH5" s="1185"/>
      <c r="SNI5" s="1185"/>
      <c r="SNJ5" s="1185"/>
      <c r="SNK5" s="1185"/>
      <c r="SNL5" s="1185"/>
      <c r="SNM5" s="1185"/>
      <c r="SNN5" s="1185"/>
      <c r="SNO5" s="1185"/>
      <c r="SNP5" s="1185"/>
      <c r="SNQ5" s="1185"/>
      <c r="SNR5" s="1185"/>
      <c r="SNS5" s="1185"/>
      <c r="SNT5" s="1185"/>
      <c r="SNU5" s="1185"/>
      <c r="SNV5" s="1185"/>
      <c r="SNW5" s="1185"/>
      <c r="SNX5" s="1185"/>
      <c r="SNY5" s="1185"/>
      <c r="SNZ5" s="1185"/>
      <c r="SOA5" s="1185"/>
      <c r="SOB5" s="1185"/>
      <c r="SOC5" s="1185"/>
      <c r="SOD5" s="1185"/>
      <c r="SOE5" s="1185"/>
      <c r="SOF5" s="1185"/>
      <c r="SOG5" s="1185"/>
      <c r="SOH5" s="1185"/>
      <c r="SOI5" s="1185"/>
      <c r="SOJ5" s="1185"/>
      <c r="SOK5" s="1185"/>
      <c r="SOL5" s="1185"/>
      <c r="SOM5" s="1185"/>
      <c r="SON5" s="1185"/>
      <c r="SOO5" s="1185"/>
      <c r="SOP5" s="1185"/>
      <c r="SOQ5" s="1185"/>
      <c r="SOR5" s="1185"/>
      <c r="SOS5" s="1185"/>
      <c r="SOT5" s="1185"/>
      <c r="SOU5" s="1185"/>
      <c r="SOV5" s="1185"/>
      <c r="SOW5" s="1185"/>
      <c r="SOX5" s="1185"/>
      <c r="SOY5" s="1185"/>
      <c r="SOZ5" s="1185"/>
      <c r="SPA5" s="1185"/>
      <c r="SPB5" s="1185"/>
      <c r="SPC5" s="1185"/>
      <c r="SPD5" s="1185"/>
      <c r="SPE5" s="1185"/>
      <c r="SPF5" s="1185"/>
      <c r="SPG5" s="1185"/>
      <c r="SPH5" s="1185"/>
      <c r="SPI5" s="1185"/>
      <c r="SPJ5" s="1185"/>
      <c r="SPK5" s="1185"/>
      <c r="SPL5" s="1185"/>
      <c r="SPM5" s="1185"/>
      <c r="SPN5" s="1185"/>
      <c r="SPO5" s="1185"/>
      <c r="SPP5" s="1185"/>
      <c r="SPQ5" s="1185"/>
      <c r="SPR5" s="1185"/>
      <c r="SPS5" s="1185"/>
      <c r="SPT5" s="1185"/>
      <c r="SPU5" s="1185"/>
      <c r="SPV5" s="1185"/>
      <c r="SPW5" s="1185"/>
      <c r="SPX5" s="1185"/>
      <c r="SPY5" s="1185"/>
      <c r="SPZ5" s="1185"/>
      <c r="SQA5" s="1185"/>
      <c r="SQB5" s="1185"/>
      <c r="SQC5" s="1185"/>
      <c r="SQD5" s="1185"/>
      <c r="SQE5" s="1185"/>
      <c r="SQF5" s="1185"/>
      <c r="SQG5" s="1185"/>
      <c r="SQH5" s="1185"/>
      <c r="SQI5" s="1185"/>
      <c r="SQJ5" s="1185"/>
      <c r="SQK5" s="1185"/>
      <c r="SQL5" s="1185"/>
      <c r="SQM5" s="1185"/>
      <c r="SQN5" s="1185"/>
      <c r="SQO5" s="1185"/>
      <c r="SQP5" s="1185"/>
      <c r="SQQ5" s="1185"/>
      <c r="SQR5" s="1185"/>
      <c r="SQS5" s="1185"/>
      <c r="SQT5" s="1185"/>
      <c r="SQU5" s="1185"/>
      <c r="SQV5" s="1185"/>
      <c r="SQW5" s="1185"/>
      <c r="SQX5" s="1185"/>
      <c r="SQY5" s="1185"/>
      <c r="SQZ5" s="1185"/>
      <c r="SRA5" s="1185"/>
      <c r="SRB5" s="1185"/>
      <c r="SRC5" s="1185"/>
      <c r="SRD5" s="1185"/>
      <c r="SRE5" s="1185"/>
      <c r="SRF5" s="1185"/>
      <c r="SRG5" s="1185"/>
      <c r="SRH5" s="1185"/>
      <c r="SRI5" s="1185"/>
      <c r="SRJ5" s="1185"/>
      <c r="SRK5" s="1185"/>
      <c r="SRL5" s="1185"/>
      <c r="SRM5" s="1185"/>
      <c r="SRN5" s="1185"/>
      <c r="SRO5" s="1185"/>
      <c r="SRP5" s="1185"/>
      <c r="SRQ5" s="1185"/>
      <c r="SRR5" s="1185"/>
      <c r="SRS5" s="1185"/>
      <c r="SRT5" s="1185"/>
      <c r="SRU5" s="1185"/>
      <c r="SRV5" s="1185"/>
      <c r="SRW5" s="1185"/>
      <c r="SRX5" s="1185"/>
      <c r="SRY5" s="1185"/>
      <c r="SRZ5" s="1185"/>
      <c r="SSA5" s="1185"/>
      <c r="SSB5" s="1185"/>
      <c r="SSC5" s="1185"/>
      <c r="SSD5" s="1185"/>
      <c r="SSE5" s="1185"/>
      <c r="SSF5" s="1185"/>
      <c r="SSG5" s="1185"/>
      <c r="SSH5" s="1185"/>
      <c r="SSI5" s="1185"/>
      <c r="SSJ5" s="1185"/>
      <c r="SSK5" s="1185"/>
      <c r="SSL5" s="1185"/>
      <c r="SSM5" s="1185"/>
      <c r="SSN5" s="1185"/>
      <c r="SSO5" s="1185"/>
      <c r="SSP5" s="1185"/>
      <c r="SSQ5" s="1185"/>
      <c r="SSR5" s="1185"/>
      <c r="SSS5" s="1185"/>
      <c r="SST5" s="1185"/>
      <c r="SSU5" s="1185"/>
      <c r="SSV5" s="1185"/>
      <c r="SSW5" s="1185"/>
      <c r="SSX5" s="1185"/>
      <c r="SSY5" s="1185"/>
      <c r="SSZ5" s="1185"/>
      <c r="STA5" s="1185"/>
      <c r="STB5" s="1185"/>
      <c r="STC5" s="1185"/>
      <c r="STD5" s="1185"/>
      <c r="STE5" s="1185"/>
      <c r="STF5" s="1185"/>
      <c r="STG5" s="1185"/>
      <c r="STH5" s="1185"/>
      <c r="STI5" s="1185"/>
      <c r="STJ5" s="1185"/>
      <c r="STK5" s="1185"/>
      <c r="STL5" s="1185"/>
      <c r="STM5" s="1185"/>
      <c r="STN5" s="1185"/>
      <c r="STO5" s="1185"/>
      <c r="STP5" s="1185"/>
      <c r="STQ5" s="1185"/>
      <c r="STR5" s="1185"/>
      <c r="STS5" s="1185"/>
      <c r="STT5" s="1185"/>
      <c r="STU5" s="1185"/>
      <c r="STV5" s="1185"/>
      <c r="STW5" s="1185"/>
      <c r="STX5" s="1185"/>
      <c r="STY5" s="1185"/>
      <c r="STZ5" s="1185"/>
      <c r="SUA5" s="1185"/>
      <c r="SUB5" s="1185"/>
      <c r="SUC5" s="1185"/>
      <c r="SUD5" s="1185"/>
      <c r="SUE5" s="1185"/>
      <c r="SUF5" s="1185"/>
      <c r="SUG5" s="1185"/>
      <c r="SUH5" s="1185"/>
      <c r="SUI5" s="1185"/>
      <c r="SUJ5" s="1185"/>
      <c r="SUK5" s="1185"/>
      <c r="SUL5" s="1185"/>
      <c r="SUM5" s="1185"/>
      <c r="SUN5" s="1185"/>
      <c r="SUO5" s="1185"/>
      <c r="SUP5" s="1185"/>
      <c r="SUQ5" s="1185"/>
      <c r="SUR5" s="1185"/>
      <c r="SUS5" s="1185"/>
      <c r="SUT5" s="1185"/>
      <c r="SUU5" s="1185"/>
      <c r="SUV5" s="1185"/>
      <c r="SUW5" s="1185"/>
      <c r="SUX5" s="1185"/>
      <c r="SUY5" s="1185"/>
      <c r="SUZ5" s="1185"/>
      <c r="SVA5" s="1185"/>
      <c r="SVB5" s="1185"/>
      <c r="SVC5" s="1185"/>
      <c r="SVD5" s="1185"/>
      <c r="SVE5" s="1185"/>
      <c r="SVF5" s="1185"/>
      <c r="SVG5" s="1185"/>
      <c r="SVH5" s="1185"/>
      <c r="SVI5" s="1185"/>
      <c r="SVJ5" s="1185"/>
      <c r="SVK5" s="1185"/>
      <c r="SVL5" s="1185"/>
      <c r="SVM5" s="1185"/>
      <c r="SVN5" s="1185"/>
      <c r="SVO5" s="1185"/>
      <c r="SVP5" s="1185"/>
      <c r="SVQ5" s="1185"/>
      <c r="SVR5" s="1185"/>
      <c r="SVS5" s="1185"/>
      <c r="SVT5" s="1185"/>
      <c r="SVU5" s="1185"/>
      <c r="SVV5" s="1185"/>
      <c r="SVW5" s="1185"/>
      <c r="SVX5" s="1185"/>
      <c r="SVY5" s="1185"/>
      <c r="SVZ5" s="1185"/>
      <c r="SWA5" s="1185"/>
      <c r="SWB5" s="1185"/>
      <c r="SWC5" s="1185"/>
      <c r="SWD5" s="1185"/>
      <c r="SWE5" s="1185"/>
      <c r="SWF5" s="1185"/>
      <c r="SWG5" s="1185"/>
      <c r="SWH5" s="1185"/>
      <c r="SWI5" s="1185"/>
      <c r="SWJ5" s="1185"/>
      <c r="SWK5" s="1185"/>
      <c r="SWL5" s="1185"/>
      <c r="SWM5" s="1185"/>
      <c r="SWN5" s="1185"/>
      <c r="SWO5" s="1185"/>
      <c r="SWP5" s="1185"/>
      <c r="SWQ5" s="1185"/>
      <c r="SWR5" s="1185"/>
      <c r="SWS5" s="1185"/>
      <c r="SWT5" s="1185"/>
      <c r="SWU5" s="1185"/>
      <c r="SWV5" s="1185"/>
      <c r="SWW5" s="1185"/>
      <c r="SWX5" s="1185"/>
      <c r="SWY5" s="1185"/>
      <c r="SWZ5" s="1185"/>
      <c r="SXA5" s="1185"/>
      <c r="SXB5" s="1185"/>
      <c r="SXC5" s="1185"/>
      <c r="SXD5" s="1185"/>
      <c r="SXE5" s="1185"/>
      <c r="SXF5" s="1185"/>
      <c r="SXG5" s="1185"/>
      <c r="SXH5" s="1185"/>
      <c r="SXI5" s="1185"/>
      <c r="SXJ5" s="1185"/>
      <c r="SXK5" s="1185"/>
      <c r="SXL5" s="1185"/>
      <c r="SXM5" s="1185"/>
      <c r="SXN5" s="1185"/>
      <c r="SXO5" s="1185"/>
      <c r="SXP5" s="1185"/>
      <c r="SXQ5" s="1185"/>
      <c r="SXR5" s="1185"/>
      <c r="SXS5" s="1185"/>
      <c r="SXT5" s="1185"/>
      <c r="SXU5" s="1185"/>
      <c r="SXV5" s="1185"/>
      <c r="SXW5" s="1185"/>
      <c r="SXX5" s="1185"/>
      <c r="SXY5" s="1185"/>
      <c r="SXZ5" s="1185"/>
      <c r="SYA5" s="1185"/>
      <c r="SYB5" s="1185"/>
      <c r="SYC5" s="1185"/>
      <c r="SYD5" s="1185"/>
      <c r="SYE5" s="1185"/>
      <c r="SYF5" s="1185"/>
      <c r="SYG5" s="1185"/>
      <c r="SYH5" s="1185"/>
      <c r="SYI5" s="1185"/>
      <c r="SYJ5" s="1185"/>
      <c r="SYK5" s="1185"/>
      <c r="SYL5" s="1185"/>
      <c r="SYM5" s="1185"/>
      <c r="SYN5" s="1185"/>
      <c r="SYO5" s="1185"/>
      <c r="SYP5" s="1185"/>
      <c r="SYQ5" s="1185"/>
      <c r="SYR5" s="1185"/>
      <c r="SYS5" s="1185"/>
      <c r="SYT5" s="1185"/>
      <c r="SYU5" s="1185"/>
      <c r="SYV5" s="1185"/>
      <c r="SYW5" s="1185"/>
      <c r="SYX5" s="1185"/>
      <c r="SYY5" s="1185"/>
      <c r="SYZ5" s="1185"/>
      <c r="SZA5" s="1185"/>
      <c r="SZB5" s="1185"/>
      <c r="SZC5" s="1185"/>
      <c r="SZD5" s="1185"/>
      <c r="SZE5" s="1185"/>
      <c r="SZF5" s="1185"/>
      <c r="SZG5" s="1185"/>
      <c r="SZH5" s="1185"/>
      <c r="SZI5" s="1185"/>
      <c r="SZJ5" s="1185"/>
      <c r="SZK5" s="1185"/>
      <c r="SZL5" s="1185"/>
      <c r="SZM5" s="1185"/>
      <c r="SZN5" s="1185"/>
      <c r="SZO5" s="1185"/>
      <c r="SZP5" s="1185"/>
      <c r="SZQ5" s="1185"/>
      <c r="SZR5" s="1185"/>
      <c r="SZS5" s="1185"/>
      <c r="SZT5" s="1185"/>
      <c r="SZU5" s="1185"/>
      <c r="SZV5" s="1185"/>
      <c r="SZW5" s="1185"/>
      <c r="SZX5" s="1185"/>
      <c r="SZY5" s="1185"/>
      <c r="SZZ5" s="1185"/>
      <c r="TAA5" s="1185"/>
      <c r="TAB5" s="1185"/>
      <c r="TAC5" s="1185"/>
      <c r="TAD5" s="1185"/>
      <c r="TAE5" s="1185"/>
      <c r="TAF5" s="1185"/>
      <c r="TAG5" s="1185"/>
      <c r="TAH5" s="1185"/>
      <c r="TAI5" s="1185"/>
      <c r="TAJ5" s="1185"/>
      <c r="TAK5" s="1185"/>
      <c r="TAL5" s="1185"/>
      <c r="TAM5" s="1185"/>
      <c r="TAN5" s="1185"/>
      <c r="TAO5" s="1185"/>
      <c r="TAP5" s="1185"/>
      <c r="TAQ5" s="1185"/>
      <c r="TAR5" s="1185"/>
      <c r="TAS5" s="1185"/>
      <c r="TAT5" s="1185"/>
      <c r="TAU5" s="1185"/>
      <c r="TAV5" s="1185"/>
      <c r="TAW5" s="1185"/>
      <c r="TAX5" s="1185"/>
      <c r="TAY5" s="1185"/>
      <c r="TAZ5" s="1185"/>
      <c r="TBA5" s="1185"/>
      <c r="TBB5" s="1185"/>
      <c r="TBC5" s="1185"/>
      <c r="TBD5" s="1185"/>
      <c r="TBE5" s="1185"/>
      <c r="TBF5" s="1185"/>
      <c r="TBG5" s="1185"/>
      <c r="TBH5" s="1185"/>
      <c r="TBI5" s="1185"/>
      <c r="TBJ5" s="1185"/>
      <c r="TBK5" s="1185"/>
      <c r="TBL5" s="1185"/>
      <c r="TBM5" s="1185"/>
      <c r="TBN5" s="1185"/>
      <c r="TBO5" s="1185"/>
      <c r="TBP5" s="1185"/>
      <c r="TBQ5" s="1185"/>
      <c r="TBR5" s="1185"/>
      <c r="TBS5" s="1185"/>
      <c r="TBT5" s="1185"/>
      <c r="TBU5" s="1185"/>
      <c r="TBV5" s="1185"/>
      <c r="TBW5" s="1185"/>
      <c r="TBX5" s="1185"/>
      <c r="TBY5" s="1185"/>
      <c r="TBZ5" s="1185"/>
      <c r="TCA5" s="1185"/>
      <c r="TCB5" s="1185"/>
      <c r="TCC5" s="1185"/>
      <c r="TCD5" s="1185"/>
      <c r="TCE5" s="1185"/>
      <c r="TCF5" s="1185"/>
      <c r="TCG5" s="1185"/>
      <c r="TCH5" s="1185"/>
      <c r="TCI5" s="1185"/>
      <c r="TCJ5" s="1185"/>
      <c r="TCK5" s="1185"/>
      <c r="TCL5" s="1185"/>
      <c r="TCM5" s="1185"/>
      <c r="TCN5" s="1185"/>
      <c r="TCO5" s="1185"/>
      <c r="TCP5" s="1185"/>
      <c r="TCQ5" s="1185"/>
      <c r="TCR5" s="1185"/>
      <c r="TCS5" s="1185"/>
      <c r="TCT5" s="1185"/>
      <c r="TCU5" s="1185"/>
      <c r="TCV5" s="1185"/>
      <c r="TCW5" s="1185"/>
      <c r="TCX5" s="1185"/>
      <c r="TCY5" s="1185"/>
      <c r="TCZ5" s="1185"/>
      <c r="TDA5" s="1185"/>
      <c r="TDB5" s="1185"/>
      <c r="TDC5" s="1185"/>
      <c r="TDD5" s="1185"/>
      <c r="TDE5" s="1185"/>
      <c r="TDF5" s="1185"/>
      <c r="TDG5" s="1185"/>
      <c r="TDH5" s="1185"/>
      <c r="TDI5" s="1185"/>
      <c r="TDJ5" s="1185"/>
      <c r="TDK5" s="1185"/>
      <c r="TDL5" s="1185"/>
      <c r="TDM5" s="1185"/>
      <c r="TDN5" s="1185"/>
      <c r="TDO5" s="1185"/>
      <c r="TDP5" s="1185"/>
      <c r="TDQ5" s="1185"/>
      <c r="TDR5" s="1185"/>
      <c r="TDS5" s="1185"/>
      <c r="TDT5" s="1185"/>
      <c r="TDU5" s="1185"/>
      <c r="TDV5" s="1185"/>
      <c r="TDW5" s="1185"/>
      <c r="TDX5" s="1185"/>
      <c r="TDY5" s="1185"/>
      <c r="TDZ5" s="1185"/>
      <c r="TEA5" s="1185"/>
      <c r="TEB5" s="1185"/>
      <c r="TEC5" s="1185"/>
      <c r="TED5" s="1185"/>
      <c r="TEE5" s="1185"/>
      <c r="TEF5" s="1185"/>
      <c r="TEG5" s="1185"/>
      <c r="TEH5" s="1185"/>
      <c r="TEI5" s="1185"/>
      <c r="TEJ5" s="1185"/>
      <c r="TEK5" s="1185"/>
      <c r="TEL5" s="1185"/>
      <c r="TEM5" s="1185"/>
      <c r="TEN5" s="1185"/>
      <c r="TEO5" s="1185"/>
      <c r="TEP5" s="1185"/>
      <c r="TEQ5" s="1185"/>
      <c r="TER5" s="1185"/>
      <c r="TES5" s="1185"/>
      <c r="TET5" s="1185"/>
      <c r="TEU5" s="1185"/>
      <c r="TEV5" s="1185"/>
      <c r="TEW5" s="1185"/>
      <c r="TEX5" s="1185"/>
      <c r="TEY5" s="1185"/>
      <c r="TEZ5" s="1185"/>
      <c r="TFA5" s="1185"/>
      <c r="TFB5" s="1185"/>
      <c r="TFC5" s="1185"/>
      <c r="TFD5" s="1185"/>
      <c r="TFE5" s="1185"/>
      <c r="TFF5" s="1185"/>
      <c r="TFG5" s="1185"/>
      <c r="TFH5" s="1185"/>
      <c r="TFI5" s="1185"/>
      <c r="TFJ5" s="1185"/>
      <c r="TFK5" s="1185"/>
      <c r="TFL5" s="1185"/>
      <c r="TFM5" s="1185"/>
      <c r="TFN5" s="1185"/>
      <c r="TFO5" s="1185"/>
      <c r="TFP5" s="1185"/>
      <c r="TFQ5" s="1185"/>
      <c r="TFR5" s="1185"/>
      <c r="TFS5" s="1185"/>
      <c r="TFT5" s="1185"/>
      <c r="TFU5" s="1185"/>
      <c r="TFV5" s="1185"/>
      <c r="TFW5" s="1185"/>
      <c r="TFX5" s="1185"/>
      <c r="TFY5" s="1185"/>
      <c r="TFZ5" s="1185"/>
      <c r="TGA5" s="1185"/>
      <c r="TGB5" s="1185"/>
      <c r="TGC5" s="1185"/>
      <c r="TGD5" s="1185"/>
      <c r="TGE5" s="1185"/>
      <c r="TGF5" s="1185"/>
      <c r="TGG5" s="1185"/>
      <c r="TGH5" s="1185"/>
      <c r="TGI5" s="1185"/>
      <c r="TGJ5" s="1185"/>
      <c r="TGK5" s="1185"/>
      <c r="TGL5" s="1185"/>
      <c r="TGM5" s="1185"/>
      <c r="TGN5" s="1185"/>
      <c r="TGO5" s="1185"/>
      <c r="TGP5" s="1185"/>
      <c r="TGQ5" s="1185"/>
      <c r="TGR5" s="1185"/>
      <c r="TGS5" s="1185"/>
      <c r="TGT5" s="1185"/>
      <c r="TGU5" s="1185"/>
      <c r="TGV5" s="1185"/>
      <c r="TGW5" s="1185"/>
      <c r="TGX5" s="1185"/>
      <c r="TGY5" s="1185"/>
      <c r="TGZ5" s="1185"/>
      <c r="THA5" s="1185"/>
      <c r="THB5" s="1185"/>
      <c r="THC5" s="1185"/>
      <c r="THD5" s="1185"/>
      <c r="THE5" s="1185"/>
      <c r="THF5" s="1185"/>
      <c r="THG5" s="1185"/>
      <c r="THH5" s="1185"/>
      <c r="THI5" s="1185"/>
      <c r="THJ5" s="1185"/>
      <c r="THK5" s="1185"/>
      <c r="THL5" s="1185"/>
      <c r="THM5" s="1185"/>
      <c r="THN5" s="1185"/>
      <c r="THO5" s="1185"/>
      <c r="THP5" s="1185"/>
      <c r="THQ5" s="1185"/>
      <c r="THR5" s="1185"/>
      <c r="THS5" s="1185"/>
      <c r="THT5" s="1185"/>
      <c r="THU5" s="1185"/>
      <c r="THV5" s="1185"/>
      <c r="THW5" s="1185"/>
      <c r="THX5" s="1185"/>
      <c r="THY5" s="1185"/>
      <c r="THZ5" s="1185"/>
      <c r="TIA5" s="1185"/>
      <c r="TIB5" s="1185"/>
      <c r="TIC5" s="1185"/>
      <c r="TID5" s="1185"/>
      <c r="TIE5" s="1185"/>
      <c r="TIF5" s="1185"/>
      <c r="TIG5" s="1185"/>
      <c r="TIH5" s="1185"/>
      <c r="TII5" s="1185"/>
      <c r="TIJ5" s="1185"/>
      <c r="TIK5" s="1185"/>
      <c r="TIL5" s="1185"/>
      <c r="TIM5" s="1185"/>
      <c r="TIN5" s="1185"/>
      <c r="TIO5" s="1185"/>
      <c r="TIP5" s="1185"/>
      <c r="TIQ5" s="1185"/>
      <c r="TIR5" s="1185"/>
      <c r="TIS5" s="1185"/>
      <c r="TIT5" s="1185"/>
      <c r="TIU5" s="1185"/>
      <c r="TIV5" s="1185"/>
      <c r="TIW5" s="1185"/>
      <c r="TIX5" s="1185"/>
      <c r="TIY5" s="1185"/>
      <c r="TIZ5" s="1185"/>
      <c r="TJA5" s="1185"/>
      <c r="TJB5" s="1185"/>
      <c r="TJC5" s="1185"/>
      <c r="TJD5" s="1185"/>
      <c r="TJE5" s="1185"/>
      <c r="TJF5" s="1185"/>
      <c r="TJG5" s="1185"/>
      <c r="TJH5" s="1185"/>
      <c r="TJI5" s="1185"/>
      <c r="TJJ5" s="1185"/>
      <c r="TJK5" s="1185"/>
      <c r="TJL5" s="1185"/>
      <c r="TJM5" s="1185"/>
      <c r="TJN5" s="1185"/>
      <c r="TJO5" s="1185"/>
      <c r="TJP5" s="1185"/>
      <c r="TJQ5" s="1185"/>
      <c r="TJR5" s="1185"/>
      <c r="TJS5" s="1185"/>
      <c r="TJT5" s="1185"/>
      <c r="TJU5" s="1185"/>
      <c r="TJV5" s="1185"/>
      <c r="TJW5" s="1185"/>
      <c r="TJX5" s="1185"/>
      <c r="TJY5" s="1185"/>
      <c r="TJZ5" s="1185"/>
      <c r="TKA5" s="1185"/>
      <c r="TKB5" s="1185"/>
      <c r="TKC5" s="1185"/>
      <c r="TKD5" s="1185"/>
      <c r="TKE5" s="1185"/>
      <c r="TKF5" s="1185"/>
      <c r="TKG5" s="1185"/>
      <c r="TKH5" s="1185"/>
      <c r="TKI5" s="1185"/>
      <c r="TKJ5" s="1185"/>
      <c r="TKK5" s="1185"/>
      <c r="TKL5" s="1185"/>
      <c r="TKM5" s="1185"/>
      <c r="TKN5" s="1185"/>
      <c r="TKO5" s="1185"/>
      <c r="TKP5" s="1185"/>
      <c r="TKQ5" s="1185"/>
      <c r="TKR5" s="1185"/>
      <c r="TKS5" s="1185"/>
      <c r="TKT5" s="1185"/>
      <c r="TKU5" s="1185"/>
      <c r="TKV5" s="1185"/>
      <c r="TKW5" s="1185"/>
      <c r="TKX5" s="1185"/>
      <c r="TKY5" s="1185"/>
      <c r="TKZ5" s="1185"/>
      <c r="TLA5" s="1185"/>
      <c r="TLB5" s="1185"/>
      <c r="TLC5" s="1185"/>
      <c r="TLD5" s="1185"/>
      <c r="TLE5" s="1185"/>
      <c r="TLF5" s="1185"/>
      <c r="TLG5" s="1185"/>
      <c r="TLH5" s="1185"/>
      <c r="TLI5" s="1185"/>
      <c r="TLJ5" s="1185"/>
      <c r="TLK5" s="1185"/>
      <c r="TLL5" s="1185"/>
      <c r="TLM5" s="1185"/>
      <c r="TLN5" s="1185"/>
      <c r="TLO5" s="1185"/>
      <c r="TLP5" s="1185"/>
      <c r="TLQ5" s="1185"/>
      <c r="TLR5" s="1185"/>
      <c r="TLS5" s="1185"/>
      <c r="TLT5" s="1185"/>
      <c r="TLU5" s="1185"/>
      <c r="TLV5" s="1185"/>
      <c r="TLW5" s="1185"/>
      <c r="TLX5" s="1185"/>
      <c r="TLY5" s="1185"/>
      <c r="TLZ5" s="1185"/>
      <c r="TMA5" s="1185"/>
      <c r="TMB5" s="1185"/>
      <c r="TMC5" s="1185"/>
      <c r="TMD5" s="1185"/>
      <c r="TME5" s="1185"/>
      <c r="TMF5" s="1185"/>
      <c r="TMG5" s="1185"/>
      <c r="TMH5" s="1185"/>
      <c r="TMI5" s="1185"/>
      <c r="TMJ5" s="1185"/>
      <c r="TMK5" s="1185"/>
      <c r="TML5" s="1185"/>
      <c r="TMM5" s="1185"/>
      <c r="TMN5" s="1185"/>
      <c r="TMO5" s="1185"/>
      <c r="TMP5" s="1185"/>
      <c r="TMQ5" s="1185"/>
      <c r="TMR5" s="1185"/>
      <c r="TMS5" s="1185"/>
      <c r="TMT5" s="1185"/>
      <c r="TMU5" s="1185"/>
      <c r="TMV5" s="1185"/>
      <c r="TMW5" s="1185"/>
      <c r="TMX5" s="1185"/>
      <c r="TMY5" s="1185"/>
      <c r="TMZ5" s="1185"/>
      <c r="TNA5" s="1185"/>
      <c r="TNB5" s="1185"/>
      <c r="TNC5" s="1185"/>
      <c r="TND5" s="1185"/>
      <c r="TNE5" s="1185"/>
      <c r="TNF5" s="1185"/>
      <c r="TNG5" s="1185"/>
      <c r="TNH5" s="1185"/>
      <c r="TNI5" s="1185"/>
      <c r="TNJ5" s="1185"/>
      <c r="TNK5" s="1185"/>
      <c r="TNL5" s="1185"/>
      <c r="TNM5" s="1185"/>
      <c r="TNN5" s="1185"/>
      <c r="TNO5" s="1185"/>
      <c r="TNP5" s="1185"/>
      <c r="TNQ5" s="1185"/>
      <c r="TNR5" s="1185"/>
      <c r="TNS5" s="1185"/>
      <c r="TNT5" s="1185"/>
      <c r="TNU5" s="1185"/>
      <c r="TNV5" s="1185"/>
      <c r="TNW5" s="1185"/>
      <c r="TNX5" s="1185"/>
      <c r="TNY5" s="1185"/>
      <c r="TNZ5" s="1185"/>
      <c r="TOA5" s="1185"/>
      <c r="TOB5" s="1185"/>
      <c r="TOC5" s="1185"/>
      <c r="TOD5" s="1185"/>
      <c r="TOE5" s="1185"/>
      <c r="TOF5" s="1185"/>
      <c r="TOG5" s="1185"/>
      <c r="TOH5" s="1185"/>
      <c r="TOI5" s="1185"/>
      <c r="TOJ5" s="1185"/>
      <c r="TOK5" s="1185"/>
      <c r="TOL5" s="1185"/>
      <c r="TOM5" s="1185"/>
      <c r="TON5" s="1185"/>
      <c r="TOO5" s="1185"/>
      <c r="TOP5" s="1185"/>
      <c r="TOQ5" s="1185"/>
      <c r="TOR5" s="1185"/>
      <c r="TOS5" s="1185"/>
      <c r="TOT5" s="1185"/>
      <c r="TOU5" s="1185"/>
      <c r="TOV5" s="1185"/>
      <c r="TOW5" s="1185"/>
      <c r="TOX5" s="1185"/>
      <c r="TOY5" s="1185"/>
      <c r="TOZ5" s="1185"/>
      <c r="TPA5" s="1185"/>
      <c r="TPB5" s="1185"/>
      <c r="TPC5" s="1185"/>
      <c r="TPD5" s="1185"/>
      <c r="TPE5" s="1185"/>
      <c r="TPF5" s="1185"/>
      <c r="TPG5" s="1185"/>
      <c r="TPH5" s="1185"/>
      <c r="TPI5" s="1185"/>
      <c r="TPJ5" s="1185"/>
      <c r="TPK5" s="1185"/>
      <c r="TPL5" s="1185"/>
      <c r="TPM5" s="1185"/>
      <c r="TPN5" s="1185"/>
      <c r="TPO5" s="1185"/>
      <c r="TPP5" s="1185"/>
      <c r="TPQ5" s="1185"/>
      <c r="TPR5" s="1185"/>
      <c r="TPS5" s="1185"/>
      <c r="TPT5" s="1185"/>
      <c r="TPU5" s="1185"/>
      <c r="TPV5" s="1185"/>
      <c r="TPW5" s="1185"/>
      <c r="TPX5" s="1185"/>
      <c r="TPY5" s="1185"/>
      <c r="TPZ5" s="1185"/>
      <c r="TQA5" s="1185"/>
      <c r="TQB5" s="1185"/>
      <c r="TQC5" s="1185"/>
      <c r="TQD5" s="1185"/>
      <c r="TQE5" s="1185"/>
      <c r="TQF5" s="1185"/>
      <c r="TQG5" s="1185"/>
      <c r="TQH5" s="1185"/>
      <c r="TQI5" s="1185"/>
      <c r="TQJ5" s="1185"/>
      <c r="TQK5" s="1185"/>
      <c r="TQL5" s="1185"/>
      <c r="TQM5" s="1185"/>
      <c r="TQN5" s="1185"/>
      <c r="TQO5" s="1185"/>
      <c r="TQP5" s="1185"/>
      <c r="TQQ5" s="1185"/>
      <c r="TQR5" s="1185"/>
      <c r="TQS5" s="1185"/>
      <c r="TQT5" s="1185"/>
      <c r="TQU5" s="1185"/>
      <c r="TQV5" s="1185"/>
      <c r="TQW5" s="1185"/>
      <c r="TQX5" s="1185"/>
      <c r="TQY5" s="1185"/>
      <c r="TQZ5" s="1185"/>
      <c r="TRA5" s="1185"/>
      <c r="TRB5" s="1185"/>
      <c r="TRC5" s="1185"/>
      <c r="TRD5" s="1185"/>
      <c r="TRE5" s="1185"/>
      <c r="TRF5" s="1185"/>
      <c r="TRG5" s="1185"/>
      <c r="TRH5" s="1185"/>
      <c r="TRI5" s="1185"/>
      <c r="TRJ5" s="1185"/>
      <c r="TRK5" s="1185"/>
      <c r="TRL5" s="1185"/>
      <c r="TRM5" s="1185"/>
      <c r="TRN5" s="1185"/>
      <c r="TRO5" s="1185"/>
      <c r="TRP5" s="1185"/>
      <c r="TRQ5" s="1185"/>
      <c r="TRR5" s="1185"/>
      <c r="TRS5" s="1185"/>
      <c r="TRT5" s="1185"/>
      <c r="TRU5" s="1185"/>
      <c r="TRV5" s="1185"/>
      <c r="TRW5" s="1185"/>
      <c r="TRX5" s="1185"/>
      <c r="TRY5" s="1185"/>
      <c r="TRZ5" s="1185"/>
      <c r="TSA5" s="1185"/>
      <c r="TSB5" s="1185"/>
      <c r="TSC5" s="1185"/>
      <c r="TSD5" s="1185"/>
      <c r="TSE5" s="1185"/>
      <c r="TSF5" s="1185"/>
      <c r="TSG5" s="1185"/>
      <c r="TSH5" s="1185"/>
      <c r="TSI5" s="1185"/>
      <c r="TSJ5" s="1185"/>
      <c r="TSK5" s="1185"/>
      <c r="TSL5" s="1185"/>
      <c r="TSM5" s="1185"/>
      <c r="TSN5" s="1185"/>
      <c r="TSO5" s="1185"/>
      <c r="TSP5" s="1185"/>
      <c r="TSQ5" s="1185"/>
      <c r="TSR5" s="1185"/>
      <c r="TSS5" s="1185"/>
      <c r="TST5" s="1185"/>
      <c r="TSU5" s="1185"/>
      <c r="TSV5" s="1185"/>
      <c r="TSW5" s="1185"/>
      <c r="TSX5" s="1185"/>
      <c r="TSY5" s="1185"/>
      <c r="TSZ5" s="1185"/>
      <c r="TTA5" s="1185"/>
      <c r="TTB5" s="1185"/>
      <c r="TTC5" s="1185"/>
      <c r="TTD5" s="1185"/>
      <c r="TTE5" s="1185"/>
      <c r="TTF5" s="1185"/>
      <c r="TTG5" s="1185"/>
      <c r="TTH5" s="1185"/>
      <c r="TTI5" s="1185"/>
      <c r="TTJ5" s="1185"/>
      <c r="TTK5" s="1185"/>
      <c r="TTL5" s="1185"/>
      <c r="TTM5" s="1185"/>
      <c r="TTN5" s="1185"/>
      <c r="TTO5" s="1185"/>
      <c r="TTP5" s="1185"/>
      <c r="TTQ5" s="1185"/>
      <c r="TTR5" s="1185"/>
      <c r="TTS5" s="1185"/>
      <c r="TTT5" s="1185"/>
      <c r="TTU5" s="1185"/>
      <c r="TTV5" s="1185"/>
      <c r="TTW5" s="1185"/>
      <c r="TTX5" s="1185"/>
      <c r="TTY5" s="1185"/>
      <c r="TTZ5" s="1185"/>
      <c r="TUA5" s="1185"/>
      <c r="TUB5" s="1185"/>
      <c r="TUC5" s="1185"/>
      <c r="TUD5" s="1185"/>
      <c r="TUE5" s="1185"/>
      <c r="TUF5" s="1185"/>
      <c r="TUG5" s="1185"/>
      <c r="TUH5" s="1185"/>
      <c r="TUI5" s="1185"/>
      <c r="TUJ5" s="1185"/>
      <c r="TUK5" s="1185"/>
      <c r="TUL5" s="1185"/>
      <c r="TUM5" s="1185"/>
      <c r="TUN5" s="1185"/>
      <c r="TUO5" s="1185"/>
      <c r="TUP5" s="1185"/>
      <c r="TUQ5" s="1185"/>
      <c r="TUR5" s="1185"/>
      <c r="TUS5" s="1185"/>
      <c r="TUT5" s="1185"/>
      <c r="TUU5" s="1185"/>
      <c r="TUV5" s="1185"/>
      <c r="TUW5" s="1185"/>
      <c r="TUX5" s="1185"/>
      <c r="TUY5" s="1185"/>
      <c r="TUZ5" s="1185"/>
      <c r="TVA5" s="1185"/>
      <c r="TVB5" s="1185"/>
      <c r="TVC5" s="1185"/>
      <c r="TVD5" s="1185"/>
      <c r="TVE5" s="1185"/>
      <c r="TVF5" s="1185"/>
      <c r="TVG5" s="1185"/>
      <c r="TVH5" s="1185"/>
      <c r="TVI5" s="1185"/>
      <c r="TVJ5" s="1185"/>
      <c r="TVK5" s="1185"/>
      <c r="TVL5" s="1185"/>
      <c r="TVM5" s="1185"/>
      <c r="TVN5" s="1185"/>
      <c r="TVO5" s="1185"/>
      <c r="TVP5" s="1185"/>
      <c r="TVQ5" s="1185"/>
      <c r="TVR5" s="1185"/>
      <c r="TVS5" s="1185"/>
      <c r="TVT5" s="1185"/>
      <c r="TVU5" s="1185"/>
      <c r="TVV5" s="1185"/>
      <c r="TVW5" s="1185"/>
      <c r="TVX5" s="1185"/>
      <c r="TVY5" s="1185"/>
      <c r="TVZ5" s="1185"/>
      <c r="TWA5" s="1185"/>
      <c r="TWB5" s="1185"/>
      <c r="TWC5" s="1185"/>
      <c r="TWD5" s="1185"/>
      <c r="TWE5" s="1185"/>
      <c r="TWF5" s="1185"/>
      <c r="TWG5" s="1185"/>
      <c r="TWH5" s="1185"/>
      <c r="TWI5" s="1185"/>
      <c r="TWJ5" s="1185"/>
      <c r="TWK5" s="1185"/>
      <c r="TWL5" s="1185"/>
      <c r="TWM5" s="1185"/>
      <c r="TWN5" s="1185"/>
      <c r="TWO5" s="1185"/>
      <c r="TWP5" s="1185"/>
      <c r="TWQ5" s="1185"/>
      <c r="TWR5" s="1185"/>
      <c r="TWS5" s="1185"/>
      <c r="TWT5" s="1185"/>
      <c r="TWU5" s="1185"/>
      <c r="TWV5" s="1185"/>
      <c r="TWW5" s="1185"/>
      <c r="TWX5" s="1185"/>
      <c r="TWY5" s="1185"/>
      <c r="TWZ5" s="1185"/>
      <c r="TXA5" s="1185"/>
      <c r="TXB5" s="1185"/>
      <c r="TXC5" s="1185"/>
      <c r="TXD5" s="1185"/>
      <c r="TXE5" s="1185"/>
      <c r="TXF5" s="1185"/>
      <c r="TXG5" s="1185"/>
      <c r="TXH5" s="1185"/>
      <c r="TXI5" s="1185"/>
      <c r="TXJ5" s="1185"/>
      <c r="TXK5" s="1185"/>
      <c r="TXL5" s="1185"/>
      <c r="TXM5" s="1185"/>
      <c r="TXN5" s="1185"/>
      <c r="TXO5" s="1185"/>
      <c r="TXP5" s="1185"/>
      <c r="TXQ5" s="1185"/>
      <c r="TXR5" s="1185"/>
      <c r="TXS5" s="1185"/>
      <c r="TXT5" s="1185"/>
      <c r="TXU5" s="1185"/>
      <c r="TXV5" s="1185"/>
      <c r="TXW5" s="1185"/>
      <c r="TXX5" s="1185"/>
      <c r="TXY5" s="1185"/>
      <c r="TXZ5" s="1185"/>
      <c r="TYA5" s="1185"/>
      <c r="TYB5" s="1185"/>
      <c r="TYC5" s="1185"/>
      <c r="TYD5" s="1185"/>
      <c r="TYE5" s="1185"/>
      <c r="TYF5" s="1185"/>
      <c r="TYG5" s="1185"/>
      <c r="TYH5" s="1185"/>
      <c r="TYI5" s="1185"/>
      <c r="TYJ5" s="1185"/>
      <c r="TYK5" s="1185"/>
      <c r="TYL5" s="1185"/>
      <c r="TYM5" s="1185"/>
      <c r="TYN5" s="1185"/>
      <c r="TYO5" s="1185"/>
      <c r="TYP5" s="1185"/>
      <c r="TYQ5" s="1185"/>
      <c r="TYR5" s="1185"/>
      <c r="TYS5" s="1185"/>
      <c r="TYT5" s="1185"/>
      <c r="TYU5" s="1185"/>
      <c r="TYV5" s="1185"/>
      <c r="TYW5" s="1185"/>
      <c r="TYX5" s="1185"/>
      <c r="TYY5" s="1185"/>
      <c r="TYZ5" s="1185"/>
      <c r="TZA5" s="1185"/>
      <c r="TZB5" s="1185"/>
      <c r="TZC5" s="1185"/>
      <c r="TZD5" s="1185"/>
      <c r="TZE5" s="1185"/>
      <c r="TZF5" s="1185"/>
      <c r="TZG5" s="1185"/>
      <c r="TZH5" s="1185"/>
      <c r="TZI5" s="1185"/>
      <c r="TZJ5" s="1185"/>
      <c r="TZK5" s="1185"/>
      <c r="TZL5" s="1185"/>
      <c r="TZM5" s="1185"/>
      <c r="TZN5" s="1185"/>
      <c r="TZO5" s="1185"/>
      <c r="TZP5" s="1185"/>
      <c r="TZQ5" s="1185"/>
      <c r="TZR5" s="1185"/>
      <c r="TZS5" s="1185"/>
      <c r="TZT5" s="1185"/>
      <c r="TZU5" s="1185"/>
      <c r="TZV5" s="1185"/>
      <c r="TZW5" s="1185"/>
      <c r="TZX5" s="1185"/>
      <c r="TZY5" s="1185"/>
      <c r="TZZ5" s="1185"/>
      <c r="UAA5" s="1185"/>
      <c r="UAB5" s="1185"/>
      <c r="UAC5" s="1185"/>
      <c r="UAD5" s="1185"/>
      <c r="UAE5" s="1185"/>
      <c r="UAF5" s="1185"/>
      <c r="UAG5" s="1185"/>
      <c r="UAH5" s="1185"/>
      <c r="UAI5" s="1185"/>
      <c r="UAJ5" s="1185"/>
      <c r="UAK5" s="1185"/>
      <c r="UAL5" s="1185"/>
      <c r="UAM5" s="1185"/>
      <c r="UAN5" s="1185"/>
      <c r="UAO5" s="1185"/>
      <c r="UAP5" s="1185"/>
      <c r="UAQ5" s="1185"/>
      <c r="UAR5" s="1185"/>
      <c r="UAS5" s="1185"/>
      <c r="UAT5" s="1185"/>
      <c r="UAU5" s="1185"/>
      <c r="UAV5" s="1185"/>
      <c r="UAW5" s="1185"/>
      <c r="UAX5" s="1185"/>
      <c r="UAY5" s="1185"/>
      <c r="UAZ5" s="1185"/>
      <c r="UBA5" s="1185"/>
      <c r="UBB5" s="1185"/>
      <c r="UBC5" s="1185"/>
      <c r="UBD5" s="1185"/>
      <c r="UBE5" s="1185"/>
      <c r="UBF5" s="1185"/>
      <c r="UBG5" s="1185"/>
      <c r="UBH5" s="1185"/>
      <c r="UBI5" s="1185"/>
      <c r="UBJ5" s="1185"/>
      <c r="UBK5" s="1185"/>
      <c r="UBL5" s="1185"/>
      <c r="UBM5" s="1185"/>
      <c r="UBN5" s="1185"/>
      <c r="UBO5" s="1185"/>
      <c r="UBP5" s="1185"/>
      <c r="UBQ5" s="1185"/>
      <c r="UBR5" s="1185"/>
      <c r="UBS5" s="1185"/>
      <c r="UBT5" s="1185"/>
      <c r="UBU5" s="1185"/>
      <c r="UBV5" s="1185"/>
      <c r="UBW5" s="1185"/>
      <c r="UBX5" s="1185"/>
      <c r="UBY5" s="1185"/>
      <c r="UBZ5" s="1185"/>
      <c r="UCA5" s="1185"/>
      <c r="UCB5" s="1185"/>
      <c r="UCC5" s="1185"/>
      <c r="UCD5" s="1185"/>
      <c r="UCE5" s="1185"/>
      <c r="UCF5" s="1185"/>
      <c r="UCG5" s="1185"/>
      <c r="UCH5" s="1185"/>
      <c r="UCI5" s="1185"/>
      <c r="UCJ5" s="1185"/>
      <c r="UCK5" s="1185"/>
      <c r="UCL5" s="1185"/>
      <c r="UCM5" s="1185"/>
      <c r="UCN5" s="1185"/>
      <c r="UCO5" s="1185"/>
      <c r="UCP5" s="1185"/>
      <c r="UCQ5" s="1185"/>
      <c r="UCR5" s="1185"/>
      <c r="UCS5" s="1185"/>
      <c r="UCT5" s="1185"/>
      <c r="UCU5" s="1185"/>
      <c r="UCV5" s="1185"/>
      <c r="UCW5" s="1185"/>
      <c r="UCX5" s="1185"/>
      <c r="UCY5" s="1185"/>
      <c r="UCZ5" s="1185"/>
      <c r="UDA5" s="1185"/>
      <c r="UDB5" s="1185"/>
      <c r="UDC5" s="1185"/>
      <c r="UDD5" s="1185"/>
      <c r="UDE5" s="1185"/>
      <c r="UDF5" s="1185"/>
      <c r="UDG5" s="1185"/>
      <c r="UDH5" s="1185"/>
      <c r="UDI5" s="1185"/>
      <c r="UDJ5" s="1185"/>
      <c r="UDK5" s="1185"/>
      <c r="UDL5" s="1185"/>
      <c r="UDM5" s="1185"/>
      <c r="UDN5" s="1185"/>
      <c r="UDO5" s="1185"/>
      <c r="UDP5" s="1185"/>
      <c r="UDQ5" s="1185"/>
      <c r="UDR5" s="1185"/>
      <c r="UDS5" s="1185"/>
      <c r="UDT5" s="1185"/>
      <c r="UDU5" s="1185"/>
      <c r="UDV5" s="1185"/>
      <c r="UDW5" s="1185"/>
      <c r="UDX5" s="1185"/>
      <c r="UDY5" s="1185"/>
      <c r="UDZ5" s="1185"/>
      <c r="UEA5" s="1185"/>
      <c r="UEB5" s="1185"/>
      <c r="UEC5" s="1185"/>
      <c r="UED5" s="1185"/>
      <c r="UEE5" s="1185"/>
      <c r="UEF5" s="1185"/>
      <c r="UEG5" s="1185"/>
      <c r="UEH5" s="1185"/>
      <c r="UEI5" s="1185"/>
      <c r="UEJ5" s="1185"/>
      <c r="UEK5" s="1185"/>
      <c r="UEL5" s="1185"/>
      <c r="UEM5" s="1185"/>
      <c r="UEN5" s="1185"/>
      <c r="UEO5" s="1185"/>
      <c r="UEP5" s="1185"/>
      <c r="UEQ5" s="1185"/>
      <c r="UER5" s="1185"/>
      <c r="UES5" s="1185"/>
      <c r="UET5" s="1185"/>
      <c r="UEU5" s="1185"/>
      <c r="UEV5" s="1185"/>
      <c r="UEW5" s="1185"/>
      <c r="UEX5" s="1185"/>
      <c r="UEY5" s="1185"/>
      <c r="UEZ5" s="1185"/>
      <c r="UFA5" s="1185"/>
      <c r="UFB5" s="1185"/>
      <c r="UFC5" s="1185"/>
      <c r="UFD5" s="1185"/>
      <c r="UFE5" s="1185"/>
      <c r="UFF5" s="1185"/>
      <c r="UFG5" s="1185"/>
      <c r="UFH5" s="1185"/>
      <c r="UFI5" s="1185"/>
      <c r="UFJ5" s="1185"/>
      <c r="UFK5" s="1185"/>
      <c r="UFL5" s="1185"/>
      <c r="UFM5" s="1185"/>
      <c r="UFN5" s="1185"/>
      <c r="UFO5" s="1185"/>
      <c r="UFP5" s="1185"/>
      <c r="UFQ5" s="1185"/>
      <c r="UFR5" s="1185"/>
      <c r="UFS5" s="1185"/>
      <c r="UFT5" s="1185"/>
      <c r="UFU5" s="1185"/>
      <c r="UFV5" s="1185"/>
      <c r="UFW5" s="1185"/>
      <c r="UFX5" s="1185"/>
      <c r="UFY5" s="1185"/>
      <c r="UFZ5" s="1185"/>
      <c r="UGA5" s="1185"/>
      <c r="UGB5" s="1185"/>
      <c r="UGC5" s="1185"/>
      <c r="UGD5" s="1185"/>
      <c r="UGE5" s="1185"/>
      <c r="UGF5" s="1185"/>
      <c r="UGG5" s="1185"/>
      <c r="UGH5" s="1185"/>
      <c r="UGI5" s="1185"/>
      <c r="UGJ5" s="1185"/>
      <c r="UGK5" s="1185"/>
      <c r="UGL5" s="1185"/>
      <c r="UGM5" s="1185"/>
      <c r="UGN5" s="1185"/>
      <c r="UGO5" s="1185"/>
      <c r="UGP5" s="1185"/>
      <c r="UGQ5" s="1185"/>
      <c r="UGR5" s="1185"/>
      <c r="UGS5" s="1185"/>
      <c r="UGT5" s="1185"/>
      <c r="UGU5" s="1185"/>
      <c r="UGV5" s="1185"/>
      <c r="UGW5" s="1185"/>
      <c r="UGX5" s="1185"/>
      <c r="UGY5" s="1185"/>
      <c r="UGZ5" s="1185"/>
      <c r="UHA5" s="1185"/>
      <c r="UHB5" s="1185"/>
      <c r="UHC5" s="1185"/>
      <c r="UHD5" s="1185"/>
      <c r="UHE5" s="1185"/>
      <c r="UHF5" s="1185"/>
      <c r="UHG5" s="1185"/>
      <c r="UHH5" s="1185"/>
      <c r="UHI5" s="1185"/>
      <c r="UHJ5" s="1185"/>
      <c r="UHK5" s="1185"/>
      <c r="UHL5" s="1185"/>
      <c r="UHM5" s="1185"/>
      <c r="UHN5" s="1185"/>
      <c r="UHO5" s="1185"/>
      <c r="UHP5" s="1185"/>
      <c r="UHQ5" s="1185"/>
      <c r="UHR5" s="1185"/>
      <c r="UHS5" s="1185"/>
      <c r="UHT5" s="1185"/>
      <c r="UHU5" s="1185"/>
      <c r="UHV5" s="1185"/>
      <c r="UHW5" s="1185"/>
      <c r="UHX5" s="1185"/>
      <c r="UHY5" s="1185"/>
      <c r="UHZ5" s="1185"/>
      <c r="UIA5" s="1185"/>
      <c r="UIB5" s="1185"/>
      <c r="UIC5" s="1185"/>
      <c r="UID5" s="1185"/>
      <c r="UIE5" s="1185"/>
      <c r="UIF5" s="1185"/>
      <c r="UIG5" s="1185"/>
      <c r="UIH5" s="1185"/>
      <c r="UII5" s="1185"/>
      <c r="UIJ5" s="1185"/>
      <c r="UIK5" s="1185"/>
      <c r="UIL5" s="1185"/>
      <c r="UIM5" s="1185"/>
      <c r="UIN5" s="1185"/>
      <c r="UIO5" s="1185"/>
      <c r="UIP5" s="1185"/>
      <c r="UIQ5" s="1185"/>
      <c r="UIR5" s="1185"/>
      <c r="UIS5" s="1185"/>
      <c r="UIT5" s="1185"/>
      <c r="UIU5" s="1185"/>
      <c r="UIV5" s="1185"/>
      <c r="UIW5" s="1185"/>
      <c r="UIX5" s="1185"/>
      <c r="UIY5" s="1185"/>
      <c r="UIZ5" s="1185"/>
      <c r="UJA5" s="1185"/>
      <c r="UJB5" s="1185"/>
      <c r="UJC5" s="1185"/>
      <c r="UJD5" s="1185"/>
      <c r="UJE5" s="1185"/>
      <c r="UJF5" s="1185"/>
      <c r="UJG5" s="1185"/>
      <c r="UJH5" s="1185"/>
      <c r="UJI5" s="1185"/>
      <c r="UJJ5" s="1185"/>
      <c r="UJK5" s="1185"/>
      <c r="UJL5" s="1185"/>
      <c r="UJM5" s="1185"/>
      <c r="UJN5" s="1185"/>
      <c r="UJO5" s="1185"/>
      <c r="UJP5" s="1185"/>
      <c r="UJQ5" s="1185"/>
      <c r="UJR5" s="1185"/>
      <c r="UJS5" s="1185"/>
      <c r="UJT5" s="1185"/>
      <c r="UJU5" s="1185"/>
      <c r="UJV5" s="1185"/>
      <c r="UJW5" s="1185"/>
      <c r="UJX5" s="1185"/>
      <c r="UJY5" s="1185"/>
      <c r="UJZ5" s="1185"/>
      <c r="UKA5" s="1185"/>
      <c r="UKB5" s="1185"/>
      <c r="UKC5" s="1185"/>
      <c r="UKD5" s="1185"/>
      <c r="UKE5" s="1185"/>
      <c r="UKF5" s="1185"/>
      <c r="UKG5" s="1185"/>
      <c r="UKH5" s="1185"/>
      <c r="UKI5" s="1185"/>
      <c r="UKJ5" s="1185"/>
      <c r="UKK5" s="1185"/>
      <c r="UKL5" s="1185"/>
      <c r="UKM5" s="1185"/>
      <c r="UKN5" s="1185"/>
      <c r="UKO5" s="1185"/>
      <c r="UKP5" s="1185"/>
      <c r="UKQ5" s="1185"/>
      <c r="UKR5" s="1185"/>
      <c r="UKS5" s="1185"/>
      <c r="UKT5" s="1185"/>
      <c r="UKU5" s="1185"/>
      <c r="UKV5" s="1185"/>
      <c r="UKW5" s="1185"/>
      <c r="UKX5" s="1185"/>
      <c r="UKY5" s="1185"/>
      <c r="UKZ5" s="1185"/>
      <c r="ULA5" s="1185"/>
      <c r="ULB5" s="1185"/>
      <c r="ULC5" s="1185"/>
      <c r="ULD5" s="1185"/>
      <c r="ULE5" s="1185"/>
      <c r="ULF5" s="1185"/>
      <c r="ULG5" s="1185"/>
      <c r="ULH5" s="1185"/>
      <c r="ULI5" s="1185"/>
      <c r="ULJ5" s="1185"/>
      <c r="ULK5" s="1185"/>
      <c r="ULL5" s="1185"/>
      <c r="ULM5" s="1185"/>
      <c r="ULN5" s="1185"/>
      <c r="ULO5" s="1185"/>
      <c r="ULP5" s="1185"/>
      <c r="ULQ5" s="1185"/>
      <c r="ULR5" s="1185"/>
      <c r="ULS5" s="1185"/>
      <c r="ULT5" s="1185"/>
      <c r="ULU5" s="1185"/>
      <c r="ULV5" s="1185"/>
      <c r="ULW5" s="1185"/>
      <c r="ULX5" s="1185"/>
      <c r="ULY5" s="1185"/>
      <c r="ULZ5" s="1185"/>
      <c r="UMA5" s="1185"/>
      <c r="UMB5" s="1185"/>
      <c r="UMC5" s="1185"/>
      <c r="UMD5" s="1185"/>
      <c r="UME5" s="1185"/>
      <c r="UMF5" s="1185"/>
      <c r="UMG5" s="1185"/>
      <c r="UMH5" s="1185"/>
      <c r="UMI5" s="1185"/>
      <c r="UMJ5" s="1185"/>
      <c r="UMK5" s="1185"/>
      <c r="UML5" s="1185"/>
      <c r="UMM5" s="1185"/>
      <c r="UMN5" s="1185"/>
      <c r="UMO5" s="1185"/>
      <c r="UMP5" s="1185"/>
      <c r="UMQ5" s="1185"/>
      <c r="UMR5" s="1185"/>
      <c r="UMS5" s="1185"/>
      <c r="UMT5" s="1185"/>
      <c r="UMU5" s="1185"/>
      <c r="UMV5" s="1185"/>
      <c r="UMW5" s="1185"/>
      <c r="UMX5" s="1185"/>
      <c r="UMY5" s="1185"/>
      <c r="UMZ5" s="1185"/>
      <c r="UNA5" s="1185"/>
      <c r="UNB5" s="1185"/>
      <c r="UNC5" s="1185"/>
      <c r="UND5" s="1185"/>
      <c r="UNE5" s="1185"/>
      <c r="UNF5" s="1185"/>
      <c r="UNG5" s="1185"/>
      <c r="UNH5" s="1185"/>
      <c r="UNI5" s="1185"/>
      <c r="UNJ5" s="1185"/>
      <c r="UNK5" s="1185"/>
      <c r="UNL5" s="1185"/>
      <c r="UNM5" s="1185"/>
      <c r="UNN5" s="1185"/>
      <c r="UNO5" s="1185"/>
      <c r="UNP5" s="1185"/>
      <c r="UNQ5" s="1185"/>
      <c r="UNR5" s="1185"/>
      <c r="UNS5" s="1185"/>
      <c r="UNT5" s="1185"/>
      <c r="UNU5" s="1185"/>
      <c r="UNV5" s="1185"/>
      <c r="UNW5" s="1185"/>
      <c r="UNX5" s="1185"/>
      <c r="UNY5" s="1185"/>
      <c r="UNZ5" s="1185"/>
      <c r="UOA5" s="1185"/>
      <c r="UOB5" s="1185"/>
      <c r="UOC5" s="1185"/>
      <c r="UOD5" s="1185"/>
      <c r="UOE5" s="1185"/>
      <c r="UOF5" s="1185"/>
      <c r="UOG5" s="1185"/>
      <c r="UOH5" s="1185"/>
      <c r="UOI5" s="1185"/>
      <c r="UOJ5" s="1185"/>
      <c r="UOK5" s="1185"/>
      <c r="UOL5" s="1185"/>
      <c r="UOM5" s="1185"/>
      <c r="UON5" s="1185"/>
      <c r="UOO5" s="1185"/>
      <c r="UOP5" s="1185"/>
      <c r="UOQ5" s="1185"/>
      <c r="UOR5" s="1185"/>
      <c r="UOS5" s="1185"/>
      <c r="UOT5" s="1185"/>
      <c r="UOU5" s="1185"/>
      <c r="UOV5" s="1185"/>
      <c r="UOW5" s="1185"/>
      <c r="UOX5" s="1185"/>
      <c r="UOY5" s="1185"/>
      <c r="UOZ5" s="1185"/>
      <c r="UPA5" s="1185"/>
      <c r="UPB5" s="1185"/>
      <c r="UPC5" s="1185"/>
      <c r="UPD5" s="1185"/>
      <c r="UPE5" s="1185"/>
      <c r="UPF5" s="1185"/>
      <c r="UPG5" s="1185"/>
      <c r="UPH5" s="1185"/>
      <c r="UPI5" s="1185"/>
      <c r="UPJ5" s="1185"/>
      <c r="UPK5" s="1185"/>
      <c r="UPL5" s="1185"/>
      <c r="UPM5" s="1185"/>
      <c r="UPN5" s="1185"/>
      <c r="UPO5" s="1185"/>
      <c r="UPP5" s="1185"/>
      <c r="UPQ5" s="1185"/>
      <c r="UPR5" s="1185"/>
      <c r="UPS5" s="1185"/>
      <c r="UPT5" s="1185"/>
      <c r="UPU5" s="1185"/>
      <c r="UPV5" s="1185"/>
      <c r="UPW5" s="1185"/>
      <c r="UPX5" s="1185"/>
      <c r="UPY5" s="1185"/>
      <c r="UPZ5" s="1185"/>
      <c r="UQA5" s="1185"/>
      <c r="UQB5" s="1185"/>
      <c r="UQC5" s="1185"/>
      <c r="UQD5" s="1185"/>
      <c r="UQE5" s="1185"/>
      <c r="UQF5" s="1185"/>
      <c r="UQG5" s="1185"/>
      <c r="UQH5" s="1185"/>
      <c r="UQI5" s="1185"/>
      <c r="UQJ5" s="1185"/>
      <c r="UQK5" s="1185"/>
      <c r="UQL5" s="1185"/>
      <c r="UQM5" s="1185"/>
      <c r="UQN5" s="1185"/>
      <c r="UQO5" s="1185"/>
      <c r="UQP5" s="1185"/>
      <c r="UQQ5" s="1185"/>
      <c r="UQR5" s="1185"/>
      <c r="UQS5" s="1185"/>
      <c r="UQT5" s="1185"/>
      <c r="UQU5" s="1185"/>
      <c r="UQV5" s="1185"/>
      <c r="UQW5" s="1185"/>
      <c r="UQX5" s="1185"/>
      <c r="UQY5" s="1185"/>
      <c r="UQZ5" s="1185"/>
      <c r="URA5" s="1185"/>
      <c r="URB5" s="1185"/>
      <c r="URC5" s="1185"/>
      <c r="URD5" s="1185"/>
      <c r="URE5" s="1185"/>
      <c r="URF5" s="1185"/>
      <c r="URG5" s="1185"/>
      <c r="URH5" s="1185"/>
      <c r="URI5" s="1185"/>
      <c r="URJ5" s="1185"/>
      <c r="URK5" s="1185"/>
      <c r="URL5" s="1185"/>
      <c r="URM5" s="1185"/>
      <c r="URN5" s="1185"/>
      <c r="URO5" s="1185"/>
      <c r="URP5" s="1185"/>
      <c r="URQ5" s="1185"/>
      <c r="URR5" s="1185"/>
      <c r="URS5" s="1185"/>
      <c r="URT5" s="1185"/>
      <c r="URU5" s="1185"/>
      <c r="URV5" s="1185"/>
      <c r="URW5" s="1185"/>
      <c r="URX5" s="1185"/>
      <c r="URY5" s="1185"/>
      <c r="URZ5" s="1185"/>
      <c r="USA5" s="1185"/>
      <c r="USB5" s="1185"/>
      <c r="USC5" s="1185"/>
      <c r="USD5" s="1185"/>
      <c r="USE5" s="1185"/>
      <c r="USF5" s="1185"/>
      <c r="USG5" s="1185"/>
      <c r="USH5" s="1185"/>
      <c r="USI5" s="1185"/>
      <c r="USJ5" s="1185"/>
      <c r="USK5" s="1185"/>
      <c r="USL5" s="1185"/>
      <c r="USM5" s="1185"/>
      <c r="USN5" s="1185"/>
      <c r="USO5" s="1185"/>
      <c r="USP5" s="1185"/>
      <c r="USQ5" s="1185"/>
      <c r="USR5" s="1185"/>
      <c r="USS5" s="1185"/>
      <c r="UST5" s="1185"/>
      <c r="USU5" s="1185"/>
      <c r="USV5" s="1185"/>
      <c r="USW5" s="1185"/>
      <c r="USX5" s="1185"/>
      <c r="USY5" s="1185"/>
      <c r="USZ5" s="1185"/>
      <c r="UTA5" s="1185"/>
      <c r="UTB5" s="1185"/>
      <c r="UTC5" s="1185"/>
      <c r="UTD5" s="1185"/>
      <c r="UTE5" s="1185"/>
      <c r="UTF5" s="1185"/>
      <c r="UTG5" s="1185"/>
      <c r="UTH5" s="1185"/>
      <c r="UTI5" s="1185"/>
      <c r="UTJ5" s="1185"/>
      <c r="UTK5" s="1185"/>
      <c r="UTL5" s="1185"/>
      <c r="UTM5" s="1185"/>
      <c r="UTN5" s="1185"/>
      <c r="UTO5" s="1185"/>
      <c r="UTP5" s="1185"/>
      <c r="UTQ5" s="1185"/>
      <c r="UTR5" s="1185"/>
      <c r="UTS5" s="1185"/>
      <c r="UTT5" s="1185"/>
      <c r="UTU5" s="1185"/>
      <c r="UTV5" s="1185"/>
      <c r="UTW5" s="1185"/>
      <c r="UTX5" s="1185"/>
      <c r="UTY5" s="1185"/>
      <c r="UTZ5" s="1185"/>
      <c r="UUA5" s="1185"/>
      <c r="UUB5" s="1185"/>
      <c r="UUC5" s="1185"/>
      <c r="UUD5" s="1185"/>
      <c r="UUE5" s="1185"/>
      <c r="UUF5" s="1185"/>
      <c r="UUG5" s="1185"/>
      <c r="UUH5" s="1185"/>
      <c r="UUI5" s="1185"/>
      <c r="UUJ5" s="1185"/>
      <c r="UUK5" s="1185"/>
      <c r="UUL5" s="1185"/>
      <c r="UUM5" s="1185"/>
      <c r="UUN5" s="1185"/>
      <c r="UUO5" s="1185"/>
      <c r="UUP5" s="1185"/>
      <c r="UUQ5" s="1185"/>
      <c r="UUR5" s="1185"/>
      <c r="UUS5" s="1185"/>
      <c r="UUT5" s="1185"/>
      <c r="UUU5" s="1185"/>
      <c r="UUV5" s="1185"/>
      <c r="UUW5" s="1185"/>
      <c r="UUX5" s="1185"/>
      <c r="UUY5" s="1185"/>
      <c r="UUZ5" s="1185"/>
      <c r="UVA5" s="1185"/>
      <c r="UVB5" s="1185"/>
      <c r="UVC5" s="1185"/>
      <c r="UVD5" s="1185"/>
      <c r="UVE5" s="1185"/>
      <c r="UVF5" s="1185"/>
      <c r="UVG5" s="1185"/>
      <c r="UVH5" s="1185"/>
      <c r="UVI5" s="1185"/>
      <c r="UVJ5" s="1185"/>
      <c r="UVK5" s="1185"/>
      <c r="UVL5" s="1185"/>
      <c r="UVM5" s="1185"/>
      <c r="UVN5" s="1185"/>
      <c r="UVO5" s="1185"/>
      <c r="UVP5" s="1185"/>
      <c r="UVQ5" s="1185"/>
      <c r="UVR5" s="1185"/>
      <c r="UVS5" s="1185"/>
      <c r="UVT5" s="1185"/>
      <c r="UVU5" s="1185"/>
      <c r="UVV5" s="1185"/>
      <c r="UVW5" s="1185"/>
      <c r="UVX5" s="1185"/>
      <c r="UVY5" s="1185"/>
      <c r="UVZ5" s="1185"/>
      <c r="UWA5" s="1185"/>
      <c r="UWB5" s="1185"/>
      <c r="UWC5" s="1185"/>
      <c r="UWD5" s="1185"/>
      <c r="UWE5" s="1185"/>
      <c r="UWF5" s="1185"/>
      <c r="UWG5" s="1185"/>
      <c r="UWH5" s="1185"/>
      <c r="UWI5" s="1185"/>
      <c r="UWJ5" s="1185"/>
      <c r="UWK5" s="1185"/>
      <c r="UWL5" s="1185"/>
      <c r="UWM5" s="1185"/>
      <c r="UWN5" s="1185"/>
      <c r="UWO5" s="1185"/>
      <c r="UWP5" s="1185"/>
      <c r="UWQ5" s="1185"/>
      <c r="UWR5" s="1185"/>
      <c r="UWS5" s="1185"/>
      <c r="UWT5" s="1185"/>
      <c r="UWU5" s="1185"/>
      <c r="UWV5" s="1185"/>
      <c r="UWW5" s="1185"/>
      <c r="UWX5" s="1185"/>
      <c r="UWY5" s="1185"/>
      <c r="UWZ5" s="1185"/>
      <c r="UXA5" s="1185"/>
      <c r="UXB5" s="1185"/>
      <c r="UXC5" s="1185"/>
      <c r="UXD5" s="1185"/>
      <c r="UXE5" s="1185"/>
      <c r="UXF5" s="1185"/>
      <c r="UXG5" s="1185"/>
      <c r="UXH5" s="1185"/>
      <c r="UXI5" s="1185"/>
      <c r="UXJ5" s="1185"/>
      <c r="UXK5" s="1185"/>
      <c r="UXL5" s="1185"/>
      <c r="UXM5" s="1185"/>
      <c r="UXN5" s="1185"/>
      <c r="UXO5" s="1185"/>
      <c r="UXP5" s="1185"/>
      <c r="UXQ5" s="1185"/>
      <c r="UXR5" s="1185"/>
      <c r="UXS5" s="1185"/>
      <c r="UXT5" s="1185"/>
      <c r="UXU5" s="1185"/>
      <c r="UXV5" s="1185"/>
      <c r="UXW5" s="1185"/>
      <c r="UXX5" s="1185"/>
      <c r="UXY5" s="1185"/>
      <c r="UXZ5" s="1185"/>
      <c r="UYA5" s="1185"/>
      <c r="UYB5" s="1185"/>
      <c r="UYC5" s="1185"/>
      <c r="UYD5" s="1185"/>
      <c r="UYE5" s="1185"/>
      <c r="UYF5" s="1185"/>
      <c r="UYG5" s="1185"/>
      <c r="UYH5" s="1185"/>
      <c r="UYI5" s="1185"/>
      <c r="UYJ5" s="1185"/>
      <c r="UYK5" s="1185"/>
      <c r="UYL5" s="1185"/>
      <c r="UYM5" s="1185"/>
      <c r="UYN5" s="1185"/>
      <c r="UYO5" s="1185"/>
      <c r="UYP5" s="1185"/>
      <c r="UYQ5" s="1185"/>
      <c r="UYR5" s="1185"/>
      <c r="UYS5" s="1185"/>
      <c r="UYT5" s="1185"/>
      <c r="UYU5" s="1185"/>
      <c r="UYV5" s="1185"/>
      <c r="UYW5" s="1185"/>
      <c r="UYX5" s="1185"/>
      <c r="UYY5" s="1185"/>
      <c r="UYZ5" s="1185"/>
      <c r="UZA5" s="1185"/>
      <c r="UZB5" s="1185"/>
      <c r="UZC5" s="1185"/>
      <c r="UZD5" s="1185"/>
      <c r="UZE5" s="1185"/>
      <c r="UZF5" s="1185"/>
      <c r="UZG5" s="1185"/>
      <c r="UZH5" s="1185"/>
      <c r="UZI5" s="1185"/>
      <c r="UZJ5" s="1185"/>
      <c r="UZK5" s="1185"/>
      <c r="UZL5" s="1185"/>
      <c r="UZM5" s="1185"/>
      <c r="UZN5" s="1185"/>
      <c r="UZO5" s="1185"/>
      <c r="UZP5" s="1185"/>
      <c r="UZQ5" s="1185"/>
      <c r="UZR5" s="1185"/>
      <c r="UZS5" s="1185"/>
      <c r="UZT5" s="1185"/>
      <c r="UZU5" s="1185"/>
      <c r="UZV5" s="1185"/>
      <c r="UZW5" s="1185"/>
      <c r="UZX5" s="1185"/>
      <c r="UZY5" s="1185"/>
      <c r="UZZ5" s="1185"/>
      <c r="VAA5" s="1185"/>
      <c r="VAB5" s="1185"/>
      <c r="VAC5" s="1185"/>
      <c r="VAD5" s="1185"/>
      <c r="VAE5" s="1185"/>
      <c r="VAF5" s="1185"/>
      <c r="VAG5" s="1185"/>
      <c r="VAH5" s="1185"/>
      <c r="VAI5" s="1185"/>
      <c r="VAJ5" s="1185"/>
      <c r="VAK5" s="1185"/>
      <c r="VAL5" s="1185"/>
      <c r="VAM5" s="1185"/>
      <c r="VAN5" s="1185"/>
      <c r="VAO5" s="1185"/>
      <c r="VAP5" s="1185"/>
      <c r="VAQ5" s="1185"/>
      <c r="VAR5" s="1185"/>
      <c r="VAS5" s="1185"/>
      <c r="VAT5" s="1185"/>
      <c r="VAU5" s="1185"/>
      <c r="VAV5" s="1185"/>
      <c r="VAW5" s="1185"/>
      <c r="VAX5" s="1185"/>
      <c r="VAY5" s="1185"/>
      <c r="VAZ5" s="1185"/>
      <c r="VBA5" s="1185"/>
      <c r="VBB5" s="1185"/>
      <c r="VBC5" s="1185"/>
      <c r="VBD5" s="1185"/>
      <c r="VBE5" s="1185"/>
      <c r="VBF5" s="1185"/>
      <c r="VBG5" s="1185"/>
      <c r="VBH5" s="1185"/>
      <c r="VBI5" s="1185"/>
      <c r="VBJ5" s="1185"/>
      <c r="VBK5" s="1185"/>
      <c r="VBL5" s="1185"/>
      <c r="VBM5" s="1185"/>
      <c r="VBN5" s="1185"/>
      <c r="VBO5" s="1185"/>
      <c r="VBP5" s="1185"/>
      <c r="VBQ5" s="1185"/>
      <c r="VBR5" s="1185"/>
      <c r="VBS5" s="1185"/>
      <c r="VBT5" s="1185"/>
      <c r="VBU5" s="1185"/>
      <c r="VBV5" s="1185"/>
      <c r="VBW5" s="1185"/>
      <c r="VBX5" s="1185"/>
      <c r="VBY5" s="1185"/>
      <c r="VBZ5" s="1185"/>
      <c r="VCA5" s="1185"/>
      <c r="VCB5" s="1185"/>
      <c r="VCC5" s="1185"/>
      <c r="VCD5" s="1185"/>
      <c r="VCE5" s="1185"/>
      <c r="VCF5" s="1185"/>
      <c r="VCG5" s="1185"/>
      <c r="VCH5" s="1185"/>
      <c r="VCI5" s="1185"/>
      <c r="VCJ5" s="1185"/>
      <c r="VCK5" s="1185"/>
      <c r="VCL5" s="1185"/>
      <c r="VCM5" s="1185"/>
      <c r="VCN5" s="1185"/>
      <c r="VCO5" s="1185"/>
      <c r="VCP5" s="1185"/>
      <c r="VCQ5" s="1185"/>
      <c r="VCR5" s="1185"/>
      <c r="VCS5" s="1185"/>
      <c r="VCT5" s="1185"/>
      <c r="VCU5" s="1185"/>
      <c r="VCV5" s="1185"/>
      <c r="VCW5" s="1185"/>
      <c r="VCX5" s="1185"/>
      <c r="VCY5" s="1185"/>
      <c r="VCZ5" s="1185"/>
      <c r="VDA5" s="1185"/>
      <c r="VDB5" s="1185"/>
      <c r="VDC5" s="1185"/>
      <c r="VDD5" s="1185"/>
      <c r="VDE5" s="1185"/>
      <c r="VDF5" s="1185"/>
      <c r="VDG5" s="1185"/>
      <c r="VDH5" s="1185"/>
      <c r="VDI5" s="1185"/>
      <c r="VDJ5" s="1185"/>
      <c r="VDK5" s="1185"/>
      <c r="VDL5" s="1185"/>
      <c r="VDM5" s="1185"/>
      <c r="VDN5" s="1185"/>
      <c r="VDO5" s="1185"/>
      <c r="VDP5" s="1185"/>
      <c r="VDQ5" s="1185"/>
      <c r="VDR5" s="1185"/>
      <c r="VDS5" s="1185"/>
      <c r="VDT5" s="1185"/>
      <c r="VDU5" s="1185"/>
      <c r="VDV5" s="1185"/>
      <c r="VDW5" s="1185"/>
      <c r="VDX5" s="1185"/>
      <c r="VDY5" s="1185"/>
      <c r="VDZ5" s="1185"/>
      <c r="VEA5" s="1185"/>
      <c r="VEB5" s="1185"/>
      <c r="VEC5" s="1185"/>
      <c r="VED5" s="1185"/>
      <c r="VEE5" s="1185"/>
      <c r="VEF5" s="1185"/>
      <c r="VEG5" s="1185"/>
      <c r="VEH5" s="1185"/>
      <c r="VEI5" s="1185"/>
      <c r="VEJ5" s="1185"/>
      <c r="VEK5" s="1185"/>
      <c r="VEL5" s="1185"/>
      <c r="VEM5" s="1185"/>
      <c r="VEN5" s="1185"/>
      <c r="VEO5" s="1185"/>
      <c r="VEP5" s="1185"/>
      <c r="VEQ5" s="1185"/>
      <c r="VER5" s="1185"/>
      <c r="VES5" s="1185"/>
      <c r="VET5" s="1185"/>
      <c r="VEU5" s="1185"/>
      <c r="VEV5" s="1185"/>
      <c r="VEW5" s="1185"/>
      <c r="VEX5" s="1185"/>
      <c r="VEY5" s="1185"/>
      <c r="VEZ5" s="1185"/>
      <c r="VFA5" s="1185"/>
      <c r="VFB5" s="1185"/>
      <c r="VFC5" s="1185"/>
      <c r="VFD5" s="1185"/>
      <c r="VFE5" s="1185"/>
      <c r="VFF5" s="1185"/>
      <c r="VFG5" s="1185"/>
      <c r="VFH5" s="1185"/>
      <c r="VFI5" s="1185"/>
      <c r="VFJ5" s="1185"/>
      <c r="VFK5" s="1185"/>
      <c r="VFL5" s="1185"/>
      <c r="VFM5" s="1185"/>
      <c r="VFN5" s="1185"/>
      <c r="VFO5" s="1185"/>
      <c r="VFP5" s="1185"/>
      <c r="VFQ5" s="1185"/>
      <c r="VFR5" s="1185"/>
      <c r="VFS5" s="1185"/>
      <c r="VFT5" s="1185"/>
      <c r="VFU5" s="1185"/>
      <c r="VFV5" s="1185"/>
      <c r="VFW5" s="1185"/>
      <c r="VFX5" s="1185"/>
      <c r="VFY5" s="1185"/>
      <c r="VFZ5" s="1185"/>
      <c r="VGA5" s="1185"/>
      <c r="VGB5" s="1185"/>
      <c r="VGC5" s="1185"/>
      <c r="VGD5" s="1185"/>
      <c r="VGE5" s="1185"/>
      <c r="VGF5" s="1185"/>
      <c r="VGG5" s="1185"/>
      <c r="VGH5" s="1185"/>
      <c r="VGI5" s="1185"/>
      <c r="VGJ5" s="1185"/>
      <c r="VGK5" s="1185"/>
      <c r="VGL5" s="1185"/>
      <c r="VGM5" s="1185"/>
      <c r="VGN5" s="1185"/>
      <c r="VGO5" s="1185"/>
      <c r="VGP5" s="1185"/>
      <c r="VGQ5" s="1185"/>
      <c r="VGR5" s="1185"/>
      <c r="VGS5" s="1185"/>
      <c r="VGT5" s="1185"/>
      <c r="VGU5" s="1185"/>
      <c r="VGV5" s="1185"/>
      <c r="VGW5" s="1185"/>
      <c r="VGX5" s="1185"/>
      <c r="VGY5" s="1185"/>
      <c r="VGZ5" s="1185"/>
      <c r="VHA5" s="1185"/>
      <c r="VHB5" s="1185"/>
      <c r="VHC5" s="1185"/>
      <c r="VHD5" s="1185"/>
      <c r="VHE5" s="1185"/>
      <c r="VHF5" s="1185"/>
      <c r="VHG5" s="1185"/>
      <c r="VHH5" s="1185"/>
      <c r="VHI5" s="1185"/>
      <c r="VHJ5" s="1185"/>
      <c r="VHK5" s="1185"/>
      <c r="VHL5" s="1185"/>
      <c r="VHM5" s="1185"/>
      <c r="VHN5" s="1185"/>
      <c r="VHO5" s="1185"/>
      <c r="VHP5" s="1185"/>
      <c r="VHQ5" s="1185"/>
      <c r="VHR5" s="1185"/>
      <c r="VHS5" s="1185"/>
      <c r="VHT5" s="1185"/>
      <c r="VHU5" s="1185"/>
      <c r="VHV5" s="1185"/>
      <c r="VHW5" s="1185"/>
      <c r="VHX5" s="1185"/>
      <c r="VHY5" s="1185"/>
      <c r="VHZ5" s="1185"/>
      <c r="VIA5" s="1185"/>
      <c r="VIB5" s="1185"/>
      <c r="VIC5" s="1185"/>
      <c r="VID5" s="1185"/>
      <c r="VIE5" s="1185"/>
      <c r="VIF5" s="1185"/>
      <c r="VIG5" s="1185"/>
      <c r="VIH5" s="1185"/>
      <c r="VII5" s="1185"/>
      <c r="VIJ5" s="1185"/>
      <c r="VIK5" s="1185"/>
      <c r="VIL5" s="1185"/>
      <c r="VIM5" s="1185"/>
      <c r="VIN5" s="1185"/>
      <c r="VIO5" s="1185"/>
      <c r="VIP5" s="1185"/>
      <c r="VIQ5" s="1185"/>
      <c r="VIR5" s="1185"/>
      <c r="VIS5" s="1185"/>
      <c r="VIT5" s="1185"/>
      <c r="VIU5" s="1185"/>
      <c r="VIV5" s="1185"/>
      <c r="VIW5" s="1185"/>
      <c r="VIX5" s="1185"/>
      <c r="VIY5" s="1185"/>
      <c r="VIZ5" s="1185"/>
      <c r="VJA5" s="1185"/>
      <c r="VJB5" s="1185"/>
      <c r="VJC5" s="1185"/>
      <c r="VJD5" s="1185"/>
      <c r="VJE5" s="1185"/>
      <c r="VJF5" s="1185"/>
      <c r="VJG5" s="1185"/>
      <c r="VJH5" s="1185"/>
      <c r="VJI5" s="1185"/>
      <c r="VJJ5" s="1185"/>
      <c r="VJK5" s="1185"/>
      <c r="VJL5" s="1185"/>
      <c r="VJM5" s="1185"/>
      <c r="VJN5" s="1185"/>
      <c r="VJO5" s="1185"/>
      <c r="VJP5" s="1185"/>
      <c r="VJQ5" s="1185"/>
      <c r="VJR5" s="1185"/>
      <c r="VJS5" s="1185"/>
      <c r="VJT5" s="1185"/>
      <c r="VJU5" s="1185"/>
      <c r="VJV5" s="1185"/>
      <c r="VJW5" s="1185"/>
      <c r="VJX5" s="1185"/>
      <c r="VJY5" s="1185"/>
      <c r="VJZ5" s="1185"/>
      <c r="VKA5" s="1185"/>
      <c r="VKB5" s="1185"/>
      <c r="VKC5" s="1185"/>
      <c r="VKD5" s="1185"/>
      <c r="VKE5" s="1185"/>
      <c r="VKF5" s="1185"/>
      <c r="VKG5" s="1185"/>
      <c r="VKH5" s="1185"/>
      <c r="VKI5" s="1185"/>
      <c r="VKJ5" s="1185"/>
      <c r="VKK5" s="1185"/>
      <c r="VKL5" s="1185"/>
      <c r="VKM5" s="1185"/>
      <c r="VKN5" s="1185"/>
      <c r="VKO5" s="1185"/>
      <c r="VKP5" s="1185"/>
      <c r="VKQ5" s="1185"/>
      <c r="VKR5" s="1185"/>
      <c r="VKS5" s="1185"/>
      <c r="VKT5" s="1185"/>
      <c r="VKU5" s="1185"/>
      <c r="VKV5" s="1185"/>
      <c r="VKW5" s="1185"/>
      <c r="VKX5" s="1185"/>
      <c r="VKY5" s="1185"/>
      <c r="VKZ5" s="1185"/>
      <c r="VLA5" s="1185"/>
      <c r="VLB5" s="1185"/>
      <c r="VLC5" s="1185"/>
      <c r="VLD5" s="1185"/>
      <c r="VLE5" s="1185"/>
      <c r="VLF5" s="1185"/>
      <c r="VLG5" s="1185"/>
      <c r="VLH5" s="1185"/>
      <c r="VLI5" s="1185"/>
      <c r="VLJ5" s="1185"/>
      <c r="VLK5" s="1185"/>
      <c r="VLL5" s="1185"/>
      <c r="VLM5" s="1185"/>
      <c r="VLN5" s="1185"/>
      <c r="VLO5" s="1185"/>
      <c r="VLP5" s="1185"/>
      <c r="VLQ5" s="1185"/>
      <c r="VLR5" s="1185"/>
      <c r="VLS5" s="1185"/>
      <c r="VLT5" s="1185"/>
      <c r="VLU5" s="1185"/>
      <c r="VLV5" s="1185"/>
      <c r="VLW5" s="1185"/>
      <c r="VLX5" s="1185"/>
      <c r="VLY5" s="1185"/>
      <c r="VLZ5" s="1185"/>
      <c r="VMA5" s="1185"/>
      <c r="VMB5" s="1185"/>
      <c r="VMC5" s="1185"/>
      <c r="VMD5" s="1185"/>
      <c r="VME5" s="1185"/>
      <c r="VMF5" s="1185"/>
      <c r="VMG5" s="1185"/>
      <c r="VMH5" s="1185"/>
      <c r="VMI5" s="1185"/>
      <c r="VMJ5" s="1185"/>
      <c r="VMK5" s="1185"/>
      <c r="VML5" s="1185"/>
      <c r="VMM5" s="1185"/>
      <c r="VMN5" s="1185"/>
      <c r="VMO5" s="1185"/>
      <c r="VMP5" s="1185"/>
      <c r="VMQ5" s="1185"/>
      <c r="VMR5" s="1185"/>
      <c r="VMS5" s="1185"/>
      <c r="VMT5" s="1185"/>
      <c r="VMU5" s="1185"/>
      <c r="VMV5" s="1185"/>
      <c r="VMW5" s="1185"/>
      <c r="VMX5" s="1185"/>
      <c r="VMY5" s="1185"/>
      <c r="VMZ5" s="1185"/>
      <c r="VNA5" s="1185"/>
      <c r="VNB5" s="1185"/>
      <c r="VNC5" s="1185"/>
      <c r="VND5" s="1185"/>
      <c r="VNE5" s="1185"/>
      <c r="VNF5" s="1185"/>
      <c r="VNG5" s="1185"/>
      <c r="VNH5" s="1185"/>
      <c r="VNI5" s="1185"/>
      <c r="VNJ5" s="1185"/>
      <c r="VNK5" s="1185"/>
      <c r="VNL5" s="1185"/>
      <c r="VNM5" s="1185"/>
      <c r="VNN5" s="1185"/>
      <c r="VNO5" s="1185"/>
      <c r="VNP5" s="1185"/>
      <c r="VNQ5" s="1185"/>
      <c r="VNR5" s="1185"/>
      <c r="VNS5" s="1185"/>
      <c r="VNT5" s="1185"/>
      <c r="VNU5" s="1185"/>
      <c r="VNV5" s="1185"/>
      <c r="VNW5" s="1185"/>
      <c r="VNX5" s="1185"/>
      <c r="VNY5" s="1185"/>
      <c r="VNZ5" s="1185"/>
      <c r="VOA5" s="1185"/>
      <c r="VOB5" s="1185"/>
      <c r="VOC5" s="1185"/>
      <c r="VOD5" s="1185"/>
      <c r="VOE5" s="1185"/>
      <c r="VOF5" s="1185"/>
      <c r="VOG5" s="1185"/>
      <c r="VOH5" s="1185"/>
      <c r="VOI5" s="1185"/>
      <c r="VOJ5" s="1185"/>
      <c r="VOK5" s="1185"/>
      <c r="VOL5" s="1185"/>
      <c r="VOM5" s="1185"/>
      <c r="VON5" s="1185"/>
      <c r="VOO5" s="1185"/>
      <c r="VOP5" s="1185"/>
      <c r="VOQ5" s="1185"/>
      <c r="VOR5" s="1185"/>
      <c r="VOS5" s="1185"/>
      <c r="VOT5" s="1185"/>
      <c r="VOU5" s="1185"/>
      <c r="VOV5" s="1185"/>
      <c r="VOW5" s="1185"/>
      <c r="VOX5" s="1185"/>
      <c r="VOY5" s="1185"/>
      <c r="VOZ5" s="1185"/>
      <c r="VPA5" s="1185"/>
      <c r="VPB5" s="1185"/>
      <c r="VPC5" s="1185"/>
      <c r="VPD5" s="1185"/>
      <c r="VPE5" s="1185"/>
      <c r="VPF5" s="1185"/>
      <c r="VPG5" s="1185"/>
      <c r="VPH5" s="1185"/>
      <c r="VPI5" s="1185"/>
      <c r="VPJ5" s="1185"/>
      <c r="VPK5" s="1185"/>
      <c r="VPL5" s="1185"/>
      <c r="VPM5" s="1185"/>
      <c r="VPN5" s="1185"/>
      <c r="VPO5" s="1185"/>
      <c r="VPP5" s="1185"/>
      <c r="VPQ5" s="1185"/>
      <c r="VPR5" s="1185"/>
      <c r="VPS5" s="1185"/>
      <c r="VPT5" s="1185"/>
      <c r="VPU5" s="1185"/>
      <c r="VPV5" s="1185"/>
      <c r="VPW5" s="1185"/>
      <c r="VPX5" s="1185"/>
      <c r="VPY5" s="1185"/>
      <c r="VPZ5" s="1185"/>
      <c r="VQA5" s="1185"/>
      <c r="VQB5" s="1185"/>
      <c r="VQC5" s="1185"/>
      <c r="VQD5" s="1185"/>
      <c r="VQE5" s="1185"/>
      <c r="VQF5" s="1185"/>
      <c r="VQG5" s="1185"/>
      <c r="VQH5" s="1185"/>
      <c r="VQI5" s="1185"/>
      <c r="VQJ5" s="1185"/>
      <c r="VQK5" s="1185"/>
      <c r="VQL5" s="1185"/>
      <c r="VQM5" s="1185"/>
      <c r="VQN5" s="1185"/>
      <c r="VQO5" s="1185"/>
      <c r="VQP5" s="1185"/>
      <c r="VQQ5" s="1185"/>
      <c r="VQR5" s="1185"/>
      <c r="VQS5" s="1185"/>
      <c r="VQT5" s="1185"/>
      <c r="VQU5" s="1185"/>
      <c r="VQV5" s="1185"/>
      <c r="VQW5" s="1185"/>
      <c r="VQX5" s="1185"/>
      <c r="VQY5" s="1185"/>
      <c r="VQZ5" s="1185"/>
      <c r="VRA5" s="1185"/>
      <c r="VRB5" s="1185"/>
      <c r="VRC5" s="1185"/>
      <c r="VRD5" s="1185"/>
      <c r="VRE5" s="1185"/>
      <c r="VRF5" s="1185"/>
      <c r="VRG5" s="1185"/>
      <c r="VRH5" s="1185"/>
      <c r="VRI5" s="1185"/>
      <c r="VRJ5" s="1185"/>
      <c r="VRK5" s="1185"/>
      <c r="VRL5" s="1185"/>
      <c r="VRM5" s="1185"/>
      <c r="VRN5" s="1185"/>
      <c r="VRO5" s="1185"/>
      <c r="VRP5" s="1185"/>
      <c r="VRQ5" s="1185"/>
      <c r="VRR5" s="1185"/>
      <c r="VRS5" s="1185"/>
      <c r="VRT5" s="1185"/>
      <c r="VRU5" s="1185"/>
      <c r="VRV5" s="1185"/>
      <c r="VRW5" s="1185"/>
      <c r="VRX5" s="1185"/>
      <c r="VRY5" s="1185"/>
      <c r="VRZ5" s="1185"/>
      <c r="VSA5" s="1185"/>
      <c r="VSB5" s="1185"/>
      <c r="VSC5" s="1185"/>
      <c r="VSD5" s="1185"/>
      <c r="VSE5" s="1185"/>
      <c r="VSF5" s="1185"/>
      <c r="VSG5" s="1185"/>
      <c r="VSH5" s="1185"/>
      <c r="VSI5" s="1185"/>
      <c r="VSJ5" s="1185"/>
      <c r="VSK5" s="1185"/>
      <c r="VSL5" s="1185"/>
      <c r="VSM5" s="1185"/>
      <c r="VSN5" s="1185"/>
      <c r="VSO5" s="1185"/>
      <c r="VSP5" s="1185"/>
      <c r="VSQ5" s="1185"/>
      <c r="VSR5" s="1185"/>
      <c r="VSS5" s="1185"/>
      <c r="VST5" s="1185"/>
      <c r="VSU5" s="1185"/>
      <c r="VSV5" s="1185"/>
      <c r="VSW5" s="1185"/>
      <c r="VSX5" s="1185"/>
      <c r="VSY5" s="1185"/>
      <c r="VSZ5" s="1185"/>
      <c r="VTA5" s="1185"/>
      <c r="VTB5" s="1185"/>
      <c r="VTC5" s="1185"/>
      <c r="VTD5" s="1185"/>
      <c r="VTE5" s="1185"/>
      <c r="VTF5" s="1185"/>
      <c r="VTG5" s="1185"/>
      <c r="VTH5" s="1185"/>
      <c r="VTI5" s="1185"/>
      <c r="VTJ5" s="1185"/>
      <c r="VTK5" s="1185"/>
      <c r="VTL5" s="1185"/>
      <c r="VTM5" s="1185"/>
      <c r="VTN5" s="1185"/>
      <c r="VTO5" s="1185"/>
      <c r="VTP5" s="1185"/>
      <c r="VTQ5" s="1185"/>
      <c r="VTR5" s="1185"/>
      <c r="VTS5" s="1185"/>
      <c r="VTT5" s="1185"/>
      <c r="VTU5" s="1185"/>
      <c r="VTV5" s="1185"/>
      <c r="VTW5" s="1185"/>
      <c r="VTX5" s="1185"/>
      <c r="VTY5" s="1185"/>
      <c r="VTZ5" s="1185"/>
      <c r="VUA5" s="1185"/>
      <c r="VUB5" s="1185"/>
      <c r="VUC5" s="1185"/>
      <c r="VUD5" s="1185"/>
      <c r="VUE5" s="1185"/>
      <c r="VUF5" s="1185"/>
      <c r="VUG5" s="1185"/>
      <c r="VUH5" s="1185"/>
      <c r="VUI5" s="1185"/>
      <c r="VUJ5" s="1185"/>
      <c r="VUK5" s="1185"/>
      <c r="VUL5" s="1185"/>
      <c r="VUM5" s="1185"/>
      <c r="VUN5" s="1185"/>
      <c r="VUO5" s="1185"/>
      <c r="VUP5" s="1185"/>
      <c r="VUQ5" s="1185"/>
      <c r="VUR5" s="1185"/>
      <c r="VUS5" s="1185"/>
      <c r="VUT5" s="1185"/>
      <c r="VUU5" s="1185"/>
      <c r="VUV5" s="1185"/>
      <c r="VUW5" s="1185"/>
      <c r="VUX5" s="1185"/>
      <c r="VUY5" s="1185"/>
      <c r="VUZ5" s="1185"/>
      <c r="VVA5" s="1185"/>
      <c r="VVB5" s="1185"/>
      <c r="VVC5" s="1185"/>
      <c r="VVD5" s="1185"/>
      <c r="VVE5" s="1185"/>
      <c r="VVF5" s="1185"/>
      <c r="VVG5" s="1185"/>
      <c r="VVH5" s="1185"/>
      <c r="VVI5" s="1185"/>
      <c r="VVJ5" s="1185"/>
      <c r="VVK5" s="1185"/>
      <c r="VVL5" s="1185"/>
      <c r="VVM5" s="1185"/>
      <c r="VVN5" s="1185"/>
      <c r="VVO5" s="1185"/>
      <c r="VVP5" s="1185"/>
      <c r="VVQ5" s="1185"/>
      <c r="VVR5" s="1185"/>
      <c r="VVS5" s="1185"/>
      <c r="VVT5" s="1185"/>
      <c r="VVU5" s="1185"/>
      <c r="VVV5" s="1185"/>
      <c r="VVW5" s="1185"/>
      <c r="VVX5" s="1185"/>
      <c r="VVY5" s="1185"/>
      <c r="VVZ5" s="1185"/>
      <c r="VWA5" s="1185"/>
      <c r="VWB5" s="1185"/>
      <c r="VWC5" s="1185"/>
      <c r="VWD5" s="1185"/>
      <c r="VWE5" s="1185"/>
      <c r="VWF5" s="1185"/>
      <c r="VWG5" s="1185"/>
      <c r="VWH5" s="1185"/>
      <c r="VWI5" s="1185"/>
      <c r="VWJ5" s="1185"/>
      <c r="VWK5" s="1185"/>
      <c r="VWL5" s="1185"/>
      <c r="VWM5" s="1185"/>
      <c r="VWN5" s="1185"/>
      <c r="VWO5" s="1185"/>
      <c r="VWP5" s="1185"/>
      <c r="VWQ5" s="1185"/>
      <c r="VWR5" s="1185"/>
      <c r="VWS5" s="1185"/>
      <c r="VWT5" s="1185"/>
      <c r="VWU5" s="1185"/>
      <c r="VWV5" s="1185"/>
      <c r="VWW5" s="1185"/>
      <c r="VWX5" s="1185"/>
      <c r="VWY5" s="1185"/>
      <c r="VWZ5" s="1185"/>
      <c r="VXA5" s="1185"/>
      <c r="VXB5" s="1185"/>
      <c r="VXC5" s="1185"/>
      <c r="VXD5" s="1185"/>
      <c r="VXE5" s="1185"/>
      <c r="VXF5" s="1185"/>
      <c r="VXG5" s="1185"/>
      <c r="VXH5" s="1185"/>
      <c r="VXI5" s="1185"/>
      <c r="VXJ5" s="1185"/>
      <c r="VXK5" s="1185"/>
      <c r="VXL5" s="1185"/>
      <c r="VXM5" s="1185"/>
      <c r="VXN5" s="1185"/>
      <c r="VXO5" s="1185"/>
      <c r="VXP5" s="1185"/>
      <c r="VXQ5" s="1185"/>
      <c r="VXR5" s="1185"/>
      <c r="VXS5" s="1185"/>
      <c r="VXT5" s="1185"/>
      <c r="VXU5" s="1185"/>
      <c r="VXV5" s="1185"/>
      <c r="VXW5" s="1185"/>
      <c r="VXX5" s="1185"/>
      <c r="VXY5" s="1185"/>
      <c r="VXZ5" s="1185"/>
      <c r="VYA5" s="1185"/>
      <c r="VYB5" s="1185"/>
      <c r="VYC5" s="1185"/>
      <c r="VYD5" s="1185"/>
      <c r="VYE5" s="1185"/>
      <c r="VYF5" s="1185"/>
      <c r="VYG5" s="1185"/>
      <c r="VYH5" s="1185"/>
      <c r="VYI5" s="1185"/>
      <c r="VYJ5" s="1185"/>
      <c r="VYK5" s="1185"/>
      <c r="VYL5" s="1185"/>
      <c r="VYM5" s="1185"/>
      <c r="VYN5" s="1185"/>
      <c r="VYO5" s="1185"/>
      <c r="VYP5" s="1185"/>
      <c r="VYQ5" s="1185"/>
      <c r="VYR5" s="1185"/>
      <c r="VYS5" s="1185"/>
      <c r="VYT5" s="1185"/>
      <c r="VYU5" s="1185"/>
      <c r="VYV5" s="1185"/>
      <c r="VYW5" s="1185"/>
      <c r="VYX5" s="1185"/>
      <c r="VYY5" s="1185"/>
      <c r="VYZ5" s="1185"/>
      <c r="VZA5" s="1185"/>
      <c r="VZB5" s="1185"/>
      <c r="VZC5" s="1185"/>
      <c r="VZD5" s="1185"/>
      <c r="VZE5" s="1185"/>
      <c r="VZF5" s="1185"/>
      <c r="VZG5" s="1185"/>
      <c r="VZH5" s="1185"/>
      <c r="VZI5" s="1185"/>
      <c r="VZJ5" s="1185"/>
      <c r="VZK5" s="1185"/>
      <c r="VZL5" s="1185"/>
      <c r="VZM5" s="1185"/>
      <c r="VZN5" s="1185"/>
      <c r="VZO5" s="1185"/>
      <c r="VZP5" s="1185"/>
      <c r="VZQ5" s="1185"/>
      <c r="VZR5" s="1185"/>
      <c r="VZS5" s="1185"/>
      <c r="VZT5" s="1185"/>
      <c r="VZU5" s="1185"/>
      <c r="VZV5" s="1185"/>
      <c r="VZW5" s="1185"/>
      <c r="VZX5" s="1185"/>
      <c r="VZY5" s="1185"/>
      <c r="VZZ5" s="1185"/>
      <c r="WAA5" s="1185"/>
      <c r="WAB5" s="1185"/>
      <c r="WAC5" s="1185"/>
      <c r="WAD5" s="1185"/>
      <c r="WAE5" s="1185"/>
      <c r="WAF5" s="1185"/>
      <c r="WAG5" s="1185"/>
      <c r="WAH5" s="1185"/>
      <c r="WAI5" s="1185"/>
      <c r="WAJ5" s="1185"/>
      <c r="WAK5" s="1185"/>
      <c r="WAL5" s="1185"/>
      <c r="WAM5" s="1185"/>
      <c r="WAN5" s="1185"/>
      <c r="WAO5" s="1185"/>
      <c r="WAP5" s="1185"/>
      <c r="WAQ5" s="1185"/>
      <c r="WAR5" s="1185"/>
      <c r="WAS5" s="1185"/>
      <c r="WAT5" s="1185"/>
      <c r="WAU5" s="1185"/>
      <c r="WAV5" s="1185"/>
      <c r="WAW5" s="1185"/>
      <c r="WAX5" s="1185"/>
      <c r="WAY5" s="1185"/>
      <c r="WAZ5" s="1185"/>
      <c r="WBA5" s="1185"/>
      <c r="WBB5" s="1185"/>
      <c r="WBC5" s="1185"/>
      <c r="WBD5" s="1185"/>
      <c r="WBE5" s="1185"/>
      <c r="WBF5" s="1185"/>
      <c r="WBG5" s="1185"/>
      <c r="WBH5" s="1185"/>
      <c r="WBI5" s="1185"/>
      <c r="WBJ5" s="1185"/>
      <c r="WBK5" s="1185"/>
      <c r="WBL5" s="1185"/>
      <c r="WBM5" s="1185"/>
      <c r="WBN5" s="1185"/>
      <c r="WBO5" s="1185"/>
      <c r="WBP5" s="1185"/>
      <c r="WBQ5" s="1185"/>
      <c r="WBR5" s="1185"/>
      <c r="WBS5" s="1185"/>
      <c r="WBT5" s="1185"/>
      <c r="WBU5" s="1185"/>
      <c r="WBV5" s="1185"/>
      <c r="WBW5" s="1185"/>
      <c r="WBX5" s="1185"/>
      <c r="WBY5" s="1185"/>
      <c r="WBZ5" s="1185"/>
      <c r="WCA5" s="1185"/>
      <c r="WCB5" s="1185"/>
      <c r="WCC5" s="1185"/>
      <c r="WCD5" s="1185"/>
      <c r="WCE5" s="1185"/>
      <c r="WCF5" s="1185"/>
      <c r="WCG5" s="1185"/>
      <c r="WCH5" s="1185"/>
      <c r="WCI5" s="1185"/>
      <c r="WCJ5" s="1185"/>
      <c r="WCK5" s="1185"/>
      <c r="WCL5" s="1185"/>
      <c r="WCM5" s="1185"/>
      <c r="WCN5" s="1185"/>
      <c r="WCO5" s="1185"/>
      <c r="WCP5" s="1185"/>
      <c r="WCQ5" s="1185"/>
      <c r="WCR5" s="1185"/>
      <c r="WCS5" s="1185"/>
      <c r="WCT5" s="1185"/>
      <c r="WCU5" s="1185"/>
      <c r="WCV5" s="1185"/>
      <c r="WCW5" s="1185"/>
      <c r="WCX5" s="1185"/>
      <c r="WCY5" s="1185"/>
      <c r="WCZ5" s="1185"/>
      <c r="WDA5" s="1185"/>
      <c r="WDB5" s="1185"/>
      <c r="WDC5" s="1185"/>
      <c r="WDD5" s="1185"/>
      <c r="WDE5" s="1185"/>
      <c r="WDF5" s="1185"/>
      <c r="WDG5" s="1185"/>
      <c r="WDH5" s="1185"/>
      <c r="WDI5" s="1185"/>
      <c r="WDJ5" s="1185"/>
      <c r="WDK5" s="1185"/>
      <c r="WDL5" s="1185"/>
      <c r="WDM5" s="1185"/>
      <c r="WDN5" s="1185"/>
      <c r="WDO5" s="1185"/>
      <c r="WDP5" s="1185"/>
      <c r="WDQ5" s="1185"/>
      <c r="WDR5" s="1185"/>
      <c r="WDS5" s="1185"/>
      <c r="WDT5" s="1185"/>
      <c r="WDU5" s="1185"/>
      <c r="WDV5" s="1185"/>
      <c r="WDW5" s="1185"/>
      <c r="WDX5" s="1185"/>
      <c r="WDY5" s="1185"/>
      <c r="WDZ5" s="1185"/>
      <c r="WEA5" s="1185"/>
      <c r="WEB5" s="1185"/>
      <c r="WEC5" s="1185"/>
      <c r="WED5" s="1185"/>
      <c r="WEE5" s="1185"/>
      <c r="WEF5" s="1185"/>
      <c r="WEG5" s="1185"/>
      <c r="WEH5" s="1185"/>
      <c r="WEI5" s="1185"/>
      <c r="WEJ5" s="1185"/>
      <c r="WEK5" s="1185"/>
      <c r="WEL5" s="1185"/>
      <c r="WEM5" s="1185"/>
      <c r="WEN5" s="1185"/>
      <c r="WEO5" s="1185"/>
      <c r="WEP5" s="1185"/>
      <c r="WEQ5" s="1185"/>
      <c r="WER5" s="1185"/>
      <c r="WES5" s="1185"/>
      <c r="WET5" s="1185"/>
      <c r="WEU5" s="1185"/>
      <c r="WEV5" s="1185"/>
      <c r="WEW5" s="1185"/>
      <c r="WEX5" s="1185"/>
      <c r="WEY5" s="1185"/>
      <c r="WEZ5" s="1185"/>
      <c r="WFA5" s="1185"/>
      <c r="WFB5" s="1185"/>
      <c r="WFC5" s="1185"/>
      <c r="WFD5" s="1185"/>
      <c r="WFE5" s="1185"/>
      <c r="WFF5" s="1185"/>
      <c r="WFG5" s="1185"/>
      <c r="WFH5" s="1185"/>
      <c r="WFI5" s="1185"/>
      <c r="WFJ5" s="1185"/>
      <c r="WFK5" s="1185"/>
      <c r="WFL5" s="1185"/>
      <c r="WFM5" s="1185"/>
      <c r="WFN5" s="1185"/>
      <c r="WFO5" s="1185"/>
      <c r="WFP5" s="1185"/>
      <c r="WFQ5" s="1185"/>
      <c r="WFR5" s="1185"/>
      <c r="WFS5" s="1185"/>
      <c r="WFT5" s="1185"/>
      <c r="WFU5" s="1185"/>
      <c r="WFV5" s="1185"/>
      <c r="WFW5" s="1185"/>
      <c r="WFX5" s="1185"/>
      <c r="WFY5" s="1185"/>
      <c r="WFZ5" s="1185"/>
      <c r="WGA5" s="1185"/>
      <c r="WGB5" s="1185"/>
      <c r="WGC5" s="1185"/>
      <c r="WGD5" s="1185"/>
      <c r="WGE5" s="1185"/>
      <c r="WGF5" s="1185"/>
      <c r="WGG5" s="1185"/>
      <c r="WGH5" s="1185"/>
      <c r="WGI5" s="1185"/>
      <c r="WGJ5" s="1185"/>
      <c r="WGK5" s="1185"/>
      <c r="WGL5" s="1185"/>
      <c r="WGM5" s="1185"/>
      <c r="WGN5" s="1185"/>
      <c r="WGO5" s="1185"/>
      <c r="WGP5" s="1185"/>
      <c r="WGQ5" s="1185"/>
      <c r="WGR5" s="1185"/>
      <c r="WGS5" s="1185"/>
      <c r="WGT5" s="1185"/>
      <c r="WGU5" s="1185"/>
      <c r="WGV5" s="1185"/>
      <c r="WGW5" s="1185"/>
      <c r="WGX5" s="1185"/>
      <c r="WGY5" s="1185"/>
      <c r="WGZ5" s="1185"/>
      <c r="WHA5" s="1185"/>
      <c r="WHB5" s="1185"/>
      <c r="WHC5" s="1185"/>
      <c r="WHD5" s="1185"/>
      <c r="WHE5" s="1185"/>
      <c r="WHF5" s="1185"/>
      <c r="WHG5" s="1185"/>
      <c r="WHH5" s="1185"/>
      <c r="WHI5" s="1185"/>
      <c r="WHJ5" s="1185"/>
      <c r="WHK5" s="1185"/>
      <c r="WHL5" s="1185"/>
      <c r="WHM5" s="1185"/>
      <c r="WHN5" s="1185"/>
      <c r="WHO5" s="1185"/>
      <c r="WHP5" s="1185"/>
      <c r="WHQ5" s="1185"/>
      <c r="WHR5" s="1185"/>
      <c r="WHS5" s="1185"/>
      <c r="WHT5" s="1185"/>
      <c r="WHU5" s="1185"/>
      <c r="WHV5" s="1185"/>
      <c r="WHW5" s="1185"/>
      <c r="WHX5" s="1185"/>
      <c r="WHY5" s="1185"/>
      <c r="WHZ5" s="1185"/>
      <c r="WIA5" s="1185"/>
      <c r="WIB5" s="1185"/>
      <c r="WIC5" s="1185"/>
      <c r="WID5" s="1185"/>
      <c r="WIE5" s="1185"/>
      <c r="WIF5" s="1185"/>
      <c r="WIG5" s="1185"/>
      <c r="WIH5" s="1185"/>
      <c r="WII5" s="1185"/>
      <c r="WIJ5" s="1185"/>
      <c r="WIK5" s="1185"/>
      <c r="WIL5" s="1185"/>
      <c r="WIM5" s="1185"/>
      <c r="WIN5" s="1185"/>
      <c r="WIO5" s="1185"/>
      <c r="WIP5" s="1185"/>
      <c r="WIQ5" s="1185"/>
      <c r="WIR5" s="1185"/>
      <c r="WIS5" s="1185"/>
      <c r="WIT5" s="1185"/>
      <c r="WIU5" s="1185"/>
      <c r="WIV5" s="1185"/>
      <c r="WIW5" s="1185"/>
      <c r="WIX5" s="1185"/>
      <c r="WIY5" s="1185"/>
      <c r="WIZ5" s="1185"/>
      <c r="WJA5" s="1185"/>
      <c r="WJB5" s="1185"/>
      <c r="WJC5" s="1185"/>
      <c r="WJD5" s="1185"/>
      <c r="WJE5" s="1185"/>
      <c r="WJF5" s="1185"/>
      <c r="WJG5" s="1185"/>
      <c r="WJH5" s="1185"/>
      <c r="WJI5" s="1185"/>
      <c r="WJJ5" s="1185"/>
      <c r="WJK5" s="1185"/>
      <c r="WJL5" s="1185"/>
      <c r="WJM5" s="1185"/>
      <c r="WJN5" s="1185"/>
      <c r="WJO5" s="1185"/>
      <c r="WJP5" s="1185"/>
      <c r="WJQ5" s="1185"/>
      <c r="WJR5" s="1185"/>
      <c r="WJS5" s="1185"/>
      <c r="WJT5" s="1185"/>
      <c r="WJU5" s="1185"/>
      <c r="WJV5" s="1185"/>
      <c r="WJW5" s="1185"/>
      <c r="WJX5" s="1185"/>
      <c r="WJY5" s="1185"/>
      <c r="WJZ5" s="1185"/>
      <c r="WKA5" s="1185"/>
      <c r="WKB5" s="1185"/>
      <c r="WKC5" s="1185"/>
      <c r="WKD5" s="1185"/>
      <c r="WKE5" s="1185"/>
      <c r="WKF5" s="1185"/>
      <c r="WKG5" s="1185"/>
      <c r="WKH5" s="1185"/>
      <c r="WKI5" s="1185"/>
      <c r="WKJ5" s="1185"/>
      <c r="WKK5" s="1185"/>
      <c r="WKL5" s="1185"/>
      <c r="WKM5" s="1185"/>
      <c r="WKN5" s="1185"/>
      <c r="WKO5" s="1185"/>
      <c r="WKP5" s="1185"/>
      <c r="WKQ5" s="1185"/>
      <c r="WKR5" s="1185"/>
      <c r="WKS5" s="1185"/>
      <c r="WKT5" s="1185"/>
      <c r="WKU5" s="1185"/>
      <c r="WKV5" s="1185"/>
      <c r="WKW5" s="1185"/>
      <c r="WKX5" s="1185"/>
      <c r="WKY5" s="1185"/>
      <c r="WKZ5" s="1185"/>
      <c r="WLA5" s="1185"/>
      <c r="WLB5" s="1185"/>
      <c r="WLC5" s="1185"/>
      <c r="WLD5" s="1185"/>
      <c r="WLE5" s="1185"/>
      <c r="WLF5" s="1185"/>
      <c r="WLG5" s="1185"/>
      <c r="WLH5" s="1185"/>
      <c r="WLI5" s="1185"/>
      <c r="WLJ5" s="1185"/>
      <c r="WLK5" s="1185"/>
      <c r="WLL5" s="1185"/>
      <c r="WLM5" s="1185"/>
      <c r="WLN5" s="1185"/>
      <c r="WLO5" s="1185"/>
      <c r="WLP5" s="1185"/>
      <c r="WLQ5" s="1185"/>
      <c r="WLR5" s="1185"/>
      <c r="WLS5" s="1185"/>
      <c r="WLT5" s="1185"/>
      <c r="WLU5" s="1185"/>
      <c r="WLV5" s="1185"/>
      <c r="WLW5" s="1185"/>
      <c r="WLX5" s="1185"/>
      <c r="WLY5" s="1185"/>
      <c r="WLZ5" s="1185"/>
      <c r="WMA5" s="1185"/>
      <c r="WMB5" s="1185"/>
      <c r="WMC5" s="1185"/>
      <c r="WMD5" s="1185"/>
      <c r="WME5" s="1185"/>
      <c r="WMF5" s="1185"/>
      <c r="WMG5" s="1185"/>
      <c r="WMH5" s="1185"/>
      <c r="WMI5" s="1185"/>
      <c r="WMJ5" s="1185"/>
      <c r="WMK5" s="1185"/>
      <c r="WML5" s="1185"/>
      <c r="WMM5" s="1185"/>
      <c r="WMN5" s="1185"/>
      <c r="WMO5" s="1185"/>
      <c r="WMP5" s="1185"/>
      <c r="WMQ5" s="1185"/>
      <c r="WMR5" s="1185"/>
      <c r="WMS5" s="1185"/>
      <c r="WMT5" s="1185"/>
      <c r="WMU5" s="1185"/>
      <c r="WMV5" s="1185"/>
      <c r="WMW5" s="1185"/>
      <c r="WMX5" s="1185"/>
      <c r="WMY5" s="1185"/>
      <c r="WMZ5" s="1185"/>
      <c r="WNA5" s="1185"/>
      <c r="WNB5" s="1185"/>
      <c r="WNC5" s="1185"/>
      <c r="WND5" s="1185"/>
      <c r="WNE5" s="1185"/>
      <c r="WNF5" s="1185"/>
      <c r="WNG5" s="1185"/>
      <c r="WNH5" s="1185"/>
      <c r="WNI5" s="1185"/>
      <c r="WNJ5" s="1185"/>
      <c r="WNK5" s="1185"/>
      <c r="WNL5" s="1185"/>
      <c r="WNM5" s="1185"/>
      <c r="WNN5" s="1185"/>
      <c r="WNO5" s="1185"/>
      <c r="WNP5" s="1185"/>
      <c r="WNQ5" s="1185"/>
      <c r="WNR5" s="1185"/>
      <c r="WNS5" s="1185"/>
      <c r="WNT5" s="1185"/>
      <c r="WNU5" s="1185"/>
      <c r="WNV5" s="1185"/>
      <c r="WNW5" s="1185"/>
      <c r="WNX5" s="1185"/>
      <c r="WNY5" s="1185"/>
      <c r="WNZ5" s="1185"/>
      <c r="WOA5" s="1185"/>
      <c r="WOB5" s="1185"/>
      <c r="WOC5" s="1185"/>
      <c r="WOD5" s="1185"/>
      <c r="WOE5" s="1185"/>
      <c r="WOF5" s="1185"/>
      <c r="WOG5" s="1185"/>
      <c r="WOH5" s="1185"/>
      <c r="WOI5" s="1185"/>
      <c r="WOJ5" s="1185"/>
      <c r="WOK5" s="1185"/>
      <c r="WOL5" s="1185"/>
      <c r="WOM5" s="1185"/>
      <c r="WON5" s="1185"/>
      <c r="WOO5" s="1185"/>
      <c r="WOP5" s="1185"/>
      <c r="WOQ5" s="1185"/>
      <c r="WOR5" s="1185"/>
      <c r="WOS5" s="1185"/>
      <c r="WOT5" s="1185"/>
      <c r="WOU5" s="1185"/>
      <c r="WOV5" s="1185"/>
      <c r="WOW5" s="1185"/>
      <c r="WOX5" s="1185"/>
      <c r="WOY5" s="1185"/>
      <c r="WOZ5" s="1185"/>
      <c r="WPA5" s="1185"/>
      <c r="WPB5" s="1185"/>
      <c r="WPC5" s="1185"/>
      <c r="WPD5" s="1185"/>
      <c r="WPE5" s="1185"/>
      <c r="WPF5" s="1185"/>
      <c r="WPG5" s="1185"/>
      <c r="WPH5" s="1185"/>
      <c r="WPI5" s="1185"/>
      <c r="WPJ5" s="1185"/>
      <c r="WPK5" s="1185"/>
      <c r="WPL5" s="1185"/>
      <c r="WPM5" s="1185"/>
      <c r="WPN5" s="1185"/>
      <c r="WPO5" s="1185"/>
      <c r="WPP5" s="1185"/>
      <c r="WPQ5" s="1185"/>
      <c r="WPR5" s="1185"/>
      <c r="WPS5" s="1185"/>
      <c r="WPT5" s="1185"/>
      <c r="WPU5" s="1185"/>
      <c r="WPV5" s="1185"/>
      <c r="WPW5" s="1185"/>
      <c r="WPX5" s="1185"/>
      <c r="WPY5" s="1185"/>
      <c r="WPZ5" s="1185"/>
      <c r="WQA5" s="1185"/>
      <c r="WQB5" s="1185"/>
      <c r="WQC5" s="1185"/>
      <c r="WQD5" s="1185"/>
      <c r="WQE5" s="1185"/>
      <c r="WQF5" s="1185"/>
      <c r="WQG5" s="1185"/>
      <c r="WQH5" s="1185"/>
      <c r="WQI5" s="1185"/>
      <c r="WQJ5" s="1185"/>
      <c r="WQK5" s="1185"/>
      <c r="WQL5" s="1185"/>
      <c r="WQM5" s="1185"/>
      <c r="WQN5" s="1185"/>
      <c r="WQO5" s="1185"/>
      <c r="WQP5" s="1185"/>
      <c r="WQQ5" s="1185"/>
      <c r="WQR5" s="1185"/>
      <c r="WQS5" s="1185"/>
      <c r="WQT5" s="1185"/>
      <c r="WQU5" s="1185"/>
      <c r="WQV5" s="1185"/>
      <c r="WQW5" s="1185"/>
      <c r="WQX5" s="1185"/>
      <c r="WQY5" s="1185"/>
      <c r="WQZ5" s="1185"/>
      <c r="WRA5" s="1185"/>
      <c r="WRB5" s="1185"/>
      <c r="WRC5" s="1185"/>
      <c r="WRD5" s="1185"/>
      <c r="WRE5" s="1185"/>
      <c r="WRF5" s="1185"/>
      <c r="WRG5" s="1185"/>
      <c r="WRH5" s="1185"/>
      <c r="WRI5" s="1185"/>
      <c r="WRJ5" s="1185"/>
      <c r="WRK5" s="1185"/>
      <c r="WRL5" s="1185"/>
      <c r="WRM5" s="1185"/>
      <c r="WRN5" s="1185"/>
      <c r="WRO5" s="1185"/>
      <c r="WRP5" s="1185"/>
      <c r="WRQ5" s="1185"/>
      <c r="WRR5" s="1185"/>
      <c r="WRS5" s="1185"/>
      <c r="WRT5" s="1185"/>
      <c r="WRU5" s="1185"/>
      <c r="WRV5" s="1185"/>
      <c r="WRW5" s="1185"/>
      <c r="WRX5" s="1185"/>
      <c r="WRY5" s="1185"/>
      <c r="WRZ5" s="1185"/>
      <c r="WSA5" s="1185"/>
      <c r="WSB5" s="1185"/>
      <c r="WSC5" s="1185"/>
      <c r="WSD5" s="1185"/>
      <c r="WSE5" s="1185"/>
      <c r="WSF5" s="1185"/>
      <c r="WSG5" s="1185"/>
      <c r="WSH5" s="1185"/>
      <c r="WSI5" s="1185"/>
      <c r="WSJ5" s="1185"/>
      <c r="WSK5" s="1185"/>
      <c r="WSL5" s="1185"/>
      <c r="WSM5" s="1185"/>
      <c r="WSN5" s="1185"/>
      <c r="WSO5" s="1185"/>
      <c r="WSP5" s="1185"/>
      <c r="WSQ5" s="1185"/>
      <c r="WSR5" s="1185"/>
      <c r="WSS5" s="1185"/>
      <c r="WST5" s="1185"/>
      <c r="WSU5" s="1185"/>
      <c r="WSV5" s="1185"/>
      <c r="WSW5" s="1185"/>
      <c r="WSX5" s="1185"/>
      <c r="WSY5" s="1185"/>
      <c r="WSZ5" s="1185"/>
      <c r="WTA5" s="1185"/>
      <c r="WTB5" s="1185"/>
      <c r="WTC5" s="1185"/>
      <c r="WTD5" s="1185"/>
      <c r="WTE5" s="1185"/>
      <c r="WTF5" s="1185"/>
      <c r="WTG5" s="1185"/>
      <c r="WTH5" s="1185"/>
      <c r="WTI5" s="1185"/>
      <c r="WTJ5" s="1185"/>
      <c r="WTK5" s="1185"/>
      <c r="WTL5" s="1185"/>
      <c r="WTM5" s="1185"/>
      <c r="WTN5" s="1185"/>
      <c r="WTO5" s="1185"/>
      <c r="WTP5" s="1185"/>
      <c r="WTQ5" s="1185"/>
      <c r="WTR5" s="1185"/>
      <c r="WTS5" s="1185"/>
      <c r="WTT5" s="1185"/>
      <c r="WTU5" s="1185"/>
      <c r="WTV5" s="1185"/>
      <c r="WTW5" s="1185"/>
      <c r="WTX5" s="1185"/>
      <c r="WTY5" s="1185"/>
      <c r="WTZ5" s="1185"/>
      <c r="WUA5" s="1185"/>
      <c r="WUB5" s="1185"/>
      <c r="WUC5" s="1185"/>
      <c r="WUD5" s="1185"/>
      <c r="WUE5" s="1185"/>
      <c r="WUF5" s="1185"/>
      <c r="WUG5" s="1185"/>
      <c r="WUH5" s="1185"/>
      <c r="WUI5" s="1185"/>
      <c r="WUJ5" s="1185"/>
      <c r="WUK5" s="1185"/>
      <c r="WUL5" s="1185"/>
      <c r="WUM5" s="1185"/>
      <c r="WUN5" s="1185"/>
      <c r="WUO5" s="1185"/>
      <c r="WUP5" s="1185"/>
      <c r="WUQ5" s="1185"/>
      <c r="WUR5" s="1185"/>
      <c r="WUS5" s="1185"/>
      <c r="WUT5" s="1185"/>
      <c r="WUU5" s="1185"/>
      <c r="WUV5" s="1185"/>
      <c r="WUW5" s="1185"/>
      <c r="WUX5" s="1185"/>
      <c r="WUY5" s="1185"/>
      <c r="WUZ5" s="1185"/>
      <c r="WVA5" s="1185"/>
      <c r="WVB5" s="1185"/>
      <c r="WVC5" s="1185"/>
      <c r="WVD5" s="1185"/>
      <c r="WVE5" s="1185"/>
      <c r="WVF5" s="1185"/>
      <c r="WVG5" s="1185"/>
      <c r="WVH5" s="1185"/>
      <c r="WVI5" s="1185"/>
      <c r="WVJ5" s="1185"/>
      <c r="WVK5" s="1185"/>
      <c r="WVL5" s="1185"/>
      <c r="WVM5" s="1185"/>
      <c r="WVN5" s="1185"/>
      <c r="WVO5" s="1185"/>
      <c r="WVP5" s="1185"/>
      <c r="WVQ5" s="1185"/>
      <c r="WVR5" s="1185"/>
      <c r="WVS5" s="1185"/>
      <c r="WVT5" s="1185"/>
      <c r="WVU5" s="1185"/>
      <c r="WVV5" s="1185"/>
      <c r="WVW5" s="1185"/>
      <c r="WVX5" s="1185"/>
      <c r="WVY5" s="1185"/>
      <c r="WVZ5" s="1185"/>
      <c r="WWA5" s="1185"/>
      <c r="WWB5" s="1185"/>
      <c r="WWC5" s="1185"/>
      <c r="WWD5" s="1185"/>
      <c r="WWE5" s="1185"/>
      <c r="WWF5" s="1185"/>
      <c r="WWG5" s="1185"/>
      <c r="WWH5" s="1185"/>
      <c r="WWI5" s="1185"/>
      <c r="WWJ5" s="1185"/>
      <c r="WWK5" s="1185"/>
      <c r="WWL5" s="1185"/>
      <c r="WWM5" s="1185"/>
      <c r="WWN5" s="1185"/>
      <c r="WWO5" s="1185"/>
      <c r="WWP5" s="1185"/>
      <c r="WWQ5" s="1185"/>
      <c r="WWR5" s="1185"/>
      <c r="WWS5" s="1185"/>
      <c r="WWT5" s="1185"/>
      <c r="WWU5" s="1185"/>
      <c r="WWV5" s="1185"/>
      <c r="WWW5" s="1185"/>
      <c r="WWX5" s="1185"/>
      <c r="WWY5" s="1185"/>
      <c r="WWZ5" s="1185"/>
      <c r="WXA5" s="1185"/>
      <c r="WXB5" s="1185"/>
      <c r="WXC5" s="1185"/>
      <c r="WXD5" s="1185"/>
      <c r="WXE5" s="1185"/>
      <c r="WXF5" s="1185"/>
      <c r="WXG5" s="1185"/>
      <c r="WXH5" s="1185"/>
      <c r="WXI5" s="1185"/>
      <c r="WXJ5" s="1185"/>
      <c r="WXK5" s="1185"/>
      <c r="WXL5" s="1185"/>
      <c r="WXM5" s="1185"/>
      <c r="WXN5" s="1185"/>
      <c r="WXO5" s="1185"/>
      <c r="WXP5" s="1185"/>
      <c r="WXQ5" s="1185"/>
      <c r="WXR5" s="1185"/>
      <c r="WXS5" s="1185"/>
      <c r="WXT5" s="1185"/>
      <c r="WXU5" s="1185"/>
      <c r="WXV5" s="1185"/>
      <c r="WXW5" s="1185"/>
      <c r="WXX5" s="1185"/>
      <c r="WXY5" s="1185"/>
      <c r="WXZ5" s="1185"/>
      <c r="WYA5" s="1185"/>
      <c r="WYB5" s="1185"/>
      <c r="WYC5" s="1185"/>
      <c r="WYD5" s="1185"/>
      <c r="WYE5" s="1185"/>
      <c r="WYF5" s="1185"/>
      <c r="WYG5" s="1185"/>
      <c r="WYH5" s="1185"/>
      <c r="WYI5" s="1185"/>
      <c r="WYJ5" s="1185"/>
      <c r="WYK5" s="1185"/>
      <c r="WYL5" s="1185"/>
      <c r="WYM5" s="1185"/>
      <c r="WYN5" s="1185"/>
      <c r="WYO5" s="1185"/>
      <c r="WYP5" s="1185"/>
      <c r="WYQ5" s="1185"/>
      <c r="WYR5" s="1185"/>
      <c r="WYS5" s="1185"/>
      <c r="WYT5" s="1185"/>
      <c r="WYU5" s="1185"/>
      <c r="WYV5" s="1185"/>
      <c r="WYW5" s="1185"/>
      <c r="WYX5" s="1185"/>
      <c r="WYY5" s="1185"/>
      <c r="WYZ5" s="1185"/>
      <c r="WZA5" s="1185"/>
      <c r="WZB5" s="1185"/>
      <c r="WZC5" s="1185"/>
      <c r="WZD5" s="1185"/>
      <c r="WZE5" s="1185"/>
      <c r="WZF5" s="1185"/>
      <c r="WZG5" s="1185"/>
      <c r="WZH5" s="1185"/>
      <c r="WZI5" s="1185"/>
      <c r="WZJ5" s="1185"/>
      <c r="WZK5" s="1185"/>
      <c r="WZL5" s="1185"/>
      <c r="WZM5" s="1185"/>
      <c r="WZN5" s="1185"/>
      <c r="WZO5" s="1185"/>
      <c r="WZP5" s="1185"/>
      <c r="WZQ5" s="1185"/>
      <c r="WZR5" s="1185"/>
      <c r="WZS5" s="1185"/>
      <c r="WZT5" s="1185"/>
      <c r="WZU5" s="1185"/>
      <c r="WZV5" s="1185"/>
      <c r="WZW5" s="1185"/>
      <c r="WZX5" s="1185"/>
      <c r="WZY5" s="1185"/>
      <c r="WZZ5" s="1185"/>
      <c r="XAA5" s="1185"/>
      <c r="XAB5" s="1185"/>
      <c r="XAC5" s="1185"/>
      <c r="XAD5" s="1185"/>
      <c r="XAE5" s="1185"/>
      <c r="XAF5" s="1185"/>
      <c r="XAG5" s="1185"/>
      <c r="XAH5" s="1185"/>
      <c r="XAI5" s="1185"/>
      <c r="XAJ5" s="1185"/>
      <c r="XAK5" s="1185"/>
      <c r="XAL5" s="1185"/>
      <c r="XAM5" s="1185"/>
      <c r="XAN5" s="1185"/>
      <c r="XAO5" s="1185"/>
      <c r="XAP5" s="1185"/>
      <c r="XAQ5" s="1185"/>
      <c r="XAR5" s="1185"/>
      <c r="XAS5" s="1185"/>
      <c r="XAT5" s="1185"/>
      <c r="XAU5" s="1185"/>
      <c r="XAV5" s="1185"/>
      <c r="XAW5" s="1185"/>
      <c r="XAX5" s="1185"/>
      <c r="XAY5" s="1185"/>
      <c r="XAZ5" s="1185"/>
      <c r="XBA5" s="1185"/>
      <c r="XBB5" s="1185"/>
      <c r="XBC5" s="1185"/>
      <c r="XBD5" s="1185"/>
      <c r="XBE5" s="1185"/>
      <c r="XBF5" s="1185"/>
      <c r="XBG5" s="1185"/>
      <c r="XBH5" s="1185"/>
      <c r="XBI5" s="1185"/>
      <c r="XBJ5" s="1185"/>
      <c r="XBK5" s="1185"/>
      <c r="XBL5" s="1185"/>
      <c r="XBM5" s="1185"/>
      <c r="XBN5" s="1185"/>
      <c r="XBO5" s="1185"/>
      <c r="XBP5" s="1185"/>
      <c r="XBQ5" s="1185"/>
      <c r="XBR5" s="1185"/>
      <c r="XBS5" s="1185"/>
      <c r="XBT5" s="1185"/>
      <c r="XBU5" s="1185"/>
      <c r="XBV5" s="1185"/>
      <c r="XBW5" s="1185"/>
      <c r="XBX5" s="1185"/>
      <c r="XBY5" s="1185"/>
      <c r="XBZ5" s="1185"/>
      <c r="XCA5" s="1185"/>
      <c r="XCB5" s="1185"/>
      <c r="XCC5" s="1185"/>
      <c r="XCD5" s="1185"/>
      <c r="XCE5" s="1185"/>
      <c r="XCF5" s="1185"/>
      <c r="XCG5" s="1185"/>
      <c r="XCH5" s="1185"/>
      <c r="XCI5" s="1185"/>
      <c r="XCJ5" s="1185"/>
      <c r="XCK5" s="1185"/>
      <c r="XCL5" s="1185"/>
      <c r="XCM5" s="1185"/>
      <c r="XCN5" s="1185"/>
      <c r="XCO5" s="1185"/>
      <c r="XCP5" s="1185"/>
      <c r="XCQ5" s="1185"/>
      <c r="XCR5" s="1185"/>
      <c r="XCS5" s="1185"/>
      <c r="XCT5" s="1185"/>
      <c r="XCU5" s="1185"/>
      <c r="XCV5" s="1185"/>
      <c r="XCW5" s="1185"/>
      <c r="XCX5" s="1185"/>
      <c r="XCY5" s="1185"/>
      <c r="XCZ5" s="1185"/>
      <c r="XDA5" s="1185"/>
      <c r="XDB5" s="1185"/>
      <c r="XDC5" s="1185"/>
      <c r="XDD5" s="1185"/>
      <c r="XDE5" s="1185"/>
      <c r="XDF5" s="1185"/>
      <c r="XDG5" s="1185"/>
      <c r="XDH5" s="1185"/>
      <c r="XDI5" s="1185"/>
      <c r="XDJ5" s="1185"/>
      <c r="XDK5" s="1185"/>
      <c r="XDL5" s="1185"/>
      <c r="XDM5" s="1185"/>
      <c r="XDN5" s="1185"/>
      <c r="XDO5" s="1185"/>
      <c r="XDP5" s="1185"/>
      <c r="XDQ5" s="1185"/>
      <c r="XDR5" s="1185"/>
      <c r="XDS5" s="1185"/>
      <c r="XDT5" s="1185"/>
      <c r="XDU5" s="1185"/>
      <c r="XDV5" s="1185"/>
      <c r="XDW5" s="1185"/>
      <c r="XDX5" s="1185"/>
      <c r="XDY5" s="1185"/>
      <c r="XDZ5" s="1185"/>
      <c r="XEA5" s="1185"/>
      <c r="XEB5" s="1185"/>
      <c r="XEC5" s="1185"/>
      <c r="XED5" s="1185"/>
      <c r="XEE5" s="1185"/>
      <c r="XEF5" s="1185"/>
      <c r="XEG5" s="1185"/>
      <c r="XEH5" s="1185"/>
      <c r="XEI5" s="1185"/>
      <c r="XEJ5" s="1185"/>
      <c r="XEK5" s="1185"/>
      <c r="XEL5" s="1185"/>
      <c r="XEM5" s="1185"/>
      <c r="XEN5" s="1185"/>
      <c r="XEO5" s="1185"/>
      <c r="XEP5" s="1185"/>
      <c r="XEQ5" s="1185"/>
      <c r="XER5" s="1185"/>
      <c r="XES5" s="1185"/>
      <c r="XET5" s="1185"/>
      <c r="XEU5" s="1185"/>
      <c r="XEV5" s="1185"/>
      <c r="XEW5" s="1185"/>
      <c r="XEX5" s="1185"/>
      <c r="XEY5" s="1185"/>
      <c r="XEZ5" s="1185"/>
      <c r="XFA5" s="1185"/>
      <c r="XFB5" s="1185"/>
    </row>
    <row r="6" spans="1:16382" s="1186" customFormat="1" ht="26.25" customHeight="1" x14ac:dyDescent="0.25">
      <c r="A6" s="1384"/>
      <c r="B6" s="1384"/>
      <c r="C6" s="1384"/>
      <c r="D6" s="1384"/>
      <c r="E6" s="1387"/>
      <c r="F6" s="1390"/>
      <c r="G6" s="1393"/>
      <c r="H6" s="1396"/>
      <c r="I6" s="1393"/>
      <c r="J6" s="1393"/>
      <c r="K6" s="1393"/>
      <c r="L6" s="1398"/>
      <c r="M6" s="1401"/>
      <c r="N6" s="1402"/>
      <c r="O6" s="1401" t="s">
        <v>3452</v>
      </c>
      <c r="P6" s="1401"/>
      <c r="Q6" s="1401" t="s">
        <v>3368</v>
      </c>
      <c r="R6" s="1401"/>
      <c r="S6" s="1404" t="s">
        <v>3372</v>
      </c>
      <c r="T6" s="1404"/>
      <c r="U6" s="1404" t="s">
        <v>3455</v>
      </c>
      <c r="V6" s="1404"/>
      <c r="W6" s="1404" t="s">
        <v>3369</v>
      </c>
      <c r="X6" s="1404"/>
      <c r="Y6" s="1404" t="s">
        <v>3456</v>
      </c>
      <c r="Z6" s="1404"/>
      <c r="AA6" s="1404" t="s">
        <v>3457</v>
      </c>
      <c r="AB6" s="1404"/>
      <c r="AC6" s="1404" t="s">
        <v>3370</v>
      </c>
      <c r="AD6" s="1404"/>
      <c r="AE6" s="1404" t="s">
        <v>3458</v>
      </c>
      <c r="AF6" s="1404"/>
      <c r="AG6" s="1407" t="s">
        <v>3371</v>
      </c>
      <c r="AH6" s="1407"/>
      <c r="AI6" s="1407" t="s">
        <v>3453</v>
      </c>
      <c r="AJ6" s="1407"/>
      <c r="AK6" s="1407" t="s">
        <v>3454</v>
      </c>
      <c r="AL6" s="1407"/>
      <c r="AM6" s="1408" t="s">
        <v>4360</v>
      </c>
      <c r="AN6" s="1185"/>
      <c r="AO6" s="1185"/>
      <c r="AP6" s="1185"/>
      <c r="AQ6" s="1185"/>
      <c r="AR6" s="1185"/>
      <c r="AS6" s="1185"/>
      <c r="AT6" s="1185"/>
      <c r="AU6" s="1185"/>
      <c r="AV6" s="1185"/>
      <c r="AW6" s="1185"/>
      <c r="AX6" s="1185"/>
      <c r="AY6" s="1185"/>
      <c r="AZ6" s="1185"/>
      <c r="BA6" s="1185"/>
      <c r="BB6" s="1185"/>
      <c r="BC6" s="1185"/>
      <c r="BD6" s="1185"/>
      <c r="BE6" s="1185"/>
      <c r="BF6" s="1185"/>
      <c r="BG6" s="1185"/>
      <c r="BH6" s="1185"/>
      <c r="BI6" s="1185"/>
      <c r="BJ6" s="1185"/>
      <c r="BK6" s="1185"/>
      <c r="BL6" s="1185"/>
      <c r="BM6" s="1185"/>
      <c r="BN6" s="1185"/>
      <c r="BO6" s="1185"/>
      <c r="BP6" s="1185"/>
      <c r="BQ6" s="1185"/>
      <c r="BR6" s="1185"/>
      <c r="BS6" s="1185"/>
      <c r="BT6" s="1185"/>
      <c r="BU6" s="1185"/>
      <c r="BV6" s="1185"/>
      <c r="BW6" s="1185"/>
      <c r="BX6" s="1185"/>
      <c r="BY6" s="1185"/>
      <c r="BZ6" s="1185"/>
      <c r="CA6" s="1185"/>
      <c r="CB6" s="1185"/>
      <c r="CC6" s="1185"/>
      <c r="CD6" s="1185"/>
      <c r="CE6" s="1185"/>
      <c r="CF6" s="1185"/>
      <c r="CG6" s="1185"/>
      <c r="CH6" s="1185"/>
      <c r="CI6" s="1185"/>
      <c r="CJ6" s="1185"/>
      <c r="CK6" s="1185"/>
      <c r="CL6" s="1185"/>
      <c r="CM6" s="1185"/>
      <c r="CN6" s="1185"/>
      <c r="CO6" s="1185"/>
      <c r="CP6" s="1185"/>
      <c r="CQ6" s="1185"/>
      <c r="CR6" s="1185"/>
      <c r="CS6" s="1185"/>
      <c r="CT6" s="1185"/>
      <c r="CU6" s="1185"/>
      <c r="CV6" s="1185"/>
      <c r="CW6" s="1185"/>
      <c r="CX6" s="1185"/>
      <c r="CY6" s="1185"/>
      <c r="CZ6" s="1185"/>
      <c r="DA6" s="1185"/>
      <c r="DB6" s="1185"/>
      <c r="DC6" s="1185"/>
      <c r="DD6" s="1185"/>
      <c r="DE6" s="1185"/>
      <c r="DF6" s="1185"/>
      <c r="DG6" s="1185"/>
      <c r="DH6" s="1185"/>
      <c r="DI6" s="1185"/>
      <c r="DJ6" s="1185"/>
      <c r="DK6" s="1185"/>
      <c r="DL6" s="1185"/>
      <c r="DM6" s="1185"/>
      <c r="DN6" s="1185"/>
      <c r="DO6" s="1185"/>
      <c r="DP6" s="1185"/>
      <c r="DQ6" s="1185"/>
      <c r="DR6" s="1185"/>
      <c r="DS6" s="1185"/>
      <c r="DT6" s="1185"/>
      <c r="DU6" s="1185"/>
      <c r="DV6" s="1185"/>
      <c r="DW6" s="1185"/>
      <c r="DX6" s="1185"/>
      <c r="DY6" s="1185"/>
      <c r="DZ6" s="1185"/>
      <c r="EA6" s="1185"/>
      <c r="EB6" s="1185"/>
      <c r="EC6" s="1185"/>
      <c r="ED6" s="1185"/>
      <c r="EE6" s="1185"/>
      <c r="EF6" s="1185"/>
      <c r="EG6" s="1185"/>
      <c r="EH6" s="1185"/>
      <c r="EI6" s="1185"/>
      <c r="EJ6" s="1185"/>
      <c r="EK6" s="1185"/>
      <c r="EL6" s="1185"/>
      <c r="EM6" s="1185"/>
      <c r="EN6" s="1185"/>
      <c r="EO6" s="1185"/>
      <c r="EP6" s="1185"/>
      <c r="EQ6" s="1185"/>
      <c r="ER6" s="1185"/>
      <c r="ES6" s="1185"/>
      <c r="ET6" s="1185"/>
      <c r="EU6" s="1185"/>
      <c r="EV6" s="1185"/>
      <c r="EW6" s="1185"/>
      <c r="EX6" s="1185"/>
      <c r="EY6" s="1185"/>
      <c r="EZ6" s="1185"/>
      <c r="FA6" s="1185"/>
      <c r="FB6" s="1185"/>
      <c r="FC6" s="1185"/>
      <c r="FD6" s="1185"/>
      <c r="FE6" s="1185"/>
      <c r="FF6" s="1185"/>
      <c r="FG6" s="1185"/>
      <c r="FH6" s="1185"/>
      <c r="FI6" s="1185"/>
      <c r="FJ6" s="1185"/>
      <c r="FK6" s="1185"/>
      <c r="FL6" s="1185"/>
      <c r="FM6" s="1185"/>
      <c r="FN6" s="1185"/>
      <c r="FO6" s="1185"/>
      <c r="FP6" s="1185"/>
      <c r="FQ6" s="1185"/>
      <c r="FR6" s="1185"/>
      <c r="FS6" s="1185"/>
      <c r="FT6" s="1185"/>
      <c r="FU6" s="1185"/>
      <c r="FV6" s="1185"/>
      <c r="FW6" s="1185"/>
      <c r="FX6" s="1185"/>
      <c r="FY6" s="1185"/>
      <c r="FZ6" s="1185"/>
      <c r="GA6" s="1185"/>
      <c r="GB6" s="1185"/>
      <c r="GC6" s="1185"/>
      <c r="GD6" s="1185"/>
      <c r="GE6" s="1185"/>
      <c r="GF6" s="1185"/>
      <c r="GG6" s="1185"/>
      <c r="GH6" s="1185"/>
      <c r="GI6" s="1185"/>
      <c r="GJ6" s="1185"/>
      <c r="GK6" s="1185"/>
      <c r="GL6" s="1185"/>
      <c r="GM6" s="1185"/>
      <c r="GN6" s="1185"/>
      <c r="GO6" s="1185"/>
      <c r="GP6" s="1185"/>
      <c r="GQ6" s="1185"/>
      <c r="GR6" s="1185"/>
      <c r="GS6" s="1185"/>
      <c r="GT6" s="1185"/>
      <c r="GU6" s="1185"/>
      <c r="GV6" s="1185"/>
      <c r="GW6" s="1185"/>
      <c r="GX6" s="1185"/>
      <c r="GY6" s="1185"/>
      <c r="GZ6" s="1185"/>
      <c r="HA6" s="1185"/>
      <c r="HB6" s="1185"/>
      <c r="HC6" s="1185"/>
      <c r="HD6" s="1185"/>
      <c r="HE6" s="1185"/>
      <c r="HF6" s="1185"/>
      <c r="HG6" s="1185"/>
      <c r="HH6" s="1185"/>
      <c r="HI6" s="1185"/>
      <c r="HJ6" s="1185"/>
      <c r="HK6" s="1185"/>
      <c r="HL6" s="1185"/>
      <c r="HM6" s="1185"/>
      <c r="HN6" s="1185"/>
      <c r="HO6" s="1185"/>
      <c r="HP6" s="1185"/>
      <c r="HQ6" s="1185"/>
      <c r="HR6" s="1185"/>
      <c r="HS6" s="1185"/>
      <c r="HT6" s="1185"/>
      <c r="HU6" s="1185"/>
      <c r="HV6" s="1185"/>
      <c r="HW6" s="1185"/>
      <c r="HX6" s="1185"/>
      <c r="HY6" s="1185"/>
      <c r="HZ6" s="1185"/>
      <c r="IA6" s="1185"/>
      <c r="IB6" s="1185"/>
      <c r="IC6" s="1185"/>
      <c r="ID6" s="1185"/>
      <c r="IE6" s="1185"/>
      <c r="IF6" s="1185"/>
      <c r="IG6" s="1185"/>
      <c r="IH6" s="1185"/>
      <c r="II6" s="1185"/>
      <c r="IJ6" s="1185"/>
      <c r="IK6" s="1185"/>
      <c r="IL6" s="1185"/>
      <c r="IM6" s="1185"/>
      <c r="IN6" s="1185"/>
      <c r="IO6" s="1185"/>
      <c r="IP6" s="1185"/>
      <c r="IQ6" s="1185"/>
      <c r="IR6" s="1185"/>
      <c r="IS6" s="1185"/>
      <c r="IT6" s="1185"/>
      <c r="IU6" s="1185"/>
      <c r="IV6" s="1185"/>
      <c r="IW6" s="1185"/>
      <c r="IX6" s="1185"/>
      <c r="IY6" s="1185"/>
      <c r="IZ6" s="1185"/>
      <c r="JA6" s="1185"/>
      <c r="JB6" s="1185"/>
      <c r="JC6" s="1185"/>
      <c r="JD6" s="1185"/>
      <c r="JE6" s="1185"/>
      <c r="JF6" s="1185"/>
      <c r="JG6" s="1185"/>
      <c r="JH6" s="1185"/>
      <c r="JI6" s="1185"/>
      <c r="JJ6" s="1185"/>
      <c r="JK6" s="1185"/>
      <c r="JL6" s="1185"/>
      <c r="JM6" s="1185"/>
      <c r="JN6" s="1185"/>
      <c r="JO6" s="1185"/>
      <c r="JP6" s="1185"/>
      <c r="JQ6" s="1185"/>
      <c r="JR6" s="1185"/>
      <c r="JS6" s="1185"/>
      <c r="JT6" s="1185"/>
      <c r="JU6" s="1185"/>
      <c r="JV6" s="1185"/>
      <c r="JW6" s="1185"/>
      <c r="JX6" s="1185"/>
      <c r="JY6" s="1185"/>
      <c r="JZ6" s="1185"/>
      <c r="KA6" s="1185"/>
      <c r="KB6" s="1185"/>
      <c r="KC6" s="1185"/>
      <c r="KD6" s="1185"/>
      <c r="KE6" s="1185"/>
      <c r="KF6" s="1185"/>
      <c r="KG6" s="1185"/>
      <c r="KH6" s="1185"/>
      <c r="KI6" s="1185"/>
      <c r="KJ6" s="1185"/>
      <c r="KK6" s="1185"/>
      <c r="KL6" s="1185"/>
      <c r="KM6" s="1185"/>
      <c r="KN6" s="1185"/>
      <c r="KO6" s="1185"/>
      <c r="KP6" s="1185"/>
      <c r="KQ6" s="1185"/>
      <c r="KR6" s="1185"/>
      <c r="KS6" s="1185"/>
      <c r="KT6" s="1185"/>
      <c r="KU6" s="1185"/>
      <c r="KV6" s="1185"/>
      <c r="KW6" s="1185"/>
      <c r="KX6" s="1185"/>
      <c r="KY6" s="1185"/>
      <c r="KZ6" s="1185"/>
      <c r="LA6" s="1185"/>
      <c r="LB6" s="1185"/>
      <c r="LC6" s="1185"/>
      <c r="LD6" s="1185"/>
      <c r="LE6" s="1185"/>
      <c r="LF6" s="1185"/>
      <c r="LG6" s="1185"/>
      <c r="LH6" s="1185"/>
      <c r="LI6" s="1185"/>
      <c r="LJ6" s="1185"/>
      <c r="LK6" s="1185"/>
      <c r="LL6" s="1185"/>
      <c r="LM6" s="1185"/>
      <c r="LN6" s="1185"/>
      <c r="LO6" s="1185"/>
      <c r="LP6" s="1185"/>
      <c r="LQ6" s="1185"/>
      <c r="LR6" s="1185"/>
      <c r="LS6" s="1185"/>
      <c r="LT6" s="1185"/>
      <c r="LU6" s="1185"/>
      <c r="LV6" s="1185"/>
      <c r="LW6" s="1185"/>
      <c r="LX6" s="1185"/>
      <c r="LY6" s="1185"/>
      <c r="LZ6" s="1185"/>
      <c r="MA6" s="1185"/>
      <c r="MB6" s="1185"/>
      <c r="MC6" s="1185"/>
      <c r="MD6" s="1185"/>
      <c r="ME6" s="1185"/>
      <c r="MF6" s="1185"/>
      <c r="MG6" s="1185"/>
      <c r="MH6" s="1185"/>
      <c r="MI6" s="1185"/>
      <c r="MJ6" s="1185"/>
      <c r="MK6" s="1185"/>
      <c r="ML6" s="1185"/>
      <c r="MM6" s="1185"/>
      <c r="MN6" s="1185"/>
      <c r="MO6" s="1185"/>
      <c r="MP6" s="1185"/>
      <c r="MQ6" s="1185"/>
      <c r="MR6" s="1185"/>
      <c r="MS6" s="1185"/>
      <c r="MT6" s="1185"/>
      <c r="MU6" s="1185"/>
      <c r="MV6" s="1185"/>
      <c r="MW6" s="1185"/>
      <c r="MX6" s="1185"/>
      <c r="MY6" s="1185"/>
      <c r="MZ6" s="1185"/>
      <c r="NA6" s="1185"/>
      <c r="NB6" s="1185"/>
      <c r="NC6" s="1185"/>
      <c r="ND6" s="1185"/>
      <c r="NE6" s="1185"/>
      <c r="NF6" s="1185"/>
      <c r="NG6" s="1185"/>
      <c r="NH6" s="1185"/>
      <c r="NI6" s="1185"/>
      <c r="NJ6" s="1185"/>
      <c r="NK6" s="1185"/>
      <c r="NL6" s="1185"/>
      <c r="NM6" s="1185"/>
      <c r="NN6" s="1185"/>
      <c r="NO6" s="1185"/>
      <c r="NP6" s="1185"/>
      <c r="NQ6" s="1185"/>
      <c r="NR6" s="1185"/>
      <c r="NS6" s="1185"/>
      <c r="NT6" s="1185"/>
      <c r="NU6" s="1185"/>
      <c r="NV6" s="1185"/>
      <c r="NW6" s="1185"/>
      <c r="NX6" s="1185"/>
      <c r="NY6" s="1185"/>
      <c r="NZ6" s="1185"/>
      <c r="OA6" s="1185"/>
      <c r="OB6" s="1185"/>
      <c r="OC6" s="1185"/>
      <c r="OD6" s="1185"/>
      <c r="OE6" s="1185"/>
      <c r="OF6" s="1185"/>
      <c r="OG6" s="1185"/>
      <c r="OH6" s="1185"/>
      <c r="OI6" s="1185"/>
      <c r="OJ6" s="1185"/>
      <c r="OK6" s="1185"/>
      <c r="OL6" s="1185"/>
      <c r="OM6" s="1185"/>
      <c r="ON6" s="1185"/>
      <c r="OO6" s="1185"/>
      <c r="OP6" s="1185"/>
      <c r="OQ6" s="1185"/>
      <c r="OR6" s="1185"/>
      <c r="OS6" s="1185"/>
      <c r="OT6" s="1185"/>
      <c r="OU6" s="1185"/>
      <c r="OV6" s="1185"/>
      <c r="OW6" s="1185"/>
      <c r="OX6" s="1185"/>
      <c r="OY6" s="1185"/>
      <c r="OZ6" s="1185"/>
      <c r="PA6" s="1185"/>
      <c r="PB6" s="1185"/>
      <c r="PC6" s="1185"/>
      <c r="PD6" s="1185"/>
      <c r="PE6" s="1185"/>
      <c r="PF6" s="1185"/>
      <c r="PG6" s="1185"/>
      <c r="PH6" s="1185"/>
      <c r="PI6" s="1185"/>
      <c r="PJ6" s="1185"/>
      <c r="PK6" s="1185"/>
      <c r="PL6" s="1185"/>
      <c r="PM6" s="1185"/>
      <c r="PN6" s="1185"/>
      <c r="PO6" s="1185"/>
      <c r="PP6" s="1185"/>
      <c r="PQ6" s="1185"/>
      <c r="PR6" s="1185"/>
      <c r="PS6" s="1185"/>
      <c r="PT6" s="1185"/>
      <c r="PU6" s="1185"/>
      <c r="PV6" s="1185"/>
      <c r="PW6" s="1185"/>
      <c r="PX6" s="1185"/>
      <c r="PY6" s="1185"/>
      <c r="PZ6" s="1185"/>
      <c r="QA6" s="1185"/>
      <c r="QB6" s="1185"/>
      <c r="QC6" s="1185"/>
      <c r="QD6" s="1185"/>
      <c r="QE6" s="1185"/>
      <c r="QF6" s="1185"/>
      <c r="QG6" s="1185"/>
      <c r="QH6" s="1185"/>
      <c r="QI6" s="1185"/>
      <c r="QJ6" s="1185"/>
      <c r="QK6" s="1185"/>
      <c r="QL6" s="1185"/>
      <c r="QM6" s="1185"/>
      <c r="QN6" s="1185"/>
      <c r="QO6" s="1185"/>
      <c r="QP6" s="1185"/>
      <c r="QQ6" s="1185"/>
      <c r="QR6" s="1185"/>
      <c r="QS6" s="1185"/>
      <c r="QT6" s="1185"/>
      <c r="QU6" s="1185"/>
      <c r="QV6" s="1185"/>
      <c r="QW6" s="1185"/>
      <c r="QX6" s="1185"/>
      <c r="QY6" s="1185"/>
      <c r="QZ6" s="1185"/>
      <c r="RA6" s="1185"/>
      <c r="RB6" s="1185"/>
      <c r="RC6" s="1185"/>
      <c r="RD6" s="1185"/>
      <c r="RE6" s="1185"/>
      <c r="RF6" s="1185"/>
      <c r="RG6" s="1185"/>
      <c r="RH6" s="1185"/>
      <c r="RI6" s="1185"/>
      <c r="RJ6" s="1185"/>
      <c r="RK6" s="1185"/>
      <c r="RL6" s="1185"/>
      <c r="RM6" s="1185"/>
      <c r="RN6" s="1185"/>
      <c r="RO6" s="1185"/>
      <c r="RP6" s="1185"/>
      <c r="RQ6" s="1185"/>
      <c r="RR6" s="1185"/>
      <c r="RS6" s="1185"/>
      <c r="RT6" s="1185"/>
      <c r="RU6" s="1185"/>
      <c r="RV6" s="1185"/>
      <c r="RW6" s="1185"/>
      <c r="RX6" s="1185"/>
      <c r="RY6" s="1185"/>
      <c r="RZ6" s="1185"/>
      <c r="SA6" s="1185"/>
      <c r="SB6" s="1185"/>
      <c r="SC6" s="1185"/>
      <c r="SD6" s="1185"/>
      <c r="SE6" s="1185"/>
      <c r="SF6" s="1185"/>
      <c r="SG6" s="1185"/>
      <c r="SH6" s="1185"/>
      <c r="SI6" s="1185"/>
      <c r="SJ6" s="1185"/>
      <c r="SK6" s="1185"/>
      <c r="SL6" s="1185"/>
      <c r="SM6" s="1185"/>
      <c r="SN6" s="1185"/>
      <c r="SO6" s="1185"/>
      <c r="SP6" s="1185"/>
      <c r="SQ6" s="1185"/>
      <c r="SR6" s="1185"/>
      <c r="SS6" s="1185"/>
      <c r="ST6" s="1185"/>
      <c r="SU6" s="1185"/>
      <c r="SV6" s="1185"/>
      <c r="SW6" s="1185"/>
      <c r="SX6" s="1185"/>
      <c r="SY6" s="1185"/>
      <c r="SZ6" s="1185"/>
      <c r="TA6" s="1185"/>
      <c r="TB6" s="1185"/>
      <c r="TC6" s="1185"/>
      <c r="TD6" s="1185"/>
      <c r="TE6" s="1185"/>
      <c r="TF6" s="1185"/>
      <c r="TG6" s="1185"/>
      <c r="TH6" s="1185"/>
      <c r="TI6" s="1185"/>
      <c r="TJ6" s="1185"/>
      <c r="TK6" s="1185"/>
      <c r="TL6" s="1185"/>
      <c r="TM6" s="1185"/>
      <c r="TN6" s="1185"/>
      <c r="TO6" s="1185"/>
      <c r="TP6" s="1185"/>
      <c r="TQ6" s="1185"/>
      <c r="TR6" s="1185"/>
      <c r="TS6" s="1185"/>
      <c r="TT6" s="1185"/>
      <c r="TU6" s="1185"/>
      <c r="TV6" s="1185"/>
      <c r="TW6" s="1185"/>
      <c r="TX6" s="1185"/>
      <c r="TY6" s="1185"/>
      <c r="TZ6" s="1185"/>
      <c r="UA6" s="1185"/>
      <c r="UB6" s="1185"/>
      <c r="UC6" s="1185"/>
      <c r="UD6" s="1185"/>
      <c r="UE6" s="1185"/>
      <c r="UF6" s="1185"/>
      <c r="UG6" s="1185"/>
      <c r="UH6" s="1185"/>
      <c r="UI6" s="1185"/>
      <c r="UJ6" s="1185"/>
      <c r="UK6" s="1185"/>
      <c r="UL6" s="1185"/>
      <c r="UM6" s="1185"/>
      <c r="UN6" s="1185"/>
      <c r="UO6" s="1185"/>
      <c r="UP6" s="1185"/>
      <c r="UQ6" s="1185"/>
      <c r="UR6" s="1185"/>
      <c r="US6" s="1185"/>
      <c r="UT6" s="1185"/>
      <c r="UU6" s="1185"/>
      <c r="UV6" s="1185"/>
      <c r="UW6" s="1185"/>
      <c r="UX6" s="1185"/>
      <c r="UY6" s="1185"/>
      <c r="UZ6" s="1185"/>
      <c r="VA6" s="1185"/>
      <c r="VB6" s="1185"/>
      <c r="VC6" s="1185"/>
      <c r="VD6" s="1185"/>
      <c r="VE6" s="1185"/>
      <c r="VF6" s="1185"/>
      <c r="VG6" s="1185"/>
      <c r="VH6" s="1185"/>
      <c r="VI6" s="1185"/>
      <c r="VJ6" s="1185"/>
      <c r="VK6" s="1185"/>
      <c r="VL6" s="1185"/>
      <c r="VM6" s="1185"/>
      <c r="VN6" s="1185"/>
      <c r="VO6" s="1185"/>
      <c r="VP6" s="1185"/>
      <c r="VQ6" s="1185"/>
      <c r="VR6" s="1185"/>
      <c r="VS6" s="1185"/>
      <c r="VT6" s="1185"/>
      <c r="VU6" s="1185"/>
      <c r="VV6" s="1185"/>
      <c r="VW6" s="1185"/>
      <c r="VX6" s="1185"/>
      <c r="VY6" s="1185"/>
      <c r="VZ6" s="1185"/>
      <c r="WA6" s="1185"/>
      <c r="WB6" s="1185"/>
      <c r="WC6" s="1185"/>
      <c r="WD6" s="1185"/>
      <c r="WE6" s="1185"/>
      <c r="WF6" s="1185"/>
      <c r="WG6" s="1185"/>
      <c r="WH6" s="1185"/>
      <c r="WI6" s="1185"/>
      <c r="WJ6" s="1185"/>
      <c r="WK6" s="1185"/>
      <c r="WL6" s="1185"/>
      <c r="WM6" s="1185"/>
      <c r="WN6" s="1185"/>
      <c r="WO6" s="1185"/>
      <c r="WP6" s="1185"/>
      <c r="WQ6" s="1185"/>
      <c r="WR6" s="1185"/>
      <c r="WS6" s="1185"/>
      <c r="WT6" s="1185"/>
      <c r="WU6" s="1185"/>
      <c r="WV6" s="1185"/>
      <c r="WW6" s="1185"/>
      <c r="WX6" s="1185"/>
      <c r="WY6" s="1185"/>
      <c r="WZ6" s="1185"/>
      <c r="XA6" s="1185"/>
      <c r="XB6" s="1185"/>
      <c r="XC6" s="1185"/>
      <c r="XD6" s="1185"/>
      <c r="XE6" s="1185"/>
      <c r="XF6" s="1185"/>
      <c r="XG6" s="1185"/>
      <c r="XH6" s="1185"/>
      <c r="XI6" s="1185"/>
      <c r="XJ6" s="1185"/>
      <c r="XK6" s="1185"/>
      <c r="XL6" s="1185"/>
      <c r="XM6" s="1185"/>
      <c r="XN6" s="1185"/>
      <c r="XO6" s="1185"/>
      <c r="XP6" s="1185"/>
      <c r="XQ6" s="1185"/>
      <c r="XR6" s="1185"/>
      <c r="XS6" s="1185"/>
      <c r="XT6" s="1185"/>
      <c r="XU6" s="1185"/>
      <c r="XV6" s="1185"/>
      <c r="XW6" s="1185"/>
      <c r="XX6" s="1185"/>
      <c r="XY6" s="1185"/>
      <c r="XZ6" s="1185"/>
      <c r="YA6" s="1185"/>
      <c r="YB6" s="1185"/>
      <c r="YC6" s="1185"/>
      <c r="YD6" s="1185"/>
      <c r="YE6" s="1185"/>
      <c r="YF6" s="1185"/>
      <c r="YG6" s="1185"/>
      <c r="YH6" s="1185"/>
      <c r="YI6" s="1185"/>
      <c r="YJ6" s="1185"/>
      <c r="YK6" s="1185"/>
      <c r="YL6" s="1185"/>
      <c r="YM6" s="1185"/>
      <c r="YN6" s="1185"/>
      <c r="YO6" s="1185"/>
      <c r="YP6" s="1185"/>
      <c r="YQ6" s="1185"/>
      <c r="YR6" s="1185"/>
      <c r="YS6" s="1185"/>
      <c r="YT6" s="1185"/>
      <c r="YU6" s="1185"/>
      <c r="YV6" s="1185"/>
      <c r="YW6" s="1185"/>
      <c r="YX6" s="1185"/>
      <c r="YY6" s="1185"/>
      <c r="YZ6" s="1185"/>
      <c r="ZA6" s="1185"/>
      <c r="ZB6" s="1185"/>
      <c r="ZC6" s="1185"/>
      <c r="ZD6" s="1185"/>
      <c r="ZE6" s="1185"/>
      <c r="ZF6" s="1185"/>
      <c r="ZG6" s="1185"/>
      <c r="ZH6" s="1185"/>
      <c r="ZI6" s="1185"/>
      <c r="ZJ6" s="1185"/>
      <c r="ZK6" s="1185"/>
      <c r="ZL6" s="1185"/>
      <c r="ZM6" s="1185"/>
      <c r="ZN6" s="1185"/>
      <c r="ZO6" s="1185"/>
      <c r="ZP6" s="1185"/>
      <c r="ZQ6" s="1185"/>
      <c r="ZR6" s="1185"/>
      <c r="ZS6" s="1185"/>
      <c r="ZT6" s="1185"/>
      <c r="ZU6" s="1185"/>
      <c r="ZV6" s="1185"/>
      <c r="ZW6" s="1185"/>
      <c r="ZX6" s="1185"/>
      <c r="ZY6" s="1185"/>
      <c r="ZZ6" s="1185"/>
      <c r="AAA6" s="1185"/>
      <c r="AAB6" s="1185"/>
      <c r="AAC6" s="1185"/>
      <c r="AAD6" s="1185"/>
      <c r="AAE6" s="1185"/>
      <c r="AAF6" s="1185"/>
      <c r="AAG6" s="1185"/>
      <c r="AAH6" s="1185"/>
      <c r="AAI6" s="1185"/>
      <c r="AAJ6" s="1185"/>
      <c r="AAK6" s="1185"/>
      <c r="AAL6" s="1185"/>
      <c r="AAM6" s="1185"/>
      <c r="AAN6" s="1185"/>
      <c r="AAO6" s="1185"/>
      <c r="AAP6" s="1185"/>
      <c r="AAQ6" s="1185"/>
      <c r="AAR6" s="1185"/>
      <c r="AAS6" s="1185"/>
      <c r="AAT6" s="1185"/>
      <c r="AAU6" s="1185"/>
      <c r="AAV6" s="1185"/>
      <c r="AAW6" s="1185"/>
      <c r="AAX6" s="1185"/>
      <c r="AAY6" s="1185"/>
      <c r="AAZ6" s="1185"/>
      <c r="ABA6" s="1185"/>
      <c r="ABB6" s="1185"/>
      <c r="ABC6" s="1185"/>
      <c r="ABD6" s="1185"/>
      <c r="ABE6" s="1185"/>
      <c r="ABF6" s="1185"/>
      <c r="ABG6" s="1185"/>
      <c r="ABH6" s="1185"/>
      <c r="ABI6" s="1185"/>
      <c r="ABJ6" s="1185"/>
      <c r="ABK6" s="1185"/>
      <c r="ABL6" s="1185"/>
      <c r="ABM6" s="1185"/>
      <c r="ABN6" s="1185"/>
      <c r="ABO6" s="1185"/>
      <c r="ABP6" s="1185"/>
      <c r="ABQ6" s="1185"/>
      <c r="ABR6" s="1185"/>
      <c r="ABS6" s="1185"/>
      <c r="ABT6" s="1185"/>
      <c r="ABU6" s="1185"/>
      <c r="ABV6" s="1185"/>
      <c r="ABW6" s="1185"/>
      <c r="ABX6" s="1185"/>
      <c r="ABY6" s="1185"/>
      <c r="ABZ6" s="1185"/>
      <c r="ACA6" s="1185"/>
      <c r="ACB6" s="1185"/>
      <c r="ACC6" s="1185"/>
      <c r="ACD6" s="1185"/>
      <c r="ACE6" s="1185"/>
      <c r="ACF6" s="1185"/>
      <c r="ACG6" s="1185"/>
      <c r="ACH6" s="1185"/>
      <c r="ACI6" s="1185"/>
      <c r="ACJ6" s="1185"/>
      <c r="ACK6" s="1185"/>
      <c r="ACL6" s="1185"/>
      <c r="ACM6" s="1185"/>
      <c r="ACN6" s="1185"/>
      <c r="ACO6" s="1185"/>
      <c r="ACP6" s="1185"/>
      <c r="ACQ6" s="1185"/>
      <c r="ACR6" s="1185"/>
      <c r="ACS6" s="1185"/>
      <c r="ACT6" s="1185"/>
      <c r="ACU6" s="1185"/>
      <c r="ACV6" s="1185"/>
      <c r="ACW6" s="1185"/>
      <c r="ACX6" s="1185"/>
      <c r="ACY6" s="1185"/>
      <c r="ACZ6" s="1185"/>
      <c r="ADA6" s="1185"/>
      <c r="ADB6" s="1185"/>
      <c r="ADC6" s="1185"/>
      <c r="ADD6" s="1185"/>
      <c r="ADE6" s="1185"/>
      <c r="ADF6" s="1185"/>
      <c r="ADG6" s="1185"/>
      <c r="ADH6" s="1185"/>
      <c r="ADI6" s="1185"/>
      <c r="ADJ6" s="1185"/>
      <c r="ADK6" s="1185"/>
      <c r="ADL6" s="1185"/>
      <c r="ADM6" s="1185"/>
      <c r="ADN6" s="1185"/>
      <c r="ADO6" s="1185"/>
      <c r="ADP6" s="1185"/>
      <c r="ADQ6" s="1185"/>
      <c r="ADR6" s="1185"/>
      <c r="ADS6" s="1185"/>
      <c r="ADT6" s="1185"/>
      <c r="ADU6" s="1185"/>
      <c r="ADV6" s="1185"/>
      <c r="ADW6" s="1185"/>
      <c r="ADX6" s="1185"/>
      <c r="ADY6" s="1185"/>
      <c r="ADZ6" s="1185"/>
      <c r="AEA6" s="1185"/>
      <c r="AEB6" s="1185"/>
      <c r="AEC6" s="1185"/>
      <c r="AED6" s="1185"/>
      <c r="AEE6" s="1185"/>
      <c r="AEF6" s="1185"/>
      <c r="AEG6" s="1185"/>
      <c r="AEH6" s="1185"/>
      <c r="AEI6" s="1185"/>
      <c r="AEJ6" s="1185"/>
      <c r="AEK6" s="1185"/>
      <c r="AEL6" s="1185"/>
      <c r="AEM6" s="1185"/>
      <c r="AEN6" s="1185"/>
      <c r="AEO6" s="1185"/>
      <c r="AEP6" s="1185"/>
      <c r="AEQ6" s="1185"/>
      <c r="AER6" s="1185"/>
      <c r="AES6" s="1185"/>
      <c r="AET6" s="1185"/>
      <c r="AEU6" s="1185"/>
      <c r="AEV6" s="1185"/>
      <c r="AEW6" s="1185"/>
      <c r="AEX6" s="1185"/>
      <c r="AEY6" s="1185"/>
      <c r="AEZ6" s="1185"/>
      <c r="AFA6" s="1185"/>
      <c r="AFB6" s="1185"/>
      <c r="AFC6" s="1185"/>
      <c r="AFD6" s="1185"/>
      <c r="AFE6" s="1185"/>
      <c r="AFF6" s="1185"/>
      <c r="AFG6" s="1185"/>
      <c r="AFH6" s="1185"/>
      <c r="AFI6" s="1185"/>
      <c r="AFJ6" s="1185"/>
      <c r="AFK6" s="1185"/>
      <c r="AFL6" s="1185"/>
      <c r="AFM6" s="1185"/>
      <c r="AFN6" s="1185"/>
      <c r="AFO6" s="1185"/>
      <c r="AFP6" s="1185"/>
      <c r="AFQ6" s="1185"/>
      <c r="AFR6" s="1185"/>
      <c r="AFS6" s="1185"/>
      <c r="AFT6" s="1185"/>
      <c r="AFU6" s="1185"/>
      <c r="AFV6" s="1185"/>
      <c r="AFW6" s="1185"/>
      <c r="AFX6" s="1185"/>
      <c r="AFY6" s="1185"/>
      <c r="AFZ6" s="1185"/>
      <c r="AGA6" s="1185"/>
      <c r="AGB6" s="1185"/>
      <c r="AGC6" s="1185"/>
      <c r="AGD6" s="1185"/>
      <c r="AGE6" s="1185"/>
      <c r="AGF6" s="1185"/>
      <c r="AGG6" s="1185"/>
      <c r="AGH6" s="1185"/>
      <c r="AGI6" s="1185"/>
      <c r="AGJ6" s="1185"/>
      <c r="AGK6" s="1185"/>
      <c r="AGL6" s="1185"/>
      <c r="AGM6" s="1185"/>
      <c r="AGN6" s="1185"/>
      <c r="AGO6" s="1185"/>
      <c r="AGP6" s="1185"/>
      <c r="AGQ6" s="1185"/>
      <c r="AGR6" s="1185"/>
      <c r="AGS6" s="1185"/>
      <c r="AGT6" s="1185"/>
      <c r="AGU6" s="1185"/>
      <c r="AGV6" s="1185"/>
      <c r="AGW6" s="1185"/>
      <c r="AGX6" s="1185"/>
      <c r="AGY6" s="1185"/>
      <c r="AGZ6" s="1185"/>
      <c r="AHA6" s="1185"/>
      <c r="AHB6" s="1185"/>
      <c r="AHC6" s="1185"/>
      <c r="AHD6" s="1185"/>
      <c r="AHE6" s="1185"/>
      <c r="AHF6" s="1185"/>
      <c r="AHG6" s="1185"/>
      <c r="AHH6" s="1185"/>
      <c r="AHI6" s="1185"/>
      <c r="AHJ6" s="1185"/>
      <c r="AHK6" s="1185"/>
      <c r="AHL6" s="1185"/>
      <c r="AHM6" s="1185"/>
      <c r="AHN6" s="1185"/>
      <c r="AHO6" s="1185"/>
      <c r="AHP6" s="1185"/>
      <c r="AHQ6" s="1185"/>
      <c r="AHR6" s="1185"/>
      <c r="AHS6" s="1185"/>
      <c r="AHT6" s="1185"/>
      <c r="AHU6" s="1185"/>
      <c r="AHV6" s="1185"/>
      <c r="AHW6" s="1185"/>
      <c r="AHX6" s="1185"/>
      <c r="AHY6" s="1185"/>
      <c r="AHZ6" s="1185"/>
      <c r="AIA6" s="1185"/>
      <c r="AIB6" s="1185"/>
      <c r="AIC6" s="1185"/>
      <c r="AID6" s="1185"/>
      <c r="AIE6" s="1185"/>
      <c r="AIF6" s="1185"/>
      <c r="AIG6" s="1185"/>
      <c r="AIH6" s="1185"/>
      <c r="AII6" s="1185"/>
      <c r="AIJ6" s="1185"/>
      <c r="AIK6" s="1185"/>
      <c r="AIL6" s="1185"/>
      <c r="AIM6" s="1185"/>
      <c r="AIN6" s="1185"/>
      <c r="AIO6" s="1185"/>
      <c r="AIP6" s="1185"/>
      <c r="AIQ6" s="1185"/>
      <c r="AIR6" s="1185"/>
      <c r="AIS6" s="1185"/>
      <c r="AIT6" s="1185"/>
      <c r="AIU6" s="1185"/>
      <c r="AIV6" s="1185"/>
      <c r="AIW6" s="1185"/>
      <c r="AIX6" s="1185"/>
      <c r="AIY6" s="1185"/>
      <c r="AIZ6" s="1185"/>
      <c r="AJA6" s="1185"/>
      <c r="AJB6" s="1185"/>
      <c r="AJC6" s="1185"/>
      <c r="AJD6" s="1185"/>
      <c r="AJE6" s="1185"/>
      <c r="AJF6" s="1185"/>
      <c r="AJG6" s="1185"/>
      <c r="AJH6" s="1185"/>
      <c r="AJI6" s="1185"/>
      <c r="AJJ6" s="1185"/>
      <c r="AJK6" s="1185"/>
      <c r="AJL6" s="1185"/>
      <c r="AJM6" s="1185"/>
      <c r="AJN6" s="1185"/>
      <c r="AJO6" s="1185"/>
      <c r="AJP6" s="1185"/>
      <c r="AJQ6" s="1185"/>
      <c r="AJR6" s="1185"/>
      <c r="AJS6" s="1185"/>
      <c r="AJT6" s="1185"/>
      <c r="AJU6" s="1185"/>
      <c r="AJV6" s="1185"/>
      <c r="AJW6" s="1185"/>
      <c r="AJX6" s="1185"/>
      <c r="AJY6" s="1185"/>
      <c r="AJZ6" s="1185"/>
      <c r="AKA6" s="1185"/>
      <c r="AKB6" s="1185"/>
      <c r="AKC6" s="1185"/>
      <c r="AKD6" s="1185"/>
      <c r="AKE6" s="1185"/>
      <c r="AKF6" s="1185"/>
      <c r="AKG6" s="1185"/>
      <c r="AKH6" s="1185"/>
      <c r="AKI6" s="1185"/>
      <c r="AKJ6" s="1185"/>
      <c r="AKK6" s="1185"/>
      <c r="AKL6" s="1185"/>
      <c r="AKM6" s="1185"/>
      <c r="AKN6" s="1185"/>
      <c r="AKO6" s="1185"/>
      <c r="AKP6" s="1185"/>
      <c r="AKQ6" s="1185"/>
      <c r="AKR6" s="1185"/>
      <c r="AKS6" s="1185"/>
      <c r="AKT6" s="1185"/>
      <c r="AKU6" s="1185"/>
      <c r="AKV6" s="1185"/>
      <c r="AKW6" s="1185"/>
      <c r="AKX6" s="1185"/>
      <c r="AKY6" s="1185"/>
      <c r="AKZ6" s="1185"/>
      <c r="ALA6" s="1185"/>
      <c r="ALB6" s="1185"/>
      <c r="ALC6" s="1185"/>
      <c r="ALD6" s="1185"/>
      <c r="ALE6" s="1185"/>
      <c r="ALF6" s="1185"/>
      <c r="ALG6" s="1185"/>
      <c r="ALH6" s="1185"/>
      <c r="ALI6" s="1185"/>
      <c r="ALJ6" s="1185"/>
      <c r="ALK6" s="1185"/>
      <c r="ALL6" s="1185"/>
      <c r="ALM6" s="1185"/>
      <c r="ALN6" s="1185"/>
      <c r="ALO6" s="1185"/>
      <c r="ALP6" s="1185"/>
      <c r="ALQ6" s="1185"/>
      <c r="ALR6" s="1185"/>
      <c r="ALS6" s="1185"/>
      <c r="ALT6" s="1185"/>
      <c r="ALU6" s="1185"/>
      <c r="ALV6" s="1185"/>
      <c r="ALW6" s="1185"/>
      <c r="ALX6" s="1185"/>
      <c r="ALY6" s="1185"/>
      <c r="ALZ6" s="1185"/>
      <c r="AMA6" s="1185"/>
      <c r="AMB6" s="1185"/>
      <c r="AMC6" s="1185"/>
      <c r="AMD6" s="1185"/>
      <c r="AME6" s="1185"/>
      <c r="AMF6" s="1185"/>
      <c r="AMG6" s="1185"/>
      <c r="AMH6" s="1185"/>
      <c r="AMI6" s="1185"/>
      <c r="AMJ6" s="1185"/>
      <c r="AMK6" s="1185"/>
      <c r="AML6" s="1185"/>
      <c r="AMM6" s="1185"/>
      <c r="AMN6" s="1185"/>
      <c r="AMO6" s="1185"/>
      <c r="AMP6" s="1185"/>
      <c r="AMQ6" s="1185"/>
      <c r="AMR6" s="1185"/>
      <c r="AMS6" s="1185"/>
      <c r="AMT6" s="1185"/>
      <c r="AMU6" s="1185"/>
      <c r="AMV6" s="1185"/>
      <c r="AMW6" s="1185"/>
      <c r="AMX6" s="1185"/>
      <c r="AMY6" s="1185"/>
      <c r="AMZ6" s="1185"/>
      <c r="ANA6" s="1185"/>
      <c r="ANB6" s="1185"/>
      <c r="ANC6" s="1185"/>
      <c r="AND6" s="1185"/>
      <c r="ANE6" s="1185"/>
      <c r="ANF6" s="1185"/>
      <c r="ANG6" s="1185"/>
      <c r="ANH6" s="1185"/>
      <c r="ANI6" s="1185"/>
      <c r="ANJ6" s="1185"/>
      <c r="ANK6" s="1185"/>
      <c r="ANL6" s="1185"/>
      <c r="ANM6" s="1185"/>
      <c r="ANN6" s="1185"/>
      <c r="ANO6" s="1185"/>
      <c r="ANP6" s="1185"/>
      <c r="ANQ6" s="1185"/>
      <c r="ANR6" s="1185"/>
      <c r="ANS6" s="1185"/>
      <c r="ANT6" s="1185"/>
      <c r="ANU6" s="1185"/>
      <c r="ANV6" s="1185"/>
      <c r="ANW6" s="1185"/>
      <c r="ANX6" s="1185"/>
      <c r="ANY6" s="1185"/>
      <c r="ANZ6" s="1185"/>
      <c r="AOA6" s="1185"/>
      <c r="AOB6" s="1185"/>
      <c r="AOC6" s="1185"/>
      <c r="AOD6" s="1185"/>
      <c r="AOE6" s="1185"/>
      <c r="AOF6" s="1185"/>
      <c r="AOG6" s="1185"/>
      <c r="AOH6" s="1185"/>
      <c r="AOI6" s="1185"/>
      <c r="AOJ6" s="1185"/>
      <c r="AOK6" s="1185"/>
      <c r="AOL6" s="1185"/>
      <c r="AOM6" s="1185"/>
      <c r="AON6" s="1185"/>
      <c r="AOO6" s="1185"/>
      <c r="AOP6" s="1185"/>
      <c r="AOQ6" s="1185"/>
      <c r="AOR6" s="1185"/>
      <c r="AOS6" s="1185"/>
      <c r="AOT6" s="1185"/>
      <c r="AOU6" s="1185"/>
      <c r="AOV6" s="1185"/>
      <c r="AOW6" s="1185"/>
      <c r="AOX6" s="1185"/>
      <c r="AOY6" s="1185"/>
      <c r="AOZ6" s="1185"/>
      <c r="APA6" s="1185"/>
      <c r="APB6" s="1185"/>
      <c r="APC6" s="1185"/>
      <c r="APD6" s="1185"/>
      <c r="APE6" s="1185"/>
      <c r="APF6" s="1185"/>
      <c r="APG6" s="1185"/>
      <c r="APH6" s="1185"/>
      <c r="API6" s="1185"/>
      <c r="APJ6" s="1185"/>
      <c r="APK6" s="1185"/>
      <c r="APL6" s="1185"/>
      <c r="APM6" s="1185"/>
      <c r="APN6" s="1185"/>
      <c r="APO6" s="1185"/>
      <c r="APP6" s="1185"/>
      <c r="APQ6" s="1185"/>
      <c r="APR6" s="1185"/>
      <c r="APS6" s="1185"/>
      <c r="APT6" s="1185"/>
      <c r="APU6" s="1185"/>
      <c r="APV6" s="1185"/>
      <c r="APW6" s="1185"/>
      <c r="APX6" s="1185"/>
      <c r="APY6" s="1185"/>
      <c r="APZ6" s="1185"/>
      <c r="AQA6" s="1185"/>
      <c r="AQB6" s="1185"/>
      <c r="AQC6" s="1185"/>
      <c r="AQD6" s="1185"/>
      <c r="AQE6" s="1185"/>
      <c r="AQF6" s="1185"/>
      <c r="AQG6" s="1185"/>
      <c r="AQH6" s="1185"/>
      <c r="AQI6" s="1185"/>
      <c r="AQJ6" s="1185"/>
      <c r="AQK6" s="1185"/>
      <c r="AQL6" s="1185"/>
      <c r="AQM6" s="1185"/>
      <c r="AQN6" s="1185"/>
      <c r="AQO6" s="1185"/>
      <c r="AQP6" s="1185"/>
      <c r="AQQ6" s="1185"/>
      <c r="AQR6" s="1185"/>
      <c r="AQS6" s="1185"/>
      <c r="AQT6" s="1185"/>
      <c r="AQU6" s="1185"/>
      <c r="AQV6" s="1185"/>
      <c r="AQW6" s="1185"/>
      <c r="AQX6" s="1185"/>
      <c r="AQY6" s="1185"/>
      <c r="AQZ6" s="1185"/>
      <c r="ARA6" s="1185"/>
      <c r="ARB6" s="1185"/>
      <c r="ARC6" s="1185"/>
      <c r="ARD6" s="1185"/>
      <c r="ARE6" s="1185"/>
      <c r="ARF6" s="1185"/>
      <c r="ARG6" s="1185"/>
      <c r="ARH6" s="1185"/>
      <c r="ARI6" s="1185"/>
      <c r="ARJ6" s="1185"/>
      <c r="ARK6" s="1185"/>
      <c r="ARL6" s="1185"/>
      <c r="ARM6" s="1185"/>
      <c r="ARN6" s="1185"/>
      <c r="ARO6" s="1185"/>
      <c r="ARP6" s="1185"/>
      <c r="ARQ6" s="1185"/>
      <c r="ARR6" s="1185"/>
      <c r="ARS6" s="1185"/>
      <c r="ART6" s="1185"/>
      <c r="ARU6" s="1185"/>
      <c r="ARV6" s="1185"/>
      <c r="ARW6" s="1185"/>
      <c r="ARX6" s="1185"/>
      <c r="ARY6" s="1185"/>
      <c r="ARZ6" s="1185"/>
      <c r="ASA6" s="1185"/>
      <c r="ASB6" s="1185"/>
      <c r="ASC6" s="1185"/>
      <c r="ASD6" s="1185"/>
      <c r="ASE6" s="1185"/>
      <c r="ASF6" s="1185"/>
      <c r="ASG6" s="1185"/>
      <c r="ASH6" s="1185"/>
      <c r="ASI6" s="1185"/>
      <c r="ASJ6" s="1185"/>
      <c r="ASK6" s="1185"/>
      <c r="ASL6" s="1185"/>
      <c r="ASM6" s="1185"/>
      <c r="ASN6" s="1185"/>
      <c r="ASO6" s="1185"/>
      <c r="ASP6" s="1185"/>
      <c r="ASQ6" s="1185"/>
      <c r="ASR6" s="1185"/>
      <c r="ASS6" s="1185"/>
      <c r="AST6" s="1185"/>
      <c r="ASU6" s="1185"/>
      <c r="ASV6" s="1185"/>
      <c r="ASW6" s="1185"/>
      <c r="ASX6" s="1185"/>
      <c r="ASY6" s="1185"/>
      <c r="ASZ6" s="1185"/>
      <c r="ATA6" s="1185"/>
      <c r="ATB6" s="1185"/>
      <c r="ATC6" s="1185"/>
      <c r="ATD6" s="1185"/>
      <c r="ATE6" s="1185"/>
      <c r="ATF6" s="1185"/>
      <c r="ATG6" s="1185"/>
      <c r="ATH6" s="1185"/>
      <c r="ATI6" s="1185"/>
      <c r="ATJ6" s="1185"/>
      <c r="ATK6" s="1185"/>
      <c r="ATL6" s="1185"/>
      <c r="ATM6" s="1185"/>
      <c r="ATN6" s="1185"/>
      <c r="ATO6" s="1185"/>
      <c r="ATP6" s="1185"/>
      <c r="ATQ6" s="1185"/>
      <c r="ATR6" s="1185"/>
      <c r="ATS6" s="1185"/>
      <c r="ATT6" s="1185"/>
      <c r="ATU6" s="1185"/>
      <c r="ATV6" s="1185"/>
      <c r="ATW6" s="1185"/>
      <c r="ATX6" s="1185"/>
      <c r="ATY6" s="1185"/>
      <c r="ATZ6" s="1185"/>
      <c r="AUA6" s="1185"/>
      <c r="AUB6" s="1185"/>
      <c r="AUC6" s="1185"/>
      <c r="AUD6" s="1185"/>
      <c r="AUE6" s="1185"/>
      <c r="AUF6" s="1185"/>
      <c r="AUG6" s="1185"/>
      <c r="AUH6" s="1185"/>
      <c r="AUI6" s="1185"/>
      <c r="AUJ6" s="1185"/>
      <c r="AUK6" s="1185"/>
      <c r="AUL6" s="1185"/>
      <c r="AUM6" s="1185"/>
      <c r="AUN6" s="1185"/>
      <c r="AUO6" s="1185"/>
      <c r="AUP6" s="1185"/>
      <c r="AUQ6" s="1185"/>
      <c r="AUR6" s="1185"/>
      <c r="AUS6" s="1185"/>
      <c r="AUT6" s="1185"/>
      <c r="AUU6" s="1185"/>
      <c r="AUV6" s="1185"/>
      <c r="AUW6" s="1185"/>
      <c r="AUX6" s="1185"/>
      <c r="AUY6" s="1185"/>
      <c r="AUZ6" s="1185"/>
      <c r="AVA6" s="1185"/>
      <c r="AVB6" s="1185"/>
      <c r="AVC6" s="1185"/>
      <c r="AVD6" s="1185"/>
      <c r="AVE6" s="1185"/>
      <c r="AVF6" s="1185"/>
      <c r="AVG6" s="1185"/>
      <c r="AVH6" s="1185"/>
      <c r="AVI6" s="1185"/>
      <c r="AVJ6" s="1185"/>
      <c r="AVK6" s="1185"/>
      <c r="AVL6" s="1185"/>
      <c r="AVM6" s="1185"/>
      <c r="AVN6" s="1185"/>
      <c r="AVO6" s="1185"/>
      <c r="AVP6" s="1185"/>
      <c r="AVQ6" s="1185"/>
      <c r="AVR6" s="1185"/>
      <c r="AVS6" s="1185"/>
      <c r="AVT6" s="1185"/>
      <c r="AVU6" s="1185"/>
      <c r="AVV6" s="1185"/>
      <c r="AVW6" s="1185"/>
      <c r="AVX6" s="1185"/>
      <c r="AVY6" s="1185"/>
      <c r="AVZ6" s="1185"/>
      <c r="AWA6" s="1185"/>
      <c r="AWB6" s="1185"/>
      <c r="AWC6" s="1185"/>
      <c r="AWD6" s="1185"/>
      <c r="AWE6" s="1185"/>
      <c r="AWF6" s="1185"/>
      <c r="AWG6" s="1185"/>
      <c r="AWH6" s="1185"/>
      <c r="AWI6" s="1185"/>
      <c r="AWJ6" s="1185"/>
      <c r="AWK6" s="1185"/>
      <c r="AWL6" s="1185"/>
      <c r="AWM6" s="1185"/>
      <c r="AWN6" s="1185"/>
      <c r="AWO6" s="1185"/>
      <c r="AWP6" s="1185"/>
      <c r="AWQ6" s="1185"/>
      <c r="AWR6" s="1185"/>
      <c r="AWS6" s="1185"/>
      <c r="AWT6" s="1185"/>
      <c r="AWU6" s="1185"/>
      <c r="AWV6" s="1185"/>
      <c r="AWW6" s="1185"/>
      <c r="AWX6" s="1185"/>
      <c r="AWY6" s="1185"/>
      <c r="AWZ6" s="1185"/>
      <c r="AXA6" s="1185"/>
      <c r="AXB6" s="1185"/>
      <c r="AXC6" s="1185"/>
      <c r="AXD6" s="1185"/>
      <c r="AXE6" s="1185"/>
      <c r="AXF6" s="1185"/>
      <c r="AXG6" s="1185"/>
      <c r="AXH6" s="1185"/>
      <c r="AXI6" s="1185"/>
      <c r="AXJ6" s="1185"/>
      <c r="AXK6" s="1185"/>
      <c r="AXL6" s="1185"/>
      <c r="AXM6" s="1185"/>
      <c r="AXN6" s="1185"/>
      <c r="AXO6" s="1185"/>
      <c r="AXP6" s="1185"/>
      <c r="AXQ6" s="1185"/>
      <c r="AXR6" s="1185"/>
      <c r="AXS6" s="1185"/>
      <c r="AXT6" s="1185"/>
      <c r="AXU6" s="1185"/>
      <c r="AXV6" s="1185"/>
      <c r="AXW6" s="1185"/>
      <c r="AXX6" s="1185"/>
      <c r="AXY6" s="1185"/>
      <c r="AXZ6" s="1185"/>
      <c r="AYA6" s="1185"/>
      <c r="AYB6" s="1185"/>
      <c r="AYC6" s="1185"/>
      <c r="AYD6" s="1185"/>
      <c r="AYE6" s="1185"/>
      <c r="AYF6" s="1185"/>
      <c r="AYG6" s="1185"/>
      <c r="AYH6" s="1185"/>
      <c r="AYI6" s="1185"/>
      <c r="AYJ6" s="1185"/>
      <c r="AYK6" s="1185"/>
      <c r="AYL6" s="1185"/>
      <c r="AYM6" s="1185"/>
      <c r="AYN6" s="1185"/>
      <c r="AYO6" s="1185"/>
      <c r="AYP6" s="1185"/>
      <c r="AYQ6" s="1185"/>
      <c r="AYR6" s="1185"/>
      <c r="AYS6" s="1185"/>
      <c r="AYT6" s="1185"/>
      <c r="AYU6" s="1185"/>
      <c r="AYV6" s="1185"/>
      <c r="AYW6" s="1185"/>
      <c r="AYX6" s="1185"/>
      <c r="AYY6" s="1185"/>
      <c r="AYZ6" s="1185"/>
      <c r="AZA6" s="1185"/>
      <c r="AZB6" s="1185"/>
      <c r="AZC6" s="1185"/>
      <c r="AZD6" s="1185"/>
      <c r="AZE6" s="1185"/>
      <c r="AZF6" s="1185"/>
      <c r="AZG6" s="1185"/>
      <c r="AZH6" s="1185"/>
      <c r="AZI6" s="1185"/>
      <c r="AZJ6" s="1185"/>
      <c r="AZK6" s="1185"/>
      <c r="AZL6" s="1185"/>
      <c r="AZM6" s="1185"/>
      <c r="AZN6" s="1185"/>
      <c r="AZO6" s="1185"/>
      <c r="AZP6" s="1185"/>
      <c r="AZQ6" s="1185"/>
      <c r="AZR6" s="1185"/>
      <c r="AZS6" s="1185"/>
      <c r="AZT6" s="1185"/>
      <c r="AZU6" s="1185"/>
      <c r="AZV6" s="1185"/>
      <c r="AZW6" s="1185"/>
      <c r="AZX6" s="1185"/>
      <c r="AZY6" s="1185"/>
      <c r="AZZ6" s="1185"/>
      <c r="BAA6" s="1185"/>
      <c r="BAB6" s="1185"/>
      <c r="BAC6" s="1185"/>
      <c r="BAD6" s="1185"/>
      <c r="BAE6" s="1185"/>
      <c r="BAF6" s="1185"/>
      <c r="BAG6" s="1185"/>
      <c r="BAH6" s="1185"/>
      <c r="BAI6" s="1185"/>
      <c r="BAJ6" s="1185"/>
      <c r="BAK6" s="1185"/>
      <c r="BAL6" s="1185"/>
      <c r="BAM6" s="1185"/>
      <c r="BAN6" s="1185"/>
      <c r="BAO6" s="1185"/>
      <c r="BAP6" s="1185"/>
      <c r="BAQ6" s="1185"/>
      <c r="BAR6" s="1185"/>
      <c r="BAS6" s="1185"/>
      <c r="BAT6" s="1185"/>
      <c r="BAU6" s="1185"/>
      <c r="BAV6" s="1185"/>
      <c r="BAW6" s="1185"/>
      <c r="BAX6" s="1185"/>
      <c r="BAY6" s="1185"/>
      <c r="BAZ6" s="1185"/>
      <c r="BBA6" s="1185"/>
      <c r="BBB6" s="1185"/>
      <c r="BBC6" s="1185"/>
      <c r="BBD6" s="1185"/>
      <c r="BBE6" s="1185"/>
      <c r="BBF6" s="1185"/>
      <c r="BBG6" s="1185"/>
      <c r="BBH6" s="1185"/>
      <c r="BBI6" s="1185"/>
      <c r="BBJ6" s="1185"/>
      <c r="BBK6" s="1185"/>
      <c r="BBL6" s="1185"/>
      <c r="BBM6" s="1185"/>
      <c r="BBN6" s="1185"/>
      <c r="BBO6" s="1185"/>
      <c r="BBP6" s="1185"/>
      <c r="BBQ6" s="1185"/>
      <c r="BBR6" s="1185"/>
      <c r="BBS6" s="1185"/>
      <c r="BBT6" s="1185"/>
      <c r="BBU6" s="1185"/>
      <c r="BBV6" s="1185"/>
      <c r="BBW6" s="1185"/>
      <c r="BBX6" s="1185"/>
      <c r="BBY6" s="1185"/>
      <c r="BBZ6" s="1185"/>
      <c r="BCA6" s="1185"/>
      <c r="BCB6" s="1185"/>
      <c r="BCC6" s="1185"/>
      <c r="BCD6" s="1185"/>
      <c r="BCE6" s="1185"/>
      <c r="BCF6" s="1185"/>
      <c r="BCG6" s="1185"/>
      <c r="BCH6" s="1185"/>
      <c r="BCI6" s="1185"/>
      <c r="BCJ6" s="1185"/>
      <c r="BCK6" s="1185"/>
      <c r="BCL6" s="1185"/>
      <c r="BCM6" s="1185"/>
      <c r="BCN6" s="1185"/>
      <c r="BCO6" s="1185"/>
      <c r="BCP6" s="1185"/>
      <c r="BCQ6" s="1185"/>
      <c r="BCR6" s="1185"/>
      <c r="BCS6" s="1185"/>
      <c r="BCT6" s="1185"/>
      <c r="BCU6" s="1185"/>
      <c r="BCV6" s="1185"/>
      <c r="BCW6" s="1185"/>
      <c r="BCX6" s="1185"/>
      <c r="BCY6" s="1185"/>
      <c r="BCZ6" s="1185"/>
      <c r="BDA6" s="1185"/>
      <c r="BDB6" s="1185"/>
      <c r="BDC6" s="1185"/>
      <c r="BDD6" s="1185"/>
      <c r="BDE6" s="1185"/>
      <c r="BDF6" s="1185"/>
      <c r="BDG6" s="1185"/>
      <c r="BDH6" s="1185"/>
      <c r="BDI6" s="1185"/>
      <c r="BDJ6" s="1185"/>
      <c r="BDK6" s="1185"/>
      <c r="BDL6" s="1185"/>
      <c r="BDM6" s="1185"/>
      <c r="BDN6" s="1185"/>
      <c r="BDO6" s="1185"/>
      <c r="BDP6" s="1185"/>
      <c r="BDQ6" s="1185"/>
      <c r="BDR6" s="1185"/>
      <c r="BDS6" s="1185"/>
      <c r="BDT6" s="1185"/>
      <c r="BDU6" s="1185"/>
      <c r="BDV6" s="1185"/>
      <c r="BDW6" s="1185"/>
      <c r="BDX6" s="1185"/>
      <c r="BDY6" s="1185"/>
      <c r="BDZ6" s="1185"/>
      <c r="BEA6" s="1185"/>
      <c r="BEB6" s="1185"/>
      <c r="BEC6" s="1185"/>
      <c r="BED6" s="1185"/>
      <c r="BEE6" s="1185"/>
      <c r="BEF6" s="1185"/>
      <c r="BEG6" s="1185"/>
      <c r="BEH6" s="1185"/>
      <c r="BEI6" s="1185"/>
      <c r="BEJ6" s="1185"/>
      <c r="BEK6" s="1185"/>
      <c r="BEL6" s="1185"/>
      <c r="BEM6" s="1185"/>
      <c r="BEN6" s="1185"/>
      <c r="BEO6" s="1185"/>
      <c r="BEP6" s="1185"/>
      <c r="BEQ6" s="1185"/>
      <c r="BER6" s="1185"/>
      <c r="BES6" s="1185"/>
      <c r="BET6" s="1185"/>
      <c r="BEU6" s="1185"/>
      <c r="BEV6" s="1185"/>
      <c r="BEW6" s="1185"/>
      <c r="BEX6" s="1185"/>
      <c r="BEY6" s="1185"/>
      <c r="BEZ6" s="1185"/>
      <c r="BFA6" s="1185"/>
      <c r="BFB6" s="1185"/>
      <c r="BFC6" s="1185"/>
      <c r="BFD6" s="1185"/>
      <c r="BFE6" s="1185"/>
      <c r="BFF6" s="1185"/>
      <c r="BFG6" s="1185"/>
      <c r="BFH6" s="1185"/>
      <c r="BFI6" s="1185"/>
      <c r="BFJ6" s="1185"/>
      <c r="BFK6" s="1185"/>
      <c r="BFL6" s="1185"/>
      <c r="BFM6" s="1185"/>
      <c r="BFN6" s="1185"/>
      <c r="BFO6" s="1185"/>
      <c r="BFP6" s="1185"/>
      <c r="BFQ6" s="1185"/>
      <c r="BFR6" s="1185"/>
      <c r="BFS6" s="1185"/>
      <c r="BFT6" s="1185"/>
      <c r="BFU6" s="1185"/>
      <c r="BFV6" s="1185"/>
      <c r="BFW6" s="1185"/>
      <c r="BFX6" s="1185"/>
      <c r="BFY6" s="1185"/>
      <c r="BFZ6" s="1185"/>
      <c r="BGA6" s="1185"/>
      <c r="BGB6" s="1185"/>
      <c r="BGC6" s="1185"/>
      <c r="BGD6" s="1185"/>
      <c r="BGE6" s="1185"/>
      <c r="BGF6" s="1185"/>
      <c r="BGG6" s="1185"/>
      <c r="BGH6" s="1185"/>
      <c r="BGI6" s="1185"/>
      <c r="BGJ6" s="1185"/>
      <c r="BGK6" s="1185"/>
      <c r="BGL6" s="1185"/>
      <c r="BGM6" s="1185"/>
      <c r="BGN6" s="1185"/>
      <c r="BGO6" s="1185"/>
      <c r="BGP6" s="1185"/>
      <c r="BGQ6" s="1185"/>
      <c r="BGR6" s="1185"/>
      <c r="BGS6" s="1185"/>
      <c r="BGT6" s="1185"/>
      <c r="BGU6" s="1185"/>
      <c r="BGV6" s="1185"/>
      <c r="BGW6" s="1185"/>
      <c r="BGX6" s="1185"/>
      <c r="BGY6" s="1185"/>
      <c r="BGZ6" s="1185"/>
      <c r="BHA6" s="1185"/>
      <c r="BHB6" s="1185"/>
      <c r="BHC6" s="1185"/>
      <c r="BHD6" s="1185"/>
      <c r="BHE6" s="1185"/>
      <c r="BHF6" s="1185"/>
      <c r="BHG6" s="1185"/>
      <c r="BHH6" s="1185"/>
      <c r="BHI6" s="1185"/>
      <c r="BHJ6" s="1185"/>
      <c r="BHK6" s="1185"/>
      <c r="BHL6" s="1185"/>
      <c r="BHM6" s="1185"/>
      <c r="BHN6" s="1185"/>
      <c r="BHO6" s="1185"/>
      <c r="BHP6" s="1185"/>
      <c r="BHQ6" s="1185"/>
      <c r="BHR6" s="1185"/>
      <c r="BHS6" s="1185"/>
      <c r="BHT6" s="1185"/>
      <c r="BHU6" s="1185"/>
      <c r="BHV6" s="1185"/>
      <c r="BHW6" s="1185"/>
      <c r="BHX6" s="1185"/>
      <c r="BHY6" s="1185"/>
      <c r="BHZ6" s="1185"/>
      <c r="BIA6" s="1185"/>
      <c r="BIB6" s="1185"/>
      <c r="BIC6" s="1185"/>
      <c r="BID6" s="1185"/>
      <c r="BIE6" s="1185"/>
      <c r="BIF6" s="1185"/>
      <c r="BIG6" s="1185"/>
      <c r="BIH6" s="1185"/>
      <c r="BII6" s="1185"/>
      <c r="BIJ6" s="1185"/>
      <c r="BIK6" s="1185"/>
      <c r="BIL6" s="1185"/>
      <c r="BIM6" s="1185"/>
      <c r="BIN6" s="1185"/>
      <c r="BIO6" s="1185"/>
      <c r="BIP6" s="1185"/>
      <c r="BIQ6" s="1185"/>
      <c r="BIR6" s="1185"/>
      <c r="BIS6" s="1185"/>
      <c r="BIT6" s="1185"/>
      <c r="BIU6" s="1185"/>
      <c r="BIV6" s="1185"/>
      <c r="BIW6" s="1185"/>
      <c r="BIX6" s="1185"/>
      <c r="BIY6" s="1185"/>
      <c r="BIZ6" s="1185"/>
      <c r="BJA6" s="1185"/>
      <c r="BJB6" s="1185"/>
      <c r="BJC6" s="1185"/>
      <c r="BJD6" s="1185"/>
      <c r="BJE6" s="1185"/>
      <c r="BJF6" s="1185"/>
      <c r="BJG6" s="1185"/>
      <c r="BJH6" s="1185"/>
      <c r="BJI6" s="1185"/>
      <c r="BJJ6" s="1185"/>
      <c r="BJK6" s="1185"/>
      <c r="BJL6" s="1185"/>
      <c r="BJM6" s="1185"/>
      <c r="BJN6" s="1185"/>
      <c r="BJO6" s="1185"/>
      <c r="BJP6" s="1185"/>
      <c r="BJQ6" s="1185"/>
      <c r="BJR6" s="1185"/>
      <c r="BJS6" s="1185"/>
      <c r="BJT6" s="1185"/>
      <c r="BJU6" s="1185"/>
      <c r="BJV6" s="1185"/>
      <c r="BJW6" s="1185"/>
      <c r="BJX6" s="1185"/>
      <c r="BJY6" s="1185"/>
      <c r="BJZ6" s="1185"/>
      <c r="BKA6" s="1185"/>
      <c r="BKB6" s="1185"/>
      <c r="BKC6" s="1185"/>
      <c r="BKD6" s="1185"/>
      <c r="BKE6" s="1185"/>
      <c r="BKF6" s="1185"/>
      <c r="BKG6" s="1185"/>
      <c r="BKH6" s="1185"/>
      <c r="BKI6" s="1185"/>
      <c r="BKJ6" s="1185"/>
      <c r="BKK6" s="1185"/>
      <c r="BKL6" s="1185"/>
      <c r="BKM6" s="1185"/>
      <c r="BKN6" s="1185"/>
      <c r="BKO6" s="1185"/>
      <c r="BKP6" s="1185"/>
      <c r="BKQ6" s="1185"/>
      <c r="BKR6" s="1185"/>
      <c r="BKS6" s="1185"/>
      <c r="BKT6" s="1185"/>
      <c r="BKU6" s="1185"/>
      <c r="BKV6" s="1185"/>
      <c r="BKW6" s="1185"/>
      <c r="BKX6" s="1185"/>
      <c r="BKY6" s="1185"/>
      <c r="BKZ6" s="1185"/>
      <c r="BLA6" s="1185"/>
      <c r="BLB6" s="1185"/>
      <c r="BLC6" s="1185"/>
      <c r="BLD6" s="1185"/>
      <c r="BLE6" s="1185"/>
      <c r="BLF6" s="1185"/>
      <c r="BLG6" s="1185"/>
      <c r="BLH6" s="1185"/>
      <c r="BLI6" s="1185"/>
      <c r="BLJ6" s="1185"/>
      <c r="BLK6" s="1185"/>
      <c r="BLL6" s="1185"/>
      <c r="BLM6" s="1185"/>
      <c r="BLN6" s="1185"/>
      <c r="BLO6" s="1185"/>
      <c r="BLP6" s="1185"/>
      <c r="BLQ6" s="1185"/>
      <c r="BLR6" s="1185"/>
      <c r="BLS6" s="1185"/>
      <c r="BLT6" s="1185"/>
      <c r="BLU6" s="1185"/>
      <c r="BLV6" s="1185"/>
      <c r="BLW6" s="1185"/>
      <c r="BLX6" s="1185"/>
      <c r="BLY6" s="1185"/>
      <c r="BLZ6" s="1185"/>
      <c r="BMA6" s="1185"/>
      <c r="BMB6" s="1185"/>
      <c r="BMC6" s="1185"/>
      <c r="BMD6" s="1185"/>
      <c r="BME6" s="1185"/>
      <c r="BMF6" s="1185"/>
      <c r="BMG6" s="1185"/>
      <c r="BMH6" s="1185"/>
      <c r="BMI6" s="1185"/>
      <c r="BMJ6" s="1185"/>
      <c r="BMK6" s="1185"/>
      <c r="BML6" s="1185"/>
      <c r="BMM6" s="1185"/>
      <c r="BMN6" s="1185"/>
      <c r="BMO6" s="1185"/>
      <c r="BMP6" s="1185"/>
      <c r="BMQ6" s="1185"/>
      <c r="BMR6" s="1185"/>
      <c r="BMS6" s="1185"/>
      <c r="BMT6" s="1185"/>
      <c r="BMU6" s="1185"/>
      <c r="BMV6" s="1185"/>
      <c r="BMW6" s="1185"/>
      <c r="BMX6" s="1185"/>
      <c r="BMY6" s="1185"/>
      <c r="BMZ6" s="1185"/>
      <c r="BNA6" s="1185"/>
      <c r="BNB6" s="1185"/>
      <c r="BNC6" s="1185"/>
      <c r="BND6" s="1185"/>
      <c r="BNE6" s="1185"/>
      <c r="BNF6" s="1185"/>
      <c r="BNG6" s="1185"/>
      <c r="BNH6" s="1185"/>
      <c r="BNI6" s="1185"/>
      <c r="BNJ6" s="1185"/>
      <c r="BNK6" s="1185"/>
      <c r="BNL6" s="1185"/>
      <c r="BNM6" s="1185"/>
      <c r="BNN6" s="1185"/>
      <c r="BNO6" s="1185"/>
      <c r="BNP6" s="1185"/>
      <c r="BNQ6" s="1185"/>
      <c r="BNR6" s="1185"/>
      <c r="BNS6" s="1185"/>
      <c r="BNT6" s="1185"/>
      <c r="BNU6" s="1185"/>
      <c r="BNV6" s="1185"/>
      <c r="BNW6" s="1185"/>
      <c r="BNX6" s="1185"/>
      <c r="BNY6" s="1185"/>
      <c r="BNZ6" s="1185"/>
      <c r="BOA6" s="1185"/>
      <c r="BOB6" s="1185"/>
      <c r="BOC6" s="1185"/>
      <c r="BOD6" s="1185"/>
      <c r="BOE6" s="1185"/>
      <c r="BOF6" s="1185"/>
      <c r="BOG6" s="1185"/>
      <c r="BOH6" s="1185"/>
      <c r="BOI6" s="1185"/>
      <c r="BOJ6" s="1185"/>
      <c r="BOK6" s="1185"/>
      <c r="BOL6" s="1185"/>
      <c r="BOM6" s="1185"/>
      <c r="BON6" s="1185"/>
      <c r="BOO6" s="1185"/>
      <c r="BOP6" s="1185"/>
      <c r="BOQ6" s="1185"/>
      <c r="BOR6" s="1185"/>
      <c r="BOS6" s="1185"/>
      <c r="BOT6" s="1185"/>
      <c r="BOU6" s="1185"/>
      <c r="BOV6" s="1185"/>
      <c r="BOW6" s="1185"/>
      <c r="BOX6" s="1185"/>
      <c r="BOY6" s="1185"/>
      <c r="BOZ6" s="1185"/>
      <c r="BPA6" s="1185"/>
      <c r="BPB6" s="1185"/>
      <c r="BPC6" s="1185"/>
      <c r="BPD6" s="1185"/>
      <c r="BPE6" s="1185"/>
      <c r="BPF6" s="1185"/>
      <c r="BPG6" s="1185"/>
      <c r="BPH6" s="1185"/>
      <c r="BPI6" s="1185"/>
      <c r="BPJ6" s="1185"/>
      <c r="BPK6" s="1185"/>
      <c r="BPL6" s="1185"/>
      <c r="BPM6" s="1185"/>
      <c r="BPN6" s="1185"/>
      <c r="BPO6" s="1185"/>
      <c r="BPP6" s="1185"/>
      <c r="BPQ6" s="1185"/>
      <c r="BPR6" s="1185"/>
      <c r="BPS6" s="1185"/>
      <c r="BPT6" s="1185"/>
      <c r="BPU6" s="1185"/>
      <c r="BPV6" s="1185"/>
      <c r="BPW6" s="1185"/>
      <c r="BPX6" s="1185"/>
      <c r="BPY6" s="1185"/>
      <c r="BPZ6" s="1185"/>
      <c r="BQA6" s="1185"/>
      <c r="BQB6" s="1185"/>
      <c r="BQC6" s="1185"/>
      <c r="BQD6" s="1185"/>
      <c r="BQE6" s="1185"/>
      <c r="BQF6" s="1185"/>
      <c r="BQG6" s="1185"/>
      <c r="BQH6" s="1185"/>
      <c r="BQI6" s="1185"/>
      <c r="BQJ6" s="1185"/>
      <c r="BQK6" s="1185"/>
      <c r="BQL6" s="1185"/>
      <c r="BQM6" s="1185"/>
      <c r="BQN6" s="1185"/>
      <c r="BQO6" s="1185"/>
      <c r="BQP6" s="1185"/>
      <c r="BQQ6" s="1185"/>
      <c r="BQR6" s="1185"/>
      <c r="BQS6" s="1185"/>
      <c r="BQT6" s="1185"/>
      <c r="BQU6" s="1185"/>
      <c r="BQV6" s="1185"/>
      <c r="BQW6" s="1185"/>
      <c r="BQX6" s="1185"/>
      <c r="BQY6" s="1185"/>
      <c r="BQZ6" s="1185"/>
      <c r="BRA6" s="1185"/>
      <c r="BRB6" s="1185"/>
      <c r="BRC6" s="1185"/>
      <c r="BRD6" s="1185"/>
      <c r="BRE6" s="1185"/>
      <c r="BRF6" s="1185"/>
      <c r="BRG6" s="1185"/>
      <c r="BRH6" s="1185"/>
      <c r="BRI6" s="1185"/>
      <c r="BRJ6" s="1185"/>
      <c r="BRK6" s="1185"/>
      <c r="BRL6" s="1185"/>
      <c r="BRM6" s="1185"/>
      <c r="BRN6" s="1185"/>
      <c r="BRO6" s="1185"/>
      <c r="BRP6" s="1185"/>
      <c r="BRQ6" s="1185"/>
      <c r="BRR6" s="1185"/>
      <c r="BRS6" s="1185"/>
      <c r="BRT6" s="1185"/>
      <c r="BRU6" s="1185"/>
      <c r="BRV6" s="1185"/>
      <c r="BRW6" s="1185"/>
      <c r="BRX6" s="1185"/>
      <c r="BRY6" s="1185"/>
      <c r="BRZ6" s="1185"/>
      <c r="BSA6" s="1185"/>
      <c r="BSB6" s="1185"/>
      <c r="BSC6" s="1185"/>
      <c r="BSD6" s="1185"/>
      <c r="BSE6" s="1185"/>
      <c r="BSF6" s="1185"/>
      <c r="BSG6" s="1185"/>
      <c r="BSH6" s="1185"/>
      <c r="BSI6" s="1185"/>
      <c r="BSJ6" s="1185"/>
      <c r="BSK6" s="1185"/>
      <c r="BSL6" s="1185"/>
      <c r="BSM6" s="1185"/>
      <c r="BSN6" s="1185"/>
      <c r="BSO6" s="1185"/>
      <c r="BSP6" s="1185"/>
      <c r="BSQ6" s="1185"/>
      <c r="BSR6" s="1185"/>
      <c r="BSS6" s="1185"/>
      <c r="BST6" s="1185"/>
      <c r="BSU6" s="1185"/>
      <c r="BSV6" s="1185"/>
      <c r="BSW6" s="1185"/>
      <c r="BSX6" s="1185"/>
      <c r="BSY6" s="1185"/>
      <c r="BSZ6" s="1185"/>
      <c r="BTA6" s="1185"/>
      <c r="BTB6" s="1185"/>
      <c r="BTC6" s="1185"/>
      <c r="BTD6" s="1185"/>
      <c r="BTE6" s="1185"/>
      <c r="BTF6" s="1185"/>
      <c r="BTG6" s="1185"/>
      <c r="BTH6" s="1185"/>
      <c r="BTI6" s="1185"/>
      <c r="BTJ6" s="1185"/>
      <c r="BTK6" s="1185"/>
      <c r="BTL6" s="1185"/>
      <c r="BTM6" s="1185"/>
      <c r="BTN6" s="1185"/>
      <c r="BTO6" s="1185"/>
      <c r="BTP6" s="1185"/>
      <c r="BTQ6" s="1185"/>
      <c r="BTR6" s="1185"/>
      <c r="BTS6" s="1185"/>
      <c r="BTT6" s="1185"/>
      <c r="BTU6" s="1185"/>
      <c r="BTV6" s="1185"/>
      <c r="BTW6" s="1185"/>
      <c r="BTX6" s="1185"/>
      <c r="BTY6" s="1185"/>
      <c r="BTZ6" s="1185"/>
      <c r="BUA6" s="1185"/>
      <c r="BUB6" s="1185"/>
      <c r="BUC6" s="1185"/>
      <c r="BUD6" s="1185"/>
      <c r="BUE6" s="1185"/>
      <c r="BUF6" s="1185"/>
      <c r="BUG6" s="1185"/>
      <c r="BUH6" s="1185"/>
      <c r="BUI6" s="1185"/>
      <c r="BUJ6" s="1185"/>
      <c r="BUK6" s="1185"/>
      <c r="BUL6" s="1185"/>
      <c r="BUM6" s="1185"/>
      <c r="BUN6" s="1185"/>
      <c r="BUO6" s="1185"/>
      <c r="BUP6" s="1185"/>
      <c r="BUQ6" s="1185"/>
      <c r="BUR6" s="1185"/>
      <c r="BUS6" s="1185"/>
      <c r="BUT6" s="1185"/>
      <c r="BUU6" s="1185"/>
      <c r="BUV6" s="1185"/>
      <c r="BUW6" s="1185"/>
      <c r="BUX6" s="1185"/>
      <c r="BUY6" s="1185"/>
      <c r="BUZ6" s="1185"/>
      <c r="BVA6" s="1185"/>
      <c r="BVB6" s="1185"/>
      <c r="BVC6" s="1185"/>
      <c r="BVD6" s="1185"/>
      <c r="BVE6" s="1185"/>
      <c r="BVF6" s="1185"/>
      <c r="BVG6" s="1185"/>
      <c r="BVH6" s="1185"/>
      <c r="BVI6" s="1185"/>
      <c r="BVJ6" s="1185"/>
      <c r="BVK6" s="1185"/>
      <c r="BVL6" s="1185"/>
      <c r="BVM6" s="1185"/>
      <c r="BVN6" s="1185"/>
      <c r="BVO6" s="1185"/>
      <c r="BVP6" s="1185"/>
      <c r="BVQ6" s="1185"/>
      <c r="BVR6" s="1185"/>
      <c r="BVS6" s="1185"/>
      <c r="BVT6" s="1185"/>
      <c r="BVU6" s="1185"/>
      <c r="BVV6" s="1185"/>
      <c r="BVW6" s="1185"/>
      <c r="BVX6" s="1185"/>
      <c r="BVY6" s="1185"/>
      <c r="BVZ6" s="1185"/>
      <c r="BWA6" s="1185"/>
      <c r="BWB6" s="1185"/>
      <c r="BWC6" s="1185"/>
      <c r="BWD6" s="1185"/>
      <c r="BWE6" s="1185"/>
      <c r="BWF6" s="1185"/>
      <c r="BWG6" s="1185"/>
      <c r="BWH6" s="1185"/>
      <c r="BWI6" s="1185"/>
      <c r="BWJ6" s="1185"/>
      <c r="BWK6" s="1185"/>
      <c r="BWL6" s="1185"/>
      <c r="BWM6" s="1185"/>
      <c r="BWN6" s="1185"/>
      <c r="BWO6" s="1185"/>
      <c r="BWP6" s="1185"/>
      <c r="BWQ6" s="1185"/>
      <c r="BWR6" s="1185"/>
      <c r="BWS6" s="1185"/>
      <c r="BWT6" s="1185"/>
      <c r="BWU6" s="1185"/>
      <c r="BWV6" s="1185"/>
      <c r="BWW6" s="1185"/>
      <c r="BWX6" s="1185"/>
      <c r="BWY6" s="1185"/>
      <c r="BWZ6" s="1185"/>
      <c r="BXA6" s="1185"/>
      <c r="BXB6" s="1185"/>
      <c r="BXC6" s="1185"/>
      <c r="BXD6" s="1185"/>
      <c r="BXE6" s="1185"/>
      <c r="BXF6" s="1185"/>
      <c r="BXG6" s="1185"/>
      <c r="BXH6" s="1185"/>
      <c r="BXI6" s="1185"/>
      <c r="BXJ6" s="1185"/>
      <c r="BXK6" s="1185"/>
      <c r="BXL6" s="1185"/>
      <c r="BXM6" s="1185"/>
      <c r="BXN6" s="1185"/>
      <c r="BXO6" s="1185"/>
      <c r="BXP6" s="1185"/>
      <c r="BXQ6" s="1185"/>
      <c r="BXR6" s="1185"/>
      <c r="BXS6" s="1185"/>
      <c r="BXT6" s="1185"/>
      <c r="BXU6" s="1185"/>
      <c r="BXV6" s="1185"/>
      <c r="BXW6" s="1185"/>
      <c r="BXX6" s="1185"/>
      <c r="BXY6" s="1185"/>
      <c r="BXZ6" s="1185"/>
      <c r="BYA6" s="1185"/>
      <c r="BYB6" s="1185"/>
      <c r="BYC6" s="1185"/>
      <c r="BYD6" s="1185"/>
      <c r="BYE6" s="1185"/>
      <c r="BYF6" s="1185"/>
      <c r="BYG6" s="1185"/>
      <c r="BYH6" s="1185"/>
      <c r="BYI6" s="1185"/>
      <c r="BYJ6" s="1185"/>
      <c r="BYK6" s="1185"/>
      <c r="BYL6" s="1185"/>
      <c r="BYM6" s="1185"/>
      <c r="BYN6" s="1185"/>
      <c r="BYO6" s="1185"/>
      <c r="BYP6" s="1185"/>
      <c r="BYQ6" s="1185"/>
      <c r="BYR6" s="1185"/>
      <c r="BYS6" s="1185"/>
      <c r="BYT6" s="1185"/>
      <c r="BYU6" s="1185"/>
      <c r="BYV6" s="1185"/>
      <c r="BYW6" s="1185"/>
      <c r="BYX6" s="1185"/>
      <c r="BYY6" s="1185"/>
      <c r="BYZ6" s="1185"/>
      <c r="BZA6" s="1185"/>
      <c r="BZB6" s="1185"/>
      <c r="BZC6" s="1185"/>
      <c r="BZD6" s="1185"/>
      <c r="BZE6" s="1185"/>
      <c r="BZF6" s="1185"/>
      <c r="BZG6" s="1185"/>
      <c r="BZH6" s="1185"/>
      <c r="BZI6" s="1185"/>
      <c r="BZJ6" s="1185"/>
      <c r="BZK6" s="1185"/>
      <c r="BZL6" s="1185"/>
      <c r="BZM6" s="1185"/>
      <c r="BZN6" s="1185"/>
      <c r="BZO6" s="1185"/>
      <c r="BZP6" s="1185"/>
      <c r="BZQ6" s="1185"/>
      <c r="BZR6" s="1185"/>
      <c r="BZS6" s="1185"/>
      <c r="BZT6" s="1185"/>
      <c r="BZU6" s="1185"/>
      <c r="BZV6" s="1185"/>
      <c r="BZW6" s="1185"/>
      <c r="BZX6" s="1185"/>
      <c r="BZY6" s="1185"/>
      <c r="BZZ6" s="1185"/>
      <c r="CAA6" s="1185"/>
      <c r="CAB6" s="1185"/>
      <c r="CAC6" s="1185"/>
      <c r="CAD6" s="1185"/>
      <c r="CAE6" s="1185"/>
      <c r="CAF6" s="1185"/>
      <c r="CAG6" s="1185"/>
      <c r="CAH6" s="1185"/>
      <c r="CAI6" s="1185"/>
      <c r="CAJ6" s="1185"/>
      <c r="CAK6" s="1185"/>
      <c r="CAL6" s="1185"/>
      <c r="CAM6" s="1185"/>
      <c r="CAN6" s="1185"/>
      <c r="CAO6" s="1185"/>
      <c r="CAP6" s="1185"/>
      <c r="CAQ6" s="1185"/>
      <c r="CAR6" s="1185"/>
      <c r="CAS6" s="1185"/>
      <c r="CAT6" s="1185"/>
      <c r="CAU6" s="1185"/>
      <c r="CAV6" s="1185"/>
      <c r="CAW6" s="1185"/>
      <c r="CAX6" s="1185"/>
      <c r="CAY6" s="1185"/>
      <c r="CAZ6" s="1185"/>
      <c r="CBA6" s="1185"/>
      <c r="CBB6" s="1185"/>
      <c r="CBC6" s="1185"/>
      <c r="CBD6" s="1185"/>
      <c r="CBE6" s="1185"/>
      <c r="CBF6" s="1185"/>
      <c r="CBG6" s="1185"/>
      <c r="CBH6" s="1185"/>
      <c r="CBI6" s="1185"/>
      <c r="CBJ6" s="1185"/>
      <c r="CBK6" s="1185"/>
      <c r="CBL6" s="1185"/>
      <c r="CBM6" s="1185"/>
      <c r="CBN6" s="1185"/>
      <c r="CBO6" s="1185"/>
      <c r="CBP6" s="1185"/>
      <c r="CBQ6" s="1185"/>
      <c r="CBR6" s="1185"/>
      <c r="CBS6" s="1185"/>
      <c r="CBT6" s="1185"/>
      <c r="CBU6" s="1185"/>
      <c r="CBV6" s="1185"/>
      <c r="CBW6" s="1185"/>
      <c r="CBX6" s="1185"/>
      <c r="CBY6" s="1185"/>
      <c r="CBZ6" s="1185"/>
      <c r="CCA6" s="1185"/>
      <c r="CCB6" s="1185"/>
      <c r="CCC6" s="1185"/>
      <c r="CCD6" s="1185"/>
      <c r="CCE6" s="1185"/>
      <c r="CCF6" s="1185"/>
      <c r="CCG6" s="1185"/>
      <c r="CCH6" s="1185"/>
      <c r="CCI6" s="1185"/>
      <c r="CCJ6" s="1185"/>
      <c r="CCK6" s="1185"/>
      <c r="CCL6" s="1185"/>
      <c r="CCM6" s="1185"/>
      <c r="CCN6" s="1185"/>
      <c r="CCO6" s="1185"/>
      <c r="CCP6" s="1185"/>
      <c r="CCQ6" s="1185"/>
      <c r="CCR6" s="1185"/>
      <c r="CCS6" s="1185"/>
      <c r="CCT6" s="1185"/>
      <c r="CCU6" s="1185"/>
      <c r="CCV6" s="1185"/>
      <c r="CCW6" s="1185"/>
      <c r="CCX6" s="1185"/>
      <c r="CCY6" s="1185"/>
      <c r="CCZ6" s="1185"/>
      <c r="CDA6" s="1185"/>
      <c r="CDB6" s="1185"/>
      <c r="CDC6" s="1185"/>
      <c r="CDD6" s="1185"/>
      <c r="CDE6" s="1185"/>
      <c r="CDF6" s="1185"/>
      <c r="CDG6" s="1185"/>
      <c r="CDH6" s="1185"/>
      <c r="CDI6" s="1185"/>
      <c r="CDJ6" s="1185"/>
      <c r="CDK6" s="1185"/>
      <c r="CDL6" s="1185"/>
      <c r="CDM6" s="1185"/>
      <c r="CDN6" s="1185"/>
      <c r="CDO6" s="1185"/>
      <c r="CDP6" s="1185"/>
      <c r="CDQ6" s="1185"/>
      <c r="CDR6" s="1185"/>
      <c r="CDS6" s="1185"/>
      <c r="CDT6" s="1185"/>
      <c r="CDU6" s="1185"/>
      <c r="CDV6" s="1185"/>
      <c r="CDW6" s="1185"/>
      <c r="CDX6" s="1185"/>
      <c r="CDY6" s="1185"/>
      <c r="CDZ6" s="1185"/>
      <c r="CEA6" s="1185"/>
      <c r="CEB6" s="1185"/>
      <c r="CEC6" s="1185"/>
      <c r="CED6" s="1185"/>
      <c r="CEE6" s="1185"/>
      <c r="CEF6" s="1185"/>
      <c r="CEG6" s="1185"/>
      <c r="CEH6" s="1185"/>
      <c r="CEI6" s="1185"/>
      <c r="CEJ6" s="1185"/>
      <c r="CEK6" s="1185"/>
      <c r="CEL6" s="1185"/>
      <c r="CEM6" s="1185"/>
      <c r="CEN6" s="1185"/>
      <c r="CEO6" s="1185"/>
      <c r="CEP6" s="1185"/>
      <c r="CEQ6" s="1185"/>
      <c r="CER6" s="1185"/>
      <c r="CES6" s="1185"/>
      <c r="CET6" s="1185"/>
      <c r="CEU6" s="1185"/>
      <c r="CEV6" s="1185"/>
      <c r="CEW6" s="1185"/>
      <c r="CEX6" s="1185"/>
      <c r="CEY6" s="1185"/>
      <c r="CEZ6" s="1185"/>
      <c r="CFA6" s="1185"/>
      <c r="CFB6" s="1185"/>
      <c r="CFC6" s="1185"/>
      <c r="CFD6" s="1185"/>
      <c r="CFE6" s="1185"/>
      <c r="CFF6" s="1185"/>
      <c r="CFG6" s="1185"/>
      <c r="CFH6" s="1185"/>
      <c r="CFI6" s="1185"/>
      <c r="CFJ6" s="1185"/>
      <c r="CFK6" s="1185"/>
      <c r="CFL6" s="1185"/>
      <c r="CFM6" s="1185"/>
      <c r="CFN6" s="1185"/>
      <c r="CFO6" s="1185"/>
      <c r="CFP6" s="1185"/>
      <c r="CFQ6" s="1185"/>
      <c r="CFR6" s="1185"/>
      <c r="CFS6" s="1185"/>
      <c r="CFT6" s="1185"/>
      <c r="CFU6" s="1185"/>
      <c r="CFV6" s="1185"/>
      <c r="CFW6" s="1185"/>
      <c r="CFX6" s="1185"/>
      <c r="CFY6" s="1185"/>
      <c r="CFZ6" s="1185"/>
      <c r="CGA6" s="1185"/>
      <c r="CGB6" s="1185"/>
      <c r="CGC6" s="1185"/>
      <c r="CGD6" s="1185"/>
      <c r="CGE6" s="1185"/>
      <c r="CGF6" s="1185"/>
      <c r="CGG6" s="1185"/>
      <c r="CGH6" s="1185"/>
      <c r="CGI6" s="1185"/>
      <c r="CGJ6" s="1185"/>
      <c r="CGK6" s="1185"/>
      <c r="CGL6" s="1185"/>
      <c r="CGM6" s="1185"/>
      <c r="CGN6" s="1185"/>
      <c r="CGO6" s="1185"/>
      <c r="CGP6" s="1185"/>
      <c r="CGQ6" s="1185"/>
      <c r="CGR6" s="1185"/>
      <c r="CGS6" s="1185"/>
      <c r="CGT6" s="1185"/>
      <c r="CGU6" s="1185"/>
      <c r="CGV6" s="1185"/>
      <c r="CGW6" s="1185"/>
      <c r="CGX6" s="1185"/>
      <c r="CGY6" s="1185"/>
      <c r="CGZ6" s="1185"/>
      <c r="CHA6" s="1185"/>
      <c r="CHB6" s="1185"/>
      <c r="CHC6" s="1185"/>
      <c r="CHD6" s="1185"/>
      <c r="CHE6" s="1185"/>
      <c r="CHF6" s="1185"/>
      <c r="CHG6" s="1185"/>
      <c r="CHH6" s="1185"/>
      <c r="CHI6" s="1185"/>
      <c r="CHJ6" s="1185"/>
      <c r="CHK6" s="1185"/>
      <c r="CHL6" s="1185"/>
      <c r="CHM6" s="1185"/>
      <c r="CHN6" s="1185"/>
      <c r="CHO6" s="1185"/>
      <c r="CHP6" s="1185"/>
      <c r="CHQ6" s="1185"/>
      <c r="CHR6" s="1185"/>
      <c r="CHS6" s="1185"/>
      <c r="CHT6" s="1185"/>
      <c r="CHU6" s="1185"/>
      <c r="CHV6" s="1185"/>
      <c r="CHW6" s="1185"/>
      <c r="CHX6" s="1185"/>
      <c r="CHY6" s="1185"/>
      <c r="CHZ6" s="1185"/>
      <c r="CIA6" s="1185"/>
      <c r="CIB6" s="1185"/>
      <c r="CIC6" s="1185"/>
      <c r="CID6" s="1185"/>
      <c r="CIE6" s="1185"/>
      <c r="CIF6" s="1185"/>
      <c r="CIG6" s="1185"/>
      <c r="CIH6" s="1185"/>
      <c r="CII6" s="1185"/>
      <c r="CIJ6" s="1185"/>
      <c r="CIK6" s="1185"/>
      <c r="CIL6" s="1185"/>
      <c r="CIM6" s="1185"/>
      <c r="CIN6" s="1185"/>
      <c r="CIO6" s="1185"/>
      <c r="CIP6" s="1185"/>
      <c r="CIQ6" s="1185"/>
      <c r="CIR6" s="1185"/>
      <c r="CIS6" s="1185"/>
      <c r="CIT6" s="1185"/>
      <c r="CIU6" s="1185"/>
      <c r="CIV6" s="1185"/>
      <c r="CIW6" s="1185"/>
      <c r="CIX6" s="1185"/>
      <c r="CIY6" s="1185"/>
      <c r="CIZ6" s="1185"/>
      <c r="CJA6" s="1185"/>
      <c r="CJB6" s="1185"/>
      <c r="CJC6" s="1185"/>
      <c r="CJD6" s="1185"/>
      <c r="CJE6" s="1185"/>
      <c r="CJF6" s="1185"/>
      <c r="CJG6" s="1185"/>
      <c r="CJH6" s="1185"/>
      <c r="CJI6" s="1185"/>
      <c r="CJJ6" s="1185"/>
      <c r="CJK6" s="1185"/>
      <c r="CJL6" s="1185"/>
      <c r="CJM6" s="1185"/>
      <c r="CJN6" s="1185"/>
      <c r="CJO6" s="1185"/>
      <c r="CJP6" s="1185"/>
      <c r="CJQ6" s="1185"/>
      <c r="CJR6" s="1185"/>
      <c r="CJS6" s="1185"/>
      <c r="CJT6" s="1185"/>
      <c r="CJU6" s="1185"/>
      <c r="CJV6" s="1185"/>
      <c r="CJW6" s="1185"/>
      <c r="CJX6" s="1185"/>
      <c r="CJY6" s="1185"/>
      <c r="CJZ6" s="1185"/>
      <c r="CKA6" s="1185"/>
      <c r="CKB6" s="1185"/>
      <c r="CKC6" s="1185"/>
      <c r="CKD6" s="1185"/>
      <c r="CKE6" s="1185"/>
      <c r="CKF6" s="1185"/>
      <c r="CKG6" s="1185"/>
      <c r="CKH6" s="1185"/>
      <c r="CKI6" s="1185"/>
      <c r="CKJ6" s="1185"/>
      <c r="CKK6" s="1185"/>
      <c r="CKL6" s="1185"/>
      <c r="CKM6" s="1185"/>
      <c r="CKN6" s="1185"/>
      <c r="CKO6" s="1185"/>
      <c r="CKP6" s="1185"/>
      <c r="CKQ6" s="1185"/>
      <c r="CKR6" s="1185"/>
      <c r="CKS6" s="1185"/>
      <c r="CKT6" s="1185"/>
      <c r="CKU6" s="1185"/>
      <c r="CKV6" s="1185"/>
      <c r="CKW6" s="1185"/>
      <c r="CKX6" s="1185"/>
      <c r="CKY6" s="1185"/>
      <c r="CKZ6" s="1185"/>
      <c r="CLA6" s="1185"/>
      <c r="CLB6" s="1185"/>
      <c r="CLC6" s="1185"/>
      <c r="CLD6" s="1185"/>
      <c r="CLE6" s="1185"/>
      <c r="CLF6" s="1185"/>
      <c r="CLG6" s="1185"/>
      <c r="CLH6" s="1185"/>
      <c r="CLI6" s="1185"/>
      <c r="CLJ6" s="1185"/>
      <c r="CLK6" s="1185"/>
      <c r="CLL6" s="1185"/>
      <c r="CLM6" s="1185"/>
      <c r="CLN6" s="1185"/>
      <c r="CLO6" s="1185"/>
      <c r="CLP6" s="1185"/>
      <c r="CLQ6" s="1185"/>
      <c r="CLR6" s="1185"/>
      <c r="CLS6" s="1185"/>
      <c r="CLT6" s="1185"/>
      <c r="CLU6" s="1185"/>
      <c r="CLV6" s="1185"/>
      <c r="CLW6" s="1185"/>
      <c r="CLX6" s="1185"/>
      <c r="CLY6" s="1185"/>
      <c r="CLZ6" s="1185"/>
      <c r="CMA6" s="1185"/>
      <c r="CMB6" s="1185"/>
      <c r="CMC6" s="1185"/>
      <c r="CMD6" s="1185"/>
      <c r="CME6" s="1185"/>
      <c r="CMF6" s="1185"/>
      <c r="CMG6" s="1185"/>
      <c r="CMH6" s="1185"/>
      <c r="CMI6" s="1185"/>
      <c r="CMJ6" s="1185"/>
      <c r="CMK6" s="1185"/>
      <c r="CML6" s="1185"/>
      <c r="CMM6" s="1185"/>
      <c r="CMN6" s="1185"/>
      <c r="CMO6" s="1185"/>
      <c r="CMP6" s="1185"/>
      <c r="CMQ6" s="1185"/>
      <c r="CMR6" s="1185"/>
      <c r="CMS6" s="1185"/>
      <c r="CMT6" s="1185"/>
      <c r="CMU6" s="1185"/>
      <c r="CMV6" s="1185"/>
      <c r="CMW6" s="1185"/>
      <c r="CMX6" s="1185"/>
      <c r="CMY6" s="1185"/>
      <c r="CMZ6" s="1185"/>
      <c r="CNA6" s="1185"/>
      <c r="CNB6" s="1185"/>
      <c r="CNC6" s="1185"/>
      <c r="CND6" s="1185"/>
      <c r="CNE6" s="1185"/>
      <c r="CNF6" s="1185"/>
      <c r="CNG6" s="1185"/>
      <c r="CNH6" s="1185"/>
      <c r="CNI6" s="1185"/>
      <c r="CNJ6" s="1185"/>
      <c r="CNK6" s="1185"/>
      <c r="CNL6" s="1185"/>
      <c r="CNM6" s="1185"/>
      <c r="CNN6" s="1185"/>
      <c r="CNO6" s="1185"/>
      <c r="CNP6" s="1185"/>
      <c r="CNQ6" s="1185"/>
      <c r="CNR6" s="1185"/>
      <c r="CNS6" s="1185"/>
      <c r="CNT6" s="1185"/>
      <c r="CNU6" s="1185"/>
      <c r="CNV6" s="1185"/>
      <c r="CNW6" s="1185"/>
      <c r="CNX6" s="1185"/>
      <c r="CNY6" s="1185"/>
      <c r="CNZ6" s="1185"/>
      <c r="COA6" s="1185"/>
      <c r="COB6" s="1185"/>
      <c r="COC6" s="1185"/>
      <c r="COD6" s="1185"/>
      <c r="COE6" s="1185"/>
      <c r="COF6" s="1185"/>
      <c r="COG6" s="1185"/>
      <c r="COH6" s="1185"/>
      <c r="COI6" s="1185"/>
      <c r="COJ6" s="1185"/>
      <c r="COK6" s="1185"/>
      <c r="COL6" s="1185"/>
      <c r="COM6" s="1185"/>
      <c r="CON6" s="1185"/>
      <c r="COO6" s="1185"/>
      <c r="COP6" s="1185"/>
      <c r="COQ6" s="1185"/>
      <c r="COR6" s="1185"/>
      <c r="COS6" s="1185"/>
      <c r="COT6" s="1185"/>
      <c r="COU6" s="1185"/>
      <c r="COV6" s="1185"/>
      <c r="COW6" s="1185"/>
      <c r="COX6" s="1185"/>
      <c r="COY6" s="1185"/>
      <c r="COZ6" s="1185"/>
      <c r="CPA6" s="1185"/>
      <c r="CPB6" s="1185"/>
      <c r="CPC6" s="1185"/>
      <c r="CPD6" s="1185"/>
      <c r="CPE6" s="1185"/>
      <c r="CPF6" s="1185"/>
      <c r="CPG6" s="1185"/>
      <c r="CPH6" s="1185"/>
      <c r="CPI6" s="1185"/>
      <c r="CPJ6" s="1185"/>
      <c r="CPK6" s="1185"/>
      <c r="CPL6" s="1185"/>
      <c r="CPM6" s="1185"/>
      <c r="CPN6" s="1185"/>
      <c r="CPO6" s="1185"/>
      <c r="CPP6" s="1185"/>
      <c r="CPQ6" s="1185"/>
      <c r="CPR6" s="1185"/>
      <c r="CPS6" s="1185"/>
      <c r="CPT6" s="1185"/>
      <c r="CPU6" s="1185"/>
      <c r="CPV6" s="1185"/>
      <c r="CPW6" s="1185"/>
      <c r="CPX6" s="1185"/>
      <c r="CPY6" s="1185"/>
      <c r="CPZ6" s="1185"/>
      <c r="CQA6" s="1185"/>
      <c r="CQB6" s="1185"/>
      <c r="CQC6" s="1185"/>
      <c r="CQD6" s="1185"/>
      <c r="CQE6" s="1185"/>
      <c r="CQF6" s="1185"/>
      <c r="CQG6" s="1185"/>
      <c r="CQH6" s="1185"/>
      <c r="CQI6" s="1185"/>
      <c r="CQJ6" s="1185"/>
      <c r="CQK6" s="1185"/>
      <c r="CQL6" s="1185"/>
      <c r="CQM6" s="1185"/>
      <c r="CQN6" s="1185"/>
      <c r="CQO6" s="1185"/>
      <c r="CQP6" s="1185"/>
      <c r="CQQ6" s="1185"/>
      <c r="CQR6" s="1185"/>
      <c r="CQS6" s="1185"/>
      <c r="CQT6" s="1185"/>
      <c r="CQU6" s="1185"/>
      <c r="CQV6" s="1185"/>
      <c r="CQW6" s="1185"/>
      <c r="CQX6" s="1185"/>
      <c r="CQY6" s="1185"/>
      <c r="CQZ6" s="1185"/>
      <c r="CRA6" s="1185"/>
      <c r="CRB6" s="1185"/>
      <c r="CRC6" s="1185"/>
      <c r="CRD6" s="1185"/>
      <c r="CRE6" s="1185"/>
      <c r="CRF6" s="1185"/>
      <c r="CRG6" s="1185"/>
      <c r="CRH6" s="1185"/>
      <c r="CRI6" s="1185"/>
      <c r="CRJ6" s="1185"/>
      <c r="CRK6" s="1185"/>
      <c r="CRL6" s="1185"/>
      <c r="CRM6" s="1185"/>
      <c r="CRN6" s="1185"/>
      <c r="CRO6" s="1185"/>
      <c r="CRP6" s="1185"/>
      <c r="CRQ6" s="1185"/>
      <c r="CRR6" s="1185"/>
      <c r="CRS6" s="1185"/>
      <c r="CRT6" s="1185"/>
      <c r="CRU6" s="1185"/>
      <c r="CRV6" s="1185"/>
      <c r="CRW6" s="1185"/>
      <c r="CRX6" s="1185"/>
      <c r="CRY6" s="1185"/>
      <c r="CRZ6" s="1185"/>
      <c r="CSA6" s="1185"/>
      <c r="CSB6" s="1185"/>
      <c r="CSC6" s="1185"/>
      <c r="CSD6" s="1185"/>
      <c r="CSE6" s="1185"/>
      <c r="CSF6" s="1185"/>
      <c r="CSG6" s="1185"/>
      <c r="CSH6" s="1185"/>
      <c r="CSI6" s="1185"/>
      <c r="CSJ6" s="1185"/>
      <c r="CSK6" s="1185"/>
      <c r="CSL6" s="1185"/>
      <c r="CSM6" s="1185"/>
      <c r="CSN6" s="1185"/>
      <c r="CSO6" s="1185"/>
      <c r="CSP6" s="1185"/>
      <c r="CSQ6" s="1185"/>
      <c r="CSR6" s="1185"/>
      <c r="CSS6" s="1185"/>
      <c r="CST6" s="1185"/>
      <c r="CSU6" s="1185"/>
      <c r="CSV6" s="1185"/>
      <c r="CSW6" s="1185"/>
      <c r="CSX6" s="1185"/>
      <c r="CSY6" s="1185"/>
      <c r="CSZ6" s="1185"/>
      <c r="CTA6" s="1185"/>
      <c r="CTB6" s="1185"/>
      <c r="CTC6" s="1185"/>
      <c r="CTD6" s="1185"/>
      <c r="CTE6" s="1185"/>
      <c r="CTF6" s="1185"/>
      <c r="CTG6" s="1185"/>
      <c r="CTH6" s="1185"/>
      <c r="CTI6" s="1185"/>
      <c r="CTJ6" s="1185"/>
      <c r="CTK6" s="1185"/>
      <c r="CTL6" s="1185"/>
      <c r="CTM6" s="1185"/>
      <c r="CTN6" s="1185"/>
      <c r="CTO6" s="1185"/>
      <c r="CTP6" s="1185"/>
      <c r="CTQ6" s="1185"/>
      <c r="CTR6" s="1185"/>
      <c r="CTS6" s="1185"/>
      <c r="CTT6" s="1185"/>
      <c r="CTU6" s="1185"/>
      <c r="CTV6" s="1185"/>
      <c r="CTW6" s="1185"/>
      <c r="CTX6" s="1185"/>
      <c r="CTY6" s="1185"/>
      <c r="CTZ6" s="1185"/>
      <c r="CUA6" s="1185"/>
      <c r="CUB6" s="1185"/>
      <c r="CUC6" s="1185"/>
      <c r="CUD6" s="1185"/>
      <c r="CUE6" s="1185"/>
      <c r="CUF6" s="1185"/>
      <c r="CUG6" s="1185"/>
      <c r="CUH6" s="1185"/>
      <c r="CUI6" s="1185"/>
      <c r="CUJ6" s="1185"/>
      <c r="CUK6" s="1185"/>
      <c r="CUL6" s="1185"/>
      <c r="CUM6" s="1185"/>
      <c r="CUN6" s="1185"/>
      <c r="CUO6" s="1185"/>
      <c r="CUP6" s="1185"/>
      <c r="CUQ6" s="1185"/>
      <c r="CUR6" s="1185"/>
      <c r="CUS6" s="1185"/>
      <c r="CUT6" s="1185"/>
      <c r="CUU6" s="1185"/>
      <c r="CUV6" s="1185"/>
      <c r="CUW6" s="1185"/>
      <c r="CUX6" s="1185"/>
      <c r="CUY6" s="1185"/>
      <c r="CUZ6" s="1185"/>
      <c r="CVA6" s="1185"/>
      <c r="CVB6" s="1185"/>
      <c r="CVC6" s="1185"/>
      <c r="CVD6" s="1185"/>
      <c r="CVE6" s="1185"/>
      <c r="CVF6" s="1185"/>
      <c r="CVG6" s="1185"/>
      <c r="CVH6" s="1185"/>
      <c r="CVI6" s="1185"/>
      <c r="CVJ6" s="1185"/>
      <c r="CVK6" s="1185"/>
      <c r="CVL6" s="1185"/>
      <c r="CVM6" s="1185"/>
      <c r="CVN6" s="1185"/>
      <c r="CVO6" s="1185"/>
      <c r="CVP6" s="1185"/>
      <c r="CVQ6" s="1185"/>
      <c r="CVR6" s="1185"/>
      <c r="CVS6" s="1185"/>
      <c r="CVT6" s="1185"/>
      <c r="CVU6" s="1185"/>
      <c r="CVV6" s="1185"/>
      <c r="CVW6" s="1185"/>
      <c r="CVX6" s="1185"/>
      <c r="CVY6" s="1185"/>
      <c r="CVZ6" s="1185"/>
      <c r="CWA6" s="1185"/>
      <c r="CWB6" s="1185"/>
      <c r="CWC6" s="1185"/>
      <c r="CWD6" s="1185"/>
      <c r="CWE6" s="1185"/>
      <c r="CWF6" s="1185"/>
      <c r="CWG6" s="1185"/>
      <c r="CWH6" s="1185"/>
      <c r="CWI6" s="1185"/>
      <c r="CWJ6" s="1185"/>
      <c r="CWK6" s="1185"/>
      <c r="CWL6" s="1185"/>
      <c r="CWM6" s="1185"/>
      <c r="CWN6" s="1185"/>
      <c r="CWO6" s="1185"/>
      <c r="CWP6" s="1185"/>
      <c r="CWQ6" s="1185"/>
      <c r="CWR6" s="1185"/>
      <c r="CWS6" s="1185"/>
      <c r="CWT6" s="1185"/>
      <c r="CWU6" s="1185"/>
      <c r="CWV6" s="1185"/>
      <c r="CWW6" s="1185"/>
      <c r="CWX6" s="1185"/>
      <c r="CWY6" s="1185"/>
      <c r="CWZ6" s="1185"/>
      <c r="CXA6" s="1185"/>
      <c r="CXB6" s="1185"/>
      <c r="CXC6" s="1185"/>
      <c r="CXD6" s="1185"/>
      <c r="CXE6" s="1185"/>
      <c r="CXF6" s="1185"/>
      <c r="CXG6" s="1185"/>
      <c r="CXH6" s="1185"/>
      <c r="CXI6" s="1185"/>
      <c r="CXJ6" s="1185"/>
      <c r="CXK6" s="1185"/>
      <c r="CXL6" s="1185"/>
      <c r="CXM6" s="1185"/>
      <c r="CXN6" s="1185"/>
      <c r="CXO6" s="1185"/>
      <c r="CXP6" s="1185"/>
      <c r="CXQ6" s="1185"/>
      <c r="CXR6" s="1185"/>
      <c r="CXS6" s="1185"/>
      <c r="CXT6" s="1185"/>
      <c r="CXU6" s="1185"/>
      <c r="CXV6" s="1185"/>
      <c r="CXW6" s="1185"/>
      <c r="CXX6" s="1185"/>
      <c r="CXY6" s="1185"/>
      <c r="CXZ6" s="1185"/>
      <c r="CYA6" s="1185"/>
      <c r="CYB6" s="1185"/>
      <c r="CYC6" s="1185"/>
      <c r="CYD6" s="1185"/>
      <c r="CYE6" s="1185"/>
      <c r="CYF6" s="1185"/>
      <c r="CYG6" s="1185"/>
      <c r="CYH6" s="1185"/>
      <c r="CYI6" s="1185"/>
      <c r="CYJ6" s="1185"/>
      <c r="CYK6" s="1185"/>
      <c r="CYL6" s="1185"/>
      <c r="CYM6" s="1185"/>
      <c r="CYN6" s="1185"/>
      <c r="CYO6" s="1185"/>
      <c r="CYP6" s="1185"/>
      <c r="CYQ6" s="1185"/>
      <c r="CYR6" s="1185"/>
      <c r="CYS6" s="1185"/>
      <c r="CYT6" s="1185"/>
      <c r="CYU6" s="1185"/>
      <c r="CYV6" s="1185"/>
      <c r="CYW6" s="1185"/>
      <c r="CYX6" s="1185"/>
      <c r="CYY6" s="1185"/>
      <c r="CYZ6" s="1185"/>
      <c r="CZA6" s="1185"/>
      <c r="CZB6" s="1185"/>
      <c r="CZC6" s="1185"/>
      <c r="CZD6" s="1185"/>
      <c r="CZE6" s="1185"/>
      <c r="CZF6" s="1185"/>
      <c r="CZG6" s="1185"/>
      <c r="CZH6" s="1185"/>
      <c r="CZI6" s="1185"/>
      <c r="CZJ6" s="1185"/>
      <c r="CZK6" s="1185"/>
      <c r="CZL6" s="1185"/>
      <c r="CZM6" s="1185"/>
      <c r="CZN6" s="1185"/>
      <c r="CZO6" s="1185"/>
      <c r="CZP6" s="1185"/>
      <c r="CZQ6" s="1185"/>
      <c r="CZR6" s="1185"/>
      <c r="CZS6" s="1185"/>
      <c r="CZT6" s="1185"/>
      <c r="CZU6" s="1185"/>
      <c r="CZV6" s="1185"/>
      <c r="CZW6" s="1185"/>
      <c r="CZX6" s="1185"/>
      <c r="CZY6" s="1185"/>
      <c r="CZZ6" s="1185"/>
      <c r="DAA6" s="1185"/>
      <c r="DAB6" s="1185"/>
      <c r="DAC6" s="1185"/>
      <c r="DAD6" s="1185"/>
      <c r="DAE6" s="1185"/>
      <c r="DAF6" s="1185"/>
      <c r="DAG6" s="1185"/>
      <c r="DAH6" s="1185"/>
      <c r="DAI6" s="1185"/>
      <c r="DAJ6" s="1185"/>
      <c r="DAK6" s="1185"/>
      <c r="DAL6" s="1185"/>
      <c r="DAM6" s="1185"/>
      <c r="DAN6" s="1185"/>
      <c r="DAO6" s="1185"/>
      <c r="DAP6" s="1185"/>
      <c r="DAQ6" s="1185"/>
      <c r="DAR6" s="1185"/>
      <c r="DAS6" s="1185"/>
      <c r="DAT6" s="1185"/>
      <c r="DAU6" s="1185"/>
      <c r="DAV6" s="1185"/>
      <c r="DAW6" s="1185"/>
      <c r="DAX6" s="1185"/>
      <c r="DAY6" s="1185"/>
      <c r="DAZ6" s="1185"/>
      <c r="DBA6" s="1185"/>
      <c r="DBB6" s="1185"/>
      <c r="DBC6" s="1185"/>
      <c r="DBD6" s="1185"/>
      <c r="DBE6" s="1185"/>
      <c r="DBF6" s="1185"/>
      <c r="DBG6" s="1185"/>
      <c r="DBH6" s="1185"/>
      <c r="DBI6" s="1185"/>
      <c r="DBJ6" s="1185"/>
      <c r="DBK6" s="1185"/>
      <c r="DBL6" s="1185"/>
      <c r="DBM6" s="1185"/>
      <c r="DBN6" s="1185"/>
      <c r="DBO6" s="1185"/>
      <c r="DBP6" s="1185"/>
      <c r="DBQ6" s="1185"/>
      <c r="DBR6" s="1185"/>
      <c r="DBS6" s="1185"/>
      <c r="DBT6" s="1185"/>
      <c r="DBU6" s="1185"/>
      <c r="DBV6" s="1185"/>
      <c r="DBW6" s="1185"/>
      <c r="DBX6" s="1185"/>
      <c r="DBY6" s="1185"/>
      <c r="DBZ6" s="1185"/>
      <c r="DCA6" s="1185"/>
      <c r="DCB6" s="1185"/>
      <c r="DCC6" s="1185"/>
      <c r="DCD6" s="1185"/>
      <c r="DCE6" s="1185"/>
      <c r="DCF6" s="1185"/>
      <c r="DCG6" s="1185"/>
      <c r="DCH6" s="1185"/>
      <c r="DCI6" s="1185"/>
      <c r="DCJ6" s="1185"/>
      <c r="DCK6" s="1185"/>
      <c r="DCL6" s="1185"/>
      <c r="DCM6" s="1185"/>
      <c r="DCN6" s="1185"/>
      <c r="DCO6" s="1185"/>
      <c r="DCP6" s="1185"/>
      <c r="DCQ6" s="1185"/>
      <c r="DCR6" s="1185"/>
      <c r="DCS6" s="1185"/>
      <c r="DCT6" s="1185"/>
      <c r="DCU6" s="1185"/>
      <c r="DCV6" s="1185"/>
      <c r="DCW6" s="1185"/>
      <c r="DCX6" s="1185"/>
      <c r="DCY6" s="1185"/>
      <c r="DCZ6" s="1185"/>
      <c r="DDA6" s="1185"/>
      <c r="DDB6" s="1185"/>
      <c r="DDC6" s="1185"/>
      <c r="DDD6" s="1185"/>
      <c r="DDE6" s="1185"/>
      <c r="DDF6" s="1185"/>
      <c r="DDG6" s="1185"/>
      <c r="DDH6" s="1185"/>
      <c r="DDI6" s="1185"/>
      <c r="DDJ6" s="1185"/>
      <c r="DDK6" s="1185"/>
      <c r="DDL6" s="1185"/>
      <c r="DDM6" s="1185"/>
      <c r="DDN6" s="1185"/>
      <c r="DDO6" s="1185"/>
      <c r="DDP6" s="1185"/>
      <c r="DDQ6" s="1185"/>
      <c r="DDR6" s="1185"/>
      <c r="DDS6" s="1185"/>
      <c r="DDT6" s="1185"/>
      <c r="DDU6" s="1185"/>
      <c r="DDV6" s="1185"/>
      <c r="DDW6" s="1185"/>
      <c r="DDX6" s="1185"/>
      <c r="DDY6" s="1185"/>
      <c r="DDZ6" s="1185"/>
      <c r="DEA6" s="1185"/>
      <c r="DEB6" s="1185"/>
      <c r="DEC6" s="1185"/>
      <c r="DED6" s="1185"/>
      <c r="DEE6" s="1185"/>
      <c r="DEF6" s="1185"/>
      <c r="DEG6" s="1185"/>
      <c r="DEH6" s="1185"/>
      <c r="DEI6" s="1185"/>
      <c r="DEJ6" s="1185"/>
      <c r="DEK6" s="1185"/>
      <c r="DEL6" s="1185"/>
      <c r="DEM6" s="1185"/>
      <c r="DEN6" s="1185"/>
      <c r="DEO6" s="1185"/>
      <c r="DEP6" s="1185"/>
      <c r="DEQ6" s="1185"/>
      <c r="DER6" s="1185"/>
      <c r="DES6" s="1185"/>
      <c r="DET6" s="1185"/>
      <c r="DEU6" s="1185"/>
      <c r="DEV6" s="1185"/>
      <c r="DEW6" s="1185"/>
      <c r="DEX6" s="1185"/>
      <c r="DEY6" s="1185"/>
      <c r="DEZ6" s="1185"/>
      <c r="DFA6" s="1185"/>
      <c r="DFB6" s="1185"/>
      <c r="DFC6" s="1185"/>
      <c r="DFD6" s="1185"/>
      <c r="DFE6" s="1185"/>
      <c r="DFF6" s="1185"/>
      <c r="DFG6" s="1185"/>
      <c r="DFH6" s="1185"/>
      <c r="DFI6" s="1185"/>
      <c r="DFJ6" s="1185"/>
      <c r="DFK6" s="1185"/>
      <c r="DFL6" s="1185"/>
      <c r="DFM6" s="1185"/>
      <c r="DFN6" s="1185"/>
      <c r="DFO6" s="1185"/>
      <c r="DFP6" s="1185"/>
      <c r="DFQ6" s="1185"/>
      <c r="DFR6" s="1185"/>
      <c r="DFS6" s="1185"/>
      <c r="DFT6" s="1185"/>
      <c r="DFU6" s="1185"/>
      <c r="DFV6" s="1185"/>
      <c r="DFW6" s="1185"/>
      <c r="DFX6" s="1185"/>
      <c r="DFY6" s="1185"/>
      <c r="DFZ6" s="1185"/>
      <c r="DGA6" s="1185"/>
      <c r="DGB6" s="1185"/>
      <c r="DGC6" s="1185"/>
      <c r="DGD6" s="1185"/>
      <c r="DGE6" s="1185"/>
      <c r="DGF6" s="1185"/>
      <c r="DGG6" s="1185"/>
      <c r="DGH6" s="1185"/>
      <c r="DGI6" s="1185"/>
      <c r="DGJ6" s="1185"/>
      <c r="DGK6" s="1185"/>
      <c r="DGL6" s="1185"/>
      <c r="DGM6" s="1185"/>
      <c r="DGN6" s="1185"/>
      <c r="DGO6" s="1185"/>
      <c r="DGP6" s="1185"/>
      <c r="DGQ6" s="1185"/>
      <c r="DGR6" s="1185"/>
      <c r="DGS6" s="1185"/>
      <c r="DGT6" s="1185"/>
      <c r="DGU6" s="1185"/>
      <c r="DGV6" s="1185"/>
      <c r="DGW6" s="1185"/>
      <c r="DGX6" s="1185"/>
      <c r="DGY6" s="1185"/>
      <c r="DGZ6" s="1185"/>
      <c r="DHA6" s="1185"/>
      <c r="DHB6" s="1185"/>
      <c r="DHC6" s="1185"/>
      <c r="DHD6" s="1185"/>
      <c r="DHE6" s="1185"/>
      <c r="DHF6" s="1185"/>
      <c r="DHG6" s="1185"/>
      <c r="DHH6" s="1185"/>
      <c r="DHI6" s="1185"/>
      <c r="DHJ6" s="1185"/>
      <c r="DHK6" s="1185"/>
      <c r="DHL6" s="1185"/>
      <c r="DHM6" s="1185"/>
      <c r="DHN6" s="1185"/>
      <c r="DHO6" s="1185"/>
      <c r="DHP6" s="1185"/>
      <c r="DHQ6" s="1185"/>
      <c r="DHR6" s="1185"/>
      <c r="DHS6" s="1185"/>
      <c r="DHT6" s="1185"/>
      <c r="DHU6" s="1185"/>
      <c r="DHV6" s="1185"/>
      <c r="DHW6" s="1185"/>
      <c r="DHX6" s="1185"/>
      <c r="DHY6" s="1185"/>
      <c r="DHZ6" s="1185"/>
      <c r="DIA6" s="1185"/>
      <c r="DIB6" s="1185"/>
      <c r="DIC6" s="1185"/>
      <c r="DID6" s="1185"/>
      <c r="DIE6" s="1185"/>
      <c r="DIF6" s="1185"/>
      <c r="DIG6" s="1185"/>
      <c r="DIH6" s="1185"/>
      <c r="DII6" s="1185"/>
      <c r="DIJ6" s="1185"/>
      <c r="DIK6" s="1185"/>
      <c r="DIL6" s="1185"/>
      <c r="DIM6" s="1185"/>
      <c r="DIN6" s="1185"/>
      <c r="DIO6" s="1185"/>
      <c r="DIP6" s="1185"/>
      <c r="DIQ6" s="1185"/>
      <c r="DIR6" s="1185"/>
      <c r="DIS6" s="1185"/>
      <c r="DIT6" s="1185"/>
      <c r="DIU6" s="1185"/>
      <c r="DIV6" s="1185"/>
      <c r="DIW6" s="1185"/>
      <c r="DIX6" s="1185"/>
      <c r="DIY6" s="1185"/>
      <c r="DIZ6" s="1185"/>
      <c r="DJA6" s="1185"/>
      <c r="DJB6" s="1185"/>
      <c r="DJC6" s="1185"/>
      <c r="DJD6" s="1185"/>
      <c r="DJE6" s="1185"/>
      <c r="DJF6" s="1185"/>
      <c r="DJG6" s="1185"/>
      <c r="DJH6" s="1185"/>
      <c r="DJI6" s="1185"/>
      <c r="DJJ6" s="1185"/>
      <c r="DJK6" s="1185"/>
      <c r="DJL6" s="1185"/>
      <c r="DJM6" s="1185"/>
      <c r="DJN6" s="1185"/>
      <c r="DJO6" s="1185"/>
      <c r="DJP6" s="1185"/>
      <c r="DJQ6" s="1185"/>
      <c r="DJR6" s="1185"/>
      <c r="DJS6" s="1185"/>
      <c r="DJT6" s="1185"/>
      <c r="DJU6" s="1185"/>
      <c r="DJV6" s="1185"/>
      <c r="DJW6" s="1185"/>
      <c r="DJX6" s="1185"/>
      <c r="DJY6" s="1185"/>
      <c r="DJZ6" s="1185"/>
      <c r="DKA6" s="1185"/>
      <c r="DKB6" s="1185"/>
      <c r="DKC6" s="1185"/>
      <c r="DKD6" s="1185"/>
      <c r="DKE6" s="1185"/>
      <c r="DKF6" s="1185"/>
      <c r="DKG6" s="1185"/>
      <c r="DKH6" s="1185"/>
      <c r="DKI6" s="1185"/>
      <c r="DKJ6" s="1185"/>
      <c r="DKK6" s="1185"/>
      <c r="DKL6" s="1185"/>
      <c r="DKM6" s="1185"/>
      <c r="DKN6" s="1185"/>
      <c r="DKO6" s="1185"/>
      <c r="DKP6" s="1185"/>
      <c r="DKQ6" s="1185"/>
      <c r="DKR6" s="1185"/>
      <c r="DKS6" s="1185"/>
      <c r="DKT6" s="1185"/>
      <c r="DKU6" s="1185"/>
      <c r="DKV6" s="1185"/>
      <c r="DKW6" s="1185"/>
      <c r="DKX6" s="1185"/>
      <c r="DKY6" s="1185"/>
      <c r="DKZ6" s="1185"/>
      <c r="DLA6" s="1185"/>
      <c r="DLB6" s="1185"/>
      <c r="DLC6" s="1185"/>
      <c r="DLD6" s="1185"/>
      <c r="DLE6" s="1185"/>
      <c r="DLF6" s="1185"/>
      <c r="DLG6" s="1185"/>
      <c r="DLH6" s="1185"/>
      <c r="DLI6" s="1185"/>
      <c r="DLJ6" s="1185"/>
      <c r="DLK6" s="1185"/>
      <c r="DLL6" s="1185"/>
      <c r="DLM6" s="1185"/>
      <c r="DLN6" s="1185"/>
      <c r="DLO6" s="1185"/>
      <c r="DLP6" s="1185"/>
      <c r="DLQ6" s="1185"/>
      <c r="DLR6" s="1185"/>
      <c r="DLS6" s="1185"/>
      <c r="DLT6" s="1185"/>
      <c r="DLU6" s="1185"/>
      <c r="DLV6" s="1185"/>
      <c r="DLW6" s="1185"/>
      <c r="DLX6" s="1185"/>
      <c r="DLY6" s="1185"/>
      <c r="DLZ6" s="1185"/>
      <c r="DMA6" s="1185"/>
      <c r="DMB6" s="1185"/>
      <c r="DMC6" s="1185"/>
      <c r="DMD6" s="1185"/>
      <c r="DME6" s="1185"/>
      <c r="DMF6" s="1185"/>
      <c r="DMG6" s="1185"/>
      <c r="DMH6" s="1185"/>
      <c r="DMI6" s="1185"/>
      <c r="DMJ6" s="1185"/>
      <c r="DMK6" s="1185"/>
      <c r="DML6" s="1185"/>
      <c r="DMM6" s="1185"/>
      <c r="DMN6" s="1185"/>
      <c r="DMO6" s="1185"/>
      <c r="DMP6" s="1185"/>
      <c r="DMQ6" s="1185"/>
      <c r="DMR6" s="1185"/>
      <c r="DMS6" s="1185"/>
      <c r="DMT6" s="1185"/>
      <c r="DMU6" s="1185"/>
      <c r="DMV6" s="1185"/>
      <c r="DMW6" s="1185"/>
      <c r="DMX6" s="1185"/>
      <c r="DMY6" s="1185"/>
      <c r="DMZ6" s="1185"/>
      <c r="DNA6" s="1185"/>
      <c r="DNB6" s="1185"/>
      <c r="DNC6" s="1185"/>
      <c r="DND6" s="1185"/>
      <c r="DNE6" s="1185"/>
      <c r="DNF6" s="1185"/>
      <c r="DNG6" s="1185"/>
      <c r="DNH6" s="1185"/>
      <c r="DNI6" s="1185"/>
      <c r="DNJ6" s="1185"/>
      <c r="DNK6" s="1185"/>
      <c r="DNL6" s="1185"/>
      <c r="DNM6" s="1185"/>
      <c r="DNN6" s="1185"/>
      <c r="DNO6" s="1185"/>
      <c r="DNP6" s="1185"/>
      <c r="DNQ6" s="1185"/>
      <c r="DNR6" s="1185"/>
      <c r="DNS6" s="1185"/>
      <c r="DNT6" s="1185"/>
      <c r="DNU6" s="1185"/>
      <c r="DNV6" s="1185"/>
      <c r="DNW6" s="1185"/>
      <c r="DNX6" s="1185"/>
      <c r="DNY6" s="1185"/>
      <c r="DNZ6" s="1185"/>
      <c r="DOA6" s="1185"/>
      <c r="DOB6" s="1185"/>
      <c r="DOC6" s="1185"/>
      <c r="DOD6" s="1185"/>
      <c r="DOE6" s="1185"/>
      <c r="DOF6" s="1185"/>
      <c r="DOG6" s="1185"/>
      <c r="DOH6" s="1185"/>
      <c r="DOI6" s="1185"/>
      <c r="DOJ6" s="1185"/>
      <c r="DOK6" s="1185"/>
      <c r="DOL6" s="1185"/>
      <c r="DOM6" s="1185"/>
      <c r="DON6" s="1185"/>
      <c r="DOO6" s="1185"/>
      <c r="DOP6" s="1185"/>
      <c r="DOQ6" s="1185"/>
      <c r="DOR6" s="1185"/>
      <c r="DOS6" s="1185"/>
      <c r="DOT6" s="1185"/>
      <c r="DOU6" s="1185"/>
      <c r="DOV6" s="1185"/>
      <c r="DOW6" s="1185"/>
      <c r="DOX6" s="1185"/>
      <c r="DOY6" s="1185"/>
      <c r="DOZ6" s="1185"/>
      <c r="DPA6" s="1185"/>
      <c r="DPB6" s="1185"/>
      <c r="DPC6" s="1185"/>
      <c r="DPD6" s="1185"/>
      <c r="DPE6" s="1185"/>
      <c r="DPF6" s="1185"/>
      <c r="DPG6" s="1185"/>
      <c r="DPH6" s="1185"/>
      <c r="DPI6" s="1185"/>
      <c r="DPJ6" s="1185"/>
      <c r="DPK6" s="1185"/>
      <c r="DPL6" s="1185"/>
      <c r="DPM6" s="1185"/>
      <c r="DPN6" s="1185"/>
      <c r="DPO6" s="1185"/>
      <c r="DPP6" s="1185"/>
      <c r="DPQ6" s="1185"/>
      <c r="DPR6" s="1185"/>
      <c r="DPS6" s="1185"/>
      <c r="DPT6" s="1185"/>
      <c r="DPU6" s="1185"/>
      <c r="DPV6" s="1185"/>
      <c r="DPW6" s="1185"/>
      <c r="DPX6" s="1185"/>
      <c r="DPY6" s="1185"/>
      <c r="DPZ6" s="1185"/>
      <c r="DQA6" s="1185"/>
      <c r="DQB6" s="1185"/>
      <c r="DQC6" s="1185"/>
      <c r="DQD6" s="1185"/>
      <c r="DQE6" s="1185"/>
      <c r="DQF6" s="1185"/>
      <c r="DQG6" s="1185"/>
      <c r="DQH6" s="1185"/>
      <c r="DQI6" s="1185"/>
      <c r="DQJ6" s="1185"/>
      <c r="DQK6" s="1185"/>
      <c r="DQL6" s="1185"/>
      <c r="DQM6" s="1185"/>
      <c r="DQN6" s="1185"/>
      <c r="DQO6" s="1185"/>
      <c r="DQP6" s="1185"/>
      <c r="DQQ6" s="1185"/>
      <c r="DQR6" s="1185"/>
      <c r="DQS6" s="1185"/>
      <c r="DQT6" s="1185"/>
      <c r="DQU6" s="1185"/>
      <c r="DQV6" s="1185"/>
      <c r="DQW6" s="1185"/>
      <c r="DQX6" s="1185"/>
      <c r="DQY6" s="1185"/>
      <c r="DQZ6" s="1185"/>
      <c r="DRA6" s="1185"/>
      <c r="DRB6" s="1185"/>
      <c r="DRC6" s="1185"/>
      <c r="DRD6" s="1185"/>
      <c r="DRE6" s="1185"/>
      <c r="DRF6" s="1185"/>
      <c r="DRG6" s="1185"/>
      <c r="DRH6" s="1185"/>
      <c r="DRI6" s="1185"/>
      <c r="DRJ6" s="1185"/>
      <c r="DRK6" s="1185"/>
      <c r="DRL6" s="1185"/>
      <c r="DRM6" s="1185"/>
      <c r="DRN6" s="1185"/>
      <c r="DRO6" s="1185"/>
      <c r="DRP6" s="1185"/>
      <c r="DRQ6" s="1185"/>
      <c r="DRR6" s="1185"/>
      <c r="DRS6" s="1185"/>
      <c r="DRT6" s="1185"/>
      <c r="DRU6" s="1185"/>
      <c r="DRV6" s="1185"/>
      <c r="DRW6" s="1185"/>
      <c r="DRX6" s="1185"/>
      <c r="DRY6" s="1185"/>
      <c r="DRZ6" s="1185"/>
      <c r="DSA6" s="1185"/>
      <c r="DSB6" s="1185"/>
      <c r="DSC6" s="1185"/>
      <c r="DSD6" s="1185"/>
      <c r="DSE6" s="1185"/>
      <c r="DSF6" s="1185"/>
      <c r="DSG6" s="1185"/>
      <c r="DSH6" s="1185"/>
      <c r="DSI6" s="1185"/>
      <c r="DSJ6" s="1185"/>
      <c r="DSK6" s="1185"/>
      <c r="DSL6" s="1185"/>
      <c r="DSM6" s="1185"/>
      <c r="DSN6" s="1185"/>
      <c r="DSO6" s="1185"/>
      <c r="DSP6" s="1185"/>
      <c r="DSQ6" s="1185"/>
      <c r="DSR6" s="1185"/>
      <c r="DSS6" s="1185"/>
      <c r="DST6" s="1185"/>
      <c r="DSU6" s="1185"/>
      <c r="DSV6" s="1185"/>
      <c r="DSW6" s="1185"/>
      <c r="DSX6" s="1185"/>
      <c r="DSY6" s="1185"/>
      <c r="DSZ6" s="1185"/>
      <c r="DTA6" s="1185"/>
      <c r="DTB6" s="1185"/>
      <c r="DTC6" s="1185"/>
      <c r="DTD6" s="1185"/>
      <c r="DTE6" s="1185"/>
      <c r="DTF6" s="1185"/>
      <c r="DTG6" s="1185"/>
      <c r="DTH6" s="1185"/>
      <c r="DTI6" s="1185"/>
      <c r="DTJ6" s="1185"/>
      <c r="DTK6" s="1185"/>
      <c r="DTL6" s="1185"/>
      <c r="DTM6" s="1185"/>
      <c r="DTN6" s="1185"/>
      <c r="DTO6" s="1185"/>
      <c r="DTP6" s="1185"/>
      <c r="DTQ6" s="1185"/>
      <c r="DTR6" s="1185"/>
      <c r="DTS6" s="1185"/>
      <c r="DTT6" s="1185"/>
      <c r="DTU6" s="1185"/>
      <c r="DTV6" s="1185"/>
      <c r="DTW6" s="1185"/>
      <c r="DTX6" s="1185"/>
      <c r="DTY6" s="1185"/>
      <c r="DTZ6" s="1185"/>
      <c r="DUA6" s="1185"/>
      <c r="DUB6" s="1185"/>
      <c r="DUC6" s="1185"/>
      <c r="DUD6" s="1185"/>
      <c r="DUE6" s="1185"/>
      <c r="DUF6" s="1185"/>
      <c r="DUG6" s="1185"/>
      <c r="DUH6" s="1185"/>
      <c r="DUI6" s="1185"/>
      <c r="DUJ6" s="1185"/>
      <c r="DUK6" s="1185"/>
      <c r="DUL6" s="1185"/>
      <c r="DUM6" s="1185"/>
      <c r="DUN6" s="1185"/>
      <c r="DUO6" s="1185"/>
      <c r="DUP6" s="1185"/>
      <c r="DUQ6" s="1185"/>
      <c r="DUR6" s="1185"/>
      <c r="DUS6" s="1185"/>
      <c r="DUT6" s="1185"/>
      <c r="DUU6" s="1185"/>
      <c r="DUV6" s="1185"/>
      <c r="DUW6" s="1185"/>
      <c r="DUX6" s="1185"/>
      <c r="DUY6" s="1185"/>
      <c r="DUZ6" s="1185"/>
      <c r="DVA6" s="1185"/>
      <c r="DVB6" s="1185"/>
      <c r="DVC6" s="1185"/>
      <c r="DVD6" s="1185"/>
      <c r="DVE6" s="1185"/>
      <c r="DVF6" s="1185"/>
      <c r="DVG6" s="1185"/>
      <c r="DVH6" s="1185"/>
      <c r="DVI6" s="1185"/>
      <c r="DVJ6" s="1185"/>
      <c r="DVK6" s="1185"/>
      <c r="DVL6" s="1185"/>
      <c r="DVM6" s="1185"/>
      <c r="DVN6" s="1185"/>
      <c r="DVO6" s="1185"/>
      <c r="DVP6" s="1185"/>
      <c r="DVQ6" s="1185"/>
      <c r="DVR6" s="1185"/>
      <c r="DVS6" s="1185"/>
      <c r="DVT6" s="1185"/>
      <c r="DVU6" s="1185"/>
      <c r="DVV6" s="1185"/>
      <c r="DVW6" s="1185"/>
      <c r="DVX6" s="1185"/>
      <c r="DVY6" s="1185"/>
      <c r="DVZ6" s="1185"/>
      <c r="DWA6" s="1185"/>
      <c r="DWB6" s="1185"/>
      <c r="DWC6" s="1185"/>
      <c r="DWD6" s="1185"/>
      <c r="DWE6" s="1185"/>
      <c r="DWF6" s="1185"/>
      <c r="DWG6" s="1185"/>
      <c r="DWH6" s="1185"/>
      <c r="DWI6" s="1185"/>
      <c r="DWJ6" s="1185"/>
      <c r="DWK6" s="1185"/>
      <c r="DWL6" s="1185"/>
      <c r="DWM6" s="1185"/>
      <c r="DWN6" s="1185"/>
      <c r="DWO6" s="1185"/>
      <c r="DWP6" s="1185"/>
      <c r="DWQ6" s="1185"/>
      <c r="DWR6" s="1185"/>
      <c r="DWS6" s="1185"/>
      <c r="DWT6" s="1185"/>
      <c r="DWU6" s="1185"/>
      <c r="DWV6" s="1185"/>
      <c r="DWW6" s="1185"/>
      <c r="DWX6" s="1185"/>
      <c r="DWY6" s="1185"/>
      <c r="DWZ6" s="1185"/>
      <c r="DXA6" s="1185"/>
      <c r="DXB6" s="1185"/>
      <c r="DXC6" s="1185"/>
      <c r="DXD6" s="1185"/>
      <c r="DXE6" s="1185"/>
      <c r="DXF6" s="1185"/>
      <c r="DXG6" s="1185"/>
      <c r="DXH6" s="1185"/>
      <c r="DXI6" s="1185"/>
      <c r="DXJ6" s="1185"/>
      <c r="DXK6" s="1185"/>
      <c r="DXL6" s="1185"/>
      <c r="DXM6" s="1185"/>
      <c r="DXN6" s="1185"/>
      <c r="DXO6" s="1185"/>
      <c r="DXP6" s="1185"/>
      <c r="DXQ6" s="1185"/>
      <c r="DXR6" s="1185"/>
      <c r="DXS6" s="1185"/>
      <c r="DXT6" s="1185"/>
      <c r="DXU6" s="1185"/>
      <c r="DXV6" s="1185"/>
      <c r="DXW6" s="1185"/>
      <c r="DXX6" s="1185"/>
      <c r="DXY6" s="1185"/>
      <c r="DXZ6" s="1185"/>
      <c r="DYA6" s="1185"/>
      <c r="DYB6" s="1185"/>
      <c r="DYC6" s="1185"/>
      <c r="DYD6" s="1185"/>
      <c r="DYE6" s="1185"/>
      <c r="DYF6" s="1185"/>
      <c r="DYG6" s="1185"/>
      <c r="DYH6" s="1185"/>
      <c r="DYI6" s="1185"/>
      <c r="DYJ6" s="1185"/>
      <c r="DYK6" s="1185"/>
      <c r="DYL6" s="1185"/>
      <c r="DYM6" s="1185"/>
      <c r="DYN6" s="1185"/>
      <c r="DYO6" s="1185"/>
      <c r="DYP6" s="1185"/>
      <c r="DYQ6" s="1185"/>
      <c r="DYR6" s="1185"/>
      <c r="DYS6" s="1185"/>
      <c r="DYT6" s="1185"/>
      <c r="DYU6" s="1185"/>
      <c r="DYV6" s="1185"/>
      <c r="DYW6" s="1185"/>
      <c r="DYX6" s="1185"/>
      <c r="DYY6" s="1185"/>
      <c r="DYZ6" s="1185"/>
      <c r="DZA6" s="1185"/>
      <c r="DZB6" s="1185"/>
      <c r="DZC6" s="1185"/>
      <c r="DZD6" s="1185"/>
      <c r="DZE6" s="1185"/>
      <c r="DZF6" s="1185"/>
      <c r="DZG6" s="1185"/>
      <c r="DZH6" s="1185"/>
      <c r="DZI6" s="1185"/>
      <c r="DZJ6" s="1185"/>
      <c r="DZK6" s="1185"/>
      <c r="DZL6" s="1185"/>
      <c r="DZM6" s="1185"/>
      <c r="DZN6" s="1185"/>
      <c r="DZO6" s="1185"/>
      <c r="DZP6" s="1185"/>
      <c r="DZQ6" s="1185"/>
      <c r="DZR6" s="1185"/>
      <c r="DZS6" s="1185"/>
      <c r="DZT6" s="1185"/>
      <c r="DZU6" s="1185"/>
      <c r="DZV6" s="1185"/>
      <c r="DZW6" s="1185"/>
      <c r="DZX6" s="1185"/>
      <c r="DZY6" s="1185"/>
      <c r="DZZ6" s="1185"/>
      <c r="EAA6" s="1185"/>
      <c r="EAB6" s="1185"/>
      <c r="EAC6" s="1185"/>
      <c r="EAD6" s="1185"/>
      <c r="EAE6" s="1185"/>
      <c r="EAF6" s="1185"/>
      <c r="EAG6" s="1185"/>
      <c r="EAH6" s="1185"/>
      <c r="EAI6" s="1185"/>
      <c r="EAJ6" s="1185"/>
      <c r="EAK6" s="1185"/>
      <c r="EAL6" s="1185"/>
      <c r="EAM6" s="1185"/>
      <c r="EAN6" s="1185"/>
      <c r="EAO6" s="1185"/>
      <c r="EAP6" s="1185"/>
      <c r="EAQ6" s="1185"/>
      <c r="EAR6" s="1185"/>
      <c r="EAS6" s="1185"/>
      <c r="EAT6" s="1185"/>
      <c r="EAU6" s="1185"/>
      <c r="EAV6" s="1185"/>
      <c r="EAW6" s="1185"/>
      <c r="EAX6" s="1185"/>
      <c r="EAY6" s="1185"/>
      <c r="EAZ6" s="1185"/>
      <c r="EBA6" s="1185"/>
      <c r="EBB6" s="1185"/>
      <c r="EBC6" s="1185"/>
      <c r="EBD6" s="1185"/>
      <c r="EBE6" s="1185"/>
      <c r="EBF6" s="1185"/>
      <c r="EBG6" s="1185"/>
      <c r="EBH6" s="1185"/>
      <c r="EBI6" s="1185"/>
      <c r="EBJ6" s="1185"/>
      <c r="EBK6" s="1185"/>
      <c r="EBL6" s="1185"/>
      <c r="EBM6" s="1185"/>
      <c r="EBN6" s="1185"/>
      <c r="EBO6" s="1185"/>
      <c r="EBP6" s="1185"/>
      <c r="EBQ6" s="1185"/>
      <c r="EBR6" s="1185"/>
      <c r="EBS6" s="1185"/>
      <c r="EBT6" s="1185"/>
      <c r="EBU6" s="1185"/>
      <c r="EBV6" s="1185"/>
      <c r="EBW6" s="1185"/>
      <c r="EBX6" s="1185"/>
      <c r="EBY6" s="1185"/>
      <c r="EBZ6" s="1185"/>
      <c r="ECA6" s="1185"/>
      <c r="ECB6" s="1185"/>
      <c r="ECC6" s="1185"/>
      <c r="ECD6" s="1185"/>
      <c r="ECE6" s="1185"/>
      <c r="ECF6" s="1185"/>
      <c r="ECG6" s="1185"/>
      <c r="ECH6" s="1185"/>
      <c r="ECI6" s="1185"/>
      <c r="ECJ6" s="1185"/>
      <c r="ECK6" s="1185"/>
      <c r="ECL6" s="1185"/>
      <c r="ECM6" s="1185"/>
      <c r="ECN6" s="1185"/>
      <c r="ECO6" s="1185"/>
      <c r="ECP6" s="1185"/>
      <c r="ECQ6" s="1185"/>
      <c r="ECR6" s="1185"/>
      <c r="ECS6" s="1185"/>
      <c r="ECT6" s="1185"/>
      <c r="ECU6" s="1185"/>
      <c r="ECV6" s="1185"/>
      <c r="ECW6" s="1185"/>
      <c r="ECX6" s="1185"/>
      <c r="ECY6" s="1185"/>
      <c r="ECZ6" s="1185"/>
      <c r="EDA6" s="1185"/>
      <c r="EDB6" s="1185"/>
      <c r="EDC6" s="1185"/>
      <c r="EDD6" s="1185"/>
      <c r="EDE6" s="1185"/>
      <c r="EDF6" s="1185"/>
      <c r="EDG6" s="1185"/>
      <c r="EDH6" s="1185"/>
      <c r="EDI6" s="1185"/>
      <c r="EDJ6" s="1185"/>
      <c r="EDK6" s="1185"/>
      <c r="EDL6" s="1185"/>
      <c r="EDM6" s="1185"/>
      <c r="EDN6" s="1185"/>
      <c r="EDO6" s="1185"/>
      <c r="EDP6" s="1185"/>
      <c r="EDQ6" s="1185"/>
      <c r="EDR6" s="1185"/>
      <c r="EDS6" s="1185"/>
      <c r="EDT6" s="1185"/>
      <c r="EDU6" s="1185"/>
      <c r="EDV6" s="1185"/>
      <c r="EDW6" s="1185"/>
      <c r="EDX6" s="1185"/>
      <c r="EDY6" s="1185"/>
      <c r="EDZ6" s="1185"/>
      <c r="EEA6" s="1185"/>
      <c r="EEB6" s="1185"/>
      <c r="EEC6" s="1185"/>
      <c r="EED6" s="1185"/>
      <c r="EEE6" s="1185"/>
      <c r="EEF6" s="1185"/>
      <c r="EEG6" s="1185"/>
      <c r="EEH6" s="1185"/>
      <c r="EEI6" s="1185"/>
      <c r="EEJ6" s="1185"/>
      <c r="EEK6" s="1185"/>
      <c r="EEL6" s="1185"/>
      <c r="EEM6" s="1185"/>
      <c r="EEN6" s="1185"/>
      <c r="EEO6" s="1185"/>
      <c r="EEP6" s="1185"/>
      <c r="EEQ6" s="1185"/>
      <c r="EER6" s="1185"/>
      <c r="EES6" s="1185"/>
      <c r="EET6" s="1185"/>
      <c r="EEU6" s="1185"/>
      <c r="EEV6" s="1185"/>
      <c r="EEW6" s="1185"/>
      <c r="EEX6" s="1185"/>
      <c r="EEY6" s="1185"/>
      <c r="EEZ6" s="1185"/>
      <c r="EFA6" s="1185"/>
      <c r="EFB6" s="1185"/>
      <c r="EFC6" s="1185"/>
      <c r="EFD6" s="1185"/>
      <c r="EFE6" s="1185"/>
      <c r="EFF6" s="1185"/>
      <c r="EFG6" s="1185"/>
      <c r="EFH6" s="1185"/>
      <c r="EFI6" s="1185"/>
      <c r="EFJ6" s="1185"/>
      <c r="EFK6" s="1185"/>
      <c r="EFL6" s="1185"/>
      <c r="EFM6" s="1185"/>
      <c r="EFN6" s="1185"/>
      <c r="EFO6" s="1185"/>
      <c r="EFP6" s="1185"/>
      <c r="EFQ6" s="1185"/>
      <c r="EFR6" s="1185"/>
      <c r="EFS6" s="1185"/>
      <c r="EFT6" s="1185"/>
      <c r="EFU6" s="1185"/>
      <c r="EFV6" s="1185"/>
      <c r="EFW6" s="1185"/>
      <c r="EFX6" s="1185"/>
      <c r="EFY6" s="1185"/>
      <c r="EFZ6" s="1185"/>
      <c r="EGA6" s="1185"/>
      <c r="EGB6" s="1185"/>
      <c r="EGC6" s="1185"/>
      <c r="EGD6" s="1185"/>
      <c r="EGE6" s="1185"/>
      <c r="EGF6" s="1185"/>
      <c r="EGG6" s="1185"/>
      <c r="EGH6" s="1185"/>
      <c r="EGI6" s="1185"/>
      <c r="EGJ6" s="1185"/>
      <c r="EGK6" s="1185"/>
      <c r="EGL6" s="1185"/>
      <c r="EGM6" s="1185"/>
      <c r="EGN6" s="1185"/>
      <c r="EGO6" s="1185"/>
      <c r="EGP6" s="1185"/>
      <c r="EGQ6" s="1185"/>
      <c r="EGR6" s="1185"/>
      <c r="EGS6" s="1185"/>
      <c r="EGT6" s="1185"/>
      <c r="EGU6" s="1185"/>
      <c r="EGV6" s="1185"/>
      <c r="EGW6" s="1185"/>
      <c r="EGX6" s="1185"/>
      <c r="EGY6" s="1185"/>
      <c r="EGZ6" s="1185"/>
      <c r="EHA6" s="1185"/>
      <c r="EHB6" s="1185"/>
      <c r="EHC6" s="1185"/>
      <c r="EHD6" s="1185"/>
      <c r="EHE6" s="1185"/>
      <c r="EHF6" s="1185"/>
      <c r="EHG6" s="1185"/>
      <c r="EHH6" s="1185"/>
      <c r="EHI6" s="1185"/>
      <c r="EHJ6" s="1185"/>
      <c r="EHK6" s="1185"/>
      <c r="EHL6" s="1185"/>
      <c r="EHM6" s="1185"/>
      <c r="EHN6" s="1185"/>
      <c r="EHO6" s="1185"/>
      <c r="EHP6" s="1185"/>
      <c r="EHQ6" s="1185"/>
      <c r="EHR6" s="1185"/>
      <c r="EHS6" s="1185"/>
      <c r="EHT6" s="1185"/>
      <c r="EHU6" s="1185"/>
      <c r="EHV6" s="1185"/>
      <c r="EHW6" s="1185"/>
      <c r="EHX6" s="1185"/>
      <c r="EHY6" s="1185"/>
      <c r="EHZ6" s="1185"/>
      <c r="EIA6" s="1185"/>
      <c r="EIB6" s="1185"/>
      <c r="EIC6" s="1185"/>
      <c r="EID6" s="1185"/>
      <c r="EIE6" s="1185"/>
      <c r="EIF6" s="1185"/>
      <c r="EIG6" s="1185"/>
      <c r="EIH6" s="1185"/>
      <c r="EII6" s="1185"/>
      <c r="EIJ6" s="1185"/>
      <c r="EIK6" s="1185"/>
      <c r="EIL6" s="1185"/>
      <c r="EIM6" s="1185"/>
      <c r="EIN6" s="1185"/>
      <c r="EIO6" s="1185"/>
      <c r="EIP6" s="1185"/>
      <c r="EIQ6" s="1185"/>
      <c r="EIR6" s="1185"/>
      <c r="EIS6" s="1185"/>
      <c r="EIT6" s="1185"/>
      <c r="EIU6" s="1185"/>
      <c r="EIV6" s="1185"/>
      <c r="EIW6" s="1185"/>
      <c r="EIX6" s="1185"/>
      <c r="EIY6" s="1185"/>
      <c r="EIZ6" s="1185"/>
      <c r="EJA6" s="1185"/>
      <c r="EJB6" s="1185"/>
      <c r="EJC6" s="1185"/>
      <c r="EJD6" s="1185"/>
      <c r="EJE6" s="1185"/>
      <c r="EJF6" s="1185"/>
      <c r="EJG6" s="1185"/>
      <c r="EJH6" s="1185"/>
      <c r="EJI6" s="1185"/>
      <c r="EJJ6" s="1185"/>
      <c r="EJK6" s="1185"/>
      <c r="EJL6" s="1185"/>
      <c r="EJM6" s="1185"/>
      <c r="EJN6" s="1185"/>
      <c r="EJO6" s="1185"/>
      <c r="EJP6" s="1185"/>
      <c r="EJQ6" s="1185"/>
      <c r="EJR6" s="1185"/>
      <c r="EJS6" s="1185"/>
      <c r="EJT6" s="1185"/>
      <c r="EJU6" s="1185"/>
      <c r="EJV6" s="1185"/>
      <c r="EJW6" s="1185"/>
      <c r="EJX6" s="1185"/>
      <c r="EJY6" s="1185"/>
      <c r="EJZ6" s="1185"/>
      <c r="EKA6" s="1185"/>
      <c r="EKB6" s="1185"/>
      <c r="EKC6" s="1185"/>
      <c r="EKD6" s="1185"/>
      <c r="EKE6" s="1185"/>
      <c r="EKF6" s="1185"/>
      <c r="EKG6" s="1185"/>
      <c r="EKH6" s="1185"/>
      <c r="EKI6" s="1185"/>
      <c r="EKJ6" s="1185"/>
      <c r="EKK6" s="1185"/>
      <c r="EKL6" s="1185"/>
      <c r="EKM6" s="1185"/>
      <c r="EKN6" s="1185"/>
      <c r="EKO6" s="1185"/>
      <c r="EKP6" s="1185"/>
      <c r="EKQ6" s="1185"/>
      <c r="EKR6" s="1185"/>
      <c r="EKS6" s="1185"/>
      <c r="EKT6" s="1185"/>
      <c r="EKU6" s="1185"/>
      <c r="EKV6" s="1185"/>
      <c r="EKW6" s="1185"/>
      <c r="EKX6" s="1185"/>
      <c r="EKY6" s="1185"/>
      <c r="EKZ6" s="1185"/>
      <c r="ELA6" s="1185"/>
      <c r="ELB6" s="1185"/>
      <c r="ELC6" s="1185"/>
      <c r="ELD6" s="1185"/>
      <c r="ELE6" s="1185"/>
      <c r="ELF6" s="1185"/>
      <c r="ELG6" s="1185"/>
      <c r="ELH6" s="1185"/>
      <c r="ELI6" s="1185"/>
      <c r="ELJ6" s="1185"/>
      <c r="ELK6" s="1185"/>
      <c r="ELL6" s="1185"/>
      <c r="ELM6" s="1185"/>
      <c r="ELN6" s="1185"/>
      <c r="ELO6" s="1185"/>
      <c r="ELP6" s="1185"/>
      <c r="ELQ6" s="1185"/>
      <c r="ELR6" s="1185"/>
      <c r="ELS6" s="1185"/>
      <c r="ELT6" s="1185"/>
      <c r="ELU6" s="1185"/>
      <c r="ELV6" s="1185"/>
      <c r="ELW6" s="1185"/>
      <c r="ELX6" s="1185"/>
      <c r="ELY6" s="1185"/>
      <c r="ELZ6" s="1185"/>
      <c r="EMA6" s="1185"/>
      <c r="EMB6" s="1185"/>
      <c r="EMC6" s="1185"/>
      <c r="EMD6" s="1185"/>
      <c r="EME6" s="1185"/>
      <c r="EMF6" s="1185"/>
      <c r="EMG6" s="1185"/>
      <c r="EMH6" s="1185"/>
      <c r="EMI6" s="1185"/>
      <c r="EMJ6" s="1185"/>
      <c r="EMK6" s="1185"/>
      <c r="EML6" s="1185"/>
      <c r="EMM6" s="1185"/>
      <c r="EMN6" s="1185"/>
      <c r="EMO6" s="1185"/>
      <c r="EMP6" s="1185"/>
      <c r="EMQ6" s="1185"/>
      <c r="EMR6" s="1185"/>
      <c r="EMS6" s="1185"/>
      <c r="EMT6" s="1185"/>
      <c r="EMU6" s="1185"/>
      <c r="EMV6" s="1185"/>
      <c r="EMW6" s="1185"/>
      <c r="EMX6" s="1185"/>
      <c r="EMY6" s="1185"/>
      <c r="EMZ6" s="1185"/>
      <c r="ENA6" s="1185"/>
      <c r="ENB6" s="1185"/>
      <c r="ENC6" s="1185"/>
      <c r="END6" s="1185"/>
      <c r="ENE6" s="1185"/>
      <c r="ENF6" s="1185"/>
      <c r="ENG6" s="1185"/>
      <c r="ENH6" s="1185"/>
      <c r="ENI6" s="1185"/>
      <c r="ENJ6" s="1185"/>
      <c r="ENK6" s="1185"/>
      <c r="ENL6" s="1185"/>
      <c r="ENM6" s="1185"/>
      <c r="ENN6" s="1185"/>
      <c r="ENO6" s="1185"/>
      <c r="ENP6" s="1185"/>
      <c r="ENQ6" s="1185"/>
      <c r="ENR6" s="1185"/>
      <c r="ENS6" s="1185"/>
      <c r="ENT6" s="1185"/>
      <c r="ENU6" s="1185"/>
      <c r="ENV6" s="1185"/>
      <c r="ENW6" s="1185"/>
      <c r="ENX6" s="1185"/>
      <c r="ENY6" s="1185"/>
      <c r="ENZ6" s="1185"/>
      <c r="EOA6" s="1185"/>
      <c r="EOB6" s="1185"/>
      <c r="EOC6" s="1185"/>
      <c r="EOD6" s="1185"/>
      <c r="EOE6" s="1185"/>
      <c r="EOF6" s="1185"/>
      <c r="EOG6" s="1185"/>
      <c r="EOH6" s="1185"/>
      <c r="EOI6" s="1185"/>
      <c r="EOJ6" s="1185"/>
      <c r="EOK6" s="1185"/>
      <c r="EOL6" s="1185"/>
      <c r="EOM6" s="1185"/>
      <c r="EON6" s="1185"/>
      <c r="EOO6" s="1185"/>
      <c r="EOP6" s="1185"/>
      <c r="EOQ6" s="1185"/>
      <c r="EOR6" s="1185"/>
      <c r="EOS6" s="1185"/>
      <c r="EOT6" s="1185"/>
      <c r="EOU6" s="1185"/>
      <c r="EOV6" s="1185"/>
      <c r="EOW6" s="1185"/>
      <c r="EOX6" s="1185"/>
      <c r="EOY6" s="1185"/>
      <c r="EOZ6" s="1185"/>
      <c r="EPA6" s="1185"/>
      <c r="EPB6" s="1185"/>
      <c r="EPC6" s="1185"/>
      <c r="EPD6" s="1185"/>
      <c r="EPE6" s="1185"/>
      <c r="EPF6" s="1185"/>
      <c r="EPG6" s="1185"/>
      <c r="EPH6" s="1185"/>
      <c r="EPI6" s="1185"/>
      <c r="EPJ6" s="1185"/>
      <c r="EPK6" s="1185"/>
      <c r="EPL6" s="1185"/>
      <c r="EPM6" s="1185"/>
      <c r="EPN6" s="1185"/>
      <c r="EPO6" s="1185"/>
      <c r="EPP6" s="1185"/>
      <c r="EPQ6" s="1185"/>
      <c r="EPR6" s="1185"/>
      <c r="EPS6" s="1185"/>
      <c r="EPT6" s="1185"/>
      <c r="EPU6" s="1185"/>
      <c r="EPV6" s="1185"/>
      <c r="EPW6" s="1185"/>
      <c r="EPX6" s="1185"/>
      <c r="EPY6" s="1185"/>
      <c r="EPZ6" s="1185"/>
      <c r="EQA6" s="1185"/>
      <c r="EQB6" s="1185"/>
      <c r="EQC6" s="1185"/>
      <c r="EQD6" s="1185"/>
      <c r="EQE6" s="1185"/>
      <c r="EQF6" s="1185"/>
      <c r="EQG6" s="1185"/>
      <c r="EQH6" s="1185"/>
      <c r="EQI6" s="1185"/>
      <c r="EQJ6" s="1185"/>
      <c r="EQK6" s="1185"/>
      <c r="EQL6" s="1185"/>
      <c r="EQM6" s="1185"/>
      <c r="EQN6" s="1185"/>
      <c r="EQO6" s="1185"/>
      <c r="EQP6" s="1185"/>
      <c r="EQQ6" s="1185"/>
      <c r="EQR6" s="1185"/>
      <c r="EQS6" s="1185"/>
      <c r="EQT6" s="1185"/>
      <c r="EQU6" s="1185"/>
      <c r="EQV6" s="1185"/>
      <c r="EQW6" s="1185"/>
      <c r="EQX6" s="1185"/>
      <c r="EQY6" s="1185"/>
      <c r="EQZ6" s="1185"/>
      <c r="ERA6" s="1185"/>
      <c r="ERB6" s="1185"/>
      <c r="ERC6" s="1185"/>
      <c r="ERD6" s="1185"/>
      <c r="ERE6" s="1185"/>
      <c r="ERF6" s="1185"/>
      <c r="ERG6" s="1185"/>
      <c r="ERH6" s="1185"/>
      <c r="ERI6" s="1185"/>
      <c r="ERJ6" s="1185"/>
      <c r="ERK6" s="1185"/>
      <c r="ERL6" s="1185"/>
      <c r="ERM6" s="1185"/>
      <c r="ERN6" s="1185"/>
      <c r="ERO6" s="1185"/>
      <c r="ERP6" s="1185"/>
      <c r="ERQ6" s="1185"/>
      <c r="ERR6" s="1185"/>
      <c r="ERS6" s="1185"/>
      <c r="ERT6" s="1185"/>
      <c r="ERU6" s="1185"/>
      <c r="ERV6" s="1185"/>
      <c r="ERW6" s="1185"/>
      <c r="ERX6" s="1185"/>
      <c r="ERY6" s="1185"/>
      <c r="ERZ6" s="1185"/>
      <c r="ESA6" s="1185"/>
      <c r="ESB6" s="1185"/>
      <c r="ESC6" s="1185"/>
      <c r="ESD6" s="1185"/>
      <c r="ESE6" s="1185"/>
      <c r="ESF6" s="1185"/>
      <c r="ESG6" s="1185"/>
      <c r="ESH6" s="1185"/>
      <c r="ESI6" s="1185"/>
      <c r="ESJ6" s="1185"/>
      <c r="ESK6" s="1185"/>
      <c r="ESL6" s="1185"/>
      <c r="ESM6" s="1185"/>
      <c r="ESN6" s="1185"/>
      <c r="ESO6" s="1185"/>
      <c r="ESP6" s="1185"/>
      <c r="ESQ6" s="1185"/>
      <c r="ESR6" s="1185"/>
      <c r="ESS6" s="1185"/>
      <c r="EST6" s="1185"/>
      <c r="ESU6" s="1185"/>
      <c r="ESV6" s="1185"/>
      <c r="ESW6" s="1185"/>
      <c r="ESX6" s="1185"/>
      <c r="ESY6" s="1185"/>
      <c r="ESZ6" s="1185"/>
      <c r="ETA6" s="1185"/>
      <c r="ETB6" s="1185"/>
      <c r="ETC6" s="1185"/>
      <c r="ETD6" s="1185"/>
      <c r="ETE6" s="1185"/>
      <c r="ETF6" s="1185"/>
      <c r="ETG6" s="1185"/>
      <c r="ETH6" s="1185"/>
      <c r="ETI6" s="1185"/>
      <c r="ETJ6" s="1185"/>
      <c r="ETK6" s="1185"/>
      <c r="ETL6" s="1185"/>
      <c r="ETM6" s="1185"/>
      <c r="ETN6" s="1185"/>
      <c r="ETO6" s="1185"/>
      <c r="ETP6" s="1185"/>
      <c r="ETQ6" s="1185"/>
      <c r="ETR6" s="1185"/>
      <c r="ETS6" s="1185"/>
      <c r="ETT6" s="1185"/>
      <c r="ETU6" s="1185"/>
      <c r="ETV6" s="1185"/>
      <c r="ETW6" s="1185"/>
      <c r="ETX6" s="1185"/>
      <c r="ETY6" s="1185"/>
      <c r="ETZ6" s="1185"/>
      <c r="EUA6" s="1185"/>
      <c r="EUB6" s="1185"/>
      <c r="EUC6" s="1185"/>
      <c r="EUD6" s="1185"/>
      <c r="EUE6" s="1185"/>
      <c r="EUF6" s="1185"/>
      <c r="EUG6" s="1185"/>
      <c r="EUH6" s="1185"/>
      <c r="EUI6" s="1185"/>
      <c r="EUJ6" s="1185"/>
      <c r="EUK6" s="1185"/>
      <c r="EUL6" s="1185"/>
      <c r="EUM6" s="1185"/>
      <c r="EUN6" s="1185"/>
      <c r="EUO6" s="1185"/>
      <c r="EUP6" s="1185"/>
      <c r="EUQ6" s="1185"/>
      <c r="EUR6" s="1185"/>
      <c r="EUS6" s="1185"/>
      <c r="EUT6" s="1185"/>
      <c r="EUU6" s="1185"/>
      <c r="EUV6" s="1185"/>
      <c r="EUW6" s="1185"/>
      <c r="EUX6" s="1185"/>
      <c r="EUY6" s="1185"/>
      <c r="EUZ6" s="1185"/>
      <c r="EVA6" s="1185"/>
      <c r="EVB6" s="1185"/>
      <c r="EVC6" s="1185"/>
      <c r="EVD6" s="1185"/>
      <c r="EVE6" s="1185"/>
      <c r="EVF6" s="1185"/>
      <c r="EVG6" s="1185"/>
      <c r="EVH6" s="1185"/>
      <c r="EVI6" s="1185"/>
      <c r="EVJ6" s="1185"/>
      <c r="EVK6" s="1185"/>
      <c r="EVL6" s="1185"/>
      <c r="EVM6" s="1185"/>
      <c r="EVN6" s="1185"/>
      <c r="EVO6" s="1185"/>
      <c r="EVP6" s="1185"/>
      <c r="EVQ6" s="1185"/>
      <c r="EVR6" s="1185"/>
      <c r="EVS6" s="1185"/>
      <c r="EVT6" s="1185"/>
      <c r="EVU6" s="1185"/>
      <c r="EVV6" s="1185"/>
      <c r="EVW6" s="1185"/>
      <c r="EVX6" s="1185"/>
      <c r="EVY6" s="1185"/>
      <c r="EVZ6" s="1185"/>
      <c r="EWA6" s="1185"/>
      <c r="EWB6" s="1185"/>
      <c r="EWC6" s="1185"/>
      <c r="EWD6" s="1185"/>
      <c r="EWE6" s="1185"/>
      <c r="EWF6" s="1185"/>
      <c r="EWG6" s="1185"/>
      <c r="EWH6" s="1185"/>
      <c r="EWI6" s="1185"/>
      <c r="EWJ6" s="1185"/>
      <c r="EWK6" s="1185"/>
      <c r="EWL6" s="1185"/>
      <c r="EWM6" s="1185"/>
      <c r="EWN6" s="1185"/>
      <c r="EWO6" s="1185"/>
      <c r="EWP6" s="1185"/>
      <c r="EWQ6" s="1185"/>
      <c r="EWR6" s="1185"/>
      <c r="EWS6" s="1185"/>
      <c r="EWT6" s="1185"/>
      <c r="EWU6" s="1185"/>
      <c r="EWV6" s="1185"/>
      <c r="EWW6" s="1185"/>
      <c r="EWX6" s="1185"/>
      <c r="EWY6" s="1185"/>
      <c r="EWZ6" s="1185"/>
      <c r="EXA6" s="1185"/>
      <c r="EXB6" s="1185"/>
      <c r="EXC6" s="1185"/>
      <c r="EXD6" s="1185"/>
      <c r="EXE6" s="1185"/>
      <c r="EXF6" s="1185"/>
      <c r="EXG6" s="1185"/>
      <c r="EXH6" s="1185"/>
      <c r="EXI6" s="1185"/>
      <c r="EXJ6" s="1185"/>
      <c r="EXK6" s="1185"/>
      <c r="EXL6" s="1185"/>
      <c r="EXM6" s="1185"/>
      <c r="EXN6" s="1185"/>
      <c r="EXO6" s="1185"/>
      <c r="EXP6" s="1185"/>
      <c r="EXQ6" s="1185"/>
      <c r="EXR6" s="1185"/>
      <c r="EXS6" s="1185"/>
      <c r="EXT6" s="1185"/>
      <c r="EXU6" s="1185"/>
      <c r="EXV6" s="1185"/>
      <c r="EXW6" s="1185"/>
      <c r="EXX6" s="1185"/>
      <c r="EXY6" s="1185"/>
      <c r="EXZ6" s="1185"/>
      <c r="EYA6" s="1185"/>
      <c r="EYB6" s="1185"/>
      <c r="EYC6" s="1185"/>
      <c r="EYD6" s="1185"/>
      <c r="EYE6" s="1185"/>
      <c r="EYF6" s="1185"/>
      <c r="EYG6" s="1185"/>
      <c r="EYH6" s="1185"/>
      <c r="EYI6" s="1185"/>
      <c r="EYJ6" s="1185"/>
      <c r="EYK6" s="1185"/>
      <c r="EYL6" s="1185"/>
      <c r="EYM6" s="1185"/>
      <c r="EYN6" s="1185"/>
      <c r="EYO6" s="1185"/>
      <c r="EYP6" s="1185"/>
      <c r="EYQ6" s="1185"/>
      <c r="EYR6" s="1185"/>
      <c r="EYS6" s="1185"/>
      <c r="EYT6" s="1185"/>
      <c r="EYU6" s="1185"/>
      <c r="EYV6" s="1185"/>
      <c r="EYW6" s="1185"/>
      <c r="EYX6" s="1185"/>
      <c r="EYY6" s="1185"/>
      <c r="EYZ6" s="1185"/>
      <c r="EZA6" s="1185"/>
      <c r="EZB6" s="1185"/>
      <c r="EZC6" s="1185"/>
      <c r="EZD6" s="1185"/>
      <c r="EZE6" s="1185"/>
      <c r="EZF6" s="1185"/>
      <c r="EZG6" s="1185"/>
      <c r="EZH6" s="1185"/>
      <c r="EZI6" s="1185"/>
      <c r="EZJ6" s="1185"/>
      <c r="EZK6" s="1185"/>
      <c r="EZL6" s="1185"/>
      <c r="EZM6" s="1185"/>
      <c r="EZN6" s="1185"/>
      <c r="EZO6" s="1185"/>
      <c r="EZP6" s="1185"/>
      <c r="EZQ6" s="1185"/>
      <c r="EZR6" s="1185"/>
      <c r="EZS6" s="1185"/>
      <c r="EZT6" s="1185"/>
      <c r="EZU6" s="1185"/>
      <c r="EZV6" s="1185"/>
      <c r="EZW6" s="1185"/>
      <c r="EZX6" s="1185"/>
      <c r="EZY6" s="1185"/>
      <c r="EZZ6" s="1185"/>
      <c r="FAA6" s="1185"/>
      <c r="FAB6" s="1185"/>
      <c r="FAC6" s="1185"/>
      <c r="FAD6" s="1185"/>
      <c r="FAE6" s="1185"/>
      <c r="FAF6" s="1185"/>
      <c r="FAG6" s="1185"/>
      <c r="FAH6" s="1185"/>
      <c r="FAI6" s="1185"/>
      <c r="FAJ6" s="1185"/>
      <c r="FAK6" s="1185"/>
      <c r="FAL6" s="1185"/>
      <c r="FAM6" s="1185"/>
      <c r="FAN6" s="1185"/>
      <c r="FAO6" s="1185"/>
      <c r="FAP6" s="1185"/>
      <c r="FAQ6" s="1185"/>
      <c r="FAR6" s="1185"/>
      <c r="FAS6" s="1185"/>
      <c r="FAT6" s="1185"/>
      <c r="FAU6" s="1185"/>
      <c r="FAV6" s="1185"/>
      <c r="FAW6" s="1185"/>
      <c r="FAX6" s="1185"/>
      <c r="FAY6" s="1185"/>
      <c r="FAZ6" s="1185"/>
      <c r="FBA6" s="1185"/>
      <c r="FBB6" s="1185"/>
      <c r="FBC6" s="1185"/>
      <c r="FBD6" s="1185"/>
      <c r="FBE6" s="1185"/>
      <c r="FBF6" s="1185"/>
      <c r="FBG6" s="1185"/>
      <c r="FBH6" s="1185"/>
      <c r="FBI6" s="1185"/>
      <c r="FBJ6" s="1185"/>
      <c r="FBK6" s="1185"/>
      <c r="FBL6" s="1185"/>
      <c r="FBM6" s="1185"/>
      <c r="FBN6" s="1185"/>
      <c r="FBO6" s="1185"/>
      <c r="FBP6" s="1185"/>
      <c r="FBQ6" s="1185"/>
      <c r="FBR6" s="1185"/>
      <c r="FBS6" s="1185"/>
      <c r="FBT6" s="1185"/>
      <c r="FBU6" s="1185"/>
      <c r="FBV6" s="1185"/>
      <c r="FBW6" s="1185"/>
      <c r="FBX6" s="1185"/>
      <c r="FBY6" s="1185"/>
      <c r="FBZ6" s="1185"/>
      <c r="FCA6" s="1185"/>
      <c r="FCB6" s="1185"/>
      <c r="FCC6" s="1185"/>
      <c r="FCD6" s="1185"/>
      <c r="FCE6" s="1185"/>
      <c r="FCF6" s="1185"/>
      <c r="FCG6" s="1185"/>
      <c r="FCH6" s="1185"/>
      <c r="FCI6" s="1185"/>
      <c r="FCJ6" s="1185"/>
      <c r="FCK6" s="1185"/>
      <c r="FCL6" s="1185"/>
      <c r="FCM6" s="1185"/>
      <c r="FCN6" s="1185"/>
      <c r="FCO6" s="1185"/>
      <c r="FCP6" s="1185"/>
      <c r="FCQ6" s="1185"/>
      <c r="FCR6" s="1185"/>
      <c r="FCS6" s="1185"/>
      <c r="FCT6" s="1185"/>
      <c r="FCU6" s="1185"/>
      <c r="FCV6" s="1185"/>
      <c r="FCW6" s="1185"/>
      <c r="FCX6" s="1185"/>
      <c r="FCY6" s="1185"/>
      <c r="FCZ6" s="1185"/>
      <c r="FDA6" s="1185"/>
      <c r="FDB6" s="1185"/>
      <c r="FDC6" s="1185"/>
      <c r="FDD6" s="1185"/>
      <c r="FDE6" s="1185"/>
      <c r="FDF6" s="1185"/>
      <c r="FDG6" s="1185"/>
      <c r="FDH6" s="1185"/>
      <c r="FDI6" s="1185"/>
      <c r="FDJ6" s="1185"/>
      <c r="FDK6" s="1185"/>
      <c r="FDL6" s="1185"/>
      <c r="FDM6" s="1185"/>
      <c r="FDN6" s="1185"/>
      <c r="FDO6" s="1185"/>
      <c r="FDP6" s="1185"/>
      <c r="FDQ6" s="1185"/>
      <c r="FDR6" s="1185"/>
      <c r="FDS6" s="1185"/>
      <c r="FDT6" s="1185"/>
      <c r="FDU6" s="1185"/>
      <c r="FDV6" s="1185"/>
      <c r="FDW6" s="1185"/>
      <c r="FDX6" s="1185"/>
      <c r="FDY6" s="1185"/>
      <c r="FDZ6" s="1185"/>
      <c r="FEA6" s="1185"/>
      <c r="FEB6" s="1185"/>
      <c r="FEC6" s="1185"/>
      <c r="FED6" s="1185"/>
      <c r="FEE6" s="1185"/>
      <c r="FEF6" s="1185"/>
      <c r="FEG6" s="1185"/>
      <c r="FEH6" s="1185"/>
      <c r="FEI6" s="1185"/>
      <c r="FEJ6" s="1185"/>
      <c r="FEK6" s="1185"/>
      <c r="FEL6" s="1185"/>
      <c r="FEM6" s="1185"/>
      <c r="FEN6" s="1185"/>
      <c r="FEO6" s="1185"/>
      <c r="FEP6" s="1185"/>
      <c r="FEQ6" s="1185"/>
      <c r="FER6" s="1185"/>
      <c r="FES6" s="1185"/>
      <c r="FET6" s="1185"/>
      <c r="FEU6" s="1185"/>
      <c r="FEV6" s="1185"/>
      <c r="FEW6" s="1185"/>
      <c r="FEX6" s="1185"/>
      <c r="FEY6" s="1185"/>
      <c r="FEZ6" s="1185"/>
      <c r="FFA6" s="1185"/>
      <c r="FFB6" s="1185"/>
      <c r="FFC6" s="1185"/>
      <c r="FFD6" s="1185"/>
      <c r="FFE6" s="1185"/>
      <c r="FFF6" s="1185"/>
      <c r="FFG6" s="1185"/>
      <c r="FFH6" s="1185"/>
      <c r="FFI6" s="1185"/>
      <c r="FFJ6" s="1185"/>
      <c r="FFK6" s="1185"/>
      <c r="FFL6" s="1185"/>
      <c r="FFM6" s="1185"/>
      <c r="FFN6" s="1185"/>
      <c r="FFO6" s="1185"/>
      <c r="FFP6" s="1185"/>
      <c r="FFQ6" s="1185"/>
      <c r="FFR6" s="1185"/>
      <c r="FFS6" s="1185"/>
      <c r="FFT6" s="1185"/>
      <c r="FFU6" s="1185"/>
      <c r="FFV6" s="1185"/>
      <c r="FFW6" s="1185"/>
      <c r="FFX6" s="1185"/>
      <c r="FFY6" s="1185"/>
      <c r="FFZ6" s="1185"/>
      <c r="FGA6" s="1185"/>
      <c r="FGB6" s="1185"/>
      <c r="FGC6" s="1185"/>
      <c r="FGD6" s="1185"/>
      <c r="FGE6" s="1185"/>
      <c r="FGF6" s="1185"/>
      <c r="FGG6" s="1185"/>
      <c r="FGH6" s="1185"/>
      <c r="FGI6" s="1185"/>
      <c r="FGJ6" s="1185"/>
      <c r="FGK6" s="1185"/>
      <c r="FGL6" s="1185"/>
      <c r="FGM6" s="1185"/>
      <c r="FGN6" s="1185"/>
      <c r="FGO6" s="1185"/>
      <c r="FGP6" s="1185"/>
      <c r="FGQ6" s="1185"/>
      <c r="FGR6" s="1185"/>
      <c r="FGS6" s="1185"/>
      <c r="FGT6" s="1185"/>
      <c r="FGU6" s="1185"/>
      <c r="FGV6" s="1185"/>
      <c r="FGW6" s="1185"/>
      <c r="FGX6" s="1185"/>
      <c r="FGY6" s="1185"/>
      <c r="FGZ6" s="1185"/>
      <c r="FHA6" s="1185"/>
      <c r="FHB6" s="1185"/>
      <c r="FHC6" s="1185"/>
      <c r="FHD6" s="1185"/>
      <c r="FHE6" s="1185"/>
      <c r="FHF6" s="1185"/>
      <c r="FHG6" s="1185"/>
      <c r="FHH6" s="1185"/>
      <c r="FHI6" s="1185"/>
      <c r="FHJ6" s="1185"/>
      <c r="FHK6" s="1185"/>
      <c r="FHL6" s="1185"/>
      <c r="FHM6" s="1185"/>
      <c r="FHN6" s="1185"/>
      <c r="FHO6" s="1185"/>
      <c r="FHP6" s="1185"/>
      <c r="FHQ6" s="1185"/>
      <c r="FHR6" s="1185"/>
      <c r="FHS6" s="1185"/>
      <c r="FHT6" s="1185"/>
      <c r="FHU6" s="1185"/>
      <c r="FHV6" s="1185"/>
      <c r="FHW6" s="1185"/>
      <c r="FHX6" s="1185"/>
      <c r="FHY6" s="1185"/>
      <c r="FHZ6" s="1185"/>
      <c r="FIA6" s="1185"/>
      <c r="FIB6" s="1185"/>
      <c r="FIC6" s="1185"/>
      <c r="FID6" s="1185"/>
      <c r="FIE6" s="1185"/>
      <c r="FIF6" s="1185"/>
      <c r="FIG6" s="1185"/>
      <c r="FIH6" s="1185"/>
      <c r="FII6" s="1185"/>
      <c r="FIJ6" s="1185"/>
      <c r="FIK6" s="1185"/>
      <c r="FIL6" s="1185"/>
      <c r="FIM6" s="1185"/>
      <c r="FIN6" s="1185"/>
      <c r="FIO6" s="1185"/>
      <c r="FIP6" s="1185"/>
      <c r="FIQ6" s="1185"/>
      <c r="FIR6" s="1185"/>
      <c r="FIS6" s="1185"/>
      <c r="FIT6" s="1185"/>
      <c r="FIU6" s="1185"/>
      <c r="FIV6" s="1185"/>
      <c r="FIW6" s="1185"/>
      <c r="FIX6" s="1185"/>
      <c r="FIY6" s="1185"/>
      <c r="FIZ6" s="1185"/>
      <c r="FJA6" s="1185"/>
      <c r="FJB6" s="1185"/>
      <c r="FJC6" s="1185"/>
      <c r="FJD6" s="1185"/>
      <c r="FJE6" s="1185"/>
      <c r="FJF6" s="1185"/>
      <c r="FJG6" s="1185"/>
      <c r="FJH6" s="1185"/>
      <c r="FJI6" s="1185"/>
      <c r="FJJ6" s="1185"/>
      <c r="FJK6" s="1185"/>
      <c r="FJL6" s="1185"/>
      <c r="FJM6" s="1185"/>
      <c r="FJN6" s="1185"/>
      <c r="FJO6" s="1185"/>
      <c r="FJP6" s="1185"/>
      <c r="FJQ6" s="1185"/>
      <c r="FJR6" s="1185"/>
      <c r="FJS6" s="1185"/>
      <c r="FJT6" s="1185"/>
      <c r="FJU6" s="1185"/>
      <c r="FJV6" s="1185"/>
      <c r="FJW6" s="1185"/>
      <c r="FJX6" s="1185"/>
      <c r="FJY6" s="1185"/>
      <c r="FJZ6" s="1185"/>
      <c r="FKA6" s="1185"/>
      <c r="FKB6" s="1185"/>
      <c r="FKC6" s="1185"/>
      <c r="FKD6" s="1185"/>
      <c r="FKE6" s="1185"/>
      <c r="FKF6" s="1185"/>
      <c r="FKG6" s="1185"/>
      <c r="FKH6" s="1185"/>
      <c r="FKI6" s="1185"/>
      <c r="FKJ6" s="1185"/>
      <c r="FKK6" s="1185"/>
      <c r="FKL6" s="1185"/>
      <c r="FKM6" s="1185"/>
      <c r="FKN6" s="1185"/>
      <c r="FKO6" s="1185"/>
      <c r="FKP6" s="1185"/>
      <c r="FKQ6" s="1185"/>
      <c r="FKR6" s="1185"/>
      <c r="FKS6" s="1185"/>
      <c r="FKT6" s="1185"/>
      <c r="FKU6" s="1185"/>
      <c r="FKV6" s="1185"/>
      <c r="FKW6" s="1185"/>
      <c r="FKX6" s="1185"/>
      <c r="FKY6" s="1185"/>
      <c r="FKZ6" s="1185"/>
      <c r="FLA6" s="1185"/>
      <c r="FLB6" s="1185"/>
      <c r="FLC6" s="1185"/>
      <c r="FLD6" s="1185"/>
      <c r="FLE6" s="1185"/>
      <c r="FLF6" s="1185"/>
      <c r="FLG6" s="1185"/>
      <c r="FLH6" s="1185"/>
      <c r="FLI6" s="1185"/>
      <c r="FLJ6" s="1185"/>
      <c r="FLK6" s="1185"/>
      <c r="FLL6" s="1185"/>
      <c r="FLM6" s="1185"/>
      <c r="FLN6" s="1185"/>
      <c r="FLO6" s="1185"/>
      <c r="FLP6" s="1185"/>
      <c r="FLQ6" s="1185"/>
      <c r="FLR6" s="1185"/>
      <c r="FLS6" s="1185"/>
      <c r="FLT6" s="1185"/>
      <c r="FLU6" s="1185"/>
      <c r="FLV6" s="1185"/>
      <c r="FLW6" s="1185"/>
      <c r="FLX6" s="1185"/>
      <c r="FLY6" s="1185"/>
      <c r="FLZ6" s="1185"/>
      <c r="FMA6" s="1185"/>
      <c r="FMB6" s="1185"/>
      <c r="FMC6" s="1185"/>
      <c r="FMD6" s="1185"/>
      <c r="FME6" s="1185"/>
      <c r="FMF6" s="1185"/>
      <c r="FMG6" s="1185"/>
      <c r="FMH6" s="1185"/>
      <c r="FMI6" s="1185"/>
      <c r="FMJ6" s="1185"/>
      <c r="FMK6" s="1185"/>
      <c r="FML6" s="1185"/>
      <c r="FMM6" s="1185"/>
      <c r="FMN6" s="1185"/>
      <c r="FMO6" s="1185"/>
      <c r="FMP6" s="1185"/>
      <c r="FMQ6" s="1185"/>
      <c r="FMR6" s="1185"/>
      <c r="FMS6" s="1185"/>
      <c r="FMT6" s="1185"/>
      <c r="FMU6" s="1185"/>
      <c r="FMV6" s="1185"/>
      <c r="FMW6" s="1185"/>
      <c r="FMX6" s="1185"/>
      <c r="FMY6" s="1185"/>
      <c r="FMZ6" s="1185"/>
      <c r="FNA6" s="1185"/>
      <c r="FNB6" s="1185"/>
      <c r="FNC6" s="1185"/>
      <c r="FND6" s="1185"/>
      <c r="FNE6" s="1185"/>
      <c r="FNF6" s="1185"/>
      <c r="FNG6" s="1185"/>
      <c r="FNH6" s="1185"/>
      <c r="FNI6" s="1185"/>
      <c r="FNJ6" s="1185"/>
      <c r="FNK6" s="1185"/>
      <c r="FNL6" s="1185"/>
      <c r="FNM6" s="1185"/>
      <c r="FNN6" s="1185"/>
      <c r="FNO6" s="1185"/>
      <c r="FNP6" s="1185"/>
      <c r="FNQ6" s="1185"/>
      <c r="FNR6" s="1185"/>
      <c r="FNS6" s="1185"/>
      <c r="FNT6" s="1185"/>
      <c r="FNU6" s="1185"/>
      <c r="FNV6" s="1185"/>
      <c r="FNW6" s="1185"/>
      <c r="FNX6" s="1185"/>
      <c r="FNY6" s="1185"/>
      <c r="FNZ6" s="1185"/>
      <c r="FOA6" s="1185"/>
      <c r="FOB6" s="1185"/>
      <c r="FOC6" s="1185"/>
      <c r="FOD6" s="1185"/>
      <c r="FOE6" s="1185"/>
      <c r="FOF6" s="1185"/>
      <c r="FOG6" s="1185"/>
      <c r="FOH6" s="1185"/>
      <c r="FOI6" s="1185"/>
      <c r="FOJ6" s="1185"/>
      <c r="FOK6" s="1185"/>
      <c r="FOL6" s="1185"/>
      <c r="FOM6" s="1185"/>
      <c r="FON6" s="1185"/>
      <c r="FOO6" s="1185"/>
      <c r="FOP6" s="1185"/>
      <c r="FOQ6" s="1185"/>
      <c r="FOR6" s="1185"/>
      <c r="FOS6" s="1185"/>
      <c r="FOT6" s="1185"/>
      <c r="FOU6" s="1185"/>
      <c r="FOV6" s="1185"/>
      <c r="FOW6" s="1185"/>
      <c r="FOX6" s="1185"/>
      <c r="FOY6" s="1185"/>
      <c r="FOZ6" s="1185"/>
      <c r="FPA6" s="1185"/>
      <c r="FPB6" s="1185"/>
      <c r="FPC6" s="1185"/>
      <c r="FPD6" s="1185"/>
      <c r="FPE6" s="1185"/>
      <c r="FPF6" s="1185"/>
      <c r="FPG6" s="1185"/>
      <c r="FPH6" s="1185"/>
      <c r="FPI6" s="1185"/>
      <c r="FPJ6" s="1185"/>
      <c r="FPK6" s="1185"/>
      <c r="FPL6" s="1185"/>
      <c r="FPM6" s="1185"/>
      <c r="FPN6" s="1185"/>
      <c r="FPO6" s="1185"/>
      <c r="FPP6" s="1185"/>
      <c r="FPQ6" s="1185"/>
      <c r="FPR6" s="1185"/>
      <c r="FPS6" s="1185"/>
      <c r="FPT6" s="1185"/>
      <c r="FPU6" s="1185"/>
      <c r="FPV6" s="1185"/>
      <c r="FPW6" s="1185"/>
      <c r="FPX6" s="1185"/>
      <c r="FPY6" s="1185"/>
      <c r="FPZ6" s="1185"/>
      <c r="FQA6" s="1185"/>
      <c r="FQB6" s="1185"/>
      <c r="FQC6" s="1185"/>
      <c r="FQD6" s="1185"/>
      <c r="FQE6" s="1185"/>
      <c r="FQF6" s="1185"/>
      <c r="FQG6" s="1185"/>
      <c r="FQH6" s="1185"/>
      <c r="FQI6" s="1185"/>
      <c r="FQJ6" s="1185"/>
      <c r="FQK6" s="1185"/>
      <c r="FQL6" s="1185"/>
      <c r="FQM6" s="1185"/>
      <c r="FQN6" s="1185"/>
      <c r="FQO6" s="1185"/>
      <c r="FQP6" s="1185"/>
      <c r="FQQ6" s="1185"/>
      <c r="FQR6" s="1185"/>
      <c r="FQS6" s="1185"/>
      <c r="FQT6" s="1185"/>
      <c r="FQU6" s="1185"/>
      <c r="FQV6" s="1185"/>
      <c r="FQW6" s="1185"/>
      <c r="FQX6" s="1185"/>
      <c r="FQY6" s="1185"/>
      <c r="FQZ6" s="1185"/>
      <c r="FRA6" s="1185"/>
      <c r="FRB6" s="1185"/>
      <c r="FRC6" s="1185"/>
      <c r="FRD6" s="1185"/>
      <c r="FRE6" s="1185"/>
      <c r="FRF6" s="1185"/>
      <c r="FRG6" s="1185"/>
      <c r="FRH6" s="1185"/>
      <c r="FRI6" s="1185"/>
      <c r="FRJ6" s="1185"/>
      <c r="FRK6" s="1185"/>
      <c r="FRL6" s="1185"/>
      <c r="FRM6" s="1185"/>
      <c r="FRN6" s="1185"/>
      <c r="FRO6" s="1185"/>
      <c r="FRP6" s="1185"/>
      <c r="FRQ6" s="1185"/>
      <c r="FRR6" s="1185"/>
      <c r="FRS6" s="1185"/>
      <c r="FRT6" s="1185"/>
      <c r="FRU6" s="1185"/>
      <c r="FRV6" s="1185"/>
      <c r="FRW6" s="1185"/>
      <c r="FRX6" s="1185"/>
      <c r="FRY6" s="1185"/>
      <c r="FRZ6" s="1185"/>
      <c r="FSA6" s="1185"/>
      <c r="FSB6" s="1185"/>
      <c r="FSC6" s="1185"/>
      <c r="FSD6" s="1185"/>
      <c r="FSE6" s="1185"/>
      <c r="FSF6" s="1185"/>
      <c r="FSG6" s="1185"/>
      <c r="FSH6" s="1185"/>
      <c r="FSI6" s="1185"/>
      <c r="FSJ6" s="1185"/>
      <c r="FSK6" s="1185"/>
      <c r="FSL6" s="1185"/>
      <c r="FSM6" s="1185"/>
      <c r="FSN6" s="1185"/>
      <c r="FSO6" s="1185"/>
      <c r="FSP6" s="1185"/>
      <c r="FSQ6" s="1185"/>
      <c r="FSR6" s="1185"/>
      <c r="FSS6" s="1185"/>
      <c r="FST6" s="1185"/>
      <c r="FSU6" s="1185"/>
      <c r="FSV6" s="1185"/>
      <c r="FSW6" s="1185"/>
      <c r="FSX6" s="1185"/>
      <c r="FSY6" s="1185"/>
      <c r="FSZ6" s="1185"/>
      <c r="FTA6" s="1185"/>
      <c r="FTB6" s="1185"/>
      <c r="FTC6" s="1185"/>
      <c r="FTD6" s="1185"/>
      <c r="FTE6" s="1185"/>
      <c r="FTF6" s="1185"/>
      <c r="FTG6" s="1185"/>
      <c r="FTH6" s="1185"/>
      <c r="FTI6" s="1185"/>
      <c r="FTJ6" s="1185"/>
      <c r="FTK6" s="1185"/>
      <c r="FTL6" s="1185"/>
      <c r="FTM6" s="1185"/>
      <c r="FTN6" s="1185"/>
      <c r="FTO6" s="1185"/>
      <c r="FTP6" s="1185"/>
      <c r="FTQ6" s="1185"/>
      <c r="FTR6" s="1185"/>
      <c r="FTS6" s="1185"/>
      <c r="FTT6" s="1185"/>
      <c r="FTU6" s="1185"/>
      <c r="FTV6" s="1185"/>
      <c r="FTW6" s="1185"/>
      <c r="FTX6" s="1185"/>
      <c r="FTY6" s="1185"/>
      <c r="FTZ6" s="1185"/>
      <c r="FUA6" s="1185"/>
      <c r="FUB6" s="1185"/>
      <c r="FUC6" s="1185"/>
      <c r="FUD6" s="1185"/>
      <c r="FUE6" s="1185"/>
      <c r="FUF6" s="1185"/>
      <c r="FUG6" s="1185"/>
      <c r="FUH6" s="1185"/>
      <c r="FUI6" s="1185"/>
      <c r="FUJ6" s="1185"/>
      <c r="FUK6" s="1185"/>
      <c r="FUL6" s="1185"/>
      <c r="FUM6" s="1185"/>
      <c r="FUN6" s="1185"/>
      <c r="FUO6" s="1185"/>
      <c r="FUP6" s="1185"/>
      <c r="FUQ6" s="1185"/>
      <c r="FUR6" s="1185"/>
      <c r="FUS6" s="1185"/>
      <c r="FUT6" s="1185"/>
      <c r="FUU6" s="1185"/>
      <c r="FUV6" s="1185"/>
      <c r="FUW6" s="1185"/>
      <c r="FUX6" s="1185"/>
      <c r="FUY6" s="1185"/>
      <c r="FUZ6" s="1185"/>
      <c r="FVA6" s="1185"/>
      <c r="FVB6" s="1185"/>
      <c r="FVC6" s="1185"/>
      <c r="FVD6" s="1185"/>
      <c r="FVE6" s="1185"/>
      <c r="FVF6" s="1185"/>
      <c r="FVG6" s="1185"/>
      <c r="FVH6" s="1185"/>
      <c r="FVI6" s="1185"/>
      <c r="FVJ6" s="1185"/>
      <c r="FVK6" s="1185"/>
      <c r="FVL6" s="1185"/>
      <c r="FVM6" s="1185"/>
      <c r="FVN6" s="1185"/>
      <c r="FVO6" s="1185"/>
      <c r="FVP6" s="1185"/>
      <c r="FVQ6" s="1185"/>
      <c r="FVR6" s="1185"/>
      <c r="FVS6" s="1185"/>
      <c r="FVT6" s="1185"/>
      <c r="FVU6" s="1185"/>
      <c r="FVV6" s="1185"/>
      <c r="FVW6" s="1185"/>
      <c r="FVX6" s="1185"/>
      <c r="FVY6" s="1185"/>
      <c r="FVZ6" s="1185"/>
      <c r="FWA6" s="1185"/>
      <c r="FWB6" s="1185"/>
      <c r="FWC6" s="1185"/>
      <c r="FWD6" s="1185"/>
      <c r="FWE6" s="1185"/>
      <c r="FWF6" s="1185"/>
      <c r="FWG6" s="1185"/>
      <c r="FWH6" s="1185"/>
      <c r="FWI6" s="1185"/>
      <c r="FWJ6" s="1185"/>
      <c r="FWK6" s="1185"/>
      <c r="FWL6" s="1185"/>
      <c r="FWM6" s="1185"/>
      <c r="FWN6" s="1185"/>
      <c r="FWO6" s="1185"/>
      <c r="FWP6" s="1185"/>
      <c r="FWQ6" s="1185"/>
      <c r="FWR6" s="1185"/>
      <c r="FWS6" s="1185"/>
      <c r="FWT6" s="1185"/>
      <c r="FWU6" s="1185"/>
      <c r="FWV6" s="1185"/>
      <c r="FWW6" s="1185"/>
      <c r="FWX6" s="1185"/>
      <c r="FWY6" s="1185"/>
      <c r="FWZ6" s="1185"/>
      <c r="FXA6" s="1185"/>
      <c r="FXB6" s="1185"/>
      <c r="FXC6" s="1185"/>
      <c r="FXD6" s="1185"/>
      <c r="FXE6" s="1185"/>
      <c r="FXF6" s="1185"/>
      <c r="FXG6" s="1185"/>
      <c r="FXH6" s="1185"/>
      <c r="FXI6" s="1185"/>
      <c r="FXJ6" s="1185"/>
      <c r="FXK6" s="1185"/>
      <c r="FXL6" s="1185"/>
      <c r="FXM6" s="1185"/>
      <c r="FXN6" s="1185"/>
      <c r="FXO6" s="1185"/>
      <c r="FXP6" s="1185"/>
      <c r="FXQ6" s="1185"/>
      <c r="FXR6" s="1185"/>
      <c r="FXS6" s="1185"/>
      <c r="FXT6" s="1185"/>
      <c r="FXU6" s="1185"/>
      <c r="FXV6" s="1185"/>
      <c r="FXW6" s="1185"/>
      <c r="FXX6" s="1185"/>
      <c r="FXY6" s="1185"/>
      <c r="FXZ6" s="1185"/>
      <c r="FYA6" s="1185"/>
      <c r="FYB6" s="1185"/>
      <c r="FYC6" s="1185"/>
      <c r="FYD6" s="1185"/>
      <c r="FYE6" s="1185"/>
      <c r="FYF6" s="1185"/>
      <c r="FYG6" s="1185"/>
      <c r="FYH6" s="1185"/>
      <c r="FYI6" s="1185"/>
      <c r="FYJ6" s="1185"/>
      <c r="FYK6" s="1185"/>
      <c r="FYL6" s="1185"/>
      <c r="FYM6" s="1185"/>
      <c r="FYN6" s="1185"/>
      <c r="FYO6" s="1185"/>
      <c r="FYP6" s="1185"/>
      <c r="FYQ6" s="1185"/>
      <c r="FYR6" s="1185"/>
      <c r="FYS6" s="1185"/>
      <c r="FYT6" s="1185"/>
      <c r="FYU6" s="1185"/>
      <c r="FYV6" s="1185"/>
      <c r="FYW6" s="1185"/>
      <c r="FYX6" s="1185"/>
      <c r="FYY6" s="1185"/>
      <c r="FYZ6" s="1185"/>
      <c r="FZA6" s="1185"/>
      <c r="FZB6" s="1185"/>
      <c r="FZC6" s="1185"/>
      <c r="FZD6" s="1185"/>
      <c r="FZE6" s="1185"/>
      <c r="FZF6" s="1185"/>
      <c r="FZG6" s="1185"/>
      <c r="FZH6" s="1185"/>
      <c r="FZI6" s="1185"/>
      <c r="FZJ6" s="1185"/>
      <c r="FZK6" s="1185"/>
      <c r="FZL6" s="1185"/>
      <c r="FZM6" s="1185"/>
      <c r="FZN6" s="1185"/>
      <c r="FZO6" s="1185"/>
      <c r="FZP6" s="1185"/>
      <c r="FZQ6" s="1185"/>
      <c r="FZR6" s="1185"/>
      <c r="FZS6" s="1185"/>
      <c r="FZT6" s="1185"/>
      <c r="FZU6" s="1185"/>
      <c r="FZV6" s="1185"/>
      <c r="FZW6" s="1185"/>
      <c r="FZX6" s="1185"/>
      <c r="FZY6" s="1185"/>
      <c r="FZZ6" s="1185"/>
      <c r="GAA6" s="1185"/>
      <c r="GAB6" s="1185"/>
      <c r="GAC6" s="1185"/>
      <c r="GAD6" s="1185"/>
      <c r="GAE6" s="1185"/>
      <c r="GAF6" s="1185"/>
      <c r="GAG6" s="1185"/>
      <c r="GAH6" s="1185"/>
      <c r="GAI6" s="1185"/>
      <c r="GAJ6" s="1185"/>
      <c r="GAK6" s="1185"/>
      <c r="GAL6" s="1185"/>
      <c r="GAM6" s="1185"/>
      <c r="GAN6" s="1185"/>
      <c r="GAO6" s="1185"/>
      <c r="GAP6" s="1185"/>
      <c r="GAQ6" s="1185"/>
      <c r="GAR6" s="1185"/>
      <c r="GAS6" s="1185"/>
      <c r="GAT6" s="1185"/>
      <c r="GAU6" s="1185"/>
      <c r="GAV6" s="1185"/>
      <c r="GAW6" s="1185"/>
      <c r="GAX6" s="1185"/>
      <c r="GAY6" s="1185"/>
      <c r="GAZ6" s="1185"/>
      <c r="GBA6" s="1185"/>
      <c r="GBB6" s="1185"/>
      <c r="GBC6" s="1185"/>
      <c r="GBD6" s="1185"/>
      <c r="GBE6" s="1185"/>
      <c r="GBF6" s="1185"/>
      <c r="GBG6" s="1185"/>
      <c r="GBH6" s="1185"/>
      <c r="GBI6" s="1185"/>
      <c r="GBJ6" s="1185"/>
      <c r="GBK6" s="1185"/>
      <c r="GBL6" s="1185"/>
      <c r="GBM6" s="1185"/>
      <c r="GBN6" s="1185"/>
      <c r="GBO6" s="1185"/>
      <c r="GBP6" s="1185"/>
      <c r="GBQ6" s="1185"/>
      <c r="GBR6" s="1185"/>
      <c r="GBS6" s="1185"/>
      <c r="GBT6" s="1185"/>
      <c r="GBU6" s="1185"/>
      <c r="GBV6" s="1185"/>
      <c r="GBW6" s="1185"/>
      <c r="GBX6" s="1185"/>
      <c r="GBY6" s="1185"/>
      <c r="GBZ6" s="1185"/>
      <c r="GCA6" s="1185"/>
      <c r="GCB6" s="1185"/>
      <c r="GCC6" s="1185"/>
      <c r="GCD6" s="1185"/>
      <c r="GCE6" s="1185"/>
      <c r="GCF6" s="1185"/>
      <c r="GCG6" s="1185"/>
      <c r="GCH6" s="1185"/>
      <c r="GCI6" s="1185"/>
      <c r="GCJ6" s="1185"/>
      <c r="GCK6" s="1185"/>
      <c r="GCL6" s="1185"/>
      <c r="GCM6" s="1185"/>
      <c r="GCN6" s="1185"/>
      <c r="GCO6" s="1185"/>
      <c r="GCP6" s="1185"/>
      <c r="GCQ6" s="1185"/>
      <c r="GCR6" s="1185"/>
      <c r="GCS6" s="1185"/>
      <c r="GCT6" s="1185"/>
      <c r="GCU6" s="1185"/>
      <c r="GCV6" s="1185"/>
      <c r="GCW6" s="1185"/>
      <c r="GCX6" s="1185"/>
      <c r="GCY6" s="1185"/>
      <c r="GCZ6" s="1185"/>
      <c r="GDA6" s="1185"/>
      <c r="GDB6" s="1185"/>
      <c r="GDC6" s="1185"/>
      <c r="GDD6" s="1185"/>
      <c r="GDE6" s="1185"/>
      <c r="GDF6" s="1185"/>
      <c r="GDG6" s="1185"/>
      <c r="GDH6" s="1185"/>
      <c r="GDI6" s="1185"/>
      <c r="GDJ6" s="1185"/>
      <c r="GDK6" s="1185"/>
      <c r="GDL6" s="1185"/>
      <c r="GDM6" s="1185"/>
      <c r="GDN6" s="1185"/>
      <c r="GDO6" s="1185"/>
      <c r="GDP6" s="1185"/>
      <c r="GDQ6" s="1185"/>
      <c r="GDR6" s="1185"/>
      <c r="GDS6" s="1185"/>
      <c r="GDT6" s="1185"/>
      <c r="GDU6" s="1185"/>
      <c r="GDV6" s="1185"/>
      <c r="GDW6" s="1185"/>
      <c r="GDX6" s="1185"/>
      <c r="GDY6" s="1185"/>
      <c r="GDZ6" s="1185"/>
      <c r="GEA6" s="1185"/>
      <c r="GEB6" s="1185"/>
      <c r="GEC6" s="1185"/>
      <c r="GED6" s="1185"/>
      <c r="GEE6" s="1185"/>
      <c r="GEF6" s="1185"/>
      <c r="GEG6" s="1185"/>
      <c r="GEH6" s="1185"/>
      <c r="GEI6" s="1185"/>
      <c r="GEJ6" s="1185"/>
      <c r="GEK6" s="1185"/>
      <c r="GEL6" s="1185"/>
      <c r="GEM6" s="1185"/>
      <c r="GEN6" s="1185"/>
      <c r="GEO6" s="1185"/>
      <c r="GEP6" s="1185"/>
      <c r="GEQ6" s="1185"/>
      <c r="GER6" s="1185"/>
      <c r="GES6" s="1185"/>
      <c r="GET6" s="1185"/>
      <c r="GEU6" s="1185"/>
      <c r="GEV6" s="1185"/>
      <c r="GEW6" s="1185"/>
      <c r="GEX6" s="1185"/>
      <c r="GEY6" s="1185"/>
      <c r="GEZ6" s="1185"/>
      <c r="GFA6" s="1185"/>
      <c r="GFB6" s="1185"/>
      <c r="GFC6" s="1185"/>
      <c r="GFD6" s="1185"/>
      <c r="GFE6" s="1185"/>
      <c r="GFF6" s="1185"/>
      <c r="GFG6" s="1185"/>
      <c r="GFH6" s="1185"/>
      <c r="GFI6" s="1185"/>
      <c r="GFJ6" s="1185"/>
      <c r="GFK6" s="1185"/>
      <c r="GFL6" s="1185"/>
      <c r="GFM6" s="1185"/>
      <c r="GFN6" s="1185"/>
      <c r="GFO6" s="1185"/>
      <c r="GFP6" s="1185"/>
      <c r="GFQ6" s="1185"/>
      <c r="GFR6" s="1185"/>
      <c r="GFS6" s="1185"/>
      <c r="GFT6" s="1185"/>
      <c r="GFU6" s="1185"/>
      <c r="GFV6" s="1185"/>
      <c r="GFW6" s="1185"/>
      <c r="GFX6" s="1185"/>
      <c r="GFY6" s="1185"/>
      <c r="GFZ6" s="1185"/>
      <c r="GGA6" s="1185"/>
      <c r="GGB6" s="1185"/>
      <c r="GGC6" s="1185"/>
      <c r="GGD6" s="1185"/>
      <c r="GGE6" s="1185"/>
      <c r="GGF6" s="1185"/>
      <c r="GGG6" s="1185"/>
      <c r="GGH6" s="1185"/>
      <c r="GGI6" s="1185"/>
      <c r="GGJ6" s="1185"/>
      <c r="GGK6" s="1185"/>
      <c r="GGL6" s="1185"/>
      <c r="GGM6" s="1185"/>
      <c r="GGN6" s="1185"/>
      <c r="GGO6" s="1185"/>
      <c r="GGP6" s="1185"/>
      <c r="GGQ6" s="1185"/>
      <c r="GGR6" s="1185"/>
      <c r="GGS6" s="1185"/>
      <c r="GGT6" s="1185"/>
      <c r="GGU6" s="1185"/>
      <c r="GGV6" s="1185"/>
      <c r="GGW6" s="1185"/>
      <c r="GGX6" s="1185"/>
      <c r="GGY6" s="1185"/>
      <c r="GGZ6" s="1185"/>
      <c r="GHA6" s="1185"/>
      <c r="GHB6" s="1185"/>
      <c r="GHC6" s="1185"/>
      <c r="GHD6" s="1185"/>
      <c r="GHE6" s="1185"/>
      <c r="GHF6" s="1185"/>
      <c r="GHG6" s="1185"/>
      <c r="GHH6" s="1185"/>
      <c r="GHI6" s="1185"/>
      <c r="GHJ6" s="1185"/>
      <c r="GHK6" s="1185"/>
      <c r="GHL6" s="1185"/>
      <c r="GHM6" s="1185"/>
      <c r="GHN6" s="1185"/>
      <c r="GHO6" s="1185"/>
      <c r="GHP6" s="1185"/>
      <c r="GHQ6" s="1185"/>
      <c r="GHR6" s="1185"/>
      <c r="GHS6" s="1185"/>
      <c r="GHT6" s="1185"/>
      <c r="GHU6" s="1185"/>
      <c r="GHV6" s="1185"/>
      <c r="GHW6" s="1185"/>
      <c r="GHX6" s="1185"/>
      <c r="GHY6" s="1185"/>
      <c r="GHZ6" s="1185"/>
      <c r="GIA6" s="1185"/>
      <c r="GIB6" s="1185"/>
      <c r="GIC6" s="1185"/>
      <c r="GID6" s="1185"/>
      <c r="GIE6" s="1185"/>
      <c r="GIF6" s="1185"/>
      <c r="GIG6" s="1185"/>
      <c r="GIH6" s="1185"/>
      <c r="GII6" s="1185"/>
      <c r="GIJ6" s="1185"/>
      <c r="GIK6" s="1185"/>
      <c r="GIL6" s="1185"/>
      <c r="GIM6" s="1185"/>
      <c r="GIN6" s="1185"/>
      <c r="GIO6" s="1185"/>
      <c r="GIP6" s="1185"/>
      <c r="GIQ6" s="1185"/>
      <c r="GIR6" s="1185"/>
      <c r="GIS6" s="1185"/>
      <c r="GIT6" s="1185"/>
      <c r="GIU6" s="1185"/>
      <c r="GIV6" s="1185"/>
      <c r="GIW6" s="1185"/>
      <c r="GIX6" s="1185"/>
      <c r="GIY6" s="1185"/>
      <c r="GIZ6" s="1185"/>
      <c r="GJA6" s="1185"/>
      <c r="GJB6" s="1185"/>
      <c r="GJC6" s="1185"/>
      <c r="GJD6" s="1185"/>
      <c r="GJE6" s="1185"/>
      <c r="GJF6" s="1185"/>
      <c r="GJG6" s="1185"/>
      <c r="GJH6" s="1185"/>
      <c r="GJI6" s="1185"/>
      <c r="GJJ6" s="1185"/>
      <c r="GJK6" s="1185"/>
      <c r="GJL6" s="1185"/>
      <c r="GJM6" s="1185"/>
      <c r="GJN6" s="1185"/>
      <c r="GJO6" s="1185"/>
      <c r="GJP6" s="1185"/>
      <c r="GJQ6" s="1185"/>
      <c r="GJR6" s="1185"/>
      <c r="GJS6" s="1185"/>
      <c r="GJT6" s="1185"/>
      <c r="GJU6" s="1185"/>
      <c r="GJV6" s="1185"/>
      <c r="GJW6" s="1185"/>
      <c r="GJX6" s="1185"/>
      <c r="GJY6" s="1185"/>
      <c r="GJZ6" s="1185"/>
      <c r="GKA6" s="1185"/>
      <c r="GKB6" s="1185"/>
      <c r="GKC6" s="1185"/>
      <c r="GKD6" s="1185"/>
      <c r="GKE6" s="1185"/>
      <c r="GKF6" s="1185"/>
      <c r="GKG6" s="1185"/>
      <c r="GKH6" s="1185"/>
      <c r="GKI6" s="1185"/>
      <c r="GKJ6" s="1185"/>
      <c r="GKK6" s="1185"/>
      <c r="GKL6" s="1185"/>
      <c r="GKM6" s="1185"/>
      <c r="GKN6" s="1185"/>
      <c r="GKO6" s="1185"/>
      <c r="GKP6" s="1185"/>
      <c r="GKQ6" s="1185"/>
      <c r="GKR6" s="1185"/>
      <c r="GKS6" s="1185"/>
      <c r="GKT6" s="1185"/>
      <c r="GKU6" s="1185"/>
      <c r="GKV6" s="1185"/>
      <c r="GKW6" s="1185"/>
      <c r="GKX6" s="1185"/>
      <c r="GKY6" s="1185"/>
      <c r="GKZ6" s="1185"/>
      <c r="GLA6" s="1185"/>
      <c r="GLB6" s="1185"/>
      <c r="GLC6" s="1185"/>
      <c r="GLD6" s="1185"/>
      <c r="GLE6" s="1185"/>
      <c r="GLF6" s="1185"/>
      <c r="GLG6" s="1185"/>
      <c r="GLH6" s="1185"/>
      <c r="GLI6" s="1185"/>
      <c r="GLJ6" s="1185"/>
      <c r="GLK6" s="1185"/>
      <c r="GLL6" s="1185"/>
      <c r="GLM6" s="1185"/>
      <c r="GLN6" s="1185"/>
      <c r="GLO6" s="1185"/>
      <c r="GLP6" s="1185"/>
      <c r="GLQ6" s="1185"/>
      <c r="GLR6" s="1185"/>
      <c r="GLS6" s="1185"/>
      <c r="GLT6" s="1185"/>
      <c r="GLU6" s="1185"/>
      <c r="GLV6" s="1185"/>
      <c r="GLW6" s="1185"/>
      <c r="GLX6" s="1185"/>
      <c r="GLY6" s="1185"/>
      <c r="GLZ6" s="1185"/>
      <c r="GMA6" s="1185"/>
      <c r="GMB6" s="1185"/>
      <c r="GMC6" s="1185"/>
      <c r="GMD6" s="1185"/>
      <c r="GME6" s="1185"/>
      <c r="GMF6" s="1185"/>
      <c r="GMG6" s="1185"/>
      <c r="GMH6" s="1185"/>
      <c r="GMI6" s="1185"/>
      <c r="GMJ6" s="1185"/>
      <c r="GMK6" s="1185"/>
      <c r="GML6" s="1185"/>
      <c r="GMM6" s="1185"/>
      <c r="GMN6" s="1185"/>
      <c r="GMO6" s="1185"/>
      <c r="GMP6" s="1185"/>
      <c r="GMQ6" s="1185"/>
      <c r="GMR6" s="1185"/>
      <c r="GMS6" s="1185"/>
      <c r="GMT6" s="1185"/>
      <c r="GMU6" s="1185"/>
      <c r="GMV6" s="1185"/>
      <c r="GMW6" s="1185"/>
      <c r="GMX6" s="1185"/>
      <c r="GMY6" s="1185"/>
      <c r="GMZ6" s="1185"/>
      <c r="GNA6" s="1185"/>
      <c r="GNB6" s="1185"/>
      <c r="GNC6" s="1185"/>
      <c r="GND6" s="1185"/>
      <c r="GNE6" s="1185"/>
      <c r="GNF6" s="1185"/>
      <c r="GNG6" s="1185"/>
      <c r="GNH6" s="1185"/>
      <c r="GNI6" s="1185"/>
      <c r="GNJ6" s="1185"/>
      <c r="GNK6" s="1185"/>
      <c r="GNL6" s="1185"/>
      <c r="GNM6" s="1185"/>
      <c r="GNN6" s="1185"/>
      <c r="GNO6" s="1185"/>
      <c r="GNP6" s="1185"/>
      <c r="GNQ6" s="1185"/>
      <c r="GNR6" s="1185"/>
      <c r="GNS6" s="1185"/>
      <c r="GNT6" s="1185"/>
      <c r="GNU6" s="1185"/>
      <c r="GNV6" s="1185"/>
      <c r="GNW6" s="1185"/>
      <c r="GNX6" s="1185"/>
      <c r="GNY6" s="1185"/>
      <c r="GNZ6" s="1185"/>
      <c r="GOA6" s="1185"/>
      <c r="GOB6" s="1185"/>
      <c r="GOC6" s="1185"/>
      <c r="GOD6" s="1185"/>
      <c r="GOE6" s="1185"/>
      <c r="GOF6" s="1185"/>
      <c r="GOG6" s="1185"/>
      <c r="GOH6" s="1185"/>
      <c r="GOI6" s="1185"/>
      <c r="GOJ6" s="1185"/>
      <c r="GOK6" s="1185"/>
      <c r="GOL6" s="1185"/>
      <c r="GOM6" s="1185"/>
      <c r="GON6" s="1185"/>
      <c r="GOO6" s="1185"/>
      <c r="GOP6" s="1185"/>
      <c r="GOQ6" s="1185"/>
      <c r="GOR6" s="1185"/>
      <c r="GOS6" s="1185"/>
      <c r="GOT6" s="1185"/>
      <c r="GOU6" s="1185"/>
      <c r="GOV6" s="1185"/>
      <c r="GOW6" s="1185"/>
      <c r="GOX6" s="1185"/>
      <c r="GOY6" s="1185"/>
      <c r="GOZ6" s="1185"/>
      <c r="GPA6" s="1185"/>
      <c r="GPB6" s="1185"/>
      <c r="GPC6" s="1185"/>
      <c r="GPD6" s="1185"/>
      <c r="GPE6" s="1185"/>
      <c r="GPF6" s="1185"/>
      <c r="GPG6" s="1185"/>
      <c r="GPH6" s="1185"/>
      <c r="GPI6" s="1185"/>
      <c r="GPJ6" s="1185"/>
      <c r="GPK6" s="1185"/>
      <c r="GPL6" s="1185"/>
      <c r="GPM6" s="1185"/>
      <c r="GPN6" s="1185"/>
      <c r="GPO6" s="1185"/>
      <c r="GPP6" s="1185"/>
      <c r="GPQ6" s="1185"/>
      <c r="GPR6" s="1185"/>
      <c r="GPS6" s="1185"/>
      <c r="GPT6" s="1185"/>
      <c r="GPU6" s="1185"/>
      <c r="GPV6" s="1185"/>
      <c r="GPW6" s="1185"/>
      <c r="GPX6" s="1185"/>
      <c r="GPY6" s="1185"/>
      <c r="GPZ6" s="1185"/>
      <c r="GQA6" s="1185"/>
      <c r="GQB6" s="1185"/>
      <c r="GQC6" s="1185"/>
      <c r="GQD6" s="1185"/>
      <c r="GQE6" s="1185"/>
      <c r="GQF6" s="1185"/>
      <c r="GQG6" s="1185"/>
      <c r="GQH6" s="1185"/>
      <c r="GQI6" s="1185"/>
      <c r="GQJ6" s="1185"/>
      <c r="GQK6" s="1185"/>
      <c r="GQL6" s="1185"/>
      <c r="GQM6" s="1185"/>
      <c r="GQN6" s="1185"/>
      <c r="GQO6" s="1185"/>
      <c r="GQP6" s="1185"/>
      <c r="GQQ6" s="1185"/>
      <c r="GQR6" s="1185"/>
      <c r="GQS6" s="1185"/>
      <c r="GQT6" s="1185"/>
      <c r="GQU6" s="1185"/>
      <c r="GQV6" s="1185"/>
      <c r="GQW6" s="1185"/>
      <c r="GQX6" s="1185"/>
      <c r="GQY6" s="1185"/>
      <c r="GQZ6" s="1185"/>
      <c r="GRA6" s="1185"/>
      <c r="GRB6" s="1185"/>
      <c r="GRC6" s="1185"/>
      <c r="GRD6" s="1185"/>
      <c r="GRE6" s="1185"/>
      <c r="GRF6" s="1185"/>
      <c r="GRG6" s="1185"/>
      <c r="GRH6" s="1185"/>
      <c r="GRI6" s="1185"/>
      <c r="GRJ6" s="1185"/>
      <c r="GRK6" s="1185"/>
      <c r="GRL6" s="1185"/>
      <c r="GRM6" s="1185"/>
      <c r="GRN6" s="1185"/>
      <c r="GRO6" s="1185"/>
      <c r="GRP6" s="1185"/>
      <c r="GRQ6" s="1185"/>
      <c r="GRR6" s="1185"/>
      <c r="GRS6" s="1185"/>
      <c r="GRT6" s="1185"/>
      <c r="GRU6" s="1185"/>
      <c r="GRV6" s="1185"/>
      <c r="GRW6" s="1185"/>
      <c r="GRX6" s="1185"/>
      <c r="GRY6" s="1185"/>
      <c r="GRZ6" s="1185"/>
      <c r="GSA6" s="1185"/>
      <c r="GSB6" s="1185"/>
      <c r="GSC6" s="1185"/>
      <c r="GSD6" s="1185"/>
      <c r="GSE6" s="1185"/>
      <c r="GSF6" s="1185"/>
      <c r="GSG6" s="1185"/>
      <c r="GSH6" s="1185"/>
      <c r="GSI6" s="1185"/>
      <c r="GSJ6" s="1185"/>
      <c r="GSK6" s="1185"/>
      <c r="GSL6" s="1185"/>
      <c r="GSM6" s="1185"/>
      <c r="GSN6" s="1185"/>
      <c r="GSO6" s="1185"/>
      <c r="GSP6" s="1185"/>
      <c r="GSQ6" s="1185"/>
      <c r="GSR6" s="1185"/>
      <c r="GSS6" s="1185"/>
      <c r="GST6" s="1185"/>
      <c r="GSU6" s="1185"/>
      <c r="GSV6" s="1185"/>
      <c r="GSW6" s="1185"/>
      <c r="GSX6" s="1185"/>
      <c r="GSY6" s="1185"/>
      <c r="GSZ6" s="1185"/>
      <c r="GTA6" s="1185"/>
      <c r="GTB6" s="1185"/>
      <c r="GTC6" s="1185"/>
      <c r="GTD6" s="1185"/>
      <c r="GTE6" s="1185"/>
      <c r="GTF6" s="1185"/>
      <c r="GTG6" s="1185"/>
      <c r="GTH6" s="1185"/>
      <c r="GTI6" s="1185"/>
      <c r="GTJ6" s="1185"/>
      <c r="GTK6" s="1185"/>
      <c r="GTL6" s="1185"/>
      <c r="GTM6" s="1185"/>
      <c r="GTN6" s="1185"/>
      <c r="GTO6" s="1185"/>
      <c r="GTP6" s="1185"/>
      <c r="GTQ6" s="1185"/>
      <c r="GTR6" s="1185"/>
      <c r="GTS6" s="1185"/>
      <c r="GTT6" s="1185"/>
      <c r="GTU6" s="1185"/>
      <c r="GTV6" s="1185"/>
      <c r="GTW6" s="1185"/>
      <c r="GTX6" s="1185"/>
      <c r="GTY6" s="1185"/>
      <c r="GTZ6" s="1185"/>
      <c r="GUA6" s="1185"/>
      <c r="GUB6" s="1185"/>
      <c r="GUC6" s="1185"/>
      <c r="GUD6" s="1185"/>
      <c r="GUE6" s="1185"/>
      <c r="GUF6" s="1185"/>
      <c r="GUG6" s="1185"/>
      <c r="GUH6" s="1185"/>
      <c r="GUI6" s="1185"/>
      <c r="GUJ6" s="1185"/>
      <c r="GUK6" s="1185"/>
      <c r="GUL6" s="1185"/>
      <c r="GUM6" s="1185"/>
      <c r="GUN6" s="1185"/>
      <c r="GUO6" s="1185"/>
      <c r="GUP6" s="1185"/>
      <c r="GUQ6" s="1185"/>
      <c r="GUR6" s="1185"/>
      <c r="GUS6" s="1185"/>
      <c r="GUT6" s="1185"/>
      <c r="GUU6" s="1185"/>
      <c r="GUV6" s="1185"/>
      <c r="GUW6" s="1185"/>
      <c r="GUX6" s="1185"/>
      <c r="GUY6" s="1185"/>
      <c r="GUZ6" s="1185"/>
      <c r="GVA6" s="1185"/>
      <c r="GVB6" s="1185"/>
      <c r="GVC6" s="1185"/>
      <c r="GVD6" s="1185"/>
      <c r="GVE6" s="1185"/>
      <c r="GVF6" s="1185"/>
      <c r="GVG6" s="1185"/>
      <c r="GVH6" s="1185"/>
      <c r="GVI6" s="1185"/>
      <c r="GVJ6" s="1185"/>
      <c r="GVK6" s="1185"/>
      <c r="GVL6" s="1185"/>
      <c r="GVM6" s="1185"/>
      <c r="GVN6" s="1185"/>
      <c r="GVO6" s="1185"/>
      <c r="GVP6" s="1185"/>
      <c r="GVQ6" s="1185"/>
      <c r="GVR6" s="1185"/>
      <c r="GVS6" s="1185"/>
      <c r="GVT6" s="1185"/>
      <c r="GVU6" s="1185"/>
      <c r="GVV6" s="1185"/>
      <c r="GVW6" s="1185"/>
      <c r="GVX6" s="1185"/>
      <c r="GVY6" s="1185"/>
      <c r="GVZ6" s="1185"/>
      <c r="GWA6" s="1185"/>
      <c r="GWB6" s="1185"/>
      <c r="GWC6" s="1185"/>
      <c r="GWD6" s="1185"/>
      <c r="GWE6" s="1185"/>
      <c r="GWF6" s="1185"/>
      <c r="GWG6" s="1185"/>
      <c r="GWH6" s="1185"/>
      <c r="GWI6" s="1185"/>
      <c r="GWJ6" s="1185"/>
      <c r="GWK6" s="1185"/>
      <c r="GWL6" s="1185"/>
      <c r="GWM6" s="1185"/>
      <c r="GWN6" s="1185"/>
      <c r="GWO6" s="1185"/>
      <c r="GWP6" s="1185"/>
      <c r="GWQ6" s="1185"/>
      <c r="GWR6" s="1185"/>
      <c r="GWS6" s="1185"/>
      <c r="GWT6" s="1185"/>
      <c r="GWU6" s="1185"/>
      <c r="GWV6" s="1185"/>
      <c r="GWW6" s="1185"/>
      <c r="GWX6" s="1185"/>
      <c r="GWY6" s="1185"/>
      <c r="GWZ6" s="1185"/>
      <c r="GXA6" s="1185"/>
      <c r="GXB6" s="1185"/>
      <c r="GXC6" s="1185"/>
      <c r="GXD6" s="1185"/>
      <c r="GXE6" s="1185"/>
      <c r="GXF6" s="1185"/>
      <c r="GXG6" s="1185"/>
      <c r="GXH6" s="1185"/>
      <c r="GXI6" s="1185"/>
      <c r="GXJ6" s="1185"/>
      <c r="GXK6" s="1185"/>
      <c r="GXL6" s="1185"/>
      <c r="GXM6" s="1185"/>
      <c r="GXN6" s="1185"/>
      <c r="GXO6" s="1185"/>
      <c r="GXP6" s="1185"/>
      <c r="GXQ6" s="1185"/>
      <c r="GXR6" s="1185"/>
      <c r="GXS6" s="1185"/>
      <c r="GXT6" s="1185"/>
      <c r="GXU6" s="1185"/>
      <c r="GXV6" s="1185"/>
      <c r="GXW6" s="1185"/>
      <c r="GXX6" s="1185"/>
      <c r="GXY6" s="1185"/>
      <c r="GXZ6" s="1185"/>
      <c r="GYA6" s="1185"/>
      <c r="GYB6" s="1185"/>
      <c r="GYC6" s="1185"/>
      <c r="GYD6" s="1185"/>
      <c r="GYE6" s="1185"/>
      <c r="GYF6" s="1185"/>
      <c r="GYG6" s="1185"/>
      <c r="GYH6" s="1185"/>
      <c r="GYI6" s="1185"/>
      <c r="GYJ6" s="1185"/>
      <c r="GYK6" s="1185"/>
      <c r="GYL6" s="1185"/>
      <c r="GYM6" s="1185"/>
      <c r="GYN6" s="1185"/>
      <c r="GYO6" s="1185"/>
      <c r="GYP6" s="1185"/>
      <c r="GYQ6" s="1185"/>
      <c r="GYR6" s="1185"/>
      <c r="GYS6" s="1185"/>
      <c r="GYT6" s="1185"/>
      <c r="GYU6" s="1185"/>
      <c r="GYV6" s="1185"/>
      <c r="GYW6" s="1185"/>
      <c r="GYX6" s="1185"/>
      <c r="GYY6" s="1185"/>
      <c r="GYZ6" s="1185"/>
      <c r="GZA6" s="1185"/>
      <c r="GZB6" s="1185"/>
      <c r="GZC6" s="1185"/>
      <c r="GZD6" s="1185"/>
      <c r="GZE6" s="1185"/>
      <c r="GZF6" s="1185"/>
      <c r="GZG6" s="1185"/>
      <c r="GZH6" s="1185"/>
      <c r="GZI6" s="1185"/>
      <c r="GZJ6" s="1185"/>
      <c r="GZK6" s="1185"/>
      <c r="GZL6" s="1185"/>
      <c r="GZM6" s="1185"/>
      <c r="GZN6" s="1185"/>
      <c r="GZO6" s="1185"/>
      <c r="GZP6" s="1185"/>
      <c r="GZQ6" s="1185"/>
      <c r="GZR6" s="1185"/>
      <c r="GZS6" s="1185"/>
      <c r="GZT6" s="1185"/>
      <c r="GZU6" s="1185"/>
      <c r="GZV6" s="1185"/>
      <c r="GZW6" s="1185"/>
      <c r="GZX6" s="1185"/>
      <c r="GZY6" s="1185"/>
      <c r="GZZ6" s="1185"/>
      <c r="HAA6" s="1185"/>
      <c r="HAB6" s="1185"/>
      <c r="HAC6" s="1185"/>
      <c r="HAD6" s="1185"/>
      <c r="HAE6" s="1185"/>
      <c r="HAF6" s="1185"/>
      <c r="HAG6" s="1185"/>
      <c r="HAH6" s="1185"/>
      <c r="HAI6" s="1185"/>
      <c r="HAJ6" s="1185"/>
      <c r="HAK6" s="1185"/>
      <c r="HAL6" s="1185"/>
      <c r="HAM6" s="1185"/>
      <c r="HAN6" s="1185"/>
      <c r="HAO6" s="1185"/>
      <c r="HAP6" s="1185"/>
      <c r="HAQ6" s="1185"/>
      <c r="HAR6" s="1185"/>
      <c r="HAS6" s="1185"/>
      <c r="HAT6" s="1185"/>
      <c r="HAU6" s="1185"/>
      <c r="HAV6" s="1185"/>
      <c r="HAW6" s="1185"/>
      <c r="HAX6" s="1185"/>
      <c r="HAY6" s="1185"/>
      <c r="HAZ6" s="1185"/>
      <c r="HBA6" s="1185"/>
      <c r="HBB6" s="1185"/>
      <c r="HBC6" s="1185"/>
      <c r="HBD6" s="1185"/>
      <c r="HBE6" s="1185"/>
      <c r="HBF6" s="1185"/>
      <c r="HBG6" s="1185"/>
      <c r="HBH6" s="1185"/>
      <c r="HBI6" s="1185"/>
      <c r="HBJ6" s="1185"/>
      <c r="HBK6" s="1185"/>
      <c r="HBL6" s="1185"/>
      <c r="HBM6" s="1185"/>
      <c r="HBN6" s="1185"/>
      <c r="HBO6" s="1185"/>
      <c r="HBP6" s="1185"/>
      <c r="HBQ6" s="1185"/>
      <c r="HBR6" s="1185"/>
      <c r="HBS6" s="1185"/>
      <c r="HBT6" s="1185"/>
      <c r="HBU6" s="1185"/>
      <c r="HBV6" s="1185"/>
      <c r="HBW6" s="1185"/>
      <c r="HBX6" s="1185"/>
      <c r="HBY6" s="1185"/>
      <c r="HBZ6" s="1185"/>
      <c r="HCA6" s="1185"/>
      <c r="HCB6" s="1185"/>
      <c r="HCC6" s="1185"/>
      <c r="HCD6" s="1185"/>
      <c r="HCE6" s="1185"/>
      <c r="HCF6" s="1185"/>
      <c r="HCG6" s="1185"/>
      <c r="HCH6" s="1185"/>
      <c r="HCI6" s="1185"/>
      <c r="HCJ6" s="1185"/>
      <c r="HCK6" s="1185"/>
      <c r="HCL6" s="1185"/>
      <c r="HCM6" s="1185"/>
      <c r="HCN6" s="1185"/>
      <c r="HCO6" s="1185"/>
      <c r="HCP6" s="1185"/>
      <c r="HCQ6" s="1185"/>
      <c r="HCR6" s="1185"/>
      <c r="HCS6" s="1185"/>
      <c r="HCT6" s="1185"/>
      <c r="HCU6" s="1185"/>
      <c r="HCV6" s="1185"/>
      <c r="HCW6" s="1185"/>
      <c r="HCX6" s="1185"/>
      <c r="HCY6" s="1185"/>
      <c r="HCZ6" s="1185"/>
      <c r="HDA6" s="1185"/>
      <c r="HDB6" s="1185"/>
      <c r="HDC6" s="1185"/>
      <c r="HDD6" s="1185"/>
      <c r="HDE6" s="1185"/>
      <c r="HDF6" s="1185"/>
      <c r="HDG6" s="1185"/>
      <c r="HDH6" s="1185"/>
      <c r="HDI6" s="1185"/>
      <c r="HDJ6" s="1185"/>
      <c r="HDK6" s="1185"/>
      <c r="HDL6" s="1185"/>
      <c r="HDM6" s="1185"/>
      <c r="HDN6" s="1185"/>
      <c r="HDO6" s="1185"/>
      <c r="HDP6" s="1185"/>
      <c r="HDQ6" s="1185"/>
      <c r="HDR6" s="1185"/>
      <c r="HDS6" s="1185"/>
      <c r="HDT6" s="1185"/>
      <c r="HDU6" s="1185"/>
      <c r="HDV6" s="1185"/>
      <c r="HDW6" s="1185"/>
      <c r="HDX6" s="1185"/>
      <c r="HDY6" s="1185"/>
      <c r="HDZ6" s="1185"/>
      <c r="HEA6" s="1185"/>
      <c r="HEB6" s="1185"/>
      <c r="HEC6" s="1185"/>
      <c r="HED6" s="1185"/>
      <c r="HEE6" s="1185"/>
      <c r="HEF6" s="1185"/>
      <c r="HEG6" s="1185"/>
      <c r="HEH6" s="1185"/>
      <c r="HEI6" s="1185"/>
      <c r="HEJ6" s="1185"/>
      <c r="HEK6" s="1185"/>
      <c r="HEL6" s="1185"/>
      <c r="HEM6" s="1185"/>
      <c r="HEN6" s="1185"/>
      <c r="HEO6" s="1185"/>
      <c r="HEP6" s="1185"/>
      <c r="HEQ6" s="1185"/>
      <c r="HER6" s="1185"/>
      <c r="HES6" s="1185"/>
      <c r="HET6" s="1185"/>
      <c r="HEU6" s="1185"/>
      <c r="HEV6" s="1185"/>
      <c r="HEW6" s="1185"/>
      <c r="HEX6" s="1185"/>
      <c r="HEY6" s="1185"/>
      <c r="HEZ6" s="1185"/>
      <c r="HFA6" s="1185"/>
      <c r="HFB6" s="1185"/>
      <c r="HFC6" s="1185"/>
      <c r="HFD6" s="1185"/>
      <c r="HFE6" s="1185"/>
      <c r="HFF6" s="1185"/>
      <c r="HFG6" s="1185"/>
      <c r="HFH6" s="1185"/>
      <c r="HFI6" s="1185"/>
      <c r="HFJ6" s="1185"/>
      <c r="HFK6" s="1185"/>
      <c r="HFL6" s="1185"/>
      <c r="HFM6" s="1185"/>
      <c r="HFN6" s="1185"/>
      <c r="HFO6" s="1185"/>
      <c r="HFP6" s="1185"/>
      <c r="HFQ6" s="1185"/>
      <c r="HFR6" s="1185"/>
      <c r="HFS6" s="1185"/>
      <c r="HFT6" s="1185"/>
      <c r="HFU6" s="1185"/>
      <c r="HFV6" s="1185"/>
      <c r="HFW6" s="1185"/>
      <c r="HFX6" s="1185"/>
      <c r="HFY6" s="1185"/>
      <c r="HFZ6" s="1185"/>
      <c r="HGA6" s="1185"/>
      <c r="HGB6" s="1185"/>
      <c r="HGC6" s="1185"/>
      <c r="HGD6" s="1185"/>
      <c r="HGE6" s="1185"/>
      <c r="HGF6" s="1185"/>
      <c r="HGG6" s="1185"/>
      <c r="HGH6" s="1185"/>
      <c r="HGI6" s="1185"/>
      <c r="HGJ6" s="1185"/>
      <c r="HGK6" s="1185"/>
      <c r="HGL6" s="1185"/>
      <c r="HGM6" s="1185"/>
      <c r="HGN6" s="1185"/>
      <c r="HGO6" s="1185"/>
      <c r="HGP6" s="1185"/>
      <c r="HGQ6" s="1185"/>
      <c r="HGR6" s="1185"/>
      <c r="HGS6" s="1185"/>
      <c r="HGT6" s="1185"/>
      <c r="HGU6" s="1185"/>
      <c r="HGV6" s="1185"/>
      <c r="HGW6" s="1185"/>
      <c r="HGX6" s="1185"/>
      <c r="HGY6" s="1185"/>
      <c r="HGZ6" s="1185"/>
      <c r="HHA6" s="1185"/>
      <c r="HHB6" s="1185"/>
      <c r="HHC6" s="1185"/>
      <c r="HHD6" s="1185"/>
      <c r="HHE6" s="1185"/>
      <c r="HHF6" s="1185"/>
      <c r="HHG6" s="1185"/>
      <c r="HHH6" s="1185"/>
      <c r="HHI6" s="1185"/>
      <c r="HHJ6" s="1185"/>
      <c r="HHK6" s="1185"/>
      <c r="HHL6" s="1185"/>
      <c r="HHM6" s="1185"/>
      <c r="HHN6" s="1185"/>
      <c r="HHO6" s="1185"/>
      <c r="HHP6" s="1185"/>
      <c r="HHQ6" s="1185"/>
      <c r="HHR6" s="1185"/>
      <c r="HHS6" s="1185"/>
      <c r="HHT6" s="1185"/>
      <c r="HHU6" s="1185"/>
      <c r="HHV6" s="1185"/>
      <c r="HHW6" s="1185"/>
      <c r="HHX6" s="1185"/>
      <c r="HHY6" s="1185"/>
      <c r="HHZ6" s="1185"/>
      <c r="HIA6" s="1185"/>
      <c r="HIB6" s="1185"/>
      <c r="HIC6" s="1185"/>
      <c r="HID6" s="1185"/>
      <c r="HIE6" s="1185"/>
      <c r="HIF6" s="1185"/>
      <c r="HIG6" s="1185"/>
      <c r="HIH6" s="1185"/>
      <c r="HII6" s="1185"/>
      <c r="HIJ6" s="1185"/>
      <c r="HIK6" s="1185"/>
      <c r="HIL6" s="1185"/>
      <c r="HIM6" s="1185"/>
      <c r="HIN6" s="1185"/>
      <c r="HIO6" s="1185"/>
      <c r="HIP6" s="1185"/>
      <c r="HIQ6" s="1185"/>
      <c r="HIR6" s="1185"/>
      <c r="HIS6" s="1185"/>
      <c r="HIT6" s="1185"/>
      <c r="HIU6" s="1185"/>
      <c r="HIV6" s="1185"/>
      <c r="HIW6" s="1185"/>
      <c r="HIX6" s="1185"/>
      <c r="HIY6" s="1185"/>
      <c r="HIZ6" s="1185"/>
      <c r="HJA6" s="1185"/>
      <c r="HJB6" s="1185"/>
      <c r="HJC6" s="1185"/>
      <c r="HJD6" s="1185"/>
      <c r="HJE6" s="1185"/>
      <c r="HJF6" s="1185"/>
      <c r="HJG6" s="1185"/>
      <c r="HJH6" s="1185"/>
      <c r="HJI6" s="1185"/>
      <c r="HJJ6" s="1185"/>
      <c r="HJK6" s="1185"/>
      <c r="HJL6" s="1185"/>
      <c r="HJM6" s="1185"/>
      <c r="HJN6" s="1185"/>
      <c r="HJO6" s="1185"/>
      <c r="HJP6" s="1185"/>
      <c r="HJQ6" s="1185"/>
      <c r="HJR6" s="1185"/>
      <c r="HJS6" s="1185"/>
      <c r="HJT6" s="1185"/>
      <c r="HJU6" s="1185"/>
      <c r="HJV6" s="1185"/>
      <c r="HJW6" s="1185"/>
      <c r="HJX6" s="1185"/>
      <c r="HJY6" s="1185"/>
      <c r="HJZ6" s="1185"/>
      <c r="HKA6" s="1185"/>
      <c r="HKB6" s="1185"/>
      <c r="HKC6" s="1185"/>
      <c r="HKD6" s="1185"/>
      <c r="HKE6" s="1185"/>
      <c r="HKF6" s="1185"/>
      <c r="HKG6" s="1185"/>
      <c r="HKH6" s="1185"/>
      <c r="HKI6" s="1185"/>
      <c r="HKJ6" s="1185"/>
      <c r="HKK6" s="1185"/>
      <c r="HKL6" s="1185"/>
      <c r="HKM6" s="1185"/>
      <c r="HKN6" s="1185"/>
      <c r="HKO6" s="1185"/>
      <c r="HKP6" s="1185"/>
      <c r="HKQ6" s="1185"/>
      <c r="HKR6" s="1185"/>
      <c r="HKS6" s="1185"/>
      <c r="HKT6" s="1185"/>
      <c r="HKU6" s="1185"/>
      <c r="HKV6" s="1185"/>
      <c r="HKW6" s="1185"/>
      <c r="HKX6" s="1185"/>
      <c r="HKY6" s="1185"/>
      <c r="HKZ6" s="1185"/>
      <c r="HLA6" s="1185"/>
      <c r="HLB6" s="1185"/>
      <c r="HLC6" s="1185"/>
      <c r="HLD6" s="1185"/>
      <c r="HLE6" s="1185"/>
      <c r="HLF6" s="1185"/>
      <c r="HLG6" s="1185"/>
      <c r="HLH6" s="1185"/>
      <c r="HLI6" s="1185"/>
      <c r="HLJ6" s="1185"/>
      <c r="HLK6" s="1185"/>
      <c r="HLL6" s="1185"/>
      <c r="HLM6" s="1185"/>
      <c r="HLN6" s="1185"/>
      <c r="HLO6" s="1185"/>
      <c r="HLP6" s="1185"/>
      <c r="HLQ6" s="1185"/>
      <c r="HLR6" s="1185"/>
      <c r="HLS6" s="1185"/>
      <c r="HLT6" s="1185"/>
      <c r="HLU6" s="1185"/>
      <c r="HLV6" s="1185"/>
      <c r="HLW6" s="1185"/>
      <c r="HLX6" s="1185"/>
      <c r="HLY6" s="1185"/>
      <c r="HLZ6" s="1185"/>
      <c r="HMA6" s="1185"/>
      <c r="HMB6" s="1185"/>
      <c r="HMC6" s="1185"/>
      <c r="HMD6" s="1185"/>
      <c r="HME6" s="1185"/>
      <c r="HMF6" s="1185"/>
      <c r="HMG6" s="1185"/>
      <c r="HMH6" s="1185"/>
      <c r="HMI6" s="1185"/>
      <c r="HMJ6" s="1185"/>
      <c r="HMK6" s="1185"/>
      <c r="HML6" s="1185"/>
      <c r="HMM6" s="1185"/>
      <c r="HMN6" s="1185"/>
      <c r="HMO6" s="1185"/>
      <c r="HMP6" s="1185"/>
      <c r="HMQ6" s="1185"/>
      <c r="HMR6" s="1185"/>
      <c r="HMS6" s="1185"/>
      <c r="HMT6" s="1185"/>
      <c r="HMU6" s="1185"/>
      <c r="HMV6" s="1185"/>
      <c r="HMW6" s="1185"/>
      <c r="HMX6" s="1185"/>
      <c r="HMY6" s="1185"/>
      <c r="HMZ6" s="1185"/>
      <c r="HNA6" s="1185"/>
      <c r="HNB6" s="1185"/>
      <c r="HNC6" s="1185"/>
      <c r="HND6" s="1185"/>
      <c r="HNE6" s="1185"/>
      <c r="HNF6" s="1185"/>
      <c r="HNG6" s="1185"/>
      <c r="HNH6" s="1185"/>
      <c r="HNI6" s="1185"/>
      <c r="HNJ6" s="1185"/>
      <c r="HNK6" s="1185"/>
      <c r="HNL6" s="1185"/>
      <c r="HNM6" s="1185"/>
      <c r="HNN6" s="1185"/>
      <c r="HNO6" s="1185"/>
      <c r="HNP6" s="1185"/>
      <c r="HNQ6" s="1185"/>
      <c r="HNR6" s="1185"/>
      <c r="HNS6" s="1185"/>
      <c r="HNT6" s="1185"/>
      <c r="HNU6" s="1185"/>
      <c r="HNV6" s="1185"/>
      <c r="HNW6" s="1185"/>
      <c r="HNX6" s="1185"/>
      <c r="HNY6" s="1185"/>
      <c r="HNZ6" s="1185"/>
      <c r="HOA6" s="1185"/>
      <c r="HOB6" s="1185"/>
      <c r="HOC6" s="1185"/>
      <c r="HOD6" s="1185"/>
      <c r="HOE6" s="1185"/>
      <c r="HOF6" s="1185"/>
      <c r="HOG6" s="1185"/>
      <c r="HOH6" s="1185"/>
      <c r="HOI6" s="1185"/>
      <c r="HOJ6" s="1185"/>
      <c r="HOK6" s="1185"/>
      <c r="HOL6" s="1185"/>
      <c r="HOM6" s="1185"/>
      <c r="HON6" s="1185"/>
      <c r="HOO6" s="1185"/>
      <c r="HOP6" s="1185"/>
      <c r="HOQ6" s="1185"/>
      <c r="HOR6" s="1185"/>
      <c r="HOS6" s="1185"/>
      <c r="HOT6" s="1185"/>
      <c r="HOU6" s="1185"/>
      <c r="HOV6" s="1185"/>
      <c r="HOW6" s="1185"/>
      <c r="HOX6" s="1185"/>
      <c r="HOY6" s="1185"/>
      <c r="HOZ6" s="1185"/>
      <c r="HPA6" s="1185"/>
      <c r="HPB6" s="1185"/>
      <c r="HPC6" s="1185"/>
      <c r="HPD6" s="1185"/>
      <c r="HPE6" s="1185"/>
      <c r="HPF6" s="1185"/>
      <c r="HPG6" s="1185"/>
      <c r="HPH6" s="1185"/>
      <c r="HPI6" s="1185"/>
      <c r="HPJ6" s="1185"/>
      <c r="HPK6" s="1185"/>
      <c r="HPL6" s="1185"/>
      <c r="HPM6" s="1185"/>
      <c r="HPN6" s="1185"/>
      <c r="HPO6" s="1185"/>
      <c r="HPP6" s="1185"/>
      <c r="HPQ6" s="1185"/>
      <c r="HPR6" s="1185"/>
      <c r="HPS6" s="1185"/>
      <c r="HPT6" s="1185"/>
      <c r="HPU6" s="1185"/>
      <c r="HPV6" s="1185"/>
      <c r="HPW6" s="1185"/>
      <c r="HPX6" s="1185"/>
      <c r="HPY6" s="1185"/>
      <c r="HPZ6" s="1185"/>
      <c r="HQA6" s="1185"/>
      <c r="HQB6" s="1185"/>
      <c r="HQC6" s="1185"/>
      <c r="HQD6" s="1185"/>
      <c r="HQE6" s="1185"/>
      <c r="HQF6" s="1185"/>
      <c r="HQG6" s="1185"/>
      <c r="HQH6" s="1185"/>
      <c r="HQI6" s="1185"/>
      <c r="HQJ6" s="1185"/>
      <c r="HQK6" s="1185"/>
      <c r="HQL6" s="1185"/>
      <c r="HQM6" s="1185"/>
      <c r="HQN6" s="1185"/>
      <c r="HQO6" s="1185"/>
      <c r="HQP6" s="1185"/>
      <c r="HQQ6" s="1185"/>
      <c r="HQR6" s="1185"/>
      <c r="HQS6" s="1185"/>
      <c r="HQT6" s="1185"/>
      <c r="HQU6" s="1185"/>
      <c r="HQV6" s="1185"/>
      <c r="HQW6" s="1185"/>
      <c r="HQX6" s="1185"/>
      <c r="HQY6" s="1185"/>
      <c r="HQZ6" s="1185"/>
      <c r="HRA6" s="1185"/>
      <c r="HRB6" s="1185"/>
      <c r="HRC6" s="1185"/>
      <c r="HRD6" s="1185"/>
      <c r="HRE6" s="1185"/>
      <c r="HRF6" s="1185"/>
      <c r="HRG6" s="1185"/>
      <c r="HRH6" s="1185"/>
      <c r="HRI6" s="1185"/>
      <c r="HRJ6" s="1185"/>
      <c r="HRK6" s="1185"/>
      <c r="HRL6" s="1185"/>
      <c r="HRM6" s="1185"/>
      <c r="HRN6" s="1185"/>
      <c r="HRO6" s="1185"/>
      <c r="HRP6" s="1185"/>
      <c r="HRQ6" s="1185"/>
      <c r="HRR6" s="1185"/>
      <c r="HRS6" s="1185"/>
      <c r="HRT6" s="1185"/>
      <c r="HRU6" s="1185"/>
      <c r="HRV6" s="1185"/>
      <c r="HRW6" s="1185"/>
      <c r="HRX6" s="1185"/>
      <c r="HRY6" s="1185"/>
      <c r="HRZ6" s="1185"/>
      <c r="HSA6" s="1185"/>
      <c r="HSB6" s="1185"/>
      <c r="HSC6" s="1185"/>
      <c r="HSD6" s="1185"/>
      <c r="HSE6" s="1185"/>
      <c r="HSF6" s="1185"/>
      <c r="HSG6" s="1185"/>
      <c r="HSH6" s="1185"/>
      <c r="HSI6" s="1185"/>
      <c r="HSJ6" s="1185"/>
      <c r="HSK6" s="1185"/>
      <c r="HSL6" s="1185"/>
      <c r="HSM6" s="1185"/>
      <c r="HSN6" s="1185"/>
      <c r="HSO6" s="1185"/>
      <c r="HSP6" s="1185"/>
      <c r="HSQ6" s="1185"/>
      <c r="HSR6" s="1185"/>
      <c r="HSS6" s="1185"/>
      <c r="HST6" s="1185"/>
      <c r="HSU6" s="1185"/>
      <c r="HSV6" s="1185"/>
      <c r="HSW6" s="1185"/>
      <c r="HSX6" s="1185"/>
      <c r="HSY6" s="1185"/>
      <c r="HSZ6" s="1185"/>
      <c r="HTA6" s="1185"/>
      <c r="HTB6" s="1185"/>
      <c r="HTC6" s="1185"/>
      <c r="HTD6" s="1185"/>
      <c r="HTE6" s="1185"/>
      <c r="HTF6" s="1185"/>
      <c r="HTG6" s="1185"/>
      <c r="HTH6" s="1185"/>
      <c r="HTI6" s="1185"/>
      <c r="HTJ6" s="1185"/>
      <c r="HTK6" s="1185"/>
      <c r="HTL6" s="1185"/>
      <c r="HTM6" s="1185"/>
      <c r="HTN6" s="1185"/>
      <c r="HTO6" s="1185"/>
      <c r="HTP6" s="1185"/>
      <c r="HTQ6" s="1185"/>
      <c r="HTR6" s="1185"/>
      <c r="HTS6" s="1185"/>
      <c r="HTT6" s="1185"/>
      <c r="HTU6" s="1185"/>
      <c r="HTV6" s="1185"/>
      <c r="HTW6" s="1185"/>
      <c r="HTX6" s="1185"/>
      <c r="HTY6" s="1185"/>
      <c r="HTZ6" s="1185"/>
      <c r="HUA6" s="1185"/>
      <c r="HUB6" s="1185"/>
      <c r="HUC6" s="1185"/>
      <c r="HUD6" s="1185"/>
      <c r="HUE6" s="1185"/>
      <c r="HUF6" s="1185"/>
      <c r="HUG6" s="1185"/>
      <c r="HUH6" s="1185"/>
      <c r="HUI6" s="1185"/>
      <c r="HUJ6" s="1185"/>
      <c r="HUK6" s="1185"/>
      <c r="HUL6" s="1185"/>
      <c r="HUM6" s="1185"/>
      <c r="HUN6" s="1185"/>
      <c r="HUO6" s="1185"/>
      <c r="HUP6" s="1185"/>
      <c r="HUQ6" s="1185"/>
      <c r="HUR6" s="1185"/>
      <c r="HUS6" s="1185"/>
      <c r="HUT6" s="1185"/>
      <c r="HUU6" s="1185"/>
      <c r="HUV6" s="1185"/>
      <c r="HUW6" s="1185"/>
      <c r="HUX6" s="1185"/>
      <c r="HUY6" s="1185"/>
      <c r="HUZ6" s="1185"/>
      <c r="HVA6" s="1185"/>
      <c r="HVB6" s="1185"/>
      <c r="HVC6" s="1185"/>
      <c r="HVD6" s="1185"/>
      <c r="HVE6" s="1185"/>
      <c r="HVF6" s="1185"/>
      <c r="HVG6" s="1185"/>
      <c r="HVH6" s="1185"/>
      <c r="HVI6" s="1185"/>
      <c r="HVJ6" s="1185"/>
      <c r="HVK6" s="1185"/>
      <c r="HVL6" s="1185"/>
      <c r="HVM6" s="1185"/>
      <c r="HVN6" s="1185"/>
      <c r="HVO6" s="1185"/>
      <c r="HVP6" s="1185"/>
      <c r="HVQ6" s="1185"/>
      <c r="HVR6" s="1185"/>
      <c r="HVS6" s="1185"/>
      <c r="HVT6" s="1185"/>
      <c r="HVU6" s="1185"/>
      <c r="HVV6" s="1185"/>
      <c r="HVW6" s="1185"/>
      <c r="HVX6" s="1185"/>
      <c r="HVY6" s="1185"/>
      <c r="HVZ6" s="1185"/>
      <c r="HWA6" s="1185"/>
      <c r="HWB6" s="1185"/>
      <c r="HWC6" s="1185"/>
      <c r="HWD6" s="1185"/>
      <c r="HWE6" s="1185"/>
      <c r="HWF6" s="1185"/>
      <c r="HWG6" s="1185"/>
      <c r="HWH6" s="1185"/>
      <c r="HWI6" s="1185"/>
      <c r="HWJ6" s="1185"/>
      <c r="HWK6" s="1185"/>
      <c r="HWL6" s="1185"/>
      <c r="HWM6" s="1185"/>
      <c r="HWN6" s="1185"/>
      <c r="HWO6" s="1185"/>
      <c r="HWP6" s="1185"/>
      <c r="HWQ6" s="1185"/>
      <c r="HWR6" s="1185"/>
      <c r="HWS6" s="1185"/>
      <c r="HWT6" s="1185"/>
      <c r="HWU6" s="1185"/>
      <c r="HWV6" s="1185"/>
      <c r="HWW6" s="1185"/>
      <c r="HWX6" s="1185"/>
      <c r="HWY6" s="1185"/>
      <c r="HWZ6" s="1185"/>
      <c r="HXA6" s="1185"/>
      <c r="HXB6" s="1185"/>
      <c r="HXC6" s="1185"/>
      <c r="HXD6" s="1185"/>
      <c r="HXE6" s="1185"/>
      <c r="HXF6" s="1185"/>
      <c r="HXG6" s="1185"/>
      <c r="HXH6" s="1185"/>
      <c r="HXI6" s="1185"/>
      <c r="HXJ6" s="1185"/>
      <c r="HXK6" s="1185"/>
      <c r="HXL6" s="1185"/>
      <c r="HXM6" s="1185"/>
      <c r="HXN6" s="1185"/>
      <c r="HXO6" s="1185"/>
      <c r="HXP6" s="1185"/>
      <c r="HXQ6" s="1185"/>
      <c r="HXR6" s="1185"/>
      <c r="HXS6" s="1185"/>
      <c r="HXT6" s="1185"/>
      <c r="HXU6" s="1185"/>
      <c r="HXV6" s="1185"/>
      <c r="HXW6" s="1185"/>
      <c r="HXX6" s="1185"/>
      <c r="HXY6" s="1185"/>
      <c r="HXZ6" s="1185"/>
      <c r="HYA6" s="1185"/>
      <c r="HYB6" s="1185"/>
      <c r="HYC6" s="1185"/>
      <c r="HYD6" s="1185"/>
      <c r="HYE6" s="1185"/>
      <c r="HYF6" s="1185"/>
      <c r="HYG6" s="1185"/>
      <c r="HYH6" s="1185"/>
      <c r="HYI6" s="1185"/>
      <c r="HYJ6" s="1185"/>
      <c r="HYK6" s="1185"/>
      <c r="HYL6" s="1185"/>
      <c r="HYM6" s="1185"/>
      <c r="HYN6" s="1185"/>
      <c r="HYO6" s="1185"/>
      <c r="HYP6" s="1185"/>
      <c r="HYQ6" s="1185"/>
      <c r="HYR6" s="1185"/>
      <c r="HYS6" s="1185"/>
      <c r="HYT6" s="1185"/>
      <c r="HYU6" s="1185"/>
      <c r="HYV6" s="1185"/>
      <c r="HYW6" s="1185"/>
      <c r="HYX6" s="1185"/>
      <c r="HYY6" s="1185"/>
      <c r="HYZ6" s="1185"/>
      <c r="HZA6" s="1185"/>
      <c r="HZB6" s="1185"/>
      <c r="HZC6" s="1185"/>
      <c r="HZD6" s="1185"/>
      <c r="HZE6" s="1185"/>
      <c r="HZF6" s="1185"/>
      <c r="HZG6" s="1185"/>
      <c r="HZH6" s="1185"/>
      <c r="HZI6" s="1185"/>
      <c r="HZJ6" s="1185"/>
      <c r="HZK6" s="1185"/>
      <c r="HZL6" s="1185"/>
      <c r="HZM6" s="1185"/>
      <c r="HZN6" s="1185"/>
      <c r="HZO6" s="1185"/>
      <c r="HZP6" s="1185"/>
      <c r="HZQ6" s="1185"/>
      <c r="HZR6" s="1185"/>
      <c r="HZS6" s="1185"/>
      <c r="HZT6" s="1185"/>
      <c r="HZU6" s="1185"/>
      <c r="HZV6" s="1185"/>
      <c r="HZW6" s="1185"/>
      <c r="HZX6" s="1185"/>
      <c r="HZY6" s="1185"/>
      <c r="HZZ6" s="1185"/>
      <c r="IAA6" s="1185"/>
      <c r="IAB6" s="1185"/>
      <c r="IAC6" s="1185"/>
      <c r="IAD6" s="1185"/>
      <c r="IAE6" s="1185"/>
      <c r="IAF6" s="1185"/>
      <c r="IAG6" s="1185"/>
      <c r="IAH6" s="1185"/>
      <c r="IAI6" s="1185"/>
      <c r="IAJ6" s="1185"/>
      <c r="IAK6" s="1185"/>
      <c r="IAL6" s="1185"/>
      <c r="IAM6" s="1185"/>
      <c r="IAN6" s="1185"/>
      <c r="IAO6" s="1185"/>
      <c r="IAP6" s="1185"/>
      <c r="IAQ6" s="1185"/>
      <c r="IAR6" s="1185"/>
      <c r="IAS6" s="1185"/>
      <c r="IAT6" s="1185"/>
      <c r="IAU6" s="1185"/>
      <c r="IAV6" s="1185"/>
      <c r="IAW6" s="1185"/>
      <c r="IAX6" s="1185"/>
      <c r="IAY6" s="1185"/>
      <c r="IAZ6" s="1185"/>
      <c r="IBA6" s="1185"/>
      <c r="IBB6" s="1185"/>
      <c r="IBC6" s="1185"/>
      <c r="IBD6" s="1185"/>
      <c r="IBE6" s="1185"/>
      <c r="IBF6" s="1185"/>
      <c r="IBG6" s="1185"/>
      <c r="IBH6" s="1185"/>
      <c r="IBI6" s="1185"/>
      <c r="IBJ6" s="1185"/>
      <c r="IBK6" s="1185"/>
      <c r="IBL6" s="1185"/>
      <c r="IBM6" s="1185"/>
      <c r="IBN6" s="1185"/>
      <c r="IBO6" s="1185"/>
      <c r="IBP6" s="1185"/>
      <c r="IBQ6" s="1185"/>
      <c r="IBR6" s="1185"/>
      <c r="IBS6" s="1185"/>
      <c r="IBT6" s="1185"/>
      <c r="IBU6" s="1185"/>
      <c r="IBV6" s="1185"/>
      <c r="IBW6" s="1185"/>
      <c r="IBX6" s="1185"/>
      <c r="IBY6" s="1185"/>
      <c r="IBZ6" s="1185"/>
      <c r="ICA6" s="1185"/>
      <c r="ICB6" s="1185"/>
      <c r="ICC6" s="1185"/>
      <c r="ICD6" s="1185"/>
      <c r="ICE6" s="1185"/>
      <c r="ICF6" s="1185"/>
      <c r="ICG6" s="1185"/>
      <c r="ICH6" s="1185"/>
      <c r="ICI6" s="1185"/>
      <c r="ICJ6" s="1185"/>
      <c r="ICK6" s="1185"/>
      <c r="ICL6" s="1185"/>
      <c r="ICM6" s="1185"/>
      <c r="ICN6" s="1185"/>
      <c r="ICO6" s="1185"/>
      <c r="ICP6" s="1185"/>
      <c r="ICQ6" s="1185"/>
      <c r="ICR6" s="1185"/>
      <c r="ICS6" s="1185"/>
      <c r="ICT6" s="1185"/>
      <c r="ICU6" s="1185"/>
      <c r="ICV6" s="1185"/>
      <c r="ICW6" s="1185"/>
      <c r="ICX6" s="1185"/>
      <c r="ICY6" s="1185"/>
      <c r="ICZ6" s="1185"/>
      <c r="IDA6" s="1185"/>
      <c r="IDB6" s="1185"/>
      <c r="IDC6" s="1185"/>
      <c r="IDD6" s="1185"/>
      <c r="IDE6" s="1185"/>
      <c r="IDF6" s="1185"/>
      <c r="IDG6" s="1185"/>
      <c r="IDH6" s="1185"/>
      <c r="IDI6" s="1185"/>
      <c r="IDJ6" s="1185"/>
      <c r="IDK6" s="1185"/>
      <c r="IDL6" s="1185"/>
      <c r="IDM6" s="1185"/>
      <c r="IDN6" s="1185"/>
      <c r="IDO6" s="1185"/>
      <c r="IDP6" s="1185"/>
      <c r="IDQ6" s="1185"/>
      <c r="IDR6" s="1185"/>
      <c r="IDS6" s="1185"/>
      <c r="IDT6" s="1185"/>
      <c r="IDU6" s="1185"/>
      <c r="IDV6" s="1185"/>
      <c r="IDW6" s="1185"/>
      <c r="IDX6" s="1185"/>
      <c r="IDY6" s="1185"/>
      <c r="IDZ6" s="1185"/>
      <c r="IEA6" s="1185"/>
      <c r="IEB6" s="1185"/>
      <c r="IEC6" s="1185"/>
      <c r="IED6" s="1185"/>
      <c r="IEE6" s="1185"/>
      <c r="IEF6" s="1185"/>
      <c r="IEG6" s="1185"/>
      <c r="IEH6" s="1185"/>
      <c r="IEI6" s="1185"/>
      <c r="IEJ6" s="1185"/>
      <c r="IEK6" s="1185"/>
      <c r="IEL6" s="1185"/>
      <c r="IEM6" s="1185"/>
      <c r="IEN6" s="1185"/>
      <c r="IEO6" s="1185"/>
      <c r="IEP6" s="1185"/>
      <c r="IEQ6" s="1185"/>
      <c r="IER6" s="1185"/>
      <c r="IES6" s="1185"/>
      <c r="IET6" s="1185"/>
      <c r="IEU6" s="1185"/>
      <c r="IEV6" s="1185"/>
      <c r="IEW6" s="1185"/>
      <c r="IEX6" s="1185"/>
      <c r="IEY6" s="1185"/>
      <c r="IEZ6" s="1185"/>
      <c r="IFA6" s="1185"/>
      <c r="IFB6" s="1185"/>
      <c r="IFC6" s="1185"/>
      <c r="IFD6" s="1185"/>
      <c r="IFE6" s="1185"/>
      <c r="IFF6" s="1185"/>
      <c r="IFG6" s="1185"/>
      <c r="IFH6" s="1185"/>
      <c r="IFI6" s="1185"/>
      <c r="IFJ6" s="1185"/>
      <c r="IFK6" s="1185"/>
      <c r="IFL6" s="1185"/>
      <c r="IFM6" s="1185"/>
      <c r="IFN6" s="1185"/>
      <c r="IFO6" s="1185"/>
      <c r="IFP6" s="1185"/>
      <c r="IFQ6" s="1185"/>
      <c r="IFR6" s="1185"/>
      <c r="IFS6" s="1185"/>
      <c r="IFT6" s="1185"/>
      <c r="IFU6" s="1185"/>
      <c r="IFV6" s="1185"/>
      <c r="IFW6" s="1185"/>
      <c r="IFX6" s="1185"/>
      <c r="IFY6" s="1185"/>
      <c r="IFZ6" s="1185"/>
      <c r="IGA6" s="1185"/>
      <c r="IGB6" s="1185"/>
      <c r="IGC6" s="1185"/>
      <c r="IGD6" s="1185"/>
      <c r="IGE6" s="1185"/>
      <c r="IGF6" s="1185"/>
      <c r="IGG6" s="1185"/>
      <c r="IGH6" s="1185"/>
      <c r="IGI6" s="1185"/>
      <c r="IGJ6" s="1185"/>
      <c r="IGK6" s="1185"/>
      <c r="IGL6" s="1185"/>
      <c r="IGM6" s="1185"/>
      <c r="IGN6" s="1185"/>
      <c r="IGO6" s="1185"/>
      <c r="IGP6" s="1185"/>
      <c r="IGQ6" s="1185"/>
      <c r="IGR6" s="1185"/>
      <c r="IGS6" s="1185"/>
      <c r="IGT6" s="1185"/>
      <c r="IGU6" s="1185"/>
      <c r="IGV6" s="1185"/>
      <c r="IGW6" s="1185"/>
      <c r="IGX6" s="1185"/>
      <c r="IGY6" s="1185"/>
      <c r="IGZ6" s="1185"/>
      <c r="IHA6" s="1185"/>
      <c r="IHB6" s="1185"/>
      <c r="IHC6" s="1185"/>
      <c r="IHD6" s="1185"/>
      <c r="IHE6" s="1185"/>
      <c r="IHF6" s="1185"/>
      <c r="IHG6" s="1185"/>
      <c r="IHH6" s="1185"/>
      <c r="IHI6" s="1185"/>
      <c r="IHJ6" s="1185"/>
      <c r="IHK6" s="1185"/>
      <c r="IHL6" s="1185"/>
      <c r="IHM6" s="1185"/>
      <c r="IHN6" s="1185"/>
      <c r="IHO6" s="1185"/>
      <c r="IHP6" s="1185"/>
      <c r="IHQ6" s="1185"/>
      <c r="IHR6" s="1185"/>
      <c r="IHS6" s="1185"/>
      <c r="IHT6" s="1185"/>
      <c r="IHU6" s="1185"/>
      <c r="IHV6" s="1185"/>
      <c r="IHW6" s="1185"/>
      <c r="IHX6" s="1185"/>
      <c r="IHY6" s="1185"/>
      <c r="IHZ6" s="1185"/>
      <c r="IIA6" s="1185"/>
      <c r="IIB6" s="1185"/>
      <c r="IIC6" s="1185"/>
      <c r="IID6" s="1185"/>
      <c r="IIE6" s="1185"/>
      <c r="IIF6" s="1185"/>
      <c r="IIG6" s="1185"/>
      <c r="IIH6" s="1185"/>
      <c r="III6" s="1185"/>
      <c r="IIJ6" s="1185"/>
      <c r="IIK6" s="1185"/>
      <c r="IIL6" s="1185"/>
      <c r="IIM6" s="1185"/>
      <c r="IIN6" s="1185"/>
      <c r="IIO6" s="1185"/>
      <c r="IIP6" s="1185"/>
      <c r="IIQ6" s="1185"/>
      <c r="IIR6" s="1185"/>
      <c r="IIS6" s="1185"/>
      <c r="IIT6" s="1185"/>
      <c r="IIU6" s="1185"/>
      <c r="IIV6" s="1185"/>
      <c r="IIW6" s="1185"/>
      <c r="IIX6" s="1185"/>
      <c r="IIY6" s="1185"/>
      <c r="IIZ6" s="1185"/>
      <c r="IJA6" s="1185"/>
      <c r="IJB6" s="1185"/>
      <c r="IJC6" s="1185"/>
      <c r="IJD6" s="1185"/>
      <c r="IJE6" s="1185"/>
      <c r="IJF6" s="1185"/>
      <c r="IJG6" s="1185"/>
      <c r="IJH6" s="1185"/>
      <c r="IJI6" s="1185"/>
      <c r="IJJ6" s="1185"/>
      <c r="IJK6" s="1185"/>
      <c r="IJL6" s="1185"/>
      <c r="IJM6" s="1185"/>
      <c r="IJN6" s="1185"/>
      <c r="IJO6" s="1185"/>
      <c r="IJP6" s="1185"/>
      <c r="IJQ6" s="1185"/>
      <c r="IJR6" s="1185"/>
      <c r="IJS6" s="1185"/>
      <c r="IJT6" s="1185"/>
      <c r="IJU6" s="1185"/>
      <c r="IJV6" s="1185"/>
      <c r="IJW6" s="1185"/>
      <c r="IJX6" s="1185"/>
      <c r="IJY6" s="1185"/>
      <c r="IJZ6" s="1185"/>
      <c r="IKA6" s="1185"/>
      <c r="IKB6" s="1185"/>
      <c r="IKC6" s="1185"/>
      <c r="IKD6" s="1185"/>
      <c r="IKE6" s="1185"/>
      <c r="IKF6" s="1185"/>
      <c r="IKG6" s="1185"/>
      <c r="IKH6" s="1185"/>
      <c r="IKI6" s="1185"/>
      <c r="IKJ6" s="1185"/>
      <c r="IKK6" s="1185"/>
      <c r="IKL6" s="1185"/>
      <c r="IKM6" s="1185"/>
      <c r="IKN6" s="1185"/>
      <c r="IKO6" s="1185"/>
      <c r="IKP6" s="1185"/>
      <c r="IKQ6" s="1185"/>
      <c r="IKR6" s="1185"/>
      <c r="IKS6" s="1185"/>
      <c r="IKT6" s="1185"/>
      <c r="IKU6" s="1185"/>
      <c r="IKV6" s="1185"/>
      <c r="IKW6" s="1185"/>
      <c r="IKX6" s="1185"/>
      <c r="IKY6" s="1185"/>
      <c r="IKZ6" s="1185"/>
      <c r="ILA6" s="1185"/>
      <c r="ILB6" s="1185"/>
      <c r="ILC6" s="1185"/>
      <c r="ILD6" s="1185"/>
      <c r="ILE6" s="1185"/>
      <c r="ILF6" s="1185"/>
      <c r="ILG6" s="1185"/>
      <c r="ILH6" s="1185"/>
      <c r="ILI6" s="1185"/>
      <c r="ILJ6" s="1185"/>
      <c r="ILK6" s="1185"/>
      <c r="ILL6" s="1185"/>
      <c r="ILM6" s="1185"/>
      <c r="ILN6" s="1185"/>
      <c r="ILO6" s="1185"/>
      <c r="ILP6" s="1185"/>
      <c r="ILQ6" s="1185"/>
      <c r="ILR6" s="1185"/>
      <c r="ILS6" s="1185"/>
      <c r="ILT6" s="1185"/>
      <c r="ILU6" s="1185"/>
      <c r="ILV6" s="1185"/>
      <c r="ILW6" s="1185"/>
      <c r="ILX6" s="1185"/>
      <c r="ILY6" s="1185"/>
      <c r="ILZ6" s="1185"/>
      <c r="IMA6" s="1185"/>
      <c r="IMB6" s="1185"/>
      <c r="IMC6" s="1185"/>
      <c r="IMD6" s="1185"/>
      <c r="IME6" s="1185"/>
      <c r="IMF6" s="1185"/>
      <c r="IMG6" s="1185"/>
      <c r="IMH6" s="1185"/>
      <c r="IMI6" s="1185"/>
      <c r="IMJ6" s="1185"/>
      <c r="IMK6" s="1185"/>
      <c r="IML6" s="1185"/>
      <c r="IMM6" s="1185"/>
      <c r="IMN6" s="1185"/>
      <c r="IMO6" s="1185"/>
      <c r="IMP6" s="1185"/>
      <c r="IMQ6" s="1185"/>
      <c r="IMR6" s="1185"/>
      <c r="IMS6" s="1185"/>
      <c r="IMT6" s="1185"/>
      <c r="IMU6" s="1185"/>
      <c r="IMV6" s="1185"/>
      <c r="IMW6" s="1185"/>
      <c r="IMX6" s="1185"/>
      <c r="IMY6" s="1185"/>
      <c r="IMZ6" s="1185"/>
      <c r="INA6" s="1185"/>
      <c r="INB6" s="1185"/>
      <c r="INC6" s="1185"/>
      <c r="IND6" s="1185"/>
      <c r="INE6" s="1185"/>
      <c r="INF6" s="1185"/>
      <c r="ING6" s="1185"/>
      <c r="INH6" s="1185"/>
      <c r="INI6" s="1185"/>
      <c r="INJ6" s="1185"/>
      <c r="INK6" s="1185"/>
      <c r="INL6" s="1185"/>
      <c r="INM6" s="1185"/>
      <c r="INN6" s="1185"/>
      <c r="INO6" s="1185"/>
      <c r="INP6" s="1185"/>
      <c r="INQ6" s="1185"/>
      <c r="INR6" s="1185"/>
      <c r="INS6" s="1185"/>
      <c r="INT6" s="1185"/>
      <c r="INU6" s="1185"/>
      <c r="INV6" s="1185"/>
      <c r="INW6" s="1185"/>
      <c r="INX6" s="1185"/>
      <c r="INY6" s="1185"/>
      <c r="INZ6" s="1185"/>
      <c r="IOA6" s="1185"/>
      <c r="IOB6" s="1185"/>
      <c r="IOC6" s="1185"/>
      <c r="IOD6" s="1185"/>
      <c r="IOE6" s="1185"/>
      <c r="IOF6" s="1185"/>
      <c r="IOG6" s="1185"/>
      <c r="IOH6" s="1185"/>
      <c r="IOI6" s="1185"/>
      <c r="IOJ6" s="1185"/>
      <c r="IOK6" s="1185"/>
      <c r="IOL6" s="1185"/>
      <c r="IOM6" s="1185"/>
      <c r="ION6" s="1185"/>
      <c r="IOO6" s="1185"/>
      <c r="IOP6" s="1185"/>
      <c r="IOQ6" s="1185"/>
      <c r="IOR6" s="1185"/>
      <c r="IOS6" s="1185"/>
      <c r="IOT6" s="1185"/>
      <c r="IOU6" s="1185"/>
      <c r="IOV6" s="1185"/>
      <c r="IOW6" s="1185"/>
      <c r="IOX6" s="1185"/>
      <c r="IOY6" s="1185"/>
      <c r="IOZ6" s="1185"/>
      <c r="IPA6" s="1185"/>
      <c r="IPB6" s="1185"/>
      <c r="IPC6" s="1185"/>
      <c r="IPD6" s="1185"/>
      <c r="IPE6" s="1185"/>
      <c r="IPF6" s="1185"/>
      <c r="IPG6" s="1185"/>
      <c r="IPH6" s="1185"/>
      <c r="IPI6" s="1185"/>
      <c r="IPJ6" s="1185"/>
      <c r="IPK6" s="1185"/>
      <c r="IPL6" s="1185"/>
      <c r="IPM6" s="1185"/>
      <c r="IPN6" s="1185"/>
      <c r="IPO6" s="1185"/>
      <c r="IPP6" s="1185"/>
      <c r="IPQ6" s="1185"/>
      <c r="IPR6" s="1185"/>
      <c r="IPS6" s="1185"/>
      <c r="IPT6" s="1185"/>
      <c r="IPU6" s="1185"/>
      <c r="IPV6" s="1185"/>
      <c r="IPW6" s="1185"/>
      <c r="IPX6" s="1185"/>
      <c r="IPY6" s="1185"/>
      <c r="IPZ6" s="1185"/>
      <c r="IQA6" s="1185"/>
      <c r="IQB6" s="1185"/>
      <c r="IQC6" s="1185"/>
      <c r="IQD6" s="1185"/>
      <c r="IQE6" s="1185"/>
      <c r="IQF6" s="1185"/>
      <c r="IQG6" s="1185"/>
      <c r="IQH6" s="1185"/>
      <c r="IQI6" s="1185"/>
      <c r="IQJ6" s="1185"/>
      <c r="IQK6" s="1185"/>
      <c r="IQL6" s="1185"/>
      <c r="IQM6" s="1185"/>
      <c r="IQN6" s="1185"/>
      <c r="IQO6" s="1185"/>
      <c r="IQP6" s="1185"/>
      <c r="IQQ6" s="1185"/>
      <c r="IQR6" s="1185"/>
      <c r="IQS6" s="1185"/>
      <c r="IQT6" s="1185"/>
      <c r="IQU6" s="1185"/>
      <c r="IQV6" s="1185"/>
      <c r="IQW6" s="1185"/>
      <c r="IQX6" s="1185"/>
      <c r="IQY6" s="1185"/>
      <c r="IQZ6" s="1185"/>
      <c r="IRA6" s="1185"/>
      <c r="IRB6" s="1185"/>
      <c r="IRC6" s="1185"/>
      <c r="IRD6" s="1185"/>
      <c r="IRE6" s="1185"/>
      <c r="IRF6" s="1185"/>
      <c r="IRG6" s="1185"/>
      <c r="IRH6" s="1185"/>
      <c r="IRI6" s="1185"/>
      <c r="IRJ6" s="1185"/>
      <c r="IRK6" s="1185"/>
      <c r="IRL6" s="1185"/>
      <c r="IRM6" s="1185"/>
      <c r="IRN6" s="1185"/>
      <c r="IRO6" s="1185"/>
      <c r="IRP6" s="1185"/>
      <c r="IRQ6" s="1185"/>
      <c r="IRR6" s="1185"/>
      <c r="IRS6" s="1185"/>
      <c r="IRT6" s="1185"/>
      <c r="IRU6" s="1185"/>
      <c r="IRV6" s="1185"/>
      <c r="IRW6" s="1185"/>
      <c r="IRX6" s="1185"/>
      <c r="IRY6" s="1185"/>
      <c r="IRZ6" s="1185"/>
      <c r="ISA6" s="1185"/>
      <c r="ISB6" s="1185"/>
      <c r="ISC6" s="1185"/>
      <c r="ISD6" s="1185"/>
      <c r="ISE6" s="1185"/>
      <c r="ISF6" s="1185"/>
      <c r="ISG6" s="1185"/>
      <c r="ISH6" s="1185"/>
      <c r="ISI6" s="1185"/>
      <c r="ISJ6" s="1185"/>
      <c r="ISK6" s="1185"/>
      <c r="ISL6" s="1185"/>
      <c r="ISM6" s="1185"/>
      <c r="ISN6" s="1185"/>
      <c r="ISO6" s="1185"/>
      <c r="ISP6" s="1185"/>
      <c r="ISQ6" s="1185"/>
      <c r="ISR6" s="1185"/>
      <c r="ISS6" s="1185"/>
      <c r="IST6" s="1185"/>
      <c r="ISU6" s="1185"/>
      <c r="ISV6" s="1185"/>
      <c r="ISW6" s="1185"/>
      <c r="ISX6" s="1185"/>
      <c r="ISY6" s="1185"/>
      <c r="ISZ6" s="1185"/>
      <c r="ITA6" s="1185"/>
      <c r="ITB6" s="1185"/>
      <c r="ITC6" s="1185"/>
      <c r="ITD6" s="1185"/>
      <c r="ITE6" s="1185"/>
      <c r="ITF6" s="1185"/>
      <c r="ITG6" s="1185"/>
      <c r="ITH6" s="1185"/>
      <c r="ITI6" s="1185"/>
      <c r="ITJ6" s="1185"/>
      <c r="ITK6" s="1185"/>
      <c r="ITL6" s="1185"/>
      <c r="ITM6" s="1185"/>
      <c r="ITN6" s="1185"/>
      <c r="ITO6" s="1185"/>
      <c r="ITP6" s="1185"/>
      <c r="ITQ6" s="1185"/>
      <c r="ITR6" s="1185"/>
      <c r="ITS6" s="1185"/>
      <c r="ITT6" s="1185"/>
      <c r="ITU6" s="1185"/>
      <c r="ITV6" s="1185"/>
      <c r="ITW6" s="1185"/>
      <c r="ITX6" s="1185"/>
      <c r="ITY6" s="1185"/>
      <c r="ITZ6" s="1185"/>
      <c r="IUA6" s="1185"/>
      <c r="IUB6" s="1185"/>
      <c r="IUC6" s="1185"/>
      <c r="IUD6" s="1185"/>
      <c r="IUE6" s="1185"/>
      <c r="IUF6" s="1185"/>
      <c r="IUG6" s="1185"/>
      <c r="IUH6" s="1185"/>
      <c r="IUI6" s="1185"/>
      <c r="IUJ6" s="1185"/>
      <c r="IUK6" s="1185"/>
      <c r="IUL6" s="1185"/>
      <c r="IUM6" s="1185"/>
      <c r="IUN6" s="1185"/>
      <c r="IUO6" s="1185"/>
      <c r="IUP6" s="1185"/>
      <c r="IUQ6" s="1185"/>
      <c r="IUR6" s="1185"/>
      <c r="IUS6" s="1185"/>
      <c r="IUT6" s="1185"/>
      <c r="IUU6" s="1185"/>
      <c r="IUV6" s="1185"/>
      <c r="IUW6" s="1185"/>
      <c r="IUX6" s="1185"/>
      <c r="IUY6" s="1185"/>
      <c r="IUZ6" s="1185"/>
      <c r="IVA6" s="1185"/>
      <c r="IVB6" s="1185"/>
      <c r="IVC6" s="1185"/>
      <c r="IVD6" s="1185"/>
      <c r="IVE6" s="1185"/>
      <c r="IVF6" s="1185"/>
      <c r="IVG6" s="1185"/>
      <c r="IVH6" s="1185"/>
      <c r="IVI6" s="1185"/>
      <c r="IVJ6" s="1185"/>
      <c r="IVK6" s="1185"/>
      <c r="IVL6" s="1185"/>
      <c r="IVM6" s="1185"/>
      <c r="IVN6" s="1185"/>
      <c r="IVO6" s="1185"/>
      <c r="IVP6" s="1185"/>
      <c r="IVQ6" s="1185"/>
      <c r="IVR6" s="1185"/>
      <c r="IVS6" s="1185"/>
      <c r="IVT6" s="1185"/>
      <c r="IVU6" s="1185"/>
      <c r="IVV6" s="1185"/>
      <c r="IVW6" s="1185"/>
      <c r="IVX6" s="1185"/>
      <c r="IVY6" s="1185"/>
      <c r="IVZ6" s="1185"/>
      <c r="IWA6" s="1185"/>
      <c r="IWB6" s="1185"/>
      <c r="IWC6" s="1185"/>
      <c r="IWD6" s="1185"/>
      <c r="IWE6" s="1185"/>
      <c r="IWF6" s="1185"/>
      <c r="IWG6" s="1185"/>
      <c r="IWH6" s="1185"/>
      <c r="IWI6" s="1185"/>
      <c r="IWJ6" s="1185"/>
      <c r="IWK6" s="1185"/>
      <c r="IWL6" s="1185"/>
      <c r="IWM6" s="1185"/>
      <c r="IWN6" s="1185"/>
      <c r="IWO6" s="1185"/>
      <c r="IWP6" s="1185"/>
      <c r="IWQ6" s="1185"/>
      <c r="IWR6" s="1185"/>
      <c r="IWS6" s="1185"/>
      <c r="IWT6" s="1185"/>
      <c r="IWU6" s="1185"/>
      <c r="IWV6" s="1185"/>
      <c r="IWW6" s="1185"/>
      <c r="IWX6" s="1185"/>
      <c r="IWY6" s="1185"/>
      <c r="IWZ6" s="1185"/>
      <c r="IXA6" s="1185"/>
      <c r="IXB6" s="1185"/>
      <c r="IXC6" s="1185"/>
      <c r="IXD6" s="1185"/>
      <c r="IXE6" s="1185"/>
      <c r="IXF6" s="1185"/>
      <c r="IXG6" s="1185"/>
      <c r="IXH6" s="1185"/>
      <c r="IXI6" s="1185"/>
      <c r="IXJ6" s="1185"/>
      <c r="IXK6" s="1185"/>
      <c r="IXL6" s="1185"/>
      <c r="IXM6" s="1185"/>
      <c r="IXN6" s="1185"/>
      <c r="IXO6" s="1185"/>
      <c r="IXP6" s="1185"/>
      <c r="IXQ6" s="1185"/>
      <c r="IXR6" s="1185"/>
      <c r="IXS6" s="1185"/>
      <c r="IXT6" s="1185"/>
      <c r="IXU6" s="1185"/>
      <c r="IXV6" s="1185"/>
      <c r="IXW6" s="1185"/>
      <c r="IXX6" s="1185"/>
      <c r="IXY6" s="1185"/>
      <c r="IXZ6" s="1185"/>
      <c r="IYA6" s="1185"/>
      <c r="IYB6" s="1185"/>
      <c r="IYC6" s="1185"/>
      <c r="IYD6" s="1185"/>
      <c r="IYE6" s="1185"/>
      <c r="IYF6" s="1185"/>
      <c r="IYG6" s="1185"/>
      <c r="IYH6" s="1185"/>
      <c r="IYI6" s="1185"/>
      <c r="IYJ6" s="1185"/>
      <c r="IYK6" s="1185"/>
      <c r="IYL6" s="1185"/>
      <c r="IYM6" s="1185"/>
      <c r="IYN6" s="1185"/>
      <c r="IYO6" s="1185"/>
      <c r="IYP6" s="1185"/>
      <c r="IYQ6" s="1185"/>
      <c r="IYR6" s="1185"/>
      <c r="IYS6" s="1185"/>
      <c r="IYT6" s="1185"/>
      <c r="IYU6" s="1185"/>
      <c r="IYV6" s="1185"/>
      <c r="IYW6" s="1185"/>
      <c r="IYX6" s="1185"/>
      <c r="IYY6" s="1185"/>
      <c r="IYZ6" s="1185"/>
      <c r="IZA6" s="1185"/>
      <c r="IZB6" s="1185"/>
      <c r="IZC6" s="1185"/>
      <c r="IZD6" s="1185"/>
      <c r="IZE6" s="1185"/>
      <c r="IZF6" s="1185"/>
      <c r="IZG6" s="1185"/>
      <c r="IZH6" s="1185"/>
      <c r="IZI6" s="1185"/>
      <c r="IZJ6" s="1185"/>
      <c r="IZK6" s="1185"/>
      <c r="IZL6" s="1185"/>
      <c r="IZM6" s="1185"/>
      <c r="IZN6" s="1185"/>
      <c r="IZO6" s="1185"/>
      <c r="IZP6" s="1185"/>
      <c r="IZQ6" s="1185"/>
      <c r="IZR6" s="1185"/>
      <c r="IZS6" s="1185"/>
      <c r="IZT6" s="1185"/>
      <c r="IZU6" s="1185"/>
      <c r="IZV6" s="1185"/>
      <c r="IZW6" s="1185"/>
      <c r="IZX6" s="1185"/>
      <c r="IZY6" s="1185"/>
      <c r="IZZ6" s="1185"/>
      <c r="JAA6" s="1185"/>
      <c r="JAB6" s="1185"/>
      <c r="JAC6" s="1185"/>
      <c r="JAD6" s="1185"/>
      <c r="JAE6" s="1185"/>
      <c r="JAF6" s="1185"/>
      <c r="JAG6" s="1185"/>
      <c r="JAH6" s="1185"/>
      <c r="JAI6" s="1185"/>
      <c r="JAJ6" s="1185"/>
      <c r="JAK6" s="1185"/>
      <c r="JAL6" s="1185"/>
      <c r="JAM6" s="1185"/>
      <c r="JAN6" s="1185"/>
      <c r="JAO6" s="1185"/>
      <c r="JAP6" s="1185"/>
      <c r="JAQ6" s="1185"/>
      <c r="JAR6" s="1185"/>
      <c r="JAS6" s="1185"/>
      <c r="JAT6" s="1185"/>
      <c r="JAU6" s="1185"/>
      <c r="JAV6" s="1185"/>
      <c r="JAW6" s="1185"/>
      <c r="JAX6" s="1185"/>
      <c r="JAY6" s="1185"/>
      <c r="JAZ6" s="1185"/>
      <c r="JBA6" s="1185"/>
      <c r="JBB6" s="1185"/>
      <c r="JBC6" s="1185"/>
      <c r="JBD6" s="1185"/>
      <c r="JBE6" s="1185"/>
      <c r="JBF6" s="1185"/>
      <c r="JBG6" s="1185"/>
      <c r="JBH6" s="1185"/>
      <c r="JBI6" s="1185"/>
      <c r="JBJ6" s="1185"/>
      <c r="JBK6" s="1185"/>
      <c r="JBL6" s="1185"/>
      <c r="JBM6" s="1185"/>
      <c r="JBN6" s="1185"/>
      <c r="JBO6" s="1185"/>
      <c r="JBP6" s="1185"/>
      <c r="JBQ6" s="1185"/>
      <c r="JBR6" s="1185"/>
      <c r="JBS6" s="1185"/>
      <c r="JBT6" s="1185"/>
      <c r="JBU6" s="1185"/>
      <c r="JBV6" s="1185"/>
      <c r="JBW6" s="1185"/>
      <c r="JBX6" s="1185"/>
      <c r="JBY6" s="1185"/>
      <c r="JBZ6" s="1185"/>
      <c r="JCA6" s="1185"/>
      <c r="JCB6" s="1185"/>
      <c r="JCC6" s="1185"/>
      <c r="JCD6" s="1185"/>
      <c r="JCE6" s="1185"/>
      <c r="JCF6" s="1185"/>
      <c r="JCG6" s="1185"/>
      <c r="JCH6" s="1185"/>
      <c r="JCI6" s="1185"/>
      <c r="JCJ6" s="1185"/>
      <c r="JCK6" s="1185"/>
      <c r="JCL6" s="1185"/>
      <c r="JCM6" s="1185"/>
      <c r="JCN6" s="1185"/>
      <c r="JCO6" s="1185"/>
      <c r="JCP6" s="1185"/>
      <c r="JCQ6" s="1185"/>
      <c r="JCR6" s="1185"/>
      <c r="JCS6" s="1185"/>
      <c r="JCT6" s="1185"/>
      <c r="JCU6" s="1185"/>
      <c r="JCV6" s="1185"/>
      <c r="JCW6" s="1185"/>
      <c r="JCX6" s="1185"/>
      <c r="JCY6" s="1185"/>
      <c r="JCZ6" s="1185"/>
      <c r="JDA6" s="1185"/>
      <c r="JDB6" s="1185"/>
      <c r="JDC6" s="1185"/>
      <c r="JDD6" s="1185"/>
      <c r="JDE6" s="1185"/>
      <c r="JDF6" s="1185"/>
      <c r="JDG6" s="1185"/>
      <c r="JDH6" s="1185"/>
      <c r="JDI6" s="1185"/>
      <c r="JDJ6" s="1185"/>
      <c r="JDK6" s="1185"/>
      <c r="JDL6" s="1185"/>
      <c r="JDM6" s="1185"/>
      <c r="JDN6" s="1185"/>
      <c r="JDO6" s="1185"/>
      <c r="JDP6" s="1185"/>
      <c r="JDQ6" s="1185"/>
      <c r="JDR6" s="1185"/>
      <c r="JDS6" s="1185"/>
      <c r="JDT6" s="1185"/>
      <c r="JDU6" s="1185"/>
      <c r="JDV6" s="1185"/>
      <c r="JDW6" s="1185"/>
      <c r="JDX6" s="1185"/>
      <c r="JDY6" s="1185"/>
      <c r="JDZ6" s="1185"/>
      <c r="JEA6" s="1185"/>
      <c r="JEB6" s="1185"/>
      <c r="JEC6" s="1185"/>
      <c r="JED6" s="1185"/>
      <c r="JEE6" s="1185"/>
      <c r="JEF6" s="1185"/>
      <c r="JEG6" s="1185"/>
      <c r="JEH6" s="1185"/>
      <c r="JEI6" s="1185"/>
      <c r="JEJ6" s="1185"/>
      <c r="JEK6" s="1185"/>
      <c r="JEL6" s="1185"/>
      <c r="JEM6" s="1185"/>
      <c r="JEN6" s="1185"/>
      <c r="JEO6" s="1185"/>
      <c r="JEP6" s="1185"/>
      <c r="JEQ6" s="1185"/>
      <c r="JER6" s="1185"/>
      <c r="JES6" s="1185"/>
      <c r="JET6" s="1185"/>
      <c r="JEU6" s="1185"/>
      <c r="JEV6" s="1185"/>
      <c r="JEW6" s="1185"/>
      <c r="JEX6" s="1185"/>
      <c r="JEY6" s="1185"/>
      <c r="JEZ6" s="1185"/>
      <c r="JFA6" s="1185"/>
      <c r="JFB6" s="1185"/>
      <c r="JFC6" s="1185"/>
      <c r="JFD6" s="1185"/>
      <c r="JFE6" s="1185"/>
      <c r="JFF6" s="1185"/>
      <c r="JFG6" s="1185"/>
      <c r="JFH6" s="1185"/>
      <c r="JFI6" s="1185"/>
      <c r="JFJ6" s="1185"/>
      <c r="JFK6" s="1185"/>
      <c r="JFL6" s="1185"/>
      <c r="JFM6" s="1185"/>
      <c r="JFN6" s="1185"/>
      <c r="JFO6" s="1185"/>
      <c r="JFP6" s="1185"/>
      <c r="JFQ6" s="1185"/>
      <c r="JFR6" s="1185"/>
      <c r="JFS6" s="1185"/>
      <c r="JFT6" s="1185"/>
      <c r="JFU6" s="1185"/>
      <c r="JFV6" s="1185"/>
      <c r="JFW6" s="1185"/>
      <c r="JFX6" s="1185"/>
      <c r="JFY6" s="1185"/>
      <c r="JFZ6" s="1185"/>
      <c r="JGA6" s="1185"/>
      <c r="JGB6" s="1185"/>
      <c r="JGC6" s="1185"/>
      <c r="JGD6" s="1185"/>
      <c r="JGE6" s="1185"/>
      <c r="JGF6" s="1185"/>
      <c r="JGG6" s="1185"/>
      <c r="JGH6" s="1185"/>
      <c r="JGI6" s="1185"/>
      <c r="JGJ6" s="1185"/>
      <c r="JGK6" s="1185"/>
      <c r="JGL6" s="1185"/>
      <c r="JGM6" s="1185"/>
      <c r="JGN6" s="1185"/>
      <c r="JGO6" s="1185"/>
      <c r="JGP6" s="1185"/>
      <c r="JGQ6" s="1185"/>
      <c r="JGR6" s="1185"/>
      <c r="JGS6" s="1185"/>
      <c r="JGT6" s="1185"/>
      <c r="JGU6" s="1185"/>
      <c r="JGV6" s="1185"/>
      <c r="JGW6" s="1185"/>
      <c r="JGX6" s="1185"/>
      <c r="JGY6" s="1185"/>
      <c r="JGZ6" s="1185"/>
      <c r="JHA6" s="1185"/>
      <c r="JHB6" s="1185"/>
      <c r="JHC6" s="1185"/>
      <c r="JHD6" s="1185"/>
      <c r="JHE6" s="1185"/>
      <c r="JHF6" s="1185"/>
      <c r="JHG6" s="1185"/>
      <c r="JHH6" s="1185"/>
      <c r="JHI6" s="1185"/>
      <c r="JHJ6" s="1185"/>
      <c r="JHK6" s="1185"/>
      <c r="JHL6" s="1185"/>
      <c r="JHM6" s="1185"/>
      <c r="JHN6" s="1185"/>
      <c r="JHO6" s="1185"/>
      <c r="JHP6" s="1185"/>
      <c r="JHQ6" s="1185"/>
      <c r="JHR6" s="1185"/>
      <c r="JHS6" s="1185"/>
      <c r="JHT6" s="1185"/>
      <c r="JHU6" s="1185"/>
      <c r="JHV6" s="1185"/>
      <c r="JHW6" s="1185"/>
      <c r="JHX6" s="1185"/>
      <c r="JHY6" s="1185"/>
      <c r="JHZ6" s="1185"/>
      <c r="JIA6" s="1185"/>
      <c r="JIB6" s="1185"/>
      <c r="JIC6" s="1185"/>
      <c r="JID6" s="1185"/>
      <c r="JIE6" s="1185"/>
      <c r="JIF6" s="1185"/>
      <c r="JIG6" s="1185"/>
      <c r="JIH6" s="1185"/>
      <c r="JII6" s="1185"/>
      <c r="JIJ6" s="1185"/>
      <c r="JIK6" s="1185"/>
      <c r="JIL6" s="1185"/>
      <c r="JIM6" s="1185"/>
      <c r="JIN6" s="1185"/>
      <c r="JIO6" s="1185"/>
      <c r="JIP6" s="1185"/>
      <c r="JIQ6" s="1185"/>
      <c r="JIR6" s="1185"/>
      <c r="JIS6" s="1185"/>
      <c r="JIT6" s="1185"/>
      <c r="JIU6" s="1185"/>
      <c r="JIV6" s="1185"/>
      <c r="JIW6" s="1185"/>
      <c r="JIX6" s="1185"/>
      <c r="JIY6" s="1185"/>
      <c r="JIZ6" s="1185"/>
      <c r="JJA6" s="1185"/>
      <c r="JJB6" s="1185"/>
      <c r="JJC6" s="1185"/>
      <c r="JJD6" s="1185"/>
      <c r="JJE6" s="1185"/>
      <c r="JJF6" s="1185"/>
      <c r="JJG6" s="1185"/>
      <c r="JJH6" s="1185"/>
      <c r="JJI6" s="1185"/>
      <c r="JJJ6" s="1185"/>
      <c r="JJK6" s="1185"/>
      <c r="JJL6" s="1185"/>
      <c r="JJM6" s="1185"/>
      <c r="JJN6" s="1185"/>
      <c r="JJO6" s="1185"/>
      <c r="JJP6" s="1185"/>
      <c r="JJQ6" s="1185"/>
      <c r="JJR6" s="1185"/>
      <c r="JJS6" s="1185"/>
      <c r="JJT6" s="1185"/>
      <c r="JJU6" s="1185"/>
      <c r="JJV6" s="1185"/>
      <c r="JJW6" s="1185"/>
      <c r="JJX6" s="1185"/>
      <c r="JJY6" s="1185"/>
      <c r="JJZ6" s="1185"/>
      <c r="JKA6" s="1185"/>
      <c r="JKB6" s="1185"/>
      <c r="JKC6" s="1185"/>
      <c r="JKD6" s="1185"/>
      <c r="JKE6" s="1185"/>
      <c r="JKF6" s="1185"/>
      <c r="JKG6" s="1185"/>
      <c r="JKH6" s="1185"/>
      <c r="JKI6" s="1185"/>
      <c r="JKJ6" s="1185"/>
      <c r="JKK6" s="1185"/>
      <c r="JKL6" s="1185"/>
      <c r="JKM6" s="1185"/>
      <c r="JKN6" s="1185"/>
      <c r="JKO6" s="1185"/>
      <c r="JKP6" s="1185"/>
      <c r="JKQ6" s="1185"/>
      <c r="JKR6" s="1185"/>
      <c r="JKS6" s="1185"/>
      <c r="JKT6" s="1185"/>
      <c r="JKU6" s="1185"/>
      <c r="JKV6" s="1185"/>
      <c r="JKW6" s="1185"/>
      <c r="JKX6" s="1185"/>
      <c r="JKY6" s="1185"/>
      <c r="JKZ6" s="1185"/>
      <c r="JLA6" s="1185"/>
      <c r="JLB6" s="1185"/>
      <c r="JLC6" s="1185"/>
      <c r="JLD6" s="1185"/>
      <c r="JLE6" s="1185"/>
      <c r="JLF6" s="1185"/>
      <c r="JLG6" s="1185"/>
      <c r="JLH6" s="1185"/>
      <c r="JLI6" s="1185"/>
      <c r="JLJ6" s="1185"/>
      <c r="JLK6" s="1185"/>
      <c r="JLL6" s="1185"/>
      <c r="JLM6" s="1185"/>
      <c r="JLN6" s="1185"/>
      <c r="JLO6" s="1185"/>
      <c r="JLP6" s="1185"/>
      <c r="JLQ6" s="1185"/>
      <c r="JLR6" s="1185"/>
      <c r="JLS6" s="1185"/>
      <c r="JLT6" s="1185"/>
      <c r="JLU6" s="1185"/>
      <c r="JLV6" s="1185"/>
      <c r="JLW6" s="1185"/>
      <c r="JLX6" s="1185"/>
      <c r="JLY6" s="1185"/>
      <c r="JLZ6" s="1185"/>
      <c r="JMA6" s="1185"/>
      <c r="JMB6" s="1185"/>
      <c r="JMC6" s="1185"/>
      <c r="JMD6" s="1185"/>
      <c r="JME6" s="1185"/>
      <c r="JMF6" s="1185"/>
      <c r="JMG6" s="1185"/>
      <c r="JMH6" s="1185"/>
      <c r="JMI6" s="1185"/>
      <c r="JMJ6" s="1185"/>
      <c r="JMK6" s="1185"/>
      <c r="JML6" s="1185"/>
      <c r="JMM6" s="1185"/>
      <c r="JMN6" s="1185"/>
      <c r="JMO6" s="1185"/>
      <c r="JMP6" s="1185"/>
      <c r="JMQ6" s="1185"/>
      <c r="JMR6" s="1185"/>
      <c r="JMS6" s="1185"/>
      <c r="JMT6" s="1185"/>
      <c r="JMU6" s="1185"/>
      <c r="JMV6" s="1185"/>
      <c r="JMW6" s="1185"/>
      <c r="JMX6" s="1185"/>
      <c r="JMY6" s="1185"/>
      <c r="JMZ6" s="1185"/>
      <c r="JNA6" s="1185"/>
      <c r="JNB6" s="1185"/>
      <c r="JNC6" s="1185"/>
      <c r="JND6" s="1185"/>
      <c r="JNE6" s="1185"/>
      <c r="JNF6" s="1185"/>
      <c r="JNG6" s="1185"/>
      <c r="JNH6" s="1185"/>
      <c r="JNI6" s="1185"/>
      <c r="JNJ6" s="1185"/>
      <c r="JNK6" s="1185"/>
      <c r="JNL6" s="1185"/>
      <c r="JNM6" s="1185"/>
      <c r="JNN6" s="1185"/>
      <c r="JNO6" s="1185"/>
      <c r="JNP6" s="1185"/>
      <c r="JNQ6" s="1185"/>
      <c r="JNR6" s="1185"/>
      <c r="JNS6" s="1185"/>
      <c r="JNT6" s="1185"/>
      <c r="JNU6" s="1185"/>
      <c r="JNV6" s="1185"/>
      <c r="JNW6" s="1185"/>
      <c r="JNX6" s="1185"/>
      <c r="JNY6" s="1185"/>
      <c r="JNZ6" s="1185"/>
      <c r="JOA6" s="1185"/>
      <c r="JOB6" s="1185"/>
      <c r="JOC6" s="1185"/>
      <c r="JOD6" s="1185"/>
      <c r="JOE6" s="1185"/>
      <c r="JOF6" s="1185"/>
      <c r="JOG6" s="1185"/>
      <c r="JOH6" s="1185"/>
      <c r="JOI6" s="1185"/>
      <c r="JOJ6" s="1185"/>
      <c r="JOK6" s="1185"/>
      <c r="JOL6" s="1185"/>
      <c r="JOM6" s="1185"/>
      <c r="JON6" s="1185"/>
      <c r="JOO6" s="1185"/>
      <c r="JOP6" s="1185"/>
      <c r="JOQ6" s="1185"/>
      <c r="JOR6" s="1185"/>
      <c r="JOS6" s="1185"/>
      <c r="JOT6" s="1185"/>
      <c r="JOU6" s="1185"/>
      <c r="JOV6" s="1185"/>
      <c r="JOW6" s="1185"/>
      <c r="JOX6" s="1185"/>
      <c r="JOY6" s="1185"/>
      <c r="JOZ6" s="1185"/>
      <c r="JPA6" s="1185"/>
      <c r="JPB6" s="1185"/>
      <c r="JPC6" s="1185"/>
      <c r="JPD6" s="1185"/>
      <c r="JPE6" s="1185"/>
      <c r="JPF6" s="1185"/>
      <c r="JPG6" s="1185"/>
      <c r="JPH6" s="1185"/>
      <c r="JPI6" s="1185"/>
      <c r="JPJ6" s="1185"/>
      <c r="JPK6" s="1185"/>
      <c r="JPL6" s="1185"/>
      <c r="JPM6" s="1185"/>
      <c r="JPN6" s="1185"/>
      <c r="JPO6" s="1185"/>
      <c r="JPP6" s="1185"/>
      <c r="JPQ6" s="1185"/>
      <c r="JPR6" s="1185"/>
      <c r="JPS6" s="1185"/>
      <c r="JPT6" s="1185"/>
      <c r="JPU6" s="1185"/>
      <c r="JPV6" s="1185"/>
      <c r="JPW6" s="1185"/>
      <c r="JPX6" s="1185"/>
      <c r="JPY6" s="1185"/>
      <c r="JPZ6" s="1185"/>
      <c r="JQA6" s="1185"/>
      <c r="JQB6" s="1185"/>
      <c r="JQC6" s="1185"/>
      <c r="JQD6" s="1185"/>
      <c r="JQE6" s="1185"/>
      <c r="JQF6" s="1185"/>
      <c r="JQG6" s="1185"/>
      <c r="JQH6" s="1185"/>
      <c r="JQI6" s="1185"/>
      <c r="JQJ6" s="1185"/>
      <c r="JQK6" s="1185"/>
      <c r="JQL6" s="1185"/>
      <c r="JQM6" s="1185"/>
      <c r="JQN6" s="1185"/>
      <c r="JQO6" s="1185"/>
      <c r="JQP6" s="1185"/>
      <c r="JQQ6" s="1185"/>
      <c r="JQR6" s="1185"/>
      <c r="JQS6" s="1185"/>
      <c r="JQT6" s="1185"/>
      <c r="JQU6" s="1185"/>
      <c r="JQV6" s="1185"/>
      <c r="JQW6" s="1185"/>
      <c r="JQX6" s="1185"/>
      <c r="JQY6" s="1185"/>
      <c r="JQZ6" s="1185"/>
      <c r="JRA6" s="1185"/>
      <c r="JRB6" s="1185"/>
      <c r="JRC6" s="1185"/>
      <c r="JRD6" s="1185"/>
      <c r="JRE6" s="1185"/>
      <c r="JRF6" s="1185"/>
      <c r="JRG6" s="1185"/>
      <c r="JRH6" s="1185"/>
      <c r="JRI6" s="1185"/>
      <c r="JRJ6" s="1185"/>
      <c r="JRK6" s="1185"/>
      <c r="JRL6" s="1185"/>
      <c r="JRM6" s="1185"/>
      <c r="JRN6" s="1185"/>
      <c r="JRO6" s="1185"/>
      <c r="JRP6" s="1185"/>
      <c r="JRQ6" s="1185"/>
      <c r="JRR6" s="1185"/>
      <c r="JRS6" s="1185"/>
      <c r="JRT6" s="1185"/>
      <c r="JRU6" s="1185"/>
      <c r="JRV6" s="1185"/>
      <c r="JRW6" s="1185"/>
      <c r="JRX6" s="1185"/>
      <c r="JRY6" s="1185"/>
      <c r="JRZ6" s="1185"/>
      <c r="JSA6" s="1185"/>
      <c r="JSB6" s="1185"/>
      <c r="JSC6" s="1185"/>
      <c r="JSD6" s="1185"/>
      <c r="JSE6" s="1185"/>
      <c r="JSF6" s="1185"/>
      <c r="JSG6" s="1185"/>
      <c r="JSH6" s="1185"/>
      <c r="JSI6" s="1185"/>
      <c r="JSJ6" s="1185"/>
      <c r="JSK6" s="1185"/>
      <c r="JSL6" s="1185"/>
      <c r="JSM6" s="1185"/>
      <c r="JSN6" s="1185"/>
      <c r="JSO6" s="1185"/>
      <c r="JSP6" s="1185"/>
      <c r="JSQ6" s="1185"/>
      <c r="JSR6" s="1185"/>
      <c r="JSS6" s="1185"/>
      <c r="JST6" s="1185"/>
      <c r="JSU6" s="1185"/>
      <c r="JSV6" s="1185"/>
      <c r="JSW6" s="1185"/>
      <c r="JSX6" s="1185"/>
      <c r="JSY6" s="1185"/>
      <c r="JSZ6" s="1185"/>
      <c r="JTA6" s="1185"/>
      <c r="JTB6" s="1185"/>
      <c r="JTC6" s="1185"/>
      <c r="JTD6" s="1185"/>
      <c r="JTE6" s="1185"/>
      <c r="JTF6" s="1185"/>
      <c r="JTG6" s="1185"/>
      <c r="JTH6" s="1185"/>
      <c r="JTI6" s="1185"/>
      <c r="JTJ6" s="1185"/>
      <c r="JTK6" s="1185"/>
      <c r="JTL6" s="1185"/>
      <c r="JTM6" s="1185"/>
      <c r="JTN6" s="1185"/>
      <c r="JTO6" s="1185"/>
      <c r="JTP6" s="1185"/>
      <c r="JTQ6" s="1185"/>
      <c r="JTR6" s="1185"/>
      <c r="JTS6" s="1185"/>
      <c r="JTT6" s="1185"/>
      <c r="JTU6" s="1185"/>
      <c r="JTV6" s="1185"/>
      <c r="JTW6" s="1185"/>
      <c r="JTX6" s="1185"/>
      <c r="JTY6" s="1185"/>
      <c r="JTZ6" s="1185"/>
      <c r="JUA6" s="1185"/>
      <c r="JUB6" s="1185"/>
      <c r="JUC6" s="1185"/>
      <c r="JUD6" s="1185"/>
      <c r="JUE6" s="1185"/>
      <c r="JUF6" s="1185"/>
      <c r="JUG6" s="1185"/>
      <c r="JUH6" s="1185"/>
      <c r="JUI6" s="1185"/>
      <c r="JUJ6" s="1185"/>
      <c r="JUK6" s="1185"/>
      <c r="JUL6" s="1185"/>
      <c r="JUM6" s="1185"/>
      <c r="JUN6" s="1185"/>
      <c r="JUO6" s="1185"/>
      <c r="JUP6" s="1185"/>
      <c r="JUQ6" s="1185"/>
      <c r="JUR6" s="1185"/>
      <c r="JUS6" s="1185"/>
      <c r="JUT6" s="1185"/>
      <c r="JUU6" s="1185"/>
      <c r="JUV6" s="1185"/>
      <c r="JUW6" s="1185"/>
      <c r="JUX6" s="1185"/>
      <c r="JUY6" s="1185"/>
      <c r="JUZ6" s="1185"/>
      <c r="JVA6" s="1185"/>
      <c r="JVB6" s="1185"/>
      <c r="JVC6" s="1185"/>
      <c r="JVD6" s="1185"/>
      <c r="JVE6" s="1185"/>
      <c r="JVF6" s="1185"/>
      <c r="JVG6" s="1185"/>
      <c r="JVH6" s="1185"/>
      <c r="JVI6" s="1185"/>
      <c r="JVJ6" s="1185"/>
      <c r="JVK6" s="1185"/>
      <c r="JVL6" s="1185"/>
      <c r="JVM6" s="1185"/>
      <c r="JVN6" s="1185"/>
      <c r="JVO6" s="1185"/>
      <c r="JVP6" s="1185"/>
      <c r="JVQ6" s="1185"/>
      <c r="JVR6" s="1185"/>
      <c r="JVS6" s="1185"/>
      <c r="JVT6" s="1185"/>
      <c r="JVU6" s="1185"/>
      <c r="JVV6" s="1185"/>
      <c r="JVW6" s="1185"/>
      <c r="JVX6" s="1185"/>
      <c r="JVY6" s="1185"/>
      <c r="JVZ6" s="1185"/>
      <c r="JWA6" s="1185"/>
      <c r="JWB6" s="1185"/>
      <c r="JWC6" s="1185"/>
      <c r="JWD6" s="1185"/>
      <c r="JWE6" s="1185"/>
      <c r="JWF6" s="1185"/>
      <c r="JWG6" s="1185"/>
      <c r="JWH6" s="1185"/>
      <c r="JWI6" s="1185"/>
      <c r="JWJ6" s="1185"/>
      <c r="JWK6" s="1185"/>
      <c r="JWL6" s="1185"/>
      <c r="JWM6" s="1185"/>
      <c r="JWN6" s="1185"/>
      <c r="JWO6" s="1185"/>
      <c r="JWP6" s="1185"/>
      <c r="JWQ6" s="1185"/>
      <c r="JWR6" s="1185"/>
      <c r="JWS6" s="1185"/>
      <c r="JWT6" s="1185"/>
      <c r="JWU6" s="1185"/>
      <c r="JWV6" s="1185"/>
      <c r="JWW6" s="1185"/>
      <c r="JWX6" s="1185"/>
      <c r="JWY6" s="1185"/>
      <c r="JWZ6" s="1185"/>
      <c r="JXA6" s="1185"/>
      <c r="JXB6" s="1185"/>
      <c r="JXC6" s="1185"/>
      <c r="JXD6" s="1185"/>
      <c r="JXE6" s="1185"/>
      <c r="JXF6" s="1185"/>
      <c r="JXG6" s="1185"/>
      <c r="JXH6" s="1185"/>
      <c r="JXI6" s="1185"/>
      <c r="JXJ6" s="1185"/>
      <c r="JXK6" s="1185"/>
      <c r="JXL6" s="1185"/>
      <c r="JXM6" s="1185"/>
      <c r="JXN6" s="1185"/>
      <c r="JXO6" s="1185"/>
      <c r="JXP6" s="1185"/>
      <c r="JXQ6" s="1185"/>
      <c r="JXR6" s="1185"/>
      <c r="JXS6" s="1185"/>
      <c r="JXT6" s="1185"/>
      <c r="JXU6" s="1185"/>
      <c r="JXV6" s="1185"/>
      <c r="JXW6" s="1185"/>
      <c r="JXX6" s="1185"/>
      <c r="JXY6" s="1185"/>
      <c r="JXZ6" s="1185"/>
      <c r="JYA6" s="1185"/>
      <c r="JYB6" s="1185"/>
      <c r="JYC6" s="1185"/>
      <c r="JYD6" s="1185"/>
      <c r="JYE6" s="1185"/>
      <c r="JYF6" s="1185"/>
      <c r="JYG6" s="1185"/>
      <c r="JYH6" s="1185"/>
      <c r="JYI6" s="1185"/>
      <c r="JYJ6" s="1185"/>
      <c r="JYK6" s="1185"/>
      <c r="JYL6" s="1185"/>
      <c r="JYM6" s="1185"/>
      <c r="JYN6" s="1185"/>
      <c r="JYO6" s="1185"/>
      <c r="JYP6" s="1185"/>
      <c r="JYQ6" s="1185"/>
      <c r="JYR6" s="1185"/>
      <c r="JYS6" s="1185"/>
      <c r="JYT6" s="1185"/>
      <c r="JYU6" s="1185"/>
      <c r="JYV6" s="1185"/>
      <c r="JYW6" s="1185"/>
      <c r="JYX6" s="1185"/>
      <c r="JYY6" s="1185"/>
      <c r="JYZ6" s="1185"/>
      <c r="JZA6" s="1185"/>
      <c r="JZB6" s="1185"/>
      <c r="JZC6" s="1185"/>
      <c r="JZD6" s="1185"/>
      <c r="JZE6" s="1185"/>
      <c r="JZF6" s="1185"/>
      <c r="JZG6" s="1185"/>
      <c r="JZH6" s="1185"/>
      <c r="JZI6" s="1185"/>
      <c r="JZJ6" s="1185"/>
      <c r="JZK6" s="1185"/>
      <c r="JZL6" s="1185"/>
      <c r="JZM6" s="1185"/>
      <c r="JZN6" s="1185"/>
      <c r="JZO6" s="1185"/>
      <c r="JZP6" s="1185"/>
      <c r="JZQ6" s="1185"/>
      <c r="JZR6" s="1185"/>
      <c r="JZS6" s="1185"/>
      <c r="JZT6" s="1185"/>
      <c r="JZU6" s="1185"/>
      <c r="JZV6" s="1185"/>
      <c r="JZW6" s="1185"/>
      <c r="JZX6" s="1185"/>
      <c r="JZY6" s="1185"/>
      <c r="JZZ6" s="1185"/>
      <c r="KAA6" s="1185"/>
      <c r="KAB6" s="1185"/>
      <c r="KAC6" s="1185"/>
      <c r="KAD6" s="1185"/>
      <c r="KAE6" s="1185"/>
      <c r="KAF6" s="1185"/>
      <c r="KAG6" s="1185"/>
      <c r="KAH6" s="1185"/>
      <c r="KAI6" s="1185"/>
      <c r="KAJ6" s="1185"/>
      <c r="KAK6" s="1185"/>
      <c r="KAL6" s="1185"/>
      <c r="KAM6" s="1185"/>
      <c r="KAN6" s="1185"/>
      <c r="KAO6" s="1185"/>
      <c r="KAP6" s="1185"/>
      <c r="KAQ6" s="1185"/>
      <c r="KAR6" s="1185"/>
      <c r="KAS6" s="1185"/>
      <c r="KAT6" s="1185"/>
      <c r="KAU6" s="1185"/>
      <c r="KAV6" s="1185"/>
      <c r="KAW6" s="1185"/>
      <c r="KAX6" s="1185"/>
      <c r="KAY6" s="1185"/>
      <c r="KAZ6" s="1185"/>
      <c r="KBA6" s="1185"/>
      <c r="KBB6" s="1185"/>
      <c r="KBC6" s="1185"/>
      <c r="KBD6" s="1185"/>
      <c r="KBE6" s="1185"/>
      <c r="KBF6" s="1185"/>
      <c r="KBG6" s="1185"/>
      <c r="KBH6" s="1185"/>
      <c r="KBI6" s="1185"/>
      <c r="KBJ6" s="1185"/>
      <c r="KBK6" s="1185"/>
      <c r="KBL6" s="1185"/>
      <c r="KBM6" s="1185"/>
      <c r="KBN6" s="1185"/>
      <c r="KBO6" s="1185"/>
      <c r="KBP6" s="1185"/>
      <c r="KBQ6" s="1185"/>
      <c r="KBR6" s="1185"/>
      <c r="KBS6" s="1185"/>
      <c r="KBT6" s="1185"/>
      <c r="KBU6" s="1185"/>
      <c r="KBV6" s="1185"/>
      <c r="KBW6" s="1185"/>
      <c r="KBX6" s="1185"/>
      <c r="KBY6" s="1185"/>
      <c r="KBZ6" s="1185"/>
      <c r="KCA6" s="1185"/>
      <c r="KCB6" s="1185"/>
      <c r="KCC6" s="1185"/>
      <c r="KCD6" s="1185"/>
      <c r="KCE6" s="1185"/>
      <c r="KCF6" s="1185"/>
      <c r="KCG6" s="1185"/>
      <c r="KCH6" s="1185"/>
      <c r="KCI6" s="1185"/>
      <c r="KCJ6" s="1185"/>
      <c r="KCK6" s="1185"/>
      <c r="KCL6" s="1185"/>
      <c r="KCM6" s="1185"/>
      <c r="KCN6" s="1185"/>
      <c r="KCO6" s="1185"/>
      <c r="KCP6" s="1185"/>
      <c r="KCQ6" s="1185"/>
      <c r="KCR6" s="1185"/>
      <c r="KCS6" s="1185"/>
      <c r="KCT6" s="1185"/>
      <c r="KCU6" s="1185"/>
      <c r="KCV6" s="1185"/>
      <c r="KCW6" s="1185"/>
      <c r="KCX6" s="1185"/>
      <c r="KCY6" s="1185"/>
      <c r="KCZ6" s="1185"/>
      <c r="KDA6" s="1185"/>
      <c r="KDB6" s="1185"/>
      <c r="KDC6" s="1185"/>
      <c r="KDD6" s="1185"/>
      <c r="KDE6" s="1185"/>
      <c r="KDF6" s="1185"/>
      <c r="KDG6" s="1185"/>
      <c r="KDH6" s="1185"/>
      <c r="KDI6" s="1185"/>
      <c r="KDJ6" s="1185"/>
      <c r="KDK6" s="1185"/>
      <c r="KDL6" s="1185"/>
      <c r="KDM6" s="1185"/>
      <c r="KDN6" s="1185"/>
      <c r="KDO6" s="1185"/>
      <c r="KDP6" s="1185"/>
      <c r="KDQ6" s="1185"/>
      <c r="KDR6" s="1185"/>
      <c r="KDS6" s="1185"/>
      <c r="KDT6" s="1185"/>
      <c r="KDU6" s="1185"/>
      <c r="KDV6" s="1185"/>
      <c r="KDW6" s="1185"/>
      <c r="KDX6" s="1185"/>
      <c r="KDY6" s="1185"/>
      <c r="KDZ6" s="1185"/>
      <c r="KEA6" s="1185"/>
      <c r="KEB6" s="1185"/>
      <c r="KEC6" s="1185"/>
      <c r="KED6" s="1185"/>
      <c r="KEE6" s="1185"/>
      <c r="KEF6" s="1185"/>
      <c r="KEG6" s="1185"/>
      <c r="KEH6" s="1185"/>
      <c r="KEI6" s="1185"/>
      <c r="KEJ6" s="1185"/>
      <c r="KEK6" s="1185"/>
      <c r="KEL6" s="1185"/>
      <c r="KEM6" s="1185"/>
      <c r="KEN6" s="1185"/>
      <c r="KEO6" s="1185"/>
      <c r="KEP6" s="1185"/>
      <c r="KEQ6" s="1185"/>
      <c r="KER6" s="1185"/>
      <c r="KES6" s="1185"/>
      <c r="KET6" s="1185"/>
      <c r="KEU6" s="1185"/>
      <c r="KEV6" s="1185"/>
      <c r="KEW6" s="1185"/>
      <c r="KEX6" s="1185"/>
      <c r="KEY6" s="1185"/>
      <c r="KEZ6" s="1185"/>
      <c r="KFA6" s="1185"/>
      <c r="KFB6" s="1185"/>
      <c r="KFC6" s="1185"/>
      <c r="KFD6" s="1185"/>
      <c r="KFE6" s="1185"/>
      <c r="KFF6" s="1185"/>
      <c r="KFG6" s="1185"/>
      <c r="KFH6" s="1185"/>
      <c r="KFI6" s="1185"/>
      <c r="KFJ6" s="1185"/>
      <c r="KFK6" s="1185"/>
      <c r="KFL6" s="1185"/>
      <c r="KFM6" s="1185"/>
      <c r="KFN6" s="1185"/>
      <c r="KFO6" s="1185"/>
      <c r="KFP6" s="1185"/>
      <c r="KFQ6" s="1185"/>
      <c r="KFR6" s="1185"/>
      <c r="KFS6" s="1185"/>
      <c r="KFT6" s="1185"/>
      <c r="KFU6" s="1185"/>
      <c r="KFV6" s="1185"/>
      <c r="KFW6" s="1185"/>
      <c r="KFX6" s="1185"/>
      <c r="KFY6" s="1185"/>
      <c r="KFZ6" s="1185"/>
      <c r="KGA6" s="1185"/>
      <c r="KGB6" s="1185"/>
      <c r="KGC6" s="1185"/>
      <c r="KGD6" s="1185"/>
      <c r="KGE6" s="1185"/>
      <c r="KGF6" s="1185"/>
      <c r="KGG6" s="1185"/>
      <c r="KGH6" s="1185"/>
      <c r="KGI6" s="1185"/>
      <c r="KGJ6" s="1185"/>
      <c r="KGK6" s="1185"/>
      <c r="KGL6" s="1185"/>
      <c r="KGM6" s="1185"/>
      <c r="KGN6" s="1185"/>
      <c r="KGO6" s="1185"/>
      <c r="KGP6" s="1185"/>
      <c r="KGQ6" s="1185"/>
      <c r="KGR6" s="1185"/>
      <c r="KGS6" s="1185"/>
      <c r="KGT6" s="1185"/>
      <c r="KGU6" s="1185"/>
      <c r="KGV6" s="1185"/>
      <c r="KGW6" s="1185"/>
      <c r="KGX6" s="1185"/>
      <c r="KGY6" s="1185"/>
      <c r="KGZ6" s="1185"/>
      <c r="KHA6" s="1185"/>
      <c r="KHB6" s="1185"/>
      <c r="KHC6" s="1185"/>
      <c r="KHD6" s="1185"/>
      <c r="KHE6" s="1185"/>
      <c r="KHF6" s="1185"/>
      <c r="KHG6" s="1185"/>
      <c r="KHH6" s="1185"/>
      <c r="KHI6" s="1185"/>
      <c r="KHJ6" s="1185"/>
      <c r="KHK6" s="1185"/>
      <c r="KHL6" s="1185"/>
      <c r="KHM6" s="1185"/>
      <c r="KHN6" s="1185"/>
      <c r="KHO6" s="1185"/>
      <c r="KHP6" s="1185"/>
      <c r="KHQ6" s="1185"/>
      <c r="KHR6" s="1185"/>
      <c r="KHS6" s="1185"/>
      <c r="KHT6" s="1185"/>
      <c r="KHU6" s="1185"/>
      <c r="KHV6" s="1185"/>
      <c r="KHW6" s="1185"/>
      <c r="KHX6" s="1185"/>
      <c r="KHY6" s="1185"/>
      <c r="KHZ6" s="1185"/>
      <c r="KIA6" s="1185"/>
      <c r="KIB6" s="1185"/>
      <c r="KIC6" s="1185"/>
      <c r="KID6" s="1185"/>
      <c r="KIE6" s="1185"/>
      <c r="KIF6" s="1185"/>
      <c r="KIG6" s="1185"/>
      <c r="KIH6" s="1185"/>
      <c r="KII6" s="1185"/>
      <c r="KIJ6" s="1185"/>
      <c r="KIK6" s="1185"/>
      <c r="KIL6" s="1185"/>
      <c r="KIM6" s="1185"/>
      <c r="KIN6" s="1185"/>
      <c r="KIO6" s="1185"/>
      <c r="KIP6" s="1185"/>
      <c r="KIQ6" s="1185"/>
      <c r="KIR6" s="1185"/>
      <c r="KIS6" s="1185"/>
      <c r="KIT6" s="1185"/>
      <c r="KIU6" s="1185"/>
      <c r="KIV6" s="1185"/>
      <c r="KIW6" s="1185"/>
      <c r="KIX6" s="1185"/>
      <c r="KIY6" s="1185"/>
      <c r="KIZ6" s="1185"/>
      <c r="KJA6" s="1185"/>
      <c r="KJB6" s="1185"/>
      <c r="KJC6" s="1185"/>
      <c r="KJD6" s="1185"/>
      <c r="KJE6" s="1185"/>
      <c r="KJF6" s="1185"/>
      <c r="KJG6" s="1185"/>
      <c r="KJH6" s="1185"/>
      <c r="KJI6" s="1185"/>
      <c r="KJJ6" s="1185"/>
      <c r="KJK6" s="1185"/>
      <c r="KJL6" s="1185"/>
      <c r="KJM6" s="1185"/>
      <c r="KJN6" s="1185"/>
      <c r="KJO6" s="1185"/>
      <c r="KJP6" s="1185"/>
      <c r="KJQ6" s="1185"/>
      <c r="KJR6" s="1185"/>
      <c r="KJS6" s="1185"/>
      <c r="KJT6" s="1185"/>
      <c r="KJU6" s="1185"/>
      <c r="KJV6" s="1185"/>
      <c r="KJW6" s="1185"/>
      <c r="KJX6" s="1185"/>
      <c r="KJY6" s="1185"/>
      <c r="KJZ6" s="1185"/>
      <c r="KKA6" s="1185"/>
      <c r="KKB6" s="1185"/>
      <c r="KKC6" s="1185"/>
      <c r="KKD6" s="1185"/>
      <c r="KKE6" s="1185"/>
      <c r="KKF6" s="1185"/>
      <c r="KKG6" s="1185"/>
      <c r="KKH6" s="1185"/>
      <c r="KKI6" s="1185"/>
      <c r="KKJ6" s="1185"/>
      <c r="KKK6" s="1185"/>
      <c r="KKL6" s="1185"/>
      <c r="KKM6" s="1185"/>
      <c r="KKN6" s="1185"/>
      <c r="KKO6" s="1185"/>
      <c r="KKP6" s="1185"/>
      <c r="KKQ6" s="1185"/>
      <c r="KKR6" s="1185"/>
      <c r="KKS6" s="1185"/>
      <c r="KKT6" s="1185"/>
      <c r="KKU6" s="1185"/>
      <c r="KKV6" s="1185"/>
      <c r="KKW6" s="1185"/>
      <c r="KKX6" s="1185"/>
      <c r="KKY6" s="1185"/>
      <c r="KKZ6" s="1185"/>
      <c r="KLA6" s="1185"/>
      <c r="KLB6" s="1185"/>
      <c r="KLC6" s="1185"/>
      <c r="KLD6" s="1185"/>
      <c r="KLE6" s="1185"/>
      <c r="KLF6" s="1185"/>
      <c r="KLG6" s="1185"/>
      <c r="KLH6" s="1185"/>
      <c r="KLI6" s="1185"/>
      <c r="KLJ6" s="1185"/>
      <c r="KLK6" s="1185"/>
      <c r="KLL6" s="1185"/>
      <c r="KLM6" s="1185"/>
      <c r="KLN6" s="1185"/>
      <c r="KLO6" s="1185"/>
      <c r="KLP6" s="1185"/>
      <c r="KLQ6" s="1185"/>
      <c r="KLR6" s="1185"/>
      <c r="KLS6" s="1185"/>
      <c r="KLT6" s="1185"/>
      <c r="KLU6" s="1185"/>
      <c r="KLV6" s="1185"/>
      <c r="KLW6" s="1185"/>
      <c r="KLX6" s="1185"/>
      <c r="KLY6" s="1185"/>
      <c r="KLZ6" s="1185"/>
      <c r="KMA6" s="1185"/>
      <c r="KMB6" s="1185"/>
      <c r="KMC6" s="1185"/>
      <c r="KMD6" s="1185"/>
      <c r="KME6" s="1185"/>
      <c r="KMF6" s="1185"/>
      <c r="KMG6" s="1185"/>
      <c r="KMH6" s="1185"/>
      <c r="KMI6" s="1185"/>
      <c r="KMJ6" s="1185"/>
      <c r="KMK6" s="1185"/>
      <c r="KML6" s="1185"/>
      <c r="KMM6" s="1185"/>
      <c r="KMN6" s="1185"/>
      <c r="KMO6" s="1185"/>
      <c r="KMP6" s="1185"/>
      <c r="KMQ6" s="1185"/>
      <c r="KMR6" s="1185"/>
      <c r="KMS6" s="1185"/>
      <c r="KMT6" s="1185"/>
      <c r="KMU6" s="1185"/>
      <c r="KMV6" s="1185"/>
      <c r="KMW6" s="1185"/>
      <c r="KMX6" s="1185"/>
      <c r="KMY6" s="1185"/>
      <c r="KMZ6" s="1185"/>
      <c r="KNA6" s="1185"/>
      <c r="KNB6" s="1185"/>
      <c r="KNC6" s="1185"/>
      <c r="KND6" s="1185"/>
      <c r="KNE6" s="1185"/>
      <c r="KNF6" s="1185"/>
      <c r="KNG6" s="1185"/>
      <c r="KNH6" s="1185"/>
      <c r="KNI6" s="1185"/>
      <c r="KNJ6" s="1185"/>
      <c r="KNK6" s="1185"/>
      <c r="KNL6" s="1185"/>
      <c r="KNM6" s="1185"/>
      <c r="KNN6" s="1185"/>
      <c r="KNO6" s="1185"/>
      <c r="KNP6" s="1185"/>
      <c r="KNQ6" s="1185"/>
      <c r="KNR6" s="1185"/>
      <c r="KNS6" s="1185"/>
      <c r="KNT6" s="1185"/>
      <c r="KNU6" s="1185"/>
      <c r="KNV6" s="1185"/>
      <c r="KNW6" s="1185"/>
      <c r="KNX6" s="1185"/>
      <c r="KNY6" s="1185"/>
      <c r="KNZ6" s="1185"/>
      <c r="KOA6" s="1185"/>
      <c r="KOB6" s="1185"/>
      <c r="KOC6" s="1185"/>
      <c r="KOD6" s="1185"/>
      <c r="KOE6" s="1185"/>
      <c r="KOF6" s="1185"/>
      <c r="KOG6" s="1185"/>
      <c r="KOH6" s="1185"/>
      <c r="KOI6" s="1185"/>
      <c r="KOJ6" s="1185"/>
      <c r="KOK6" s="1185"/>
      <c r="KOL6" s="1185"/>
      <c r="KOM6" s="1185"/>
      <c r="KON6" s="1185"/>
      <c r="KOO6" s="1185"/>
      <c r="KOP6" s="1185"/>
      <c r="KOQ6" s="1185"/>
      <c r="KOR6" s="1185"/>
      <c r="KOS6" s="1185"/>
      <c r="KOT6" s="1185"/>
      <c r="KOU6" s="1185"/>
      <c r="KOV6" s="1185"/>
      <c r="KOW6" s="1185"/>
      <c r="KOX6" s="1185"/>
      <c r="KOY6" s="1185"/>
      <c r="KOZ6" s="1185"/>
      <c r="KPA6" s="1185"/>
      <c r="KPB6" s="1185"/>
      <c r="KPC6" s="1185"/>
      <c r="KPD6" s="1185"/>
      <c r="KPE6" s="1185"/>
      <c r="KPF6" s="1185"/>
      <c r="KPG6" s="1185"/>
      <c r="KPH6" s="1185"/>
      <c r="KPI6" s="1185"/>
      <c r="KPJ6" s="1185"/>
      <c r="KPK6" s="1185"/>
      <c r="KPL6" s="1185"/>
      <c r="KPM6" s="1185"/>
      <c r="KPN6" s="1185"/>
      <c r="KPO6" s="1185"/>
      <c r="KPP6" s="1185"/>
      <c r="KPQ6" s="1185"/>
      <c r="KPR6" s="1185"/>
      <c r="KPS6" s="1185"/>
      <c r="KPT6" s="1185"/>
      <c r="KPU6" s="1185"/>
      <c r="KPV6" s="1185"/>
      <c r="KPW6" s="1185"/>
      <c r="KPX6" s="1185"/>
      <c r="KPY6" s="1185"/>
      <c r="KPZ6" s="1185"/>
      <c r="KQA6" s="1185"/>
      <c r="KQB6" s="1185"/>
      <c r="KQC6" s="1185"/>
      <c r="KQD6" s="1185"/>
      <c r="KQE6" s="1185"/>
      <c r="KQF6" s="1185"/>
      <c r="KQG6" s="1185"/>
      <c r="KQH6" s="1185"/>
      <c r="KQI6" s="1185"/>
      <c r="KQJ6" s="1185"/>
      <c r="KQK6" s="1185"/>
      <c r="KQL6" s="1185"/>
      <c r="KQM6" s="1185"/>
      <c r="KQN6" s="1185"/>
      <c r="KQO6" s="1185"/>
      <c r="KQP6" s="1185"/>
      <c r="KQQ6" s="1185"/>
      <c r="KQR6" s="1185"/>
      <c r="KQS6" s="1185"/>
      <c r="KQT6" s="1185"/>
      <c r="KQU6" s="1185"/>
      <c r="KQV6" s="1185"/>
      <c r="KQW6" s="1185"/>
      <c r="KQX6" s="1185"/>
      <c r="KQY6" s="1185"/>
      <c r="KQZ6" s="1185"/>
      <c r="KRA6" s="1185"/>
      <c r="KRB6" s="1185"/>
      <c r="KRC6" s="1185"/>
      <c r="KRD6" s="1185"/>
      <c r="KRE6" s="1185"/>
      <c r="KRF6" s="1185"/>
      <c r="KRG6" s="1185"/>
      <c r="KRH6" s="1185"/>
      <c r="KRI6" s="1185"/>
      <c r="KRJ6" s="1185"/>
      <c r="KRK6" s="1185"/>
      <c r="KRL6" s="1185"/>
      <c r="KRM6" s="1185"/>
      <c r="KRN6" s="1185"/>
      <c r="KRO6" s="1185"/>
      <c r="KRP6" s="1185"/>
      <c r="KRQ6" s="1185"/>
      <c r="KRR6" s="1185"/>
      <c r="KRS6" s="1185"/>
      <c r="KRT6" s="1185"/>
      <c r="KRU6" s="1185"/>
      <c r="KRV6" s="1185"/>
      <c r="KRW6" s="1185"/>
      <c r="KRX6" s="1185"/>
      <c r="KRY6" s="1185"/>
      <c r="KRZ6" s="1185"/>
      <c r="KSA6" s="1185"/>
      <c r="KSB6" s="1185"/>
      <c r="KSC6" s="1185"/>
      <c r="KSD6" s="1185"/>
      <c r="KSE6" s="1185"/>
      <c r="KSF6" s="1185"/>
      <c r="KSG6" s="1185"/>
      <c r="KSH6" s="1185"/>
      <c r="KSI6" s="1185"/>
      <c r="KSJ6" s="1185"/>
      <c r="KSK6" s="1185"/>
      <c r="KSL6" s="1185"/>
      <c r="KSM6" s="1185"/>
      <c r="KSN6" s="1185"/>
      <c r="KSO6" s="1185"/>
      <c r="KSP6" s="1185"/>
      <c r="KSQ6" s="1185"/>
      <c r="KSR6" s="1185"/>
      <c r="KSS6" s="1185"/>
      <c r="KST6" s="1185"/>
      <c r="KSU6" s="1185"/>
      <c r="KSV6" s="1185"/>
      <c r="KSW6" s="1185"/>
      <c r="KSX6" s="1185"/>
      <c r="KSY6" s="1185"/>
      <c r="KSZ6" s="1185"/>
      <c r="KTA6" s="1185"/>
      <c r="KTB6" s="1185"/>
      <c r="KTC6" s="1185"/>
      <c r="KTD6" s="1185"/>
      <c r="KTE6" s="1185"/>
      <c r="KTF6" s="1185"/>
      <c r="KTG6" s="1185"/>
      <c r="KTH6" s="1185"/>
      <c r="KTI6" s="1185"/>
      <c r="KTJ6" s="1185"/>
      <c r="KTK6" s="1185"/>
      <c r="KTL6" s="1185"/>
      <c r="KTM6" s="1185"/>
      <c r="KTN6" s="1185"/>
      <c r="KTO6" s="1185"/>
      <c r="KTP6" s="1185"/>
      <c r="KTQ6" s="1185"/>
      <c r="KTR6" s="1185"/>
      <c r="KTS6" s="1185"/>
      <c r="KTT6" s="1185"/>
      <c r="KTU6" s="1185"/>
      <c r="KTV6" s="1185"/>
      <c r="KTW6" s="1185"/>
      <c r="KTX6" s="1185"/>
      <c r="KTY6" s="1185"/>
      <c r="KTZ6" s="1185"/>
      <c r="KUA6" s="1185"/>
      <c r="KUB6" s="1185"/>
      <c r="KUC6" s="1185"/>
      <c r="KUD6" s="1185"/>
      <c r="KUE6" s="1185"/>
      <c r="KUF6" s="1185"/>
      <c r="KUG6" s="1185"/>
      <c r="KUH6" s="1185"/>
      <c r="KUI6" s="1185"/>
      <c r="KUJ6" s="1185"/>
      <c r="KUK6" s="1185"/>
      <c r="KUL6" s="1185"/>
      <c r="KUM6" s="1185"/>
      <c r="KUN6" s="1185"/>
      <c r="KUO6" s="1185"/>
      <c r="KUP6" s="1185"/>
      <c r="KUQ6" s="1185"/>
      <c r="KUR6" s="1185"/>
      <c r="KUS6" s="1185"/>
      <c r="KUT6" s="1185"/>
      <c r="KUU6" s="1185"/>
      <c r="KUV6" s="1185"/>
      <c r="KUW6" s="1185"/>
      <c r="KUX6" s="1185"/>
      <c r="KUY6" s="1185"/>
      <c r="KUZ6" s="1185"/>
      <c r="KVA6" s="1185"/>
      <c r="KVB6" s="1185"/>
      <c r="KVC6" s="1185"/>
      <c r="KVD6" s="1185"/>
      <c r="KVE6" s="1185"/>
      <c r="KVF6" s="1185"/>
      <c r="KVG6" s="1185"/>
      <c r="KVH6" s="1185"/>
      <c r="KVI6" s="1185"/>
      <c r="KVJ6" s="1185"/>
      <c r="KVK6" s="1185"/>
      <c r="KVL6" s="1185"/>
      <c r="KVM6" s="1185"/>
      <c r="KVN6" s="1185"/>
      <c r="KVO6" s="1185"/>
      <c r="KVP6" s="1185"/>
      <c r="KVQ6" s="1185"/>
      <c r="KVR6" s="1185"/>
      <c r="KVS6" s="1185"/>
      <c r="KVT6" s="1185"/>
      <c r="KVU6" s="1185"/>
      <c r="KVV6" s="1185"/>
      <c r="KVW6" s="1185"/>
      <c r="KVX6" s="1185"/>
      <c r="KVY6" s="1185"/>
      <c r="KVZ6" s="1185"/>
      <c r="KWA6" s="1185"/>
      <c r="KWB6" s="1185"/>
      <c r="KWC6" s="1185"/>
      <c r="KWD6" s="1185"/>
      <c r="KWE6" s="1185"/>
      <c r="KWF6" s="1185"/>
      <c r="KWG6" s="1185"/>
      <c r="KWH6" s="1185"/>
      <c r="KWI6" s="1185"/>
      <c r="KWJ6" s="1185"/>
      <c r="KWK6" s="1185"/>
      <c r="KWL6" s="1185"/>
      <c r="KWM6" s="1185"/>
      <c r="KWN6" s="1185"/>
      <c r="KWO6" s="1185"/>
      <c r="KWP6" s="1185"/>
      <c r="KWQ6" s="1185"/>
      <c r="KWR6" s="1185"/>
      <c r="KWS6" s="1185"/>
      <c r="KWT6" s="1185"/>
      <c r="KWU6" s="1185"/>
      <c r="KWV6" s="1185"/>
      <c r="KWW6" s="1185"/>
      <c r="KWX6" s="1185"/>
      <c r="KWY6" s="1185"/>
      <c r="KWZ6" s="1185"/>
      <c r="KXA6" s="1185"/>
      <c r="KXB6" s="1185"/>
      <c r="KXC6" s="1185"/>
      <c r="KXD6" s="1185"/>
      <c r="KXE6" s="1185"/>
      <c r="KXF6" s="1185"/>
      <c r="KXG6" s="1185"/>
      <c r="KXH6" s="1185"/>
      <c r="KXI6" s="1185"/>
      <c r="KXJ6" s="1185"/>
      <c r="KXK6" s="1185"/>
      <c r="KXL6" s="1185"/>
      <c r="KXM6" s="1185"/>
      <c r="KXN6" s="1185"/>
      <c r="KXO6" s="1185"/>
      <c r="KXP6" s="1185"/>
      <c r="KXQ6" s="1185"/>
      <c r="KXR6" s="1185"/>
      <c r="KXS6" s="1185"/>
      <c r="KXT6" s="1185"/>
      <c r="KXU6" s="1185"/>
      <c r="KXV6" s="1185"/>
      <c r="KXW6" s="1185"/>
      <c r="KXX6" s="1185"/>
      <c r="KXY6" s="1185"/>
      <c r="KXZ6" s="1185"/>
      <c r="KYA6" s="1185"/>
      <c r="KYB6" s="1185"/>
      <c r="KYC6" s="1185"/>
      <c r="KYD6" s="1185"/>
      <c r="KYE6" s="1185"/>
      <c r="KYF6" s="1185"/>
      <c r="KYG6" s="1185"/>
      <c r="KYH6" s="1185"/>
      <c r="KYI6" s="1185"/>
      <c r="KYJ6" s="1185"/>
      <c r="KYK6" s="1185"/>
      <c r="KYL6" s="1185"/>
      <c r="KYM6" s="1185"/>
      <c r="KYN6" s="1185"/>
      <c r="KYO6" s="1185"/>
      <c r="KYP6" s="1185"/>
      <c r="KYQ6" s="1185"/>
      <c r="KYR6" s="1185"/>
      <c r="KYS6" s="1185"/>
      <c r="KYT6" s="1185"/>
      <c r="KYU6" s="1185"/>
      <c r="KYV6" s="1185"/>
      <c r="KYW6" s="1185"/>
      <c r="KYX6" s="1185"/>
      <c r="KYY6" s="1185"/>
      <c r="KYZ6" s="1185"/>
      <c r="KZA6" s="1185"/>
      <c r="KZB6" s="1185"/>
      <c r="KZC6" s="1185"/>
      <c r="KZD6" s="1185"/>
      <c r="KZE6" s="1185"/>
      <c r="KZF6" s="1185"/>
      <c r="KZG6" s="1185"/>
      <c r="KZH6" s="1185"/>
      <c r="KZI6" s="1185"/>
      <c r="KZJ6" s="1185"/>
      <c r="KZK6" s="1185"/>
      <c r="KZL6" s="1185"/>
      <c r="KZM6" s="1185"/>
      <c r="KZN6" s="1185"/>
      <c r="KZO6" s="1185"/>
      <c r="KZP6" s="1185"/>
      <c r="KZQ6" s="1185"/>
      <c r="KZR6" s="1185"/>
      <c r="KZS6" s="1185"/>
      <c r="KZT6" s="1185"/>
      <c r="KZU6" s="1185"/>
      <c r="KZV6" s="1185"/>
      <c r="KZW6" s="1185"/>
      <c r="KZX6" s="1185"/>
      <c r="KZY6" s="1185"/>
      <c r="KZZ6" s="1185"/>
      <c r="LAA6" s="1185"/>
      <c r="LAB6" s="1185"/>
      <c r="LAC6" s="1185"/>
      <c r="LAD6" s="1185"/>
      <c r="LAE6" s="1185"/>
      <c r="LAF6" s="1185"/>
      <c r="LAG6" s="1185"/>
      <c r="LAH6" s="1185"/>
      <c r="LAI6" s="1185"/>
      <c r="LAJ6" s="1185"/>
      <c r="LAK6" s="1185"/>
      <c r="LAL6" s="1185"/>
      <c r="LAM6" s="1185"/>
      <c r="LAN6" s="1185"/>
      <c r="LAO6" s="1185"/>
      <c r="LAP6" s="1185"/>
      <c r="LAQ6" s="1185"/>
      <c r="LAR6" s="1185"/>
      <c r="LAS6" s="1185"/>
      <c r="LAT6" s="1185"/>
      <c r="LAU6" s="1185"/>
      <c r="LAV6" s="1185"/>
      <c r="LAW6" s="1185"/>
      <c r="LAX6" s="1185"/>
      <c r="LAY6" s="1185"/>
      <c r="LAZ6" s="1185"/>
      <c r="LBA6" s="1185"/>
      <c r="LBB6" s="1185"/>
      <c r="LBC6" s="1185"/>
      <c r="LBD6" s="1185"/>
      <c r="LBE6" s="1185"/>
      <c r="LBF6" s="1185"/>
      <c r="LBG6" s="1185"/>
      <c r="LBH6" s="1185"/>
      <c r="LBI6" s="1185"/>
      <c r="LBJ6" s="1185"/>
      <c r="LBK6" s="1185"/>
      <c r="LBL6" s="1185"/>
      <c r="LBM6" s="1185"/>
      <c r="LBN6" s="1185"/>
      <c r="LBO6" s="1185"/>
      <c r="LBP6" s="1185"/>
      <c r="LBQ6" s="1185"/>
      <c r="LBR6" s="1185"/>
      <c r="LBS6" s="1185"/>
      <c r="LBT6" s="1185"/>
      <c r="LBU6" s="1185"/>
      <c r="LBV6" s="1185"/>
      <c r="LBW6" s="1185"/>
      <c r="LBX6" s="1185"/>
      <c r="LBY6" s="1185"/>
      <c r="LBZ6" s="1185"/>
      <c r="LCA6" s="1185"/>
      <c r="LCB6" s="1185"/>
      <c r="LCC6" s="1185"/>
      <c r="LCD6" s="1185"/>
      <c r="LCE6" s="1185"/>
      <c r="LCF6" s="1185"/>
      <c r="LCG6" s="1185"/>
      <c r="LCH6" s="1185"/>
      <c r="LCI6" s="1185"/>
      <c r="LCJ6" s="1185"/>
      <c r="LCK6" s="1185"/>
      <c r="LCL6" s="1185"/>
      <c r="LCM6" s="1185"/>
      <c r="LCN6" s="1185"/>
      <c r="LCO6" s="1185"/>
      <c r="LCP6" s="1185"/>
      <c r="LCQ6" s="1185"/>
      <c r="LCR6" s="1185"/>
      <c r="LCS6" s="1185"/>
      <c r="LCT6" s="1185"/>
      <c r="LCU6" s="1185"/>
      <c r="LCV6" s="1185"/>
      <c r="LCW6" s="1185"/>
      <c r="LCX6" s="1185"/>
      <c r="LCY6" s="1185"/>
      <c r="LCZ6" s="1185"/>
      <c r="LDA6" s="1185"/>
      <c r="LDB6" s="1185"/>
      <c r="LDC6" s="1185"/>
      <c r="LDD6" s="1185"/>
      <c r="LDE6" s="1185"/>
      <c r="LDF6" s="1185"/>
      <c r="LDG6" s="1185"/>
      <c r="LDH6" s="1185"/>
      <c r="LDI6" s="1185"/>
      <c r="LDJ6" s="1185"/>
      <c r="LDK6" s="1185"/>
      <c r="LDL6" s="1185"/>
      <c r="LDM6" s="1185"/>
      <c r="LDN6" s="1185"/>
      <c r="LDO6" s="1185"/>
      <c r="LDP6" s="1185"/>
      <c r="LDQ6" s="1185"/>
      <c r="LDR6" s="1185"/>
      <c r="LDS6" s="1185"/>
      <c r="LDT6" s="1185"/>
      <c r="LDU6" s="1185"/>
      <c r="LDV6" s="1185"/>
      <c r="LDW6" s="1185"/>
      <c r="LDX6" s="1185"/>
      <c r="LDY6" s="1185"/>
      <c r="LDZ6" s="1185"/>
      <c r="LEA6" s="1185"/>
      <c r="LEB6" s="1185"/>
      <c r="LEC6" s="1185"/>
      <c r="LED6" s="1185"/>
      <c r="LEE6" s="1185"/>
      <c r="LEF6" s="1185"/>
      <c r="LEG6" s="1185"/>
      <c r="LEH6" s="1185"/>
      <c r="LEI6" s="1185"/>
      <c r="LEJ6" s="1185"/>
      <c r="LEK6" s="1185"/>
      <c r="LEL6" s="1185"/>
      <c r="LEM6" s="1185"/>
      <c r="LEN6" s="1185"/>
      <c r="LEO6" s="1185"/>
      <c r="LEP6" s="1185"/>
      <c r="LEQ6" s="1185"/>
      <c r="LER6" s="1185"/>
      <c r="LES6" s="1185"/>
      <c r="LET6" s="1185"/>
      <c r="LEU6" s="1185"/>
      <c r="LEV6" s="1185"/>
      <c r="LEW6" s="1185"/>
      <c r="LEX6" s="1185"/>
      <c r="LEY6" s="1185"/>
      <c r="LEZ6" s="1185"/>
      <c r="LFA6" s="1185"/>
      <c r="LFB6" s="1185"/>
      <c r="LFC6" s="1185"/>
      <c r="LFD6" s="1185"/>
      <c r="LFE6" s="1185"/>
      <c r="LFF6" s="1185"/>
      <c r="LFG6" s="1185"/>
      <c r="LFH6" s="1185"/>
      <c r="LFI6" s="1185"/>
      <c r="LFJ6" s="1185"/>
      <c r="LFK6" s="1185"/>
      <c r="LFL6" s="1185"/>
      <c r="LFM6" s="1185"/>
      <c r="LFN6" s="1185"/>
      <c r="LFO6" s="1185"/>
      <c r="LFP6" s="1185"/>
      <c r="LFQ6" s="1185"/>
      <c r="LFR6" s="1185"/>
      <c r="LFS6" s="1185"/>
      <c r="LFT6" s="1185"/>
      <c r="LFU6" s="1185"/>
      <c r="LFV6" s="1185"/>
      <c r="LFW6" s="1185"/>
      <c r="LFX6" s="1185"/>
      <c r="LFY6" s="1185"/>
      <c r="LFZ6" s="1185"/>
      <c r="LGA6" s="1185"/>
      <c r="LGB6" s="1185"/>
      <c r="LGC6" s="1185"/>
      <c r="LGD6" s="1185"/>
      <c r="LGE6" s="1185"/>
      <c r="LGF6" s="1185"/>
      <c r="LGG6" s="1185"/>
      <c r="LGH6" s="1185"/>
      <c r="LGI6" s="1185"/>
      <c r="LGJ6" s="1185"/>
      <c r="LGK6" s="1185"/>
      <c r="LGL6" s="1185"/>
      <c r="LGM6" s="1185"/>
      <c r="LGN6" s="1185"/>
      <c r="LGO6" s="1185"/>
      <c r="LGP6" s="1185"/>
      <c r="LGQ6" s="1185"/>
      <c r="LGR6" s="1185"/>
      <c r="LGS6" s="1185"/>
      <c r="LGT6" s="1185"/>
      <c r="LGU6" s="1185"/>
      <c r="LGV6" s="1185"/>
      <c r="LGW6" s="1185"/>
      <c r="LGX6" s="1185"/>
      <c r="LGY6" s="1185"/>
      <c r="LGZ6" s="1185"/>
      <c r="LHA6" s="1185"/>
      <c r="LHB6" s="1185"/>
      <c r="LHC6" s="1185"/>
      <c r="LHD6" s="1185"/>
      <c r="LHE6" s="1185"/>
      <c r="LHF6" s="1185"/>
      <c r="LHG6" s="1185"/>
      <c r="LHH6" s="1185"/>
      <c r="LHI6" s="1185"/>
      <c r="LHJ6" s="1185"/>
      <c r="LHK6" s="1185"/>
      <c r="LHL6" s="1185"/>
      <c r="LHM6" s="1185"/>
      <c r="LHN6" s="1185"/>
      <c r="LHO6" s="1185"/>
      <c r="LHP6" s="1185"/>
      <c r="LHQ6" s="1185"/>
      <c r="LHR6" s="1185"/>
      <c r="LHS6" s="1185"/>
      <c r="LHT6" s="1185"/>
      <c r="LHU6" s="1185"/>
      <c r="LHV6" s="1185"/>
      <c r="LHW6" s="1185"/>
      <c r="LHX6" s="1185"/>
      <c r="LHY6" s="1185"/>
      <c r="LHZ6" s="1185"/>
      <c r="LIA6" s="1185"/>
      <c r="LIB6" s="1185"/>
      <c r="LIC6" s="1185"/>
      <c r="LID6" s="1185"/>
      <c r="LIE6" s="1185"/>
      <c r="LIF6" s="1185"/>
      <c r="LIG6" s="1185"/>
      <c r="LIH6" s="1185"/>
      <c r="LII6" s="1185"/>
      <c r="LIJ6" s="1185"/>
      <c r="LIK6" s="1185"/>
      <c r="LIL6" s="1185"/>
      <c r="LIM6" s="1185"/>
      <c r="LIN6" s="1185"/>
      <c r="LIO6" s="1185"/>
      <c r="LIP6" s="1185"/>
      <c r="LIQ6" s="1185"/>
      <c r="LIR6" s="1185"/>
      <c r="LIS6" s="1185"/>
      <c r="LIT6" s="1185"/>
      <c r="LIU6" s="1185"/>
      <c r="LIV6" s="1185"/>
      <c r="LIW6" s="1185"/>
      <c r="LIX6" s="1185"/>
      <c r="LIY6" s="1185"/>
      <c r="LIZ6" s="1185"/>
      <c r="LJA6" s="1185"/>
      <c r="LJB6" s="1185"/>
      <c r="LJC6" s="1185"/>
      <c r="LJD6" s="1185"/>
      <c r="LJE6" s="1185"/>
      <c r="LJF6" s="1185"/>
      <c r="LJG6" s="1185"/>
      <c r="LJH6" s="1185"/>
      <c r="LJI6" s="1185"/>
      <c r="LJJ6" s="1185"/>
      <c r="LJK6" s="1185"/>
      <c r="LJL6" s="1185"/>
      <c r="LJM6" s="1185"/>
      <c r="LJN6" s="1185"/>
      <c r="LJO6" s="1185"/>
      <c r="LJP6" s="1185"/>
      <c r="LJQ6" s="1185"/>
      <c r="LJR6" s="1185"/>
      <c r="LJS6" s="1185"/>
      <c r="LJT6" s="1185"/>
      <c r="LJU6" s="1185"/>
      <c r="LJV6" s="1185"/>
      <c r="LJW6" s="1185"/>
      <c r="LJX6" s="1185"/>
      <c r="LJY6" s="1185"/>
      <c r="LJZ6" s="1185"/>
      <c r="LKA6" s="1185"/>
      <c r="LKB6" s="1185"/>
      <c r="LKC6" s="1185"/>
      <c r="LKD6" s="1185"/>
      <c r="LKE6" s="1185"/>
      <c r="LKF6" s="1185"/>
      <c r="LKG6" s="1185"/>
      <c r="LKH6" s="1185"/>
      <c r="LKI6" s="1185"/>
      <c r="LKJ6" s="1185"/>
      <c r="LKK6" s="1185"/>
      <c r="LKL6" s="1185"/>
      <c r="LKM6" s="1185"/>
      <c r="LKN6" s="1185"/>
      <c r="LKO6" s="1185"/>
      <c r="LKP6" s="1185"/>
      <c r="LKQ6" s="1185"/>
      <c r="LKR6" s="1185"/>
      <c r="LKS6" s="1185"/>
      <c r="LKT6" s="1185"/>
      <c r="LKU6" s="1185"/>
      <c r="LKV6" s="1185"/>
      <c r="LKW6" s="1185"/>
      <c r="LKX6" s="1185"/>
      <c r="LKY6" s="1185"/>
      <c r="LKZ6" s="1185"/>
      <c r="LLA6" s="1185"/>
      <c r="LLB6" s="1185"/>
      <c r="LLC6" s="1185"/>
      <c r="LLD6" s="1185"/>
      <c r="LLE6" s="1185"/>
      <c r="LLF6" s="1185"/>
      <c r="LLG6" s="1185"/>
      <c r="LLH6" s="1185"/>
      <c r="LLI6" s="1185"/>
      <c r="LLJ6" s="1185"/>
      <c r="LLK6" s="1185"/>
      <c r="LLL6" s="1185"/>
      <c r="LLM6" s="1185"/>
      <c r="LLN6" s="1185"/>
      <c r="LLO6" s="1185"/>
      <c r="LLP6" s="1185"/>
      <c r="LLQ6" s="1185"/>
      <c r="LLR6" s="1185"/>
      <c r="LLS6" s="1185"/>
      <c r="LLT6" s="1185"/>
      <c r="LLU6" s="1185"/>
      <c r="LLV6" s="1185"/>
      <c r="LLW6" s="1185"/>
      <c r="LLX6" s="1185"/>
      <c r="LLY6" s="1185"/>
      <c r="LLZ6" s="1185"/>
      <c r="LMA6" s="1185"/>
      <c r="LMB6" s="1185"/>
      <c r="LMC6" s="1185"/>
      <c r="LMD6" s="1185"/>
      <c r="LME6" s="1185"/>
      <c r="LMF6" s="1185"/>
      <c r="LMG6" s="1185"/>
      <c r="LMH6" s="1185"/>
      <c r="LMI6" s="1185"/>
      <c r="LMJ6" s="1185"/>
      <c r="LMK6" s="1185"/>
      <c r="LML6" s="1185"/>
      <c r="LMM6" s="1185"/>
      <c r="LMN6" s="1185"/>
      <c r="LMO6" s="1185"/>
      <c r="LMP6" s="1185"/>
      <c r="LMQ6" s="1185"/>
      <c r="LMR6" s="1185"/>
      <c r="LMS6" s="1185"/>
      <c r="LMT6" s="1185"/>
      <c r="LMU6" s="1185"/>
      <c r="LMV6" s="1185"/>
      <c r="LMW6" s="1185"/>
      <c r="LMX6" s="1185"/>
      <c r="LMY6" s="1185"/>
      <c r="LMZ6" s="1185"/>
      <c r="LNA6" s="1185"/>
      <c r="LNB6" s="1185"/>
      <c r="LNC6" s="1185"/>
      <c r="LND6" s="1185"/>
      <c r="LNE6" s="1185"/>
      <c r="LNF6" s="1185"/>
      <c r="LNG6" s="1185"/>
      <c r="LNH6" s="1185"/>
      <c r="LNI6" s="1185"/>
      <c r="LNJ6" s="1185"/>
      <c r="LNK6" s="1185"/>
      <c r="LNL6" s="1185"/>
      <c r="LNM6" s="1185"/>
      <c r="LNN6" s="1185"/>
      <c r="LNO6" s="1185"/>
      <c r="LNP6" s="1185"/>
      <c r="LNQ6" s="1185"/>
      <c r="LNR6" s="1185"/>
      <c r="LNS6" s="1185"/>
      <c r="LNT6" s="1185"/>
      <c r="LNU6" s="1185"/>
      <c r="LNV6" s="1185"/>
      <c r="LNW6" s="1185"/>
      <c r="LNX6" s="1185"/>
      <c r="LNY6" s="1185"/>
      <c r="LNZ6" s="1185"/>
      <c r="LOA6" s="1185"/>
      <c r="LOB6" s="1185"/>
      <c r="LOC6" s="1185"/>
      <c r="LOD6" s="1185"/>
      <c r="LOE6" s="1185"/>
      <c r="LOF6" s="1185"/>
      <c r="LOG6" s="1185"/>
      <c r="LOH6" s="1185"/>
      <c r="LOI6" s="1185"/>
      <c r="LOJ6" s="1185"/>
      <c r="LOK6" s="1185"/>
      <c r="LOL6" s="1185"/>
      <c r="LOM6" s="1185"/>
      <c r="LON6" s="1185"/>
      <c r="LOO6" s="1185"/>
      <c r="LOP6" s="1185"/>
      <c r="LOQ6" s="1185"/>
      <c r="LOR6" s="1185"/>
      <c r="LOS6" s="1185"/>
      <c r="LOT6" s="1185"/>
      <c r="LOU6" s="1185"/>
      <c r="LOV6" s="1185"/>
      <c r="LOW6" s="1185"/>
      <c r="LOX6" s="1185"/>
      <c r="LOY6" s="1185"/>
      <c r="LOZ6" s="1185"/>
      <c r="LPA6" s="1185"/>
      <c r="LPB6" s="1185"/>
      <c r="LPC6" s="1185"/>
      <c r="LPD6" s="1185"/>
      <c r="LPE6" s="1185"/>
      <c r="LPF6" s="1185"/>
      <c r="LPG6" s="1185"/>
      <c r="LPH6" s="1185"/>
      <c r="LPI6" s="1185"/>
      <c r="LPJ6" s="1185"/>
      <c r="LPK6" s="1185"/>
      <c r="LPL6" s="1185"/>
      <c r="LPM6" s="1185"/>
      <c r="LPN6" s="1185"/>
      <c r="LPO6" s="1185"/>
      <c r="LPP6" s="1185"/>
      <c r="LPQ6" s="1185"/>
      <c r="LPR6" s="1185"/>
      <c r="LPS6" s="1185"/>
      <c r="LPT6" s="1185"/>
      <c r="LPU6" s="1185"/>
      <c r="LPV6" s="1185"/>
      <c r="LPW6" s="1185"/>
      <c r="LPX6" s="1185"/>
      <c r="LPY6" s="1185"/>
      <c r="LPZ6" s="1185"/>
      <c r="LQA6" s="1185"/>
      <c r="LQB6" s="1185"/>
      <c r="LQC6" s="1185"/>
      <c r="LQD6" s="1185"/>
      <c r="LQE6" s="1185"/>
      <c r="LQF6" s="1185"/>
      <c r="LQG6" s="1185"/>
      <c r="LQH6" s="1185"/>
      <c r="LQI6" s="1185"/>
      <c r="LQJ6" s="1185"/>
      <c r="LQK6" s="1185"/>
      <c r="LQL6" s="1185"/>
      <c r="LQM6" s="1185"/>
      <c r="LQN6" s="1185"/>
      <c r="LQO6" s="1185"/>
      <c r="LQP6" s="1185"/>
      <c r="LQQ6" s="1185"/>
      <c r="LQR6" s="1185"/>
      <c r="LQS6" s="1185"/>
      <c r="LQT6" s="1185"/>
      <c r="LQU6" s="1185"/>
      <c r="LQV6" s="1185"/>
      <c r="LQW6" s="1185"/>
      <c r="LQX6" s="1185"/>
      <c r="LQY6" s="1185"/>
      <c r="LQZ6" s="1185"/>
      <c r="LRA6" s="1185"/>
      <c r="LRB6" s="1185"/>
      <c r="LRC6" s="1185"/>
      <c r="LRD6" s="1185"/>
      <c r="LRE6" s="1185"/>
      <c r="LRF6" s="1185"/>
      <c r="LRG6" s="1185"/>
      <c r="LRH6" s="1185"/>
      <c r="LRI6" s="1185"/>
      <c r="LRJ6" s="1185"/>
      <c r="LRK6" s="1185"/>
      <c r="LRL6" s="1185"/>
      <c r="LRM6" s="1185"/>
      <c r="LRN6" s="1185"/>
      <c r="LRO6" s="1185"/>
      <c r="LRP6" s="1185"/>
      <c r="LRQ6" s="1185"/>
      <c r="LRR6" s="1185"/>
      <c r="LRS6" s="1185"/>
      <c r="LRT6" s="1185"/>
      <c r="LRU6" s="1185"/>
      <c r="LRV6" s="1185"/>
      <c r="LRW6" s="1185"/>
      <c r="LRX6" s="1185"/>
      <c r="LRY6" s="1185"/>
      <c r="LRZ6" s="1185"/>
      <c r="LSA6" s="1185"/>
      <c r="LSB6" s="1185"/>
      <c r="LSC6" s="1185"/>
      <c r="LSD6" s="1185"/>
      <c r="LSE6" s="1185"/>
      <c r="LSF6" s="1185"/>
      <c r="LSG6" s="1185"/>
      <c r="LSH6" s="1185"/>
      <c r="LSI6" s="1185"/>
      <c r="LSJ6" s="1185"/>
      <c r="LSK6" s="1185"/>
      <c r="LSL6" s="1185"/>
      <c r="LSM6" s="1185"/>
      <c r="LSN6" s="1185"/>
      <c r="LSO6" s="1185"/>
      <c r="LSP6" s="1185"/>
      <c r="LSQ6" s="1185"/>
      <c r="LSR6" s="1185"/>
      <c r="LSS6" s="1185"/>
      <c r="LST6" s="1185"/>
      <c r="LSU6" s="1185"/>
      <c r="LSV6" s="1185"/>
      <c r="LSW6" s="1185"/>
      <c r="LSX6" s="1185"/>
      <c r="LSY6" s="1185"/>
      <c r="LSZ6" s="1185"/>
      <c r="LTA6" s="1185"/>
      <c r="LTB6" s="1185"/>
      <c r="LTC6" s="1185"/>
      <c r="LTD6" s="1185"/>
      <c r="LTE6" s="1185"/>
      <c r="LTF6" s="1185"/>
      <c r="LTG6" s="1185"/>
      <c r="LTH6" s="1185"/>
      <c r="LTI6" s="1185"/>
      <c r="LTJ6" s="1185"/>
      <c r="LTK6" s="1185"/>
      <c r="LTL6" s="1185"/>
      <c r="LTM6" s="1185"/>
      <c r="LTN6" s="1185"/>
      <c r="LTO6" s="1185"/>
      <c r="LTP6" s="1185"/>
      <c r="LTQ6" s="1185"/>
      <c r="LTR6" s="1185"/>
      <c r="LTS6" s="1185"/>
      <c r="LTT6" s="1185"/>
      <c r="LTU6" s="1185"/>
      <c r="LTV6" s="1185"/>
      <c r="LTW6" s="1185"/>
      <c r="LTX6" s="1185"/>
      <c r="LTY6" s="1185"/>
      <c r="LTZ6" s="1185"/>
      <c r="LUA6" s="1185"/>
      <c r="LUB6" s="1185"/>
      <c r="LUC6" s="1185"/>
      <c r="LUD6" s="1185"/>
      <c r="LUE6" s="1185"/>
      <c r="LUF6" s="1185"/>
      <c r="LUG6" s="1185"/>
      <c r="LUH6" s="1185"/>
      <c r="LUI6" s="1185"/>
      <c r="LUJ6" s="1185"/>
      <c r="LUK6" s="1185"/>
      <c r="LUL6" s="1185"/>
      <c r="LUM6" s="1185"/>
      <c r="LUN6" s="1185"/>
      <c r="LUO6" s="1185"/>
      <c r="LUP6" s="1185"/>
      <c r="LUQ6" s="1185"/>
      <c r="LUR6" s="1185"/>
      <c r="LUS6" s="1185"/>
      <c r="LUT6" s="1185"/>
      <c r="LUU6" s="1185"/>
      <c r="LUV6" s="1185"/>
      <c r="LUW6" s="1185"/>
      <c r="LUX6" s="1185"/>
      <c r="LUY6" s="1185"/>
      <c r="LUZ6" s="1185"/>
      <c r="LVA6" s="1185"/>
      <c r="LVB6" s="1185"/>
      <c r="LVC6" s="1185"/>
      <c r="LVD6" s="1185"/>
      <c r="LVE6" s="1185"/>
      <c r="LVF6" s="1185"/>
      <c r="LVG6" s="1185"/>
      <c r="LVH6" s="1185"/>
      <c r="LVI6" s="1185"/>
      <c r="LVJ6" s="1185"/>
      <c r="LVK6" s="1185"/>
      <c r="LVL6" s="1185"/>
      <c r="LVM6" s="1185"/>
      <c r="LVN6" s="1185"/>
      <c r="LVO6" s="1185"/>
      <c r="LVP6" s="1185"/>
      <c r="LVQ6" s="1185"/>
      <c r="LVR6" s="1185"/>
      <c r="LVS6" s="1185"/>
      <c r="LVT6" s="1185"/>
      <c r="LVU6" s="1185"/>
      <c r="LVV6" s="1185"/>
      <c r="LVW6" s="1185"/>
      <c r="LVX6" s="1185"/>
      <c r="LVY6" s="1185"/>
      <c r="LVZ6" s="1185"/>
      <c r="LWA6" s="1185"/>
      <c r="LWB6" s="1185"/>
      <c r="LWC6" s="1185"/>
      <c r="LWD6" s="1185"/>
      <c r="LWE6" s="1185"/>
      <c r="LWF6" s="1185"/>
      <c r="LWG6" s="1185"/>
      <c r="LWH6" s="1185"/>
      <c r="LWI6" s="1185"/>
      <c r="LWJ6" s="1185"/>
      <c r="LWK6" s="1185"/>
      <c r="LWL6" s="1185"/>
      <c r="LWM6" s="1185"/>
      <c r="LWN6" s="1185"/>
      <c r="LWO6" s="1185"/>
      <c r="LWP6" s="1185"/>
      <c r="LWQ6" s="1185"/>
      <c r="LWR6" s="1185"/>
      <c r="LWS6" s="1185"/>
      <c r="LWT6" s="1185"/>
      <c r="LWU6" s="1185"/>
      <c r="LWV6" s="1185"/>
      <c r="LWW6" s="1185"/>
      <c r="LWX6" s="1185"/>
      <c r="LWY6" s="1185"/>
      <c r="LWZ6" s="1185"/>
      <c r="LXA6" s="1185"/>
      <c r="LXB6" s="1185"/>
      <c r="LXC6" s="1185"/>
      <c r="LXD6" s="1185"/>
      <c r="LXE6" s="1185"/>
      <c r="LXF6" s="1185"/>
      <c r="LXG6" s="1185"/>
      <c r="LXH6" s="1185"/>
      <c r="LXI6" s="1185"/>
      <c r="LXJ6" s="1185"/>
      <c r="LXK6" s="1185"/>
      <c r="LXL6" s="1185"/>
      <c r="LXM6" s="1185"/>
      <c r="LXN6" s="1185"/>
      <c r="LXO6" s="1185"/>
      <c r="LXP6" s="1185"/>
      <c r="LXQ6" s="1185"/>
      <c r="LXR6" s="1185"/>
      <c r="LXS6" s="1185"/>
      <c r="LXT6" s="1185"/>
      <c r="LXU6" s="1185"/>
      <c r="LXV6" s="1185"/>
      <c r="LXW6" s="1185"/>
      <c r="LXX6" s="1185"/>
      <c r="LXY6" s="1185"/>
      <c r="LXZ6" s="1185"/>
      <c r="LYA6" s="1185"/>
      <c r="LYB6" s="1185"/>
      <c r="LYC6" s="1185"/>
      <c r="LYD6" s="1185"/>
      <c r="LYE6" s="1185"/>
      <c r="LYF6" s="1185"/>
      <c r="LYG6" s="1185"/>
      <c r="LYH6" s="1185"/>
      <c r="LYI6" s="1185"/>
      <c r="LYJ6" s="1185"/>
      <c r="LYK6" s="1185"/>
      <c r="LYL6" s="1185"/>
      <c r="LYM6" s="1185"/>
      <c r="LYN6" s="1185"/>
      <c r="LYO6" s="1185"/>
      <c r="LYP6" s="1185"/>
      <c r="LYQ6" s="1185"/>
      <c r="LYR6" s="1185"/>
      <c r="LYS6" s="1185"/>
      <c r="LYT6" s="1185"/>
      <c r="LYU6" s="1185"/>
      <c r="LYV6" s="1185"/>
      <c r="LYW6" s="1185"/>
      <c r="LYX6" s="1185"/>
      <c r="LYY6" s="1185"/>
      <c r="LYZ6" s="1185"/>
      <c r="LZA6" s="1185"/>
      <c r="LZB6" s="1185"/>
      <c r="LZC6" s="1185"/>
      <c r="LZD6" s="1185"/>
      <c r="LZE6" s="1185"/>
      <c r="LZF6" s="1185"/>
      <c r="LZG6" s="1185"/>
      <c r="LZH6" s="1185"/>
      <c r="LZI6" s="1185"/>
      <c r="LZJ6" s="1185"/>
      <c r="LZK6" s="1185"/>
      <c r="LZL6" s="1185"/>
      <c r="LZM6" s="1185"/>
      <c r="LZN6" s="1185"/>
      <c r="LZO6" s="1185"/>
      <c r="LZP6" s="1185"/>
      <c r="LZQ6" s="1185"/>
      <c r="LZR6" s="1185"/>
      <c r="LZS6" s="1185"/>
      <c r="LZT6" s="1185"/>
      <c r="LZU6" s="1185"/>
      <c r="LZV6" s="1185"/>
      <c r="LZW6" s="1185"/>
      <c r="LZX6" s="1185"/>
      <c r="LZY6" s="1185"/>
      <c r="LZZ6" s="1185"/>
      <c r="MAA6" s="1185"/>
      <c r="MAB6" s="1185"/>
      <c r="MAC6" s="1185"/>
      <c r="MAD6" s="1185"/>
      <c r="MAE6" s="1185"/>
      <c r="MAF6" s="1185"/>
      <c r="MAG6" s="1185"/>
      <c r="MAH6" s="1185"/>
      <c r="MAI6" s="1185"/>
      <c r="MAJ6" s="1185"/>
      <c r="MAK6" s="1185"/>
      <c r="MAL6" s="1185"/>
      <c r="MAM6" s="1185"/>
      <c r="MAN6" s="1185"/>
      <c r="MAO6" s="1185"/>
      <c r="MAP6" s="1185"/>
      <c r="MAQ6" s="1185"/>
      <c r="MAR6" s="1185"/>
      <c r="MAS6" s="1185"/>
      <c r="MAT6" s="1185"/>
      <c r="MAU6" s="1185"/>
      <c r="MAV6" s="1185"/>
      <c r="MAW6" s="1185"/>
      <c r="MAX6" s="1185"/>
      <c r="MAY6" s="1185"/>
      <c r="MAZ6" s="1185"/>
      <c r="MBA6" s="1185"/>
      <c r="MBB6" s="1185"/>
      <c r="MBC6" s="1185"/>
      <c r="MBD6" s="1185"/>
      <c r="MBE6" s="1185"/>
      <c r="MBF6" s="1185"/>
      <c r="MBG6" s="1185"/>
      <c r="MBH6" s="1185"/>
      <c r="MBI6" s="1185"/>
      <c r="MBJ6" s="1185"/>
      <c r="MBK6" s="1185"/>
      <c r="MBL6" s="1185"/>
      <c r="MBM6" s="1185"/>
      <c r="MBN6" s="1185"/>
      <c r="MBO6" s="1185"/>
      <c r="MBP6" s="1185"/>
      <c r="MBQ6" s="1185"/>
      <c r="MBR6" s="1185"/>
      <c r="MBS6" s="1185"/>
      <c r="MBT6" s="1185"/>
      <c r="MBU6" s="1185"/>
      <c r="MBV6" s="1185"/>
      <c r="MBW6" s="1185"/>
      <c r="MBX6" s="1185"/>
      <c r="MBY6" s="1185"/>
      <c r="MBZ6" s="1185"/>
      <c r="MCA6" s="1185"/>
      <c r="MCB6" s="1185"/>
      <c r="MCC6" s="1185"/>
      <c r="MCD6" s="1185"/>
      <c r="MCE6" s="1185"/>
      <c r="MCF6" s="1185"/>
      <c r="MCG6" s="1185"/>
      <c r="MCH6" s="1185"/>
      <c r="MCI6" s="1185"/>
      <c r="MCJ6" s="1185"/>
      <c r="MCK6" s="1185"/>
      <c r="MCL6" s="1185"/>
      <c r="MCM6" s="1185"/>
      <c r="MCN6" s="1185"/>
      <c r="MCO6" s="1185"/>
      <c r="MCP6" s="1185"/>
      <c r="MCQ6" s="1185"/>
      <c r="MCR6" s="1185"/>
      <c r="MCS6" s="1185"/>
      <c r="MCT6" s="1185"/>
      <c r="MCU6" s="1185"/>
      <c r="MCV6" s="1185"/>
      <c r="MCW6" s="1185"/>
      <c r="MCX6" s="1185"/>
      <c r="MCY6" s="1185"/>
      <c r="MCZ6" s="1185"/>
      <c r="MDA6" s="1185"/>
      <c r="MDB6" s="1185"/>
      <c r="MDC6" s="1185"/>
      <c r="MDD6" s="1185"/>
      <c r="MDE6" s="1185"/>
      <c r="MDF6" s="1185"/>
      <c r="MDG6" s="1185"/>
      <c r="MDH6" s="1185"/>
      <c r="MDI6" s="1185"/>
      <c r="MDJ6" s="1185"/>
      <c r="MDK6" s="1185"/>
      <c r="MDL6" s="1185"/>
      <c r="MDM6" s="1185"/>
      <c r="MDN6" s="1185"/>
      <c r="MDO6" s="1185"/>
      <c r="MDP6" s="1185"/>
      <c r="MDQ6" s="1185"/>
      <c r="MDR6" s="1185"/>
      <c r="MDS6" s="1185"/>
      <c r="MDT6" s="1185"/>
      <c r="MDU6" s="1185"/>
      <c r="MDV6" s="1185"/>
      <c r="MDW6" s="1185"/>
      <c r="MDX6" s="1185"/>
      <c r="MDY6" s="1185"/>
      <c r="MDZ6" s="1185"/>
      <c r="MEA6" s="1185"/>
      <c r="MEB6" s="1185"/>
      <c r="MEC6" s="1185"/>
      <c r="MED6" s="1185"/>
      <c r="MEE6" s="1185"/>
      <c r="MEF6" s="1185"/>
      <c r="MEG6" s="1185"/>
      <c r="MEH6" s="1185"/>
      <c r="MEI6" s="1185"/>
      <c r="MEJ6" s="1185"/>
      <c r="MEK6" s="1185"/>
      <c r="MEL6" s="1185"/>
      <c r="MEM6" s="1185"/>
      <c r="MEN6" s="1185"/>
      <c r="MEO6" s="1185"/>
      <c r="MEP6" s="1185"/>
      <c r="MEQ6" s="1185"/>
      <c r="MER6" s="1185"/>
      <c r="MES6" s="1185"/>
      <c r="MET6" s="1185"/>
      <c r="MEU6" s="1185"/>
      <c r="MEV6" s="1185"/>
      <c r="MEW6" s="1185"/>
      <c r="MEX6" s="1185"/>
      <c r="MEY6" s="1185"/>
      <c r="MEZ6" s="1185"/>
      <c r="MFA6" s="1185"/>
      <c r="MFB6" s="1185"/>
      <c r="MFC6" s="1185"/>
      <c r="MFD6" s="1185"/>
      <c r="MFE6" s="1185"/>
      <c r="MFF6" s="1185"/>
      <c r="MFG6" s="1185"/>
      <c r="MFH6" s="1185"/>
      <c r="MFI6" s="1185"/>
      <c r="MFJ6" s="1185"/>
      <c r="MFK6" s="1185"/>
      <c r="MFL6" s="1185"/>
      <c r="MFM6" s="1185"/>
      <c r="MFN6" s="1185"/>
      <c r="MFO6" s="1185"/>
      <c r="MFP6" s="1185"/>
      <c r="MFQ6" s="1185"/>
      <c r="MFR6" s="1185"/>
      <c r="MFS6" s="1185"/>
      <c r="MFT6" s="1185"/>
      <c r="MFU6" s="1185"/>
      <c r="MFV6" s="1185"/>
      <c r="MFW6" s="1185"/>
      <c r="MFX6" s="1185"/>
      <c r="MFY6" s="1185"/>
      <c r="MFZ6" s="1185"/>
      <c r="MGA6" s="1185"/>
      <c r="MGB6" s="1185"/>
      <c r="MGC6" s="1185"/>
      <c r="MGD6" s="1185"/>
      <c r="MGE6" s="1185"/>
      <c r="MGF6" s="1185"/>
      <c r="MGG6" s="1185"/>
      <c r="MGH6" s="1185"/>
      <c r="MGI6" s="1185"/>
      <c r="MGJ6" s="1185"/>
      <c r="MGK6" s="1185"/>
      <c r="MGL6" s="1185"/>
      <c r="MGM6" s="1185"/>
      <c r="MGN6" s="1185"/>
      <c r="MGO6" s="1185"/>
      <c r="MGP6" s="1185"/>
      <c r="MGQ6" s="1185"/>
      <c r="MGR6" s="1185"/>
      <c r="MGS6" s="1185"/>
      <c r="MGT6" s="1185"/>
      <c r="MGU6" s="1185"/>
      <c r="MGV6" s="1185"/>
      <c r="MGW6" s="1185"/>
      <c r="MGX6" s="1185"/>
      <c r="MGY6" s="1185"/>
      <c r="MGZ6" s="1185"/>
      <c r="MHA6" s="1185"/>
      <c r="MHB6" s="1185"/>
      <c r="MHC6" s="1185"/>
      <c r="MHD6" s="1185"/>
      <c r="MHE6" s="1185"/>
      <c r="MHF6" s="1185"/>
      <c r="MHG6" s="1185"/>
      <c r="MHH6" s="1185"/>
      <c r="MHI6" s="1185"/>
      <c r="MHJ6" s="1185"/>
      <c r="MHK6" s="1185"/>
      <c r="MHL6" s="1185"/>
      <c r="MHM6" s="1185"/>
      <c r="MHN6" s="1185"/>
      <c r="MHO6" s="1185"/>
      <c r="MHP6" s="1185"/>
      <c r="MHQ6" s="1185"/>
      <c r="MHR6" s="1185"/>
      <c r="MHS6" s="1185"/>
      <c r="MHT6" s="1185"/>
      <c r="MHU6" s="1185"/>
      <c r="MHV6" s="1185"/>
      <c r="MHW6" s="1185"/>
      <c r="MHX6" s="1185"/>
      <c r="MHY6" s="1185"/>
      <c r="MHZ6" s="1185"/>
      <c r="MIA6" s="1185"/>
      <c r="MIB6" s="1185"/>
      <c r="MIC6" s="1185"/>
      <c r="MID6" s="1185"/>
      <c r="MIE6" s="1185"/>
      <c r="MIF6" s="1185"/>
      <c r="MIG6" s="1185"/>
      <c r="MIH6" s="1185"/>
      <c r="MII6" s="1185"/>
      <c r="MIJ6" s="1185"/>
      <c r="MIK6" s="1185"/>
      <c r="MIL6" s="1185"/>
      <c r="MIM6" s="1185"/>
      <c r="MIN6" s="1185"/>
      <c r="MIO6" s="1185"/>
      <c r="MIP6" s="1185"/>
      <c r="MIQ6" s="1185"/>
      <c r="MIR6" s="1185"/>
      <c r="MIS6" s="1185"/>
      <c r="MIT6" s="1185"/>
      <c r="MIU6" s="1185"/>
      <c r="MIV6" s="1185"/>
      <c r="MIW6" s="1185"/>
      <c r="MIX6" s="1185"/>
      <c r="MIY6" s="1185"/>
      <c r="MIZ6" s="1185"/>
      <c r="MJA6" s="1185"/>
      <c r="MJB6" s="1185"/>
      <c r="MJC6" s="1185"/>
      <c r="MJD6" s="1185"/>
      <c r="MJE6" s="1185"/>
      <c r="MJF6" s="1185"/>
      <c r="MJG6" s="1185"/>
      <c r="MJH6" s="1185"/>
      <c r="MJI6" s="1185"/>
      <c r="MJJ6" s="1185"/>
      <c r="MJK6" s="1185"/>
      <c r="MJL6" s="1185"/>
      <c r="MJM6" s="1185"/>
      <c r="MJN6" s="1185"/>
      <c r="MJO6" s="1185"/>
      <c r="MJP6" s="1185"/>
      <c r="MJQ6" s="1185"/>
      <c r="MJR6" s="1185"/>
      <c r="MJS6" s="1185"/>
      <c r="MJT6" s="1185"/>
      <c r="MJU6" s="1185"/>
      <c r="MJV6" s="1185"/>
      <c r="MJW6" s="1185"/>
      <c r="MJX6" s="1185"/>
      <c r="MJY6" s="1185"/>
      <c r="MJZ6" s="1185"/>
      <c r="MKA6" s="1185"/>
      <c r="MKB6" s="1185"/>
      <c r="MKC6" s="1185"/>
      <c r="MKD6" s="1185"/>
      <c r="MKE6" s="1185"/>
      <c r="MKF6" s="1185"/>
      <c r="MKG6" s="1185"/>
      <c r="MKH6" s="1185"/>
      <c r="MKI6" s="1185"/>
      <c r="MKJ6" s="1185"/>
      <c r="MKK6" s="1185"/>
      <c r="MKL6" s="1185"/>
      <c r="MKM6" s="1185"/>
      <c r="MKN6" s="1185"/>
      <c r="MKO6" s="1185"/>
      <c r="MKP6" s="1185"/>
      <c r="MKQ6" s="1185"/>
      <c r="MKR6" s="1185"/>
      <c r="MKS6" s="1185"/>
      <c r="MKT6" s="1185"/>
      <c r="MKU6" s="1185"/>
      <c r="MKV6" s="1185"/>
      <c r="MKW6" s="1185"/>
      <c r="MKX6" s="1185"/>
      <c r="MKY6" s="1185"/>
      <c r="MKZ6" s="1185"/>
      <c r="MLA6" s="1185"/>
      <c r="MLB6" s="1185"/>
      <c r="MLC6" s="1185"/>
      <c r="MLD6" s="1185"/>
      <c r="MLE6" s="1185"/>
      <c r="MLF6" s="1185"/>
      <c r="MLG6" s="1185"/>
      <c r="MLH6" s="1185"/>
      <c r="MLI6" s="1185"/>
      <c r="MLJ6" s="1185"/>
      <c r="MLK6" s="1185"/>
      <c r="MLL6" s="1185"/>
      <c r="MLM6" s="1185"/>
      <c r="MLN6" s="1185"/>
      <c r="MLO6" s="1185"/>
      <c r="MLP6" s="1185"/>
      <c r="MLQ6" s="1185"/>
      <c r="MLR6" s="1185"/>
      <c r="MLS6" s="1185"/>
      <c r="MLT6" s="1185"/>
      <c r="MLU6" s="1185"/>
      <c r="MLV6" s="1185"/>
      <c r="MLW6" s="1185"/>
      <c r="MLX6" s="1185"/>
      <c r="MLY6" s="1185"/>
      <c r="MLZ6" s="1185"/>
      <c r="MMA6" s="1185"/>
      <c r="MMB6" s="1185"/>
      <c r="MMC6" s="1185"/>
      <c r="MMD6" s="1185"/>
      <c r="MME6" s="1185"/>
      <c r="MMF6" s="1185"/>
      <c r="MMG6" s="1185"/>
      <c r="MMH6" s="1185"/>
      <c r="MMI6" s="1185"/>
      <c r="MMJ6" s="1185"/>
      <c r="MMK6" s="1185"/>
      <c r="MML6" s="1185"/>
      <c r="MMM6" s="1185"/>
      <c r="MMN6" s="1185"/>
      <c r="MMO6" s="1185"/>
      <c r="MMP6" s="1185"/>
      <c r="MMQ6" s="1185"/>
      <c r="MMR6" s="1185"/>
      <c r="MMS6" s="1185"/>
      <c r="MMT6" s="1185"/>
      <c r="MMU6" s="1185"/>
      <c r="MMV6" s="1185"/>
      <c r="MMW6" s="1185"/>
      <c r="MMX6" s="1185"/>
      <c r="MMY6" s="1185"/>
      <c r="MMZ6" s="1185"/>
      <c r="MNA6" s="1185"/>
      <c r="MNB6" s="1185"/>
      <c r="MNC6" s="1185"/>
      <c r="MND6" s="1185"/>
      <c r="MNE6" s="1185"/>
      <c r="MNF6" s="1185"/>
      <c r="MNG6" s="1185"/>
      <c r="MNH6" s="1185"/>
      <c r="MNI6" s="1185"/>
      <c r="MNJ6" s="1185"/>
      <c r="MNK6" s="1185"/>
      <c r="MNL6" s="1185"/>
      <c r="MNM6" s="1185"/>
      <c r="MNN6" s="1185"/>
      <c r="MNO6" s="1185"/>
      <c r="MNP6" s="1185"/>
      <c r="MNQ6" s="1185"/>
      <c r="MNR6" s="1185"/>
      <c r="MNS6" s="1185"/>
      <c r="MNT6" s="1185"/>
      <c r="MNU6" s="1185"/>
      <c r="MNV6" s="1185"/>
      <c r="MNW6" s="1185"/>
      <c r="MNX6" s="1185"/>
      <c r="MNY6" s="1185"/>
      <c r="MNZ6" s="1185"/>
      <c r="MOA6" s="1185"/>
      <c r="MOB6" s="1185"/>
      <c r="MOC6" s="1185"/>
      <c r="MOD6" s="1185"/>
      <c r="MOE6" s="1185"/>
      <c r="MOF6" s="1185"/>
      <c r="MOG6" s="1185"/>
      <c r="MOH6" s="1185"/>
      <c r="MOI6" s="1185"/>
      <c r="MOJ6" s="1185"/>
      <c r="MOK6" s="1185"/>
      <c r="MOL6" s="1185"/>
      <c r="MOM6" s="1185"/>
      <c r="MON6" s="1185"/>
      <c r="MOO6" s="1185"/>
      <c r="MOP6" s="1185"/>
      <c r="MOQ6" s="1185"/>
      <c r="MOR6" s="1185"/>
      <c r="MOS6" s="1185"/>
      <c r="MOT6" s="1185"/>
      <c r="MOU6" s="1185"/>
      <c r="MOV6" s="1185"/>
      <c r="MOW6" s="1185"/>
      <c r="MOX6" s="1185"/>
      <c r="MOY6" s="1185"/>
      <c r="MOZ6" s="1185"/>
      <c r="MPA6" s="1185"/>
      <c r="MPB6" s="1185"/>
      <c r="MPC6" s="1185"/>
      <c r="MPD6" s="1185"/>
      <c r="MPE6" s="1185"/>
      <c r="MPF6" s="1185"/>
      <c r="MPG6" s="1185"/>
      <c r="MPH6" s="1185"/>
      <c r="MPI6" s="1185"/>
      <c r="MPJ6" s="1185"/>
      <c r="MPK6" s="1185"/>
      <c r="MPL6" s="1185"/>
      <c r="MPM6" s="1185"/>
      <c r="MPN6" s="1185"/>
      <c r="MPO6" s="1185"/>
      <c r="MPP6" s="1185"/>
      <c r="MPQ6" s="1185"/>
      <c r="MPR6" s="1185"/>
      <c r="MPS6" s="1185"/>
      <c r="MPT6" s="1185"/>
      <c r="MPU6" s="1185"/>
      <c r="MPV6" s="1185"/>
      <c r="MPW6" s="1185"/>
      <c r="MPX6" s="1185"/>
      <c r="MPY6" s="1185"/>
      <c r="MPZ6" s="1185"/>
      <c r="MQA6" s="1185"/>
      <c r="MQB6" s="1185"/>
      <c r="MQC6" s="1185"/>
      <c r="MQD6" s="1185"/>
      <c r="MQE6" s="1185"/>
      <c r="MQF6" s="1185"/>
      <c r="MQG6" s="1185"/>
      <c r="MQH6" s="1185"/>
      <c r="MQI6" s="1185"/>
      <c r="MQJ6" s="1185"/>
      <c r="MQK6" s="1185"/>
      <c r="MQL6" s="1185"/>
      <c r="MQM6" s="1185"/>
      <c r="MQN6" s="1185"/>
      <c r="MQO6" s="1185"/>
      <c r="MQP6" s="1185"/>
      <c r="MQQ6" s="1185"/>
      <c r="MQR6" s="1185"/>
      <c r="MQS6" s="1185"/>
      <c r="MQT6" s="1185"/>
      <c r="MQU6" s="1185"/>
      <c r="MQV6" s="1185"/>
      <c r="MQW6" s="1185"/>
      <c r="MQX6" s="1185"/>
      <c r="MQY6" s="1185"/>
      <c r="MQZ6" s="1185"/>
      <c r="MRA6" s="1185"/>
      <c r="MRB6" s="1185"/>
      <c r="MRC6" s="1185"/>
      <c r="MRD6" s="1185"/>
      <c r="MRE6" s="1185"/>
      <c r="MRF6" s="1185"/>
      <c r="MRG6" s="1185"/>
      <c r="MRH6" s="1185"/>
      <c r="MRI6" s="1185"/>
      <c r="MRJ6" s="1185"/>
      <c r="MRK6" s="1185"/>
      <c r="MRL6" s="1185"/>
      <c r="MRM6" s="1185"/>
      <c r="MRN6" s="1185"/>
      <c r="MRO6" s="1185"/>
      <c r="MRP6" s="1185"/>
      <c r="MRQ6" s="1185"/>
      <c r="MRR6" s="1185"/>
      <c r="MRS6" s="1185"/>
      <c r="MRT6" s="1185"/>
      <c r="MRU6" s="1185"/>
      <c r="MRV6" s="1185"/>
      <c r="MRW6" s="1185"/>
      <c r="MRX6" s="1185"/>
      <c r="MRY6" s="1185"/>
      <c r="MRZ6" s="1185"/>
      <c r="MSA6" s="1185"/>
      <c r="MSB6" s="1185"/>
      <c r="MSC6" s="1185"/>
      <c r="MSD6" s="1185"/>
      <c r="MSE6" s="1185"/>
      <c r="MSF6" s="1185"/>
      <c r="MSG6" s="1185"/>
      <c r="MSH6" s="1185"/>
      <c r="MSI6" s="1185"/>
      <c r="MSJ6" s="1185"/>
      <c r="MSK6" s="1185"/>
      <c r="MSL6" s="1185"/>
      <c r="MSM6" s="1185"/>
      <c r="MSN6" s="1185"/>
      <c r="MSO6" s="1185"/>
      <c r="MSP6" s="1185"/>
      <c r="MSQ6" s="1185"/>
      <c r="MSR6" s="1185"/>
      <c r="MSS6" s="1185"/>
      <c r="MST6" s="1185"/>
      <c r="MSU6" s="1185"/>
      <c r="MSV6" s="1185"/>
      <c r="MSW6" s="1185"/>
      <c r="MSX6" s="1185"/>
      <c r="MSY6" s="1185"/>
      <c r="MSZ6" s="1185"/>
      <c r="MTA6" s="1185"/>
      <c r="MTB6" s="1185"/>
      <c r="MTC6" s="1185"/>
      <c r="MTD6" s="1185"/>
      <c r="MTE6" s="1185"/>
      <c r="MTF6" s="1185"/>
      <c r="MTG6" s="1185"/>
      <c r="MTH6" s="1185"/>
      <c r="MTI6" s="1185"/>
      <c r="MTJ6" s="1185"/>
      <c r="MTK6" s="1185"/>
      <c r="MTL6" s="1185"/>
      <c r="MTM6" s="1185"/>
      <c r="MTN6" s="1185"/>
      <c r="MTO6" s="1185"/>
      <c r="MTP6" s="1185"/>
      <c r="MTQ6" s="1185"/>
      <c r="MTR6" s="1185"/>
      <c r="MTS6" s="1185"/>
      <c r="MTT6" s="1185"/>
      <c r="MTU6" s="1185"/>
      <c r="MTV6" s="1185"/>
      <c r="MTW6" s="1185"/>
      <c r="MTX6" s="1185"/>
      <c r="MTY6" s="1185"/>
      <c r="MTZ6" s="1185"/>
      <c r="MUA6" s="1185"/>
      <c r="MUB6" s="1185"/>
      <c r="MUC6" s="1185"/>
      <c r="MUD6" s="1185"/>
      <c r="MUE6" s="1185"/>
      <c r="MUF6" s="1185"/>
      <c r="MUG6" s="1185"/>
      <c r="MUH6" s="1185"/>
      <c r="MUI6" s="1185"/>
      <c r="MUJ6" s="1185"/>
      <c r="MUK6" s="1185"/>
      <c r="MUL6" s="1185"/>
      <c r="MUM6" s="1185"/>
      <c r="MUN6" s="1185"/>
      <c r="MUO6" s="1185"/>
      <c r="MUP6" s="1185"/>
      <c r="MUQ6" s="1185"/>
      <c r="MUR6" s="1185"/>
      <c r="MUS6" s="1185"/>
      <c r="MUT6" s="1185"/>
      <c r="MUU6" s="1185"/>
      <c r="MUV6" s="1185"/>
      <c r="MUW6" s="1185"/>
      <c r="MUX6" s="1185"/>
      <c r="MUY6" s="1185"/>
      <c r="MUZ6" s="1185"/>
      <c r="MVA6" s="1185"/>
      <c r="MVB6" s="1185"/>
      <c r="MVC6" s="1185"/>
      <c r="MVD6" s="1185"/>
      <c r="MVE6" s="1185"/>
      <c r="MVF6" s="1185"/>
      <c r="MVG6" s="1185"/>
      <c r="MVH6" s="1185"/>
      <c r="MVI6" s="1185"/>
      <c r="MVJ6" s="1185"/>
      <c r="MVK6" s="1185"/>
      <c r="MVL6" s="1185"/>
      <c r="MVM6" s="1185"/>
      <c r="MVN6" s="1185"/>
      <c r="MVO6" s="1185"/>
      <c r="MVP6" s="1185"/>
      <c r="MVQ6" s="1185"/>
      <c r="MVR6" s="1185"/>
      <c r="MVS6" s="1185"/>
      <c r="MVT6" s="1185"/>
      <c r="MVU6" s="1185"/>
      <c r="MVV6" s="1185"/>
      <c r="MVW6" s="1185"/>
      <c r="MVX6" s="1185"/>
      <c r="MVY6" s="1185"/>
      <c r="MVZ6" s="1185"/>
      <c r="MWA6" s="1185"/>
      <c r="MWB6" s="1185"/>
      <c r="MWC6" s="1185"/>
      <c r="MWD6" s="1185"/>
      <c r="MWE6" s="1185"/>
      <c r="MWF6" s="1185"/>
      <c r="MWG6" s="1185"/>
      <c r="MWH6" s="1185"/>
      <c r="MWI6" s="1185"/>
      <c r="MWJ6" s="1185"/>
      <c r="MWK6" s="1185"/>
      <c r="MWL6" s="1185"/>
      <c r="MWM6" s="1185"/>
      <c r="MWN6" s="1185"/>
      <c r="MWO6" s="1185"/>
      <c r="MWP6" s="1185"/>
      <c r="MWQ6" s="1185"/>
      <c r="MWR6" s="1185"/>
      <c r="MWS6" s="1185"/>
      <c r="MWT6" s="1185"/>
      <c r="MWU6" s="1185"/>
      <c r="MWV6" s="1185"/>
      <c r="MWW6" s="1185"/>
      <c r="MWX6" s="1185"/>
      <c r="MWY6" s="1185"/>
      <c r="MWZ6" s="1185"/>
      <c r="MXA6" s="1185"/>
      <c r="MXB6" s="1185"/>
      <c r="MXC6" s="1185"/>
      <c r="MXD6" s="1185"/>
      <c r="MXE6" s="1185"/>
      <c r="MXF6" s="1185"/>
      <c r="MXG6" s="1185"/>
      <c r="MXH6" s="1185"/>
      <c r="MXI6" s="1185"/>
      <c r="MXJ6" s="1185"/>
      <c r="MXK6" s="1185"/>
      <c r="MXL6" s="1185"/>
      <c r="MXM6" s="1185"/>
      <c r="MXN6" s="1185"/>
      <c r="MXO6" s="1185"/>
      <c r="MXP6" s="1185"/>
      <c r="MXQ6" s="1185"/>
      <c r="MXR6" s="1185"/>
      <c r="MXS6" s="1185"/>
      <c r="MXT6" s="1185"/>
      <c r="MXU6" s="1185"/>
      <c r="MXV6" s="1185"/>
      <c r="MXW6" s="1185"/>
      <c r="MXX6" s="1185"/>
      <c r="MXY6" s="1185"/>
      <c r="MXZ6" s="1185"/>
      <c r="MYA6" s="1185"/>
      <c r="MYB6" s="1185"/>
      <c r="MYC6" s="1185"/>
      <c r="MYD6" s="1185"/>
      <c r="MYE6" s="1185"/>
      <c r="MYF6" s="1185"/>
      <c r="MYG6" s="1185"/>
      <c r="MYH6" s="1185"/>
      <c r="MYI6" s="1185"/>
      <c r="MYJ6" s="1185"/>
      <c r="MYK6" s="1185"/>
      <c r="MYL6" s="1185"/>
      <c r="MYM6" s="1185"/>
      <c r="MYN6" s="1185"/>
      <c r="MYO6" s="1185"/>
      <c r="MYP6" s="1185"/>
      <c r="MYQ6" s="1185"/>
      <c r="MYR6" s="1185"/>
      <c r="MYS6" s="1185"/>
      <c r="MYT6" s="1185"/>
      <c r="MYU6" s="1185"/>
      <c r="MYV6" s="1185"/>
      <c r="MYW6" s="1185"/>
      <c r="MYX6" s="1185"/>
      <c r="MYY6" s="1185"/>
      <c r="MYZ6" s="1185"/>
      <c r="MZA6" s="1185"/>
      <c r="MZB6" s="1185"/>
      <c r="MZC6" s="1185"/>
      <c r="MZD6" s="1185"/>
      <c r="MZE6" s="1185"/>
      <c r="MZF6" s="1185"/>
      <c r="MZG6" s="1185"/>
      <c r="MZH6" s="1185"/>
      <c r="MZI6" s="1185"/>
      <c r="MZJ6" s="1185"/>
      <c r="MZK6" s="1185"/>
      <c r="MZL6" s="1185"/>
      <c r="MZM6" s="1185"/>
      <c r="MZN6" s="1185"/>
      <c r="MZO6" s="1185"/>
      <c r="MZP6" s="1185"/>
      <c r="MZQ6" s="1185"/>
      <c r="MZR6" s="1185"/>
      <c r="MZS6" s="1185"/>
      <c r="MZT6" s="1185"/>
      <c r="MZU6" s="1185"/>
      <c r="MZV6" s="1185"/>
      <c r="MZW6" s="1185"/>
      <c r="MZX6" s="1185"/>
      <c r="MZY6" s="1185"/>
      <c r="MZZ6" s="1185"/>
      <c r="NAA6" s="1185"/>
      <c r="NAB6" s="1185"/>
      <c r="NAC6" s="1185"/>
      <c r="NAD6" s="1185"/>
      <c r="NAE6" s="1185"/>
      <c r="NAF6" s="1185"/>
      <c r="NAG6" s="1185"/>
      <c r="NAH6" s="1185"/>
      <c r="NAI6" s="1185"/>
      <c r="NAJ6" s="1185"/>
      <c r="NAK6" s="1185"/>
      <c r="NAL6" s="1185"/>
      <c r="NAM6" s="1185"/>
      <c r="NAN6" s="1185"/>
      <c r="NAO6" s="1185"/>
      <c r="NAP6" s="1185"/>
      <c r="NAQ6" s="1185"/>
      <c r="NAR6" s="1185"/>
      <c r="NAS6" s="1185"/>
      <c r="NAT6" s="1185"/>
      <c r="NAU6" s="1185"/>
      <c r="NAV6" s="1185"/>
      <c r="NAW6" s="1185"/>
      <c r="NAX6" s="1185"/>
      <c r="NAY6" s="1185"/>
      <c r="NAZ6" s="1185"/>
      <c r="NBA6" s="1185"/>
      <c r="NBB6" s="1185"/>
      <c r="NBC6" s="1185"/>
      <c r="NBD6" s="1185"/>
      <c r="NBE6" s="1185"/>
      <c r="NBF6" s="1185"/>
      <c r="NBG6" s="1185"/>
      <c r="NBH6" s="1185"/>
      <c r="NBI6" s="1185"/>
      <c r="NBJ6" s="1185"/>
      <c r="NBK6" s="1185"/>
      <c r="NBL6" s="1185"/>
      <c r="NBM6" s="1185"/>
      <c r="NBN6" s="1185"/>
      <c r="NBO6" s="1185"/>
      <c r="NBP6" s="1185"/>
      <c r="NBQ6" s="1185"/>
      <c r="NBR6" s="1185"/>
      <c r="NBS6" s="1185"/>
      <c r="NBT6" s="1185"/>
      <c r="NBU6" s="1185"/>
      <c r="NBV6" s="1185"/>
      <c r="NBW6" s="1185"/>
      <c r="NBX6" s="1185"/>
      <c r="NBY6" s="1185"/>
      <c r="NBZ6" s="1185"/>
      <c r="NCA6" s="1185"/>
      <c r="NCB6" s="1185"/>
      <c r="NCC6" s="1185"/>
      <c r="NCD6" s="1185"/>
      <c r="NCE6" s="1185"/>
      <c r="NCF6" s="1185"/>
      <c r="NCG6" s="1185"/>
      <c r="NCH6" s="1185"/>
      <c r="NCI6" s="1185"/>
      <c r="NCJ6" s="1185"/>
      <c r="NCK6" s="1185"/>
      <c r="NCL6" s="1185"/>
      <c r="NCM6" s="1185"/>
      <c r="NCN6" s="1185"/>
      <c r="NCO6" s="1185"/>
      <c r="NCP6" s="1185"/>
      <c r="NCQ6" s="1185"/>
      <c r="NCR6" s="1185"/>
      <c r="NCS6" s="1185"/>
      <c r="NCT6" s="1185"/>
      <c r="NCU6" s="1185"/>
      <c r="NCV6" s="1185"/>
      <c r="NCW6" s="1185"/>
      <c r="NCX6" s="1185"/>
      <c r="NCY6" s="1185"/>
      <c r="NCZ6" s="1185"/>
      <c r="NDA6" s="1185"/>
      <c r="NDB6" s="1185"/>
      <c r="NDC6" s="1185"/>
      <c r="NDD6" s="1185"/>
      <c r="NDE6" s="1185"/>
      <c r="NDF6" s="1185"/>
      <c r="NDG6" s="1185"/>
      <c r="NDH6" s="1185"/>
      <c r="NDI6" s="1185"/>
      <c r="NDJ6" s="1185"/>
      <c r="NDK6" s="1185"/>
      <c r="NDL6" s="1185"/>
      <c r="NDM6" s="1185"/>
      <c r="NDN6" s="1185"/>
      <c r="NDO6" s="1185"/>
      <c r="NDP6" s="1185"/>
      <c r="NDQ6" s="1185"/>
      <c r="NDR6" s="1185"/>
      <c r="NDS6" s="1185"/>
      <c r="NDT6" s="1185"/>
      <c r="NDU6" s="1185"/>
      <c r="NDV6" s="1185"/>
      <c r="NDW6" s="1185"/>
      <c r="NDX6" s="1185"/>
      <c r="NDY6" s="1185"/>
      <c r="NDZ6" s="1185"/>
      <c r="NEA6" s="1185"/>
      <c r="NEB6" s="1185"/>
      <c r="NEC6" s="1185"/>
      <c r="NED6" s="1185"/>
      <c r="NEE6" s="1185"/>
      <c r="NEF6" s="1185"/>
      <c r="NEG6" s="1185"/>
      <c r="NEH6" s="1185"/>
      <c r="NEI6" s="1185"/>
      <c r="NEJ6" s="1185"/>
      <c r="NEK6" s="1185"/>
      <c r="NEL6" s="1185"/>
      <c r="NEM6" s="1185"/>
      <c r="NEN6" s="1185"/>
      <c r="NEO6" s="1185"/>
      <c r="NEP6" s="1185"/>
      <c r="NEQ6" s="1185"/>
      <c r="NER6" s="1185"/>
      <c r="NES6" s="1185"/>
      <c r="NET6" s="1185"/>
      <c r="NEU6" s="1185"/>
      <c r="NEV6" s="1185"/>
      <c r="NEW6" s="1185"/>
      <c r="NEX6" s="1185"/>
      <c r="NEY6" s="1185"/>
      <c r="NEZ6" s="1185"/>
      <c r="NFA6" s="1185"/>
      <c r="NFB6" s="1185"/>
      <c r="NFC6" s="1185"/>
      <c r="NFD6" s="1185"/>
      <c r="NFE6" s="1185"/>
      <c r="NFF6" s="1185"/>
      <c r="NFG6" s="1185"/>
      <c r="NFH6" s="1185"/>
      <c r="NFI6" s="1185"/>
      <c r="NFJ6" s="1185"/>
      <c r="NFK6" s="1185"/>
      <c r="NFL6" s="1185"/>
      <c r="NFM6" s="1185"/>
      <c r="NFN6" s="1185"/>
      <c r="NFO6" s="1185"/>
      <c r="NFP6" s="1185"/>
      <c r="NFQ6" s="1185"/>
      <c r="NFR6" s="1185"/>
      <c r="NFS6" s="1185"/>
      <c r="NFT6" s="1185"/>
      <c r="NFU6" s="1185"/>
      <c r="NFV6" s="1185"/>
      <c r="NFW6" s="1185"/>
      <c r="NFX6" s="1185"/>
      <c r="NFY6" s="1185"/>
      <c r="NFZ6" s="1185"/>
      <c r="NGA6" s="1185"/>
      <c r="NGB6" s="1185"/>
      <c r="NGC6" s="1185"/>
      <c r="NGD6" s="1185"/>
      <c r="NGE6" s="1185"/>
      <c r="NGF6" s="1185"/>
      <c r="NGG6" s="1185"/>
      <c r="NGH6" s="1185"/>
      <c r="NGI6" s="1185"/>
      <c r="NGJ6" s="1185"/>
      <c r="NGK6" s="1185"/>
      <c r="NGL6" s="1185"/>
      <c r="NGM6" s="1185"/>
      <c r="NGN6" s="1185"/>
      <c r="NGO6" s="1185"/>
      <c r="NGP6" s="1185"/>
      <c r="NGQ6" s="1185"/>
      <c r="NGR6" s="1185"/>
      <c r="NGS6" s="1185"/>
      <c r="NGT6" s="1185"/>
      <c r="NGU6" s="1185"/>
      <c r="NGV6" s="1185"/>
      <c r="NGW6" s="1185"/>
      <c r="NGX6" s="1185"/>
      <c r="NGY6" s="1185"/>
      <c r="NGZ6" s="1185"/>
      <c r="NHA6" s="1185"/>
      <c r="NHB6" s="1185"/>
      <c r="NHC6" s="1185"/>
      <c r="NHD6" s="1185"/>
      <c r="NHE6" s="1185"/>
      <c r="NHF6" s="1185"/>
      <c r="NHG6" s="1185"/>
      <c r="NHH6" s="1185"/>
      <c r="NHI6" s="1185"/>
      <c r="NHJ6" s="1185"/>
      <c r="NHK6" s="1185"/>
      <c r="NHL6" s="1185"/>
      <c r="NHM6" s="1185"/>
      <c r="NHN6" s="1185"/>
      <c r="NHO6" s="1185"/>
      <c r="NHP6" s="1185"/>
      <c r="NHQ6" s="1185"/>
      <c r="NHR6" s="1185"/>
      <c r="NHS6" s="1185"/>
      <c r="NHT6" s="1185"/>
      <c r="NHU6" s="1185"/>
      <c r="NHV6" s="1185"/>
      <c r="NHW6" s="1185"/>
      <c r="NHX6" s="1185"/>
      <c r="NHY6" s="1185"/>
      <c r="NHZ6" s="1185"/>
      <c r="NIA6" s="1185"/>
      <c r="NIB6" s="1185"/>
      <c r="NIC6" s="1185"/>
      <c r="NID6" s="1185"/>
      <c r="NIE6" s="1185"/>
      <c r="NIF6" s="1185"/>
      <c r="NIG6" s="1185"/>
      <c r="NIH6" s="1185"/>
      <c r="NII6" s="1185"/>
      <c r="NIJ6" s="1185"/>
      <c r="NIK6" s="1185"/>
      <c r="NIL6" s="1185"/>
      <c r="NIM6" s="1185"/>
      <c r="NIN6" s="1185"/>
      <c r="NIO6" s="1185"/>
      <c r="NIP6" s="1185"/>
      <c r="NIQ6" s="1185"/>
      <c r="NIR6" s="1185"/>
      <c r="NIS6" s="1185"/>
      <c r="NIT6" s="1185"/>
      <c r="NIU6" s="1185"/>
      <c r="NIV6" s="1185"/>
      <c r="NIW6" s="1185"/>
      <c r="NIX6" s="1185"/>
      <c r="NIY6" s="1185"/>
      <c r="NIZ6" s="1185"/>
      <c r="NJA6" s="1185"/>
      <c r="NJB6" s="1185"/>
      <c r="NJC6" s="1185"/>
      <c r="NJD6" s="1185"/>
      <c r="NJE6" s="1185"/>
      <c r="NJF6" s="1185"/>
      <c r="NJG6" s="1185"/>
      <c r="NJH6" s="1185"/>
      <c r="NJI6" s="1185"/>
      <c r="NJJ6" s="1185"/>
      <c r="NJK6" s="1185"/>
      <c r="NJL6" s="1185"/>
      <c r="NJM6" s="1185"/>
      <c r="NJN6" s="1185"/>
      <c r="NJO6" s="1185"/>
      <c r="NJP6" s="1185"/>
      <c r="NJQ6" s="1185"/>
      <c r="NJR6" s="1185"/>
      <c r="NJS6" s="1185"/>
      <c r="NJT6" s="1185"/>
      <c r="NJU6" s="1185"/>
      <c r="NJV6" s="1185"/>
      <c r="NJW6" s="1185"/>
      <c r="NJX6" s="1185"/>
      <c r="NJY6" s="1185"/>
      <c r="NJZ6" s="1185"/>
      <c r="NKA6" s="1185"/>
      <c r="NKB6" s="1185"/>
      <c r="NKC6" s="1185"/>
      <c r="NKD6" s="1185"/>
      <c r="NKE6" s="1185"/>
      <c r="NKF6" s="1185"/>
      <c r="NKG6" s="1185"/>
      <c r="NKH6" s="1185"/>
      <c r="NKI6" s="1185"/>
      <c r="NKJ6" s="1185"/>
      <c r="NKK6" s="1185"/>
      <c r="NKL6" s="1185"/>
      <c r="NKM6" s="1185"/>
      <c r="NKN6" s="1185"/>
      <c r="NKO6" s="1185"/>
      <c r="NKP6" s="1185"/>
      <c r="NKQ6" s="1185"/>
      <c r="NKR6" s="1185"/>
      <c r="NKS6" s="1185"/>
      <c r="NKT6" s="1185"/>
      <c r="NKU6" s="1185"/>
      <c r="NKV6" s="1185"/>
      <c r="NKW6" s="1185"/>
      <c r="NKX6" s="1185"/>
      <c r="NKY6" s="1185"/>
      <c r="NKZ6" s="1185"/>
      <c r="NLA6" s="1185"/>
      <c r="NLB6" s="1185"/>
      <c r="NLC6" s="1185"/>
      <c r="NLD6" s="1185"/>
      <c r="NLE6" s="1185"/>
      <c r="NLF6" s="1185"/>
      <c r="NLG6" s="1185"/>
      <c r="NLH6" s="1185"/>
      <c r="NLI6" s="1185"/>
      <c r="NLJ6" s="1185"/>
      <c r="NLK6" s="1185"/>
      <c r="NLL6" s="1185"/>
      <c r="NLM6" s="1185"/>
      <c r="NLN6" s="1185"/>
      <c r="NLO6" s="1185"/>
      <c r="NLP6" s="1185"/>
      <c r="NLQ6" s="1185"/>
      <c r="NLR6" s="1185"/>
      <c r="NLS6" s="1185"/>
      <c r="NLT6" s="1185"/>
      <c r="NLU6" s="1185"/>
      <c r="NLV6" s="1185"/>
      <c r="NLW6" s="1185"/>
      <c r="NLX6" s="1185"/>
      <c r="NLY6" s="1185"/>
      <c r="NLZ6" s="1185"/>
      <c r="NMA6" s="1185"/>
      <c r="NMB6" s="1185"/>
      <c r="NMC6" s="1185"/>
      <c r="NMD6" s="1185"/>
      <c r="NME6" s="1185"/>
      <c r="NMF6" s="1185"/>
      <c r="NMG6" s="1185"/>
      <c r="NMH6" s="1185"/>
      <c r="NMI6" s="1185"/>
      <c r="NMJ6" s="1185"/>
      <c r="NMK6" s="1185"/>
      <c r="NML6" s="1185"/>
      <c r="NMM6" s="1185"/>
      <c r="NMN6" s="1185"/>
      <c r="NMO6" s="1185"/>
      <c r="NMP6" s="1185"/>
      <c r="NMQ6" s="1185"/>
      <c r="NMR6" s="1185"/>
      <c r="NMS6" s="1185"/>
      <c r="NMT6" s="1185"/>
      <c r="NMU6" s="1185"/>
      <c r="NMV6" s="1185"/>
      <c r="NMW6" s="1185"/>
      <c r="NMX6" s="1185"/>
      <c r="NMY6" s="1185"/>
      <c r="NMZ6" s="1185"/>
      <c r="NNA6" s="1185"/>
      <c r="NNB6" s="1185"/>
      <c r="NNC6" s="1185"/>
      <c r="NND6" s="1185"/>
      <c r="NNE6" s="1185"/>
      <c r="NNF6" s="1185"/>
      <c r="NNG6" s="1185"/>
      <c r="NNH6" s="1185"/>
      <c r="NNI6" s="1185"/>
      <c r="NNJ6" s="1185"/>
      <c r="NNK6" s="1185"/>
      <c r="NNL6" s="1185"/>
      <c r="NNM6" s="1185"/>
      <c r="NNN6" s="1185"/>
      <c r="NNO6" s="1185"/>
      <c r="NNP6" s="1185"/>
      <c r="NNQ6" s="1185"/>
      <c r="NNR6" s="1185"/>
      <c r="NNS6" s="1185"/>
      <c r="NNT6" s="1185"/>
      <c r="NNU6" s="1185"/>
      <c r="NNV6" s="1185"/>
      <c r="NNW6" s="1185"/>
      <c r="NNX6" s="1185"/>
      <c r="NNY6" s="1185"/>
      <c r="NNZ6" s="1185"/>
      <c r="NOA6" s="1185"/>
      <c r="NOB6" s="1185"/>
      <c r="NOC6" s="1185"/>
      <c r="NOD6" s="1185"/>
      <c r="NOE6" s="1185"/>
      <c r="NOF6" s="1185"/>
      <c r="NOG6" s="1185"/>
      <c r="NOH6" s="1185"/>
      <c r="NOI6" s="1185"/>
      <c r="NOJ6" s="1185"/>
      <c r="NOK6" s="1185"/>
      <c r="NOL6" s="1185"/>
      <c r="NOM6" s="1185"/>
      <c r="NON6" s="1185"/>
      <c r="NOO6" s="1185"/>
      <c r="NOP6" s="1185"/>
      <c r="NOQ6" s="1185"/>
      <c r="NOR6" s="1185"/>
      <c r="NOS6" s="1185"/>
      <c r="NOT6" s="1185"/>
      <c r="NOU6" s="1185"/>
      <c r="NOV6" s="1185"/>
      <c r="NOW6" s="1185"/>
      <c r="NOX6" s="1185"/>
      <c r="NOY6" s="1185"/>
      <c r="NOZ6" s="1185"/>
      <c r="NPA6" s="1185"/>
      <c r="NPB6" s="1185"/>
      <c r="NPC6" s="1185"/>
      <c r="NPD6" s="1185"/>
      <c r="NPE6" s="1185"/>
      <c r="NPF6" s="1185"/>
      <c r="NPG6" s="1185"/>
      <c r="NPH6" s="1185"/>
      <c r="NPI6" s="1185"/>
      <c r="NPJ6" s="1185"/>
      <c r="NPK6" s="1185"/>
      <c r="NPL6" s="1185"/>
      <c r="NPM6" s="1185"/>
      <c r="NPN6" s="1185"/>
      <c r="NPO6" s="1185"/>
      <c r="NPP6" s="1185"/>
      <c r="NPQ6" s="1185"/>
      <c r="NPR6" s="1185"/>
      <c r="NPS6" s="1185"/>
      <c r="NPT6" s="1185"/>
      <c r="NPU6" s="1185"/>
      <c r="NPV6" s="1185"/>
      <c r="NPW6" s="1185"/>
      <c r="NPX6" s="1185"/>
      <c r="NPY6" s="1185"/>
      <c r="NPZ6" s="1185"/>
      <c r="NQA6" s="1185"/>
      <c r="NQB6" s="1185"/>
      <c r="NQC6" s="1185"/>
      <c r="NQD6" s="1185"/>
      <c r="NQE6" s="1185"/>
      <c r="NQF6" s="1185"/>
      <c r="NQG6" s="1185"/>
      <c r="NQH6" s="1185"/>
      <c r="NQI6" s="1185"/>
      <c r="NQJ6" s="1185"/>
      <c r="NQK6" s="1185"/>
      <c r="NQL6" s="1185"/>
      <c r="NQM6" s="1185"/>
      <c r="NQN6" s="1185"/>
      <c r="NQO6" s="1185"/>
      <c r="NQP6" s="1185"/>
      <c r="NQQ6" s="1185"/>
      <c r="NQR6" s="1185"/>
      <c r="NQS6" s="1185"/>
      <c r="NQT6" s="1185"/>
      <c r="NQU6" s="1185"/>
      <c r="NQV6" s="1185"/>
      <c r="NQW6" s="1185"/>
      <c r="NQX6" s="1185"/>
      <c r="NQY6" s="1185"/>
      <c r="NQZ6" s="1185"/>
      <c r="NRA6" s="1185"/>
      <c r="NRB6" s="1185"/>
      <c r="NRC6" s="1185"/>
      <c r="NRD6" s="1185"/>
      <c r="NRE6" s="1185"/>
      <c r="NRF6" s="1185"/>
      <c r="NRG6" s="1185"/>
      <c r="NRH6" s="1185"/>
      <c r="NRI6" s="1185"/>
      <c r="NRJ6" s="1185"/>
      <c r="NRK6" s="1185"/>
      <c r="NRL6" s="1185"/>
      <c r="NRM6" s="1185"/>
      <c r="NRN6" s="1185"/>
      <c r="NRO6" s="1185"/>
      <c r="NRP6" s="1185"/>
      <c r="NRQ6" s="1185"/>
      <c r="NRR6" s="1185"/>
      <c r="NRS6" s="1185"/>
      <c r="NRT6" s="1185"/>
      <c r="NRU6" s="1185"/>
      <c r="NRV6" s="1185"/>
      <c r="NRW6" s="1185"/>
      <c r="NRX6" s="1185"/>
      <c r="NRY6" s="1185"/>
      <c r="NRZ6" s="1185"/>
      <c r="NSA6" s="1185"/>
      <c r="NSB6" s="1185"/>
      <c r="NSC6" s="1185"/>
      <c r="NSD6" s="1185"/>
      <c r="NSE6" s="1185"/>
      <c r="NSF6" s="1185"/>
      <c r="NSG6" s="1185"/>
      <c r="NSH6" s="1185"/>
      <c r="NSI6" s="1185"/>
      <c r="NSJ6" s="1185"/>
      <c r="NSK6" s="1185"/>
      <c r="NSL6" s="1185"/>
      <c r="NSM6" s="1185"/>
      <c r="NSN6" s="1185"/>
      <c r="NSO6" s="1185"/>
      <c r="NSP6" s="1185"/>
      <c r="NSQ6" s="1185"/>
      <c r="NSR6" s="1185"/>
      <c r="NSS6" s="1185"/>
      <c r="NST6" s="1185"/>
      <c r="NSU6" s="1185"/>
      <c r="NSV6" s="1185"/>
      <c r="NSW6" s="1185"/>
      <c r="NSX6" s="1185"/>
      <c r="NSY6" s="1185"/>
      <c r="NSZ6" s="1185"/>
      <c r="NTA6" s="1185"/>
      <c r="NTB6" s="1185"/>
      <c r="NTC6" s="1185"/>
      <c r="NTD6" s="1185"/>
      <c r="NTE6" s="1185"/>
      <c r="NTF6" s="1185"/>
      <c r="NTG6" s="1185"/>
      <c r="NTH6" s="1185"/>
      <c r="NTI6" s="1185"/>
      <c r="NTJ6" s="1185"/>
      <c r="NTK6" s="1185"/>
      <c r="NTL6" s="1185"/>
      <c r="NTM6" s="1185"/>
      <c r="NTN6" s="1185"/>
      <c r="NTO6" s="1185"/>
      <c r="NTP6" s="1185"/>
      <c r="NTQ6" s="1185"/>
      <c r="NTR6" s="1185"/>
      <c r="NTS6" s="1185"/>
      <c r="NTT6" s="1185"/>
      <c r="NTU6" s="1185"/>
      <c r="NTV6" s="1185"/>
      <c r="NTW6" s="1185"/>
      <c r="NTX6" s="1185"/>
      <c r="NTY6" s="1185"/>
      <c r="NTZ6" s="1185"/>
      <c r="NUA6" s="1185"/>
      <c r="NUB6" s="1185"/>
      <c r="NUC6" s="1185"/>
      <c r="NUD6" s="1185"/>
      <c r="NUE6" s="1185"/>
      <c r="NUF6" s="1185"/>
      <c r="NUG6" s="1185"/>
      <c r="NUH6" s="1185"/>
      <c r="NUI6" s="1185"/>
      <c r="NUJ6" s="1185"/>
      <c r="NUK6" s="1185"/>
      <c r="NUL6" s="1185"/>
      <c r="NUM6" s="1185"/>
      <c r="NUN6" s="1185"/>
      <c r="NUO6" s="1185"/>
      <c r="NUP6" s="1185"/>
      <c r="NUQ6" s="1185"/>
      <c r="NUR6" s="1185"/>
      <c r="NUS6" s="1185"/>
      <c r="NUT6" s="1185"/>
      <c r="NUU6" s="1185"/>
      <c r="NUV6" s="1185"/>
      <c r="NUW6" s="1185"/>
      <c r="NUX6" s="1185"/>
      <c r="NUY6" s="1185"/>
      <c r="NUZ6" s="1185"/>
      <c r="NVA6" s="1185"/>
      <c r="NVB6" s="1185"/>
      <c r="NVC6" s="1185"/>
      <c r="NVD6" s="1185"/>
      <c r="NVE6" s="1185"/>
      <c r="NVF6" s="1185"/>
      <c r="NVG6" s="1185"/>
      <c r="NVH6" s="1185"/>
      <c r="NVI6" s="1185"/>
      <c r="NVJ6" s="1185"/>
      <c r="NVK6" s="1185"/>
      <c r="NVL6" s="1185"/>
      <c r="NVM6" s="1185"/>
      <c r="NVN6" s="1185"/>
      <c r="NVO6" s="1185"/>
      <c r="NVP6" s="1185"/>
      <c r="NVQ6" s="1185"/>
      <c r="NVR6" s="1185"/>
      <c r="NVS6" s="1185"/>
      <c r="NVT6" s="1185"/>
      <c r="NVU6" s="1185"/>
      <c r="NVV6" s="1185"/>
      <c r="NVW6" s="1185"/>
      <c r="NVX6" s="1185"/>
      <c r="NVY6" s="1185"/>
      <c r="NVZ6" s="1185"/>
      <c r="NWA6" s="1185"/>
      <c r="NWB6" s="1185"/>
      <c r="NWC6" s="1185"/>
      <c r="NWD6" s="1185"/>
      <c r="NWE6" s="1185"/>
      <c r="NWF6" s="1185"/>
      <c r="NWG6" s="1185"/>
      <c r="NWH6" s="1185"/>
      <c r="NWI6" s="1185"/>
      <c r="NWJ6" s="1185"/>
      <c r="NWK6" s="1185"/>
      <c r="NWL6" s="1185"/>
      <c r="NWM6" s="1185"/>
      <c r="NWN6" s="1185"/>
      <c r="NWO6" s="1185"/>
      <c r="NWP6" s="1185"/>
      <c r="NWQ6" s="1185"/>
      <c r="NWR6" s="1185"/>
      <c r="NWS6" s="1185"/>
      <c r="NWT6" s="1185"/>
      <c r="NWU6" s="1185"/>
      <c r="NWV6" s="1185"/>
      <c r="NWW6" s="1185"/>
      <c r="NWX6" s="1185"/>
      <c r="NWY6" s="1185"/>
      <c r="NWZ6" s="1185"/>
      <c r="NXA6" s="1185"/>
      <c r="NXB6" s="1185"/>
      <c r="NXC6" s="1185"/>
      <c r="NXD6" s="1185"/>
      <c r="NXE6" s="1185"/>
      <c r="NXF6" s="1185"/>
      <c r="NXG6" s="1185"/>
      <c r="NXH6" s="1185"/>
      <c r="NXI6" s="1185"/>
      <c r="NXJ6" s="1185"/>
      <c r="NXK6" s="1185"/>
      <c r="NXL6" s="1185"/>
      <c r="NXM6" s="1185"/>
      <c r="NXN6" s="1185"/>
      <c r="NXO6" s="1185"/>
      <c r="NXP6" s="1185"/>
      <c r="NXQ6" s="1185"/>
      <c r="NXR6" s="1185"/>
      <c r="NXS6" s="1185"/>
      <c r="NXT6" s="1185"/>
      <c r="NXU6" s="1185"/>
      <c r="NXV6" s="1185"/>
      <c r="NXW6" s="1185"/>
      <c r="NXX6" s="1185"/>
      <c r="NXY6" s="1185"/>
      <c r="NXZ6" s="1185"/>
      <c r="NYA6" s="1185"/>
      <c r="NYB6" s="1185"/>
      <c r="NYC6" s="1185"/>
      <c r="NYD6" s="1185"/>
      <c r="NYE6" s="1185"/>
      <c r="NYF6" s="1185"/>
      <c r="NYG6" s="1185"/>
      <c r="NYH6" s="1185"/>
      <c r="NYI6" s="1185"/>
      <c r="NYJ6" s="1185"/>
      <c r="NYK6" s="1185"/>
      <c r="NYL6" s="1185"/>
      <c r="NYM6" s="1185"/>
      <c r="NYN6" s="1185"/>
      <c r="NYO6" s="1185"/>
      <c r="NYP6" s="1185"/>
      <c r="NYQ6" s="1185"/>
      <c r="NYR6" s="1185"/>
      <c r="NYS6" s="1185"/>
      <c r="NYT6" s="1185"/>
      <c r="NYU6" s="1185"/>
      <c r="NYV6" s="1185"/>
      <c r="NYW6" s="1185"/>
      <c r="NYX6" s="1185"/>
      <c r="NYY6" s="1185"/>
      <c r="NYZ6" s="1185"/>
      <c r="NZA6" s="1185"/>
      <c r="NZB6" s="1185"/>
      <c r="NZC6" s="1185"/>
      <c r="NZD6" s="1185"/>
      <c r="NZE6" s="1185"/>
      <c r="NZF6" s="1185"/>
      <c r="NZG6" s="1185"/>
      <c r="NZH6" s="1185"/>
      <c r="NZI6" s="1185"/>
      <c r="NZJ6" s="1185"/>
      <c r="NZK6" s="1185"/>
      <c r="NZL6" s="1185"/>
      <c r="NZM6" s="1185"/>
      <c r="NZN6" s="1185"/>
      <c r="NZO6" s="1185"/>
      <c r="NZP6" s="1185"/>
      <c r="NZQ6" s="1185"/>
      <c r="NZR6" s="1185"/>
      <c r="NZS6" s="1185"/>
      <c r="NZT6" s="1185"/>
      <c r="NZU6" s="1185"/>
      <c r="NZV6" s="1185"/>
      <c r="NZW6" s="1185"/>
      <c r="NZX6" s="1185"/>
      <c r="NZY6" s="1185"/>
      <c r="NZZ6" s="1185"/>
      <c r="OAA6" s="1185"/>
      <c r="OAB6" s="1185"/>
      <c r="OAC6" s="1185"/>
      <c r="OAD6" s="1185"/>
      <c r="OAE6" s="1185"/>
      <c r="OAF6" s="1185"/>
      <c r="OAG6" s="1185"/>
      <c r="OAH6" s="1185"/>
      <c r="OAI6" s="1185"/>
      <c r="OAJ6" s="1185"/>
      <c r="OAK6" s="1185"/>
      <c r="OAL6" s="1185"/>
      <c r="OAM6" s="1185"/>
      <c r="OAN6" s="1185"/>
      <c r="OAO6" s="1185"/>
      <c r="OAP6" s="1185"/>
      <c r="OAQ6" s="1185"/>
      <c r="OAR6" s="1185"/>
      <c r="OAS6" s="1185"/>
      <c r="OAT6" s="1185"/>
      <c r="OAU6" s="1185"/>
      <c r="OAV6" s="1185"/>
      <c r="OAW6" s="1185"/>
      <c r="OAX6" s="1185"/>
      <c r="OAY6" s="1185"/>
      <c r="OAZ6" s="1185"/>
      <c r="OBA6" s="1185"/>
      <c r="OBB6" s="1185"/>
      <c r="OBC6" s="1185"/>
      <c r="OBD6" s="1185"/>
      <c r="OBE6" s="1185"/>
      <c r="OBF6" s="1185"/>
      <c r="OBG6" s="1185"/>
      <c r="OBH6" s="1185"/>
      <c r="OBI6" s="1185"/>
      <c r="OBJ6" s="1185"/>
      <c r="OBK6" s="1185"/>
      <c r="OBL6" s="1185"/>
      <c r="OBM6" s="1185"/>
      <c r="OBN6" s="1185"/>
      <c r="OBO6" s="1185"/>
      <c r="OBP6" s="1185"/>
      <c r="OBQ6" s="1185"/>
      <c r="OBR6" s="1185"/>
      <c r="OBS6" s="1185"/>
      <c r="OBT6" s="1185"/>
      <c r="OBU6" s="1185"/>
      <c r="OBV6" s="1185"/>
      <c r="OBW6" s="1185"/>
      <c r="OBX6" s="1185"/>
      <c r="OBY6" s="1185"/>
      <c r="OBZ6" s="1185"/>
      <c r="OCA6" s="1185"/>
      <c r="OCB6" s="1185"/>
      <c r="OCC6" s="1185"/>
      <c r="OCD6" s="1185"/>
      <c r="OCE6" s="1185"/>
      <c r="OCF6" s="1185"/>
      <c r="OCG6" s="1185"/>
      <c r="OCH6" s="1185"/>
      <c r="OCI6" s="1185"/>
      <c r="OCJ6" s="1185"/>
      <c r="OCK6" s="1185"/>
      <c r="OCL6" s="1185"/>
      <c r="OCM6" s="1185"/>
      <c r="OCN6" s="1185"/>
      <c r="OCO6" s="1185"/>
      <c r="OCP6" s="1185"/>
      <c r="OCQ6" s="1185"/>
      <c r="OCR6" s="1185"/>
      <c r="OCS6" s="1185"/>
      <c r="OCT6" s="1185"/>
      <c r="OCU6" s="1185"/>
      <c r="OCV6" s="1185"/>
      <c r="OCW6" s="1185"/>
      <c r="OCX6" s="1185"/>
      <c r="OCY6" s="1185"/>
      <c r="OCZ6" s="1185"/>
      <c r="ODA6" s="1185"/>
      <c r="ODB6" s="1185"/>
      <c r="ODC6" s="1185"/>
      <c r="ODD6" s="1185"/>
      <c r="ODE6" s="1185"/>
      <c r="ODF6" s="1185"/>
      <c r="ODG6" s="1185"/>
      <c r="ODH6" s="1185"/>
      <c r="ODI6" s="1185"/>
      <c r="ODJ6" s="1185"/>
      <c r="ODK6" s="1185"/>
      <c r="ODL6" s="1185"/>
      <c r="ODM6" s="1185"/>
      <c r="ODN6" s="1185"/>
      <c r="ODO6" s="1185"/>
      <c r="ODP6" s="1185"/>
      <c r="ODQ6" s="1185"/>
      <c r="ODR6" s="1185"/>
      <c r="ODS6" s="1185"/>
      <c r="ODT6" s="1185"/>
      <c r="ODU6" s="1185"/>
      <c r="ODV6" s="1185"/>
      <c r="ODW6" s="1185"/>
      <c r="ODX6" s="1185"/>
      <c r="ODY6" s="1185"/>
      <c r="ODZ6" s="1185"/>
      <c r="OEA6" s="1185"/>
      <c r="OEB6" s="1185"/>
      <c r="OEC6" s="1185"/>
      <c r="OED6" s="1185"/>
      <c r="OEE6" s="1185"/>
      <c r="OEF6" s="1185"/>
      <c r="OEG6" s="1185"/>
      <c r="OEH6" s="1185"/>
      <c r="OEI6" s="1185"/>
      <c r="OEJ6" s="1185"/>
      <c r="OEK6" s="1185"/>
      <c r="OEL6" s="1185"/>
      <c r="OEM6" s="1185"/>
      <c r="OEN6" s="1185"/>
      <c r="OEO6" s="1185"/>
      <c r="OEP6" s="1185"/>
      <c r="OEQ6" s="1185"/>
      <c r="OER6" s="1185"/>
      <c r="OES6" s="1185"/>
      <c r="OET6" s="1185"/>
      <c r="OEU6" s="1185"/>
      <c r="OEV6" s="1185"/>
      <c r="OEW6" s="1185"/>
      <c r="OEX6" s="1185"/>
      <c r="OEY6" s="1185"/>
      <c r="OEZ6" s="1185"/>
      <c r="OFA6" s="1185"/>
      <c r="OFB6" s="1185"/>
      <c r="OFC6" s="1185"/>
      <c r="OFD6" s="1185"/>
      <c r="OFE6" s="1185"/>
      <c r="OFF6" s="1185"/>
      <c r="OFG6" s="1185"/>
      <c r="OFH6" s="1185"/>
      <c r="OFI6" s="1185"/>
      <c r="OFJ6" s="1185"/>
      <c r="OFK6" s="1185"/>
      <c r="OFL6" s="1185"/>
      <c r="OFM6" s="1185"/>
      <c r="OFN6" s="1185"/>
      <c r="OFO6" s="1185"/>
      <c r="OFP6" s="1185"/>
      <c r="OFQ6" s="1185"/>
      <c r="OFR6" s="1185"/>
      <c r="OFS6" s="1185"/>
      <c r="OFT6" s="1185"/>
      <c r="OFU6" s="1185"/>
      <c r="OFV6" s="1185"/>
      <c r="OFW6" s="1185"/>
      <c r="OFX6" s="1185"/>
      <c r="OFY6" s="1185"/>
      <c r="OFZ6" s="1185"/>
      <c r="OGA6" s="1185"/>
      <c r="OGB6" s="1185"/>
      <c r="OGC6" s="1185"/>
      <c r="OGD6" s="1185"/>
      <c r="OGE6" s="1185"/>
      <c r="OGF6" s="1185"/>
      <c r="OGG6" s="1185"/>
      <c r="OGH6" s="1185"/>
      <c r="OGI6" s="1185"/>
      <c r="OGJ6" s="1185"/>
      <c r="OGK6" s="1185"/>
      <c r="OGL6" s="1185"/>
      <c r="OGM6" s="1185"/>
      <c r="OGN6" s="1185"/>
      <c r="OGO6" s="1185"/>
      <c r="OGP6" s="1185"/>
      <c r="OGQ6" s="1185"/>
      <c r="OGR6" s="1185"/>
      <c r="OGS6" s="1185"/>
      <c r="OGT6" s="1185"/>
      <c r="OGU6" s="1185"/>
      <c r="OGV6" s="1185"/>
      <c r="OGW6" s="1185"/>
      <c r="OGX6" s="1185"/>
      <c r="OGY6" s="1185"/>
      <c r="OGZ6" s="1185"/>
      <c r="OHA6" s="1185"/>
      <c r="OHB6" s="1185"/>
      <c r="OHC6" s="1185"/>
      <c r="OHD6" s="1185"/>
      <c r="OHE6" s="1185"/>
      <c r="OHF6" s="1185"/>
      <c r="OHG6" s="1185"/>
      <c r="OHH6" s="1185"/>
      <c r="OHI6" s="1185"/>
      <c r="OHJ6" s="1185"/>
      <c r="OHK6" s="1185"/>
      <c r="OHL6" s="1185"/>
      <c r="OHM6" s="1185"/>
      <c r="OHN6" s="1185"/>
      <c r="OHO6" s="1185"/>
      <c r="OHP6" s="1185"/>
      <c r="OHQ6" s="1185"/>
      <c r="OHR6" s="1185"/>
      <c r="OHS6" s="1185"/>
      <c r="OHT6" s="1185"/>
      <c r="OHU6" s="1185"/>
      <c r="OHV6" s="1185"/>
      <c r="OHW6" s="1185"/>
      <c r="OHX6" s="1185"/>
      <c r="OHY6" s="1185"/>
      <c r="OHZ6" s="1185"/>
      <c r="OIA6" s="1185"/>
      <c r="OIB6" s="1185"/>
      <c r="OIC6" s="1185"/>
      <c r="OID6" s="1185"/>
      <c r="OIE6" s="1185"/>
      <c r="OIF6" s="1185"/>
      <c r="OIG6" s="1185"/>
      <c r="OIH6" s="1185"/>
      <c r="OII6" s="1185"/>
      <c r="OIJ6" s="1185"/>
      <c r="OIK6" s="1185"/>
      <c r="OIL6" s="1185"/>
      <c r="OIM6" s="1185"/>
      <c r="OIN6" s="1185"/>
      <c r="OIO6" s="1185"/>
      <c r="OIP6" s="1185"/>
      <c r="OIQ6" s="1185"/>
      <c r="OIR6" s="1185"/>
      <c r="OIS6" s="1185"/>
      <c r="OIT6" s="1185"/>
      <c r="OIU6" s="1185"/>
      <c r="OIV6" s="1185"/>
      <c r="OIW6" s="1185"/>
      <c r="OIX6" s="1185"/>
      <c r="OIY6" s="1185"/>
      <c r="OIZ6" s="1185"/>
      <c r="OJA6" s="1185"/>
      <c r="OJB6" s="1185"/>
      <c r="OJC6" s="1185"/>
      <c r="OJD6" s="1185"/>
      <c r="OJE6" s="1185"/>
      <c r="OJF6" s="1185"/>
      <c r="OJG6" s="1185"/>
      <c r="OJH6" s="1185"/>
      <c r="OJI6" s="1185"/>
      <c r="OJJ6" s="1185"/>
      <c r="OJK6" s="1185"/>
      <c r="OJL6" s="1185"/>
      <c r="OJM6" s="1185"/>
      <c r="OJN6" s="1185"/>
      <c r="OJO6" s="1185"/>
      <c r="OJP6" s="1185"/>
      <c r="OJQ6" s="1185"/>
      <c r="OJR6" s="1185"/>
      <c r="OJS6" s="1185"/>
      <c r="OJT6" s="1185"/>
      <c r="OJU6" s="1185"/>
      <c r="OJV6" s="1185"/>
      <c r="OJW6" s="1185"/>
      <c r="OJX6" s="1185"/>
      <c r="OJY6" s="1185"/>
      <c r="OJZ6" s="1185"/>
      <c r="OKA6" s="1185"/>
      <c r="OKB6" s="1185"/>
      <c r="OKC6" s="1185"/>
      <c r="OKD6" s="1185"/>
      <c r="OKE6" s="1185"/>
      <c r="OKF6" s="1185"/>
      <c r="OKG6" s="1185"/>
      <c r="OKH6" s="1185"/>
      <c r="OKI6" s="1185"/>
      <c r="OKJ6" s="1185"/>
      <c r="OKK6" s="1185"/>
      <c r="OKL6" s="1185"/>
      <c r="OKM6" s="1185"/>
      <c r="OKN6" s="1185"/>
      <c r="OKO6" s="1185"/>
      <c r="OKP6" s="1185"/>
      <c r="OKQ6" s="1185"/>
      <c r="OKR6" s="1185"/>
      <c r="OKS6" s="1185"/>
      <c r="OKT6" s="1185"/>
      <c r="OKU6" s="1185"/>
      <c r="OKV6" s="1185"/>
      <c r="OKW6" s="1185"/>
      <c r="OKX6" s="1185"/>
      <c r="OKY6" s="1185"/>
      <c r="OKZ6" s="1185"/>
      <c r="OLA6" s="1185"/>
      <c r="OLB6" s="1185"/>
      <c r="OLC6" s="1185"/>
      <c r="OLD6" s="1185"/>
      <c r="OLE6" s="1185"/>
      <c r="OLF6" s="1185"/>
      <c r="OLG6" s="1185"/>
      <c r="OLH6" s="1185"/>
      <c r="OLI6" s="1185"/>
      <c r="OLJ6" s="1185"/>
      <c r="OLK6" s="1185"/>
      <c r="OLL6" s="1185"/>
      <c r="OLM6" s="1185"/>
      <c r="OLN6" s="1185"/>
      <c r="OLO6" s="1185"/>
      <c r="OLP6" s="1185"/>
      <c r="OLQ6" s="1185"/>
      <c r="OLR6" s="1185"/>
      <c r="OLS6" s="1185"/>
      <c r="OLT6" s="1185"/>
      <c r="OLU6" s="1185"/>
      <c r="OLV6" s="1185"/>
      <c r="OLW6" s="1185"/>
      <c r="OLX6" s="1185"/>
      <c r="OLY6" s="1185"/>
      <c r="OLZ6" s="1185"/>
      <c r="OMA6" s="1185"/>
      <c r="OMB6" s="1185"/>
      <c r="OMC6" s="1185"/>
      <c r="OMD6" s="1185"/>
      <c r="OME6" s="1185"/>
      <c r="OMF6" s="1185"/>
      <c r="OMG6" s="1185"/>
      <c r="OMH6" s="1185"/>
      <c r="OMI6" s="1185"/>
      <c r="OMJ6" s="1185"/>
      <c r="OMK6" s="1185"/>
      <c r="OML6" s="1185"/>
      <c r="OMM6" s="1185"/>
      <c r="OMN6" s="1185"/>
      <c r="OMO6" s="1185"/>
      <c r="OMP6" s="1185"/>
      <c r="OMQ6" s="1185"/>
      <c r="OMR6" s="1185"/>
      <c r="OMS6" s="1185"/>
      <c r="OMT6" s="1185"/>
      <c r="OMU6" s="1185"/>
      <c r="OMV6" s="1185"/>
      <c r="OMW6" s="1185"/>
      <c r="OMX6" s="1185"/>
      <c r="OMY6" s="1185"/>
      <c r="OMZ6" s="1185"/>
      <c r="ONA6" s="1185"/>
      <c r="ONB6" s="1185"/>
      <c r="ONC6" s="1185"/>
      <c r="OND6" s="1185"/>
      <c r="ONE6" s="1185"/>
      <c r="ONF6" s="1185"/>
      <c r="ONG6" s="1185"/>
      <c r="ONH6" s="1185"/>
      <c r="ONI6" s="1185"/>
      <c r="ONJ6" s="1185"/>
      <c r="ONK6" s="1185"/>
      <c r="ONL6" s="1185"/>
      <c r="ONM6" s="1185"/>
      <c r="ONN6" s="1185"/>
      <c r="ONO6" s="1185"/>
      <c r="ONP6" s="1185"/>
      <c r="ONQ6" s="1185"/>
      <c r="ONR6" s="1185"/>
      <c r="ONS6" s="1185"/>
      <c r="ONT6" s="1185"/>
      <c r="ONU6" s="1185"/>
      <c r="ONV6" s="1185"/>
      <c r="ONW6" s="1185"/>
      <c r="ONX6" s="1185"/>
      <c r="ONY6" s="1185"/>
      <c r="ONZ6" s="1185"/>
      <c r="OOA6" s="1185"/>
      <c r="OOB6" s="1185"/>
      <c r="OOC6" s="1185"/>
      <c r="OOD6" s="1185"/>
      <c r="OOE6" s="1185"/>
      <c r="OOF6" s="1185"/>
      <c r="OOG6" s="1185"/>
      <c r="OOH6" s="1185"/>
      <c r="OOI6" s="1185"/>
      <c r="OOJ6" s="1185"/>
      <c r="OOK6" s="1185"/>
      <c r="OOL6" s="1185"/>
      <c r="OOM6" s="1185"/>
      <c r="OON6" s="1185"/>
      <c r="OOO6" s="1185"/>
      <c r="OOP6" s="1185"/>
      <c r="OOQ6" s="1185"/>
      <c r="OOR6" s="1185"/>
      <c r="OOS6" s="1185"/>
      <c r="OOT6" s="1185"/>
      <c r="OOU6" s="1185"/>
      <c r="OOV6" s="1185"/>
      <c r="OOW6" s="1185"/>
      <c r="OOX6" s="1185"/>
      <c r="OOY6" s="1185"/>
      <c r="OOZ6" s="1185"/>
      <c r="OPA6" s="1185"/>
      <c r="OPB6" s="1185"/>
      <c r="OPC6" s="1185"/>
      <c r="OPD6" s="1185"/>
      <c r="OPE6" s="1185"/>
      <c r="OPF6" s="1185"/>
      <c r="OPG6" s="1185"/>
      <c r="OPH6" s="1185"/>
      <c r="OPI6" s="1185"/>
      <c r="OPJ6" s="1185"/>
      <c r="OPK6" s="1185"/>
      <c r="OPL6" s="1185"/>
      <c r="OPM6" s="1185"/>
      <c r="OPN6" s="1185"/>
      <c r="OPO6" s="1185"/>
      <c r="OPP6" s="1185"/>
      <c r="OPQ6" s="1185"/>
      <c r="OPR6" s="1185"/>
      <c r="OPS6" s="1185"/>
      <c r="OPT6" s="1185"/>
      <c r="OPU6" s="1185"/>
      <c r="OPV6" s="1185"/>
      <c r="OPW6" s="1185"/>
      <c r="OPX6" s="1185"/>
      <c r="OPY6" s="1185"/>
      <c r="OPZ6" s="1185"/>
      <c r="OQA6" s="1185"/>
      <c r="OQB6" s="1185"/>
      <c r="OQC6" s="1185"/>
      <c r="OQD6" s="1185"/>
      <c r="OQE6" s="1185"/>
      <c r="OQF6" s="1185"/>
      <c r="OQG6" s="1185"/>
      <c r="OQH6" s="1185"/>
      <c r="OQI6" s="1185"/>
      <c r="OQJ6" s="1185"/>
      <c r="OQK6" s="1185"/>
      <c r="OQL6" s="1185"/>
      <c r="OQM6" s="1185"/>
      <c r="OQN6" s="1185"/>
      <c r="OQO6" s="1185"/>
      <c r="OQP6" s="1185"/>
      <c r="OQQ6" s="1185"/>
      <c r="OQR6" s="1185"/>
      <c r="OQS6" s="1185"/>
      <c r="OQT6" s="1185"/>
      <c r="OQU6" s="1185"/>
      <c r="OQV6" s="1185"/>
      <c r="OQW6" s="1185"/>
      <c r="OQX6" s="1185"/>
      <c r="OQY6" s="1185"/>
      <c r="OQZ6" s="1185"/>
      <c r="ORA6" s="1185"/>
      <c r="ORB6" s="1185"/>
      <c r="ORC6" s="1185"/>
      <c r="ORD6" s="1185"/>
      <c r="ORE6" s="1185"/>
      <c r="ORF6" s="1185"/>
      <c r="ORG6" s="1185"/>
      <c r="ORH6" s="1185"/>
      <c r="ORI6" s="1185"/>
      <c r="ORJ6" s="1185"/>
      <c r="ORK6" s="1185"/>
      <c r="ORL6" s="1185"/>
      <c r="ORM6" s="1185"/>
      <c r="ORN6" s="1185"/>
      <c r="ORO6" s="1185"/>
      <c r="ORP6" s="1185"/>
      <c r="ORQ6" s="1185"/>
      <c r="ORR6" s="1185"/>
      <c r="ORS6" s="1185"/>
      <c r="ORT6" s="1185"/>
      <c r="ORU6" s="1185"/>
      <c r="ORV6" s="1185"/>
      <c r="ORW6" s="1185"/>
      <c r="ORX6" s="1185"/>
      <c r="ORY6" s="1185"/>
      <c r="ORZ6" s="1185"/>
      <c r="OSA6" s="1185"/>
      <c r="OSB6" s="1185"/>
      <c r="OSC6" s="1185"/>
      <c r="OSD6" s="1185"/>
      <c r="OSE6" s="1185"/>
      <c r="OSF6" s="1185"/>
      <c r="OSG6" s="1185"/>
      <c r="OSH6" s="1185"/>
      <c r="OSI6" s="1185"/>
      <c r="OSJ6" s="1185"/>
      <c r="OSK6" s="1185"/>
      <c r="OSL6" s="1185"/>
      <c r="OSM6" s="1185"/>
      <c r="OSN6" s="1185"/>
      <c r="OSO6" s="1185"/>
      <c r="OSP6" s="1185"/>
      <c r="OSQ6" s="1185"/>
      <c r="OSR6" s="1185"/>
      <c r="OSS6" s="1185"/>
      <c r="OST6" s="1185"/>
      <c r="OSU6" s="1185"/>
      <c r="OSV6" s="1185"/>
      <c r="OSW6" s="1185"/>
      <c r="OSX6" s="1185"/>
      <c r="OSY6" s="1185"/>
      <c r="OSZ6" s="1185"/>
      <c r="OTA6" s="1185"/>
      <c r="OTB6" s="1185"/>
      <c r="OTC6" s="1185"/>
      <c r="OTD6" s="1185"/>
      <c r="OTE6" s="1185"/>
      <c r="OTF6" s="1185"/>
      <c r="OTG6" s="1185"/>
      <c r="OTH6" s="1185"/>
      <c r="OTI6" s="1185"/>
      <c r="OTJ6" s="1185"/>
      <c r="OTK6" s="1185"/>
      <c r="OTL6" s="1185"/>
      <c r="OTM6" s="1185"/>
      <c r="OTN6" s="1185"/>
      <c r="OTO6" s="1185"/>
      <c r="OTP6" s="1185"/>
      <c r="OTQ6" s="1185"/>
      <c r="OTR6" s="1185"/>
      <c r="OTS6" s="1185"/>
      <c r="OTT6" s="1185"/>
      <c r="OTU6" s="1185"/>
      <c r="OTV6" s="1185"/>
      <c r="OTW6" s="1185"/>
      <c r="OTX6" s="1185"/>
      <c r="OTY6" s="1185"/>
      <c r="OTZ6" s="1185"/>
      <c r="OUA6" s="1185"/>
      <c r="OUB6" s="1185"/>
      <c r="OUC6" s="1185"/>
      <c r="OUD6" s="1185"/>
      <c r="OUE6" s="1185"/>
      <c r="OUF6" s="1185"/>
      <c r="OUG6" s="1185"/>
      <c r="OUH6" s="1185"/>
      <c r="OUI6" s="1185"/>
      <c r="OUJ6" s="1185"/>
      <c r="OUK6" s="1185"/>
      <c r="OUL6" s="1185"/>
      <c r="OUM6" s="1185"/>
      <c r="OUN6" s="1185"/>
      <c r="OUO6" s="1185"/>
      <c r="OUP6" s="1185"/>
      <c r="OUQ6" s="1185"/>
      <c r="OUR6" s="1185"/>
      <c r="OUS6" s="1185"/>
      <c r="OUT6" s="1185"/>
      <c r="OUU6" s="1185"/>
      <c r="OUV6" s="1185"/>
      <c r="OUW6" s="1185"/>
      <c r="OUX6" s="1185"/>
      <c r="OUY6" s="1185"/>
      <c r="OUZ6" s="1185"/>
      <c r="OVA6" s="1185"/>
      <c r="OVB6" s="1185"/>
      <c r="OVC6" s="1185"/>
      <c r="OVD6" s="1185"/>
      <c r="OVE6" s="1185"/>
      <c r="OVF6" s="1185"/>
      <c r="OVG6" s="1185"/>
      <c r="OVH6" s="1185"/>
      <c r="OVI6" s="1185"/>
      <c r="OVJ6" s="1185"/>
      <c r="OVK6" s="1185"/>
      <c r="OVL6" s="1185"/>
      <c r="OVM6" s="1185"/>
      <c r="OVN6" s="1185"/>
      <c r="OVO6" s="1185"/>
      <c r="OVP6" s="1185"/>
      <c r="OVQ6" s="1185"/>
      <c r="OVR6" s="1185"/>
      <c r="OVS6" s="1185"/>
      <c r="OVT6" s="1185"/>
      <c r="OVU6" s="1185"/>
      <c r="OVV6" s="1185"/>
      <c r="OVW6" s="1185"/>
      <c r="OVX6" s="1185"/>
      <c r="OVY6" s="1185"/>
      <c r="OVZ6" s="1185"/>
      <c r="OWA6" s="1185"/>
      <c r="OWB6" s="1185"/>
      <c r="OWC6" s="1185"/>
      <c r="OWD6" s="1185"/>
      <c r="OWE6" s="1185"/>
      <c r="OWF6" s="1185"/>
      <c r="OWG6" s="1185"/>
      <c r="OWH6" s="1185"/>
      <c r="OWI6" s="1185"/>
      <c r="OWJ6" s="1185"/>
      <c r="OWK6" s="1185"/>
      <c r="OWL6" s="1185"/>
      <c r="OWM6" s="1185"/>
      <c r="OWN6" s="1185"/>
      <c r="OWO6" s="1185"/>
      <c r="OWP6" s="1185"/>
      <c r="OWQ6" s="1185"/>
      <c r="OWR6" s="1185"/>
      <c r="OWS6" s="1185"/>
      <c r="OWT6" s="1185"/>
      <c r="OWU6" s="1185"/>
      <c r="OWV6" s="1185"/>
      <c r="OWW6" s="1185"/>
      <c r="OWX6" s="1185"/>
      <c r="OWY6" s="1185"/>
      <c r="OWZ6" s="1185"/>
      <c r="OXA6" s="1185"/>
      <c r="OXB6" s="1185"/>
      <c r="OXC6" s="1185"/>
      <c r="OXD6" s="1185"/>
      <c r="OXE6" s="1185"/>
      <c r="OXF6" s="1185"/>
      <c r="OXG6" s="1185"/>
      <c r="OXH6" s="1185"/>
      <c r="OXI6" s="1185"/>
      <c r="OXJ6" s="1185"/>
      <c r="OXK6" s="1185"/>
      <c r="OXL6" s="1185"/>
      <c r="OXM6" s="1185"/>
      <c r="OXN6" s="1185"/>
      <c r="OXO6" s="1185"/>
      <c r="OXP6" s="1185"/>
      <c r="OXQ6" s="1185"/>
      <c r="OXR6" s="1185"/>
      <c r="OXS6" s="1185"/>
      <c r="OXT6" s="1185"/>
      <c r="OXU6" s="1185"/>
      <c r="OXV6" s="1185"/>
      <c r="OXW6" s="1185"/>
      <c r="OXX6" s="1185"/>
      <c r="OXY6" s="1185"/>
      <c r="OXZ6" s="1185"/>
      <c r="OYA6" s="1185"/>
      <c r="OYB6" s="1185"/>
      <c r="OYC6" s="1185"/>
      <c r="OYD6" s="1185"/>
      <c r="OYE6" s="1185"/>
      <c r="OYF6" s="1185"/>
      <c r="OYG6" s="1185"/>
      <c r="OYH6" s="1185"/>
      <c r="OYI6" s="1185"/>
      <c r="OYJ6" s="1185"/>
      <c r="OYK6" s="1185"/>
      <c r="OYL6" s="1185"/>
      <c r="OYM6" s="1185"/>
      <c r="OYN6" s="1185"/>
      <c r="OYO6" s="1185"/>
      <c r="OYP6" s="1185"/>
      <c r="OYQ6" s="1185"/>
      <c r="OYR6" s="1185"/>
      <c r="OYS6" s="1185"/>
      <c r="OYT6" s="1185"/>
      <c r="OYU6" s="1185"/>
      <c r="OYV6" s="1185"/>
      <c r="OYW6" s="1185"/>
      <c r="OYX6" s="1185"/>
      <c r="OYY6" s="1185"/>
      <c r="OYZ6" s="1185"/>
      <c r="OZA6" s="1185"/>
      <c r="OZB6" s="1185"/>
      <c r="OZC6" s="1185"/>
      <c r="OZD6" s="1185"/>
      <c r="OZE6" s="1185"/>
      <c r="OZF6" s="1185"/>
      <c r="OZG6" s="1185"/>
      <c r="OZH6" s="1185"/>
      <c r="OZI6" s="1185"/>
      <c r="OZJ6" s="1185"/>
      <c r="OZK6" s="1185"/>
      <c r="OZL6" s="1185"/>
      <c r="OZM6" s="1185"/>
      <c r="OZN6" s="1185"/>
      <c r="OZO6" s="1185"/>
      <c r="OZP6" s="1185"/>
      <c r="OZQ6" s="1185"/>
      <c r="OZR6" s="1185"/>
      <c r="OZS6" s="1185"/>
      <c r="OZT6" s="1185"/>
      <c r="OZU6" s="1185"/>
      <c r="OZV6" s="1185"/>
      <c r="OZW6" s="1185"/>
      <c r="OZX6" s="1185"/>
      <c r="OZY6" s="1185"/>
      <c r="OZZ6" s="1185"/>
      <c r="PAA6" s="1185"/>
      <c r="PAB6" s="1185"/>
      <c r="PAC6" s="1185"/>
      <c r="PAD6" s="1185"/>
      <c r="PAE6" s="1185"/>
      <c r="PAF6" s="1185"/>
      <c r="PAG6" s="1185"/>
      <c r="PAH6" s="1185"/>
      <c r="PAI6" s="1185"/>
      <c r="PAJ6" s="1185"/>
      <c r="PAK6" s="1185"/>
      <c r="PAL6" s="1185"/>
      <c r="PAM6" s="1185"/>
      <c r="PAN6" s="1185"/>
      <c r="PAO6" s="1185"/>
      <c r="PAP6" s="1185"/>
      <c r="PAQ6" s="1185"/>
      <c r="PAR6" s="1185"/>
      <c r="PAS6" s="1185"/>
      <c r="PAT6" s="1185"/>
      <c r="PAU6" s="1185"/>
      <c r="PAV6" s="1185"/>
      <c r="PAW6" s="1185"/>
      <c r="PAX6" s="1185"/>
      <c r="PAY6" s="1185"/>
      <c r="PAZ6" s="1185"/>
      <c r="PBA6" s="1185"/>
      <c r="PBB6" s="1185"/>
      <c r="PBC6" s="1185"/>
      <c r="PBD6" s="1185"/>
      <c r="PBE6" s="1185"/>
      <c r="PBF6" s="1185"/>
      <c r="PBG6" s="1185"/>
      <c r="PBH6" s="1185"/>
      <c r="PBI6" s="1185"/>
      <c r="PBJ6" s="1185"/>
      <c r="PBK6" s="1185"/>
      <c r="PBL6" s="1185"/>
      <c r="PBM6" s="1185"/>
      <c r="PBN6" s="1185"/>
      <c r="PBO6" s="1185"/>
      <c r="PBP6" s="1185"/>
      <c r="PBQ6" s="1185"/>
      <c r="PBR6" s="1185"/>
      <c r="PBS6" s="1185"/>
      <c r="PBT6" s="1185"/>
      <c r="PBU6" s="1185"/>
      <c r="PBV6" s="1185"/>
      <c r="PBW6" s="1185"/>
      <c r="PBX6" s="1185"/>
      <c r="PBY6" s="1185"/>
      <c r="PBZ6" s="1185"/>
      <c r="PCA6" s="1185"/>
      <c r="PCB6" s="1185"/>
      <c r="PCC6" s="1185"/>
      <c r="PCD6" s="1185"/>
      <c r="PCE6" s="1185"/>
      <c r="PCF6" s="1185"/>
      <c r="PCG6" s="1185"/>
      <c r="PCH6" s="1185"/>
      <c r="PCI6" s="1185"/>
      <c r="PCJ6" s="1185"/>
      <c r="PCK6" s="1185"/>
      <c r="PCL6" s="1185"/>
      <c r="PCM6" s="1185"/>
      <c r="PCN6" s="1185"/>
      <c r="PCO6" s="1185"/>
      <c r="PCP6" s="1185"/>
      <c r="PCQ6" s="1185"/>
      <c r="PCR6" s="1185"/>
      <c r="PCS6" s="1185"/>
      <c r="PCT6" s="1185"/>
      <c r="PCU6" s="1185"/>
      <c r="PCV6" s="1185"/>
      <c r="PCW6" s="1185"/>
      <c r="PCX6" s="1185"/>
      <c r="PCY6" s="1185"/>
      <c r="PCZ6" s="1185"/>
      <c r="PDA6" s="1185"/>
      <c r="PDB6" s="1185"/>
      <c r="PDC6" s="1185"/>
      <c r="PDD6" s="1185"/>
      <c r="PDE6" s="1185"/>
      <c r="PDF6" s="1185"/>
      <c r="PDG6" s="1185"/>
      <c r="PDH6" s="1185"/>
      <c r="PDI6" s="1185"/>
      <c r="PDJ6" s="1185"/>
      <c r="PDK6" s="1185"/>
      <c r="PDL6" s="1185"/>
      <c r="PDM6" s="1185"/>
      <c r="PDN6" s="1185"/>
      <c r="PDO6" s="1185"/>
      <c r="PDP6" s="1185"/>
      <c r="PDQ6" s="1185"/>
      <c r="PDR6" s="1185"/>
      <c r="PDS6" s="1185"/>
      <c r="PDT6" s="1185"/>
      <c r="PDU6" s="1185"/>
      <c r="PDV6" s="1185"/>
      <c r="PDW6" s="1185"/>
      <c r="PDX6" s="1185"/>
      <c r="PDY6" s="1185"/>
      <c r="PDZ6" s="1185"/>
      <c r="PEA6" s="1185"/>
      <c r="PEB6" s="1185"/>
      <c r="PEC6" s="1185"/>
      <c r="PED6" s="1185"/>
      <c r="PEE6" s="1185"/>
      <c r="PEF6" s="1185"/>
      <c r="PEG6" s="1185"/>
      <c r="PEH6" s="1185"/>
      <c r="PEI6" s="1185"/>
      <c r="PEJ6" s="1185"/>
      <c r="PEK6" s="1185"/>
      <c r="PEL6" s="1185"/>
      <c r="PEM6" s="1185"/>
      <c r="PEN6" s="1185"/>
      <c r="PEO6" s="1185"/>
      <c r="PEP6" s="1185"/>
      <c r="PEQ6" s="1185"/>
      <c r="PER6" s="1185"/>
      <c r="PES6" s="1185"/>
      <c r="PET6" s="1185"/>
      <c r="PEU6" s="1185"/>
      <c r="PEV6" s="1185"/>
      <c r="PEW6" s="1185"/>
      <c r="PEX6" s="1185"/>
      <c r="PEY6" s="1185"/>
      <c r="PEZ6" s="1185"/>
      <c r="PFA6" s="1185"/>
      <c r="PFB6" s="1185"/>
      <c r="PFC6" s="1185"/>
      <c r="PFD6" s="1185"/>
      <c r="PFE6" s="1185"/>
      <c r="PFF6" s="1185"/>
      <c r="PFG6" s="1185"/>
      <c r="PFH6" s="1185"/>
      <c r="PFI6" s="1185"/>
      <c r="PFJ6" s="1185"/>
      <c r="PFK6" s="1185"/>
      <c r="PFL6" s="1185"/>
      <c r="PFM6" s="1185"/>
      <c r="PFN6" s="1185"/>
      <c r="PFO6" s="1185"/>
      <c r="PFP6" s="1185"/>
      <c r="PFQ6" s="1185"/>
      <c r="PFR6" s="1185"/>
      <c r="PFS6" s="1185"/>
      <c r="PFT6" s="1185"/>
      <c r="PFU6" s="1185"/>
      <c r="PFV6" s="1185"/>
      <c r="PFW6" s="1185"/>
      <c r="PFX6" s="1185"/>
      <c r="PFY6" s="1185"/>
      <c r="PFZ6" s="1185"/>
      <c r="PGA6" s="1185"/>
      <c r="PGB6" s="1185"/>
      <c r="PGC6" s="1185"/>
      <c r="PGD6" s="1185"/>
      <c r="PGE6" s="1185"/>
      <c r="PGF6" s="1185"/>
      <c r="PGG6" s="1185"/>
      <c r="PGH6" s="1185"/>
      <c r="PGI6" s="1185"/>
      <c r="PGJ6" s="1185"/>
      <c r="PGK6" s="1185"/>
      <c r="PGL6" s="1185"/>
      <c r="PGM6" s="1185"/>
      <c r="PGN6" s="1185"/>
      <c r="PGO6" s="1185"/>
      <c r="PGP6" s="1185"/>
      <c r="PGQ6" s="1185"/>
      <c r="PGR6" s="1185"/>
      <c r="PGS6" s="1185"/>
      <c r="PGT6" s="1185"/>
      <c r="PGU6" s="1185"/>
      <c r="PGV6" s="1185"/>
      <c r="PGW6" s="1185"/>
      <c r="PGX6" s="1185"/>
      <c r="PGY6" s="1185"/>
      <c r="PGZ6" s="1185"/>
      <c r="PHA6" s="1185"/>
      <c r="PHB6" s="1185"/>
      <c r="PHC6" s="1185"/>
      <c r="PHD6" s="1185"/>
      <c r="PHE6" s="1185"/>
      <c r="PHF6" s="1185"/>
      <c r="PHG6" s="1185"/>
      <c r="PHH6" s="1185"/>
      <c r="PHI6" s="1185"/>
      <c r="PHJ6" s="1185"/>
      <c r="PHK6" s="1185"/>
      <c r="PHL6" s="1185"/>
      <c r="PHM6" s="1185"/>
      <c r="PHN6" s="1185"/>
      <c r="PHO6" s="1185"/>
      <c r="PHP6" s="1185"/>
      <c r="PHQ6" s="1185"/>
      <c r="PHR6" s="1185"/>
      <c r="PHS6" s="1185"/>
      <c r="PHT6" s="1185"/>
      <c r="PHU6" s="1185"/>
      <c r="PHV6" s="1185"/>
      <c r="PHW6" s="1185"/>
      <c r="PHX6" s="1185"/>
      <c r="PHY6" s="1185"/>
      <c r="PHZ6" s="1185"/>
      <c r="PIA6" s="1185"/>
      <c r="PIB6" s="1185"/>
      <c r="PIC6" s="1185"/>
      <c r="PID6" s="1185"/>
      <c r="PIE6" s="1185"/>
      <c r="PIF6" s="1185"/>
      <c r="PIG6" s="1185"/>
      <c r="PIH6" s="1185"/>
      <c r="PII6" s="1185"/>
      <c r="PIJ6" s="1185"/>
      <c r="PIK6" s="1185"/>
      <c r="PIL6" s="1185"/>
      <c r="PIM6" s="1185"/>
      <c r="PIN6" s="1185"/>
      <c r="PIO6" s="1185"/>
      <c r="PIP6" s="1185"/>
      <c r="PIQ6" s="1185"/>
      <c r="PIR6" s="1185"/>
      <c r="PIS6" s="1185"/>
      <c r="PIT6" s="1185"/>
      <c r="PIU6" s="1185"/>
      <c r="PIV6" s="1185"/>
      <c r="PIW6" s="1185"/>
      <c r="PIX6" s="1185"/>
      <c r="PIY6" s="1185"/>
      <c r="PIZ6" s="1185"/>
      <c r="PJA6" s="1185"/>
      <c r="PJB6" s="1185"/>
      <c r="PJC6" s="1185"/>
      <c r="PJD6" s="1185"/>
      <c r="PJE6" s="1185"/>
      <c r="PJF6" s="1185"/>
      <c r="PJG6" s="1185"/>
      <c r="PJH6" s="1185"/>
      <c r="PJI6" s="1185"/>
      <c r="PJJ6" s="1185"/>
      <c r="PJK6" s="1185"/>
      <c r="PJL6" s="1185"/>
      <c r="PJM6" s="1185"/>
      <c r="PJN6" s="1185"/>
      <c r="PJO6" s="1185"/>
      <c r="PJP6" s="1185"/>
      <c r="PJQ6" s="1185"/>
      <c r="PJR6" s="1185"/>
      <c r="PJS6" s="1185"/>
      <c r="PJT6" s="1185"/>
      <c r="PJU6" s="1185"/>
      <c r="PJV6" s="1185"/>
      <c r="PJW6" s="1185"/>
      <c r="PJX6" s="1185"/>
      <c r="PJY6" s="1185"/>
      <c r="PJZ6" s="1185"/>
      <c r="PKA6" s="1185"/>
      <c r="PKB6" s="1185"/>
      <c r="PKC6" s="1185"/>
      <c r="PKD6" s="1185"/>
      <c r="PKE6" s="1185"/>
      <c r="PKF6" s="1185"/>
      <c r="PKG6" s="1185"/>
      <c r="PKH6" s="1185"/>
      <c r="PKI6" s="1185"/>
      <c r="PKJ6" s="1185"/>
      <c r="PKK6" s="1185"/>
      <c r="PKL6" s="1185"/>
      <c r="PKM6" s="1185"/>
      <c r="PKN6" s="1185"/>
      <c r="PKO6" s="1185"/>
      <c r="PKP6" s="1185"/>
      <c r="PKQ6" s="1185"/>
      <c r="PKR6" s="1185"/>
      <c r="PKS6" s="1185"/>
      <c r="PKT6" s="1185"/>
      <c r="PKU6" s="1185"/>
      <c r="PKV6" s="1185"/>
      <c r="PKW6" s="1185"/>
      <c r="PKX6" s="1185"/>
      <c r="PKY6" s="1185"/>
      <c r="PKZ6" s="1185"/>
      <c r="PLA6" s="1185"/>
      <c r="PLB6" s="1185"/>
      <c r="PLC6" s="1185"/>
      <c r="PLD6" s="1185"/>
      <c r="PLE6" s="1185"/>
      <c r="PLF6" s="1185"/>
      <c r="PLG6" s="1185"/>
      <c r="PLH6" s="1185"/>
      <c r="PLI6" s="1185"/>
      <c r="PLJ6" s="1185"/>
      <c r="PLK6" s="1185"/>
      <c r="PLL6" s="1185"/>
      <c r="PLM6" s="1185"/>
      <c r="PLN6" s="1185"/>
      <c r="PLO6" s="1185"/>
      <c r="PLP6" s="1185"/>
      <c r="PLQ6" s="1185"/>
      <c r="PLR6" s="1185"/>
      <c r="PLS6" s="1185"/>
      <c r="PLT6" s="1185"/>
      <c r="PLU6" s="1185"/>
      <c r="PLV6" s="1185"/>
      <c r="PLW6" s="1185"/>
      <c r="PLX6" s="1185"/>
      <c r="PLY6" s="1185"/>
      <c r="PLZ6" s="1185"/>
      <c r="PMA6" s="1185"/>
      <c r="PMB6" s="1185"/>
      <c r="PMC6" s="1185"/>
      <c r="PMD6" s="1185"/>
      <c r="PME6" s="1185"/>
      <c r="PMF6" s="1185"/>
      <c r="PMG6" s="1185"/>
      <c r="PMH6" s="1185"/>
      <c r="PMI6" s="1185"/>
      <c r="PMJ6" s="1185"/>
      <c r="PMK6" s="1185"/>
      <c r="PML6" s="1185"/>
      <c r="PMM6" s="1185"/>
      <c r="PMN6" s="1185"/>
      <c r="PMO6" s="1185"/>
      <c r="PMP6" s="1185"/>
      <c r="PMQ6" s="1185"/>
      <c r="PMR6" s="1185"/>
      <c r="PMS6" s="1185"/>
      <c r="PMT6" s="1185"/>
      <c r="PMU6" s="1185"/>
      <c r="PMV6" s="1185"/>
      <c r="PMW6" s="1185"/>
      <c r="PMX6" s="1185"/>
      <c r="PMY6" s="1185"/>
      <c r="PMZ6" s="1185"/>
      <c r="PNA6" s="1185"/>
      <c r="PNB6" s="1185"/>
      <c r="PNC6" s="1185"/>
      <c r="PND6" s="1185"/>
      <c r="PNE6" s="1185"/>
      <c r="PNF6" s="1185"/>
      <c r="PNG6" s="1185"/>
      <c r="PNH6" s="1185"/>
      <c r="PNI6" s="1185"/>
      <c r="PNJ6" s="1185"/>
      <c r="PNK6" s="1185"/>
      <c r="PNL6" s="1185"/>
      <c r="PNM6" s="1185"/>
      <c r="PNN6" s="1185"/>
      <c r="PNO6" s="1185"/>
      <c r="PNP6" s="1185"/>
      <c r="PNQ6" s="1185"/>
      <c r="PNR6" s="1185"/>
      <c r="PNS6" s="1185"/>
      <c r="PNT6" s="1185"/>
      <c r="PNU6" s="1185"/>
      <c r="PNV6" s="1185"/>
      <c r="PNW6" s="1185"/>
      <c r="PNX6" s="1185"/>
      <c r="PNY6" s="1185"/>
      <c r="PNZ6" s="1185"/>
      <c r="POA6" s="1185"/>
      <c r="POB6" s="1185"/>
      <c r="POC6" s="1185"/>
      <c r="POD6" s="1185"/>
      <c r="POE6" s="1185"/>
      <c r="POF6" s="1185"/>
      <c r="POG6" s="1185"/>
      <c r="POH6" s="1185"/>
      <c r="POI6" s="1185"/>
      <c r="POJ6" s="1185"/>
      <c r="POK6" s="1185"/>
      <c r="POL6" s="1185"/>
      <c r="POM6" s="1185"/>
      <c r="PON6" s="1185"/>
      <c r="POO6" s="1185"/>
      <c r="POP6" s="1185"/>
      <c r="POQ6" s="1185"/>
      <c r="POR6" s="1185"/>
      <c r="POS6" s="1185"/>
      <c r="POT6" s="1185"/>
      <c r="POU6" s="1185"/>
      <c r="POV6" s="1185"/>
      <c r="POW6" s="1185"/>
      <c r="POX6" s="1185"/>
      <c r="POY6" s="1185"/>
      <c r="POZ6" s="1185"/>
      <c r="PPA6" s="1185"/>
      <c r="PPB6" s="1185"/>
      <c r="PPC6" s="1185"/>
      <c r="PPD6" s="1185"/>
      <c r="PPE6" s="1185"/>
      <c r="PPF6" s="1185"/>
      <c r="PPG6" s="1185"/>
      <c r="PPH6" s="1185"/>
      <c r="PPI6" s="1185"/>
      <c r="PPJ6" s="1185"/>
      <c r="PPK6" s="1185"/>
      <c r="PPL6" s="1185"/>
      <c r="PPM6" s="1185"/>
      <c r="PPN6" s="1185"/>
      <c r="PPO6" s="1185"/>
      <c r="PPP6" s="1185"/>
      <c r="PPQ6" s="1185"/>
      <c r="PPR6" s="1185"/>
      <c r="PPS6" s="1185"/>
      <c r="PPT6" s="1185"/>
      <c r="PPU6" s="1185"/>
      <c r="PPV6" s="1185"/>
      <c r="PPW6" s="1185"/>
      <c r="PPX6" s="1185"/>
      <c r="PPY6" s="1185"/>
      <c r="PPZ6" s="1185"/>
      <c r="PQA6" s="1185"/>
      <c r="PQB6" s="1185"/>
      <c r="PQC6" s="1185"/>
      <c r="PQD6" s="1185"/>
      <c r="PQE6" s="1185"/>
      <c r="PQF6" s="1185"/>
      <c r="PQG6" s="1185"/>
      <c r="PQH6" s="1185"/>
      <c r="PQI6" s="1185"/>
      <c r="PQJ6" s="1185"/>
      <c r="PQK6" s="1185"/>
      <c r="PQL6" s="1185"/>
      <c r="PQM6" s="1185"/>
      <c r="PQN6" s="1185"/>
      <c r="PQO6" s="1185"/>
      <c r="PQP6" s="1185"/>
      <c r="PQQ6" s="1185"/>
      <c r="PQR6" s="1185"/>
      <c r="PQS6" s="1185"/>
      <c r="PQT6" s="1185"/>
      <c r="PQU6" s="1185"/>
      <c r="PQV6" s="1185"/>
      <c r="PQW6" s="1185"/>
      <c r="PQX6" s="1185"/>
      <c r="PQY6" s="1185"/>
      <c r="PQZ6" s="1185"/>
      <c r="PRA6" s="1185"/>
      <c r="PRB6" s="1185"/>
      <c r="PRC6" s="1185"/>
      <c r="PRD6" s="1185"/>
      <c r="PRE6" s="1185"/>
      <c r="PRF6" s="1185"/>
      <c r="PRG6" s="1185"/>
      <c r="PRH6" s="1185"/>
      <c r="PRI6" s="1185"/>
      <c r="PRJ6" s="1185"/>
      <c r="PRK6" s="1185"/>
      <c r="PRL6" s="1185"/>
      <c r="PRM6" s="1185"/>
      <c r="PRN6" s="1185"/>
      <c r="PRO6" s="1185"/>
      <c r="PRP6" s="1185"/>
      <c r="PRQ6" s="1185"/>
      <c r="PRR6" s="1185"/>
      <c r="PRS6" s="1185"/>
      <c r="PRT6" s="1185"/>
      <c r="PRU6" s="1185"/>
      <c r="PRV6" s="1185"/>
      <c r="PRW6" s="1185"/>
      <c r="PRX6" s="1185"/>
      <c r="PRY6" s="1185"/>
      <c r="PRZ6" s="1185"/>
      <c r="PSA6" s="1185"/>
      <c r="PSB6" s="1185"/>
      <c r="PSC6" s="1185"/>
      <c r="PSD6" s="1185"/>
      <c r="PSE6" s="1185"/>
      <c r="PSF6" s="1185"/>
      <c r="PSG6" s="1185"/>
      <c r="PSH6" s="1185"/>
      <c r="PSI6" s="1185"/>
      <c r="PSJ6" s="1185"/>
      <c r="PSK6" s="1185"/>
      <c r="PSL6" s="1185"/>
      <c r="PSM6" s="1185"/>
      <c r="PSN6" s="1185"/>
      <c r="PSO6" s="1185"/>
      <c r="PSP6" s="1185"/>
      <c r="PSQ6" s="1185"/>
      <c r="PSR6" s="1185"/>
      <c r="PSS6" s="1185"/>
      <c r="PST6" s="1185"/>
      <c r="PSU6" s="1185"/>
      <c r="PSV6" s="1185"/>
      <c r="PSW6" s="1185"/>
      <c r="PSX6" s="1185"/>
      <c r="PSY6" s="1185"/>
      <c r="PSZ6" s="1185"/>
      <c r="PTA6" s="1185"/>
      <c r="PTB6" s="1185"/>
      <c r="PTC6" s="1185"/>
      <c r="PTD6" s="1185"/>
      <c r="PTE6" s="1185"/>
      <c r="PTF6" s="1185"/>
      <c r="PTG6" s="1185"/>
      <c r="PTH6" s="1185"/>
      <c r="PTI6" s="1185"/>
      <c r="PTJ6" s="1185"/>
      <c r="PTK6" s="1185"/>
      <c r="PTL6" s="1185"/>
      <c r="PTM6" s="1185"/>
      <c r="PTN6" s="1185"/>
      <c r="PTO6" s="1185"/>
      <c r="PTP6" s="1185"/>
      <c r="PTQ6" s="1185"/>
      <c r="PTR6" s="1185"/>
      <c r="PTS6" s="1185"/>
      <c r="PTT6" s="1185"/>
      <c r="PTU6" s="1185"/>
      <c r="PTV6" s="1185"/>
      <c r="PTW6" s="1185"/>
      <c r="PTX6" s="1185"/>
      <c r="PTY6" s="1185"/>
      <c r="PTZ6" s="1185"/>
      <c r="PUA6" s="1185"/>
      <c r="PUB6" s="1185"/>
      <c r="PUC6" s="1185"/>
      <c r="PUD6" s="1185"/>
      <c r="PUE6" s="1185"/>
      <c r="PUF6" s="1185"/>
      <c r="PUG6" s="1185"/>
      <c r="PUH6" s="1185"/>
      <c r="PUI6" s="1185"/>
      <c r="PUJ6" s="1185"/>
      <c r="PUK6" s="1185"/>
      <c r="PUL6" s="1185"/>
      <c r="PUM6" s="1185"/>
      <c r="PUN6" s="1185"/>
      <c r="PUO6" s="1185"/>
      <c r="PUP6" s="1185"/>
      <c r="PUQ6" s="1185"/>
      <c r="PUR6" s="1185"/>
      <c r="PUS6" s="1185"/>
      <c r="PUT6" s="1185"/>
      <c r="PUU6" s="1185"/>
      <c r="PUV6" s="1185"/>
      <c r="PUW6" s="1185"/>
      <c r="PUX6" s="1185"/>
      <c r="PUY6" s="1185"/>
      <c r="PUZ6" s="1185"/>
      <c r="PVA6" s="1185"/>
      <c r="PVB6" s="1185"/>
      <c r="PVC6" s="1185"/>
      <c r="PVD6" s="1185"/>
      <c r="PVE6" s="1185"/>
      <c r="PVF6" s="1185"/>
      <c r="PVG6" s="1185"/>
      <c r="PVH6" s="1185"/>
      <c r="PVI6" s="1185"/>
      <c r="PVJ6" s="1185"/>
      <c r="PVK6" s="1185"/>
      <c r="PVL6" s="1185"/>
      <c r="PVM6" s="1185"/>
      <c r="PVN6" s="1185"/>
      <c r="PVO6" s="1185"/>
      <c r="PVP6" s="1185"/>
      <c r="PVQ6" s="1185"/>
      <c r="PVR6" s="1185"/>
      <c r="PVS6" s="1185"/>
      <c r="PVT6" s="1185"/>
      <c r="PVU6" s="1185"/>
      <c r="PVV6" s="1185"/>
      <c r="PVW6" s="1185"/>
      <c r="PVX6" s="1185"/>
      <c r="PVY6" s="1185"/>
      <c r="PVZ6" s="1185"/>
      <c r="PWA6" s="1185"/>
      <c r="PWB6" s="1185"/>
      <c r="PWC6" s="1185"/>
      <c r="PWD6" s="1185"/>
      <c r="PWE6" s="1185"/>
      <c r="PWF6" s="1185"/>
      <c r="PWG6" s="1185"/>
      <c r="PWH6" s="1185"/>
      <c r="PWI6" s="1185"/>
      <c r="PWJ6" s="1185"/>
      <c r="PWK6" s="1185"/>
      <c r="PWL6" s="1185"/>
      <c r="PWM6" s="1185"/>
      <c r="PWN6" s="1185"/>
      <c r="PWO6" s="1185"/>
      <c r="PWP6" s="1185"/>
      <c r="PWQ6" s="1185"/>
      <c r="PWR6" s="1185"/>
      <c r="PWS6" s="1185"/>
      <c r="PWT6" s="1185"/>
      <c r="PWU6" s="1185"/>
      <c r="PWV6" s="1185"/>
      <c r="PWW6" s="1185"/>
      <c r="PWX6" s="1185"/>
      <c r="PWY6" s="1185"/>
      <c r="PWZ6" s="1185"/>
      <c r="PXA6" s="1185"/>
      <c r="PXB6" s="1185"/>
      <c r="PXC6" s="1185"/>
      <c r="PXD6" s="1185"/>
      <c r="PXE6" s="1185"/>
      <c r="PXF6" s="1185"/>
      <c r="PXG6" s="1185"/>
      <c r="PXH6" s="1185"/>
      <c r="PXI6" s="1185"/>
      <c r="PXJ6" s="1185"/>
      <c r="PXK6" s="1185"/>
      <c r="PXL6" s="1185"/>
      <c r="PXM6" s="1185"/>
      <c r="PXN6" s="1185"/>
      <c r="PXO6" s="1185"/>
      <c r="PXP6" s="1185"/>
      <c r="PXQ6" s="1185"/>
      <c r="PXR6" s="1185"/>
      <c r="PXS6" s="1185"/>
      <c r="PXT6" s="1185"/>
      <c r="PXU6" s="1185"/>
      <c r="PXV6" s="1185"/>
      <c r="PXW6" s="1185"/>
      <c r="PXX6" s="1185"/>
      <c r="PXY6" s="1185"/>
      <c r="PXZ6" s="1185"/>
      <c r="PYA6" s="1185"/>
      <c r="PYB6" s="1185"/>
      <c r="PYC6" s="1185"/>
      <c r="PYD6" s="1185"/>
      <c r="PYE6" s="1185"/>
      <c r="PYF6" s="1185"/>
      <c r="PYG6" s="1185"/>
      <c r="PYH6" s="1185"/>
      <c r="PYI6" s="1185"/>
      <c r="PYJ6" s="1185"/>
      <c r="PYK6" s="1185"/>
      <c r="PYL6" s="1185"/>
      <c r="PYM6" s="1185"/>
      <c r="PYN6" s="1185"/>
      <c r="PYO6" s="1185"/>
      <c r="PYP6" s="1185"/>
      <c r="PYQ6" s="1185"/>
      <c r="PYR6" s="1185"/>
      <c r="PYS6" s="1185"/>
      <c r="PYT6" s="1185"/>
      <c r="PYU6" s="1185"/>
      <c r="PYV6" s="1185"/>
      <c r="PYW6" s="1185"/>
      <c r="PYX6" s="1185"/>
      <c r="PYY6" s="1185"/>
      <c r="PYZ6" s="1185"/>
      <c r="PZA6" s="1185"/>
      <c r="PZB6" s="1185"/>
      <c r="PZC6" s="1185"/>
      <c r="PZD6" s="1185"/>
      <c r="PZE6" s="1185"/>
      <c r="PZF6" s="1185"/>
      <c r="PZG6" s="1185"/>
      <c r="PZH6" s="1185"/>
      <c r="PZI6" s="1185"/>
      <c r="PZJ6" s="1185"/>
      <c r="PZK6" s="1185"/>
      <c r="PZL6" s="1185"/>
      <c r="PZM6" s="1185"/>
      <c r="PZN6" s="1185"/>
      <c r="PZO6" s="1185"/>
      <c r="PZP6" s="1185"/>
      <c r="PZQ6" s="1185"/>
      <c r="PZR6" s="1185"/>
      <c r="PZS6" s="1185"/>
      <c r="PZT6" s="1185"/>
      <c r="PZU6" s="1185"/>
      <c r="PZV6" s="1185"/>
      <c r="PZW6" s="1185"/>
      <c r="PZX6" s="1185"/>
      <c r="PZY6" s="1185"/>
      <c r="PZZ6" s="1185"/>
      <c r="QAA6" s="1185"/>
      <c r="QAB6" s="1185"/>
      <c r="QAC6" s="1185"/>
      <c r="QAD6" s="1185"/>
      <c r="QAE6" s="1185"/>
      <c r="QAF6" s="1185"/>
      <c r="QAG6" s="1185"/>
      <c r="QAH6" s="1185"/>
      <c r="QAI6" s="1185"/>
      <c r="QAJ6" s="1185"/>
      <c r="QAK6" s="1185"/>
      <c r="QAL6" s="1185"/>
      <c r="QAM6" s="1185"/>
      <c r="QAN6" s="1185"/>
      <c r="QAO6" s="1185"/>
      <c r="QAP6" s="1185"/>
      <c r="QAQ6" s="1185"/>
      <c r="QAR6" s="1185"/>
      <c r="QAS6" s="1185"/>
      <c r="QAT6" s="1185"/>
      <c r="QAU6" s="1185"/>
      <c r="QAV6" s="1185"/>
      <c r="QAW6" s="1185"/>
      <c r="QAX6" s="1185"/>
      <c r="QAY6" s="1185"/>
      <c r="QAZ6" s="1185"/>
      <c r="QBA6" s="1185"/>
      <c r="QBB6" s="1185"/>
      <c r="QBC6" s="1185"/>
      <c r="QBD6" s="1185"/>
      <c r="QBE6" s="1185"/>
      <c r="QBF6" s="1185"/>
      <c r="QBG6" s="1185"/>
      <c r="QBH6" s="1185"/>
      <c r="QBI6" s="1185"/>
      <c r="QBJ6" s="1185"/>
      <c r="QBK6" s="1185"/>
      <c r="QBL6" s="1185"/>
      <c r="QBM6" s="1185"/>
      <c r="QBN6" s="1185"/>
      <c r="QBO6" s="1185"/>
      <c r="QBP6" s="1185"/>
      <c r="QBQ6" s="1185"/>
      <c r="QBR6" s="1185"/>
      <c r="QBS6" s="1185"/>
      <c r="QBT6" s="1185"/>
      <c r="QBU6" s="1185"/>
      <c r="QBV6" s="1185"/>
      <c r="QBW6" s="1185"/>
      <c r="QBX6" s="1185"/>
      <c r="QBY6" s="1185"/>
      <c r="QBZ6" s="1185"/>
      <c r="QCA6" s="1185"/>
      <c r="QCB6" s="1185"/>
      <c r="QCC6" s="1185"/>
      <c r="QCD6" s="1185"/>
      <c r="QCE6" s="1185"/>
      <c r="QCF6" s="1185"/>
      <c r="QCG6" s="1185"/>
      <c r="QCH6" s="1185"/>
      <c r="QCI6" s="1185"/>
      <c r="QCJ6" s="1185"/>
      <c r="QCK6" s="1185"/>
      <c r="QCL6" s="1185"/>
      <c r="QCM6" s="1185"/>
      <c r="QCN6" s="1185"/>
      <c r="QCO6" s="1185"/>
      <c r="QCP6" s="1185"/>
      <c r="QCQ6" s="1185"/>
      <c r="QCR6" s="1185"/>
      <c r="QCS6" s="1185"/>
      <c r="QCT6" s="1185"/>
      <c r="QCU6" s="1185"/>
      <c r="QCV6" s="1185"/>
      <c r="QCW6" s="1185"/>
      <c r="QCX6" s="1185"/>
      <c r="QCY6" s="1185"/>
      <c r="QCZ6" s="1185"/>
      <c r="QDA6" s="1185"/>
      <c r="QDB6" s="1185"/>
      <c r="QDC6" s="1185"/>
      <c r="QDD6" s="1185"/>
      <c r="QDE6" s="1185"/>
      <c r="QDF6" s="1185"/>
      <c r="QDG6" s="1185"/>
      <c r="QDH6" s="1185"/>
      <c r="QDI6" s="1185"/>
      <c r="QDJ6" s="1185"/>
      <c r="QDK6" s="1185"/>
      <c r="QDL6" s="1185"/>
      <c r="QDM6" s="1185"/>
      <c r="QDN6" s="1185"/>
      <c r="QDO6" s="1185"/>
      <c r="QDP6" s="1185"/>
      <c r="QDQ6" s="1185"/>
      <c r="QDR6" s="1185"/>
      <c r="QDS6" s="1185"/>
      <c r="QDT6" s="1185"/>
      <c r="QDU6" s="1185"/>
      <c r="QDV6" s="1185"/>
      <c r="QDW6" s="1185"/>
      <c r="QDX6" s="1185"/>
      <c r="QDY6" s="1185"/>
      <c r="QDZ6" s="1185"/>
      <c r="QEA6" s="1185"/>
      <c r="QEB6" s="1185"/>
      <c r="QEC6" s="1185"/>
      <c r="QED6" s="1185"/>
      <c r="QEE6" s="1185"/>
      <c r="QEF6" s="1185"/>
      <c r="QEG6" s="1185"/>
      <c r="QEH6" s="1185"/>
      <c r="QEI6" s="1185"/>
      <c r="QEJ6" s="1185"/>
      <c r="QEK6" s="1185"/>
      <c r="QEL6" s="1185"/>
      <c r="QEM6" s="1185"/>
      <c r="QEN6" s="1185"/>
      <c r="QEO6" s="1185"/>
      <c r="QEP6" s="1185"/>
      <c r="QEQ6" s="1185"/>
      <c r="QER6" s="1185"/>
      <c r="QES6" s="1185"/>
      <c r="QET6" s="1185"/>
      <c r="QEU6" s="1185"/>
      <c r="QEV6" s="1185"/>
      <c r="QEW6" s="1185"/>
      <c r="QEX6" s="1185"/>
      <c r="QEY6" s="1185"/>
      <c r="QEZ6" s="1185"/>
      <c r="QFA6" s="1185"/>
      <c r="QFB6" s="1185"/>
      <c r="QFC6" s="1185"/>
      <c r="QFD6" s="1185"/>
      <c r="QFE6" s="1185"/>
      <c r="QFF6" s="1185"/>
      <c r="QFG6" s="1185"/>
      <c r="QFH6" s="1185"/>
      <c r="QFI6" s="1185"/>
      <c r="QFJ6" s="1185"/>
      <c r="QFK6" s="1185"/>
      <c r="QFL6" s="1185"/>
      <c r="QFM6" s="1185"/>
      <c r="QFN6" s="1185"/>
      <c r="QFO6" s="1185"/>
      <c r="QFP6" s="1185"/>
      <c r="QFQ6" s="1185"/>
      <c r="QFR6" s="1185"/>
      <c r="QFS6" s="1185"/>
      <c r="QFT6" s="1185"/>
      <c r="QFU6" s="1185"/>
      <c r="QFV6" s="1185"/>
      <c r="QFW6" s="1185"/>
      <c r="QFX6" s="1185"/>
      <c r="QFY6" s="1185"/>
      <c r="QFZ6" s="1185"/>
      <c r="QGA6" s="1185"/>
      <c r="QGB6" s="1185"/>
      <c r="QGC6" s="1185"/>
      <c r="QGD6" s="1185"/>
      <c r="QGE6" s="1185"/>
      <c r="QGF6" s="1185"/>
      <c r="QGG6" s="1185"/>
      <c r="QGH6" s="1185"/>
      <c r="QGI6" s="1185"/>
      <c r="QGJ6" s="1185"/>
      <c r="QGK6" s="1185"/>
      <c r="QGL6" s="1185"/>
      <c r="QGM6" s="1185"/>
      <c r="QGN6" s="1185"/>
      <c r="QGO6" s="1185"/>
      <c r="QGP6" s="1185"/>
      <c r="QGQ6" s="1185"/>
      <c r="QGR6" s="1185"/>
      <c r="QGS6" s="1185"/>
      <c r="QGT6" s="1185"/>
      <c r="QGU6" s="1185"/>
      <c r="QGV6" s="1185"/>
      <c r="QGW6" s="1185"/>
      <c r="QGX6" s="1185"/>
      <c r="QGY6" s="1185"/>
      <c r="QGZ6" s="1185"/>
      <c r="QHA6" s="1185"/>
      <c r="QHB6" s="1185"/>
      <c r="QHC6" s="1185"/>
      <c r="QHD6" s="1185"/>
      <c r="QHE6" s="1185"/>
      <c r="QHF6" s="1185"/>
      <c r="QHG6" s="1185"/>
      <c r="QHH6" s="1185"/>
      <c r="QHI6" s="1185"/>
      <c r="QHJ6" s="1185"/>
      <c r="QHK6" s="1185"/>
      <c r="QHL6" s="1185"/>
      <c r="QHM6" s="1185"/>
      <c r="QHN6" s="1185"/>
      <c r="QHO6" s="1185"/>
      <c r="QHP6" s="1185"/>
      <c r="QHQ6" s="1185"/>
      <c r="QHR6" s="1185"/>
      <c r="QHS6" s="1185"/>
      <c r="QHT6" s="1185"/>
      <c r="QHU6" s="1185"/>
      <c r="QHV6" s="1185"/>
      <c r="QHW6" s="1185"/>
      <c r="QHX6" s="1185"/>
      <c r="QHY6" s="1185"/>
      <c r="QHZ6" s="1185"/>
      <c r="QIA6" s="1185"/>
      <c r="QIB6" s="1185"/>
      <c r="QIC6" s="1185"/>
      <c r="QID6" s="1185"/>
      <c r="QIE6" s="1185"/>
      <c r="QIF6" s="1185"/>
      <c r="QIG6" s="1185"/>
      <c r="QIH6" s="1185"/>
      <c r="QII6" s="1185"/>
      <c r="QIJ6" s="1185"/>
      <c r="QIK6" s="1185"/>
      <c r="QIL6" s="1185"/>
      <c r="QIM6" s="1185"/>
      <c r="QIN6" s="1185"/>
      <c r="QIO6" s="1185"/>
      <c r="QIP6" s="1185"/>
      <c r="QIQ6" s="1185"/>
      <c r="QIR6" s="1185"/>
      <c r="QIS6" s="1185"/>
      <c r="QIT6" s="1185"/>
      <c r="QIU6" s="1185"/>
      <c r="QIV6" s="1185"/>
      <c r="QIW6" s="1185"/>
      <c r="QIX6" s="1185"/>
      <c r="QIY6" s="1185"/>
      <c r="QIZ6" s="1185"/>
      <c r="QJA6" s="1185"/>
      <c r="QJB6" s="1185"/>
      <c r="QJC6" s="1185"/>
      <c r="QJD6" s="1185"/>
      <c r="QJE6" s="1185"/>
      <c r="QJF6" s="1185"/>
      <c r="QJG6" s="1185"/>
      <c r="QJH6" s="1185"/>
      <c r="QJI6" s="1185"/>
      <c r="QJJ6" s="1185"/>
      <c r="QJK6" s="1185"/>
      <c r="QJL6" s="1185"/>
      <c r="QJM6" s="1185"/>
      <c r="QJN6" s="1185"/>
      <c r="QJO6" s="1185"/>
      <c r="QJP6" s="1185"/>
      <c r="QJQ6" s="1185"/>
      <c r="QJR6" s="1185"/>
      <c r="QJS6" s="1185"/>
      <c r="QJT6" s="1185"/>
      <c r="QJU6" s="1185"/>
      <c r="QJV6" s="1185"/>
      <c r="QJW6" s="1185"/>
      <c r="QJX6" s="1185"/>
      <c r="QJY6" s="1185"/>
      <c r="QJZ6" s="1185"/>
      <c r="QKA6" s="1185"/>
      <c r="QKB6" s="1185"/>
      <c r="QKC6" s="1185"/>
      <c r="QKD6" s="1185"/>
      <c r="QKE6" s="1185"/>
      <c r="QKF6" s="1185"/>
      <c r="QKG6" s="1185"/>
      <c r="QKH6" s="1185"/>
      <c r="QKI6" s="1185"/>
      <c r="QKJ6" s="1185"/>
      <c r="QKK6" s="1185"/>
      <c r="QKL6" s="1185"/>
      <c r="QKM6" s="1185"/>
      <c r="QKN6" s="1185"/>
      <c r="QKO6" s="1185"/>
      <c r="QKP6" s="1185"/>
      <c r="QKQ6" s="1185"/>
      <c r="QKR6" s="1185"/>
      <c r="QKS6" s="1185"/>
      <c r="QKT6" s="1185"/>
      <c r="QKU6" s="1185"/>
      <c r="QKV6" s="1185"/>
      <c r="QKW6" s="1185"/>
      <c r="QKX6" s="1185"/>
      <c r="QKY6" s="1185"/>
      <c r="QKZ6" s="1185"/>
      <c r="QLA6" s="1185"/>
      <c r="QLB6" s="1185"/>
      <c r="QLC6" s="1185"/>
      <c r="QLD6" s="1185"/>
      <c r="QLE6" s="1185"/>
      <c r="QLF6" s="1185"/>
      <c r="QLG6" s="1185"/>
      <c r="QLH6" s="1185"/>
      <c r="QLI6" s="1185"/>
      <c r="QLJ6" s="1185"/>
      <c r="QLK6" s="1185"/>
      <c r="QLL6" s="1185"/>
      <c r="QLM6" s="1185"/>
      <c r="QLN6" s="1185"/>
      <c r="QLO6" s="1185"/>
      <c r="QLP6" s="1185"/>
      <c r="QLQ6" s="1185"/>
      <c r="QLR6" s="1185"/>
      <c r="QLS6" s="1185"/>
      <c r="QLT6" s="1185"/>
      <c r="QLU6" s="1185"/>
      <c r="QLV6" s="1185"/>
      <c r="QLW6" s="1185"/>
      <c r="QLX6" s="1185"/>
      <c r="QLY6" s="1185"/>
      <c r="QLZ6" s="1185"/>
      <c r="QMA6" s="1185"/>
      <c r="QMB6" s="1185"/>
      <c r="QMC6" s="1185"/>
      <c r="QMD6" s="1185"/>
      <c r="QME6" s="1185"/>
      <c r="QMF6" s="1185"/>
      <c r="QMG6" s="1185"/>
      <c r="QMH6" s="1185"/>
      <c r="QMI6" s="1185"/>
      <c r="QMJ6" s="1185"/>
      <c r="QMK6" s="1185"/>
      <c r="QML6" s="1185"/>
      <c r="QMM6" s="1185"/>
      <c r="QMN6" s="1185"/>
      <c r="QMO6" s="1185"/>
      <c r="QMP6" s="1185"/>
      <c r="QMQ6" s="1185"/>
      <c r="QMR6" s="1185"/>
      <c r="QMS6" s="1185"/>
      <c r="QMT6" s="1185"/>
      <c r="QMU6" s="1185"/>
      <c r="QMV6" s="1185"/>
      <c r="QMW6" s="1185"/>
      <c r="QMX6" s="1185"/>
      <c r="QMY6" s="1185"/>
      <c r="QMZ6" s="1185"/>
      <c r="QNA6" s="1185"/>
      <c r="QNB6" s="1185"/>
      <c r="QNC6" s="1185"/>
      <c r="QND6" s="1185"/>
      <c r="QNE6" s="1185"/>
      <c r="QNF6" s="1185"/>
      <c r="QNG6" s="1185"/>
      <c r="QNH6" s="1185"/>
      <c r="QNI6" s="1185"/>
      <c r="QNJ6" s="1185"/>
      <c r="QNK6" s="1185"/>
      <c r="QNL6" s="1185"/>
      <c r="QNM6" s="1185"/>
      <c r="QNN6" s="1185"/>
      <c r="QNO6" s="1185"/>
      <c r="QNP6" s="1185"/>
      <c r="QNQ6" s="1185"/>
      <c r="QNR6" s="1185"/>
      <c r="QNS6" s="1185"/>
      <c r="QNT6" s="1185"/>
      <c r="QNU6" s="1185"/>
      <c r="QNV6" s="1185"/>
      <c r="QNW6" s="1185"/>
      <c r="QNX6" s="1185"/>
      <c r="QNY6" s="1185"/>
      <c r="QNZ6" s="1185"/>
      <c r="QOA6" s="1185"/>
      <c r="QOB6" s="1185"/>
      <c r="QOC6" s="1185"/>
      <c r="QOD6" s="1185"/>
      <c r="QOE6" s="1185"/>
      <c r="QOF6" s="1185"/>
      <c r="QOG6" s="1185"/>
      <c r="QOH6" s="1185"/>
      <c r="QOI6" s="1185"/>
      <c r="QOJ6" s="1185"/>
      <c r="QOK6" s="1185"/>
      <c r="QOL6" s="1185"/>
      <c r="QOM6" s="1185"/>
      <c r="QON6" s="1185"/>
      <c r="QOO6" s="1185"/>
      <c r="QOP6" s="1185"/>
      <c r="QOQ6" s="1185"/>
      <c r="QOR6" s="1185"/>
      <c r="QOS6" s="1185"/>
      <c r="QOT6" s="1185"/>
      <c r="QOU6" s="1185"/>
      <c r="QOV6" s="1185"/>
      <c r="QOW6" s="1185"/>
      <c r="QOX6" s="1185"/>
      <c r="QOY6" s="1185"/>
      <c r="QOZ6" s="1185"/>
      <c r="QPA6" s="1185"/>
      <c r="QPB6" s="1185"/>
      <c r="QPC6" s="1185"/>
      <c r="QPD6" s="1185"/>
      <c r="QPE6" s="1185"/>
      <c r="QPF6" s="1185"/>
      <c r="QPG6" s="1185"/>
      <c r="QPH6" s="1185"/>
      <c r="QPI6" s="1185"/>
      <c r="QPJ6" s="1185"/>
      <c r="QPK6" s="1185"/>
      <c r="QPL6" s="1185"/>
      <c r="QPM6" s="1185"/>
      <c r="QPN6" s="1185"/>
      <c r="QPO6" s="1185"/>
      <c r="QPP6" s="1185"/>
      <c r="QPQ6" s="1185"/>
      <c r="QPR6" s="1185"/>
      <c r="QPS6" s="1185"/>
      <c r="QPT6" s="1185"/>
      <c r="QPU6" s="1185"/>
      <c r="QPV6" s="1185"/>
      <c r="QPW6" s="1185"/>
      <c r="QPX6" s="1185"/>
      <c r="QPY6" s="1185"/>
      <c r="QPZ6" s="1185"/>
      <c r="QQA6" s="1185"/>
      <c r="QQB6" s="1185"/>
      <c r="QQC6" s="1185"/>
      <c r="QQD6" s="1185"/>
      <c r="QQE6" s="1185"/>
      <c r="QQF6" s="1185"/>
      <c r="QQG6" s="1185"/>
      <c r="QQH6" s="1185"/>
      <c r="QQI6" s="1185"/>
      <c r="QQJ6" s="1185"/>
      <c r="QQK6" s="1185"/>
      <c r="QQL6" s="1185"/>
      <c r="QQM6" s="1185"/>
      <c r="QQN6" s="1185"/>
      <c r="QQO6" s="1185"/>
      <c r="QQP6" s="1185"/>
      <c r="QQQ6" s="1185"/>
      <c r="QQR6" s="1185"/>
      <c r="QQS6" s="1185"/>
      <c r="QQT6" s="1185"/>
      <c r="QQU6" s="1185"/>
      <c r="QQV6" s="1185"/>
      <c r="QQW6" s="1185"/>
      <c r="QQX6" s="1185"/>
      <c r="QQY6" s="1185"/>
      <c r="QQZ6" s="1185"/>
      <c r="QRA6" s="1185"/>
      <c r="QRB6" s="1185"/>
      <c r="QRC6" s="1185"/>
      <c r="QRD6" s="1185"/>
      <c r="QRE6" s="1185"/>
      <c r="QRF6" s="1185"/>
      <c r="QRG6" s="1185"/>
      <c r="QRH6" s="1185"/>
      <c r="QRI6" s="1185"/>
      <c r="QRJ6" s="1185"/>
      <c r="QRK6" s="1185"/>
      <c r="QRL6" s="1185"/>
      <c r="QRM6" s="1185"/>
      <c r="QRN6" s="1185"/>
      <c r="QRO6" s="1185"/>
      <c r="QRP6" s="1185"/>
      <c r="QRQ6" s="1185"/>
      <c r="QRR6" s="1185"/>
      <c r="QRS6" s="1185"/>
      <c r="QRT6" s="1185"/>
      <c r="QRU6" s="1185"/>
      <c r="QRV6" s="1185"/>
      <c r="QRW6" s="1185"/>
      <c r="QRX6" s="1185"/>
      <c r="QRY6" s="1185"/>
      <c r="QRZ6" s="1185"/>
      <c r="QSA6" s="1185"/>
      <c r="QSB6" s="1185"/>
      <c r="QSC6" s="1185"/>
      <c r="QSD6" s="1185"/>
      <c r="QSE6" s="1185"/>
      <c r="QSF6" s="1185"/>
      <c r="QSG6" s="1185"/>
      <c r="QSH6" s="1185"/>
      <c r="QSI6" s="1185"/>
      <c r="QSJ6" s="1185"/>
      <c r="QSK6" s="1185"/>
      <c r="QSL6" s="1185"/>
      <c r="QSM6" s="1185"/>
      <c r="QSN6" s="1185"/>
      <c r="QSO6" s="1185"/>
      <c r="QSP6" s="1185"/>
      <c r="QSQ6" s="1185"/>
      <c r="QSR6" s="1185"/>
      <c r="QSS6" s="1185"/>
      <c r="QST6" s="1185"/>
      <c r="QSU6" s="1185"/>
      <c r="QSV6" s="1185"/>
      <c r="QSW6" s="1185"/>
      <c r="QSX6" s="1185"/>
      <c r="QSY6" s="1185"/>
      <c r="QSZ6" s="1185"/>
      <c r="QTA6" s="1185"/>
      <c r="QTB6" s="1185"/>
      <c r="QTC6" s="1185"/>
      <c r="QTD6" s="1185"/>
      <c r="QTE6" s="1185"/>
      <c r="QTF6" s="1185"/>
      <c r="QTG6" s="1185"/>
      <c r="QTH6" s="1185"/>
      <c r="QTI6" s="1185"/>
      <c r="QTJ6" s="1185"/>
      <c r="QTK6" s="1185"/>
      <c r="QTL6" s="1185"/>
      <c r="QTM6" s="1185"/>
      <c r="QTN6" s="1185"/>
      <c r="QTO6" s="1185"/>
      <c r="QTP6" s="1185"/>
      <c r="QTQ6" s="1185"/>
      <c r="QTR6" s="1185"/>
      <c r="QTS6" s="1185"/>
      <c r="QTT6" s="1185"/>
      <c r="QTU6" s="1185"/>
      <c r="QTV6" s="1185"/>
      <c r="QTW6" s="1185"/>
      <c r="QTX6" s="1185"/>
      <c r="QTY6" s="1185"/>
      <c r="QTZ6" s="1185"/>
      <c r="QUA6" s="1185"/>
      <c r="QUB6" s="1185"/>
      <c r="QUC6" s="1185"/>
      <c r="QUD6" s="1185"/>
      <c r="QUE6" s="1185"/>
      <c r="QUF6" s="1185"/>
      <c r="QUG6" s="1185"/>
      <c r="QUH6" s="1185"/>
      <c r="QUI6" s="1185"/>
      <c r="QUJ6" s="1185"/>
      <c r="QUK6" s="1185"/>
      <c r="QUL6" s="1185"/>
      <c r="QUM6" s="1185"/>
      <c r="QUN6" s="1185"/>
      <c r="QUO6" s="1185"/>
      <c r="QUP6" s="1185"/>
      <c r="QUQ6" s="1185"/>
      <c r="QUR6" s="1185"/>
      <c r="QUS6" s="1185"/>
      <c r="QUT6" s="1185"/>
      <c r="QUU6" s="1185"/>
      <c r="QUV6" s="1185"/>
      <c r="QUW6" s="1185"/>
      <c r="QUX6" s="1185"/>
      <c r="QUY6" s="1185"/>
      <c r="QUZ6" s="1185"/>
      <c r="QVA6" s="1185"/>
      <c r="QVB6" s="1185"/>
      <c r="QVC6" s="1185"/>
      <c r="QVD6" s="1185"/>
      <c r="QVE6" s="1185"/>
      <c r="QVF6" s="1185"/>
      <c r="QVG6" s="1185"/>
      <c r="QVH6" s="1185"/>
      <c r="QVI6" s="1185"/>
      <c r="QVJ6" s="1185"/>
      <c r="QVK6" s="1185"/>
      <c r="QVL6" s="1185"/>
      <c r="QVM6" s="1185"/>
      <c r="QVN6" s="1185"/>
      <c r="QVO6" s="1185"/>
      <c r="QVP6" s="1185"/>
      <c r="QVQ6" s="1185"/>
      <c r="QVR6" s="1185"/>
      <c r="QVS6" s="1185"/>
      <c r="QVT6" s="1185"/>
      <c r="QVU6" s="1185"/>
      <c r="QVV6" s="1185"/>
      <c r="QVW6" s="1185"/>
      <c r="QVX6" s="1185"/>
      <c r="QVY6" s="1185"/>
      <c r="QVZ6" s="1185"/>
      <c r="QWA6" s="1185"/>
      <c r="QWB6" s="1185"/>
      <c r="QWC6" s="1185"/>
      <c r="QWD6" s="1185"/>
      <c r="QWE6" s="1185"/>
      <c r="QWF6" s="1185"/>
      <c r="QWG6" s="1185"/>
      <c r="QWH6" s="1185"/>
      <c r="QWI6" s="1185"/>
      <c r="QWJ6" s="1185"/>
      <c r="QWK6" s="1185"/>
      <c r="QWL6" s="1185"/>
      <c r="QWM6" s="1185"/>
      <c r="QWN6" s="1185"/>
      <c r="QWO6" s="1185"/>
      <c r="QWP6" s="1185"/>
      <c r="QWQ6" s="1185"/>
      <c r="QWR6" s="1185"/>
      <c r="QWS6" s="1185"/>
      <c r="QWT6" s="1185"/>
      <c r="QWU6" s="1185"/>
      <c r="QWV6" s="1185"/>
      <c r="QWW6" s="1185"/>
      <c r="QWX6" s="1185"/>
      <c r="QWY6" s="1185"/>
      <c r="QWZ6" s="1185"/>
      <c r="QXA6" s="1185"/>
      <c r="QXB6" s="1185"/>
      <c r="QXC6" s="1185"/>
      <c r="QXD6" s="1185"/>
      <c r="QXE6" s="1185"/>
      <c r="QXF6" s="1185"/>
      <c r="QXG6" s="1185"/>
      <c r="QXH6" s="1185"/>
      <c r="QXI6" s="1185"/>
      <c r="QXJ6" s="1185"/>
      <c r="QXK6" s="1185"/>
      <c r="QXL6" s="1185"/>
      <c r="QXM6" s="1185"/>
      <c r="QXN6" s="1185"/>
      <c r="QXO6" s="1185"/>
      <c r="QXP6" s="1185"/>
      <c r="QXQ6" s="1185"/>
      <c r="QXR6" s="1185"/>
      <c r="QXS6" s="1185"/>
      <c r="QXT6" s="1185"/>
      <c r="QXU6" s="1185"/>
      <c r="QXV6" s="1185"/>
      <c r="QXW6" s="1185"/>
      <c r="QXX6" s="1185"/>
      <c r="QXY6" s="1185"/>
      <c r="QXZ6" s="1185"/>
      <c r="QYA6" s="1185"/>
      <c r="QYB6" s="1185"/>
      <c r="QYC6" s="1185"/>
      <c r="QYD6" s="1185"/>
      <c r="QYE6" s="1185"/>
      <c r="QYF6" s="1185"/>
      <c r="QYG6" s="1185"/>
      <c r="QYH6" s="1185"/>
      <c r="QYI6" s="1185"/>
      <c r="QYJ6" s="1185"/>
      <c r="QYK6" s="1185"/>
      <c r="QYL6" s="1185"/>
      <c r="QYM6" s="1185"/>
      <c r="QYN6" s="1185"/>
      <c r="QYO6" s="1185"/>
      <c r="QYP6" s="1185"/>
      <c r="QYQ6" s="1185"/>
      <c r="QYR6" s="1185"/>
      <c r="QYS6" s="1185"/>
      <c r="QYT6" s="1185"/>
      <c r="QYU6" s="1185"/>
      <c r="QYV6" s="1185"/>
      <c r="QYW6" s="1185"/>
      <c r="QYX6" s="1185"/>
      <c r="QYY6" s="1185"/>
      <c r="QYZ6" s="1185"/>
      <c r="QZA6" s="1185"/>
      <c r="QZB6" s="1185"/>
      <c r="QZC6" s="1185"/>
      <c r="QZD6" s="1185"/>
      <c r="QZE6" s="1185"/>
      <c r="QZF6" s="1185"/>
      <c r="QZG6" s="1185"/>
      <c r="QZH6" s="1185"/>
      <c r="QZI6" s="1185"/>
      <c r="QZJ6" s="1185"/>
      <c r="QZK6" s="1185"/>
      <c r="QZL6" s="1185"/>
      <c r="QZM6" s="1185"/>
      <c r="QZN6" s="1185"/>
      <c r="QZO6" s="1185"/>
      <c r="QZP6" s="1185"/>
      <c r="QZQ6" s="1185"/>
      <c r="QZR6" s="1185"/>
      <c r="QZS6" s="1185"/>
      <c r="QZT6" s="1185"/>
      <c r="QZU6" s="1185"/>
      <c r="QZV6" s="1185"/>
      <c r="QZW6" s="1185"/>
      <c r="QZX6" s="1185"/>
      <c r="QZY6" s="1185"/>
      <c r="QZZ6" s="1185"/>
      <c r="RAA6" s="1185"/>
      <c r="RAB6" s="1185"/>
      <c r="RAC6" s="1185"/>
      <c r="RAD6" s="1185"/>
      <c r="RAE6" s="1185"/>
      <c r="RAF6" s="1185"/>
      <c r="RAG6" s="1185"/>
      <c r="RAH6" s="1185"/>
      <c r="RAI6" s="1185"/>
      <c r="RAJ6" s="1185"/>
      <c r="RAK6" s="1185"/>
      <c r="RAL6" s="1185"/>
      <c r="RAM6" s="1185"/>
      <c r="RAN6" s="1185"/>
      <c r="RAO6" s="1185"/>
      <c r="RAP6" s="1185"/>
      <c r="RAQ6" s="1185"/>
      <c r="RAR6" s="1185"/>
      <c r="RAS6" s="1185"/>
      <c r="RAT6" s="1185"/>
      <c r="RAU6" s="1185"/>
      <c r="RAV6" s="1185"/>
      <c r="RAW6" s="1185"/>
      <c r="RAX6" s="1185"/>
      <c r="RAY6" s="1185"/>
      <c r="RAZ6" s="1185"/>
      <c r="RBA6" s="1185"/>
      <c r="RBB6" s="1185"/>
      <c r="RBC6" s="1185"/>
      <c r="RBD6" s="1185"/>
      <c r="RBE6" s="1185"/>
      <c r="RBF6" s="1185"/>
      <c r="RBG6" s="1185"/>
      <c r="RBH6" s="1185"/>
      <c r="RBI6" s="1185"/>
      <c r="RBJ6" s="1185"/>
      <c r="RBK6" s="1185"/>
      <c r="RBL6" s="1185"/>
      <c r="RBM6" s="1185"/>
      <c r="RBN6" s="1185"/>
      <c r="RBO6" s="1185"/>
      <c r="RBP6" s="1185"/>
      <c r="RBQ6" s="1185"/>
      <c r="RBR6" s="1185"/>
      <c r="RBS6" s="1185"/>
      <c r="RBT6" s="1185"/>
      <c r="RBU6" s="1185"/>
      <c r="RBV6" s="1185"/>
      <c r="RBW6" s="1185"/>
      <c r="RBX6" s="1185"/>
      <c r="RBY6" s="1185"/>
      <c r="RBZ6" s="1185"/>
      <c r="RCA6" s="1185"/>
      <c r="RCB6" s="1185"/>
      <c r="RCC6" s="1185"/>
      <c r="RCD6" s="1185"/>
      <c r="RCE6" s="1185"/>
      <c r="RCF6" s="1185"/>
      <c r="RCG6" s="1185"/>
      <c r="RCH6" s="1185"/>
      <c r="RCI6" s="1185"/>
      <c r="RCJ6" s="1185"/>
      <c r="RCK6" s="1185"/>
      <c r="RCL6" s="1185"/>
      <c r="RCM6" s="1185"/>
      <c r="RCN6" s="1185"/>
      <c r="RCO6" s="1185"/>
      <c r="RCP6" s="1185"/>
      <c r="RCQ6" s="1185"/>
      <c r="RCR6" s="1185"/>
      <c r="RCS6" s="1185"/>
      <c r="RCT6" s="1185"/>
      <c r="RCU6" s="1185"/>
      <c r="RCV6" s="1185"/>
      <c r="RCW6" s="1185"/>
      <c r="RCX6" s="1185"/>
      <c r="RCY6" s="1185"/>
      <c r="RCZ6" s="1185"/>
      <c r="RDA6" s="1185"/>
      <c r="RDB6" s="1185"/>
      <c r="RDC6" s="1185"/>
      <c r="RDD6" s="1185"/>
      <c r="RDE6" s="1185"/>
      <c r="RDF6" s="1185"/>
      <c r="RDG6" s="1185"/>
      <c r="RDH6" s="1185"/>
      <c r="RDI6" s="1185"/>
      <c r="RDJ6" s="1185"/>
      <c r="RDK6" s="1185"/>
      <c r="RDL6" s="1185"/>
      <c r="RDM6" s="1185"/>
      <c r="RDN6" s="1185"/>
      <c r="RDO6" s="1185"/>
      <c r="RDP6" s="1185"/>
      <c r="RDQ6" s="1185"/>
      <c r="RDR6" s="1185"/>
      <c r="RDS6" s="1185"/>
      <c r="RDT6" s="1185"/>
      <c r="RDU6" s="1185"/>
      <c r="RDV6" s="1185"/>
      <c r="RDW6" s="1185"/>
      <c r="RDX6" s="1185"/>
      <c r="RDY6" s="1185"/>
      <c r="RDZ6" s="1185"/>
      <c r="REA6" s="1185"/>
      <c r="REB6" s="1185"/>
      <c r="REC6" s="1185"/>
      <c r="RED6" s="1185"/>
      <c r="REE6" s="1185"/>
      <c r="REF6" s="1185"/>
      <c r="REG6" s="1185"/>
      <c r="REH6" s="1185"/>
      <c r="REI6" s="1185"/>
      <c r="REJ6" s="1185"/>
      <c r="REK6" s="1185"/>
      <c r="REL6" s="1185"/>
      <c r="REM6" s="1185"/>
      <c r="REN6" s="1185"/>
      <c r="REO6" s="1185"/>
      <c r="REP6" s="1185"/>
      <c r="REQ6" s="1185"/>
      <c r="RER6" s="1185"/>
      <c r="RES6" s="1185"/>
      <c r="RET6" s="1185"/>
      <c r="REU6" s="1185"/>
      <c r="REV6" s="1185"/>
      <c r="REW6" s="1185"/>
      <c r="REX6" s="1185"/>
      <c r="REY6" s="1185"/>
      <c r="REZ6" s="1185"/>
      <c r="RFA6" s="1185"/>
      <c r="RFB6" s="1185"/>
      <c r="RFC6" s="1185"/>
      <c r="RFD6" s="1185"/>
      <c r="RFE6" s="1185"/>
      <c r="RFF6" s="1185"/>
      <c r="RFG6" s="1185"/>
      <c r="RFH6" s="1185"/>
      <c r="RFI6" s="1185"/>
      <c r="RFJ6" s="1185"/>
      <c r="RFK6" s="1185"/>
      <c r="RFL6" s="1185"/>
      <c r="RFM6" s="1185"/>
      <c r="RFN6" s="1185"/>
      <c r="RFO6" s="1185"/>
      <c r="RFP6" s="1185"/>
      <c r="RFQ6" s="1185"/>
      <c r="RFR6" s="1185"/>
      <c r="RFS6" s="1185"/>
      <c r="RFT6" s="1185"/>
      <c r="RFU6" s="1185"/>
      <c r="RFV6" s="1185"/>
      <c r="RFW6" s="1185"/>
      <c r="RFX6" s="1185"/>
      <c r="RFY6" s="1185"/>
      <c r="RFZ6" s="1185"/>
      <c r="RGA6" s="1185"/>
      <c r="RGB6" s="1185"/>
      <c r="RGC6" s="1185"/>
      <c r="RGD6" s="1185"/>
      <c r="RGE6" s="1185"/>
      <c r="RGF6" s="1185"/>
      <c r="RGG6" s="1185"/>
      <c r="RGH6" s="1185"/>
      <c r="RGI6" s="1185"/>
      <c r="RGJ6" s="1185"/>
      <c r="RGK6" s="1185"/>
      <c r="RGL6" s="1185"/>
      <c r="RGM6" s="1185"/>
      <c r="RGN6" s="1185"/>
      <c r="RGO6" s="1185"/>
      <c r="RGP6" s="1185"/>
      <c r="RGQ6" s="1185"/>
      <c r="RGR6" s="1185"/>
      <c r="RGS6" s="1185"/>
      <c r="RGT6" s="1185"/>
      <c r="RGU6" s="1185"/>
      <c r="RGV6" s="1185"/>
      <c r="RGW6" s="1185"/>
      <c r="RGX6" s="1185"/>
      <c r="RGY6" s="1185"/>
      <c r="RGZ6" s="1185"/>
      <c r="RHA6" s="1185"/>
      <c r="RHB6" s="1185"/>
      <c r="RHC6" s="1185"/>
      <c r="RHD6" s="1185"/>
      <c r="RHE6" s="1185"/>
      <c r="RHF6" s="1185"/>
      <c r="RHG6" s="1185"/>
      <c r="RHH6" s="1185"/>
      <c r="RHI6" s="1185"/>
      <c r="RHJ6" s="1185"/>
      <c r="RHK6" s="1185"/>
      <c r="RHL6" s="1185"/>
      <c r="RHM6" s="1185"/>
      <c r="RHN6" s="1185"/>
      <c r="RHO6" s="1185"/>
      <c r="RHP6" s="1185"/>
      <c r="RHQ6" s="1185"/>
      <c r="RHR6" s="1185"/>
      <c r="RHS6" s="1185"/>
      <c r="RHT6" s="1185"/>
      <c r="RHU6" s="1185"/>
      <c r="RHV6" s="1185"/>
      <c r="RHW6" s="1185"/>
      <c r="RHX6" s="1185"/>
      <c r="RHY6" s="1185"/>
      <c r="RHZ6" s="1185"/>
      <c r="RIA6" s="1185"/>
      <c r="RIB6" s="1185"/>
      <c r="RIC6" s="1185"/>
      <c r="RID6" s="1185"/>
      <c r="RIE6" s="1185"/>
      <c r="RIF6" s="1185"/>
      <c r="RIG6" s="1185"/>
      <c r="RIH6" s="1185"/>
      <c r="RII6" s="1185"/>
      <c r="RIJ6" s="1185"/>
      <c r="RIK6" s="1185"/>
      <c r="RIL6" s="1185"/>
      <c r="RIM6" s="1185"/>
      <c r="RIN6" s="1185"/>
      <c r="RIO6" s="1185"/>
      <c r="RIP6" s="1185"/>
      <c r="RIQ6" s="1185"/>
      <c r="RIR6" s="1185"/>
      <c r="RIS6" s="1185"/>
      <c r="RIT6" s="1185"/>
      <c r="RIU6" s="1185"/>
      <c r="RIV6" s="1185"/>
      <c r="RIW6" s="1185"/>
      <c r="RIX6" s="1185"/>
      <c r="RIY6" s="1185"/>
      <c r="RIZ6" s="1185"/>
      <c r="RJA6" s="1185"/>
      <c r="RJB6" s="1185"/>
      <c r="RJC6" s="1185"/>
      <c r="RJD6" s="1185"/>
      <c r="RJE6" s="1185"/>
      <c r="RJF6" s="1185"/>
      <c r="RJG6" s="1185"/>
      <c r="RJH6" s="1185"/>
      <c r="RJI6" s="1185"/>
      <c r="RJJ6" s="1185"/>
      <c r="RJK6" s="1185"/>
      <c r="RJL6" s="1185"/>
      <c r="RJM6" s="1185"/>
      <c r="RJN6" s="1185"/>
      <c r="RJO6" s="1185"/>
      <c r="RJP6" s="1185"/>
      <c r="RJQ6" s="1185"/>
      <c r="RJR6" s="1185"/>
      <c r="RJS6" s="1185"/>
      <c r="RJT6" s="1185"/>
      <c r="RJU6" s="1185"/>
      <c r="RJV6" s="1185"/>
      <c r="RJW6" s="1185"/>
      <c r="RJX6" s="1185"/>
      <c r="RJY6" s="1185"/>
      <c r="RJZ6" s="1185"/>
      <c r="RKA6" s="1185"/>
      <c r="RKB6" s="1185"/>
      <c r="RKC6" s="1185"/>
      <c r="RKD6" s="1185"/>
      <c r="RKE6" s="1185"/>
      <c r="RKF6" s="1185"/>
      <c r="RKG6" s="1185"/>
      <c r="RKH6" s="1185"/>
      <c r="RKI6" s="1185"/>
      <c r="RKJ6" s="1185"/>
      <c r="RKK6" s="1185"/>
      <c r="RKL6" s="1185"/>
      <c r="RKM6" s="1185"/>
      <c r="RKN6" s="1185"/>
      <c r="RKO6" s="1185"/>
      <c r="RKP6" s="1185"/>
      <c r="RKQ6" s="1185"/>
      <c r="RKR6" s="1185"/>
      <c r="RKS6" s="1185"/>
      <c r="RKT6" s="1185"/>
      <c r="RKU6" s="1185"/>
      <c r="RKV6" s="1185"/>
      <c r="RKW6" s="1185"/>
      <c r="RKX6" s="1185"/>
      <c r="RKY6" s="1185"/>
      <c r="RKZ6" s="1185"/>
      <c r="RLA6" s="1185"/>
      <c r="RLB6" s="1185"/>
      <c r="RLC6" s="1185"/>
      <c r="RLD6" s="1185"/>
      <c r="RLE6" s="1185"/>
      <c r="RLF6" s="1185"/>
      <c r="RLG6" s="1185"/>
      <c r="RLH6" s="1185"/>
      <c r="RLI6" s="1185"/>
      <c r="RLJ6" s="1185"/>
      <c r="RLK6" s="1185"/>
      <c r="RLL6" s="1185"/>
      <c r="RLM6" s="1185"/>
      <c r="RLN6" s="1185"/>
      <c r="RLO6" s="1185"/>
      <c r="RLP6" s="1185"/>
      <c r="RLQ6" s="1185"/>
      <c r="RLR6" s="1185"/>
      <c r="RLS6" s="1185"/>
      <c r="RLT6" s="1185"/>
      <c r="RLU6" s="1185"/>
      <c r="RLV6" s="1185"/>
      <c r="RLW6" s="1185"/>
      <c r="RLX6" s="1185"/>
      <c r="RLY6" s="1185"/>
      <c r="RLZ6" s="1185"/>
      <c r="RMA6" s="1185"/>
      <c r="RMB6" s="1185"/>
      <c r="RMC6" s="1185"/>
      <c r="RMD6" s="1185"/>
      <c r="RME6" s="1185"/>
      <c r="RMF6" s="1185"/>
      <c r="RMG6" s="1185"/>
      <c r="RMH6" s="1185"/>
      <c r="RMI6" s="1185"/>
      <c r="RMJ6" s="1185"/>
      <c r="RMK6" s="1185"/>
      <c r="RML6" s="1185"/>
      <c r="RMM6" s="1185"/>
      <c r="RMN6" s="1185"/>
      <c r="RMO6" s="1185"/>
      <c r="RMP6" s="1185"/>
      <c r="RMQ6" s="1185"/>
      <c r="RMR6" s="1185"/>
      <c r="RMS6" s="1185"/>
      <c r="RMT6" s="1185"/>
      <c r="RMU6" s="1185"/>
      <c r="RMV6" s="1185"/>
      <c r="RMW6" s="1185"/>
      <c r="RMX6" s="1185"/>
      <c r="RMY6" s="1185"/>
      <c r="RMZ6" s="1185"/>
      <c r="RNA6" s="1185"/>
      <c r="RNB6" s="1185"/>
      <c r="RNC6" s="1185"/>
      <c r="RND6" s="1185"/>
      <c r="RNE6" s="1185"/>
      <c r="RNF6" s="1185"/>
      <c r="RNG6" s="1185"/>
      <c r="RNH6" s="1185"/>
      <c r="RNI6" s="1185"/>
      <c r="RNJ6" s="1185"/>
      <c r="RNK6" s="1185"/>
      <c r="RNL6" s="1185"/>
      <c r="RNM6" s="1185"/>
      <c r="RNN6" s="1185"/>
      <c r="RNO6" s="1185"/>
      <c r="RNP6" s="1185"/>
      <c r="RNQ6" s="1185"/>
      <c r="RNR6" s="1185"/>
      <c r="RNS6" s="1185"/>
      <c r="RNT6" s="1185"/>
      <c r="RNU6" s="1185"/>
      <c r="RNV6" s="1185"/>
      <c r="RNW6" s="1185"/>
      <c r="RNX6" s="1185"/>
      <c r="RNY6" s="1185"/>
      <c r="RNZ6" s="1185"/>
      <c r="ROA6" s="1185"/>
      <c r="ROB6" s="1185"/>
      <c r="ROC6" s="1185"/>
      <c r="ROD6" s="1185"/>
      <c r="ROE6" s="1185"/>
      <c r="ROF6" s="1185"/>
      <c r="ROG6" s="1185"/>
      <c r="ROH6" s="1185"/>
      <c r="ROI6" s="1185"/>
      <c r="ROJ6" s="1185"/>
      <c r="ROK6" s="1185"/>
      <c r="ROL6" s="1185"/>
      <c r="ROM6" s="1185"/>
      <c r="RON6" s="1185"/>
      <c r="ROO6" s="1185"/>
      <c r="ROP6" s="1185"/>
      <c r="ROQ6" s="1185"/>
      <c r="ROR6" s="1185"/>
      <c r="ROS6" s="1185"/>
      <c r="ROT6" s="1185"/>
      <c r="ROU6" s="1185"/>
      <c r="ROV6" s="1185"/>
      <c r="ROW6" s="1185"/>
      <c r="ROX6" s="1185"/>
      <c r="ROY6" s="1185"/>
      <c r="ROZ6" s="1185"/>
      <c r="RPA6" s="1185"/>
      <c r="RPB6" s="1185"/>
      <c r="RPC6" s="1185"/>
      <c r="RPD6" s="1185"/>
      <c r="RPE6" s="1185"/>
      <c r="RPF6" s="1185"/>
      <c r="RPG6" s="1185"/>
      <c r="RPH6" s="1185"/>
      <c r="RPI6" s="1185"/>
      <c r="RPJ6" s="1185"/>
      <c r="RPK6" s="1185"/>
      <c r="RPL6" s="1185"/>
      <c r="RPM6" s="1185"/>
      <c r="RPN6" s="1185"/>
      <c r="RPO6" s="1185"/>
      <c r="RPP6" s="1185"/>
      <c r="RPQ6" s="1185"/>
      <c r="RPR6" s="1185"/>
      <c r="RPS6" s="1185"/>
      <c r="RPT6" s="1185"/>
      <c r="RPU6" s="1185"/>
      <c r="RPV6" s="1185"/>
      <c r="RPW6" s="1185"/>
      <c r="RPX6" s="1185"/>
      <c r="RPY6" s="1185"/>
      <c r="RPZ6" s="1185"/>
      <c r="RQA6" s="1185"/>
      <c r="RQB6" s="1185"/>
      <c r="RQC6" s="1185"/>
      <c r="RQD6" s="1185"/>
      <c r="RQE6" s="1185"/>
      <c r="RQF6" s="1185"/>
      <c r="RQG6" s="1185"/>
      <c r="RQH6" s="1185"/>
      <c r="RQI6" s="1185"/>
      <c r="RQJ6" s="1185"/>
      <c r="RQK6" s="1185"/>
      <c r="RQL6" s="1185"/>
      <c r="RQM6" s="1185"/>
      <c r="RQN6" s="1185"/>
      <c r="RQO6" s="1185"/>
      <c r="RQP6" s="1185"/>
      <c r="RQQ6" s="1185"/>
      <c r="RQR6" s="1185"/>
      <c r="RQS6" s="1185"/>
      <c r="RQT6" s="1185"/>
      <c r="RQU6" s="1185"/>
      <c r="RQV6" s="1185"/>
      <c r="RQW6" s="1185"/>
      <c r="RQX6" s="1185"/>
      <c r="RQY6" s="1185"/>
      <c r="RQZ6" s="1185"/>
      <c r="RRA6" s="1185"/>
      <c r="RRB6" s="1185"/>
      <c r="RRC6" s="1185"/>
      <c r="RRD6" s="1185"/>
      <c r="RRE6" s="1185"/>
      <c r="RRF6" s="1185"/>
      <c r="RRG6" s="1185"/>
      <c r="RRH6" s="1185"/>
      <c r="RRI6" s="1185"/>
      <c r="RRJ6" s="1185"/>
      <c r="RRK6" s="1185"/>
      <c r="RRL6" s="1185"/>
      <c r="RRM6" s="1185"/>
      <c r="RRN6" s="1185"/>
      <c r="RRO6" s="1185"/>
      <c r="RRP6" s="1185"/>
      <c r="RRQ6" s="1185"/>
      <c r="RRR6" s="1185"/>
      <c r="RRS6" s="1185"/>
      <c r="RRT6" s="1185"/>
      <c r="RRU6" s="1185"/>
      <c r="RRV6" s="1185"/>
      <c r="RRW6" s="1185"/>
      <c r="RRX6" s="1185"/>
      <c r="RRY6" s="1185"/>
      <c r="RRZ6" s="1185"/>
      <c r="RSA6" s="1185"/>
      <c r="RSB6" s="1185"/>
      <c r="RSC6" s="1185"/>
      <c r="RSD6" s="1185"/>
      <c r="RSE6" s="1185"/>
      <c r="RSF6" s="1185"/>
      <c r="RSG6" s="1185"/>
      <c r="RSH6" s="1185"/>
      <c r="RSI6" s="1185"/>
      <c r="RSJ6" s="1185"/>
      <c r="RSK6" s="1185"/>
      <c r="RSL6" s="1185"/>
      <c r="RSM6" s="1185"/>
      <c r="RSN6" s="1185"/>
      <c r="RSO6" s="1185"/>
      <c r="RSP6" s="1185"/>
      <c r="RSQ6" s="1185"/>
      <c r="RSR6" s="1185"/>
      <c r="RSS6" s="1185"/>
      <c r="RST6" s="1185"/>
      <c r="RSU6" s="1185"/>
      <c r="RSV6" s="1185"/>
      <c r="RSW6" s="1185"/>
      <c r="RSX6" s="1185"/>
      <c r="RSY6" s="1185"/>
      <c r="RSZ6" s="1185"/>
      <c r="RTA6" s="1185"/>
      <c r="RTB6" s="1185"/>
      <c r="RTC6" s="1185"/>
      <c r="RTD6" s="1185"/>
      <c r="RTE6" s="1185"/>
      <c r="RTF6" s="1185"/>
      <c r="RTG6" s="1185"/>
      <c r="RTH6" s="1185"/>
      <c r="RTI6" s="1185"/>
      <c r="RTJ6" s="1185"/>
      <c r="RTK6" s="1185"/>
      <c r="RTL6" s="1185"/>
      <c r="RTM6" s="1185"/>
      <c r="RTN6" s="1185"/>
      <c r="RTO6" s="1185"/>
      <c r="RTP6" s="1185"/>
      <c r="RTQ6" s="1185"/>
      <c r="RTR6" s="1185"/>
      <c r="RTS6" s="1185"/>
      <c r="RTT6" s="1185"/>
      <c r="RTU6" s="1185"/>
      <c r="RTV6" s="1185"/>
      <c r="RTW6" s="1185"/>
      <c r="RTX6" s="1185"/>
      <c r="RTY6" s="1185"/>
      <c r="RTZ6" s="1185"/>
      <c r="RUA6" s="1185"/>
      <c r="RUB6" s="1185"/>
      <c r="RUC6" s="1185"/>
      <c r="RUD6" s="1185"/>
      <c r="RUE6" s="1185"/>
      <c r="RUF6" s="1185"/>
      <c r="RUG6" s="1185"/>
      <c r="RUH6" s="1185"/>
      <c r="RUI6" s="1185"/>
      <c r="RUJ6" s="1185"/>
      <c r="RUK6" s="1185"/>
      <c r="RUL6" s="1185"/>
      <c r="RUM6" s="1185"/>
      <c r="RUN6" s="1185"/>
      <c r="RUO6" s="1185"/>
      <c r="RUP6" s="1185"/>
      <c r="RUQ6" s="1185"/>
      <c r="RUR6" s="1185"/>
      <c r="RUS6" s="1185"/>
      <c r="RUT6" s="1185"/>
      <c r="RUU6" s="1185"/>
      <c r="RUV6" s="1185"/>
      <c r="RUW6" s="1185"/>
      <c r="RUX6" s="1185"/>
      <c r="RUY6" s="1185"/>
      <c r="RUZ6" s="1185"/>
      <c r="RVA6" s="1185"/>
      <c r="RVB6" s="1185"/>
      <c r="RVC6" s="1185"/>
      <c r="RVD6" s="1185"/>
      <c r="RVE6" s="1185"/>
      <c r="RVF6" s="1185"/>
      <c r="RVG6" s="1185"/>
      <c r="RVH6" s="1185"/>
      <c r="RVI6" s="1185"/>
      <c r="RVJ6" s="1185"/>
      <c r="RVK6" s="1185"/>
      <c r="RVL6" s="1185"/>
      <c r="RVM6" s="1185"/>
      <c r="RVN6" s="1185"/>
      <c r="RVO6" s="1185"/>
      <c r="RVP6" s="1185"/>
      <c r="RVQ6" s="1185"/>
      <c r="RVR6" s="1185"/>
      <c r="RVS6" s="1185"/>
      <c r="RVT6" s="1185"/>
      <c r="RVU6" s="1185"/>
      <c r="RVV6" s="1185"/>
      <c r="RVW6" s="1185"/>
      <c r="RVX6" s="1185"/>
      <c r="RVY6" s="1185"/>
      <c r="RVZ6" s="1185"/>
      <c r="RWA6" s="1185"/>
      <c r="RWB6" s="1185"/>
      <c r="RWC6" s="1185"/>
      <c r="RWD6" s="1185"/>
      <c r="RWE6" s="1185"/>
      <c r="RWF6" s="1185"/>
      <c r="RWG6" s="1185"/>
      <c r="RWH6" s="1185"/>
      <c r="RWI6" s="1185"/>
      <c r="RWJ6" s="1185"/>
      <c r="RWK6" s="1185"/>
      <c r="RWL6" s="1185"/>
      <c r="RWM6" s="1185"/>
      <c r="RWN6" s="1185"/>
      <c r="RWO6" s="1185"/>
      <c r="RWP6" s="1185"/>
      <c r="RWQ6" s="1185"/>
      <c r="RWR6" s="1185"/>
      <c r="RWS6" s="1185"/>
      <c r="RWT6" s="1185"/>
      <c r="RWU6" s="1185"/>
      <c r="RWV6" s="1185"/>
      <c r="RWW6" s="1185"/>
      <c r="RWX6" s="1185"/>
      <c r="RWY6" s="1185"/>
      <c r="RWZ6" s="1185"/>
      <c r="RXA6" s="1185"/>
      <c r="RXB6" s="1185"/>
      <c r="RXC6" s="1185"/>
      <c r="RXD6" s="1185"/>
      <c r="RXE6" s="1185"/>
      <c r="RXF6" s="1185"/>
      <c r="RXG6" s="1185"/>
      <c r="RXH6" s="1185"/>
      <c r="RXI6" s="1185"/>
      <c r="RXJ6" s="1185"/>
      <c r="RXK6" s="1185"/>
      <c r="RXL6" s="1185"/>
      <c r="RXM6" s="1185"/>
      <c r="RXN6" s="1185"/>
      <c r="RXO6" s="1185"/>
      <c r="RXP6" s="1185"/>
      <c r="RXQ6" s="1185"/>
      <c r="RXR6" s="1185"/>
      <c r="RXS6" s="1185"/>
      <c r="RXT6" s="1185"/>
      <c r="RXU6" s="1185"/>
      <c r="RXV6" s="1185"/>
      <c r="RXW6" s="1185"/>
      <c r="RXX6" s="1185"/>
      <c r="RXY6" s="1185"/>
      <c r="RXZ6" s="1185"/>
      <c r="RYA6" s="1185"/>
      <c r="RYB6" s="1185"/>
      <c r="RYC6" s="1185"/>
      <c r="RYD6" s="1185"/>
      <c r="RYE6" s="1185"/>
      <c r="RYF6" s="1185"/>
      <c r="RYG6" s="1185"/>
      <c r="RYH6" s="1185"/>
      <c r="RYI6" s="1185"/>
      <c r="RYJ6" s="1185"/>
      <c r="RYK6" s="1185"/>
      <c r="RYL6" s="1185"/>
      <c r="RYM6" s="1185"/>
      <c r="RYN6" s="1185"/>
      <c r="RYO6" s="1185"/>
      <c r="RYP6" s="1185"/>
      <c r="RYQ6" s="1185"/>
      <c r="RYR6" s="1185"/>
      <c r="RYS6" s="1185"/>
      <c r="RYT6" s="1185"/>
      <c r="RYU6" s="1185"/>
      <c r="RYV6" s="1185"/>
      <c r="RYW6" s="1185"/>
      <c r="RYX6" s="1185"/>
      <c r="RYY6" s="1185"/>
      <c r="RYZ6" s="1185"/>
      <c r="RZA6" s="1185"/>
      <c r="RZB6" s="1185"/>
      <c r="RZC6" s="1185"/>
      <c r="RZD6" s="1185"/>
      <c r="RZE6" s="1185"/>
      <c r="RZF6" s="1185"/>
      <c r="RZG6" s="1185"/>
      <c r="RZH6" s="1185"/>
      <c r="RZI6" s="1185"/>
      <c r="RZJ6" s="1185"/>
      <c r="RZK6" s="1185"/>
      <c r="RZL6" s="1185"/>
      <c r="RZM6" s="1185"/>
      <c r="RZN6" s="1185"/>
      <c r="RZO6" s="1185"/>
      <c r="RZP6" s="1185"/>
      <c r="RZQ6" s="1185"/>
      <c r="RZR6" s="1185"/>
      <c r="RZS6" s="1185"/>
      <c r="RZT6" s="1185"/>
      <c r="RZU6" s="1185"/>
      <c r="RZV6" s="1185"/>
      <c r="RZW6" s="1185"/>
      <c r="RZX6" s="1185"/>
      <c r="RZY6" s="1185"/>
      <c r="RZZ6" s="1185"/>
      <c r="SAA6" s="1185"/>
      <c r="SAB6" s="1185"/>
      <c r="SAC6" s="1185"/>
      <c r="SAD6" s="1185"/>
      <c r="SAE6" s="1185"/>
      <c r="SAF6" s="1185"/>
      <c r="SAG6" s="1185"/>
      <c r="SAH6" s="1185"/>
      <c r="SAI6" s="1185"/>
      <c r="SAJ6" s="1185"/>
      <c r="SAK6" s="1185"/>
      <c r="SAL6" s="1185"/>
      <c r="SAM6" s="1185"/>
      <c r="SAN6" s="1185"/>
      <c r="SAO6" s="1185"/>
      <c r="SAP6" s="1185"/>
      <c r="SAQ6" s="1185"/>
      <c r="SAR6" s="1185"/>
      <c r="SAS6" s="1185"/>
      <c r="SAT6" s="1185"/>
      <c r="SAU6" s="1185"/>
      <c r="SAV6" s="1185"/>
      <c r="SAW6" s="1185"/>
      <c r="SAX6" s="1185"/>
      <c r="SAY6" s="1185"/>
      <c r="SAZ6" s="1185"/>
      <c r="SBA6" s="1185"/>
      <c r="SBB6" s="1185"/>
      <c r="SBC6" s="1185"/>
      <c r="SBD6" s="1185"/>
      <c r="SBE6" s="1185"/>
      <c r="SBF6" s="1185"/>
      <c r="SBG6" s="1185"/>
      <c r="SBH6" s="1185"/>
      <c r="SBI6" s="1185"/>
      <c r="SBJ6" s="1185"/>
      <c r="SBK6" s="1185"/>
      <c r="SBL6" s="1185"/>
      <c r="SBM6" s="1185"/>
      <c r="SBN6" s="1185"/>
      <c r="SBO6" s="1185"/>
      <c r="SBP6" s="1185"/>
      <c r="SBQ6" s="1185"/>
      <c r="SBR6" s="1185"/>
      <c r="SBS6" s="1185"/>
      <c r="SBT6" s="1185"/>
      <c r="SBU6" s="1185"/>
      <c r="SBV6" s="1185"/>
      <c r="SBW6" s="1185"/>
      <c r="SBX6" s="1185"/>
      <c r="SBY6" s="1185"/>
      <c r="SBZ6" s="1185"/>
      <c r="SCA6" s="1185"/>
      <c r="SCB6" s="1185"/>
      <c r="SCC6" s="1185"/>
      <c r="SCD6" s="1185"/>
      <c r="SCE6" s="1185"/>
      <c r="SCF6" s="1185"/>
      <c r="SCG6" s="1185"/>
      <c r="SCH6" s="1185"/>
      <c r="SCI6" s="1185"/>
      <c r="SCJ6" s="1185"/>
      <c r="SCK6" s="1185"/>
      <c r="SCL6" s="1185"/>
      <c r="SCM6" s="1185"/>
      <c r="SCN6" s="1185"/>
      <c r="SCO6" s="1185"/>
      <c r="SCP6" s="1185"/>
      <c r="SCQ6" s="1185"/>
      <c r="SCR6" s="1185"/>
      <c r="SCS6" s="1185"/>
      <c r="SCT6" s="1185"/>
      <c r="SCU6" s="1185"/>
      <c r="SCV6" s="1185"/>
      <c r="SCW6" s="1185"/>
      <c r="SCX6" s="1185"/>
      <c r="SCY6" s="1185"/>
      <c r="SCZ6" s="1185"/>
      <c r="SDA6" s="1185"/>
      <c r="SDB6" s="1185"/>
      <c r="SDC6" s="1185"/>
      <c r="SDD6" s="1185"/>
      <c r="SDE6" s="1185"/>
      <c r="SDF6" s="1185"/>
      <c r="SDG6" s="1185"/>
      <c r="SDH6" s="1185"/>
      <c r="SDI6" s="1185"/>
      <c r="SDJ6" s="1185"/>
      <c r="SDK6" s="1185"/>
      <c r="SDL6" s="1185"/>
      <c r="SDM6" s="1185"/>
      <c r="SDN6" s="1185"/>
      <c r="SDO6" s="1185"/>
      <c r="SDP6" s="1185"/>
      <c r="SDQ6" s="1185"/>
      <c r="SDR6" s="1185"/>
      <c r="SDS6" s="1185"/>
      <c r="SDT6" s="1185"/>
      <c r="SDU6" s="1185"/>
      <c r="SDV6" s="1185"/>
      <c r="SDW6" s="1185"/>
      <c r="SDX6" s="1185"/>
      <c r="SDY6" s="1185"/>
      <c r="SDZ6" s="1185"/>
      <c r="SEA6" s="1185"/>
      <c r="SEB6" s="1185"/>
      <c r="SEC6" s="1185"/>
      <c r="SED6" s="1185"/>
      <c r="SEE6" s="1185"/>
      <c r="SEF6" s="1185"/>
      <c r="SEG6" s="1185"/>
      <c r="SEH6" s="1185"/>
      <c r="SEI6" s="1185"/>
      <c r="SEJ6" s="1185"/>
      <c r="SEK6" s="1185"/>
      <c r="SEL6" s="1185"/>
      <c r="SEM6" s="1185"/>
      <c r="SEN6" s="1185"/>
      <c r="SEO6" s="1185"/>
      <c r="SEP6" s="1185"/>
      <c r="SEQ6" s="1185"/>
      <c r="SER6" s="1185"/>
      <c r="SES6" s="1185"/>
      <c r="SET6" s="1185"/>
      <c r="SEU6" s="1185"/>
      <c r="SEV6" s="1185"/>
      <c r="SEW6" s="1185"/>
      <c r="SEX6" s="1185"/>
      <c r="SEY6" s="1185"/>
      <c r="SEZ6" s="1185"/>
      <c r="SFA6" s="1185"/>
      <c r="SFB6" s="1185"/>
      <c r="SFC6" s="1185"/>
      <c r="SFD6" s="1185"/>
      <c r="SFE6" s="1185"/>
      <c r="SFF6" s="1185"/>
      <c r="SFG6" s="1185"/>
      <c r="SFH6" s="1185"/>
      <c r="SFI6" s="1185"/>
      <c r="SFJ6" s="1185"/>
      <c r="SFK6" s="1185"/>
      <c r="SFL6" s="1185"/>
      <c r="SFM6" s="1185"/>
      <c r="SFN6" s="1185"/>
      <c r="SFO6" s="1185"/>
      <c r="SFP6" s="1185"/>
      <c r="SFQ6" s="1185"/>
      <c r="SFR6" s="1185"/>
      <c r="SFS6" s="1185"/>
      <c r="SFT6" s="1185"/>
      <c r="SFU6" s="1185"/>
      <c r="SFV6" s="1185"/>
      <c r="SFW6" s="1185"/>
      <c r="SFX6" s="1185"/>
      <c r="SFY6" s="1185"/>
      <c r="SFZ6" s="1185"/>
      <c r="SGA6" s="1185"/>
      <c r="SGB6" s="1185"/>
      <c r="SGC6" s="1185"/>
      <c r="SGD6" s="1185"/>
      <c r="SGE6" s="1185"/>
      <c r="SGF6" s="1185"/>
      <c r="SGG6" s="1185"/>
      <c r="SGH6" s="1185"/>
      <c r="SGI6" s="1185"/>
      <c r="SGJ6" s="1185"/>
      <c r="SGK6" s="1185"/>
      <c r="SGL6" s="1185"/>
      <c r="SGM6" s="1185"/>
      <c r="SGN6" s="1185"/>
      <c r="SGO6" s="1185"/>
      <c r="SGP6" s="1185"/>
      <c r="SGQ6" s="1185"/>
      <c r="SGR6" s="1185"/>
      <c r="SGS6" s="1185"/>
      <c r="SGT6" s="1185"/>
      <c r="SGU6" s="1185"/>
      <c r="SGV6" s="1185"/>
      <c r="SGW6" s="1185"/>
      <c r="SGX6" s="1185"/>
      <c r="SGY6" s="1185"/>
      <c r="SGZ6" s="1185"/>
      <c r="SHA6" s="1185"/>
      <c r="SHB6" s="1185"/>
      <c r="SHC6" s="1185"/>
      <c r="SHD6" s="1185"/>
      <c r="SHE6" s="1185"/>
      <c r="SHF6" s="1185"/>
      <c r="SHG6" s="1185"/>
      <c r="SHH6" s="1185"/>
      <c r="SHI6" s="1185"/>
      <c r="SHJ6" s="1185"/>
      <c r="SHK6" s="1185"/>
      <c r="SHL6" s="1185"/>
      <c r="SHM6" s="1185"/>
      <c r="SHN6" s="1185"/>
      <c r="SHO6" s="1185"/>
      <c r="SHP6" s="1185"/>
      <c r="SHQ6" s="1185"/>
      <c r="SHR6" s="1185"/>
      <c r="SHS6" s="1185"/>
      <c r="SHT6" s="1185"/>
      <c r="SHU6" s="1185"/>
      <c r="SHV6" s="1185"/>
      <c r="SHW6" s="1185"/>
      <c r="SHX6" s="1185"/>
      <c r="SHY6" s="1185"/>
      <c r="SHZ6" s="1185"/>
      <c r="SIA6" s="1185"/>
      <c r="SIB6" s="1185"/>
      <c r="SIC6" s="1185"/>
      <c r="SID6" s="1185"/>
      <c r="SIE6" s="1185"/>
      <c r="SIF6" s="1185"/>
      <c r="SIG6" s="1185"/>
      <c r="SIH6" s="1185"/>
      <c r="SII6" s="1185"/>
      <c r="SIJ6" s="1185"/>
      <c r="SIK6" s="1185"/>
      <c r="SIL6" s="1185"/>
      <c r="SIM6" s="1185"/>
      <c r="SIN6" s="1185"/>
      <c r="SIO6" s="1185"/>
      <c r="SIP6" s="1185"/>
      <c r="SIQ6" s="1185"/>
      <c r="SIR6" s="1185"/>
      <c r="SIS6" s="1185"/>
      <c r="SIT6" s="1185"/>
      <c r="SIU6" s="1185"/>
      <c r="SIV6" s="1185"/>
      <c r="SIW6" s="1185"/>
      <c r="SIX6" s="1185"/>
      <c r="SIY6" s="1185"/>
      <c r="SIZ6" s="1185"/>
      <c r="SJA6" s="1185"/>
      <c r="SJB6" s="1185"/>
      <c r="SJC6" s="1185"/>
      <c r="SJD6" s="1185"/>
      <c r="SJE6" s="1185"/>
      <c r="SJF6" s="1185"/>
      <c r="SJG6" s="1185"/>
      <c r="SJH6" s="1185"/>
      <c r="SJI6" s="1185"/>
      <c r="SJJ6" s="1185"/>
      <c r="SJK6" s="1185"/>
      <c r="SJL6" s="1185"/>
      <c r="SJM6" s="1185"/>
      <c r="SJN6" s="1185"/>
      <c r="SJO6" s="1185"/>
      <c r="SJP6" s="1185"/>
      <c r="SJQ6" s="1185"/>
      <c r="SJR6" s="1185"/>
      <c r="SJS6" s="1185"/>
      <c r="SJT6" s="1185"/>
      <c r="SJU6" s="1185"/>
      <c r="SJV6" s="1185"/>
      <c r="SJW6" s="1185"/>
      <c r="SJX6" s="1185"/>
      <c r="SJY6" s="1185"/>
      <c r="SJZ6" s="1185"/>
      <c r="SKA6" s="1185"/>
      <c r="SKB6" s="1185"/>
      <c r="SKC6" s="1185"/>
      <c r="SKD6" s="1185"/>
      <c r="SKE6" s="1185"/>
      <c r="SKF6" s="1185"/>
      <c r="SKG6" s="1185"/>
      <c r="SKH6" s="1185"/>
      <c r="SKI6" s="1185"/>
      <c r="SKJ6" s="1185"/>
      <c r="SKK6" s="1185"/>
      <c r="SKL6" s="1185"/>
      <c r="SKM6" s="1185"/>
      <c r="SKN6" s="1185"/>
      <c r="SKO6" s="1185"/>
      <c r="SKP6" s="1185"/>
      <c r="SKQ6" s="1185"/>
      <c r="SKR6" s="1185"/>
      <c r="SKS6" s="1185"/>
      <c r="SKT6" s="1185"/>
      <c r="SKU6" s="1185"/>
      <c r="SKV6" s="1185"/>
      <c r="SKW6" s="1185"/>
      <c r="SKX6" s="1185"/>
      <c r="SKY6" s="1185"/>
      <c r="SKZ6" s="1185"/>
      <c r="SLA6" s="1185"/>
      <c r="SLB6" s="1185"/>
      <c r="SLC6" s="1185"/>
      <c r="SLD6" s="1185"/>
      <c r="SLE6" s="1185"/>
      <c r="SLF6" s="1185"/>
      <c r="SLG6" s="1185"/>
      <c r="SLH6" s="1185"/>
      <c r="SLI6" s="1185"/>
      <c r="SLJ6" s="1185"/>
      <c r="SLK6" s="1185"/>
      <c r="SLL6" s="1185"/>
      <c r="SLM6" s="1185"/>
      <c r="SLN6" s="1185"/>
      <c r="SLO6" s="1185"/>
      <c r="SLP6" s="1185"/>
      <c r="SLQ6" s="1185"/>
      <c r="SLR6" s="1185"/>
      <c r="SLS6" s="1185"/>
      <c r="SLT6" s="1185"/>
      <c r="SLU6" s="1185"/>
      <c r="SLV6" s="1185"/>
      <c r="SLW6" s="1185"/>
      <c r="SLX6" s="1185"/>
      <c r="SLY6" s="1185"/>
      <c r="SLZ6" s="1185"/>
      <c r="SMA6" s="1185"/>
      <c r="SMB6" s="1185"/>
      <c r="SMC6" s="1185"/>
      <c r="SMD6" s="1185"/>
      <c r="SME6" s="1185"/>
      <c r="SMF6" s="1185"/>
      <c r="SMG6" s="1185"/>
      <c r="SMH6" s="1185"/>
      <c r="SMI6" s="1185"/>
      <c r="SMJ6" s="1185"/>
      <c r="SMK6" s="1185"/>
      <c r="SML6" s="1185"/>
      <c r="SMM6" s="1185"/>
      <c r="SMN6" s="1185"/>
      <c r="SMO6" s="1185"/>
      <c r="SMP6" s="1185"/>
      <c r="SMQ6" s="1185"/>
      <c r="SMR6" s="1185"/>
      <c r="SMS6" s="1185"/>
      <c r="SMT6" s="1185"/>
      <c r="SMU6" s="1185"/>
      <c r="SMV6" s="1185"/>
      <c r="SMW6" s="1185"/>
      <c r="SMX6" s="1185"/>
      <c r="SMY6" s="1185"/>
      <c r="SMZ6" s="1185"/>
      <c r="SNA6" s="1185"/>
      <c r="SNB6" s="1185"/>
      <c r="SNC6" s="1185"/>
      <c r="SND6" s="1185"/>
      <c r="SNE6" s="1185"/>
      <c r="SNF6" s="1185"/>
      <c r="SNG6" s="1185"/>
      <c r="SNH6" s="1185"/>
      <c r="SNI6" s="1185"/>
      <c r="SNJ6" s="1185"/>
      <c r="SNK6" s="1185"/>
      <c r="SNL6" s="1185"/>
      <c r="SNM6" s="1185"/>
      <c r="SNN6" s="1185"/>
      <c r="SNO6" s="1185"/>
      <c r="SNP6" s="1185"/>
      <c r="SNQ6" s="1185"/>
      <c r="SNR6" s="1185"/>
      <c r="SNS6" s="1185"/>
      <c r="SNT6" s="1185"/>
      <c r="SNU6" s="1185"/>
      <c r="SNV6" s="1185"/>
      <c r="SNW6" s="1185"/>
      <c r="SNX6" s="1185"/>
      <c r="SNY6" s="1185"/>
      <c r="SNZ6" s="1185"/>
      <c r="SOA6" s="1185"/>
      <c r="SOB6" s="1185"/>
      <c r="SOC6" s="1185"/>
      <c r="SOD6" s="1185"/>
      <c r="SOE6" s="1185"/>
      <c r="SOF6" s="1185"/>
      <c r="SOG6" s="1185"/>
      <c r="SOH6" s="1185"/>
      <c r="SOI6" s="1185"/>
      <c r="SOJ6" s="1185"/>
      <c r="SOK6" s="1185"/>
      <c r="SOL6" s="1185"/>
      <c r="SOM6" s="1185"/>
      <c r="SON6" s="1185"/>
      <c r="SOO6" s="1185"/>
      <c r="SOP6" s="1185"/>
      <c r="SOQ6" s="1185"/>
      <c r="SOR6" s="1185"/>
      <c r="SOS6" s="1185"/>
      <c r="SOT6" s="1185"/>
      <c r="SOU6" s="1185"/>
      <c r="SOV6" s="1185"/>
      <c r="SOW6" s="1185"/>
      <c r="SOX6" s="1185"/>
      <c r="SOY6" s="1185"/>
      <c r="SOZ6" s="1185"/>
      <c r="SPA6" s="1185"/>
      <c r="SPB6" s="1185"/>
      <c r="SPC6" s="1185"/>
      <c r="SPD6" s="1185"/>
      <c r="SPE6" s="1185"/>
      <c r="SPF6" s="1185"/>
      <c r="SPG6" s="1185"/>
      <c r="SPH6" s="1185"/>
      <c r="SPI6" s="1185"/>
      <c r="SPJ6" s="1185"/>
      <c r="SPK6" s="1185"/>
      <c r="SPL6" s="1185"/>
      <c r="SPM6" s="1185"/>
      <c r="SPN6" s="1185"/>
      <c r="SPO6" s="1185"/>
      <c r="SPP6" s="1185"/>
      <c r="SPQ6" s="1185"/>
      <c r="SPR6" s="1185"/>
      <c r="SPS6" s="1185"/>
      <c r="SPT6" s="1185"/>
      <c r="SPU6" s="1185"/>
      <c r="SPV6" s="1185"/>
      <c r="SPW6" s="1185"/>
      <c r="SPX6" s="1185"/>
      <c r="SPY6" s="1185"/>
      <c r="SPZ6" s="1185"/>
      <c r="SQA6" s="1185"/>
      <c r="SQB6" s="1185"/>
      <c r="SQC6" s="1185"/>
      <c r="SQD6" s="1185"/>
      <c r="SQE6" s="1185"/>
      <c r="SQF6" s="1185"/>
      <c r="SQG6" s="1185"/>
      <c r="SQH6" s="1185"/>
      <c r="SQI6" s="1185"/>
      <c r="SQJ6" s="1185"/>
      <c r="SQK6" s="1185"/>
      <c r="SQL6" s="1185"/>
      <c r="SQM6" s="1185"/>
      <c r="SQN6" s="1185"/>
      <c r="SQO6" s="1185"/>
      <c r="SQP6" s="1185"/>
      <c r="SQQ6" s="1185"/>
      <c r="SQR6" s="1185"/>
      <c r="SQS6" s="1185"/>
      <c r="SQT6" s="1185"/>
      <c r="SQU6" s="1185"/>
      <c r="SQV6" s="1185"/>
      <c r="SQW6" s="1185"/>
      <c r="SQX6" s="1185"/>
      <c r="SQY6" s="1185"/>
      <c r="SQZ6" s="1185"/>
      <c r="SRA6" s="1185"/>
      <c r="SRB6" s="1185"/>
      <c r="SRC6" s="1185"/>
      <c r="SRD6" s="1185"/>
      <c r="SRE6" s="1185"/>
      <c r="SRF6" s="1185"/>
      <c r="SRG6" s="1185"/>
      <c r="SRH6" s="1185"/>
      <c r="SRI6" s="1185"/>
      <c r="SRJ6" s="1185"/>
      <c r="SRK6" s="1185"/>
      <c r="SRL6" s="1185"/>
      <c r="SRM6" s="1185"/>
      <c r="SRN6" s="1185"/>
      <c r="SRO6" s="1185"/>
      <c r="SRP6" s="1185"/>
      <c r="SRQ6" s="1185"/>
      <c r="SRR6" s="1185"/>
      <c r="SRS6" s="1185"/>
      <c r="SRT6" s="1185"/>
      <c r="SRU6" s="1185"/>
      <c r="SRV6" s="1185"/>
      <c r="SRW6" s="1185"/>
      <c r="SRX6" s="1185"/>
      <c r="SRY6" s="1185"/>
      <c r="SRZ6" s="1185"/>
      <c r="SSA6" s="1185"/>
      <c r="SSB6" s="1185"/>
      <c r="SSC6" s="1185"/>
      <c r="SSD6" s="1185"/>
      <c r="SSE6" s="1185"/>
      <c r="SSF6" s="1185"/>
      <c r="SSG6" s="1185"/>
      <c r="SSH6" s="1185"/>
      <c r="SSI6" s="1185"/>
      <c r="SSJ6" s="1185"/>
      <c r="SSK6" s="1185"/>
      <c r="SSL6" s="1185"/>
      <c r="SSM6" s="1185"/>
      <c r="SSN6" s="1185"/>
      <c r="SSO6" s="1185"/>
      <c r="SSP6" s="1185"/>
      <c r="SSQ6" s="1185"/>
      <c r="SSR6" s="1185"/>
      <c r="SSS6" s="1185"/>
      <c r="SST6" s="1185"/>
      <c r="SSU6" s="1185"/>
      <c r="SSV6" s="1185"/>
      <c r="SSW6" s="1185"/>
      <c r="SSX6" s="1185"/>
      <c r="SSY6" s="1185"/>
      <c r="SSZ6" s="1185"/>
      <c r="STA6" s="1185"/>
      <c r="STB6" s="1185"/>
      <c r="STC6" s="1185"/>
      <c r="STD6" s="1185"/>
      <c r="STE6" s="1185"/>
      <c r="STF6" s="1185"/>
      <c r="STG6" s="1185"/>
      <c r="STH6" s="1185"/>
      <c r="STI6" s="1185"/>
      <c r="STJ6" s="1185"/>
      <c r="STK6" s="1185"/>
      <c r="STL6" s="1185"/>
      <c r="STM6" s="1185"/>
      <c r="STN6" s="1185"/>
      <c r="STO6" s="1185"/>
      <c r="STP6" s="1185"/>
      <c r="STQ6" s="1185"/>
      <c r="STR6" s="1185"/>
      <c r="STS6" s="1185"/>
      <c r="STT6" s="1185"/>
      <c r="STU6" s="1185"/>
      <c r="STV6" s="1185"/>
      <c r="STW6" s="1185"/>
      <c r="STX6" s="1185"/>
      <c r="STY6" s="1185"/>
      <c r="STZ6" s="1185"/>
      <c r="SUA6" s="1185"/>
      <c r="SUB6" s="1185"/>
      <c r="SUC6" s="1185"/>
      <c r="SUD6" s="1185"/>
      <c r="SUE6" s="1185"/>
      <c r="SUF6" s="1185"/>
      <c r="SUG6" s="1185"/>
      <c r="SUH6" s="1185"/>
      <c r="SUI6" s="1185"/>
      <c r="SUJ6" s="1185"/>
      <c r="SUK6" s="1185"/>
      <c r="SUL6" s="1185"/>
      <c r="SUM6" s="1185"/>
      <c r="SUN6" s="1185"/>
      <c r="SUO6" s="1185"/>
      <c r="SUP6" s="1185"/>
      <c r="SUQ6" s="1185"/>
      <c r="SUR6" s="1185"/>
      <c r="SUS6" s="1185"/>
      <c r="SUT6" s="1185"/>
      <c r="SUU6" s="1185"/>
      <c r="SUV6" s="1185"/>
      <c r="SUW6" s="1185"/>
      <c r="SUX6" s="1185"/>
      <c r="SUY6" s="1185"/>
      <c r="SUZ6" s="1185"/>
      <c r="SVA6" s="1185"/>
      <c r="SVB6" s="1185"/>
      <c r="SVC6" s="1185"/>
      <c r="SVD6" s="1185"/>
      <c r="SVE6" s="1185"/>
      <c r="SVF6" s="1185"/>
      <c r="SVG6" s="1185"/>
      <c r="SVH6" s="1185"/>
      <c r="SVI6" s="1185"/>
      <c r="SVJ6" s="1185"/>
      <c r="SVK6" s="1185"/>
      <c r="SVL6" s="1185"/>
      <c r="SVM6" s="1185"/>
      <c r="SVN6" s="1185"/>
      <c r="SVO6" s="1185"/>
      <c r="SVP6" s="1185"/>
      <c r="SVQ6" s="1185"/>
      <c r="SVR6" s="1185"/>
      <c r="SVS6" s="1185"/>
      <c r="SVT6" s="1185"/>
      <c r="SVU6" s="1185"/>
      <c r="SVV6" s="1185"/>
      <c r="SVW6" s="1185"/>
      <c r="SVX6" s="1185"/>
      <c r="SVY6" s="1185"/>
      <c r="SVZ6" s="1185"/>
      <c r="SWA6" s="1185"/>
      <c r="SWB6" s="1185"/>
      <c r="SWC6" s="1185"/>
      <c r="SWD6" s="1185"/>
      <c r="SWE6" s="1185"/>
      <c r="SWF6" s="1185"/>
      <c r="SWG6" s="1185"/>
      <c r="SWH6" s="1185"/>
      <c r="SWI6" s="1185"/>
      <c r="SWJ6" s="1185"/>
      <c r="SWK6" s="1185"/>
      <c r="SWL6" s="1185"/>
      <c r="SWM6" s="1185"/>
      <c r="SWN6" s="1185"/>
      <c r="SWO6" s="1185"/>
      <c r="SWP6" s="1185"/>
      <c r="SWQ6" s="1185"/>
      <c r="SWR6" s="1185"/>
      <c r="SWS6" s="1185"/>
      <c r="SWT6" s="1185"/>
      <c r="SWU6" s="1185"/>
      <c r="SWV6" s="1185"/>
      <c r="SWW6" s="1185"/>
      <c r="SWX6" s="1185"/>
      <c r="SWY6" s="1185"/>
      <c r="SWZ6" s="1185"/>
      <c r="SXA6" s="1185"/>
      <c r="SXB6" s="1185"/>
      <c r="SXC6" s="1185"/>
      <c r="SXD6" s="1185"/>
      <c r="SXE6" s="1185"/>
      <c r="SXF6" s="1185"/>
      <c r="SXG6" s="1185"/>
      <c r="SXH6" s="1185"/>
      <c r="SXI6" s="1185"/>
      <c r="SXJ6" s="1185"/>
      <c r="SXK6" s="1185"/>
      <c r="SXL6" s="1185"/>
      <c r="SXM6" s="1185"/>
      <c r="SXN6" s="1185"/>
      <c r="SXO6" s="1185"/>
      <c r="SXP6" s="1185"/>
      <c r="SXQ6" s="1185"/>
      <c r="SXR6" s="1185"/>
      <c r="SXS6" s="1185"/>
      <c r="SXT6" s="1185"/>
      <c r="SXU6" s="1185"/>
      <c r="SXV6" s="1185"/>
      <c r="SXW6" s="1185"/>
      <c r="SXX6" s="1185"/>
      <c r="SXY6" s="1185"/>
      <c r="SXZ6" s="1185"/>
      <c r="SYA6" s="1185"/>
      <c r="SYB6" s="1185"/>
      <c r="SYC6" s="1185"/>
      <c r="SYD6" s="1185"/>
      <c r="SYE6" s="1185"/>
      <c r="SYF6" s="1185"/>
      <c r="SYG6" s="1185"/>
      <c r="SYH6" s="1185"/>
      <c r="SYI6" s="1185"/>
      <c r="SYJ6" s="1185"/>
      <c r="SYK6" s="1185"/>
      <c r="SYL6" s="1185"/>
      <c r="SYM6" s="1185"/>
      <c r="SYN6" s="1185"/>
      <c r="SYO6" s="1185"/>
      <c r="SYP6" s="1185"/>
      <c r="SYQ6" s="1185"/>
      <c r="SYR6" s="1185"/>
      <c r="SYS6" s="1185"/>
      <c r="SYT6" s="1185"/>
      <c r="SYU6" s="1185"/>
      <c r="SYV6" s="1185"/>
      <c r="SYW6" s="1185"/>
      <c r="SYX6" s="1185"/>
      <c r="SYY6" s="1185"/>
      <c r="SYZ6" s="1185"/>
      <c r="SZA6" s="1185"/>
      <c r="SZB6" s="1185"/>
      <c r="SZC6" s="1185"/>
      <c r="SZD6" s="1185"/>
      <c r="SZE6" s="1185"/>
      <c r="SZF6" s="1185"/>
      <c r="SZG6" s="1185"/>
      <c r="SZH6" s="1185"/>
      <c r="SZI6" s="1185"/>
      <c r="SZJ6" s="1185"/>
      <c r="SZK6" s="1185"/>
      <c r="SZL6" s="1185"/>
      <c r="SZM6" s="1185"/>
      <c r="SZN6" s="1185"/>
      <c r="SZO6" s="1185"/>
      <c r="SZP6" s="1185"/>
      <c r="SZQ6" s="1185"/>
      <c r="SZR6" s="1185"/>
      <c r="SZS6" s="1185"/>
      <c r="SZT6" s="1185"/>
      <c r="SZU6" s="1185"/>
      <c r="SZV6" s="1185"/>
      <c r="SZW6" s="1185"/>
      <c r="SZX6" s="1185"/>
      <c r="SZY6" s="1185"/>
      <c r="SZZ6" s="1185"/>
      <c r="TAA6" s="1185"/>
      <c r="TAB6" s="1185"/>
      <c r="TAC6" s="1185"/>
      <c r="TAD6" s="1185"/>
      <c r="TAE6" s="1185"/>
      <c r="TAF6" s="1185"/>
      <c r="TAG6" s="1185"/>
      <c r="TAH6" s="1185"/>
      <c r="TAI6" s="1185"/>
      <c r="TAJ6" s="1185"/>
      <c r="TAK6" s="1185"/>
      <c r="TAL6" s="1185"/>
      <c r="TAM6" s="1185"/>
      <c r="TAN6" s="1185"/>
      <c r="TAO6" s="1185"/>
      <c r="TAP6" s="1185"/>
      <c r="TAQ6" s="1185"/>
      <c r="TAR6" s="1185"/>
      <c r="TAS6" s="1185"/>
      <c r="TAT6" s="1185"/>
      <c r="TAU6" s="1185"/>
      <c r="TAV6" s="1185"/>
      <c r="TAW6" s="1185"/>
      <c r="TAX6" s="1185"/>
      <c r="TAY6" s="1185"/>
      <c r="TAZ6" s="1185"/>
      <c r="TBA6" s="1185"/>
      <c r="TBB6" s="1185"/>
      <c r="TBC6" s="1185"/>
      <c r="TBD6" s="1185"/>
      <c r="TBE6" s="1185"/>
      <c r="TBF6" s="1185"/>
      <c r="TBG6" s="1185"/>
      <c r="TBH6" s="1185"/>
      <c r="TBI6" s="1185"/>
      <c r="TBJ6" s="1185"/>
      <c r="TBK6" s="1185"/>
      <c r="TBL6" s="1185"/>
      <c r="TBM6" s="1185"/>
      <c r="TBN6" s="1185"/>
      <c r="TBO6" s="1185"/>
      <c r="TBP6" s="1185"/>
      <c r="TBQ6" s="1185"/>
      <c r="TBR6" s="1185"/>
      <c r="TBS6" s="1185"/>
      <c r="TBT6" s="1185"/>
      <c r="TBU6" s="1185"/>
      <c r="TBV6" s="1185"/>
      <c r="TBW6" s="1185"/>
      <c r="TBX6" s="1185"/>
      <c r="TBY6" s="1185"/>
      <c r="TBZ6" s="1185"/>
      <c r="TCA6" s="1185"/>
      <c r="TCB6" s="1185"/>
      <c r="TCC6" s="1185"/>
      <c r="TCD6" s="1185"/>
      <c r="TCE6" s="1185"/>
      <c r="TCF6" s="1185"/>
      <c r="TCG6" s="1185"/>
      <c r="TCH6" s="1185"/>
      <c r="TCI6" s="1185"/>
      <c r="TCJ6" s="1185"/>
      <c r="TCK6" s="1185"/>
      <c r="TCL6" s="1185"/>
      <c r="TCM6" s="1185"/>
      <c r="TCN6" s="1185"/>
      <c r="TCO6" s="1185"/>
      <c r="TCP6" s="1185"/>
      <c r="TCQ6" s="1185"/>
      <c r="TCR6" s="1185"/>
      <c r="TCS6" s="1185"/>
      <c r="TCT6" s="1185"/>
      <c r="TCU6" s="1185"/>
      <c r="TCV6" s="1185"/>
      <c r="TCW6" s="1185"/>
      <c r="TCX6" s="1185"/>
      <c r="TCY6" s="1185"/>
      <c r="TCZ6" s="1185"/>
      <c r="TDA6" s="1185"/>
      <c r="TDB6" s="1185"/>
      <c r="TDC6" s="1185"/>
      <c r="TDD6" s="1185"/>
      <c r="TDE6" s="1185"/>
      <c r="TDF6" s="1185"/>
      <c r="TDG6" s="1185"/>
      <c r="TDH6" s="1185"/>
      <c r="TDI6" s="1185"/>
      <c r="TDJ6" s="1185"/>
      <c r="TDK6" s="1185"/>
      <c r="TDL6" s="1185"/>
      <c r="TDM6" s="1185"/>
      <c r="TDN6" s="1185"/>
      <c r="TDO6" s="1185"/>
      <c r="TDP6" s="1185"/>
      <c r="TDQ6" s="1185"/>
      <c r="TDR6" s="1185"/>
      <c r="TDS6" s="1185"/>
      <c r="TDT6" s="1185"/>
      <c r="TDU6" s="1185"/>
      <c r="TDV6" s="1185"/>
      <c r="TDW6" s="1185"/>
      <c r="TDX6" s="1185"/>
      <c r="TDY6" s="1185"/>
      <c r="TDZ6" s="1185"/>
      <c r="TEA6" s="1185"/>
      <c r="TEB6" s="1185"/>
      <c r="TEC6" s="1185"/>
      <c r="TED6" s="1185"/>
      <c r="TEE6" s="1185"/>
      <c r="TEF6" s="1185"/>
      <c r="TEG6" s="1185"/>
      <c r="TEH6" s="1185"/>
      <c r="TEI6" s="1185"/>
      <c r="TEJ6" s="1185"/>
      <c r="TEK6" s="1185"/>
      <c r="TEL6" s="1185"/>
      <c r="TEM6" s="1185"/>
      <c r="TEN6" s="1185"/>
      <c r="TEO6" s="1185"/>
      <c r="TEP6" s="1185"/>
      <c r="TEQ6" s="1185"/>
      <c r="TER6" s="1185"/>
      <c r="TES6" s="1185"/>
      <c r="TET6" s="1185"/>
      <c r="TEU6" s="1185"/>
      <c r="TEV6" s="1185"/>
      <c r="TEW6" s="1185"/>
      <c r="TEX6" s="1185"/>
      <c r="TEY6" s="1185"/>
      <c r="TEZ6" s="1185"/>
      <c r="TFA6" s="1185"/>
      <c r="TFB6" s="1185"/>
      <c r="TFC6" s="1185"/>
      <c r="TFD6" s="1185"/>
      <c r="TFE6" s="1185"/>
      <c r="TFF6" s="1185"/>
      <c r="TFG6" s="1185"/>
      <c r="TFH6" s="1185"/>
      <c r="TFI6" s="1185"/>
      <c r="TFJ6" s="1185"/>
      <c r="TFK6" s="1185"/>
      <c r="TFL6" s="1185"/>
      <c r="TFM6" s="1185"/>
      <c r="TFN6" s="1185"/>
      <c r="TFO6" s="1185"/>
      <c r="TFP6" s="1185"/>
      <c r="TFQ6" s="1185"/>
      <c r="TFR6" s="1185"/>
      <c r="TFS6" s="1185"/>
      <c r="TFT6" s="1185"/>
      <c r="TFU6" s="1185"/>
      <c r="TFV6" s="1185"/>
      <c r="TFW6" s="1185"/>
      <c r="TFX6" s="1185"/>
      <c r="TFY6" s="1185"/>
      <c r="TFZ6" s="1185"/>
      <c r="TGA6" s="1185"/>
      <c r="TGB6" s="1185"/>
      <c r="TGC6" s="1185"/>
      <c r="TGD6" s="1185"/>
      <c r="TGE6" s="1185"/>
      <c r="TGF6" s="1185"/>
      <c r="TGG6" s="1185"/>
      <c r="TGH6" s="1185"/>
      <c r="TGI6" s="1185"/>
      <c r="TGJ6" s="1185"/>
      <c r="TGK6" s="1185"/>
      <c r="TGL6" s="1185"/>
      <c r="TGM6" s="1185"/>
      <c r="TGN6" s="1185"/>
      <c r="TGO6" s="1185"/>
      <c r="TGP6" s="1185"/>
      <c r="TGQ6" s="1185"/>
      <c r="TGR6" s="1185"/>
      <c r="TGS6" s="1185"/>
      <c r="TGT6" s="1185"/>
      <c r="TGU6" s="1185"/>
      <c r="TGV6" s="1185"/>
      <c r="TGW6" s="1185"/>
      <c r="TGX6" s="1185"/>
      <c r="TGY6" s="1185"/>
      <c r="TGZ6" s="1185"/>
      <c r="THA6" s="1185"/>
      <c r="THB6" s="1185"/>
      <c r="THC6" s="1185"/>
      <c r="THD6" s="1185"/>
      <c r="THE6" s="1185"/>
      <c r="THF6" s="1185"/>
      <c r="THG6" s="1185"/>
      <c r="THH6" s="1185"/>
      <c r="THI6" s="1185"/>
      <c r="THJ6" s="1185"/>
      <c r="THK6" s="1185"/>
      <c r="THL6" s="1185"/>
      <c r="THM6" s="1185"/>
      <c r="THN6" s="1185"/>
      <c r="THO6" s="1185"/>
      <c r="THP6" s="1185"/>
      <c r="THQ6" s="1185"/>
      <c r="THR6" s="1185"/>
      <c r="THS6" s="1185"/>
      <c r="THT6" s="1185"/>
      <c r="THU6" s="1185"/>
      <c r="THV6" s="1185"/>
      <c r="THW6" s="1185"/>
      <c r="THX6" s="1185"/>
      <c r="THY6" s="1185"/>
      <c r="THZ6" s="1185"/>
      <c r="TIA6" s="1185"/>
      <c r="TIB6" s="1185"/>
      <c r="TIC6" s="1185"/>
      <c r="TID6" s="1185"/>
      <c r="TIE6" s="1185"/>
      <c r="TIF6" s="1185"/>
      <c r="TIG6" s="1185"/>
      <c r="TIH6" s="1185"/>
      <c r="TII6" s="1185"/>
      <c r="TIJ6" s="1185"/>
      <c r="TIK6" s="1185"/>
      <c r="TIL6" s="1185"/>
      <c r="TIM6" s="1185"/>
      <c r="TIN6" s="1185"/>
      <c r="TIO6" s="1185"/>
      <c r="TIP6" s="1185"/>
      <c r="TIQ6" s="1185"/>
      <c r="TIR6" s="1185"/>
      <c r="TIS6" s="1185"/>
      <c r="TIT6" s="1185"/>
      <c r="TIU6" s="1185"/>
      <c r="TIV6" s="1185"/>
      <c r="TIW6" s="1185"/>
      <c r="TIX6" s="1185"/>
      <c r="TIY6" s="1185"/>
      <c r="TIZ6" s="1185"/>
      <c r="TJA6" s="1185"/>
      <c r="TJB6" s="1185"/>
      <c r="TJC6" s="1185"/>
      <c r="TJD6" s="1185"/>
      <c r="TJE6" s="1185"/>
      <c r="TJF6" s="1185"/>
      <c r="TJG6" s="1185"/>
      <c r="TJH6" s="1185"/>
      <c r="TJI6" s="1185"/>
      <c r="TJJ6" s="1185"/>
      <c r="TJK6" s="1185"/>
      <c r="TJL6" s="1185"/>
      <c r="TJM6" s="1185"/>
      <c r="TJN6" s="1185"/>
      <c r="TJO6" s="1185"/>
      <c r="TJP6" s="1185"/>
      <c r="TJQ6" s="1185"/>
      <c r="TJR6" s="1185"/>
      <c r="TJS6" s="1185"/>
      <c r="TJT6" s="1185"/>
      <c r="TJU6" s="1185"/>
      <c r="TJV6" s="1185"/>
      <c r="TJW6" s="1185"/>
      <c r="TJX6" s="1185"/>
      <c r="TJY6" s="1185"/>
      <c r="TJZ6" s="1185"/>
      <c r="TKA6" s="1185"/>
      <c r="TKB6" s="1185"/>
      <c r="TKC6" s="1185"/>
      <c r="TKD6" s="1185"/>
      <c r="TKE6" s="1185"/>
      <c r="TKF6" s="1185"/>
      <c r="TKG6" s="1185"/>
      <c r="TKH6" s="1185"/>
      <c r="TKI6" s="1185"/>
      <c r="TKJ6" s="1185"/>
      <c r="TKK6" s="1185"/>
      <c r="TKL6" s="1185"/>
      <c r="TKM6" s="1185"/>
      <c r="TKN6" s="1185"/>
      <c r="TKO6" s="1185"/>
      <c r="TKP6" s="1185"/>
      <c r="TKQ6" s="1185"/>
      <c r="TKR6" s="1185"/>
      <c r="TKS6" s="1185"/>
      <c r="TKT6" s="1185"/>
      <c r="TKU6" s="1185"/>
      <c r="TKV6" s="1185"/>
      <c r="TKW6" s="1185"/>
      <c r="TKX6" s="1185"/>
      <c r="TKY6" s="1185"/>
      <c r="TKZ6" s="1185"/>
      <c r="TLA6" s="1185"/>
      <c r="TLB6" s="1185"/>
      <c r="TLC6" s="1185"/>
      <c r="TLD6" s="1185"/>
      <c r="TLE6" s="1185"/>
      <c r="TLF6" s="1185"/>
      <c r="TLG6" s="1185"/>
      <c r="TLH6" s="1185"/>
      <c r="TLI6" s="1185"/>
      <c r="TLJ6" s="1185"/>
      <c r="TLK6" s="1185"/>
      <c r="TLL6" s="1185"/>
      <c r="TLM6" s="1185"/>
      <c r="TLN6" s="1185"/>
      <c r="TLO6" s="1185"/>
      <c r="TLP6" s="1185"/>
      <c r="TLQ6" s="1185"/>
      <c r="TLR6" s="1185"/>
      <c r="TLS6" s="1185"/>
      <c r="TLT6" s="1185"/>
      <c r="TLU6" s="1185"/>
      <c r="TLV6" s="1185"/>
      <c r="TLW6" s="1185"/>
      <c r="TLX6" s="1185"/>
      <c r="TLY6" s="1185"/>
      <c r="TLZ6" s="1185"/>
      <c r="TMA6" s="1185"/>
      <c r="TMB6" s="1185"/>
      <c r="TMC6" s="1185"/>
      <c r="TMD6" s="1185"/>
      <c r="TME6" s="1185"/>
      <c r="TMF6" s="1185"/>
      <c r="TMG6" s="1185"/>
      <c r="TMH6" s="1185"/>
      <c r="TMI6" s="1185"/>
      <c r="TMJ6" s="1185"/>
      <c r="TMK6" s="1185"/>
      <c r="TML6" s="1185"/>
      <c r="TMM6" s="1185"/>
      <c r="TMN6" s="1185"/>
      <c r="TMO6" s="1185"/>
      <c r="TMP6" s="1185"/>
      <c r="TMQ6" s="1185"/>
      <c r="TMR6" s="1185"/>
      <c r="TMS6" s="1185"/>
      <c r="TMT6" s="1185"/>
      <c r="TMU6" s="1185"/>
      <c r="TMV6" s="1185"/>
      <c r="TMW6" s="1185"/>
      <c r="TMX6" s="1185"/>
      <c r="TMY6" s="1185"/>
      <c r="TMZ6" s="1185"/>
      <c r="TNA6" s="1185"/>
      <c r="TNB6" s="1185"/>
      <c r="TNC6" s="1185"/>
      <c r="TND6" s="1185"/>
      <c r="TNE6" s="1185"/>
      <c r="TNF6" s="1185"/>
      <c r="TNG6" s="1185"/>
      <c r="TNH6" s="1185"/>
      <c r="TNI6" s="1185"/>
      <c r="TNJ6" s="1185"/>
      <c r="TNK6" s="1185"/>
      <c r="TNL6" s="1185"/>
      <c r="TNM6" s="1185"/>
      <c r="TNN6" s="1185"/>
      <c r="TNO6" s="1185"/>
      <c r="TNP6" s="1185"/>
      <c r="TNQ6" s="1185"/>
      <c r="TNR6" s="1185"/>
      <c r="TNS6" s="1185"/>
      <c r="TNT6" s="1185"/>
      <c r="TNU6" s="1185"/>
      <c r="TNV6" s="1185"/>
      <c r="TNW6" s="1185"/>
      <c r="TNX6" s="1185"/>
      <c r="TNY6" s="1185"/>
      <c r="TNZ6" s="1185"/>
      <c r="TOA6" s="1185"/>
      <c r="TOB6" s="1185"/>
      <c r="TOC6" s="1185"/>
      <c r="TOD6" s="1185"/>
      <c r="TOE6" s="1185"/>
      <c r="TOF6" s="1185"/>
      <c r="TOG6" s="1185"/>
      <c r="TOH6" s="1185"/>
      <c r="TOI6" s="1185"/>
      <c r="TOJ6" s="1185"/>
      <c r="TOK6" s="1185"/>
      <c r="TOL6" s="1185"/>
      <c r="TOM6" s="1185"/>
      <c r="TON6" s="1185"/>
      <c r="TOO6" s="1185"/>
      <c r="TOP6" s="1185"/>
      <c r="TOQ6" s="1185"/>
      <c r="TOR6" s="1185"/>
      <c r="TOS6" s="1185"/>
      <c r="TOT6" s="1185"/>
      <c r="TOU6" s="1185"/>
      <c r="TOV6" s="1185"/>
      <c r="TOW6" s="1185"/>
      <c r="TOX6" s="1185"/>
      <c r="TOY6" s="1185"/>
      <c r="TOZ6" s="1185"/>
      <c r="TPA6" s="1185"/>
      <c r="TPB6" s="1185"/>
      <c r="TPC6" s="1185"/>
      <c r="TPD6" s="1185"/>
      <c r="TPE6" s="1185"/>
      <c r="TPF6" s="1185"/>
      <c r="TPG6" s="1185"/>
      <c r="TPH6" s="1185"/>
      <c r="TPI6" s="1185"/>
      <c r="TPJ6" s="1185"/>
      <c r="TPK6" s="1185"/>
      <c r="TPL6" s="1185"/>
      <c r="TPM6" s="1185"/>
      <c r="TPN6" s="1185"/>
      <c r="TPO6" s="1185"/>
      <c r="TPP6" s="1185"/>
      <c r="TPQ6" s="1185"/>
      <c r="TPR6" s="1185"/>
      <c r="TPS6" s="1185"/>
      <c r="TPT6" s="1185"/>
      <c r="TPU6" s="1185"/>
      <c r="TPV6" s="1185"/>
      <c r="TPW6" s="1185"/>
      <c r="TPX6" s="1185"/>
      <c r="TPY6" s="1185"/>
      <c r="TPZ6" s="1185"/>
      <c r="TQA6" s="1185"/>
      <c r="TQB6" s="1185"/>
      <c r="TQC6" s="1185"/>
      <c r="TQD6" s="1185"/>
      <c r="TQE6" s="1185"/>
      <c r="TQF6" s="1185"/>
      <c r="TQG6" s="1185"/>
      <c r="TQH6" s="1185"/>
      <c r="TQI6" s="1185"/>
      <c r="TQJ6" s="1185"/>
      <c r="TQK6" s="1185"/>
      <c r="TQL6" s="1185"/>
      <c r="TQM6" s="1185"/>
      <c r="TQN6" s="1185"/>
      <c r="TQO6" s="1185"/>
      <c r="TQP6" s="1185"/>
      <c r="TQQ6" s="1185"/>
      <c r="TQR6" s="1185"/>
      <c r="TQS6" s="1185"/>
      <c r="TQT6" s="1185"/>
      <c r="TQU6" s="1185"/>
      <c r="TQV6" s="1185"/>
      <c r="TQW6" s="1185"/>
      <c r="TQX6" s="1185"/>
      <c r="TQY6" s="1185"/>
      <c r="TQZ6" s="1185"/>
      <c r="TRA6" s="1185"/>
      <c r="TRB6" s="1185"/>
      <c r="TRC6" s="1185"/>
      <c r="TRD6" s="1185"/>
      <c r="TRE6" s="1185"/>
      <c r="TRF6" s="1185"/>
      <c r="TRG6" s="1185"/>
      <c r="TRH6" s="1185"/>
      <c r="TRI6" s="1185"/>
      <c r="TRJ6" s="1185"/>
      <c r="TRK6" s="1185"/>
      <c r="TRL6" s="1185"/>
      <c r="TRM6" s="1185"/>
      <c r="TRN6" s="1185"/>
      <c r="TRO6" s="1185"/>
      <c r="TRP6" s="1185"/>
      <c r="TRQ6" s="1185"/>
      <c r="TRR6" s="1185"/>
      <c r="TRS6" s="1185"/>
      <c r="TRT6" s="1185"/>
      <c r="TRU6" s="1185"/>
      <c r="TRV6" s="1185"/>
      <c r="TRW6" s="1185"/>
      <c r="TRX6" s="1185"/>
      <c r="TRY6" s="1185"/>
      <c r="TRZ6" s="1185"/>
      <c r="TSA6" s="1185"/>
      <c r="TSB6" s="1185"/>
      <c r="TSC6" s="1185"/>
      <c r="TSD6" s="1185"/>
      <c r="TSE6" s="1185"/>
      <c r="TSF6" s="1185"/>
      <c r="TSG6" s="1185"/>
      <c r="TSH6" s="1185"/>
      <c r="TSI6" s="1185"/>
      <c r="TSJ6" s="1185"/>
      <c r="TSK6" s="1185"/>
      <c r="TSL6" s="1185"/>
      <c r="TSM6" s="1185"/>
      <c r="TSN6" s="1185"/>
      <c r="TSO6" s="1185"/>
      <c r="TSP6" s="1185"/>
      <c r="TSQ6" s="1185"/>
      <c r="TSR6" s="1185"/>
      <c r="TSS6" s="1185"/>
      <c r="TST6" s="1185"/>
      <c r="TSU6" s="1185"/>
      <c r="TSV6" s="1185"/>
      <c r="TSW6" s="1185"/>
      <c r="TSX6" s="1185"/>
      <c r="TSY6" s="1185"/>
      <c r="TSZ6" s="1185"/>
      <c r="TTA6" s="1185"/>
      <c r="TTB6" s="1185"/>
      <c r="TTC6" s="1185"/>
      <c r="TTD6" s="1185"/>
      <c r="TTE6" s="1185"/>
      <c r="TTF6" s="1185"/>
      <c r="TTG6" s="1185"/>
      <c r="TTH6" s="1185"/>
      <c r="TTI6" s="1185"/>
      <c r="TTJ6" s="1185"/>
      <c r="TTK6" s="1185"/>
      <c r="TTL6" s="1185"/>
      <c r="TTM6" s="1185"/>
      <c r="TTN6" s="1185"/>
      <c r="TTO6" s="1185"/>
      <c r="TTP6" s="1185"/>
      <c r="TTQ6" s="1185"/>
      <c r="TTR6" s="1185"/>
      <c r="TTS6" s="1185"/>
      <c r="TTT6" s="1185"/>
      <c r="TTU6" s="1185"/>
      <c r="TTV6" s="1185"/>
      <c r="TTW6" s="1185"/>
      <c r="TTX6" s="1185"/>
      <c r="TTY6" s="1185"/>
      <c r="TTZ6" s="1185"/>
      <c r="TUA6" s="1185"/>
      <c r="TUB6" s="1185"/>
      <c r="TUC6" s="1185"/>
      <c r="TUD6" s="1185"/>
      <c r="TUE6" s="1185"/>
      <c r="TUF6" s="1185"/>
      <c r="TUG6" s="1185"/>
      <c r="TUH6" s="1185"/>
      <c r="TUI6" s="1185"/>
      <c r="TUJ6" s="1185"/>
      <c r="TUK6" s="1185"/>
      <c r="TUL6" s="1185"/>
      <c r="TUM6" s="1185"/>
      <c r="TUN6" s="1185"/>
      <c r="TUO6" s="1185"/>
      <c r="TUP6" s="1185"/>
      <c r="TUQ6" s="1185"/>
      <c r="TUR6" s="1185"/>
      <c r="TUS6" s="1185"/>
      <c r="TUT6" s="1185"/>
      <c r="TUU6" s="1185"/>
      <c r="TUV6" s="1185"/>
      <c r="TUW6" s="1185"/>
      <c r="TUX6" s="1185"/>
      <c r="TUY6" s="1185"/>
      <c r="TUZ6" s="1185"/>
      <c r="TVA6" s="1185"/>
      <c r="TVB6" s="1185"/>
      <c r="TVC6" s="1185"/>
      <c r="TVD6" s="1185"/>
      <c r="TVE6" s="1185"/>
      <c r="TVF6" s="1185"/>
      <c r="TVG6" s="1185"/>
      <c r="TVH6" s="1185"/>
      <c r="TVI6" s="1185"/>
      <c r="TVJ6" s="1185"/>
      <c r="TVK6" s="1185"/>
      <c r="TVL6" s="1185"/>
      <c r="TVM6" s="1185"/>
      <c r="TVN6" s="1185"/>
      <c r="TVO6" s="1185"/>
      <c r="TVP6" s="1185"/>
      <c r="TVQ6" s="1185"/>
      <c r="TVR6" s="1185"/>
      <c r="TVS6" s="1185"/>
      <c r="TVT6" s="1185"/>
      <c r="TVU6" s="1185"/>
      <c r="TVV6" s="1185"/>
      <c r="TVW6" s="1185"/>
      <c r="TVX6" s="1185"/>
      <c r="TVY6" s="1185"/>
      <c r="TVZ6" s="1185"/>
      <c r="TWA6" s="1185"/>
      <c r="TWB6" s="1185"/>
      <c r="TWC6" s="1185"/>
      <c r="TWD6" s="1185"/>
      <c r="TWE6" s="1185"/>
      <c r="TWF6" s="1185"/>
      <c r="TWG6" s="1185"/>
      <c r="TWH6" s="1185"/>
      <c r="TWI6" s="1185"/>
      <c r="TWJ6" s="1185"/>
      <c r="TWK6" s="1185"/>
      <c r="TWL6" s="1185"/>
      <c r="TWM6" s="1185"/>
      <c r="TWN6" s="1185"/>
      <c r="TWO6" s="1185"/>
      <c r="TWP6" s="1185"/>
      <c r="TWQ6" s="1185"/>
      <c r="TWR6" s="1185"/>
      <c r="TWS6" s="1185"/>
      <c r="TWT6" s="1185"/>
      <c r="TWU6" s="1185"/>
      <c r="TWV6" s="1185"/>
      <c r="TWW6" s="1185"/>
      <c r="TWX6" s="1185"/>
      <c r="TWY6" s="1185"/>
      <c r="TWZ6" s="1185"/>
      <c r="TXA6" s="1185"/>
      <c r="TXB6" s="1185"/>
      <c r="TXC6" s="1185"/>
      <c r="TXD6" s="1185"/>
      <c r="TXE6" s="1185"/>
      <c r="TXF6" s="1185"/>
      <c r="TXG6" s="1185"/>
      <c r="TXH6" s="1185"/>
      <c r="TXI6" s="1185"/>
      <c r="TXJ6" s="1185"/>
      <c r="TXK6" s="1185"/>
      <c r="TXL6" s="1185"/>
      <c r="TXM6" s="1185"/>
      <c r="TXN6" s="1185"/>
      <c r="TXO6" s="1185"/>
      <c r="TXP6" s="1185"/>
      <c r="TXQ6" s="1185"/>
      <c r="TXR6" s="1185"/>
      <c r="TXS6" s="1185"/>
      <c r="TXT6" s="1185"/>
      <c r="TXU6" s="1185"/>
      <c r="TXV6" s="1185"/>
      <c r="TXW6" s="1185"/>
      <c r="TXX6" s="1185"/>
      <c r="TXY6" s="1185"/>
      <c r="TXZ6" s="1185"/>
      <c r="TYA6" s="1185"/>
      <c r="TYB6" s="1185"/>
      <c r="TYC6" s="1185"/>
      <c r="TYD6" s="1185"/>
      <c r="TYE6" s="1185"/>
      <c r="TYF6" s="1185"/>
      <c r="TYG6" s="1185"/>
      <c r="TYH6" s="1185"/>
      <c r="TYI6" s="1185"/>
      <c r="TYJ6" s="1185"/>
      <c r="TYK6" s="1185"/>
      <c r="TYL6" s="1185"/>
      <c r="TYM6" s="1185"/>
      <c r="TYN6" s="1185"/>
      <c r="TYO6" s="1185"/>
      <c r="TYP6" s="1185"/>
      <c r="TYQ6" s="1185"/>
      <c r="TYR6" s="1185"/>
      <c r="TYS6" s="1185"/>
      <c r="TYT6" s="1185"/>
      <c r="TYU6" s="1185"/>
      <c r="TYV6" s="1185"/>
      <c r="TYW6" s="1185"/>
      <c r="TYX6" s="1185"/>
      <c r="TYY6" s="1185"/>
      <c r="TYZ6" s="1185"/>
      <c r="TZA6" s="1185"/>
      <c r="TZB6" s="1185"/>
      <c r="TZC6" s="1185"/>
      <c r="TZD6" s="1185"/>
      <c r="TZE6" s="1185"/>
      <c r="TZF6" s="1185"/>
      <c r="TZG6" s="1185"/>
      <c r="TZH6" s="1185"/>
      <c r="TZI6" s="1185"/>
      <c r="TZJ6" s="1185"/>
      <c r="TZK6" s="1185"/>
      <c r="TZL6" s="1185"/>
      <c r="TZM6" s="1185"/>
      <c r="TZN6" s="1185"/>
      <c r="TZO6" s="1185"/>
      <c r="TZP6" s="1185"/>
      <c r="TZQ6" s="1185"/>
      <c r="TZR6" s="1185"/>
      <c r="TZS6" s="1185"/>
      <c r="TZT6" s="1185"/>
      <c r="TZU6" s="1185"/>
      <c r="TZV6" s="1185"/>
      <c r="TZW6" s="1185"/>
      <c r="TZX6" s="1185"/>
      <c r="TZY6" s="1185"/>
      <c r="TZZ6" s="1185"/>
      <c r="UAA6" s="1185"/>
      <c r="UAB6" s="1185"/>
      <c r="UAC6" s="1185"/>
      <c r="UAD6" s="1185"/>
      <c r="UAE6" s="1185"/>
      <c r="UAF6" s="1185"/>
      <c r="UAG6" s="1185"/>
      <c r="UAH6" s="1185"/>
      <c r="UAI6" s="1185"/>
      <c r="UAJ6" s="1185"/>
      <c r="UAK6" s="1185"/>
      <c r="UAL6" s="1185"/>
      <c r="UAM6" s="1185"/>
      <c r="UAN6" s="1185"/>
      <c r="UAO6" s="1185"/>
      <c r="UAP6" s="1185"/>
      <c r="UAQ6" s="1185"/>
      <c r="UAR6" s="1185"/>
      <c r="UAS6" s="1185"/>
      <c r="UAT6" s="1185"/>
      <c r="UAU6" s="1185"/>
      <c r="UAV6" s="1185"/>
      <c r="UAW6" s="1185"/>
      <c r="UAX6" s="1185"/>
      <c r="UAY6" s="1185"/>
      <c r="UAZ6" s="1185"/>
      <c r="UBA6" s="1185"/>
      <c r="UBB6" s="1185"/>
      <c r="UBC6" s="1185"/>
      <c r="UBD6" s="1185"/>
      <c r="UBE6" s="1185"/>
      <c r="UBF6" s="1185"/>
      <c r="UBG6" s="1185"/>
      <c r="UBH6" s="1185"/>
      <c r="UBI6" s="1185"/>
      <c r="UBJ6" s="1185"/>
      <c r="UBK6" s="1185"/>
      <c r="UBL6" s="1185"/>
      <c r="UBM6" s="1185"/>
      <c r="UBN6" s="1185"/>
      <c r="UBO6" s="1185"/>
      <c r="UBP6" s="1185"/>
      <c r="UBQ6" s="1185"/>
      <c r="UBR6" s="1185"/>
      <c r="UBS6" s="1185"/>
      <c r="UBT6" s="1185"/>
      <c r="UBU6" s="1185"/>
      <c r="UBV6" s="1185"/>
      <c r="UBW6" s="1185"/>
      <c r="UBX6" s="1185"/>
      <c r="UBY6" s="1185"/>
      <c r="UBZ6" s="1185"/>
      <c r="UCA6" s="1185"/>
      <c r="UCB6" s="1185"/>
      <c r="UCC6" s="1185"/>
      <c r="UCD6" s="1185"/>
      <c r="UCE6" s="1185"/>
      <c r="UCF6" s="1185"/>
      <c r="UCG6" s="1185"/>
      <c r="UCH6" s="1185"/>
      <c r="UCI6" s="1185"/>
      <c r="UCJ6" s="1185"/>
      <c r="UCK6" s="1185"/>
      <c r="UCL6" s="1185"/>
      <c r="UCM6" s="1185"/>
      <c r="UCN6" s="1185"/>
      <c r="UCO6" s="1185"/>
      <c r="UCP6" s="1185"/>
      <c r="UCQ6" s="1185"/>
      <c r="UCR6" s="1185"/>
      <c r="UCS6" s="1185"/>
      <c r="UCT6" s="1185"/>
      <c r="UCU6" s="1185"/>
      <c r="UCV6" s="1185"/>
      <c r="UCW6" s="1185"/>
      <c r="UCX6" s="1185"/>
      <c r="UCY6" s="1185"/>
      <c r="UCZ6" s="1185"/>
      <c r="UDA6" s="1185"/>
      <c r="UDB6" s="1185"/>
      <c r="UDC6" s="1185"/>
      <c r="UDD6" s="1185"/>
      <c r="UDE6" s="1185"/>
      <c r="UDF6" s="1185"/>
      <c r="UDG6" s="1185"/>
      <c r="UDH6" s="1185"/>
      <c r="UDI6" s="1185"/>
      <c r="UDJ6" s="1185"/>
      <c r="UDK6" s="1185"/>
      <c r="UDL6" s="1185"/>
      <c r="UDM6" s="1185"/>
      <c r="UDN6" s="1185"/>
      <c r="UDO6" s="1185"/>
      <c r="UDP6" s="1185"/>
      <c r="UDQ6" s="1185"/>
      <c r="UDR6" s="1185"/>
      <c r="UDS6" s="1185"/>
      <c r="UDT6" s="1185"/>
      <c r="UDU6" s="1185"/>
      <c r="UDV6" s="1185"/>
      <c r="UDW6" s="1185"/>
      <c r="UDX6" s="1185"/>
      <c r="UDY6" s="1185"/>
      <c r="UDZ6" s="1185"/>
      <c r="UEA6" s="1185"/>
      <c r="UEB6" s="1185"/>
      <c r="UEC6" s="1185"/>
      <c r="UED6" s="1185"/>
      <c r="UEE6" s="1185"/>
      <c r="UEF6" s="1185"/>
      <c r="UEG6" s="1185"/>
      <c r="UEH6" s="1185"/>
      <c r="UEI6" s="1185"/>
      <c r="UEJ6" s="1185"/>
      <c r="UEK6" s="1185"/>
      <c r="UEL6" s="1185"/>
      <c r="UEM6" s="1185"/>
      <c r="UEN6" s="1185"/>
      <c r="UEO6" s="1185"/>
      <c r="UEP6" s="1185"/>
      <c r="UEQ6" s="1185"/>
      <c r="UER6" s="1185"/>
      <c r="UES6" s="1185"/>
      <c r="UET6" s="1185"/>
      <c r="UEU6" s="1185"/>
      <c r="UEV6" s="1185"/>
      <c r="UEW6" s="1185"/>
      <c r="UEX6" s="1185"/>
      <c r="UEY6" s="1185"/>
      <c r="UEZ6" s="1185"/>
      <c r="UFA6" s="1185"/>
      <c r="UFB6" s="1185"/>
      <c r="UFC6" s="1185"/>
      <c r="UFD6" s="1185"/>
      <c r="UFE6" s="1185"/>
      <c r="UFF6" s="1185"/>
      <c r="UFG6" s="1185"/>
      <c r="UFH6" s="1185"/>
      <c r="UFI6" s="1185"/>
      <c r="UFJ6" s="1185"/>
      <c r="UFK6" s="1185"/>
      <c r="UFL6" s="1185"/>
      <c r="UFM6" s="1185"/>
      <c r="UFN6" s="1185"/>
      <c r="UFO6" s="1185"/>
      <c r="UFP6" s="1185"/>
      <c r="UFQ6" s="1185"/>
      <c r="UFR6" s="1185"/>
      <c r="UFS6" s="1185"/>
      <c r="UFT6" s="1185"/>
      <c r="UFU6" s="1185"/>
      <c r="UFV6" s="1185"/>
      <c r="UFW6" s="1185"/>
      <c r="UFX6" s="1185"/>
      <c r="UFY6" s="1185"/>
      <c r="UFZ6" s="1185"/>
      <c r="UGA6" s="1185"/>
      <c r="UGB6" s="1185"/>
      <c r="UGC6" s="1185"/>
      <c r="UGD6" s="1185"/>
      <c r="UGE6" s="1185"/>
      <c r="UGF6" s="1185"/>
      <c r="UGG6" s="1185"/>
      <c r="UGH6" s="1185"/>
      <c r="UGI6" s="1185"/>
      <c r="UGJ6" s="1185"/>
      <c r="UGK6" s="1185"/>
      <c r="UGL6" s="1185"/>
      <c r="UGM6" s="1185"/>
      <c r="UGN6" s="1185"/>
      <c r="UGO6" s="1185"/>
      <c r="UGP6" s="1185"/>
      <c r="UGQ6" s="1185"/>
      <c r="UGR6" s="1185"/>
      <c r="UGS6" s="1185"/>
      <c r="UGT6" s="1185"/>
      <c r="UGU6" s="1185"/>
      <c r="UGV6" s="1185"/>
      <c r="UGW6" s="1185"/>
      <c r="UGX6" s="1185"/>
      <c r="UGY6" s="1185"/>
      <c r="UGZ6" s="1185"/>
      <c r="UHA6" s="1185"/>
      <c r="UHB6" s="1185"/>
      <c r="UHC6" s="1185"/>
      <c r="UHD6" s="1185"/>
      <c r="UHE6" s="1185"/>
      <c r="UHF6" s="1185"/>
      <c r="UHG6" s="1185"/>
      <c r="UHH6" s="1185"/>
      <c r="UHI6" s="1185"/>
      <c r="UHJ6" s="1185"/>
      <c r="UHK6" s="1185"/>
      <c r="UHL6" s="1185"/>
      <c r="UHM6" s="1185"/>
      <c r="UHN6" s="1185"/>
      <c r="UHO6" s="1185"/>
      <c r="UHP6" s="1185"/>
      <c r="UHQ6" s="1185"/>
      <c r="UHR6" s="1185"/>
      <c r="UHS6" s="1185"/>
      <c r="UHT6" s="1185"/>
      <c r="UHU6" s="1185"/>
      <c r="UHV6" s="1185"/>
      <c r="UHW6" s="1185"/>
      <c r="UHX6" s="1185"/>
      <c r="UHY6" s="1185"/>
      <c r="UHZ6" s="1185"/>
      <c r="UIA6" s="1185"/>
      <c r="UIB6" s="1185"/>
      <c r="UIC6" s="1185"/>
      <c r="UID6" s="1185"/>
      <c r="UIE6" s="1185"/>
      <c r="UIF6" s="1185"/>
      <c r="UIG6" s="1185"/>
      <c r="UIH6" s="1185"/>
      <c r="UII6" s="1185"/>
      <c r="UIJ6" s="1185"/>
      <c r="UIK6" s="1185"/>
      <c r="UIL6" s="1185"/>
      <c r="UIM6" s="1185"/>
      <c r="UIN6" s="1185"/>
      <c r="UIO6" s="1185"/>
      <c r="UIP6" s="1185"/>
      <c r="UIQ6" s="1185"/>
      <c r="UIR6" s="1185"/>
      <c r="UIS6" s="1185"/>
      <c r="UIT6" s="1185"/>
      <c r="UIU6" s="1185"/>
      <c r="UIV6" s="1185"/>
      <c r="UIW6" s="1185"/>
      <c r="UIX6" s="1185"/>
      <c r="UIY6" s="1185"/>
      <c r="UIZ6" s="1185"/>
      <c r="UJA6" s="1185"/>
      <c r="UJB6" s="1185"/>
      <c r="UJC6" s="1185"/>
      <c r="UJD6" s="1185"/>
      <c r="UJE6" s="1185"/>
      <c r="UJF6" s="1185"/>
      <c r="UJG6" s="1185"/>
      <c r="UJH6" s="1185"/>
      <c r="UJI6" s="1185"/>
      <c r="UJJ6" s="1185"/>
      <c r="UJK6" s="1185"/>
      <c r="UJL6" s="1185"/>
      <c r="UJM6" s="1185"/>
      <c r="UJN6" s="1185"/>
      <c r="UJO6" s="1185"/>
      <c r="UJP6" s="1185"/>
      <c r="UJQ6" s="1185"/>
      <c r="UJR6" s="1185"/>
      <c r="UJS6" s="1185"/>
      <c r="UJT6" s="1185"/>
      <c r="UJU6" s="1185"/>
      <c r="UJV6" s="1185"/>
      <c r="UJW6" s="1185"/>
      <c r="UJX6" s="1185"/>
      <c r="UJY6" s="1185"/>
      <c r="UJZ6" s="1185"/>
      <c r="UKA6" s="1185"/>
      <c r="UKB6" s="1185"/>
      <c r="UKC6" s="1185"/>
      <c r="UKD6" s="1185"/>
      <c r="UKE6" s="1185"/>
      <c r="UKF6" s="1185"/>
      <c r="UKG6" s="1185"/>
      <c r="UKH6" s="1185"/>
      <c r="UKI6" s="1185"/>
      <c r="UKJ6" s="1185"/>
      <c r="UKK6" s="1185"/>
      <c r="UKL6" s="1185"/>
      <c r="UKM6" s="1185"/>
      <c r="UKN6" s="1185"/>
      <c r="UKO6" s="1185"/>
      <c r="UKP6" s="1185"/>
      <c r="UKQ6" s="1185"/>
      <c r="UKR6" s="1185"/>
      <c r="UKS6" s="1185"/>
      <c r="UKT6" s="1185"/>
      <c r="UKU6" s="1185"/>
      <c r="UKV6" s="1185"/>
      <c r="UKW6" s="1185"/>
      <c r="UKX6" s="1185"/>
      <c r="UKY6" s="1185"/>
      <c r="UKZ6" s="1185"/>
      <c r="ULA6" s="1185"/>
      <c r="ULB6" s="1185"/>
      <c r="ULC6" s="1185"/>
      <c r="ULD6" s="1185"/>
      <c r="ULE6" s="1185"/>
      <c r="ULF6" s="1185"/>
      <c r="ULG6" s="1185"/>
      <c r="ULH6" s="1185"/>
      <c r="ULI6" s="1185"/>
      <c r="ULJ6" s="1185"/>
      <c r="ULK6" s="1185"/>
      <c r="ULL6" s="1185"/>
      <c r="ULM6" s="1185"/>
      <c r="ULN6" s="1185"/>
      <c r="ULO6" s="1185"/>
      <c r="ULP6" s="1185"/>
      <c r="ULQ6" s="1185"/>
      <c r="ULR6" s="1185"/>
      <c r="ULS6" s="1185"/>
      <c r="ULT6" s="1185"/>
      <c r="ULU6" s="1185"/>
      <c r="ULV6" s="1185"/>
      <c r="ULW6" s="1185"/>
      <c r="ULX6" s="1185"/>
      <c r="ULY6" s="1185"/>
      <c r="ULZ6" s="1185"/>
      <c r="UMA6" s="1185"/>
      <c r="UMB6" s="1185"/>
      <c r="UMC6" s="1185"/>
      <c r="UMD6" s="1185"/>
      <c r="UME6" s="1185"/>
      <c r="UMF6" s="1185"/>
      <c r="UMG6" s="1185"/>
      <c r="UMH6" s="1185"/>
      <c r="UMI6" s="1185"/>
      <c r="UMJ6" s="1185"/>
      <c r="UMK6" s="1185"/>
      <c r="UML6" s="1185"/>
      <c r="UMM6" s="1185"/>
      <c r="UMN6" s="1185"/>
      <c r="UMO6" s="1185"/>
      <c r="UMP6" s="1185"/>
      <c r="UMQ6" s="1185"/>
      <c r="UMR6" s="1185"/>
      <c r="UMS6" s="1185"/>
      <c r="UMT6" s="1185"/>
      <c r="UMU6" s="1185"/>
      <c r="UMV6" s="1185"/>
      <c r="UMW6" s="1185"/>
      <c r="UMX6" s="1185"/>
      <c r="UMY6" s="1185"/>
      <c r="UMZ6" s="1185"/>
      <c r="UNA6" s="1185"/>
      <c r="UNB6" s="1185"/>
      <c r="UNC6" s="1185"/>
      <c r="UND6" s="1185"/>
      <c r="UNE6" s="1185"/>
      <c r="UNF6" s="1185"/>
      <c r="UNG6" s="1185"/>
      <c r="UNH6" s="1185"/>
      <c r="UNI6" s="1185"/>
      <c r="UNJ6" s="1185"/>
      <c r="UNK6" s="1185"/>
      <c r="UNL6" s="1185"/>
      <c r="UNM6" s="1185"/>
      <c r="UNN6" s="1185"/>
      <c r="UNO6" s="1185"/>
      <c r="UNP6" s="1185"/>
      <c r="UNQ6" s="1185"/>
      <c r="UNR6" s="1185"/>
      <c r="UNS6" s="1185"/>
      <c r="UNT6" s="1185"/>
      <c r="UNU6" s="1185"/>
      <c r="UNV6" s="1185"/>
      <c r="UNW6" s="1185"/>
      <c r="UNX6" s="1185"/>
      <c r="UNY6" s="1185"/>
      <c r="UNZ6" s="1185"/>
      <c r="UOA6" s="1185"/>
      <c r="UOB6" s="1185"/>
      <c r="UOC6" s="1185"/>
      <c r="UOD6" s="1185"/>
      <c r="UOE6" s="1185"/>
      <c r="UOF6" s="1185"/>
      <c r="UOG6" s="1185"/>
      <c r="UOH6" s="1185"/>
      <c r="UOI6" s="1185"/>
      <c r="UOJ6" s="1185"/>
      <c r="UOK6" s="1185"/>
      <c r="UOL6" s="1185"/>
      <c r="UOM6" s="1185"/>
      <c r="UON6" s="1185"/>
      <c r="UOO6" s="1185"/>
      <c r="UOP6" s="1185"/>
      <c r="UOQ6" s="1185"/>
      <c r="UOR6" s="1185"/>
      <c r="UOS6" s="1185"/>
      <c r="UOT6" s="1185"/>
      <c r="UOU6" s="1185"/>
      <c r="UOV6" s="1185"/>
      <c r="UOW6" s="1185"/>
      <c r="UOX6" s="1185"/>
      <c r="UOY6" s="1185"/>
      <c r="UOZ6" s="1185"/>
      <c r="UPA6" s="1185"/>
      <c r="UPB6" s="1185"/>
      <c r="UPC6" s="1185"/>
      <c r="UPD6" s="1185"/>
      <c r="UPE6" s="1185"/>
      <c r="UPF6" s="1185"/>
      <c r="UPG6" s="1185"/>
      <c r="UPH6" s="1185"/>
      <c r="UPI6" s="1185"/>
      <c r="UPJ6" s="1185"/>
      <c r="UPK6" s="1185"/>
      <c r="UPL6" s="1185"/>
      <c r="UPM6" s="1185"/>
      <c r="UPN6" s="1185"/>
      <c r="UPO6" s="1185"/>
      <c r="UPP6" s="1185"/>
      <c r="UPQ6" s="1185"/>
      <c r="UPR6" s="1185"/>
      <c r="UPS6" s="1185"/>
      <c r="UPT6" s="1185"/>
      <c r="UPU6" s="1185"/>
      <c r="UPV6" s="1185"/>
      <c r="UPW6" s="1185"/>
      <c r="UPX6" s="1185"/>
      <c r="UPY6" s="1185"/>
      <c r="UPZ6" s="1185"/>
      <c r="UQA6" s="1185"/>
      <c r="UQB6" s="1185"/>
      <c r="UQC6" s="1185"/>
      <c r="UQD6" s="1185"/>
      <c r="UQE6" s="1185"/>
      <c r="UQF6" s="1185"/>
      <c r="UQG6" s="1185"/>
      <c r="UQH6" s="1185"/>
      <c r="UQI6" s="1185"/>
      <c r="UQJ6" s="1185"/>
      <c r="UQK6" s="1185"/>
      <c r="UQL6" s="1185"/>
      <c r="UQM6" s="1185"/>
      <c r="UQN6" s="1185"/>
      <c r="UQO6" s="1185"/>
      <c r="UQP6" s="1185"/>
      <c r="UQQ6" s="1185"/>
      <c r="UQR6" s="1185"/>
      <c r="UQS6" s="1185"/>
      <c r="UQT6" s="1185"/>
      <c r="UQU6" s="1185"/>
      <c r="UQV6" s="1185"/>
      <c r="UQW6" s="1185"/>
      <c r="UQX6" s="1185"/>
      <c r="UQY6" s="1185"/>
      <c r="UQZ6" s="1185"/>
      <c r="URA6" s="1185"/>
      <c r="URB6" s="1185"/>
      <c r="URC6" s="1185"/>
      <c r="URD6" s="1185"/>
      <c r="URE6" s="1185"/>
      <c r="URF6" s="1185"/>
      <c r="URG6" s="1185"/>
      <c r="URH6" s="1185"/>
      <c r="URI6" s="1185"/>
      <c r="URJ6" s="1185"/>
      <c r="URK6" s="1185"/>
      <c r="URL6" s="1185"/>
      <c r="URM6" s="1185"/>
      <c r="URN6" s="1185"/>
      <c r="URO6" s="1185"/>
      <c r="URP6" s="1185"/>
      <c r="URQ6" s="1185"/>
      <c r="URR6" s="1185"/>
      <c r="URS6" s="1185"/>
      <c r="URT6" s="1185"/>
      <c r="URU6" s="1185"/>
      <c r="URV6" s="1185"/>
      <c r="URW6" s="1185"/>
      <c r="URX6" s="1185"/>
      <c r="URY6" s="1185"/>
      <c r="URZ6" s="1185"/>
      <c r="USA6" s="1185"/>
      <c r="USB6" s="1185"/>
      <c r="USC6" s="1185"/>
      <c r="USD6" s="1185"/>
      <c r="USE6" s="1185"/>
      <c r="USF6" s="1185"/>
      <c r="USG6" s="1185"/>
      <c r="USH6" s="1185"/>
      <c r="USI6" s="1185"/>
      <c r="USJ6" s="1185"/>
      <c r="USK6" s="1185"/>
      <c r="USL6" s="1185"/>
      <c r="USM6" s="1185"/>
      <c r="USN6" s="1185"/>
      <c r="USO6" s="1185"/>
      <c r="USP6" s="1185"/>
      <c r="USQ6" s="1185"/>
      <c r="USR6" s="1185"/>
      <c r="USS6" s="1185"/>
      <c r="UST6" s="1185"/>
      <c r="USU6" s="1185"/>
      <c r="USV6" s="1185"/>
      <c r="USW6" s="1185"/>
      <c r="USX6" s="1185"/>
      <c r="USY6" s="1185"/>
      <c r="USZ6" s="1185"/>
      <c r="UTA6" s="1185"/>
      <c r="UTB6" s="1185"/>
      <c r="UTC6" s="1185"/>
      <c r="UTD6" s="1185"/>
      <c r="UTE6" s="1185"/>
      <c r="UTF6" s="1185"/>
      <c r="UTG6" s="1185"/>
      <c r="UTH6" s="1185"/>
      <c r="UTI6" s="1185"/>
      <c r="UTJ6" s="1185"/>
      <c r="UTK6" s="1185"/>
      <c r="UTL6" s="1185"/>
      <c r="UTM6" s="1185"/>
      <c r="UTN6" s="1185"/>
      <c r="UTO6" s="1185"/>
      <c r="UTP6" s="1185"/>
      <c r="UTQ6" s="1185"/>
      <c r="UTR6" s="1185"/>
      <c r="UTS6" s="1185"/>
      <c r="UTT6" s="1185"/>
      <c r="UTU6" s="1185"/>
      <c r="UTV6" s="1185"/>
      <c r="UTW6" s="1185"/>
      <c r="UTX6" s="1185"/>
      <c r="UTY6" s="1185"/>
      <c r="UTZ6" s="1185"/>
      <c r="UUA6" s="1185"/>
      <c r="UUB6" s="1185"/>
      <c r="UUC6" s="1185"/>
      <c r="UUD6" s="1185"/>
      <c r="UUE6" s="1185"/>
      <c r="UUF6" s="1185"/>
      <c r="UUG6" s="1185"/>
      <c r="UUH6" s="1185"/>
      <c r="UUI6" s="1185"/>
      <c r="UUJ6" s="1185"/>
      <c r="UUK6" s="1185"/>
      <c r="UUL6" s="1185"/>
      <c r="UUM6" s="1185"/>
      <c r="UUN6" s="1185"/>
      <c r="UUO6" s="1185"/>
      <c r="UUP6" s="1185"/>
      <c r="UUQ6" s="1185"/>
      <c r="UUR6" s="1185"/>
      <c r="UUS6" s="1185"/>
      <c r="UUT6" s="1185"/>
      <c r="UUU6" s="1185"/>
      <c r="UUV6" s="1185"/>
      <c r="UUW6" s="1185"/>
      <c r="UUX6" s="1185"/>
      <c r="UUY6" s="1185"/>
      <c r="UUZ6" s="1185"/>
      <c r="UVA6" s="1185"/>
      <c r="UVB6" s="1185"/>
      <c r="UVC6" s="1185"/>
      <c r="UVD6" s="1185"/>
      <c r="UVE6" s="1185"/>
      <c r="UVF6" s="1185"/>
      <c r="UVG6" s="1185"/>
      <c r="UVH6" s="1185"/>
      <c r="UVI6" s="1185"/>
      <c r="UVJ6" s="1185"/>
      <c r="UVK6" s="1185"/>
      <c r="UVL6" s="1185"/>
      <c r="UVM6" s="1185"/>
      <c r="UVN6" s="1185"/>
      <c r="UVO6" s="1185"/>
      <c r="UVP6" s="1185"/>
      <c r="UVQ6" s="1185"/>
      <c r="UVR6" s="1185"/>
      <c r="UVS6" s="1185"/>
      <c r="UVT6" s="1185"/>
      <c r="UVU6" s="1185"/>
      <c r="UVV6" s="1185"/>
      <c r="UVW6" s="1185"/>
      <c r="UVX6" s="1185"/>
      <c r="UVY6" s="1185"/>
      <c r="UVZ6" s="1185"/>
      <c r="UWA6" s="1185"/>
      <c r="UWB6" s="1185"/>
      <c r="UWC6" s="1185"/>
      <c r="UWD6" s="1185"/>
      <c r="UWE6" s="1185"/>
      <c r="UWF6" s="1185"/>
      <c r="UWG6" s="1185"/>
      <c r="UWH6" s="1185"/>
      <c r="UWI6" s="1185"/>
      <c r="UWJ6" s="1185"/>
      <c r="UWK6" s="1185"/>
      <c r="UWL6" s="1185"/>
      <c r="UWM6" s="1185"/>
      <c r="UWN6" s="1185"/>
      <c r="UWO6" s="1185"/>
      <c r="UWP6" s="1185"/>
      <c r="UWQ6" s="1185"/>
      <c r="UWR6" s="1185"/>
      <c r="UWS6" s="1185"/>
      <c r="UWT6" s="1185"/>
      <c r="UWU6" s="1185"/>
      <c r="UWV6" s="1185"/>
      <c r="UWW6" s="1185"/>
      <c r="UWX6" s="1185"/>
      <c r="UWY6" s="1185"/>
      <c r="UWZ6" s="1185"/>
      <c r="UXA6" s="1185"/>
      <c r="UXB6" s="1185"/>
      <c r="UXC6" s="1185"/>
      <c r="UXD6" s="1185"/>
      <c r="UXE6" s="1185"/>
      <c r="UXF6" s="1185"/>
      <c r="UXG6" s="1185"/>
      <c r="UXH6" s="1185"/>
      <c r="UXI6" s="1185"/>
      <c r="UXJ6" s="1185"/>
      <c r="UXK6" s="1185"/>
      <c r="UXL6" s="1185"/>
      <c r="UXM6" s="1185"/>
      <c r="UXN6" s="1185"/>
      <c r="UXO6" s="1185"/>
      <c r="UXP6" s="1185"/>
      <c r="UXQ6" s="1185"/>
      <c r="UXR6" s="1185"/>
      <c r="UXS6" s="1185"/>
      <c r="UXT6" s="1185"/>
      <c r="UXU6" s="1185"/>
      <c r="UXV6" s="1185"/>
      <c r="UXW6" s="1185"/>
      <c r="UXX6" s="1185"/>
      <c r="UXY6" s="1185"/>
      <c r="UXZ6" s="1185"/>
      <c r="UYA6" s="1185"/>
      <c r="UYB6" s="1185"/>
      <c r="UYC6" s="1185"/>
      <c r="UYD6" s="1185"/>
      <c r="UYE6" s="1185"/>
      <c r="UYF6" s="1185"/>
      <c r="UYG6" s="1185"/>
      <c r="UYH6" s="1185"/>
      <c r="UYI6" s="1185"/>
      <c r="UYJ6" s="1185"/>
      <c r="UYK6" s="1185"/>
      <c r="UYL6" s="1185"/>
      <c r="UYM6" s="1185"/>
      <c r="UYN6" s="1185"/>
      <c r="UYO6" s="1185"/>
      <c r="UYP6" s="1185"/>
      <c r="UYQ6" s="1185"/>
      <c r="UYR6" s="1185"/>
      <c r="UYS6" s="1185"/>
      <c r="UYT6" s="1185"/>
      <c r="UYU6" s="1185"/>
      <c r="UYV6" s="1185"/>
      <c r="UYW6" s="1185"/>
      <c r="UYX6" s="1185"/>
      <c r="UYY6" s="1185"/>
      <c r="UYZ6" s="1185"/>
      <c r="UZA6" s="1185"/>
      <c r="UZB6" s="1185"/>
      <c r="UZC6" s="1185"/>
      <c r="UZD6" s="1185"/>
      <c r="UZE6" s="1185"/>
      <c r="UZF6" s="1185"/>
      <c r="UZG6" s="1185"/>
      <c r="UZH6" s="1185"/>
      <c r="UZI6" s="1185"/>
      <c r="UZJ6" s="1185"/>
      <c r="UZK6" s="1185"/>
      <c r="UZL6" s="1185"/>
      <c r="UZM6" s="1185"/>
      <c r="UZN6" s="1185"/>
      <c r="UZO6" s="1185"/>
      <c r="UZP6" s="1185"/>
      <c r="UZQ6" s="1185"/>
      <c r="UZR6" s="1185"/>
      <c r="UZS6" s="1185"/>
      <c r="UZT6" s="1185"/>
      <c r="UZU6" s="1185"/>
      <c r="UZV6" s="1185"/>
      <c r="UZW6" s="1185"/>
      <c r="UZX6" s="1185"/>
      <c r="UZY6" s="1185"/>
      <c r="UZZ6" s="1185"/>
      <c r="VAA6" s="1185"/>
      <c r="VAB6" s="1185"/>
      <c r="VAC6" s="1185"/>
      <c r="VAD6" s="1185"/>
      <c r="VAE6" s="1185"/>
      <c r="VAF6" s="1185"/>
      <c r="VAG6" s="1185"/>
      <c r="VAH6" s="1185"/>
      <c r="VAI6" s="1185"/>
      <c r="VAJ6" s="1185"/>
      <c r="VAK6" s="1185"/>
      <c r="VAL6" s="1185"/>
      <c r="VAM6" s="1185"/>
      <c r="VAN6" s="1185"/>
      <c r="VAO6" s="1185"/>
      <c r="VAP6" s="1185"/>
      <c r="VAQ6" s="1185"/>
      <c r="VAR6" s="1185"/>
      <c r="VAS6" s="1185"/>
      <c r="VAT6" s="1185"/>
      <c r="VAU6" s="1185"/>
      <c r="VAV6" s="1185"/>
      <c r="VAW6" s="1185"/>
      <c r="VAX6" s="1185"/>
      <c r="VAY6" s="1185"/>
      <c r="VAZ6" s="1185"/>
      <c r="VBA6" s="1185"/>
      <c r="VBB6" s="1185"/>
      <c r="VBC6" s="1185"/>
      <c r="VBD6" s="1185"/>
      <c r="VBE6" s="1185"/>
      <c r="VBF6" s="1185"/>
      <c r="VBG6" s="1185"/>
      <c r="VBH6" s="1185"/>
      <c r="VBI6" s="1185"/>
      <c r="VBJ6" s="1185"/>
      <c r="VBK6" s="1185"/>
      <c r="VBL6" s="1185"/>
      <c r="VBM6" s="1185"/>
      <c r="VBN6" s="1185"/>
      <c r="VBO6" s="1185"/>
      <c r="VBP6" s="1185"/>
      <c r="VBQ6" s="1185"/>
      <c r="VBR6" s="1185"/>
      <c r="VBS6" s="1185"/>
      <c r="VBT6" s="1185"/>
      <c r="VBU6" s="1185"/>
      <c r="VBV6" s="1185"/>
      <c r="VBW6" s="1185"/>
      <c r="VBX6" s="1185"/>
      <c r="VBY6" s="1185"/>
      <c r="VBZ6" s="1185"/>
      <c r="VCA6" s="1185"/>
      <c r="VCB6" s="1185"/>
      <c r="VCC6" s="1185"/>
      <c r="VCD6" s="1185"/>
      <c r="VCE6" s="1185"/>
      <c r="VCF6" s="1185"/>
      <c r="VCG6" s="1185"/>
      <c r="VCH6" s="1185"/>
      <c r="VCI6" s="1185"/>
      <c r="VCJ6" s="1185"/>
      <c r="VCK6" s="1185"/>
      <c r="VCL6" s="1185"/>
      <c r="VCM6" s="1185"/>
      <c r="VCN6" s="1185"/>
      <c r="VCO6" s="1185"/>
      <c r="VCP6" s="1185"/>
      <c r="VCQ6" s="1185"/>
      <c r="VCR6" s="1185"/>
      <c r="VCS6" s="1185"/>
      <c r="VCT6" s="1185"/>
      <c r="VCU6" s="1185"/>
      <c r="VCV6" s="1185"/>
      <c r="VCW6" s="1185"/>
      <c r="VCX6" s="1185"/>
      <c r="VCY6" s="1185"/>
      <c r="VCZ6" s="1185"/>
      <c r="VDA6" s="1185"/>
      <c r="VDB6" s="1185"/>
      <c r="VDC6" s="1185"/>
      <c r="VDD6" s="1185"/>
      <c r="VDE6" s="1185"/>
      <c r="VDF6" s="1185"/>
      <c r="VDG6" s="1185"/>
      <c r="VDH6" s="1185"/>
      <c r="VDI6" s="1185"/>
      <c r="VDJ6" s="1185"/>
      <c r="VDK6" s="1185"/>
      <c r="VDL6" s="1185"/>
      <c r="VDM6" s="1185"/>
      <c r="VDN6" s="1185"/>
      <c r="VDO6" s="1185"/>
      <c r="VDP6" s="1185"/>
      <c r="VDQ6" s="1185"/>
      <c r="VDR6" s="1185"/>
      <c r="VDS6" s="1185"/>
      <c r="VDT6" s="1185"/>
      <c r="VDU6" s="1185"/>
      <c r="VDV6" s="1185"/>
      <c r="VDW6" s="1185"/>
      <c r="VDX6" s="1185"/>
      <c r="VDY6" s="1185"/>
      <c r="VDZ6" s="1185"/>
      <c r="VEA6" s="1185"/>
      <c r="VEB6" s="1185"/>
      <c r="VEC6" s="1185"/>
      <c r="VED6" s="1185"/>
      <c r="VEE6" s="1185"/>
      <c r="VEF6" s="1185"/>
      <c r="VEG6" s="1185"/>
      <c r="VEH6" s="1185"/>
      <c r="VEI6" s="1185"/>
      <c r="VEJ6" s="1185"/>
      <c r="VEK6" s="1185"/>
      <c r="VEL6" s="1185"/>
      <c r="VEM6" s="1185"/>
      <c r="VEN6" s="1185"/>
      <c r="VEO6" s="1185"/>
      <c r="VEP6" s="1185"/>
      <c r="VEQ6" s="1185"/>
      <c r="VER6" s="1185"/>
      <c r="VES6" s="1185"/>
      <c r="VET6" s="1185"/>
      <c r="VEU6" s="1185"/>
      <c r="VEV6" s="1185"/>
      <c r="VEW6" s="1185"/>
      <c r="VEX6" s="1185"/>
      <c r="VEY6" s="1185"/>
      <c r="VEZ6" s="1185"/>
      <c r="VFA6" s="1185"/>
      <c r="VFB6" s="1185"/>
      <c r="VFC6" s="1185"/>
      <c r="VFD6" s="1185"/>
      <c r="VFE6" s="1185"/>
      <c r="VFF6" s="1185"/>
      <c r="VFG6" s="1185"/>
      <c r="VFH6" s="1185"/>
      <c r="VFI6" s="1185"/>
      <c r="VFJ6" s="1185"/>
      <c r="VFK6" s="1185"/>
      <c r="VFL6" s="1185"/>
      <c r="VFM6" s="1185"/>
      <c r="VFN6" s="1185"/>
      <c r="VFO6" s="1185"/>
      <c r="VFP6" s="1185"/>
      <c r="VFQ6" s="1185"/>
      <c r="VFR6" s="1185"/>
      <c r="VFS6" s="1185"/>
      <c r="VFT6" s="1185"/>
      <c r="VFU6" s="1185"/>
      <c r="VFV6" s="1185"/>
      <c r="VFW6" s="1185"/>
      <c r="VFX6" s="1185"/>
      <c r="VFY6" s="1185"/>
      <c r="VFZ6" s="1185"/>
      <c r="VGA6" s="1185"/>
      <c r="VGB6" s="1185"/>
      <c r="VGC6" s="1185"/>
      <c r="VGD6" s="1185"/>
      <c r="VGE6" s="1185"/>
      <c r="VGF6" s="1185"/>
      <c r="VGG6" s="1185"/>
      <c r="VGH6" s="1185"/>
      <c r="VGI6" s="1185"/>
      <c r="VGJ6" s="1185"/>
      <c r="VGK6" s="1185"/>
      <c r="VGL6" s="1185"/>
      <c r="VGM6" s="1185"/>
      <c r="VGN6" s="1185"/>
      <c r="VGO6" s="1185"/>
      <c r="VGP6" s="1185"/>
      <c r="VGQ6" s="1185"/>
      <c r="VGR6" s="1185"/>
      <c r="VGS6" s="1185"/>
      <c r="VGT6" s="1185"/>
      <c r="VGU6" s="1185"/>
      <c r="VGV6" s="1185"/>
      <c r="VGW6" s="1185"/>
      <c r="VGX6" s="1185"/>
      <c r="VGY6" s="1185"/>
      <c r="VGZ6" s="1185"/>
      <c r="VHA6" s="1185"/>
      <c r="VHB6" s="1185"/>
      <c r="VHC6" s="1185"/>
      <c r="VHD6" s="1185"/>
      <c r="VHE6" s="1185"/>
      <c r="VHF6" s="1185"/>
      <c r="VHG6" s="1185"/>
      <c r="VHH6" s="1185"/>
      <c r="VHI6" s="1185"/>
      <c r="VHJ6" s="1185"/>
      <c r="VHK6" s="1185"/>
      <c r="VHL6" s="1185"/>
      <c r="VHM6" s="1185"/>
      <c r="VHN6" s="1185"/>
      <c r="VHO6" s="1185"/>
      <c r="VHP6" s="1185"/>
      <c r="VHQ6" s="1185"/>
      <c r="VHR6" s="1185"/>
      <c r="VHS6" s="1185"/>
      <c r="VHT6" s="1185"/>
      <c r="VHU6" s="1185"/>
      <c r="VHV6" s="1185"/>
      <c r="VHW6" s="1185"/>
      <c r="VHX6" s="1185"/>
      <c r="VHY6" s="1185"/>
      <c r="VHZ6" s="1185"/>
      <c r="VIA6" s="1185"/>
      <c r="VIB6" s="1185"/>
      <c r="VIC6" s="1185"/>
      <c r="VID6" s="1185"/>
      <c r="VIE6" s="1185"/>
      <c r="VIF6" s="1185"/>
      <c r="VIG6" s="1185"/>
      <c r="VIH6" s="1185"/>
      <c r="VII6" s="1185"/>
      <c r="VIJ6" s="1185"/>
      <c r="VIK6" s="1185"/>
      <c r="VIL6" s="1185"/>
      <c r="VIM6" s="1185"/>
      <c r="VIN6" s="1185"/>
      <c r="VIO6" s="1185"/>
      <c r="VIP6" s="1185"/>
      <c r="VIQ6" s="1185"/>
      <c r="VIR6" s="1185"/>
      <c r="VIS6" s="1185"/>
      <c r="VIT6" s="1185"/>
      <c r="VIU6" s="1185"/>
      <c r="VIV6" s="1185"/>
      <c r="VIW6" s="1185"/>
      <c r="VIX6" s="1185"/>
      <c r="VIY6" s="1185"/>
      <c r="VIZ6" s="1185"/>
      <c r="VJA6" s="1185"/>
      <c r="VJB6" s="1185"/>
      <c r="VJC6" s="1185"/>
      <c r="VJD6" s="1185"/>
      <c r="VJE6" s="1185"/>
      <c r="VJF6" s="1185"/>
      <c r="VJG6" s="1185"/>
      <c r="VJH6" s="1185"/>
      <c r="VJI6" s="1185"/>
      <c r="VJJ6" s="1185"/>
      <c r="VJK6" s="1185"/>
      <c r="VJL6" s="1185"/>
      <c r="VJM6" s="1185"/>
      <c r="VJN6" s="1185"/>
      <c r="VJO6" s="1185"/>
      <c r="VJP6" s="1185"/>
      <c r="VJQ6" s="1185"/>
      <c r="VJR6" s="1185"/>
      <c r="VJS6" s="1185"/>
      <c r="VJT6" s="1185"/>
      <c r="VJU6" s="1185"/>
      <c r="VJV6" s="1185"/>
      <c r="VJW6" s="1185"/>
      <c r="VJX6" s="1185"/>
      <c r="VJY6" s="1185"/>
      <c r="VJZ6" s="1185"/>
      <c r="VKA6" s="1185"/>
      <c r="VKB6" s="1185"/>
      <c r="VKC6" s="1185"/>
      <c r="VKD6" s="1185"/>
      <c r="VKE6" s="1185"/>
      <c r="VKF6" s="1185"/>
      <c r="VKG6" s="1185"/>
      <c r="VKH6" s="1185"/>
      <c r="VKI6" s="1185"/>
      <c r="VKJ6" s="1185"/>
      <c r="VKK6" s="1185"/>
      <c r="VKL6" s="1185"/>
      <c r="VKM6" s="1185"/>
      <c r="VKN6" s="1185"/>
      <c r="VKO6" s="1185"/>
      <c r="VKP6" s="1185"/>
      <c r="VKQ6" s="1185"/>
      <c r="VKR6" s="1185"/>
      <c r="VKS6" s="1185"/>
      <c r="VKT6" s="1185"/>
      <c r="VKU6" s="1185"/>
      <c r="VKV6" s="1185"/>
      <c r="VKW6" s="1185"/>
      <c r="VKX6" s="1185"/>
      <c r="VKY6" s="1185"/>
      <c r="VKZ6" s="1185"/>
      <c r="VLA6" s="1185"/>
      <c r="VLB6" s="1185"/>
      <c r="VLC6" s="1185"/>
      <c r="VLD6" s="1185"/>
      <c r="VLE6" s="1185"/>
      <c r="VLF6" s="1185"/>
      <c r="VLG6" s="1185"/>
      <c r="VLH6" s="1185"/>
      <c r="VLI6" s="1185"/>
      <c r="VLJ6" s="1185"/>
      <c r="VLK6" s="1185"/>
      <c r="VLL6" s="1185"/>
      <c r="VLM6" s="1185"/>
      <c r="VLN6" s="1185"/>
      <c r="VLO6" s="1185"/>
      <c r="VLP6" s="1185"/>
      <c r="VLQ6" s="1185"/>
      <c r="VLR6" s="1185"/>
      <c r="VLS6" s="1185"/>
      <c r="VLT6" s="1185"/>
      <c r="VLU6" s="1185"/>
      <c r="VLV6" s="1185"/>
      <c r="VLW6" s="1185"/>
      <c r="VLX6" s="1185"/>
      <c r="VLY6" s="1185"/>
      <c r="VLZ6" s="1185"/>
      <c r="VMA6" s="1185"/>
      <c r="VMB6" s="1185"/>
      <c r="VMC6" s="1185"/>
      <c r="VMD6" s="1185"/>
      <c r="VME6" s="1185"/>
      <c r="VMF6" s="1185"/>
      <c r="VMG6" s="1185"/>
      <c r="VMH6" s="1185"/>
      <c r="VMI6" s="1185"/>
      <c r="VMJ6" s="1185"/>
      <c r="VMK6" s="1185"/>
      <c r="VML6" s="1185"/>
      <c r="VMM6" s="1185"/>
      <c r="VMN6" s="1185"/>
      <c r="VMO6" s="1185"/>
      <c r="VMP6" s="1185"/>
      <c r="VMQ6" s="1185"/>
      <c r="VMR6" s="1185"/>
      <c r="VMS6" s="1185"/>
      <c r="VMT6" s="1185"/>
      <c r="VMU6" s="1185"/>
      <c r="VMV6" s="1185"/>
      <c r="VMW6" s="1185"/>
      <c r="VMX6" s="1185"/>
      <c r="VMY6" s="1185"/>
      <c r="VMZ6" s="1185"/>
      <c r="VNA6" s="1185"/>
      <c r="VNB6" s="1185"/>
      <c r="VNC6" s="1185"/>
      <c r="VND6" s="1185"/>
      <c r="VNE6" s="1185"/>
      <c r="VNF6" s="1185"/>
      <c r="VNG6" s="1185"/>
      <c r="VNH6" s="1185"/>
      <c r="VNI6" s="1185"/>
      <c r="VNJ6" s="1185"/>
      <c r="VNK6" s="1185"/>
      <c r="VNL6" s="1185"/>
      <c r="VNM6" s="1185"/>
      <c r="VNN6" s="1185"/>
      <c r="VNO6" s="1185"/>
      <c r="VNP6" s="1185"/>
      <c r="VNQ6" s="1185"/>
      <c r="VNR6" s="1185"/>
      <c r="VNS6" s="1185"/>
      <c r="VNT6" s="1185"/>
      <c r="VNU6" s="1185"/>
      <c r="VNV6" s="1185"/>
      <c r="VNW6" s="1185"/>
      <c r="VNX6" s="1185"/>
      <c r="VNY6" s="1185"/>
      <c r="VNZ6" s="1185"/>
      <c r="VOA6" s="1185"/>
      <c r="VOB6" s="1185"/>
      <c r="VOC6" s="1185"/>
      <c r="VOD6" s="1185"/>
      <c r="VOE6" s="1185"/>
      <c r="VOF6" s="1185"/>
      <c r="VOG6" s="1185"/>
      <c r="VOH6" s="1185"/>
      <c r="VOI6" s="1185"/>
      <c r="VOJ6" s="1185"/>
      <c r="VOK6" s="1185"/>
      <c r="VOL6" s="1185"/>
      <c r="VOM6" s="1185"/>
      <c r="VON6" s="1185"/>
      <c r="VOO6" s="1185"/>
      <c r="VOP6" s="1185"/>
      <c r="VOQ6" s="1185"/>
      <c r="VOR6" s="1185"/>
      <c r="VOS6" s="1185"/>
      <c r="VOT6" s="1185"/>
      <c r="VOU6" s="1185"/>
      <c r="VOV6" s="1185"/>
      <c r="VOW6" s="1185"/>
      <c r="VOX6" s="1185"/>
      <c r="VOY6" s="1185"/>
      <c r="VOZ6" s="1185"/>
      <c r="VPA6" s="1185"/>
      <c r="VPB6" s="1185"/>
      <c r="VPC6" s="1185"/>
      <c r="VPD6" s="1185"/>
      <c r="VPE6" s="1185"/>
      <c r="VPF6" s="1185"/>
      <c r="VPG6" s="1185"/>
      <c r="VPH6" s="1185"/>
      <c r="VPI6" s="1185"/>
      <c r="VPJ6" s="1185"/>
      <c r="VPK6" s="1185"/>
      <c r="VPL6" s="1185"/>
      <c r="VPM6" s="1185"/>
      <c r="VPN6" s="1185"/>
      <c r="VPO6" s="1185"/>
      <c r="VPP6" s="1185"/>
      <c r="VPQ6" s="1185"/>
      <c r="VPR6" s="1185"/>
      <c r="VPS6" s="1185"/>
      <c r="VPT6" s="1185"/>
      <c r="VPU6" s="1185"/>
      <c r="VPV6" s="1185"/>
      <c r="VPW6" s="1185"/>
      <c r="VPX6" s="1185"/>
      <c r="VPY6" s="1185"/>
      <c r="VPZ6" s="1185"/>
      <c r="VQA6" s="1185"/>
      <c r="VQB6" s="1185"/>
      <c r="VQC6" s="1185"/>
      <c r="VQD6" s="1185"/>
      <c r="VQE6" s="1185"/>
      <c r="VQF6" s="1185"/>
      <c r="VQG6" s="1185"/>
      <c r="VQH6" s="1185"/>
      <c r="VQI6" s="1185"/>
      <c r="VQJ6" s="1185"/>
      <c r="VQK6" s="1185"/>
      <c r="VQL6" s="1185"/>
      <c r="VQM6" s="1185"/>
      <c r="VQN6" s="1185"/>
      <c r="VQO6" s="1185"/>
      <c r="VQP6" s="1185"/>
      <c r="VQQ6" s="1185"/>
      <c r="VQR6" s="1185"/>
      <c r="VQS6" s="1185"/>
      <c r="VQT6" s="1185"/>
      <c r="VQU6" s="1185"/>
      <c r="VQV6" s="1185"/>
      <c r="VQW6" s="1185"/>
      <c r="VQX6" s="1185"/>
      <c r="VQY6" s="1185"/>
      <c r="VQZ6" s="1185"/>
      <c r="VRA6" s="1185"/>
      <c r="VRB6" s="1185"/>
      <c r="VRC6" s="1185"/>
      <c r="VRD6" s="1185"/>
      <c r="VRE6" s="1185"/>
      <c r="VRF6" s="1185"/>
      <c r="VRG6" s="1185"/>
      <c r="VRH6" s="1185"/>
      <c r="VRI6" s="1185"/>
      <c r="VRJ6" s="1185"/>
      <c r="VRK6" s="1185"/>
      <c r="VRL6" s="1185"/>
      <c r="VRM6" s="1185"/>
      <c r="VRN6" s="1185"/>
      <c r="VRO6" s="1185"/>
      <c r="VRP6" s="1185"/>
      <c r="VRQ6" s="1185"/>
      <c r="VRR6" s="1185"/>
      <c r="VRS6" s="1185"/>
      <c r="VRT6" s="1185"/>
      <c r="VRU6" s="1185"/>
      <c r="VRV6" s="1185"/>
      <c r="VRW6" s="1185"/>
      <c r="VRX6" s="1185"/>
      <c r="VRY6" s="1185"/>
      <c r="VRZ6" s="1185"/>
      <c r="VSA6" s="1185"/>
      <c r="VSB6" s="1185"/>
      <c r="VSC6" s="1185"/>
      <c r="VSD6" s="1185"/>
      <c r="VSE6" s="1185"/>
      <c r="VSF6" s="1185"/>
      <c r="VSG6" s="1185"/>
      <c r="VSH6" s="1185"/>
      <c r="VSI6" s="1185"/>
      <c r="VSJ6" s="1185"/>
      <c r="VSK6" s="1185"/>
      <c r="VSL6" s="1185"/>
      <c r="VSM6" s="1185"/>
      <c r="VSN6" s="1185"/>
      <c r="VSO6" s="1185"/>
      <c r="VSP6" s="1185"/>
      <c r="VSQ6" s="1185"/>
      <c r="VSR6" s="1185"/>
      <c r="VSS6" s="1185"/>
      <c r="VST6" s="1185"/>
      <c r="VSU6" s="1185"/>
      <c r="VSV6" s="1185"/>
      <c r="VSW6" s="1185"/>
      <c r="VSX6" s="1185"/>
      <c r="VSY6" s="1185"/>
      <c r="VSZ6" s="1185"/>
      <c r="VTA6" s="1185"/>
      <c r="VTB6" s="1185"/>
      <c r="VTC6" s="1185"/>
      <c r="VTD6" s="1185"/>
      <c r="VTE6" s="1185"/>
      <c r="VTF6" s="1185"/>
      <c r="VTG6" s="1185"/>
      <c r="VTH6" s="1185"/>
      <c r="VTI6" s="1185"/>
      <c r="VTJ6" s="1185"/>
      <c r="VTK6" s="1185"/>
      <c r="VTL6" s="1185"/>
      <c r="VTM6" s="1185"/>
      <c r="VTN6" s="1185"/>
      <c r="VTO6" s="1185"/>
      <c r="VTP6" s="1185"/>
      <c r="VTQ6" s="1185"/>
      <c r="VTR6" s="1185"/>
      <c r="VTS6" s="1185"/>
      <c r="VTT6" s="1185"/>
      <c r="VTU6" s="1185"/>
      <c r="VTV6" s="1185"/>
      <c r="VTW6" s="1185"/>
      <c r="VTX6" s="1185"/>
      <c r="VTY6" s="1185"/>
      <c r="VTZ6" s="1185"/>
      <c r="VUA6" s="1185"/>
      <c r="VUB6" s="1185"/>
      <c r="VUC6" s="1185"/>
      <c r="VUD6" s="1185"/>
      <c r="VUE6" s="1185"/>
      <c r="VUF6" s="1185"/>
      <c r="VUG6" s="1185"/>
      <c r="VUH6" s="1185"/>
      <c r="VUI6" s="1185"/>
      <c r="VUJ6" s="1185"/>
      <c r="VUK6" s="1185"/>
      <c r="VUL6" s="1185"/>
      <c r="VUM6" s="1185"/>
      <c r="VUN6" s="1185"/>
      <c r="VUO6" s="1185"/>
      <c r="VUP6" s="1185"/>
      <c r="VUQ6" s="1185"/>
      <c r="VUR6" s="1185"/>
      <c r="VUS6" s="1185"/>
      <c r="VUT6" s="1185"/>
      <c r="VUU6" s="1185"/>
      <c r="VUV6" s="1185"/>
      <c r="VUW6" s="1185"/>
      <c r="VUX6" s="1185"/>
      <c r="VUY6" s="1185"/>
      <c r="VUZ6" s="1185"/>
      <c r="VVA6" s="1185"/>
      <c r="VVB6" s="1185"/>
      <c r="VVC6" s="1185"/>
      <c r="VVD6" s="1185"/>
      <c r="VVE6" s="1185"/>
      <c r="VVF6" s="1185"/>
      <c r="VVG6" s="1185"/>
      <c r="VVH6" s="1185"/>
      <c r="VVI6" s="1185"/>
      <c r="VVJ6" s="1185"/>
      <c r="VVK6" s="1185"/>
      <c r="VVL6" s="1185"/>
      <c r="VVM6" s="1185"/>
      <c r="VVN6" s="1185"/>
      <c r="VVO6" s="1185"/>
      <c r="VVP6" s="1185"/>
      <c r="VVQ6" s="1185"/>
      <c r="VVR6" s="1185"/>
      <c r="VVS6" s="1185"/>
      <c r="VVT6" s="1185"/>
      <c r="VVU6" s="1185"/>
      <c r="VVV6" s="1185"/>
      <c r="VVW6" s="1185"/>
      <c r="VVX6" s="1185"/>
      <c r="VVY6" s="1185"/>
      <c r="VVZ6" s="1185"/>
      <c r="VWA6" s="1185"/>
      <c r="VWB6" s="1185"/>
      <c r="VWC6" s="1185"/>
      <c r="VWD6" s="1185"/>
      <c r="VWE6" s="1185"/>
      <c r="VWF6" s="1185"/>
      <c r="VWG6" s="1185"/>
      <c r="VWH6" s="1185"/>
      <c r="VWI6" s="1185"/>
      <c r="VWJ6" s="1185"/>
      <c r="VWK6" s="1185"/>
      <c r="VWL6" s="1185"/>
      <c r="VWM6" s="1185"/>
      <c r="VWN6" s="1185"/>
      <c r="VWO6" s="1185"/>
      <c r="VWP6" s="1185"/>
      <c r="VWQ6" s="1185"/>
      <c r="VWR6" s="1185"/>
      <c r="VWS6" s="1185"/>
      <c r="VWT6" s="1185"/>
      <c r="VWU6" s="1185"/>
      <c r="VWV6" s="1185"/>
      <c r="VWW6" s="1185"/>
      <c r="VWX6" s="1185"/>
      <c r="VWY6" s="1185"/>
      <c r="VWZ6" s="1185"/>
      <c r="VXA6" s="1185"/>
      <c r="VXB6" s="1185"/>
      <c r="VXC6" s="1185"/>
      <c r="VXD6" s="1185"/>
      <c r="VXE6" s="1185"/>
      <c r="VXF6" s="1185"/>
      <c r="VXG6" s="1185"/>
      <c r="VXH6" s="1185"/>
      <c r="VXI6" s="1185"/>
      <c r="VXJ6" s="1185"/>
      <c r="VXK6" s="1185"/>
      <c r="VXL6" s="1185"/>
      <c r="VXM6" s="1185"/>
      <c r="VXN6" s="1185"/>
      <c r="VXO6" s="1185"/>
      <c r="VXP6" s="1185"/>
      <c r="VXQ6" s="1185"/>
      <c r="VXR6" s="1185"/>
      <c r="VXS6" s="1185"/>
      <c r="VXT6" s="1185"/>
      <c r="VXU6" s="1185"/>
      <c r="VXV6" s="1185"/>
      <c r="VXW6" s="1185"/>
      <c r="VXX6" s="1185"/>
      <c r="VXY6" s="1185"/>
      <c r="VXZ6" s="1185"/>
      <c r="VYA6" s="1185"/>
      <c r="VYB6" s="1185"/>
      <c r="VYC6" s="1185"/>
      <c r="VYD6" s="1185"/>
      <c r="VYE6" s="1185"/>
      <c r="VYF6" s="1185"/>
      <c r="VYG6" s="1185"/>
      <c r="VYH6" s="1185"/>
      <c r="VYI6" s="1185"/>
      <c r="VYJ6" s="1185"/>
      <c r="VYK6" s="1185"/>
      <c r="VYL6" s="1185"/>
      <c r="VYM6" s="1185"/>
      <c r="VYN6" s="1185"/>
      <c r="VYO6" s="1185"/>
      <c r="VYP6" s="1185"/>
      <c r="VYQ6" s="1185"/>
      <c r="VYR6" s="1185"/>
      <c r="VYS6" s="1185"/>
      <c r="VYT6" s="1185"/>
      <c r="VYU6" s="1185"/>
      <c r="VYV6" s="1185"/>
      <c r="VYW6" s="1185"/>
      <c r="VYX6" s="1185"/>
      <c r="VYY6" s="1185"/>
      <c r="VYZ6" s="1185"/>
      <c r="VZA6" s="1185"/>
      <c r="VZB6" s="1185"/>
      <c r="VZC6" s="1185"/>
      <c r="VZD6" s="1185"/>
      <c r="VZE6" s="1185"/>
      <c r="VZF6" s="1185"/>
      <c r="VZG6" s="1185"/>
      <c r="VZH6" s="1185"/>
      <c r="VZI6" s="1185"/>
      <c r="VZJ6" s="1185"/>
      <c r="VZK6" s="1185"/>
      <c r="VZL6" s="1185"/>
      <c r="VZM6" s="1185"/>
      <c r="VZN6" s="1185"/>
      <c r="VZO6" s="1185"/>
      <c r="VZP6" s="1185"/>
      <c r="VZQ6" s="1185"/>
      <c r="VZR6" s="1185"/>
      <c r="VZS6" s="1185"/>
      <c r="VZT6" s="1185"/>
      <c r="VZU6" s="1185"/>
      <c r="VZV6" s="1185"/>
      <c r="VZW6" s="1185"/>
      <c r="VZX6" s="1185"/>
      <c r="VZY6" s="1185"/>
      <c r="VZZ6" s="1185"/>
      <c r="WAA6" s="1185"/>
      <c r="WAB6" s="1185"/>
      <c r="WAC6" s="1185"/>
      <c r="WAD6" s="1185"/>
      <c r="WAE6" s="1185"/>
      <c r="WAF6" s="1185"/>
      <c r="WAG6" s="1185"/>
      <c r="WAH6" s="1185"/>
      <c r="WAI6" s="1185"/>
      <c r="WAJ6" s="1185"/>
      <c r="WAK6" s="1185"/>
      <c r="WAL6" s="1185"/>
      <c r="WAM6" s="1185"/>
      <c r="WAN6" s="1185"/>
      <c r="WAO6" s="1185"/>
      <c r="WAP6" s="1185"/>
      <c r="WAQ6" s="1185"/>
      <c r="WAR6" s="1185"/>
      <c r="WAS6" s="1185"/>
      <c r="WAT6" s="1185"/>
      <c r="WAU6" s="1185"/>
      <c r="WAV6" s="1185"/>
      <c r="WAW6" s="1185"/>
      <c r="WAX6" s="1185"/>
      <c r="WAY6" s="1185"/>
      <c r="WAZ6" s="1185"/>
      <c r="WBA6" s="1185"/>
      <c r="WBB6" s="1185"/>
      <c r="WBC6" s="1185"/>
      <c r="WBD6" s="1185"/>
      <c r="WBE6" s="1185"/>
      <c r="WBF6" s="1185"/>
      <c r="WBG6" s="1185"/>
      <c r="WBH6" s="1185"/>
      <c r="WBI6" s="1185"/>
      <c r="WBJ6" s="1185"/>
      <c r="WBK6" s="1185"/>
      <c r="WBL6" s="1185"/>
      <c r="WBM6" s="1185"/>
      <c r="WBN6" s="1185"/>
      <c r="WBO6" s="1185"/>
      <c r="WBP6" s="1185"/>
      <c r="WBQ6" s="1185"/>
      <c r="WBR6" s="1185"/>
      <c r="WBS6" s="1185"/>
      <c r="WBT6" s="1185"/>
      <c r="WBU6" s="1185"/>
      <c r="WBV6" s="1185"/>
      <c r="WBW6" s="1185"/>
      <c r="WBX6" s="1185"/>
      <c r="WBY6" s="1185"/>
      <c r="WBZ6" s="1185"/>
      <c r="WCA6" s="1185"/>
      <c r="WCB6" s="1185"/>
      <c r="WCC6" s="1185"/>
      <c r="WCD6" s="1185"/>
      <c r="WCE6" s="1185"/>
      <c r="WCF6" s="1185"/>
      <c r="WCG6" s="1185"/>
      <c r="WCH6" s="1185"/>
      <c r="WCI6" s="1185"/>
      <c r="WCJ6" s="1185"/>
      <c r="WCK6" s="1185"/>
      <c r="WCL6" s="1185"/>
      <c r="WCM6" s="1185"/>
      <c r="WCN6" s="1185"/>
      <c r="WCO6" s="1185"/>
      <c r="WCP6" s="1185"/>
      <c r="WCQ6" s="1185"/>
      <c r="WCR6" s="1185"/>
      <c r="WCS6" s="1185"/>
      <c r="WCT6" s="1185"/>
      <c r="WCU6" s="1185"/>
      <c r="WCV6" s="1185"/>
      <c r="WCW6" s="1185"/>
      <c r="WCX6" s="1185"/>
      <c r="WCY6" s="1185"/>
      <c r="WCZ6" s="1185"/>
      <c r="WDA6" s="1185"/>
      <c r="WDB6" s="1185"/>
      <c r="WDC6" s="1185"/>
      <c r="WDD6" s="1185"/>
      <c r="WDE6" s="1185"/>
      <c r="WDF6" s="1185"/>
      <c r="WDG6" s="1185"/>
      <c r="WDH6" s="1185"/>
      <c r="WDI6" s="1185"/>
      <c r="WDJ6" s="1185"/>
      <c r="WDK6" s="1185"/>
      <c r="WDL6" s="1185"/>
      <c r="WDM6" s="1185"/>
      <c r="WDN6" s="1185"/>
      <c r="WDO6" s="1185"/>
      <c r="WDP6" s="1185"/>
      <c r="WDQ6" s="1185"/>
      <c r="WDR6" s="1185"/>
      <c r="WDS6" s="1185"/>
      <c r="WDT6" s="1185"/>
      <c r="WDU6" s="1185"/>
      <c r="WDV6" s="1185"/>
      <c r="WDW6" s="1185"/>
      <c r="WDX6" s="1185"/>
      <c r="WDY6" s="1185"/>
      <c r="WDZ6" s="1185"/>
      <c r="WEA6" s="1185"/>
      <c r="WEB6" s="1185"/>
      <c r="WEC6" s="1185"/>
      <c r="WED6" s="1185"/>
      <c r="WEE6" s="1185"/>
      <c r="WEF6" s="1185"/>
      <c r="WEG6" s="1185"/>
      <c r="WEH6" s="1185"/>
      <c r="WEI6" s="1185"/>
      <c r="WEJ6" s="1185"/>
      <c r="WEK6" s="1185"/>
      <c r="WEL6" s="1185"/>
      <c r="WEM6" s="1185"/>
      <c r="WEN6" s="1185"/>
      <c r="WEO6" s="1185"/>
      <c r="WEP6" s="1185"/>
      <c r="WEQ6" s="1185"/>
      <c r="WER6" s="1185"/>
      <c r="WES6" s="1185"/>
      <c r="WET6" s="1185"/>
      <c r="WEU6" s="1185"/>
      <c r="WEV6" s="1185"/>
      <c r="WEW6" s="1185"/>
      <c r="WEX6" s="1185"/>
      <c r="WEY6" s="1185"/>
      <c r="WEZ6" s="1185"/>
      <c r="WFA6" s="1185"/>
      <c r="WFB6" s="1185"/>
      <c r="WFC6" s="1185"/>
      <c r="WFD6" s="1185"/>
      <c r="WFE6" s="1185"/>
      <c r="WFF6" s="1185"/>
      <c r="WFG6" s="1185"/>
      <c r="WFH6" s="1185"/>
      <c r="WFI6" s="1185"/>
      <c r="WFJ6" s="1185"/>
      <c r="WFK6" s="1185"/>
      <c r="WFL6" s="1185"/>
      <c r="WFM6" s="1185"/>
      <c r="WFN6" s="1185"/>
      <c r="WFO6" s="1185"/>
      <c r="WFP6" s="1185"/>
      <c r="WFQ6" s="1185"/>
      <c r="WFR6" s="1185"/>
      <c r="WFS6" s="1185"/>
      <c r="WFT6" s="1185"/>
      <c r="WFU6" s="1185"/>
      <c r="WFV6" s="1185"/>
      <c r="WFW6" s="1185"/>
      <c r="WFX6" s="1185"/>
      <c r="WFY6" s="1185"/>
      <c r="WFZ6" s="1185"/>
      <c r="WGA6" s="1185"/>
      <c r="WGB6" s="1185"/>
      <c r="WGC6" s="1185"/>
      <c r="WGD6" s="1185"/>
      <c r="WGE6" s="1185"/>
      <c r="WGF6" s="1185"/>
      <c r="WGG6" s="1185"/>
      <c r="WGH6" s="1185"/>
      <c r="WGI6" s="1185"/>
      <c r="WGJ6" s="1185"/>
      <c r="WGK6" s="1185"/>
      <c r="WGL6" s="1185"/>
      <c r="WGM6" s="1185"/>
      <c r="WGN6" s="1185"/>
      <c r="WGO6" s="1185"/>
      <c r="WGP6" s="1185"/>
      <c r="WGQ6" s="1185"/>
      <c r="WGR6" s="1185"/>
      <c r="WGS6" s="1185"/>
      <c r="WGT6" s="1185"/>
      <c r="WGU6" s="1185"/>
      <c r="WGV6" s="1185"/>
      <c r="WGW6" s="1185"/>
      <c r="WGX6" s="1185"/>
      <c r="WGY6" s="1185"/>
      <c r="WGZ6" s="1185"/>
      <c r="WHA6" s="1185"/>
      <c r="WHB6" s="1185"/>
      <c r="WHC6" s="1185"/>
      <c r="WHD6" s="1185"/>
      <c r="WHE6" s="1185"/>
      <c r="WHF6" s="1185"/>
      <c r="WHG6" s="1185"/>
      <c r="WHH6" s="1185"/>
      <c r="WHI6" s="1185"/>
      <c r="WHJ6" s="1185"/>
      <c r="WHK6" s="1185"/>
      <c r="WHL6" s="1185"/>
      <c r="WHM6" s="1185"/>
      <c r="WHN6" s="1185"/>
      <c r="WHO6" s="1185"/>
      <c r="WHP6" s="1185"/>
      <c r="WHQ6" s="1185"/>
      <c r="WHR6" s="1185"/>
      <c r="WHS6" s="1185"/>
      <c r="WHT6" s="1185"/>
      <c r="WHU6" s="1185"/>
      <c r="WHV6" s="1185"/>
      <c r="WHW6" s="1185"/>
      <c r="WHX6" s="1185"/>
      <c r="WHY6" s="1185"/>
      <c r="WHZ6" s="1185"/>
      <c r="WIA6" s="1185"/>
      <c r="WIB6" s="1185"/>
      <c r="WIC6" s="1185"/>
      <c r="WID6" s="1185"/>
      <c r="WIE6" s="1185"/>
      <c r="WIF6" s="1185"/>
      <c r="WIG6" s="1185"/>
      <c r="WIH6" s="1185"/>
      <c r="WII6" s="1185"/>
      <c r="WIJ6" s="1185"/>
      <c r="WIK6" s="1185"/>
      <c r="WIL6" s="1185"/>
      <c r="WIM6" s="1185"/>
      <c r="WIN6" s="1185"/>
      <c r="WIO6" s="1185"/>
      <c r="WIP6" s="1185"/>
      <c r="WIQ6" s="1185"/>
      <c r="WIR6" s="1185"/>
      <c r="WIS6" s="1185"/>
      <c r="WIT6" s="1185"/>
      <c r="WIU6" s="1185"/>
      <c r="WIV6" s="1185"/>
      <c r="WIW6" s="1185"/>
      <c r="WIX6" s="1185"/>
      <c r="WIY6" s="1185"/>
      <c r="WIZ6" s="1185"/>
      <c r="WJA6" s="1185"/>
      <c r="WJB6" s="1185"/>
      <c r="WJC6" s="1185"/>
      <c r="WJD6" s="1185"/>
      <c r="WJE6" s="1185"/>
      <c r="WJF6" s="1185"/>
      <c r="WJG6" s="1185"/>
      <c r="WJH6" s="1185"/>
      <c r="WJI6" s="1185"/>
      <c r="WJJ6" s="1185"/>
      <c r="WJK6" s="1185"/>
      <c r="WJL6" s="1185"/>
      <c r="WJM6" s="1185"/>
      <c r="WJN6" s="1185"/>
      <c r="WJO6" s="1185"/>
      <c r="WJP6" s="1185"/>
      <c r="WJQ6" s="1185"/>
      <c r="WJR6" s="1185"/>
      <c r="WJS6" s="1185"/>
      <c r="WJT6" s="1185"/>
      <c r="WJU6" s="1185"/>
      <c r="WJV6" s="1185"/>
      <c r="WJW6" s="1185"/>
      <c r="WJX6" s="1185"/>
      <c r="WJY6" s="1185"/>
      <c r="WJZ6" s="1185"/>
      <c r="WKA6" s="1185"/>
      <c r="WKB6" s="1185"/>
      <c r="WKC6" s="1185"/>
      <c r="WKD6" s="1185"/>
      <c r="WKE6" s="1185"/>
      <c r="WKF6" s="1185"/>
      <c r="WKG6" s="1185"/>
      <c r="WKH6" s="1185"/>
      <c r="WKI6" s="1185"/>
      <c r="WKJ6" s="1185"/>
      <c r="WKK6" s="1185"/>
      <c r="WKL6" s="1185"/>
      <c r="WKM6" s="1185"/>
      <c r="WKN6" s="1185"/>
      <c r="WKO6" s="1185"/>
      <c r="WKP6" s="1185"/>
      <c r="WKQ6" s="1185"/>
      <c r="WKR6" s="1185"/>
      <c r="WKS6" s="1185"/>
      <c r="WKT6" s="1185"/>
      <c r="WKU6" s="1185"/>
      <c r="WKV6" s="1185"/>
      <c r="WKW6" s="1185"/>
      <c r="WKX6" s="1185"/>
      <c r="WKY6" s="1185"/>
      <c r="WKZ6" s="1185"/>
      <c r="WLA6" s="1185"/>
      <c r="WLB6" s="1185"/>
      <c r="WLC6" s="1185"/>
      <c r="WLD6" s="1185"/>
      <c r="WLE6" s="1185"/>
      <c r="WLF6" s="1185"/>
      <c r="WLG6" s="1185"/>
      <c r="WLH6" s="1185"/>
      <c r="WLI6" s="1185"/>
      <c r="WLJ6" s="1185"/>
      <c r="WLK6" s="1185"/>
      <c r="WLL6" s="1185"/>
      <c r="WLM6" s="1185"/>
      <c r="WLN6" s="1185"/>
      <c r="WLO6" s="1185"/>
      <c r="WLP6" s="1185"/>
      <c r="WLQ6" s="1185"/>
      <c r="WLR6" s="1185"/>
      <c r="WLS6" s="1185"/>
      <c r="WLT6" s="1185"/>
      <c r="WLU6" s="1185"/>
      <c r="WLV6" s="1185"/>
      <c r="WLW6" s="1185"/>
      <c r="WLX6" s="1185"/>
      <c r="WLY6" s="1185"/>
      <c r="WLZ6" s="1185"/>
      <c r="WMA6" s="1185"/>
      <c r="WMB6" s="1185"/>
      <c r="WMC6" s="1185"/>
      <c r="WMD6" s="1185"/>
      <c r="WME6" s="1185"/>
      <c r="WMF6" s="1185"/>
      <c r="WMG6" s="1185"/>
      <c r="WMH6" s="1185"/>
      <c r="WMI6" s="1185"/>
      <c r="WMJ6" s="1185"/>
      <c r="WMK6" s="1185"/>
      <c r="WML6" s="1185"/>
      <c r="WMM6" s="1185"/>
      <c r="WMN6" s="1185"/>
      <c r="WMO6" s="1185"/>
      <c r="WMP6" s="1185"/>
      <c r="WMQ6" s="1185"/>
      <c r="WMR6" s="1185"/>
      <c r="WMS6" s="1185"/>
      <c r="WMT6" s="1185"/>
      <c r="WMU6" s="1185"/>
      <c r="WMV6" s="1185"/>
      <c r="WMW6" s="1185"/>
      <c r="WMX6" s="1185"/>
      <c r="WMY6" s="1185"/>
      <c r="WMZ6" s="1185"/>
      <c r="WNA6" s="1185"/>
      <c r="WNB6" s="1185"/>
      <c r="WNC6" s="1185"/>
      <c r="WND6" s="1185"/>
      <c r="WNE6" s="1185"/>
      <c r="WNF6" s="1185"/>
      <c r="WNG6" s="1185"/>
      <c r="WNH6" s="1185"/>
      <c r="WNI6" s="1185"/>
      <c r="WNJ6" s="1185"/>
      <c r="WNK6" s="1185"/>
      <c r="WNL6" s="1185"/>
      <c r="WNM6" s="1185"/>
      <c r="WNN6" s="1185"/>
      <c r="WNO6" s="1185"/>
      <c r="WNP6" s="1185"/>
      <c r="WNQ6" s="1185"/>
      <c r="WNR6" s="1185"/>
      <c r="WNS6" s="1185"/>
      <c r="WNT6" s="1185"/>
      <c r="WNU6" s="1185"/>
      <c r="WNV6" s="1185"/>
      <c r="WNW6" s="1185"/>
      <c r="WNX6" s="1185"/>
      <c r="WNY6" s="1185"/>
      <c r="WNZ6" s="1185"/>
      <c r="WOA6" s="1185"/>
      <c r="WOB6" s="1185"/>
      <c r="WOC6" s="1185"/>
      <c r="WOD6" s="1185"/>
      <c r="WOE6" s="1185"/>
      <c r="WOF6" s="1185"/>
      <c r="WOG6" s="1185"/>
      <c r="WOH6" s="1185"/>
      <c r="WOI6" s="1185"/>
      <c r="WOJ6" s="1185"/>
      <c r="WOK6" s="1185"/>
      <c r="WOL6" s="1185"/>
      <c r="WOM6" s="1185"/>
      <c r="WON6" s="1185"/>
      <c r="WOO6" s="1185"/>
      <c r="WOP6" s="1185"/>
      <c r="WOQ6" s="1185"/>
      <c r="WOR6" s="1185"/>
      <c r="WOS6" s="1185"/>
      <c r="WOT6" s="1185"/>
      <c r="WOU6" s="1185"/>
      <c r="WOV6" s="1185"/>
      <c r="WOW6" s="1185"/>
      <c r="WOX6" s="1185"/>
      <c r="WOY6" s="1185"/>
      <c r="WOZ6" s="1185"/>
      <c r="WPA6" s="1185"/>
      <c r="WPB6" s="1185"/>
      <c r="WPC6" s="1185"/>
      <c r="WPD6" s="1185"/>
      <c r="WPE6" s="1185"/>
      <c r="WPF6" s="1185"/>
      <c r="WPG6" s="1185"/>
      <c r="WPH6" s="1185"/>
      <c r="WPI6" s="1185"/>
      <c r="WPJ6" s="1185"/>
      <c r="WPK6" s="1185"/>
      <c r="WPL6" s="1185"/>
      <c r="WPM6" s="1185"/>
      <c r="WPN6" s="1185"/>
      <c r="WPO6" s="1185"/>
      <c r="WPP6" s="1185"/>
      <c r="WPQ6" s="1185"/>
      <c r="WPR6" s="1185"/>
      <c r="WPS6" s="1185"/>
      <c r="WPT6" s="1185"/>
      <c r="WPU6" s="1185"/>
      <c r="WPV6" s="1185"/>
      <c r="WPW6" s="1185"/>
      <c r="WPX6" s="1185"/>
      <c r="WPY6" s="1185"/>
      <c r="WPZ6" s="1185"/>
      <c r="WQA6" s="1185"/>
      <c r="WQB6" s="1185"/>
      <c r="WQC6" s="1185"/>
      <c r="WQD6" s="1185"/>
      <c r="WQE6" s="1185"/>
      <c r="WQF6" s="1185"/>
      <c r="WQG6" s="1185"/>
      <c r="WQH6" s="1185"/>
      <c r="WQI6" s="1185"/>
      <c r="WQJ6" s="1185"/>
      <c r="WQK6" s="1185"/>
      <c r="WQL6" s="1185"/>
      <c r="WQM6" s="1185"/>
      <c r="WQN6" s="1185"/>
      <c r="WQO6" s="1185"/>
      <c r="WQP6" s="1185"/>
      <c r="WQQ6" s="1185"/>
      <c r="WQR6" s="1185"/>
      <c r="WQS6" s="1185"/>
      <c r="WQT6" s="1185"/>
      <c r="WQU6" s="1185"/>
      <c r="WQV6" s="1185"/>
      <c r="WQW6" s="1185"/>
      <c r="WQX6" s="1185"/>
      <c r="WQY6" s="1185"/>
      <c r="WQZ6" s="1185"/>
      <c r="WRA6" s="1185"/>
      <c r="WRB6" s="1185"/>
      <c r="WRC6" s="1185"/>
      <c r="WRD6" s="1185"/>
      <c r="WRE6" s="1185"/>
      <c r="WRF6" s="1185"/>
      <c r="WRG6" s="1185"/>
      <c r="WRH6" s="1185"/>
      <c r="WRI6" s="1185"/>
      <c r="WRJ6" s="1185"/>
      <c r="WRK6" s="1185"/>
      <c r="WRL6" s="1185"/>
      <c r="WRM6" s="1185"/>
      <c r="WRN6" s="1185"/>
      <c r="WRO6" s="1185"/>
      <c r="WRP6" s="1185"/>
      <c r="WRQ6" s="1185"/>
      <c r="WRR6" s="1185"/>
      <c r="WRS6" s="1185"/>
      <c r="WRT6" s="1185"/>
      <c r="WRU6" s="1185"/>
      <c r="WRV6" s="1185"/>
      <c r="WRW6" s="1185"/>
      <c r="WRX6" s="1185"/>
      <c r="WRY6" s="1185"/>
      <c r="WRZ6" s="1185"/>
      <c r="WSA6" s="1185"/>
      <c r="WSB6" s="1185"/>
      <c r="WSC6" s="1185"/>
      <c r="WSD6" s="1185"/>
      <c r="WSE6" s="1185"/>
      <c r="WSF6" s="1185"/>
      <c r="WSG6" s="1185"/>
      <c r="WSH6" s="1185"/>
      <c r="WSI6" s="1185"/>
      <c r="WSJ6" s="1185"/>
      <c r="WSK6" s="1185"/>
      <c r="WSL6" s="1185"/>
      <c r="WSM6" s="1185"/>
      <c r="WSN6" s="1185"/>
      <c r="WSO6" s="1185"/>
      <c r="WSP6" s="1185"/>
      <c r="WSQ6" s="1185"/>
      <c r="WSR6" s="1185"/>
      <c r="WSS6" s="1185"/>
      <c r="WST6" s="1185"/>
      <c r="WSU6" s="1185"/>
      <c r="WSV6" s="1185"/>
      <c r="WSW6" s="1185"/>
      <c r="WSX6" s="1185"/>
      <c r="WSY6" s="1185"/>
      <c r="WSZ6" s="1185"/>
      <c r="WTA6" s="1185"/>
      <c r="WTB6" s="1185"/>
      <c r="WTC6" s="1185"/>
      <c r="WTD6" s="1185"/>
      <c r="WTE6" s="1185"/>
      <c r="WTF6" s="1185"/>
      <c r="WTG6" s="1185"/>
      <c r="WTH6" s="1185"/>
      <c r="WTI6" s="1185"/>
      <c r="WTJ6" s="1185"/>
      <c r="WTK6" s="1185"/>
      <c r="WTL6" s="1185"/>
      <c r="WTM6" s="1185"/>
      <c r="WTN6" s="1185"/>
      <c r="WTO6" s="1185"/>
      <c r="WTP6" s="1185"/>
      <c r="WTQ6" s="1185"/>
      <c r="WTR6" s="1185"/>
      <c r="WTS6" s="1185"/>
      <c r="WTT6" s="1185"/>
      <c r="WTU6" s="1185"/>
      <c r="WTV6" s="1185"/>
      <c r="WTW6" s="1185"/>
      <c r="WTX6" s="1185"/>
      <c r="WTY6" s="1185"/>
      <c r="WTZ6" s="1185"/>
      <c r="WUA6" s="1185"/>
      <c r="WUB6" s="1185"/>
      <c r="WUC6" s="1185"/>
      <c r="WUD6" s="1185"/>
      <c r="WUE6" s="1185"/>
      <c r="WUF6" s="1185"/>
      <c r="WUG6" s="1185"/>
      <c r="WUH6" s="1185"/>
      <c r="WUI6" s="1185"/>
      <c r="WUJ6" s="1185"/>
      <c r="WUK6" s="1185"/>
      <c r="WUL6" s="1185"/>
      <c r="WUM6" s="1185"/>
      <c r="WUN6" s="1185"/>
      <c r="WUO6" s="1185"/>
      <c r="WUP6" s="1185"/>
      <c r="WUQ6" s="1185"/>
      <c r="WUR6" s="1185"/>
      <c r="WUS6" s="1185"/>
      <c r="WUT6" s="1185"/>
      <c r="WUU6" s="1185"/>
      <c r="WUV6" s="1185"/>
      <c r="WUW6" s="1185"/>
      <c r="WUX6" s="1185"/>
      <c r="WUY6" s="1185"/>
      <c r="WUZ6" s="1185"/>
      <c r="WVA6" s="1185"/>
      <c r="WVB6" s="1185"/>
      <c r="WVC6" s="1185"/>
      <c r="WVD6" s="1185"/>
      <c r="WVE6" s="1185"/>
      <c r="WVF6" s="1185"/>
      <c r="WVG6" s="1185"/>
      <c r="WVH6" s="1185"/>
      <c r="WVI6" s="1185"/>
      <c r="WVJ6" s="1185"/>
      <c r="WVK6" s="1185"/>
      <c r="WVL6" s="1185"/>
      <c r="WVM6" s="1185"/>
      <c r="WVN6" s="1185"/>
      <c r="WVO6" s="1185"/>
      <c r="WVP6" s="1185"/>
      <c r="WVQ6" s="1185"/>
      <c r="WVR6" s="1185"/>
      <c r="WVS6" s="1185"/>
      <c r="WVT6" s="1185"/>
      <c r="WVU6" s="1185"/>
      <c r="WVV6" s="1185"/>
      <c r="WVW6" s="1185"/>
      <c r="WVX6" s="1185"/>
      <c r="WVY6" s="1185"/>
      <c r="WVZ6" s="1185"/>
      <c r="WWA6" s="1185"/>
      <c r="WWB6" s="1185"/>
      <c r="WWC6" s="1185"/>
      <c r="WWD6" s="1185"/>
      <c r="WWE6" s="1185"/>
      <c r="WWF6" s="1185"/>
      <c r="WWG6" s="1185"/>
      <c r="WWH6" s="1185"/>
      <c r="WWI6" s="1185"/>
      <c r="WWJ6" s="1185"/>
      <c r="WWK6" s="1185"/>
      <c r="WWL6" s="1185"/>
      <c r="WWM6" s="1185"/>
      <c r="WWN6" s="1185"/>
      <c r="WWO6" s="1185"/>
      <c r="WWP6" s="1185"/>
      <c r="WWQ6" s="1185"/>
      <c r="WWR6" s="1185"/>
      <c r="WWS6" s="1185"/>
      <c r="WWT6" s="1185"/>
      <c r="WWU6" s="1185"/>
      <c r="WWV6" s="1185"/>
      <c r="WWW6" s="1185"/>
      <c r="WWX6" s="1185"/>
      <c r="WWY6" s="1185"/>
      <c r="WWZ6" s="1185"/>
      <c r="WXA6" s="1185"/>
      <c r="WXB6" s="1185"/>
      <c r="WXC6" s="1185"/>
      <c r="WXD6" s="1185"/>
      <c r="WXE6" s="1185"/>
      <c r="WXF6" s="1185"/>
      <c r="WXG6" s="1185"/>
      <c r="WXH6" s="1185"/>
      <c r="WXI6" s="1185"/>
      <c r="WXJ6" s="1185"/>
      <c r="WXK6" s="1185"/>
      <c r="WXL6" s="1185"/>
      <c r="WXM6" s="1185"/>
      <c r="WXN6" s="1185"/>
      <c r="WXO6" s="1185"/>
      <c r="WXP6" s="1185"/>
      <c r="WXQ6" s="1185"/>
      <c r="WXR6" s="1185"/>
      <c r="WXS6" s="1185"/>
      <c r="WXT6" s="1185"/>
      <c r="WXU6" s="1185"/>
      <c r="WXV6" s="1185"/>
      <c r="WXW6" s="1185"/>
      <c r="WXX6" s="1185"/>
      <c r="WXY6" s="1185"/>
      <c r="WXZ6" s="1185"/>
      <c r="WYA6" s="1185"/>
      <c r="WYB6" s="1185"/>
      <c r="WYC6" s="1185"/>
      <c r="WYD6" s="1185"/>
      <c r="WYE6" s="1185"/>
      <c r="WYF6" s="1185"/>
      <c r="WYG6" s="1185"/>
      <c r="WYH6" s="1185"/>
      <c r="WYI6" s="1185"/>
      <c r="WYJ6" s="1185"/>
      <c r="WYK6" s="1185"/>
      <c r="WYL6" s="1185"/>
      <c r="WYM6" s="1185"/>
      <c r="WYN6" s="1185"/>
      <c r="WYO6" s="1185"/>
      <c r="WYP6" s="1185"/>
      <c r="WYQ6" s="1185"/>
      <c r="WYR6" s="1185"/>
      <c r="WYS6" s="1185"/>
      <c r="WYT6" s="1185"/>
      <c r="WYU6" s="1185"/>
      <c r="WYV6" s="1185"/>
      <c r="WYW6" s="1185"/>
      <c r="WYX6" s="1185"/>
      <c r="WYY6" s="1185"/>
      <c r="WYZ6" s="1185"/>
      <c r="WZA6" s="1185"/>
      <c r="WZB6" s="1185"/>
      <c r="WZC6" s="1185"/>
      <c r="WZD6" s="1185"/>
      <c r="WZE6" s="1185"/>
      <c r="WZF6" s="1185"/>
      <c r="WZG6" s="1185"/>
      <c r="WZH6" s="1185"/>
      <c r="WZI6" s="1185"/>
      <c r="WZJ6" s="1185"/>
      <c r="WZK6" s="1185"/>
      <c r="WZL6" s="1185"/>
      <c r="WZM6" s="1185"/>
      <c r="WZN6" s="1185"/>
      <c r="WZO6" s="1185"/>
      <c r="WZP6" s="1185"/>
      <c r="WZQ6" s="1185"/>
      <c r="WZR6" s="1185"/>
      <c r="WZS6" s="1185"/>
      <c r="WZT6" s="1185"/>
      <c r="WZU6" s="1185"/>
      <c r="WZV6" s="1185"/>
      <c r="WZW6" s="1185"/>
      <c r="WZX6" s="1185"/>
      <c r="WZY6" s="1185"/>
      <c r="WZZ6" s="1185"/>
      <c r="XAA6" s="1185"/>
      <c r="XAB6" s="1185"/>
      <c r="XAC6" s="1185"/>
      <c r="XAD6" s="1185"/>
      <c r="XAE6" s="1185"/>
      <c r="XAF6" s="1185"/>
      <c r="XAG6" s="1185"/>
      <c r="XAH6" s="1185"/>
      <c r="XAI6" s="1185"/>
      <c r="XAJ6" s="1185"/>
      <c r="XAK6" s="1185"/>
      <c r="XAL6" s="1185"/>
      <c r="XAM6" s="1185"/>
      <c r="XAN6" s="1185"/>
      <c r="XAO6" s="1185"/>
      <c r="XAP6" s="1185"/>
      <c r="XAQ6" s="1185"/>
      <c r="XAR6" s="1185"/>
      <c r="XAS6" s="1185"/>
      <c r="XAT6" s="1185"/>
      <c r="XAU6" s="1185"/>
      <c r="XAV6" s="1185"/>
      <c r="XAW6" s="1185"/>
      <c r="XAX6" s="1185"/>
      <c r="XAY6" s="1185"/>
      <c r="XAZ6" s="1185"/>
      <c r="XBA6" s="1185"/>
      <c r="XBB6" s="1185"/>
      <c r="XBC6" s="1185"/>
      <c r="XBD6" s="1185"/>
      <c r="XBE6" s="1185"/>
      <c r="XBF6" s="1185"/>
      <c r="XBG6" s="1185"/>
      <c r="XBH6" s="1185"/>
      <c r="XBI6" s="1185"/>
      <c r="XBJ6" s="1185"/>
      <c r="XBK6" s="1185"/>
      <c r="XBL6" s="1185"/>
      <c r="XBM6" s="1185"/>
      <c r="XBN6" s="1185"/>
      <c r="XBO6" s="1185"/>
      <c r="XBP6" s="1185"/>
      <c r="XBQ6" s="1185"/>
      <c r="XBR6" s="1185"/>
      <c r="XBS6" s="1185"/>
      <c r="XBT6" s="1185"/>
      <c r="XBU6" s="1185"/>
      <c r="XBV6" s="1185"/>
      <c r="XBW6" s="1185"/>
      <c r="XBX6" s="1185"/>
      <c r="XBY6" s="1185"/>
      <c r="XBZ6" s="1185"/>
      <c r="XCA6" s="1185"/>
      <c r="XCB6" s="1185"/>
      <c r="XCC6" s="1185"/>
      <c r="XCD6" s="1185"/>
      <c r="XCE6" s="1185"/>
      <c r="XCF6" s="1185"/>
      <c r="XCG6" s="1185"/>
      <c r="XCH6" s="1185"/>
      <c r="XCI6" s="1185"/>
      <c r="XCJ6" s="1185"/>
      <c r="XCK6" s="1185"/>
      <c r="XCL6" s="1185"/>
      <c r="XCM6" s="1185"/>
      <c r="XCN6" s="1185"/>
      <c r="XCO6" s="1185"/>
      <c r="XCP6" s="1185"/>
      <c r="XCQ6" s="1185"/>
      <c r="XCR6" s="1185"/>
      <c r="XCS6" s="1185"/>
      <c r="XCT6" s="1185"/>
      <c r="XCU6" s="1185"/>
      <c r="XCV6" s="1185"/>
      <c r="XCW6" s="1185"/>
      <c r="XCX6" s="1185"/>
      <c r="XCY6" s="1185"/>
      <c r="XCZ6" s="1185"/>
      <c r="XDA6" s="1185"/>
      <c r="XDB6" s="1185"/>
      <c r="XDC6" s="1185"/>
      <c r="XDD6" s="1185"/>
      <c r="XDE6" s="1185"/>
      <c r="XDF6" s="1185"/>
      <c r="XDG6" s="1185"/>
      <c r="XDH6" s="1185"/>
      <c r="XDI6" s="1185"/>
      <c r="XDJ6" s="1185"/>
      <c r="XDK6" s="1185"/>
      <c r="XDL6" s="1185"/>
      <c r="XDM6" s="1185"/>
      <c r="XDN6" s="1185"/>
      <c r="XDO6" s="1185"/>
      <c r="XDP6" s="1185"/>
      <c r="XDQ6" s="1185"/>
      <c r="XDR6" s="1185"/>
      <c r="XDS6" s="1185"/>
      <c r="XDT6" s="1185"/>
      <c r="XDU6" s="1185"/>
      <c r="XDV6" s="1185"/>
      <c r="XDW6" s="1185"/>
      <c r="XDX6" s="1185"/>
      <c r="XDY6" s="1185"/>
      <c r="XDZ6" s="1185"/>
      <c r="XEA6" s="1185"/>
      <c r="XEB6" s="1185"/>
      <c r="XEC6" s="1185"/>
      <c r="XED6" s="1185"/>
      <c r="XEE6" s="1185"/>
      <c r="XEF6" s="1185"/>
      <c r="XEG6" s="1185"/>
      <c r="XEH6" s="1185"/>
      <c r="XEI6" s="1185"/>
      <c r="XEJ6" s="1185"/>
      <c r="XEK6" s="1185"/>
      <c r="XEL6" s="1185"/>
      <c r="XEM6" s="1185"/>
      <c r="XEN6" s="1185"/>
      <c r="XEO6" s="1185"/>
      <c r="XEP6" s="1185"/>
      <c r="XEQ6" s="1185"/>
      <c r="XER6" s="1185"/>
      <c r="XES6" s="1185"/>
      <c r="XET6" s="1185"/>
      <c r="XEU6" s="1185"/>
      <c r="XEV6" s="1185"/>
      <c r="XEW6" s="1185"/>
      <c r="XEX6" s="1185"/>
      <c r="XEY6" s="1185"/>
      <c r="XEZ6" s="1185"/>
      <c r="XFA6" s="1185"/>
      <c r="XFB6" s="1185"/>
    </row>
    <row r="7" spans="1:16382" s="1186" customFormat="1" ht="26.25" customHeight="1" x14ac:dyDescent="0.25">
      <c r="A7" s="1385"/>
      <c r="B7" s="1385"/>
      <c r="C7" s="1385"/>
      <c r="D7" s="1385"/>
      <c r="E7" s="1388"/>
      <c r="F7" s="1391"/>
      <c r="G7" s="1394"/>
      <c r="H7" s="1397"/>
      <c r="I7" s="1394"/>
      <c r="J7" s="1394"/>
      <c r="K7" s="1394"/>
      <c r="L7" s="1399"/>
      <c r="M7" s="1401"/>
      <c r="N7" s="1400"/>
      <c r="O7" s="1187" t="s">
        <v>4361</v>
      </c>
      <c r="P7" s="1187" t="s">
        <v>4362</v>
      </c>
      <c r="Q7" s="1187" t="s">
        <v>4361</v>
      </c>
      <c r="R7" s="1187" t="s">
        <v>4362</v>
      </c>
      <c r="S7" s="1188" t="s">
        <v>4361</v>
      </c>
      <c r="T7" s="1188" t="s">
        <v>4362</v>
      </c>
      <c r="U7" s="1188" t="s">
        <v>4361</v>
      </c>
      <c r="V7" s="1188" t="s">
        <v>4362</v>
      </c>
      <c r="W7" s="1188" t="s">
        <v>4361</v>
      </c>
      <c r="X7" s="1188" t="s">
        <v>4362</v>
      </c>
      <c r="Y7" s="1188" t="s">
        <v>4361</v>
      </c>
      <c r="Z7" s="1188" t="s">
        <v>4362</v>
      </c>
      <c r="AA7" s="1188" t="s">
        <v>4361</v>
      </c>
      <c r="AB7" s="1188" t="s">
        <v>4362</v>
      </c>
      <c r="AC7" s="1188" t="s">
        <v>4361</v>
      </c>
      <c r="AD7" s="1188" t="s">
        <v>4362</v>
      </c>
      <c r="AE7" s="1188" t="s">
        <v>4361</v>
      </c>
      <c r="AF7" s="1188" t="s">
        <v>4362</v>
      </c>
      <c r="AG7" s="1189" t="s">
        <v>4361</v>
      </c>
      <c r="AH7" s="1189" t="s">
        <v>4362</v>
      </c>
      <c r="AI7" s="1189" t="s">
        <v>4361</v>
      </c>
      <c r="AJ7" s="1189" t="s">
        <v>4362</v>
      </c>
      <c r="AK7" s="1189" t="s">
        <v>4361</v>
      </c>
      <c r="AL7" s="1189" t="s">
        <v>4362</v>
      </c>
      <c r="AM7" s="1400"/>
      <c r="AN7" s="1185"/>
      <c r="AO7" s="1185"/>
      <c r="AP7" s="1185"/>
      <c r="AQ7" s="1185"/>
      <c r="AR7" s="1185"/>
      <c r="AS7" s="1185"/>
      <c r="AT7" s="1185"/>
      <c r="AU7" s="1185"/>
      <c r="AV7" s="1185"/>
      <c r="AW7" s="1185"/>
      <c r="AX7" s="1185"/>
      <c r="AY7" s="1185"/>
      <c r="AZ7" s="1185"/>
      <c r="BA7" s="1185"/>
      <c r="BB7" s="1185"/>
      <c r="BC7" s="1185"/>
      <c r="BD7" s="1185"/>
      <c r="BE7" s="1185"/>
      <c r="BF7" s="1185"/>
      <c r="BG7" s="1185"/>
      <c r="BH7" s="1185"/>
      <c r="BI7" s="1185"/>
      <c r="BJ7" s="1185"/>
      <c r="BK7" s="1185"/>
      <c r="BL7" s="1185"/>
      <c r="BM7" s="1185"/>
      <c r="BN7" s="1185"/>
      <c r="BO7" s="1185"/>
      <c r="BP7" s="1185"/>
      <c r="BQ7" s="1185"/>
      <c r="BR7" s="1185"/>
      <c r="BS7" s="1185"/>
      <c r="BT7" s="1185"/>
      <c r="BU7" s="1185"/>
      <c r="BV7" s="1185"/>
      <c r="BW7" s="1185"/>
      <c r="BX7" s="1185"/>
      <c r="BY7" s="1185"/>
      <c r="BZ7" s="1185"/>
      <c r="CA7" s="1185"/>
      <c r="CB7" s="1185"/>
      <c r="CC7" s="1185"/>
      <c r="CD7" s="1185"/>
      <c r="CE7" s="1185"/>
      <c r="CF7" s="1185"/>
      <c r="CG7" s="1185"/>
      <c r="CH7" s="1185"/>
      <c r="CI7" s="1185"/>
      <c r="CJ7" s="1185"/>
      <c r="CK7" s="1185"/>
      <c r="CL7" s="1185"/>
      <c r="CM7" s="1185"/>
      <c r="CN7" s="1185"/>
      <c r="CO7" s="1185"/>
      <c r="CP7" s="1185"/>
      <c r="CQ7" s="1185"/>
      <c r="CR7" s="1185"/>
      <c r="CS7" s="1185"/>
      <c r="CT7" s="1185"/>
      <c r="CU7" s="1185"/>
      <c r="CV7" s="1185"/>
      <c r="CW7" s="1185"/>
      <c r="CX7" s="1185"/>
      <c r="CY7" s="1185"/>
      <c r="CZ7" s="1185"/>
      <c r="DA7" s="1185"/>
      <c r="DB7" s="1185"/>
      <c r="DC7" s="1185"/>
      <c r="DD7" s="1185"/>
      <c r="DE7" s="1185"/>
      <c r="DF7" s="1185"/>
      <c r="DG7" s="1185"/>
      <c r="DH7" s="1185"/>
      <c r="DI7" s="1185"/>
      <c r="DJ7" s="1185"/>
      <c r="DK7" s="1185"/>
      <c r="DL7" s="1185"/>
      <c r="DM7" s="1185"/>
      <c r="DN7" s="1185"/>
      <c r="DO7" s="1185"/>
      <c r="DP7" s="1185"/>
      <c r="DQ7" s="1185"/>
      <c r="DR7" s="1185"/>
      <c r="DS7" s="1185"/>
      <c r="DT7" s="1185"/>
      <c r="DU7" s="1185"/>
      <c r="DV7" s="1185"/>
      <c r="DW7" s="1185"/>
      <c r="DX7" s="1185"/>
      <c r="DY7" s="1185"/>
      <c r="DZ7" s="1185"/>
      <c r="EA7" s="1185"/>
      <c r="EB7" s="1185"/>
      <c r="EC7" s="1185"/>
      <c r="ED7" s="1185"/>
      <c r="EE7" s="1185"/>
      <c r="EF7" s="1185"/>
      <c r="EG7" s="1185"/>
      <c r="EH7" s="1185"/>
      <c r="EI7" s="1185"/>
      <c r="EJ7" s="1185"/>
      <c r="EK7" s="1185"/>
      <c r="EL7" s="1185"/>
      <c r="EM7" s="1185"/>
      <c r="EN7" s="1185"/>
      <c r="EO7" s="1185"/>
      <c r="EP7" s="1185"/>
      <c r="EQ7" s="1185"/>
      <c r="ER7" s="1185"/>
      <c r="ES7" s="1185"/>
      <c r="ET7" s="1185"/>
      <c r="EU7" s="1185"/>
      <c r="EV7" s="1185"/>
      <c r="EW7" s="1185"/>
      <c r="EX7" s="1185"/>
      <c r="EY7" s="1185"/>
      <c r="EZ7" s="1185"/>
      <c r="FA7" s="1185"/>
      <c r="FB7" s="1185"/>
      <c r="FC7" s="1185"/>
      <c r="FD7" s="1185"/>
      <c r="FE7" s="1185"/>
      <c r="FF7" s="1185"/>
      <c r="FG7" s="1185"/>
      <c r="FH7" s="1185"/>
      <c r="FI7" s="1185"/>
      <c r="FJ7" s="1185"/>
      <c r="FK7" s="1185"/>
      <c r="FL7" s="1185"/>
      <c r="FM7" s="1185"/>
      <c r="FN7" s="1185"/>
      <c r="FO7" s="1185"/>
      <c r="FP7" s="1185"/>
      <c r="FQ7" s="1185"/>
      <c r="FR7" s="1185"/>
      <c r="FS7" s="1185"/>
      <c r="FT7" s="1185"/>
      <c r="FU7" s="1185"/>
      <c r="FV7" s="1185"/>
      <c r="FW7" s="1185"/>
      <c r="FX7" s="1185"/>
      <c r="FY7" s="1185"/>
      <c r="FZ7" s="1185"/>
      <c r="GA7" s="1185"/>
      <c r="GB7" s="1185"/>
      <c r="GC7" s="1185"/>
      <c r="GD7" s="1185"/>
      <c r="GE7" s="1185"/>
      <c r="GF7" s="1185"/>
      <c r="GG7" s="1185"/>
      <c r="GH7" s="1185"/>
      <c r="GI7" s="1185"/>
      <c r="GJ7" s="1185"/>
      <c r="GK7" s="1185"/>
      <c r="GL7" s="1185"/>
      <c r="GM7" s="1185"/>
      <c r="GN7" s="1185"/>
      <c r="GO7" s="1185"/>
      <c r="GP7" s="1185"/>
      <c r="GQ7" s="1185"/>
      <c r="GR7" s="1185"/>
      <c r="GS7" s="1185"/>
      <c r="GT7" s="1185"/>
      <c r="GU7" s="1185"/>
      <c r="GV7" s="1185"/>
      <c r="GW7" s="1185"/>
      <c r="GX7" s="1185"/>
      <c r="GY7" s="1185"/>
      <c r="GZ7" s="1185"/>
      <c r="HA7" s="1185"/>
      <c r="HB7" s="1185"/>
      <c r="HC7" s="1185"/>
      <c r="HD7" s="1185"/>
      <c r="HE7" s="1185"/>
      <c r="HF7" s="1185"/>
      <c r="HG7" s="1185"/>
      <c r="HH7" s="1185"/>
      <c r="HI7" s="1185"/>
      <c r="HJ7" s="1185"/>
      <c r="HK7" s="1185"/>
      <c r="HL7" s="1185"/>
      <c r="HM7" s="1185"/>
      <c r="HN7" s="1185"/>
      <c r="HO7" s="1185"/>
      <c r="HP7" s="1185"/>
      <c r="HQ7" s="1185"/>
      <c r="HR7" s="1185"/>
      <c r="HS7" s="1185"/>
      <c r="HT7" s="1185"/>
      <c r="HU7" s="1185"/>
      <c r="HV7" s="1185"/>
      <c r="HW7" s="1185"/>
      <c r="HX7" s="1185"/>
      <c r="HY7" s="1185"/>
      <c r="HZ7" s="1185"/>
      <c r="IA7" s="1185"/>
      <c r="IB7" s="1185"/>
      <c r="IC7" s="1185"/>
      <c r="ID7" s="1185"/>
      <c r="IE7" s="1185"/>
      <c r="IF7" s="1185"/>
      <c r="IG7" s="1185"/>
      <c r="IH7" s="1185"/>
      <c r="II7" s="1185"/>
      <c r="IJ7" s="1185"/>
      <c r="IK7" s="1185"/>
      <c r="IL7" s="1185"/>
      <c r="IM7" s="1185"/>
      <c r="IN7" s="1185"/>
      <c r="IO7" s="1185"/>
      <c r="IP7" s="1185"/>
      <c r="IQ7" s="1185"/>
      <c r="IR7" s="1185"/>
      <c r="IS7" s="1185"/>
      <c r="IT7" s="1185"/>
      <c r="IU7" s="1185"/>
      <c r="IV7" s="1185"/>
      <c r="IW7" s="1185"/>
      <c r="IX7" s="1185"/>
      <c r="IY7" s="1185"/>
      <c r="IZ7" s="1185"/>
      <c r="JA7" s="1185"/>
      <c r="JB7" s="1185"/>
      <c r="JC7" s="1185"/>
      <c r="JD7" s="1185"/>
      <c r="JE7" s="1185"/>
      <c r="JF7" s="1185"/>
      <c r="JG7" s="1185"/>
      <c r="JH7" s="1185"/>
      <c r="JI7" s="1185"/>
      <c r="JJ7" s="1185"/>
      <c r="JK7" s="1185"/>
      <c r="JL7" s="1185"/>
      <c r="JM7" s="1185"/>
      <c r="JN7" s="1185"/>
      <c r="JO7" s="1185"/>
      <c r="JP7" s="1185"/>
      <c r="JQ7" s="1185"/>
      <c r="JR7" s="1185"/>
      <c r="JS7" s="1185"/>
      <c r="JT7" s="1185"/>
      <c r="JU7" s="1185"/>
      <c r="JV7" s="1185"/>
      <c r="JW7" s="1185"/>
      <c r="JX7" s="1185"/>
      <c r="JY7" s="1185"/>
      <c r="JZ7" s="1185"/>
      <c r="KA7" s="1185"/>
      <c r="KB7" s="1185"/>
      <c r="KC7" s="1185"/>
      <c r="KD7" s="1185"/>
      <c r="KE7" s="1185"/>
      <c r="KF7" s="1185"/>
      <c r="KG7" s="1185"/>
      <c r="KH7" s="1185"/>
      <c r="KI7" s="1185"/>
      <c r="KJ7" s="1185"/>
      <c r="KK7" s="1185"/>
      <c r="KL7" s="1185"/>
      <c r="KM7" s="1185"/>
      <c r="KN7" s="1185"/>
      <c r="KO7" s="1185"/>
      <c r="KP7" s="1185"/>
      <c r="KQ7" s="1185"/>
      <c r="KR7" s="1185"/>
      <c r="KS7" s="1185"/>
      <c r="KT7" s="1185"/>
      <c r="KU7" s="1185"/>
      <c r="KV7" s="1185"/>
      <c r="KW7" s="1185"/>
      <c r="KX7" s="1185"/>
      <c r="KY7" s="1185"/>
      <c r="KZ7" s="1185"/>
      <c r="LA7" s="1185"/>
      <c r="LB7" s="1185"/>
      <c r="LC7" s="1185"/>
      <c r="LD7" s="1185"/>
      <c r="LE7" s="1185"/>
      <c r="LF7" s="1185"/>
      <c r="LG7" s="1185"/>
      <c r="LH7" s="1185"/>
      <c r="LI7" s="1185"/>
      <c r="LJ7" s="1185"/>
      <c r="LK7" s="1185"/>
      <c r="LL7" s="1185"/>
      <c r="LM7" s="1185"/>
      <c r="LN7" s="1185"/>
      <c r="LO7" s="1185"/>
      <c r="LP7" s="1185"/>
      <c r="LQ7" s="1185"/>
      <c r="LR7" s="1185"/>
      <c r="LS7" s="1185"/>
      <c r="LT7" s="1185"/>
      <c r="LU7" s="1185"/>
      <c r="LV7" s="1185"/>
      <c r="LW7" s="1185"/>
      <c r="LX7" s="1185"/>
      <c r="LY7" s="1185"/>
      <c r="LZ7" s="1185"/>
      <c r="MA7" s="1185"/>
      <c r="MB7" s="1185"/>
      <c r="MC7" s="1185"/>
      <c r="MD7" s="1185"/>
      <c r="ME7" s="1185"/>
      <c r="MF7" s="1185"/>
      <c r="MG7" s="1185"/>
      <c r="MH7" s="1185"/>
      <c r="MI7" s="1185"/>
      <c r="MJ7" s="1185"/>
      <c r="MK7" s="1185"/>
      <c r="ML7" s="1185"/>
      <c r="MM7" s="1185"/>
      <c r="MN7" s="1185"/>
      <c r="MO7" s="1185"/>
      <c r="MP7" s="1185"/>
      <c r="MQ7" s="1185"/>
      <c r="MR7" s="1185"/>
      <c r="MS7" s="1185"/>
      <c r="MT7" s="1185"/>
      <c r="MU7" s="1185"/>
      <c r="MV7" s="1185"/>
      <c r="MW7" s="1185"/>
      <c r="MX7" s="1185"/>
      <c r="MY7" s="1185"/>
      <c r="MZ7" s="1185"/>
      <c r="NA7" s="1185"/>
      <c r="NB7" s="1185"/>
      <c r="NC7" s="1185"/>
      <c r="ND7" s="1185"/>
      <c r="NE7" s="1185"/>
      <c r="NF7" s="1185"/>
      <c r="NG7" s="1185"/>
      <c r="NH7" s="1185"/>
      <c r="NI7" s="1185"/>
      <c r="NJ7" s="1185"/>
      <c r="NK7" s="1185"/>
      <c r="NL7" s="1185"/>
      <c r="NM7" s="1185"/>
      <c r="NN7" s="1185"/>
      <c r="NO7" s="1185"/>
      <c r="NP7" s="1185"/>
      <c r="NQ7" s="1185"/>
      <c r="NR7" s="1185"/>
      <c r="NS7" s="1185"/>
      <c r="NT7" s="1185"/>
      <c r="NU7" s="1185"/>
      <c r="NV7" s="1185"/>
      <c r="NW7" s="1185"/>
      <c r="NX7" s="1185"/>
      <c r="NY7" s="1185"/>
      <c r="NZ7" s="1185"/>
      <c r="OA7" s="1185"/>
      <c r="OB7" s="1185"/>
      <c r="OC7" s="1185"/>
      <c r="OD7" s="1185"/>
      <c r="OE7" s="1185"/>
      <c r="OF7" s="1185"/>
      <c r="OG7" s="1185"/>
      <c r="OH7" s="1185"/>
      <c r="OI7" s="1185"/>
      <c r="OJ7" s="1185"/>
      <c r="OK7" s="1185"/>
      <c r="OL7" s="1185"/>
      <c r="OM7" s="1185"/>
      <c r="ON7" s="1185"/>
      <c r="OO7" s="1185"/>
      <c r="OP7" s="1185"/>
      <c r="OQ7" s="1185"/>
      <c r="OR7" s="1185"/>
      <c r="OS7" s="1185"/>
      <c r="OT7" s="1185"/>
      <c r="OU7" s="1185"/>
      <c r="OV7" s="1185"/>
      <c r="OW7" s="1185"/>
      <c r="OX7" s="1185"/>
      <c r="OY7" s="1185"/>
      <c r="OZ7" s="1185"/>
      <c r="PA7" s="1185"/>
      <c r="PB7" s="1185"/>
      <c r="PC7" s="1185"/>
      <c r="PD7" s="1185"/>
      <c r="PE7" s="1185"/>
      <c r="PF7" s="1185"/>
      <c r="PG7" s="1185"/>
      <c r="PH7" s="1185"/>
      <c r="PI7" s="1185"/>
      <c r="PJ7" s="1185"/>
      <c r="PK7" s="1185"/>
      <c r="PL7" s="1185"/>
      <c r="PM7" s="1185"/>
      <c r="PN7" s="1185"/>
      <c r="PO7" s="1185"/>
      <c r="PP7" s="1185"/>
      <c r="PQ7" s="1185"/>
      <c r="PR7" s="1185"/>
      <c r="PS7" s="1185"/>
      <c r="PT7" s="1185"/>
      <c r="PU7" s="1185"/>
      <c r="PV7" s="1185"/>
      <c r="PW7" s="1185"/>
      <c r="PX7" s="1185"/>
      <c r="PY7" s="1185"/>
      <c r="PZ7" s="1185"/>
      <c r="QA7" s="1185"/>
      <c r="QB7" s="1185"/>
      <c r="QC7" s="1185"/>
      <c r="QD7" s="1185"/>
      <c r="QE7" s="1185"/>
      <c r="QF7" s="1185"/>
      <c r="QG7" s="1185"/>
      <c r="QH7" s="1185"/>
      <c r="QI7" s="1185"/>
      <c r="QJ7" s="1185"/>
      <c r="QK7" s="1185"/>
      <c r="QL7" s="1185"/>
      <c r="QM7" s="1185"/>
      <c r="QN7" s="1185"/>
      <c r="QO7" s="1185"/>
      <c r="QP7" s="1185"/>
      <c r="QQ7" s="1185"/>
      <c r="QR7" s="1185"/>
      <c r="QS7" s="1185"/>
      <c r="QT7" s="1185"/>
      <c r="QU7" s="1185"/>
      <c r="QV7" s="1185"/>
      <c r="QW7" s="1185"/>
      <c r="QX7" s="1185"/>
      <c r="QY7" s="1185"/>
      <c r="QZ7" s="1185"/>
      <c r="RA7" s="1185"/>
      <c r="RB7" s="1185"/>
      <c r="RC7" s="1185"/>
      <c r="RD7" s="1185"/>
      <c r="RE7" s="1185"/>
      <c r="RF7" s="1185"/>
      <c r="RG7" s="1185"/>
      <c r="RH7" s="1185"/>
      <c r="RI7" s="1185"/>
      <c r="RJ7" s="1185"/>
      <c r="RK7" s="1185"/>
      <c r="RL7" s="1185"/>
      <c r="RM7" s="1185"/>
      <c r="RN7" s="1185"/>
      <c r="RO7" s="1185"/>
      <c r="RP7" s="1185"/>
      <c r="RQ7" s="1185"/>
      <c r="RR7" s="1185"/>
      <c r="RS7" s="1185"/>
      <c r="RT7" s="1185"/>
      <c r="RU7" s="1185"/>
      <c r="RV7" s="1185"/>
      <c r="RW7" s="1185"/>
      <c r="RX7" s="1185"/>
      <c r="RY7" s="1185"/>
      <c r="RZ7" s="1185"/>
      <c r="SA7" s="1185"/>
      <c r="SB7" s="1185"/>
      <c r="SC7" s="1185"/>
      <c r="SD7" s="1185"/>
      <c r="SE7" s="1185"/>
      <c r="SF7" s="1185"/>
      <c r="SG7" s="1185"/>
      <c r="SH7" s="1185"/>
      <c r="SI7" s="1185"/>
      <c r="SJ7" s="1185"/>
      <c r="SK7" s="1185"/>
      <c r="SL7" s="1185"/>
      <c r="SM7" s="1185"/>
      <c r="SN7" s="1185"/>
      <c r="SO7" s="1185"/>
      <c r="SP7" s="1185"/>
      <c r="SQ7" s="1185"/>
      <c r="SR7" s="1185"/>
      <c r="SS7" s="1185"/>
      <c r="ST7" s="1185"/>
      <c r="SU7" s="1185"/>
      <c r="SV7" s="1185"/>
      <c r="SW7" s="1185"/>
      <c r="SX7" s="1185"/>
      <c r="SY7" s="1185"/>
      <c r="SZ7" s="1185"/>
      <c r="TA7" s="1185"/>
      <c r="TB7" s="1185"/>
      <c r="TC7" s="1185"/>
      <c r="TD7" s="1185"/>
      <c r="TE7" s="1185"/>
      <c r="TF7" s="1185"/>
      <c r="TG7" s="1185"/>
      <c r="TH7" s="1185"/>
      <c r="TI7" s="1185"/>
      <c r="TJ7" s="1185"/>
      <c r="TK7" s="1185"/>
      <c r="TL7" s="1185"/>
      <c r="TM7" s="1185"/>
      <c r="TN7" s="1185"/>
      <c r="TO7" s="1185"/>
      <c r="TP7" s="1185"/>
      <c r="TQ7" s="1185"/>
      <c r="TR7" s="1185"/>
      <c r="TS7" s="1185"/>
      <c r="TT7" s="1185"/>
      <c r="TU7" s="1185"/>
      <c r="TV7" s="1185"/>
      <c r="TW7" s="1185"/>
      <c r="TX7" s="1185"/>
      <c r="TY7" s="1185"/>
      <c r="TZ7" s="1185"/>
      <c r="UA7" s="1185"/>
      <c r="UB7" s="1185"/>
      <c r="UC7" s="1185"/>
      <c r="UD7" s="1185"/>
      <c r="UE7" s="1185"/>
      <c r="UF7" s="1185"/>
      <c r="UG7" s="1185"/>
      <c r="UH7" s="1185"/>
      <c r="UI7" s="1185"/>
      <c r="UJ7" s="1185"/>
      <c r="UK7" s="1185"/>
      <c r="UL7" s="1185"/>
      <c r="UM7" s="1185"/>
      <c r="UN7" s="1185"/>
      <c r="UO7" s="1185"/>
      <c r="UP7" s="1185"/>
      <c r="UQ7" s="1185"/>
      <c r="UR7" s="1185"/>
      <c r="US7" s="1185"/>
      <c r="UT7" s="1185"/>
      <c r="UU7" s="1185"/>
      <c r="UV7" s="1185"/>
      <c r="UW7" s="1185"/>
      <c r="UX7" s="1185"/>
      <c r="UY7" s="1185"/>
      <c r="UZ7" s="1185"/>
      <c r="VA7" s="1185"/>
      <c r="VB7" s="1185"/>
      <c r="VC7" s="1185"/>
      <c r="VD7" s="1185"/>
      <c r="VE7" s="1185"/>
      <c r="VF7" s="1185"/>
      <c r="VG7" s="1185"/>
      <c r="VH7" s="1185"/>
      <c r="VI7" s="1185"/>
      <c r="VJ7" s="1185"/>
      <c r="VK7" s="1185"/>
      <c r="VL7" s="1185"/>
      <c r="VM7" s="1185"/>
      <c r="VN7" s="1185"/>
      <c r="VO7" s="1185"/>
      <c r="VP7" s="1185"/>
      <c r="VQ7" s="1185"/>
      <c r="VR7" s="1185"/>
      <c r="VS7" s="1185"/>
      <c r="VT7" s="1185"/>
      <c r="VU7" s="1185"/>
      <c r="VV7" s="1185"/>
      <c r="VW7" s="1185"/>
      <c r="VX7" s="1185"/>
      <c r="VY7" s="1185"/>
      <c r="VZ7" s="1185"/>
      <c r="WA7" s="1185"/>
      <c r="WB7" s="1185"/>
      <c r="WC7" s="1185"/>
      <c r="WD7" s="1185"/>
      <c r="WE7" s="1185"/>
      <c r="WF7" s="1185"/>
      <c r="WG7" s="1185"/>
      <c r="WH7" s="1185"/>
      <c r="WI7" s="1185"/>
      <c r="WJ7" s="1185"/>
      <c r="WK7" s="1185"/>
      <c r="WL7" s="1185"/>
      <c r="WM7" s="1185"/>
      <c r="WN7" s="1185"/>
      <c r="WO7" s="1185"/>
      <c r="WP7" s="1185"/>
      <c r="WQ7" s="1185"/>
      <c r="WR7" s="1185"/>
      <c r="WS7" s="1185"/>
      <c r="WT7" s="1185"/>
      <c r="WU7" s="1185"/>
      <c r="WV7" s="1185"/>
      <c r="WW7" s="1185"/>
      <c r="WX7" s="1185"/>
      <c r="WY7" s="1185"/>
      <c r="WZ7" s="1185"/>
      <c r="XA7" s="1185"/>
      <c r="XB7" s="1185"/>
      <c r="XC7" s="1185"/>
      <c r="XD7" s="1185"/>
      <c r="XE7" s="1185"/>
      <c r="XF7" s="1185"/>
      <c r="XG7" s="1185"/>
      <c r="XH7" s="1185"/>
      <c r="XI7" s="1185"/>
      <c r="XJ7" s="1185"/>
      <c r="XK7" s="1185"/>
      <c r="XL7" s="1185"/>
      <c r="XM7" s="1185"/>
      <c r="XN7" s="1185"/>
      <c r="XO7" s="1185"/>
      <c r="XP7" s="1185"/>
      <c r="XQ7" s="1185"/>
      <c r="XR7" s="1185"/>
      <c r="XS7" s="1185"/>
      <c r="XT7" s="1185"/>
      <c r="XU7" s="1185"/>
      <c r="XV7" s="1185"/>
      <c r="XW7" s="1185"/>
      <c r="XX7" s="1185"/>
      <c r="XY7" s="1185"/>
      <c r="XZ7" s="1185"/>
      <c r="YA7" s="1185"/>
      <c r="YB7" s="1185"/>
      <c r="YC7" s="1185"/>
      <c r="YD7" s="1185"/>
      <c r="YE7" s="1185"/>
      <c r="YF7" s="1185"/>
      <c r="YG7" s="1185"/>
      <c r="YH7" s="1185"/>
      <c r="YI7" s="1185"/>
      <c r="YJ7" s="1185"/>
      <c r="YK7" s="1185"/>
      <c r="YL7" s="1185"/>
      <c r="YM7" s="1185"/>
      <c r="YN7" s="1185"/>
      <c r="YO7" s="1185"/>
      <c r="YP7" s="1185"/>
      <c r="YQ7" s="1185"/>
      <c r="YR7" s="1185"/>
      <c r="YS7" s="1185"/>
      <c r="YT7" s="1185"/>
      <c r="YU7" s="1185"/>
      <c r="YV7" s="1185"/>
      <c r="YW7" s="1185"/>
      <c r="YX7" s="1185"/>
      <c r="YY7" s="1185"/>
      <c r="YZ7" s="1185"/>
      <c r="ZA7" s="1185"/>
      <c r="ZB7" s="1185"/>
      <c r="ZC7" s="1185"/>
      <c r="ZD7" s="1185"/>
      <c r="ZE7" s="1185"/>
      <c r="ZF7" s="1185"/>
      <c r="ZG7" s="1185"/>
      <c r="ZH7" s="1185"/>
      <c r="ZI7" s="1185"/>
      <c r="ZJ7" s="1185"/>
      <c r="ZK7" s="1185"/>
      <c r="ZL7" s="1185"/>
      <c r="ZM7" s="1185"/>
      <c r="ZN7" s="1185"/>
      <c r="ZO7" s="1185"/>
      <c r="ZP7" s="1185"/>
      <c r="ZQ7" s="1185"/>
      <c r="ZR7" s="1185"/>
      <c r="ZS7" s="1185"/>
      <c r="ZT7" s="1185"/>
      <c r="ZU7" s="1185"/>
      <c r="ZV7" s="1185"/>
      <c r="ZW7" s="1185"/>
      <c r="ZX7" s="1185"/>
      <c r="ZY7" s="1185"/>
      <c r="ZZ7" s="1185"/>
      <c r="AAA7" s="1185"/>
      <c r="AAB7" s="1185"/>
      <c r="AAC7" s="1185"/>
      <c r="AAD7" s="1185"/>
      <c r="AAE7" s="1185"/>
      <c r="AAF7" s="1185"/>
      <c r="AAG7" s="1185"/>
      <c r="AAH7" s="1185"/>
      <c r="AAI7" s="1185"/>
      <c r="AAJ7" s="1185"/>
      <c r="AAK7" s="1185"/>
      <c r="AAL7" s="1185"/>
      <c r="AAM7" s="1185"/>
      <c r="AAN7" s="1185"/>
      <c r="AAO7" s="1185"/>
      <c r="AAP7" s="1185"/>
      <c r="AAQ7" s="1185"/>
      <c r="AAR7" s="1185"/>
      <c r="AAS7" s="1185"/>
      <c r="AAT7" s="1185"/>
      <c r="AAU7" s="1185"/>
      <c r="AAV7" s="1185"/>
      <c r="AAW7" s="1185"/>
      <c r="AAX7" s="1185"/>
      <c r="AAY7" s="1185"/>
      <c r="AAZ7" s="1185"/>
      <c r="ABA7" s="1185"/>
      <c r="ABB7" s="1185"/>
      <c r="ABC7" s="1185"/>
      <c r="ABD7" s="1185"/>
      <c r="ABE7" s="1185"/>
      <c r="ABF7" s="1185"/>
      <c r="ABG7" s="1185"/>
      <c r="ABH7" s="1185"/>
      <c r="ABI7" s="1185"/>
      <c r="ABJ7" s="1185"/>
      <c r="ABK7" s="1185"/>
      <c r="ABL7" s="1185"/>
      <c r="ABM7" s="1185"/>
      <c r="ABN7" s="1185"/>
      <c r="ABO7" s="1185"/>
      <c r="ABP7" s="1185"/>
      <c r="ABQ7" s="1185"/>
      <c r="ABR7" s="1185"/>
      <c r="ABS7" s="1185"/>
      <c r="ABT7" s="1185"/>
      <c r="ABU7" s="1185"/>
      <c r="ABV7" s="1185"/>
      <c r="ABW7" s="1185"/>
      <c r="ABX7" s="1185"/>
      <c r="ABY7" s="1185"/>
      <c r="ABZ7" s="1185"/>
      <c r="ACA7" s="1185"/>
      <c r="ACB7" s="1185"/>
      <c r="ACC7" s="1185"/>
      <c r="ACD7" s="1185"/>
      <c r="ACE7" s="1185"/>
      <c r="ACF7" s="1185"/>
      <c r="ACG7" s="1185"/>
      <c r="ACH7" s="1185"/>
      <c r="ACI7" s="1185"/>
      <c r="ACJ7" s="1185"/>
      <c r="ACK7" s="1185"/>
      <c r="ACL7" s="1185"/>
      <c r="ACM7" s="1185"/>
      <c r="ACN7" s="1185"/>
      <c r="ACO7" s="1185"/>
      <c r="ACP7" s="1185"/>
      <c r="ACQ7" s="1185"/>
      <c r="ACR7" s="1185"/>
      <c r="ACS7" s="1185"/>
      <c r="ACT7" s="1185"/>
      <c r="ACU7" s="1185"/>
      <c r="ACV7" s="1185"/>
      <c r="ACW7" s="1185"/>
      <c r="ACX7" s="1185"/>
      <c r="ACY7" s="1185"/>
      <c r="ACZ7" s="1185"/>
      <c r="ADA7" s="1185"/>
      <c r="ADB7" s="1185"/>
      <c r="ADC7" s="1185"/>
      <c r="ADD7" s="1185"/>
      <c r="ADE7" s="1185"/>
      <c r="ADF7" s="1185"/>
      <c r="ADG7" s="1185"/>
      <c r="ADH7" s="1185"/>
      <c r="ADI7" s="1185"/>
      <c r="ADJ7" s="1185"/>
      <c r="ADK7" s="1185"/>
      <c r="ADL7" s="1185"/>
      <c r="ADM7" s="1185"/>
      <c r="ADN7" s="1185"/>
      <c r="ADO7" s="1185"/>
      <c r="ADP7" s="1185"/>
      <c r="ADQ7" s="1185"/>
      <c r="ADR7" s="1185"/>
      <c r="ADS7" s="1185"/>
      <c r="ADT7" s="1185"/>
      <c r="ADU7" s="1185"/>
      <c r="ADV7" s="1185"/>
      <c r="ADW7" s="1185"/>
      <c r="ADX7" s="1185"/>
      <c r="ADY7" s="1185"/>
      <c r="ADZ7" s="1185"/>
      <c r="AEA7" s="1185"/>
      <c r="AEB7" s="1185"/>
      <c r="AEC7" s="1185"/>
      <c r="AED7" s="1185"/>
      <c r="AEE7" s="1185"/>
      <c r="AEF7" s="1185"/>
      <c r="AEG7" s="1185"/>
      <c r="AEH7" s="1185"/>
      <c r="AEI7" s="1185"/>
      <c r="AEJ7" s="1185"/>
      <c r="AEK7" s="1185"/>
      <c r="AEL7" s="1185"/>
      <c r="AEM7" s="1185"/>
      <c r="AEN7" s="1185"/>
      <c r="AEO7" s="1185"/>
      <c r="AEP7" s="1185"/>
      <c r="AEQ7" s="1185"/>
      <c r="AER7" s="1185"/>
      <c r="AES7" s="1185"/>
      <c r="AET7" s="1185"/>
      <c r="AEU7" s="1185"/>
      <c r="AEV7" s="1185"/>
      <c r="AEW7" s="1185"/>
      <c r="AEX7" s="1185"/>
      <c r="AEY7" s="1185"/>
      <c r="AEZ7" s="1185"/>
      <c r="AFA7" s="1185"/>
      <c r="AFB7" s="1185"/>
      <c r="AFC7" s="1185"/>
      <c r="AFD7" s="1185"/>
      <c r="AFE7" s="1185"/>
      <c r="AFF7" s="1185"/>
      <c r="AFG7" s="1185"/>
      <c r="AFH7" s="1185"/>
      <c r="AFI7" s="1185"/>
      <c r="AFJ7" s="1185"/>
      <c r="AFK7" s="1185"/>
      <c r="AFL7" s="1185"/>
      <c r="AFM7" s="1185"/>
      <c r="AFN7" s="1185"/>
      <c r="AFO7" s="1185"/>
      <c r="AFP7" s="1185"/>
      <c r="AFQ7" s="1185"/>
      <c r="AFR7" s="1185"/>
      <c r="AFS7" s="1185"/>
      <c r="AFT7" s="1185"/>
      <c r="AFU7" s="1185"/>
      <c r="AFV7" s="1185"/>
      <c r="AFW7" s="1185"/>
      <c r="AFX7" s="1185"/>
      <c r="AFY7" s="1185"/>
      <c r="AFZ7" s="1185"/>
      <c r="AGA7" s="1185"/>
      <c r="AGB7" s="1185"/>
      <c r="AGC7" s="1185"/>
      <c r="AGD7" s="1185"/>
      <c r="AGE7" s="1185"/>
      <c r="AGF7" s="1185"/>
      <c r="AGG7" s="1185"/>
      <c r="AGH7" s="1185"/>
      <c r="AGI7" s="1185"/>
      <c r="AGJ7" s="1185"/>
      <c r="AGK7" s="1185"/>
      <c r="AGL7" s="1185"/>
      <c r="AGM7" s="1185"/>
      <c r="AGN7" s="1185"/>
      <c r="AGO7" s="1185"/>
      <c r="AGP7" s="1185"/>
      <c r="AGQ7" s="1185"/>
      <c r="AGR7" s="1185"/>
      <c r="AGS7" s="1185"/>
      <c r="AGT7" s="1185"/>
      <c r="AGU7" s="1185"/>
      <c r="AGV7" s="1185"/>
      <c r="AGW7" s="1185"/>
      <c r="AGX7" s="1185"/>
      <c r="AGY7" s="1185"/>
      <c r="AGZ7" s="1185"/>
      <c r="AHA7" s="1185"/>
      <c r="AHB7" s="1185"/>
      <c r="AHC7" s="1185"/>
      <c r="AHD7" s="1185"/>
      <c r="AHE7" s="1185"/>
      <c r="AHF7" s="1185"/>
      <c r="AHG7" s="1185"/>
      <c r="AHH7" s="1185"/>
      <c r="AHI7" s="1185"/>
      <c r="AHJ7" s="1185"/>
      <c r="AHK7" s="1185"/>
      <c r="AHL7" s="1185"/>
      <c r="AHM7" s="1185"/>
      <c r="AHN7" s="1185"/>
      <c r="AHO7" s="1185"/>
      <c r="AHP7" s="1185"/>
      <c r="AHQ7" s="1185"/>
      <c r="AHR7" s="1185"/>
      <c r="AHS7" s="1185"/>
      <c r="AHT7" s="1185"/>
      <c r="AHU7" s="1185"/>
      <c r="AHV7" s="1185"/>
      <c r="AHW7" s="1185"/>
      <c r="AHX7" s="1185"/>
      <c r="AHY7" s="1185"/>
      <c r="AHZ7" s="1185"/>
      <c r="AIA7" s="1185"/>
      <c r="AIB7" s="1185"/>
      <c r="AIC7" s="1185"/>
      <c r="AID7" s="1185"/>
      <c r="AIE7" s="1185"/>
      <c r="AIF7" s="1185"/>
      <c r="AIG7" s="1185"/>
      <c r="AIH7" s="1185"/>
      <c r="AII7" s="1185"/>
      <c r="AIJ7" s="1185"/>
      <c r="AIK7" s="1185"/>
      <c r="AIL7" s="1185"/>
      <c r="AIM7" s="1185"/>
      <c r="AIN7" s="1185"/>
      <c r="AIO7" s="1185"/>
      <c r="AIP7" s="1185"/>
      <c r="AIQ7" s="1185"/>
      <c r="AIR7" s="1185"/>
      <c r="AIS7" s="1185"/>
      <c r="AIT7" s="1185"/>
      <c r="AIU7" s="1185"/>
      <c r="AIV7" s="1185"/>
      <c r="AIW7" s="1185"/>
      <c r="AIX7" s="1185"/>
      <c r="AIY7" s="1185"/>
      <c r="AIZ7" s="1185"/>
      <c r="AJA7" s="1185"/>
      <c r="AJB7" s="1185"/>
      <c r="AJC7" s="1185"/>
      <c r="AJD7" s="1185"/>
      <c r="AJE7" s="1185"/>
      <c r="AJF7" s="1185"/>
      <c r="AJG7" s="1185"/>
      <c r="AJH7" s="1185"/>
      <c r="AJI7" s="1185"/>
      <c r="AJJ7" s="1185"/>
      <c r="AJK7" s="1185"/>
      <c r="AJL7" s="1185"/>
      <c r="AJM7" s="1185"/>
      <c r="AJN7" s="1185"/>
      <c r="AJO7" s="1185"/>
      <c r="AJP7" s="1185"/>
      <c r="AJQ7" s="1185"/>
      <c r="AJR7" s="1185"/>
      <c r="AJS7" s="1185"/>
      <c r="AJT7" s="1185"/>
      <c r="AJU7" s="1185"/>
      <c r="AJV7" s="1185"/>
      <c r="AJW7" s="1185"/>
      <c r="AJX7" s="1185"/>
      <c r="AJY7" s="1185"/>
      <c r="AJZ7" s="1185"/>
      <c r="AKA7" s="1185"/>
      <c r="AKB7" s="1185"/>
      <c r="AKC7" s="1185"/>
      <c r="AKD7" s="1185"/>
      <c r="AKE7" s="1185"/>
      <c r="AKF7" s="1185"/>
      <c r="AKG7" s="1185"/>
      <c r="AKH7" s="1185"/>
      <c r="AKI7" s="1185"/>
      <c r="AKJ7" s="1185"/>
      <c r="AKK7" s="1185"/>
      <c r="AKL7" s="1185"/>
      <c r="AKM7" s="1185"/>
      <c r="AKN7" s="1185"/>
      <c r="AKO7" s="1185"/>
      <c r="AKP7" s="1185"/>
      <c r="AKQ7" s="1185"/>
      <c r="AKR7" s="1185"/>
      <c r="AKS7" s="1185"/>
      <c r="AKT7" s="1185"/>
      <c r="AKU7" s="1185"/>
      <c r="AKV7" s="1185"/>
      <c r="AKW7" s="1185"/>
      <c r="AKX7" s="1185"/>
      <c r="AKY7" s="1185"/>
      <c r="AKZ7" s="1185"/>
      <c r="ALA7" s="1185"/>
      <c r="ALB7" s="1185"/>
      <c r="ALC7" s="1185"/>
      <c r="ALD7" s="1185"/>
      <c r="ALE7" s="1185"/>
      <c r="ALF7" s="1185"/>
      <c r="ALG7" s="1185"/>
      <c r="ALH7" s="1185"/>
      <c r="ALI7" s="1185"/>
      <c r="ALJ7" s="1185"/>
      <c r="ALK7" s="1185"/>
      <c r="ALL7" s="1185"/>
      <c r="ALM7" s="1185"/>
      <c r="ALN7" s="1185"/>
      <c r="ALO7" s="1185"/>
      <c r="ALP7" s="1185"/>
      <c r="ALQ7" s="1185"/>
      <c r="ALR7" s="1185"/>
      <c r="ALS7" s="1185"/>
      <c r="ALT7" s="1185"/>
      <c r="ALU7" s="1185"/>
      <c r="ALV7" s="1185"/>
      <c r="ALW7" s="1185"/>
      <c r="ALX7" s="1185"/>
      <c r="ALY7" s="1185"/>
      <c r="ALZ7" s="1185"/>
      <c r="AMA7" s="1185"/>
      <c r="AMB7" s="1185"/>
      <c r="AMC7" s="1185"/>
      <c r="AMD7" s="1185"/>
      <c r="AME7" s="1185"/>
      <c r="AMF7" s="1185"/>
      <c r="AMG7" s="1185"/>
      <c r="AMH7" s="1185"/>
      <c r="AMI7" s="1185"/>
      <c r="AMJ7" s="1185"/>
      <c r="AMK7" s="1185"/>
      <c r="AML7" s="1185"/>
      <c r="AMM7" s="1185"/>
      <c r="AMN7" s="1185"/>
      <c r="AMO7" s="1185"/>
      <c r="AMP7" s="1185"/>
      <c r="AMQ7" s="1185"/>
      <c r="AMR7" s="1185"/>
      <c r="AMS7" s="1185"/>
      <c r="AMT7" s="1185"/>
      <c r="AMU7" s="1185"/>
      <c r="AMV7" s="1185"/>
      <c r="AMW7" s="1185"/>
      <c r="AMX7" s="1185"/>
      <c r="AMY7" s="1185"/>
      <c r="AMZ7" s="1185"/>
      <c r="ANA7" s="1185"/>
      <c r="ANB7" s="1185"/>
      <c r="ANC7" s="1185"/>
      <c r="AND7" s="1185"/>
      <c r="ANE7" s="1185"/>
      <c r="ANF7" s="1185"/>
      <c r="ANG7" s="1185"/>
      <c r="ANH7" s="1185"/>
      <c r="ANI7" s="1185"/>
      <c r="ANJ7" s="1185"/>
      <c r="ANK7" s="1185"/>
      <c r="ANL7" s="1185"/>
      <c r="ANM7" s="1185"/>
      <c r="ANN7" s="1185"/>
      <c r="ANO7" s="1185"/>
      <c r="ANP7" s="1185"/>
      <c r="ANQ7" s="1185"/>
      <c r="ANR7" s="1185"/>
      <c r="ANS7" s="1185"/>
      <c r="ANT7" s="1185"/>
      <c r="ANU7" s="1185"/>
      <c r="ANV7" s="1185"/>
      <c r="ANW7" s="1185"/>
      <c r="ANX7" s="1185"/>
      <c r="ANY7" s="1185"/>
      <c r="ANZ7" s="1185"/>
      <c r="AOA7" s="1185"/>
      <c r="AOB7" s="1185"/>
      <c r="AOC7" s="1185"/>
      <c r="AOD7" s="1185"/>
      <c r="AOE7" s="1185"/>
      <c r="AOF7" s="1185"/>
      <c r="AOG7" s="1185"/>
      <c r="AOH7" s="1185"/>
      <c r="AOI7" s="1185"/>
      <c r="AOJ7" s="1185"/>
      <c r="AOK7" s="1185"/>
      <c r="AOL7" s="1185"/>
      <c r="AOM7" s="1185"/>
      <c r="AON7" s="1185"/>
      <c r="AOO7" s="1185"/>
      <c r="AOP7" s="1185"/>
      <c r="AOQ7" s="1185"/>
      <c r="AOR7" s="1185"/>
      <c r="AOS7" s="1185"/>
      <c r="AOT7" s="1185"/>
      <c r="AOU7" s="1185"/>
      <c r="AOV7" s="1185"/>
      <c r="AOW7" s="1185"/>
      <c r="AOX7" s="1185"/>
      <c r="AOY7" s="1185"/>
      <c r="AOZ7" s="1185"/>
      <c r="APA7" s="1185"/>
      <c r="APB7" s="1185"/>
      <c r="APC7" s="1185"/>
      <c r="APD7" s="1185"/>
      <c r="APE7" s="1185"/>
      <c r="APF7" s="1185"/>
      <c r="APG7" s="1185"/>
      <c r="APH7" s="1185"/>
      <c r="API7" s="1185"/>
      <c r="APJ7" s="1185"/>
      <c r="APK7" s="1185"/>
      <c r="APL7" s="1185"/>
      <c r="APM7" s="1185"/>
      <c r="APN7" s="1185"/>
      <c r="APO7" s="1185"/>
      <c r="APP7" s="1185"/>
      <c r="APQ7" s="1185"/>
      <c r="APR7" s="1185"/>
      <c r="APS7" s="1185"/>
      <c r="APT7" s="1185"/>
      <c r="APU7" s="1185"/>
      <c r="APV7" s="1185"/>
      <c r="APW7" s="1185"/>
      <c r="APX7" s="1185"/>
      <c r="APY7" s="1185"/>
      <c r="APZ7" s="1185"/>
      <c r="AQA7" s="1185"/>
      <c r="AQB7" s="1185"/>
      <c r="AQC7" s="1185"/>
      <c r="AQD7" s="1185"/>
      <c r="AQE7" s="1185"/>
      <c r="AQF7" s="1185"/>
      <c r="AQG7" s="1185"/>
      <c r="AQH7" s="1185"/>
      <c r="AQI7" s="1185"/>
      <c r="AQJ7" s="1185"/>
      <c r="AQK7" s="1185"/>
      <c r="AQL7" s="1185"/>
      <c r="AQM7" s="1185"/>
      <c r="AQN7" s="1185"/>
      <c r="AQO7" s="1185"/>
      <c r="AQP7" s="1185"/>
      <c r="AQQ7" s="1185"/>
      <c r="AQR7" s="1185"/>
      <c r="AQS7" s="1185"/>
      <c r="AQT7" s="1185"/>
      <c r="AQU7" s="1185"/>
      <c r="AQV7" s="1185"/>
      <c r="AQW7" s="1185"/>
      <c r="AQX7" s="1185"/>
      <c r="AQY7" s="1185"/>
      <c r="AQZ7" s="1185"/>
      <c r="ARA7" s="1185"/>
      <c r="ARB7" s="1185"/>
      <c r="ARC7" s="1185"/>
      <c r="ARD7" s="1185"/>
      <c r="ARE7" s="1185"/>
      <c r="ARF7" s="1185"/>
      <c r="ARG7" s="1185"/>
      <c r="ARH7" s="1185"/>
      <c r="ARI7" s="1185"/>
      <c r="ARJ7" s="1185"/>
      <c r="ARK7" s="1185"/>
      <c r="ARL7" s="1185"/>
      <c r="ARM7" s="1185"/>
      <c r="ARN7" s="1185"/>
      <c r="ARO7" s="1185"/>
      <c r="ARP7" s="1185"/>
      <c r="ARQ7" s="1185"/>
      <c r="ARR7" s="1185"/>
      <c r="ARS7" s="1185"/>
      <c r="ART7" s="1185"/>
      <c r="ARU7" s="1185"/>
      <c r="ARV7" s="1185"/>
      <c r="ARW7" s="1185"/>
      <c r="ARX7" s="1185"/>
      <c r="ARY7" s="1185"/>
      <c r="ARZ7" s="1185"/>
      <c r="ASA7" s="1185"/>
      <c r="ASB7" s="1185"/>
      <c r="ASC7" s="1185"/>
      <c r="ASD7" s="1185"/>
      <c r="ASE7" s="1185"/>
      <c r="ASF7" s="1185"/>
      <c r="ASG7" s="1185"/>
      <c r="ASH7" s="1185"/>
      <c r="ASI7" s="1185"/>
      <c r="ASJ7" s="1185"/>
      <c r="ASK7" s="1185"/>
      <c r="ASL7" s="1185"/>
      <c r="ASM7" s="1185"/>
      <c r="ASN7" s="1185"/>
      <c r="ASO7" s="1185"/>
      <c r="ASP7" s="1185"/>
      <c r="ASQ7" s="1185"/>
      <c r="ASR7" s="1185"/>
      <c r="ASS7" s="1185"/>
      <c r="AST7" s="1185"/>
      <c r="ASU7" s="1185"/>
      <c r="ASV7" s="1185"/>
      <c r="ASW7" s="1185"/>
      <c r="ASX7" s="1185"/>
      <c r="ASY7" s="1185"/>
      <c r="ASZ7" s="1185"/>
      <c r="ATA7" s="1185"/>
      <c r="ATB7" s="1185"/>
      <c r="ATC7" s="1185"/>
      <c r="ATD7" s="1185"/>
      <c r="ATE7" s="1185"/>
      <c r="ATF7" s="1185"/>
      <c r="ATG7" s="1185"/>
      <c r="ATH7" s="1185"/>
      <c r="ATI7" s="1185"/>
      <c r="ATJ7" s="1185"/>
      <c r="ATK7" s="1185"/>
      <c r="ATL7" s="1185"/>
      <c r="ATM7" s="1185"/>
      <c r="ATN7" s="1185"/>
      <c r="ATO7" s="1185"/>
      <c r="ATP7" s="1185"/>
      <c r="ATQ7" s="1185"/>
      <c r="ATR7" s="1185"/>
      <c r="ATS7" s="1185"/>
      <c r="ATT7" s="1185"/>
      <c r="ATU7" s="1185"/>
      <c r="ATV7" s="1185"/>
      <c r="ATW7" s="1185"/>
      <c r="ATX7" s="1185"/>
      <c r="ATY7" s="1185"/>
      <c r="ATZ7" s="1185"/>
      <c r="AUA7" s="1185"/>
      <c r="AUB7" s="1185"/>
      <c r="AUC7" s="1185"/>
      <c r="AUD7" s="1185"/>
      <c r="AUE7" s="1185"/>
      <c r="AUF7" s="1185"/>
      <c r="AUG7" s="1185"/>
      <c r="AUH7" s="1185"/>
      <c r="AUI7" s="1185"/>
      <c r="AUJ7" s="1185"/>
      <c r="AUK7" s="1185"/>
      <c r="AUL7" s="1185"/>
      <c r="AUM7" s="1185"/>
      <c r="AUN7" s="1185"/>
      <c r="AUO7" s="1185"/>
      <c r="AUP7" s="1185"/>
      <c r="AUQ7" s="1185"/>
      <c r="AUR7" s="1185"/>
      <c r="AUS7" s="1185"/>
      <c r="AUT7" s="1185"/>
      <c r="AUU7" s="1185"/>
      <c r="AUV7" s="1185"/>
      <c r="AUW7" s="1185"/>
      <c r="AUX7" s="1185"/>
      <c r="AUY7" s="1185"/>
      <c r="AUZ7" s="1185"/>
      <c r="AVA7" s="1185"/>
      <c r="AVB7" s="1185"/>
      <c r="AVC7" s="1185"/>
      <c r="AVD7" s="1185"/>
      <c r="AVE7" s="1185"/>
      <c r="AVF7" s="1185"/>
      <c r="AVG7" s="1185"/>
      <c r="AVH7" s="1185"/>
      <c r="AVI7" s="1185"/>
      <c r="AVJ7" s="1185"/>
      <c r="AVK7" s="1185"/>
      <c r="AVL7" s="1185"/>
      <c r="AVM7" s="1185"/>
      <c r="AVN7" s="1185"/>
      <c r="AVO7" s="1185"/>
      <c r="AVP7" s="1185"/>
      <c r="AVQ7" s="1185"/>
      <c r="AVR7" s="1185"/>
      <c r="AVS7" s="1185"/>
      <c r="AVT7" s="1185"/>
      <c r="AVU7" s="1185"/>
      <c r="AVV7" s="1185"/>
      <c r="AVW7" s="1185"/>
      <c r="AVX7" s="1185"/>
      <c r="AVY7" s="1185"/>
      <c r="AVZ7" s="1185"/>
      <c r="AWA7" s="1185"/>
      <c r="AWB7" s="1185"/>
      <c r="AWC7" s="1185"/>
      <c r="AWD7" s="1185"/>
      <c r="AWE7" s="1185"/>
      <c r="AWF7" s="1185"/>
      <c r="AWG7" s="1185"/>
      <c r="AWH7" s="1185"/>
      <c r="AWI7" s="1185"/>
      <c r="AWJ7" s="1185"/>
      <c r="AWK7" s="1185"/>
      <c r="AWL7" s="1185"/>
      <c r="AWM7" s="1185"/>
      <c r="AWN7" s="1185"/>
      <c r="AWO7" s="1185"/>
      <c r="AWP7" s="1185"/>
      <c r="AWQ7" s="1185"/>
      <c r="AWR7" s="1185"/>
      <c r="AWS7" s="1185"/>
      <c r="AWT7" s="1185"/>
      <c r="AWU7" s="1185"/>
      <c r="AWV7" s="1185"/>
      <c r="AWW7" s="1185"/>
      <c r="AWX7" s="1185"/>
      <c r="AWY7" s="1185"/>
      <c r="AWZ7" s="1185"/>
      <c r="AXA7" s="1185"/>
      <c r="AXB7" s="1185"/>
      <c r="AXC7" s="1185"/>
      <c r="AXD7" s="1185"/>
      <c r="AXE7" s="1185"/>
      <c r="AXF7" s="1185"/>
      <c r="AXG7" s="1185"/>
      <c r="AXH7" s="1185"/>
      <c r="AXI7" s="1185"/>
      <c r="AXJ7" s="1185"/>
      <c r="AXK7" s="1185"/>
      <c r="AXL7" s="1185"/>
      <c r="AXM7" s="1185"/>
      <c r="AXN7" s="1185"/>
      <c r="AXO7" s="1185"/>
      <c r="AXP7" s="1185"/>
      <c r="AXQ7" s="1185"/>
      <c r="AXR7" s="1185"/>
      <c r="AXS7" s="1185"/>
      <c r="AXT7" s="1185"/>
      <c r="AXU7" s="1185"/>
      <c r="AXV7" s="1185"/>
      <c r="AXW7" s="1185"/>
      <c r="AXX7" s="1185"/>
      <c r="AXY7" s="1185"/>
      <c r="AXZ7" s="1185"/>
      <c r="AYA7" s="1185"/>
      <c r="AYB7" s="1185"/>
      <c r="AYC7" s="1185"/>
      <c r="AYD7" s="1185"/>
      <c r="AYE7" s="1185"/>
      <c r="AYF7" s="1185"/>
      <c r="AYG7" s="1185"/>
      <c r="AYH7" s="1185"/>
      <c r="AYI7" s="1185"/>
      <c r="AYJ7" s="1185"/>
      <c r="AYK7" s="1185"/>
      <c r="AYL7" s="1185"/>
      <c r="AYM7" s="1185"/>
      <c r="AYN7" s="1185"/>
      <c r="AYO7" s="1185"/>
      <c r="AYP7" s="1185"/>
      <c r="AYQ7" s="1185"/>
      <c r="AYR7" s="1185"/>
      <c r="AYS7" s="1185"/>
      <c r="AYT7" s="1185"/>
      <c r="AYU7" s="1185"/>
      <c r="AYV7" s="1185"/>
      <c r="AYW7" s="1185"/>
      <c r="AYX7" s="1185"/>
      <c r="AYY7" s="1185"/>
      <c r="AYZ7" s="1185"/>
      <c r="AZA7" s="1185"/>
      <c r="AZB7" s="1185"/>
      <c r="AZC7" s="1185"/>
      <c r="AZD7" s="1185"/>
      <c r="AZE7" s="1185"/>
      <c r="AZF7" s="1185"/>
      <c r="AZG7" s="1185"/>
      <c r="AZH7" s="1185"/>
      <c r="AZI7" s="1185"/>
      <c r="AZJ7" s="1185"/>
      <c r="AZK7" s="1185"/>
      <c r="AZL7" s="1185"/>
      <c r="AZM7" s="1185"/>
      <c r="AZN7" s="1185"/>
      <c r="AZO7" s="1185"/>
      <c r="AZP7" s="1185"/>
      <c r="AZQ7" s="1185"/>
      <c r="AZR7" s="1185"/>
      <c r="AZS7" s="1185"/>
      <c r="AZT7" s="1185"/>
      <c r="AZU7" s="1185"/>
      <c r="AZV7" s="1185"/>
      <c r="AZW7" s="1185"/>
      <c r="AZX7" s="1185"/>
      <c r="AZY7" s="1185"/>
      <c r="AZZ7" s="1185"/>
      <c r="BAA7" s="1185"/>
      <c r="BAB7" s="1185"/>
      <c r="BAC7" s="1185"/>
      <c r="BAD7" s="1185"/>
      <c r="BAE7" s="1185"/>
      <c r="BAF7" s="1185"/>
      <c r="BAG7" s="1185"/>
      <c r="BAH7" s="1185"/>
      <c r="BAI7" s="1185"/>
      <c r="BAJ7" s="1185"/>
      <c r="BAK7" s="1185"/>
      <c r="BAL7" s="1185"/>
      <c r="BAM7" s="1185"/>
      <c r="BAN7" s="1185"/>
      <c r="BAO7" s="1185"/>
      <c r="BAP7" s="1185"/>
      <c r="BAQ7" s="1185"/>
      <c r="BAR7" s="1185"/>
      <c r="BAS7" s="1185"/>
      <c r="BAT7" s="1185"/>
      <c r="BAU7" s="1185"/>
      <c r="BAV7" s="1185"/>
      <c r="BAW7" s="1185"/>
      <c r="BAX7" s="1185"/>
      <c r="BAY7" s="1185"/>
      <c r="BAZ7" s="1185"/>
      <c r="BBA7" s="1185"/>
      <c r="BBB7" s="1185"/>
      <c r="BBC7" s="1185"/>
      <c r="BBD7" s="1185"/>
      <c r="BBE7" s="1185"/>
      <c r="BBF7" s="1185"/>
      <c r="BBG7" s="1185"/>
      <c r="BBH7" s="1185"/>
      <c r="BBI7" s="1185"/>
      <c r="BBJ7" s="1185"/>
      <c r="BBK7" s="1185"/>
      <c r="BBL7" s="1185"/>
      <c r="BBM7" s="1185"/>
      <c r="BBN7" s="1185"/>
      <c r="BBO7" s="1185"/>
      <c r="BBP7" s="1185"/>
      <c r="BBQ7" s="1185"/>
      <c r="BBR7" s="1185"/>
      <c r="BBS7" s="1185"/>
      <c r="BBT7" s="1185"/>
      <c r="BBU7" s="1185"/>
      <c r="BBV7" s="1185"/>
      <c r="BBW7" s="1185"/>
      <c r="BBX7" s="1185"/>
      <c r="BBY7" s="1185"/>
      <c r="BBZ7" s="1185"/>
      <c r="BCA7" s="1185"/>
      <c r="BCB7" s="1185"/>
      <c r="BCC7" s="1185"/>
      <c r="BCD7" s="1185"/>
      <c r="BCE7" s="1185"/>
      <c r="BCF7" s="1185"/>
      <c r="BCG7" s="1185"/>
      <c r="BCH7" s="1185"/>
      <c r="BCI7" s="1185"/>
      <c r="BCJ7" s="1185"/>
      <c r="BCK7" s="1185"/>
      <c r="BCL7" s="1185"/>
      <c r="BCM7" s="1185"/>
      <c r="BCN7" s="1185"/>
      <c r="BCO7" s="1185"/>
      <c r="BCP7" s="1185"/>
      <c r="BCQ7" s="1185"/>
      <c r="BCR7" s="1185"/>
      <c r="BCS7" s="1185"/>
      <c r="BCT7" s="1185"/>
      <c r="BCU7" s="1185"/>
      <c r="BCV7" s="1185"/>
      <c r="BCW7" s="1185"/>
      <c r="BCX7" s="1185"/>
      <c r="BCY7" s="1185"/>
      <c r="BCZ7" s="1185"/>
      <c r="BDA7" s="1185"/>
      <c r="BDB7" s="1185"/>
      <c r="BDC7" s="1185"/>
      <c r="BDD7" s="1185"/>
      <c r="BDE7" s="1185"/>
      <c r="BDF7" s="1185"/>
      <c r="BDG7" s="1185"/>
      <c r="BDH7" s="1185"/>
      <c r="BDI7" s="1185"/>
      <c r="BDJ7" s="1185"/>
      <c r="BDK7" s="1185"/>
      <c r="BDL7" s="1185"/>
      <c r="BDM7" s="1185"/>
      <c r="BDN7" s="1185"/>
      <c r="BDO7" s="1185"/>
      <c r="BDP7" s="1185"/>
      <c r="BDQ7" s="1185"/>
      <c r="BDR7" s="1185"/>
      <c r="BDS7" s="1185"/>
      <c r="BDT7" s="1185"/>
      <c r="BDU7" s="1185"/>
      <c r="BDV7" s="1185"/>
      <c r="BDW7" s="1185"/>
      <c r="BDX7" s="1185"/>
      <c r="BDY7" s="1185"/>
      <c r="BDZ7" s="1185"/>
      <c r="BEA7" s="1185"/>
      <c r="BEB7" s="1185"/>
      <c r="BEC7" s="1185"/>
      <c r="BED7" s="1185"/>
      <c r="BEE7" s="1185"/>
      <c r="BEF7" s="1185"/>
      <c r="BEG7" s="1185"/>
      <c r="BEH7" s="1185"/>
      <c r="BEI7" s="1185"/>
      <c r="BEJ7" s="1185"/>
      <c r="BEK7" s="1185"/>
      <c r="BEL7" s="1185"/>
      <c r="BEM7" s="1185"/>
      <c r="BEN7" s="1185"/>
      <c r="BEO7" s="1185"/>
      <c r="BEP7" s="1185"/>
      <c r="BEQ7" s="1185"/>
      <c r="BER7" s="1185"/>
      <c r="BES7" s="1185"/>
      <c r="BET7" s="1185"/>
      <c r="BEU7" s="1185"/>
      <c r="BEV7" s="1185"/>
      <c r="BEW7" s="1185"/>
      <c r="BEX7" s="1185"/>
      <c r="BEY7" s="1185"/>
      <c r="BEZ7" s="1185"/>
      <c r="BFA7" s="1185"/>
      <c r="BFB7" s="1185"/>
      <c r="BFC7" s="1185"/>
      <c r="BFD7" s="1185"/>
      <c r="BFE7" s="1185"/>
      <c r="BFF7" s="1185"/>
      <c r="BFG7" s="1185"/>
      <c r="BFH7" s="1185"/>
      <c r="BFI7" s="1185"/>
      <c r="BFJ7" s="1185"/>
      <c r="BFK7" s="1185"/>
      <c r="BFL7" s="1185"/>
      <c r="BFM7" s="1185"/>
      <c r="BFN7" s="1185"/>
      <c r="BFO7" s="1185"/>
      <c r="BFP7" s="1185"/>
      <c r="BFQ7" s="1185"/>
      <c r="BFR7" s="1185"/>
      <c r="BFS7" s="1185"/>
      <c r="BFT7" s="1185"/>
      <c r="BFU7" s="1185"/>
      <c r="BFV7" s="1185"/>
      <c r="BFW7" s="1185"/>
      <c r="BFX7" s="1185"/>
      <c r="BFY7" s="1185"/>
      <c r="BFZ7" s="1185"/>
      <c r="BGA7" s="1185"/>
      <c r="BGB7" s="1185"/>
      <c r="BGC7" s="1185"/>
      <c r="BGD7" s="1185"/>
      <c r="BGE7" s="1185"/>
      <c r="BGF7" s="1185"/>
      <c r="BGG7" s="1185"/>
      <c r="BGH7" s="1185"/>
      <c r="BGI7" s="1185"/>
      <c r="BGJ7" s="1185"/>
      <c r="BGK7" s="1185"/>
      <c r="BGL7" s="1185"/>
      <c r="BGM7" s="1185"/>
      <c r="BGN7" s="1185"/>
      <c r="BGO7" s="1185"/>
      <c r="BGP7" s="1185"/>
      <c r="BGQ7" s="1185"/>
      <c r="BGR7" s="1185"/>
      <c r="BGS7" s="1185"/>
      <c r="BGT7" s="1185"/>
      <c r="BGU7" s="1185"/>
      <c r="BGV7" s="1185"/>
      <c r="BGW7" s="1185"/>
      <c r="BGX7" s="1185"/>
      <c r="BGY7" s="1185"/>
      <c r="BGZ7" s="1185"/>
      <c r="BHA7" s="1185"/>
      <c r="BHB7" s="1185"/>
      <c r="BHC7" s="1185"/>
      <c r="BHD7" s="1185"/>
      <c r="BHE7" s="1185"/>
      <c r="BHF7" s="1185"/>
      <c r="BHG7" s="1185"/>
      <c r="BHH7" s="1185"/>
      <c r="BHI7" s="1185"/>
      <c r="BHJ7" s="1185"/>
      <c r="BHK7" s="1185"/>
      <c r="BHL7" s="1185"/>
      <c r="BHM7" s="1185"/>
      <c r="BHN7" s="1185"/>
      <c r="BHO7" s="1185"/>
      <c r="BHP7" s="1185"/>
      <c r="BHQ7" s="1185"/>
      <c r="BHR7" s="1185"/>
      <c r="BHS7" s="1185"/>
      <c r="BHT7" s="1185"/>
      <c r="BHU7" s="1185"/>
      <c r="BHV7" s="1185"/>
      <c r="BHW7" s="1185"/>
      <c r="BHX7" s="1185"/>
      <c r="BHY7" s="1185"/>
      <c r="BHZ7" s="1185"/>
      <c r="BIA7" s="1185"/>
      <c r="BIB7" s="1185"/>
      <c r="BIC7" s="1185"/>
      <c r="BID7" s="1185"/>
      <c r="BIE7" s="1185"/>
      <c r="BIF7" s="1185"/>
      <c r="BIG7" s="1185"/>
      <c r="BIH7" s="1185"/>
      <c r="BII7" s="1185"/>
      <c r="BIJ7" s="1185"/>
      <c r="BIK7" s="1185"/>
      <c r="BIL7" s="1185"/>
      <c r="BIM7" s="1185"/>
      <c r="BIN7" s="1185"/>
      <c r="BIO7" s="1185"/>
      <c r="BIP7" s="1185"/>
      <c r="BIQ7" s="1185"/>
      <c r="BIR7" s="1185"/>
      <c r="BIS7" s="1185"/>
      <c r="BIT7" s="1185"/>
      <c r="BIU7" s="1185"/>
      <c r="BIV7" s="1185"/>
      <c r="BIW7" s="1185"/>
      <c r="BIX7" s="1185"/>
      <c r="BIY7" s="1185"/>
      <c r="BIZ7" s="1185"/>
      <c r="BJA7" s="1185"/>
      <c r="BJB7" s="1185"/>
      <c r="BJC7" s="1185"/>
      <c r="BJD7" s="1185"/>
      <c r="BJE7" s="1185"/>
      <c r="BJF7" s="1185"/>
      <c r="BJG7" s="1185"/>
      <c r="BJH7" s="1185"/>
      <c r="BJI7" s="1185"/>
      <c r="BJJ7" s="1185"/>
      <c r="BJK7" s="1185"/>
      <c r="BJL7" s="1185"/>
      <c r="BJM7" s="1185"/>
      <c r="BJN7" s="1185"/>
      <c r="BJO7" s="1185"/>
      <c r="BJP7" s="1185"/>
      <c r="BJQ7" s="1185"/>
      <c r="BJR7" s="1185"/>
      <c r="BJS7" s="1185"/>
      <c r="BJT7" s="1185"/>
      <c r="BJU7" s="1185"/>
      <c r="BJV7" s="1185"/>
      <c r="BJW7" s="1185"/>
      <c r="BJX7" s="1185"/>
      <c r="BJY7" s="1185"/>
      <c r="BJZ7" s="1185"/>
      <c r="BKA7" s="1185"/>
      <c r="BKB7" s="1185"/>
      <c r="BKC7" s="1185"/>
      <c r="BKD7" s="1185"/>
      <c r="BKE7" s="1185"/>
      <c r="BKF7" s="1185"/>
      <c r="BKG7" s="1185"/>
      <c r="BKH7" s="1185"/>
      <c r="BKI7" s="1185"/>
      <c r="BKJ7" s="1185"/>
      <c r="BKK7" s="1185"/>
      <c r="BKL7" s="1185"/>
      <c r="BKM7" s="1185"/>
      <c r="BKN7" s="1185"/>
      <c r="BKO7" s="1185"/>
      <c r="BKP7" s="1185"/>
      <c r="BKQ7" s="1185"/>
      <c r="BKR7" s="1185"/>
      <c r="BKS7" s="1185"/>
      <c r="BKT7" s="1185"/>
      <c r="BKU7" s="1185"/>
      <c r="BKV7" s="1185"/>
      <c r="BKW7" s="1185"/>
      <c r="BKX7" s="1185"/>
      <c r="BKY7" s="1185"/>
      <c r="BKZ7" s="1185"/>
      <c r="BLA7" s="1185"/>
      <c r="BLB7" s="1185"/>
      <c r="BLC7" s="1185"/>
      <c r="BLD7" s="1185"/>
      <c r="BLE7" s="1185"/>
      <c r="BLF7" s="1185"/>
      <c r="BLG7" s="1185"/>
      <c r="BLH7" s="1185"/>
      <c r="BLI7" s="1185"/>
      <c r="BLJ7" s="1185"/>
      <c r="BLK7" s="1185"/>
      <c r="BLL7" s="1185"/>
      <c r="BLM7" s="1185"/>
      <c r="BLN7" s="1185"/>
      <c r="BLO7" s="1185"/>
      <c r="BLP7" s="1185"/>
      <c r="BLQ7" s="1185"/>
      <c r="BLR7" s="1185"/>
      <c r="BLS7" s="1185"/>
      <c r="BLT7" s="1185"/>
      <c r="BLU7" s="1185"/>
      <c r="BLV7" s="1185"/>
      <c r="BLW7" s="1185"/>
      <c r="BLX7" s="1185"/>
      <c r="BLY7" s="1185"/>
      <c r="BLZ7" s="1185"/>
      <c r="BMA7" s="1185"/>
      <c r="BMB7" s="1185"/>
      <c r="BMC7" s="1185"/>
      <c r="BMD7" s="1185"/>
      <c r="BME7" s="1185"/>
      <c r="BMF7" s="1185"/>
      <c r="BMG7" s="1185"/>
      <c r="BMH7" s="1185"/>
      <c r="BMI7" s="1185"/>
      <c r="BMJ7" s="1185"/>
      <c r="BMK7" s="1185"/>
      <c r="BML7" s="1185"/>
      <c r="BMM7" s="1185"/>
      <c r="BMN7" s="1185"/>
      <c r="BMO7" s="1185"/>
      <c r="BMP7" s="1185"/>
      <c r="BMQ7" s="1185"/>
      <c r="BMR7" s="1185"/>
      <c r="BMS7" s="1185"/>
      <c r="BMT7" s="1185"/>
      <c r="BMU7" s="1185"/>
      <c r="BMV7" s="1185"/>
      <c r="BMW7" s="1185"/>
      <c r="BMX7" s="1185"/>
      <c r="BMY7" s="1185"/>
      <c r="BMZ7" s="1185"/>
      <c r="BNA7" s="1185"/>
      <c r="BNB7" s="1185"/>
      <c r="BNC7" s="1185"/>
      <c r="BND7" s="1185"/>
      <c r="BNE7" s="1185"/>
      <c r="BNF7" s="1185"/>
      <c r="BNG7" s="1185"/>
      <c r="BNH7" s="1185"/>
      <c r="BNI7" s="1185"/>
      <c r="BNJ7" s="1185"/>
      <c r="BNK7" s="1185"/>
      <c r="BNL7" s="1185"/>
      <c r="BNM7" s="1185"/>
      <c r="BNN7" s="1185"/>
      <c r="BNO7" s="1185"/>
      <c r="BNP7" s="1185"/>
      <c r="BNQ7" s="1185"/>
      <c r="BNR7" s="1185"/>
      <c r="BNS7" s="1185"/>
      <c r="BNT7" s="1185"/>
      <c r="BNU7" s="1185"/>
      <c r="BNV7" s="1185"/>
      <c r="BNW7" s="1185"/>
      <c r="BNX7" s="1185"/>
      <c r="BNY7" s="1185"/>
      <c r="BNZ7" s="1185"/>
      <c r="BOA7" s="1185"/>
      <c r="BOB7" s="1185"/>
      <c r="BOC7" s="1185"/>
      <c r="BOD7" s="1185"/>
      <c r="BOE7" s="1185"/>
      <c r="BOF7" s="1185"/>
      <c r="BOG7" s="1185"/>
      <c r="BOH7" s="1185"/>
      <c r="BOI7" s="1185"/>
      <c r="BOJ7" s="1185"/>
      <c r="BOK7" s="1185"/>
      <c r="BOL7" s="1185"/>
      <c r="BOM7" s="1185"/>
      <c r="BON7" s="1185"/>
      <c r="BOO7" s="1185"/>
      <c r="BOP7" s="1185"/>
      <c r="BOQ7" s="1185"/>
      <c r="BOR7" s="1185"/>
      <c r="BOS7" s="1185"/>
      <c r="BOT7" s="1185"/>
      <c r="BOU7" s="1185"/>
      <c r="BOV7" s="1185"/>
      <c r="BOW7" s="1185"/>
      <c r="BOX7" s="1185"/>
      <c r="BOY7" s="1185"/>
      <c r="BOZ7" s="1185"/>
      <c r="BPA7" s="1185"/>
      <c r="BPB7" s="1185"/>
      <c r="BPC7" s="1185"/>
      <c r="BPD7" s="1185"/>
      <c r="BPE7" s="1185"/>
      <c r="BPF7" s="1185"/>
      <c r="BPG7" s="1185"/>
      <c r="BPH7" s="1185"/>
      <c r="BPI7" s="1185"/>
      <c r="BPJ7" s="1185"/>
      <c r="BPK7" s="1185"/>
      <c r="BPL7" s="1185"/>
      <c r="BPM7" s="1185"/>
      <c r="BPN7" s="1185"/>
      <c r="BPO7" s="1185"/>
      <c r="BPP7" s="1185"/>
      <c r="BPQ7" s="1185"/>
      <c r="BPR7" s="1185"/>
      <c r="BPS7" s="1185"/>
      <c r="BPT7" s="1185"/>
      <c r="BPU7" s="1185"/>
      <c r="BPV7" s="1185"/>
      <c r="BPW7" s="1185"/>
      <c r="BPX7" s="1185"/>
      <c r="BPY7" s="1185"/>
      <c r="BPZ7" s="1185"/>
      <c r="BQA7" s="1185"/>
      <c r="BQB7" s="1185"/>
      <c r="BQC7" s="1185"/>
      <c r="BQD7" s="1185"/>
      <c r="BQE7" s="1185"/>
      <c r="BQF7" s="1185"/>
      <c r="BQG7" s="1185"/>
      <c r="BQH7" s="1185"/>
      <c r="BQI7" s="1185"/>
      <c r="BQJ7" s="1185"/>
      <c r="BQK7" s="1185"/>
      <c r="BQL7" s="1185"/>
      <c r="BQM7" s="1185"/>
      <c r="BQN7" s="1185"/>
      <c r="BQO7" s="1185"/>
      <c r="BQP7" s="1185"/>
      <c r="BQQ7" s="1185"/>
      <c r="BQR7" s="1185"/>
      <c r="BQS7" s="1185"/>
      <c r="BQT7" s="1185"/>
      <c r="BQU7" s="1185"/>
      <c r="BQV7" s="1185"/>
      <c r="BQW7" s="1185"/>
      <c r="BQX7" s="1185"/>
      <c r="BQY7" s="1185"/>
      <c r="BQZ7" s="1185"/>
      <c r="BRA7" s="1185"/>
      <c r="BRB7" s="1185"/>
      <c r="BRC7" s="1185"/>
      <c r="BRD7" s="1185"/>
      <c r="BRE7" s="1185"/>
      <c r="BRF7" s="1185"/>
      <c r="BRG7" s="1185"/>
      <c r="BRH7" s="1185"/>
      <c r="BRI7" s="1185"/>
      <c r="BRJ7" s="1185"/>
      <c r="BRK7" s="1185"/>
      <c r="BRL7" s="1185"/>
      <c r="BRM7" s="1185"/>
      <c r="BRN7" s="1185"/>
      <c r="BRO7" s="1185"/>
      <c r="BRP7" s="1185"/>
      <c r="BRQ7" s="1185"/>
      <c r="BRR7" s="1185"/>
      <c r="BRS7" s="1185"/>
      <c r="BRT7" s="1185"/>
      <c r="BRU7" s="1185"/>
      <c r="BRV7" s="1185"/>
      <c r="BRW7" s="1185"/>
      <c r="BRX7" s="1185"/>
      <c r="BRY7" s="1185"/>
      <c r="BRZ7" s="1185"/>
      <c r="BSA7" s="1185"/>
      <c r="BSB7" s="1185"/>
      <c r="BSC7" s="1185"/>
      <c r="BSD7" s="1185"/>
      <c r="BSE7" s="1185"/>
      <c r="BSF7" s="1185"/>
      <c r="BSG7" s="1185"/>
      <c r="BSH7" s="1185"/>
      <c r="BSI7" s="1185"/>
      <c r="BSJ7" s="1185"/>
      <c r="BSK7" s="1185"/>
      <c r="BSL7" s="1185"/>
      <c r="BSM7" s="1185"/>
      <c r="BSN7" s="1185"/>
      <c r="BSO7" s="1185"/>
      <c r="BSP7" s="1185"/>
      <c r="BSQ7" s="1185"/>
      <c r="BSR7" s="1185"/>
      <c r="BSS7" s="1185"/>
      <c r="BST7" s="1185"/>
      <c r="BSU7" s="1185"/>
      <c r="BSV7" s="1185"/>
      <c r="BSW7" s="1185"/>
      <c r="BSX7" s="1185"/>
      <c r="BSY7" s="1185"/>
      <c r="BSZ7" s="1185"/>
      <c r="BTA7" s="1185"/>
      <c r="BTB7" s="1185"/>
      <c r="BTC7" s="1185"/>
      <c r="BTD7" s="1185"/>
      <c r="BTE7" s="1185"/>
      <c r="BTF7" s="1185"/>
      <c r="BTG7" s="1185"/>
      <c r="BTH7" s="1185"/>
      <c r="BTI7" s="1185"/>
      <c r="BTJ7" s="1185"/>
      <c r="BTK7" s="1185"/>
      <c r="BTL7" s="1185"/>
      <c r="BTM7" s="1185"/>
      <c r="BTN7" s="1185"/>
      <c r="BTO7" s="1185"/>
      <c r="BTP7" s="1185"/>
      <c r="BTQ7" s="1185"/>
      <c r="BTR7" s="1185"/>
      <c r="BTS7" s="1185"/>
      <c r="BTT7" s="1185"/>
      <c r="BTU7" s="1185"/>
      <c r="BTV7" s="1185"/>
      <c r="BTW7" s="1185"/>
      <c r="BTX7" s="1185"/>
      <c r="BTY7" s="1185"/>
      <c r="BTZ7" s="1185"/>
      <c r="BUA7" s="1185"/>
      <c r="BUB7" s="1185"/>
      <c r="BUC7" s="1185"/>
      <c r="BUD7" s="1185"/>
      <c r="BUE7" s="1185"/>
      <c r="BUF7" s="1185"/>
      <c r="BUG7" s="1185"/>
      <c r="BUH7" s="1185"/>
      <c r="BUI7" s="1185"/>
      <c r="BUJ7" s="1185"/>
      <c r="BUK7" s="1185"/>
      <c r="BUL7" s="1185"/>
      <c r="BUM7" s="1185"/>
      <c r="BUN7" s="1185"/>
      <c r="BUO7" s="1185"/>
      <c r="BUP7" s="1185"/>
      <c r="BUQ7" s="1185"/>
      <c r="BUR7" s="1185"/>
      <c r="BUS7" s="1185"/>
      <c r="BUT7" s="1185"/>
      <c r="BUU7" s="1185"/>
      <c r="BUV7" s="1185"/>
      <c r="BUW7" s="1185"/>
      <c r="BUX7" s="1185"/>
      <c r="BUY7" s="1185"/>
      <c r="BUZ7" s="1185"/>
      <c r="BVA7" s="1185"/>
      <c r="BVB7" s="1185"/>
      <c r="BVC7" s="1185"/>
      <c r="BVD7" s="1185"/>
      <c r="BVE7" s="1185"/>
      <c r="BVF7" s="1185"/>
      <c r="BVG7" s="1185"/>
      <c r="BVH7" s="1185"/>
      <c r="BVI7" s="1185"/>
      <c r="BVJ7" s="1185"/>
      <c r="BVK7" s="1185"/>
      <c r="BVL7" s="1185"/>
      <c r="BVM7" s="1185"/>
      <c r="BVN7" s="1185"/>
      <c r="BVO7" s="1185"/>
      <c r="BVP7" s="1185"/>
      <c r="BVQ7" s="1185"/>
      <c r="BVR7" s="1185"/>
      <c r="BVS7" s="1185"/>
      <c r="BVT7" s="1185"/>
      <c r="BVU7" s="1185"/>
      <c r="BVV7" s="1185"/>
      <c r="BVW7" s="1185"/>
      <c r="BVX7" s="1185"/>
      <c r="BVY7" s="1185"/>
      <c r="BVZ7" s="1185"/>
      <c r="BWA7" s="1185"/>
      <c r="BWB7" s="1185"/>
      <c r="BWC7" s="1185"/>
      <c r="BWD7" s="1185"/>
      <c r="BWE7" s="1185"/>
      <c r="BWF7" s="1185"/>
      <c r="BWG7" s="1185"/>
      <c r="BWH7" s="1185"/>
      <c r="BWI7" s="1185"/>
      <c r="BWJ7" s="1185"/>
      <c r="BWK7" s="1185"/>
      <c r="BWL7" s="1185"/>
      <c r="BWM7" s="1185"/>
      <c r="BWN7" s="1185"/>
      <c r="BWO7" s="1185"/>
      <c r="BWP7" s="1185"/>
      <c r="BWQ7" s="1185"/>
      <c r="BWR7" s="1185"/>
      <c r="BWS7" s="1185"/>
      <c r="BWT7" s="1185"/>
      <c r="BWU7" s="1185"/>
      <c r="BWV7" s="1185"/>
      <c r="BWW7" s="1185"/>
      <c r="BWX7" s="1185"/>
      <c r="BWY7" s="1185"/>
      <c r="BWZ7" s="1185"/>
      <c r="BXA7" s="1185"/>
      <c r="BXB7" s="1185"/>
      <c r="BXC7" s="1185"/>
      <c r="BXD7" s="1185"/>
      <c r="BXE7" s="1185"/>
      <c r="BXF7" s="1185"/>
      <c r="BXG7" s="1185"/>
      <c r="BXH7" s="1185"/>
      <c r="BXI7" s="1185"/>
      <c r="BXJ7" s="1185"/>
      <c r="BXK7" s="1185"/>
      <c r="BXL7" s="1185"/>
      <c r="BXM7" s="1185"/>
      <c r="BXN7" s="1185"/>
      <c r="BXO7" s="1185"/>
      <c r="BXP7" s="1185"/>
      <c r="BXQ7" s="1185"/>
      <c r="BXR7" s="1185"/>
      <c r="BXS7" s="1185"/>
      <c r="BXT7" s="1185"/>
      <c r="BXU7" s="1185"/>
      <c r="BXV7" s="1185"/>
      <c r="BXW7" s="1185"/>
      <c r="BXX7" s="1185"/>
      <c r="BXY7" s="1185"/>
      <c r="BXZ7" s="1185"/>
      <c r="BYA7" s="1185"/>
      <c r="BYB7" s="1185"/>
      <c r="BYC7" s="1185"/>
      <c r="BYD7" s="1185"/>
      <c r="BYE7" s="1185"/>
      <c r="BYF7" s="1185"/>
      <c r="BYG7" s="1185"/>
      <c r="BYH7" s="1185"/>
      <c r="BYI7" s="1185"/>
      <c r="BYJ7" s="1185"/>
      <c r="BYK7" s="1185"/>
      <c r="BYL7" s="1185"/>
      <c r="BYM7" s="1185"/>
      <c r="BYN7" s="1185"/>
      <c r="BYO7" s="1185"/>
      <c r="BYP7" s="1185"/>
      <c r="BYQ7" s="1185"/>
      <c r="BYR7" s="1185"/>
      <c r="BYS7" s="1185"/>
      <c r="BYT7" s="1185"/>
      <c r="BYU7" s="1185"/>
      <c r="BYV7" s="1185"/>
      <c r="BYW7" s="1185"/>
      <c r="BYX7" s="1185"/>
      <c r="BYY7" s="1185"/>
      <c r="BYZ7" s="1185"/>
      <c r="BZA7" s="1185"/>
      <c r="BZB7" s="1185"/>
      <c r="BZC7" s="1185"/>
      <c r="BZD7" s="1185"/>
      <c r="BZE7" s="1185"/>
      <c r="BZF7" s="1185"/>
      <c r="BZG7" s="1185"/>
      <c r="BZH7" s="1185"/>
      <c r="BZI7" s="1185"/>
      <c r="BZJ7" s="1185"/>
      <c r="BZK7" s="1185"/>
      <c r="BZL7" s="1185"/>
      <c r="BZM7" s="1185"/>
      <c r="BZN7" s="1185"/>
      <c r="BZO7" s="1185"/>
      <c r="BZP7" s="1185"/>
      <c r="BZQ7" s="1185"/>
      <c r="BZR7" s="1185"/>
      <c r="BZS7" s="1185"/>
      <c r="BZT7" s="1185"/>
      <c r="BZU7" s="1185"/>
      <c r="BZV7" s="1185"/>
      <c r="BZW7" s="1185"/>
      <c r="BZX7" s="1185"/>
      <c r="BZY7" s="1185"/>
      <c r="BZZ7" s="1185"/>
      <c r="CAA7" s="1185"/>
      <c r="CAB7" s="1185"/>
      <c r="CAC7" s="1185"/>
      <c r="CAD7" s="1185"/>
      <c r="CAE7" s="1185"/>
      <c r="CAF7" s="1185"/>
      <c r="CAG7" s="1185"/>
      <c r="CAH7" s="1185"/>
      <c r="CAI7" s="1185"/>
      <c r="CAJ7" s="1185"/>
      <c r="CAK7" s="1185"/>
      <c r="CAL7" s="1185"/>
      <c r="CAM7" s="1185"/>
      <c r="CAN7" s="1185"/>
      <c r="CAO7" s="1185"/>
      <c r="CAP7" s="1185"/>
      <c r="CAQ7" s="1185"/>
      <c r="CAR7" s="1185"/>
      <c r="CAS7" s="1185"/>
      <c r="CAT7" s="1185"/>
      <c r="CAU7" s="1185"/>
      <c r="CAV7" s="1185"/>
      <c r="CAW7" s="1185"/>
      <c r="CAX7" s="1185"/>
      <c r="CAY7" s="1185"/>
      <c r="CAZ7" s="1185"/>
      <c r="CBA7" s="1185"/>
      <c r="CBB7" s="1185"/>
      <c r="CBC7" s="1185"/>
      <c r="CBD7" s="1185"/>
      <c r="CBE7" s="1185"/>
      <c r="CBF7" s="1185"/>
      <c r="CBG7" s="1185"/>
      <c r="CBH7" s="1185"/>
      <c r="CBI7" s="1185"/>
      <c r="CBJ7" s="1185"/>
      <c r="CBK7" s="1185"/>
      <c r="CBL7" s="1185"/>
      <c r="CBM7" s="1185"/>
      <c r="CBN7" s="1185"/>
      <c r="CBO7" s="1185"/>
      <c r="CBP7" s="1185"/>
      <c r="CBQ7" s="1185"/>
      <c r="CBR7" s="1185"/>
      <c r="CBS7" s="1185"/>
      <c r="CBT7" s="1185"/>
      <c r="CBU7" s="1185"/>
      <c r="CBV7" s="1185"/>
      <c r="CBW7" s="1185"/>
      <c r="CBX7" s="1185"/>
      <c r="CBY7" s="1185"/>
      <c r="CBZ7" s="1185"/>
      <c r="CCA7" s="1185"/>
      <c r="CCB7" s="1185"/>
      <c r="CCC7" s="1185"/>
      <c r="CCD7" s="1185"/>
      <c r="CCE7" s="1185"/>
      <c r="CCF7" s="1185"/>
      <c r="CCG7" s="1185"/>
      <c r="CCH7" s="1185"/>
      <c r="CCI7" s="1185"/>
      <c r="CCJ7" s="1185"/>
      <c r="CCK7" s="1185"/>
      <c r="CCL7" s="1185"/>
      <c r="CCM7" s="1185"/>
      <c r="CCN7" s="1185"/>
      <c r="CCO7" s="1185"/>
      <c r="CCP7" s="1185"/>
      <c r="CCQ7" s="1185"/>
      <c r="CCR7" s="1185"/>
      <c r="CCS7" s="1185"/>
      <c r="CCT7" s="1185"/>
      <c r="CCU7" s="1185"/>
      <c r="CCV7" s="1185"/>
      <c r="CCW7" s="1185"/>
      <c r="CCX7" s="1185"/>
      <c r="CCY7" s="1185"/>
      <c r="CCZ7" s="1185"/>
      <c r="CDA7" s="1185"/>
      <c r="CDB7" s="1185"/>
      <c r="CDC7" s="1185"/>
      <c r="CDD7" s="1185"/>
      <c r="CDE7" s="1185"/>
      <c r="CDF7" s="1185"/>
      <c r="CDG7" s="1185"/>
      <c r="CDH7" s="1185"/>
      <c r="CDI7" s="1185"/>
      <c r="CDJ7" s="1185"/>
      <c r="CDK7" s="1185"/>
      <c r="CDL7" s="1185"/>
      <c r="CDM7" s="1185"/>
      <c r="CDN7" s="1185"/>
      <c r="CDO7" s="1185"/>
      <c r="CDP7" s="1185"/>
      <c r="CDQ7" s="1185"/>
      <c r="CDR7" s="1185"/>
      <c r="CDS7" s="1185"/>
      <c r="CDT7" s="1185"/>
      <c r="CDU7" s="1185"/>
      <c r="CDV7" s="1185"/>
      <c r="CDW7" s="1185"/>
      <c r="CDX7" s="1185"/>
      <c r="CDY7" s="1185"/>
      <c r="CDZ7" s="1185"/>
      <c r="CEA7" s="1185"/>
      <c r="CEB7" s="1185"/>
      <c r="CEC7" s="1185"/>
      <c r="CED7" s="1185"/>
      <c r="CEE7" s="1185"/>
      <c r="CEF7" s="1185"/>
      <c r="CEG7" s="1185"/>
      <c r="CEH7" s="1185"/>
      <c r="CEI7" s="1185"/>
      <c r="CEJ7" s="1185"/>
      <c r="CEK7" s="1185"/>
      <c r="CEL7" s="1185"/>
      <c r="CEM7" s="1185"/>
      <c r="CEN7" s="1185"/>
      <c r="CEO7" s="1185"/>
      <c r="CEP7" s="1185"/>
      <c r="CEQ7" s="1185"/>
      <c r="CER7" s="1185"/>
      <c r="CES7" s="1185"/>
      <c r="CET7" s="1185"/>
      <c r="CEU7" s="1185"/>
      <c r="CEV7" s="1185"/>
      <c r="CEW7" s="1185"/>
      <c r="CEX7" s="1185"/>
      <c r="CEY7" s="1185"/>
      <c r="CEZ7" s="1185"/>
      <c r="CFA7" s="1185"/>
      <c r="CFB7" s="1185"/>
      <c r="CFC7" s="1185"/>
      <c r="CFD7" s="1185"/>
      <c r="CFE7" s="1185"/>
      <c r="CFF7" s="1185"/>
      <c r="CFG7" s="1185"/>
      <c r="CFH7" s="1185"/>
      <c r="CFI7" s="1185"/>
      <c r="CFJ7" s="1185"/>
      <c r="CFK7" s="1185"/>
      <c r="CFL7" s="1185"/>
      <c r="CFM7" s="1185"/>
      <c r="CFN7" s="1185"/>
      <c r="CFO7" s="1185"/>
      <c r="CFP7" s="1185"/>
      <c r="CFQ7" s="1185"/>
      <c r="CFR7" s="1185"/>
      <c r="CFS7" s="1185"/>
      <c r="CFT7" s="1185"/>
      <c r="CFU7" s="1185"/>
      <c r="CFV7" s="1185"/>
      <c r="CFW7" s="1185"/>
      <c r="CFX7" s="1185"/>
      <c r="CFY7" s="1185"/>
      <c r="CFZ7" s="1185"/>
      <c r="CGA7" s="1185"/>
      <c r="CGB7" s="1185"/>
      <c r="CGC7" s="1185"/>
      <c r="CGD7" s="1185"/>
      <c r="CGE7" s="1185"/>
      <c r="CGF7" s="1185"/>
      <c r="CGG7" s="1185"/>
      <c r="CGH7" s="1185"/>
      <c r="CGI7" s="1185"/>
      <c r="CGJ7" s="1185"/>
      <c r="CGK7" s="1185"/>
      <c r="CGL7" s="1185"/>
      <c r="CGM7" s="1185"/>
      <c r="CGN7" s="1185"/>
      <c r="CGO7" s="1185"/>
      <c r="CGP7" s="1185"/>
      <c r="CGQ7" s="1185"/>
      <c r="CGR7" s="1185"/>
      <c r="CGS7" s="1185"/>
      <c r="CGT7" s="1185"/>
      <c r="CGU7" s="1185"/>
      <c r="CGV7" s="1185"/>
      <c r="CGW7" s="1185"/>
      <c r="CGX7" s="1185"/>
      <c r="CGY7" s="1185"/>
      <c r="CGZ7" s="1185"/>
      <c r="CHA7" s="1185"/>
      <c r="CHB7" s="1185"/>
      <c r="CHC7" s="1185"/>
      <c r="CHD7" s="1185"/>
      <c r="CHE7" s="1185"/>
      <c r="CHF7" s="1185"/>
      <c r="CHG7" s="1185"/>
      <c r="CHH7" s="1185"/>
      <c r="CHI7" s="1185"/>
      <c r="CHJ7" s="1185"/>
      <c r="CHK7" s="1185"/>
      <c r="CHL7" s="1185"/>
      <c r="CHM7" s="1185"/>
      <c r="CHN7" s="1185"/>
      <c r="CHO7" s="1185"/>
      <c r="CHP7" s="1185"/>
      <c r="CHQ7" s="1185"/>
      <c r="CHR7" s="1185"/>
      <c r="CHS7" s="1185"/>
      <c r="CHT7" s="1185"/>
      <c r="CHU7" s="1185"/>
      <c r="CHV7" s="1185"/>
      <c r="CHW7" s="1185"/>
      <c r="CHX7" s="1185"/>
      <c r="CHY7" s="1185"/>
      <c r="CHZ7" s="1185"/>
      <c r="CIA7" s="1185"/>
      <c r="CIB7" s="1185"/>
      <c r="CIC7" s="1185"/>
      <c r="CID7" s="1185"/>
      <c r="CIE7" s="1185"/>
      <c r="CIF7" s="1185"/>
      <c r="CIG7" s="1185"/>
      <c r="CIH7" s="1185"/>
      <c r="CII7" s="1185"/>
      <c r="CIJ7" s="1185"/>
      <c r="CIK7" s="1185"/>
      <c r="CIL7" s="1185"/>
      <c r="CIM7" s="1185"/>
      <c r="CIN7" s="1185"/>
      <c r="CIO7" s="1185"/>
      <c r="CIP7" s="1185"/>
      <c r="CIQ7" s="1185"/>
      <c r="CIR7" s="1185"/>
      <c r="CIS7" s="1185"/>
      <c r="CIT7" s="1185"/>
      <c r="CIU7" s="1185"/>
      <c r="CIV7" s="1185"/>
      <c r="CIW7" s="1185"/>
      <c r="CIX7" s="1185"/>
      <c r="CIY7" s="1185"/>
      <c r="CIZ7" s="1185"/>
      <c r="CJA7" s="1185"/>
      <c r="CJB7" s="1185"/>
      <c r="CJC7" s="1185"/>
      <c r="CJD7" s="1185"/>
      <c r="CJE7" s="1185"/>
      <c r="CJF7" s="1185"/>
      <c r="CJG7" s="1185"/>
      <c r="CJH7" s="1185"/>
      <c r="CJI7" s="1185"/>
      <c r="CJJ7" s="1185"/>
      <c r="CJK7" s="1185"/>
      <c r="CJL7" s="1185"/>
      <c r="CJM7" s="1185"/>
      <c r="CJN7" s="1185"/>
      <c r="CJO7" s="1185"/>
      <c r="CJP7" s="1185"/>
      <c r="CJQ7" s="1185"/>
      <c r="CJR7" s="1185"/>
      <c r="CJS7" s="1185"/>
      <c r="CJT7" s="1185"/>
      <c r="CJU7" s="1185"/>
      <c r="CJV7" s="1185"/>
      <c r="CJW7" s="1185"/>
      <c r="CJX7" s="1185"/>
      <c r="CJY7" s="1185"/>
      <c r="CJZ7" s="1185"/>
      <c r="CKA7" s="1185"/>
      <c r="CKB7" s="1185"/>
      <c r="CKC7" s="1185"/>
      <c r="CKD7" s="1185"/>
      <c r="CKE7" s="1185"/>
      <c r="CKF7" s="1185"/>
      <c r="CKG7" s="1185"/>
      <c r="CKH7" s="1185"/>
      <c r="CKI7" s="1185"/>
      <c r="CKJ7" s="1185"/>
      <c r="CKK7" s="1185"/>
      <c r="CKL7" s="1185"/>
      <c r="CKM7" s="1185"/>
      <c r="CKN7" s="1185"/>
      <c r="CKO7" s="1185"/>
      <c r="CKP7" s="1185"/>
      <c r="CKQ7" s="1185"/>
      <c r="CKR7" s="1185"/>
      <c r="CKS7" s="1185"/>
      <c r="CKT7" s="1185"/>
      <c r="CKU7" s="1185"/>
      <c r="CKV7" s="1185"/>
      <c r="CKW7" s="1185"/>
      <c r="CKX7" s="1185"/>
      <c r="CKY7" s="1185"/>
      <c r="CKZ7" s="1185"/>
      <c r="CLA7" s="1185"/>
      <c r="CLB7" s="1185"/>
      <c r="CLC7" s="1185"/>
      <c r="CLD7" s="1185"/>
      <c r="CLE7" s="1185"/>
      <c r="CLF7" s="1185"/>
      <c r="CLG7" s="1185"/>
      <c r="CLH7" s="1185"/>
      <c r="CLI7" s="1185"/>
      <c r="CLJ7" s="1185"/>
      <c r="CLK7" s="1185"/>
      <c r="CLL7" s="1185"/>
      <c r="CLM7" s="1185"/>
      <c r="CLN7" s="1185"/>
      <c r="CLO7" s="1185"/>
      <c r="CLP7" s="1185"/>
      <c r="CLQ7" s="1185"/>
      <c r="CLR7" s="1185"/>
      <c r="CLS7" s="1185"/>
      <c r="CLT7" s="1185"/>
      <c r="CLU7" s="1185"/>
      <c r="CLV7" s="1185"/>
      <c r="CLW7" s="1185"/>
      <c r="CLX7" s="1185"/>
      <c r="CLY7" s="1185"/>
      <c r="CLZ7" s="1185"/>
      <c r="CMA7" s="1185"/>
      <c r="CMB7" s="1185"/>
      <c r="CMC7" s="1185"/>
      <c r="CMD7" s="1185"/>
      <c r="CME7" s="1185"/>
      <c r="CMF7" s="1185"/>
      <c r="CMG7" s="1185"/>
      <c r="CMH7" s="1185"/>
      <c r="CMI7" s="1185"/>
      <c r="CMJ7" s="1185"/>
      <c r="CMK7" s="1185"/>
      <c r="CML7" s="1185"/>
      <c r="CMM7" s="1185"/>
      <c r="CMN7" s="1185"/>
      <c r="CMO7" s="1185"/>
      <c r="CMP7" s="1185"/>
      <c r="CMQ7" s="1185"/>
      <c r="CMR7" s="1185"/>
      <c r="CMS7" s="1185"/>
      <c r="CMT7" s="1185"/>
      <c r="CMU7" s="1185"/>
      <c r="CMV7" s="1185"/>
      <c r="CMW7" s="1185"/>
      <c r="CMX7" s="1185"/>
      <c r="CMY7" s="1185"/>
      <c r="CMZ7" s="1185"/>
      <c r="CNA7" s="1185"/>
      <c r="CNB7" s="1185"/>
      <c r="CNC7" s="1185"/>
      <c r="CND7" s="1185"/>
      <c r="CNE7" s="1185"/>
      <c r="CNF7" s="1185"/>
      <c r="CNG7" s="1185"/>
      <c r="CNH7" s="1185"/>
      <c r="CNI7" s="1185"/>
      <c r="CNJ7" s="1185"/>
      <c r="CNK7" s="1185"/>
      <c r="CNL7" s="1185"/>
      <c r="CNM7" s="1185"/>
      <c r="CNN7" s="1185"/>
      <c r="CNO7" s="1185"/>
      <c r="CNP7" s="1185"/>
      <c r="CNQ7" s="1185"/>
      <c r="CNR7" s="1185"/>
      <c r="CNS7" s="1185"/>
      <c r="CNT7" s="1185"/>
      <c r="CNU7" s="1185"/>
      <c r="CNV7" s="1185"/>
      <c r="CNW7" s="1185"/>
      <c r="CNX7" s="1185"/>
      <c r="CNY7" s="1185"/>
      <c r="CNZ7" s="1185"/>
      <c r="COA7" s="1185"/>
      <c r="COB7" s="1185"/>
      <c r="COC7" s="1185"/>
      <c r="COD7" s="1185"/>
      <c r="COE7" s="1185"/>
      <c r="COF7" s="1185"/>
      <c r="COG7" s="1185"/>
      <c r="COH7" s="1185"/>
      <c r="COI7" s="1185"/>
      <c r="COJ7" s="1185"/>
      <c r="COK7" s="1185"/>
      <c r="COL7" s="1185"/>
      <c r="COM7" s="1185"/>
      <c r="CON7" s="1185"/>
      <c r="COO7" s="1185"/>
      <c r="COP7" s="1185"/>
      <c r="COQ7" s="1185"/>
      <c r="COR7" s="1185"/>
      <c r="COS7" s="1185"/>
      <c r="COT7" s="1185"/>
      <c r="COU7" s="1185"/>
      <c r="COV7" s="1185"/>
      <c r="COW7" s="1185"/>
      <c r="COX7" s="1185"/>
      <c r="COY7" s="1185"/>
      <c r="COZ7" s="1185"/>
      <c r="CPA7" s="1185"/>
      <c r="CPB7" s="1185"/>
      <c r="CPC7" s="1185"/>
      <c r="CPD7" s="1185"/>
      <c r="CPE7" s="1185"/>
      <c r="CPF7" s="1185"/>
      <c r="CPG7" s="1185"/>
      <c r="CPH7" s="1185"/>
      <c r="CPI7" s="1185"/>
      <c r="CPJ7" s="1185"/>
      <c r="CPK7" s="1185"/>
      <c r="CPL7" s="1185"/>
      <c r="CPM7" s="1185"/>
      <c r="CPN7" s="1185"/>
      <c r="CPO7" s="1185"/>
      <c r="CPP7" s="1185"/>
      <c r="CPQ7" s="1185"/>
      <c r="CPR7" s="1185"/>
      <c r="CPS7" s="1185"/>
      <c r="CPT7" s="1185"/>
      <c r="CPU7" s="1185"/>
      <c r="CPV7" s="1185"/>
      <c r="CPW7" s="1185"/>
      <c r="CPX7" s="1185"/>
      <c r="CPY7" s="1185"/>
      <c r="CPZ7" s="1185"/>
      <c r="CQA7" s="1185"/>
      <c r="CQB7" s="1185"/>
      <c r="CQC7" s="1185"/>
      <c r="CQD7" s="1185"/>
      <c r="CQE7" s="1185"/>
      <c r="CQF7" s="1185"/>
      <c r="CQG7" s="1185"/>
      <c r="CQH7" s="1185"/>
      <c r="CQI7" s="1185"/>
      <c r="CQJ7" s="1185"/>
      <c r="CQK7" s="1185"/>
      <c r="CQL7" s="1185"/>
      <c r="CQM7" s="1185"/>
      <c r="CQN7" s="1185"/>
      <c r="CQO7" s="1185"/>
      <c r="CQP7" s="1185"/>
      <c r="CQQ7" s="1185"/>
      <c r="CQR7" s="1185"/>
      <c r="CQS7" s="1185"/>
      <c r="CQT7" s="1185"/>
      <c r="CQU7" s="1185"/>
      <c r="CQV7" s="1185"/>
      <c r="CQW7" s="1185"/>
      <c r="CQX7" s="1185"/>
      <c r="CQY7" s="1185"/>
      <c r="CQZ7" s="1185"/>
      <c r="CRA7" s="1185"/>
      <c r="CRB7" s="1185"/>
      <c r="CRC7" s="1185"/>
      <c r="CRD7" s="1185"/>
      <c r="CRE7" s="1185"/>
      <c r="CRF7" s="1185"/>
      <c r="CRG7" s="1185"/>
      <c r="CRH7" s="1185"/>
      <c r="CRI7" s="1185"/>
      <c r="CRJ7" s="1185"/>
      <c r="CRK7" s="1185"/>
      <c r="CRL7" s="1185"/>
      <c r="CRM7" s="1185"/>
      <c r="CRN7" s="1185"/>
      <c r="CRO7" s="1185"/>
      <c r="CRP7" s="1185"/>
      <c r="CRQ7" s="1185"/>
      <c r="CRR7" s="1185"/>
      <c r="CRS7" s="1185"/>
      <c r="CRT7" s="1185"/>
      <c r="CRU7" s="1185"/>
      <c r="CRV7" s="1185"/>
      <c r="CRW7" s="1185"/>
      <c r="CRX7" s="1185"/>
      <c r="CRY7" s="1185"/>
      <c r="CRZ7" s="1185"/>
      <c r="CSA7" s="1185"/>
      <c r="CSB7" s="1185"/>
      <c r="CSC7" s="1185"/>
      <c r="CSD7" s="1185"/>
      <c r="CSE7" s="1185"/>
      <c r="CSF7" s="1185"/>
      <c r="CSG7" s="1185"/>
      <c r="CSH7" s="1185"/>
      <c r="CSI7" s="1185"/>
      <c r="CSJ7" s="1185"/>
      <c r="CSK7" s="1185"/>
      <c r="CSL7" s="1185"/>
      <c r="CSM7" s="1185"/>
      <c r="CSN7" s="1185"/>
      <c r="CSO7" s="1185"/>
      <c r="CSP7" s="1185"/>
      <c r="CSQ7" s="1185"/>
      <c r="CSR7" s="1185"/>
      <c r="CSS7" s="1185"/>
      <c r="CST7" s="1185"/>
      <c r="CSU7" s="1185"/>
      <c r="CSV7" s="1185"/>
      <c r="CSW7" s="1185"/>
      <c r="CSX7" s="1185"/>
      <c r="CSY7" s="1185"/>
      <c r="CSZ7" s="1185"/>
      <c r="CTA7" s="1185"/>
      <c r="CTB7" s="1185"/>
      <c r="CTC7" s="1185"/>
      <c r="CTD7" s="1185"/>
      <c r="CTE7" s="1185"/>
      <c r="CTF7" s="1185"/>
      <c r="CTG7" s="1185"/>
      <c r="CTH7" s="1185"/>
      <c r="CTI7" s="1185"/>
      <c r="CTJ7" s="1185"/>
      <c r="CTK7" s="1185"/>
      <c r="CTL7" s="1185"/>
      <c r="CTM7" s="1185"/>
      <c r="CTN7" s="1185"/>
      <c r="CTO7" s="1185"/>
      <c r="CTP7" s="1185"/>
      <c r="CTQ7" s="1185"/>
      <c r="CTR7" s="1185"/>
      <c r="CTS7" s="1185"/>
      <c r="CTT7" s="1185"/>
      <c r="CTU7" s="1185"/>
      <c r="CTV7" s="1185"/>
      <c r="CTW7" s="1185"/>
      <c r="CTX7" s="1185"/>
      <c r="CTY7" s="1185"/>
      <c r="CTZ7" s="1185"/>
      <c r="CUA7" s="1185"/>
      <c r="CUB7" s="1185"/>
      <c r="CUC7" s="1185"/>
      <c r="CUD7" s="1185"/>
      <c r="CUE7" s="1185"/>
      <c r="CUF7" s="1185"/>
      <c r="CUG7" s="1185"/>
      <c r="CUH7" s="1185"/>
      <c r="CUI7" s="1185"/>
      <c r="CUJ7" s="1185"/>
      <c r="CUK7" s="1185"/>
      <c r="CUL7" s="1185"/>
      <c r="CUM7" s="1185"/>
      <c r="CUN7" s="1185"/>
      <c r="CUO7" s="1185"/>
      <c r="CUP7" s="1185"/>
      <c r="CUQ7" s="1185"/>
      <c r="CUR7" s="1185"/>
      <c r="CUS7" s="1185"/>
      <c r="CUT7" s="1185"/>
      <c r="CUU7" s="1185"/>
      <c r="CUV7" s="1185"/>
      <c r="CUW7" s="1185"/>
      <c r="CUX7" s="1185"/>
      <c r="CUY7" s="1185"/>
      <c r="CUZ7" s="1185"/>
      <c r="CVA7" s="1185"/>
      <c r="CVB7" s="1185"/>
      <c r="CVC7" s="1185"/>
      <c r="CVD7" s="1185"/>
      <c r="CVE7" s="1185"/>
      <c r="CVF7" s="1185"/>
      <c r="CVG7" s="1185"/>
      <c r="CVH7" s="1185"/>
      <c r="CVI7" s="1185"/>
      <c r="CVJ7" s="1185"/>
      <c r="CVK7" s="1185"/>
      <c r="CVL7" s="1185"/>
      <c r="CVM7" s="1185"/>
      <c r="CVN7" s="1185"/>
      <c r="CVO7" s="1185"/>
      <c r="CVP7" s="1185"/>
      <c r="CVQ7" s="1185"/>
      <c r="CVR7" s="1185"/>
      <c r="CVS7" s="1185"/>
      <c r="CVT7" s="1185"/>
      <c r="CVU7" s="1185"/>
      <c r="CVV7" s="1185"/>
      <c r="CVW7" s="1185"/>
      <c r="CVX7" s="1185"/>
      <c r="CVY7" s="1185"/>
      <c r="CVZ7" s="1185"/>
      <c r="CWA7" s="1185"/>
      <c r="CWB7" s="1185"/>
      <c r="CWC7" s="1185"/>
      <c r="CWD7" s="1185"/>
      <c r="CWE7" s="1185"/>
      <c r="CWF7" s="1185"/>
      <c r="CWG7" s="1185"/>
      <c r="CWH7" s="1185"/>
      <c r="CWI7" s="1185"/>
      <c r="CWJ7" s="1185"/>
      <c r="CWK7" s="1185"/>
      <c r="CWL7" s="1185"/>
      <c r="CWM7" s="1185"/>
      <c r="CWN7" s="1185"/>
      <c r="CWO7" s="1185"/>
      <c r="CWP7" s="1185"/>
      <c r="CWQ7" s="1185"/>
      <c r="CWR7" s="1185"/>
      <c r="CWS7" s="1185"/>
      <c r="CWT7" s="1185"/>
      <c r="CWU7" s="1185"/>
      <c r="CWV7" s="1185"/>
      <c r="CWW7" s="1185"/>
      <c r="CWX7" s="1185"/>
      <c r="CWY7" s="1185"/>
      <c r="CWZ7" s="1185"/>
      <c r="CXA7" s="1185"/>
      <c r="CXB7" s="1185"/>
      <c r="CXC7" s="1185"/>
      <c r="CXD7" s="1185"/>
      <c r="CXE7" s="1185"/>
      <c r="CXF7" s="1185"/>
      <c r="CXG7" s="1185"/>
      <c r="CXH7" s="1185"/>
      <c r="CXI7" s="1185"/>
      <c r="CXJ7" s="1185"/>
      <c r="CXK7" s="1185"/>
      <c r="CXL7" s="1185"/>
      <c r="CXM7" s="1185"/>
      <c r="CXN7" s="1185"/>
      <c r="CXO7" s="1185"/>
      <c r="CXP7" s="1185"/>
      <c r="CXQ7" s="1185"/>
      <c r="CXR7" s="1185"/>
      <c r="CXS7" s="1185"/>
      <c r="CXT7" s="1185"/>
      <c r="CXU7" s="1185"/>
      <c r="CXV7" s="1185"/>
      <c r="CXW7" s="1185"/>
      <c r="CXX7" s="1185"/>
      <c r="CXY7" s="1185"/>
      <c r="CXZ7" s="1185"/>
      <c r="CYA7" s="1185"/>
      <c r="CYB7" s="1185"/>
      <c r="CYC7" s="1185"/>
      <c r="CYD7" s="1185"/>
      <c r="CYE7" s="1185"/>
      <c r="CYF7" s="1185"/>
      <c r="CYG7" s="1185"/>
      <c r="CYH7" s="1185"/>
      <c r="CYI7" s="1185"/>
      <c r="CYJ7" s="1185"/>
      <c r="CYK7" s="1185"/>
      <c r="CYL7" s="1185"/>
      <c r="CYM7" s="1185"/>
      <c r="CYN7" s="1185"/>
      <c r="CYO7" s="1185"/>
      <c r="CYP7" s="1185"/>
      <c r="CYQ7" s="1185"/>
      <c r="CYR7" s="1185"/>
      <c r="CYS7" s="1185"/>
      <c r="CYT7" s="1185"/>
      <c r="CYU7" s="1185"/>
      <c r="CYV7" s="1185"/>
      <c r="CYW7" s="1185"/>
      <c r="CYX7" s="1185"/>
      <c r="CYY7" s="1185"/>
      <c r="CYZ7" s="1185"/>
      <c r="CZA7" s="1185"/>
      <c r="CZB7" s="1185"/>
      <c r="CZC7" s="1185"/>
      <c r="CZD7" s="1185"/>
      <c r="CZE7" s="1185"/>
      <c r="CZF7" s="1185"/>
      <c r="CZG7" s="1185"/>
      <c r="CZH7" s="1185"/>
      <c r="CZI7" s="1185"/>
      <c r="CZJ7" s="1185"/>
      <c r="CZK7" s="1185"/>
      <c r="CZL7" s="1185"/>
      <c r="CZM7" s="1185"/>
      <c r="CZN7" s="1185"/>
      <c r="CZO7" s="1185"/>
      <c r="CZP7" s="1185"/>
      <c r="CZQ7" s="1185"/>
      <c r="CZR7" s="1185"/>
      <c r="CZS7" s="1185"/>
      <c r="CZT7" s="1185"/>
      <c r="CZU7" s="1185"/>
      <c r="CZV7" s="1185"/>
      <c r="CZW7" s="1185"/>
      <c r="CZX7" s="1185"/>
      <c r="CZY7" s="1185"/>
      <c r="CZZ7" s="1185"/>
      <c r="DAA7" s="1185"/>
      <c r="DAB7" s="1185"/>
      <c r="DAC7" s="1185"/>
      <c r="DAD7" s="1185"/>
      <c r="DAE7" s="1185"/>
      <c r="DAF7" s="1185"/>
      <c r="DAG7" s="1185"/>
      <c r="DAH7" s="1185"/>
      <c r="DAI7" s="1185"/>
      <c r="DAJ7" s="1185"/>
      <c r="DAK7" s="1185"/>
      <c r="DAL7" s="1185"/>
      <c r="DAM7" s="1185"/>
      <c r="DAN7" s="1185"/>
      <c r="DAO7" s="1185"/>
      <c r="DAP7" s="1185"/>
      <c r="DAQ7" s="1185"/>
      <c r="DAR7" s="1185"/>
      <c r="DAS7" s="1185"/>
      <c r="DAT7" s="1185"/>
      <c r="DAU7" s="1185"/>
      <c r="DAV7" s="1185"/>
      <c r="DAW7" s="1185"/>
      <c r="DAX7" s="1185"/>
      <c r="DAY7" s="1185"/>
      <c r="DAZ7" s="1185"/>
      <c r="DBA7" s="1185"/>
      <c r="DBB7" s="1185"/>
      <c r="DBC7" s="1185"/>
      <c r="DBD7" s="1185"/>
      <c r="DBE7" s="1185"/>
      <c r="DBF7" s="1185"/>
      <c r="DBG7" s="1185"/>
      <c r="DBH7" s="1185"/>
      <c r="DBI7" s="1185"/>
      <c r="DBJ7" s="1185"/>
      <c r="DBK7" s="1185"/>
      <c r="DBL7" s="1185"/>
      <c r="DBM7" s="1185"/>
      <c r="DBN7" s="1185"/>
      <c r="DBO7" s="1185"/>
      <c r="DBP7" s="1185"/>
      <c r="DBQ7" s="1185"/>
      <c r="DBR7" s="1185"/>
      <c r="DBS7" s="1185"/>
      <c r="DBT7" s="1185"/>
      <c r="DBU7" s="1185"/>
      <c r="DBV7" s="1185"/>
      <c r="DBW7" s="1185"/>
      <c r="DBX7" s="1185"/>
      <c r="DBY7" s="1185"/>
      <c r="DBZ7" s="1185"/>
      <c r="DCA7" s="1185"/>
      <c r="DCB7" s="1185"/>
      <c r="DCC7" s="1185"/>
      <c r="DCD7" s="1185"/>
      <c r="DCE7" s="1185"/>
      <c r="DCF7" s="1185"/>
      <c r="DCG7" s="1185"/>
      <c r="DCH7" s="1185"/>
      <c r="DCI7" s="1185"/>
      <c r="DCJ7" s="1185"/>
      <c r="DCK7" s="1185"/>
      <c r="DCL7" s="1185"/>
      <c r="DCM7" s="1185"/>
      <c r="DCN7" s="1185"/>
      <c r="DCO7" s="1185"/>
      <c r="DCP7" s="1185"/>
      <c r="DCQ7" s="1185"/>
      <c r="DCR7" s="1185"/>
      <c r="DCS7" s="1185"/>
      <c r="DCT7" s="1185"/>
      <c r="DCU7" s="1185"/>
      <c r="DCV7" s="1185"/>
      <c r="DCW7" s="1185"/>
      <c r="DCX7" s="1185"/>
      <c r="DCY7" s="1185"/>
      <c r="DCZ7" s="1185"/>
      <c r="DDA7" s="1185"/>
      <c r="DDB7" s="1185"/>
      <c r="DDC7" s="1185"/>
      <c r="DDD7" s="1185"/>
      <c r="DDE7" s="1185"/>
      <c r="DDF7" s="1185"/>
      <c r="DDG7" s="1185"/>
      <c r="DDH7" s="1185"/>
      <c r="DDI7" s="1185"/>
      <c r="DDJ7" s="1185"/>
      <c r="DDK7" s="1185"/>
      <c r="DDL7" s="1185"/>
      <c r="DDM7" s="1185"/>
      <c r="DDN7" s="1185"/>
      <c r="DDO7" s="1185"/>
      <c r="DDP7" s="1185"/>
      <c r="DDQ7" s="1185"/>
      <c r="DDR7" s="1185"/>
      <c r="DDS7" s="1185"/>
      <c r="DDT7" s="1185"/>
      <c r="DDU7" s="1185"/>
      <c r="DDV7" s="1185"/>
      <c r="DDW7" s="1185"/>
      <c r="DDX7" s="1185"/>
      <c r="DDY7" s="1185"/>
      <c r="DDZ7" s="1185"/>
      <c r="DEA7" s="1185"/>
      <c r="DEB7" s="1185"/>
      <c r="DEC7" s="1185"/>
      <c r="DED7" s="1185"/>
      <c r="DEE7" s="1185"/>
      <c r="DEF7" s="1185"/>
      <c r="DEG7" s="1185"/>
      <c r="DEH7" s="1185"/>
      <c r="DEI7" s="1185"/>
      <c r="DEJ7" s="1185"/>
      <c r="DEK7" s="1185"/>
      <c r="DEL7" s="1185"/>
      <c r="DEM7" s="1185"/>
      <c r="DEN7" s="1185"/>
      <c r="DEO7" s="1185"/>
      <c r="DEP7" s="1185"/>
      <c r="DEQ7" s="1185"/>
      <c r="DER7" s="1185"/>
      <c r="DES7" s="1185"/>
      <c r="DET7" s="1185"/>
      <c r="DEU7" s="1185"/>
      <c r="DEV7" s="1185"/>
      <c r="DEW7" s="1185"/>
      <c r="DEX7" s="1185"/>
      <c r="DEY7" s="1185"/>
      <c r="DEZ7" s="1185"/>
      <c r="DFA7" s="1185"/>
      <c r="DFB7" s="1185"/>
      <c r="DFC7" s="1185"/>
      <c r="DFD7" s="1185"/>
      <c r="DFE7" s="1185"/>
      <c r="DFF7" s="1185"/>
      <c r="DFG7" s="1185"/>
      <c r="DFH7" s="1185"/>
      <c r="DFI7" s="1185"/>
      <c r="DFJ7" s="1185"/>
      <c r="DFK7" s="1185"/>
      <c r="DFL7" s="1185"/>
      <c r="DFM7" s="1185"/>
      <c r="DFN7" s="1185"/>
      <c r="DFO7" s="1185"/>
      <c r="DFP7" s="1185"/>
      <c r="DFQ7" s="1185"/>
      <c r="DFR7" s="1185"/>
      <c r="DFS7" s="1185"/>
      <c r="DFT7" s="1185"/>
      <c r="DFU7" s="1185"/>
      <c r="DFV7" s="1185"/>
      <c r="DFW7" s="1185"/>
      <c r="DFX7" s="1185"/>
      <c r="DFY7" s="1185"/>
      <c r="DFZ7" s="1185"/>
      <c r="DGA7" s="1185"/>
      <c r="DGB7" s="1185"/>
      <c r="DGC7" s="1185"/>
      <c r="DGD7" s="1185"/>
      <c r="DGE7" s="1185"/>
      <c r="DGF7" s="1185"/>
      <c r="DGG7" s="1185"/>
      <c r="DGH7" s="1185"/>
      <c r="DGI7" s="1185"/>
      <c r="DGJ7" s="1185"/>
      <c r="DGK7" s="1185"/>
      <c r="DGL7" s="1185"/>
      <c r="DGM7" s="1185"/>
      <c r="DGN7" s="1185"/>
      <c r="DGO7" s="1185"/>
      <c r="DGP7" s="1185"/>
      <c r="DGQ7" s="1185"/>
      <c r="DGR7" s="1185"/>
      <c r="DGS7" s="1185"/>
      <c r="DGT7" s="1185"/>
      <c r="DGU7" s="1185"/>
      <c r="DGV7" s="1185"/>
      <c r="DGW7" s="1185"/>
      <c r="DGX7" s="1185"/>
      <c r="DGY7" s="1185"/>
      <c r="DGZ7" s="1185"/>
      <c r="DHA7" s="1185"/>
      <c r="DHB7" s="1185"/>
      <c r="DHC7" s="1185"/>
      <c r="DHD7" s="1185"/>
      <c r="DHE7" s="1185"/>
      <c r="DHF7" s="1185"/>
      <c r="DHG7" s="1185"/>
      <c r="DHH7" s="1185"/>
      <c r="DHI7" s="1185"/>
      <c r="DHJ7" s="1185"/>
      <c r="DHK7" s="1185"/>
      <c r="DHL7" s="1185"/>
      <c r="DHM7" s="1185"/>
      <c r="DHN7" s="1185"/>
      <c r="DHO7" s="1185"/>
      <c r="DHP7" s="1185"/>
      <c r="DHQ7" s="1185"/>
      <c r="DHR7" s="1185"/>
      <c r="DHS7" s="1185"/>
      <c r="DHT7" s="1185"/>
      <c r="DHU7" s="1185"/>
      <c r="DHV7" s="1185"/>
      <c r="DHW7" s="1185"/>
      <c r="DHX7" s="1185"/>
      <c r="DHY7" s="1185"/>
      <c r="DHZ7" s="1185"/>
      <c r="DIA7" s="1185"/>
      <c r="DIB7" s="1185"/>
      <c r="DIC7" s="1185"/>
      <c r="DID7" s="1185"/>
      <c r="DIE7" s="1185"/>
      <c r="DIF7" s="1185"/>
      <c r="DIG7" s="1185"/>
      <c r="DIH7" s="1185"/>
      <c r="DII7" s="1185"/>
      <c r="DIJ7" s="1185"/>
      <c r="DIK7" s="1185"/>
      <c r="DIL7" s="1185"/>
      <c r="DIM7" s="1185"/>
      <c r="DIN7" s="1185"/>
      <c r="DIO7" s="1185"/>
      <c r="DIP7" s="1185"/>
      <c r="DIQ7" s="1185"/>
      <c r="DIR7" s="1185"/>
      <c r="DIS7" s="1185"/>
      <c r="DIT7" s="1185"/>
      <c r="DIU7" s="1185"/>
      <c r="DIV7" s="1185"/>
      <c r="DIW7" s="1185"/>
      <c r="DIX7" s="1185"/>
      <c r="DIY7" s="1185"/>
      <c r="DIZ7" s="1185"/>
      <c r="DJA7" s="1185"/>
      <c r="DJB7" s="1185"/>
      <c r="DJC7" s="1185"/>
      <c r="DJD7" s="1185"/>
      <c r="DJE7" s="1185"/>
      <c r="DJF7" s="1185"/>
      <c r="DJG7" s="1185"/>
      <c r="DJH7" s="1185"/>
      <c r="DJI7" s="1185"/>
      <c r="DJJ7" s="1185"/>
      <c r="DJK7" s="1185"/>
      <c r="DJL7" s="1185"/>
      <c r="DJM7" s="1185"/>
      <c r="DJN7" s="1185"/>
      <c r="DJO7" s="1185"/>
      <c r="DJP7" s="1185"/>
      <c r="DJQ7" s="1185"/>
      <c r="DJR7" s="1185"/>
      <c r="DJS7" s="1185"/>
      <c r="DJT7" s="1185"/>
      <c r="DJU7" s="1185"/>
      <c r="DJV7" s="1185"/>
      <c r="DJW7" s="1185"/>
      <c r="DJX7" s="1185"/>
      <c r="DJY7" s="1185"/>
      <c r="DJZ7" s="1185"/>
      <c r="DKA7" s="1185"/>
      <c r="DKB7" s="1185"/>
      <c r="DKC7" s="1185"/>
      <c r="DKD7" s="1185"/>
      <c r="DKE7" s="1185"/>
      <c r="DKF7" s="1185"/>
      <c r="DKG7" s="1185"/>
      <c r="DKH7" s="1185"/>
      <c r="DKI7" s="1185"/>
      <c r="DKJ7" s="1185"/>
      <c r="DKK7" s="1185"/>
      <c r="DKL7" s="1185"/>
      <c r="DKM7" s="1185"/>
      <c r="DKN7" s="1185"/>
      <c r="DKO7" s="1185"/>
      <c r="DKP7" s="1185"/>
      <c r="DKQ7" s="1185"/>
      <c r="DKR7" s="1185"/>
      <c r="DKS7" s="1185"/>
      <c r="DKT7" s="1185"/>
      <c r="DKU7" s="1185"/>
      <c r="DKV7" s="1185"/>
      <c r="DKW7" s="1185"/>
      <c r="DKX7" s="1185"/>
      <c r="DKY7" s="1185"/>
      <c r="DKZ7" s="1185"/>
      <c r="DLA7" s="1185"/>
      <c r="DLB7" s="1185"/>
      <c r="DLC7" s="1185"/>
      <c r="DLD7" s="1185"/>
      <c r="DLE7" s="1185"/>
      <c r="DLF7" s="1185"/>
      <c r="DLG7" s="1185"/>
      <c r="DLH7" s="1185"/>
      <c r="DLI7" s="1185"/>
      <c r="DLJ7" s="1185"/>
      <c r="DLK7" s="1185"/>
      <c r="DLL7" s="1185"/>
      <c r="DLM7" s="1185"/>
      <c r="DLN7" s="1185"/>
      <c r="DLO7" s="1185"/>
      <c r="DLP7" s="1185"/>
      <c r="DLQ7" s="1185"/>
      <c r="DLR7" s="1185"/>
      <c r="DLS7" s="1185"/>
      <c r="DLT7" s="1185"/>
      <c r="DLU7" s="1185"/>
      <c r="DLV7" s="1185"/>
      <c r="DLW7" s="1185"/>
      <c r="DLX7" s="1185"/>
      <c r="DLY7" s="1185"/>
      <c r="DLZ7" s="1185"/>
      <c r="DMA7" s="1185"/>
      <c r="DMB7" s="1185"/>
      <c r="DMC7" s="1185"/>
      <c r="DMD7" s="1185"/>
      <c r="DME7" s="1185"/>
      <c r="DMF7" s="1185"/>
      <c r="DMG7" s="1185"/>
      <c r="DMH7" s="1185"/>
      <c r="DMI7" s="1185"/>
      <c r="DMJ7" s="1185"/>
      <c r="DMK7" s="1185"/>
      <c r="DML7" s="1185"/>
      <c r="DMM7" s="1185"/>
      <c r="DMN7" s="1185"/>
      <c r="DMO7" s="1185"/>
      <c r="DMP7" s="1185"/>
      <c r="DMQ7" s="1185"/>
      <c r="DMR7" s="1185"/>
      <c r="DMS7" s="1185"/>
      <c r="DMT7" s="1185"/>
      <c r="DMU7" s="1185"/>
      <c r="DMV7" s="1185"/>
      <c r="DMW7" s="1185"/>
      <c r="DMX7" s="1185"/>
      <c r="DMY7" s="1185"/>
      <c r="DMZ7" s="1185"/>
      <c r="DNA7" s="1185"/>
      <c r="DNB7" s="1185"/>
      <c r="DNC7" s="1185"/>
      <c r="DND7" s="1185"/>
      <c r="DNE7" s="1185"/>
      <c r="DNF7" s="1185"/>
      <c r="DNG7" s="1185"/>
      <c r="DNH7" s="1185"/>
      <c r="DNI7" s="1185"/>
      <c r="DNJ7" s="1185"/>
      <c r="DNK7" s="1185"/>
      <c r="DNL7" s="1185"/>
      <c r="DNM7" s="1185"/>
      <c r="DNN7" s="1185"/>
      <c r="DNO7" s="1185"/>
      <c r="DNP7" s="1185"/>
      <c r="DNQ7" s="1185"/>
      <c r="DNR7" s="1185"/>
      <c r="DNS7" s="1185"/>
      <c r="DNT7" s="1185"/>
      <c r="DNU7" s="1185"/>
      <c r="DNV7" s="1185"/>
      <c r="DNW7" s="1185"/>
      <c r="DNX7" s="1185"/>
      <c r="DNY7" s="1185"/>
      <c r="DNZ7" s="1185"/>
      <c r="DOA7" s="1185"/>
      <c r="DOB7" s="1185"/>
      <c r="DOC7" s="1185"/>
      <c r="DOD7" s="1185"/>
      <c r="DOE7" s="1185"/>
      <c r="DOF7" s="1185"/>
      <c r="DOG7" s="1185"/>
      <c r="DOH7" s="1185"/>
      <c r="DOI7" s="1185"/>
      <c r="DOJ7" s="1185"/>
      <c r="DOK7" s="1185"/>
      <c r="DOL7" s="1185"/>
      <c r="DOM7" s="1185"/>
      <c r="DON7" s="1185"/>
      <c r="DOO7" s="1185"/>
      <c r="DOP7" s="1185"/>
      <c r="DOQ7" s="1185"/>
      <c r="DOR7" s="1185"/>
      <c r="DOS7" s="1185"/>
      <c r="DOT7" s="1185"/>
      <c r="DOU7" s="1185"/>
      <c r="DOV7" s="1185"/>
      <c r="DOW7" s="1185"/>
      <c r="DOX7" s="1185"/>
      <c r="DOY7" s="1185"/>
      <c r="DOZ7" s="1185"/>
      <c r="DPA7" s="1185"/>
      <c r="DPB7" s="1185"/>
      <c r="DPC7" s="1185"/>
      <c r="DPD7" s="1185"/>
      <c r="DPE7" s="1185"/>
      <c r="DPF7" s="1185"/>
      <c r="DPG7" s="1185"/>
      <c r="DPH7" s="1185"/>
      <c r="DPI7" s="1185"/>
      <c r="DPJ7" s="1185"/>
      <c r="DPK7" s="1185"/>
      <c r="DPL7" s="1185"/>
      <c r="DPM7" s="1185"/>
      <c r="DPN7" s="1185"/>
      <c r="DPO7" s="1185"/>
      <c r="DPP7" s="1185"/>
      <c r="DPQ7" s="1185"/>
      <c r="DPR7" s="1185"/>
      <c r="DPS7" s="1185"/>
      <c r="DPT7" s="1185"/>
      <c r="DPU7" s="1185"/>
      <c r="DPV7" s="1185"/>
      <c r="DPW7" s="1185"/>
      <c r="DPX7" s="1185"/>
      <c r="DPY7" s="1185"/>
      <c r="DPZ7" s="1185"/>
      <c r="DQA7" s="1185"/>
      <c r="DQB7" s="1185"/>
      <c r="DQC7" s="1185"/>
      <c r="DQD7" s="1185"/>
      <c r="DQE7" s="1185"/>
      <c r="DQF7" s="1185"/>
      <c r="DQG7" s="1185"/>
      <c r="DQH7" s="1185"/>
      <c r="DQI7" s="1185"/>
      <c r="DQJ7" s="1185"/>
      <c r="DQK7" s="1185"/>
      <c r="DQL7" s="1185"/>
      <c r="DQM7" s="1185"/>
      <c r="DQN7" s="1185"/>
      <c r="DQO7" s="1185"/>
      <c r="DQP7" s="1185"/>
      <c r="DQQ7" s="1185"/>
      <c r="DQR7" s="1185"/>
      <c r="DQS7" s="1185"/>
      <c r="DQT7" s="1185"/>
      <c r="DQU7" s="1185"/>
      <c r="DQV7" s="1185"/>
      <c r="DQW7" s="1185"/>
      <c r="DQX7" s="1185"/>
      <c r="DQY7" s="1185"/>
      <c r="DQZ7" s="1185"/>
      <c r="DRA7" s="1185"/>
      <c r="DRB7" s="1185"/>
      <c r="DRC7" s="1185"/>
      <c r="DRD7" s="1185"/>
      <c r="DRE7" s="1185"/>
      <c r="DRF7" s="1185"/>
      <c r="DRG7" s="1185"/>
      <c r="DRH7" s="1185"/>
      <c r="DRI7" s="1185"/>
      <c r="DRJ7" s="1185"/>
      <c r="DRK7" s="1185"/>
      <c r="DRL7" s="1185"/>
      <c r="DRM7" s="1185"/>
      <c r="DRN7" s="1185"/>
      <c r="DRO7" s="1185"/>
      <c r="DRP7" s="1185"/>
      <c r="DRQ7" s="1185"/>
      <c r="DRR7" s="1185"/>
      <c r="DRS7" s="1185"/>
      <c r="DRT7" s="1185"/>
      <c r="DRU7" s="1185"/>
      <c r="DRV7" s="1185"/>
      <c r="DRW7" s="1185"/>
      <c r="DRX7" s="1185"/>
      <c r="DRY7" s="1185"/>
      <c r="DRZ7" s="1185"/>
      <c r="DSA7" s="1185"/>
      <c r="DSB7" s="1185"/>
      <c r="DSC7" s="1185"/>
      <c r="DSD7" s="1185"/>
      <c r="DSE7" s="1185"/>
      <c r="DSF7" s="1185"/>
      <c r="DSG7" s="1185"/>
      <c r="DSH7" s="1185"/>
      <c r="DSI7" s="1185"/>
      <c r="DSJ7" s="1185"/>
      <c r="DSK7" s="1185"/>
      <c r="DSL7" s="1185"/>
      <c r="DSM7" s="1185"/>
      <c r="DSN7" s="1185"/>
      <c r="DSO7" s="1185"/>
      <c r="DSP7" s="1185"/>
      <c r="DSQ7" s="1185"/>
      <c r="DSR7" s="1185"/>
      <c r="DSS7" s="1185"/>
      <c r="DST7" s="1185"/>
      <c r="DSU7" s="1185"/>
      <c r="DSV7" s="1185"/>
      <c r="DSW7" s="1185"/>
      <c r="DSX7" s="1185"/>
      <c r="DSY7" s="1185"/>
      <c r="DSZ7" s="1185"/>
      <c r="DTA7" s="1185"/>
      <c r="DTB7" s="1185"/>
      <c r="DTC7" s="1185"/>
      <c r="DTD7" s="1185"/>
      <c r="DTE7" s="1185"/>
      <c r="DTF7" s="1185"/>
      <c r="DTG7" s="1185"/>
      <c r="DTH7" s="1185"/>
      <c r="DTI7" s="1185"/>
      <c r="DTJ7" s="1185"/>
      <c r="DTK7" s="1185"/>
      <c r="DTL7" s="1185"/>
      <c r="DTM7" s="1185"/>
      <c r="DTN7" s="1185"/>
      <c r="DTO7" s="1185"/>
      <c r="DTP7" s="1185"/>
      <c r="DTQ7" s="1185"/>
      <c r="DTR7" s="1185"/>
      <c r="DTS7" s="1185"/>
      <c r="DTT7" s="1185"/>
      <c r="DTU7" s="1185"/>
      <c r="DTV7" s="1185"/>
      <c r="DTW7" s="1185"/>
      <c r="DTX7" s="1185"/>
      <c r="DTY7" s="1185"/>
      <c r="DTZ7" s="1185"/>
      <c r="DUA7" s="1185"/>
      <c r="DUB7" s="1185"/>
      <c r="DUC7" s="1185"/>
      <c r="DUD7" s="1185"/>
      <c r="DUE7" s="1185"/>
      <c r="DUF7" s="1185"/>
      <c r="DUG7" s="1185"/>
      <c r="DUH7" s="1185"/>
      <c r="DUI7" s="1185"/>
      <c r="DUJ7" s="1185"/>
      <c r="DUK7" s="1185"/>
      <c r="DUL7" s="1185"/>
      <c r="DUM7" s="1185"/>
      <c r="DUN7" s="1185"/>
      <c r="DUO7" s="1185"/>
      <c r="DUP7" s="1185"/>
      <c r="DUQ7" s="1185"/>
      <c r="DUR7" s="1185"/>
      <c r="DUS7" s="1185"/>
      <c r="DUT7" s="1185"/>
      <c r="DUU7" s="1185"/>
      <c r="DUV7" s="1185"/>
      <c r="DUW7" s="1185"/>
      <c r="DUX7" s="1185"/>
      <c r="DUY7" s="1185"/>
      <c r="DUZ7" s="1185"/>
      <c r="DVA7" s="1185"/>
      <c r="DVB7" s="1185"/>
      <c r="DVC7" s="1185"/>
      <c r="DVD7" s="1185"/>
      <c r="DVE7" s="1185"/>
      <c r="DVF7" s="1185"/>
      <c r="DVG7" s="1185"/>
      <c r="DVH7" s="1185"/>
      <c r="DVI7" s="1185"/>
      <c r="DVJ7" s="1185"/>
      <c r="DVK7" s="1185"/>
      <c r="DVL7" s="1185"/>
      <c r="DVM7" s="1185"/>
      <c r="DVN7" s="1185"/>
      <c r="DVO7" s="1185"/>
      <c r="DVP7" s="1185"/>
      <c r="DVQ7" s="1185"/>
      <c r="DVR7" s="1185"/>
      <c r="DVS7" s="1185"/>
      <c r="DVT7" s="1185"/>
      <c r="DVU7" s="1185"/>
      <c r="DVV7" s="1185"/>
      <c r="DVW7" s="1185"/>
      <c r="DVX7" s="1185"/>
      <c r="DVY7" s="1185"/>
      <c r="DVZ7" s="1185"/>
      <c r="DWA7" s="1185"/>
      <c r="DWB7" s="1185"/>
      <c r="DWC7" s="1185"/>
      <c r="DWD7" s="1185"/>
      <c r="DWE7" s="1185"/>
      <c r="DWF7" s="1185"/>
      <c r="DWG7" s="1185"/>
      <c r="DWH7" s="1185"/>
      <c r="DWI7" s="1185"/>
      <c r="DWJ7" s="1185"/>
      <c r="DWK7" s="1185"/>
      <c r="DWL7" s="1185"/>
      <c r="DWM7" s="1185"/>
      <c r="DWN7" s="1185"/>
      <c r="DWO7" s="1185"/>
      <c r="DWP7" s="1185"/>
      <c r="DWQ7" s="1185"/>
      <c r="DWR7" s="1185"/>
      <c r="DWS7" s="1185"/>
      <c r="DWT7" s="1185"/>
      <c r="DWU7" s="1185"/>
      <c r="DWV7" s="1185"/>
      <c r="DWW7" s="1185"/>
      <c r="DWX7" s="1185"/>
      <c r="DWY7" s="1185"/>
      <c r="DWZ7" s="1185"/>
      <c r="DXA7" s="1185"/>
      <c r="DXB7" s="1185"/>
      <c r="DXC7" s="1185"/>
      <c r="DXD7" s="1185"/>
      <c r="DXE7" s="1185"/>
      <c r="DXF7" s="1185"/>
      <c r="DXG7" s="1185"/>
      <c r="DXH7" s="1185"/>
      <c r="DXI7" s="1185"/>
      <c r="DXJ7" s="1185"/>
      <c r="DXK7" s="1185"/>
      <c r="DXL7" s="1185"/>
      <c r="DXM7" s="1185"/>
      <c r="DXN7" s="1185"/>
      <c r="DXO7" s="1185"/>
      <c r="DXP7" s="1185"/>
      <c r="DXQ7" s="1185"/>
      <c r="DXR7" s="1185"/>
      <c r="DXS7" s="1185"/>
      <c r="DXT7" s="1185"/>
      <c r="DXU7" s="1185"/>
      <c r="DXV7" s="1185"/>
      <c r="DXW7" s="1185"/>
      <c r="DXX7" s="1185"/>
      <c r="DXY7" s="1185"/>
      <c r="DXZ7" s="1185"/>
      <c r="DYA7" s="1185"/>
      <c r="DYB7" s="1185"/>
      <c r="DYC7" s="1185"/>
      <c r="DYD7" s="1185"/>
      <c r="DYE7" s="1185"/>
      <c r="DYF7" s="1185"/>
      <c r="DYG7" s="1185"/>
      <c r="DYH7" s="1185"/>
      <c r="DYI7" s="1185"/>
      <c r="DYJ7" s="1185"/>
      <c r="DYK7" s="1185"/>
      <c r="DYL7" s="1185"/>
      <c r="DYM7" s="1185"/>
      <c r="DYN7" s="1185"/>
      <c r="DYO7" s="1185"/>
      <c r="DYP7" s="1185"/>
      <c r="DYQ7" s="1185"/>
      <c r="DYR7" s="1185"/>
      <c r="DYS7" s="1185"/>
      <c r="DYT7" s="1185"/>
      <c r="DYU7" s="1185"/>
      <c r="DYV7" s="1185"/>
      <c r="DYW7" s="1185"/>
      <c r="DYX7" s="1185"/>
      <c r="DYY7" s="1185"/>
      <c r="DYZ7" s="1185"/>
      <c r="DZA7" s="1185"/>
      <c r="DZB7" s="1185"/>
      <c r="DZC7" s="1185"/>
      <c r="DZD7" s="1185"/>
      <c r="DZE7" s="1185"/>
      <c r="DZF7" s="1185"/>
      <c r="DZG7" s="1185"/>
      <c r="DZH7" s="1185"/>
      <c r="DZI7" s="1185"/>
      <c r="DZJ7" s="1185"/>
      <c r="DZK7" s="1185"/>
      <c r="DZL7" s="1185"/>
      <c r="DZM7" s="1185"/>
      <c r="DZN7" s="1185"/>
      <c r="DZO7" s="1185"/>
      <c r="DZP7" s="1185"/>
      <c r="DZQ7" s="1185"/>
      <c r="DZR7" s="1185"/>
      <c r="DZS7" s="1185"/>
      <c r="DZT7" s="1185"/>
      <c r="DZU7" s="1185"/>
      <c r="DZV7" s="1185"/>
      <c r="DZW7" s="1185"/>
      <c r="DZX7" s="1185"/>
      <c r="DZY7" s="1185"/>
      <c r="DZZ7" s="1185"/>
      <c r="EAA7" s="1185"/>
      <c r="EAB7" s="1185"/>
      <c r="EAC7" s="1185"/>
      <c r="EAD7" s="1185"/>
      <c r="EAE7" s="1185"/>
      <c r="EAF7" s="1185"/>
      <c r="EAG7" s="1185"/>
      <c r="EAH7" s="1185"/>
      <c r="EAI7" s="1185"/>
      <c r="EAJ7" s="1185"/>
      <c r="EAK7" s="1185"/>
      <c r="EAL7" s="1185"/>
      <c r="EAM7" s="1185"/>
      <c r="EAN7" s="1185"/>
      <c r="EAO7" s="1185"/>
      <c r="EAP7" s="1185"/>
      <c r="EAQ7" s="1185"/>
      <c r="EAR7" s="1185"/>
      <c r="EAS7" s="1185"/>
      <c r="EAT7" s="1185"/>
      <c r="EAU7" s="1185"/>
      <c r="EAV7" s="1185"/>
      <c r="EAW7" s="1185"/>
      <c r="EAX7" s="1185"/>
      <c r="EAY7" s="1185"/>
      <c r="EAZ7" s="1185"/>
      <c r="EBA7" s="1185"/>
      <c r="EBB7" s="1185"/>
      <c r="EBC7" s="1185"/>
      <c r="EBD7" s="1185"/>
      <c r="EBE7" s="1185"/>
      <c r="EBF7" s="1185"/>
      <c r="EBG7" s="1185"/>
      <c r="EBH7" s="1185"/>
      <c r="EBI7" s="1185"/>
      <c r="EBJ7" s="1185"/>
      <c r="EBK7" s="1185"/>
      <c r="EBL7" s="1185"/>
      <c r="EBM7" s="1185"/>
      <c r="EBN7" s="1185"/>
      <c r="EBO7" s="1185"/>
      <c r="EBP7" s="1185"/>
      <c r="EBQ7" s="1185"/>
      <c r="EBR7" s="1185"/>
      <c r="EBS7" s="1185"/>
      <c r="EBT7" s="1185"/>
      <c r="EBU7" s="1185"/>
      <c r="EBV7" s="1185"/>
      <c r="EBW7" s="1185"/>
      <c r="EBX7" s="1185"/>
      <c r="EBY7" s="1185"/>
      <c r="EBZ7" s="1185"/>
      <c r="ECA7" s="1185"/>
      <c r="ECB7" s="1185"/>
      <c r="ECC7" s="1185"/>
      <c r="ECD7" s="1185"/>
      <c r="ECE7" s="1185"/>
      <c r="ECF7" s="1185"/>
      <c r="ECG7" s="1185"/>
      <c r="ECH7" s="1185"/>
      <c r="ECI7" s="1185"/>
      <c r="ECJ7" s="1185"/>
      <c r="ECK7" s="1185"/>
      <c r="ECL7" s="1185"/>
      <c r="ECM7" s="1185"/>
      <c r="ECN7" s="1185"/>
      <c r="ECO7" s="1185"/>
      <c r="ECP7" s="1185"/>
      <c r="ECQ7" s="1185"/>
      <c r="ECR7" s="1185"/>
      <c r="ECS7" s="1185"/>
      <c r="ECT7" s="1185"/>
      <c r="ECU7" s="1185"/>
      <c r="ECV7" s="1185"/>
      <c r="ECW7" s="1185"/>
      <c r="ECX7" s="1185"/>
      <c r="ECY7" s="1185"/>
      <c r="ECZ7" s="1185"/>
      <c r="EDA7" s="1185"/>
      <c r="EDB7" s="1185"/>
      <c r="EDC7" s="1185"/>
      <c r="EDD7" s="1185"/>
      <c r="EDE7" s="1185"/>
      <c r="EDF7" s="1185"/>
      <c r="EDG7" s="1185"/>
      <c r="EDH7" s="1185"/>
      <c r="EDI7" s="1185"/>
      <c r="EDJ7" s="1185"/>
      <c r="EDK7" s="1185"/>
      <c r="EDL7" s="1185"/>
      <c r="EDM7" s="1185"/>
      <c r="EDN7" s="1185"/>
      <c r="EDO7" s="1185"/>
      <c r="EDP7" s="1185"/>
      <c r="EDQ7" s="1185"/>
      <c r="EDR7" s="1185"/>
      <c r="EDS7" s="1185"/>
      <c r="EDT7" s="1185"/>
      <c r="EDU7" s="1185"/>
      <c r="EDV7" s="1185"/>
      <c r="EDW7" s="1185"/>
      <c r="EDX7" s="1185"/>
      <c r="EDY7" s="1185"/>
      <c r="EDZ7" s="1185"/>
      <c r="EEA7" s="1185"/>
      <c r="EEB7" s="1185"/>
      <c r="EEC7" s="1185"/>
      <c r="EED7" s="1185"/>
      <c r="EEE7" s="1185"/>
      <c r="EEF7" s="1185"/>
      <c r="EEG7" s="1185"/>
      <c r="EEH7" s="1185"/>
      <c r="EEI7" s="1185"/>
      <c r="EEJ7" s="1185"/>
      <c r="EEK7" s="1185"/>
      <c r="EEL7" s="1185"/>
      <c r="EEM7" s="1185"/>
      <c r="EEN7" s="1185"/>
      <c r="EEO7" s="1185"/>
      <c r="EEP7" s="1185"/>
      <c r="EEQ7" s="1185"/>
      <c r="EER7" s="1185"/>
      <c r="EES7" s="1185"/>
      <c r="EET7" s="1185"/>
      <c r="EEU7" s="1185"/>
      <c r="EEV7" s="1185"/>
      <c r="EEW7" s="1185"/>
      <c r="EEX7" s="1185"/>
      <c r="EEY7" s="1185"/>
      <c r="EEZ7" s="1185"/>
      <c r="EFA7" s="1185"/>
      <c r="EFB7" s="1185"/>
      <c r="EFC7" s="1185"/>
      <c r="EFD7" s="1185"/>
      <c r="EFE7" s="1185"/>
      <c r="EFF7" s="1185"/>
      <c r="EFG7" s="1185"/>
      <c r="EFH7" s="1185"/>
      <c r="EFI7" s="1185"/>
      <c r="EFJ7" s="1185"/>
      <c r="EFK7" s="1185"/>
      <c r="EFL7" s="1185"/>
      <c r="EFM7" s="1185"/>
      <c r="EFN7" s="1185"/>
      <c r="EFO7" s="1185"/>
      <c r="EFP7" s="1185"/>
      <c r="EFQ7" s="1185"/>
      <c r="EFR7" s="1185"/>
      <c r="EFS7" s="1185"/>
      <c r="EFT7" s="1185"/>
      <c r="EFU7" s="1185"/>
      <c r="EFV7" s="1185"/>
      <c r="EFW7" s="1185"/>
      <c r="EFX7" s="1185"/>
      <c r="EFY7" s="1185"/>
      <c r="EFZ7" s="1185"/>
      <c r="EGA7" s="1185"/>
      <c r="EGB7" s="1185"/>
      <c r="EGC7" s="1185"/>
      <c r="EGD7" s="1185"/>
      <c r="EGE7" s="1185"/>
      <c r="EGF7" s="1185"/>
      <c r="EGG7" s="1185"/>
      <c r="EGH7" s="1185"/>
      <c r="EGI7" s="1185"/>
      <c r="EGJ7" s="1185"/>
      <c r="EGK7" s="1185"/>
      <c r="EGL7" s="1185"/>
      <c r="EGM7" s="1185"/>
      <c r="EGN7" s="1185"/>
      <c r="EGO7" s="1185"/>
      <c r="EGP7" s="1185"/>
      <c r="EGQ7" s="1185"/>
      <c r="EGR7" s="1185"/>
      <c r="EGS7" s="1185"/>
      <c r="EGT7" s="1185"/>
      <c r="EGU7" s="1185"/>
      <c r="EGV7" s="1185"/>
      <c r="EGW7" s="1185"/>
      <c r="EGX7" s="1185"/>
      <c r="EGY7" s="1185"/>
      <c r="EGZ7" s="1185"/>
      <c r="EHA7" s="1185"/>
      <c r="EHB7" s="1185"/>
      <c r="EHC7" s="1185"/>
      <c r="EHD7" s="1185"/>
      <c r="EHE7" s="1185"/>
      <c r="EHF7" s="1185"/>
      <c r="EHG7" s="1185"/>
      <c r="EHH7" s="1185"/>
      <c r="EHI7" s="1185"/>
      <c r="EHJ7" s="1185"/>
      <c r="EHK7" s="1185"/>
      <c r="EHL7" s="1185"/>
      <c r="EHM7" s="1185"/>
      <c r="EHN7" s="1185"/>
      <c r="EHO7" s="1185"/>
      <c r="EHP7" s="1185"/>
      <c r="EHQ7" s="1185"/>
      <c r="EHR7" s="1185"/>
      <c r="EHS7" s="1185"/>
      <c r="EHT7" s="1185"/>
      <c r="EHU7" s="1185"/>
      <c r="EHV7" s="1185"/>
      <c r="EHW7" s="1185"/>
      <c r="EHX7" s="1185"/>
      <c r="EHY7" s="1185"/>
      <c r="EHZ7" s="1185"/>
      <c r="EIA7" s="1185"/>
      <c r="EIB7" s="1185"/>
      <c r="EIC7" s="1185"/>
      <c r="EID7" s="1185"/>
      <c r="EIE7" s="1185"/>
      <c r="EIF7" s="1185"/>
      <c r="EIG7" s="1185"/>
      <c r="EIH7" s="1185"/>
      <c r="EII7" s="1185"/>
      <c r="EIJ7" s="1185"/>
      <c r="EIK7" s="1185"/>
      <c r="EIL7" s="1185"/>
      <c r="EIM7" s="1185"/>
      <c r="EIN7" s="1185"/>
      <c r="EIO7" s="1185"/>
      <c r="EIP7" s="1185"/>
      <c r="EIQ7" s="1185"/>
      <c r="EIR7" s="1185"/>
      <c r="EIS7" s="1185"/>
      <c r="EIT7" s="1185"/>
      <c r="EIU7" s="1185"/>
      <c r="EIV7" s="1185"/>
      <c r="EIW7" s="1185"/>
      <c r="EIX7" s="1185"/>
      <c r="EIY7" s="1185"/>
      <c r="EIZ7" s="1185"/>
      <c r="EJA7" s="1185"/>
      <c r="EJB7" s="1185"/>
      <c r="EJC7" s="1185"/>
      <c r="EJD7" s="1185"/>
      <c r="EJE7" s="1185"/>
      <c r="EJF7" s="1185"/>
      <c r="EJG7" s="1185"/>
      <c r="EJH7" s="1185"/>
      <c r="EJI7" s="1185"/>
      <c r="EJJ7" s="1185"/>
      <c r="EJK7" s="1185"/>
      <c r="EJL7" s="1185"/>
      <c r="EJM7" s="1185"/>
      <c r="EJN7" s="1185"/>
      <c r="EJO7" s="1185"/>
      <c r="EJP7" s="1185"/>
      <c r="EJQ7" s="1185"/>
      <c r="EJR7" s="1185"/>
      <c r="EJS7" s="1185"/>
      <c r="EJT7" s="1185"/>
      <c r="EJU7" s="1185"/>
      <c r="EJV7" s="1185"/>
      <c r="EJW7" s="1185"/>
      <c r="EJX7" s="1185"/>
      <c r="EJY7" s="1185"/>
      <c r="EJZ7" s="1185"/>
      <c r="EKA7" s="1185"/>
      <c r="EKB7" s="1185"/>
      <c r="EKC7" s="1185"/>
      <c r="EKD7" s="1185"/>
      <c r="EKE7" s="1185"/>
      <c r="EKF7" s="1185"/>
      <c r="EKG7" s="1185"/>
      <c r="EKH7" s="1185"/>
      <c r="EKI7" s="1185"/>
      <c r="EKJ7" s="1185"/>
      <c r="EKK7" s="1185"/>
      <c r="EKL7" s="1185"/>
      <c r="EKM7" s="1185"/>
      <c r="EKN7" s="1185"/>
      <c r="EKO7" s="1185"/>
      <c r="EKP7" s="1185"/>
      <c r="EKQ7" s="1185"/>
      <c r="EKR7" s="1185"/>
      <c r="EKS7" s="1185"/>
      <c r="EKT7" s="1185"/>
      <c r="EKU7" s="1185"/>
      <c r="EKV7" s="1185"/>
      <c r="EKW7" s="1185"/>
      <c r="EKX7" s="1185"/>
      <c r="EKY7" s="1185"/>
      <c r="EKZ7" s="1185"/>
      <c r="ELA7" s="1185"/>
      <c r="ELB7" s="1185"/>
      <c r="ELC7" s="1185"/>
      <c r="ELD7" s="1185"/>
      <c r="ELE7" s="1185"/>
      <c r="ELF7" s="1185"/>
      <c r="ELG7" s="1185"/>
      <c r="ELH7" s="1185"/>
      <c r="ELI7" s="1185"/>
      <c r="ELJ7" s="1185"/>
      <c r="ELK7" s="1185"/>
      <c r="ELL7" s="1185"/>
      <c r="ELM7" s="1185"/>
      <c r="ELN7" s="1185"/>
      <c r="ELO7" s="1185"/>
      <c r="ELP7" s="1185"/>
      <c r="ELQ7" s="1185"/>
      <c r="ELR7" s="1185"/>
      <c r="ELS7" s="1185"/>
      <c r="ELT7" s="1185"/>
      <c r="ELU7" s="1185"/>
      <c r="ELV7" s="1185"/>
      <c r="ELW7" s="1185"/>
      <c r="ELX7" s="1185"/>
      <c r="ELY7" s="1185"/>
      <c r="ELZ7" s="1185"/>
      <c r="EMA7" s="1185"/>
      <c r="EMB7" s="1185"/>
      <c r="EMC7" s="1185"/>
      <c r="EMD7" s="1185"/>
      <c r="EME7" s="1185"/>
      <c r="EMF7" s="1185"/>
      <c r="EMG7" s="1185"/>
      <c r="EMH7" s="1185"/>
      <c r="EMI7" s="1185"/>
      <c r="EMJ7" s="1185"/>
      <c r="EMK7" s="1185"/>
      <c r="EML7" s="1185"/>
      <c r="EMM7" s="1185"/>
      <c r="EMN7" s="1185"/>
      <c r="EMO7" s="1185"/>
      <c r="EMP7" s="1185"/>
      <c r="EMQ7" s="1185"/>
      <c r="EMR7" s="1185"/>
      <c r="EMS7" s="1185"/>
      <c r="EMT7" s="1185"/>
      <c r="EMU7" s="1185"/>
      <c r="EMV7" s="1185"/>
      <c r="EMW7" s="1185"/>
      <c r="EMX7" s="1185"/>
      <c r="EMY7" s="1185"/>
      <c r="EMZ7" s="1185"/>
      <c r="ENA7" s="1185"/>
      <c r="ENB7" s="1185"/>
      <c r="ENC7" s="1185"/>
      <c r="END7" s="1185"/>
      <c r="ENE7" s="1185"/>
      <c r="ENF7" s="1185"/>
      <c r="ENG7" s="1185"/>
      <c r="ENH7" s="1185"/>
      <c r="ENI7" s="1185"/>
      <c r="ENJ7" s="1185"/>
      <c r="ENK7" s="1185"/>
      <c r="ENL7" s="1185"/>
      <c r="ENM7" s="1185"/>
      <c r="ENN7" s="1185"/>
      <c r="ENO7" s="1185"/>
      <c r="ENP7" s="1185"/>
      <c r="ENQ7" s="1185"/>
      <c r="ENR7" s="1185"/>
      <c r="ENS7" s="1185"/>
      <c r="ENT7" s="1185"/>
      <c r="ENU7" s="1185"/>
      <c r="ENV7" s="1185"/>
      <c r="ENW7" s="1185"/>
      <c r="ENX7" s="1185"/>
      <c r="ENY7" s="1185"/>
      <c r="ENZ7" s="1185"/>
      <c r="EOA7" s="1185"/>
      <c r="EOB7" s="1185"/>
      <c r="EOC7" s="1185"/>
      <c r="EOD7" s="1185"/>
      <c r="EOE7" s="1185"/>
      <c r="EOF7" s="1185"/>
      <c r="EOG7" s="1185"/>
      <c r="EOH7" s="1185"/>
      <c r="EOI7" s="1185"/>
      <c r="EOJ7" s="1185"/>
      <c r="EOK7" s="1185"/>
      <c r="EOL7" s="1185"/>
      <c r="EOM7" s="1185"/>
      <c r="EON7" s="1185"/>
      <c r="EOO7" s="1185"/>
      <c r="EOP7" s="1185"/>
      <c r="EOQ7" s="1185"/>
      <c r="EOR7" s="1185"/>
      <c r="EOS7" s="1185"/>
      <c r="EOT7" s="1185"/>
      <c r="EOU7" s="1185"/>
      <c r="EOV7" s="1185"/>
      <c r="EOW7" s="1185"/>
      <c r="EOX7" s="1185"/>
      <c r="EOY7" s="1185"/>
      <c r="EOZ7" s="1185"/>
      <c r="EPA7" s="1185"/>
      <c r="EPB7" s="1185"/>
      <c r="EPC7" s="1185"/>
      <c r="EPD7" s="1185"/>
      <c r="EPE7" s="1185"/>
      <c r="EPF7" s="1185"/>
      <c r="EPG7" s="1185"/>
      <c r="EPH7" s="1185"/>
      <c r="EPI7" s="1185"/>
      <c r="EPJ7" s="1185"/>
      <c r="EPK7" s="1185"/>
      <c r="EPL7" s="1185"/>
      <c r="EPM7" s="1185"/>
      <c r="EPN7" s="1185"/>
      <c r="EPO7" s="1185"/>
      <c r="EPP7" s="1185"/>
      <c r="EPQ7" s="1185"/>
      <c r="EPR7" s="1185"/>
      <c r="EPS7" s="1185"/>
      <c r="EPT7" s="1185"/>
      <c r="EPU7" s="1185"/>
      <c r="EPV7" s="1185"/>
      <c r="EPW7" s="1185"/>
      <c r="EPX7" s="1185"/>
      <c r="EPY7" s="1185"/>
      <c r="EPZ7" s="1185"/>
      <c r="EQA7" s="1185"/>
      <c r="EQB7" s="1185"/>
      <c r="EQC7" s="1185"/>
      <c r="EQD7" s="1185"/>
      <c r="EQE7" s="1185"/>
      <c r="EQF7" s="1185"/>
      <c r="EQG7" s="1185"/>
      <c r="EQH7" s="1185"/>
      <c r="EQI7" s="1185"/>
      <c r="EQJ7" s="1185"/>
      <c r="EQK7" s="1185"/>
      <c r="EQL7" s="1185"/>
      <c r="EQM7" s="1185"/>
      <c r="EQN7" s="1185"/>
      <c r="EQO7" s="1185"/>
      <c r="EQP7" s="1185"/>
      <c r="EQQ7" s="1185"/>
      <c r="EQR7" s="1185"/>
      <c r="EQS7" s="1185"/>
      <c r="EQT7" s="1185"/>
      <c r="EQU7" s="1185"/>
      <c r="EQV7" s="1185"/>
      <c r="EQW7" s="1185"/>
      <c r="EQX7" s="1185"/>
      <c r="EQY7" s="1185"/>
      <c r="EQZ7" s="1185"/>
      <c r="ERA7" s="1185"/>
      <c r="ERB7" s="1185"/>
      <c r="ERC7" s="1185"/>
      <c r="ERD7" s="1185"/>
      <c r="ERE7" s="1185"/>
      <c r="ERF7" s="1185"/>
      <c r="ERG7" s="1185"/>
      <c r="ERH7" s="1185"/>
      <c r="ERI7" s="1185"/>
      <c r="ERJ7" s="1185"/>
      <c r="ERK7" s="1185"/>
      <c r="ERL7" s="1185"/>
      <c r="ERM7" s="1185"/>
      <c r="ERN7" s="1185"/>
      <c r="ERO7" s="1185"/>
      <c r="ERP7" s="1185"/>
      <c r="ERQ7" s="1185"/>
      <c r="ERR7" s="1185"/>
      <c r="ERS7" s="1185"/>
      <c r="ERT7" s="1185"/>
      <c r="ERU7" s="1185"/>
      <c r="ERV7" s="1185"/>
      <c r="ERW7" s="1185"/>
      <c r="ERX7" s="1185"/>
      <c r="ERY7" s="1185"/>
      <c r="ERZ7" s="1185"/>
      <c r="ESA7" s="1185"/>
      <c r="ESB7" s="1185"/>
      <c r="ESC7" s="1185"/>
      <c r="ESD7" s="1185"/>
      <c r="ESE7" s="1185"/>
      <c r="ESF7" s="1185"/>
      <c r="ESG7" s="1185"/>
      <c r="ESH7" s="1185"/>
      <c r="ESI7" s="1185"/>
      <c r="ESJ7" s="1185"/>
      <c r="ESK7" s="1185"/>
      <c r="ESL7" s="1185"/>
      <c r="ESM7" s="1185"/>
      <c r="ESN7" s="1185"/>
      <c r="ESO7" s="1185"/>
      <c r="ESP7" s="1185"/>
      <c r="ESQ7" s="1185"/>
      <c r="ESR7" s="1185"/>
      <c r="ESS7" s="1185"/>
      <c r="EST7" s="1185"/>
      <c r="ESU7" s="1185"/>
      <c r="ESV7" s="1185"/>
      <c r="ESW7" s="1185"/>
      <c r="ESX7" s="1185"/>
      <c r="ESY7" s="1185"/>
      <c r="ESZ7" s="1185"/>
      <c r="ETA7" s="1185"/>
      <c r="ETB7" s="1185"/>
      <c r="ETC7" s="1185"/>
      <c r="ETD7" s="1185"/>
      <c r="ETE7" s="1185"/>
      <c r="ETF7" s="1185"/>
      <c r="ETG7" s="1185"/>
      <c r="ETH7" s="1185"/>
      <c r="ETI7" s="1185"/>
      <c r="ETJ7" s="1185"/>
      <c r="ETK7" s="1185"/>
      <c r="ETL7" s="1185"/>
      <c r="ETM7" s="1185"/>
      <c r="ETN7" s="1185"/>
      <c r="ETO7" s="1185"/>
      <c r="ETP7" s="1185"/>
      <c r="ETQ7" s="1185"/>
      <c r="ETR7" s="1185"/>
      <c r="ETS7" s="1185"/>
      <c r="ETT7" s="1185"/>
      <c r="ETU7" s="1185"/>
      <c r="ETV7" s="1185"/>
      <c r="ETW7" s="1185"/>
      <c r="ETX7" s="1185"/>
      <c r="ETY7" s="1185"/>
      <c r="ETZ7" s="1185"/>
      <c r="EUA7" s="1185"/>
      <c r="EUB7" s="1185"/>
      <c r="EUC7" s="1185"/>
      <c r="EUD7" s="1185"/>
      <c r="EUE7" s="1185"/>
      <c r="EUF7" s="1185"/>
      <c r="EUG7" s="1185"/>
      <c r="EUH7" s="1185"/>
      <c r="EUI7" s="1185"/>
      <c r="EUJ7" s="1185"/>
      <c r="EUK7" s="1185"/>
      <c r="EUL7" s="1185"/>
      <c r="EUM7" s="1185"/>
      <c r="EUN7" s="1185"/>
      <c r="EUO7" s="1185"/>
      <c r="EUP7" s="1185"/>
      <c r="EUQ7" s="1185"/>
      <c r="EUR7" s="1185"/>
      <c r="EUS7" s="1185"/>
      <c r="EUT7" s="1185"/>
      <c r="EUU7" s="1185"/>
      <c r="EUV7" s="1185"/>
      <c r="EUW7" s="1185"/>
      <c r="EUX7" s="1185"/>
      <c r="EUY7" s="1185"/>
      <c r="EUZ7" s="1185"/>
      <c r="EVA7" s="1185"/>
      <c r="EVB7" s="1185"/>
      <c r="EVC7" s="1185"/>
      <c r="EVD7" s="1185"/>
      <c r="EVE7" s="1185"/>
      <c r="EVF7" s="1185"/>
      <c r="EVG7" s="1185"/>
      <c r="EVH7" s="1185"/>
      <c r="EVI7" s="1185"/>
      <c r="EVJ7" s="1185"/>
      <c r="EVK7" s="1185"/>
      <c r="EVL7" s="1185"/>
      <c r="EVM7" s="1185"/>
      <c r="EVN7" s="1185"/>
      <c r="EVO7" s="1185"/>
      <c r="EVP7" s="1185"/>
      <c r="EVQ7" s="1185"/>
      <c r="EVR7" s="1185"/>
      <c r="EVS7" s="1185"/>
      <c r="EVT7" s="1185"/>
      <c r="EVU7" s="1185"/>
      <c r="EVV7" s="1185"/>
      <c r="EVW7" s="1185"/>
      <c r="EVX7" s="1185"/>
      <c r="EVY7" s="1185"/>
      <c r="EVZ7" s="1185"/>
      <c r="EWA7" s="1185"/>
      <c r="EWB7" s="1185"/>
      <c r="EWC7" s="1185"/>
      <c r="EWD7" s="1185"/>
      <c r="EWE7" s="1185"/>
      <c r="EWF7" s="1185"/>
      <c r="EWG7" s="1185"/>
      <c r="EWH7" s="1185"/>
      <c r="EWI7" s="1185"/>
      <c r="EWJ7" s="1185"/>
      <c r="EWK7" s="1185"/>
      <c r="EWL7" s="1185"/>
      <c r="EWM7" s="1185"/>
      <c r="EWN7" s="1185"/>
      <c r="EWO7" s="1185"/>
      <c r="EWP7" s="1185"/>
      <c r="EWQ7" s="1185"/>
      <c r="EWR7" s="1185"/>
      <c r="EWS7" s="1185"/>
      <c r="EWT7" s="1185"/>
      <c r="EWU7" s="1185"/>
      <c r="EWV7" s="1185"/>
      <c r="EWW7" s="1185"/>
      <c r="EWX7" s="1185"/>
      <c r="EWY7" s="1185"/>
      <c r="EWZ7" s="1185"/>
      <c r="EXA7" s="1185"/>
      <c r="EXB7" s="1185"/>
      <c r="EXC7" s="1185"/>
      <c r="EXD7" s="1185"/>
      <c r="EXE7" s="1185"/>
      <c r="EXF7" s="1185"/>
      <c r="EXG7" s="1185"/>
      <c r="EXH7" s="1185"/>
      <c r="EXI7" s="1185"/>
      <c r="EXJ7" s="1185"/>
      <c r="EXK7" s="1185"/>
      <c r="EXL7" s="1185"/>
      <c r="EXM7" s="1185"/>
      <c r="EXN7" s="1185"/>
      <c r="EXO7" s="1185"/>
      <c r="EXP7" s="1185"/>
      <c r="EXQ7" s="1185"/>
      <c r="EXR7" s="1185"/>
      <c r="EXS7" s="1185"/>
      <c r="EXT7" s="1185"/>
      <c r="EXU7" s="1185"/>
      <c r="EXV7" s="1185"/>
      <c r="EXW7" s="1185"/>
      <c r="EXX7" s="1185"/>
      <c r="EXY7" s="1185"/>
      <c r="EXZ7" s="1185"/>
      <c r="EYA7" s="1185"/>
      <c r="EYB7" s="1185"/>
      <c r="EYC7" s="1185"/>
      <c r="EYD7" s="1185"/>
      <c r="EYE7" s="1185"/>
      <c r="EYF7" s="1185"/>
      <c r="EYG7" s="1185"/>
      <c r="EYH7" s="1185"/>
      <c r="EYI7" s="1185"/>
      <c r="EYJ7" s="1185"/>
      <c r="EYK7" s="1185"/>
      <c r="EYL7" s="1185"/>
      <c r="EYM7" s="1185"/>
      <c r="EYN7" s="1185"/>
      <c r="EYO7" s="1185"/>
      <c r="EYP7" s="1185"/>
      <c r="EYQ7" s="1185"/>
      <c r="EYR7" s="1185"/>
      <c r="EYS7" s="1185"/>
      <c r="EYT7" s="1185"/>
      <c r="EYU7" s="1185"/>
      <c r="EYV7" s="1185"/>
      <c r="EYW7" s="1185"/>
      <c r="EYX7" s="1185"/>
      <c r="EYY7" s="1185"/>
      <c r="EYZ7" s="1185"/>
      <c r="EZA7" s="1185"/>
      <c r="EZB7" s="1185"/>
      <c r="EZC7" s="1185"/>
      <c r="EZD7" s="1185"/>
      <c r="EZE7" s="1185"/>
      <c r="EZF7" s="1185"/>
      <c r="EZG7" s="1185"/>
      <c r="EZH7" s="1185"/>
      <c r="EZI7" s="1185"/>
      <c r="EZJ7" s="1185"/>
      <c r="EZK7" s="1185"/>
      <c r="EZL7" s="1185"/>
      <c r="EZM7" s="1185"/>
      <c r="EZN7" s="1185"/>
      <c r="EZO7" s="1185"/>
      <c r="EZP7" s="1185"/>
      <c r="EZQ7" s="1185"/>
      <c r="EZR7" s="1185"/>
      <c r="EZS7" s="1185"/>
      <c r="EZT7" s="1185"/>
      <c r="EZU7" s="1185"/>
      <c r="EZV7" s="1185"/>
      <c r="EZW7" s="1185"/>
      <c r="EZX7" s="1185"/>
      <c r="EZY7" s="1185"/>
      <c r="EZZ7" s="1185"/>
      <c r="FAA7" s="1185"/>
      <c r="FAB7" s="1185"/>
      <c r="FAC7" s="1185"/>
      <c r="FAD7" s="1185"/>
      <c r="FAE7" s="1185"/>
      <c r="FAF7" s="1185"/>
      <c r="FAG7" s="1185"/>
      <c r="FAH7" s="1185"/>
      <c r="FAI7" s="1185"/>
      <c r="FAJ7" s="1185"/>
      <c r="FAK7" s="1185"/>
      <c r="FAL7" s="1185"/>
      <c r="FAM7" s="1185"/>
      <c r="FAN7" s="1185"/>
      <c r="FAO7" s="1185"/>
      <c r="FAP7" s="1185"/>
      <c r="FAQ7" s="1185"/>
      <c r="FAR7" s="1185"/>
      <c r="FAS7" s="1185"/>
      <c r="FAT7" s="1185"/>
      <c r="FAU7" s="1185"/>
      <c r="FAV7" s="1185"/>
      <c r="FAW7" s="1185"/>
      <c r="FAX7" s="1185"/>
      <c r="FAY7" s="1185"/>
      <c r="FAZ7" s="1185"/>
      <c r="FBA7" s="1185"/>
      <c r="FBB7" s="1185"/>
      <c r="FBC7" s="1185"/>
      <c r="FBD7" s="1185"/>
      <c r="FBE7" s="1185"/>
      <c r="FBF7" s="1185"/>
      <c r="FBG7" s="1185"/>
      <c r="FBH7" s="1185"/>
      <c r="FBI7" s="1185"/>
      <c r="FBJ7" s="1185"/>
      <c r="FBK7" s="1185"/>
      <c r="FBL7" s="1185"/>
      <c r="FBM7" s="1185"/>
      <c r="FBN7" s="1185"/>
      <c r="FBO7" s="1185"/>
      <c r="FBP7" s="1185"/>
      <c r="FBQ7" s="1185"/>
      <c r="FBR7" s="1185"/>
      <c r="FBS7" s="1185"/>
      <c r="FBT7" s="1185"/>
      <c r="FBU7" s="1185"/>
      <c r="FBV7" s="1185"/>
      <c r="FBW7" s="1185"/>
      <c r="FBX7" s="1185"/>
      <c r="FBY7" s="1185"/>
      <c r="FBZ7" s="1185"/>
      <c r="FCA7" s="1185"/>
      <c r="FCB7" s="1185"/>
      <c r="FCC7" s="1185"/>
      <c r="FCD7" s="1185"/>
      <c r="FCE7" s="1185"/>
      <c r="FCF7" s="1185"/>
      <c r="FCG7" s="1185"/>
      <c r="FCH7" s="1185"/>
      <c r="FCI7" s="1185"/>
      <c r="FCJ7" s="1185"/>
      <c r="FCK7" s="1185"/>
      <c r="FCL7" s="1185"/>
      <c r="FCM7" s="1185"/>
      <c r="FCN7" s="1185"/>
      <c r="FCO7" s="1185"/>
      <c r="FCP7" s="1185"/>
      <c r="FCQ7" s="1185"/>
      <c r="FCR7" s="1185"/>
      <c r="FCS7" s="1185"/>
      <c r="FCT7" s="1185"/>
      <c r="FCU7" s="1185"/>
      <c r="FCV7" s="1185"/>
      <c r="FCW7" s="1185"/>
      <c r="FCX7" s="1185"/>
      <c r="FCY7" s="1185"/>
      <c r="FCZ7" s="1185"/>
      <c r="FDA7" s="1185"/>
      <c r="FDB7" s="1185"/>
      <c r="FDC7" s="1185"/>
      <c r="FDD7" s="1185"/>
      <c r="FDE7" s="1185"/>
      <c r="FDF7" s="1185"/>
      <c r="FDG7" s="1185"/>
      <c r="FDH7" s="1185"/>
      <c r="FDI7" s="1185"/>
      <c r="FDJ7" s="1185"/>
      <c r="FDK7" s="1185"/>
      <c r="FDL7" s="1185"/>
      <c r="FDM7" s="1185"/>
      <c r="FDN7" s="1185"/>
      <c r="FDO7" s="1185"/>
      <c r="FDP7" s="1185"/>
      <c r="FDQ7" s="1185"/>
      <c r="FDR7" s="1185"/>
      <c r="FDS7" s="1185"/>
      <c r="FDT7" s="1185"/>
      <c r="FDU7" s="1185"/>
      <c r="FDV7" s="1185"/>
      <c r="FDW7" s="1185"/>
      <c r="FDX7" s="1185"/>
      <c r="FDY7" s="1185"/>
      <c r="FDZ7" s="1185"/>
      <c r="FEA7" s="1185"/>
      <c r="FEB7" s="1185"/>
      <c r="FEC7" s="1185"/>
      <c r="FED7" s="1185"/>
      <c r="FEE7" s="1185"/>
      <c r="FEF7" s="1185"/>
      <c r="FEG7" s="1185"/>
      <c r="FEH7" s="1185"/>
      <c r="FEI7" s="1185"/>
      <c r="FEJ7" s="1185"/>
      <c r="FEK7" s="1185"/>
      <c r="FEL7" s="1185"/>
      <c r="FEM7" s="1185"/>
      <c r="FEN7" s="1185"/>
      <c r="FEO7" s="1185"/>
      <c r="FEP7" s="1185"/>
      <c r="FEQ7" s="1185"/>
      <c r="FER7" s="1185"/>
      <c r="FES7" s="1185"/>
      <c r="FET7" s="1185"/>
      <c r="FEU7" s="1185"/>
      <c r="FEV7" s="1185"/>
      <c r="FEW7" s="1185"/>
      <c r="FEX7" s="1185"/>
      <c r="FEY7" s="1185"/>
      <c r="FEZ7" s="1185"/>
      <c r="FFA7" s="1185"/>
      <c r="FFB7" s="1185"/>
      <c r="FFC7" s="1185"/>
      <c r="FFD7" s="1185"/>
      <c r="FFE7" s="1185"/>
      <c r="FFF7" s="1185"/>
      <c r="FFG7" s="1185"/>
      <c r="FFH7" s="1185"/>
      <c r="FFI7" s="1185"/>
      <c r="FFJ7" s="1185"/>
      <c r="FFK7" s="1185"/>
      <c r="FFL7" s="1185"/>
      <c r="FFM7" s="1185"/>
      <c r="FFN7" s="1185"/>
      <c r="FFO7" s="1185"/>
      <c r="FFP7" s="1185"/>
      <c r="FFQ7" s="1185"/>
      <c r="FFR7" s="1185"/>
      <c r="FFS7" s="1185"/>
      <c r="FFT7" s="1185"/>
      <c r="FFU7" s="1185"/>
      <c r="FFV7" s="1185"/>
      <c r="FFW7" s="1185"/>
      <c r="FFX7" s="1185"/>
      <c r="FFY7" s="1185"/>
      <c r="FFZ7" s="1185"/>
      <c r="FGA7" s="1185"/>
      <c r="FGB7" s="1185"/>
      <c r="FGC7" s="1185"/>
      <c r="FGD7" s="1185"/>
      <c r="FGE7" s="1185"/>
      <c r="FGF7" s="1185"/>
      <c r="FGG7" s="1185"/>
      <c r="FGH7" s="1185"/>
      <c r="FGI7" s="1185"/>
      <c r="FGJ7" s="1185"/>
      <c r="FGK7" s="1185"/>
      <c r="FGL7" s="1185"/>
      <c r="FGM7" s="1185"/>
      <c r="FGN7" s="1185"/>
      <c r="FGO7" s="1185"/>
      <c r="FGP7" s="1185"/>
      <c r="FGQ7" s="1185"/>
      <c r="FGR7" s="1185"/>
      <c r="FGS7" s="1185"/>
      <c r="FGT7" s="1185"/>
      <c r="FGU7" s="1185"/>
      <c r="FGV7" s="1185"/>
      <c r="FGW7" s="1185"/>
      <c r="FGX7" s="1185"/>
      <c r="FGY7" s="1185"/>
      <c r="FGZ7" s="1185"/>
      <c r="FHA7" s="1185"/>
      <c r="FHB7" s="1185"/>
      <c r="FHC7" s="1185"/>
      <c r="FHD7" s="1185"/>
      <c r="FHE7" s="1185"/>
      <c r="FHF7" s="1185"/>
      <c r="FHG7" s="1185"/>
      <c r="FHH7" s="1185"/>
      <c r="FHI7" s="1185"/>
      <c r="FHJ7" s="1185"/>
      <c r="FHK7" s="1185"/>
      <c r="FHL7" s="1185"/>
      <c r="FHM7" s="1185"/>
      <c r="FHN7" s="1185"/>
      <c r="FHO7" s="1185"/>
      <c r="FHP7" s="1185"/>
      <c r="FHQ7" s="1185"/>
      <c r="FHR7" s="1185"/>
      <c r="FHS7" s="1185"/>
      <c r="FHT7" s="1185"/>
      <c r="FHU7" s="1185"/>
      <c r="FHV7" s="1185"/>
      <c r="FHW7" s="1185"/>
      <c r="FHX7" s="1185"/>
      <c r="FHY7" s="1185"/>
      <c r="FHZ7" s="1185"/>
      <c r="FIA7" s="1185"/>
      <c r="FIB7" s="1185"/>
      <c r="FIC7" s="1185"/>
      <c r="FID7" s="1185"/>
      <c r="FIE7" s="1185"/>
      <c r="FIF7" s="1185"/>
      <c r="FIG7" s="1185"/>
      <c r="FIH7" s="1185"/>
      <c r="FII7" s="1185"/>
      <c r="FIJ7" s="1185"/>
      <c r="FIK7" s="1185"/>
      <c r="FIL7" s="1185"/>
      <c r="FIM7" s="1185"/>
      <c r="FIN7" s="1185"/>
      <c r="FIO7" s="1185"/>
      <c r="FIP7" s="1185"/>
      <c r="FIQ7" s="1185"/>
      <c r="FIR7" s="1185"/>
      <c r="FIS7" s="1185"/>
      <c r="FIT7" s="1185"/>
      <c r="FIU7" s="1185"/>
      <c r="FIV7" s="1185"/>
      <c r="FIW7" s="1185"/>
      <c r="FIX7" s="1185"/>
      <c r="FIY7" s="1185"/>
      <c r="FIZ7" s="1185"/>
      <c r="FJA7" s="1185"/>
      <c r="FJB7" s="1185"/>
      <c r="FJC7" s="1185"/>
      <c r="FJD7" s="1185"/>
      <c r="FJE7" s="1185"/>
      <c r="FJF7" s="1185"/>
      <c r="FJG7" s="1185"/>
      <c r="FJH7" s="1185"/>
      <c r="FJI7" s="1185"/>
      <c r="FJJ7" s="1185"/>
      <c r="FJK7" s="1185"/>
      <c r="FJL7" s="1185"/>
      <c r="FJM7" s="1185"/>
      <c r="FJN7" s="1185"/>
      <c r="FJO7" s="1185"/>
      <c r="FJP7" s="1185"/>
      <c r="FJQ7" s="1185"/>
      <c r="FJR7" s="1185"/>
      <c r="FJS7" s="1185"/>
      <c r="FJT7" s="1185"/>
      <c r="FJU7" s="1185"/>
      <c r="FJV7" s="1185"/>
      <c r="FJW7" s="1185"/>
      <c r="FJX7" s="1185"/>
      <c r="FJY7" s="1185"/>
      <c r="FJZ7" s="1185"/>
      <c r="FKA7" s="1185"/>
      <c r="FKB7" s="1185"/>
      <c r="FKC7" s="1185"/>
      <c r="FKD7" s="1185"/>
      <c r="FKE7" s="1185"/>
      <c r="FKF7" s="1185"/>
      <c r="FKG7" s="1185"/>
      <c r="FKH7" s="1185"/>
      <c r="FKI7" s="1185"/>
      <c r="FKJ7" s="1185"/>
      <c r="FKK7" s="1185"/>
      <c r="FKL7" s="1185"/>
      <c r="FKM7" s="1185"/>
      <c r="FKN7" s="1185"/>
      <c r="FKO7" s="1185"/>
      <c r="FKP7" s="1185"/>
      <c r="FKQ7" s="1185"/>
      <c r="FKR7" s="1185"/>
      <c r="FKS7" s="1185"/>
      <c r="FKT7" s="1185"/>
      <c r="FKU7" s="1185"/>
      <c r="FKV7" s="1185"/>
      <c r="FKW7" s="1185"/>
      <c r="FKX7" s="1185"/>
      <c r="FKY7" s="1185"/>
      <c r="FKZ7" s="1185"/>
      <c r="FLA7" s="1185"/>
      <c r="FLB7" s="1185"/>
      <c r="FLC7" s="1185"/>
      <c r="FLD7" s="1185"/>
      <c r="FLE7" s="1185"/>
      <c r="FLF7" s="1185"/>
      <c r="FLG7" s="1185"/>
      <c r="FLH7" s="1185"/>
      <c r="FLI7" s="1185"/>
      <c r="FLJ7" s="1185"/>
      <c r="FLK7" s="1185"/>
      <c r="FLL7" s="1185"/>
      <c r="FLM7" s="1185"/>
      <c r="FLN7" s="1185"/>
      <c r="FLO7" s="1185"/>
      <c r="FLP7" s="1185"/>
      <c r="FLQ7" s="1185"/>
      <c r="FLR7" s="1185"/>
      <c r="FLS7" s="1185"/>
      <c r="FLT7" s="1185"/>
      <c r="FLU7" s="1185"/>
      <c r="FLV7" s="1185"/>
      <c r="FLW7" s="1185"/>
      <c r="FLX7" s="1185"/>
      <c r="FLY7" s="1185"/>
      <c r="FLZ7" s="1185"/>
      <c r="FMA7" s="1185"/>
      <c r="FMB7" s="1185"/>
      <c r="FMC7" s="1185"/>
      <c r="FMD7" s="1185"/>
      <c r="FME7" s="1185"/>
      <c r="FMF7" s="1185"/>
      <c r="FMG7" s="1185"/>
      <c r="FMH7" s="1185"/>
      <c r="FMI7" s="1185"/>
      <c r="FMJ7" s="1185"/>
      <c r="FMK7" s="1185"/>
      <c r="FML7" s="1185"/>
      <c r="FMM7" s="1185"/>
      <c r="FMN7" s="1185"/>
      <c r="FMO7" s="1185"/>
      <c r="FMP7" s="1185"/>
      <c r="FMQ7" s="1185"/>
      <c r="FMR7" s="1185"/>
      <c r="FMS7" s="1185"/>
      <c r="FMT7" s="1185"/>
      <c r="FMU7" s="1185"/>
      <c r="FMV7" s="1185"/>
      <c r="FMW7" s="1185"/>
      <c r="FMX7" s="1185"/>
      <c r="FMY7" s="1185"/>
      <c r="FMZ7" s="1185"/>
      <c r="FNA7" s="1185"/>
      <c r="FNB7" s="1185"/>
      <c r="FNC7" s="1185"/>
      <c r="FND7" s="1185"/>
      <c r="FNE7" s="1185"/>
      <c r="FNF7" s="1185"/>
      <c r="FNG7" s="1185"/>
      <c r="FNH7" s="1185"/>
      <c r="FNI7" s="1185"/>
      <c r="FNJ7" s="1185"/>
      <c r="FNK7" s="1185"/>
      <c r="FNL7" s="1185"/>
      <c r="FNM7" s="1185"/>
      <c r="FNN7" s="1185"/>
      <c r="FNO7" s="1185"/>
      <c r="FNP7" s="1185"/>
      <c r="FNQ7" s="1185"/>
      <c r="FNR7" s="1185"/>
      <c r="FNS7" s="1185"/>
      <c r="FNT7" s="1185"/>
      <c r="FNU7" s="1185"/>
      <c r="FNV7" s="1185"/>
      <c r="FNW7" s="1185"/>
      <c r="FNX7" s="1185"/>
      <c r="FNY7" s="1185"/>
      <c r="FNZ7" s="1185"/>
      <c r="FOA7" s="1185"/>
      <c r="FOB7" s="1185"/>
      <c r="FOC7" s="1185"/>
      <c r="FOD7" s="1185"/>
      <c r="FOE7" s="1185"/>
      <c r="FOF7" s="1185"/>
      <c r="FOG7" s="1185"/>
      <c r="FOH7" s="1185"/>
      <c r="FOI7" s="1185"/>
      <c r="FOJ7" s="1185"/>
      <c r="FOK7" s="1185"/>
      <c r="FOL7" s="1185"/>
      <c r="FOM7" s="1185"/>
      <c r="FON7" s="1185"/>
      <c r="FOO7" s="1185"/>
      <c r="FOP7" s="1185"/>
      <c r="FOQ7" s="1185"/>
      <c r="FOR7" s="1185"/>
      <c r="FOS7" s="1185"/>
      <c r="FOT7" s="1185"/>
      <c r="FOU7" s="1185"/>
      <c r="FOV7" s="1185"/>
      <c r="FOW7" s="1185"/>
      <c r="FOX7" s="1185"/>
      <c r="FOY7" s="1185"/>
      <c r="FOZ7" s="1185"/>
      <c r="FPA7" s="1185"/>
      <c r="FPB7" s="1185"/>
      <c r="FPC7" s="1185"/>
      <c r="FPD7" s="1185"/>
      <c r="FPE7" s="1185"/>
      <c r="FPF7" s="1185"/>
      <c r="FPG7" s="1185"/>
      <c r="FPH7" s="1185"/>
      <c r="FPI7" s="1185"/>
      <c r="FPJ7" s="1185"/>
      <c r="FPK7" s="1185"/>
      <c r="FPL7" s="1185"/>
      <c r="FPM7" s="1185"/>
      <c r="FPN7" s="1185"/>
      <c r="FPO7" s="1185"/>
      <c r="FPP7" s="1185"/>
      <c r="FPQ7" s="1185"/>
      <c r="FPR7" s="1185"/>
      <c r="FPS7" s="1185"/>
      <c r="FPT7" s="1185"/>
      <c r="FPU7" s="1185"/>
      <c r="FPV7" s="1185"/>
      <c r="FPW7" s="1185"/>
      <c r="FPX7" s="1185"/>
      <c r="FPY7" s="1185"/>
      <c r="FPZ7" s="1185"/>
      <c r="FQA7" s="1185"/>
      <c r="FQB7" s="1185"/>
      <c r="FQC7" s="1185"/>
      <c r="FQD7" s="1185"/>
      <c r="FQE7" s="1185"/>
      <c r="FQF7" s="1185"/>
      <c r="FQG7" s="1185"/>
      <c r="FQH7" s="1185"/>
      <c r="FQI7" s="1185"/>
      <c r="FQJ7" s="1185"/>
      <c r="FQK7" s="1185"/>
      <c r="FQL7" s="1185"/>
      <c r="FQM7" s="1185"/>
      <c r="FQN7" s="1185"/>
      <c r="FQO7" s="1185"/>
      <c r="FQP7" s="1185"/>
      <c r="FQQ7" s="1185"/>
      <c r="FQR7" s="1185"/>
      <c r="FQS7" s="1185"/>
      <c r="FQT7" s="1185"/>
      <c r="FQU7" s="1185"/>
      <c r="FQV7" s="1185"/>
      <c r="FQW7" s="1185"/>
      <c r="FQX7" s="1185"/>
      <c r="FQY7" s="1185"/>
      <c r="FQZ7" s="1185"/>
      <c r="FRA7" s="1185"/>
      <c r="FRB7" s="1185"/>
      <c r="FRC7" s="1185"/>
      <c r="FRD7" s="1185"/>
      <c r="FRE7" s="1185"/>
      <c r="FRF7" s="1185"/>
      <c r="FRG7" s="1185"/>
      <c r="FRH7" s="1185"/>
      <c r="FRI7" s="1185"/>
      <c r="FRJ7" s="1185"/>
      <c r="FRK7" s="1185"/>
      <c r="FRL7" s="1185"/>
      <c r="FRM7" s="1185"/>
      <c r="FRN7" s="1185"/>
      <c r="FRO7" s="1185"/>
      <c r="FRP7" s="1185"/>
      <c r="FRQ7" s="1185"/>
      <c r="FRR7" s="1185"/>
      <c r="FRS7" s="1185"/>
      <c r="FRT7" s="1185"/>
      <c r="FRU7" s="1185"/>
      <c r="FRV7" s="1185"/>
      <c r="FRW7" s="1185"/>
      <c r="FRX7" s="1185"/>
      <c r="FRY7" s="1185"/>
      <c r="FRZ7" s="1185"/>
      <c r="FSA7" s="1185"/>
      <c r="FSB7" s="1185"/>
      <c r="FSC7" s="1185"/>
      <c r="FSD7" s="1185"/>
      <c r="FSE7" s="1185"/>
      <c r="FSF7" s="1185"/>
      <c r="FSG7" s="1185"/>
      <c r="FSH7" s="1185"/>
      <c r="FSI7" s="1185"/>
      <c r="FSJ7" s="1185"/>
      <c r="FSK7" s="1185"/>
      <c r="FSL7" s="1185"/>
      <c r="FSM7" s="1185"/>
      <c r="FSN7" s="1185"/>
      <c r="FSO7" s="1185"/>
      <c r="FSP7" s="1185"/>
      <c r="FSQ7" s="1185"/>
      <c r="FSR7" s="1185"/>
      <c r="FSS7" s="1185"/>
      <c r="FST7" s="1185"/>
      <c r="FSU7" s="1185"/>
      <c r="FSV7" s="1185"/>
      <c r="FSW7" s="1185"/>
      <c r="FSX7" s="1185"/>
      <c r="FSY7" s="1185"/>
      <c r="FSZ7" s="1185"/>
      <c r="FTA7" s="1185"/>
      <c r="FTB7" s="1185"/>
      <c r="FTC7" s="1185"/>
      <c r="FTD7" s="1185"/>
      <c r="FTE7" s="1185"/>
      <c r="FTF7" s="1185"/>
      <c r="FTG7" s="1185"/>
      <c r="FTH7" s="1185"/>
      <c r="FTI7" s="1185"/>
      <c r="FTJ7" s="1185"/>
      <c r="FTK7" s="1185"/>
      <c r="FTL7" s="1185"/>
      <c r="FTM7" s="1185"/>
      <c r="FTN7" s="1185"/>
      <c r="FTO7" s="1185"/>
      <c r="FTP7" s="1185"/>
      <c r="FTQ7" s="1185"/>
      <c r="FTR7" s="1185"/>
      <c r="FTS7" s="1185"/>
      <c r="FTT7" s="1185"/>
      <c r="FTU7" s="1185"/>
      <c r="FTV7" s="1185"/>
      <c r="FTW7" s="1185"/>
      <c r="FTX7" s="1185"/>
      <c r="FTY7" s="1185"/>
      <c r="FTZ7" s="1185"/>
      <c r="FUA7" s="1185"/>
      <c r="FUB7" s="1185"/>
      <c r="FUC7" s="1185"/>
      <c r="FUD7" s="1185"/>
      <c r="FUE7" s="1185"/>
      <c r="FUF7" s="1185"/>
      <c r="FUG7" s="1185"/>
      <c r="FUH7" s="1185"/>
      <c r="FUI7" s="1185"/>
      <c r="FUJ7" s="1185"/>
      <c r="FUK7" s="1185"/>
      <c r="FUL7" s="1185"/>
      <c r="FUM7" s="1185"/>
      <c r="FUN7" s="1185"/>
      <c r="FUO7" s="1185"/>
      <c r="FUP7" s="1185"/>
      <c r="FUQ7" s="1185"/>
      <c r="FUR7" s="1185"/>
      <c r="FUS7" s="1185"/>
      <c r="FUT7" s="1185"/>
      <c r="FUU7" s="1185"/>
      <c r="FUV7" s="1185"/>
      <c r="FUW7" s="1185"/>
      <c r="FUX7" s="1185"/>
      <c r="FUY7" s="1185"/>
      <c r="FUZ7" s="1185"/>
      <c r="FVA7" s="1185"/>
      <c r="FVB7" s="1185"/>
      <c r="FVC7" s="1185"/>
      <c r="FVD7" s="1185"/>
      <c r="FVE7" s="1185"/>
      <c r="FVF7" s="1185"/>
      <c r="FVG7" s="1185"/>
      <c r="FVH7" s="1185"/>
      <c r="FVI7" s="1185"/>
      <c r="FVJ7" s="1185"/>
      <c r="FVK7" s="1185"/>
      <c r="FVL7" s="1185"/>
      <c r="FVM7" s="1185"/>
      <c r="FVN7" s="1185"/>
      <c r="FVO7" s="1185"/>
      <c r="FVP7" s="1185"/>
      <c r="FVQ7" s="1185"/>
      <c r="FVR7" s="1185"/>
      <c r="FVS7" s="1185"/>
      <c r="FVT7" s="1185"/>
      <c r="FVU7" s="1185"/>
      <c r="FVV7" s="1185"/>
      <c r="FVW7" s="1185"/>
      <c r="FVX7" s="1185"/>
      <c r="FVY7" s="1185"/>
      <c r="FVZ7" s="1185"/>
      <c r="FWA7" s="1185"/>
      <c r="FWB7" s="1185"/>
      <c r="FWC7" s="1185"/>
      <c r="FWD7" s="1185"/>
      <c r="FWE7" s="1185"/>
      <c r="FWF7" s="1185"/>
      <c r="FWG7" s="1185"/>
      <c r="FWH7" s="1185"/>
      <c r="FWI7" s="1185"/>
      <c r="FWJ7" s="1185"/>
      <c r="FWK7" s="1185"/>
      <c r="FWL7" s="1185"/>
      <c r="FWM7" s="1185"/>
      <c r="FWN7" s="1185"/>
      <c r="FWO7" s="1185"/>
      <c r="FWP7" s="1185"/>
      <c r="FWQ7" s="1185"/>
      <c r="FWR7" s="1185"/>
      <c r="FWS7" s="1185"/>
      <c r="FWT7" s="1185"/>
      <c r="FWU7" s="1185"/>
      <c r="FWV7" s="1185"/>
      <c r="FWW7" s="1185"/>
      <c r="FWX7" s="1185"/>
      <c r="FWY7" s="1185"/>
      <c r="FWZ7" s="1185"/>
      <c r="FXA7" s="1185"/>
      <c r="FXB7" s="1185"/>
      <c r="FXC7" s="1185"/>
      <c r="FXD7" s="1185"/>
      <c r="FXE7" s="1185"/>
      <c r="FXF7" s="1185"/>
      <c r="FXG7" s="1185"/>
      <c r="FXH7" s="1185"/>
      <c r="FXI7" s="1185"/>
      <c r="FXJ7" s="1185"/>
      <c r="FXK7" s="1185"/>
      <c r="FXL7" s="1185"/>
      <c r="FXM7" s="1185"/>
      <c r="FXN7" s="1185"/>
      <c r="FXO7" s="1185"/>
      <c r="FXP7" s="1185"/>
      <c r="FXQ7" s="1185"/>
      <c r="FXR7" s="1185"/>
      <c r="FXS7" s="1185"/>
      <c r="FXT7" s="1185"/>
      <c r="FXU7" s="1185"/>
      <c r="FXV7" s="1185"/>
      <c r="FXW7" s="1185"/>
      <c r="FXX7" s="1185"/>
      <c r="FXY7" s="1185"/>
      <c r="FXZ7" s="1185"/>
      <c r="FYA7" s="1185"/>
      <c r="FYB7" s="1185"/>
      <c r="FYC7" s="1185"/>
      <c r="FYD7" s="1185"/>
      <c r="FYE7" s="1185"/>
      <c r="FYF7" s="1185"/>
      <c r="FYG7" s="1185"/>
      <c r="FYH7" s="1185"/>
      <c r="FYI7" s="1185"/>
      <c r="FYJ7" s="1185"/>
      <c r="FYK7" s="1185"/>
      <c r="FYL7" s="1185"/>
      <c r="FYM7" s="1185"/>
      <c r="FYN7" s="1185"/>
      <c r="FYO7" s="1185"/>
      <c r="FYP7" s="1185"/>
      <c r="FYQ7" s="1185"/>
      <c r="FYR7" s="1185"/>
      <c r="FYS7" s="1185"/>
      <c r="FYT7" s="1185"/>
      <c r="FYU7" s="1185"/>
      <c r="FYV7" s="1185"/>
      <c r="FYW7" s="1185"/>
      <c r="FYX7" s="1185"/>
      <c r="FYY7" s="1185"/>
      <c r="FYZ7" s="1185"/>
      <c r="FZA7" s="1185"/>
      <c r="FZB7" s="1185"/>
      <c r="FZC7" s="1185"/>
      <c r="FZD7" s="1185"/>
      <c r="FZE7" s="1185"/>
      <c r="FZF7" s="1185"/>
      <c r="FZG7" s="1185"/>
      <c r="FZH7" s="1185"/>
      <c r="FZI7" s="1185"/>
      <c r="FZJ7" s="1185"/>
      <c r="FZK7" s="1185"/>
      <c r="FZL7" s="1185"/>
      <c r="FZM7" s="1185"/>
      <c r="FZN7" s="1185"/>
      <c r="FZO7" s="1185"/>
      <c r="FZP7" s="1185"/>
      <c r="FZQ7" s="1185"/>
      <c r="FZR7" s="1185"/>
      <c r="FZS7" s="1185"/>
      <c r="FZT7" s="1185"/>
      <c r="FZU7" s="1185"/>
      <c r="FZV7" s="1185"/>
      <c r="FZW7" s="1185"/>
      <c r="FZX7" s="1185"/>
      <c r="FZY7" s="1185"/>
      <c r="FZZ7" s="1185"/>
      <c r="GAA7" s="1185"/>
      <c r="GAB7" s="1185"/>
      <c r="GAC7" s="1185"/>
      <c r="GAD7" s="1185"/>
      <c r="GAE7" s="1185"/>
      <c r="GAF7" s="1185"/>
      <c r="GAG7" s="1185"/>
      <c r="GAH7" s="1185"/>
      <c r="GAI7" s="1185"/>
      <c r="GAJ7" s="1185"/>
      <c r="GAK7" s="1185"/>
      <c r="GAL7" s="1185"/>
      <c r="GAM7" s="1185"/>
      <c r="GAN7" s="1185"/>
      <c r="GAO7" s="1185"/>
      <c r="GAP7" s="1185"/>
      <c r="GAQ7" s="1185"/>
      <c r="GAR7" s="1185"/>
      <c r="GAS7" s="1185"/>
      <c r="GAT7" s="1185"/>
      <c r="GAU7" s="1185"/>
      <c r="GAV7" s="1185"/>
      <c r="GAW7" s="1185"/>
      <c r="GAX7" s="1185"/>
      <c r="GAY7" s="1185"/>
      <c r="GAZ7" s="1185"/>
      <c r="GBA7" s="1185"/>
      <c r="GBB7" s="1185"/>
      <c r="GBC7" s="1185"/>
      <c r="GBD7" s="1185"/>
      <c r="GBE7" s="1185"/>
      <c r="GBF7" s="1185"/>
      <c r="GBG7" s="1185"/>
      <c r="GBH7" s="1185"/>
      <c r="GBI7" s="1185"/>
      <c r="GBJ7" s="1185"/>
      <c r="GBK7" s="1185"/>
      <c r="GBL7" s="1185"/>
      <c r="GBM7" s="1185"/>
      <c r="GBN7" s="1185"/>
      <c r="GBO7" s="1185"/>
      <c r="GBP7" s="1185"/>
      <c r="GBQ7" s="1185"/>
      <c r="GBR7" s="1185"/>
      <c r="GBS7" s="1185"/>
      <c r="GBT7" s="1185"/>
      <c r="GBU7" s="1185"/>
      <c r="GBV7" s="1185"/>
      <c r="GBW7" s="1185"/>
      <c r="GBX7" s="1185"/>
      <c r="GBY7" s="1185"/>
      <c r="GBZ7" s="1185"/>
      <c r="GCA7" s="1185"/>
      <c r="GCB7" s="1185"/>
      <c r="GCC7" s="1185"/>
      <c r="GCD7" s="1185"/>
      <c r="GCE7" s="1185"/>
      <c r="GCF7" s="1185"/>
      <c r="GCG7" s="1185"/>
      <c r="GCH7" s="1185"/>
      <c r="GCI7" s="1185"/>
      <c r="GCJ7" s="1185"/>
      <c r="GCK7" s="1185"/>
      <c r="GCL7" s="1185"/>
      <c r="GCM7" s="1185"/>
      <c r="GCN7" s="1185"/>
      <c r="GCO7" s="1185"/>
      <c r="GCP7" s="1185"/>
      <c r="GCQ7" s="1185"/>
      <c r="GCR7" s="1185"/>
      <c r="GCS7" s="1185"/>
      <c r="GCT7" s="1185"/>
      <c r="GCU7" s="1185"/>
      <c r="GCV7" s="1185"/>
      <c r="GCW7" s="1185"/>
      <c r="GCX7" s="1185"/>
      <c r="GCY7" s="1185"/>
      <c r="GCZ7" s="1185"/>
      <c r="GDA7" s="1185"/>
      <c r="GDB7" s="1185"/>
      <c r="GDC7" s="1185"/>
      <c r="GDD7" s="1185"/>
      <c r="GDE7" s="1185"/>
      <c r="GDF7" s="1185"/>
      <c r="GDG7" s="1185"/>
      <c r="GDH7" s="1185"/>
      <c r="GDI7" s="1185"/>
      <c r="GDJ7" s="1185"/>
      <c r="GDK7" s="1185"/>
      <c r="GDL7" s="1185"/>
      <c r="GDM7" s="1185"/>
      <c r="GDN7" s="1185"/>
      <c r="GDO7" s="1185"/>
      <c r="GDP7" s="1185"/>
      <c r="GDQ7" s="1185"/>
      <c r="GDR7" s="1185"/>
      <c r="GDS7" s="1185"/>
      <c r="GDT7" s="1185"/>
      <c r="GDU7" s="1185"/>
      <c r="GDV7" s="1185"/>
      <c r="GDW7" s="1185"/>
      <c r="GDX7" s="1185"/>
      <c r="GDY7" s="1185"/>
      <c r="GDZ7" s="1185"/>
      <c r="GEA7" s="1185"/>
      <c r="GEB7" s="1185"/>
      <c r="GEC7" s="1185"/>
      <c r="GED7" s="1185"/>
      <c r="GEE7" s="1185"/>
      <c r="GEF7" s="1185"/>
      <c r="GEG7" s="1185"/>
      <c r="GEH7" s="1185"/>
      <c r="GEI7" s="1185"/>
      <c r="GEJ7" s="1185"/>
      <c r="GEK7" s="1185"/>
      <c r="GEL7" s="1185"/>
      <c r="GEM7" s="1185"/>
      <c r="GEN7" s="1185"/>
      <c r="GEO7" s="1185"/>
      <c r="GEP7" s="1185"/>
      <c r="GEQ7" s="1185"/>
      <c r="GER7" s="1185"/>
      <c r="GES7" s="1185"/>
      <c r="GET7" s="1185"/>
      <c r="GEU7" s="1185"/>
      <c r="GEV7" s="1185"/>
      <c r="GEW7" s="1185"/>
      <c r="GEX7" s="1185"/>
      <c r="GEY7" s="1185"/>
      <c r="GEZ7" s="1185"/>
      <c r="GFA7" s="1185"/>
      <c r="GFB7" s="1185"/>
      <c r="GFC7" s="1185"/>
      <c r="GFD7" s="1185"/>
      <c r="GFE7" s="1185"/>
      <c r="GFF7" s="1185"/>
      <c r="GFG7" s="1185"/>
      <c r="GFH7" s="1185"/>
      <c r="GFI7" s="1185"/>
      <c r="GFJ7" s="1185"/>
      <c r="GFK7" s="1185"/>
      <c r="GFL7" s="1185"/>
      <c r="GFM7" s="1185"/>
      <c r="GFN7" s="1185"/>
      <c r="GFO7" s="1185"/>
      <c r="GFP7" s="1185"/>
      <c r="GFQ7" s="1185"/>
      <c r="GFR7" s="1185"/>
      <c r="GFS7" s="1185"/>
      <c r="GFT7" s="1185"/>
      <c r="GFU7" s="1185"/>
      <c r="GFV7" s="1185"/>
      <c r="GFW7" s="1185"/>
      <c r="GFX7" s="1185"/>
      <c r="GFY7" s="1185"/>
      <c r="GFZ7" s="1185"/>
      <c r="GGA7" s="1185"/>
      <c r="GGB7" s="1185"/>
      <c r="GGC7" s="1185"/>
      <c r="GGD7" s="1185"/>
      <c r="GGE7" s="1185"/>
      <c r="GGF7" s="1185"/>
      <c r="GGG7" s="1185"/>
      <c r="GGH7" s="1185"/>
      <c r="GGI7" s="1185"/>
      <c r="GGJ7" s="1185"/>
      <c r="GGK7" s="1185"/>
      <c r="GGL7" s="1185"/>
      <c r="GGM7" s="1185"/>
      <c r="GGN7" s="1185"/>
      <c r="GGO7" s="1185"/>
      <c r="GGP7" s="1185"/>
      <c r="GGQ7" s="1185"/>
      <c r="GGR7" s="1185"/>
      <c r="GGS7" s="1185"/>
      <c r="GGT7" s="1185"/>
      <c r="GGU7" s="1185"/>
      <c r="GGV7" s="1185"/>
      <c r="GGW7" s="1185"/>
      <c r="GGX7" s="1185"/>
      <c r="GGY7" s="1185"/>
      <c r="GGZ7" s="1185"/>
      <c r="GHA7" s="1185"/>
      <c r="GHB7" s="1185"/>
      <c r="GHC7" s="1185"/>
      <c r="GHD7" s="1185"/>
      <c r="GHE7" s="1185"/>
      <c r="GHF7" s="1185"/>
      <c r="GHG7" s="1185"/>
      <c r="GHH7" s="1185"/>
      <c r="GHI7" s="1185"/>
      <c r="GHJ7" s="1185"/>
      <c r="GHK7" s="1185"/>
      <c r="GHL7" s="1185"/>
      <c r="GHM7" s="1185"/>
      <c r="GHN7" s="1185"/>
      <c r="GHO7" s="1185"/>
      <c r="GHP7" s="1185"/>
      <c r="GHQ7" s="1185"/>
      <c r="GHR7" s="1185"/>
      <c r="GHS7" s="1185"/>
      <c r="GHT7" s="1185"/>
      <c r="GHU7" s="1185"/>
      <c r="GHV7" s="1185"/>
      <c r="GHW7" s="1185"/>
      <c r="GHX7" s="1185"/>
      <c r="GHY7" s="1185"/>
      <c r="GHZ7" s="1185"/>
      <c r="GIA7" s="1185"/>
      <c r="GIB7" s="1185"/>
      <c r="GIC7" s="1185"/>
      <c r="GID7" s="1185"/>
      <c r="GIE7" s="1185"/>
      <c r="GIF7" s="1185"/>
      <c r="GIG7" s="1185"/>
      <c r="GIH7" s="1185"/>
      <c r="GII7" s="1185"/>
      <c r="GIJ7" s="1185"/>
      <c r="GIK7" s="1185"/>
      <c r="GIL7" s="1185"/>
      <c r="GIM7" s="1185"/>
      <c r="GIN7" s="1185"/>
      <c r="GIO7" s="1185"/>
      <c r="GIP7" s="1185"/>
      <c r="GIQ7" s="1185"/>
      <c r="GIR7" s="1185"/>
      <c r="GIS7" s="1185"/>
      <c r="GIT7" s="1185"/>
      <c r="GIU7" s="1185"/>
      <c r="GIV7" s="1185"/>
      <c r="GIW7" s="1185"/>
      <c r="GIX7" s="1185"/>
      <c r="GIY7" s="1185"/>
      <c r="GIZ7" s="1185"/>
      <c r="GJA7" s="1185"/>
      <c r="GJB7" s="1185"/>
      <c r="GJC7" s="1185"/>
      <c r="GJD7" s="1185"/>
      <c r="GJE7" s="1185"/>
      <c r="GJF7" s="1185"/>
      <c r="GJG7" s="1185"/>
      <c r="GJH7" s="1185"/>
      <c r="GJI7" s="1185"/>
      <c r="GJJ7" s="1185"/>
      <c r="GJK7" s="1185"/>
      <c r="GJL7" s="1185"/>
      <c r="GJM7" s="1185"/>
      <c r="GJN7" s="1185"/>
      <c r="GJO7" s="1185"/>
      <c r="GJP7" s="1185"/>
      <c r="GJQ7" s="1185"/>
      <c r="GJR7" s="1185"/>
      <c r="GJS7" s="1185"/>
      <c r="GJT7" s="1185"/>
      <c r="GJU7" s="1185"/>
      <c r="GJV7" s="1185"/>
      <c r="GJW7" s="1185"/>
      <c r="GJX7" s="1185"/>
      <c r="GJY7" s="1185"/>
      <c r="GJZ7" s="1185"/>
      <c r="GKA7" s="1185"/>
      <c r="GKB7" s="1185"/>
      <c r="GKC7" s="1185"/>
      <c r="GKD7" s="1185"/>
      <c r="GKE7" s="1185"/>
      <c r="GKF7" s="1185"/>
      <c r="GKG7" s="1185"/>
      <c r="GKH7" s="1185"/>
      <c r="GKI7" s="1185"/>
      <c r="GKJ7" s="1185"/>
      <c r="GKK7" s="1185"/>
      <c r="GKL7" s="1185"/>
      <c r="GKM7" s="1185"/>
      <c r="GKN7" s="1185"/>
      <c r="GKO7" s="1185"/>
      <c r="GKP7" s="1185"/>
      <c r="GKQ7" s="1185"/>
      <c r="GKR7" s="1185"/>
      <c r="GKS7" s="1185"/>
      <c r="GKT7" s="1185"/>
      <c r="GKU7" s="1185"/>
      <c r="GKV7" s="1185"/>
      <c r="GKW7" s="1185"/>
      <c r="GKX7" s="1185"/>
      <c r="GKY7" s="1185"/>
      <c r="GKZ7" s="1185"/>
      <c r="GLA7" s="1185"/>
      <c r="GLB7" s="1185"/>
      <c r="GLC7" s="1185"/>
      <c r="GLD7" s="1185"/>
      <c r="GLE7" s="1185"/>
      <c r="GLF7" s="1185"/>
      <c r="GLG7" s="1185"/>
      <c r="GLH7" s="1185"/>
      <c r="GLI7" s="1185"/>
      <c r="GLJ7" s="1185"/>
      <c r="GLK7" s="1185"/>
      <c r="GLL7" s="1185"/>
      <c r="GLM7" s="1185"/>
      <c r="GLN7" s="1185"/>
      <c r="GLO7" s="1185"/>
      <c r="GLP7" s="1185"/>
      <c r="GLQ7" s="1185"/>
      <c r="GLR7" s="1185"/>
      <c r="GLS7" s="1185"/>
      <c r="GLT7" s="1185"/>
      <c r="GLU7" s="1185"/>
      <c r="GLV7" s="1185"/>
      <c r="GLW7" s="1185"/>
      <c r="GLX7" s="1185"/>
      <c r="GLY7" s="1185"/>
      <c r="GLZ7" s="1185"/>
      <c r="GMA7" s="1185"/>
      <c r="GMB7" s="1185"/>
      <c r="GMC7" s="1185"/>
      <c r="GMD7" s="1185"/>
      <c r="GME7" s="1185"/>
      <c r="GMF7" s="1185"/>
      <c r="GMG7" s="1185"/>
      <c r="GMH7" s="1185"/>
      <c r="GMI7" s="1185"/>
      <c r="GMJ7" s="1185"/>
      <c r="GMK7" s="1185"/>
      <c r="GML7" s="1185"/>
      <c r="GMM7" s="1185"/>
      <c r="GMN7" s="1185"/>
      <c r="GMO7" s="1185"/>
      <c r="GMP7" s="1185"/>
      <c r="GMQ7" s="1185"/>
      <c r="GMR7" s="1185"/>
      <c r="GMS7" s="1185"/>
      <c r="GMT7" s="1185"/>
      <c r="GMU7" s="1185"/>
      <c r="GMV7" s="1185"/>
      <c r="GMW7" s="1185"/>
      <c r="GMX7" s="1185"/>
      <c r="GMY7" s="1185"/>
      <c r="GMZ7" s="1185"/>
      <c r="GNA7" s="1185"/>
      <c r="GNB7" s="1185"/>
      <c r="GNC7" s="1185"/>
      <c r="GND7" s="1185"/>
      <c r="GNE7" s="1185"/>
      <c r="GNF7" s="1185"/>
      <c r="GNG7" s="1185"/>
      <c r="GNH7" s="1185"/>
      <c r="GNI7" s="1185"/>
      <c r="GNJ7" s="1185"/>
      <c r="GNK7" s="1185"/>
      <c r="GNL7" s="1185"/>
      <c r="GNM7" s="1185"/>
      <c r="GNN7" s="1185"/>
      <c r="GNO7" s="1185"/>
      <c r="GNP7" s="1185"/>
      <c r="GNQ7" s="1185"/>
      <c r="GNR7" s="1185"/>
      <c r="GNS7" s="1185"/>
      <c r="GNT7" s="1185"/>
      <c r="GNU7" s="1185"/>
      <c r="GNV7" s="1185"/>
      <c r="GNW7" s="1185"/>
      <c r="GNX7" s="1185"/>
      <c r="GNY7" s="1185"/>
      <c r="GNZ7" s="1185"/>
      <c r="GOA7" s="1185"/>
      <c r="GOB7" s="1185"/>
      <c r="GOC7" s="1185"/>
      <c r="GOD7" s="1185"/>
      <c r="GOE7" s="1185"/>
      <c r="GOF7" s="1185"/>
      <c r="GOG7" s="1185"/>
      <c r="GOH7" s="1185"/>
      <c r="GOI7" s="1185"/>
      <c r="GOJ7" s="1185"/>
      <c r="GOK7" s="1185"/>
      <c r="GOL7" s="1185"/>
      <c r="GOM7" s="1185"/>
      <c r="GON7" s="1185"/>
      <c r="GOO7" s="1185"/>
      <c r="GOP7" s="1185"/>
      <c r="GOQ7" s="1185"/>
      <c r="GOR7" s="1185"/>
      <c r="GOS7" s="1185"/>
      <c r="GOT7" s="1185"/>
      <c r="GOU7" s="1185"/>
      <c r="GOV7" s="1185"/>
      <c r="GOW7" s="1185"/>
      <c r="GOX7" s="1185"/>
      <c r="GOY7" s="1185"/>
      <c r="GOZ7" s="1185"/>
      <c r="GPA7" s="1185"/>
      <c r="GPB7" s="1185"/>
      <c r="GPC7" s="1185"/>
      <c r="GPD7" s="1185"/>
      <c r="GPE7" s="1185"/>
      <c r="GPF7" s="1185"/>
      <c r="GPG7" s="1185"/>
      <c r="GPH7" s="1185"/>
      <c r="GPI7" s="1185"/>
      <c r="GPJ7" s="1185"/>
      <c r="GPK7" s="1185"/>
      <c r="GPL7" s="1185"/>
      <c r="GPM7" s="1185"/>
      <c r="GPN7" s="1185"/>
      <c r="GPO7" s="1185"/>
      <c r="GPP7" s="1185"/>
      <c r="GPQ7" s="1185"/>
      <c r="GPR7" s="1185"/>
      <c r="GPS7" s="1185"/>
      <c r="GPT7" s="1185"/>
      <c r="GPU7" s="1185"/>
      <c r="GPV7" s="1185"/>
      <c r="GPW7" s="1185"/>
      <c r="GPX7" s="1185"/>
      <c r="GPY7" s="1185"/>
      <c r="GPZ7" s="1185"/>
      <c r="GQA7" s="1185"/>
      <c r="GQB7" s="1185"/>
      <c r="GQC7" s="1185"/>
      <c r="GQD7" s="1185"/>
      <c r="GQE7" s="1185"/>
      <c r="GQF7" s="1185"/>
      <c r="GQG7" s="1185"/>
      <c r="GQH7" s="1185"/>
      <c r="GQI7" s="1185"/>
      <c r="GQJ7" s="1185"/>
      <c r="GQK7" s="1185"/>
      <c r="GQL7" s="1185"/>
      <c r="GQM7" s="1185"/>
      <c r="GQN7" s="1185"/>
      <c r="GQO7" s="1185"/>
      <c r="GQP7" s="1185"/>
      <c r="GQQ7" s="1185"/>
      <c r="GQR7" s="1185"/>
      <c r="GQS7" s="1185"/>
      <c r="GQT7" s="1185"/>
      <c r="GQU7" s="1185"/>
      <c r="GQV7" s="1185"/>
      <c r="GQW7" s="1185"/>
      <c r="GQX7" s="1185"/>
      <c r="GQY7" s="1185"/>
      <c r="GQZ7" s="1185"/>
      <c r="GRA7" s="1185"/>
      <c r="GRB7" s="1185"/>
      <c r="GRC7" s="1185"/>
      <c r="GRD7" s="1185"/>
      <c r="GRE7" s="1185"/>
      <c r="GRF7" s="1185"/>
      <c r="GRG7" s="1185"/>
      <c r="GRH7" s="1185"/>
      <c r="GRI7" s="1185"/>
      <c r="GRJ7" s="1185"/>
      <c r="GRK7" s="1185"/>
      <c r="GRL7" s="1185"/>
      <c r="GRM7" s="1185"/>
      <c r="GRN7" s="1185"/>
      <c r="GRO7" s="1185"/>
      <c r="GRP7" s="1185"/>
      <c r="GRQ7" s="1185"/>
      <c r="GRR7" s="1185"/>
      <c r="GRS7" s="1185"/>
      <c r="GRT7" s="1185"/>
      <c r="GRU7" s="1185"/>
      <c r="GRV7" s="1185"/>
      <c r="GRW7" s="1185"/>
      <c r="GRX7" s="1185"/>
      <c r="GRY7" s="1185"/>
      <c r="GRZ7" s="1185"/>
      <c r="GSA7" s="1185"/>
      <c r="GSB7" s="1185"/>
      <c r="GSC7" s="1185"/>
      <c r="GSD7" s="1185"/>
      <c r="GSE7" s="1185"/>
      <c r="GSF7" s="1185"/>
      <c r="GSG7" s="1185"/>
      <c r="GSH7" s="1185"/>
      <c r="GSI7" s="1185"/>
      <c r="GSJ7" s="1185"/>
      <c r="GSK7" s="1185"/>
      <c r="GSL7" s="1185"/>
      <c r="GSM7" s="1185"/>
      <c r="GSN7" s="1185"/>
      <c r="GSO7" s="1185"/>
      <c r="GSP7" s="1185"/>
      <c r="GSQ7" s="1185"/>
      <c r="GSR7" s="1185"/>
      <c r="GSS7" s="1185"/>
      <c r="GST7" s="1185"/>
      <c r="GSU7" s="1185"/>
      <c r="GSV7" s="1185"/>
      <c r="GSW7" s="1185"/>
      <c r="GSX7" s="1185"/>
      <c r="GSY7" s="1185"/>
      <c r="GSZ7" s="1185"/>
      <c r="GTA7" s="1185"/>
      <c r="GTB7" s="1185"/>
      <c r="GTC7" s="1185"/>
      <c r="GTD7" s="1185"/>
      <c r="GTE7" s="1185"/>
      <c r="GTF7" s="1185"/>
      <c r="GTG7" s="1185"/>
      <c r="GTH7" s="1185"/>
      <c r="GTI7" s="1185"/>
      <c r="GTJ7" s="1185"/>
      <c r="GTK7" s="1185"/>
      <c r="GTL7" s="1185"/>
      <c r="GTM7" s="1185"/>
      <c r="GTN7" s="1185"/>
      <c r="GTO7" s="1185"/>
      <c r="GTP7" s="1185"/>
      <c r="GTQ7" s="1185"/>
      <c r="GTR7" s="1185"/>
      <c r="GTS7" s="1185"/>
      <c r="GTT7" s="1185"/>
      <c r="GTU7" s="1185"/>
      <c r="GTV7" s="1185"/>
      <c r="GTW7" s="1185"/>
      <c r="GTX7" s="1185"/>
      <c r="GTY7" s="1185"/>
      <c r="GTZ7" s="1185"/>
      <c r="GUA7" s="1185"/>
      <c r="GUB7" s="1185"/>
      <c r="GUC7" s="1185"/>
      <c r="GUD7" s="1185"/>
      <c r="GUE7" s="1185"/>
      <c r="GUF7" s="1185"/>
      <c r="GUG7" s="1185"/>
      <c r="GUH7" s="1185"/>
      <c r="GUI7" s="1185"/>
      <c r="GUJ7" s="1185"/>
      <c r="GUK7" s="1185"/>
      <c r="GUL7" s="1185"/>
      <c r="GUM7" s="1185"/>
      <c r="GUN7" s="1185"/>
      <c r="GUO7" s="1185"/>
      <c r="GUP7" s="1185"/>
      <c r="GUQ7" s="1185"/>
      <c r="GUR7" s="1185"/>
      <c r="GUS7" s="1185"/>
      <c r="GUT7" s="1185"/>
      <c r="GUU7" s="1185"/>
      <c r="GUV7" s="1185"/>
      <c r="GUW7" s="1185"/>
      <c r="GUX7" s="1185"/>
      <c r="GUY7" s="1185"/>
      <c r="GUZ7" s="1185"/>
      <c r="GVA7" s="1185"/>
      <c r="GVB7" s="1185"/>
      <c r="GVC7" s="1185"/>
      <c r="GVD7" s="1185"/>
      <c r="GVE7" s="1185"/>
      <c r="GVF7" s="1185"/>
      <c r="GVG7" s="1185"/>
      <c r="GVH7" s="1185"/>
      <c r="GVI7" s="1185"/>
      <c r="GVJ7" s="1185"/>
      <c r="GVK7" s="1185"/>
      <c r="GVL7" s="1185"/>
      <c r="GVM7" s="1185"/>
      <c r="GVN7" s="1185"/>
      <c r="GVO7" s="1185"/>
      <c r="GVP7" s="1185"/>
      <c r="GVQ7" s="1185"/>
      <c r="GVR7" s="1185"/>
      <c r="GVS7" s="1185"/>
      <c r="GVT7" s="1185"/>
      <c r="GVU7" s="1185"/>
      <c r="GVV7" s="1185"/>
      <c r="GVW7" s="1185"/>
      <c r="GVX7" s="1185"/>
      <c r="GVY7" s="1185"/>
      <c r="GVZ7" s="1185"/>
      <c r="GWA7" s="1185"/>
      <c r="GWB7" s="1185"/>
      <c r="GWC7" s="1185"/>
      <c r="GWD7" s="1185"/>
      <c r="GWE7" s="1185"/>
      <c r="GWF7" s="1185"/>
      <c r="GWG7" s="1185"/>
      <c r="GWH7" s="1185"/>
      <c r="GWI7" s="1185"/>
      <c r="GWJ7" s="1185"/>
      <c r="GWK7" s="1185"/>
      <c r="GWL7" s="1185"/>
      <c r="GWM7" s="1185"/>
      <c r="GWN7" s="1185"/>
      <c r="GWO7" s="1185"/>
      <c r="GWP7" s="1185"/>
      <c r="GWQ7" s="1185"/>
      <c r="GWR7" s="1185"/>
      <c r="GWS7" s="1185"/>
      <c r="GWT7" s="1185"/>
      <c r="GWU7" s="1185"/>
      <c r="GWV7" s="1185"/>
      <c r="GWW7" s="1185"/>
      <c r="GWX7" s="1185"/>
      <c r="GWY7" s="1185"/>
      <c r="GWZ7" s="1185"/>
      <c r="GXA7" s="1185"/>
      <c r="GXB7" s="1185"/>
      <c r="GXC7" s="1185"/>
      <c r="GXD7" s="1185"/>
      <c r="GXE7" s="1185"/>
      <c r="GXF7" s="1185"/>
      <c r="GXG7" s="1185"/>
      <c r="GXH7" s="1185"/>
      <c r="GXI7" s="1185"/>
      <c r="GXJ7" s="1185"/>
      <c r="GXK7" s="1185"/>
      <c r="GXL7" s="1185"/>
      <c r="GXM7" s="1185"/>
      <c r="GXN7" s="1185"/>
      <c r="GXO7" s="1185"/>
      <c r="GXP7" s="1185"/>
      <c r="GXQ7" s="1185"/>
      <c r="GXR7" s="1185"/>
      <c r="GXS7" s="1185"/>
      <c r="GXT7" s="1185"/>
      <c r="GXU7" s="1185"/>
      <c r="GXV7" s="1185"/>
      <c r="GXW7" s="1185"/>
      <c r="GXX7" s="1185"/>
      <c r="GXY7" s="1185"/>
      <c r="GXZ7" s="1185"/>
      <c r="GYA7" s="1185"/>
      <c r="GYB7" s="1185"/>
      <c r="GYC7" s="1185"/>
      <c r="GYD7" s="1185"/>
      <c r="GYE7" s="1185"/>
      <c r="GYF7" s="1185"/>
      <c r="GYG7" s="1185"/>
      <c r="GYH7" s="1185"/>
      <c r="GYI7" s="1185"/>
      <c r="GYJ7" s="1185"/>
      <c r="GYK7" s="1185"/>
      <c r="GYL7" s="1185"/>
      <c r="GYM7" s="1185"/>
      <c r="GYN7" s="1185"/>
      <c r="GYO7" s="1185"/>
      <c r="GYP7" s="1185"/>
      <c r="GYQ7" s="1185"/>
      <c r="GYR7" s="1185"/>
      <c r="GYS7" s="1185"/>
      <c r="GYT7" s="1185"/>
      <c r="GYU7" s="1185"/>
      <c r="GYV7" s="1185"/>
      <c r="GYW7" s="1185"/>
      <c r="GYX7" s="1185"/>
      <c r="GYY7" s="1185"/>
      <c r="GYZ7" s="1185"/>
      <c r="GZA7" s="1185"/>
      <c r="GZB7" s="1185"/>
      <c r="GZC7" s="1185"/>
      <c r="GZD7" s="1185"/>
      <c r="GZE7" s="1185"/>
      <c r="GZF7" s="1185"/>
      <c r="GZG7" s="1185"/>
      <c r="GZH7" s="1185"/>
      <c r="GZI7" s="1185"/>
      <c r="GZJ7" s="1185"/>
      <c r="GZK7" s="1185"/>
      <c r="GZL7" s="1185"/>
      <c r="GZM7" s="1185"/>
      <c r="GZN7" s="1185"/>
      <c r="GZO7" s="1185"/>
      <c r="GZP7" s="1185"/>
      <c r="GZQ7" s="1185"/>
      <c r="GZR7" s="1185"/>
      <c r="GZS7" s="1185"/>
      <c r="GZT7" s="1185"/>
      <c r="GZU7" s="1185"/>
      <c r="GZV7" s="1185"/>
      <c r="GZW7" s="1185"/>
      <c r="GZX7" s="1185"/>
      <c r="GZY7" s="1185"/>
      <c r="GZZ7" s="1185"/>
      <c r="HAA7" s="1185"/>
      <c r="HAB7" s="1185"/>
      <c r="HAC7" s="1185"/>
      <c r="HAD7" s="1185"/>
      <c r="HAE7" s="1185"/>
      <c r="HAF7" s="1185"/>
      <c r="HAG7" s="1185"/>
      <c r="HAH7" s="1185"/>
      <c r="HAI7" s="1185"/>
      <c r="HAJ7" s="1185"/>
      <c r="HAK7" s="1185"/>
      <c r="HAL7" s="1185"/>
      <c r="HAM7" s="1185"/>
      <c r="HAN7" s="1185"/>
      <c r="HAO7" s="1185"/>
      <c r="HAP7" s="1185"/>
      <c r="HAQ7" s="1185"/>
      <c r="HAR7" s="1185"/>
      <c r="HAS7" s="1185"/>
      <c r="HAT7" s="1185"/>
      <c r="HAU7" s="1185"/>
      <c r="HAV7" s="1185"/>
      <c r="HAW7" s="1185"/>
      <c r="HAX7" s="1185"/>
      <c r="HAY7" s="1185"/>
      <c r="HAZ7" s="1185"/>
      <c r="HBA7" s="1185"/>
      <c r="HBB7" s="1185"/>
      <c r="HBC7" s="1185"/>
      <c r="HBD7" s="1185"/>
      <c r="HBE7" s="1185"/>
      <c r="HBF7" s="1185"/>
      <c r="HBG7" s="1185"/>
      <c r="HBH7" s="1185"/>
      <c r="HBI7" s="1185"/>
      <c r="HBJ7" s="1185"/>
      <c r="HBK7" s="1185"/>
      <c r="HBL7" s="1185"/>
      <c r="HBM7" s="1185"/>
      <c r="HBN7" s="1185"/>
      <c r="HBO7" s="1185"/>
      <c r="HBP7" s="1185"/>
      <c r="HBQ7" s="1185"/>
      <c r="HBR7" s="1185"/>
      <c r="HBS7" s="1185"/>
      <c r="HBT7" s="1185"/>
      <c r="HBU7" s="1185"/>
      <c r="HBV7" s="1185"/>
      <c r="HBW7" s="1185"/>
      <c r="HBX7" s="1185"/>
      <c r="HBY7" s="1185"/>
      <c r="HBZ7" s="1185"/>
      <c r="HCA7" s="1185"/>
      <c r="HCB7" s="1185"/>
      <c r="HCC7" s="1185"/>
      <c r="HCD7" s="1185"/>
      <c r="HCE7" s="1185"/>
      <c r="HCF7" s="1185"/>
      <c r="HCG7" s="1185"/>
      <c r="HCH7" s="1185"/>
      <c r="HCI7" s="1185"/>
      <c r="HCJ7" s="1185"/>
      <c r="HCK7" s="1185"/>
      <c r="HCL7" s="1185"/>
      <c r="HCM7" s="1185"/>
      <c r="HCN7" s="1185"/>
      <c r="HCO7" s="1185"/>
      <c r="HCP7" s="1185"/>
      <c r="HCQ7" s="1185"/>
      <c r="HCR7" s="1185"/>
      <c r="HCS7" s="1185"/>
      <c r="HCT7" s="1185"/>
      <c r="HCU7" s="1185"/>
      <c r="HCV7" s="1185"/>
      <c r="HCW7" s="1185"/>
      <c r="HCX7" s="1185"/>
      <c r="HCY7" s="1185"/>
      <c r="HCZ7" s="1185"/>
      <c r="HDA7" s="1185"/>
      <c r="HDB7" s="1185"/>
      <c r="HDC7" s="1185"/>
      <c r="HDD7" s="1185"/>
      <c r="HDE7" s="1185"/>
      <c r="HDF7" s="1185"/>
      <c r="HDG7" s="1185"/>
      <c r="HDH7" s="1185"/>
      <c r="HDI7" s="1185"/>
      <c r="HDJ7" s="1185"/>
      <c r="HDK7" s="1185"/>
      <c r="HDL7" s="1185"/>
      <c r="HDM7" s="1185"/>
      <c r="HDN7" s="1185"/>
      <c r="HDO7" s="1185"/>
      <c r="HDP7" s="1185"/>
      <c r="HDQ7" s="1185"/>
      <c r="HDR7" s="1185"/>
      <c r="HDS7" s="1185"/>
      <c r="HDT7" s="1185"/>
      <c r="HDU7" s="1185"/>
      <c r="HDV7" s="1185"/>
      <c r="HDW7" s="1185"/>
      <c r="HDX7" s="1185"/>
      <c r="HDY7" s="1185"/>
      <c r="HDZ7" s="1185"/>
      <c r="HEA7" s="1185"/>
      <c r="HEB7" s="1185"/>
      <c r="HEC7" s="1185"/>
      <c r="HED7" s="1185"/>
      <c r="HEE7" s="1185"/>
      <c r="HEF7" s="1185"/>
      <c r="HEG7" s="1185"/>
      <c r="HEH7" s="1185"/>
      <c r="HEI7" s="1185"/>
      <c r="HEJ7" s="1185"/>
      <c r="HEK7" s="1185"/>
      <c r="HEL7" s="1185"/>
      <c r="HEM7" s="1185"/>
      <c r="HEN7" s="1185"/>
      <c r="HEO7" s="1185"/>
      <c r="HEP7" s="1185"/>
      <c r="HEQ7" s="1185"/>
      <c r="HER7" s="1185"/>
      <c r="HES7" s="1185"/>
      <c r="HET7" s="1185"/>
      <c r="HEU7" s="1185"/>
      <c r="HEV7" s="1185"/>
      <c r="HEW7" s="1185"/>
      <c r="HEX7" s="1185"/>
      <c r="HEY7" s="1185"/>
      <c r="HEZ7" s="1185"/>
      <c r="HFA7" s="1185"/>
      <c r="HFB7" s="1185"/>
      <c r="HFC7" s="1185"/>
      <c r="HFD7" s="1185"/>
      <c r="HFE7" s="1185"/>
      <c r="HFF7" s="1185"/>
      <c r="HFG7" s="1185"/>
      <c r="HFH7" s="1185"/>
      <c r="HFI7" s="1185"/>
      <c r="HFJ7" s="1185"/>
      <c r="HFK7" s="1185"/>
      <c r="HFL7" s="1185"/>
      <c r="HFM7" s="1185"/>
      <c r="HFN7" s="1185"/>
      <c r="HFO7" s="1185"/>
      <c r="HFP7" s="1185"/>
      <c r="HFQ7" s="1185"/>
      <c r="HFR7" s="1185"/>
      <c r="HFS7" s="1185"/>
      <c r="HFT7" s="1185"/>
      <c r="HFU7" s="1185"/>
      <c r="HFV7" s="1185"/>
      <c r="HFW7" s="1185"/>
      <c r="HFX7" s="1185"/>
      <c r="HFY7" s="1185"/>
      <c r="HFZ7" s="1185"/>
      <c r="HGA7" s="1185"/>
      <c r="HGB7" s="1185"/>
      <c r="HGC7" s="1185"/>
      <c r="HGD7" s="1185"/>
      <c r="HGE7" s="1185"/>
      <c r="HGF7" s="1185"/>
      <c r="HGG7" s="1185"/>
      <c r="HGH7" s="1185"/>
      <c r="HGI7" s="1185"/>
      <c r="HGJ7" s="1185"/>
      <c r="HGK7" s="1185"/>
      <c r="HGL7" s="1185"/>
      <c r="HGM7" s="1185"/>
      <c r="HGN7" s="1185"/>
      <c r="HGO7" s="1185"/>
      <c r="HGP7" s="1185"/>
      <c r="HGQ7" s="1185"/>
      <c r="HGR7" s="1185"/>
      <c r="HGS7" s="1185"/>
      <c r="HGT7" s="1185"/>
      <c r="HGU7" s="1185"/>
      <c r="HGV7" s="1185"/>
      <c r="HGW7" s="1185"/>
      <c r="HGX7" s="1185"/>
      <c r="HGY7" s="1185"/>
      <c r="HGZ7" s="1185"/>
      <c r="HHA7" s="1185"/>
      <c r="HHB7" s="1185"/>
      <c r="HHC7" s="1185"/>
      <c r="HHD7" s="1185"/>
      <c r="HHE7" s="1185"/>
      <c r="HHF7" s="1185"/>
      <c r="HHG7" s="1185"/>
      <c r="HHH7" s="1185"/>
      <c r="HHI7" s="1185"/>
      <c r="HHJ7" s="1185"/>
      <c r="HHK7" s="1185"/>
      <c r="HHL7" s="1185"/>
      <c r="HHM7" s="1185"/>
      <c r="HHN7" s="1185"/>
      <c r="HHO7" s="1185"/>
      <c r="HHP7" s="1185"/>
      <c r="HHQ7" s="1185"/>
      <c r="HHR7" s="1185"/>
      <c r="HHS7" s="1185"/>
      <c r="HHT7" s="1185"/>
      <c r="HHU7" s="1185"/>
      <c r="HHV7" s="1185"/>
      <c r="HHW7" s="1185"/>
      <c r="HHX7" s="1185"/>
      <c r="HHY7" s="1185"/>
      <c r="HHZ7" s="1185"/>
      <c r="HIA7" s="1185"/>
      <c r="HIB7" s="1185"/>
      <c r="HIC7" s="1185"/>
      <c r="HID7" s="1185"/>
      <c r="HIE7" s="1185"/>
      <c r="HIF7" s="1185"/>
      <c r="HIG7" s="1185"/>
      <c r="HIH7" s="1185"/>
      <c r="HII7" s="1185"/>
      <c r="HIJ7" s="1185"/>
      <c r="HIK7" s="1185"/>
      <c r="HIL7" s="1185"/>
      <c r="HIM7" s="1185"/>
      <c r="HIN7" s="1185"/>
      <c r="HIO7" s="1185"/>
      <c r="HIP7" s="1185"/>
      <c r="HIQ7" s="1185"/>
      <c r="HIR7" s="1185"/>
      <c r="HIS7" s="1185"/>
      <c r="HIT7" s="1185"/>
      <c r="HIU7" s="1185"/>
      <c r="HIV7" s="1185"/>
      <c r="HIW7" s="1185"/>
      <c r="HIX7" s="1185"/>
      <c r="HIY7" s="1185"/>
      <c r="HIZ7" s="1185"/>
      <c r="HJA7" s="1185"/>
      <c r="HJB7" s="1185"/>
      <c r="HJC7" s="1185"/>
      <c r="HJD7" s="1185"/>
      <c r="HJE7" s="1185"/>
      <c r="HJF7" s="1185"/>
      <c r="HJG7" s="1185"/>
      <c r="HJH7" s="1185"/>
      <c r="HJI7" s="1185"/>
      <c r="HJJ7" s="1185"/>
      <c r="HJK7" s="1185"/>
      <c r="HJL7" s="1185"/>
      <c r="HJM7" s="1185"/>
      <c r="HJN7" s="1185"/>
      <c r="HJO7" s="1185"/>
      <c r="HJP7" s="1185"/>
      <c r="HJQ7" s="1185"/>
      <c r="HJR7" s="1185"/>
      <c r="HJS7" s="1185"/>
      <c r="HJT7" s="1185"/>
      <c r="HJU7" s="1185"/>
      <c r="HJV7" s="1185"/>
      <c r="HJW7" s="1185"/>
      <c r="HJX7" s="1185"/>
      <c r="HJY7" s="1185"/>
      <c r="HJZ7" s="1185"/>
      <c r="HKA7" s="1185"/>
      <c r="HKB7" s="1185"/>
      <c r="HKC7" s="1185"/>
      <c r="HKD7" s="1185"/>
      <c r="HKE7" s="1185"/>
      <c r="HKF7" s="1185"/>
      <c r="HKG7" s="1185"/>
      <c r="HKH7" s="1185"/>
      <c r="HKI7" s="1185"/>
      <c r="HKJ7" s="1185"/>
      <c r="HKK7" s="1185"/>
      <c r="HKL7" s="1185"/>
      <c r="HKM7" s="1185"/>
      <c r="HKN7" s="1185"/>
      <c r="HKO7" s="1185"/>
      <c r="HKP7" s="1185"/>
      <c r="HKQ7" s="1185"/>
      <c r="HKR7" s="1185"/>
      <c r="HKS7" s="1185"/>
      <c r="HKT7" s="1185"/>
      <c r="HKU7" s="1185"/>
      <c r="HKV7" s="1185"/>
      <c r="HKW7" s="1185"/>
      <c r="HKX7" s="1185"/>
      <c r="HKY7" s="1185"/>
      <c r="HKZ7" s="1185"/>
      <c r="HLA7" s="1185"/>
      <c r="HLB7" s="1185"/>
      <c r="HLC7" s="1185"/>
      <c r="HLD7" s="1185"/>
      <c r="HLE7" s="1185"/>
      <c r="HLF7" s="1185"/>
      <c r="HLG7" s="1185"/>
      <c r="HLH7" s="1185"/>
      <c r="HLI7" s="1185"/>
      <c r="HLJ7" s="1185"/>
      <c r="HLK7" s="1185"/>
      <c r="HLL7" s="1185"/>
      <c r="HLM7" s="1185"/>
      <c r="HLN7" s="1185"/>
      <c r="HLO7" s="1185"/>
      <c r="HLP7" s="1185"/>
      <c r="HLQ7" s="1185"/>
      <c r="HLR7" s="1185"/>
      <c r="HLS7" s="1185"/>
      <c r="HLT7" s="1185"/>
      <c r="HLU7" s="1185"/>
      <c r="HLV7" s="1185"/>
      <c r="HLW7" s="1185"/>
      <c r="HLX7" s="1185"/>
      <c r="HLY7" s="1185"/>
      <c r="HLZ7" s="1185"/>
      <c r="HMA7" s="1185"/>
      <c r="HMB7" s="1185"/>
      <c r="HMC7" s="1185"/>
      <c r="HMD7" s="1185"/>
      <c r="HME7" s="1185"/>
      <c r="HMF7" s="1185"/>
      <c r="HMG7" s="1185"/>
      <c r="HMH7" s="1185"/>
      <c r="HMI7" s="1185"/>
      <c r="HMJ7" s="1185"/>
      <c r="HMK7" s="1185"/>
      <c r="HML7" s="1185"/>
      <c r="HMM7" s="1185"/>
      <c r="HMN7" s="1185"/>
      <c r="HMO7" s="1185"/>
      <c r="HMP7" s="1185"/>
      <c r="HMQ7" s="1185"/>
      <c r="HMR7" s="1185"/>
      <c r="HMS7" s="1185"/>
      <c r="HMT7" s="1185"/>
      <c r="HMU7" s="1185"/>
      <c r="HMV7" s="1185"/>
      <c r="HMW7" s="1185"/>
      <c r="HMX7" s="1185"/>
      <c r="HMY7" s="1185"/>
      <c r="HMZ7" s="1185"/>
      <c r="HNA7" s="1185"/>
      <c r="HNB7" s="1185"/>
      <c r="HNC7" s="1185"/>
      <c r="HND7" s="1185"/>
      <c r="HNE7" s="1185"/>
      <c r="HNF7" s="1185"/>
      <c r="HNG7" s="1185"/>
      <c r="HNH7" s="1185"/>
      <c r="HNI7" s="1185"/>
      <c r="HNJ7" s="1185"/>
      <c r="HNK7" s="1185"/>
      <c r="HNL7" s="1185"/>
      <c r="HNM7" s="1185"/>
      <c r="HNN7" s="1185"/>
      <c r="HNO7" s="1185"/>
      <c r="HNP7" s="1185"/>
      <c r="HNQ7" s="1185"/>
      <c r="HNR7" s="1185"/>
      <c r="HNS7" s="1185"/>
      <c r="HNT7" s="1185"/>
      <c r="HNU7" s="1185"/>
      <c r="HNV7" s="1185"/>
      <c r="HNW7" s="1185"/>
      <c r="HNX7" s="1185"/>
      <c r="HNY7" s="1185"/>
      <c r="HNZ7" s="1185"/>
      <c r="HOA7" s="1185"/>
      <c r="HOB7" s="1185"/>
      <c r="HOC7" s="1185"/>
      <c r="HOD7" s="1185"/>
      <c r="HOE7" s="1185"/>
      <c r="HOF7" s="1185"/>
      <c r="HOG7" s="1185"/>
      <c r="HOH7" s="1185"/>
      <c r="HOI7" s="1185"/>
      <c r="HOJ7" s="1185"/>
      <c r="HOK7" s="1185"/>
      <c r="HOL7" s="1185"/>
      <c r="HOM7" s="1185"/>
      <c r="HON7" s="1185"/>
      <c r="HOO7" s="1185"/>
      <c r="HOP7" s="1185"/>
      <c r="HOQ7" s="1185"/>
      <c r="HOR7" s="1185"/>
      <c r="HOS7" s="1185"/>
      <c r="HOT7" s="1185"/>
      <c r="HOU7" s="1185"/>
      <c r="HOV7" s="1185"/>
      <c r="HOW7" s="1185"/>
      <c r="HOX7" s="1185"/>
      <c r="HOY7" s="1185"/>
      <c r="HOZ7" s="1185"/>
      <c r="HPA7" s="1185"/>
      <c r="HPB7" s="1185"/>
      <c r="HPC7" s="1185"/>
      <c r="HPD7" s="1185"/>
      <c r="HPE7" s="1185"/>
      <c r="HPF7" s="1185"/>
      <c r="HPG7" s="1185"/>
      <c r="HPH7" s="1185"/>
      <c r="HPI7" s="1185"/>
      <c r="HPJ7" s="1185"/>
      <c r="HPK7" s="1185"/>
      <c r="HPL7" s="1185"/>
      <c r="HPM7" s="1185"/>
      <c r="HPN7" s="1185"/>
      <c r="HPO7" s="1185"/>
      <c r="HPP7" s="1185"/>
      <c r="HPQ7" s="1185"/>
      <c r="HPR7" s="1185"/>
      <c r="HPS7" s="1185"/>
      <c r="HPT7" s="1185"/>
      <c r="HPU7" s="1185"/>
      <c r="HPV7" s="1185"/>
      <c r="HPW7" s="1185"/>
      <c r="HPX7" s="1185"/>
      <c r="HPY7" s="1185"/>
      <c r="HPZ7" s="1185"/>
      <c r="HQA7" s="1185"/>
      <c r="HQB7" s="1185"/>
      <c r="HQC7" s="1185"/>
      <c r="HQD7" s="1185"/>
      <c r="HQE7" s="1185"/>
      <c r="HQF7" s="1185"/>
      <c r="HQG7" s="1185"/>
      <c r="HQH7" s="1185"/>
      <c r="HQI7" s="1185"/>
      <c r="HQJ7" s="1185"/>
      <c r="HQK7" s="1185"/>
      <c r="HQL7" s="1185"/>
      <c r="HQM7" s="1185"/>
      <c r="HQN7" s="1185"/>
      <c r="HQO7" s="1185"/>
      <c r="HQP7" s="1185"/>
      <c r="HQQ7" s="1185"/>
      <c r="HQR7" s="1185"/>
      <c r="HQS7" s="1185"/>
      <c r="HQT7" s="1185"/>
      <c r="HQU7" s="1185"/>
      <c r="HQV7" s="1185"/>
      <c r="HQW7" s="1185"/>
      <c r="HQX7" s="1185"/>
      <c r="HQY7" s="1185"/>
      <c r="HQZ7" s="1185"/>
      <c r="HRA7" s="1185"/>
      <c r="HRB7" s="1185"/>
      <c r="HRC7" s="1185"/>
      <c r="HRD7" s="1185"/>
      <c r="HRE7" s="1185"/>
      <c r="HRF7" s="1185"/>
      <c r="HRG7" s="1185"/>
      <c r="HRH7" s="1185"/>
      <c r="HRI7" s="1185"/>
      <c r="HRJ7" s="1185"/>
      <c r="HRK7" s="1185"/>
      <c r="HRL7" s="1185"/>
      <c r="HRM7" s="1185"/>
      <c r="HRN7" s="1185"/>
      <c r="HRO7" s="1185"/>
      <c r="HRP7" s="1185"/>
      <c r="HRQ7" s="1185"/>
      <c r="HRR7" s="1185"/>
      <c r="HRS7" s="1185"/>
      <c r="HRT7" s="1185"/>
      <c r="HRU7" s="1185"/>
      <c r="HRV7" s="1185"/>
      <c r="HRW7" s="1185"/>
      <c r="HRX7" s="1185"/>
      <c r="HRY7" s="1185"/>
      <c r="HRZ7" s="1185"/>
      <c r="HSA7" s="1185"/>
      <c r="HSB7" s="1185"/>
      <c r="HSC7" s="1185"/>
      <c r="HSD7" s="1185"/>
      <c r="HSE7" s="1185"/>
      <c r="HSF7" s="1185"/>
      <c r="HSG7" s="1185"/>
      <c r="HSH7" s="1185"/>
      <c r="HSI7" s="1185"/>
      <c r="HSJ7" s="1185"/>
      <c r="HSK7" s="1185"/>
      <c r="HSL7" s="1185"/>
      <c r="HSM7" s="1185"/>
      <c r="HSN7" s="1185"/>
      <c r="HSO7" s="1185"/>
      <c r="HSP7" s="1185"/>
      <c r="HSQ7" s="1185"/>
      <c r="HSR7" s="1185"/>
      <c r="HSS7" s="1185"/>
      <c r="HST7" s="1185"/>
      <c r="HSU7" s="1185"/>
      <c r="HSV7" s="1185"/>
      <c r="HSW7" s="1185"/>
      <c r="HSX7" s="1185"/>
      <c r="HSY7" s="1185"/>
      <c r="HSZ7" s="1185"/>
      <c r="HTA7" s="1185"/>
      <c r="HTB7" s="1185"/>
      <c r="HTC7" s="1185"/>
      <c r="HTD7" s="1185"/>
      <c r="HTE7" s="1185"/>
      <c r="HTF7" s="1185"/>
      <c r="HTG7" s="1185"/>
      <c r="HTH7" s="1185"/>
      <c r="HTI7" s="1185"/>
      <c r="HTJ7" s="1185"/>
      <c r="HTK7" s="1185"/>
      <c r="HTL7" s="1185"/>
      <c r="HTM7" s="1185"/>
      <c r="HTN7" s="1185"/>
      <c r="HTO7" s="1185"/>
      <c r="HTP7" s="1185"/>
      <c r="HTQ7" s="1185"/>
      <c r="HTR7" s="1185"/>
      <c r="HTS7" s="1185"/>
      <c r="HTT7" s="1185"/>
      <c r="HTU7" s="1185"/>
      <c r="HTV7" s="1185"/>
      <c r="HTW7" s="1185"/>
      <c r="HTX7" s="1185"/>
      <c r="HTY7" s="1185"/>
      <c r="HTZ7" s="1185"/>
      <c r="HUA7" s="1185"/>
      <c r="HUB7" s="1185"/>
      <c r="HUC7" s="1185"/>
      <c r="HUD7" s="1185"/>
      <c r="HUE7" s="1185"/>
      <c r="HUF7" s="1185"/>
      <c r="HUG7" s="1185"/>
      <c r="HUH7" s="1185"/>
      <c r="HUI7" s="1185"/>
      <c r="HUJ7" s="1185"/>
      <c r="HUK7" s="1185"/>
      <c r="HUL7" s="1185"/>
      <c r="HUM7" s="1185"/>
      <c r="HUN7" s="1185"/>
      <c r="HUO7" s="1185"/>
      <c r="HUP7" s="1185"/>
      <c r="HUQ7" s="1185"/>
      <c r="HUR7" s="1185"/>
      <c r="HUS7" s="1185"/>
      <c r="HUT7" s="1185"/>
      <c r="HUU7" s="1185"/>
      <c r="HUV7" s="1185"/>
      <c r="HUW7" s="1185"/>
      <c r="HUX7" s="1185"/>
      <c r="HUY7" s="1185"/>
      <c r="HUZ7" s="1185"/>
      <c r="HVA7" s="1185"/>
      <c r="HVB7" s="1185"/>
      <c r="HVC7" s="1185"/>
      <c r="HVD7" s="1185"/>
      <c r="HVE7" s="1185"/>
      <c r="HVF7" s="1185"/>
      <c r="HVG7" s="1185"/>
      <c r="HVH7" s="1185"/>
      <c r="HVI7" s="1185"/>
      <c r="HVJ7" s="1185"/>
      <c r="HVK7" s="1185"/>
      <c r="HVL7" s="1185"/>
      <c r="HVM7" s="1185"/>
      <c r="HVN7" s="1185"/>
      <c r="HVO7" s="1185"/>
      <c r="HVP7" s="1185"/>
      <c r="HVQ7" s="1185"/>
      <c r="HVR7" s="1185"/>
      <c r="HVS7" s="1185"/>
      <c r="HVT7" s="1185"/>
      <c r="HVU7" s="1185"/>
      <c r="HVV7" s="1185"/>
      <c r="HVW7" s="1185"/>
      <c r="HVX7" s="1185"/>
      <c r="HVY7" s="1185"/>
      <c r="HVZ7" s="1185"/>
      <c r="HWA7" s="1185"/>
      <c r="HWB7" s="1185"/>
      <c r="HWC7" s="1185"/>
      <c r="HWD7" s="1185"/>
      <c r="HWE7" s="1185"/>
      <c r="HWF7" s="1185"/>
      <c r="HWG7" s="1185"/>
      <c r="HWH7" s="1185"/>
      <c r="HWI7" s="1185"/>
      <c r="HWJ7" s="1185"/>
      <c r="HWK7" s="1185"/>
      <c r="HWL7" s="1185"/>
      <c r="HWM7" s="1185"/>
      <c r="HWN7" s="1185"/>
      <c r="HWO7" s="1185"/>
      <c r="HWP7" s="1185"/>
      <c r="HWQ7" s="1185"/>
      <c r="HWR7" s="1185"/>
      <c r="HWS7" s="1185"/>
      <c r="HWT7" s="1185"/>
      <c r="HWU7" s="1185"/>
      <c r="HWV7" s="1185"/>
      <c r="HWW7" s="1185"/>
      <c r="HWX7" s="1185"/>
      <c r="HWY7" s="1185"/>
      <c r="HWZ7" s="1185"/>
      <c r="HXA7" s="1185"/>
      <c r="HXB7" s="1185"/>
      <c r="HXC7" s="1185"/>
      <c r="HXD7" s="1185"/>
      <c r="HXE7" s="1185"/>
      <c r="HXF7" s="1185"/>
      <c r="HXG7" s="1185"/>
      <c r="HXH7" s="1185"/>
      <c r="HXI7" s="1185"/>
      <c r="HXJ7" s="1185"/>
      <c r="HXK7" s="1185"/>
      <c r="HXL7" s="1185"/>
      <c r="HXM7" s="1185"/>
      <c r="HXN7" s="1185"/>
      <c r="HXO7" s="1185"/>
      <c r="HXP7" s="1185"/>
      <c r="HXQ7" s="1185"/>
      <c r="HXR7" s="1185"/>
      <c r="HXS7" s="1185"/>
      <c r="HXT7" s="1185"/>
      <c r="HXU7" s="1185"/>
      <c r="HXV7" s="1185"/>
      <c r="HXW7" s="1185"/>
      <c r="HXX7" s="1185"/>
      <c r="HXY7" s="1185"/>
      <c r="HXZ7" s="1185"/>
      <c r="HYA7" s="1185"/>
      <c r="HYB7" s="1185"/>
      <c r="HYC7" s="1185"/>
      <c r="HYD7" s="1185"/>
      <c r="HYE7" s="1185"/>
      <c r="HYF7" s="1185"/>
      <c r="HYG7" s="1185"/>
      <c r="HYH7" s="1185"/>
      <c r="HYI7" s="1185"/>
      <c r="HYJ7" s="1185"/>
      <c r="HYK7" s="1185"/>
      <c r="HYL7" s="1185"/>
      <c r="HYM7" s="1185"/>
      <c r="HYN7" s="1185"/>
      <c r="HYO7" s="1185"/>
      <c r="HYP7" s="1185"/>
      <c r="HYQ7" s="1185"/>
      <c r="HYR7" s="1185"/>
      <c r="HYS7" s="1185"/>
      <c r="HYT7" s="1185"/>
      <c r="HYU7" s="1185"/>
      <c r="HYV7" s="1185"/>
      <c r="HYW7" s="1185"/>
      <c r="HYX7" s="1185"/>
      <c r="HYY7" s="1185"/>
      <c r="HYZ7" s="1185"/>
      <c r="HZA7" s="1185"/>
      <c r="HZB7" s="1185"/>
      <c r="HZC7" s="1185"/>
      <c r="HZD7" s="1185"/>
      <c r="HZE7" s="1185"/>
      <c r="HZF7" s="1185"/>
      <c r="HZG7" s="1185"/>
      <c r="HZH7" s="1185"/>
      <c r="HZI7" s="1185"/>
      <c r="HZJ7" s="1185"/>
      <c r="HZK7" s="1185"/>
      <c r="HZL7" s="1185"/>
      <c r="HZM7" s="1185"/>
      <c r="HZN7" s="1185"/>
      <c r="HZO7" s="1185"/>
      <c r="HZP7" s="1185"/>
      <c r="HZQ7" s="1185"/>
      <c r="HZR7" s="1185"/>
      <c r="HZS7" s="1185"/>
      <c r="HZT7" s="1185"/>
      <c r="HZU7" s="1185"/>
      <c r="HZV7" s="1185"/>
      <c r="HZW7" s="1185"/>
      <c r="HZX7" s="1185"/>
      <c r="HZY7" s="1185"/>
      <c r="HZZ7" s="1185"/>
      <c r="IAA7" s="1185"/>
      <c r="IAB7" s="1185"/>
      <c r="IAC7" s="1185"/>
      <c r="IAD7" s="1185"/>
      <c r="IAE7" s="1185"/>
      <c r="IAF7" s="1185"/>
      <c r="IAG7" s="1185"/>
      <c r="IAH7" s="1185"/>
      <c r="IAI7" s="1185"/>
      <c r="IAJ7" s="1185"/>
      <c r="IAK7" s="1185"/>
      <c r="IAL7" s="1185"/>
      <c r="IAM7" s="1185"/>
      <c r="IAN7" s="1185"/>
      <c r="IAO7" s="1185"/>
      <c r="IAP7" s="1185"/>
      <c r="IAQ7" s="1185"/>
      <c r="IAR7" s="1185"/>
      <c r="IAS7" s="1185"/>
      <c r="IAT7" s="1185"/>
      <c r="IAU7" s="1185"/>
      <c r="IAV7" s="1185"/>
      <c r="IAW7" s="1185"/>
      <c r="IAX7" s="1185"/>
      <c r="IAY7" s="1185"/>
      <c r="IAZ7" s="1185"/>
      <c r="IBA7" s="1185"/>
      <c r="IBB7" s="1185"/>
      <c r="IBC7" s="1185"/>
      <c r="IBD7" s="1185"/>
      <c r="IBE7" s="1185"/>
      <c r="IBF7" s="1185"/>
      <c r="IBG7" s="1185"/>
      <c r="IBH7" s="1185"/>
      <c r="IBI7" s="1185"/>
      <c r="IBJ7" s="1185"/>
      <c r="IBK7" s="1185"/>
      <c r="IBL7" s="1185"/>
      <c r="IBM7" s="1185"/>
      <c r="IBN7" s="1185"/>
      <c r="IBO7" s="1185"/>
      <c r="IBP7" s="1185"/>
      <c r="IBQ7" s="1185"/>
      <c r="IBR7" s="1185"/>
      <c r="IBS7" s="1185"/>
      <c r="IBT7" s="1185"/>
      <c r="IBU7" s="1185"/>
      <c r="IBV7" s="1185"/>
      <c r="IBW7" s="1185"/>
      <c r="IBX7" s="1185"/>
      <c r="IBY7" s="1185"/>
      <c r="IBZ7" s="1185"/>
      <c r="ICA7" s="1185"/>
      <c r="ICB7" s="1185"/>
      <c r="ICC7" s="1185"/>
      <c r="ICD7" s="1185"/>
      <c r="ICE7" s="1185"/>
      <c r="ICF7" s="1185"/>
      <c r="ICG7" s="1185"/>
      <c r="ICH7" s="1185"/>
      <c r="ICI7" s="1185"/>
      <c r="ICJ7" s="1185"/>
      <c r="ICK7" s="1185"/>
      <c r="ICL7" s="1185"/>
      <c r="ICM7" s="1185"/>
      <c r="ICN7" s="1185"/>
      <c r="ICO7" s="1185"/>
      <c r="ICP7" s="1185"/>
      <c r="ICQ7" s="1185"/>
      <c r="ICR7" s="1185"/>
      <c r="ICS7" s="1185"/>
      <c r="ICT7" s="1185"/>
      <c r="ICU7" s="1185"/>
      <c r="ICV7" s="1185"/>
      <c r="ICW7" s="1185"/>
      <c r="ICX7" s="1185"/>
      <c r="ICY7" s="1185"/>
      <c r="ICZ7" s="1185"/>
      <c r="IDA7" s="1185"/>
      <c r="IDB7" s="1185"/>
      <c r="IDC7" s="1185"/>
      <c r="IDD7" s="1185"/>
      <c r="IDE7" s="1185"/>
      <c r="IDF7" s="1185"/>
      <c r="IDG7" s="1185"/>
      <c r="IDH7" s="1185"/>
      <c r="IDI7" s="1185"/>
      <c r="IDJ7" s="1185"/>
      <c r="IDK7" s="1185"/>
      <c r="IDL7" s="1185"/>
      <c r="IDM7" s="1185"/>
      <c r="IDN7" s="1185"/>
      <c r="IDO7" s="1185"/>
      <c r="IDP7" s="1185"/>
      <c r="IDQ7" s="1185"/>
      <c r="IDR7" s="1185"/>
      <c r="IDS7" s="1185"/>
      <c r="IDT7" s="1185"/>
      <c r="IDU7" s="1185"/>
      <c r="IDV7" s="1185"/>
      <c r="IDW7" s="1185"/>
      <c r="IDX7" s="1185"/>
      <c r="IDY7" s="1185"/>
      <c r="IDZ7" s="1185"/>
      <c r="IEA7" s="1185"/>
      <c r="IEB7" s="1185"/>
      <c r="IEC7" s="1185"/>
      <c r="IED7" s="1185"/>
      <c r="IEE7" s="1185"/>
      <c r="IEF7" s="1185"/>
      <c r="IEG7" s="1185"/>
      <c r="IEH7" s="1185"/>
      <c r="IEI7" s="1185"/>
      <c r="IEJ7" s="1185"/>
      <c r="IEK7" s="1185"/>
      <c r="IEL7" s="1185"/>
      <c r="IEM7" s="1185"/>
      <c r="IEN7" s="1185"/>
      <c r="IEO7" s="1185"/>
      <c r="IEP7" s="1185"/>
      <c r="IEQ7" s="1185"/>
      <c r="IER7" s="1185"/>
      <c r="IES7" s="1185"/>
      <c r="IET7" s="1185"/>
      <c r="IEU7" s="1185"/>
      <c r="IEV7" s="1185"/>
      <c r="IEW7" s="1185"/>
      <c r="IEX7" s="1185"/>
      <c r="IEY7" s="1185"/>
      <c r="IEZ7" s="1185"/>
      <c r="IFA7" s="1185"/>
      <c r="IFB7" s="1185"/>
      <c r="IFC7" s="1185"/>
      <c r="IFD7" s="1185"/>
      <c r="IFE7" s="1185"/>
      <c r="IFF7" s="1185"/>
      <c r="IFG7" s="1185"/>
      <c r="IFH7" s="1185"/>
      <c r="IFI7" s="1185"/>
      <c r="IFJ7" s="1185"/>
      <c r="IFK7" s="1185"/>
      <c r="IFL7" s="1185"/>
      <c r="IFM7" s="1185"/>
      <c r="IFN7" s="1185"/>
      <c r="IFO7" s="1185"/>
      <c r="IFP7" s="1185"/>
      <c r="IFQ7" s="1185"/>
      <c r="IFR7" s="1185"/>
      <c r="IFS7" s="1185"/>
      <c r="IFT7" s="1185"/>
      <c r="IFU7" s="1185"/>
      <c r="IFV7" s="1185"/>
      <c r="IFW7" s="1185"/>
      <c r="IFX7" s="1185"/>
      <c r="IFY7" s="1185"/>
      <c r="IFZ7" s="1185"/>
      <c r="IGA7" s="1185"/>
      <c r="IGB7" s="1185"/>
      <c r="IGC7" s="1185"/>
      <c r="IGD7" s="1185"/>
      <c r="IGE7" s="1185"/>
      <c r="IGF7" s="1185"/>
      <c r="IGG7" s="1185"/>
      <c r="IGH7" s="1185"/>
      <c r="IGI7" s="1185"/>
      <c r="IGJ7" s="1185"/>
      <c r="IGK7" s="1185"/>
      <c r="IGL7" s="1185"/>
      <c r="IGM7" s="1185"/>
      <c r="IGN7" s="1185"/>
      <c r="IGO7" s="1185"/>
      <c r="IGP7" s="1185"/>
      <c r="IGQ7" s="1185"/>
      <c r="IGR7" s="1185"/>
      <c r="IGS7" s="1185"/>
      <c r="IGT7" s="1185"/>
      <c r="IGU7" s="1185"/>
      <c r="IGV7" s="1185"/>
      <c r="IGW7" s="1185"/>
      <c r="IGX7" s="1185"/>
      <c r="IGY7" s="1185"/>
      <c r="IGZ7" s="1185"/>
      <c r="IHA7" s="1185"/>
      <c r="IHB7" s="1185"/>
      <c r="IHC7" s="1185"/>
      <c r="IHD7" s="1185"/>
      <c r="IHE7" s="1185"/>
      <c r="IHF7" s="1185"/>
      <c r="IHG7" s="1185"/>
      <c r="IHH7" s="1185"/>
      <c r="IHI7" s="1185"/>
      <c r="IHJ7" s="1185"/>
      <c r="IHK7" s="1185"/>
      <c r="IHL7" s="1185"/>
      <c r="IHM7" s="1185"/>
      <c r="IHN7" s="1185"/>
      <c r="IHO7" s="1185"/>
      <c r="IHP7" s="1185"/>
      <c r="IHQ7" s="1185"/>
      <c r="IHR7" s="1185"/>
      <c r="IHS7" s="1185"/>
      <c r="IHT7" s="1185"/>
      <c r="IHU7" s="1185"/>
      <c r="IHV7" s="1185"/>
      <c r="IHW7" s="1185"/>
      <c r="IHX7" s="1185"/>
      <c r="IHY7" s="1185"/>
      <c r="IHZ7" s="1185"/>
      <c r="IIA7" s="1185"/>
      <c r="IIB7" s="1185"/>
      <c r="IIC7" s="1185"/>
      <c r="IID7" s="1185"/>
      <c r="IIE7" s="1185"/>
      <c r="IIF7" s="1185"/>
      <c r="IIG7" s="1185"/>
      <c r="IIH7" s="1185"/>
      <c r="III7" s="1185"/>
      <c r="IIJ7" s="1185"/>
      <c r="IIK7" s="1185"/>
      <c r="IIL7" s="1185"/>
      <c r="IIM7" s="1185"/>
      <c r="IIN7" s="1185"/>
      <c r="IIO7" s="1185"/>
      <c r="IIP7" s="1185"/>
      <c r="IIQ7" s="1185"/>
      <c r="IIR7" s="1185"/>
      <c r="IIS7" s="1185"/>
      <c r="IIT7" s="1185"/>
      <c r="IIU7" s="1185"/>
      <c r="IIV7" s="1185"/>
      <c r="IIW7" s="1185"/>
      <c r="IIX7" s="1185"/>
      <c r="IIY7" s="1185"/>
      <c r="IIZ7" s="1185"/>
      <c r="IJA7" s="1185"/>
      <c r="IJB7" s="1185"/>
      <c r="IJC7" s="1185"/>
      <c r="IJD7" s="1185"/>
      <c r="IJE7" s="1185"/>
      <c r="IJF7" s="1185"/>
      <c r="IJG7" s="1185"/>
      <c r="IJH7" s="1185"/>
      <c r="IJI7" s="1185"/>
      <c r="IJJ7" s="1185"/>
      <c r="IJK7" s="1185"/>
      <c r="IJL7" s="1185"/>
      <c r="IJM7" s="1185"/>
      <c r="IJN7" s="1185"/>
      <c r="IJO7" s="1185"/>
      <c r="IJP7" s="1185"/>
      <c r="IJQ7" s="1185"/>
      <c r="IJR7" s="1185"/>
      <c r="IJS7" s="1185"/>
      <c r="IJT7" s="1185"/>
      <c r="IJU7" s="1185"/>
      <c r="IJV7" s="1185"/>
      <c r="IJW7" s="1185"/>
      <c r="IJX7" s="1185"/>
      <c r="IJY7" s="1185"/>
      <c r="IJZ7" s="1185"/>
      <c r="IKA7" s="1185"/>
      <c r="IKB7" s="1185"/>
      <c r="IKC7" s="1185"/>
      <c r="IKD7" s="1185"/>
      <c r="IKE7" s="1185"/>
      <c r="IKF7" s="1185"/>
      <c r="IKG7" s="1185"/>
      <c r="IKH7" s="1185"/>
      <c r="IKI7" s="1185"/>
      <c r="IKJ7" s="1185"/>
      <c r="IKK7" s="1185"/>
      <c r="IKL7" s="1185"/>
      <c r="IKM7" s="1185"/>
      <c r="IKN7" s="1185"/>
      <c r="IKO7" s="1185"/>
      <c r="IKP7" s="1185"/>
      <c r="IKQ7" s="1185"/>
      <c r="IKR7" s="1185"/>
      <c r="IKS7" s="1185"/>
      <c r="IKT7" s="1185"/>
      <c r="IKU7" s="1185"/>
      <c r="IKV7" s="1185"/>
      <c r="IKW7" s="1185"/>
      <c r="IKX7" s="1185"/>
      <c r="IKY7" s="1185"/>
      <c r="IKZ7" s="1185"/>
      <c r="ILA7" s="1185"/>
      <c r="ILB7" s="1185"/>
      <c r="ILC7" s="1185"/>
      <c r="ILD7" s="1185"/>
      <c r="ILE7" s="1185"/>
      <c r="ILF7" s="1185"/>
      <c r="ILG7" s="1185"/>
      <c r="ILH7" s="1185"/>
      <c r="ILI7" s="1185"/>
      <c r="ILJ7" s="1185"/>
      <c r="ILK7" s="1185"/>
      <c r="ILL7" s="1185"/>
      <c r="ILM7" s="1185"/>
      <c r="ILN7" s="1185"/>
      <c r="ILO7" s="1185"/>
      <c r="ILP7" s="1185"/>
      <c r="ILQ7" s="1185"/>
      <c r="ILR7" s="1185"/>
      <c r="ILS7" s="1185"/>
      <c r="ILT7" s="1185"/>
      <c r="ILU7" s="1185"/>
      <c r="ILV7" s="1185"/>
      <c r="ILW7" s="1185"/>
      <c r="ILX7" s="1185"/>
      <c r="ILY7" s="1185"/>
      <c r="ILZ7" s="1185"/>
      <c r="IMA7" s="1185"/>
      <c r="IMB7" s="1185"/>
      <c r="IMC7" s="1185"/>
      <c r="IMD7" s="1185"/>
      <c r="IME7" s="1185"/>
      <c r="IMF7" s="1185"/>
      <c r="IMG7" s="1185"/>
      <c r="IMH7" s="1185"/>
      <c r="IMI7" s="1185"/>
      <c r="IMJ7" s="1185"/>
      <c r="IMK7" s="1185"/>
      <c r="IML7" s="1185"/>
      <c r="IMM7" s="1185"/>
      <c r="IMN7" s="1185"/>
      <c r="IMO7" s="1185"/>
      <c r="IMP7" s="1185"/>
      <c r="IMQ7" s="1185"/>
      <c r="IMR7" s="1185"/>
      <c r="IMS7" s="1185"/>
      <c r="IMT7" s="1185"/>
      <c r="IMU7" s="1185"/>
      <c r="IMV7" s="1185"/>
      <c r="IMW7" s="1185"/>
      <c r="IMX7" s="1185"/>
      <c r="IMY7" s="1185"/>
      <c r="IMZ7" s="1185"/>
      <c r="INA7" s="1185"/>
      <c r="INB7" s="1185"/>
      <c r="INC7" s="1185"/>
      <c r="IND7" s="1185"/>
      <c r="INE7" s="1185"/>
      <c r="INF7" s="1185"/>
      <c r="ING7" s="1185"/>
      <c r="INH7" s="1185"/>
      <c r="INI7" s="1185"/>
      <c r="INJ7" s="1185"/>
      <c r="INK7" s="1185"/>
      <c r="INL7" s="1185"/>
      <c r="INM7" s="1185"/>
      <c r="INN7" s="1185"/>
      <c r="INO7" s="1185"/>
      <c r="INP7" s="1185"/>
      <c r="INQ7" s="1185"/>
      <c r="INR7" s="1185"/>
      <c r="INS7" s="1185"/>
      <c r="INT7" s="1185"/>
      <c r="INU7" s="1185"/>
      <c r="INV7" s="1185"/>
      <c r="INW7" s="1185"/>
      <c r="INX7" s="1185"/>
      <c r="INY7" s="1185"/>
      <c r="INZ7" s="1185"/>
      <c r="IOA7" s="1185"/>
      <c r="IOB7" s="1185"/>
      <c r="IOC7" s="1185"/>
      <c r="IOD7" s="1185"/>
      <c r="IOE7" s="1185"/>
      <c r="IOF7" s="1185"/>
      <c r="IOG7" s="1185"/>
      <c r="IOH7" s="1185"/>
      <c r="IOI7" s="1185"/>
      <c r="IOJ7" s="1185"/>
      <c r="IOK7" s="1185"/>
      <c r="IOL7" s="1185"/>
      <c r="IOM7" s="1185"/>
      <c r="ION7" s="1185"/>
      <c r="IOO7" s="1185"/>
      <c r="IOP7" s="1185"/>
      <c r="IOQ7" s="1185"/>
      <c r="IOR7" s="1185"/>
      <c r="IOS7" s="1185"/>
      <c r="IOT7" s="1185"/>
      <c r="IOU7" s="1185"/>
      <c r="IOV7" s="1185"/>
      <c r="IOW7" s="1185"/>
      <c r="IOX7" s="1185"/>
      <c r="IOY7" s="1185"/>
      <c r="IOZ7" s="1185"/>
      <c r="IPA7" s="1185"/>
      <c r="IPB7" s="1185"/>
      <c r="IPC7" s="1185"/>
      <c r="IPD7" s="1185"/>
      <c r="IPE7" s="1185"/>
      <c r="IPF7" s="1185"/>
      <c r="IPG7" s="1185"/>
      <c r="IPH7" s="1185"/>
      <c r="IPI7" s="1185"/>
      <c r="IPJ7" s="1185"/>
      <c r="IPK7" s="1185"/>
      <c r="IPL7" s="1185"/>
      <c r="IPM7" s="1185"/>
      <c r="IPN7" s="1185"/>
      <c r="IPO7" s="1185"/>
      <c r="IPP7" s="1185"/>
      <c r="IPQ7" s="1185"/>
      <c r="IPR7" s="1185"/>
      <c r="IPS7" s="1185"/>
      <c r="IPT7" s="1185"/>
      <c r="IPU7" s="1185"/>
      <c r="IPV7" s="1185"/>
      <c r="IPW7" s="1185"/>
      <c r="IPX7" s="1185"/>
      <c r="IPY7" s="1185"/>
      <c r="IPZ7" s="1185"/>
      <c r="IQA7" s="1185"/>
      <c r="IQB7" s="1185"/>
      <c r="IQC7" s="1185"/>
      <c r="IQD7" s="1185"/>
      <c r="IQE7" s="1185"/>
      <c r="IQF7" s="1185"/>
      <c r="IQG7" s="1185"/>
      <c r="IQH7" s="1185"/>
      <c r="IQI7" s="1185"/>
      <c r="IQJ7" s="1185"/>
      <c r="IQK7" s="1185"/>
      <c r="IQL7" s="1185"/>
      <c r="IQM7" s="1185"/>
      <c r="IQN7" s="1185"/>
      <c r="IQO7" s="1185"/>
      <c r="IQP7" s="1185"/>
      <c r="IQQ7" s="1185"/>
      <c r="IQR7" s="1185"/>
      <c r="IQS7" s="1185"/>
      <c r="IQT7" s="1185"/>
      <c r="IQU7" s="1185"/>
      <c r="IQV7" s="1185"/>
      <c r="IQW7" s="1185"/>
      <c r="IQX7" s="1185"/>
      <c r="IQY7" s="1185"/>
      <c r="IQZ7" s="1185"/>
      <c r="IRA7" s="1185"/>
      <c r="IRB7" s="1185"/>
      <c r="IRC7" s="1185"/>
      <c r="IRD7" s="1185"/>
      <c r="IRE7" s="1185"/>
      <c r="IRF7" s="1185"/>
      <c r="IRG7" s="1185"/>
      <c r="IRH7" s="1185"/>
      <c r="IRI7" s="1185"/>
      <c r="IRJ7" s="1185"/>
      <c r="IRK7" s="1185"/>
      <c r="IRL7" s="1185"/>
      <c r="IRM7" s="1185"/>
      <c r="IRN7" s="1185"/>
      <c r="IRO7" s="1185"/>
      <c r="IRP7" s="1185"/>
      <c r="IRQ7" s="1185"/>
      <c r="IRR7" s="1185"/>
      <c r="IRS7" s="1185"/>
      <c r="IRT7" s="1185"/>
      <c r="IRU7" s="1185"/>
      <c r="IRV7" s="1185"/>
      <c r="IRW7" s="1185"/>
      <c r="IRX7" s="1185"/>
      <c r="IRY7" s="1185"/>
      <c r="IRZ7" s="1185"/>
      <c r="ISA7" s="1185"/>
      <c r="ISB7" s="1185"/>
      <c r="ISC7" s="1185"/>
      <c r="ISD7" s="1185"/>
      <c r="ISE7" s="1185"/>
      <c r="ISF7" s="1185"/>
      <c r="ISG7" s="1185"/>
      <c r="ISH7" s="1185"/>
      <c r="ISI7" s="1185"/>
      <c r="ISJ7" s="1185"/>
      <c r="ISK7" s="1185"/>
      <c r="ISL7" s="1185"/>
      <c r="ISM7" s="1185"/>
      <c r="ISN7" s="1185"/>
      <c r="ISO7" s="1185"/>
      <c r="ISP7" s="1185"/>
      <c r="ISQ7" s="1185"/>
      <c r="ISR7" s="1185"/>
      <c r="ISS7" s="1185"/>
      <c r="IST7" s="1185"/>
      <c r="ISU7" s="1185"/>
      <c r="ISV7" s="1185"/>
      <c r="ISW7" s="1185"/>
      <c r="ISX7" s="1185"/>
      <c r="ISY7" s="1185"/>
      <c r="ISZ7" s="1185"/>
      <c r="ITA7" s="1185"/>
      <c r="ITB7" s="1185"/>
      <c r="ITC7" s="1185"/>
      <c r="ITD7" s="1185"/>
      <c r="ITE7" s="1185"/>
      <c r="ITF7" s="1185"/>
      <c r="ITG7" s="1185"/>
      <c r="ITH7" s="1185"/>
      <c r="ITI7" s="1185"/>
      <c r="ITJ7" s="1185"/>
      <c r="ITK7" s="1185"/>
      <c r="ITL7" s="1185"/>
      <c r="ITM7" s="1185"/>
      <c r="ITN7" s="1185"/>
      <c r="ITO7" s="1185"/>
      <c r="ITP7" s="1185"/>
      <c r="ITQ7" s="1185"/>
      <c r="ITR7" s="1185"/>
      <c r="ITS7" s="1185"/>
      <c r="ITT7" s="1185"/>
      <c r="ITU7" s="1185"/>
      <c r="ITV7" s="1185"/>
      <c r="ITW7" s="1185"/>
      <c r="ITX7" s="1185"/>
      <c r="ITY7" s="1185"/>
      <c r="ITZ7" s="1185"/>
      <c r="IUA7" s="1185"/>
      <c r="IUB7" s="1185"/>
      <c r="IUC7" s="1185"/>
      <c r="IUD7" s="1185"/>
      <c r="IUE7" s="1185"/>
      <c r="IUF7" s="1185"/>
      <c r="IUG7" s="1185"/>
      <c r="IUH7" s="1185"/>
      <c r="IUI7" s="1185"/>
      <c r="IUJ7" s="1185"/>
      <c r="IUK7" s="1185"/>
      <c r="IUL7" s="1185"/>
      <c r="IUM7" s="1185"/>
      <c r="IUN7" s="1185"/>
      <c r="IUO7" s="1185"/>
      <c r="IUP7" s="1185"/>
      <c r="IUQ7" s="1185"/>
      <c r="IUR7" s="1185"/>
      <c r="IUS7" s="1185"/>
      <c r="IUT7" s="1185"/>
      <c r="IUU7" s="1185"/>
      <c r="IUV7" s="1185"/>
      <c r="IUW7" s="1185"/>
      <c r="IUX7" s="1185"/>
      <c r="IUY7" s="1185"/>
      <c r="IUZ7" s="1185"/>
      <c r="IVA7" s="1185"/>
      <c r="IVB7" s="1185"/>
      <c r="IVC7" s="1185"/>
      <c r="IVD7" s="1185"/>
      <c r="IVE7" s="1185"/>
      <c r="IVF7" s="1185"/>
      <c r="IVG7" s="1185"/>
      <c r="IVH7" s="1185"/>
      <c r="IVI7" s="1185"/>
      <c r="IVJ7" s="1185"/>
      <c r="IVK7" s="1185"/>
      <c r="IVL7" s="1185"/>
      <c r="IVM7" s="1185"/>
      <c r="IVN7" s="1185"/>
      <c r="IVO7" s="1185"/>
      <c r="IVP7" s="1185"/>
      <c r="IVQ7" s="1185"/>
      <c r="IVR7" s="1185"/>
      <c r="IVS7" s="1185"/>
      <c r="IVT7" s="1185"/>
      <c r="IVU7" s="1185"/>
      <c r="IVV7" s="1185"/>
      <c r="IVW7" s="1185"/>
      <c r="IVX7" s="1185"/>
      <c r="IVY7" s="1185"/>
      <c r="IVZ7" s="1185"/>
      <c r="IWA7" s="1185"/>
      <c r="IWB7" s="1185"/>
      <c r="IWC7" s="1185"/>
      <c r="IWD7" s="1185"/>
      <c r="IWE7" s="1185"/>
      <c r="IWF7" s="1185"/>
      <c r="IWG7" s="1185"/>
      <c r="IWH7" s="1185"/>
      <c r="IWI7" s="1185"/>
      <c r="IWJ7" s="1185"/>
      <c r="IWK7" s="1185"/>
      <c r="IWL7" s="1185"/>
      <c r="IWM7" s="1185"/>
      <c r="IWN7" s="1185"/>
      <c r="IWO7" s="1185"/>
      <c r="IWP7" s="1185"/>
      <c r="IWQ7" s="1185"/>
      <c r="IWR7" s="1185"/>
      <c r="IWS7" s="1185"/>
      <c r="IWT7" s="1185"/>
      <c r="IWU7" s="1185"/>
      <c r="IWV7" s="1185"/>
      <c r="IWW7" s="1185"/>
      <c r="IWX7" s="1185"/>
      <c r="IWY7" s="1185"/>
      <c r="IWZ7" s="1185"/>
      <c r="IXA7" s="1185"/>
      <c r="IXB7" s="1185"/>
      <c r="IXC7" s="1185"/>
      <c r="IXD7" s="1185"/>
      <c r="IXE7" s="1185"/>
      <c r="IXF7" s="1185"/>
      <c r="IXG7" s="1185"/>
      <c r="IXH7" s="1185"/>
      <c r="IXI7" s="1185"/>
      <c r="IXJ7" s="1185"/>
      <c r="IXK7" s="1185"/>
      <c r="IXL7" s="1185"/>
      <c r="IXM7" s="1185"/>
      <c r="IXN7" s="1185"/>
      <c r="IXO7" s="1185"/>
      <c r="IXP7" s="1185"/>
      <c r="IXQ7" s="1185"/>
      <c r="IXR7" s="1185"/>
      <c r="IXS7" s="1185"/>
      <c r="IXT7" s="1185"/>
      <c r="IXU7" s="1185"/>
      <c r="IXV7" s="1185"/>
      <c r="IXW7" s="1185"/>
      <c r="IXX7" s="1185"/>
      <c r="IXY7" s="1185"/>
      <c r="IXZ7" s="1185"/>
      <c r="IYA7" s="1185"/>
      <c r="IYB7" s="1185"/>
      <c r="IYC7" s="1185"/>
      <c r="IYD7" s="1185"/>
      <c r="IYE7" s="1185"/>
      <c r="IYF7" s="1185"/>
      <c r="IYG7" s="1185"/>
      <c r="IYH7" s="1185"/>
      <c r="IYI7" s="1185"/>
      <c r="IYJ7" s="1185"/>
      <c r="IYK7" s="1185"/>
      <c r="IYL7" s="1185"/>
      <c r="IYM7" s="1185"/>
      <c r="IYN7" s="1185"/>
      <c r="IYO7" s="1185"/>
      <c r="IYP7" s="1185"/>
      <c r="IYQ7" s="1185"/>
      <c r="IYR7" s="1185"/>
      <c r="IYS7" s="1185"/>
      <c r="IYT7" s="1185"/>
      <c r="IYU7" s="1185"/>
      <c r="IYV7" s="1185"/>
      <c r="IYW7" s="1185"/>
      <c r="IYX7" s="1185"/>
      <c r="IYY7" s="1185"/>
      <c r="IYZ7" s="1185"/>
      <c r="IZA7" s="1185"/>
      <c r="IZB7" s="1185"/>
      <c r="IZC7" s="1185"/>
      <c r="IZD7" s="1185"/>
      <c r="IZE7" s="1185"/>
      <c r="IZF7" s="1185"/>
      <c r="IZG7" s="1185"/>
      <c r="IZH7" s="1185"/>
      <c r="IZI7" s="1185"/>
      <c r="IZJ7" s="1185"/>
      <c r="IZK7" s="1185"/>
      <c r="IZL7" s="1185"/>
      <c r="IZM7" s="1185"/>
      <c r="IZN7" s="1185"/>
      <c r="IZO7" s="1185"/>
      <c r="IZP7" s="1185"/>
      <c r="IZQ7" s="1185"/>
      <c r="IZR7" s="1185"/>
      <c r="IZS7" s="1185"/>
      <c r="IZT7" s="1185"/>
      <c r="IZU7" s="1185"/>
      <c r="IZV7" s="1185"/>
      <c r="IZW7" s="1185"/>
      <c r="IZX7" s="1185"/>
      <c r="IZY7" s="1185"/>
      <c r="IZZ7" s="1185"/>
      <c r="JAA7" s="1185"/>
      <c r="JAB7" s="1185"/>
      <c r="JAC7" s="1185"/>
      <c r="JAD7" s="1185"/>
      <c r="JAE7" s="1185"/>
      <c r="JAF7" s="1185"/>
      <c r="JAG7" s="1185"/>
      <c r="JAH7" s="1185"/>
      <c r="JAI7" s="1185"/>
      <c r="JAJ7" s="1185"/>
      <c r="JAK7" s="1185"/>
      <c r="JAL7" s="1185"/>
      <c r="JAM7" s="1185"/>
      <c r="JAN7" s="1185"/>
      <c r="JAO7" s="1185"/>
      <c r="JAP7" s="1185"/>
      <c r="JAQ7" s="1185"/>
      <c r="JAR7" s="1185"/>
      <c r="JAS7" s="1185"/>
      <c r="JAT7" s="1185"/>
      <c r="JAU7" s="1185"/>
      <c r="JAV7" s="1185"/>
      <c r="JAW7" s="1185"/>
      <c r="JAX7" s="1185"/>
      <c r="JAY7" s="1185"/>
      <c r="JAZ7" s="1185"/>
      <c r="JBA7" s="1185"/>
      <c r="JBB7" s="1185"/>
      <c r="JBC7" s="1185"/>
      <c r="JBD7" s="1185"/>
      <c r="JBE7" s="1185"/>
      <c r="JBF7" s="1185"/>
      <c r="JBG7" s="1185"/>
      <c r="JBH7" s="1185"/>
      <c r="JBI7" s="1185"/>
      <c r="JBJ7" s="1185"/>
      <c r="JBK7" s="1185"/>
      <c r="JBL7" s="1185"/>
      <c r="JBM7" s="1185"/>
      <c r="JBN7" s="1185"/>
      <c r="JBO7" s="1185"/>
      <c r="JBP7" s="1185"/>
      <c r="JBQ7" s="1185"/>
      <c r="JBR7" s="1185"/>
      <c r="JBS7" s="1185"/>
      <c r="JBT7" s="1185"/>
      <c r="JBU7" s="1185"/>
      <c r="JBV7" s="1185"/>
      <c r="JBW7" s="1185"/>
      <c r="JBX7" s="1185"/>
      <c r="JBY7" s="1185"/>
      <c r="JBZ7" s="1185"/>
      <c r="JCA7" s="1185"/>
      <c r="JCB7" s="1185"/>
      <c r="JCC7" s="1185"/>
      <c r="JCD7" s="1185"/>
      <c r="JCE7" s="1185"/>
      <c r="JCF7" s="1185"/>
      <c r="JCG7" s="1185"/>
      <c r="JCH7" s="1185"/>
      <c r="JCI7" s="1185"/>
      <c r="JCJ7" s="1185"/>
      <c r="JCK7" s="1185"/>
      <c r="JCL7" s="1185"/>
      <c r="JCM7" s="1185"/>
      <c r="JCN7" s="1185"/>
      <c r="JCO7" s="1185"/>
      <c r="JCP7" s="1185"/>
      <c r="JCQ7" s="1185"/>
      <c r="JCR7" s="1185"/>
      <c r="JCS7" s="1185"/>
      <c r="JCT7" s="1185"/>
      <c r="JCU7" s="1185"/>
      <c r="JCV7" s="1185"/>
      <c r="JCW7" s="1185"/>
      <c r="JCX7" s="1185"/>
      <c r="JCY7" s="1185"/>
      <c r="JCZ7" s="1185"/>
      <c r="JDA7" s="1185"/>
      <c r="JDB7" s="1185"/>
      <c r="JDC7" s="1185"/>
      <c r="JDD7" s="1185"/>
      <c r="JDE7" s="1185"/>
      <c r="JDF7" s="1185"/>
      <c r="JDG7" s="1185"/>
      <c r="JDH7" s="1185"/>
      <c r="JDI7" s="1185"/>
      <c r="JDJ7" s="1185"/>
      <c r="JDK7" s="1185"/>
      <c r="JDL7" s="1185"/>
      <c r="JDM7" s="1185"/>
      <c r="JDN7" s="1185"/>
      <c r="JDO7" s="1185"/>
      <c r="JDP7" s="1185"/>
      <c r="JDQ7" s="1185"/>
      <c r="JDR7" s="1185"/>
      <c r="JDS7" s="1185"/>
      <c r="JDT7" s="1185"/>
      <c r="JDU7" s="1185"/>
      <c r="JDV7" s="1185"/>
      <c r="JDW7" s="1185"/>
      <c r="JDX7" s="1185"/>
      <c r="JDY7" s="1185"/>
      <c r="JDZ7" s="1185"/>
      <c r="JEA7" s="1185"/>
      <c r="JEB7" s="1185"/>
      <c r="JEC7" s="1185"/>
      <c r="JED7" s="1185"/>
      <c r="JEE7" s="1185"/>
      <c r="JEF7" s="1185"/>
      <c r="JEG7" s="1185"/>
      <c r="JEH7" s="1185"/>
      <c r="JEI7" s="1185"/>
      <c r="JEJ7" s="1185"/>
      <c r="JEK7" s="1185"/>
      <c r="JEL7" s="1185"/>
      <c r="JEM7" s="1185"/>
      <c r="JEN7" s="1185"/>
      <c r="JEO7" s="1185"/>
      <c r="JEP7" s="1185"/>
      <c r="JEQ7" s="1185"/>
      <c r="JER7" s="1185"/>
      <c r="JES7" s="1185"/>
      <c r="JET7" s="1185"/>
      <c r="JEU7" s="1185"/>
      <c r="JEV7" s="1185"/>
      <c r="JEW7" s="1185"/>
      <c r="JEX7" s="1185"/>
      <c r="JEY7" s="1185"/>
      <c r="JEZ7" s="1185"/>
      <c r="JFA7" s="1185"/>
      <c r="JFB7" s="1185"/>
      <c r="JFC7" s="1185"/>
      <c r="JFD7" s="1185"/>
      <c r="JFE7" s="1185"/>
      <c r="JFF7" s="1185"/>
      <c r="JFG7" s="1185"/>
      <c r="JFH7" s="1185"/>
      <c r="JFI7" s="1185"/>
      <c r="JFJ7" s="1185"/>
      <c r="JFK7" s="1185"/>
      <c r="JFL7" s="1185"/>
      <c r="JFM7" s="1185"/>
      <c r="JFN7" s="1185"/>
      <c r="JFO7" s="1185"/>
      <c r="JFP7" s="1185"/>
      <c r="JFQ7" s="1185"/>
      <c r="JFR7" s="1185"/>
      <c r="JFS7" s="1185"/>
      <c r="JFT7" s="1185"/>
      <c r="JFU7" s="1185"/>
      <c r="JFV7" s="1185"/>
      <c r="JFW7" s="1185"/>
      <c r="JFX7" s="1185"/>
      <c r="JFY7" s="1185"/>
      <c r="JFZ7" s="1185"/>
      <c r="JGA7" s="1185"/>
      <c r="JGB7" s="1185"/>
      <c r="JGC7" s="1185"/>
      <c r="JGD7" s="1185"/>
      <c r="JGE7" s="1185"/>
      <c r="JGF7" s="1185"/>
      <c r="JGG7" s="1185"/>
      <c r="JGH7" s="1185"/>
      <c r="JGI7" s="1185"/>
      <c r="JGJ7" s="1185"/>
      <c r="JGK7" s="1185"/>
      <c r="JGL7" s="1185"/>
      <c r="JGM7" s="1185"/>
      <c r="JGN7" s="1185"/>
      <c r="JGO7" s="1185"/>
      <c r="JGP7" s="1185"/>
      <c r="JGQ7" s="1185"/>
      <c r="JGR7" s="1185"/>
      <c r="JGS7" s="1185"/>
      <c r="JGT7" s="1185"/>
      <c r="JGU7" s="1185"/>
      <c r="JGV7" s="1185"/>
      <c r="JGW7" s="1185"/>
      <c r="JGX7" s="1185"/>
      <c r="JGY7" s="1185"/>
      <c r="JGZ7" s="1185"/>
      <c r="JHA7" s="1185"/>
      <c r="JHB7" s="1185"/>
      <c r="JHC7" s="1185"/>
      <c r="JHD7" s="1185"/>
      <c r="JHE7" s="1185"/>
      <c r="JHF7" s="1185"/>
      <c r="JHG7" s="1185"/>
      <c r="JHH7" s="1185"/>
      <c r="JHI7" s="1185"/>
      <c r="JHJ7" s="1185"/>
      <c r="JHK7" s="1185"/>
      <c r="JHL7" s="1185"/>
      <c r="JHM7" s="1185"/>
      <c r="JHN7" s="1185"/>
      <c r="JHO7" s="1185"/>
      <c r="JHP7" s="1185"/>
      <c r="JHQ7" s="1185"/>
      <c r="JHR7" s="1185"/>
      <c r="JHS7" s="1185"/>
      <c r="JHT7" s="1185"/>
      <c r="JHU7" s="1185"/>
      <c r="JHV7" s="1185"/>
      <c r="JHW7" s="1185"/>
      <c r="JHX7" s="1185"/>
      <c r="JHY7" s="1185"/>
      <c r="JHZ7" s="1185"/>
      <c r="JIA7" s="1185"/>
      <c r="JIB7" s="1185"/>
      <c r="JIC7" s="1185"/>
      <c r="JID7" s="1185"/>
      <c r="JIE7" s="1185"/>
      <c r="JIF7" s="1185"/>
      <c r="JIG7" s="1185"/>
      <c r="JIH7" s="1185"/>
      <c r="JII7" s="1185"/>
      <c r="JIJ7" s="1185"/>
      <c r="JIK7" s="1185"/>
      <c r="JIL7" s="1185"/>
      <c r="JIM7" s="1185"/>
      <c r="JIN7" s="1185"/>
      <c r="JIO7" s="1185"/>
      <c r="JIP7" s="1185"/>
      <c r="JIQ7" s="1185"/>
      <c r="JIR7" s="1185"/>
      <c r="JIS7" s="1185"/>
      <c r="JIT7" s="1185"/>
      <c r="JIU7" s="1185"/>
      <c r="JIV7" s="1185"/>
      <c r="JIW7" s="1185"/>
      <c r="JIX7" s="1185"/>
      <c r="JIY7" s="1185"/>
      <c r="JIZ7" s="1185"/>
      <c r="JJA7" s="1185"/>
      <c r="JJB7" s="1185"/>
      <c r="JJC7" s="1185"/>
      <c r="JJD7" s="1185"/>
      <c r="JJE7" s="1185"/>
      <c r="JJF7" s="1185"/>
      <c r="JJG7" s="1185"/>
      <c r="JJH7" s="1185"/>
      <c r="JJI7" s="1185"/>
      <c r="JJJ7" s="1185"/>
      <c r="JJK7" s="1185"/>
      <c r="JJL7" s="1185"/>
      <c r="JJM7" s="1185"/>
      <c r="JJN7" s="1185"/>
      <c r="JJO7" s="1185"/>
      <c r="JJP7" s="1185"/>
      <c r="JJQ7" s="1185"/>
      <c r="JJR7" s="1185"/>
      <c r="JJS7" s="1185"/>
      <c r="JJT7" s="1185"/>
      <c r="JJU7" s="1185"/>
      <c r="JJV7" s="1185"/>
      <c r="JJW7" s="1185"/>
      <c r="JJX7" s="1185"/>
      <c r="JJY7" s="1185"/>
      <c r="JJZ7" s="1185"/>
      <c r="JKA7" s="1185"/>
      <c r="JKB7" s="1185"/>
      <c r="JKC7" s="1185"/>
      <c r="JKD7" s="1185"/>
      <c r="JKE7" s="1185"/>
      <c r="JKF7" s="1185"/>
      <c r="JKG7" s="1185"/>
      <c r="JKH7" s="1185"/>
      <c r="JKI7" s="1185"/>
      <c r="JKJ7" s="1185"/>
      <c r="JKK7" s="1185"/>
      <c r="JKL7" s="1185"/>
      <c r="JKM7" s="1185"/>
      <c r="JKN7" s="1185"/>
      <c r="JKO7" s="1185"/>
      <c r="JKP7" s="1185"/>
      <c r="JKQ7" s="1185"/>
      <c r="JKR7" s="1185"/>
      <c r="JKS7" s="1185"/>
      <c r="JKT7" s="1185"/>
      <c r="JKU7" s="1185"/>
      <c r="JKV7" s="1185"/>
      <c r="JKW7" s="1185"/>
      <c r="JKX7" s="1185"/>
      <c r="JKY7" s="1185"/>
      <c r="JKZ7" s="1185"/>
      <c r="JLA7" s="1185"/>
      <c r="JLB7" s="1185"/>
      <c r="JLC7" s="1185"/>
      <c r="JLD7" s="1185"/>
      <c r="JLE7" s="1185"/>
      <c r="JLF7" s="1185"/>
      <c r="JLG7" s="1185"/>
      <c r="JLH7" s="1185"/>
      <c r="JLI7" s="1185"/>
      <c r="JLJ7" s="1185"/>
      <c r="JLK7" s="1185"/>
      <c r="JLL7" s="1185"/>
      <c r="JLM7" s="1185"/>
      <c r="JLN7" s="1185"/>
      <c r="JLO7" s="1185"/>
      <c r="JLP7" s="1185"/>
      <c r="JLQ7" s="1185"/>
      <c r="JLR7" s="1185"/>
      <c r="JLS7" s="1185"/>
      <c r="JLT7" s="1185"/>
      <c r="JLU7" s="1185"/>
      <c r="JLV7" s="1185"/>
      <c r="JLW7" s="1185"/>
      <c r="JLX7" s="1185"/>
      <c r="JLY7" s="1185"/>
      <c r="JLZ7" s="1185"/>
      <c r="JMA7" s="1185"/>
      <c r="JMB7" s="1185"/>
      <c r="JMC7" s="1185"/>
      <c r="JMD7" s="1185"/>
      <c r="JME7" s="1185"/>
      <c r="JMF7" s="1185"/>
      <c r="JMG7" s="1185"/>
      <c r="JMH7" s="1185"/>
      <c r="JMI7" s="1185"/>
      <c r="JMJ7" s="1185"/>
      <c r="JMK7" s="1185"/>
      <c r="JML7" s="1185"/>
      <c r="JMM7" s="1185"/>
      <c r="JMN7" s="1185"/>
      <c r="JMO7" s="1185"/>
      <c r="JMP7" s="1185"/>
      <c r="JMQ7" s="1185"/>
      <c r="JMR7" s="1185"/>
      <c r="JMS7" s="1185"/>
      <c r="JMT7" s="1185"/>
      <c r="JMU7" s="1185"/>
      <c r="JMV7" s="1185"/>
      <c r="JMW7" s="1185"/>
      <c r="JMX7" s="1185"/>
      <c r="JMY7" s="1185"/>
      <c r="JMZ7" s="1185"/>
      <c r="JNA7" s="1185"/>
      <c r="JNB7" s="1185"/>
      <c r="JNC7" s="1185"/>
      <c r="JND7" s="1185"/>
      <c r="JNE7" s="1185"/>
      <c r="JNF7" s="1185"/>
      <c r="JNG7" s="1185"/>
      <c r="JNH7" s="1185"/>
      <c r="JNI7" s="1185"/>
      <c r="JNJ7" s="1185"/>
      <c r="JNK7" s="1185"/>
      <c r="JNL7" s="1185"/>
      <c r="JNM7" s="1185"/>
      <c r="JNN7" s="1185"/>
      <c r="JNO7" s="1185"/>
      <c r="JNP7" s="1185"/>
      <c r="JNQ7" s="1185"/>
      <c r="JNR7" s="1185"/>
      <c r="JNS7" s="1185"/>
      <c r="JNT7" s="1185"/>
      <c r="JNU7" s="1185"/>
      <c r="JNV7" s="1185"/>
      <c r="JNW7" s="1185"/>
      <c r="JNX7" s="1185"/>
      <c r="JNY7" s="1185"/>
      <c r="JNZ7" s="1185"/>
      <c r="JOA7" s="1185"/>
      <c r="JOB7" s="1185"/>
      <c r="JOC7" s="1185"/>
      <c r="JOD7" s="1185"/>
      <c r="JOE7" s="1185"/>
      <c r="JOF7" s="1185"/>
      <c r="JOG7" s="1185"/>
      <c r="JOH7" s="1185"/>
      <c r="JOI7" s="1185"/>
      <c r="JOJ7" s="1185"/>
      <c r="JOK7" s="1185"/>
      <c r="JOL7" s="1185"/>
      <c r="JOM7" s="1185"/>
      <c r="JON7" s="1185"/>
      <c r="JOO7" s="1185"/>
      <c r="JOP7" s="1185"/>
      <c r="JOQ7" s="1185"/>
      <c r="JOR7" s="1185"/>
      <c r="JOS7" s="1185"/>
      <c r="JOT7" s="1185"/>
      <c r="JOU7" s="1185"/>
      <c r="JOV7" s="1185"/>
      <c r="JOW7" s="1185"/>
      <c r="JOX7" s="1185"/>
      <c r="JOY7" s="1185"/>
      <c r="JOZ7" s="1185"/>
      <c r="JPA7" s="1185"/>
      <c r="JPB7" s="1185"/>
      <c r="JPC7" s="1185"/>
      <c r="JPD7" s="1185"/>
      <c r="JPE7" s="1185"/>
      <c r="JPF7" s="1185"/>
      <c r="JPG7" s="1185"/>
      <c r="JPH7" s="1185"/>
      <c r="JPI7" s="1185"/>
      <c r="JPJ7" s="1185"/>
      <c r="JPK7" s="1185"/>
      <c r="JPL7" s="1185"/>
      <c r="JPM7" s="1185"/>
      <c r="JPN7" s="1185"/>
      <c r="JPO7" s="1185"/>
      <c r="JPP7" s="1185"/>
      <c r="JPQ7" s="1185"/>
      <c r="JPR7" s="1185"/>
      <c r="JPS7" s="1185"/>
      <c r="JPT7" s="1185"/>
      <c r="JPU7" s="1185"/>
      <c r="JPV7" s="1185"/>
      <c r="JPW7" s="1185"/>
      <c r="JPX7" s="1185"/>
      <c r="JPY7" s="1185"/>
      <c r="JPZ7" s="1185"/>
      <c r="JQA7" s="1185"/>
      <c r="JQB7" s="1185"/>
      <c r="JQC7" s="1185"/>
      <c r="JQD7" s="1185"/>
      <c r="JQE7" s="1185"/>
      <c r="JQF7" s="1185"/>
      <c r="JQG7" s="1185"/>
      <c r="JQH7" s="1185"/>
      <c r="JQI7" s="1185"/>
      <c r="JQJ7" s="1185"/>
      <c r="JQK7" s="1185"/>
      <c r="JQL7" s="1185"/>
      <c r="JQM7" s="1185"/>
      <c r="JQN7" s="1185"/>
      <c r="JQO7" s="1185"/>
      <c r="JQP7" s="1185"/>
      <c r="JQQ7" s="1185"/>
      <c r="JQR7" s="1185"/>
      <c r="JQS7" s="1185"/>
      <c r="JQT7" s="1185"/>
      <c r="JQU7" s="1185"/>
      <c r="JQV7" s="1185"/>
      <c r="JQW7" s="1185"/>
      <c r="JQX7" s="1185"/>
      <c r="JQY7" s="1185"/>
      <c r="JQZ7" s="1185"/>
      <c r="JRA7" s="1185"/>
      <c r="JRB7" s="1185"/>
      <c r="JRC7" s="1185"/>
      <c r="JRD7" s="1185"/>
      <c r="JRE7" s="1185"/>
      <c r="JRF7" s="1185"/>
      <c r="JRG7" s="1185"/>
      <c r="JRH7" s="1185"/>
      <c r="JRI7" s="1185"/>
      <c r="JRJ7" s="1185"/>
      <c r="JRK7" s="1185"/>
      <c r="JRL7" s="1185"/>
      <c r="JRM7" s="1185"/>
      <c r="JRN7" s="1185"/>
      <c r="JRO7" s="1185"/>
      <c r="JRP7" s="1185"/>
      <c r="JRQ7" s="1185"/>
      <c r="JRR7" s="1185"/>
      <c r="JRS7" s="1185"/>
      <c r="JRT7" s="1185"/>
      <c r="JRU7" s="1185"/>
      <c r="JRV7" s="1185"/>
      <c r="JRW7" s="1185"/>
      <c r="JRX7" s="1185"/>
      <c r="JRY7" s="1185"/>
      <c r="JRZ7" s="1185"/>
      <c r="JSA7" s="1185"/>
      <c r="JSB7" s="1185"/>
      <c r="JSC7" s="1185"/>
      <c r="JSD7" s="1185"/>
      <c r="JSE7" s="1185"/>
      <c r="JSF7" s="1185"/>
      <c r="JSG7" s="1185"/>
      <c r="JSH7" s="1185"/>
      <c r="JSI7" s="1185"/>
      <c r="JSJ7" s="1185"/>
      <c r="JSK7" s="1185"/>
      <c r="JSL7" s="1185"/>
      <c r="JSM7" s="1185"/>
      <c r="JSN7" s="1185"/>
      <c r="JSO7" s="1185"/>
      <c r="JSP7" s="1185"/>
      <c r="JSQ7" s="1185"/>
      <c r="JSR7" s="1185"/>
      <c r="JSS7" s="1185"/>
      <c r="JST7" s="1185"/>
      <c r="JSU7" s="1185"/>
      <c r="JSV7" s="1185"/>
      <c r="JSW7" s="1185"/>
      <c r="JSX7" s="1185"/>
      <c r="JSY7" s="1185"/>
      <c r="JSZ7" s="1185"/>
      <c r="JTA7" s="1185"/>
      <c r="JTB7" s="1185"/>
      <c r="JTC7" s="1185"/>
      <c r="JTD7" s="1185"/>
      <c r="JTE7" s="1185"/>
      <c r="JTF7" s="1185"/>
      <c r="JTG7" s="1185"/>
      <c r="JTH7" s="1185"/>
      <c r="JTI7" s="1185"/>
      <c r="JTJ7" s="1185"/>
      <c r="JTK7" s="1185"/>
      <c r="JTL7" s="1185"/>
      <c r="JTM7" s="1185"/>
      <c r="JTN7" s="1185"/>
      <c r="JTO7" s="1185"/>
      <c r="JTP7" s="1185"/>
      <c r="JTQ7" s="1185"/>
      <c r="JTR7" s="1185"/>
      <c r="JTS7" s="1185"/>
      <c r="JTT7" s="1185"/>
      <c r="JTU7" s="1185"/>
      <c r="JTV7" s="1185"/>
      <c r="JTW7" s="1185"/>
      <c r="JTX7" s="1185"/>
      <c r="JTY7" s="1185"/>
      <c r="JTZ7" s="1185"/>
      <c r="JUA7" s="1185"/>
      <c r="JUB7" s="1185"/>
      <c r="JUC7" s="1185"/>
      <c r="JUD7" s="1185"/>
      <c r="JUE7" s="1185"/>
      <c r="JUF7" s="1185"/>
      <c r="JUG7" s="1185"/>
      <c r="JUH7" s="1185"/>
      <c r="JUI7" s="1185"/>
      <c r="JUJ7" s="1185"/>
      <c r="JUK7" s="1185"/>
      <c r="JUL7" s="1185"/>
      <c r="JUM7" s="1185"/>
      <c r="JUN7" s="1185"/>
      <c r="JUO7" s="1185"/>
      <c r="JUP7" s="1185"/>
      <c r="JUQ7" s="1185"/>
      <c r="JUR7" s="1185"/>
      <c r="JUS7" s="1185"/>
      <c r="JUT7" s="1185"/>
      <c r="JUU7" s="1185"/>
      <c r="JUV7" s="1185"/>
      <c r="JUW7" s="1185"/>
      <c r="JUX7" s="1185"/>
      <c r="JUY7" s="1185"/>
      <c r="JUZ7" s="1185"/>
      <c r="JVA7" s="1185"/>
      <c r="JVB7" s="1185"/>
      <c r="JVC7" s="1185"/>
      <c r="JVD7" s="1185"/>
      <c r="JVE7" s="1185"/>
      <c r="JVF7" s="1185"/>
      <c r="JVG7" s="1185"/>
      <c r="JVH7" s="1185"/>
      <c r="JVI7" s="1185"/>
      <c r="JVJ7" s="1185"/>
      <c r="JVK7" s="1185"/>
      <c r="JVL7" s="1185"/>
      <c r="JVM7" s="1185"/>
      <c r="JVN7" s="1185"/>
      <c r="JVO7" s="1185"/>
      <c r="JVP7" s="1185"/>
      <c r="JVQ7" s="1185"/>
      <c r="JVR7" s="1185"/>
      <c r="JVS7" s="1185"/>
      <c r="JVT7" s="1185"/>
      <c r="JVU7" s="1185"/>
      <c r="JVV7" s="1185"/>
      <c r="JVW7" s="1185"/>
      <c r="JVX7" s="1185"/>
      <c r="JVY7" s="1185"/>
      <c r="JVZ7" s="1185"/>
      <c r="JWA7" s="1185"/>
      <c r="JWB7" s="1185"/>
      <c r="JWC7" s="1185"/>
      <c r="JWD7" s="1185"/>
      <c r="JWE7" s="1185"/>
      <c r="JWF7" s="1185"/>
      <c r="JWG7" s="1185"/>
      <c r="JWH7" s="1185"/>
      <c r="JWI7" s="1185"/>
      <c r="JWJ7" s="1185"/>
      <c r="JWK7" s="1185"/>
      <c r="JWL7" s="1185"/>
      <c r="JWM7" s="1185"/>
      <c r="JWN7" s="1185"/>
      <c r="JWO7" s="1185"/>
      <c r="JWP7" s="1185"/>
      <c r="JWQ7" s="1185"/>
      <c r="JWR7" s="1185"/>
      <c r="JWS7" s="1185"/>
      <c r="JWT7" s="1185"/>
      <c r="JWU7" s="1185"/>
      <c r="JWV7" s="1185"/>
      <c r="JWW7" s="1185"/>
      <c r="JWX7" s="1185"/>
      <c r="JWY7" s="1185"/>
      <c r="JWZ7" s="1185"/>
      <c r="JXA7" s="1185"/>
      <c r="JXB7" s="1185"/>
      <c r="JXC7" s="1185"/>
      <c r="JXD7" s="1185"/>
      <c r="JXE7" s="1185"/>
      <c r="JXF7" s="1185"/>
      <c r="JXG7" s="1185"/>
      <c r="JXH7" s="1185"/>
      <c r="JXI7" s="1185"/>
      <c r="JXJ7" s="1185"/>
      <c r="JXK7" s="1185"/>
      <c r="JXL7" s="1185"/>
      <c r="JXM7" s="1185"/>
      <c r="JXN7" s="1185"/>
      <c r="JXO7" s="1185"/>
      <c r="JXP7" s="1185"/>
      <c r="JXQ7" s="1185"/>
      <c r="JXR7" s="1185"/>
      <c r="JXS7" s="1185"/>
      <c r="JXT7" s="1185"/>
      <c r="JXU7" s="1185"/>
      <c r="JXV7" s="1185"/>
      <c r="JXW7" s="1185"/>
      <c r="JXX7" s="1185"/>
      <c r="JXY7" s="1185"/>
      <c r="JXZ7" s="1185"/>
      <c r="JYA7" s="1185"/>
      <c r="JYB7" s="1185"/>
      <c r="JYC7" s="1185"/>
      <c r="JYD7" s="1185"/>
      <c r="JYE7" s="1185"/>
      <c r="JYF7" s="1185"/>
      <c r="JYG7" s="1185"/>
      <c r="JYH7" s="1185"/>
      <c r="JYI7" s="1185"/>
      <c r="JYJ7" s="1185"/>
      <c r="JYK7" s="1185"/>
      <c r="JYL7" s="1185"/>
      <c r="JYM7" s="1185"/>
      <c r="JYN7" s="1185"/>
      <c r="JYO7" s="1185"/>
      <c r="JYP7" s="1185"/>
      <c r="JYQ7" s="1185"/>
      <c r="JYR7" s="1185"/>
      <c r="JYS7" s="1185"/>
      <c r="JYT7" s="1185"/>
      <c r="JYU7" s="1185"/>
      <c r="JYV7" s="1185"/>
      <c r="JYW7" s="1185"/>
      <c r="JYX7" s="1185"/>
      <c r="JYY7" s="1185"/>
      <c r="JYZ7" s="1185"/>
      <c r="JZA7" s="1185"/>
      <c r="JZB7" s="1185"/>
      <c r="JZC7" s="1185"/>
      <c r="JZD7" s="1185"/>
      <c r="JZE7" s="1185"/>
      <c r="JZF7" s="1185"/>
      <c r="JZG7" s="1185"/>
      <c r="JZH7" s="1185"/>
      <c r="JZI7" s="1185"/>
      <c r="JZJ7" s="1185"/>
      <c r="JZK7" s="1185"/>
      <c r="JZL7" s="1185"/>
      <c r="JZM7" s="1185"/>
      <c r="JZN7" s="1185"/>
      <c r="JZO7" s="1185"/>
      <c r="JZP7" s="1185"/>
      <c r="JZQ7" s="1185"/>
      <c r="JZR7" s="1185"/>
      <c r="JZS7" s="1185"/>
      <c r="JZT7" s="1185"/>
      <c r="JZU7" s="1185"/>
      <c r="JZV7" s="1185"/>
      <c r="JZW7" s="1185"/>
      <c r="JZX7" s="1185"/>
      <c r="JZY7" s="1185"/>
      <c r="JZZ7" s="1185"/>
      <c r="KAA7" s="1185"/>
      <c r="KAB7" s="1185"/>
      <c r="KAC7" s="1185"/>
      <c r="KAD7" s="1185"/>
      <c r="KAE7" s="1185"/>
      <c r="KAF7" s="1185"/>
      <c r="KAG7" s="1185"/>
      <c r="KAH7" s="1185"/>
      <c r="KAI7" s="1185"/>
      <c r="KAJ7" s="1185"/>
      <c r="KAK7" s="1185"/>
      <c r="KAL7" s="1185"/>
      <c r="KAM7" s="1185"/>
      <c r="KAN7" s="1185"/>
      <c r="KAO7" s="1185"/>
      <c r="KAP7" s="1185"/>
      <c r="KAQ7" s="1185"/>
      <c r="KAR7" s="1185"/>
      <c r="KAS7" s="1185"/>
      <c r="KAT7" s="1185"/>
      <c r="KAU7" s="1185"/>
      <c r="KAV7" s="1185"/>
      <c r="KAW7" s="1185"/>
      <c r="KAX7" s="1185"/>
      <c r="KAY7" s="1185"/>
      <c r="KAZ7" s="1185"/>
      <c r="KBA7" s="1185"/>
      <c r="KBB7" s="1185"/>
      <c r="KBC7" s="1185"/>
      <c r="KBD7" s="1185"/>
      <c r="KBE7" s="1185"/>
      <c r="KBF7" s="1185"/>
      <c r="KBG7" s="1185"/>
      <c r="KBH7" s="1185"/>
      <c r="KBI7" s="1185"/>
      <c r="KBJ7" s="1185"/>
      <c r="KBK7" s="1185"/>
      <c r="KBL7" s="1185"/>
      <c r="KBM7" s="1185"/>
      <c r="KBN7" s="1185"/>
      <c r="KBO7" s="1185"/>
      <c r="KBP7" s="1185"/>
      <c r="KBQ7" s="1185"/>
      <c r="KBR7" s="1185"/>
      <c r="KBS7" s="1185"/>
      <c r="KBT7" s="1185"/>
      <c r="KBU7" s="1185"/>
      <c r="KBV7" s="1185"/>
      <c r="KBW7" s="1185"/>
      <c r="KBX7" s="1185"/>
      <c r="KBY7" s="1185"/>
      <c r="KBZ7" s="1185"/>
      <c r="KCA7" s="1185"/>
      <c r="KCB7" s="1185"/>
      <c r="KCC7" s="1185"/>
      <c r="KCD7" s="1185"/>
      <c r="KCE7" s="1185"/>
      <c r="KCF7" s="1185"/>
      <c r="KCG7" s="1185"/>
      <c r="KCH7" s="1185"/>
      <c r="KCI7" s="1185"/>
      <c r="KCJ7" s="1185"/>
      <c r="KCK7" s="1185"/>
      <c r="KCL7" s="1185"/>
      <c r="KCM7" s="1185"/>
      <c r="KCN7" s="1185"/>
      <c r="KCO7" s="1185"/>
      <c r="KCP7" s="1185"/>
      <c r="KCQ7" s="1185"/>
      <c r="KCR7" s="1185"/>
      <c r="KCS7" s="1185"/>
      <c r="KCT7" s="1185"/>
      <c r="KCU7" s="1185"/>
      <c r="KCV7" s="1185"/>
      <c r="KCW7" s="1185"/>
      <c r="KCX7" s="1185"/>
      <c r="KCY7" s="1185"/>
      <c r="KCZ7" s="1185"/>
      <c r="KDA7" s="1185"/>
      <c r="KDB7" s="1185"/>
      <c r="KDC7" s="1185"/>
      <c r="KDD7" s="1185"/>
      <c r="KDE7" s="1185"/>
      <c r="KDF7" s="1185"/>
      <c r="KDG7" s="1185"/>
      <c r="KDH7" s="1185"/>
      <c r="KDI7" s="1185"/>
      <c r="KDJ7" s="1185"/>
      <c r="KDK7" s="1185"/>
      <c r="KDL7" s="1185"/>
      <c r="KDM7" s="1185"/>
      <c r="KDN7" s="1185"/>
      <c r="KDO7" s="1185"/>
      <c r="KDP7" s="1185"/>
      <c r="KDQ7" s="1185"/>
      <c r="KDR7" s="1185"/>
      <c r="KDS7" s="1185"/>
      <c r="KDT7" s="1185"/>
      <c r="KDU7" s="1185"/>
      <c r="KDV7" s="1185"/>
      <c r="KDW7" s="1185"/>
      <c r="KDX7" s="1185"/>
      <c r="KDY7" s="1185"/>
      <c r="KDZ7" s="1185"/>
      <c r="KEA7" s="1185"/>
      <c r="KEB7" s="1185"/>
      <c r="KEC7" s="1185"/>
      <c r="KED7" s="1185"/>
      <c r="KEE7" s="1185"/>
      <c r="KEF7" s="1185"/>
      <c r="KEG7" s="1185"/>
      <c r="KEH7" s="1185"/>
      <c r="KEI7" s="1185"/>
      <c r="KEJ7" s="1185"/>
      <c r="KEK7" s="1185"/>
      <c r="KEL7" s="1185"/>
      <c r="KEM7" s="1185"/>
      <c r="KEN7" s="1185"/>
      <c r="KEO7" s="1185"/>
      <c r="KEP7" s="1185"/>
      <c r="KEQ7" s="1185"/>
      <c r="KER7" s="1185"/>
      <c r="KES7" s="1185"/>
      <c r="KET7" s="1185"/>
      <c r="KEU7" s="1185"/>
      <c r="KEV7" s="1185"/>
      <c r="KEW7" s="1185"/>
      <c r="KEX7" s="1185"/>
      <c r="KEY7" s="1185"/>
      <c r="KEZ7" s="1185"/>
      <c r="KFA7" s="1185"/>
      <c r="KFB7" s="1185"/>
      <c r="KFC7" s="1185"/>
      <c r="KFD7" s="1185"/>
      <c r="KFE7" s="1185"/>
      <c r="KFF7" s="1185"/>
      <c r="KFG7" s="1185"/>
      <c r="KFH7" s="1185"/>
      <c r="KFI7" s="1185"/>
      <c r="KFJ7" s="1185"/>
      <c r="KFK7" s="1185"/>
      <c r="KFL7" s="1185"/>
      <c r="KFM7" s="1185"/>
      <c r="KFN7" s="1185"/>
      <c r="KFO7" s="1185"/>
      <c r="KFP7" s="1185"/>
      <c r="KFQ7" s="1185"/>
      <c r="KFR7" s="1185"/>
      <c r="KFS7" s="1185"/>
      <c r="KFT7" s="1185"/>
      <c r="KFU7" s="1185"/>
      <c r="KFV7" s="1185"/>
      <c r="KFW7" s="1185"/>
      <c r="KFX7" s="1185"/>
      <c r="KFY7" s="1185"/>
      <c r="KFZ7" s="1185"/>
      <c r="KGA7" s="1185"/>
      <c r="KGB7" s="1185"/>
      <c r="KGC7" s="1185"/>
      <c r="KGD7" s="1185"/>
      <c r="KGE7" s="1185"/>
      <c r="KGF7" s="1185"/>
      <c r="KGG7" s="1185"/>
      <c r="KGH7" s="1185"/>
      <c r="KGI7" s="1185"/>
      <c r="KGJ7" s="1185"/>
      <c r="KGK7" s="1185"/>
      <c r="KGL7" s="1185"/>
      <c r="KGM7" s="1185"/>
      <c r="KGN7" s="1185"/>
      <c r="KGO7" s="1185"/>
      <c r="KGP7" s="1185"/>
      <c r="KGQ7" s="1185"/>
      <c r="KGR7" s="1185"/>
      <c r="KGS7" s="1185"/>
      <c r="KGT7" s="1185"/>
      <c r="KGU7" s="1185"/>
      <c r="KGV7" s="1185"/>
      <c r="KGW7" s="1185"/>
      <c r="KGX7" s="1185"/>
      <c r="KGY7" s="1185"/>
      <c r="KGZ7" s="1185"/>
      <c r="KHA7" s="1185"/>
      <c r="KHB7" s="1185"/>
      <c r="KHC7" s="1185"/>
      <c r="KHD7" s="1185"/>
      <c r="KHE7" s="1185"/>
      <c r="KHF7" s="1185"/>
      <c r="KHG7" s="1185"/>
      <c r="KHH7" s="1185"/>
      <c r="KHI7" s="1185"/>
      <c r="KHJ7" s="1185"/>
      <c r="KHK7" s="1185"/>
      <c r="KHL7" s="1185"/>
      <c r="KHM7" s="1185"/>
      <c r="KHN7" s="1185"/>
      <c r="KHO7" s="1185"/>
      <c r="KHP7" s="1185"/>
      <c r="KHQ7" s="1185"/>
      <c r="KHR7" s="1185"/>
      <c r="KHS7" s="1185"/>
      <c r="KHT7" s="1185"/>
      <c r="KHU7" s="1185"/>
      <c r="KHV7" s="1185"/>
      <c r="KHW7" s="1185"/>
      <c r="KHX7" s="1185"/>
      <c r="KHY7" s="1185"/>
      <c r="KHZ7" s="1185"/>
      <c r="KIA7" s="1185"/>
      <c r="KIB7" s="1185"/>
      <c r="KIC7" s="1185"/>
      <c r="KID7" s="1185"/>
      <c r="KIE7" s="1185"/>
      <c r="KIF7" s="1185"/>
      <c r="KIG7" s="1185"/>
      <c r="KIH7" s="1185"/>
      <c r="KII7" s="1185"/>
      <c r="KIJ7" s="1185"/>
      <c r="KIK7" s="1185"/>
      <c r="KIL7" s="1185"/>
      <c r="KIM7" s="1185"/>
      <c r="KIN7" s="1185"/>
      <c r="KIO7" s="1185"/>
      <c r="KIP7" s="1185"/>
      <c r="KIQ7" s="1185"/>
      <c r="KIR7" s="1185"/>
      <c r="KIS7" s="1185"/>
      <c r="KIT7" s="1185"/>
      <c r="KIU7" s="1185"/>
      <c r="KIV7" s="1185"/>
      <c r="KIW7" s="1185"/>
      <c r="KIX7" s="1185"/>
      <c r="KIY7" s="1185"/>
      <c r="KIZ7" s="1185"/>
      <c r="KJA7" s="1185"/>
      <c r="KJB7" s="1185"/>
      <c r="KJC7" s="1185"/>
      <c r="KJD7" s="1185"/>
      <c r="KJE7" s="1185"/>
      <c r="KJF7" s="1185"/>
      <c r="KJG7" s="1185"/>
      <c r="KJH7" s="1185"/>
      <c r="KJI7" s="1185"/>
      <c r="KJJ7" s="1185"/>
      <c r="KJK7" s="1185"/>
      <c r="KJL7" s="1185"/>
      <c r="KJM7" s="1185"/>
      <c r="KJN7" s="1185"/>
      <c r="KJO7" s="1185"/>
      <c r="KJP7" s="1185"/>
      <c r="KJQ7" s="1185"/>
      <c r="KJR7" s="1185"/>
      <c r="KJS7" s="1185"/>
      <c r="KJT7" s="1185"/>
      <c r="KJU7" s="1185"/>
      <c r="KJV7" s="1185"/>
      <c r="KJW7" s="1185"/>
      <c r="KJX7" s="1185"/>
      <c r="KJY7" s="1185"/>
      <c r="KJZ7" s="1185"/>
      <c r="KKA7" s="1185"/>
      <c r="KKB7" s="1185"/>
      <c r="KKC7" s="1185"/>
      <c r="KKD7" s="1185"/>
      <c r="KKE7" s="1185"/>
      <c r="KKF7" s="1185"/>
      <c r="KKG7" s="1185"/>
      <c r="KKH7" s="1185"/>
      <c r="KKI7" s="1185"/>
      <c r="KKJ7" s="1185"/>
      <c r="KKK7" s="1185"/>
      <c r="KKL7" s="1185"/>
      <c r="KKM7" s="1185"/>
      <c r="KKN7" s="1185"/>
      <c r="KKO7" s="1185"/>
      <c r="KKP7" s="1185"/>
      <c r="KKQ7" s="1185"/>
      <c r="KKR7" s="1185"/>
      <c r="KKS7" s="1185"/>
      <c r="KKT7" s="1185"/>
      <c r="KKU7" s="1185"/>
      <c r="KKV7" s="1185"/>
      <c r="KKW7" s="1185"/>
      <c r="KKX7" s="1185"/>
      <c r="KKY7" s="1185"/>
      <c r="KKZ7" s="1185"/>
      <c r="KLA7" s="1185"/>
      <c r="KLB7" s="1185"/>
      <c r="KLC7" s="1185"/>
      <c r="KLD7" s="1185"/>
      <c r="KLE7" s="1185"/>
      <c r="KLF7" s="1185"/>
      <c r="KLG7" s="1185"/>
      <c r="KLH7" s="1185"/>
      <c r="KLI7" s="1185"/>
      <c r="KLJ7" s="1185"/>
      <c r="KLK7" s="1185"/>
      <c r="KLL7" s="1185"/>
      <c r="KLM7" s="1185"/>
      <c r="KLN7" s="1185"/>
      <c r="KLO7" s="1185"/>
      <c r="KLP7" s="1185"/>
      <c r="KLQ7" s="1185"/>
      <c r="KLR7" s="1185"/>
      <c r="KLS7" s="1185"/>
      <c r="KLT7" s="1185"/>
      <c r="KLU7" s="1185"/>
      <c r="KLV7" s="1185"/>
      <c r="KLW7" s="1185"/>
      <c r="KLX7" s="1185"/>
      <c r="KLY7" s="1185"/>
      <c r="KLZ7" s="1185"/>
      <c r="KMA7" s="1185"/>
      <c r="KMB7" s="1185"/>
      <c r="KMC7" s="1185"/>
      <c r="KMD7" s="1185"/>
      <c r="KME7" s="1185"/>
      <c r="KMF7" s="1185"/>
      <c r="KMG7" s="1185"/>
      <c r="KMH7" s="1185"/>
      <c r="KMI7" s="1185"/>
      <c r="KMJ7" s="1185"/>
      <c r="KMK7" s="1185"/>
      <c r="KML7" s="1185"/>
      <c r="KMM7" s="1185"/>
      <c r="KMN7" s="1185"/>
      <c r="KMO7" s="1185"/>
      <c r="KMP7" s="1185"/>
      <c r="KMQ7" s="1185"/>
      <c r="KMR7" s="1185"/>
      <c r="KMS7" s="1185"/>
      <c r="KMT7" s="1185"/>
      <c r="KMU7" s="1185"/>
      <c r="KMV7" s="1185"/>
      <c r="KMW7" s="1185"/>
      <c r="KMX7" s="1185"/>
      <c r="KMY7" s="1185"/>
      <c r="KMZ7" s="1185"/>
      <c r="KNA7" s="1185"/>
      <c r="KNB7" s="1185"/>
      <c r="KNC7" s="1185"/>
      <c r="KND7" s="1185"/>
      <c r="KNE7" s="1185"/>
      <c r="KNF7" s="1185"/>
      <c r="KNG7" s="1185"/>
      <c r="KNH7" s="1185"/>
      <c r="KNI7" s="1185"/>
      <c r="KNJ7" s="1185"/>
      <c r="KNK7" s="1185"/>
      <c r="KNL7" s="1185"/>
      <c r="KNM7" s="1185"/>
      <c r="KNN7" s="1185"/>
      <c r="KNO7" s="1185"/>
      <c r="KNP7" s="1185"/>
      <c r="KNQ7" s="1185"/>
      <c r="KNR7" s="1185"/>
      <c r="KNS7" s="1185"/>
      <c r="KNT7" s="1185"/>
      <c r="KNU7" s="1185"/>
      <c r="KNV7" s="1185"/>
      <c r="KNW7" s="1185"/>
      <c r="KNX7" s="1185"/>
      <c r="KNY7" s="1185"/>
      <c r="KNZ7" s="1185"/>
      <c r="KOA7" s="1185"/>
      <c r="KOB7" s="1185"/>
      <c r="KOC7" s="1185"/>
      <c r="KOD7" s="1185"/>
      <c r="KOE7" s="1185"/>
      <c r="KOF7" s="1185"/>
      <c r="KOG7" s="1185"/>
      <c r="KOH7" s="1185"/>
      <c r="KOI7" s="1185"/>
      <c r="KOJ7" s="1185"/>
      <c r="KOK7" s="1185"/>
      <c r="KOL7" s="1185"/>
      <c r="KOM7" s="1185"/>
      <c r="KON7" s="1185"/>
      <c r="KOO7" s="1185"/>
      <c r="KOP7" s="1185"/>
      <c r="KOQ7" s="1185"/>
      <c r="KOR7" s="1185"/>
      <c r="KOS7" s="1185"/>
      <c r="KOT7" s="1185"/>
      <c r="KOU7" s="1185"/>
      <c r="KOV7" s="1185"/>
      <c r="KOW7" s="1185"/>
      <c r="KOX7" s="1185"/>
      <c r="KOY7" s="1185"/>
      <c r="KOZ7" s="1185"/>
      <c r="KPA7" s="1185"/>
      <c r="KPB7" s="1185"/>
      <c r="KPC7" s="1185"/>
      <c r="KPD7" s="1185"/>
      <c r="KPE7" s="1185"/>
      <c r="KPF7" s="1185"/>
      <c r="KPG7" s="1185"/>
      <c r="KPH7" s="1185"/>
      <c r="KPI7" s="1185"/>
      <c r="KPJ7" s="1185"/>
      <c r="KPK7" s="1185"/>
      <c r="KPL7" s="1185"/>
      <c r="KPM7" s="1185"/>
      <c r="KPN7" s="1185"/>
      <c r="KPO7" s="1185"/>
      <c r="KPP7" s="1185"/>
      <c r="KPQ7" s="1185"/>
      <c r="KPR7" s="1185"/>
      <c r="KPS7" s="1185"/>
      <c r="KPT7" s="1185"/>
      <c r="KPU7" s="1185"/>
      <c r="KPV7" s="1185"/>
      <c r="KPW7" s="1185"/>
      <c r="KPX7" s="1185"/>
      <c r="KPY7" s="1185"/>
      <c r="KPZ7" s="1185"/>
      <c r="KQA7" s="1185"/>
      <c r="KQB7" s="1185"/>
      <c r="KQC7" s="1185"/>
      <c r="KQD7" s="1185"/>
      <c r="KQE7" s="1185"/>
      <c r="KQF7" s="1185"/>
      <c r="KQG7" s="1185"/>
      <c r="KQH7" s="1185"/>
      <c r="KQI7" s="1185"/>
      <c r="KQJ7" s="1185"/>
      <c r="KQK7" s="1185"/>
      <c r="KQL7" s="1185"/>
      <c r="KQM7" s="1185"/>
      <c r="KQN7" s="1185"/>
      <c r="KQO7" s="1185"/>
      <c r="KQP7" s="1185"/>
      <c r="KQQ7" s="1185"/>
      <c r="KQR7" s="1185"/>
      <c r="KQS7" s="1185"/>
      <c r="KQT7" s="1185"/>
      <c r="KQU7" s="1185"/>
      <c r="KQV7" s="1185"/>
      <c r="KQW7" s="1185"/>
      <c r="KQX7" s="1185"/>
      <c r="KQY7" s="1185"/>
      <c r="KQZ7" s="1185"/>
      <c r="KRA7" s="1185"/>
      <c r="KRB7" s="1185"/>
      <c r="KRC7" s="1185"/>
      <c r="KRD7" s="1185"/>
      <c r="KRE7" s="1185"/>
      <c r="KRF7" s="1185"/>
      <c r="KRG7" s="1185"/>
      <c r="KRH7" s="1185"/>
      <c r="KRI7" s="1185"/>
      <c r="KRJ7" s="1185"/>
      <c r="KRK7" s="1185"/>
      <c r="KRL7" s="1185"/>
      <c r="KRM7" s="1185"/>
      <c r="KRN7" s="1185"/>
      <c r="KRO7" s="1185"/>
      <c r="KRP7" s="1185"/>
      <c r="KRQ7" s="1185"/>
      <c r="KRR7" s="1185"/>
      <c r="KRS7" s="1185"/>
      <c r="KRT7" s="1185"/>
      <c r="KRU7" s="1185"/>
      <c r="KRV7" s="1185"/>
      <c r="KRW7" s="1185"/>
      <c r="KRX7" s="1185"/>
      <c r="KRY7" s="1185"/>
      <c r="KRZ7" s="1185"/>
      <c r="KSA7" s="1185"/>
      <c r="KSB7" s="1185"/>
      <c r="KSC7" s="1185"/>
      <c r="KSD7" s="1185"/>
      <c r="KSE7" s="1185"/>
      <c r="KSF7" s="1185"/>
      <c r="KSG7" s="1185"/>
      <c r="KSH7" s="1185"/>
      <c r="KSI7" s="1185"/>
      <c r="KSJ7" s="1185"/>
      <c r="KSK7" s="1185"/>
      <c r="KSL7" s="1185"/>
      <c r="KSM7" s="1185"/>
      <c r="KSN7" s="1185"/>
      <c r="KSO7" s="1185"/>
      <c r="KSP7" s="1185"/>
      <c r="KSQ7" s="1185"/>
      <c r="KSR7" s="1185"/>
      <c r="KSS7" s="1185"/>
      <c r="KST7" s="1185"/>
      <c r="KSU7" s="1185"/>
      <c r="KSV7" s="1185"/>
      <c r="KSW7" s="1185"/>
      <c r="KSX7" s="1185"/>
      <c r="KSY7" s="1185"/>
      <c r="KSZ7" s="1185"/>
      <c r="KTA7" s="1185"/>
      <c r="KTB7" s="1185"/>
      <c r="KTC7" s="1185"/>
      <c r="KTD7" s="1185"/>
      <c r="KTE7" s="1185"/>
      <c r="KTF7" s="1185"/>
      <c r="KTG7" s="1185"/>
      <c r="KTH7" s="1185"/>
      <c r="KTI7" s="1185"/>
      <c r="KTJ7" s="1185"/>
      <c r="KTK7" s="1185"/>
      <c r="KTL7" s="1185"/>
      <c r="KTM7" s="1185"/>
      <c r="KTN7" s="1185"/>
      <c r="KTO7" s="1185"/>
      <c r="KTP7" s="1185"/>
      <c r="KTQ7" s="1185"/>
      <c r="KTR7" s="1185"/>
      <c r="KTS7" s="1185"/>
      <c r="KTT7" s="1185"/>
      <c r="KTU7" s="1185"/>
      <c r="KTV7" s="1185"/>
      <c r="KTW7" s="1185"/>
      <c r="KTX7" s="1185"/>
      <c r="KTY7" s="1185"/>
      <c r="KTZ7" s="1185"/>
      <c r="KUA7" s="1185"/>
      <c r="KUB7" s="1185"/>
      <c r="KUC7" s="1185"/>
      <c r="KUD7" s="1185"/>
      <c r="KUE7" s="1185"/>
      <c r="KUF7" s="1185"/>
      <c r="KUG7" s="1185"/>
      <c r="KUH7" s="1185"/>
      <c r="KUI7" s="1185"/>
      <c r="KUJ7" s="1185"/>
      <c r="KUK7" s="1185"/>
      <c r="KUL7" s="1185"/>
      <c r="KUM7" s="1185"/>
      <c r="KUN7" s="1185"/>
      <c r="KUO7" s="1185"/>
      <c r="KUP7" s="1185"/>
      <c r="KUQ7" s="1185"/>
      <c r="KUR7" s="1185"/>
      <c r="KUS7" s="1185"/>
      <c r="KUT7" s="1185"/>
      <c r="KUU7" s="1185"/>
      <c r="KUV7" s="1185"/>
      <c r="KUW7" s="1185"/>
      <c r="KUX7" s="1185"/>
      <c r="KUY7" s="1185"/>
      <c r="KUZ7" s="1185"/>
      <c r="KVA7" s="1185"/>
      <c r="KVB7" s="1185"/>
      <c r="KVC7" s="1185"/>
      <c r="KVD7" s="1185"/>
      <c r="KVE7" s="1185"/>
      <c r="KVF7" s="1185"/>
      <c r="KVG7" s="1185"/>
      <c r="KVH7" s="1185"/>
      <c r="KVI7" s="1185"/>
      <c r="KVJ7" s="1185"/>
      <c r="KVK7" s="1185"/>
      <c r="KVL7" s="1185"/>
      <c r="KVM7" s="1185"/>
      <c r="KVN7" s="1185"/>
      <c r="KVO7" s="1185"/>
      <c r="KVP7" s="1185"/>
      <c r="KVQ7" s="1185"/>
      <c r="KVR7" s="1185"/>
      <c r="KVS7" s="1185"/>
      <c r="KVT7" s="1185"/>
      <c r="KVU7" s="1185"/>
      <c r="KVV7" s="1185"/>
      <c r="KVW7" s="1185"/>
      <c r="KVX7" s="1185"/>
      <c r="KVY7" s="1185"/>
      <c r="KVZ7" s="1185"/>
      <c r="KWA7" s="1185"/>
      <c r="KWB7" s="1185"/>
      <c r="KWC7" s="1185"/>
      <c r="KWD7" s="1185"/>
      <c r="KWE7" s="1185"/>
      <c r="KWF7" s="1185"/>
      <c r="KWG7" s="1185"/>
      <c r="KWH7" s="1185"/>
      <c r="KWI7" s="1185"/>
      <c r="KWJ7" s="1185"/>
      <c r="KWK7" s="1185"/>
      <c r="KWL7" s="1185"/>
      <c r="KWM7" s="1185"/>
      <c r="KWN7" s="1185"/>
      <c r="KWO7" s="1185"/>
      <c r="KWP7" s="1185"/>
      <c r="KWQ7" s="1185"/>
      <c r="KWR7" s="1185"/>
      <c r="KWS7" s="1185"/>
      <c r="KWT7" s="1185"/>
      <c r="KWU7" s="1185"/>
      <c r="KWV7" s="1185"/>
      <c r="KWW7" s="1185"/>
      <c r="KWX7" s="1185"/>
      <c r="KWY7" s="1185"/>
      <c r="KWZ7" s="1185"/>
      <c r="KXA7" s="1185"/>
      <c r="KXB7" s="1185"/>
      <c r="KXC7" s="1185"/>
      <c r="KXD7" s="1185"/>
      <c r="KXE7" s="1185"/>
      <c r="KXF7" s="1185"/>
      <c r="KXG7" s="1185"/>
      <c r="KXH7" s="1185"/>
      <c r="KXI7" s="1185"/>
      <c r="KXJ7" s="1185"/>
      <c r="KXK7" s="1185"/>
      <c r="KXL7" s="1185"/>
      <c r="KXM7" s="1185"/>
      <c r="KXN7" s="1185"/>
      <c r="KXO7" s="1185"/>
      <c r="KXP7" s="1185"/>
      <c r="KXQ7" s="1185"/>
      <c r="KXR7" s="1185"/>
      <c r="KXS7" s="1185"/>
      <c r="KXT7" s="1185"/>
      <c r="KXU7" s="1185"/>
      <c r="KXV7" s="1185"/>
      <c r="KXW7" s="1185"/>
      <c r="KXX7" s="1185"/>
      <c r="KXY7" s="1185"/>
      <c r="KXZ7" s="1185"/>
      <c r="KYA7" s="1185"/>
      <c r="KYB7" s="1185"/>
      <c r="KYC7" s="1185"/>
      <c r="KYD7" s="1185"/>
      <c r="KYE7" s="1185"/>
      <c r="KYF7" s="1185"/>
      <c r="KYG7" s="1185"/>
      <c r="KYH7" s="1185"/>
      <c r="KYI7" s="1185"/>
      <c r="KYJ7" s="1185"/>
      <c r="KYK7" s="1185"/>
      <c r="KYL7" s="1185"/>
      <c r="KYM7" s="1185"/>
      <c r="KYN7" s="1185"/>
      <c r="KYO7" s="1185"/>
      <c r="KYP7" s="1185"/>
      <c r="KYQ7" s="1185"/>
      <c r="KYR7" s="1185"/>
      <c r="KYS7" s="1185"/>
      <c r="KYT7" s="1185"/>
      <c r="KYU7" s="1185"/>
      <c r="KYV7" s="1185"/>
      <c r="KYW7" s="1185"/>
      <c r="KYX7" s="1185"/>
      <c r="KYY7" s="1185"/>
      <c r="KYZ7" s="1185"/>
      <c r="KZA7" s="1185"/>
      <c r="KZB7" s="1185"/>
      <c r="KZC7" s="1185"/>
      <c r="KZD7" s="1185"/>
      <c r="KZE7" s="1185"/>
      <c r="KZF7" s="1185"/>
      <c r="KZG7" s="1185"/>
      <c r="KZH7" s="1185"/>
      <c r="KZI7" s="1185"/>
      <c r="KZJ7" s="1185"/>
      <c r="KZK7" s="1185"/>
      <c r="KZL7" s="1185"/>
      <c r="KZM7" s="1185"/>
      <c r="KZN7" s="1185"/>
      <c r="KZO7" s="1185"/>
      <c r="KZP7" s="1185"/>
      <c r="KZQ7" s="1185"/>
      <c r="KZR7" s="1185"/>
      <c r="KZS7" s="1185"/>
      <c r="KZT7" s="1185"/>
      <c r="KZU7" s="1185"/>
      <c r="KZV7" s="1185"/>
      <c r="KZW7" s="1185"/>
      <c r="KZX7" s="1185"/>
      <c r="KZY7" s="1185"/>
      <c r="KZZ7" s="1185"/>
      <c r="LAA7" s="1185"/>
      <c r="LAB7" s="1185"/>
      <c r="LAC7" s="1185"/>
      <c r="LAD7" s="1185"/>
      <c r="LAE7" s="1185"/>
      <c r="LAF7" s="1185"/>
      <c r="LAG7" s="1185"/>
      <c r="LAH7" s="1185"/>
      <c r="LAI7" s="1185"/>
      <c r="LAJ7" s="1185"/>
      <c r="LAK7" s="1185"/>
      <c r="LAL7" s="1185"/>
      <c r="LAM7" s="1185"/>
      <c r="LAN7" s="1185"/>
      <c r="LAO7" s="1185"/>
      <c r="LAP7" s="1185"/>
      <c r="LAQ7" s="1185"/>
      <c r="LAR7" s="1185"/>
      <c r="LAS7" s="1185"/>
      <c r="LAT7" s="1185"/>
      <c r="LAU7" s="1185"/>
      <c r="LAV7" s="1185"/>
      <c r="LAW7" s="1185"/>
      <c r="LAX7" s="1185"/>
      <c r="LAY7" s="1185"/>
      <c r="LAZ7" s="1185"/>
      <c r="LBA7" s="1185"/>
      <c r="LBB7" s="1185"/>
      <c r="LBC7" s="1185"/>
      <c r="LBD7" s="1185"/>
      <c r="LBE7" s="1185"/>
      <c r="LBF7" s="1185"/>
      <c r="LBG7" s="1185"/>
      <c r="LBH7" s="1185"/>
      <c r="LBI7" s="1185"/>
      <c r="LBJ7" s="1185"/>
      <c r="LBK7" s="1185"/>
      <c r="LBL7" s="1185"/>
      <c r="LBM7" s="1185"/>
      <c r="LBN7" s="1185"/>
      <c r="LBO7" s="1185"/>
      <c r="LBP7" s="1185"/>
      <c r="LBQ7" s="1185"/>
      <c r="LBR7" s="1185"/>
      <c r="LBS7" s="1185"/>
      <c r="LBT7" s="1185"/>
      <c r="LBU7" s="1185"/>
      <c r="LBV7" s="1185"/>
      <c r="LBW7" s="1185"/>
      <c r="LBX7" s="1185"/>
      <c r="LBY7" s="1185"/>
      <c r="LBZ7" s="1185"/>
      <c r="LCA7" s="1185"/>
      <c r="LCB7" s="1185"/>
      <c r="LCC7" s="1185"/>
      <c r="LCD7" s="1185"/>
      <c r="LCE7" s="1185"/>
      <c r="LCF7" s="1185"/>
      <c r="LCG7" s="1185"/>
      <c r="LCH7" s="1185"/>
      <c r="LCI7" s="1185"/>
      <c r="LCJ7" s="1185"/>
      <c r="LCK7" s="1185"/>
      <c r="LCL7" s="1185"/>
      <c r="LCM7" s="1185"/>
      <c r="LCN7" s="1185"/>
      <c r="LCO7" s="1185"/>
      <c r="LCP7" s="1185"/>
      <c r="LCQ7" s="1185"/>
      <c r="LCR7" s="1185"/>
      <c r="LCS7" s="1185"/>
      <c r="LCT7" s="1185"/>
      <c r="LCU7" s="1185"/>
      <c r="LCV7" s="1185"/>
      <c r="LCW7" s="1185"/>
      <c r="LCX7" s="1185"/>
      <c r="LCY7" s="1185"/>
      <c r="LCZ7" s="1185"/>
      <c r="LDA7" s="1185"/>
      <c r="LDB7" s="1185"/>
      <c r="LDC7" s="1185"/>
      <c r="LDD7" s="1185"/>
      <c r="LDE7" s="1185"/>
      <c r="LDF7" s="1185"/>
      <c r="LDG7" s="1185"/>
      <c r="LDH7" s="1185"/>
      <c r="LDI7" s="1185"/>
      <c r="LDJ7" s="1185"/>
      <c r="LDK7" s="1185"/>
      <c r="LDL7" s="1185"/>
      <c r="LDM7" s="1185"/>
      <c r="LDN7" s="1185"/>
      <c r="LDO7" s="1185"/>
      <c r="LDP7" s="1185"/>
      <c r="LDQ7" s="1185"/>
      <c r="LDR7" s="1185"/>
      <c r="LDS7" s="1185"/>
      <c r="LDT7" s="1185"/>
      <c r="LDU7" s="1185"/>
      <c r="LDV7" s="1185"/>
      <c r="LDW7" s="1185"/>
      <c r="LDX7" s="1185"/>
      <c r="LDY7" s="1185"/>
      <c r="LDZ7" s="1185"/>
      <c r="LEA7" s="1185"/>
      <c r="LEB7" s="1185"/>
      <c r="LEC7" s="1185"/>
      <c r="LED7" s="1185"/>
      <c r="LEE7" s="1185"/>
      <c r="LEF7" s="1185"/>
      <c r="LEG7" s="1185"/>
      <c r="LEH7" s="1185"/>
      <c r="LEI7" s="1185"/>
      <c r="LEJ7" s="1185"/>
      <c r="LEK7" s="1185"/>
      <c r="LEL7" s="1185"/>
      <c r="LEM7" s="1185"/>
      <c r="LEN7" s="1185"/>
      <c r="LEO7" s="1185"/>
      <c r="LEP7" s="1185"/>
      <c r="LEQ7" s="1185"/>
      <c r="LER7" s="1185"/>
      <c r="LES7" s="1185"/>
      <c r="LET7" s="1185"/>
      <c r="LEU7" s="1185"/>
      <c r="LEV7" s="1185"/>
      <c r="LEW7" s="1185"/>
      <c r="LEX7" s="1185"/>
      <c r="LEY7" s="1185"/>
      <c r="LEZ7" s="1185"/>
      <c r="LFA7" s="1185"/>
      <c r="LFB7" s="1185"/>
      <c r="LFC7" s="1185"/>
      <c r="LFD7" s="1185"/>
      <c r="LFE7" s="1185"/>
      <c r="LFF7" s="1185"/>
      <c r="LFG7" s="1185"/>
      <c r="LFH7" s="1185"/>
      <c r="LFI7" s="1185"/>
      <c r="LFJ7" s="1185"/>
      <c r="LFK7" s="1185"/>
      <c r="LFL7" s="1185"/>
      <c r="LFM7" s="1185"/>
      <c r="LFN7" s="1185"/>
      <c r="LFO7" s="1185"/>
      <c r="LFP7" s="1185"/>
      <c r="LFQ7" s="1185"/>
      <c r="LFR7" s="1185"/>
      <c r="LFS7" s="1185"/>
      <c r="LFT7" s="1185"/>
      <c r="LFU7" s="1185"/>
      <c r="LFV7" s="1185"/>
      <c r="LFW7" s="1185"/>
      <c r="LFX7" s="1185"/>
      <c r="LFY7" s="1185"/>
      <c r="LFZ7" s="1185"/>
      <c r="LGA7" s="1185"/>
      <c r="LGB7" s="1185"/>
      <c r="LGC7" s="1185"/>
      <c r="LGD7" s="1185"/>
      <c r="LGE7" s="1185"/>
      <c r="LGF7" s="1185"/>
      <c r="LGG7" s="1185"/>
      <c r="LGH7" s="1185"/>
      <c r="LGI7" s="1185"/>
      <c r="LGJ7" s="1185"/>
      <c r="LGK7" s="1185"/>
      <c r="LGL7" s="1185"/>
      <c r="LGM7" s="1185"/>
      <c r="LGN7" s="1185"/>
      <c r="LGO7" s="1185"/>
      <c r="LGP7" s="1185"/>
      <c r="LGQ7" s="1185"/>
      <c r="LGR7" s="1185"/>
      <c r="LGS7" s="1185"/>
      <c r="LGT7" s="1185"/>
      <c r="LGU7" s="1185"/>
      <c r="LGV7" s="1185"/>
      <c r="LGW7" s="1185"/>
      <c r="LGX7" s="1185"/>
      <c r="LGY7" s="1185"/>
      <c r="LGZ7" s="1185"/>
      <c r="LHA7" s="1185"/>
      <c r="LHB7" s="1185"/>
      <c r="LHC7" s="1185"/>
      <c r="LHD7" s="1185"/>
      <c r="LHE7" s="1185"/>
      <c r="LHF7" s="1185"/>
      <c r="LHG7" s="1185"/>
      <c r="LHH7" s="1185"/>
      <c r="LHI7" s="1185"/>
      <c r="LHJ7" s="1185"/>
      <c r="LHK7" s="1185"/>
      <c r="LHL7" s="1185"/>
      <c r="LHM7" s="1185"/>
      <c r="LHN7" s="1185"/>
      <c r="LHO7" s="1185"/>
      <c r="LHP7" s="1185"/>
      <c r="LHQ7" s="1185"/>
      <c r="LHR7" s="1185"/>
      <c r="LHS7" s="1185"/>
      <c r="LHT7" s="1185"/>
      <c r="LHU7" s="1185"/>
      <c r="LHV7" s="1185"/>
      <c r="LHW7" s="1185"/>
      <c r="LHX7" s="1185"/>
      <c r="LHY7" s="1185"/>
      <c r="LHZ7" s="1185"/>
      <c r="LIA7" s="1185"/>
      <c r="LIB7" s="1185"/>
      <c r="LIC7" s="1185"/>
      <c r="LID7" s="1185"/>
      <c r="LIE7" s="1185"/>
      <c r="LIF7" s="1185"/>
      <c r="LIG7" s="1185"/>
      <c r="LIH7" s="1185"/>
      <c r="LII7" s="1185"/>
      <c r="LIJ7" s="1185"/>
      <c r="LIK7" s="1185"/>
      <c r="LIL7" s="1185"/>
      <c r="LIM7" s="1185"/>
      <c r="LIN7" s="1185"/>
      <c r="LIO7" s="1185"/>
      <c r="LIP7" s="1185"/>
      <c r="LIQ7" s="1185"/>
      <c r="LIR7" s="1185"/>
      <c r="LIS7" s="1185"/>
      <c r="LIT7" s="1185"/>
      <c r="LIU7" s="1185"/>
      <c r="LIV7" s="1185"/>
      <c r="LIW7" s="1185"/>
      <c r="LIX7" s="1185"/>
      <c r="LIY7" s="1185"/>
      <c r="LIZ7" s="1185"/>
      <c r="LJA7" s="1185"/>
      <c r="LJB7" s="1185"/>
      <c r="LJC7" s="1185"/>
      <c r="LJD7" s="1185"/>
      <c r="LJE7" s="1185"/>
      <c r="LJF7" s="1185"/>
      <c r="LJG7" s="1185"/>
      <c r="LJH7" s="1185"/>
      <c r="LJI7" s="1185"/>
      <c r="LJJ7" s="1185"/>
      <c r="LJK7" s="1185"/>
      <c r="LJL7" s="1185"/>
      <c r="LJM7" s="1185"/>
      <c r="LJN7" s="1185"/>
      <c r="LJO7" s="1185"/>
      <c r="LJP7" s="1185"/>
      <c r="LJQ7" s="1185"/>
      <c r="LJR7" s="1185"/>
      <c r="LJS7" s="1185"/>
      <c r="LJT7" s="1185"/>
      <c r="LJU7" s="1185"/>
      <c r="LJV7" s="1185"/>
      <c r="LJW7" s="1185"/>
      <c r="LJX7" s="1185"/>
      <c r="LJY7" s="1185"/>
      <c r="LJZ7" s="1185"/>
      <c r="LKA7" s="1185"/>
      <c r="LKB7" s="1185"/>
      <c r="LKC7" s="1185"/>
      <c r="LKD7" s="1185"/>
      <c r="LKE7" s="1185"/>
      <c r="LKF7" s="1185"/>
      <c r="LKG7" s="1185"/>
      <c r="LKH7" s="1185"/>
      <c r="LKI7" s="1185"/>
      <c r="LKJ7" s="1185"/>
      <c r="LKK7" s="1185"/>
      <c r="LKL7" s="1185"/>
      <c r="LKM7" s="1185"/>
      <c r="LKN7" s="1185"/>
      <c r="LKO7" s="1185"/>
      <c r="LKP7" s="1185"/>
      <c r="LKQ7" s="1185"/>
      <c r="LKR7" s="1185"/>
      <c r="LKS7" s="1185"/>
      <c r="LKT7" s="1185"/>
      <c r="LKU7" s="1185"/>
      <c r="LKV7" s="1185"/>
      <c r="LKW7" s="1185"/>
      <c r="LKX7" s="1185"/>
      <c r="LKY7" s="1185"/>
      <c r="LKZ7" s="1185"/>
      <c r="LLA7" s="1185"/>
      <c r="LLB7" s="1185"/>
      <c r="LLC7" s="1185"/>
      <c r="LLD7" s="1185"/>
      <c r="LLE7" s="1185"/>
      <c r="LLF7" s="1185"/>
      <c r="LLG7" s="1185"/>
      <c r="LLH7" s="1185"/>
      <c r="LLI7" s="1185"/>
      <c r="LLJ7" s="1185"/>
      <c r="LLK7" s="1185"/>
      <c r="LLL7" s="1185"/>
      <c r="LLM7" s="1185"/>
      <c r="LLN7" s="1185"/>
      <c r="LLO7" s="1185"/>
      <c r="LLP7" s="1185"/>
      <c r="LLQ7" s="1185"/>
      <c r="LLR7" s="1185"/>
      <c r="LLS7" s="1185"/>
      <c r="LLT7" s="1185"/>
      <c r="LLU7" s="1185"/>
      <c r="LLV7" s="1185"/>
      <c r="LLW7" s="1185"/>
      <c r="LLX7" s="1185"/>
      <c r="LLY7" s="1185"/>
      <c r="LLZ7" s="1185"/>
      <c r="LMA7" s="1185"/>
      <c r="LMB7" s="1185"/>
      <c r="LMC7" s="1185"/>
      <c r="LMD7" s="1185"/>
      <c r="LME7" s="1185"/>
      <c r="LMF7" s="1185"/>
      <c r="LMG7" s="1185"/>
      <c r="LMH7" s="1185"/>
      <c r="LMI7" s="1185"/>
      <c r="LMJ7" s="1185"/>
      <c r="LMK7" s="1185"/>
      <c r="LML7" s="1185"/>
      <c r="LMM7" s="1185"/>
      <c r="LMN7" s="1185"/>
      <c r="LMO7" s="1185"/>
      <c r="LMP7" s="1185"/>
      <c r="LMQ7" s="1185"/>
      <c r="LMR7" s="1185"/>
      <c r="LMS7" s="1185"/>
      <c r="LMT7" s="1185"/>
      <c r="LMU7" s="1185"/>
      <c r="LMV7" s="1185"/>
      <c r="LMW7" s="1185"/>
      <c r="LMX7" s="1185"/>
      <c r="LMY7" s="1185"/>
      <c r="LMZ7" s="1185"/>
      <c r="LNA7" s="1185"/>
      <c r="LNB7" s="1185"/>
      <c r="LNC7" s="1185"/>
      <c r="LND7" s="1185"/>
      <c r="LNE7" s="1185"/>
      <c r="LNF7" s="1185"/>
      <c r="LNG7" s="1185"/>
      <c r="LNH7" s="1185"/>
      <c r="LNI7" s="1185"/>
      <c r="LNJ7" s="1185"/>
      <c r="LNK7" s="1185"/>
      <c r="LNL7" s="1185"/>
      <c r="LNM7" s="1185"/>
      <c r="LNN7" s="1185"/>
      <c r="LNO7" s="1185"/>
      <c r="LNP7" s="1185"/>
      <c r="LNQ7" s="1185"/>
      <c r="LNR7" s="1185"/>
      <c r="LNS7" s="1185"/>
      <c r="LNT7" s="1185"/>
      <c r="LNU7" s="1185"/>
      <c r="LNV7" s="1185"/>
      <c r="LNW7" s="1185"/>
      <c r="LNX7" s="1185"/>
      <c r="LNY7" s="1185"/>
      <c r="LNZ7" s="1185"/>
      <c r="LOA7" s="1185"/>
      <c r="LOB7" s="1185"/>
      <c r="LOC7" s="1185"/>
      <c r="LOD7" s="1185"/>
      <c r="LOE7" s="1185"/>
      <c r="LOF7" s="1185"/>
      <c r="LOG7" s="1185"/>
      <c r="LOH7" s="1185"/>
      <c r="LOI7" s="1185"/>
      <c r="LOJ7" s="1185"/>
      <c r="LOK7" s="1185"/>
      <c r="LOL7" s="1185"/>
      <c r="LOM7" s="1185"/>
      <c r="LON7" s="1185"/>
      <c r="LOO7" s="1185"/>
      <c r="LOP7" s="1185"/>
      <c r="LOQ7" s="1185"/>
      <c r="LOR7" s="1185"/>
      <c r="LOS7" s="1185"/>
      <c r="LOT7" s="1185"/>
      <c r="LOU7" s="1185"/>
      <c r="LOV7" s="1185"/>
      <c r="LOW7" s="1185"/>
      <c r="LOX7" s="1185"/>
      <c r="LOY7" s="1185"/>
      <c r="LOZ7" s="1185"/>
      <c r="LPA7" s="1185"/>
      <c r="LPB7" s="1185"/>
      <c r="LPC7" s="1185"/>
      <c r="LPD7" s="1185"/>
      <c r="LPE7" s="1185"/>
      <c r="LPF7" s="1185"/>
      <c r="LPG7" s="1185"/>
      <c r="LPH7" s="1185"/>
      <c r="LPI7" s="1185"/>
      <c r="LPJ7" s="1185"/>
      <c r="LPK7" s="1185"/>
      <c r="LPL7" s="1185"/>
      <c r="LPM7" s="1185"/>
      <c r="LPN7" s="1185"/>
      <c r="LPO7" s="1185"/>
      <c r="LPP7" s="1185"/>
      <c r="LPQ7" s="1185"/>
      <c r="LPR7" s="1185"/>
      <c r="LPS7" s="1185"/>
      <c r="LPT7" s="1185"/>
      <c r="LPU7" s="1185"/>
      <c r="LPV7" s="1185"/>
      <c r="LPW7" s="1185"/>
      <c r="LPX7" s="1185"/>
      <c r="LPY7" s="1185"/>
      <c r="LPZ7" s="1185"/>
      <c r="LQA7" s="1185"/>
      <c r="LQB7" s="1185"/>
      <c r="LQC7" s="1185"/>
      <c r="LQD7" s="1185"/>
      <c r="LQE7" s="1185"/>
      <c r="LQF7" s="1185"/>
      <c r="LQG7" s="1185"/>
      <c r="LQH7" s="1185"/>
      <c r="LQI7" s="1185"/>
      <c r="LQJ7" s="1185"/>
      <c r="LQK7" s="1185"/>
      <c r="LQL7" s="1185"/>
      <c r="LQM7" s="1185"/>
      <c r="LQN7" s="1185"/>
      <c r="LQO7" s="1185"/>
      <c r="LQP7" s="1185"/>
      <c r="LQQ7" s="1185"/>
      <c r="LQR7" s="1185"/>
      <c r="LQS7" s="1185"/>
      <c r="LQT7" s="1185"/>
      <c r="LQU7" s="1185"/>
      <c r="LQV7" s="1185"/>
      <c r="LQW7" s="1185"/>
      <c r="LQX7" s="1185"/>
      <c r="LQY7" s="1185"/>
      <c r="LQZ7" s="1185"/>
      <c r="LRA7" s="1185"/>
      <c r="LRB7" s="1185"/>
      <c r="LRC7" s="1185"/>
      <c r="LRD7" s="1185"/>
      <c r="LRE7" s="1185"/>
      <c r="LRF7" s="1185"/>
      <c r="LRG7" s="1185"/>
      <c r="LRH7" s="1185"/>
      <c r="LRI7" s="1185"/>
      <c r="LRJ7" s="1185"/>
      <c r="LRK7" s="1185"/>
      <c r="LRL7" s="1185"/>
      <c r="LRM7" s="1185"/>
      <c r="LRN7" s="1185"/>
      <c r="LRO7" s="1185"/>
      <c r="LRP7" s="1185"/>
      <c r="LRQ7" s="1185"/>
      <c r="LRR7" s="1185"/>
      <c r="LRS7" s="1185"/>
      <c r="LRT7" s="1185"/>
      <c r="LRU7" s="1185"/>
      <c r="LRV7" s="1185"/>
      <c r="LRW7" s="1185"/>
      <c r="LRX7" s="1185"/>
      <c r="LRY7" s="1185"/>
      <c r="LRZ7" s="1185"/>
      <c r="LSA7" s="1185"/>
      <c r="LSB7" s="1185"/>
      <c r="LSC7" s="1185"/>
      <c r="LSD7" s="1185"/>
      <c r="LSE7" s="1185"/>
      <c r="LSF7" s="1185"/>
      <c r="LSG7" s="1185"/>
      <c r="LSH7" s="1185"/>
      <c r="LSI7" s="1185"/>
      <c r="LSJ7" s="1185"/>
      <c r="LSK7" s="1185"/>
      <c r="LSL7" s="1185"/>
      <c r="LSM7" s="1185"/>
      <c r="LSN7" s="1185"/>
      <c r="LSO7" s="1185"/>
      <c r="LSP7" s="1185"/>
      <c r="LSQ7" s="1185"/>
      <c r="LSR7" s="1185"/>
      <c r="LSS7" s="1185"/>
      <c r="LST7" s="1185"/>
      <c r="LSU7" s="1185"/>
      <c r="LSV7" s="1185"/>
      <c r="LSW7" s="1185"/>
      <c r="LSX7" s="1185"/>
      <c r="LSY7" s="1185"/>
      <c r="LSZ7" s="1185"/>
      <c r="LTA7" s="1185"/>
      <c r="LTB7" s="1185"/>
      <c r="LTC7" s="1185"/>
      <c r="LTD7" s="1185"/>
      <c r="LTE7" s="1185"/>
      <c r="LTF7" s="1185"/>
      <c r="LTG7" s="1185"/>
      <c r="LTH7" s="1185"/>
      <c r="LTI7" s="1185"/>
      <c r="LTJ7" s="1185"/>
      <c r="LTK7" s="1185"/>
      <c r="LTL7" s="1185"/>
      <c r="LTM7" s="1185"/>
      <c r="LTN7" s="1185"/>
      <c r="LTO7" s="1185"/>
      <c r="LTP7" s="1185"/>
      <c r="LTQ7" s="1185"/>
      <c r="LTR7" s="1185"/>
      <c r="LTS7" s="1185"/>
      <c r="LTT7" s="1185"/>
      <c r="LTU7" s="1185"/>
      <c r="LTV7" s="1185"/>
      <c r="LTW7" s="1185"/>
      <c r="LTX7" s="1185"/>
      <c r="LTY7" s="1185"/>
      <c r="LTZ7" s="1185"/>
      <c r="LUA7" s="1185"/>
      <c r="LUB7" s="1185"/>
      <c r="LUC7" s="1185"/>
      <c r="LUD7" s="1185"/>
      <c r="LUE7" s="1185"/>
      <c r="LUF7" s="1185"/>
      <c r="LUG7" s="1185"/>
      <c r="LUH7" s="1185"/>
      <c r="LUI7" s="1185"/>
      <c r="LUJ7" s="1185"/>
      <c r="LUK7" s="1185"/>
      <c r="LUL7" s="1185"/>
      <c r="LUM7" s="1185"/>
      <c r="LUN7" s="1185"/>
      <c r="LUO7" s="1185"/>
      <c r="LUP7" s="1185"/>
      <c r="LUQ7" s="1185"/>
      <c r="LUR7" s="1185"/>
      <c r="LUS7" s="1185"/>
      <c r="LUT7" s="1185"/>
      <c r="LUU7" s="1185"/>
      <c r="LUV7" s="1185"/>
      <c r="LUW7" s="1185"/>
      <c r="LUX7" s="1185"/>
      <c r="LUY7" s="1185"/>
      <c r="LUZ7" s="1185"/>
      <c r="LVA7" s="1185"/>
      <c r="LVB7" s="1185"/>
      <c r="LVC7" s="1185"/>
      <c r="LVD7" s="1185"/>
      <c r="LVE7" s="1185"/>
      <c r="LVF7" s="1185"/>
      <c r="LVG7" s="1185"/>
      <c r="LVH7" s="1185"/>
      <c r="LVI7" s="1185"/>
      <c r="LVJ7" s="1185"/>
      <c r="LVK7" s="1185"/>
      <c r="LVL7" s="1185"/>
      <c r="LVM7" s="1185"/>
      <c r="LVN7" s="1185"/>
      <c r="LVO7" s="1185"/>
      <c r="LVP7" s="1185"/>
      <c r="LVQ7" s="1185"/>
      <c r="LVR7" s="1185"/>
      <c r="LVS7" s="1185"/>
      <c r="LVT7" s="1185"/>
      <c r="LVU7" s="1185"/>
      <c r="LVV7" s="1185"/>
      <c r="LVW7" s="1185"/>
      <c r="LVX7" s="1185"/>
      <c r="LVY7" s="1185"/>
      <c r="LVZ7" s="1185"/>
      <c r="LWA7" s="1185"/>
      <c r="LWB7" s="1185"/>
      <c r="LWC7" s="1185"/>
      <c r="LWD7" s="1185"/>
      <c r="LWE7" s="1185"/>
      <c r="LWF7" s="1185"/>
      <c r="LWG7" s="1185"/>
      <c r="LWH7" s="1185"/>
      <c r="LWI7" s="1185"/>
      <c r="LWJ7" s="1185"/>
      <c r="LWK7" s="1185"/>
      <c r="LWL7" s="1185"/>
      <c r="LWM7" s="1185"/>
      <c r="LWN7" s="1185"/>
      <c r="LWO7" s="1185"/>
      <c r="LWP7" s="1185"/>
      <c r="LWQ7" s="1185"/>
      <c r="LWR7" s="1185"/>
      <c r="LWS7" s="1185"/>
      <c r="LWT7" s="1185"/>
      <c r="LWU7" s="1185"/>
      <c r="LWV7" s="1185"/>
      <c r="LWW7" s="1185"/>
      <c r="LWX7" s="1185"/>
      <c r="LWY7" s="1185"/>
      <c r="LWZ7" s="1185"/>
      <c r="LXA7" s="1185"/>
      <c r="LXB7" s="1185"/>
      <c r="LXC7" s="1185"/>
      <c r="LXD7" s="1185"/>
      <c r="LXE7" s="1185"/>
      <c r="LXF7" s="1185"/>
      <c r="LXG7" s="1185"/>
      <c r="LXH7" s="1185"/>
      <c r="LXI7" s="1185"/>
      <c r="LXJ7" s="1185"/>
      <c r="LXK7" s="1185"/>
      <c r="LXL7" s="1185"/>
      <c r="LXM7" s="1185"/>
      <c r="LXN7" s="1185"/>
      <c r="LXO7" s="1185"/>
      <c r="LXP7" s="1185"/>
      <c r="LXQ7" s="1185"/>
      <c r="LXR7" s="1185"/>
      <c r="LXS7" s="1185"/>
      <c r="LXT7" s="1185"/>
      <c r="LXU7" s="1185"/>
      <c r="LXV7" s="1185"/>
      <c r="LXW7" s="1185"/>
      <c r="LXX7" s="1185"/>
      <c r="LXY7" s="1185"/>
      <c r="LXZ7" s="1185"/>
      <c r="LYA7" s="1185"/>
      <c r="LYB7" s="1185"/>
      <c r="LYC7" s="1185"/>
      <c r="LYD7" s="1185"/>
      <c r="LYE7" s="1185"/>
      <c r="LYF7" s="1185"/>
      <c r="LYG7" s="1185"/>
      <c r="LYH7" s="1185"/>
      <c r="LYI7" s="1185"/>
      <c r="LYJ7" s="1185"/>
      <c r="LYK7" s="1185"/>
      <c r="LYL7" s="1185"/>
      <c r="LYM7" s="1185"/>
      <c r="LYN7" s="1185"/>
      <c r="LYO7" s="1185"/>
      <c r="LYP7" s="1185"/>
      <c r="LYQ7" s="1185"/>
      <c r="LYR7" s="1185"/>
      <c r="LYS7" s="1185"/>
      <c r="LYT7" s="1185"/>
      <c r="LYU7" s="1185"/>
      <c r="LYV7" s="1185"/>
      <c r="LYW7" s="1185"/>
      <c r="LYX7" s="1185"/>
      <c r="LYY7" s="1185"/>
      <c r="LYZ7" s="1185"/>
      <c r="LZA7" s="1185"/>
      <c r="LZB7" s="1185"/>
      <c r="LZC7" s="1185"/>
      <c r="LZD7" s="1185"/>
      <c r="LZE7" s="1185"/>
      <c r="LZF7" s="1185"/>
      <c r="LZG7" s="1185"/>
      <c r="LZH7" s="1185"/>
      <c r="LZI7" s="1185"/>
      <c r="LZJ7" s="1185"/>
      <c r="LZK7" s="1185"/>
      <c r="LZL7" s="1185"/>
      <c r="LZM7" s="1185"/>
      <c r="LZN7" s="1185"/>
      <c r="LZO7" s="1185"/>
      <c r="LZP7" s="1185"/>
      <c r="LZQ7" s="1185"/>
      <c r="LZR7" s="1185"/>
      <c r="LZS7" s="1185"/>
      <c r="LZT7" s="1185"/>
      <c r="LZU7" s="1185"/>
      <c r="LZV7" s="1185"/>
      <c r="LZW7" s="1185"/>
      <c r="LZX7" s="1185"/>
      <c r="LZY7" s="1185"/>
      <c r="LZZ7" s="1185"/>
      <c r="MAA7" s="1185"/>
      <c r="MAB7" s="1185"/>
      <c r="MAC7" s="1185"/>
      <c r="MAD7" s="1185"/>
      <c r="MAE7" s="1185"/>
      <c r="MAF7" s="1185"/>
      <c r="MAG7" s="1185"/>
      <c r="MAH7" s="1185"/>
      <c r="MAI7" s="1185"/>
      <c r="MAJ7" s="1185"/>
      <c r="MAK7" s="1185"/>
      <c r="MAL7" s="1185"/>
      <c r="MAM7" s="1185"/>
      <c r="MAN7" s="1185"/>
      <c r="MAO7" s="1185"/>
      <c r="MAP7" s="1185"/>
      <c r="MAQ7" s="1185"/>
      <c r="MAR7" s="1185"/>
      <c r="MAS7" s="1185"/>
      <c r="MAT7" s="1185"/>
      <c r="MAU7" s="1185"/>
      <c r="MAV7" s="1185"/>
      <c r="MAW7" s="1185"/>
      <c r="MAX7" s="1185"/>
      <c r="MAY7" s="1185"/>
      <c r="MAZ7" s="1185"/>
      <c r="MBA7" s="1185"/>
      <c r="MBB7" s="1185"/>
      <c r="MBC7" s="1185"/>
      <c r="MBD7" s="1185"/>
      <c r="MBE7" s="1185"/>
      <c r="MBF7" s="1185"/>
      <c r="MBG7" s="1185"/>
      <c r="MBH7" s="1185"/>
      <c r="MBI7" s="1185"/>
      <c r="MBJ7" s="1185"/>
      <c r="MBK7" s="1185"/>
      <c r="MBL7" s="1185"/>
      <c r="MBM7" s="1185"/>
      <c r="MBN7" s="1185"/>
      <c r="MBO7" s="1185"/>
      <c r="MBP7" s="1185"/>
      <c r="MBQ7" s="1185"/>
      <c r="MBR7" s="1185"/>
      <c r="MBS7" s="1185"/>
      <c r="MBT7" s="1185"/>
      <c r="MBU7" s="1185"/>
      <c r="MBV7" s="1185"/>
      <c r="MBW7" s="1185"/>
      <c r="MBX7" s="1185"/>
      <c r="MBY7" s="1185"/>
      <c r="MBZ7" s="1185"/>
      <c r="MCA7" s="1185"/>
      <c r="MCB7" s="1185"/>
      <c r="MCC7" s="1185"/>
      <c r="MCD7" s="1185"/>
      <c r="MCE7" s="1185"/>
      <c r="MCF7" s="1185"/>
      <c r="MCG7" s="1185"/>
      <c r="MCH7" s="1185"/>
      <c r="MCI7" s="1185"/>
      <c r="MCJ7" s="1185"/>
      <c r="MCK7" s="1185"/>
      <c r="MCL7" s="1185"/>
      <c r="MCM7" s="1185"/>
      <c r="MCN7" s="1185"/>
      <c r="MCO7" s="1185"/>
      <c r="MCP7" s="1185"/>
      <c r="MCQ7" s="1185"/>
      <c r="MCR7" s="1185"/>
      <c r="MCS7" s="1185"/>
      <c r="MCT7" s="1185"/>
      <c r="MCU7" s="1185"/>
      <c r="MCV7" s="1185"/>
      <c r="MCW7" s="1185"/>
      <c r="MCX7" s="1185"/>
      <c r="MCY7" s="1185"/>
      <c r="MCZ7" s="1185"/>
      <c r="MDA7" s="1185"/>
      <c r="MDB7" s="1185"/>
      <c r="MDC7" s="1185"/>
      <c r="MDD7" s="1185"/>
      <c r="MDE7" s="1185"/>
      <c r="MDF7" s="1185"/>
      <c r="MDG7" s="1185"/>
      <c r="MDH7" s="1185"/>
      <c r="MDI7" s="1185"/>
      <c r="MDJ7" s="1185"/>
      <c r="MDK7" s="1185"/>
      <c r="MDL7" s="1185"/>
      <c r="MDM7" s="1185"/>
      <c r="MDN7" s="1185"/>
      <c r="MDO7" s="1185"/>
      <c r="MDP7" s="1185"/>
      <c r="MDQ7" s="1185"/>
      <c r="MDR7" s="1185"/>
      <c r="MDS7" s="1185"/>
      <c r="MDT7" s="1185"/>
      <c r="MDU7" s="1185"/>
      <c r="MDV7" s="1185"/>
      <c r="MDW7" s="1185"/>
      <c r="MDX7" s="1185"/>
      <c r="MDY7" s="1185"/>
      <c r="MDZ7" s="1185"/>
      <c r="MEA7" s="1185"/>
      <c r="MEB7" s="1185"/>
      <c r="MEC7" s="1185"/>
      <c r="MED7" s="1185"/>
      <c r="MEE7" s="1185"/>
      <c r="MEF7" s="1185"/>
      <c r="MEG7" s="1185"/>
      <c r="MEH7" s="1185"/>
      <c r="MEI7" s="1185"/>
      <c r="MEJ7" s="1185"/>
      <c r="MEK7" s="1185"/>
      <c r="MEL7" s="1185"/>
      <c r="MEM7" s="1185"/>
      <c r="MEN7" s="1185"/>
      <c r="MEO7" s="1185"/>
      <c r="MEP7" s="1185"/>
      <c r="MEQ7" s="1185"/>
      <c r="MER7" s="1185"/>
      <c r="MES7" s="1185"/>
      <c r="MET7" s="1185"/>
      <c r="MEU7" s="1185"/>
      <c r="MEV7" s="1185"/>
      <c r="MEW7" s="1185"/>
      <c r="MEX7" s="1185"/>
      <c r="MEY7" s="1185"/>
      <c r="MEZ7" s="1185"/>
      <c r="MFA7" s="1185"/>
      <c r="MFB7" s="1185"/>
      <c r="MFC7" s="1185"/>
      <c r="MFD7" s="1185"/>
      <c r="MFE7" s="1185"/>
      <c r="MFF7" s="1185"/>
      <c r="MFG7" s="1185"/>
      <c r="MFH7" s="1185"/>
      <c r="MFI7" s="1185"/>
      <c r="MFJ7" s="1185"/>
      <c r="MFK7" s="1185"/>
      <c r="MFL7" s="1185"/>
      <c r="MFM7" s="1185"/>
      <c r="MFN7" s="1185"/>
      <c r="MFO7" s="1185"/>
      <c r="MFP7" s="1185"/>
      <c r="MFQ7" s="1185"/>
      <c r="MFR7" s="1185"/>
      <c r="MFS7" s="1185"/>
      <c r="MFT7" s="1185"/>
      <c r="MFU7" s="1185"/>
      <c r="MFV7" s="1185"/>
      <c r="MFW7" s="1185"/>
      <c r="MFX7" s="1185"/>
      <c r="MFY7" s="1185"/>
      <c r="MFZ7" s="1185"/>
      <c r="MGA7" s="1185"/>
      <c r="MGB7" s="1185"/>
      <c r="MGC7" s="1185"/>
      <c r="MGD7" s="1185"/>
      <c r="MGE7" s="1185"/>
      <c r="MGF7" s="1185"/>
      <c r="MGG7" s="1185"/>
      <c r="MGH7" s="1185"/>
      <c r="MGI7" s="1185"/>
      <c r="MGJ7" s="1185"/>
      <c r="MGK7" s="1185"/>
      <c r="MGL7" s="1185"/>
      <c r="MGM7" s="1185"/>
      <c r="MGN7" s="1185"/>
      <c r="MGO7" s="1185"/>
      <c r="MGP7" s="1185"/>
      <c r="MGQ7" s="1185"/>
      <c r="MGR7" s="1185"/>
      <c r="MGS7" s="1185"/>
      <c r="MGT7" s="1185"/>
      <c r="MGU7" s="1185"/>
      <c r="MGV7" s="1185"/>
      <c r="MGW7" s="1185"/>
      <c r="MGX7" s="1185"/>
      <c r="MGY7" s="1185"/>
      <c r="MGZ7" s="1185"/>
      <c r="MHA7" s="1185"/>
      <c r="MHB7" s="1185"/>
      <c r="MHC7" s="1185"/>
      <c r="MHD7" s="1185"/>
      <c r="MHE7" s="1185"/>
      <c r="MHF7" s="1185"/>
      <c r="MHG7" s="1185"/>
      <c r="MHH7" s="1185"/>
      <c r="MHI7" s="1185"/>
      <c r="MHJ7" s="1185"/>
      <c r="MHK7" s="1185"/>
      <c r="MHL7" s="1185"/>
      <c r="MHM7" s="1185"/>
      <c r="MHN7" s="1185"/>
      <c r="MHO7" s="1185"/>
      <c r="MHP7" s="1185"/>
      <c r="MHQ7" s="1185"/>
      <c r="MHR7" s="1185"/>
      <c r="MHS7" s="1185"/>
      <c r="MHT7" s="1185"/>
      <c r="MHU7" s="1185"/>
      <c r="MHV7" s="1185"/>
      <c r="MHW7" s="1185"/>
      <c r="MHX7" s="1185"/>
      <c r="MHY7" s="1185"/>
      <c r="MHZ7" s="1185"/>
      <c r="MIA7" s="1185"/>
      <c r="MIB7" s="1185"/>
      <c r="MIC7" s="1185"/>
      <c r="MID7" s="1185"/>
      <c r="MIE7" s="1185"/>
      <c r="MIF7" s="1185"/>
      <c r="MIG7" s="1185"/>
      <c r="MIH7" s="1185"/>
      <c r="MII7" s="1185"/>
      <c r="MIJ7" s="1185"/>
      <c r="MIK7" s="1185"/>
      <c r="MIL7" s="1185"/>
      <c r="MIM7" s="1185"/>
      <c r="MIN7" s="1185"/>
      <c r="MIO7" s="1185"/>
      <c r="MIP7" s="1185"/>
      <c r="MIQ7" s="1185"/>
      <c r="MIR7" s="1185"/>
      <c r="MIS7" s="1185"/>
      <c r="MIT7" s="1185"/>
      <c r="MIU7" s="1185"/>
      <c r="MIV7" s="1185"/>
      <c r="MIW7" s="1185"/>
      <c r="MIX7" s="1185"/>
      <c r="MIY7" s="1185"/>
      <c r="MIZ7" s="1185"/>
      <c r="MJA7" s="1185"/>
      <c r="MJB7" s="1185"/>
      <c r="MJC7" s="1185"/>
      <c r="MJD7" s="1185"/>
      <c r="MJE7" s="1185"/>
      <c r="MJF7" s="1185"/>
      <c r="MJG7" s="1185"/>
      <c r="MJH7" s="1185"/>
      <c r="MJI7" s="1185"/>
      <c r="MJJ7" s="1185"/>
      <c r="MJK7" s="1185"/>
      <c r="MJL7" s="1185"/>
      <c r="MJM7" s="1185"/>
      <c r="MJN7" s="1185"/>
      <c r="MJO7" s="1185"/>
      <c r="MJP7" s="1185"/>
      <c r="MJQ7" s="1185"/>
      <c r="MJR7" s="1185"/>
      <c r="MJS7" s="1185"/>
      <c r="MJT7" s="1185"/>
      <c r="MJU7" s="1185"/>
      <c r="MJV7" s="1185"/>
      <c r="MJW7" s="1185"/>
      <c r="MJX7" s="1185"/>
      <c r="MJY7" s="1185"/>
      <c r="MJZ7" s="1185"/>
      <c r="MKA7" s="1185"/>
      <c r="MKB7" s="1185"/>
      <c r="MKC7" s="1185"/>
      <c r="MKD7" s="1185"/>
      <c r="MKE7" s="1185"/>
      <c r="MKF7" s="1185"/>
      <c r="MKG7" s="1185"/>
      <c r="MKH7" s="1185"/>
      <c r="MKI7" s="1185"/>
      <c r="MKJ7" s="1185"/>
      <c r="MKK7" s="1185"/>
      <c r="MKL7" s="1185"/>
      <c r="MKM7" s="1185"/>
      <c r="MKN7" s="1185"/>
      <c r="MKO7" s="1185"/>
      <c r="MKP7" s="1185"/>
      <c r="MKQ7" s="1185"/>
      <c r="MKR7" s="1185"/>
      <c r="MKS7" s="1185"/>
      <c r="MKT7" s="1185"/>
      <c r="MKU7" s="1185"/>
      <c r="MKV7" s="1185"/>
      <c r="MKW7" s="1185"/>
      <c r="MKX7" s="1185"/>
      <c r="MKY7" s="1185"/>
      <c r="MKZ7" s="1185"/>
      <c r="MLA7" s="1185"/>
      <c r="MLB7" s="1185"/>
      <c r="MLC7" s="1185"/>
      <c r="MLD7" s="1185"/>
      <c r="MLE7" s="1185"/>
      <c r="MLF7" s="1185"/>
      <c r="MLG7" s="1185"/>
      <c r="MLH7" s="1185"/>
      <c r="MLI7" s="1185"/>
      <c r="MLJ7" s="1185"/>
      <c r="MLK7" s="1185"/>
      <c r="MLL7" s="1185"/>
      <c r="MLM7" s="1185"/>
      <c r="MLN7" s="1185"/>
      <c r="MLO7" s="1185"/>
      <c r="MLP7" s="1185"/>
      <c r="MLQ7" s="1185"/>
      <c r="MLR7" s="1185"/>
      <c r="MLS7" s="1185"/>
      <c r="MLT7" s="1185"/>
      <c r="MLU7" s="1185"/>
      <c r="MLV7" s="1185"/>
      <c r="MLW7" s="1185"/>
      <c r="MLX7" s="1185"/>
      <c r="MLY7" s="1185"/>
      <c r="MLZ7" s="1185"/>
      <c r="MMA7" s="1185"/>
      <c r="MMB7" s="1185"/>
      <c r="MMC7" s="1185"/>
      <c r="MMD7" s="1185"/>
      <c r="MME7" s="1185"/>
      <c r="MMF7" s="1185"/>
      <c r="MMG7" s="1185"/>
      <c r="MMH7" s="1185"/>
      <c r="MMI7" s="1185"/>
      <c r="MMJ7" s="1185"/>
      <c r="MMK7" s="1185"/>
      <c r="MML7" s="1185"/>
      <c r="MMM7" s="1185"/>
      <c r="MMN7" s="1185"/>
      <c r="MMO7" s="1185"/>
      <c r="MMP7" s="1185"/>
      <c r="MMQ7" s="1185"/>
      <c r="MMR7" s="1185"/>
      <c r="MMS7" s="1185"/>
      <c r="MMT7" s="1185"/>
      <c r="MMU7" s="1185"/>
      <c r="MMV7" s="1185"/>
      <c r="MMW7" s="1185"/>
      <c r="MMX7" s="1185"/>
      <c r="MMY7" s="1185"/>
      <c r="MMZ7" s="1185"/>
      <c r="MNA7" s="1185"/>
      <c r="MNB7" s="1185"/>
      <c r="MNC7" s="1185"/>
      <c r="MND7" s="1185"/>
      <c r="MNE7" s="1185"/>
      <c r="MNF7" s="1185"/>
      <c r="MNG7" s="1185"/>
      <c r="MNH7" s="1185"/>
      <c r="MNI7" s="1185"/>
      <c r="MNJ7" s="1185"/>
      <c r="MNK7" s="1185"/>
      <c r="MNL7" s="1185"/>
      <c r="MNM7" s="1185"/>
      <c r="MNN7" s="1185"/>
      <c r="MNO7" s="1185"/>
      <c r="MNP7" s="1185"/>
      <c r="MNQ7" s="1185"/>
      <c r="MNR7" s="1185"/>
      <c r="MNS7" s="1185"/>
      <c r="MNT7" s="1185"/>
      <c r="MNU7" s="1185"/>
      <c r="MNV7" s="1185"/>
      <c r="MNW7" s="1185"/>
      <c r="MNX7" s="1185"/>
      <c r="MNY7" s="1185"/>
      <c r="MNZ7" s="1185"/>
      <c r="MOA7" s="1185"/>
      <c r="MOB7" s="1185"/>
      <c r="MOC7" s="1185"/>
      <c r="MOD7" s="1185"/>
      <c r="MOE7" s="1185"/>
      <c r="MOF7" s="1185"/>
      <c r="MOG7" s="1185"/>
      <c r="MOH7" s="1185"/>
      <c r="MOI7" s="1185"/>
      <c r="MOJ7" s="1185"/>
      <c r="MOK7" s="1185"/>
      <c r="MOL7" s="1185"/>
      <c r="MOM7" s="1185"/>
      <c r="MON7" s="1185"/>
      <c r="MOO7" s="1185"/>
      <c r="MOP7" s="1185"/>
      <c r="MOQ7" s="1185"/>
      <c r="MOR7" s="1185"/>
      <c r="MOS7" s="1185"/>
      <c r="MOT7" s="1185"/>
      <c r="MOU7" s="1185"/>
      <c r="MOV7" s="1185"/>
      <c r="MOW7" s="1185"/>
      <c r="MOX7" s="1185"/>
      <c r="MOY7" s="1185"/>
      <c r="MOZ7" s="1185"/>
      <c r="MPA7" s="1185"/>
      <c r="MPB7" s="1185"/>
      <c r="MPC7" s="1185"/>
      <c r="MPD7" s="1185"/>
      <c r="MPE7" s="1185"/>
      <c r="MPF7" s="1185"/>
      <c r="MPG7" s="1185"/>
      <c r="MPH7" s="1185"/>
      <c r="MPI7" s="1185"/>
      <c r="MPJ7" s="1185"/>
      <c r="MPK7" s="1185"/>
      <c r="MPL7" s="1185"/>
      <c r="MPM7" s="1185"/>
      <c r="MPN7" s="1185"/>
      <c r="MPO7" s="1185"/>
      <c r="MPP7" s="1185"/>
      <c r="MPQ7" s="1185"/>
      <c r="MPR7" s="1185"/>
      <c r="MPS7" s="1185"/>
      <c r="MPT7" s="1185"/>
      <c r="MPU7" s="1185"/>
      <c r="MPV7" s="1185"/>
      <c r="MPW7" s="1185"/>
      <c r="MPX7" s="1185"/>
      <c r="MPY7" s="1185"/>
      <c r="MPZ7" s="1185"/>
      <c r="MQA7" s="1185"/>
      <c r="MQB7" s="1185"/>
      <c r="MQC7" s="1185"/>
      <c r="MQD7" s="1185"/>
      <c r="MQE7" s="1185"/>
      <c r="MQF7" s="1185"/>
      <c r="MQG7" s="1185"/>
      <c r="MQH7" s="1185"/>
      <c r="MQI7" s="1185"/>
      <c r="MQJ7" s="1185"/>
      <c r="MQK7" s="1185"/>
      <c r="MQL7" s="1185"/>
      <c r="MQM7" s="1185"/>
      <c r="MQN7" s="1185"/>
      <c r="MQO7" s="1185"/>
      <c r="MQP7" s="1185"/>
      <c r="MQQ7" s="1185"/>
      <c r="MQR7" s="1185"/>
      <c r="MQS7" s="1185"/>
      <c r="MQT7" s="1185"/>
      <c r="MQU7" s="1185"/>
      <c r="MQV7" s="1185"/>
      <c r="MQW7" s="1185"/>
      <c r="MQX7" s="1185"/>
      <c r="MQY7" s="1185"/>
      <c r="MQZ7" s="1185"/>
      <c r="MRA7" s="1185"/>
      <c r="MRB7" s="1185"/>
      <c r="MRC7" s="1185"/>
      <c r="MRD7" s="1185"/>
      <c r="MRE7" s="1185"/>
      <c r="MRF7" s="1185"/>
      <c r="MRG7" s="1185"/>
      <c r="MRH7" s="1185"/>
      <c r="MRI7" s="1185"/>
      <c r="MRJ7" s="1185"/>
      <c r="MRK7" s="1185"/>
      <c r="MRL7" s="1185"/>
      <c r="MRM7" s="1185"/>
      <c r="MRN7" s="1185"/>
      <c r="MRO7" s="1185"/>
      <c r="MRP7" s="1185"/>
      <c r="MRQ7" s="1185"/>
      <c r="MRR7" s="1185"/>
      <c r="MRS7" s="1185"/>
      <c r="MRT7" s="1185"/>
      <c r="MRU7" s="1185"/>
      <c r="MRV7" s="1185"/>
      <c r="MRW7" s="1185"/>
      <c r="MRX7" s="1185"/>
      <c r="MRY7" s="1185"/>
      <c r="MRZ7" s="1185"/>
      <c r="MSA7" s="1185"/>
      <c r="MSB7" s="1185"/>
      <c r="MSC7" s="1185"/>
      <c r="MSD7" s="1185"/>
      <c r="MSE7" s="1185"/>
      <c r="MSF7" s="1185"/>
      <c r="MSG7" s="1185"/>
      <c r="MSH7" s="1185"/>
      <c r="MSI7" s="1185"/>
      <c r="MSJ7" s="1185"/>
      <c r="MSK7" s="1185"/>
      <c r="MSL7" s="1185"/>
      <c r="MSM7" s="1185"/>
      <c r="MSN7" s="1185"/>
      <c r="MSO7" s="1185"/>
      <c r="MSP7" s="1185"/>
      <c r="MSQ7" s="1185"/>
      <c r="MSR7" s="1185"/>
      <c r="MSS7" s="1185"/>
      <c r="MST7" s="1185"/>
      <c r="MSU7" s="1185"/>
      <c r="MSV7" s="1185"/>
      <c r="MSW7" s="1185"/>
      <c r="MSX7" s="1185"/>
      <c r="MSY7" s="1185"/>
      <c r="MSZ7" s="1185"/>
      <c r="MTA7" s="1185"/>
      <c r="MTB7" s="1185"/>
      <c r="MTC7" s="1185"/>
      <c r="MTD7" s="1185"/>
      <c r="MTE7" s="1185"/>
      <c r="MTF7" s="1185"/>
      <c r="MTG7" s="1185"/>
      <c r="MTH7" s="1185"/>
      <c r="MTI7" s="1185"/>
      <c r="MTJ7" s="1185"/>
      <c r="MTK7" s="1185"/>
      <c r="MTL7" s="1185"/>
      <c r="MTM7" s="1185"/>
      <c r="MTN7" s="1185"/>
      <c r="MTO7" s="1185"/>
      <c r="MTP7" s="1185"/>
      <c r="MTQ7" s="1185"/>
      <c r="MTR7" s="1185"/>
      <c r="MTS7" s="1185"/>
      <c r="MTT7" s="1185"/>
      <c r="MTU7" s="1185"/>
      <c r="MTV7" s="1185"/>
      <c r="MTW7" s="1185"/>
      <c r="MTX7" s="1185"/>
      <c r="MTY7" s="1185"/>
      <c r="MTZ7" s="1185"/>
      <c r="MUA7" s="1185"/>
      <c r="MUB7" s="1185"/>
      <c r="MUC7" s="1185"/>
      <c r="MUD7" s="1185"/>
      <c r="MUE7" s="1185"/>
      <c r="MUF7" s="1185"/>
      <c r="MUG7" s="1185"/>
      <c r="MUH7" s="1185"/>
      <c r="MUI7" s="1185"/>
      <c r="MUJ7" s="1185"/>
      <c r="MUK7" s="1185"/>
      <c r="MUL7" s="1185"/>
      <c r="MUM7" s="1185"/>
      <c r="MUN7" s="1185"/>
      <c r="MUO7" s="1185"/>
      <c r="MUP7" s="1185"/>
      <c r="MUQ7" s="1185"/>
      <c r="MUR7" s="1185"/>
      <c r="MUS7" s="1185"/>
      <c r="MUT7" s="1185"/>
      <c r="MUU7" s="1185"/>
      <c r="MUV7" s="1185"/>
      <c r="MUW7" s="1185"/>
      <c r="MUX7" s="1185"/>
      <c r="MUY7" s="1185"/>
      <c r="MUZ7" s="1185"/>
      <c r="MVA7" s="1185"/>
      <c r="MVB7" s="1185"/>
      <c r="MVC7" s="1185"/>
      <c r="MVD7" s="1185"/>
      <c r="MVE7" s="1185"/>
      <c r="MVF7" s="1185"/>
      <c r="MVG7" s="1185"/>
      <c r="MVH7" s="1185"/>
      <c r="MVI7" s="1185"/>
      <c r="MVJ7" s="1185"/>
      <c r="MVK7" s="1185"/>
      <c r="MVL7" s="1185"/>
      <c r="MVM7" s="1185"/>
      <c r="MVN7" s="1185"/>
      <c r="MVO7" s="1185"/>
      <c r="MVP7" s="1185"/>
      <c r="MVQ7" s="1185"/>
      <c r="MVR7" s="1185"/>
      <c r="MVS7" s="1185"/>
      <c r="MVT7" s="1185"/>
      <c r="MVU7" s="1185"/>
      <c r="MVV7" s="1185"/>
      <c r="MVW7" s="1185"/>
      <c r="MVX7" s="1185"/>
      <c r="MVY7" s="1185"/>
      <c r="MVZ7" s="1185"/>
      <c r="MWA7" s="1185"/>
      <c r="MWB7" s="1185"/>
      <c r="MWC7" s="1185"/>
      <c r="MWD7" s="1185"/>
      <c r="MWE7" s="1185"/>
      <c r="MWF7" s="1185"/>
      <c r="MWG7" s="1185"/>
      <c r="MWH7" s="1185"/>
      <c r="MWI7" s="1185"/>
      <c r="MWJ7" s="1185"/>
      <c r="MWK7" s="1185"/>
      <c r="MWL7" s="1185"/>
      <c r="MWM7" s="1185"/>
      <c r="MWN7" s="1185"/>
      <c r="MWO7" s="1185"/>
      <c r="MWP7" s="1185"/>
      <c r="MWQ7" s="1185"/>
      <c r="MWR7" s="1185"/>
      <c r="MWS7" s="1185"/>
      <c r="MWT7" s="1185"/>
      <c r="MWU7" s="1185"/>
      <c r="MWV7" s="1185"/>
      <c r="MWW7" s="1185"/>
      <c r="MWX7" s="1185"/>
      <c r="MWY7" s="1185"/>
      <c r="MWZ7" s="1185"/>
      <c r="MXA7" s="1185"/>
      <c r="MXB7" s="1185"/>
      <c r="MXC7" s="1185"/>
      <c r="MXD7" s="1185"/>
      <c r="MXE7" s="1185"/>
      <c r="MXF7" s="1185"/>
      <c r="MXG7" s="1185"/>
      <c r="MXH7" s="1185"/>
      <c r="MXI7" s="1185"/>
      <c r="MXJ7" s="1185"/>
      <c r="MXK7" s="1185"/>
      <c r="MXL7" s="1185"/>
      <c r="MXM7" s="1185"/>
      <c r="MXN7" s="1185"/>
      <c r="MXO7" s="1185"/>
      <c r="MXP7" s="1185"/>
      <c r="MXQ7" s="1185"/>
      <c r="MXR7" s="1185"/>
      <c r="MXS7" s="1185"/>
      <c r="MXT7" s="1185"/>
      <c r="MXU7" s="1185"/>
      <c r="MXV7" s="1185"/>
      <c r="MXW7" s="1185"/>
      <c r="MXX7" s="1185"/>
      <c r="MXY7" s="1185"/>
      <c r="MXZ7" s="1185"/>
      <c r="MYA7" s="1185"/>
      <c r="MYB7" s="1185"/>
      <c r="MYC7" s="1185"/>
      <c r="MYD7" s="1185"/>
      <c r="MYE7" s="1185"/>
      <c r="MYF7" s="1185"/>
      <c r="MYG7" s="1185"/>
      <c r="MYH7" s="1185"/>
      <c r="MYI7" s="1185"/>
      <c r="MYJ7" s="1185"/>
      <c r="MYK7" s="1185"/>
      <c r="MYL7" s="1185"/>
      <c r="MYM7" s="1185"/>
      <c r="MYN7" s="1185"/>
      <c r="MYO7" s="1185"/>
      <c r="MYP7" s="1185"/>
      <c r="MYQ7" s="1185"/>
      <c r="MYR7" s="1185"/>
      <c r="MYS7" s="1185"/>
      <c r="MYT7" s="1185"/>
      <c r="MYU7" s="1185"/>
      <c r="MYV7" s="1185"/>
      <c r="MYW7" s="1185"/>
      <c r="MYX7" s="1185"/>
      <c r="MYY7" s="1185"/>
      <c r="MYZ7" s="1185"/>
      <c r="MZA7" s="1185"/>
      <c r="MZB7" s="1185"/>
      <c r="MZC7" s="1185"/>
      <c r="MZD7" s="1185"/>
      <c r="MZE7" s="1185"/>
      <c r="MZF7" s="1185"/>
      <c r="MZG7" s="1185"/>
      <c r="MZH7" s="1185"/>
      <c r="MZI7" s="1185"/>
      <c r="MZJ7" s="1185"/>
      <c r="MZK7" s="1185"/>
      <c r="MZL7" s="1185"/>
      <c r="MZM7" s="1185"/>
      <c r="MZN7" s="1185"/>
      <c r="MZO7" s="1185"/>
      <c r="MZP7" s="1185"/>
      <c r="MZQ7" s="1185"/>
      <c r="MZR7" s="1185"/>
      <c r="MZS7" s="1185"/>
      <c r="MZT7" s="1185"/>
      <c r="MZU7" s="1185"/>
      <c r="MZV7" s="1185"/>
      <c r="MZW7" s="1185"/>
      <c r="MZX7" s="1185"/>
      <c r="MZY7" s="1185"/>
      <c r="MZZ7" s="1185"/>
      <c r="NAA7" s="1185"/>
      <c r="NAB7" s="1185"/>
      <c r="NAC7" s="1185"/>
      <c r="NAD7" s="1185"/>
      <c r="NAE7" s="1185"/>
      <c r="NAF7" s="1185"/>
      <c r="NAG7" s="1185"/>
      <c r="NAH7" s="1185"/>
      <c r="NAI7" s="1185"/>
      <c r="NAJ7" s="1185"/>
      <c r="NAK7" s="1185"/>
      <c r="NAL7" s="1185"/>
      <c r="NAM7" s="1185"/>
      <c r="NAN7" s="1185"/>
      <c r="NAO7" s="1185"/>
      <c r="NAP7" s="1185"/>
      <c r="NAQ7" s="1185"/>
      <c r="NAR7" s="1185"/>
      <c r="NAS7" s="1185"/>
      <c r="NAT7" s="1185"/>
      <c r="NAU7" s="1185"/>
      <c r="NAV7" s="1185"/>
      <c r="NAW7" s="1185"/>
      <c r="NAX7" s="1185"/>
      <c r="NAY7" s="1185"/>
      <c r="NAZ7" s="1185"/>
      <c r="NBA7" s="1185"/>
      <c r="NBB7" s="1185"/>
      <c r="NBC7" s="1185"/>
      <c r="NBD7" s="1185"/>
      <c r="NBE7" s="1185"/>
      <c r="NBF7" s="1185"/>
      <c r="NBG7" s="1185"/>
      <c r="NBH7" s="1185"/>
      <c r="NBI7" s="1185"/>
      <c r="NBJ7" s="1185"/>
      <c r="NBK7" s="1185"/>
      <c r="NBL7" s="1185"/>
      <c r="NBM7" s="1185"/>
      <c r="NBN7" s="1185"/>
      <c r="NBO7" s="1185"/>
      <c r="NBP7" s="1185"/>
      <c r="NBQ7" s="1185"/>
      <c r="NBR7" s="1185"/>
      <c r="NBS7" s="1185"/>
      <c r="NBT7" s="1185"/>
      <c r="NBU7" s="1185"/>
      <c r="NBV7" s="1185"/>
      <c r="NBW7" s="1185"/>
      <c r="NBX7" s="1185"/>
      <c r="NBY7" s="1185"/>
      <c r="NBZ7" s="1185"/>
      <c r="NCA7" s="1185"/>
      <c r="NCB7" s="1185"/>
      <c r="NCC7" s="1185"/>
      <c r="NCD7" s="1185"/>
      <c r="NCE7" s="1185"/>
      <c r="NCF7" s="1185"/>
      <c r="NCG7" s="1185"/>
      <c r="NCH7" s="1185"/>
      <c r="NCI7" s="1185"/>
      <c r="NCJ7" s="1185"/>
      <c r="NCK7" s="1185"/>
      <c r="NCL7" s="1185"/>
      <c r="NCM7" s="1185"/>
      <c r="NCN7" s="1185"/>
      <c r="NCO7" s="1185"/>
      <c r="NCP7" s="1185"/>
      <c r="NCQ7" s="1185"/>
      <c r="NCR7" s="1185"/>
      <c r="NCS7" s="1185"/>
      <c r="NCT7" s="1185"/>
      <c r="NCU7" s="1185"/>
      <c r="NCV7" s="1185"/>
      <c r="NCW7" s="1185"/>
      <c r="NCX7" s="1185"/>
      <c r="NCY7" s="1185"/>
      <c r="NCZ7" s="1185"/>
      <c r="NDA7" s="1185"/>
      <c r="NDB7" s="1185"/>
      <c r="NDC7" s="1185"/>
      <c r="NDD7" s="1185"/>
      <c r="NDE7" s="1185"/>
      <c r="NDF7" s="1185"/>
      <c r="NDG7" s="1185"/>
      <c r="NDH7" s="1185"/>
      <c r="NDI7" s="1185"/>
      <c r="NDJ7" s="1185"/>
      <c r="NDK7" s="1185"/>
      <c r="NDL7" s="1185"/>
      <c r="NDM7" s="1185"/>
      <c r="NDN7" s="1185"/>
      <c r="NDO7" s="1185"/>
      <c r="NDP7" s="1185"/>
      <c r="NDQ7" s="1185"/>
      <c r="NDR7" s="1185"/>
      <c r="NDS7" s="1185"/>
      <c r="NDT7" s="1185"/>
      <c r="NDU7" s="1185"/>
      <c r="NDV7" s="1185"/>
      <c r="NDW7" s="1185"/>
      <c r="NDX7" s="1185"/>
      <c r="NDY7" s="1185"/>
      <c r="NDZ7" s="1185"/>
      <c r="NEA7" s="1185"/>
      <c r="NEB7" s="1185"/>
      <c r="NEC7" s="1185"/>
      <c r="NED7" s="1185"/>
      <c r="NEE7" s="1185"/>
      <c r="NEF7" s="1185"/>
      <c r="NEG7" s="1185"/>
      <c r="NEH7" s="1185"/>
      <c r="NEI7" s="1185"/>
      <c r="NEJ7" s="1185"/>
      <c r="NEK7" s="1185"/>
      <c r="NEL7" s="1185"/>
      <c r="NEM7" s="1185"/>
      <c r="NEN7" s="1185"/>
      <c r="NEO7" s="1185"/>
      <c r="NEP7" s="1185"/>
      <c r="NEQ7" s="1185"/>
      <c r="NER7" s="1185"/>
      <c r="NES7" s="1185"/>
      <c r="NET7" s="1185"/>
      <c r="NEU7" s="1185"/>
      <c r="NEV7" s="1185"/>
      <c r="NEW7" s="1185"/>
      <c r="NEX7" s="1185"/>
      <c r="NEY7" s="1185"/>
      <c r="NEZ7" s="1185"/>
      <c r="NFA7" s="1185"/>
      <c r="NFB7" s="1185"/>
      <c r="NFC7" s="1185"/>
      <c r="NFD7" s="1185"/>
      <c r="NFE7" s="1185"/>
      <c r="NFF7" s="1185"/>
      <c r="NFG7" s="1185"/>
      <c r="NFH7" s="1185"/>
      <c r="NFI7" s="1185"/>
      <c r="NFJ7" s="1185"/>
      <c r="NFK7" s="1185"/>
      <c r="NFL7" s="1185"/>
      <c r="NFM7" s="1185"/>
      <c r="NFN7" s="1185"/>
      <c r="NFO7" s="1185"/>
      <c r="NFP7" s="1185"/>
      <c r="NFQ7" s="1185"/>
      <c r="NFR7" s="1185"/>
      <c r="NFS7" s="1185"/>
      <c r="NFT7" s="1185"/>
      <c r="NFU7" s="1185"/>
      <c r="NFV7" s="1185"/>
      <c r="NFW7" s="1185"/>
      <c r="NFX7" s="1185"/>
      <c r="NFY7" s="1185"/>
      <c r="NFZ7" s="1185"/>
      <c r="NGA7" s="1185"/>
      <c r="NGB7" s="1185"/>
      <c r="NGC7" s="1185"/>
      <c r="NGD7" s="1185"/>
      <c r="NGE7" s="1185"/>
      <c r="NGF7" s="1185"/>
      <c r="NGG7" s="1185"/>
      <c r="NGH7" s="1185"/>
      <c r="NGI7" s="1185"/>
      <c r="NGJ7" s="1185"/>
      <c r="NGK7" s="1185"/>
      <c r="NGL7" s="1185"/>
      <c r="NGM7" s="1185"/>
      <c r="NGN7" s="1185"/>
      <c r="NGO7" s="1185"/>
      <c r="NGP7" s="1185"/>
      <c r="NGQ7" s="1185"/>
      <c r="NGR7" s="1185"/>
      <c r="NGS7" s="1185"/>
      <c r="NGT7" s="1185"/>
      <c r="NGU7" s="1185"/>
      <c r="NGV7" s="1185"/>
      <c r="NGW7" s="1185"/>
      <c r="NGX7" s="1185"/>
      <c r="NGY7" s="1185"/>
      <c r="NGZ7" s="1185"/>
      <c r="NHA7" s="1185"/>
      <c r="NHB7" s="1185"/>
      <c r="NHC7" s="1185"/>
      <c r="NHD7" s="1185"/>
      <c r="NHE7" s="1185"/>
      <c r="NHF7" s="1185"/>
      <c r="NHG7" s="1185"/>
      <c r="NHH7" s="1185"/>
      <c r="NHI7" s="1185"/>
      <c r="NHJ7" s="1185"/>
      <c r="NHK7" s="1185"/>
      <c r="NHL7" s="1185"/>
      <c r="NHM7" s="1185"/>
      <c r="NHN7" s="1185"/>
      <c r="NHO7" s="1185"/>
      <c r="NHP7" s="1185"/>
      <c r="NHQ7" s="1185"/>
      <c r="NHR7" s="1185"/>
      <c r="NHS7" s="1185"/>
      <c r="NHT7" s="1185"/>
      <c r="NHU7" s="1185"/>
      <c r="NHV7" s="1185"/>
      <c r="NHW7" s="1185"/>
      <c r="NHX7" s="1185"/>
      <c r="NHY7" s="1185"/>
      <c r="NHZ7" s="1185"/>
      <c r="NIA7" s="1185"/>
      <c r="NIB7" s="1185"/>
      <c r="NIC7" s="1185"/>
      <c r="NID7" s="1185"/>
      <c r="NIE7" s="1185"/>
      <c r="NIF7" s="1185"/>
      <c r="NIG7" s="1185"/>
      <c r="NIH7" s="1185"/>
      <c r="NII7" s="1185"/>
      <c r="NIJ7" s="1185"/>
      <c r="NIK7" s="1185"/>
      <c r="NIL7" s="1185"/>
      <c r="NIM7" s="1185"/>
      <c r="NIN7" s="1185"/>
      <c r="NIO7" s="1185"/>
      <c r="NIP7" s="1185"/>
      <c r="NIQ7" s="1185"/>
      <c r="NIR7" s="1185"/>
      <c r="NIS7" s="1185"/>
      <c r="NIT7" s="1185"/>
      <c r="NIU7" s="1185"/>
      <c r="NIV7" s="1185"/>
      <c r="NIW7" s="1185"/>
      <c r="NIX7" s="1185"/>
      <c r="NIY7" s="1185"/>
      <c r="NIZ7" s="1185"/>
      <c r="NJA7" s="1185"/>
      <c r="NJB7" s="1185"/>
      <c r="NJC7" s="1185"/>
      <c r="NJD7" s="1185"/>
      <c r="NJE7" s="1185"/>
      <c r="NJF7" s="1185"/>
      <c r="NJG7" s="1185"/>
      <c r="NJH7" s="1185"/>
      <c r="NJI7" s="1185"/>
      <c r="NJJ7" s="1185"/>
      <c r="NJK7" s="1185"/>
      <c r="NJL7" s="1185"/>
      <c r="NJM7" s="1185"/>
      <c r="NJN7" s="1185"/>
      <c r="NJO7" s="1185"/>
      <c r="NJP7" s="1185"/>
      <c r="NJQ7" s="1185"/>
      <c r="NJR7" s="1185"/>
      <c r="NJS7" s="1185"/>
      <c r="NJT7" s="1185"/>
      <c r="NJU7" s="1185"/>
      <c r="NJV7" s="1185"/>
      <c r="NJW7" s="1185"/>
      <c r="NJX7" s="1185"/>
      <c r="NJY7" s="1185"/>
      <c r="NJZ7" s="1185"/>
      <c r="NKA7" s="1185"/>
      <c r="NKB7" s="1185"/>
      <c r="NKC7" s="1185"/>
      <c r="NKD7" s="1185"/>
      <c r="NKE7" s="1185"/>
      <c r="NKF7" s="1185"/>
      <c r="NKG7" s="1185"/>
      <c r="NKH7" s="1185"/>
      <c r="NKI7" s="1185"/>
      <c r="NKJ7" s="1185"/>
      <c r="NKK7" s="1185"/>
      <c r="NKL7" s="1185"/>
      <c r="NKM7" s="1185"/>
      <c r="NKN7" s="1185"/>
      <c r="NKO7" s="1185"/>
      <c r="NKP7" s="1185"/>
      <c r="NKQ7" s="1185"/>
      <c r="NKR7" s="1185"/>
      <c r="NKS7" s="1185"/>
      <c r="NKT7" s="1185"/>
      <c r="NKU7" s="1185"/>
      <c r="NKV7" s="1185"/>
      <c r="NKW7" s="1185"/>
      <c r="NKX7" s="1185"/>
      <c r="NKY7" s="1185"/>
      <c r="NKZ7" s="1185"/>
      <c r="NLA7" s="1185"/>
      <c r="NLB7" s="1185"/>
      <c r="NLC7" s="1185"/>
      <c r="NLD7" s="1185"/>
      <c r="NLE7" s="1185"/>
      <c r="NLF7" s="1185"/>
      <c r="NLG7" s="1185"/>
      <c r="NLH7" s="1185"/>
      <c r="NLI7" s="1185"/>
      <c r="NLJ7" s="1185"/>
      <c r="NLK7" s="1185"/>
      <c r="NLL7" s="1185"/>
      <c r="NLM7" s="1185"/>
      <c r="NLN7" s="1185"/>
      <c r="NLO7" s="1185"/>
      <c r="NLP7" s="1185"/>
      <c r="NLQ7" s="1185"/>
      <c r="NLR7" s="1185"/>
      <c r="NLS7" s="1185"/>
      <c r="NLT7" s="1185"/>
      <c r="NLU7" s="1185"/>
      <c r="NLV7" s="1185"/>
      <c r="NLW7" s="1185"/>
      <c r="NLX7" s="1185"/>
      <c r="NLY7" s="1185"/>
      <c r="NLZ7" s="1185"/>
      <c r="NMA7" s="1185"/>
      <c r="NMB7" s="1185"/>
      <c r="NMC7" s="1185"/>
      <c r="NMD7" s="1185"/>
      <c r="NME7" s="1185"/>
      <c r="NMF7" s="1185"/>
      <c r="NMG7" s="1185"/>
      <c r="NMH7" s="1185"/>
      <c r="NMI7" s="1185"/>
      <c r="NMJ7" s="1185"/>
      <c r="NMK7" s="1185"/>
      <c r="NML7" s="1185"/>
      <c r="NMM7" s="1185"/>
      <c r="NMN7" s="1185"/>
      <c r="NMO7" s="1185"/>
      <c r="NMP7" s="1185"/>
      <c r="NMQ7" s="1185"/>
      <c r="NMR7" s="1185"/>
      <c r="NMS7" s="1185"/>
      <c r="NMT7" s="1185"/>
      <c r="NMU7" s="1185"/>
      <c r="NMV7" s="1185"/>
      <c r="NMW7" s="1185"/>
      <c r="NMX7" s="1185"/>
      <c r="NMY7" s="1185"/>
      <c r="NMZ7" s="1185"/>
      <c r="NNA7" s="1185"/>
      <c r="NNB7" s="1185"/>
      <c r="NNC7" s="1185"/>
      <c r="NND7" s="1185"/>
      <c r="NNE7" s="1185"/>
      <c r="NNF7" s="1185"/>
      <c r="NNG7" s="1185"/>
      <c r="NNH7" s="1185"/>
      <c r="NNI7" s="1185"/>
      <c r="NNJ7" s="1185"/>
      <c r="NNK7" s="1185"/>
      <c r="NNL7" s="1185"/>
      <c r="NNM7" s="1185"/>
      <c r="NNN7" s="1185"/>
      <c r="NNO7" s="1185"/>
      <c r="NNP7" s="1185"/>
      <c r="NNQ7" s="1185"/>
      <c r="NNR7" s="1185"/>
      <c r="NNS7" s="1185"/>
      <c r="NNT7" s="1185"/>
      <c r="NNU7" s="1185"/>
      <c r="NNV7" s="1185"/>
      <c r="NNW7" s="1185"/>
      <c r="NNX7" s="1185"/>
      <c r="NNY7" s="1185"/>
      <c r="NNZ7" s="1185"/>
      <c r="NOA7" s="1185"/>
      <c r="NOB7" s="1185"/>
      <c r="NOC7" s="1185"/>
      <c r="NOD7" s="1185"/>
      <c r="NOE7" s="1185"/>
      <c r="NOF7" s="1185"/>
      <c r="NOG7" s="1185"/>
      <c r="NOH7" s="1185"/>
      <c r="NOI7" s="1185"/>
      <c r="NOJ7" s="1185"/>
      <c r="NOK7" s="1185"/>
      <c r="NOL7" s="1185"/>
      <c r="NOM7" s="1185"/>
      <c r="NON7" s="1185"/>
      <c r="NOO7" s="1185"/>
      <c r="NOP7" s="1185"/>
      <c r="NOQ7" s="1185"/>
      <c r="NOR7" s="1185"/>
      <c r="NOS7" s="1185"/>
      <c r="NOT7" s="1185"/>
      <c r="NOU7" s="1185"/>
      <c r="NOV7" s="1185"/>
      <c r="NOW7" s="1185"/>
      <c r="NOX7" s="1185"/>
      <c r="NOY7" s="1185"/>
      <c r="NOZ7" s="1185"/>
      <c r="NPA7" s="1185"/>
      <c r="NPB7" s="1185"/>
      <c r="NPC7" s="1185"/>
      <c r="NPD7" s="1185"/>
      <c r="NPE7" s="1185"/>
      <c r="NPF7" s="1185"/>
      <c r="NPG7" s="1185"/>
      <c r="NPH7" s="1185"/>
      <c r="NPI7" s="1185"/>
      <c r="NPJ7" s="1185"/>
      <c r="NPK7" s="1185"/>
      <c r="NPL7" s="1185"/>
      <c r="NPM7" s="1185"/>
      <c r="NPN7" s="1185"/>
      <c r="NPO7" s="1185"/>
      <c r="NPP7" s="1185"/>
      <c r="NPQ7" s="1185"/>
      <c r="NPR7" s="1185"/>
      <c r="NPS7" s="1185"/>
      <c r="NPT7" s="1185"/>
      <c r="NPU7" s="1185"/>
      <c r="NPV7" s="1185"/>
      <c r="NPW7" s="1185"/>
      <c r="NPX7" s="1185"/>
      <c r="NPY7" s="1185"/>
      <c r="NPZ7" s="1185"/>
      <c r="NQA7" s="1185"/>
      <c r="NQB7" s="1185"/>
      <c r="NQC7" s="1185"/>
      <c r="NQD7" s="1185"/>
      <c r="NQE7" s="1185"/>
      <c r="NQF7" s="1185"/>
      <c r="NQG7" s="1185"/>
      <c r="NQH7" s="1185"/>
      <c r="NQI7" s="1185"/>
      <c r="NQJ7" s="1185"/>
      <c r="NQK7" s="1185"/>
      <c r="NQL7" s="1185"/>
      <c r="NQM7" s="1185"/>
      <c r="NQN7" s="1185"/>
      <c r="NQO7" s="1185"/>
      <c r="NQP7" s="1185"/>
      <c r="NQQ7" s="1185"/>
      <c r="NQR7" s="1185"/>
      <c r="NQS7" s="1185"/>
      <c r="NQT7" s="1185"/>
      <c r="NQU7" s="1185"/>
      <c r="NQV7" s="1185"/>
      <c r="NQW7" s="1185"/>
      <c r="NQX7" s="1185"/>
      <c r="NQY7" s="1185"/>
      <c r="NQZ7" s="1185"/>
      <c r="NRA7" s="1185"/>
      <c r="NRB7" s="1185"/>
      <c r="NRC7" s="1185"/>
      <c r="NRD7" s="1185"/>
      <c r="NRE7" s="1185"/>
      <c r="NRF7" s="1185"/>
      <c r="NRG7" s="1185"/>
      <c r="NRH7" s="1185"/>
      <c r="NRI7" s="1185"/>
      <c r="NRJ7" s="1185"/>
      <c r="NRK7" s="1185"/>
      <c r="NRL7" s="1185"/>
      <c r="NRM7" s="1185"/>
      <c r="NRN7" s="1185"/>
      <c r="NRO7" s="1185"/>
      <c r="NRP7" s="1185"/>
      <c r="NRQ7" s="1185"/>
      <c r="NRR7" s="1185"/>
      <c r="NRS7" s="1185"/>
      <c r="NRT7" s="1185"/>
      <c r="NRU7" s="1185"/>
      <c r="NRV7" s="1185"/>
      <c r="NRW7" s="1185"/>
      <c r="NRX7" s="1185"/>
      <c r="NRY7" s="1185"/>
      <c r="NRZ7" s="1185"/>
      <c r="NSA7" s="1185"/>
      <c r="NSB7" s="1185"/>
      <c r="NSC7" s="1185"/>
      <c r="NSD7" s="1185"/>
      <c r="NSE7" s="1185"/>
      <c r="NSF7" s="1185"/>
      <c r="NSG7" s="1185"/>
      <c r="NSH7" s="1185"/>
      <c r="NSI7" s="1185"/>
      <c r="NSJ7" s="1185"/>
      <c r="NSK7" s="1185"/>
      <c r="NSL7" s="1185"/>
      <c r="NSM7" s="1185"/>
      <c r="NSN7" s="1185"/>
      <c r="NSO7" s="1185"/>
      <c r="NSP7" s="1185"/>
      <c r="NSQ7" s="1185"/>
      <c r="NSR7" s="1185"/>
      <c r="NSS7" s="1185"/>
      <c r="NST7" s="1185"/>
      <c r="NSU7" s="1185"/>
      <c r="NSV7" s="1185"/>
      <c r="NSW7" s="1185"/>
      <c r="NSX7" s="1185"/>
      <c r="NSY7" s="1185"/>
      <c r="NSZ7" s="1185"/>
      <c r="NTA7" s="1185"/>
      <c r="NTB7" s="1185"/>
      <c r="NTC7" s="1185"/>
      <c r="NTD7" s="1185"/>
      <c r="NTE7" s="1185"/>
      <c r="NTF7" s="1185"/>
      <c r="NTG7" s="1185"/>
      <c r="NTH7" s="1185"/>
      <c r="NTI7" s="1185"/>
      <c r="NTJ7" s="1185"/>
      <c r="NTK7" s="1185"/>
      <c r="NTL7" s="1185"/>
      <c r="NTM7" s="1185"/>
      <c r="NTN7" s="1185"/>
      <c r="NTO7" s="1185"/>
      <c r="NTP7" s="1185"/>
      <c r="NTQ7" s="1185"/>
      <c r="NTR7" s="1185"/>
      <c r="NTS7" s="1185"/>
      <c r="NTT7" s="1185"/>
      <c r="NTU7" s="1185"/>
      <c r="NTV7" s="1185"/>
      <c r="NTW7" s="1185"/>
      <c r="NTX7" s="1185"/>
      <c r="NTY7" s="1185"/>
      <c r="NTZ7" s="1185"/>
      <c r="NUA7" s="1185"/>
      <c r="NUB7" s="1185"/>
      <c r="NUC7" s="1185"/>
      <c r="NUD7" s="1185"/>
      <c r="NUE7" s="1185"/>
      <c r="NUF7" s="1185"/>
      <c r="NUG7" s="1185"/>
      <c r="NUH7" s="1185"/>
      <c r="NUI7" s="1185"/>
      <c r="NUJ7" s="1185"/>
      <c r="NUK7" s="1185"/>
      <c r="NUL7" s="1185"/>
      <c r="NUM7" s="1185"/>
      <c r="NUN7" s="1185"/>
      <c r="NUO7" s="1185"/>
      <c r="NUP7" s="1185"/>
      <c r="NUQ7" s="1185"/>
      <c r="NUR7" s="1185"/>
      <c r="NUS7" s="1185"/>
      <c r="NUT7" s="1185"/>
      <c r="NUU7" s="1185"/>
      <c r="NUV7" s="1185"/>
      <c r="NUW7" s="1185"/>
      <c r="NUX7" s="1185"/>
      <c r="NUY7" s="1185"/>
      <c r="NUZ7" s="1185"/>
      <c r="NVA7" s="1185"/>
      <c r="NVB7" s="1185"/>
      <c r="NVC7" s="1185"/>
      <c r="NVD7" s="1185"/>
      <c r="NVE7" s="1185"/>
      <c r="NVF7" s="1185"/>
      <c r="NVG7" s="1185"/>
      <c r="NVH7" s="1185"/>
      <c r="NVI7" s="1185"/>
      <c r="NVJ7" s="1185"/>
      <c r="NVK7" s="1185"/>
      <c r="NVL7" s="1185"/>
      <c r="NVM7" s="1185"/>
      <c r="NVN7" s="1185"/>
      <c r="NVO7" s="1185"/>
      <c r="NVP7" s="1185"/>
      <c r="NVQ7" s="1185"/>
      <c r="NVR7" s="1185"/>
      <c r="NVS7" s="1185"/>
      <c r="NVT7" s="1185"/>
      <c r="NVU7" s="1185"/>
      <c r="NVV7" s="1185"/>
      <c r="NVW7" s="1185"/>
      <c r="NVX7" s="1185"/>
      <c r="NVY7" s="1185"/>
      <c r="NVZ7" s="1185"/>
      <c r="NWA7" s="1185"/>
      <c r="NWB7" s="1185"/>
      <c r="NWC7" s="1185"/>
      <c r="NWD7" s="1185"/>
      <c r="NWE7" s="1185"/>
      <c r="NWF7" s="1185"/>
      <c r="NWG7" s="1185"/>
      <c r="NWH7" s="1185"/>
      <c r="NWI7" s="1185"/>
      <c r="NWJ7" s="1185"/>
      <c r="NWK7" s="1185"/>
      <c r="NWL7" s="1185"/>
      <c r="NWM7" s="1185"/>
      <c r="NWN7" s="1185"/>
      <c r="NWO7" s="1185"/>
      <c r="NWP7" s="1185"/>
      <c r="NWQ7" s="1185"/>
      <c r="NWR7" s="1185"/>
      <c r="NWS7" s="1185"/>
      <c r="NWT7" s="1185"/>
      <c r="NWU7" s="1185"/>
      <c r="NWV7" s="1185"/>
      <c r="NWW7" s="1185"/>
      <c r="NWX7" s="1185"/>
      <c r="NWY7" s="1185"/>
      <c r="NWZ7" s="1185"/>
      <c r="NXA7" s="1185"/>
      <c r="NXB7" s="1185"/>
      <c r="NXC7" s="1185"/>
      <c r="NXD7" s="1185"/>
      <c r="NXE7" s="1185"/>
      <c r="NXF7" s="1185"/>
      <c r="NXG7" s="1185"/>
      <c r="NXH7" s="1185"/>
      <c r="NXI7" s="1185"/>
      <c r="NXJ7" s="1185"/>
      <c r="NXK7" s="1185"/>
      <c r="NXL7" s="1185"/>
      <c r="NXM7" s="1185"/>
      <c r="NXN7" s="1185"/>
      <c r="NXO7" s="1185"/>
      <c r="NXP7" s="1185"/>
      <c r="NXQ7" s="1185"/>
      <c r="NXR7" s="1185"/>
      <c r="NXS7" s="1185"/>
      <c r="NXT7" s="1185"/>
      <c r="NXU7" s="1185"/>
      <c r="NXV7" s="1185"/>
      <c r="NXW7" s="1185"/>
      <c r="NXX7" s="1185"/>
      <c r="NXY7" s="1185"/>
      <c r="NXZ7" s="1185"/>
      <c r="NYA7" s="1185"/>
      <c r="NYB7" s="1185"/>
      <c r="NYC7" s="1185"/>
      <c r="NYD7" s="1185"/>
      <c r="NYE7" s="1185"/>
      <c r="NYF7" s="1185"/>
      <c r="NYG7" s="1185"/>
      <c r="NYH7" s="1185"/>
      <c r="NYI7" s="1185"/>
      <c r="NYJ7" s="1185"/>
      <c r="NYK7" s="1185"/>
      <c r="NYL7" s="1185"/>
      <c r="NYM7" s="1185"/>
      <c r="NYN7" s="1185"/>
      <c r="NYO7" s="1185"/>
      <c r="NYP7" s="1185"/>
      <c r="NYQ7" s="1185"/>
      <c r="NYR7" s="1185"/>
      <c r="NYS7" s="1185"/>
      <c r="NYT7" s="1185"/>
      <c r="NYU7" s="1185"/>
      <c r="NYV7" s="1185"/>
      <c r="NYW7" s="1185"/>
      <c r="NYX7" s="1185"/>
      <c r="NYY7" s="1185"/>
      <c r="NYZ7" s="1185"/>
      <c r="NZA7" s="1185"/>
      <c r="NZB7" s="1185"/>
      <c r="NZC7" s="1185"/>
      <c r="NZD7" s="1185"/>
      <c r="NZE7" s="1185"/>
      <c r="NZF7" s="1185"/>
      <c r="NZG7" s="1185"/>
      <c r="NZH7" s="1185"/>
      <c r="NZI7" s="1185"/>
      <c r="NZJ7" s="1185"/>
      <c r="NZK7" s="1185"/>
      <c r="NZL7" s="1185"/>
      <c r="NZM7" s="1185"/>
      <c r="NZN7" s="1185"/>
      <c r="NZO7" s="1185"/>
      <c r="NZP7" s="1185"/>
      <c r="NZQ7" s="1185"/>
      <c r="NZR7" s="1185"/>
      <c r="NZS7" s="1185"/>
      <c r="NZT7" s="1185"/>
      <c r="NZU7" s="1185"/>
      <c r="NZV7" s="1185"/>
      <c r="NZW7" s="1185"/>
      <c r="NZX7" s="1185"/>
      <c r="NZY7" s="1185"/>
      <c r="NZZ7" s="1185"/>
      <c r="OAA7" s="1185"/>
      <c r="OAB7" s="1185"/>
      <c r="OAC7" s="1185"/>
      <c r="OAD7" s="1185"/>
      <c r="OAE7" s="1185"/>
      <c r="OAF7" s="1185"/>
      <c r="OAG7" s="1185"/>
      <c r="OAH7" s="1185"/>
      <c r="OAI7" s="1185"/>
      <c r="OAJ7" s="1185"/>
      <c r="OAK7" s="1185"/>
      <c r="OAL7" s="1185"/>
      <c r="OAM7" s="1185"/>
      <c r="OAN7" s="1185"/>
      <c r="OAO7" s="1185"/>
      <c r="OAP7" s="1185"/>
      <c r="OAQ7" s="1185"/>
      <c r="OAR7" s="1185"/>
      <c r="OAS7" s="1185"/>
      <c r="OAT7" s="1185"/>
      <c r="OAU7" s="1185"/>
      <c r="OAV7" s="1185"/>
      <c r="OAW7" s="1185"/>
      <c r="OAX7" s="1185"/>
      <c r="OAY7" s="1185"/>
      <c r="OAZ7" s="1185"/>
      <c r="OBA7" s="1185"/>
      <c r="OBB7" s="1185"/>
      <c r="OBC7" s="1185"/>
      <c r="OBD7" s="1185"/>
      <c r="OBE7" s="1185"/>
      <c r="OBF7" s="1185"/>
      <c r="OBG7" s="1185"/>
      <c r="OBH7" s="1185"/>
      <c r="OBI7" s="1185"/>
      <c r="OBJ7" s="1185"/>
      <c r="OBK7" s="1185"/>
      <c r="OBL7" s="1185"/>
      <c r="OBM7" s="1185"/>
      <c r="OBN7" s="1185"/>
      <c r="OBO7" s="1185"/>
      <c r="OBP7" s="1185"/>
      <c r="OBQ7" s="1185"/>
      <c r="OBR7" s="1185"/>
      <c r="OBS7" s="1185"/>
      <c r="OBT7" s="1185"/>
      <c r="OBU7" s="1185"/>
      <c r="OBV7" s="1185"/>
      <c r="OBW7" s="1185"/>
      <c r="OBX7" s="1185"/>
      <c r="OBY7" s="1185"/>
      <c r="OBZ7" s="1185"/>
      <c r="OCA7" s="1185"/>
      <c r="OCB7" s="1185"/>
      <c r="OCC7" s="1185"/>
      <c r="OCD7" s="1185"/>
      <c r="OCE7" s="1185"/>
      <c r="OCF7" s="1185"/>
      <c r="OCG7" s="1185"/>
      <c r="OCH7" s="1185"/>
      <c r="OCI7" s="1185"/>
      <c r="OCJ7" s="1185"/>
      <c r="OCK7" s="1185"/>
      <c r="OCL7" s="1185"/>
      <c r="OCM7" s="1185"/>
      <c r="OCN7" s="1185"/>
      <c r="OCO7" s="1185"/>
      <c r="OCP7" s="1185"/>
      <c r="OCQ7" s="1185"/>
      <c r="OCR7" s="1185"/>
      <c r="OCS7" s="1185"/>
      <c r="OCT7" s="1185"/>
      <c r="OCU7" s="1185"/>
      <c r="OCV7" s="1185"/>
      <c r="OCW7" s="1185"/>
      <c r="OCX7" s="1185"/>
      <c r="OCY7" s="1185"/>
      <c r="OCZ7" s="1185"/>
      <c r="ODA7" s="1185"/>
      <c r="ODB7" s="1185"/>
      <c r="ODC7" s="1185"/>
      <c r="ODD7" s="1185"/>
      <c r="ODE7" s="1185"/>
      <c r="ODF7" s="1185"/>
      <c r="ODG7" s="1185"/>
      <c r="ODH7" s="1185"/>
      <c r="ODI7" s="1185"/>
      <c r="ODJ7" s="1185"/>
      <c r="ODK7" s="1185"/>
      <c r="ODL7" s="1185"/>
      <c r="ODM7" s="1185"/>
      <c r="ODN7" s="1185"/>
      <c r="ODO7" s="1185"/>
      <c r="ODP7" s="1185"/>
      <c r="ODQ7" s="1185"/>
      <c r="ODR7" s="1185"/>
      <c r="ODS7" s="1185"/>
      <c r="ODT7" s="1185"/>
      <c r="ODU7" s="1185"/>
      <c r="ODV7" s="1185"/>
      <c r="ODW7" s="1185"/>
      <c r="ODX7" s="1185"/>
      <c r="ODY7" s="1185"/>
      <c r="ODZ7" s="1185"/>
      <c r="OEA7" s="1185"/>
      <c r="OEB7" s="1185"/>
      <c r="OEC7" s="1185"/>
      <c r="OED7" s="1185"/>
      <c r="OEE7" s="1185"/>
      <c r="OEF7" s="1185"/>
      <c r="OEG7" s="1185"/>
      <c r="OEH7" s="1185"/>
      <c r="OEI7" s="1185"/>
      <c r="OEJ7" s="1185"/>
      <c r="OEK7" s="1185"/>
      <c r="OEL7" s="1185"/>
      <c r="OEM7" s="1185"/>
      <c r="OEN7" s="1185"/>
      <c r="OEO7" s="1185"/>
      <c r="OEP7" s="1185"/>
      <c r="OEQ7" s="1185"/>
      <c r="OER7" s="1185"/>
      <c r="OES7" s="1185"/>
      <c r="OET7" s="1185"/>
      <c r="OEU7" s="1185"/>
      <c r="OEV7" s="1185"/>
      <c r="OEW7" s="1185"/>
      <c r="OEX7" s="1185"/>
      <c r="OEY7" s="1185"/>
      <c r="OEZ7" s="1185"/>
      <c r="OFA7" s="1185"/>
      <c r="OFB7" s="1185"/>
      <c r="OFC7" s="1185"/>
      <c r="OFD7" s="1185"/>
      <c r="OFE7" s="1185"/>
      <c r="OFF7" s="1185"/>
      <c r="OFG7" s="1185"/>
      <c r="OFH7" s="1185"/>
      <c r="OFI7" s="1185"/>
      <c r="OFJ7" s="1185"/>
      <c r="OFK7" s="1185"/>
      <c r="OFL7" s="1185"/>
      <c r="OFM7" s="1185"/>
      <c r="OFN7" s="1185"/>
      <c r="OFO7" s="1185"/>
      <c r="OFP7" s="1185"/>
      <c r="OFQ7" s="1185"/>
      <c r="OFR7" s="1185"/>
      <c r="OFS7" s="1185"/>
      <c r="OFT7" s="1185"/>
      <c r="OFU7" s="1185"/>
      <c r="OFV7" s="1185"/>
      <c r="OFW7" s="1185"/>
      <c r="OFX7" s="1185"/>
      <c r="OFY7" s="1185"/>
      <c r="OFZ7" s="1185"/>
      <c r="OGA7" s="1185"/>
      <c r="OGB7" s="1185"/>
      <c r="OGC7" s="1185"/>
      <c r="OGD7" s="1185"/>
      <c r="OGE7" s="1185"/>
      <c r="OGF7" s="1185"/>
      <c r="OGG7" s="1185"/>
      <c r="OGH7" s="1185"/>
      <c r="OGI7" s="1185"/>
      <c r="OGJ7" s="1185"/>
      <c r="OGK7" s="1185"/>
      <c r="OGL7" s="1185"/>
      <c r="OGM7" s="1185"/>
      <c r="OGN7" s="1185"/>
      <c r="OGO7" s="1185"/>
      <c r="OGP7" s="1185"/>
      <c r="OGQ7" s="1185"/>
      <c r="OGR7" s="1185"/>
      <c r="OGS7" s="1185"/>
      <c r="OGT7" s="1185"/>
      <c r="OGU7" s="1185"/>
      <c r="OGV7" s="1185"/>
      <c r="OGW7" s="1185"/>
      <c r="OGX7" s="1185"/>
      <c r="OGY7" s="1185"/>
      <c r="OGZ7" s="1185"/>
      <c r="OHA7" s="1185"/>
      <c r="OHB7" s="1185"/>
      <c r="OHC7" s="1185"/>
      <c r="OHD7" s="1185"/>
      <c r="OHE7" s="1185"/>
      <c r="OHF7" s="1185"/>
      <c r="OHG7" s="1185"/>
      <c r="OHH7" s="1185"/>
      <c r="OHI7" s="1185"/>
      <c r="OHJ7" s="1185"/>
      <c r="OHK7" s="1185"/>
      <c r="OHL7" s="1185"/>
      <c r="OHM7" s="1185"/>
      <c r="OHN7" s="1185"/>
      <c r="OHO7" s="1185"/>
      <c r="OHP7" s="1185"/>
      <c r="OHQ7" s="1185"/>
      <c r="OHR7" s="1185"/>
      <c r="OHS7" s="1185"/>
      <c r="OHT7" s="1185"/>
      <c r="OHU7" s="1185"/>
      <c r="OHV7" s="1185"/>
      <c r="OHW7" s="1185"/>
      <c r="OHX7" s="1185"/>
      <c r="OHY7" s="1185"/>
      <c r="OHZ7" s="1185"/>
      <c r="OIA7" s="1185"/>
      <c r="OIB7" s="1185"/>
      <c r="OIC7" s="1185"/>
      <c r="OID7" s="1185"/>
      <c r="OIE7" s="1185"/>
      <c r="OIF7" s="1185"/>
      <c r="OIG7" s="1185"/>
      <c r="OIH7" s="1185"/>
      <c r="OII7" s="1185"/>
      <c r="OIJ7" s="1185"/>
      <c r="OIK7" s="1185"/>
      <c r="OIL7" s="1185"/>
      <c r="OIM7" s="1185"/>
      <c r="OIN7" s="1185"/>
      <c r="OIO7" s="1185"/>
      <c r="OIP7" s="1185"/>
      <c r="OIQ7" s="1185"/>
      <c r="OIR7" s="1185"/>
      <c r="OIS7" s="1185"/>
      <c r="OIT7" s="1185"/>
      <c r="OIU7" s="1185"/>
      <c r="OIV7" s="1185"/>
      <c r="OIW7" s="1185"/>
      <c r="OIX7" s="1185"/>
      <c r="OIY7" s="1185"/>
      <c r="OIZ7" s="1185"/>
      <c r="OJA7" s="1185"/>
      <c r="OJB7" s="1185"/>
      <c r="OJC7" s="1185"/>
      <c r="OJD7" s="1185"/>
      <c r="OJE7" s="1185"/>
      <c r="OJF7" s="1185"/>
      <c r="OJG7" s="1185"/>
      <c r="OJH7" s="1185"/>
      <c r="OJI7" s="1185"/>
      <c r="OJJ7" s="1185"/>
      <c r="OJK7" s="1185"/>
      <c r="OJL7" s="1185"/>
      <c r="OJM7" s="1185"/>
      <c r="OJN7" s="1185"/>
      <c r="OJO7" s="1185"/>
      <c r="OJP7" s="1185"/>
      <c r="OJQ7" s="1185"/>
      <c r="OJR7" s="1185"/>
      <c r="OJS7" s="1185"/>
      <c r="OJT7" s="1185"/>
      <c r="OJU7" s="1185"/>
      <c r="OJV7" s="1185"/>
      <c r="OJW7" s="1185"/>
      <c r="OJX7" s="1185"/>
      <c r="OJY7" s="1185"/>
      <c r="OJZ7" s="1185"/>
      <c r="OKA7" s="1185"/>
      <c r="OKB7" s="1185"/>
      <c r="OKC7" s="1185"/>
      <c r="OKD7" s="1185"/>
      <c r="OKE7" s="1185"/>
      <c r="OKF7" s="1185"/>
      <c r="OKG7" s="1185"/>
      <c r="OKH7" s="1185"/>
      <c r="OKI7" s="1185"/>
      <c r="OKJ7" s="1185"/>
      <c r="OKK7" s="1185"/>
      <c r="OKL7" s="1185"/>
      <c r="OKM7" s="1185"/>
      <c r="OKN7" s="1185"/>
      <c r="OKO7" s="1185"/>
      <c r="OKP7" s="1185"/>
      <c r="OKQ7" s="1185"/>
      <c r="OKR7" s="1185"/>
      <c r="OKS7" s="1185"/>
      <c r="OKT7" s="1185"/>
      <c r="OKU7" s="1185"/>
      <c r="OKV7" s="1185"/>
      <c r="OKW7" s="1185"/>
      <c r="OKX7" s="1185"/>
      <c r="OKY7" s="1185"/>
      <c r="OKZ7" s="1185"/>
      <c r="OLA7" s="1185"/>
      <c r="OLB7" s="1185"/>
      <c r="OLC7" s="1185"/>
      <c r="OLD7" s="1185"/>
      <c r="OLE7" s="1185"/>
      <c r="OLF7" s="1185"/>
      <c r="OLG7" s="1185"/>
      <c r="OLH7" s="1185"/>
      <c r="OLI7" s="1185"/>
      <c r="OLJ7" s="1185"/>
      <c r="OLK7" s="1185"/>
      <c r="OLL7" s="1185"/>
      <c r="OLM7" s="1185"/>
      <c r="OLN7" s="1185"/>
      <c r="OLO7" s="1185"/>
      <c r="OLP7" s="1185"/>
      <c r="OLQ7" s="1185"/>
      <c r="OLR7" s="1185"/>
      <c r="OLS7" s="1185"/>
      <c r="OLT7" s="1185"/>
      <c r="OLU7" s="1185"/>
      <c r="OLV7" s="1185"/>
      <c r="OLW7" s="1185"/>
      <c r="OLX7" s="1185"/>
      <c r="OLY7" s="1185"/>
      <c r="OLZ7" s="1185"/>
      <c r="OMA7" s="1185"/>
      <c r="OMB7" s="1185"/>
      <c r="OMC7" s="1185"/>
      <c r="OMD7" s="1185"/>
      <c r="OME7" s="1185"/>
      <c r="OMF7" s="1185"/>
      <c r="OMG7" s="1185"/>
      <c r="OMH7" s="1185"/>
      <c r="OMI7" s="1185"/>
      <c r="OMJ7" s="1185"/>
      <c r="OMK7" s="1185"/>
      <c r="OML7" s="1185"/>
      <c r="OMM7" s="1185"/>
      <c r="OMN7" s="1185"/>
      <c r="OMO7" s="1185"/>
      <c r="OMP7" s="1185"/>
      <c r="OMQ7" s="1185"/>
      <c r="OMR7" s="1185"/>
      <c r="OMS7" s="1185"/>
      <c r="OMT7" s="1185"/>
      <c r="OMU7" s="1185"/>
      <c r="OMV7" s="1185"/>
      <c r="OMW7" s="1185"/>
      <c r="OMX7" s="1185"/>
      <c r="OMY7" s="1185"/>
      <c r="OMZ7" s="1185"/>
      <c r="ONA7" s="1185"/>
      <c r="ONB7" s="1185"/>
      <c r="ONC7" s="1185"/>
      <c r="OND7" s="1185"/>
      <c r="ONE7" s="1185"/>
      <c r="ONF7" s="1185"/>
      <c r="ONG7" s="1185"/>
      <c r="ONH7" s="1185"/>
      <c r="ONI7" s="1185"/>
      <c r="ONJ7" s="1185"/>
      <c r="ONK7" s="1185"/>
      <c r="ONL7" s="1185"/>
      <c r="ONM7" s="1185"/>
      <c r="ONN7" s="1185"/>
      <c r="ONO7" s="1185"/>
      <c r="ONP7" s="1185"/>
      <c r="ONQ7" s="1185"/>
      <c r="ONR7" s="1185"/>
      <c r="ONS7" s="1185"/>
      <c r="ONT7" s="1185"/>
      <c r="ONU7" s="1185"/>
      <c r="ONV7" s="1185"/>
      <c r="ONW7" s="1185"/>
      <c r="ONX7" s="1185"/>
      <c r="ONY7" s="1185"/>
      <c r="ONZ7" s="1185"/>
      <c r="OOA7" s="1185"/>
      <c r="OOB7" s="1185"/>
      <c r="OOC7" s="1185"/>
      <c r="OOD7" s="1185"/>
      <c r="OOE7" s="1185"/>
      <c r="OOF7" s="1185"/>
      <c r="OOG7" s="1185"/>
      <c r="OOH7" s="1185"/>
      <c r="OOI7" s="1185"/>
      <c r="OOJ7" s="1185"/>
      <c r="OOK7" s="1185"/>
      <c r="OOL7" s="1185"/>
      <c r="OOM7" s="1185"/>
      <c r="OON7" s="1185"/>
      <c r="OOO7" s="1185"/>
      <c r="OOP7" s="1185"/>
      <c r="OOQ7" s="1185"/>
      <c r="OOR7" s="1185"/>
      <c r="OOS7" s="1185"/>
      <c r="OOT7" s="1185"/>
      <c r="OOU7" s="1185"/>
      <c r="OOV7" s="1185"/>
      <c r="OOW7" s="1185"/>
      <c r="OOX7" s="1185"/>
      <c r="OOY7" s="1185"/>
      <c r="OOZ7" s="1185"/>
      <c r="OPA7" s="1185"/>
      <c r="OPB7" s="1185"/>
      <c r="OPC7" s="1185"/>
      <c r="OPD7" s="1185"/>
      <c r="OPE7" s="1185"/>
      <c r="OPF7" s="1185"/>
      <c r="OPG7" s="1185"/>
      <c r="OPH7" s="1185"/>
      <c r="OPI7" s="1185"/>
      <c r="OPJ7" s="1185"/>
      <c r="OPK7" s="1185"/>
      <c r="OPL7" s="1185"/>
      <c r="OPM7" s="1185"/>
      <c r="OPN7" s="1185"/>
      <c r="OPO7" s="1185"/>
      <c r="OPP7" s="1185"/>
      <c r="OPQ7" s="1185"/>
      <c r="OPR7" s="1185"/>
      <c r="OPS7" s="1185"/>
      <c r="OPT7" s="1185"/>
      <c r="OPU7" s="1185"/>
      <c r="OPV7" s="1185"/>
      <c r="OPW7" s="1185"/>
      <c r="OPX7" s="1185"/>
      <c r="OPY7" s="1185"/>
      <c r="OPZ7" s="1185"/>
      <c r="OQA7" s="1185"/>
      <c r="OQB7" s="1185"/>
      <c r="OQC7" s="1185"/>
      <c r="OQD7" s="1185"/>
      <c r="OQE7" s="1185"/>
      <c r="OQF7" s="1185"/>
      <c r="OQG7" s="1185"/>
      <c r="OQH7" s="1185"/>
      <c r="OQI7" s="1185"/>
      <c r="OQJ7" s="1185"/>
      <c r="OQK7" s="1185"/>
      <c r="OQL7" s="1185"/>
      <c r="OQM7" s="1185"/>
      <c r="OQN7" s="1185"/>
      <c r="OQO7" s="1185"/>
      <c r="OQP7" s="1185"/>
      <c r="OQQ7" s="1185"/>
      <c r="OQR7" s="1185"/>
      <c r="OQS7" s="1185"/>
      <c r="OQT7" s="1185"/>
      <c r="OQU7" s="1185"/>
      <c r="OQV7" s="1185"/>
      <c r="OQW7" s="1185"/>
      <c r="OQX7" s="1185"/>
      <c r="OQY7" s="1185"/>
      <c r="OQZ7" s="1185"/>
      <c r="ORA7" s="1185"/>
      <c r="ORB7" s="1185"/>
      <c r="ORC7" s="1185"/>
      <c r="ORD7" s="1185"/>
      <c r="ORE7" s="1185"/>
      <c r="ORF7" s="1185"/>
      <c r="ORG7" s="1185"/>
      <c r="ORH7" s="1185"/>
      <c r="ORI7" s="1185"/>
      <c r="ORJ7" s="1185"/>
      <c r="ORK7" s="1185"/>
      <c r="ORL7" s="1185"/>
      <c r="ORM7" s="1185"/>
      <c r="ORN7" s="1185"/>
      <c r="ORO7" s="1185"/>
      <c r="ORP7" s="1185"/>
      <c r="ORQ7" s="1185"/>
      <c r="ORR7" s="1185"/>
      <c r="ORS7" s="1185"/>
      <c r="ORT7" s="1185"/>
      <c r="ORU7" s="1185"/>
      <c r="ORV7" s="1185"/>
      <c r="ORW7" s="1185"/>
      <c r="ORX7" s="1185"/>
      <c r="ORY7" s="1185"/>
      <c r="ORZ7" s="1185"/>
      <c r="OSA7" s="1185"/>
      <c r="OSB7" s="1185"/>
      <c r="OSC7" s="1185"/>
      <c r="OSD7" s="1185"/>
      <c r="OSE7" s="1185"/>
      <c r="OSF7" s="1185"/>
      <c r="OSG7" s="1185"/>
      <c r="OSH7" s="1185"/>
      <c r="OSI7" s="1185"/>
      <c r="OSJ7" s="1185"/>
      <c r="OSK7" s="1185"/>
      <c r="OSL7" s="1185"/>
      <c r="OSM7" s="1185"/>
      <c r="OSN7" s="1185"/>
      <c r="OSO7" s="1185"/>
      <c r="OSP7" s="1185"/>
      <c r="OSQ7" s="1185"/>
      <c r="OSR7" s="1185"/>
      <c r="OSS7" s="1185"/>
      <c r="OST7" s="1185"/>
      <c r="OSU7" s="1185"/>
      <c r="OSV7" s="1185"/>
      <c r="OSW7" s="1185"/>
      <c r="OSX7" s="1185"/>
      <c r="OSY7" s="1185"/>
      <c r="OSZ7" s="1185"/>
      <c r="OTA7" s="1185"/>
      <c r="OTB7" s="1185"/>
      <c r="OTC7" s="1185"/>
      <c r="OTD7" s="1185"/>
      <c r="OTE7" s="1185"/>
      <c r="OTF7" s="1185"/>
      <c r="OTG7" s="1185"/>
      <c r="OTH7" s="1185"/>
      <c r="OTI7" s="1185"/>
      <c r="OTJ7" s="1185"/>
      <c r="OTK7" s="1185"/>
      <c r="OTL7" s="1185"/>
      <c r="OTM7" s="1185"/>
      <c r="OTN7" s="1185"/>
      <c r="OTO7" s="1185"/>
      <c r="OTP7" s="1185"/>
      <c r="OTQ7" s="1185"/>
      <c r="OTR7" s="1185"/>
      <c r="OTS7" s="1185"/>
      <c r="OTT7" s="1185"/>
      <c r="OTU7" s="1185"/>
      <c r="OTV7" s="1185"/>
      <c r="OTW7" s="1185"/>
      <c r="OTX7" s="1185"/>
      <c r="OTY7" s="1185"/>
      <c r="OTZ7" s="1185"/>
      <c r="OUA7" s="1185"/>
      <c r="OUB7" s="1185"/>
      <c r="OUC7" s="1185"/>
      <c r="OUD7" s="1185"/>
      <c r="OUE7" s="1185"/>
      <c r="OUF7" s="1185"/>
      <c r="OUG7" s="1185"/>
      <c r="OUH7" s="1185"/>
      <c r="OUI7" s="1185"/>
      <c r="OUJ7" s="1185"/>
      <c r="OUK7" s="1185"/>
      <c r="OUL7" s="1185"/>
      <c r="OUM7" s="1185"/>
      <c r="OUN7" s="1185"/>
      <c r="OUO7" s="1185"/>
      <c r="OUP7" s="1185"/>
      <c r="OUQ7" s="1185"/>
      <c r="OUR7" s="1185"/>
      <c r="OUS7" s="1185"/>
      <c r="OUT7" s="1185"/>
      <c r="OUU7" s="1185"/>
      <c r="OUV7" s="1185"/>
      <c r="OUW7" s="1185"/>
      <c r="OUX7" s="1185"/>
      <c r="OUY7" s="1185"/>
      <c r="OUZ7" s="1185"/>
      <c r="OVA7" s="1185"/>
      <c r="OVB7" s="1185"/>
      <c r="OVC7" s="1185"/>
      <c r="OVD7" s="1185"/>
      <c r="OVE7" s="1185"/>
      <c r="OVF7" s="1185"/>
      <c r="OVG7" s="1185"/>
      <c r="OVH7" s="1185"/>
      <c r="OVI7" s="1185"/>
      <c r="OVJ7" s="1185"/>
      <c r="OVK7" s="1185"/>
      <c r="OVL7" s="1185"/>
      <c r="OVM7" s="1185"/>
      <c r="OVN7" s="1185"/>
      <c r="OVO7" s="1185"/>
      <c r="OVP7" s="1185"/>
      <c r="OVQ7" s="1185"/>
      <c r="OVR7" s="1185"/>
      <c r="OVS7" s="1185"/>
      <c r="OVT7" s="1185"/>
      <c r="OVU7" s="1185"/>
      <c r="OVV7" s="1185"/>
      <c r="OVW7" s="1185"/>
      <c r="OVX7" s="1185"/>
      <c r="OVY7" s="1185"/>
      <c r="OVZ7" s="1185"/>
      <c r="OWA7" s="1185"/>
      <c r="OWB7" s="1185"/>
      <c r="OWC7" s="1185"/>
      <c r="OWD7" s="1185"/>
      <c r="OWE7" s="1185"/>
      <c r="OWF7" s="1185"/>
      <c r="OWG7" s="1185"/>
      <c r="OWH7" s="1185"/>
      <c r="OWI7" s="1185"/>
      <c r="OWJ7" s="1185"/>
      <c r="OWK7" s="1185"/>
      <c r="OWL7" s="1185"/>
      <c r="OWM7" s="1185"/>
      <c r="OWN7" s="1185"/>
      <c r="OWO7" s="1185"/>
      <c r="OWP7" s="1185"/>
      <c r="OWQ7" s="1185"/>
      <c r="OWR7" s="1185"/>
      <c r="OWS7" s="1185"/>
      <c r="OWT7" s="1185"/>
      <c r="OWU7" s="1185"/>
      <c r="OWV7" s="1185"/>
      <c r="OWW7" s="1185"/>
      <c r="OWX7" s="1185"/>
      <c r="OWY7" s="1185"/>
      <c r="OWZ7" s="1185"/>
      <c r="OXA7" s="1185"/>
      <c r="OXB7" s="1185"/>
      <c r="OXC7" s="1185"/>
      <c r="OXD7" s="1185"/>
      <c r="OXE7" s="1185"/>
      <c r="OXF7" s="1185"/>
      <c r="OXG7" s="1185"/>
      <c r="OXH7" s="1185"/>
      <c r="OXI7" s="1185"/>
      <c r="OXJ7" s="1185"/>
      <c r="OXK7" s="1185"/>
      <c r="OXL7" s="1185"/>
      <c r="OXM7" s="1185"/>
      <c r="OXN7" s="1185"/>
      <c r="OXO7" s="1185"/>
      <c r="OXP7" s="1185"/>
      <c r="OXQ7" s="1185"/>
      <c r="OXR7" s="1185"/>
      <c r="OXS7" s="1185"/>
      <c r="OXT7" s="1185"/>
      <c r="OXU7" s="1185"/>
      <c r="OXV7" s="1185"/>
      <c r="OXW7" s="1185"/>
      <c r="OXX7" s="1185"/>
      <c r="OXY7" s="1185"/>
      <c r="OXZ7" s="1185"/>
      <c r="OYA7" s="1185"/>
      <c r="OYB7" s="1185"/>
      <c r="OYC7" s="1185"/>
      <c r="OYD7" s="1185"/>
      <c r="OYE7" s="1185"/>
      <c r="OYF7" s="1185"/>
      <c r="OYG7" s="1185"/>
      <c r="OYH7" s="1185"/>
      <c r="OYI7" s="1185"/>
      <c r="OYJ7" s="1185"/>
      <c r="OYK7" s="1185"/>
      <c r="OYL7" s="1185"/>
      <c r="OYM7" s="1185"/>
      <c r="OYN7" s="1185"/>
      <c r="OYO7" s="1185"/>
      <c r="OYP7" s="1185"/>
      <c r="OYQ7" s="1185"/>
      <c r="OYR7" s="1185"/>
      <c r="OYS7" s="1185"/>
      <c r="OYT7" s="1185"/>
      <c r="OYU7" s="1185"/>
      <c r="OYV7" s="1185"/>
      <c r="OYW7" s="1185"/>
      <c r="OYX7" s="1185"/>
      <c r="OYY7" s="1185"/>
      <c r="OYZ7" s="1185"/>
      <c r="OZA7" s="1185"/>
      <c r="OZB7" s="1185"/>
      <c r="OZC7" s="1185"/>
      <c r="OZD7" s="1185"/>
      <c r="OZE7" s="1185"/>
      <c r="OZF7" s="1185"/>
      <c r="OZG7" s="1185"/>
      <c r="OZH7" s="1185"/>
      <c r="OZI7" s="1185"/>
      <c r="OZJ7" s="1185"/>
      <c r="OZK7" s="1185"/>
      <c r="OZL7" s="1185"/>
      <c r="OZM7" s="1185"/>
      <c r="OZN7" s="1185"/>
      <c r="OZO7" s="1185"/>
      <c r="OZP7" s="1185"/>
      <c r="OZQ7" s="1185"/>
      <c r="OZR7" s="1185"/>
      <c r="OZS7" s="1185"/>
      <c r="OZT7" s="1185"/>
      <c r="OZU7" s="1185"/>
      <c r="OZV7" s="1185"/>
      <c r="OZW7" s="1185"/>
      <c r="OZX7" s="1185"/>
      <c r="OZY7" s="1185"/>
      <c r="OZZ7" s="1185"/>
      <c r="PAA7" s="1185"/>
      <c r="PAB7" s="1185"/>
      <c r="PAC7" s="1185"/>
      <c r="PAD7" s="1185"/>
      <c r="PAE7" s="1185"/>
      <c r="PAF7" s="1185"/>
      <c r="PAG7" s="1185"/>
      <c r="PAH7" s="1185"/>
      <c r="PAI7" s="1185"/>
      <c r="PAJ7" s="1185"/>
      <c r="PAK7" s="1185"/>
      <c r="PAL7" s="1185"/>
      <c r="PAM7" s="1185"/>
      <c r="PAN7" s="1185"/>
      <c r="PAO7" s="1185"/>
      <c r="PAP7" s="1185"/>
      <c r="PAQ7" s="1185"/>
      <c r="PAR7" s="1185"/>
      <c r="PAS7" s="1185"/>
      <c r="PAT7" s="1185"/>
      <c r="PAU7" s="1185"/>
      <c r="PAV7" s="1185"/>
      <c r="PAW7" s="1185"/>
      <c r="PAX7" s="1185"/>
      <c r="PAY7" s="1185"/>
      <c r="PAZ7" s="1185"/>
      <c r="PBA7" s="1185"/>
      <c r="PBB7" s="1185"/>
      <c r="PBC7" s="1185"/>
      <c r="PBD7" s="1185"/>
      <c r="PBE7" s="1185"/>
      <c r="PBF7" s="1185"/>
      <c r="PBG7" s="1185"/>
      <c r="PBH7" s="1185"/>
      <c r="PBI7" s="1185"/>
      <c r="PBJ7" s="1185"/>
      <c r="PBK7" s="1185"/>
      <c r="PBL7" s="1185"/>
      <c r="PBM7" s="1185"/>
      <c r="PBN7" s="1185"/>
      <c r="PBO7" s="1185"/>
      <c r="PBP7" s="1185"/>
      <c r="PBQ7" s="1185"/>
      <c r="PBR7" s="1185"/>
      <c r="PBS7" s="1185"/>
      <c r="PBT7" s="1185"/>
      <c r="PBU7" s="1185"/>
      <c r="PBV7" s="1185"/>
      <c r="PBW7" s="1185"/>
      <c r="PBX7" s="1185"/>
      <c r="PBY7" s="1185"/>
      <c r="PBZ7" s="1185"/>
      <c r="PCA7" s="1185"/>
      <c r="PCB7" s="1185"/>
      <c r="PCC7" s="1185"/>
      <c r="PCD7" s="1185"/>
      <c r="PCE7" s="1185"/>
      <c r="PCF7" s="1185"/>
      <c r="PCG7" s="1185"/>
      <c r="PCH7" s="1185"/>
      <c r="PCI7" s="1185"/>
      <c r="PCJ7" s="1185"/>
      <c r="PCK7" s="1185"/>
      <c r="PCL7" s="1185"/>
      <c r="PCM7" s="1185"/>
      <c r="PCN7" s="1185"/>
      <c r="PCO7" s="1185"/>
      <c r="PCP7" s="1185"/>
      <c r="PCQ7" s="1185"/>
      <c r="PCR7" s="1185"/>
      <c r="PCS7" s="1185"/>
      <c r="PCT7" s="1185"/>
      <c r="PCU7" s="1185"/>
      <c r="PCV7" s="1185"/>
      <c r="PCW7" s="1185"/>
      <c r="PCX7" s="1185"/>
      <c r="PCY7" s="1185"/>
      <c r="PCZ7" s="1185"/>
      <c r="PDA7" s="1185"/>
      <c r="PDB7" s="1185"/>
      <c r="PDC7" s="1185"/>
      <c r="PDD7" s="1185"/>
      <c r="PDE7" s="1185"/>
      <c r="PDF7" s="1185"/>
      <c r="PDG7" s="1185"/>
      <c r="PDH7" s="1185"/>
      <c r="PDI7" s="1185"/>
      <c r="PDJ7" s="1185"/>
      <c r="PDK7" s="1185"/>
      <c r="PDL7" s="1185"/>
      <c r="PDM7" s="1185"/>
      <c r="PDN7" s="1185"/>
      <c r="PDO7" s="1185"/>
      <c r="PDP7" s="1185"/>
      <c r="PDQ7" s="1185"/>
      <c r="PDR7" s="1185"/>
      <c r="PDS7" s="1185"/>
      <c r="PDT7" s="1185"/>
      <c r="PDU7" s="1185"/>
      <c r="PDV7" s="1185"/>
      <c r="PDW7" s="1185"/>
      <c r="PDX7" s="1185"/>
      <c r="PDY7" s="1185"/>
      <c r="PDZ7" s="1185"/>
      <c r="PEA7" s="1185"/>
      <c r="PEB7" s="1185"/>
      <c r="PEC7" s="1185"/>
      <c r="PED7" s="1185"/>
      <c r="PEE7" s="1185"/>
      <c r="PEF7" s="1185"/>
      <c r="PEG7" s="1185"/>
      <c r="PEH7" s="1185"/>
      <c r="PEI7" s="1185"/>
      <c r="PEJ7" s="1185"/>
      <c r="PEK7" s="1185"/>
      <c r="PEL7" s="1185"/>
      <c r="PEM7" s="1185"/>
      <c r="PEN7" s="1185"/>
      <c r="PEO7" s="1185"/>
      <c r="PEP7" s="1185"/>
      <c r="PEQ7" s="1185"/>
      <c r="PER7" s="1185"/>
      <c r="PES7" s="1185"/>
      <c r="PET7" s="1185"/>
      <c r="PEU7" s="1185"/>
      <c r="PEV7" s="1185"/>
      <c r="PEW7" s="1185"/>
      <c r="PEX7" s="1185"/>
      <c r="PEY7" s="1185"/>
      <c r="PEZ7" s="1185"/>
      <c r="PFA7" s="1185"/>
      <c r="PFB7" s="1185"/>
      <c r="PFC7" s="1185"/>
      <c r="PFD7" s="1185"/>
      <c r="PFE7" s="1185"/>
      <c r="PFF7" s="1185"/>
      <c r="PFG7" s="1185"/>
      <c r="PFH7" s="1185"/>
      <c r="PFI7" s="1185"/>
      <c r="PFJ7" s="1185"/>
      <c r="PFK7" s="1185"/>
      <c r="PFL7" s="1185"/>
      <c r="PFM7" s="1185"/>
      <c r="PFN7" s="1185"/>
      <c r="PFO7" s="1185"/>
      <c r="PFP7" s="1185"/>
      <c r="PFQ7" s="1185"/>
      <c r="PFR7" s="1185"/>
      <c r="PFS7" s="1185"/>
      <c r="PFT7" s="1185"/>
      <c r="PFU7" s="1185"/>
      <c r="PFV7" s="1185"/>
      <c r="PFW7" s="1185"/>
      <c r="PFX7" s="1185"/>
      <c r="PFY7" s="1185"/>
      <c r="PFZ7" s="1185"/>
      <c r="PGA7" s="1185"/>
      <c r="PGB7" s="1185"/>
      <c r="PGC7" s="1185"/>
      <c r="PGD7" s="1185"/>
      <c r="PGE7" s="1185"/>
      <c r="PGF7" s="1185"/>
      <c r="PGG7" s="1185"/>
      <c r="PGH7" s="1185"/>
      <c r="PGI7" s="1185"/>
      <c r="PGJ7" s="1185"/>
      <c r="PGK7" s="1185"/>
      <c r="PGL7" s="1185"/>
      <c r="PGM7" s="1185"/>
      <c r="PGN7" s="1185"/>
      <c r="PGO7" s="1185"/>
      <c r="PGP7" s="1185"/>
      <c r="PGQ7" s="1185"/>
      <c r="PGR7" s="1185"/>
      <c r="PGS7" s="1185"/>
      <c r="PGT7" s="1185"/>
      <c r="PGU7" s="1185"/>
      <c r="PGV7" s="1185"/>
      <c r="PGW7" s="1185"/>
      <c r="PGX7" s="1185"/>
      <c r="PGY7" s="1185"/>
      <c r="PGZ7" s="1185"/>
      <c r="PHA7" s="1185"/>
      <c r="PHB7" s="1185"/>
      <c r="PHC7" s="1185"/>
      <c r="PHD7" s="1185"/>
      <c r="PHE7" s="1185"/>
      <c r="PHF7" s="1185"/>
      <c r="PHG7" s="1185"/>
      <c r="PHH7" s="1185"/>
      <c r="PHI7" s="1185"/>
      <c r="PHJ7" s="1185"/>
      <c r="PHK7" s="1185"/>
      <c r="PHL7" s="1185"/>
      <c r="PHM7" s="1185"/>
      <c r="PHN7" s="1185"/>
      <c r="PHO7" s="1185"/>
      <c r="PHP7" s="1185"/>
      <c r="PHQ7" s="1185"/>
      <c r="PHR7" s="1185"/>
      <c r="PHS7" s="1185"/>
      <c r="PHT7" s="1185"/>
      <c r="PHU7" s="1185"/>
      <c r="PHV7" s="1185"/>
      <c r="PHW7" s="1185"/>
      <c r="PHX7" s="1185"/>
      <c r="PHY7" s="1185"/>
      <c r="PHZ7" s="1185"/>
      <c r="PIA7" s="1185"/>
      <c r="PIB7" s="1185"/>
      <c r="PIC7" s="1185"/>
      <c r="PID7" s="1185"/>
      <c r="PIE7" s="1185"/>
      <c r="PIF7" s="1185"/>
      <c r="PIG7" s="1185"/>
      <c r="PIH7" s="1185"/>
      <c r="PII7" s="1185"/>
      <c r="PIJ7" s="1185"/>
      <c r="PIK7" s="1185"/>
      <c r="PIL7" s="1185"/>
      <c r="PIM7" s="1185"/>
      <c r="PIN7" s="1185"/>
      <c r="PIO7" s="1185"/>
      <c r="PIP7" s="1185"/>
      <c r="PIQ7" s="1185"/>
      <c r="PIR7" s="1185"/>
      <c r="PIS7" s="1185"/>
      <c r="PIT7" s="1185"/>
      <c r="PIU7" s="1185"/>
      <c r="PIV7" s="1185"/>
      <c r="PIW7" s="1185"/>
      <c r="PIX7" s="1185"/>
      <c r="PIY7" s="1185"/>
      <c r="PIZ7" s="1185"/>
      <c r="PJA7" s="1185"/>
      <c r="PJB7" s="1185"/>
      <c r="PJC7" s="1185"/>
      <c r="PJD7" s="1185"/>
      <c r="PJE7" s="1185"/>
      <c r="PJF7" s="1185"/>
      <c r="PJG7" s="1185"/>
      <c r="PJH7" s="1185"/>
      <c r="PJI7" s="1185"/>
      <c r="PJJ7" s="1185"/>
      <c r="PJK7" s="1185"/>
      <c r="PJL7" s="1185"/>
      <c r="PJM7" s="1185"/>
      <c r="PJN7" s="1185"/>
      <c r="PJO7" s="1185"/>
      <c r="PJP7" s="1185"/>
      <c r="PJQ7" s="1185"/>
      <c r="PJR7" s="1185"/>
      <c r="PJS7" s="1185"/>
      <c r="PJT7" s="1185"/>
      <c r="PJU7" s="1185"/>
      <c r="PJV7" s="1185"/>
      <c r="PJW7" s="1185"/>
      <c r="PJX7" s="1185"/>
      <c r="PJY7" s="1185"/>
      <c r="PJZ7" s="1185"/>
      <c r="PKA7" s="1185"/>
      <c r="PKB7" s="1185"/>
      <c r="PKC7" s="1185"/>
      <c r="PKD7" s="1185"/>
      <c r="PKE7" s="1185"/>
      <c r="PKF7" s="1185"/>
      <c r="PKG7" s="1185"/>
      <c r="PKH7" s="1185"/>
      <c r="PKI7" s="1185"/>
      <c r="PKJ7" s="1185"/>
      <c r="PKK7" s="1185"/>
      <c r="PKL7" s="1185"/>
      <c r="PKM7" s="1185"/>
      <c r="PKN7" s="1185"/>
      <c r="PKO7" s="1185"/>
      <c r="PKP7" s="1185"/>
      <c r="PKQ7" s="1185"/>
      <c r="PKR7" s="1185"/>
      <c r="PKS7" s="1185"/>
      <c r="PKT7" s="1185"/>
      <c r="PKU7" s="1185"/>
      <c r="PKV7" s="1185"/>
      <c r="PKW7" s="1185"/>
      <c r="PKX7" s="1185"/>
      <c r="PKY7" s="1185"/>
      <c r="PKZ7" s="1185"/>
      <c r="PLA7" s="1185"/>
      <c r="PLB7" s="1185"/>
      <c r="PLC7" s="1185"/>
      <c r="PLD7" s="1185"/>
      <c r="PLE7" s="1185"/>
      <c r="PLF7" s="1185"/>
      <c r="PLG7" s="1185"/>
      <c r="PLH7" s="1185"/>
      <c r="PLI7" s="1185"/>
      <c r="PLJ7" s="1185"/>
      <c r="PLK7" s="1185"/>
      <c r="PLL7" s="1185"/>
      <c r="PLM7" s="1185"/>
      <c r="PLN7" s="1185"/>
      <c r="PLO7" s="1185"/>
      <c r="PLP7" s="1185"/>
      <c r="PLQ7" s="1185"/>
      <c r="PLR7" s="1185"/>
      <c r="PLS7" s="1185"/>
      <c r="PLT7" s="1185"/>
      <c r="PLU7" s="1185"/>
      <c r="PLV7" s="1185"/>
      <c r="PLW7" s="1185"/>
      <c r="PLX7" s="1185"/>
      <c r="PLY7" s="1185"/>
      <c r="PLZ7" s="1185"/>
      <c r="PMA7" s="1185"/>
      <c r="PMB7" s="1185"/>
      <c r="PMC7" s="1185"/>
      <c r="PMD7" s="1185"/>
      <c r="PME7" s="1185"/>
      <c r="PMF7" s="1185"/>
      <c r="PMG7" s="1185"/>
      <c r="PMH7" s="1185"/>
      <c r="PMI7" s="1185"/>
      <c r="PMJ7" s="1185"/>
      <c r="PMK7" s="1185"/>
      <c r="PML7" s="1185"/>
      <c r="PMM7" s="1185"/>
      <c r="PMN7" s="1185"/>
      <c r="PMO7" s="1185"/>
      <c r="PMP7" s="1185"/>
      <c r="PMQ7" s="1185"/>
      <c r="PMR7" s="1185"/>
      <c r="PMS7" s="1185"/>
      <c r="PMT7" s="1185"/>
      <c r="PMU7" s="1185"/>
      <c r="PMV7" s="1185"/>
      <c r="PMW7" s="1185"/>
      <c r="PMX7" s="1185"/>
      <c r="PMY7" s="1185"/>
      <c r="PMZ7" s="1185"/>
      <c r="PNA7" s="1185"/>
      <c r="PNB7" s="1185"/>
      <c r="PNC7" s="1185"/>
      <c r="PND7" s="1185"/>
      <c r="PNE7" s="1185"/>
      <c r="PNF7" s="1185"/>
      <c r="PNG7" s="1185"/>
      <c r="PNH7" s="1185"/>
      <c r="PNI7" s="1185"/>
      <c r="PNJ7" s="1185"/>
      <c r="PNK7" s="1185"/>
      <c r="PNL7" s="1185"/>
      <c r="PNM7" s="1185"/>
      <c r="PNN7" s="1185"/>
      <c r="PNO7" s="1185"/>
      <c r="PNP7" s="1185"/>
      <c r="PNQ7" s="1185"/>
      <c r="PNR7" s="1185"/>
      <c r="PNS7" s="1185"/>
      <c r="PNT7" s="1185"/>
      <c r="PNU7" s="1185"/>
      <c r="PNV7" s="1185"/>
      <c r="PNW7" s="1185"/>
      <c r="PNX7" s="1185"/>
      <c r="PNY7" s="1185"/>
      <c r="PNZ7" s="1185"/>
      <c r="POA7" s="1185"/>
      <c r="POB7" s="1185"/>
      <c r="POC7" s="1185"/>
      <c r="POD7" s="1185"/>
      <c r="POE7" s="1185"/>
      <c r="POF7" s="1185"/>
      <c r="POG7" s="1185"/>
      <c r="POH7" s="1185"/>
      <c r="POI7" s="1185"/>
      <c r="POJ7" s="1185"/>
      <c r="POK7" s="1185"/>
      <c r="POL7" s="1185"/>
      <c r="POM7" s="1185"/>
      <c r="PON7" s="1185"/>
      <c r="POO7" s="1185"/>
      <c r="POP7" s="1185"/>
      <c r="POQ7" s="1185"/>
      <c r="POR7" s="1185"/>
      <c r="POS7" s="1185"/>
      <c r="POT7" s="1185"/>
      <c r="POU7" s="1185"/>
      <c r="POV7" s="1185"/>
      <c r="POW7" s="1185"/>
      <c r="POX7" s="1185"/>
      <c r="POY7" s="1185"/>
      <c r="POZ7" s="1185"/>
      <c r="PPA7" s="1185"/>
      <c r="PPB7" s="1185"/>
      <c r="PPC7" s="1185"/>
      <c r="PPD7" s="1185"/>
      <c r="PPE7" s="1185"/>
      <c r="PPF7" s="1185"/>
      <c r="PPG7" s="1185"/>
      <c r="PPH7" s="1185"/>
      <c r="PPI7" s="1185"/>
      <c r="PPJ7" s="1185"/>
      <c r="PPK7" s="1185"/>
      <c r="PPL7" s="1185"/>
      <c r="PPM7" s="1185"/>
      <c r="PPN7" s="1185"/>
      <c r="PPO7" s="1185"/>
      <c r="PPP7" s="1185"/>
      <c r="PPQ7" s="1185"/>
      <c r="PPR7" s="1185"/>
      <c r="PPS7" s="1185"/>
      <c r="PPT7" s="1185"/>
      <c r="PPU7" s="1185"/>
      <c r="PPV7" s="1185"/>
      <c r="PPW7" s="1185"/>
      <c r="PPX7" s="1185"/>
      <c r="PPY7" s="1185"/>
      <c r="PPZ7" s="1185"/>
      <c r="PQA7" s="1185"/>
      <c r="PQB7" s="1185"/>
      <c r="PQC7" s="1185"/>
      <c r="PQD7" s="1185"/>
      <c r="PQE7" s="1185"/>
      <c r="PQF7" s="1185"/>
      <c r="PQG7" s="1185"/>
      <c r="PQH7" s="1185"/>
      <c r="PQI7" s="1185"/>
      <c r="PQJ7" s="1185"/>
      <c r="PQK7" s="1185"/>
      <c r="PQL7" s="1185"/>
      <c r="PQM7" s="1185"/>
      <c r="PQN7" s="1185"/>
      <c r="PQO7" s="1185"/>
      <c r="PQP7" s="1185"/>
      <c r="PQQ7" s="1185"/>
      <c r="PQR7" s="1185"/>
      <c r="PQS7" s="1185"/>
      <c r="PQT7" s="1185"/>
      <c r="PQU7" s="1185"/>
      <c r="PQV7" s="1185"/>
      <c r="PQW7" s="1185"/>
      <c r="PQX7" s="1185"/>
      <c r="PQY7" s="1185"/>
      <c r="PQZ7" s="1185"/>
      <c r="PRA7" s="1185"/>
      <c r="PRB7" s="1185"/>
      <c r="PRC7" s="1185"/>
      <c r="PRD7" s="1185"/>
      <c r="PRE7" s="1185"/>
      <c r="PRF7" s="1185"/>
      <c r="PRG7" s="1185"/>
      <c r="PRH7" s="1185"/>
      <c r="PRI7" s="1185"/>
      <c r="PRJ7" s="1185"/>
      <c r="PRK7" s="1185"/>
      <c r="PRL7" s="1185"/>
      <c r="PRM7" s="1185"/>
      <c r="PRN7" s="1185"/>
      <c r="PRO7" s="1185"/>
      <c r="PRP7" s="1185"/>
      <c r="PRQ7" s="1185"/>
      <c r="PRR7" s="1185"/>
      <c r="PRS7" s="1185"/>
      <c r="PRT7" s="1185"/>
      <c r="PRU7" s="1185"/>
      <c r="PRV7" s="1185"/>
      <c r="PRW7" s="1185"/>
      <c r="PRX7" s="1185"/>
      <c r="PRY7" s="1185"/>
      <c r="PRZ7" s="1185"/>
      <c r="PSA7" s="1185"/>
      <c r="PSB7" s="1185"/>
      <c r="PSC7" s="1185"/>
      <c r="PSD7" s="1185"/>
      <c r="PSE7" s="1185"/>
      <c r="PSF7" s="1185"/>
      <c r="PSG7" s="1185"/>
      <c r="PSH7" s="1185"/>
      <c r="PSI7" s="1185"/>
      <c r="PSJ7" s="1185"/>
      <c r="PSK7" s="1185"/>
      <c r="PSL7" s="1185"/>
      <c r="PSM7" s="1185"/>
      <c r="PSN7" s="1185"/>
      <c r="PSO7" s="1185"/>
      <c r="PSP7" s="1185"/>
      <c r="PSQ7" s="1185"/>
      <c r="PSR7" s="1185"/>
      <c r="PSS7" s="1185"/>
      <c r="PST7" s="1185"/>
      <c r="PSU7" s="1185"/>
      <c r="PSV7" s="1185"/>
      <c r="PSW7" s="1185"/>
      <c r="PSX7" s="1185"/>
      <c r="PSY7" s="1185"/>
      <c r="PSZ7" s="1185"/>
      <c r="PTA7" s="1185"/>
      <c r="PTB7" s="1185"/>
      <c r="PTC7" s="1185"/>
      <c r="PTD7" s="1185"/>
      <c r="PTE7" s="1185"/>
      <c r="PTF7" s="1185"/>
      <c r="PTG7" s="1185"/>
      <c r="PTH7" s="1185"/>
      <c r="PTI7" s="1185"/>
      <c r="PTJ7" s="1185"/>
      <c r="PTK7" s="1185"/>
      <c r="PTL7" s="1185"/>
      <c r="PTM7" s="1185"/>
      <c r="PTN7" s="1185"/>
      <c r="PTO7" s="1185"/>
      <c r="PTP7" s="1185"/>
      <c r="PTQ7" s="1185"/>
      <c r="PTR7" s="1185"/>
      <c r="PTS7" s="1185"/>
      <c r="PTT7" s="1185"/>
      <c r="PTU7" s="1185"/>
      <c r="PTV7" s="1185"/>
      <c r="PTW7" s="1185"/>
      <c r="PTX7" s="1185"/>
      <c r="PTY7" s="1185"/>
      <c r="PTZ7" s="1185"/>
      <c r="PUA7" s="1185"/>
      <c r="PUB7" s="1185"/>
      <c r="PUC7" s="1185"/>
      <c r="PUD7" s="1185"/>
      <c r="PUE7" s="1185"/>
      <c r="PUF7" s="1185"/>
      <c r="PUG7" s="1185"/>
      <c r="PUH7" s="1185"/>
      <c r="PUI7" s="1185"/>
      <c r="PUJ7" s="1185"/>
      <c r="PUK7" s="1185"/>
      <c r="PUL7" s="1185"/>
      <c r="PUM7" s="1185"/>
      <c r="PUN7" s="1185"/>
      <c r="PUO7" s="1185"/>
      <c r="PUP7" s="1185"/>
      <c r="PUQ7" s="1185"/>
      <c r="PUR7" s="1185"/>
      <c r="PUS7" s="1185"/>
      <c r="PUT7" s="1185"/>
      <c r="PUU7" s="1185"/>
      <c r="PUV7" s="1185"/>
      <c r="PUW7" s="1185"/>
      <c r="PUX7" s="1185"/>
      <c r="PUY7" s="1185"/>
      <c r="PUZ7" s="1185"/>
      <c r="PVA7" s="1185"/>
      <c r="PVB7" s="1185"/>
      <c r="PVC7" s="1185"/>
      <c r="PVD7" s="1185"/>
      <c r="PVE7" s="1185"/>
      <c r="PVF7" s="1185"/>
      <c r="PVG7" s="1185"/>
      <c r="PVH7" s="1185"/>
      <c r="PVI7" s="1185"/>
      <c r="PVJ7" s="1185"/>
      <c r="PVK7" s="1185"/>
      <c r="PVL7" s="1185"/>
      <c r="PVM7" s="1185"/>
      <c r="PVN7" s="1185"/>
      <c r="PVO7" s="1185"/>
      <c r="PVP7" s="1185"/>
      <c r="PVQ7" s="1185"/>
      <c r="PVR7" s="1185"/>
      <c r="PVS7" s="1185"/>
      <c r="PVT7" s="1185"/>
      <c r="PVU7" s="1185"/>
      <c r="PVV7" s="1185"/>
      <c r="PVW7" s="1185"/>
      <c r="PVX7" s="1185"/>
      <c r="PVY7" s="1185"/>
      <c r="PVZ7" s="1185"/>
      <c r="PWA7" s="1185"/>
      <c r="PWB7" s="1185"/>
      <c r="PWC7" s="1185"/>
      <c r="PWD7" s="1185"/>
      <c r="PWE7" s="1185"/>
      <c r="PWF7" s="1185"/>
      <c r="PWG7" s="1185"/>
      <c r="PWH7" s="1185"/>
      <c r="PWI7" s="1185"/>
      <c r="PWJ7" s="1185"/>
      <c r="PWK7" s="1185"/>
      <c r="PWL7" s="1185"/>
      <c r="PWM7" s="1185"/>
      <c r="PWN7" s="1185"/>
      <c r="PWO7" s="1185"/>
      <c r="PWP7" s="1185"/>
      <c r="PWQ7" s="1185"/>
      <c r="PWR7" s="1185"/>
      <c r="PWS7" s="1185"/>
      <c r="PWT7" s="1185"/>
      <c r="PWU7" s="1185"/>
      <c r="PWV7" s="1185"/>
      <c r="PWW7" s="1185"/>
      <c r="PWX7" s="1185"/>
      <c r="PWY7" s="1185"/>
      <c r="PWZ7" s="1185"/>
      <c r="PXA7" s="1185"/>
      <c r="PXB7" s="1185"/>
      <c r="PXC7" s="1185"/>
      <c r="PXD7" s="1185"/>
      <c r="PXE7" s="1185"/>
      <c r="PXF7" s="1185"/>
      <c r="PXG7" s="1185"/>
      <c r="PXH7" s="1185"/>
      <c r="PXI7" s="1185"/>
      <c r="PXJ7" s="1185"/>
      <c r="PXK7" s="1185"/>
      <c r="PXL7" s="1185"/>
      <c r="PXM7" s="1185"/>
      <c r="PXN7" s="1185"/>
      <c r="PXO7" s="1185"/>
      <c r="PXP7" s="1185"/>
      <c r="PXQ7" s="1185"/>
      <c r="PXR7" s="1185"/>
      <c r="PXS7" s="1185"/>
      <c r="PXT7" s="1185"/>
      <c r="PXU7" s="1185"/>
      <c r="PXV7" s="1185"/>
      <c r="PXW7" s="1185"/>
      <c r="PXX7" s="1185"/>
      <c r="PXY7" s="1185"/>
      <c r="PXZ7" s="1185"/>
      <c r="PYA7" s="1185"/>
      <c r="PYB7" s="1185"/>
      <c r="PYC7" s="1185"/>
      <c r="PYD7" s="1185"/>
      <c r="PYE7" s="1185"/>
      <c r="PYF7" s="1185"/>
      <c r="PYG7" s="1185"/>
      <c r="PYH7" s="1185"/>
      <c r="PYI7" s="1185"/>
      <c r="PYJ7" s="1185"/>
      <c r="PYK7" s="1185"/>
      <c r="PYL7" s="1185"/>
      <c r="PYM7" s="1185"/>
      <c r="PYN7" s="1185"/>
      <c r="PYO7" s="1185"/>
      <c r="PYP7" s="1185"/>
      <c r="PYQ7" s="1185"/>
      <c r="PYR7" s="1185"/>
      <c r="PYS7" s="1185"/>
      <c r="PYT7" s="1185"/>
      <c r="PYU7" s="1185"/>
      <c r="PYV7" s="1185"/>
      <c r="PYW7" s="1185"/>
      <c r="PYX7" s="1185"/>
      <c r="PYY7" s="1185"/>
      <c r="PYZ7" s="1185"/>
      <c r="PZA7" s="1185"/>
      <c r="PZB7" s="1185"/>
      <c r="PZC7" s="1185"/>
      <c r="PZD7" s="1185"/>
      <c r="PZE7" s="1185"/>
      <c r="PZF7" s="1185"/>
      <c r="PZG7" s="1185"/>
      <c r="PZH7" s="1185"/>
      <c r="PZI7" s="1185"/>
      <c r="PZJ7" s="1185"/>
      <c r="PZK7" s="1185"/>
      <c r="PZL7" s="1185"/>
      <c r="PZM7" s="1185"/>
      <c r="PZN7" s="1185"/>
      <c r="PZO7" s="1185"/>
      <c r="PZP7" s="1185"/>
      <c r="PZQ7" s="1185"/>
      <c r="PZR7" s="1185"/>
      <c r="PZS7" s="1185"/>
      <c r="PZT7" s="1185"/>
      <c r="PZU7" s="1185"/>
      <c r="PZV7" s="1185"/>
      <c r="PZW7" s="1185"/>
      <c r="PZX7" s="1185"/>
      <c r="PZY7" s="1185"/>
      <c r="PZZ7" s="1185"/>
      <c r="QAA7" s="1185"/>
      <c r="QAB7" s="1185"/>
      <c r="QAC7" s="1185"/>
      <c r="QAD7" s="1185"/>
      <c r="QAE7" s="1185"/>
      <c r="QAF7" s="1185"/>
      <c r="QAG7" s="1185"/>
      <c r="QAH7" s="1185"/>
      <c r="QAI7" s="1185"/>
      <c r="QAJ7" s="1185"/>
      <c r="QAK7" s="1185"/>
      <c r="QAL7" s="1185"/>
      <c r="QAM7" s="1185"/>
      <c r="QAN7" s="1185"/>
      <c r="QAO7" s="1185"/>
      <c r="QAP7" s="1185"/>
      <c r="QAQ7" s="1185"/>
      <c r="QAR7" s="1185"/>
      <c r="QAS7" s="1185"/>
      <c r="QAT7" s="1185"/>
      <c r="QAU7" s="1185"/>
      <c r="QAV7" s="1185"/>
      <c r="QAW7" s="1185"/>
      <c r="QAX7" s="1185"/>
      <c r="QAY7" s="1185"/>
      <c r="QAZ7" s="1185"/>
      <c r="QBA7" s="1185"/>
      <c r="QBB7" s="1185"/>
      <c r="QBC7" s="1185"/>
      <c r="QBD7" s="1185"/>
      <c r="QBE7" s="1185"/>
      <c r="QBF7" s="1185"/>
      <c r="QBG7" s="1185"/>
      <c r="QBH7" s="1185"/>
      <c r="QBI7" s="1185"/>
      <c r="QBJ7" s="1185"/>
      <c r="QBK7" s="1185"/>
      <c r="QBL7" s="1185"/>
      <c r="QBM7" s="1185"/>
      <c r="QBN7" s="1185"/>
      <c r="QBO7" s="1185"/>
      <c r="QBP7" s="1185"/>
      <c r="QBQ7" s="1185"/>
      <c r="QBR7" s="1185"/>
      <c r="QBS7" s="1185"/>
      <c r="QBT7" s="1185"/>
      <c r="QBU7" s="1185"/>
      <c r="QBV7" s="1185"/>
      <c r="QBW7" s="1185"/>
      <c r="QBX7" s="1185"/>
      <c r="QBY7" s="1185"/>
      <c r="QBZ7" s="1185"/>
      <c r="QCA7" s="1185"/>
      <c r="QCB7" s="1185"/>
      <c r="QCC7" s="1185"/>
      <c r="QCD7" s="1185"/>
      <c r="QCE7" s="1185"/>
      <c r="QCF7" s="1185"/>
      <c r="QCG7" s="1185"/>
      <c r="QCH7" s="1185"/>
      <c r="QCI7" s="1185"/>
      <c r="QCJ7" s="1185"/>
      <c r="QCK7" s="1185"/>
      <c r="QCL7" s="1185"/>
      <c r="QCM7" s="1185"/>
      <c r="QCN7" s="1185"/>
      <c r="QCO7" s="1185"/>
      <c r="QCP7" s="1185"/>
      <c r="QCQ7" s="1185"/>
      <c r="QCR7" s="1185"/>
      <c r="QCS7" s="1185"/>
      <c r="QCT7" s="1185"/>
      <c r="QCU7" s="1185"/>
      <c r="QCV7" s="1185"/>
      <c r="QCW7" s="1185"/>
      <c r="QCX7" s="1185"/>
      <c r="QCY7" s="1185"/>
      <c r="QCZ7" s="1185"/>
      <c r="QDA7" s="1185"/>
      <c r="QDB7" s="1185"/>
      <c r="QDC7" s="1185"/>
      <c r="QDD7" s="1185"/>
      <c r="QDE7" s="1185"/>
      <c r="QDF7" s="1185"/>
      <c r="QDG7" s="1185"/>
      <c r="QDH7" s="1185"/>
      <c r="QDI7" s="1185"/>
      <c r="QDJ7" s="1185"/>
      <c r="QDK7" s="1185"/>
      <c r="QDL7" s="1185"/>
      <c r="QDM7" s="1185"/>
      <c r="QDN7" s="1185"/>
      <c r="QDO7" s="1185"/>
      <c r="QDP7" s="1185"/>
      <c r="QDQ7" s="1185"/>
      <c r="QDR7" s="1185"/>
      <c r="QDS7" s="1185"/>
      <c r="QDT7" s="1185"/>
      <c r="QDU7" s="1185"/>
      <c r="QDV7" s="1185"/>
      <c r="QDW7" s="1185"/>
      <c r="QDX7" s="1185"/>
      <c r="QDY7" s="1185"/>
      <c r="QDZ7" s="1185"/>
      <c r="QEA7" s="1185"/>
      <c r="QEB7" s="1185"/>
      <c r="QEC7" s="1185"/>
      <c r="QED7" s="1185"/>
      <c r="QEE7" s="1185"/>
      <c r="QEF7" s="1185"/>
      <c r="QEG7" s="1185"/>
      <c r="QEH7" s="1185"/>
      <c r="QEI7" s="1185"/>
      <c r="QEJ7" s="1185"/>
      <c r="QEK7" s="1185"/>
      <c r="QEL7" s="1185"/>
      <c r="QEM7" s="1185"/>
      <c r="QEN7" s="1185"/>
      <c r="QEO7" s="1185"/>
      <c r="QEP7" s="1185"/>
      <c r="QEQ7" s="1185"/>
      <c r="QER7" s="1185"/>
      <c r="QES7" s="1185"/>
      <c r="QET7" s="1185"/>
      <c r="QEU7" s="1185"/>
      <c r="QEV7" s="1185"/>
      <c r="QEW7" s="1185"/>
      <c r="QEX7" s="1185"/>
      <c r="QEY7" s="1185"/>
      <c r="QEZ7" s="1185"/>
      <c r="QFA7" s="1185"/>
      <c r="QFB7" s="1185"/>
      <c r="QFC7" s="1185"/>
      <c r="QFD7" s="1185"/>
      <c r="QFE7" s="1185"/>
      <c r="QFF7" s="1185"/>
      <c r="QFG7" s="1185"/>
      <c r="QFH7" s="1185"/>
      <c r="QFI7" s="1185"/>
      <c r="QFJ7" s="1185"/>
      <c r="QFK7" s="1185"/>
      <c r="QFL7" s="1185"/>
      <c r="QFM7" s="1185"/>
      <c r="QFN7" s="1185"/>
      <c r="QFO7" s="1185"/>
      <c r="QFP7" s="1185"/>
      <c r="QFQ7" s="1185"/>
      <c r="QFR7" s="1185"/>
      <c r="QFS7" s="1185"/>
      <c r="QFT7" s="1185"/>
      <c r="QFU7" s="1185"/>
      <c r="QFV7" s="1185"/>
      <c r="QFW7" s="1185"/>
      <c r="QFX7" s="1185"/>
      <c r="QFY7" s="1185"/>
      <c r="QFZ7" s="1185"/>
      <c r="QGA7" s="1185"/>
      <c r="QGB7" s="1185"/>
      <c r="QGC7" s="1185"/>
      <c r="QGD7" s="1185"/>
      <c r="QGE7" s="1185"/>
      <c r="QGF7" s="1185"/>
      <c r="QGG7" s="1185"/>
      <c r="QGH7" s="1185"/>
      <c r="QGI7" s="1185"/>
      <c r="QGJ7" s="1185"/>
      <c r="QGK7" s="1185"/>
      <c r="QGL7" s="1185"/>
      <c r="QGM7" s="1185"/>
      <c r="QGN7" s="1185"/>
      <c r="QGO7" s="1185"/>
      <c r="QGP7" s="1185"/>
      <c r="QGQ7" s="1185"/>
      <c r="QGR7" s="1185"/>
      <c r="QGS7" s="1185"/>
      <c r="QGT7" s="1185"/>
      <c r="QGU7" s="1185"/>
      <c r="QGV7" s="1185"/>
      <c r="QGW7" s="1185"/>
      <c r="QGX7" s="1185"/>
      <c r="QGY7" s="1185"/>
      <c r="QGZ7" s="1185"/>
      <c r="QHA7" s="1185"/>
      <c r="QHB7" s="1185"/>
      <c r="QHC7" s="1185"/>
      <c r="QHD7" s="1185"/>
      <c r="QHE7" s="1185"/>
      <c r="QHF7" s="1185"/>
      <c r="QHG7" s="1185"/>
      <c r="QHH7" s="1185"/>
      <c r="QHI7" s="1185"/>
      <c r="QHJ7" s="1185"/>
      <c r="QHK7" s="1185"/>
      <c r="QHL7" s="1185"/>
      <c r="QHM7" s="1185"/>
      <c r="QHN7" s="1185"/>
      <c r="QHO7" s="1185"/>
      <c r="QHP7" s="1185"/>
      <c r="QHQ7" s="1185"/>
      <c r="QHR7" s="1185"/>
      <c r="QHS7" s="1185"/>
      <c r="QHT7" s="1185"/>
      <c r="QHU7" s="1185"/>
      <c r="QHV7" s="1185"/>
      <c r="QHW7" s="1185"/>
      <c r="QHX7" s="1185"/>
      <c r="QHY7" s="1185"/>
      <c r="QHZ7" s="1185"/>
      <c r="QIA7" s="1185"/>
      <c r="QIB7" s="1185"/>
      <c r="QIC7" s="1185"/>
      <c r="QID7" s="1185"/>
      <c r="QIE7" s="1185"/>
      <c r="QIF7" s="1185"/>
      <c r="QIG7" s="1185"/>
      <c r="QIH7" s="1185"/>
      <c r="QII7" s="1185"/>
      <c r="QIJ7" s="1185"/>
      <c r="QIK7" s="1185"/>
      <c r="QIL7" s="1185"/>
      <c r="QIM7" s="1185"/>
      <c r="QIN7" s="1185"/>
      <c r="QIO7" s="1185"/>
      <c r="QIP7" s="1185"/>
      <c r="QIQ7" s="1185"/>
      <c r="QIR7" s="1185"/>
      <c r="QIS7" s="1185"/>
      <c r="QIT7" s="1185"/>
      <c r="QIU7" s="1185"/>
      <c r="QIV7" s="1185"/>
      <c r="QIW7" s="1185"/>
      <c r="QIX7" s="1185"/>
      <c r="QIY7" s="1185"/>
      <c r="QIZ7" s="1185"/>
      <c r="QJA7" s="1185"/>
      <c r="QJB7" s="1185"/>
      <c r="QJC7" s="1185"/>
      <c r="QJD7" s="1185"/>
      <c r="QJE7" s="1185"/>
      <c r="QJF7" s="1185"/>
      <c r="QJG7" s="1185"/>
      <c r="QJH7" s="1185"/>
      <c r="QJI7" s="1185"/>
      <c r="QJJ7" s="1185"/>
      <c r="QJK7" s="1185"/>
      <c r="QJL7" s="1185"/>
      <c r="QJM7" s="1185"/>
      <c r="QJN7" s="1185"/>
      <c r="QJO7" s="1185"/>
      <c r="QJP7" s="1185"/>
      <c r="QJQ7" s="1185"/>
      <c r="QJR7" s="1185"/>
      <c r="QJS7" s="1185"/>
      <c r="QJT7" s="1185"/>
      <c r="QJU7" s="1185"/>
      <c r="QJV7" s="1185"/>
      <c r="QJW7" s="1185"/>
      <c r="QJX7" s="1185"/>
      <c r="QJY7" s="1185"/>
      <c r="QJZ7" s="1185"/>
      <c r="QKA7" s="1185"/>
      <c r="QKB7" s="1185"/>
      <c r="QKC7" s="1185"/>
      <c r="QKD7" s="1185"/>
      <c r="QKE7" s="1185"/>
      <c r="QKF7" s="1185"/>
      <c r="QKG7" s="1185"/>
      <c r="QKH7" s="1185"/>
      <c r="QKI7" s="1185"/>
      <c r="QKJ7" s="1185"/>
      <c r="QKK7" s="1185"/>
      <c r="QKL7" s="1185"/>
      <c r="QKM7" s="1185"/>
      <c r="QKN7" s="1185"/>
      <c r="QKO7" s="1185"/>
      <c r="QKP7" s="1185"/>
      <c r="QKQ7" s="1185"/>
      <c r="QKR7" s="1185"/>
      <c r="QKS7" s="1185"/>
      <c r="QKT7" s="1185"/>
      <c r="QKU7" s="1185"/>
      <c r="QKV7" s="1185"/>
      <c r="QKW7" s="1185"/>
      <c r="QKX7" s="1185"/>
      <c r="QKY7" s="1185"/>
      <c r="QKZ7" s="1185"/>
      <c r="QLA7" s="1185"/>
      <c r="QLB7" s="1185"/>
      <c r="QLC7" s="1185"/>
      <c r="QLD7" s="1185"/>
      <c r="QLE7" s="1185"/>
      <c r="QLF7" s="1185"/>
      <c r="QLG7" s="1185"/>
      <c r="QLH7" s="1185"/>
      <c r="QLI7" s="1185"/>
      <c r="QLJ7" s="1185"/>
      <c r="QLK7" s="1185"/>
      <c r="QLL7" s="1185"/>
      <c r="QLM7" s="1185"/>
      <c r="QLN7" s="1185"/>
      <c r="QLO7" s="1185"/>
      <c r="QLP7" s="1185"/>
      <c r="QLQ7" s="1185"/>
      <c r="QLR7" s="1185"/>
      <c r="QLS7" s="1185"/>
      <c r="QLT7" s="1185"/>
      <c r="QLU7" s="1185"/>
      <c r="QLV7" s="1185"/>
      <c r="QLW7" s="1185"/>
      <c r="QLX7" s="1185"/>
      <c r="QLY7" s="1185"/>
      <c r="QLZ7" s="1185"/>
      <c r="QMA7" s="1185"/>
      <c r="QMB7" s="1185"/>
      <c r="QMC7" s="1185"/>
      <c r="QMD7" s="1185"/>
      <c r="QME7" s="1185"/>
      <c r="QMF7" s="1185"/>
      <c r="QMG7" s="1185"/>
      <c r="QMH7" s="1185"/>
      <c r="QMI7" s="1185"/>
      <c r="QMJ7" s="1185"/>
      <c r="QMK7" s="1185"/>
      <c r="QML7" s="1185"/>
      <c r="QMM7" s="1185"/>
      <c r="QMN7" s="1185"/>
      <c r="QMO7" s="1185"/>
      <c r="QMP7" s="1185"/>
      <c r="QMQ7" s="1185"/>
      <c r="QMR7" s="1185"/>
      <c r="QMS7" s="1185"/>
      <c r="QMT7" s="1185"/>
      <c r="QMU7" s="1185"/>
      <c r="QMV7" s="1185"/>
      <c r="QMW7" s="1185"/>
      <c r="QMX7" s="1185"/>
      <c r="QMY7" s="1185"/>
      <c r="QMZ7" s="1185"/>
      <c r="QNA7" s="1185"/>
      <c r="QNB7" s="1185"/>
      <c r="QNC7" s="1185"/>
      <c r="QND7" s="1185"/>
      <c r="QNE7" s="1185"/>
      <c r="QNF7" s="1185"/>
      <c r="QNG7" s="1185"/>
      <c r="QNH7" s="1185"/>
      <c r="QNI7" s="1185"/>
      <c r="QNJ7" s="1185"/>
      <c r="QNK7" s="1185"/>
      <c r="QNL7" s="1185"/>
      <c r="QNM7" s="1185"/>
      <c r="QNN7" s="1185"/>
      <c r="QNO7" s="1185"/>
      <c r="QNP7" s="1185"/>
      <c r="QNQ7" s="1185"/>
      <c r="QNR7" s="1185"/>
      <c r="QNS7" s="1185"/>
      <c r="QNT7" s="1185"/>
      <c r="QNU7" s="1185"/>
      <c r="QNV7" s="1185"/>
      <c r="QNW7" s="1185"/>
      <c r="QNX7" s="1185"/>
      <c r="QNY7" s="1185"/>
      <c r="QNZ7" s="1185"/>
      <c r="QOA7" s="1185"/>
      <c r="QOB7" s="1185"/>
      <c r="QOC7" s="1185"/>
      <c r="QOD7" s="1185"/>
      <c r="QOE7" s="1185"/>
      <c r="QOF7" s="1185"/>
      <c r="QOG7" s="1185"/>
      <c r="QOH7" s="1185"/>
      <c r="QOI7" s="1185"/>
      <c r="QOJ7" s="1185"/>
      <c r="QOK7" s="1185"/>
      <c r="QOL7" s="1185"/>
      <c r="QOM7" s="1185"/>
      <c r="QON7" s="1185"/>
      <c r="QOO7" s="1185"/>
      <c r="QOP7" s="1185"/>
      <c r="QOQ7" s="1185"/>
      <c r="QOR7" s="1185"/>
      <c r="QOS7" s="1185"/>
      <c r="QOT7" s="1185"/>
      <c r="QOU7" s="1185"/>
      <c r="QOV7" s="1185"/>
      <c r="QOW7" s="1185"/>
      <c r="QOX7" s="1185"/>
      <c r="QOY7" s="1185"/>
      <c r="QOZ7" s="1185"/>
      <c r="QPA7" s="1185"/>
      <c r="QPB7" s="1185"/>
      <c r="QPC7" s="1185"/>
      <c r="QPD7" s="1185"/>
      <c r="QPE7" s="1185"/>
      <c r="QPF7" s="1185"/>
      <c r="QPG7" s="1185"/>
      <c r="QPH7" s="1185"/>
      <c r="QPI7" s="1185"/>
      <c r="QPJ7" s="1185"/>
      <c r="QPK7" s="1185"/>
      <c r="QPL7" s="1185"/>
      <c r="QPM7" s="1185"/>
      <c r="QPN7" s="1185"/>
      <c r="QPO7" s="1185"/>
      <c r="QPP7" s="1185"/>
      <c r="QPQ7" s="1185"/>
      <c r="QPR7" s="1185"/>
      <c r="QPS7" s="1185"/>
      <c r="QPT7" s="1185"/>
      <c r="QPU7" s="1185"/>
      <c r="QPV7" s="1185"/>
      <c r="QPW7" s="1185"/>
      <c r="QPX7" s="1185"/>
      <c r="QPY7" s="1185"/>
      <c r="QPZ7" s="1185"/>
      <c r="QQA7" s="1185"/>
      <c r="QQB7" s="1185"/>
      <c r="QQC7" s="1185"/>
      <c r="QQD7" s="1185"/>
      <c r="QQE7" s="1185"/>
      <c r="QQF7" s="1185"/>
      <c r="QQG7" s="1185"/>
      <c r="QQH7" s="1185"/>
      <c r="QQI7" s="1185"/>
      <c r="QQJ7" s="1185"/>
      <c r="QQK7" s="1185"/>
      <c r="QQL7" s="1185"/>
      <c r="QQM7" s="1185"/>
      <c r="QQN7" s="1185"/>
      <c r="QQO7" s="1185"/>
      <c r="QQP7" s="1185"/>
      <c r="QQQ7" s="1185"/>
      <c r="QQR7" s="1185"/>
      <c r="QQS7" s="1185"/>
      <c r="QQT7" s="1185"/>
      <c r="QQU7" s="1185"/>
      <c r="QQV7" s="1185"/>
      <c r="QQW7" s="1185"/>
      <c r="QQX7" s="1185"/>
      <c r="QQY7" s="1185"/>
      <c r="QQZ7" s="1185"/>
      <c r="QRA7" s="1185"/>
      <c r="QRB7" s="1185"/>
      <c r="QRC7" s="1185"/>
      <c r="QRD7" s="1185"/>
      <c r="QRE7" s="1185"/>
      <c r="QRF7" s="1185"/>
      <c r="QRG7" s="1185"/>
      <c r="QRH7" s="1185"/>
      <c r="QRI7" s="1185"/>
      <c r="QRJ7" s="1185"/>
      <c r="QRK7" s="1185"/>
      <c r="QRL7" s="1185"/>
      <c r="QRM7" s="1185"/>
      <c r="QRN7" s="1185"/>
      <c r="QRO7" s="1185"/>
      <c r="QRP7" s="1185"/>
      <c r="QRQ7" s="1185"/>
      <c r="QRR7" s="1185"/>
      <c r="QRS7" s="1185"/>
      <c r="QRT7" s="1185"/>
      <c r="QRU7" s="1185"/>
      <c r="QRV7" s="1185"/>
      <c r="QRW7" s="1185"/>
      <c r="QRX7" s="1185"/>
      <c r="QRY7" s="1185"/>
      <c r="QRZ7" s="1185"/>
      <c r="QSA7" s="1185"/>
      <c r="QSB7" s="1185"/>
      <c r="QSC7" s="1185"/>
      <c r="QSD7" s="1185"/>
      <c r="QSE7" s="1185"/>
      <c r="QSF7" s="1185"/>
      <c r="QSG7" s="1185"/>
      <c r="QSH7" s="1185"/>
      <c r="QSI7" s="1185"/>
      <c r="QSJ7" s="1185"/>
      <c r="QSK7" s="1185"/>
      <c r="QSL7" s="1185"/>
      <c r="QSM7" s="1185"/>
      <c r="QSN7" s="1185"/>
      <c r="QSO7" s="1185"/>
      <c r="QSP7" s="1185"/>
      <c r="QSQ7" s="1185"/>
      <c r="QSR7" s="1185"/>
      <c r="QSS7" s="1185"/>
      <c r="QST7" s="1185"/>
      <c r="QSU7" s="1185"/>
      <c r="QSV7" s="1185"/>
      <c r="QSW7" s="1185"/>
      <c r="QSX7" s="1185"/>
      <c r="QSY7" s="1185"/>
      <c r="QSZ7" s="1185"/>
      <c r="QTA7" s="1185"/>
      <c r="QTB7" s="1185"/>
      <c r="QTC7" s="1185"/>
      <c r="QTD7" s="1185"/>
      <c r="QTE7" s="1185"/>
      <c r="QTF7" s="1185"/>
      <c r="QTG7" s="1185"/>
      <c r="QTH7" s="1185"/>
      <c r="QTI7" s="1185"/>
      <c r="QTJ7" s="1185"/>
      <c r="QTK7" s="1185"/>
      <c r="QTL7" s="1185"/>
      <c r="QTM7" s="1185"/>
      <c r="QTN7" s="1185"/>
      <c r="QTO7" s="1185"/>
      <c r="QTP7" s="1185"/>
      <c r="QTQ7" s="1185"/>
      <c r="QTR7" s="1185"/>
      <c r="QTS7" s="1185"/>
      <c r="QTT7" s="1185"/>
      <c r="QTU7" s="1185"/>
      <c r="QTV7" s="1185"/>
      <c r="QTW7" s="1185"/>
      <c r="QTX7" s="1185"/>
      <c r="QTY7" s="1185"/>
      <c r="QTZ7" s="1185"/>
      <c r="QUA7" s="1185"/>
      <c r="QUB7" s="1185"/>
      <c r="QUC7" s="1185"/>
      <c r="QUD7" s="1185"/>
      <c r="QUE7" s="1185"/>
      <c r="QUF7" s="1185"/>
      <c r="QUG7" s="1185"/>
      <c r="QUH7" s="1185"/>
      <c r="QUI7" s="1185"/>
      <c r="QUJ7" s="1185"/>
      <c r="QUK7" s="1185"/>
      <c r="QUL7" s="1185"/>
      <c r="QUM7" s="1185"/>
      <c r="QUN7" s="1185"/>
      <c r="QUO7" s="1185"/>
      <c r="QUP7" s="1185"/>
      <c r="QUQ7" s="1185"/>
      <c r="QUR7" s="1185"/>
      <c r="QUS7" s="1185"/>
      <c r="QUT7" s="1185"/>
      <c r="QUU7" s="1185"/>
      <c r="QUV7" s="1185"/>
      <c r="QUW7" s="1185"/>
      <c r="QUX7" s="1185"/>
      <c r="QUY7" s="1185"/>
      <c r="QUZ7" s="1185"/>
      <c r="QVA7" s="1185"/>
      <c r="QVB7" s="1185"/>
      <c r="QVC7" s="1185"/>
      <c r="QVD7" s="1185"/>
      <c r="QVE7" s="1185"/>
      <c r="QVF7" s="1185"/>
      <c r="QVG7" s="1185"/>
      <c r="QVH7" s="1185"/>
      <c r="QVI7" s="1185"/>
      <c r="QVJ7" s="1185"/>
      <c r="QVK7" s="1185"/>
      <c r="QVL7" s="1185"/>
      <c r="QVM7" s="1185"/>
      <c r="QVN7" s="1185"/>
      <c r="QVO7" s="1185"/>
      <c r="QVP7" s="1185"/>
      <c r="QVQ7" s="1185"/>
      <c r="QVR7" s="1185"/>
      <c r="QVS7" s="1185"/>
      <c r="QVT7" s="1185"/>
      <c r="QVU7" s="1185"/>
      <c r="QVV7" s="1185"/>
      <c r="QVW7" s="1185"/>
      <c r="QVX7" s="1185"/>
      <c r="QVY7" s="1185"/>
      <c r="QVZ7" s="1185"/>
      <c r="QWA7" s="1185"/>
      <c r="QWB7" s="1185"/>
      <c r="QWC7" s="1185"/>
      <c r="QWD7" s="1185"/>
      <c r="QWE7" s="1185"/>
      <c r="QWF7" s="1185"/>
      <c r="QWG7" s="1185"/>
      <c r="QWH7" s="1185"/>
      <c r="QWI7" s="1185"/>
      <c r="QWJ7" s="1185"/>
      <c r="QWK7" s="1185"/>
      <c r="QWL7" s="1185"/>
      <c r="QWM7" s="1185"/>
      <c r="QWN7" s="1185"/>
      <c r="QWO7" s="1185"/>
      <c r="QWP7" s="1185"/>
      <c r="QWQ7" s="1185"/>
      <c r="QWR7" s="1185"/>
      <c r="QWS7" s="1185"/>
      <c r="QWT7" s="1185"/>
      <c r="QWU7" s="1185"/>
      <c r="QWV7" s="1185"/>
      <c r="QWW7" s="1185"/>
      <c r="QWX7" s="1185"/>
      <c r="QWY7" s="1185"/>
      <c r="QWZ7" s="1185"/>
      <c r="QXA7" s="1185"/>
      <c r="QXB7" s="1185"/>
      <c r="QXC7" s="1185"/>
      <c r="QXD7" s="1185"/>
      <c r="QXE7" s="1185"/>
      <c r="QXF7" s="1185"/>
      <c r="QXG7" s="1185"/>
      <c r="QXH7" s="1185"/>
      <c r="QXI7" s="1185"/>
      <c r="QXJ7" s="1185"/>
      <c r="QXK7" s="1185"/>
      <c r="QXL7" s="1185"/>
      <c r="QXM7" s="1185"/>
      <c r="QXN7" s="1185"/>
      <c r="QXO7" s="1185"/>
      <c r="QXP7" s="1185"/>
      <c r="QXQ7" s="1185"/>
      <c r="QXR7" s="1185"/>
      <c r="QXS7" s="1185"/>
      <c r="QXT7" s="1185"/>
      <c r="QXU7" s="1185"/>
      <c r="QXV7" s="1185"/>
      <c r="QXW7" s="1185"/>
      <c r="QXX7" s="1185"/>
      <c r="QXY7" s="1185"/>
      <c r="QXZ7" s="1185"/>
      <c r="QYA7" s="1185"/>
      <c r="QYB7" s="1185"/>
      <c r="QYC7" s="1185"/>
      <c r="QYD7" s="1185"/>
      <c r="QYE7" s="1185"/>
      <c r="QYF7" s="1185"/>
      <c r="QYG7" s="1185"/>
      <c r="QYH7" s="1185"/>
      <c r="QYI7" s="1185"/>
      <c r="QYJ7" s="1185"/>
      <c r="QYK7" s="1185"/>
      <c r="QYL7" s="1185"/>
      <c r="QYM7" s="1185"/>
      <c r="QYN7" s="1185"/>
      <c r="QYO7" s="1185"/>
      <c r="QYP7" s="1185"/>
      <c r="QYQ7" s="1185"/>
      <c r="QYR7" s="1185"/>
      <c r="QYS7" s="1185"/>
      <c r="QYT7" s="1185"/>
      <c r="QYU7" s="1185"/>
      <c r="QYV7" s="1185"/>
      <c r="QYW7" s="1185"/>
      <c r="QYX7" s="1185"/>
      <c r="QYY7" s="1185"/>
      <c r="QYZ7" s="1185"/>
      <c r="QZA7" s="1185"/>
      <c r="QZB7" s="1185"/>
      <c r="QZC7" s="1185"/>
      <c r="QZD7" s="1185"/>
      <c r="QZE7" s="1185"/>
      <c r="QZF7" s="1185"/>
      <c r="QZG7" s="1185"/>
      <c r="QZH7" s="1185"/>
      <c r="QZI7" s="1185"/>
      <c r="QZJ7" s="1185"/>
      <c r="QZK7" s="1185"/>
      <c r="QZL7" s="1185"/>
      <c r="QZM7" s="1185"/>
      <c r="QZN7" s="1185"/>
      <c r="QZO7" s="1185"/>
      <c r="QZP7" s="1185"/>
      <c r="QZQ7" s="1185"/>
      <c r="QZR7" s="1185"/>
      <c r="QZS7" s="1185"/>
      <c r="QZT7" s="1185"/>
      <c r="QZU7" s="1185"/>
      <c r="QZV7" s="1185"/>
      <c r="QZW7" s="1185"/>
      <c r="QZX7" s="1185"/>
      <c r="QZY7" s="1185"/>
      <c r="QZZ7" s="1185"/>
      <c r="RAA7" s="1185"/>
      <c r="RAB7" s="1185"/>
      <c r="RAC7" s="1185"/>
      <c r="RAD7" s="1185"/>
      <c r="RAE7" s="1185"/>
      <c r="RAF7" s="1185"/>
      <c r="RAG7" s="1185"/>
      <c r="RAH7" s="1185"/>
      <c r="RAI7" s="1185"/>
      <c r="RAJ7" s="1185"/>
      <c r="RAK7" s="1185"/>
      <c r="RAL7" s="1185"/>
      <c r="RAM7" s="1185"/>
      <c r="RAN7" s="1185"/>
      <c r="RAO7" s="1185"/>
      <c r="RAP7" s="1185"/>
      <c r="RAQ7" s="1185"/>
      <c r="RAR7" s="1185"/>
      <c r="RAS7" s="1185"/>
      <c r="RAT7" s="1185"/>
      <c r="RAU7" s="1185"/>
      <c r="RAV7" s="1185"/>
      <c r="RAW7" s="1185"/>
      <c r="RAX7" s="1185"/>
      <c r="RAY7" s="1185"/>
      <c r="RAZ7" s="1185"/>
      <c r="RBA7" s="1185"/>
      <c r="RBB7" s="1185"/>
      <c r="RBC7" s="1185"/>
      <c r="RBD7" s="1185"/>
      <c r="RBE7" s="1185"/>
      <c r="RBF7" s="1185"/>
      <c r="RBG7" s="1185"/>
      <c r="RBH7" s="1185"/>
      <c r="RBI7" s="1185"/>
      <c r="RBJ7" s="1185"/>
      <c r="RBK7" s="1185"/>
      <c r="RBL7" s="1185"/>
      <c r="RBM7" s="1185"/>
      <c r="RBN7" s="1185"/>
      <c r="RBO7" s="1185"/>
      <c r="RBP7" s="1185"/>
      <c r="RBQ7" s="1185"/>
      <c r="RBR7" s="1185"/>
      <c r="RBS7" s="1185"/>
      <c r="RBT7" s="1185"/>
      <c r="RBU7" s="1185"/>
      <c r="RBV7" s="1185"/>
      <c r="RBW7" s="1185"/>
      <c r="RBX7" s="1185"/>
      <c r="RBY7" s="1185"/>
      <c r="RBZ7" s="1185"/>
      <c r="RCA7" s="1185"/>
      <c r="RCB7" s="1185"/>
      <c r="RCC7" s="1185"/>
      <c r="RCD7" s="1185"/>
      <c r="RCE7" s="1185"/>
      <c r="RCF7" s="1185"/>
      <c r="RCG7" s="1185"/>
      <c r="RCH7" s="1185"/>
      <c r="RCI7" s="1185"/>
      <c r="RCJ7" s="1185"/>
      <c r="RCK7" s="1185"/>
      <c r="RCL7" s="1185"/>
      <c r="RCM7" s="1185"/>
      <c r="RCN7" s="1185"/>
      <c r="RCO7" s="1185"/>
      <c r="RCP7" s="1185"/>
      <c r="RCQ7" s="1185"/>
      <c r="RCR7" s="1185"/>
      <c r="RCS7" s="1185"/>
      <c r="RCT7" s="1185"/>
      <c r="RCU7" s="1185"/>
      <c r="RCV7" s="1185"/>
      <c r="RCW7" s="1185"/>
      <c r="RCX7" s="1185"/>
      <c r="RCY7" s="1185"/>
      <c r="RCZ7" s="1185"/>
      <c r="RDA7" s="1185"/>
      <c r="RDB7" s="1185"/>
      <c r="RDC7" s="1185"/>
      <c r="RDD7" s="1185"/>
      <c r="RDE7" s="1185"/>
      <c r="RDF7" s="1185"/>
      <c r="RDG7" s="1185"/>
      <c r="RDH7" s="1185"/>
      <c r="RDI7" s="1185"/>
      <c r="RDJ7" s="1185"/>
      <c r="RDK7" s="1185"/>
      <c r="RDL7" s="1185"/>
      <c r="RDM7" s="1185"/>
      <c r="RDN7" s="1185"/>
      <c r="RDO7" s="1185"/>
      <c r="RDP7" s="1185"/>
      <c r="RDQ7" s="1185"/>
      <c r="RDR7" s="1185"/>
      <c r="RDS7" s="1185"/>
      <c r="RDT7" s="1185"/>
      <c r="RDU7" s="1185"/>
      <c r="RDV7" s="1185"/>
      <c r="RDW7" s="1185"/>
      <c r="RDX7" s="1185"/>
      <c r="RDY7" s="1185"/>
      <c r="RDZ7" s="1185"/>
      <c r="REA7" s="1185"/>
      <c r="REB7" s="1185"/>
      <c r="REC7" s="1185"/>
      <c r="RED7" s="1185"/>
      <c r="REE7" s="1185"/>
      <c r="REF7" s="1185"/>
      <c r="REG7" s="1185"/>
      <c r="REH7" s="1185"/>
      <c r="REI7" s="1185"/>
      <c r="REJ7" s="1185"/>
      <c r="REK7" s="1185"/>
      <c r="REL7" s="1185"/>
      <c r="REM7" s="1185"/>
      <c r="REN7" s="1185"/>
      <c r="REO7" s="1185"/>
      <c r="REP7" s="1185"/>
      <c r="REQ7" s="1185"/>
      <c r="RER7" s="1185"/>
      <c r="RES7" s="1185"/>
      <c r="RET7" s="1185"/>
      <c r="REU7" s="1185"/>
      <c r="REV7" s="1185"/>
      <c r="REW7" s="1185"/>
      <c r="REX7" s="1185"/>
      <c r="REY7" s="1185"/>
      <c r="REZ7" s="1185"/>
      <c r="RFA7" s="1185"/>
      <c r="RFB7" s="1185"/>
      <c r="RFC7" s="1185"/>
      <c r="RFD7" s="1185"/>
      <c r="RFE7" s="1185"/>
      <c r="RFF7" s="1185"/>
      <c r="RFG7" s="1185"/>
      <c r="RFH7" s="1185"/>
      <c r="RFI7" s="1185"/>
      <c r="RFJ7" s="1185"/>
      <c r="RFK7" s="1185"/>
      <c r="RFL7" s="1185"/>
      <c r="RFM7" s="1185"/>
      <c r="RFN7" s="1185"/>
      <c r="RFO7" s="1185"/>
      <c r="RFP7" s="1185"/>
      <c r="RFQ7" s="1185"/>
      <c r="RFR7" s="1185"/>
      <c r="RFS7" s="1185"/>
      <c r="RFT7" s="1185"/>
      <c r="RFU7" s="1185"/>
      <c r="RFV7" s="1185"/>
      <c r="RFW7" s="1185"/>
      <c r="RFX7" s="1185"/>
      <c r="RFY7" s="1185"/>
      <c r="RFZ7" s="1185"/>
      <c r="RGA7" s="1185"/>
      <c r="RGB7" s="1185"/>
      <c r="RGC7" s="1185"/>
      <c r="RGD7" s="1185"/>
      <c r="RGE7" s="1185"/>
      <c r="RGF7" s="1185"/>
      <c r="RGG7" s="1185"/>
      <c r="RGH7" s="1185"/>
      <c r="RGI7" s="1185"/>
      <c r="RGJ7" s="1185"/>
      <c r="RGK7" s="1185"/>
      <c r="RGL7" s="1185"/>
      <c r="RGM7" s="1185"/>
      <c r="RGN7" s="1185"/>
      <c r="RGO7" s="1185"/>
      <c r="RGP7" s="1185"/>
      <c r="RGQ7" s="1185"/>
      <c r="RGR7" s="1185"/>
      <c r="RGS7" s="1185"/>
      <c r="RGT7" s="1185"/>
      <c r="RGU7" s="1185"/>
      <c r="RGV7" s="1185"/>
      <c r="RGW7" s="1185"/>
      <c r="RGX7" s="1185"/>
      <c r="RGY7" s="1185"/>
      <c r="RGZ7" s="1185"/>
      <c r="RHA7" s="1185"/>
      <c r="RHB7" s="1185"/>
      <c r="RHC7" s="1185"/>
      <c r="RHD7" s="1185"/>
      <c r="RHE7" s="1185"/>
      <c r="RHF7" s="1185"/>
      <c r="RHG7" s="1185"/>
      <c r="RHH7" s="1185"/>
      <c r="RHI7" s="1185"/>
      <c r="RHJ7" s="1185"/>
      <c r="RHK7" s="1185"/>
      <c r="RHL7" s="1185"/>
      <c r="RHM7" s="1185"/>
      <c r="RHN7" s="1185"/>
      <c r="RHO7" s="1185"/>
      <c r="RHP7" s="1185"/>
      <c r="RHQ7" s="1185"/>
      <c r="RHR7" s="1185"/>
      <c r="RHS7" s="1185"/>
      <c r="RHT7" s="1185"/>
      <c r="RHU7" s="1185"/>
      <c r="RHV7" s="1185"/>
      <c r="RHW7" s="1185"/>
      <c r="RHX7" s="1185"/>
      <c r="RHY7" s="1185"/>
      <c r="RHZ7" s="1185"/>
      <c r="RIA7" s="1185"/>
      <c r="RIB7" s="1185"/>
      <c r="RIC7" s="1185"/>
      <c r="RID7" s="1185"/>
      <c r="RIE7" s="1185"/>
      <c r="RIF7" s="1185"/>
      <c r="RIG7" s="1185"/>
      <c r="RIH7" s="1185"/>
      <c r="RII7" s="1185"/>
      <c r="RIJ7" s="1185"/>
      <c r="RIK7" s="1185"/>
      <c r="RIL7" s="1185"/>
      <c r="RIM7" s="1185"/>
      <c r="RIN7" s="1185"/>
      <c r="RIO7" s="1185"/>
      <c r="RIP7" s="1185"/>
      <c r="RIQ7" s="1185"/>
      <c r="RIR7" s="1185"/>
      <c r="RIS7" s="1185"/>
      <c r="RIT7" s="1185"/>
      <c r="RIU7" s="1185"/>
      <c r="RIV7" s="1185"/>
      <c r="RIW7" s="1185"/>
      <c r="RIX7" s="1185"/>
      <c r="RIY7" s="1185"/>
      <c r="RIZ7" s="1185"/>
      <c r="RJA7" s="1185"/>
      <c r="RJB7" s="1185"/>
      <c r="RJC7" s="1185"/>
      <c r="RJD7" s="1185"/>
      <c r="RJE7" s="1185"/>
      <c r="RJF7" s="1185"/>
      <c r="RJG7" s="1185"/>
      <c r="RJH7" s="1185"/>
      <c r="RJI7" s="1185"/>
      <c r="RJJ7" s="1185"/>
      <c r="RJK7" s="1185"/>
      <c r="RJL7" s="1185"/>
      <c r="RJM7" s="1185"/>
      <c r="RJN7" s="1185"/>
      <c r="RJO7" s="1185"/>
      <c r="RJP7" s="1185"/>
      <c r="RJQ7" s="1185"/>
      <c r="RJR7" s="1185"/>
      <c r="RJS7" s="1185"/>
      <c r="RJT7" s="1185"/>
      <c r="RJU7" s="1185"/>
      <c r="RJV7" s="1185"/>
      <c r="RJW7" s="1185"/>
      <c r="RJX7" s="1185"/>
      <c r="RJY7" s="1185"/>
      <c r="RJZ7" s="1185"/>
      <c r="RKA7" s="1185"/>
      <c r="RKB7" s="1185"/>
      <c r="RKC7" s="1185"/>
      <c r="RKD7" s="1185"/>
      <c r="RKE7" s="1185"/>
      <c r="RKF7" s="1185"/>
      <c r="RKG7" s="1185"/>
      <c r="RKH7" s="1185"/>
      <c r="RKI7" s="1185"/>
      <c r="RKJ7" s="1185"/>
      <c r="RKK7" s="1185"/>
      <c r="RKL7" s="1185"/>
      <c r="RKM7" s="1185"/>
      <c r="RKN7" s="1185"/>
      <c r="RKO7" s="1185"/>
      <c r="RKP7" s="1185"/>
      <c r="RKQ7" s="1185"/>
      <c r="RKR7" s="1185"/>
      <c r="RKS7" s="1185"/>
      <c r="RKT7" s="1185"/>
      <c r="RKU7" s="1185"/>
      <c r="RKV7" s="1185"/>
      <c r="RKW7" s="1185"/>
      <c r="RKX7" s="1185"/>
      <c r="RKY7" s="1185"/>
      <c r="RKZ7" s="1185"/>
      <c r="RLA7" s="1185"/>
      <c r="RLB7" s="1185"/>
      <c r="RLC7" s="1185"/>
      <c r="RLD7" s="1185"/>
      <c r="RLE7" s="1185"/>
      <c r="RLF7" s="1185"/>
      <c r="RLG7" s="1185"/>
      <c r="RLH7" s="1185"/>
      <c r="RLI7" s="1185"/>
      <c r="RLJ7" s="1185"/>
      <c r="RLK7" s="1185"/>
      <c r="RLL7" s="1185"/>
      <c r="RLM7" s="1185"/>
      <c r="RLN7" s="1185"/>
      <c r="RLO7" s="1185"/>
      <c r="RLP7" s="1185"/>
      <c r="RLQ7" s="1185"/>
      <c r="RLR7" s="1185"/>
      <c r="RLS7" s="1185"/>
      <c r="RLT7" s="1185"/>
      <c r="RLU7" s="1185"/>
      <c r="RLV7" s="1185"/>
      <c r="RLW7" s="1185"/>
      <c r="RLX7" s="1185"/>
      <c r="RLY7" s="1185"/>
      <c r="RLZ7" s="1185"/>
      <c r="RMA7" s="1185"/>
      <c r="RMB7" s="1185"/>
      <c r="RMC7" s="1185"/>
      <c r="RMD7" s="1185"/>
      <c r="RME7" s="1185"/>
      <c r="RMF7" s="1185"/>
      <c r="RMG7" s="1185"/>
      <c r="RMH7" s="1185"/>
      <c r="RMI7" s="1185"/>
      <c r="RMJ7" s="1185"/>
      <c r="RMK7" s="1185"/>
      <c r="RML7" s="1185"/>
      <c r="RMM7" s="1185"/>
      <c r="RMN7" s="1185"/>
      <c r="RMO7" s="1185"/>
      <c r="RMP7" s="1185"/>
      <c r="RMQ7" s="1185"/>
      <c r="RMR7" s="1185"/>
      <c r="RMS7" s="1185"/>
      <c r="RMT7" s="1185"/>
      <c r="RMU7" s="1185"/>
      <c r="RMV7" s="1185"/>
      <c r="RMW7" s="1185"/>
      <c r="RMX7" s="1185"/>
      <c r="RMY7" s="1185"/>
      <c r="RMZ7" s="1185"/>
      <c r="RNA7" s="1185"/>
      <c r="RNB7" s="1185"/>
      <c r="RNC7" s="1185"/>
      <c r="RND7" s="1185"/>
      <c r="RNE7" s="1185"/>
      <c r="RNF7" s="1185"/>
      <c r="RNG7" s="1185"/>
      <c r="RNH7" s="1185"/>
      <c r="RNI7" s="1185"/>
      <c r="RNJ7" s="1185"/>
      <c r="RNK7" s="1185"/>
      <c r="RNL7" s="1185"/>
      <c r="RNM7" s="1185"/>
      <c r="RNN7" s="1185"/>
      <c r="RNO7" s="1185"/>
      <c r="RNP7" s="1185"/>
      <c r="RNQ7" s="1185"/>
      <c r="RNR7" s="1185"/>
      <c r="RNS7" s="1185"/>
      <c r="RNT7" s="1185"/>
      <c r="RNU7" s="1185"/>
      <c r="RNV7" s="1185"/>
      <c r="RNW7" s="1185"/>
      <c r="RNX7" s="1185"/>
      <c r="RNY7" s="1185"/>
      <c r="RNZ7" s="1185"/>
      <c r="ROA7" s="1185"/>
      <c r="ROB7" s="1185"/>
      <c r="ROC7" s="1185"/>
      <c r="ROD7" s="1185"/>
      <c r="ROE7" s="1185"/>
      <c r="ROF7" s="1185"/>
      <c r="ROG7" s="1185"/>
      <c r="ROH7" s="1185"/>
      <c r="ROI7" s="1185"/>
      <c r="ROJ7" s="1185"/>
      <c r="ROK7" s="1185"/>
      <c r="ROL7" s="1185"/>
      <c r="ROM7" s="1185"/>
      <c r="RON7" s="1185"/>
      <c r="ROO7" s="1185"/>
      <c r="ROP7" s="1185"/>
      <c r="ROQ7" s="1185"/>
      <c r="ROR7" s="1185"/>
      <c r="ROS7" s="1185"/>
      <c r="ROT7" s="1185"/>
      <c r="ROU7" s="1185"/>
      <c r="ROV7" s="1185"/>
      <c r="ROW7" s="1185"/>
      <c r="ROX7" s="1185"/>
      <c r="ROY7" s="1185"/>
      <c r="ROZ7" s="1185"/>
      <c r="RPA7" s="1185"/>
      <c r="RPB7" s="1185"/>
      <c r="RPC7" s="1185"/>
      <c r="RPD7" s="1185"/>
      <c r="RPE7" s="1185"/>
      <c r="RPF7" s="1185"/>
      <c r="RPG7" s="1185"/>
      <c r="RPH7" s="1185"/>
      <c r="RPI7" s="1185"/>
      <c r="RPJ7" s="1185"/>
      <c r="RPK7" s="1185"/>
      <c r="RPL7" s="1185"/>
      <c r="RPM7" s="1185"/>
      <c r="RPN7" s="1185"/>
      <c r="RPO7" s="1185"/>
      <c r="RPP7" s="1185"/>
      <c r="RPQ7" s="1185"/>
      <c r="RPR7" s="1185"/>
      <c r="RPS7" s="1185"/>
      <c r="RPT7" s="1185"/>
      <c r="RPU7" s="1185"/>
      <c r="RPV7" s="1185"/>
      <c r="RPW7" s="1185"/>
      <c r="RPX7" s="1185"/>
      <c r="RPY7" s="1185"/>
      <c r="RPZ7" s="1185"/>
      <c r="RQA7" s="1185"/>
      <c r="RQB7" s="1185"/>
      <c r="RQC7" s="1185"/>
      <c r="RQD7" s="1185"/>
      <c r="RQE7" s="1185"/>
      <c r="RQF7" s="1185"/>
      <c r="RQG7" s="1185"/>
      <c r="RQH7" s="1185"/>
      <c r="RQI7" s="1185"/>
      <c r="RQJ7" s="1185"/>
      <c r="RQK7" s="1185"/>
      <c r="RQL7" s="1185"/>
      <c r="RQM7" s="1185"/>
      <c r="RQN7" s="1185"/>
      <c r="RQO7" s="1185"/>
      <c r="RQP7" s="1185"/>
      <c r="RQQ7" s="1185"/>
      <c r="RQR7" s="1185"/>
      <c r="RQS7" s="1185"/>
      <c r="RQT7" s="1185"/>
      <c r="RQU7" s="1185"/>
      <c r="RQV7" s="1185"/>
      <c r="RQW7" s="1185"/>
      <c r="RQX7" s="1185"/>
      <c r="RQY7" s="1185"/>
      <c r="RQZ7" s="1185"/>
      <c r="RRA7" s="1185"/>
      <c r="RRB7" s="1185"/>
      <c r="RRC7" s="1185"/>
      <c r="RRD7" s="1185"/>
      <c r="RRE7" s="1185"/>
      <c r="RRF7" s="1185"/>
      <c r="RRG7" s="1185"/>
      <c r="RRH7" s="1185"/>
      <c r="RRI7" s="1185"/>
      <c r="RRJ7" s="1185"/>
      <c r="RRK7" s="1185"/>
      <c r="RRL7" s="1185"/>
      <c r="RRM7" s="1185"/>
      <c r="RRN7" s="1185"/>
      <c r="RRO7" s="1185"/>
      <c r="RRP7" s="1185"/>
      <c r="RRQ7" s="1185"/>
      <c r="RRR7" s="1185"/>
      <c r="RRS7" s="1185"/>
      <c r="RRT7" s="1185"/>
      <c r="RRU7" s="1185"/>
      <c r="RRV7" s="1185"/>
      <c r="RRW7" s="1185"/>
      <c r="RRX7" s="1185"/>
      <c r="RRY7" s="1185"/>
      <c r="RRZ7" s="1185"/>
      <c r="RSA7" s="1185"/>
      <c r="RSB7" s="1185"/>
      <c r="RSC7" s="1185"/>
      <c r="RSD7" s="1185"/>
      <c r="RSE7" s="1185"/>
      <c r="RSF7" s="1185"/>
      <c r="RSG7" s="1185"/>
      <c r="RSH7" s="1185"/>
      <c r="RSI7" s="1185"/>
      <c r="RSJ7" s="1185"/>
      <c r="RSK7" s="1185"/>
      <c r="RSL7" s="1185"/>
      <c r="RSM7" s="1185"/>
      <c r="RSN7" s="1185"/>
      <c r="RSO7" s="1185"/>
      <c r="RSP7" s="1185"/>
      <c r="RSQ7" s="1185"/>
      <c r="RSR7" s="1185"/>
      <c r="RSS7" s="1185"/>
      <c r="RST7" s="1185"/>
      <c r="RSU7" s="1185"/>
      <c r="RSV7" s="1185"/>
      <c r="RSW7" s="1185"/>
      <c r="RSX7" s="1185"/>
      <c r="RSY7" s="1185"/>
      <c r="RSZ7" s="1185"/>
      <c r="RTA7" s="1185"/>
      <c r="RTB7" s="1185"/>
      <c r="RTC7" s="1185"/>
      <c r="RTD7" s="1185"/>
      <c r="RTE7" s="1185"/>
      <c r="RTF7" s="1185"/>
      <c r="RTG7" s="1185"/>
      <c r="RTH7" s="1185"/>
      <c r="RTI7" s="1185"/>
      <c r="RTJ7" s="1185"/>
      <c r="RTK7" s="1185"/>
      <c r="RTL7" s="1185"/>
      <c r="RTM7" s="1185"/>
      <c r="RTN7" s="1185"/>
      <c r="RTO7" s="1185"/>
      <c r="RTP7" s="1185"/>
      <c r="RTQ7" s="1185"/>
      <c r="RTR7" s="1185"/>
      <c r="RTS7" s="1185"/>
      <c r="RTT7" s="1185"/>
      <c r="RTU7" s="1185"/>
      <c r="RTV7" s="1185"/>
      <c r="RTW7" s="1185"/>
      <c r="RTX7" s="1185"/>
      <c r="RTY7" s="1185"/>
      <c r="RTZ7" s="1185"/>
      <c r="RUA7" s="1185"/>
      <c r="RUB7" s="1185"/>
      <c r="RUC7" s="1185"/>
      <c r="RUD7" s="1185"/>
      <c r="RUE7" s="1185"/>
      <c r="RUF7" s="1185"/>
      <c r="RUG7" s="1185"/>
      <c r="RUH7" s="1185"/>
      <c r="RUI7" s="1185"/>
      <c r="RUJ7" s="1185"/>
      <c r="RUK7" s="1185"/>
      <c r="RUL7" s="1185"/>
      <c r="RUM7" s="1185"/>
      <c r="RUN7" s="1185"/>
      <c r="RUO7" s="1185"/>
      <c r="RUP7" s="1185"/>
      <c r="RUQ7" s="1185"/>
      <c r="RUR7" s="1185"/>
      <c r="RUS7" s="1185"/>
      <c r="RUT7" s="1185"/>
      <c r="RUU7" s="1185"/>
      <c r="RUV7" s="1185"/>
      <c r="RUW7" s="1185"/>
      <c r="RUX7" s="1185"/>
      <c r="RUY7" s="1185"/>
      <c r="RUZ7" s="1185"/>
      <c r="RVA7" s="1185"/>
      <c r="RVB7" s="1185"/>
      <c r="RVC7" s="1185"/>
      <c r="RVD7" s="1185"/>
      <c r="RVE7" s="1185"/>
      <c r="RVF7" s="1185"/>
      <c r="RVG7" s="1185"/>
      <c r="RVH7" s="1185"/>
      <c r="RVI7" s="1185"/>
      <c r="RVJ7" s="1185"/>
      <c r="RVK7" s="1185"/>
      <c r="RVL7" s="1185"/>
      <c r="RVM7" s="1185"/>
      <c r="RVN7" s="1185"/>
      <c r="RVO7" s="1185"/>
      <c r="RVP7" s="1185"/>
      <c r="RVQ7" s="1185"/>
      <c r="RVR7" s="1185"/>
      <c r="RVS7" s="1185"/>
      <c r="RVT7" s="1185"/>
      <c r="RVU7" s="1185"/>
      <c r="RVV7" s="1185"/>
      <c r="RVW7" s="1185"/>
      <c r="RVX7" s="1185"/>
      <c r="RVY7" s="1185"/>
      <c r="RVZ7" s="1185"/>
      <c r="RWA7" s="1185"/>
      <c r="RWB7" s="1185"/>
      <c r="RWC7" s="1185"/>
      <c r="RWD7" s="1185"/>
      <c r="RWE7" s="1185"/>
      <c r="RWF7" s="1185"/>
      <c r="RWG7" s="1185"/>
      <c r="RWH7" s="1185"/>
      <c r="RWI7" s="1185"/>
      <c r="RWJ7" s="1185"/>
      <c r="RWK7" s="1185"/>
      <c r="RWL7" s="1185"/>
      <c r="RWM7" s="1185"/>
      <c r="RWN7" s="1185"/>
      <c r="RWO7" s="1185"/>
      <c r="RWP7" s="1185"/>
      <c r="RWQ7" s="1185"/>
      <c r="RWR7" s="1185"/>
      <c r="RWS7" s="1185"/>
      <c r="RWT7" s="1185"/>
      <c r="RWU7" s="1185"/>
      <c r="RWV7" s="1185"/>
      <c r="RWW7" s="1185"/>
      <c r="RWX7" s="1185"/>
      <c r="RWY7" s="1185"/>
      <c r="RWZ7" s="1185"/>
      <c r="RXA7" s="1185"/>
      <c r="RXB7" s="1185"/>
      <c r="RXC7" s="1185"/>
      <c r="RXD7" s="1185"/>
      <c r="RXE7" s="1185"/>
      <c r="RXF7" s="1185"/>
      <c r="RXG7" s="1185"/>
      <c r="RXH7" s="1185"/>
      <c r="RXI7" s="1185"/>
      <c r="RXJ7" s="1185"/>
      <c r="RXK7" s="1185"/>
      <c r="RXL7" s="1185"/>
      <c r="RXM7" s="1185"/>
      <c r="RXN7" s="1185"/>
      <c r="RXO7" s="1185"/>
      <c r="RXP7" s="1185"/>
      <c r="RXQ7" s="1185"/>
      <c r="RXR7" s="1185"/>
      <c r="RXS7" s="1185"/>
      <c r="RXT7" s="1185"/>
      <c r="RXU7" s="1185"/>
      <c r="RXV7" s="1185"/>
      <c r="RXW7" s="1185"/>
      <c r="RXX7" s="1185"/>
      <c r="RXY7" s="1185"/>
      <c r="RXZ7" s="1185"/>
      <c r="RYA7" s="1185"/>
      <c r="RYB7" s="1185"/>
      <c r="RYC7" s="1185"/>
      <c r="RYD7" s="1185"/>
      <c r="RYE7" s="1185"/>
      <c r="RYF7" s="1185"/>
      <c r="RYG7" s="1185"/>
      <c r="RYH7" s="1185"/>
      <c r="RYI7" s="1185"/>
      <c r="RYJ7" s="1185"/>
      <c r="RYK7" s="1185"/>
      <c r="RYL7" s="1185"/>
      <c r="RYM7" s="1185"/>
      <c r="RYN7" s="1185"/>
      <c r="RYO7" s="1185"/>
      <c r="RYP7" s="1185"/>
      <c r="RYQ7" s="1185"/>
      <c r="RYR7" s="1185"/>
      <c r="RYS7" s="1185"/>
      <c r="RYT7" s="1185"/>
      <c r="RYU7" s="1185"/>
      <c r="RYV7" s="1185"/>
      <c r="RYW7" s="1185"/>
      <c r="RYX7" s="1185"/>
      <c r="RYY7" s="1185"/>
      <c r="RYZ7" s="1185"/>
      <c r="RZA7" s="1185"/>
      <c r="RZB7" s="1185"/>
      <c r="RZC7" s="1185"/>
      <c r="RZD7" s="1185"/>
      <c r="RZE7" s="1185"/>
      <c r="RZF7" s="1185"/>
      <c r="RZG7" s="1185"/>
      <c r="RZH7" s="1185"/>
      <c r="RZI7" s="1185"/>
      <c r="RZJ7" s="1185"/>
      <c r="RZK7" s="1185"/>
      <c r="RZL7" s="1185"/>
      <c r="RZM7" s="1185"/>
      <c r="RZN7" s="1185"/>
      <c r="RZO7" s="1185"/>
      <c r="RZP7" s="1185"/>
      <c r="RZQ7" s="1185"/>
      <c r="RZR7" s="1185"/>
      <c r="RZS7" s="1185"/>
      <c r="RZT7" s="1185"/>
      <c r="RZU7" s="1185"/>
      <c r="RZV7" s="1185"/>
      <c r="RZW7" s="1185"/>
      <c r="RZX7" s="1185"/>
      <c r="RZY7" s="1185"/>
      <c r="RZZ7" s="1185"/>
      <c r="SAA7" s="1185"/>
      <c r="SAB7" s="1185"/>
      <c r="SAC7" s="1185"/>
      <c r="SAD7" s="1185"/>
      <c r="SAE7" s="1185"/>
      <c r="SAF7" s="1185"/>
      <c r="SAG7" s="1185"/>
      <c r="SAH7" s="1185"/>
      <c r="SAI7" s="1185"/>
      <c r="SAJ7" s="1185"/>
      <c r="SAK7" s="1185"/>
      <c r="SAL7" s="1185"/>
      <c r="SAM7" s="1185"/>
      <c r="SAN7" s="1185"/>
      <c r="SAO7" s="1185"/>
      <c r="SAP7" s="1185"/>
      <c r="SAQ7" s="1185"/>
      <c r="SAR7" s="1185"/>
      <c r="SAS7" s="1185"/>
      <c r="SAT7" s="1185"/>
      <c r="SAU7" s="1185"/>
      <c r="SAV7" s="1185"/>
      <c r="SAW7" s="1185"/>
      <c r="SAX7" s="1185"/>
      <c r="SAY7" s="1185"/>
      <c r="SAZ7" s="1185"/>
      <c r="SBA7" s="1185"/>
      <c r="SBB7" s="1185"/>
      <c r="SBC7" s="1185"/>
      <c r="SBD7" s="1185"/>
      <c r="SBE7" s="1185"/>
      <c r="SBF7" s="1185"/>
      <c r="SBG7" s="1185"/>
      <c r="SBH7" s="1185"/>
      <c r="SBI7" s="1185"/>
      <c r="SBJ7" s="1185"/>
      <c r="SBK7" s="1185"/>
      <c r="SBL7" s="1185"/>
      <c r="SBM7" s="1185"/>
      <c r="SBN7" s="1185"/>
      <c r="SBO7" s="1185"/>
      <c r="SBP7" s="1185"/>
      <c r="SBQ7" s="1185"/>
      <c r="SBR7" s="1185"/>
      <c r="SBS7" s="1185"/>
      <c r="SBT7" s="1185"/>
      <c r="SBU7" s="1185"/>
      <c r="SBV7" s="1185"/>
      <c r="SBW7" s="1185"/>
      <c r="SBX7" s="1185"/>
      <c r="SBY7" s="1185"/>
      <c r="SBZ7" s="1185"/>
      <c r="SCA7" s="1185"/>
      <c r="SCB7" s="1185"/>
      <c r="SCC7" s="1185"/>
      <c r="SCD7" s="1185"/>
      <c r="SCE7" s="1185"/>
      <c r="SCF7" s="1185"/>
      <c r="SCG7" s="1185"/>
      <c r="SCH7" s="1185"/>
      <c r="SCI7" s="1185"/>
      <c r="SCJ7" s="1185"/>
      <c r="SCK7" s="1185"/>
      <c r="SCL7" s="1185"/>
      <c r="SCM7" s="1185"/>
      <c r="SCN7" s="1185"/>
      <c r="SCO7" s="1185"/>
      <c r="SCP7" s="1185"/>
      <c r="SCQ7" s="1185"/>
      <c r="SCR7" s="1185"/>
      <c r="SCS7" s="1185"/>
      <c r="SCT7" s="1185"/>
      <c r="SCU7" s="1185"/>
      <c r="SCV7" s="1185"/>
      <c r="SCW7" s="1185"/>
      <c r="SCX7" s="1185"/>
      <c r="SCY7" s="1185"/>
      <c r="SCZ7" s="1185"/>
      <c r="SDA7" s="1185"/>
      <c r="SDB7" s="1185"/>
      <c r="SDC7" s="1185"/>
      <c r="SDD7" s="1185"/>
      <c r="SDE7" s="1185"/>
      <c r="SDF7" s="1185"/>
      <c r="SDG7" s="1185"/>
      <c r="SDH7" s="1185"/>
      <c r="SDI7" s="1185"/>
      <c r="SDJ7" s="1185"/>
      <c r="SDK7" s="1185"/>
      <c r="SDL7" s="1185"/>
      <c r="SDM7" s="1185"/>
      <c r="SDN7" s="1185"/>
      <c r="SDO7" s="1185"/>
      <c r="SDP7" s="1185"/>
      <c r="SDQ7" s="1185"/>
      <c r="SDR7" s="1185"/>
      <c r="SDS7" s="1185"/>
      <c r="SDT7" s="1185"/>
      <c r="SDU7" s="1185"/>
      <c r="SDV7" s="1185"/>
      <c r="SDW7" s="1185"/>
      <c r="SDX7" s="1185"/>
      <c r="SDY7" s="1185"/>
      <c r="SDZ7" s="1185"/>
      <c r="SEA7" s="1185"/>
      <c r="SEB7" s="1185"/>
      <c r="SEC7" s="1185"/>
      <c r="SED7" s="1185"/>
      <c r="SEE7" s="1185"/>
      <c r="SEF7" s="1185"/>
      <c r="SEG7" s="1185"/>
      <c r="SEH7" s="1185"/>
      <c r="SEI7" s="1185"/>
      <c r="SEJ7" s="1185"/>
      <c r="SEK7" s="1185"/>
      <c r="SEL7" s="1185"/>
      <c r="SEM7" s="1185"/>
      <c r="SEN7" s="1185"/>
      <c r="SEO7" s="1185"/>
      <c r="SEP7" s="1185"/>
      <c r="SEQ7" s="1185"/>
      <c r="SER7" s="1185"/>
      <c r="SES7" s="1185"/>
      <c r="SET7" s="1185"/>
      <c r="SEU7" s="1185"/>
      <c r="SEV7" s="1185"/>
      <c r="SEW7" s="1185"/>
      <c r="SEX7" s="1185"/>
      <c r="SEY7" s="1185"/>
      <c r="SEZ7" s="1185"/>
      <c r="SFA7" s="1185"/>
      <c r="SFB7" s="1185"/>
      <c r="SFC7" s="1185"/>
      <c r="SFD7" s="1185"/>
      <c r="SFE7" s="1185"/>
      <c r="SFF7" s="1185"/>
      <c r="SFG7" s="1185"/>
      <c r="SFH7" s="1185"/>
      <c r="SFI7" s="1185"/>
      <c r="SFJ7" s="1185"/>
      <c r="SFK7" s="1185"/>
      <c r="SFL7" s="1185"/>
      <c r="SFM7" s="1185"/>
      <c r="SFN7" s="1185"/>
      <c r="SFO7" s="1185"/>
      <c r="SFP7" s="1185"/>
      <c r="SFQ7" s="1185"/>
      <c r="SFR7" s="1185"/>
      <c r="SFS7" s="1185"/>
      <c r="SFT7" s="1185"/>
      <c r="SFU7" s="1185"/>
      <c r="SFV7" s="1185"/>
      <c r="SFW7" s="1185"/>
      <c r="SFX7" s="1185"/>
      <c r="SFY7" s="1185"/>
      <c r="SFZ7" s="1185"/>
      <c r="SGA7" s="1185"/>
      <c r="SGB7" s="1185"/>
      <c r="SGC7" s="1185"/>
      <c r="SGD7" s="1185"/>
      <c r="SGE7" s="1185"/>
      <c r="SGF7" s="1185"/>
      <c r="SGG7" s="1185"/>
      <c r="SGH7" s="1185"/>
      <c r="SGI7" s="1185"/>
      <c r="SGJ7" s="1185"/>
      <c r="SGK7" s="1185"/>
      <c r="SGL7" s="1185"/>
      <c r="SGM7" s="1185"/>
      <c r="SGN7" s="1185"/>
      <c r="SGO7" s="1185"/>
      <c r="SGP7" s="1185"/>
      <c r="SGQ7" s="1185"/>
      <c r="SGR7" s="1185"/>
      <c r="SGS7" s="1185"/>
      <c r="SGT7" s="1185"/>
      <c r="SGU7" s="1185"/>
      <c r="SGV7" s="1185"/>
      <c r="SGW7" s="1185"/>
      <c r="SGX7" s="1185"/>
      <c r="SGY7" s="1185"/>
      <c r="SGZ7" s="1185"/>
      <c r="SHA7" s="1185"/>
      <c r="SHB7" s="1185"/>
      <c r="SHC7" s="1185"/>
      <c r="SHD7" s="1185"/>
      <c r="SHE7" s="1185"/>
      <c r="SHF7" s="1185"/>
      <c r="SHG7" s="1185"/>
      <c r="SHH7" s="1185"/>
      <c r="SHI7" s="1185"/>
      <c r="SHJ7" s="1185"/>
      <c r="SHK7" s="1185"/>
      <c r="SHL7" s="1185"/>
      <c r="SHM7" s="1185"/>
      <c r="SHN7" s="1185"/>
      <c r="SHO7" s="1185"/>
      <c r="SHP7" s="1185"/>
      <c r="SHQ7" s="1185"/>
      <c r="SHR7" s="1185"/>
      <c r="SHS7" s="1185"/>
      <c r="SHT7" s="1185"/>
      <c r="SHU7" s="1185"/>
      <c r="SHV7" s="1185"/>
      <c r="SHW7" s="1185"/>
      <c r="SHX7" s="1185"/>
      <c r="SHY7" s="1185"/>
      <c r="SHZ7" s="1185"/>
      <c r="SIA7" s="1185"/>
      <c r="SIB7" s="1185"/>
      <c r="SIC7" s="1185"/>
      <c r="SID7" s="1185"/>
      <c r="SIE7" s="1185"/>
      <c r="SIF7" s="1185"/>
      <c r="SIG7" s="1185"/>
      <c r="SIH7" s="1185"/>
      <c r="SII7" s="1185"/>
      <c r="SIJ7" s="1185"/>
      <c r="SIK7" s="1185"/>
      <c r="SIL7" s="1185"/>
      <c r="SIM7" s="1185"/>
      <c r="SIN7" s="1185"/>
      <c r="SIO7" s="1185"/>
      <c r="SIP7" s="1185"/>
      <c r="SIQ7" s="1185"/>
      <c r="SIR7" s="1185"/>
      <c r="SIS7" s="1185"/>
      <c r="SIT7" s="1185"/>
      <c r="SIU7" s="1185"/>
      <c r="SIV7" s="1185"/>
      <c r="SIW7" s="1185"/>
      <c r="SIX7" s="1185"/>
      <c r="SIY7" s="1185"/>
      <c r="SIZ7" s="1185"/>
      <c r="SJA7" s="1185"/>
      <c r="SJB7" s="1185"/>
      <c r="SJC7" s="1185"/>
      <c r="SJD7" s="1185"/>
      <c r="SJE7" s="1185"/>
      <c r="SJF7" s="1185"/>
      <c r="SJG7" s="1185"/>
      <c r="SJH7" s="1185"/>
      <c r="SJI7" s="1185"/>
      <c r="SJJ7" s="1185"/>
      <c r="SJK7" s="1185"/>
      <c r="SJL7" s="1185"/>
      <c r="SJM7" s="1185"/>
      <c r="SJN7" s="1185"/>
      <c r="SJO7" s="1185"/>
      <c r="SJP7" s="1185"/>
      <c r="SJQ7" s="1185"/>
      <c r="SJR7" s="1185"/>
      <c r="SJS7" s="1185"/>
      <c r="SJT7" s="1185"/>
      <c r="SJU7" s="1185"/>
      <c r="SJV7" s="1185"/>
      <c r="SJW7" s="1185"/>
      <c r="SJX7" s="1185"/>
      <c r="SJY7" s="1185"/>
      <c r="SJZ7" s="1185"/>
      <c r="SKA7" s="1185"/>
      <c r="SKB7" s="1185"/>
      <c r="SKC7" s="1185"/>
      <c r="SKD7" s="1185"/>
      <c r="SKE7" s="1185"/>
      <c r="SKF7" s="1185"/>
      <c r="SKG7" s="1185"/>
      <c r="SKH7" s="1185"/>
      <c r="SKI7" s="1185"/>
      <c r="SKJ7" s="1185"/>
      <c r="SKK7" s="1185"/>
      <c r="SKL7" s="1185"/>
      <c r="SKM7" s="1185"/>
      <c r="SKN7" s="1185"/>
      <c r="SKO7" s="1185"/>
      <c r="SKP7" s="1185"/>
      <c r="SKQ7" s="1185"/>
      <c r="SKR7" s="1185"/>
      <c r="SKS7" s="1185"/>
      <c r="SKT7" s="1185"/>
      <c r="SKU7" s="1185"/>
      <c r="SKV7" s="1185"/>
      <c r="SKW7" s="1185"/>
      <c r="SKX7" s="1185"/>
      <c r="SKY7" s="1185"/>
      <c r="SKZ7" s="1185"/>
      <c r="SLA7" s="1185"/>
      <c r="SLB7" s="1185"/>
      <c r="SLC7" s="1185"/>
      <c r="SLD7" s="1185"/>
      <c r="SLE7" s="1185"/>
      <c r="SLF7" s="1185"/>
      <c r="SLG7" s="1185"/>
      <c r="SLH7" s="1185"/>
      <c r="SLI7" s="1185"/>
      <c r="SLJ7" s="1185"/>
      <c r="SLK7" s="1185"/>
      <c r="SLL7" s="1185"/>
      <c r="SLM7" s="1185"/>
      <c r="SLN7" s="1185"/>
      <c r="SLO7" s="1185"/>
      <c r="SLP7" s="1185"/>
      <c r="SLQ7" s="1185"/>
      <c r="SLR7" s="1185"/>
      <c r="SLS7" s="1185"/>
      <c r="SLT7" s="1185"/>
      <c r="SLU7" s="1185"/>
      <c r="SLV7" s="1185"/>
      <c r="SLW7" s="1185"/>
      <c r="SLX7" s="1185"/>
      <c r="SLY7" s="1185"/>
      <c r="SLZ7" s="1185"/>
      <c r="SMA7" s="1185"/>
      <c r="SMB7" s="1185"/>
      <c r="SMC7" s="1185"/>
      <c r="SMD7" s="1185"/>
      <c r="SME7" s="1185"/>
      <c r="SMF7" s="1185"/>
      <c r="SMG7" s="1185"/>
      <c r="SMH7" s="1185"/>
      <c r="SMI7" s="1185"/>
      <c r="SMJ7" s="1185"/>
      <c r="SMK7" s="1185"/>
      <c r="SML7" s="1185"/>
      <c r="SMM7" s="1185"/>
      <c r="SMN7" s="1185"/>
      <c r="SMO7" s="1185"/>
      <c r="SMP7" s="1185"/>
      <c r="SMQ7" s="1185"/>
      <c r="SMR7" s="1185"/>
      <c r="SMS7" s="1185"/>
      <c r="SMT7" s="1185"/>
      <c r="SMU7" s="1185"/>
      <c r="SMV7" s="1185"/>
      <c r="SMW7" s="1185"/>
      <c r="SMX7" s="1185"/>
      <c r="SMY7" s="1185"/>
      <c r="SMZ7" s="1185"/>
      <c r="SNA7" s="1185"/>
      <c r="SNB7" s="1185"/>
      <c r="SNC7" s="1185"/>
      <c r="SND7" s="1185"/>
      <c r="SNE7" s="1185"/>
      <c r="SNF7" s="1185"/>
      <c r="SNG7" s="1185"/>
      <c r="SNH7" s="1185"/>
      <c r="SNI7" s="1185"/>
      <c r="SNJ7" s="1185"/>
      <c r="SNK7" s="1185"/>
      <c r="SNL7" s="1185"/>
      <c r="SNM7" s="1185"/>
      <c r="SNN7" s="1185"/>
      <c r="SNO7" s="1185"/>
      <c r="SNP7" s="1185"/>
      <c r="SNQ7" s="1185"/>
      <c r="SNR7" s="1185"/>
      <c r="SNS7" s="1185"/>
      <c r="SNT7" s="1185"/>
      <c r="SNU7" s="1185"/>
      <c r="SNV7" s="1185"/>
      <c r="SNW7" s="1185"/>
      <c r="SNX7" s="1185"/>
      <c r="SNY7" s="1185"/>
      <c r="SNZ7" s="1185"/>
      <c r="SOA7" s="1185"/>
      <c r="SOB7" s="1185"/>
      <c r="SOC7" s="1185"/>
      <c r="SOD7" s="1185"/>
      <c r="SOE7" s="1185"/>
      <c r="SOF7" s="1185"/>
      <c r="SOG7" s="1185"/>
      <c r="SOH7" s="1185"/>
      <c r="SOI7" s="1185"/>
      <c r="SOJ7" s="1185"/>
      <c r="SOK7" s="1185"/>
      <c r="SOL7" s="1185"/>
      <c r="SOM7" s="1185"/>
      <c r="SON7" s="1185"/>
      <c r="SOO7" s="1185"/>
      <c r="SOP7" s="1185"/>
      <c r="SOQ7" s="1185"/>
      <c r="SOR7" s="1185"/>
      <c r="SOS7" s="1185"/>
      <c r="SOT7" s="1185"/>
      <c r="SOU7" s="1185"/>
      <c r="SOV7" s="1185"/>
      <c r="SOW7" s="1185"/>
      <c r="SOX7" s="1185"/>
      <c r="SOY7" s="1185"/>
      <c r="SOZ7" s="1185"/>
      <c r="SPA7" s="1185"/>
      <c r="SPB7" s="1185"/>
      <c r="SPC7" s="1185"/>
      <c r="SPD7" s="1185"/>
      <c r="SPE7" s="1185"/>
      <c r="SPF7" s="1185"/>
      <c r="SPG7" s="1185"/>
      <c r="SPH7" s="1185"/>
      <c r="SPI7" s="1185"/>
      <c r="SPJ7" s="1185"/>
      <c r="SPK7" s="1185"/>
      <c r="SPL7" s="1185"/>
      <c r="SPM7" s="1185"/>
      <c r="SPN7" s="1185"/>
      <c r="SPO7" s="1185"/>
      <c r="SPP7" s="1185"/>
      <c r="SPQ7" s="1185"/>
      <c r="SPR7" s="1185"/>
      <c r="SPS7" s="1185"/>
      <c r="SPT7" s="1185"/>
      <c r="SPU7" s="1185"/>
      <c r="SPV7" s="1185"/>
      <c r="SPW7" s="1185"/>
      <c r="SPX7" s="1185"/>
      <c r="SPY7" s="1185"/>
      <c r="SPZ7" s="1185"/>
      <c r="SQA7" s="1185"/>
      <c r="SQB7" s="1185"/>
      <c r="SQC7" s="1185"/>
      <c r="SQD7" s="1185"/>
      <c r="SQE7" s="1185"/>
      <c r="SQF7" s="1185"/>
      <c r="SQG7" s="1185"/>
      <c r="SQH7" s="1185"/>
      <c r="SQI7" s="1185"/>
      <c r="SQJ7" s="1185"/>
      <c r="SQK7" s="1185"/>
      <c r="SQL7" s="1185"/>
      <c r="SQM7" s="1185"/>
      <c r="SQN7" s="1185"/>
      <c r="SQO7" s="1185"/>
      <c r="SQP7" s="1185"/>
      <c r="SQQ7" s="1185"/>
      <c r="SQR7" s="1185"/>
      <c r="SQS7" s="1185"/>
      <c r="SQT7" s="1185"/>
      <c r="SQU7" s="1185"/>
      <c r="SQV7" s="1185"/>
      <c r="SQW7" s="1185"/>
      <c r="SQX7" s="1185"/>
      <c r="SQY7" s="1185"/>
      <c r="SQZ7" s="1185"/>
      <c r="SRA7" s="1185"/>
      <c r="SRB7" s="1185"/>
      <c r="SRC7" s="1185"/>
      <c r="SRD7" s="1185"/>
      <c r="SRE7" s="1185"/>
      <c r="SRF7" s="1185"/>
      <c r="SRG7" s="1185"/>
      <c r="SRH7" s="1185"/>
      <c r="SRI7" s="1185"/>
      <c r="SRJ7" s="1185"/>
      <c r="SRK7" s="1185"/>
      <c r="SRL7" s="1185"/>
      <c r="SRM7" s="1185"/>
      <c r="SRN7" s="1185"/>
      <c r="SRO7" s="1185"/>
      <c r="SRP7" s="1185"/>
      <c r="SRQ7" s="1185"/>
      <c r="SRR7" s="1185"/>
      <c r="SRS7" s="1185"/>
      <c r="SRT7" s="1185"/>
      <c r="SRU7" s="1185"/>
      <c r="SRV7" s="1185"/>
      <c r="SRW7" s="1185"/>
      <c r="SRX7" s="1185"/>
      <c r="SRY7" s="1185"/>
      <c r="SRZ7" s="1185"/>
      <c r="SSA7" s="1185"/>
      <c r="SSB7" s="1185"/>
      <c r="SSC7" s="1185"/>
      <c r="SSD7" s="1185"/>
      <c r="SSE7" s="1185"/>
      <c r="SSF7" s="1185"/>
      <c r="SSG7" s="1185"/>
      <c r="SSH7" s="1185"/>
      <c r="SSI7" s="1185"/>
      <c r="SSJ7" s="1185"/>
      <c r="SSK7" s="1185"/>
      <c r="SSL7" s="1185"/>
      <c r="SSM7" s="1185"/>
      <c r="SSN7" s="1185"/>
      <c r="SSO7" s="1185"/>
      <c r="SSP7" s="1185"/>
      <c r="SSQ7" s="1185"/>
      <c r="SSR7" s="1185"/>
      <c r="SSS7" s="1185"/>
      <c r="SST7" s="1185"/>
      <c r="SSU7" s="1185"/>
      <c r="SSV7" s="1185"/>
      <c r="SSW7" s="1185"/>
      <c r="SSX7" s="1185"/>
      <c r="SSY7" s="1185"/>
      <c r="SSZ7" s="1185"/>
      <c r="STA7" s="1185"/>
      <c r="STB7" s="1185"/>
      <c r="STC7" s="1185"/>
      <c r="STD7" s="1185"/>
      <c r="STE7" s="1185"/>
      <c r="STF7" s="1185"/>
      <c r="STG7" s="1185"/>
      <c r="STH7" s="1185"/>
      <c r="STI7" s="1185"/>
      <c r="STJ7" s="1185"/>
      <c r="STK7" s="1185"/>
      <c r="STL7" s="1185"/>
      <c r="STM7" s="1185"/>
      <c r="STN7" s="1185"/>
      <c r="STO7" s="1185"/>
      <c r="STP7" s="1185"/>
      <c r="STQ7" s="1185"/>
      <c r="STR7" s="1185"/>
      <c r="STS7" s="1185"/>
      <c r="STT7" s="1185"/>
      <c r="STU7" s="1185"/>
      <c r="STV7" s="1185"/>
      <c r="STW7" s="1185"/>
      <c r="STX7" s="1185"/>
      <c r="STY7" s="1185"/>
      <c r="STZ7" s="1185"/>
      <c r="SUA7" s="1185"/>
      <c r="SUB7" s="1185"/>
      <c r="SUC7" s="1185"/>
      <c r="SUD7" s="1185"/>
      <c r="SUE7" s="1185"/>
      <c r="SUF7" s="1185"/>
      <c r="SUG7" s="1185"/>
      <c r="SUH7" s="1185"/>
      <c r="SUI7" s="1185"/>
      <c r="SUJ7" s="1185"/>
      <c r="SUK7" s="1185"/>
      <c r="SUL7" s="1185"/>
      <c r="SUM7" s="1185"/>
      <c r="SUN7" s="1185"/>
      <c r="SUO7" s="1185"/>
      <c r="SUP7" s="1185"/>
      <c r="SUQ7" s="1185"/>
      <c r="SUR7" s="1185"/>
      <c r="SUS7" s="1185"/>
      <c r="SUT7" s="1185"/>
      <c r="SUU7" s="1185"/>
      <c r="SUV7" s="1185"/>
      <c r="SUW7" s="1185"/>
      <c r="SUX7" s="1185"/>
      <c r="SUY7" s="1185"/>
      <c r="SUZ7" s="1185"/>
      <c r="SVA7" s="1185"/>
      <c r="SVB7" s="1185"/>
      <c r="SVC7" s="1185"/>
      <c r="SVD7" s="1185"/>
      <c r="SVE7" s="1185"/>
      <c r="SVF7" s="1185"/>
      <c r="SVG7" s="1185"/>
      <c r="SVH7" s="1185"/>
      <c r="SVI7" s="1185"/>
      <c r="SVJ7" s="1185"/>
      <c r="SVK7" s="1185"/>
      <c r="SVL7" s="1185"/>
      <c r="SVM7" s="1185"/>
      <c r="SVN7" s="1185"/>
      <c r="SVO7" s="1185"/>
      <c r="SVP7" s="1185"/>
      <c r="SVQ7" s="1185"/>
      <c r="SVR7" s="1185"/>
      <c r="SVS7" s="1185"/>
      <c r="SVT7" s="1185"/>
      <c r="SVU7" s="1185"/>
      <c r="SVV7" s="1185"/>
      <c r="SVW7" s="1185"/>
      <c r="SVX7" s="1185"/>
      <c r="SVY7" s="1185"/>
      <c r="SVZ7" s="1185"/>
      <c r="SWA7" s="1185"/>
      <c r="SWB7" s="1185"/>
      <c r="SWC7" s="1185"/>
      <c r="SWD7" s="1185"/>
      <c r="SWE7" s="1185"/>
      <c r="SWF7" s="1185"/>
      <c r="SWG7" s="1185"/>
      <c r="SWH7" s="1185"/>
      <c r="SWI7" s="1185"/>
      <c r="SWJ7" s="1185"/>
      <c r="SWK7" s="1185"/>
      <c r="SWL7" s="1185"/>
      <c r="SWM7" s="1185"/>
      <c r="SWN7" s="1185"/>
      <c r="SWO7" s="1185"/>
      <c r="SWP7" s="1185"/>
      <c r="SWQ7" s="1185"/>
      <c r="SWR7" s="1185"/>
      <c r="SWS7" s="1185"/>
      <c r="SWT7" s="1185"/>
      <c r="SWU7" s="1185"/>
      <c r="SWV7" s="1185"/>
      <c r="SWW7" s="1185"/>
      <c r="SWX7" s="1185"/>
      <c r="SWY7" s="1185"/>
      <c r="SWZ7" s="1185"/>
      <c r="SXA7" s="1185"/>
      <c r="SXB7" s="1185"/>
      <c r="SXC7" s="1185"/>
      <c r="SXD7" s="1185"/>
      <c r="SXE7" s="1185"/>
      <c r="SXF7" s="1185"/>
      <c r="SXG7" s="1185"/>
      <c r="SXH7" s="1185"/>
      <c r="SXI7" s="1185"/>
      <c r="SXJ7" s="1185"/>
      <c r="SXK7" s="1185"/>
      <c r="SXL7" s="1185"/>
      <c r="SXM7" s="1185"/>
      <c r="SXN7" s="1185"/>
      <c r="SXO7" s="1185"/>
      <c r="SXP7" s="1185"/>
      <c r="SXQ7" s="1185"/>
      <c r="SXR7" s="1185"/>
      <c r="SXS7" s="1185"/>
      <c r="SXT7" s="1185"/>
      <c r="SXU7" s="1185"/>
      <c r="SXV7" s="1185"/>
      <c r="SXW7" s="1185"/>
      <c r="SXX7" s="1185"/>
      <c r="SXY7" s="1185"/>
      <c r="SXZ7" s="1185"/>
      <c r="SYA7" s="1185"/>
      <c r="SYB7" s="1185"/>
      <c r="SYC7" s="1185"/>
      <c r="SYD7" s="1185"/>
      <c r="SYE7" s="1185"/>
      <c r="SYF7" s="1185"/>
      <c r="SYG7" s="1185"/>
      <c r="SYH7" s="1185"/>
      <c r="SYI7" s="1185"/>
      <c r="SYJ7" s="1185"/>
      <c r="SYK7" s="1185"/>
      <c r="SYL7" s="1185"/>
      <c r="SYM7" s="1185"/>
      <c r="SYN7" s="1185"/>
      <c r="SYO7" s="1185"/>
      <c r="SYP7" s="1185"/>
      <c r="SYQ7" s="1185"/>
      <c r="SYR7" s="1185"/>
      <c r="SYS7" s="1185"/>
      <c r="SYT7" s="1185"/>
      <c r="SYU7" s="1185"/>
      <c r="SYV7" s="1185"/>
      <c r="SYW7" s="1185"/>
      <c r="SYX7" s="1185"/>
      <c r="SYY7" s="1185"/>
      <c r="SYZ7" s="1185"/>
      <c r="SZA7" s="1185"/>
      <c r="SZB7" s="1185"/>
      <c r="SZC7" s="1185"/>
      <c r="SZD7" s="1185"/>
      <c r="SZE7" s="1185"/>
      <c r="SZF7" s="1185"/>
      <c r="SZG7" s="1185"/>
      <c r="SZH7" s="1185"/>
      <c r="SZI7" s="1185"/>
      <c r="SZJ7" s="1185"/>
      <c r="SZK7" s="1185"/>
      <c r="SZL7" s="1185"/>
      <c r="SZM7" s="1185"/>
      <c r="SZN7" s="1185"/>
      <c r="SZO7" s="1185"/>
      <c r="SZP7" s="1185"/>
      <c r="SZQ7" s="1185"/>
      <c r="SZR7" s="1185"/>
      <c r="SZS7" s="1185"/>
      <c r="SZT7" s="1185"/>
      <c r="SZU7" s="1185"/>
      <c r="SZV7" s="1185"/>
      <c r="SZW7" s="1185"/>
      <c r="SZX7" s="1185"/>
      <c r="SZY7" s="1185"/>
      <c r="SZZ7" s="1185"/>
      <c r="TAA7" s="1185"/>
      <c r="TAB7" s="1185"/>
      <c r="TAC7" s="1185"/>
      <c r="TAD7" s="1185"/>
      <c r="TAE7" s="1185"/>
      <c r="TAF7" s="1185"/>
      <c r="TAG7" s="1185"/>
      <c r="TAH7" s="1185"/>
      <c r="TAI7" s="1185"/>
      <c r="TAJ7" s="1185"/>
      <c r="TAK7" s="1185"/>
      <c r="TAL7" s="1185"/>
      <c r="TAM7" s="1185"/>
      <c r="TAN7" s="1185"/>
      <c r="TAO7" s="1185"/>
      <c r="TAP7" s="1185"/>
      <c r="TAQ7" s="1185"/>
      <c r="TAR7" s="1185"/>
      <c r="TAS7" s="1185"/>
      <c r="TAT7" s="1185"/>
      <c r="TAU7" s="1185"/>
      <c r="TAV7" s="1185"/>
      <c r="TAW7" s="1185"/>
      <c r="TAX7" s="1185"/>
      <c r="TAY7" s="1185"/>
      <c r="TAZ7" s="1185"/>
      <c r="TBA7" s="1185"/>
      <c r="TBB7" s="1185"/>
      <c r="TBC7" s="1185"/>
      <c r="TBD7" s="1185"/>
      <c r="TBE7" s="1185"/>
      <c r="TBF7" s="1185"/>
      <c r="TBG7" s="1185"/>
      <c r="TBH7" s="1185"/>
      <c r="TBI7" s="1185"/>
      <c r="TBJ7" s="1185"/>
      <c r="TBK7" s="1185"/>
      <c r="TBL7" s="1185"/>
      <c r="TBM7" s="1185"/>
      <c r="TBN7" s="1185"/>
      <c r="TBO7" s="1185"/>
      <c r="TBP7" s="1185"/>
      <c r="TBQ7" s="1185"/>
      <c r="TBR7" s="1185"/>
      <c r="TBS7" s="1185"/>
      <c r="TBT7" s="1185"/>
      <c r="TBU7" s="1185"/>
      <c r="TBV7" s="1185"/>
      <c r="TBW7" s="1185"/>
      <c r="TBX7" s="1185"/>
      <c r="TBY7" s="1185"/>
      <c r="TBZ7" s="1185"/>
      <c r="TCA7" s="1185"/>
      <c r="TCB7" s="1185"/>
      <c r="TCC7" s="1185"/>
      <c r="TCD7" s="1185"/>
      <c r="TCE7" s="1185"/>
      <c r="TCF7" s="1185"/>
      <c r="TCG7" s="1185"/>
      <c r="TCH7" s="1185"/>
      <c r="TCI7" s="1185"/>
      <c r="TCJ7" s="1185"/>
      <c r="TCK7" s="1185"/>
      <c r="TCL7" s="1185"/>
      <c r="TCM7" s="1185"/>
      <c r="TCN7" s="1185"/>
      <c r="TCO7" s="1185"/>
      <c r="TCP7" s="1185"/>
      <c r="TCQ7" s="1185"/>
      <c r="TCR7" s="1185"/>
      <c r="TCS7" s="1185"/>
      <c r="TCT7" s="1185"/>
      <c r="TCU7" s="1185"/>
      <c r="TCV7" s="1185"/>
      <c r="TCW7" s="1185"/>
      <c r="TCX7" s="1185"/>
      <c r="TCY7" s="1185"/>
      <c r="TCZ7" s="1185"/>
      <c r="TDA7" s="1185"/>
      <c r="TDB7" s="1185"/>
      <c r="TDC7" s="1185"/>
      <c r="TDD7" s="1185"/>
      <c r="TDE7" s="1185"/>
      <c r="TDF7" s="1185"/>
      <c r="TDG7" s="1185"/>
      <c r="TDH7" s="1185"/>
      <c r="TDI7" s="1185"/>
      <c r="TDJ7" s="1185"/>
      <c r="TDK7" s="1185"/>
      <c r="TDL7" s="1185"/>
      <c r="TDM7" s="1185"/>
      <c r="TDN7" s="1185"/>
      <c r="TDO7" s="1185"/>
      <c r="TDP7" s="1185"/>
      <c r="TDQ7" s="1185"/>
      <c r="TDR7" s="1185"/>
      <c r="TDS7" s="1185"/>
      <c r="TDT7" s="1185"/>
      <c r="TDU7" s="1185"/>
      <c r="TDV7" s="1185"/>
      <c r="TDW7" s="1185"/>
      <c r="TDX7" s="1185"/>
      <c r="TDY7" s="1185"/>
      <c r="TDZ7" s="1185"/>
      <c r="TEA7" s="1185"/>
      <c r="TEB7" s="1185"/>
      <c r="TEC7" s="1185"/>
      <c r="TED7" s="1185"/>
      <c r="TEE7" s="1185"/>
      <c r="TEF7" s="1185"/>
      <c r="TEG7" s="1185"/>
      <c r="TEH7" s="1185"/>
      <c r="TEI7" s="1185"/>
      <c r="TEJ7" s="1185"/>
      <c r="TEK7" s="1185"/>
      <c r="TEL7" s="1185"/>
      <c r="TEM7" s="1185"/>
      <c r="TEN7" s="1185"/>
      <c r="TEO7" s="1185"/>
      <c r="TEP7" s="1185"/>
      <c r="TEQ7" s="1185"/>
      <c r="TER7" s="1185"/>
      <c r="TES7" s="1185"/>
      <c r="TET7" s="1185"/>
      <c r="TEU7" s="1185"/>
      <c r="TEV7" s="1185"/>
      <c r="TEW7" s="1185"/>
      <c r="TEX7" s="1185"/>
      <c r="TEY7" s="1185"/>
      <c r="TEZ7" s="1185"/>
      <c r="TFA7" s="1185"/>
      <c r="TFB7" s="1185"/>
      <c r="TFC7" s="1185"/>
      <c r="TFD7" s="1185"/>
      <c r="TFE7" s="1185"/>
      <c r="TFF7" s="1185"/>
      <c r="TFG7" s="1185"/>
      <c r="TFH7" s="1185"/>
      <c r="TFI7" s="1185"/>
      <c r="TFJ7" s="1185"/>
      <c r="TFK7" s="1185"/>
      <c r="TFL7" s="1185"/>
      <c r="TFM7" s="1185"/>
      <c r="TFN7" s="1185"/>
      <c r="TFO7" s="1185"/>
      <c r="TFP7" s="1185"/>
      <c r="TFQ7" s="1185"/>
      <c r="TFR7" s="1185"/>
      <c r="TFS7" s="1185"/>
      <c r="TFT7" s="1185"/>
      <c r="TFU7" s="1185"/>
      <c r="TFV7" s="1185"/>
      <c r="TFW7" s="1185"/>
      <c r="TFX7" s="1185"/>
      <c r="TFY7" s="1185"/>
      <c r="TFZ7" s="1185"/>
      <c r="TGA7" s="1185"/>
      <c r="TGB7" s="1185"/>
      <c r="TGC7" s="1185"/>
      <c r="TGD7" s="1185"/>
      <c r="TGE7" s="1185"/>
      <c r="TGF7" s="1185"/>
      <c r="TGG7" s="1185"/>
      <c r="TGH7" s="1185"/>
      <c r="TGI7" s="1185"/>
      <c r="TGJ7" s="1185"/>
      <c r="TGK7" s="1185"/>
      <c r="TGL7" s="1185"/>
      <c r="TGM7" s="1185"/>
      <c r="TGN7" s="1185"/>
      <c r="TGO7" s="1185"/>
      <c r="TGP7" s="1185"/>
      <c r="TGQ7" s="1185"/>
      <c r="TGR7" s="1185"/>
      <c r="TGS7" s="1185"/>
      <c r="TGT7" s="1185"/>
      <c r="TGU7" s="1185"/>
      <c r="TGV7" s="1185"/>
      <c r="TGW7" s="1185"/>
      <c r="TGX7" s="1185"/>
      <c r="TGY7" s="1185"/>
      <c r="TGZ7" s="1185"/>
      <c r="THA7" s="1185"/>
      <c r="THB7" s="1185"/>
      <c r="THC7" s="1185"/>
      <c r="THD7" s="1185"/>
      <c r="THE7" s="1185"/>
      <c r="THF7" s="1185"/>
      <c r="THG7" s="1185"/>
      <c r="THH7" s="1185"/>
      <c r="THI7" s="1185"/>
      <c r="THJ7" s="1185"/>
      <c r="THK7" s="1185"/>
      <c r="THL7" s="1185"/>
      <c r="THM7" s="1185"/>
      <c r="THN7" s="1185"/>
      <c r="THO7" s="1185"/>
      <c r="THP7" s="1185"/>
      <c r="THQ7" s="1185"/>
      <c r="THR7" s="1185"/>
      <c r="THS7" s="1185"/>
      <c r="THT7" s="1185"/>
      <c r="THU7" s="1185"/>
      <c r="THV7" s="1185"/>
      <c r="THW7" s="1185"/>
      <c r="THX7" s="1185"/>
      <c r="THY7" s="1185"/>
      <c r="THZ7" s="1185"/>
      <c r="TIA7" s="1185"/>
      <c r="TIB7" s="1185"/>
      <c r="TIC7" s="1185"/>
      <c r="TID7" s="1185"/>
      <c r="TIE7" s="1185"/>
      <c r="TIF7" s="1185"/>
      <c r="TIG7" s="1185"/>
      <c r="TIH7" s="1185"/>
      <c r="TII7" s="1185"/>
      <c r="TIJ7" s="1185"/>
      <c r="TIK7" s="1185"/>
      <c r="TIL7" s="1185"/>
      <c r="TIM7" s="1185"/>
      <c r="TIN7" s="1185"/>
      <c r="TIO7" s="1185"/>
      <c r="TIP7" s="1185"/>
      <c r="TIQ7" s="1185"/>
      <c r="TIR7" s="1185"/>
      <c r="TIS7" s="1185"/>
      <c r="TIT7" s="1185"/>
      <c r="TIU7" s="1185"/>
      <c r="TIV7" s="1185"/>
      <c r="TIW7" s="1185"/>
      <c r="TIX7" s="1185"/>
      <c r="TIY7" s="1185"/>
      <c r="TIZ7" s="1185"/>
      <c r="TJA7" s="1185"/>
      <c r="TJB7" s="1185"/>
      <c r="TJC7" s="1185"/>
      <c r="TJD7" s="1185"/>
      <c r="TJE7" s="1185"/>
      <c r="TJF7" s="1185"/>
      <c r="TJG7" s="1185"/>
      <c r="TJH7" s="1185"/>
      <c r="TJI7" s="1185"/>
      <c r="TJJ7" s="1185"/>
      <c r="TJK7" s="1185"/>
      <c r="TJL7" s="1185"/>
      <c r="TJM7" s="1185"/>
      <c r="TJN7" s="1185"/>
      <c r="TJO7" s="1185"/>
      <c r="TJP7" s="1185"/>
      <c r="TJQ7" s="1185"/>
      <c r="TJR7" s="1185"/>
      <c r="TJS7" s="1185"/>
      <c r="TJT7" s="1185"/>
      <c r="TJU7" s="1185"/>
      <c r="TJV7" s="1185"/>
      <c r="TJW7" s="1185"/>
      <c r="TJX7" s="1185"/>
      <c r="TJY7" s="1185"/>
      <c r="TJZ7" s="1185"/>
      <c r="TKA7" s="1185"/>
      <c r="TKB7" s="1185"/>
      <c r="TKC7" s="1185"/>
      <c r="TKD7" s="1185"/>
      <c r="TKE7" s="1185"/>
      <c r="TKF7" s="1185"/>
      <c r="TKG7" s="1185"/>
      <c r="TKH7" s="1185"/>
      <c r="TKI7" s="1185"/>
      <c r="TKJ7" s="1185"/>
      <c r="TKK7" s="1185"/>
      <c r="TKL7" s="1185"/>
      <c r="TKM7" s="1185"/>
      <c r="TKN7" s="1185"/>
      <c r="TKO7" s="1185"/>
      <c r="TKP7" s="1185"/>
      <c r="TKQ7" s="1185"/>
      <c r="TKR7" s="1185"/>
      <c r="TKS7" s="1185"/>
      <c r="TKT7" s="1185"/>
      <c r="TKU7" s="1185"/>
      <c r="TKV7" s="1185"/>
      <c r="TKW7" s="1185"/>
      <c r="TKX7" s="1185"/>
      <c r="TKY7" s="1185"/>
      <c r="TKZ7" s="1185"/>
      <c r="TLA7" s="1185"/>
      <c r="TLB7" s="1185"/>
      <c r="TLC7" s="1185"/>
      <c r="TLD7" s="1185"/>
      <c r="TLE7" s="1185"/>
      <c r="TLF7" s="1185"/>
      <c r="TLG7" s="1185"/>
      <c r="TLH7" s="1185"/>
      <c r="TLI7" s="1185"/>
      <c r="TLJ7" s="1185"/>
      <c r="TLK7" s="1185"/>
      <c r="TLL7" s="1185"/>
      <c r="TLM7" s="1185"/>
      <c r="TLN7" s="1185"/>
      <c r="TLO7" s="1185"/>
      <c r="TLP7" s="1185"/>
      <c r="TLQ7" s="1185"/>
      <c r="TLR7" s="1185"/>
      <c r="TLS7" s="1185"/>
      <c r="TLT7" s="1185"/>
      <c r="TLU7" s="1185"/>
      <c r="TLV7" s="1185"/>
      <c r="TLW7" s="1185"/>
      <c r="TLX7" s="1185"/>
      <c r="TLY7" s="1185"/>
      <c r="TLZ7" s="1185"/>
      <c r="TMA7" s="1185"/>
      <c r="TMB7" s="1185"/>
      <c r="TMC7" s="1185"/>
      <c r="TMD7" s="1185"/>
      <c r="TME7" s="1185"/>
      <c r="TMF7" s="1185"/>
      <c r="TMG7" s="1185"/>
      <c r="TMH7" s="1185"/>
      <c r="TMI7" s="1185"/>
      <c r="TMJ7" s="1185"/>
      <c r="TMK7" s="1185"/>
      <c r="TML7" s="1185"/>
      <c r="TMM7" s="1185"/>
      <c r="TMN7" s="1185"/>
      <c r="TMO7" s="1185"/>
      <c r="TMP7" s="1185"/>
      <c r="TMQ7" s="1185"/>
      <c r="TMR7" s="1185"/>
      <c r="TMS7" s="1185"/>
      <c r="TMT7" s="1185"/>
      <c r="TMU7" s="1185"/>
      <c r="TMV7" s="1185"/>
      <c r="TMW7" s="1185"/>
      <c r="TMX7" s="1185"/>
      <c r="TMY7" s="1185"/>
      <c r="TMZ7" s="1185"/>
      <c r="TNA7" s="1185"/>
      <c r="TNB7" s="1185"/>
      <c r="TNC7" s="1185"/>
      <c r="TND7" s="1185"/>
      <c r="TNE7" s="1185"/>
      <c r="TNF7" s="1185"/>
      <c r="TNG7" s="1185"/>
      <c r="TNH7" s="1185"/>
      <c r="TNI7" s="1185"/>
      <c r="TNJ7" s="1185"/>
      <c r="TNK7" s="1185"/>
      <c r="TNL7" s="1185"/>
      <c r="TNM7" s="1185"/>
      <c r="TNN7" s="1185"/>
      <c r="TNO7" s="1185"/>
      <c r="TNP7" s="1185"/>
      <c r="TNQ7" s="1185"/>
      <c r="TNR7" s="1185"/>
      <c r="TNS7" s="1185"/>
      <c r="TNT7" s="1185"/>
      <c r="TNU7" s="1185"/>
      <c r="TNV7" s="1185"/>
      <c r="TNW7" s="1185"/>
      <c r="TNX7" s="1185"/>
      <c r="TNY7" s="1185"/>
      <c r="TNZ7" s="1185"/>
      <c r="TOA7" s="1185"/>
      <c r="TOB7" s="1185"/>
      <c r="TOC7" s="1185"/>
      <c r="TOD7" s="1185"/>
      <c r="TOE7" s="1185"/>
      <c r="TOF7" s="1185"/>
      <c r="TOG7" s="1185"/>
      <c r="TOH7" s="1185"/>
      <c r="TOI7" s="1185"/>
      <c r="TOJ7" s="1185"/>
      <c r="TOK7" s="1185"/>
      <c r="TOL7" s="1185"/>
      <c r="TOM7" s="1185"/>
      <c r="TON7" s="1185"/>
      <c r="TOO7" s="1185"/>
      <c r="TOP7" s="1185"/>
      <c r="TOQ7" s="1185"/>
      <c r="TOR7" s="1185"/>
      <c r="TOS7" s="1185"/>
      <c r="TOT7" s="1185"/>
      <c r="TOU7" s="1185"/>
      <c r="TOV7" s="1185"/>
      <c r="TOW7" s="1185"/>
      <c r="TOX7" s="1185"/>
      <c r="TOY7" s="1185"/>
      <c r="TOZ7" s="1185"/>
      <c r="TPA7" s="1185"/>
      <c r="TPB7" s="1185"/>
      <c r="TPC7" s="1185"/>
      <c r="TPD7" s="1185"/>
      <c r="TPE7" s="1185"/>
      <c r="TPF7" s="1185"/>
      <c r="TPG7" s="1185"/>
      <c r="TPH7" s="1185"/>
      <c r="TPI7" s="1185"/>
      <c r="TPJ7" s="1185"/>
      <c r="TPK7" s="1185"/>
      <c r="TPL7" s="1185"/>
      <c r="TPM7" s="1185"/>
      <c r="TPN7" s="1185"/>
      <c r="TPO7" s="1185"/>
      <c r="TPP7" s="1185"/>
      <c r="TPQ7" s="1185"/>
      <c r="TPR7" s="1185"/>
      <c r="TPS7" s="1185"/>
      <c r="TPT7" s="1185"/>
      <c r="TPU7" s="1185"/>
      <c r="TPV7" s="1185"/>
      <c r="TPW7" s="1185"/>
      <c r="TPX7" s="1185"/>
      <c r="TPY7" s="1185"/>
      <c r="TPZ7" s="1185"/>
      <c r="TQA7" s="1185"/>
      <c r="TQB7" s="1185"/>
      <c r="TQC7" s="1185"/>
      <c r="TQD7" s="1185"/>
      <c r="TQE7" s="1185"/>
      <c r="TQF7" s="1185"/>
      <c r="TQG7" s="1185"/>
      <c r="TQH7" s="1185"/>
      <c r="TQI7" s="1185"/>
      <c r="TQJ7" s="1185"/>
      <c r="TQK7" s="1185"/>
      <c r="TQL7" s="1185"/>
      <c r="TQM7" s="1185"/>
      <c r="TQN7" s="1185"/>
      <c r="TQO7" s="1185"/>
      <c r="TQP7" s="1185"/>
      <c r="TQQ7" s="1185"/>
      <c r="TQR7" s="1185"/>
      <c r="TQS7" s="1185"/>
      <c r="TQT7" s="1185"/>
      <c r="TQU7" s="1185"/>
      <c r="TQV7" s="1185"/>
      <c r="TQW7" s="1185"/>
      <c r="TQX7" s="1185"/>
      <c r="TQY7" s="1185"/>
      <c r="TQZ7" s="1185"/>
      <c r="TRA7" s="1185"/>
      <c r="TRB7" s="1185"/>
      <c r="TRC7" s="1185"/>
      <c r="TRD7" s="1185"/>
      <c r="TRE7" s="1185"/>
      <c r="TRF7" s="1185"/>
      <c r="TRG7" s="1185"/>
      <c r="TRH7" s="1185"/>
      <c r="TRI7" s="1185"/>
      <c r="TRJ7" s="1185"/>
      <c r="TRK7" s="1185"/>
      <c r="TRL7" s="1185"/>
      <c r="TRM7" s="1185"/>
      <c r="TRN7" s="1185"/>
      <c r="TRO7" s="1185"/>
      <c r="TRP7" s="1185"/>
      <c r="TRQ7" s="1185"/>
      <c r="TRR7" s="1185"/>
      <c r="TRS7" s="1185"/>
      <c r="TRT7" s="1185"/>
      <c r="TRU7" s="1185"/>
      <c r="TRV7" s="1185"/>
      <c r="TRW7" s="1185"/>
      <c r="TRX7" s="1185"/>
      <c r="TRY7" s="1185"/>
      <c r="TRZ7" s="1185"/>
      <c r="TSA7" s="1185"/>
      <c r="TSB7" s="1185"/>
      <c r="TSC7" s="1185"/>
      <c r="TSD7" s="1185"/>
      <c r="TSE7" s="1185"/>
      <c r="TSF7" s="1185"/>
      <c r="TSG7" s="1185"/>
      <c r="TSH7" s="1185"/>
      <c r="TSI7" s="1185"/>
      <c r="TSJ7" s="1185"/>
      <c r="TSK7" s="1185"/>
      <c r="TSL7" s="1185"/>
      <c r="TSM7" s="1185"/>
      <c r="TSN7" s="1185"/>
      <c r="TSO7" s="1185"/>
      <c r="TSP7" s="1185"/>
      <c r="TSQ7" s="1185"/>
      <c r="TSR7" s="1185"/>
      <c r="TSS7" s="1185"/>
      <c r="TST7" s="1185"/>
      <c r="TSU7" s="1185"/>
      <c r="TSV7" s="1185"/>
      <c r="TSW7" s="1185"/>
      <c r="TSX7" s="1185"/>
      <c r="TSY7" s="1185"/>
      <c r="TSZ7" s="1185"/>
      <c r="TTA7" s="1185"/>
      <c r="TTB7" s="1185"/>
      <c r="TTC7" s="1185"/>
      <c r="TTD7" s="1185"/>
      <c r="TTE7" s="1185"/>
      <c r="TTF7" s="1185"/>
      <c r="TTG7" s="1185"/>
      <c r="TTH7" s="1185"/>
      <c r="TTI7" s="1185"/>
      <c r="TTJ7" s="1185"/>
      <c r="TTK7" s="1185"/>
      <c r="TTL7" s="1185"/>
      <c r="TTM7" s="1185"/>
      <c r="TTN7" s="1185"/>
      <c r="TTO7" s="1185"/>
      <c r="TTP7" s="1185"/>
      <c r="TTQ7" s="1185"/>
      <c r="TTR7" s="1185"/>
      <c r="TTS7" s="1185"/>
      <c r="TTT7" s="1185"/>
      <c r="TTU7" s="1185"/>
      <c r="TTV7" s="1185"/>
      <c r="TTW7" s="1185"/>
      <c r="TTX7" s="1185"/>
      <c r="TTY7" s="1185"/>
      <c r="TTZ7" s="1185"/>
      <c r="TUA7" s="1185"/>
      <c r="TUB7" s="1185"/>
      <c r="TUC7" s="1185"/>
      <c r="TUD7" s="1185"/>
      <c r="TUE7" s="1185"/>
      <c r="TUF7" s="1185"/>
      <c r="TUG7" s="1185"/>
      <c r="TUH7" s="1185"/>
      <c r="TUI7" s="1185"/>
      <c r="TUJ7" s="1185"/>
      <c r="TUK7" s="1185"/>
      <c r="TUL7" s="1185"/>
      <c r="TUM7" s="1185"/>
      <c r="TUN7" s="1185"/>
      <c r="TUO7" s="1185"/>
      <c r="TUP7" s="1185"/>
      <c r="TUQ7" s="1185"/>
      <c r="TUR7" s="1185"/>
      <c r="TUS7" s="1185"/>
      <c r="TUT7" s="1185"/>
      <c r="TUU7" s="1185"/>
      <c r="TUV7" s="1185"/>
      <c r="TUW7" s="1185"/>
      <c r="TUX7" s="1185"/>
      <c r="TUY7" s="1185"/>
      <c r="TUZ7" s="1185"/>
      <c r="TVA7" s="1185"/>
      <c r="TVB7" s="1185"/>
      <c r="TVC7" s="1185"/>
      <c r="TVD7" s="1185"/>
      <c r="TVE7" s="1185"/>
      <c r="TVF7" s="1185"/>
      <c r="TVG7" s="1185"/>
      <c r="TVH7" s="1185"/>
      <c r="TVI7" s="1185"/>
      <c r="TVJ7" s="1185"/>
      <c r="TVK7" s="1185"/>
      <c r="TVL7" s="1185"/>
      <c r="TVM7" s="1185"/>
      <c r="TVN7" s="1185"/>
      <c r="TVO7" s="1185"/>
      <c r="TVP7" s="1185"/>
      <c r="TVQ7" s="1185"/>
      <c r="TVR7" s="1185"/>
      <c r="TVS7" s="1185"/>
      <c r="TVT7" s="1185"/>
      <c r="TVU7" s="1185"/>
      <c r="TVV7" s="1185"/>
      <c r="TVW7" s="1185"/>
      <c r="TVX7" s="1185"/>
      <c r="TVY7" s="1185"/>
      <c r="TVZ7" s="1185"/>
      <c r="TWA7" s="1185"/>
      <c r="TWB7" s="1185"/>
      <c r="TWC7" s="1185"/>
      <c r="TWD7" s="1185"/>
      <c r="TWE7" s="1185"/>
      <c r="TWF7" s="1185"/>
      <c r="TWG7" s="1185"/>
      <c r="TWH7" s="1185"/>
      <c r="TWI7" s="1185"/>
      <c r="TWJ7" s="1185"/>
      <c r="TWK7" s="1185"/>
      <c r="TWL7" s="1185"/>
      <c r="TWM7" s="1185"/>
      <c r="TWN7" s="1185"/>
      <c r="TWO7" s="1185"/>
      <c r="TWP7" s="1185"/>
      <c r="TWQ7" s="1185"/>
      <c r="TWR7" s="1185"/>
      <c r="TWS7" s="1185"/>
      <c r="TWT7" s="1185"/>
      <c r="TWU7" s="1185"/>
      <c r="TWV7" s="1185"/>
      <c r="TWW7" s="1185"/>
      <c r="TWX7" s="1185"/>
      <c r="TWY7" s="1185"/>
      <c r="TWZ7" s="1185"/>
      <c r="TXA7" s="1185"/>
      <c r="TXB7" s="1185"/>
      <c r="TXC7" s="1185"/>
      <c r="TXD7" s="1185"/>
      <c r="TXE7" s="1185"/>
      <c r="TXF7" s="1185"/>
      <c r="TXG7" s="1185"/>
      <c r="TXH7" s="1185"/>
      <c r="TXI7" s="1185"/>
      <c r="TXJ7" s="1185"/>
      <c r="TXK7" s="1185"/>
      <c r="TXL7" s="1185"/>
      <c r="TXM7" s="1185"/>
      <c r="TXN7" s="1185"/>
      <c r="TXO7" s="1185"/>
      <c r="TXP7" s="1185"/>
      <c r="TXQ7" s="1185"/>
      <c r="TXR7" s="1185"/>
      <c r="TXS7" s="1185"/>
      <c r="TXT7" s="1185"/>
      <c r="TXU7" s="1185"/>
      <c r="TXV7" s="1185"/>
      <c r="TXW7" s="1185"/>
      <c r="TXX7" s="1185"/>
      <c r="TXY7" s="1185"/>
      <c r="TXZ7" s="1185"/>
      <c r="TYA7" s="1185"/>
      <c r="TYB7" s="1185"/>
      <c r="TYC7" s="1185"/>
      <c r="TYD7" s="1185"/>
      <c r="TYE7" s="1185"/>
      <c r="TYF7" s="1185"/>
      <c r="TYG7" s="1185"/>
      <c r="TYH7" s="1185"/>
      <c r="TYI7" s="1185"/>
      <c r="TYJ7" s="1185"/>
      <c r="TYK7" s="1185"/>
      <c r="TYL7" s="1185"/>
      <c r="TYM7" s="1185"/>
      <c r="TYN7" s="1185"/>
      <c r="TYO7" s="1185"/>
      <c r="TYP7" s="1185"/>
      <c r="TYQ7" s="1185"/>
      <c r="TYR7" s="1185"/>
      <c r="TYS7" s="1185"/>
      <c r="TYT7" s="1185"/>
      <c r="TYU7" s="1185"/>
      <c r="TYV7" s="1185"/>
      <c r="TYW7" s="1185"/>
      <c r="TYX7" s="1185"/>
      <c r="TYY7" s="1185"/>
      <c r="TYZ7" s="1185"/>
      <c r="TZA7" s="1185"/>
      <c r="TZB7" s="1185"/>
      <c r="TZC7" s="1185"/>
      <c r="TZD7" s="1185"/>
      <c r="TZE7" s="1185"/>
      <c r="TZF7" s="1185"/>
      <c r="TZG7" s="1185"/>
      <c r="TZH7" s="1185"/>
      <c r="TZI7" s="1185"/>
      <c r="TZJ7" s="1185"/>
      <c r="TZK7" s="1185"/>
      <c r="TZL7" s="1185"/>
      <c r="TZM7" s="1185"/>
      <c r="TZN7" s="1185"/>
      <c r="TZO7" s="1185"/>
      <c r="TZP7" s="1185"/>
      <c r="TZQ7" s="1185"/>
      <c r="TZR7" s="1185"/>
      <c r="TZS7" s="1185"/>
      <c r="TZT7" s="1185"/>
      <c r="TZU7" s="1185"/>
      <c r="TZV7" s="1185"/>
      <c r="TZW7" s="1185"/>
      <c r="TZX7" s="1185"/>
      <c r="TZY7" s="1185"/>
      <c r="TZZ7" s="1185"/>
      <c r="UAA7" s="1185"/>
      <c r="UAB7" s="1185"/>
      <c r="UAC7" s="1185"/>
      <c r="UAD7" s="1185"/>
      <c r="UAE7" s="1185"/>
      <c r="UAF7" s="1185"/>
      <c r="UAG7" s="1185"/>
      <c r="UAH7" s="1185"/>
      <c r="UAI7" s="1185"/>
      <c r="UAJ7" s="1185"/>
      <c r="UAK7" s="1185"/>
      <c r="UAL7" s="1185"/>
      <c r="UAM7" s="1185"/>
      <c r="UAN7" s="1185"/>
      <c r="UAO7" s="1185"/>
      <c r="UAP7" s="1185"/>
      <c r="UAQ7" s="1185"/>
      <c r="UAR7" s="1185"/>
      <c r="UAS7" s="1185"/>
      <c r="UAT7" s="1185"/>
      <c r="UAU7" s="1185"/>
      <c r="UAV7" s="1185"/>
      <c r="UAW7" s="1185"/>
      <c r="UAX7" s="1185"/>
      <c r="UAY7" s="1185"/>
      <c r="UAZ7" s="1185"/>
      <c r="UBA7" s="1185"/>
      <c r="UBB7" s="1185"/>
      <c r="UBC7" s="1185"/>
      <c r="UBD7" s="1185"/>
      <c r="UBE7" s="1185"/>
      <c r="UBF7" s="1185"/>
      <c r="UBG7" s="1185"/>
      <c r="UBH7" s="1185"/>
      <c r="UBI7" s="1185"/>
      <c r="UBJ7" s="1185"/>
      <c r="UBK7" s="1185"/>
      <c r="UBL7" s="1185"/>
      <c r="UBM7" s="1185"/>
      <c r="UBN7" s="1185"/>
      <c r="UBO7" s="1185"/>
      <c r="UBP7" s="1185"/>
      <c r="UBQ7" s="1185"/>
      <c r="UBR7" s="1185"/>
      <c r="UBS7" s="1185"/>
      <c r="UBT7" s="1185"/>
      <c r="UBU7" s="1185"/>
      <c r="UBV7" s="1185"/>
      <c r="UBW7" s="1185"/>
      <c r="UBX7" s="1185"/>
      <c r="UBY7" s="1185"/>
      <c r="UBZ7" s="1185"/>
      <c r="UCA7" s="1185"/>
      <c r="UCB7" s="1185"/>
      <c r="UCC7" s="1185"/>
      <c r="UCD7" s="1185"/>
      <c r="UCE7" s="1185"/>
      <c r="UCF7" s="1185"/>
      <c r="UCG7" s="1185"/>
      <c r="UCH7" s="1185"/>
      <c r="UCI7" s="1185"/>
      <c r="UCJ7" s="1185"/>
      <c r="UCK7" s="1185"/>
      <c r="UCL7" s="1185"/>
      <c r="UCM7" s="1185"/>
      <c r="UCN7" s="1185"/>
      <c r="UCO7" s="1185"/>
      <c r="UCP7" s="1185"/>
      <c r="UCQ7" s="1185"/>
      <c r="UCR7" s="1185"/>
      <c r="UCS7" s="1185"/>
      <c r="UCT7" s="1185"/>
      <c r="UCU7" s="1185"/>
      <c r="UCV7" s="1185"/>
      <c r="UCW7" s="1185"/>
      <c r="UCX7" s="1185"/>
      <c r="UCY7" s="1185"/>
      <c r="UCZ7" s="1185"/>
      <c r="UDA7" s="1185"/>
      <c r="UDB7" s="1185"/>
      <c r="UDC7" s="1185"/>
      <c r="UDD7" s="1185"/>
      <c r="UDE7" s="1185"/>
      <c r="UDF7" s="1185"/>
      <c r="UDG7" s="1185"/>
      <c r="UDH7" s="1185"/>
      <c r="UDI7" s="1185"/>
      <c r="UDJ7" s="1185"/>
      <c r="UDK7" s="1185"/>
      <c r="UDL7" s="1185"/>
      <c r="UDM7" s="1185"/>
      <c r="UDN7" s="1185"/>
      <c r="UDO7" s="1185"/>
      <c r="UDP7" s="1185"/>
      <c r="UDQ7" s="1185"/>
      <c r="UDR7" s="1185"/>
      <c r="UDS7" s="1185"/>
      <c r="UDT7" s="1185"/>
      <c r="UDU7" s="1185"/>
      <c r="UDV7" s="1185"/>
      <c r="UDW7" s="1185"/>
      <c r="UDX7" s="1185"/>
      <c r="UDY7" s="1185"/>
      <c r="UDZ7" s="1185"/>
      <c r="UEA7" s="1185"/>
      <c r="UEB7" s="1185"/>
      <c r="UEC7" s="1185"/>
      <c r="UED7" s="1185"/>
      <c r="UEE7" s="1185"/>
      <c r="UEF7" s="1185"/>
      <c r="UEG7" s="1185"/>
      <c r="UEH7" s="1185"/>
      <c r="UEI7" s="1185"/>
      <c r="UEJ7" s="1185"/>
      <c r="UEK7" s="1185"/>
      <c r="UEL7" s="1185"/>
      <c r="UEM7" s="1185"/>
      <c r="UEN7" s="1185"/>
      <c r="UEO7" s="1185"/>
      <c r="UEP7" s="1185"/>
      <c r="UEQ7" s="1185"/>
      <c r="UER7" s="1185"/>
      <c r="UES7" s="1185"/>
      <c r="UET7" s="1185"/>
      <c r="UEU7" s="1185"/>
      <c r="UEV7" s="1185"/>
      <c r="UEW7" s="1185"/>
      <c r="UEX7" s="1185"/>
      <c r="UEY7" s="1185"/>
      <c r="UEZ7" s="1185"/>
      <c r="UFA7" s="1185"/>
      <c r="UFB7" s="1185"/>
      <c r="UFC7" s="1185"/>
      <c r="UFD7" s="1185"/>
      <c r="UFE7" s="1185"/>
      <c r="UFF7" s="1185"/>
      <c r="UFG7" s="1185"/>
      <c r="UFH7" s="1185"/>
      <c r="UFI7" s="1185"/>
      <c r="UFJ7" s="1185"/>
      <c r="UFK7" s="1185"/>
      <c r="UFL7" s="1185"/>
      <c r="UFM7" s="1185"/>
      <c r="UFN7" s="1185"/>
      <c r="UFO7" s="1185"/>
      <c r="UFP7" s="1185"/>
      <c r="UFQ7" s="1185"/>
      <c r="UFR7" s="1185"/>
      <c r="UFS7" s="1185"/>
      <c r="UFT7" s="1185"/>
      <c r="UFU7" s="1185"/>
      <c r="UFV7" s="1185"/>
      <c r="UFW7" s="1185"/>
      <c r="UFX7" s="1185"/>
      <c r="UFY7" s="1185"/>
      <c r="UFZ7" s="1185"/>
      <c r="UGA7" s="1185"/>
      <c r="UGB7" s="1185"/>
      <c r="UGC7" s="1185"/>
      <c r="UGD7" s="1185"/>
      <c r="UGE7" s="1185"/>
      <c r="UGF7" s="1185"/>
      <c r="UGG7" s="1185"/>
      <c r="UGH7" s="1185"/>
      <c r="UGI7" s="1185"/>
      <c r="UGJ7" s="1185"/>
      <c r="UGK7" s="1185"/>
      <c r="UGL7" s="1185"/>
      <c r="UGM7" s="1185"/>
      <c r="UGN7" s="1185"/>
      <c r="UGO7" s="1185"/>
      <c r="UGP7" s="1185"/>
      <c r="UGQ7" s="1185"/>
      <c r="UGR7" s="1185"/>
      <c r="UGS7" s="1185"/>
      <c r="UGT7" s="1185"/>
      <c r="UGU7" s="1185"/>
      <c r="UGV7" s="1185"/>
      <c r="UGW7" s="1185"/>
      <c r="UGX7" s="1185"/>
      <c r="UGY7" s="1185"/>
      <c r="UGZ7" s="1185"/>
      <c r="UHA7" s="1185"/>
      <c r="UHB7" s="1185"/>
      <c r="UHC7" s="1185"/>
      <c r="UHD7" s="1185"/>
      <c r="UHE7" s="1185"/>
      <c r="UHF7" s="1185"/>
      <c r="UHG7" s="1185"/>
      <c r="UHH7" s="1185"/>
      <c r="UHI7" s="1185"/>
      <c r="UHJ7" s="1185"/>
      <c r="UHK7" s="1185"/>
      <c r="UHL7" s="1185"/>
      <c r="UHM7" s="1185"/>
      <c r="UHN7" s="1185"/>
      <c r="UHO7" s="1185"/>
      <c r="UHP7" s="1185"/>
      <c r="UHQ7" s="1185"/>
      <c r="UHR7" s="1185"/>
      <c r="UHS7" s="1185"/>
      <c r="UHT7" s="1185"/>
      <c r="UHU7" s="1185"/>
      <c r="UHV7" s="1185"/>
      <c r="UHW7" s="1185"/>
      <c r="UHX7" s="1185"/>
      <c r="UHY7" s="1185"/>
      <c r="UHZ7" s="1185"/>
      <c r="UIA7" s="1185"/>
      <c r="UIB7" s="1185"/>
      <c r="UIC7" s="1185"/>
      <c r="UID7" s="1185"/>
      <c r="UIE7" s="1185"/>
      <c r="UIF7" s="1185"/>
      <c r="UIG7" s="1185"/>
      <c r="UIH7" s="1185"/>
      <c r="UII7" s="1185"/>
      <c r="UIJ7" s="1185"/>
      <c r="UIK7" s="1185"/>
      <c r="UIL7" s="1185"/>
      <c r="UIM7" s="1185"/>
      <c r="UIN7" s="1185"/>
      <c r="UIO7" s="1185"/>
      <c r="UIP7" s="1185"/>
      <c r="UIQ7" s="1185"/>
      <c r="UIR7" s="1185"/>
      <c r="UIS7" s="1185"/>
      <c r="UIT7" s="1185"/>
      <c r="UIU7" s="1185"/>
      <c r="UIV7" s="1185"/>
      <c r="UIW7" s="1185"/>
      <c r="UIX7" s="1185"/>
      <c r="UIY7" s="1185"/>
      <c r="UIZ7" s="1185"/>
      <c r="UJA7" s="1185"/>
      <c r="UJB7" s="1185"/>
      <c r="UJC7" s="1185"/>
      <c r="UJD7" s="1185"/>
      <c r="UJE7" s="1185"/>
      <c r="UJF7" s="1185"/>
      <c r="UJG7" s="1185"/>
      <c r="UJH7" s="1185"/>
      <c r="UJI7" s="1185"/>
      <c r="UJJ7" s="1185"/>
      <c r="UJK7" s="1185"/>
      <c r="UJL7" s="1185"/>
      <c r="UJM7" s="1185"/>
      <c r="UJN7" s="1185"/>
      <c r="UJO7" s="1185"/>
      <c r="UJP7" s="1185"/>
      <c r="UJQ7" s="1185"/>
      <c r="UJR7" s="1185"/>
      <c r="UJS7" s="1185"/>
      <c r="UJT7" s="1185"/>
      <c r="UJU7" s="1185"/>
      <c r="UJV7" s="1185"/>
      <c r="UJW7" s="1185"/>
      <c r="UJX7" s="1185"/>
      <c r="UJY7" s="1185"/>
      <c r="UJZ7" s="1185"/>
      <c r="UKA7" s="1185"/>
      <c r="UKB7" s="1185"/>
      <c r="UKC7" s="1185"/>
      <c r="UKD7" s="1185"/>
      <c r="UKE7" s="1185"/>
      <c r="UKF7" s="1185"/>
      <c r="UKG7" s="1185"/>
      <c r="UKH7" s="1185"/>
      <c r="UKI7" s="1185"/>
      <c r="UKJ7" s="1185"/>
      <c r="UKK7" s="1185"/>
      <c r="UKL7" s="1185"/>
      <c r="UKM7" s="1185"/>
      <c r="UKN7" s="1185"/>
      <c r="UKO7" s="1185"/>
      <c r="UKP7" s="1185"/>
      <c r="UKQ7" s="1185"/>
      <c r="UKR7" s="1185"/>
      <c r="UKS7" s="1185"/>
      <c r="UKT7" s="1185"/>
      <c r="UKU7" s="1185"/>
      <c r="UKV7" s="1185"/>
      <c r="UKW7" s="1185"/>
      <c r="UKX7" s="1185"/>
      <c r="UKY7" s="1185"/>
      <c r="UKZ7" s="1185"/>
      <c r="ULA7" s="1185"/>
      <c r="ULB7" s="1185"/>
      <c r="ULC7" s="1185"/>
      <c r="ULD7" s="1185"/>
      <c r="ULE7" s="1185"/>
      <c r="ULF7" s="1185"/>
      <c r="ULG7" s="1185"/>
      <c r="ULH7" s="1185"/>
      <c r="ULI7" s="1185"/>
      <c r="ULJ7" s="1185"/>
      <c r="ULK7" s="1185"/>
      <c r="ULL7" s="1185"/>
      <c r="ULM7" s="1185"/>
      <c r="ULN7" s="1185"/>
      <c r="ULO7" s="1185"/>
      <c r="ULP7" s="1185"/>
      <c r="ULQ7" s="1185"/>
      <c r="ULR7" s="1185"/>
      <c r="ULS7" s="1185"/>
      <c r="ULT7" s="1185"/>
      <c r="ULU7" s="1185"/>
      <c r="ULV7" s="1185"/>
      <c r="ULW7" s="1185"/>
      <c r="ULX7" s="1185"/>
      <c r="ULY7" s="1185"/>
      <c r="ULZ7" s="1185"/>
      <c r="UMA7" s="1185"/>
      <c r="UMB7" s="1185"/>
      <c r="UMC7" s="1185"/>
      <c r="UMD7" s="1185"/>
      <c r="UME7" s="1185"/>
      <c r="UMF7" s="1185"/>
      <c r="UMG7" s="1185"/>
      <c r="UMH7" s="1185"/>
      <c r="UMI7" s="1185"/>
      <c r="UMJ7" s="1185"/>
      <c r="UMK7" s="1185"/>
      <c r="UML7" s="1185"/>
      <c r="UMM7" s="1185"/>
      <c r="UMN7" s="1185"/>
      <c r="UMO7" s="1185"/>
      <c r="UMP7" s="1185"/>
      <c r="UMQ7" s="1185"/>
      <c r="UMR7" s="1185"/>
      <c r="UMS7" s="1185"/>
      <c r="UMT7" s="1185"/>
      <c r="UMU7" s="1185"/>
      <c r="UMV7" s="1185"/>
      <c r="UMW7" s="1185"/>
      <c r="UMX7" s="1185"/>
      <c r="UMY7" s="1185"/>
      <c r="UMZ7" s="1185"/>
      <c r="UNA7" s="1185"/>
      <c r="UNB7" s="1185"/>
      <c r="UNC7" s="1185"/>
      <c r="UND7" s="1185"/>
      <c r="UNE7" s="1185"/>
      <c r="UNF7" s="1185"/>
      <c r="UNG7" s="1185"/>
      <c r="UNH7" s="1185"/>
      <c r="UNI7" s="1185"/>
      <c r="UNJ7" s="1185"/>
      <c r="UNK7" s="1185"/>
      <c r="UNL7" s="1185"/>
      <c r="UNM7" s="1185"/>
      <c r="UNN7" s="1185"/>
      <c r="UNO7" s="1185"/>
      <c r="UNP7" s="1185"/>
      <c r="UNQ7" s="1185"/>
      <c r="UNR7" s="1185"/>
      <c r="UNS7" s="1185"/>
      <c r="UNT7" s="1185"/>
      <c r="UNU7" s="1185"/>
      <c r="UNV7" s="1185"/>
      <c r="UNW7" s="1185"/>
      <c r="UNX7" s="1185"/>
      <c r="UNY7" s="1185"/>
      <c r="UNZ7" s="1185"/>
      <c r="UOA7" s="1185"/>
      <c r="UOB7" s="1185"/>
      <c r="UOC7" s="1185"/>
      <c r="UOD7" s="1185"/>
      <c r="UOE7" s="1185"/>
      <c r="UOF7" s="1185"/>
      <c r="UOG7" s="1185"/>
      <c r="UOH7" s="1185"/>
      <c r="UOI7" s="1185"/>
      <c r="UOJ7" s="1185"/>
      <c r="UOK7" s="1185"/>
      <c r="UOL7" s="1185"/>
      <c r="UOM7" s="1185"/>
      <c r="UON7" s="1185"/>
      <c r="UOO7" s="1185"/>
      <c r="UOP7" s="1185"/>
      <c r="UOQ7" s="1185"/>
      <c r="UOR7" s="1185"/>
      <c r="UOS7" s="1185"/>
      <c r="UOT7" s="1185"/>
      <c r="UOU7" s="1185"/>
      <c r="UOV7" s="1185"/>
      <c r="UOW7" s="1185"/>
      <c r="UOX7" s="1185"/>
      <c r="UOY7" s="1185"/>
      <c r="UOZ7" s="1185"/>
      <c r="UPA7" s="1185"/>
      <c r="UPB7" s="1185"/>
      <c r="UPC7" s="1185"/>
      <c r="UPD7" s="1185"/>
      <c r="UPE7" s="1185"/>
      <c r="UPF7" s="1185"/>
      <c r="UPG7" s="1185"/>
      <c r="UPH7" s="1185"/>
      <c r="UPI7" s="1185"/>
      <c r="UPJ7" s="1185"/>
      <c r="UPK7" s="1185"/>
      <c r="UPL7" s="1185"/>
      <c r="UPM7" s="1185"/>
      <c r="UPN7" s="1185"/>
      <c r="UPO7" s="1185"/>
      <c r="UPP7" s="1185"/>
      <c r="UPQ7" s="1185"/>
      <c r="UPR7" s="1185"/>
      <c r="UPS7" s="1185"/>
      <c r="UPT7" s="1185"/>
      <c r="UPU7" s="1185"/>
      <c r="UPV7" s="1185"/>
      <c r="UPW7" s="1185"/>
      <c r="UPX7" s="1185"/>
      <c r="UPY7" s="1185"/>
      <c r="UPZ7" s="1185"/>
      <c r="UQA7" s="1185"/>
      <c r="UQB7" s="1185"/>
      <c r="UQC7" s="1185"/>
      <c r="UQD7" s="1185"/>
      <c r="UQE7" s="1185"/>
      <c r="UQF7" s="1185"/>
      <c r="UQG7" s="1185"/>
      <c r="UQH7" s="1185"/>
      <c r="UQI7" s="1185"/>
      <c r="UQJ7" s="1185"/>
      <c r="UQK7" s="1185"/>
      <c r="UQL7" s="1185"/>
      <c r="UQM7" s="1185"/>
      <c r="UQN7" s="1185"/>
      <c r="UQO7" s="1185"/>
      <c r="UQP7" s="1185"/>
      <c r="UQQ7" s="1185"/>
      <c r="UQR7" s="1185"/>
      <c r="UQS7" s="1185"/>
      <c r="UQT7" s="1185"/>
      <c r="UQU7" s="1185"/>
      <c r="UQV7" s="1185"/>
      <c r="UQW7" s="1185"/>
      <c r="UQX7" s="1185"/>
      <c r="UQY7" s="1185"/>
      <c r="UQZ7" s="1185"/>
      <c r="URA7" s="1185"/>
      <c r="URB7" s="1185"/>
      <c r="URC7" s="1185"/>
      <c r="URD7" s="1185"/>
      <c r="URE7" s="1185"/>
      <c r="URF7" s="1185"/>
      <c r="URG7" s="1185"/>
      <c r="URH7" s="1185"/>
      <c r="URI7" s="1185"/>
      <c r="URJ7" s="1185"/>
      <c r="URK7" s="1185"/>
      <c r="URL7" s="1185"/>
      <c r="URM7" s="1185"/>
      <c r="URN7" s="1185"/>
      <c r="URO7" s="1185"/>
      <c r="URP7" s="1185"/>
      <c r="URQ7" s="1185"/>
      <c r="URR7" s="1185"/>
      <c r="URS7" s="1185"/>
      <c r="URT7" s="1185"/>
      <c r="URU7" s="1185"/>
      <c r="URV7" s="1185"/>
      <c r="URW7" s="1185"/>
      <c r="URX7" s="1185"/>
      <c r="URY7" s="1185"/>
      <c r="URZ7" s="1185"/>
      <c r="USA7" s="1185"/>
      <c r="USB7" s="1185"/>
      <c r="USC7" s="1185"/>
      <c r="USD7" s="1185"/>
      <c r="USE7" s="1185"/>
      <c r="USF7" s="1185"/>
      <c r="USG7" s="1185"/>
      <c r="USH7" s="1185"/>
      <c r="USI7" s="1185"/>
      <c r="USJ7" s="1185"/>
      <c r="USK7" s="1185"/>
      <c r="USL7" s="1185"/>
      <c r="USM7" s="1185"/>
      <c r="USN7" s="1185"/>
      <c r="USO7" s="1185"/>
      <c r="USP7" s="1185"/>
      <c r="USQ7" s="1185"/>
      <c r="USR7" s="1185"/>
      <c r="USS7" s="1185"/>
      <c r="UST7" s="1185"/>
      <c r="USU7" s="1185"/>
      <c r="USV7" s="1185"/>
      <c r="USW7" s="1185"/>
      <c r="USX7" s="1185"/>
      <c r="USY7" s="1185"/>
      <c r="USZ7" s="1185"/>
      <c r="UTA7" s="1185"/>
      <c r="UTB7" s="1185"/>
      <c r="UTC7" s="1185"/>
      <c r="UTD7" s="1185"/>
      <c r="UTE7" s="1185"/>
      <c r="UTF7" s="1185"/>
      <c r="UTG7" s="1185"/>
      <c r="UTH7" s="1185"/>
      <c r="UTI7" s="1185"/>
      <c r="UTJ7" s="1185"/>
      <c r="UTK7" s="1185"/>
      <c r="UTL7" s="1185"/>
      <c r="UTM7" s="1185"/>
      <c r="UTN7" s="1185"/>
      <c r="UTO7" s="1185"/>
      <c r="UTP7" s="1185"/>
      <c r="UTQ7" s="1185"/>
      <c r="UTR7" s="1185"/>
      <c r="UTS7" s="1185"/>
      <c r="UTT7" s="1185"/>
      <c r="UTU7" s="1185"/>
      <c r="UTV7" s="1185"/>
      <c r="UTW7" s="1185"/>
      <c r="UTX7" s="1185"/>
      <c r="UTY7" s="1185"/>
      <c r="UTZ7" s="1185"/>
      <c r="UUA7" s="1185"/>
      <c r="UUB7" s="1185"/>
      <c r="UUC7" s="1185"/>
      <c r="UUD7" s="1185"/>
      <c r="UUE7" s="1185"/>
      <c r="UUF7" s="1185"/>
      <c r="UUG7" s="1185"/>
      <c r="UUH7" s="1185"/>
      <c r="UUI7" s="1185"/>
      <c r="UUJ7" s="1185"/>
      <c r="UUK7" s="1185"/>
      <c r="UUL7" s="1185"/>
      <c r="UUM7" s="1185"/>
      <c r="UUN7" s="1185"/>
      <c r="UUO7" s="1185"/>
      <c r="UUP7" s="1185"/>
      <c r="UUQ7" s="1185"/>
      <c r="UUR7" s="1185"/>
      <c r="UUS7" s="1185"/>
      <c r="UUT7" s="1185"/>
      <c r="UUU7" s="1185"/>
      <c r="UUV7" s="1185"/>
      <c r="UUW7" s="1185"/>
      <c r="UUX7" s="1185"/>
      <c r="UUY7" s="1185"/>
      <c r="UUZ7" s="1185"/>
      <c r="UVA7" s="1185"/>
      <c r="UVB7" s="1185"/>
      <c r="UVC7" s="1185"/>
      <c r="UVD7" s="1185"/>
      <c r="UVE7" s="1185"/>
      <c r="UVF7" s="1185"/>
      <c r="UVG7" s="1185"/>
      <c r="UVH7" s="1185"/>
      <c r="UVI7" s="1185"/>
      <c r="UVJ7" s="1185"/>
      <c r="UVK7" s="1185"/>
      <c r="UVL7" s="1185"/>
      <c r="UVM7" s="1185"/>
      <c r="UVN7" s="1185"/>
      <c r="UVO7" s="1185"/>
      <c r="UVP7" s="1185"/>
      <c r="UVQ7" s="1185"/>
      <c r="UVR7" s="1185"/>
      <c r="UVS7" s="1185"/>
      <c r="UVT7" s="1185"/>
      <c r="UVU7" s="1185"/>
      <c r="UVV7" s="1185"/>
      <c r="UVW7" s="1185"/>
      <c r="UVX7" s="1185"/>
      <c r="UVY7" s="1185"/>
      <c r="UVZ7" s="1185"/>
      <c r="UWA7" s="1185"/>
      <c r="UWB7" s="1185"/>
      <c r="UWC7" s="1185"/>
      <c r="UWD7" s="1185"/>
      <c r="UWE7" s="1185"/>
      <c r="UWF7" s="1185"/>
      <c r="UWG7" s="1185"/>
      <c r="UWH7" s="1185"/>
      <c r="UWI7" s="1185"/>
      <c r="UWJ7" s="1185"/>
      <c r="UWK7" s="1185"/>
      <c r="UWL7" s="1185"/>
      <c r="UWM7" s="1185"/>
      <c r="UWN7" s="1185"/>
      <c r="UWO7" s="1185"/>
      <c r="UWP7" s="1185"/>
      <c r="UWQ7" s="1185"/>
      <c r="UWR7" s="1185"/>
      <c r="UWS7" s="1185"/>
      <c r="UWT7" s="1185"/>
      <c r="UWU7" s="1185"/>
      <c r="UWV7" s="1185"/>
      <c r="UWW7" s="1185"/>
      <c r="UWX7" s="1185"/>
      <c r="UWY7" s="1185"/>
      <c r="UWZ7" s="1185"/>
      <c r="UXA7" s="1185"/>
      <c r="UXB7" s="1185"/>
      <c r="UXC7" s="1185"/>
      <c r="UXD7" s="1185"/>
      <c r="UXE7" s="1185"/>
      <c r="UXF7" s="1185"/>
      <c r="UXG7" s="1185"/>
      <c r="UXH7" s="1185"/>
      <c r="UXI7" s="1185"/>
      <c r="UXJ7" s="1185"/>
      <c r="UXK7" s="1185"/>
      <c r="UXL7" s="1185"/>
      <c r="UXM7" s="1185"/>
      <c r="UXN7" s="1185"/>
      <c r="UXO7" s="1185"/>
      <c r="UXP7" s="1185"/>
      <c r="UXQ7" s="1185"/>
      <c r="UXR7" s="1185"/>
      <c r="UXS7" s="1185"/>
      <c r="UXT7" s="1185"/>
      <c r="UXU7" s="1185"/>
      <c r="UXV7" s="1185"/>
      <c r="UXW7" s="1185"/>
      <c r="UXX7" s="1185"/>
      <c r="UXY7" s="1185"/>
      <c r="UXZ7" s="1185"/>
      <c r="UYA7" s="1185"/>
      <c r="UYB7" s="1185"/>
      <c r="UYC7" s="1185"/>
      <c r="UYD7" s="1185"/>
      <c r="UYE7" s="1185"/>
      <c r="UYF7" s="1185"/>
      <c r="UYG7" s="1185"/>
      <c r="UYH7" s="1185"/>
      <c r="UYI7" s="1185"/>
      <c r="UYJ7" s="1185"/>
      <c r="UYK7" s="1185"/>
      <c r="UYL7" s="1185"/>
      <c r="UYM7" s="1185"/>
      <c r="UYN7" s="1185"/>
      <c r="UYO7" s="1185"/>
      <c r="UYP7" s="1185"/>
      <c r="UYQ7" s="1185"/>
      <c r="UYR7" s="1185"/>
      <c r="UYS7" s="1185"/>
      <c r="UYT7" s="1185"/>
      <c r="UYU7" s="1185"/>
      <c r="UYV7" s="1185"/>
      <c r="UYW7" s="1185"/>
      <c r="UYX7" s="1185"/>
      <c r="UYY7" s="1185"/>
      <c r="UYZ7" s="1185"/>
      <c r="UZA7" s="1185"/>
      <c r="UZB7" s="1185"/>
      <c r="UZC7" s="1185"/>
      <c r="UZD7" s="1185"/>
      <c r="UZE7" s="1185"/>
      <c r="UZF7" s="1185"/>
      <c r="UZG7" s="1185"/>
      <c r="UZH7" s="1185"/>
      <c r="UZI7" s="1185"/>
      <c r="UZJ7" s="1185"/>
      <c r="UZK7" s="1185"/>
      <c r="UZL7" s="1185"/>
      <c r="UZM7" s="1185"/>
      <c r="UZN7" s="1185"/>
      <c r="UZO7" s="1185"/>
      <c r="UZP7" s="1185"/>
      <c r="UZQ7" s="1185"/>
      <c r="UZR7" s="1185"/>
      <c r="UZS7" s="1185"/>
      <c r="UZT7" s="1185"/>
      <c r="UZU7" s="1185"/>
      <c r="UZV7" s="1185"/>
      <c r="UZW7" s="1185"/>
      <c r="UZX7" s="1185"/>
      <c r="UZY7" s="1185"/>
      <c r="UZZ7" s="1185"/>
      <c r="VAA7" s="1185"/>
      <c r="VAB7" s="1185"/>
      <c r="VAC7" s="1185"/>
      <c r="VAD7" s="1185"/>
      <c r="VAE7" s="1185"/>
      <c r="VAF7" s="1185"/>
      <c r="VAG7" s="1185"/>
      <c r="VAH7" s="1185"/>
      <c r="VAI7" s="1185"/>
      <c r="VAJ7" s="1185"/>
      <c r="VAK7" s="1185"/>
      <c r="VAL7" s="1185"/>
      <c r="VAM7" s="1185"/>
      <c r="VAN7" s="1185"/>
      <c r="VAO7" s="1185"/>
      <c r="VAP7" s="1185"/>
      <c r="VAQ7" s="1185"/>
      <c r="VAR7" s="1185"/>
      <c r="VAS7" s="1185"/>
      <c r="VAT7" s="1185"/>
      <c r="VAU7" s="1185"/>
      <c r="VAV7" s="1185"/>
      <c r="VAW7" s="1185"/>
      <c r="VAX7" s="1185"/>
      <c r="VAY7" s="1185"/>
      <c r="VAZ7" s="1185"/>
      <c r="VBA7" s="1185"/>
      <c r="VBB7" s="1185"/>
      <c r="VBC7" s="1185"/>
      <c r="VBD7" s="1185"/>
      <c r="VBE7" s="1185"/>
      <c r="VBF7" s="1185"/>
      <c r="VBG7" s="1185"/>
      <c r="VBH7" s="1185"/>
      <c r="VBI7" s="1185"/>
      <c r="VBJ7" s="1185"/>
      <c r="VBK7" s="1185"/>
      <c r="VBL7" s="1185"/>
      <c r="VBM7" s="1185"/>
      <c r="VBN7" s="1185"/>
      <c r="VBO7" s="1185"/>
      <c r="VBP7" s="1185"/>
      <c r="VBQ7" s="1185"/>
      <c r="VBR7" s="1185"/>
      <c r="VBS7" s="1185"/>
      <c r="VBT7" s="1185"/>
      <c r="VBU7" s="1185"/>
      <c r="VBV7" s="1185"/>
      <c r="VBW7" s="1185"/>
      <c r="VBX7" s="1185"/>
      <c r="VBY7" s="1185"/>
      <c r="VBZ7" s="1185"/>
      <c r="VCA7" s="1185"/>
      <c r="VCB7" s="1185"/>
      <c r="VCC7" s="1185"/>
      <c r="VCD7" s="1185"/>
      <c r="VCE7" s="1185"/>
      <c r="VCF7" s="1185"/>
      <c r="VCG7" s="1185"/>
      <c r="VCH7" s="1185"/>
      <c r="VCI7" s="1185"/>
      <c r="VCJ7" s="1185"/>
      <c r="VCK7" s="1185"/>
      <c r="VCL7" s="1185"/>
      <c r="VCM7" s="1185"/>
      <c r="VCN7" s="1185"/>
      <c r="VCO7" s="1185"/>
      <c r="VCP7" s="1185"/>
      <c r="VCQ7" s="1185"/>
      <c r="VCR7" s="1185"/>
      <c r="VCS7" s="1185"/>
      <c r="VCT7" s="1185"/>
      <c r="VCU7" s="1185"/>
      <c r="VCV7" s="1185"/>
      <c r="VCW7" s="1185"/>
      <c r="VCX7" s="1185"/>
      <c r="VCY7" s="1185"/>
      <c r="VCZ7" s="1185"/>
      <c r="VDA7" s="1185"/>
      <c r="VDB7" s="1185"/>
      <c r="VDC7" s="1185"/>
      <c r="VDD7" s="1185"/>
      <c r="VDE7" s="1185"/>
      <c r="VDF7" s="1185"/>
      <c r="VDG7" s="1185"/>
      <c r="VDH7" s="1185"/>
      <c r="VDI7" s="1185"/>
      <c r="VDJ7" s="1185"/>
      <c r="VDK7" s="1185"/>
      <c r="VDL7" s="1185"/>
      <c r="VDM7" s="1185"/>
      <c r="VDN7" s="1185"/>
      <c r="VDO7" s="1185"/>
      <c r="VDP7" s="1185"/>
      <c r="VDQ7" s="1185"/>
      <c r="VDR7" s="1185"/>
      <c r="VDS7" s="1185"/>
      <c r="VDT7" s="1185"/>
      <c r="VDU7" s="1185"/>
      <c r="VDV7" s="1185"/>
      <c r="VDW7" s="1185"/>
      <c r="VDX7" s="1185"/>
      <c r="VDY7" s="1185"/>
      <c r="VDZ7" s="1185"/>
      <c r="VEA7" s="1185"/>
      <c r="VEB7" s="1185"/>
      <c r="VEC7" s="1185"/>
      <c r="VED7" s="1185"/>
      <c r="VEE7" s="1185"/>
      <c r="VEF7" s="1185"/>
      <c r="VEG7" s="1185"/>
      <c r="VEH7" s="1185"/>
      <c r="VEI7" s="1185"/>
      <c r="VEJ7" s="1185"/>
      <c r="VEK7" s="1185"/>
      <c r="VEL7" s="1185"/>
      <c r="VEM7" s="1185"/>
      <c r="VEN7" s="1185"/>
      <c r="VEO7" s="1185"/>
      <c r="VEP7" s="1185"/>
      <c r="VEQ7" s="1185"/>
      <c r="VER7" s="1185"/>
      <c r="VES7" s="1185"/>
      <c r="VET7" s="1185"/>
      <c r="VEU7" s="1185"/>
      <c r="VEV7" s="1185"/>
      <c r="VEW7" s="1185"/>
      <c r="VEX7" s="1185"/>
      <c r="VEY7" s="1185"/>
      <c r="VEZ7" s="1185"/>
      <c r="VFA7" s="1185"/>
      <c r="VFB7" s="1185"/>
      <c r="VFC7" s="1185"/>
      <c r="VFD7" s="1185"/>
      <c r="VFE7" s="1185"/>
      <c r="VFF7" s="1185"/>
      <c r="VFG7" s="1185"/>
      <c r="VFH7" s="1185"/>
      <c r="VFI7" s="1185"/>
      <c r="VFJ7" s="1185"/>
      <c r="VFK7" s="1185"/>
      <c r="VFL7" s="1185"/>
      <c r="VFM7" s="1185"/>
      <c r="VFN7" s="1185"/>
      <c r="VFO7" s="1185"/>
      <c r="VFP7" s="1185"/>
      <c r="VFQ7" s="1185"/>
      <c r="VFR7" s="1185"/>
      <c r="VFS7" s="1185"/>
      <c r="VFT7" s="1185"/>
      <c r="VFU7" s="1185"/>
      <c r="VFV7" s="1185"/>
      <c r="VFW7" s="1185"/>
      <c r="VFX7" s="1185"/>
      <c r="VFY7" s="1185"/>
      <c r="VFZ7" s="1185"/>
      <c r="VGA7" s="1185"/>
      <c r="VGB7" s="1185"/>
      <c r="VGC7" s="1185"/>
      <c r="VGD7" s="1185"/>
      <c r="VGE7" s="1185"/>
      <c r="VGF7" s="1185"/>
      <c r="VGG7" s="1185"/>
      <c r="VGH7" s="1185"/>
      <c r="VGI7" s="1185"/>
      <c r="VGJ7" s="1185"/>
      <c r="VGK7" s="1185"/>
      <c r="VGL7" s="1185"/>
      <c r="VGM7" s="1185"/>
      <c r="VGN7" s="1185"/>
      <c r="VGO7" s="1185"/>
      <c r="VGP7" s="1185"/>
      <c r="VGQ7" s="1185"/>
      <c r="VGR7" s="1185"/>
      <c r="VGS7" s="1185"/>
      <c r="VGT7" s="1185"/>
      <c r="VGU7" s="1185"/>
      <c r="VGV7" s="1185"/>
      <c r="VGW7" s="1185"/>
      <c r="VGX7" s="1185"/>
      <c r="VGY7" s="1185"/>
      <c r="VGZ7" s="1185"/>
      <c r="VHA7" s="1185"/>
      <c r="VHB7" s="1185"/>
      <c r="VHC7" s="1185"/>
      <c r="VHD7" s="1185"/>
      <c r="VHE7" s="1185"/>
      <c r="VHF7" s="1185"/>
      <c r="VHG7" s="1185"/>
      <c r="VHH7" s="1185"/>
      <c r="VHI7" s="1185"/>
      <c r="VHJ7" s="1185"/>
      <c r="VHK7" s="1185"/>
      <c r="VHL7" s="1185"/>
      <c r="VHM7" s="1185"/>
      <c r="VHN7" s="1185"/>
      <c r="VHO7" s="1185"/>
      <c r="VHP7" s="1185"/>
      <c r="VHQ7" s="1185"/>
      <c r="VHR7" s="1185"/>
      <c r="VHS7" s="1185"/>
      <c r="VHT7" s="1185"/>
      <c r="VHU7" s="1185"/>
      <c r="VHV7" s="1185"/>
      <c r="VHW7" s="1185"/>
      <c r="VHX7" s="1185"/>
      <c r="VHY7" s="1185"/>
      <c r="VHZ7" s="1185"/>
      <c r="VIA7" s="1185"/>
      <c r="VIB7" s="1185"/>
      <c r="VIC7" s="1185"/>
      <c r="VID7" s="1185"/>
      <c r="VIE7" s="1185"/>
      <c r="VIF7" s="1185"/>
      <c r="VIG7" s="1185"/>
      <c r="VIH7" s="1185"/>
      <c r="VII7" s="1185"/>
      <c r="VIJ7" s="1185"/>
      <c r="VIK7" s="1185"/>
      <c r="VIL7" s="1185"/>
      <c r="VIM7" s="1185"/>
      <c r="VIN7" s="1185"/>
      <c r="VIO7" s="1185"/>
      <c r="VIP7" s="1185"/>
      <c r="VIQ7" s="1185"/>
      <c r="VIR7" s="1185"/>
      <c r="VIS7" s="1185"/>
      <c r="VIT7" s="1185"/>
      <c r="VIU7" s="1185"/>
      <c r="VIV7" s="1185"/>
      <c r="VIW7" s="1185"/>
      <c r="VIX7" s="1185"/>
      <c r="VIY7" s="1185"/>
      <c r="VIZ7" s="1185"/>
      <c r="VJA7" s="1185"/>
      <c r="VJB7" s="1185"/>
      <c r="VJC7" s="1185"/>
      <c r="VJD7" s="1185"/>
      <c r="VJE7" s="1185"/>
      <c r="VJF7" s="1185"/>
      <c r="VJG7" s="1185"/>
      <c r="VJH7" s="1185"/>
      <c r="VJI7" s="1185"/>
      <c r="VJJ7" s="1185"/>
      <c r="VJK7" s="1185"/>
      <c r="VJL7" s="1185"/>
      <c r="VJM7" s="1185"/>
      <c r="VJN7" s="1185"/>
      <c r="VJO7" s="1185"/>
      <c r="VJP7" s="1185"/>
      <c r="VJQ7" s="1185"/>
      <c r="VJR7" s="1185"/>
      <c r="VJS7" s="1185"/>
      <c r="VJT7" s="1185"/>
      <c r="VJU7" s="1185"/>
      <c r="VJV7" s="1185"/>
      <c r="VJW7" s="1185"/>
      <c r="VJX7" s="1185"/>
      <c r="VJY7" s="1185"/>
      <c r="VJZ7" s="1185"/>
      <c r="VKA7" s="1185"/>
      <c r="VKB7" s="1185"/>
      <c r="VKC7" s="1185"/>
      <c r="VKD7" s="1185"/>
      <c r="VKE7" s="1185"/>
      <c r="VKF7" s="1185"/>
      <c r="VKG7" s="1185"/>
      <c r="VKH7" s="1185"/>
      <c r="VKI7" s="1185"/>
      <c r="VKJ7" s="1185"/>
      <c r="VKK7" s="1185"/>
      <c r="VKL7" s="1185"/>
      <c r="VKM7" s="1185"/>
      <c r="VKN7" s="1185"/>
      <c r="VKO7" s="1185"/>
      <c r="VKP7" s="1185"/>
      <c r="VKQ7" s="1185"/>
      <c r="VKR7" s="1185"/>
      <c r="VKS7" s="1185"/>
      <c r="VKT7" s="1185"/>
      <c r="VKU7" s="1185"/>
      <c r="VKV7" s="1185"/>
      <c r="VKW7" s="1185"/>
      <c r="VKX7" s="1185"/>
      <c r="VKY7" s="1185"/>
      <c r="VKZ7" s="1185"/>
      <c r="VLA7" s="1185"/>
      <c r="VLB7" s="1185"/>
      <c r="VLC7" s="1185"/>
      <c r="VLD7" s="1185"/>
      <c r="VLE7" s="1185"/>
      <c r="VLF7" s="1185"/>
      <c r="VLG7" s="1185"/>
      <c r="VLH7" s="1185"/>
      <c r="VLI7" s="1185"/>
      <c r="VLJ7" s="1185"/>
      <c r="VLK7" s="1185"/>
      <c r="VLL7" s="1185"/>
      <c r="VLM7" s="1185"/>
      <c r="VLN7" s="1185"/>
      <c r="VLO7" s="1185"/>
      <c r="VLP7" s="1185"/>
      <c r="VLQ7" s="1185"/>
      <c r="VLR7" s="1185"/>
      <c r="VLS7" s="1185"/>
      <c r="VLT7" s="1185"/>
      <c r="VLU7" s="1185"/>
      <c r="VLV7" s="1185"/>
      <c r="VLW7" s="1185"/>
      <c r="VLX7" s="1185"/>
      <c r="VLY7" s="1185"/>
      <c r="VLZ7" s="1185"/>
      <c r="VMA7" s="1185"/>
      <c r="VMB7" s="1185"/>
      <c r="VMC7" s="1185"/>
      <c r="VMD7" s="1185"/>
      <c r="VME7" s="1185"/>
      <c r="VMF7" s="1185"/>
      <c r="VMG7" s="1185"/>
      <c r="VMH7" s="1185"/>
      <c r="VMI7" s="1185"/>
      <c r="VMJ7" s="1185"/>
      <c r="VMK7" s="1185"/>
      <c r="VML7" s="1185"/>
      <c r="VMM7" s="1185"/>
      <c r="VMN7" s="1185"/>
      <c r="VMO7" s="1185"/>
      <c r="VMP7" s="1185"/>
      <c r="VMQ7" s="1185"/>
      <c r="VMR7" s="1185"/>
      <c r="VMS7" s="1185"/>
      <c r="VMT7" s="1185"/>
      <c r="VMU7" s="1185"/>
      <c r="VMV7" s="1185"/>
      <c r="VMW7" s="1185"/>
      <c r="VMX7" s="1185"/>
      <c r="VMY7" s="1185"/>
      <c r="VMZ7" s="1185"/>
      <c r="VNA7" s="1185"/>
      <c r="VNB7" s="1185"/>
      <c r="VNC7" s="1185"/>
      <c r="VND7" s="1185"/>
      <c r="VNE7" s="1185"/>
      <c r="VNF7" s="1185"/>
      <c r="VNG7" s="1185"/>
      <c r="VNH7" s="1185"/>
      <c r="VNI7" s="1185"/>
      <c r="VNJ7" s="1185"/>
      <c r="VNK7" s="1185"/>
      <c r="VNL7" s="1185"/>
      <c r="VNM7" s="1185"/>
      <c r="VNN7" s="1185"/>
      <c r="VNO7" s="1185"/>
      <c r="VNP7" s="1185"/>
      <c r="VNQ7" s="1185"/>
      <c r="VNR7" s="1185"/>
      <c r="VNS7" s="1185"/>
      <c r="VNT7" s="1185"/>
      <c r="VNU7" s="1185"/>
      <c r="VNV7" s="1185"/>
      <c r="VNW7" s="1185"/>
      <c r="VNX7" s="1185"/>
      <c r="VNY7" s="1185"/>
      <c r="VNZ7" s="1185"/>
      <c r="VOA7" s="1185"/>
      <c r="VOB7" s="1185"/>
      <c r="VOC7" s="1185"/>
      <c r="VOD7" s="1185"/>
      <c r="VOE7" s="1185"/>
      <c r="VOF7" s="1185"/>
      <c r="VOG7" s="1185"/>
      <c r="VOH7" s="1185"/>
      <c r="VOI7" s="1185"/>
      <c r="VOJ7" s="1185"/>
      <c r="VOK7" s="1185"/>
      <c r="VOL7" s="1185"/>
      <c r="VOM7" s="1185"/>
      <c r="VON7" s="1185"/>
      <c r="VOO7" s="1185"/>
      <c r="VOP7" s="1185"/>
      <c r="VOQ7" s="1185"/>
      <c r="VOR7" s="1185"/>
      <c r="VOS7" s="1185"/>
      <c r="VOT7" s="1185"/>
      <c r="VOU7" s="1185"/>
      <c r="VOV7" s="1185"/>
      <c r="VOW7" s="1185"/>
      <c r="VOX7" s="1185"/>
      <c r="VOY7" s="1185"/>
      <c r="VOZ7" s="1185"/>
      <c r="VPA7" s="1185"/>
      <c r="VPB7" s="1185"/>
      <c r="VPC7" s="1185"/>
      <c r="VPD7" s="1185"/>
      <c r="VPE7" s="1185"/>
      <c r="VPF7" s="1185"/>
      <c r="VPG7" s="1185"/>
      <c r="VPH7" s="1185"/>
      <c r="VPI7" s="1185"/>
      <c r="VPJ7" s="1185"/>
      <c r="VPK7" s="1185"/>
      <c r="VPL7" s="1185"/>
      <c r="VPM7" s="1185"/>
      <c r="VPN7" s="1185"/>
      <c r="VPO7" s="1185"/>
      <c r="VPP7" s="1185"/>
      <c r="VPQ7" s="1185"/>
      <c r="VPR7" s="1185"/>
      <c r="VPS7" s="1185"/>
      <c r="VPT7" s="1185"/>
      <c r="VPU7" s="1185"/>
      <c r="VPV7" s="1185"/>
      <c r="VPW7" s="1185"/>
      <c r="VPX7" s="1185"/>
      <c r="VPY7" s="1185"/>
      <c r="VPZ7" s="1185"/>
      <c r="VQA7" s="1185"/>
      <c r="VQB7" s="1185"/>
      <c r="VQC7" s="1185"/>
      <c r="VQD7" s="1185"/>
      <c r="VQE7" s="1185"/>
      <c r="VQF7" s="1185"/>
      <c r="VQG7" s="1185"/>
      <c r="VQH7" s="1185"/>
      <c r="VQI7" s="1185"/>
      <c r="VQJ7" s="1185"/>
      <c r="VQK7" s="1185"/>
      <c r="VQL7" s="1185"/>
      <c r="VQM7" s="1185"/>
      <c r="VQN7" s="1185"/>
      <c r="VQO7" s="1185"/>
      <c r="VQP7" s="1185"/>
      <c r="VQQ7" s="1185"/>
      <c r="VQR7" s="1185"/>
      <c r="VQS7" s="1185"/>
      <c r="VQT7" s="1185"/>
      <c r="VQU7" s="1185"/>
      <c r="VQV7" s="1185"/>
      <c r="VQW7" s="1185"/>
      <c r="VQX7" s="1185"/>
      <c r="VQY7" s="1185"/>
      <c r="VQZ7" s="1185"/>
      <c r="VRA7" s="1185"/>
      <c r="VRB7" s="1185"/>
      <c r="VRC7" s="1185"/>
      <c r="VRD7" s="1185"/>
      <c r="VRE7" s="1185"/>
      <c r="VRF7" s="1185"/>
      <c r="VRG7" s="1185"/>
      <c r="VRH7" s="1185"/>
      <c r="VRI7" s="1185"/>
      <c r="VRJ7" s="1185"/>
      <c r="VRK7" s="1185"/>
      <c r="VRL7" s="1185"/>
      <c r="VRM7" s="1185"/>
      <c r="VRN7" s="1185"/>
      <c r="VRO7" s="1185"/>
      <c r="VRP7" s="1185"/>
      <c r="VRQ7" s="1185"/>
      <c r="VRR7" s="1185"/>
      <c r="VRS7" s="1185"/>
      <c r="VRT7" s="1185"/>
      <c r="VRU7" s="1185"/>
      <c r="VRV7" s="1185"/>
      <c r="VRW7" s="1185"/>
      <c r="VRX7" s="1185"/>
      <c r="VRY7" s="1185"/>
      <c r="VRZ7" s="1185"/>
      <c r="VSA7" s="1185"/>
      <c r="VSB7" s="1185"/>
      <c r="VSC7" s="1185"/>
      <c r="VSD7" s="1185"/>
      <c r="VSE7" s="1185"/>
      <c r="VSF7" s="1185"/>
      <c r="VSG7" s="1185"/>
      <c r="VSH7" s="1185"/>
      <c r="VSI7" s="1185"/>
      <c r="VSJ7" s="1185"/>
      <c r="VSK7" s="1185"/>
      <c r="VSL7" s="1185"/>
      <c r="VSM7" s="1185"/>
      <c r="VSN7" s="1185"/>
      <c r="VSO7" s="1185"/>
      <c r="VSP7" s="1185"/>
      <c r="VSQ7" s="1185"/>
      <c r="VSR7" s="1185"/>
      <c r="VSS7" s="1185"/>
      <c r="VST7" s="1185"/>
      <c r="VSU7" s="1185"/>
      <c r="VSV7" s="1185"/>
      <c r="VSW7" s="1185"/>
      <c r="VSX7" s="1185"/>
      <c r="VSY7" s="1185"/>
      <c r="VSZ7" s="1185"/>
      <c r="VTA7" s="1185"/>
      <c r="VTB7" s="1185"/>
      <c r="VTC7" s="1185"/>
      <c r="VTD7" s="1185"/>
      <c r="VTE7" s="1185"/>
      <c r="VTF7" s="1185"/>
      <c r="VTG7" s="1185"/>
      <c r="VTH7" s="1185"/>
      <c r="VTI7" s="1185"/>
      <c r="VTJ7" s="1185"/>
      <c r="VTK7" s="1185"/>
      <c r="VTL7" s="1185"/>
      <c r="VTM7" s="1185"/>
      <c r="VTN7" s="1185"/>
      <c r="VTO7" s="1185"/>
      <c r="VTP7" s="1185"/>
      <c r="VTQ7" s="1185"/>
      <c r="VTR7" s="1185"/>
      <c r="VTS7" s="1185"/>
      <c r="VTT7" s="1185"/>
      <c r="VTU7" s="1185"/>
      <c r="VTV7" s="1185"/>
      <c r="VTW7" s="1185"/>
      <c r="VTX7" s="1185"/>
      <c r="VTY7" s="1185"/>
      <c r="VTZ7" s="1185"/>
      <c r="VUA7" s="1185"/>
      <c r="VUB7" s="1185"/>
      <c r="VUC7" s="1185"/>
      <c r="VUD7" s="1185"/>
      <c r="VUE7" s="1185"/>
      <c r="VUF7" s="1185"/>
      <c r="VUG7" s="1185"/>
      <c r="VUH7" s="1185"/>
      <c r="VUI7" s="1185"/>
      <c r="VUJ7" s="1185"/>
      <c r="VUK7" s="1185"/>
      <c r="VUL7" s="1185"/>
      <c r="VUM7" s="1185"/>
      <c r="VUN7" s="1185"/>
      <c r="VUO7" s="1185"/>
      <c r="VUP7" s="1185"/>
      <c r="VUQ7" s="1185"/>
      <c r="VUR7" s="1185"/>
      <c r="VUS7" s="1185"/>
      <c r="VUT7" s="1185"/>
      <c r="VUU7" s="1185"/>
      <c r="VUV7" s="1185"/>
      <c r="VUW7" s="1185"/>
      <c r="VUX7" s="1185"/>
      <c r="VUY7" s="1185"/>
      <c r="VUZ7" s="1185"/>
      <c r="VVA7" s="1185"/>
      <c r="VVB7" s="1185"/>
      <c r="VVC7" s="1185"/>
      <c r="VVD7" s="1185"/>
      <c r="VVE7" s="1185"/>
      <c r="VVF7" s="1185"/>
      <c r="VVG7" s="1185"/>
      <c r="VVH7" s="1185"/>
      <c r="VVI7" s="1185"/>
      <c r="VVJ7" s="1185"/>
      <c r="VVK7" s="1185"/>
      <c r="VVL7" s="1185"/>
      <c r="VVM7" s="1185"/>
      <c r="VVN7" s="1185"/>
      <c r="VVO7" s="1185"/>
      <c r="VVP7" s="1185"/>
      <c r="VVQ7" s="1185"/>
      <c r="VVR7" s="1185"/>
      <c r="VVS7" s="1185"/>
      <c r="VVT7" s="1185"/>
      <c r="VVU7" s="1185"/>
      <c r="VVV7" s="1185"/>
      <c r="VVW7" s="1185"/>
      <c r="VVX7" s="1185"/>
      <c r="VVY7" s="1185"/>
      <c r="VVZ7" s="1185"/>
      <c r="VWA7" s="1185"/>
      <c r="VWB7" s="1185"/>
      <c r="VWC7" s="1185"/>
      <c r="VWD7" s="1185"/>
      <c r="VWE7" s="1185"/>
      <c r="VWF7" s="1185"/>
      <c r="VWG7" s="1185"/>
      <c r="VWH7" s="1185"/>
      <c r="VWI7" s="1185"/>
      <c r="VWJ7" s="1185"/>
      <c r="VWK7" s="1185"/>
      <c r="VWL7" s="1185"/>
      <c r="VWM7" s="1185"/>
      <c r="VWN7" s="1185"/>
      <c r="VWO7" s="1185"/>
      <c r="VWP7" s="1185"/>
      <c r="VWQ7" s="1185"/>
      <c r="VWR7" s="1185"/>
      <c r="VWS7" s="1185"/>
      <c r="VWT7" s="1185"/>
      <c r="VWU7" s="1185"/>
      <c r="VWV7" s="1185"/>
      <c r="VWW7" s="1185"/>
      <c r="VWX7" s="1185"/>
      <c r="VWY7" s="1185"/>
      <c r="VWZ7" s="1185"/>
      <c r="VXA7" s="1185"/>
      <c r="VXB7" s="1185"/>
      <c r="VXC7" s="1185"/>
      <c r="VXD7" s="1185"/>
      <c r="VXE7" s="1185"/>
      <c r="VXF7" s="1185"/>
      <c r="VXG7" s="1185"/>
      <c r="VXH7" s="1185"/>
      <c r="VXI7" s="1185"/>
      <c r="VXJ7" s="1185"/>
      <c r="VXK7" s="1185"/>
      <c r="VXL7" s="1185"/>
      <c r="VXM7" s="1185"/>
      <c r="VXN7" s="1185"/>
      <c r="VXO7" s="1185"/>
      <c r="VXP7" s="1185"/>
      <c r="VXQ7" s="1185"/>
      <c r="VXR7" s="1185"/>
      <c r="VXS7" s="1185"/>
      <c r="VXT7" s="1185"/>
      <c r="VXU7" s="1185"/>
      <c r="VXV7" s="1185"/>
      <c r="VXW7" s="1185"/>
      <c r="VXX7" s="1185"/>
      <c r="VXY7" s="1185"/>
      <c r="VXZ7" s="1185"/>
      <c r="VYA7" s="1185"/>
      <c r="VYB7" s="1185"/>
      <c r="VYC7" s="1185"/>
      <c r="VYD7" s="1185"/>
      <c r="VYE7" s="1185"/>
      <c r="VYF7" s="1185"/>
      <c r="VYG7" s="1185"/>
      <c r="VYH7" s="1185"/>
      <c r="VYI7" s="1185"/>
      <c r="VYJ7" s="1185"/>
      <c r="VYK7" s="1185"/>
      <c r="VYL7" s="1185"/>
      <c r="VYM7" s="1185"/>
      <c r="VYN7" s="1185"/>
      <c r="VYO7" s="1185"/>
      <c r="VYP7" s="1185"/>
      <c r="VYQ7" s="1185"/>
      <c r="VYR7" s="1185"/>
      <c r="VYS7" s="1185"/>
      <c r="VYT7" s="1185"/>
      <c r="VYU7" s="1185"/>
      <c r="VYV7" s="1185"/>
      <c r="VYW7" s="1185"/>
      <c r="VYX7" s="1185"/>
      <c r="VYY7" s="1185"/>
      <c r="VYZ7" s="1185"/>
      <c r="VZA7" s="1185"/>
      <c r="VZB7" s="1185"/>
      <c r="VZC7" s="1185"/>
      <c r="VZD7" s="1185"/>
      <c r="VZE7" s="1185"/>
      <c r="VZF7" s="1185"/>
      <c r="VZG7" s="1185"/>
      <c r="VZH7" s="1185"/>
      <c r="VZI7" s="1185"/>
      <c r="VZJ7" s="1185"/>
      <c r="VZK7" s="1185"/>
      <c r="VZL7" s="1185"/>
      <c r="VZM7" s="1185"/>
      <c r="VZN7" s="1185"/>
      <c r="VZO7" s="1185"/>
      <c r="VZP7" s="1185"/>
      <c r="VZQ7" s="1185"/>
      <c r="VZR7" s="1185"/>
      <c r="VZS7" s="1185"/>
      <c r="VZT7" s="1185"/>
      <c r="VZU7" s="1185"/>
      <c r="VZV7" s="1185"/>
      <c r="VZW7" s="1185"/>
      <c r="VZX7" s="1185"/>
      <c r="VZY7" s="1185"/>
      <c r="VZZ7" s="1185"/>
      <c r="WAA7" s="1185"/>
      <c r="WAB7" s="1185"/>
      <c r="WAC7" s="1185"/>
      <c r="WAD7" s="1185"/>
      <c r="WAE7" s="1185"/>
      <c r="WAF7" s="1185"/>
      <c r="WAG7" s="1185"/>
      <c r="WAH7" s="1185"/>
      <c r="WAI7" s="1185"/>
      <c r="WAJ7" s="1185"/>
      <c r="WAK7" s="1185"/>
      <c r="WAL7" s="1185"/>
      <c r="WAM7" s="1185"/>
      <c r="WAN7" s="1185"/>
      <c r="WAO7" s="1185"/>
      <c r="WAP7" s="1185"/>
      <c r="WAQ7" s="1185"/>
      <c r="WAR7" s="1185"/>
      <c r="WAS7" s="1185"/>
      <c r="WAT7" s="1185"/>
      <c r="WAU7" s="1185"/>
      <c r="WAV7" s="1185"/>
      <c r="WAW7" s="1185"/>
      <c r="WAX7" s="1185"/>
      <c r="WAY7" s="1185"/>
      <c r="WAZ7" s="1185"/>
      <c r="WBA7" s="1185"/>
      <c r="WBB7" s="1185"/>
      <c r="WBC7" s="1185"/>
      <c r="WBD7" s="1185"/>
      <c r="WBE7" s="1185"/>
      <c r="WBF7" s="1185"/>
      <c r="WBG7" s="1185"/>
      <c r="WBH7" s="1185"/>
      <c r="WBI7" s="1185"/>
      <c r="WBJ7" s="1185"/>
      <c r="WBK7" s="1185"/>
      <c r="WBL7" s="1185"/>
      <c r="WBM7" s="1185"/>
      <c r="WBN7" s="1185"/>
      <c r="WBO7" s="1185"/>
      <c r="WBP7" s="1185"/>
      <c r="WBQ7" s="1185"/>
      <c r="WBR7" s="1185"/>
      <c r="WBS7" s="1185"/>
      <c r="WBT7" s="1185"/>
      <c r="WBU7" s="1185"/>
      <c r="WBV7" s="1185"/>
      <c r="WBW7" s="1185"/>
      <c r="WBX7" s="1185"/>
      <c r="WBY7" s="1185"/>
      <c r="WBZ7" s="1185"/>
      <c r="WCA7" s="1185"/>
      <c r="WCB7" s="1185"/>
      <c r="WCC7" s="1185"/>
      <c r="WCD7" s="1185"/>
      <c r="WCE7" s="1185"/>
      <c r="WCF7" s="1185"/>
      <c r="WCG7" s="1185"/>
      <c r="WCH7" s="1185"/>
      <c r="WCI7" s="1185"/>
      <c r="WCJ7" s="1185"/>
      <c r="WCK7" s="1185"/>
      <c r="WCL7" s="1185"/>
      <c r="WCM7" s="1185"/>
      <c r="WCN7" s="1185"/>
      <c r="WCO7" s="1185"/>
      <c r="WCP7" s="1185"/>
      <c r="WCQ7" s="1185"/>
      <c r="WCR7" s="1185"/>
      <c r="WCS7" s="1185"/>
      <c r="WCT7" s="1185"/>
      <c r="WCU7" s="1185"/>
      <c r="WCV7" s="1185"/>
      <c r="WCW7" s="1185"/>
      <c r="WCX7" s="1185"/>
      <c r="WCY7" s="1185"/>
      <c r="WCZ7" s="1185"/>
      <c r="WDA7" s="1185"/>
      <c r="WDB7" s="1185"/>
      <c r="WDC7" s="1185"/>
      <c r="WDD7" s="1185"/>
      <c r="WDE7" s="1185"/>
      <c r="WDF7" s="1185"/>
      <c r="WDG7" s="1185"/>
      <c r="WDH7" s="1185"/>
      <c r="WDI7" s="1185"/>
      <c r="WDJ7" s="1185"/>
      <c r="WDK7" s="1185"/>
      <c r="WDL7" s="1185"/>
      <c r="WDM7" s="1185"/>
      <c r="WDN7" s="1185"/>
      <c r="WDO7" s="1185"/>
      <c r="WDP7" s="1185"/>
      <c r="WDQ7" s="1185"/>
      <c r="WDR7" s="1185"/>
      <c r="WDS7" s="1185"/>
      <c r="WDT7" s="1185"/>
      <c r="WDU7" s="1185"/>
      <c r="WDV7" s="1185"/>
      <c r="WDW7" s="1185"/>
      <c r="WDX7" s="1185"/>
      <c r="WDY7" s="1185"/>
      <c r="WDZ7" s="1185"/>
      <c r="WEA7" s="1185"/>
      <c r="WEB7" s="1185"/>
      <c r="WEC7" s="1185"/>
      <c r="WED7" s="1185"/>
      <c r="WEE7" s="1185"/>
      <c r="WEF7" s="1185"/>
      <c r="WEG7" s="1185"/>
      <c r="WEH7" s="1185"/>
      <c r="WEI7" s="1185"/>
      <c r="WEJ7" s="1185"/>
      <c r="WEK7" s="1185"/>
      <c r="WEL7" s="1185"/>
      <c r="WEM7" s="1185"/>
      <c r="WEN7" s="1185"/>
      <c r="WEO7" s="1185"/>
      <c r="WEP7" s="1185"/>
      <c r="WEQ7" s="1185"/>
      <c r="WER7" s="1185"/>
      <c r="WES7" s="1185"/>
      <c r="WET7" s="1185"/>
      <c r="WEU7" s="1185"/>
      <c r="WEV7" s="1185"/>
      <c r="WEW7" s="1185"/>
      <c r="WEX7" s="1185"/>
      <c r="WEY7" s="1185"/>
      <c r="WEZ7" s="1185"/>
      <c r="WFA7" s="1185"/>
      <c r="WFB7" s="1185"/>
      <c r="WFC7" s="1185"/>
      <c r="WFD7" s="1185"/>
      <c r="WFE7" s="1185"/>
      <c r="WFF7" s="1185"/>
      <c r="WFG7" s="1185"/>
      <c r="WFH7" s="1185"/>
      <c r="WFI7" s="1185"/>
      <c r="WFJ7" s="1185"/>
      <c r="WFK7" s="1185"/>
      <c r="WFL7" s="1185"/>
      <c r="WFM7" s="1185"/>
      <c r="WFN7" s="1185"/>
      <c r="WFO7" s="1185"/>
      <c r="WFP7" s="1185"/>
      <c r="WFQ7" s="1185"/>
      <c r="WFR7" s="1185"/>
      <c r="WFS7" s="1185"/>
      <c r="WFT7" s="1185"/>
      <c r="WFU7" s="1185"/>
      <c r="WFV7" s="1185"/>
      <c r="WFW7" s="1185"/>
      <c r="WFX7" s="1185"/>
      <c r="WFY7" s="1185"/>
      <c r="WFZ7" s="1185"/>
      <c r="WGA7" s="1185"/>
      <c r="WGB7" s="1185"/>
      <c r="WGC7" s="1185"/>
      <c r="WGD7" s="1185"/>
      <c r="WGE7" s="1185"/>
      <c r="WGF7" s="1185"/>
      <c r="WGG7" s="1185"/>
      <c r="WGH7" s="1185"/>
      <c r="WGI7" s="1185"/>
      <c r="WGJ7" s="1185"/>
      <c r="WGK7" s="1185"/>
      <c r="WGL7" s="1185"/>
      <c r="WGM7" s="1185"/>
      <c r="WGN7" s="1185"/>
      <c r="WGO7" s="1185"/>
      <c r="WGP7" s="1185"/>
      <c r="WGQ7" s="1185"/>
      <c r="WGR7" s="1185"/>
      <c r="WGS7" s="1185"/>
      <c r="WGT7" s="1185"/>
      <c r="WGU7" s="1185"/>
      <c r="WGV7" s="1185"/>
      <c r="WGW7" s="1185"/>
      <c r="WGX7" s="1185"/>
      <c r="WGY7" s="1185"/>
      <c r="WGZ7" s="1185"/>
      <c r="WHA7" s="1185"/>
      <c r="WHB7" s="1185"/>
      <c r="WHC7" s="1185"/>
      <c r="WHD7" s="1185"/>
      <c r="WHE7" s="1185"/>
      <c r="WHF7" s="1185"/>
      <c r="WHG7" s="1185"/>
      <c r="WHH7" s="1185"/>
      <c r="WHI7" s="1185"/>
      <c r="WHJ7" s="1185"/>
      <c r="WHK7" s="1185"/>
      <c r="WHL7" s="1185"/>
      <c r="WHM7" s="1185"/>
      <c r="WHN7" s="1185"/>
      <c r="WHO7" s="1185"/>
      <c r="WHP7" s="1185"/>
      <c r="WHQ7" s="1185"/>
      <c r="WHR7" s="1185"/>
      <c r="WHS7" s="1185"/>
      <c r="WHT7" s="1185"/>
      <c r="WHU7" s="1185"/>
      <c r="WHV7" s="1185"/>
      <c r="WHW7" s="1185"/>
      <c r="WHX7" s="1185"/>
      <c r="WHY7" s="1185"/>
      <c r="WHZ7" s="1185"/>
      <c r="WIA7" s="1185"/>
      <c r="WIB7" s="1185"/>
      <c r="WIC7" s="1185"/>
      <c r="WID7" s="1185"/>
      <c r="WIE7" s="1185"/>
      <c r="WIF7" s="1185"/>
      <c r="WIG7" s="1185"/>
      <c r="WIH7" s="1185"/>
      <c r="WII7" s="1185"/>
      <c r="WIJ7" s="1185"/>
      <c r="WIK7" s="1185"/>
      <c r="WIL7" s="1185"/>
      <c r="WIM7" s="1185"/>
      <c r="WIN7" s="1185"/>
      <c r="WIO7" s="1185"/>
      <c r="WIP7" s="1185"/>
      <c r="WIQ7" s="1185"/>
      <c r="WIR7" s="1185"/>
      <c r="WIS7" s="1185"/>
      <c r="WIT7" s="1185"/>
      <c r="WIU7" s="1185"/>
      <c r="WIV7" s="1185"/>
      <c r="WIW7" s="1185"/>
      <c r="WIX7" s="1185"/>
      <c r="WIY7" s="1185"/>
      <c r="WIZ7" s="1185"/>
      <c r="WJA7" s="1185"/>
      <c r="WJB7" s="1185"/>
      <c r="WJC7" s="1185"/>
      <c r="WJD7" s="1185"/>
      <c r="WJE7" s="1185"/>
      <c r="WJF7" s="1185"/>
      <c r="WJG7" s="1185"/>
      <c r="WJH7" s="1185"/>
      <c r="WJI7" s="1185"/>
      <c r="WJJ7" s="1185"/>
      <c r="WJK7" s="1185"/>
      <c r="WJL7" s="1185"/>
      <c r="WJM7" s="1185"/>
      <c r="WJN7" s="1185"/>
      <c r="WJO7" s="1185"/>
      <c r="WJP7" s="1185"/>
      <c r="WJQ7" s="1185"/>
      <c r="WJR7" s="1185"/>
      <c r="WJS7" s="1185"/>
      <c r="WJT7" s="1185"/>
      <c r="WJU7" s="1185"/>
      <c r="WJV7" s="1185"/>
      <c r="WJW7" s="1185"/>
      <c r="WJX7" s="1185"/>
      <c r="WJY7" s="1185"/>
      <c r="WJZ7" s="1185"/>
      <c r="WKA7" s="1185"/>
      <c r="WKB7" s="1185"/>
      <c r="WKC7" s="1185"/>
      <c r="WKD7" s="1185"/>
      <c r="WKE7" s="1185"/>
      <c r="WKF7" s="1185"/>
      <c r="WKG7" s="1185"/>
      <c r="WKH7" s="1185"/>
      <c r="WKI7" s="1185"/>
      <c r="WKJ7" s="1185"/>
      <c r="WKK7" s="1185"/>
      <c r="WKL7" s="1185"/>
      <c r="WKM7" s="1185"/>
      <c r="WKN7" s="1185"/>
      <c r="WKO7" s="1185"/>
      <c r="WKP7" s="1185"/>
      <c r="WKQ7" s="1185"/>
      <c r="WKR7" s="1185"/>
      <c r="WKS7" s="1185"/>
      <c r="WKT7" s="1185"/>
      <c r="WKU7" s="1185"/>
      <c r="WKV7" s="1185"/>
      <c r="WKW7" s="1185"/>
      <c r="WKX7" s="1185"/>
      <c r="WKY7" s="1185"/>
      <c r="WKZ7" s="1185"/>
      <c r="WLA7" s="1185"/>
      <c r="WLB7" s="1185"/>
      <c r="WLC7" s="1185"/>
      <c r="WLD7" s="1185"/>
      <c r="WLE7" s="1185"/>
      <c r="WLF7" s="1185"/>
      <c r="WLG7" s="1185"/>
      <c r="WLH7" s="1185"/>
      <c r="WLI7" s="1185"/>
      <c r="WLJ7" s="1185"/>
      <c r="WLK7" s="1185"/>
      <c r="WLL7" s="1185"/>
      <c r="WLM7" s="1185"/>
      <c r="WLN7" s="1185"/>
      <c r="WLO7" s="1185"/>
      <c r="WLP7" s="1185"/>
      <c r="WLQ7" s="1185"/>
      <c r="WLR7" s="1185"/>
      <c r="WLS7" s="1185"/>
      <c r="WLT7" s="1185"/>
      <c r="WLU7" s="1185"/>
      <c r="WLV7" s="1185"/>
      <c r="WLW7" s="1185"/>
      <c r="WLX7" s="1185"/>
      <c r="WLY7" s="1185"/>
      <c r="WLZ7" s="1185"/>
      <c r="WMA7" s="1185"/>
      <c r="WMB7" s="1185"/>
      <c r="WMC7" s="1185"/>
      <c r="WMD7" s="1185"/>
      <c r="WME7" s="1185"/>
      <c r="WMF7" s="1185"/>
      <c r="WMG7" s="1185"/>
      <c r="WMH7" s="1185"/>
      <c r="WMI7" s="1185"/>
      <c r="WMJ7" s="1185"/>
      <c r="WMK7" s="1185"/>
      <c r="WML7" s="1185"/>
      <c r="WMM7" s="1185"/>
      <c r="WMN7" s="1185"/>
      <c r="WMO7" s="1185"/>
      <c r="WMP7" s="1185"/>
      <c r="WMQ7" s="1185"/>
      <c r="WMR7" s="1185"/>
      <c r="WMS7" s="1185"/>
      <c r="WMT7" s="1185"/>
      <c r="WMU7" s="1185"/>
      <c r="WMV7" s="1185"/>
      <c r="WMW7" s="1185"/>
      <c r="WMX7" s="1185"/>
      <c r="WMY7" s="1185"/>
      <c r="WMZ7" s="1185"/>
      <c r="WNA7" s="1185"/>
      <c r="WNB7" s="1185"/>
      <c r="WNC7" s="1185"/>
      <c r="WND7" s="1185"/>
      <c r="WNE7" s="1185"/>
      <c r="WNF7" s="1185"/>
      <c r="WNG7" s="1185"/>
      <c r="WNH7" s="1185"/>
      <c r="WNI7" s="1185"/>
      <c r="WNJ7" s="1185"/>
      <c r="WNK7" s="1185"/>
      <c r="WNL7" s="1185"/>
      <c r="WNM7" s="1185"/>
      <c r="WNN7" s="1185"/>
      <c r="WNO7" s="1185"/>
      <c r="WNP7" s="1185"/>
      <c r="WNQ7" s="1185"/>
      <c r="WNR7" s="1185"/>
      <c r="WNS7" s="1185"/>
      <c r="WNT7" s="1185"/>
      <c r="WNU7" s="1185"/>
      <c r="WNV7" s="1185"/>
      <c r="WNW7" s="1185"/>
      <c r="WNX7" s="1185"/>
      <c r="WNY7" s="1185"/>
      <c r="WNZ7" s="1185"/>
      <c r="WOA7" s="1185"/>
      <c r="WOB7" s="1185"/>
      <c r="WOC7" s="1185"/>
      <c r="WOD7" s="1185"/>
      <c r="WOE7" s="1185"/>
      <c r="WOF7" s="1185"/>
      <c r="WOG7" s="1185"/>
      <c r="WOH7" s="1185"/>
      <c r="WOI7" s="1185"/>
      <c r="WOJ7" s="1185"/>
      <c r="WOK7" s="1185"/>
      <c r="WOL7" s="1185"/>
      <c r="WOM7" s="1185"/>
      <c r="WON7" s="1185"/>
      <c r="WOO7" s="1185"/>
      <c r="WOP7" s="1185"/>
      <c r="WOQ7" s="1185"/>
      <c r="WOR7" s="1185"/>
      <c r="WOS7" s="1185"/>
      <c r="WOT7" s="1185"/>
      <c r="WOU7" s="1185"/>
      <c r="WOV7" s="1185"/>
      <c r="WOW7" s="1185"/>
      <c r="WOX7" s="1185"/>
      <c r="WOY7" s="1185"/>
      <c r="WOZ7" s="1185"/>
      <c r="WPA7" s="1185"/>
      <c r="WPB7" s="1185"/>
      <c r="WPC7" s="1185"/>
      <c r="WPD7" s="1185"/>
      <c r="WPE7" s="1185"/>
      <c r="WPF7" s="1185"/>
      <c r="WPG7" s="1185"/>
      <c r="WPH7" s="1185"/>
      <c r="WPI7" s="1185"/>
      <c r="WPJ7" s="1185"/>
      <c r="WPK7" s="1185"/>
      <c r="WPL7" s="1185"/>
      <c r="WPM7" s="1185"/>
      <c r="WPN7" s="1185"/>
      <c r="WPO7" s="1185"/>
      <c r="WPP7" s="1185"/>
      <c r="WPQ7" s="1185"/>
      <c r="WPR7" s="1185"/>
      <c r="WPS7" s="1185"/>
      <c r="WPT7" s="1185"/>
      <c r="WPU7" s="1185"/>
      <c r="WPV7" s="1185"/>
      <c r="WPW7" s="1185"/>
      <c r="WPX7" s="1185"/>
      <c r="WPY7" s="1185"/>
      <c r="WPZ7" s="1185"/>
      <c r="WQA7" s="1185"/>
      <c r="WQB7" s="1185"/>
      <c r="WQC7" s="1185"/>
      <c r="WQD7" s="1185"/>
      <c r="WQE7" s="1185"/>
      <c r="WQF7" s="1185"/>
      <c r="WQG7" s="1185"/>
      <c r="WQH7" s="1185"/>
      <c r="WQI7" s="1185"/>
      <c r="WQJ7" s="1185"/>
      <c r="WQK7" s="1185"/>
      <c r="WQL7" s="1185"/>
      <c r="WQM7" s="1185"/>
      <c r="WQN7" s="1185"/>
      <c r="WQO7" s="1185"/>
      <c r="WQP7" s="1185"/>
      <c r="WQQ7" s="1185"/>
      <c r="WQR7" s="1185"/>
      <c r="WQS7" s="1185"/>
      <c r="WQT7" s="1185"/>
      <c r="WQU7" s="1185"/>
      <c r="WQV7" s="1185"/>
      <c r="WQW7" s="1185"/>
      <c r="WQX7" s="1185"/>
      <c r="WQY7" s="1185"/>
      <c r="WQZ7" s="1185"/>
      <c r="WRA7" s="1185"/>
      <c r="WRB7" s="1185"/>
      <c r="WRC7" s="1185"/>
      <c r="WRD7" s="1185"/>
      <c r="WRE7" s="1185"/>
      <c r="WRF7" s="1185"/>
      <c r="WRG7" s="1185"/>
      <c r="WRH7" s="1185"/>
      <c r="WRI7" s="1185"/>
      <c r="WRJ7" s="1185"/>
      <c r="WRK7" s="1185"/>
      <c r="WRL7" s="1185"/>
      <c r="WRM7" s="1185"/>
      <c r="WRN7" s="1185"/>
      <c r="WRO7" s="1185"/>
      <c r="WRP7" s="1185"/>
      <c r="WRQ7" s="1185"/>
      <c r="WRR7" s="1185"/>
      <c r="WRS7" s="1185"/>
      <c r="WRT7" s="1185"/>
      <c r="WRU7" s="1185"/>
      <c r="WRV7" s="1185"/>
      <c r="WRW7" s="1185"/>
      <c r="WRX7" s="1185"/>
      <c r="WRY7" s="1185"/>
      <c r="WRZ7" s="1185"/>
      <c r="WSA7" s="1185"/>
      <c r="WSB7" s="1185"/>
      <c r="WSC7" s="1185"/>
      <c r="WSD7" s="1185"/>
      <c r="WSE7" s="1185"/>
      <c r="WSF7" s="1185"/>
      <c r="WSG7" s="1185"/>
      <c r="WSH7" s="1185"/>
      <c r="WSI7" s="1185"/>
      <c r="WSJ7" s="1185"/>
      <c r="WSK7" s="1185"/>
      <c r="WSL7" s="1185"/>
      <c r="WSM7" s="1185"/>
      <c r="WSN7" s="1185"/>
      <c r="WSO7" s="1185"/>
      <c r="WSP7" s="1185"/>
      <c r="WSQ7" s="1185"/>
      <c r="WSR7" s="1185"/>
      <c r="WSS7" s="1185"/>
      <c r="WST7" s="1185"/>
      <c r="WSU7" s="1185"/>
      <c r="WSV7" s="1185"/>
      <c r="WSW7" s="1185"/>
      <c r="WSX7" s="1185"/>
      <c r="WSY7" s="1185"/>
      <c r="WSZ7" s="1185"/>
      <c r="WTA7" s="1185"/>
      <c r="WTB7" s="1185"/>
      <c r="WTC7" s="1185"/>
      <c r="WTD7" s="1185"/>
      <c r="WTE7" s="1185"/>
      <c r="WTF7" s="1185"/>
      <c r="WTG7" s="1185"/>
      <c r="WTH7" s="1185"/>
      <c r="WTI7" s="1185"/>
      <c r="WTJ7" s="1185"/>
      <c r="WTK7" s="1185"/>
      <c r="WTL7" s="1185"/>
      <c r="WTM7" s="1185"/>
      <c r="WTN7" s="1185"/>
      <c r="WTO7" s="1185"/>
      <c r="WTP7" s="1185"/>
      <c r="WTQ7" s="1185"/>
      <c r="WTR7" s="1185"/>
      <c r="WTS7" s="1185"/>
      <c r="WTT7" s="1185"/>
      <c r="WTU7" s="1185"/>
      <c r="WTV7" s="1185"/>
      <c r="WTW7" s="1185"/>
      <c r="WTX7" s="1185"/>
      <c r="WTY7" s="1185"/>
      <c r="WTZ7" s="1185"/>
      <c r="WUA7" s="1185"/>
      <c r="WUB7" s="1185"/>
      <c r="WUC7" s="1185"/>
      <c r="WUD7" s="1185"/>
      <c r="WUE7" s="1185"/>
      <c r="WUF7" s="1185"/>
      <c r="WUG7" s="1185"/>
      <c r="WUH7" s="1185"/>
      <c r="WUI7" s="1185"/>
      <c r="WUJ7" s="1185"/>
      <c r="WUK7" s="1185"/>
      <c r="WUL7" s="1185"/>
      <c r="WUM7" s="1185"/>
      <c r="WUN7" s="1185"/>
      <c r="WUO7" s="1185"/>
      <c r="WUP7" s="1185"/>
      <c r="WUQ7" s="1185"/>
      <c r="WUR7" s="1185"/>
      <c r="WUS7" s="1185"/>
      <c r="WUT7" s="1185"/>
      <c r="WUU7" s="1185"/>
      <c r="WUV7" s="1185"/>
      <c r="WUW7" s="1185"/>
      <c r="WUX7" s="1185"/>
      <c r="WUY7" s="1185"/>
      <c r="WUZ7" s="1185"/>
      <c r="WVA7" s="1185"/>
      <c r="WVB7" s="1185"/>
      <c r="WVC7" s="1185"/>
      <c r="WVD7" s="1185"/>
      <c r="WVE7" s="1185"/>
      <c r="WVF7" s="1185"/>
      <c r="WVG7" s="1185"/>
      <c r="WVH7" s="1185"/>
      <c r="WVI7" s="1185"/>
      <c r="WVJ7" s="1185"/>
      <c r="WVK7" s="1185"/>
      <c r="WVL7" s="1185"/>
      <c r="WVM7" s="1185"/>
      <c r="WVN7" s="1185"/>
      <c r="WVO7" s="1185"/>
      <c r="WVP7" s="1185"/>
      <c r="WVQ7" s="1185"/>
      <c r="WVR7" s="1185"/>
      <c r="WVS7" s="1185"/>
      <c r="WVT7" s="1185"/>
      <c r="WVU7" s="1185"/>
      <c r="WVV7" s="1185"/>
      <c r="WVW7" s="1185"/>
      <c r="WVX7" s="1185"/>
      <c r="WVY7" s="1185"/>
      <c r="WVZ7" s="1185"/>
      <c r="WWA7" s="1185"/>
      <c r="WWB7" s="1185"/>
      <c r="WWC7" s="1185"/>
      <c r="WWD7" s="1185"/>
      <c r="WWE7" s="1185"/>
      <c r="WWF7" s="1185"/>
      <c r="WWG7" s="1185"/>
      <c r="WWH7" s="1185"/>
      <c r="WWI7" s="1185"/>
      <c r="WWJ7" s="1185"/>
      <c r="WWK7" s="1185"/>
      <c r="WWL7" s="1185"/>
      <c r="WWM7" s="1185"/>
      <c r="WWN7" s="1185"/>
      <c r="WWO7" s="1185"/>
      <c r="WWP7" s="1185"/>
      <c r="WWQ7" s="1185"/>
      <c r="WWR7" s="1185"/>
      <c r="WWS7" s="1185"/>
      <c r="WWT7" s="1185"/>
      <c r="WWU7" s="1185"/>
      <c r="WWV7" s="1185"/>
      <c r="WWW7" s="1185"/>
      <c r="WWX7" s="1185"/>
      <c r="WWY7" s="1185"/>
      <c r="WWZ7" s="1185"/>
      <c r="WXA7" s="1185"/>
      <c r="WXB7" s="1185"/>
      <c r="WXC7" s="1185"/>
      <c r="WXD7" s="1185"/>
      <c r="WXE7" s="1185"/>
      <c r="WXF7" s="1185"/>
      <c r="WXG7" s="1185"/>
      <c r="WXH7" s="1185"/>
      <c r="WXI7" s="1185"/>
      <c r="WXJ7" s="1185"/>
      <c r="WXK7" s="1185"/>
      <c r="WXL7" s="1185"/>
      <c r="WXM7" s="1185"/>
      <c r="WXN7" s="1185"/>
      <c r="WXO7" s="1185"/>
      <c r="WXP7" s="1185"/>
      <c r="WXQ7" s="1185"/>
      <c r="WXR7" s="1185"/>
      <c r="WXS7" s="1185"/>
      <c r="WXT7" s="1185"/>
      <c r="WXU7" s="1185"/>
      <c r="WXV7" s="1185"/>
      <c r="WXW7" s="1185"/>
      <c r="WXX7" s="1185"/>
      <c r="WXY7" s="1185"/>
      <c r="WXZ7" s="1185"/>
      <c r="WYA7" s="1185"/>
      <c r="WYB7" s="1185"/>
      <c r="WYC7" s="1185"/>
      <c r="WYD7" s="1185"/>
      <c r="WYE7" s="1185"/>
      <c r="WYF7" s="1185"/>
      <c r="WYG7" s="1185"/>
      <c r="WYH7" s="1185"/>
      <c r="WYI7" s="1185"/>
      <c r="WYJ7" s="1185"/>
      <c r="WYK7" s="1185"/>
      <c r="WYL7" s="1185"/>
      <c r="WYM7" s="1185"/>
      <c r="WYN7" s="1185"/>
      <c r="WYO7" s="1185"/>
      <c r="WYP7" s="1185"/>
      <c r="WYQ7" s="1185"/>
      <c r="WYR7" s="1185"/>
      <c r="WYS7" s="1185"/>
      <c r="WYT7" s="1185"/>
      <c r="WYU7" s="1185"/>
      <c r="WYV7" s="1185"/>
      <c r="WYW7" s="1185"/>
      <c r="WYX7" s="1185"/>
      <c r="WYY7" s="1185"/>
      <c r="WYZ7" s="1185"/>
      <c r="WZA7" s="1185"/>
      <c r="WZB7" s="1185"/>
      <c r="WZC7" s="1185"/>
      <c r="WZD7" s="1185"/>
      <c r="WZE7" s="1185"/>
      <c r="WZF7" s="1185"/>
      <c r="WZG7" s="1185"/>
      <c r="WZH7" s="1185"/>
      <c r="WZI7" s="1185"/>
      <c r="WZJ7" s="1185"/>
      <c r="WZK7" s="1185"/>
      <c r="WZL7" s="1185"/>
      <c r="WZM7" s="1185"/>
      <c r="WZN7" s="1185"/>
      <c r="WZO7" s="1185"/>
      <c r="WZP7" s="1185"/>
      <c r="WZQ7" s="1185"/>
      <c r="WZR7" s="1185"/>
      <c r="WZS7" s="1185"/>
      <c r="WZT7" s="1185"/>
      <c r="WZU7" s="1185"/>
      <c r="WZV7" s="1185"/>
      <c r="WZW7" s="1185"/>
      <c r="WZX7" s="1185"/>
      <c r="WZY7" s="1185"/>
      <c r="WZZ7" s="1185"/>
      <c r="XAA7" s="1185"/>
      <c r="XAB7" s="1185"/>
      <c r="XAC7" s="1185"/>
      <c r="XAD7" s="1185"/>
      <c r="XAE7" s="1185"/>
      <c r="XAF7" s="1185"/>
      <c r="XAG7" s="1185"/>
      <c r="XAH7" s="1185"/>
      <c r="XAI7" s="1185"/>
      <c r="XAJ7" s="1185"/>
      <c r="XAK7" s="1185"/>
      <c r="XAL7" s="1185"/>
      <c r="XAM7" s="1185"/>
      <c r="XAN7" s="1185"/>
      <c r="XAO7" s="1185"/>
      <c r="XAP7" s="1185"/>
      <c r="XAQ7" s="1185"/>
      <c r="XAR7" s="1185"/>
      <c r="XAS7" s="1185"/>
      <c r="XAT7" s="1185"/>
      <c r="XAU7" s="1185"/>
      <c r="XAV7" s="1185"/>
      <c r="XAW7" s="1185"/>
      <c r="XAX7" s="1185"/>
      <c r="XAY7" s="1185"/>
      <c r="XAZ7" s="1185"/>
      <c r="XBA7" s="1185"/>
      <c r="XBB7" s="1185"/>
      <c r="XBC7" s="1185"/>
      <c r="XBD7" s="1185"/>
      <c r="XBE7" s="1185"/>
      <c r="XBF7" s="1185"/>
      <c r="XBG7" s="1185"/>
      <c r="XBH7" s="1185"/>
      <c r="XBI7" s="1185"/>
      <c r="XBJ7" s="1185"/>
      <c r="XBK7" s="1185"/>
      <c r="XBL7" s="1185"/>
      <c r="XBM7" s="1185"/>
      <c r="XBN7" s="1185"/>
      <c r="XBO7" s="1185"/>
      <c r="XBP7" s="1185"/>
      <c r="XBQ7" s="1185"/>
      <c r="XBR7" s="1185"/>
      <c r="XBS7" s="1185"/>
      <c r="XBT7" s="1185"/>
      <c r="XBU7" s="1185"/>
      <c r="XBV7" s="1185"/>
      <c r="XBW7" s="1185"/>
      <c r="XBX7" s="1185"/>
      <c r="XBY7" s="1185"/>
      <c r="XBZ7" s="1185"/>
      <c r="XCA7" s="1185"/>
      <c r="XCB7" s="1185"/>
      <c r="XCC7" s="1185"/>
      <c r="XCD7" s="1185"/>
      <c r="XCE7" s="1185"/>
      <c r="XCF7" s="1185"/>
      <c r="XCG7" s="1185"/>
      <c r="XCH7" s="1185"/>
      <c r="XCI7" s="1185"/>
      <c r="XCJ7" s="1185"/>
      <c r="XCK7" s="1185"/>
      <c r="XCL7" s="1185"/>
      <c r="XCM7" s="1185"/>
      <c r="XCN7" s="1185"/>
      <c r="XCO7" s="1185"/>
      <c r="XCP7" s="1185"/>
      <c r="XCQ7" s="1185"/>
      <c r="XCR7" s="1185"/>
      <c r="XCS7" s="1185"/>
      <c r="XCT7" s="1185"/>
      <c r="XCU7" s="1185"/>
      <c r="XCV7" s="1185"/>
      <c r="XCW7" s="1185"/>
      <c r="XCX7" s="1185"/>
      <c r="XCY7" s="1185"/>
      <c r="XCZ7" s="1185"/>
      <c r="XDA7" s="1185"/>
      <c r="XDB7" s="1185"/>
      <c r="XDC7" s="1185"/>
      <c r="XDD7" s="1185"/>
      <c r="XDE7" s="1185"/>
      <c r="XDF7" s="1185"/>
      <c r="XDG7" s="1185"/>
      <c r="XDH7" s="1185"/>
      <c r="XDI7" s="1185"/>
      <c r="XDJ7" s="1185"/>
      <c r="XDK7" s="1185"/>
      <c r="XDL7" s="1185"/>
      <c r="XDM7" s="1185"/>
      <c r="XDN7" s="1185"/>
      <c r="XDO7" s="1185"/>
      <c r="XDP7" s="1185"/>
      <c r="XDQ7" s="1185"/>
      <c r="XDR7" s="1185"/>
      <c r="XDS7" s="1185"/>
      <c r="XDT7" s="1185"/>
      <c r="XDU7" s="1185"/>
      <c r="XDV7" s="1185"/>
      <c r="XDW7" s="1185"/>
      <c r="XDX7" s="1185"/>
      <c r="XDY7" s="1185"/>
      <c r="XDZ7" s="1185"/>
      <c r="XEA7" s="1185"/>
      <c r="XEB7" s="1185"/>
      <c r="XEC7" s="1185"/>
      <c r="XED7" s="1185"/>
      <c r="XEE7" s="1185"/>
      <c r="XEF7" s="1185"/>
      <c r="XEG7" s="1185"/>
      <c r="XEH7" s="1185"/>
      <c r="XEI7" s="1185"/>
      <c r="XEJ7" s="1185"/>
      <c r="XEK7" s="1185"/>
      <c r="XEL7" s="1185"/>
      <c r="XEM7" s="1185"/>
      <c r="XEN7" s="1185"/>
      <c r="XEO7" s="1185"/>
      <c r="XEP7" s="1185"/>
      <c r="XEQ7" s="1185"/>
      <c r="XER7" s="1185"/>
      <c r="XES7" s="1185"/>
      <c r="XET7" s="1185"/>
      <c r="XEU7" s="1185"/>
      <c r="XEV7" s="1185"/>
      <c r="XEW7" s="1185"/>
      <c r="XEX7" s="1185"/>
      <c r="XEY7" s="1185"/>
      <c r="XEZ7" s="1185"/>
      <c r="XFA7" s="1185"/>
      <c r="XFB7" s="1185"/>
    </row>
    <row r="8" spans="1:16382" s="1203" customFormat="1" ht="39" customHeight="1" x14ac:dyDescent="0.2">
      <c r="A8" s="1409" t="s">
        <v>4363</v>
      </c>
      <c r="B8" s="1409" t="s">
        <v>4364</v>
      </c>
      <c r="C8" s="1409"/>
      <c r="D8" s="1409"/>
      <c r="E8" s="1190">
        <v>2000</v>
      </c>
      <c r="F8" s="1191" t="s">
        <v>10</v>
      </c>
      <c r="G8" s="1192"/>
      <c r="H8" s="1193"/>
      <c r="I8" s="1194"/>
      <c r="J8" s="1195"/>
      <c r="K8" s="1194"/>
      <c r="L8" s="1194"/>
      <c r="M8" s="1196"/>
      <c r="N8" s="1197"/>
      <c r="O8" s="1196"/>
      <c r="P8" s="1197"/>
      <c r="Q8" s="1196"/>
      <c r="R8" s="1197"/>
      <c r="S8" s="1198"/>
      <c r="T8" s="1198"/>
      <c r="U8" s="1198"/>
      <c r="V8" s="1198"/>
      <c r="W8" s="1199"/>
      <c r="X8" s="1198"/>
      <c r="Y8" s="1198"/>
      <c r="Z8" s="1198"/>
      <c r="AA8" s="1198"/>
      <c r="AB8" s="1198"/>
      <c r="AC8" s="1198"/>
      <c r="AD8" s="1198"/>
      <c r="AE8" s="1198"/>
      <c r="AF8" s="1200"/>
      <c r="AG8" s="1195"/>
      <c r="AH8" s="1195"/>
      <c r="AI8" s="1195"/>
      <c r="AJ8" s="1195"/>
      <c r="AK8" s="1195"/>
      <c r="AL8" s="1201"/>
      <c r="AM8" s="1196"/>
      <c r="AN8" s="1202"/>
      <c r="AO8" s="1202"/>
      <c r="AP8" s="1202"/>
      <c r="AQ8" s="1202"/>
      <c r="AR8" s="1202"/>
      <c r="AS8" s="1202"/>
      <c r="AT8" s="1202"/>
      <c r="AU8" s="1202"/>
      <c r="AV8" s="1202"/>
      <c r="AW8" s="1202"/>
      <c r="AX8" s="1202"/>
      <c r="AY8" s="1202"/>
      <c r="AZ8" s="1202"/>
      <c r="BA8" s="1202"/>
      <c r="BB8" s="1202"/>
      <c r="BC8" s="1202"/>
      <c r="BD8" s="1202"/>
      <c r="BE8" s="1202"/>
      <c r="BF8" s="1202"/>
      <c r="BG8" s="1202"/>
      <c r="BH8" s="1202"/>
      <c r="BI8" s="1202"/>
      <c r="BJ8" s="1202"/>
      <c r="BK8" s="1202"/>
      <c r="BL8" s="1202"/>
      <c r="BM8" s="1202"/>
      <c r="BN8" s="1202"/>
      <c r="BO8" s="1202"/>
      <c r="BP8" s="1202"/>
      <c r="BQ8" s="1202"/>
      <c r="BR8" s="1202"/>
      <c r="BS8" s="1202"/>
      <c r="BT8" s="1202"/>
      <c r="BU8" s="1202"/>
      <c r="BV8" s="1202"/>
      <c r="BW8" s="1202"/>
      <c r="BX8" s="1202"/>
      <c r="BY8" s="1202"/>
      <c r="BZ8" s="1202"/>
      <c r="CA8" s="1202"/>
      <c r="CB8" s="1202"/>
      <c r="CC8" s="1202"/>
      <c r="CD8" s="1202"/>
      <c r="CE8" s="1202"/>
      <c r="CF8" s="1202"/>
      <c r="CG8" s="1202"/>
      <c r="CH8" s="1202"/>
      <c r="CI8" s="1202"/>
      <c r="CJ8" s="1202"/>
      <c r="CK8" s="1202"/>
      <c r="CL8" s="1202"/>
      <c r="CM8" s="1202"/>
      <c r="CN8" s="1202"/>
      <c r="CO8" s="1202"/>
      <c r="CP8" s="1202"/>
      <c r="CQ8" s="1202"/>
      <c r="CR8" s="1202"/>
      <c r="CS8" s="1202"/>
      <c r="CT8" s="1202"/>
      <c r="CU8" s="1202"/>
      <c r="CV8" s="1202"/>
      <c r="CW8" s="1202"/>
      <c r="CX8" s="1202"/>
      <c r="CY8" s="1202"/>
      <c r="CZ8" s="1202"/>
      <c r="DA8" s="1202"/>
      <c r="DB8" s="1202"/>
      <c r="DC8" s="1202"/>
      <c r="DD8" s="1202"/>
      <c r="DE8" s="1202"/>
      <c r="DF8" s="1202"/>
      <c r="DG8" s="1202"/>
      <c r="DH8" s="1202"/>
      <c r="DI8" s="1202"/>
      <c r="DJ8" s="1202"/>
      <c r="DK8" s="1202"/>
      <c r="DL8" s="1202"/>
      <c r="DM8" s="1202"/>
      <c r="DN8" s="1202"/>
      <c r="DO8" s="1202"/>
      <c r="DP8" s="1202"/>
      <c r="DQ8" s="1202"/>
      <c r="DR8" s="1202"/>
      <c r="DS8" s="1202"/>
      <c r="DT8" s="1202"/>
      <c r="DU8" s="1202"/>
      <c r="DV8" s="1202"/>
      <c r="DW8" s="1202"/>
      <c r="DX8" s="1202"/>
      <c r="DY8" s="1202"/>
      <c r="DZ8" s="1202"/>
      <c r="EA8" s="1202"/>
      <c r="EB8" s="1202"/>
      <c r="EC8" s="1202"/>
      <c r="ED8" s="1202"/>
      <c r="EE8" s="1202"/>
      <c r="EF8" s="1202"/>
      <c r="EG8" s="1202"/>
      <c r="EH8" s="1202"/>
      <c r="EI8" s="1202"/>
      <c r="EJ8" s="1202"/>
      <c r="EK8" s="1202"/>
      <c r="EL8" s="1202"/>
      <c r="EM8" s="1202"/>
      <c r="EN8" s="1202"/>
      <c r="EO8" s="1202"/>
      <c r="EP8" s="1202"/>
      <c r="EQ8" s="1202"/>
      <c r="ER8" s="1202"/>
      <c r="ES8" s="1202"/>
      <c r="ET8" s="1202"/>
      <c r="EU8" s="1202"/>
      <c r="EV8" s="1202"/>
      <c r="EW8" s="1202"/>
      <c r="EX8" s="1202"/>
      <c r="EY8" s="1202"/>
      <c r="EZ8" s="1202"/>
      <c r="FA8" s="1202"/>
      <c r="FB8" s="1202"/>
      <c r="FC8" s="1202"/>
      <c r="FD8" s="1202"/>
      <c r="FE8" s="1202"/>
      <c r="FF8" s="1202"/>
      <c r="FG8" s="1202"/>
      <c r="FH8" s="1202"/>
      <c r="FI8" s="1202"/>
      <c r="FJ8" s="1202"/>
      <c r="FK8" s="1202"/>
      <c r="FL8" s="1202"/>
      <c r="FM8" s="1202"/>
      <c r="FN8" s="1202"/>
      <c r="FO8" s="1202"/>
      <c r="FP8" s="1202"/>
      <c r="FQ8" s="1202"/>
      <c r="FR8" s="1202"/>
      <c r="FS8" s="1202"/>
      <c r="FT8" s="1202"/>
      <c r="FU8" s="1202"/>
      <c r="FV8" s="1202"/>
      <c r="FW8" s="1202"/>
      <c r="FX8" s="1202"/>
      <c r="FY8" s="1202"/>
      <c r="FZ8" s="1202"/>
      <c r="GA8" s="1202"/>
      <c r="GB8" s="1202"/>
      <c r="GC8" s="1202"/>
      <c r="GD8" s="1202"/>
      <c r="GE8" s="1202"/>
      <c r="GF8" s="1202"/>
      <c r="GG8" s="1202"/>
      <c r="GH8" s="1202"/>
      <c r="GI8" s="1202"/>
      <c r="GJ8" s="1202"/>
      <c r="GK8" s="1202"/>
      <c r="GL8" s="1202"/>
      <c r="GM8" s="1202"/>
      <c r="GN8" s="1202"/>
      <c r="GO8" s="1202"/>
      <c r="GP8" s="1202"/>
      <c r="GQ8" s="1202"/>
      <c r="GR8" s="1202"/>
      <c r="GS8" s="1202"/>
      <c r="GT8" s="1202"/>
      <c r="GU8" s="1202"/>
      <c r="GV8" s="1202"/>
      <c r="GW8" s="1202"/>
      <c r="GX8" s="1202"/>
      <c r="GY8" s="1202"/>
      <c r="GZ8" s="1202"/>
      <c r="HA8" s="1202"/>
      <c r="HB8" s="1202"/>
      <c r="HC8" s="1202"/>
      <c r="HD8" s="1202"/>
      <c r="HE8" s="1202"/>
      <c r="HF8" s="1202"/>
      <c r="HG8" s="1202"/>
      <c r="HH8" s="1202"/>
      <c r="HI8" s="1202"/>
      <c r="HJ8" s="1202"/>
      <c r="HK8" s="1202"/>
      <c r="HL8" s="1202"/>
      <c r="HM8" s="1202"/>
      <c r="HN8" s="1202"/>
      <c r="HO8" s="1202"/>
      <c r="HP8" s="1202"/>
      <c r="HQ8" s="1202"/>
      <c r="HR8" s="1202"/>
      <c r="HS8" s="1202"/>
      <c r="HT8" s="1202"/>
      <c r="HU8" s="1202"/>
      <c r="HV8" s="1202"/>
      <c r="HW8" s="1202"/>
      <c r="HX8" s="1202"/>
      <c r="HY8" s="1202"/>
      <c r="HZ8" s="1202"/>
      <c r="IA8" s="1202"/>
      <c r="IB8" s="1202"/>
      <c r="IC8" s="1202"/>
      <c r="ID8" s="1202"/>
      <c r="IE8" s="1202"/>
      <c r="IF8" s="1202"/>
      <c r="IG8" s="1202"/>
      <c r="IH8" s="1202"/>
      <c r="II8" s="1202"/>
      <c r="IJ8" s="1202"/>
      <c r="IK8" s="1202"/>
      <c r="IL8" s="1202"/>
      <c r="IM8" s="1202"/>
      <c r="IN8" s="1202"/>
      <c r="IO8" s="1202"/>
      <c r="IP8" s="1202"/>
      <c r="IQ8" s="1202"/>
      <c r="IR8" s="1202"/>
      <c r="IS8" s="1202"/>
      <c r="IT8" s="1202"/>
      <c r="IU8" s="1202"/>
      <c r="IV8" s="1202"/>
      <c r="IW8" s="1202"/>
      <c r="IX8" s="1202"/>
      <c r="IY8" s="1202"/>
      <c r="IZ8" s="1202"/>
      <c r="JA8" s="1202"/>
      <c r="JB8" s="1202"/>
      <c r="JC8" s="1202"/>
      <c r="JD8" s="1202"/>
      <c r="JE8" s="1202"/>
      <c r="JF8" s="1202"/>
      <c r="JG8" s="1202"/>
      <c r="JH8" s="1202"/>
      <c r="JI8" s="1202"/>
      <c r="JJ8" s="1202"/>
      <c r="JK8" s="1202"/>
      <c r="JL8" s="1202"/>
      <c r="JM8" s="1202"/>
      <c r="JN8" s="1202"/>
      <c r="JO8" s="1202"/>
      <c r="JP8" s="1202"/>
      <c r="JQ8" s="1202"/>
      <c r="JR8" s="1202"/>
      <c r="JS8" s="1202"/>
      <c r="JT8" s="1202"/>
      <c r="JU8" s="1202"/>
      <c r="JV8" s="1202"/>
      <c r="JW8" s="1202"/>
      <c r="JX8" s="1202"/>
      <c r="JY8" s="1202"/>
      <c r="JZ8" s="1202"/>
      <c r="KA8" s="1202"/>
      <c r="KB8" s="1202"/>
      <c r="KC8" s="1202"/>
      <c r="KD8" s="1202"/>
      <c r="KE8" s="1202"/>
      <c r="KF8" s="1202"/>
      <c r="KG8" s="1202"/>
      <c r="KH8" s="1202"/>
      <c r="KI8" s="1202"/>
      <c r="KJ8" s="1202"/>
      <c r="KK8" s="1202"/>
      <c r="KL8" s="1202"/>
      <c r="KM8" s="1202"/>
      <c r="KN8" s="1202"/>
      <c r="KO8" s="1202"/>
      <c r="KP8" s="1202"/>
      <c r="KQ8" s="1202"/>
      <c r="KR8" s="1202"/>
      <c r="KS8" s="1202"/>
      <c r="KT8" s="1202"/>
      <c r="KU8" s="1202"/>
      <c r="KV8" s="1202"/>
      <c r="KW8" s="1202"/>
      <c r="KX8" s="1202"/>
      <c r="KY8" s="1202"/>
      <c r="KZ8" s="1202"/>
      <c r="LA8" s="1202"/>
      <c r="LB8" s="1202"/>
      <c r="LC8" s="1202"/>
      <c r="LD8" s="1202"/>
      <c r="LE8" s="1202"/>
      <c r="LF8" s="1202"/>
      <c r="LG8" s="1202"/>
      <c r="LH8" s="1202"/>
      <c r="LI8" s="1202"/>
      <c r="LJ8" s="1202"/>
      <c r="LK8" s="1202"/>
      <c r="LL8" s="1202"/>
      <c r="LM8" s="1202"/>
      <c r="LN8" s="1202"/>
      <c r="LO8" s="1202"/>
      <c r="LP8" s="1202"/>
      <c r="LQ8" s="1202"/>
      <c r="LR8" s="1202"/>
      <c r="LS8" s="1202"/>
      <c r="LT8" s="1202"/>
      <c r="LU8" s="1202"/>
      <c r="LV8" s="1202"/>
      <c r="LW8" s="1202"/>
      <c r="LX8" s="1202"/>
      <c r="LY8" s="1202"/>
      <c r="LZ8" s="1202"/>
      <c r="MA8" s="1202"/>
      <c r="MB8" s="1202"/>
      <c r="MC8" s="1202"/>
      <c r="MD8" s="1202"/>
      <c r="ME8" s="1202"/>
      <c r="MF8" s="1202"/>
      <c r="MG8" s="1202"/>
      <c r="MH8" s="1202"/>
      <c r="MI8" s="1202"/>
      <c r="MJ8" s="1202"/>
      <c r="MK8" s="1202"/>
      <c r="ML8" s="1202"/>
      <c r="MM8" s="1202"/>
      <c r="MN8" s="1202"/>
      <c r="MO8" s="1202"/>
      <c r="MP8" s="1202"/>
      <c r="MQ8" s="1202"/>
      <c r="MR8" s="1202"/>
      <c r="MS8" s="1202"/>
      <c r="MT8" s="1202"/>
      <c r="MU8" s="1202"/>
      <c r="MV8" s="1202"/>
      <c r="MW8" s="1202"/>
      <c r="MX8" s="1202"/>
      <c r="MY8" s="1202"/>
      <c r="MZ8" s="1202"/>
      <c r="NA8" s="1202"/>
      <c r="NB8" s="1202"/>
      <c r="NC8" s="1202"/>
      <c r="ND8" s="1202"/>
      <c r="NE8" s="1202"/>
      <c r="NF8" s="1202"/>
      <c r="NG8" s="1202"/>
      <c r="NH8" s="1202"/>
      <c r="NI8" s="1202"/>
      <c r="NJ8" s="1202"/>
      <c r="NK8" s="1202"/>
      <c r="NL8" s="1202"/>
      <c r="NM8" s="1202"/>
      <c r="NN8" s="1202"/>
      <c r="NO8" s="1202"/>
      <c r="NP8" s="1202"/>
      <c r="NQ8" s="1202"/>
      <c r="NR8" s="1202"/>
      <c r="NS8" s="1202"/>
      <c r="NT8" s="1202"/>
      <c r="NU8" s="1202"/>
      <c r="NV8" s="1202"/>
      <c r="NW8" s="1202"/>
      <c r="NX8" s="1202"/>
      <c r="NY8" s="1202"/>
      <c r="NZ8" s="1202"/>
      <c r="OA8" s="1202"/>
      <c r="OB8" s="1202"/>
      <c r="OC8" s="1202"/>
      <c r="OD8" s="1202"/>
      <c r="OE8" s="1202"/>
      <c r="OF8" s="1202"/>
      <c r="OG8" s="1202"/>
      <c r="OH8" s="1202"/>
      <c r="OI8" s="1202"/>
      <c r="OJ8" s="1202"/>
      <c r="OK8" s="1202"/>
      <c r="OL8" s="1202"/>
      <c r="OM8" s="1202"/>
      <c r="ON8" s="1202"/>
      <c r="OO8" s="1202"/>
      <c r="OP8" s="1202"/>
      <c r="OQ8" s="1202"/>
      <c r="OR8" s="1202"/>
      <c r="OS8" s="1202"/>
      <c r="OT8" s="1202"/>
      <c r="OU8" s="1202"/>
      <c r="OV8" s="1202"/>
      <c r="OW8" s="1202"/>
      <c r="OX8" s="1202"/>
      <c r="OY8" s="1202"/>
      <c r="OZ8" s="1202"/>
      <c r="PA8" s="1202"/>
      <c r="PB8" s="1202"/>
      <c r="PC8" s="1202"/>
      <c r="PD8" s="1202"/>
      <c r="PE8" s="1202"/>
      <c r="PF8" s="1202"/>
      <c r="PG8" s="1202"/>
      <c r="PH8" s="1202"/>
      <c r="PI8" s="1202"/>
      <c r="PJ8" s="1202"/>
      <c r="PK8" s="1202"/>
      <c r="PL8" s="1202"/>
      <c r="PM8" s="1202"/>
      <c r="PN8" s="1202"/>
      <c r="PO8" s="1202"/>
      <c r="PP8" s="1202"/>
      <c r="PQ8" s="1202"/>
      <c r="PR8" s="1202"/>
      <c r="PS8" s="1202"/>
      <c r="PT8" s="1202"/>
      <c r="PU8" s="1202"/>
      <c r="PV8" s="1202"/>
      <c r="PW8" s="1202"/>
      <c r="PX8" s="1202"/>
      <c r="PY8" s="1202"/>
      <c r="PZ8" s="1202"/>
      <c r="QA8" s="1202"/>
      <c r="QB8" s="1202"/>
      <c r="QC8" s="1202"/>
      <c r="QD8" s="1202"/>
      <c r="QE8" s="1202"/>
      <c r="QF8" s="1202"/>
      <c r="QG8" s="1202"/>
      <c r="QH8" s="1202"/>
      <c r="QI8" s="1202"/>
      <c r="QJ8" s="1202"/>
      <c r="QK8" s="1202"/>
      <c r="QL8" s="1202"/>
      <c r="QM8" s="1202"/>
      <c r="QN8" s="1202"/>
      <c r="QO8" s="1202"/>
      <c r="QP8" s="1202"/>
      <c r="QQ8" s="1202"/>
      <c r="QR8" s="1202"/>
      <c r="QS8" s="1202"/>
      <c r="QT8" s="1202"/>
      <c r="QU8" s="1202"/>
      <c r="QV8" s="1202"/>
      <c r="QW8" s="1202"/>
      <c r="QX8" s="1202"/>
      <c r="QY8" s="1202"/>
      <c r="QZ8" s="1202"/>
      <c r="RA8" s="1202"/>
      <c r="RB8" s="1202"/>
      <c r="RC8" s="1202"/>
      <c r="RD8" s="1202"/>
      <c r="RE8" s="1202"/>
      <c r="RF8" s="1202"/>
      <c r="RG8" s="1202"/>
      <c r="RH8" s="1202"/>
      <c r="RI8" s="1202"/>
      <c r="RJ8" s="1202"/>
      <c r="RK8" s="1202"/>
      <c r="RL8" s="1202"/>
      <c r="RM8" s="1202"/>
      <c r="RN8" s="1202"/>
      <c r="RO8" s="1202"/>
      <c r="RP8" s="1202"/>
      <c r="RQ8" s="1202"/>
      <c r="RR8" s="1202"/>
      <c r="RS8" s="1202"/>
      <c r="RT8" s="1202"/>
      <c r="RU8" s="1202"/>
      <c r="RV8" s="1202"/>
      <c r="RW8" s="1202"/>
      <c r="RX8" s="1202"/>
      <c r="RY8" s="1202"/>
      <c r="RZ8" s="1202"/>
      <c r="SA8" s="1202"/>
      <c r="SB8" s="1202"/>
      <c r="SC8" s="1202"/>
      <c r="SD8" s="1202"/>
      <c r="SE8" s="1202"/>
      <c r="SF8" s="1202"/>
      <c r="SG8" s="1202"/>
      <c r="SH8" s="1202"/>
      <c r="SI8" s="1202"/>
      <c r="SJ8" s="1202"/>
      <c r="SK8" s="1202"/>
      <c r="SL8" s="1202"/>
      <c r="SM8" s="1202"/>
      <c r="SN8" s="1202"/>
      <c r="SO8" s="1202"/>
      <c r="SP8" s="1202"/>
      <c r="SQ8" s="1202"/>
      <c r="SR8" s="1202"/>
      <c r="SS8" s="1202"/>
      <c r="ST8" s="1202"/>
      <c r="SU8" s="1202"/>
      <c r="SV8" s="1202"/>
      <c r="SW8" s="1202"/>
      <c r="SX8" s="1202"/>
      <c r="SY8" s="1202"/>
      <c r="SZ8" s="1202"/>
      <c r="TA8" s="1202"/>
      <c r="TB8" s="1202"/>
      <c r="TC8" s="1202"/>
      <c r="TD8" s="1202"/>
      <c r="TE8" s="1202"/>
      <c r="TF8" s="1202"/>
      <c r="TG8" s="1202"/>
      <c r="TH8" s="1202"/>
      <c r="TI8" s="1202"/>
      <c r="TJ8" s="1202"/>
      <c r="TK8" s="1202"/>
      <c r="TL8" s="1202"/>
      <c r="TM8" s="1202"/>
      <c r="TN8" s="1202"/>
      <c r="TO8" s="1202"/>
      <c r="TP8" s="1202"/>
      <c r="TQ8" s="1202"/>
      <c r="TR8" s="1202"/>
      <c r="TS8" s="1202"/>
      <c r="TT8" s="1202"/>
      <c r="TU8" s="1202"/>
      <c r="TV8" s="1202"/>
      <c r="TW8" s="1202"/>
      <c r="TX8" s="1202"/>
      <c r="TY8" s="1202"/>
      <c r="TZ8" s="1202"/>
      <c r="UA8" s="1202"/>
      <c r="UB8" s="1202"/>
      <c r="UC8" s="1202"/>
      <c r="UD8" s="1202"/>
      <c r="UE8" s="1202"/>
      <c r="UF8" s="1202"/>
      <c r="UG8" s="1202"/>
      <c r="UH8" s="1202"/>
      <c r="UI8" s="1202"/>
      <c r="UJ8" s="1202"/>
      <c r="UK8" s="1202"/>
      <c r="UL8" s="1202"/>
      <c r="UM8" s="1202"/>
      <c r="UN8" s="1202"/>
      <c r="UO8" s="1202"/>
      <c r="UP8" s="1202"/>
      <c r="UQ8" s="1202"/>
      <c r="UR8" s="1202"/>
      <c r="US8" s="1202"/>
      <c r="UT8" s="1202"/>
      <c r="UU8" s="1202"/>
      <c r="UV8" s="1202"/>
      <c r="UW8" s="1202"/>
      <c r="UX8" s="1202"/>
      <c r="UY8" s="1202"/>
      <c r="UZ8" s="1202"/>
      <c r="VA8" s="1202"/>
      <c r="VB8" s="1202"/>
      <c r="VC8" s="1202"/>
      <c r="VD8" s="1202"/>
      <c r="VE8" s="1202"/>
      <c r="VF8" s="1202"/>
      <c r="VG8" s="1202"/>
      <c r="VH8" s="1202"/>
      <c r="VI8" s="1202"/>
      <c r="VJ8" s="1202"/>
      <c r="VK8" s="1202"/>
      <c r="VL8" s="1202"/>
      <c r="VM8" s="1202"/>
      <c r="VN8" s="1202"/>
      <c r="VO8" s="1202"/>
      <c r="VP8" s="1202"/>
      <c r="VQ8" s="1202"/>
      <c r="VR8" s="1202"/>
      <c r="VS8" s="1202"/>
      <c r="VT8" s="1202"/>
      <c r="VU8" s="1202"/>
      <c r="VV8" s="1202"/>
      <c r="VW8" s="1202"/>
      <c r="VX8" s="1202"/>
      <c r="VY8" s="1202"/>
      <c r="VZ8" s="1202"/>
      <c r="WA8" s="1202"/>
      <c r="WB8" s="1202"/>
      <c r="WC8" s="1202"/>
      <c r="WD8" s="1202"/>
      <c r="WE8" s="1202"/>
      <c r="WF8" s="1202"/>
      <c r="WG8" s="1202"/>
      <c r="WH8" s="1202"/>
      <c r="WI8" s="1202"/>
      <c r="WJ8" s="1202"/>
      <c r="WK8" s="1202"/>
      <c r="WL8" s="1202"/>
      <c r="WM8" s="1202"/>
      <c r="WN8" s="1202"/>
      <c r="WO8" s="1202"/>
      <c r="WP8" s="1202"/>
      <c r="WQ8" s="1202"/>
      <c r="WR8" s="1202"/>
      <c r="WS8" s="1202"/>
      <c r="WT8" s="1202"/>
      <c r="WU8" s="1202"/>
      <c r="WV8" s="1202"/>
      <c r="WW8" s="1202"/>
      <c r="WX8" s="1202"/>
      <c r="WY8" s="1202"/>
      <c r="WZ8" s="1202"/>
      <c r="XA8" s="1202"/>
      <c r="XB8" s="1202"/>
      <c r="XC8" s="1202"/>
      <c r="XD8" s="1202"/>
      <c r="XE8" s="1202"/>
      <c r="XF8" s="1202"/>
      <c r="XG8" s="1202"/>
      <c r="XH8" s="1202"/>
      <c r="XI8" s="1202"/>
      <c r="XJ8" s="1202"/>
      <c r="XK8" s="1202"/>
      <c r="XL8" s="1202"/>
      <c r="XM8" s="1202"/>
      <c r="XN8" s="1202"/>
      <c r="XO8" s="1202"/>
      <c r="XP8" s="1202"/>
      <c r="XQ8" s="1202"/>
      <c r="XR8" s="1202"/>
      <c r="XS8" s="1202"/>
      <c r="XT8" s="1202"/>
      <c r="XU8" s="1202"/>
      <c r="XV8" s="1202"/>
      <c r="XW8" s="1202"/>
      <c r="XX8" s="1202"/>
      <c r="XY8" s="1202"/>
      <c r="XZ8" s="1202"/>
      <c r="YA8" s="1202"/>
      <c r="YB8" s="1202"/>
      <c r="YC8" s="1202"/>
      <c r="YD8" s="1202"/>
      <c r="YE8" s="1202"/>
      <c r="YF8" s="1202"/>
      <c r="YG8" s="1202"/>
      <c r="YH8" s="1202"/>
      <c r="YI8" s="1202"/>
      <c r="YJ8" s="1202"/>
      <c r="YK8" s="1202"/>
      <c r="YL8" s="1202"/>
      <c r="YM8" s="1202"/>
      <c r="YN8" s="1202"/>
      <c r="YO8" s="1202"/>
      <c r="YP8" s="1202"/>
      <c r="YQ8" s="1202"/>
      <c r="YR8" s="1202"/>
      <c r="YS8" s="1202"/>
      <c r="YT8" s="1202"/>
      <c r="YU8" s="1202"/>
      <c r="YV8" s="1202"/>
      <c r="YW8" s="1202"/>
      <c r="YX8" s="1202"/>
      <c r="YY8" s="1202"/>
      <c r="YZ8" s="1202"/>
      <c r="ZA8" s="1202"/>
      <c r="ZB8" s="1202"/>
      <c r="ZC8" s="1202"/>
      <c r="ZD8" s="1202"/>
      <c r="ZE8" s="1202"/>
      <c r="ZF8" s="1202"/>
      <c r="ZG8" s="1202"/>
      <c r="ZH8" s="1202"/>
      <c r="ZI8" s="1202"/>
      <c r="ZJ8" s="1202"/>
      <c r="ZK8" s="1202"/>
      <c r="ZL8" s="1202"/>
      <c r="ZM8" s="1202"/>
      <c r="ZN8" s="1202"/>
      <c r="ZO8" s="1202"/>
      <c r="ZP8" s="1202"/>
      <c r="ZQ8" s="1202"/>
      <c r="ZR8" s="1202"/>
      <c r="ZS8" s="1202"/>
      <c r="ZT8" s="1202"/>
      <c r="ZU8" s="1202"/>
      <c r="ZV8" s="1202"/>
      <c r="ZW8" s="1202"/>
      <c r="ZX8" s="1202"/>
      <c r="ZY8" s="1202"/>
      <c r="ZZ8" s="1202"/>
      <c r="AAA8" s="1202"/>
      <c r="AAB8" s="1202"/>
      <c r="AAC8" s="1202"/>
      <c r="AAD8" s="1202"/>
      <c r="AAE8" s="1202"/>
      <c r="AAF8" s="1202"/>
      <c r="AAG8" s="1202"/>
      <c r="AAH8" s="1202"/>
      <c r="AAI8" s="1202"/>
      <c r="AAJ8" s="1202"/>
      <c r="AAK8" s="1202"/>
      <c r="AAL8" s="1202"/>
      <c r="AAM8" s="1202"/>
      <c r="AAN8" s="1202"/>
      <c r="AAO8" s="1202"/>
      <c r="AAP8" s="1202"/>
      <c r="AAQ8" s="1202"/>
      <c r="AAR8" s="1202"/>
      <c r="AAS8" s="1202"/>
      <c r="AAT8" s="1202"/>
      <c r="AAU8" s="1202"/>
      <c r="AAV8" s="1202"/>
      <c r="AAW8" s="1202"/>
      <c r="AAX8" s="1202"/>
      <c r="AAY8" s="1202"/>
      <c r="AAZ8" s="1202"/>
      <c r="ABA8" s="1202"/>
      <c r="ABB8" s="1202"/>
      <c r="ABC8" s="1202"/>
      <c r="ABD8" s="1202"/>
      <c r="ABE8" s="1202"/>
      <c r="ABF8" s="1202"/>
      <c r="ABG8" s="1202"/>
      <c r="ABH8" s="1202"/>
      <c r="ABI8" s="1202"/>
      <c r="ABJ8" s="1202"/>
      <c r="ABK8" s="1202"/>
      <c r="ABL8" s="1202"/>
      <c r="ABM8" s="1202"/>
      <c r="ABN8" s="1202"/>
      <c r="ABO8" s="1202"/>
      <c r="ABP8" s="1202"/>
      <c r="ABQ8" s="1202"/>
      <c r="ABR8" s="1202"/>
      <c r="ABS8" s="1202"/>
      <c r="ABT8" s="1202"/>
      <c r="ABU8" s="1202"/>
      <c r="ABV8" s="1202"/>
      <c r="ABW8" s="1202"/>
      <c r="ABX8" s="1202"/>
      <c r="ABY8" s="1202"/>
      <c r="ABZ8" s="1202"/>
      <c r="ACA8" s="1202"/>
      <c r="ACB8" s="1202"/>
      <c r="ACC8" s="1202"/>
      <c r="ACD8" s="1202"/>
      <c r="ACE8" s="1202"/>
      <c r="ACF8" s="1202"/>
      <c r="ACG8" s="1202"/>
      <c r="ACH8" s="1202"/>
      <c r="ACI8" s="1202"/>
      <c r="ACJ8" s="1202"/>
      <c r="ACK8" s="1202"/>
      <c r="ACL8" s="1202"/>
      <c r="ACM8" s="1202"/>
      <c r="ACN8" s="1202"/>
      <c r="ACO8" s="1202"/>
      <c r="ACP8" s="1202"/>
      <c r="ACQ8" s="1202"/>
      <c r="ACR8" s="1202"/>
      <c r="ACS8" s="1202"/>
      <c r="ACT8" s="1202"/>
      <c r="ACU8" s="1202"/>
      <c r="ACV8" s="1202"/>
      <c r="ACW8" s="1202"/>
      <c r="ACX8" s="1202"/>
      <c r="ACY8" s="1202"/>
      <c r="ACZ8" s="1202"/>
      <c r="ADA8" s="1202"/>
      <c r="ADB8" s="1202"/>
      <c r="ADC8" s="1202"/>
      <c r="ADD8" s="1202"/>
      <c r="ADE8" s="1202"/>
      <c r="ADF8" s="1202"/>
      <c r="ADG8" s="1202"/>
      <c r="ADH8" s="1202"/>
      <c r="ADI8" s="1202"/>
      <c r="ADJ8" s="1202"/>
      <c r="ADK8" s="1202"/>
      <c r="ADL8" s="1202"/>
      <c r="ADM8" s="1202"/>
      <c r="ADN8" s="1202"/>
      <c r="ADO8" s="1202"/>
      <c r="ADP8" s="1202"/>
      <c r="ADQ8" s="1202"/>
      <c r="ADR8" s="1202"/>
      <c r="ADS8" s="1202"/>
      <c r="ADT8" s="1202"/>
      <c r="ADU8" s="1202"/>
      <c r="ADV8" s="1202"/>
      <c r="ADW8" s="1202"/>
      <c r="ADX8" s="1202"/>
      <c r="ADY8" s="1202"/>
      <c r="ADZ8" s="1202"/>
      <c r="AEA8" s="1202"/>
      <c r="AEB8" s="1202"/>
      <c r="AEC8" s="1202"/>
      <c r="AED8" s="1202"/>
      <c r="AEE8" s="1202"/>
      <c r="AEF8" s="1202"/>
      <c r="AEG8" s="1202"/>
      <c r="AEH8" s="1202"/>
      <c r="AEI8" s="1202"/>
      <c r="AEJ8" s="1202"/>
      <c r="AEK8" s="1202"/>
      <c r="AEL8" s="1202"/>
      <c r="AEM8" s="1202"/>
      <c r="AEN8" s="1202"/>
      <c r="AEO8" s="1202"/>
      <c r="AEP8" s="1202"/>
      <c r="AEQ8" s="1202"/>
      <c r="AER8" s="1202"/>
      <c r="AES8" s="1202"/>
      <c r="AET8" s="1202"/>
      <c r="AEU8" s="1202"/>
      <c r="AEV8" s="1202"/>
      <c r="AEW8" s="1202"/>
      <c r="AEX8" s="1202"/>
      <c r="AEY8" s="1202"/>
      <c r="AEZ8" s="1202"/>
      <c r="AFA8" s="1202"/>
      <c r="AFB8" s="1202"/>
      <c r="AFC8" s="1202"/>
      <c r="AFD8" s="1202"/>
      <c r="AFE8" s="1202"/>
      <c r="AFF8" s="1202"/>
      <c r="AFG8" s="1202"/>
      <c r="AFH8" s="1202"/>
      <c r="AFI8" s="1202"/>
      <c r="AFJ8" s="1202"/>
      <c r="AFK8" s="1202"/>
      <c r="AFL8" s="1202"/>
      <c r="AFM8" s="1202"/>
      <c r="AFN8" s="1202"/>
      <c r="AFO8" s="1202"/>
      <c r="AFP8" s="1202"/>
      <c r="AFQ8" s="1202"/>
      <c r="AFR8" s="1202"/>
      <c r="AFS8" s="1202"/>
      <c r="AFT8" s="1202"/>
      <c r="AFU8" s="1202"/>
      <c r="AFV8" s="1202"/>
      <c r="AFW8" s="1202"/>
      <c r="AFX8" s="1202"/>
      <c r="AFY8" s="1202"/>
      <c r="AFZ8" s="1202"/>
      <c r="AGA8" s="1202"/>
      <c r="AGB8" s="1202"/>
      <c r="AGC8" s="1202"/>
      <c r="AGD8" s="1202"/>
      <c r="AGE8" s="1202"/>
      <c r="AGF8" s="1202"/>
      <c r="AGG8" s="1202"/>
      <c r="AGH8" s="1202"/>
      <c r="AGI8" s="1202"/>
      <c r="AGJ8" s="1202"/>
      <c r="AGK8" s="1202"/>
      <c r="AGL8" s="1202"/>
      <c r="AGM8" s="1202"/>
      <c r="AGN8" s="1202"/>
      <c r="AGO8" s="1202"/>
      <c r="AGP8" s="1202"/>
      <c r="AGQ8" s="1202"/>
      <c r="AGR8" s="1202"/>
      <c r="AGS8" s="1202"/>
      <c r="AGT8" s="1202"/>
      <c r="AGU8" s="1202"/>
      <c r="AGV8" s="1202"/>
      <c r="AGW8" s="1202"/>
      <c r="AGX8" s="1202"/>
      <c r="AGY8" s="1202"/>
      <c r="AGZ8" s="1202"/>
      <c r="AHA8" s="1202"/>
      <c r="AHB8" s="1202"/>
      <c r="AHC8" s="1202"/>
      <c r="AHD8" s="1202"/>
      <c r="AHE8" s="1202"/>
      <c r="AHF8" s="1202"/>
      <c r="AHG8" s="1202"/>
      <c r="AHH8" s="1202"/>
      <c r="AHI8" s="1202"/>
      <c r="AHJ8" s="1202"/>
      <c r="AHK8" s="1202"/>
      <c r="AHL8" s="1202"/>
      <c r="AHM8" s="1202"/>
      <c r="AHN8" s="1202"/>
      <c r="AHO8" s="1202"/>
      <c r="AHP8" s="1202"/>
      <c r="AHQ8" s="1202"/>
      <c r="AHR8" s="1202"/>
      <c r="AHS8" s="1202"/>
      <c r="AHT8" s="1202"/>
      <c r="AHU8" s="1202"/>
      <c r="AHV8" s="1202"/>
      <c r="AHW8" s="1202"/>
      <c r="AHX8" s="1202"/>
      <c r="AHY8" s="1202"/>
      <c r="AHZ8" s="1202"/>
      <c r="AIA8" s="1202"/>
      <c r="AIB8" s="1202"/>
      <c r="AIC8" s="1202"/>
      <c r="AID8" s="1202"/>
      <c r="AIE8" s="1202"/>
      <c r="AIF8" s="1202"/>
      <c r="AIG8" s="1202"/>
      <c r="AIH8" s="1202"/>
      <c r="AII8" s="1202"/>
      <c r="AIJ8" s="1202"/>
      <c r="AIK8" s="1202"/>
      <c r="AIL8" s="1202"/>
      <c r="AIM8" s="1202"/>
      <c r="AIN8" s="1202"/>
      <c r="AIO8" s="1202"/>
      <c r="AIP8" s="1202"/>
      <c r="AIQ8" s="1202"/>
      <c r="AIR8" s="1202"/>
      <c r="AIS8" s="1202"/>
      <c r="AIT8" s="1202"/>
      <c r="AIU8" s="1202"/>
      <c r="AIV8" s="1202"/>
      <c r="AIW8" s="1202"/>
      <c r="AIX8" s="1202"/>
      <c r="AIY8" s="1202"/>
      <c r="AIZ8" s="1202"/>
      <c r="AJA8" s="1202"/>
      <c r="AJB8" s="1202"/>
      <c r="AJC8" s="1202"/>
      <c r="AJD8" s="1202"/>
      <c r="AJE8" s="1202"/>
      <c r="AJF8" s="1202"/>
      <c r="AJG8" s="1202"/>
      <c r="AJH8" s="1202"/>
      <c r="AJI8" s="1202"/>
      <c r="AJJ8" s="1202"/>
      <c r="AJK8" s="1202"/>
      <c r="AJL8" s="1202"/>
      <c r="AJM8" s="1202"/>
      <c r="AJN8" s="1202"/>
      <c r="AJO8" s="1202"/>
      <c r="AJP8" s="1202"/>
      <c r="AJQ8" s="1202"/>
      <c r="AJR8" s="1202"/>
      <c r="AJS8" s="1202"/>
      <c r="AJT8" s="1202"/>
      <c r="AJU8" s="1202"/>
      <c r="AJV8" s="1202"/>
      <c r="AJW8" s="1202"/>
      <c r="AJX8" s="1202"/>
      <c r="AJY8" s="1202"/>
      <c r="AJZ8" s="1202"/>
      <c r="AKA8" s="1202"/>
      <c r="AKB8" s="1202"/>
      <c r="AKC8" s="1202"/>
      <c r="AKD8" s="1202"/>
      <c r="AKE8" s="1202"/>
      <c r="AKF8" s="1202"/>
      <c r="AKG8" s="1202"/>
      <c r="AKH8" s="1202"/>
      <c r="AKI8" s="1202"/>
      <c r="AKJ8" s="1202"/>
      <c r="AKK8" s="1202"/>
      <c r="AKL8" s="1202"/>
      <c r="AKM8" s="1202"/>
      <c r="AKN8" s="1202"/>
      <c r="AKO8" s="1202"/>
      <c r="AKP8" s="1202"/>
      <c r="AKQ8" s="1202"/>
      <c r="AKR8" s="1202"/>
      <c r="AKS8" s="1202"/>
      <c r="AKT8" s="1202"/>
      <c r="AKU8" s="1202"/>
      <c r="AKV8" s="1202"/>
      <c r="AKW8" s="1202"/>
      <c r="AKX8" s="1202"/>
      <c r="AKY8" s="1202"/>
      <c r="AKZ8" s="1202"/>
      <c r="ALA8" s="1202"/>
      <c r="ALB8" s="1202"/>
      <c r="ALC8" s="1202"/>
      <c r="ALD8" s="1202"/>
      <c r="ALE8" s="1202"/>
      <c r="ALF8" s="1202"/>
      <c r="ALG8" s="1202"/>
      <c r="ALH8" s="1202"/>
      <c r="ALI8" s="1202"/>
      <c r="ALJ8" s="1202"/>
      <c r="ALK8" s="1202"/>
      <c r="ALL8" s="1202"/>
      <c r="ALM8" s="1202"/>
      <c r="ALN8" s="1202"/>
      <c r="ALO8" s="1202"/>
      <c r="ALP8" s="1202"/>
      <c r="ALQ8" s="1202"/>
      <c r="ALR8" s="1202"/>
      <c r="ALS8" s="1202"/>
      <c r="ALT8" s="1202"/>
      <c r="ALU8" s="1202"/>
      <c r="ALV8" s="1202"/>
      <c r="ALW8" s="1202"/>
      <c r="ALX8" s="1202"/>
      <c r="ALY8" s="1202"/>
      <c r="ALZ8" s="1202"/>
      <c r="AMA8" s="1202"/>
      <c r="AMB8" s="1202"/>
      <c r="AMC8" s="1202"/>
      <c r="AMD8" s="1202"/>
      <c r="AME8" s="1202"/>
      <c r="AMF8" s="1202"/>
      <c r="AMG8" s="1202"/>
      <c r="AMH8" s="1202"/>
      <c r="AMI8" s="1202"/>
      <c r="AMJ8" s="1202"/>
      <c r="AMK8" s="1202"/>
      <c r="AML8" s="1202"/>
      <c r="AMM8" s="1202"/>
      <c r="AMN8" s="1202"/>
      <c r="AMO8" s="1202"/>
      <c r="AMP8" s="1202"/>
      <c r="AMQ8" s="1202"/>
      <c r="AMR8" s="1202"/>
      <c r="AMS8" s="1202"/>
      <c r="AMT8" s="1202"/>
      <c r="AMU8" s="1202"/>
      <c r="AMV8" s="1202"/>
      <c r="AMW8" s="1202"/>
      <c r="AMX8" s="1202"/>
      <c r="AMY8" s="1202"/>
      <c r="AMZ8" s="1202"/>
      <c r="ANA8" s="1202"/>
      <c r="ANB8" s="1202"/>
      <c r="ANC8" s="1202"/>
      <c r="AND8" s="1202"/>
      <c r="ANE8" s="1202"/>
      <c r="ANF8" s="1202"/>
      <c r="ANG8" s="1202"/>
      <c r="ANH8" s="1202"/>
      <c r="ANI8" s="1202"/>
      <c r="ANJ8" s="1202"/>
      <c r="ANK8" s="1202"/>
      <c r="ANL8" s="1202"/>
      <c r="ANM8" s="1202"/>
      <c r="ANN8" s="1202"/>
      <c r="ANO8" s="1202"/>
      <c r="ANP8" s="1202"/>
      <c r="ANQ8" s="1202"/>
      <c r="ANR8" s="1202"/>
      <c r="ANS8" s="1202"/>
      <c r="ANT8" s="1202"/>
      <c r="ANU8" s="1202"/>
      <c r="ANV8" s="1202"/>
      <c r="ANW8" s="1202"/>
      <c r="ANX8" s="1202"/>
      <c r="ANY8" s="1202"/>
      <c r="ANZ8" s="1202"/>
      <c r="AOA8" s="1202"/>
      <c r="AOB8" s="1202"/>
      <c r="AOC8" s="1202"/>
      <c r="AOD8" s="1202"/>
      <c r="AOE8" s="1202"/>
      <c r="AOF8" s="1202"/>
      <c r="AOG8" s="1202"/>
      <c r="AOH8" s="1202"/>
      <c r="AOI8" s="1202"/>
      <c r="AOJ8" s="1202"/>
      <c r="AOK8" s="1202"/>
      <c r="AOL8" s="1202"/>
      <c r="AOM8" s="1202"/>
      <c r="AON8" s="1202"/>
      <c r="AOO8" s="1202"/>
      <c r="AOP8" s="1202"/>
      <c r="AOQ8" s="1202"/>
      <c r="AOR8" s="1202"/>
      <c r="AOS8" s="1202"/>
      <c r="AOT8" s="1202"/>
      <c r="AOU8" s="1202"/>
      <c r="AOV8" s="1202"/>
      <c r="AOW8" s="1202"/>
      <c r="AOX8" s="1202"/>
      <c r="AOY8" s="1202"/>
      <c r="AOZ8" s="1202"/>
      <c r="APA8" s="1202"/>
      <c r="APB8" s="1202"/>
      <c r="APC8" s="1202"/>
      <c r="APD8" s="1202"/>
      <c r="APE8" s="1202"/>
      <c r="APF8" s="1202"/>
      <c r="APG8" s="1202"/>
      <c r="APH8" s="1202"/>
      <c r="API8" s="1202"/>
      <c r="APJ8" s="1202"/>
      <c r="APK8" s="1202"/>
      <c r="APL8" s="1202"/>
      <c r="APM8" s="1202"/>
      <c r="APN8" s="1202"/>
      <c r="APO8" s="1202"/>
      <c r="APP8" s="1202"/>
      <c r="APQ8" s="1202"/>
      <c r="APR8" s="1202"/>
      <c r="APS8" s="1202"/>
      <c r="APT8" s="1202"/>
      <c r="APU8" s="1202"/>
      <c r="APV8" s="1202"/>
      <c r="APW8" s="1202"/>
      <c r="APX8" s="1202"/>
      <c r="APY8" s="1202"/>
      <c r="APZ8" s="1202"/>
      <c r="AQA8" s="1202"/>
      <c r="AQB8" s="1202"/>
      <c r="AQC8" s="1202"/>
      <c r="AQD8" s="1202"/>
      <c r="AQE8" s="1202"/>
      <c r="AQF8" s="1202"/>
      <c r="AQG8" s="1202"/>
      <c r="AQH8" s="1202"/>
      <c r="AQI8" s="1202"/>
      <c r="AQJ8" s="1202"/>
      <c r="AQK8" s="1202"/>
      <c r="AQL8" s="1202"/>
      <c r="AQM8" s="1202"/>
      <c r="AQN8" s="1202"/>
      <c r="AQO8" s="1202"/>
      <c r="AQP8" s="1202"/>
      <c r="AQQ8" s="1202"/>
      <c r="AQR8" s="1202"/>
      <c r="AQS8" s="1202"/>
      <c r="AQT8" s="1202"/>
      <c r="AQU8" s="1202"/>
      <c r="AQV8" s="1202"/>
      <c r="AQW8" s="1202"/>
      <c r="AQX8" s="1202"/>
      <c r="AQY8" s="1202"/>
      <c r="AQZ8" s="1202"/>
      <c r="ARA8" s="1202"/>
      <c r="ARB8" s="1202"/>
      <c r="ARC8" s="1202"/>
      <c r="ARD8" s="1202"/>
      <c r="ARE8" s="1202"/>
      <c r="ARF8" s="1202"/>
      <c r="ARG8" s="1202"/>
      <c r="ARH8" s="1202"/>
      <c r="ARI8" s="1202"/>
      <c r="ARJ8" s="1202"/>
      <c r="ARK8" s="1202"/>
      <c r="ARL8" s="1202"/>
      <c r="ARM8" s="1202"/>
      <c r="ARN8" s="1202"/>
      <c r="ARO8" s="1202"/>
      <c r="ARP8" s="1202"/>
      <c r="ARQ8" s="1202"/>
      <c r="ARR8" s="1202"/>
      <c r="ARS8" s="1202"/>
      <c r="ART8" s="1202"/>
      <c r="ARU8" s="1202"/>
      <c r="ARV8" s="1202"/>
      <c r="ARW8" s="1202"/>
      <c r="ARX8" s="1202"/>
      <c r="ARY8" s="1202"/>
      <c r="ARZ8" s="1202"/>
      <c r="ASA8" s="1202"/>
      <c r="ASB8" s="1202"/>
      <c r="ASC8" s="1202"/>
      <c r="ASD8" s="1202"/>
      <c r="ASE8" s="1202"/>
      <c r="ASF8" s="1202"/>
      <c r="ASG8" s="1202"/>
      <c r="ASH8" s="1202"/>
      <c r="ASI8" s="1202"/>
      <c r="ASJ8" s="1202"/>
      <c r="ASK8" s="1202"/>
      <c r="ASL8" s="1202"/>
      <c r="ASM8" s="1202"/>
      <c r="ASN8" s="1202"/>
      <c r="ASO8" s="1202"/>
      <c r="ASP8" s="1202"/>
      <c r="ASQ8" s="1202"/>
      <c r="ASR8" s="1202"/>
      <c r="ASS8" s="1202"/>
      <c r="AST8" s="1202"/>
      <c r="ASU8" s="1202"/>
      <c r="ASV8" s="1202"/>
      <c r="ASW8" s="1202"/>
      <c r="ASX8" s="1202"/>
      <c r="ASY8" s="1202"/>
      <c r="ASZ8" s="1202"/>
      <c r="ATA8" s="1202"/>
      <c r="ATB8" s="1202"/>
      <c r="ATC8" s="1202"/>
      <c r="ATD8" s="1202"/>
      <c r="ATE8" s="1202"/>
      <c r="ATF8" s="1202"/>
      <c r="ATG8" s="1202"/>
      <c r="ATH8" s="1202"/>
      <c r="ATI8" s="1202"/>
      <c r="ATJ8" s="1202"/>
      <c r="ATK8" s="1202"/>
      <c r="ATL8" s="1202"/>
      <c r="ATM8" s="1202"/>
      <c r="ATN8" s="1202"/>
      <c r="ATO8" s="1202"/>
      <c r="ATP8" s="1202"/>
      <c r="ATQ8" s="1202"/>
      <c r="ATR8" s="1202"/>
      <c r="ATS8" s="1202"/>
      <c r="ATT8" s="1202"/>
      <c r="ATU8" s="1202"/>
      <c r="ATV8" s="1202"/>
      <c r="ATW8" s="1202"/>
      <c r="ATX8" s="1202"/>
      <c r="ATY8" s="1202"/>
      <c r="ATZ8" s="1202"/>
      <c r="AUA8" s="1202"/>
      <c r="AUB8" s="1202"/>
      <c r="AUC8" s="1202"/>
      <c r="AUD8" s="1202"/>
      <c r="AUE8" s="1202"/>
      <c r="AUF8" s="1202"/>
      <c r="AUG8" s="1202"/>
      <c r="AUH8" s="1202"/>
      <c r="AUI8" s="1202"/>
      <c r="AUJ8" s="1202"/>
      <c r="AUK8" s="1202"/>
      <c r="AUL8" s="1202"/>
      <c r="AUM8" s="1202"/>
      <c r="AUN8" s="1202"/>
      <c r="AUO8" s="1202"/>
      <c r="AUP8" s="1202"/>
      <c r="AUQ8" s="1202"/>
      <c r="AUR8" s="1202"/>
      <c r="AUS8" s="1202"/>
      <c r="AUT8" s="1202"/>
      <c r="AUU8" s="1202"/>
      <c r="AUV8" s="1202"/>
      <c r="AUW8" s="1202"/>
      <c r="AUX8" s="1202"/>
      <c r="AUY8" s="1202"/>
      <c r="AUZ8" s="1202"/>
      <c r="AVA8" s="1202"/>
      <c r="AVB8" s="1202"/>
      <c r="AVC8" s="1202"/>
      <c r="AVD8" s="1202"/>
      <c r="AVE8" s="1202"/>
      <c r="AVF8" s="1202"/>
      <c r="AVG8" s="1202"/>
      <c r="AVH8" s="1202"/>
      <c r="AVI8" s="1202"/>
      <c r="AVJ8" s="1202"/>
      <c r="AVK8" s="1202"/>
      <c r="AVL8" s="1202"/>
      <c r="AVM8" s="1202"/>
      <c r="AVN8" s="1202"/>
      <c r="AVO8" s="1202"/>
      <c r="AVP8" s="1202"/>
      <c r="AVQ8" s="1202"/>
      <c r="AVR8" s="1202"/>
      <c r="AVS8" s="1202"/>
      <c r="AVT8" s="1202"/>
      <c r="AVU8" s="1202"/>
      <c r="AVV8" s="1202"/>
      <c r="AVW8" s="1202"/>
      <c r="AVX8" s="1202"/>
      <c r="AVY8" s="1202"/>
      <c r="AVZ8" s="1202"/>
      <c r="AWA8" s="1202"/>
      <c r="AWB8" s="1202"/>
      <c r="AWC8" s="1202"/>
      <c r="AWD8" s="1202"/>
      <c r="AWE8" s="1202"/>
      <c r="AWF8" s="1202"/>
      <c r="AWG8" s="1202"/>
      <c r="AWH8" s="1202"/>
      <c r="AWI8" s="1202"/>
      <c r="AWJ8" s="1202"/>
      <c r="AWK8" s="1202"/>
      <c r="AWL8" s="1202"/>
      <c r="AWM8" s="1202"/>
      <c r="AWN8" s="1202"/>
      <c r="AWO8" s="1202"/>
      <c r="AWP8" s="1202"/>
      <c r="AWQ8" s="1202"/>
      <c r="AWR8" s="1202"/>
      <c r="AWS8" s="1202"/>
      <c r="AWT8" s="1202"/>
      <c r="AWU8" s="1202"/>
      <c r="AWV8" s="1202"/>
      <c r="AWW8" s="1202"/>
      <c r="AWX8" s="1202"/>
      <c r="AWY8" s="1202"/>
      <c r="AWZ8" s="1202"/>
      <c r="AXA8" s="1202"/>
      <c r="AXB8" s="1202"/>
      <c r="AXC8" s="1202"/>
      <c r="AXD8" s="1202"/>
      <c r="AXE8" s="1202"/>
      <c r="AXF8" s="1202"/>
      <c r="AXG8" s="1202"/>
      <c r="AXH8" s="1202"/>
      <c r="AXI8" s="1202"/>
      <c r="AXJ8" s="1202"/>
      <c r="AXK8" s="1202"/>
      <c r="AXL8" s="1202"/>
      <c r="AXM8" s="1202"/>
      <c r="AXN8" s="1202"/>
      <c r="AXO8" s="1202"/>
      <c r="AXP8" s="1202"/>
      <c r="AXQ8" s="1202"/>
      <c r="AXR8" s="1202"/>
      <c r="AXS8" s="1202"/>
      <c r="AXT8" s="1202"/>
      <c r="AXU8" s="1202"/>
      <c r="AXV8" s="1202"/>
      <c r="AXW8" s="1202"/>
      <c r="AXX8" s="1202"/>
      <c r="AXY8" s="1202"/>
      <c r="AXZ8" s="1202"/>
      <c r="AYA8" s="1202"/>
      <c r="AYB8" s="1202"/>
      <c r="AYC8" s="1202"/>
      <c r="AYD8" s="1202"/>
      <c r="AYE8" s="1202"/>
      <c r="AYF8" s="1202"/>
      <c r="AYG8" s="1202"/>
      <c r="AYH8" s="1202"/>
      <c r="AYI8" s="1202"/>
      <c r="AYJ8" s="1202"/>
      <c r="AYK8" s="1202"/>
      <c r="AYL8" s="1202"/>
      <c r="AYM8" s="1202"/>
      <c r="AYN8" s="1202"/>
      <c r="AYO8" s="1202"/>
      <c r="AYP8" s="1202"/>
      <c r="AYQ8" s="1202"/>
      <c r="AYR8" s="1202"/>
      <c r="AYS8" s="1202"/>
      <c r="AYT8" s="1202"/>
      <c r="AYU8" s="1202"/>
      <c r="AYV8" s="1202"/>
      <c r="AYW8" s="1202"/>
      <c r="AYX8" s="1202"/>
      <c r="AYY8" s="1202"/>
      <c r="AYZ8" s="1202"/>
      <c r="AZA8" s="1202"/>
      <c r="AZB8" s="1202"/>
      <c r="AZC8" s="1202"/>
      <c r="AZD8" s="1202"/>
      <c r="AZE8" s="1202"/>
      <c r="AZF8" s="1202"/>
      <c r="AZG8" s="1202"/>
      <c r="AZH8" s="1202"/>
      <c r="AZI8" s="1202"/>
      <c r="AZJ8" s="1202"/>
      <c r="AZK8" s="1202"/>
      <c r="AZL8" s="1202"/>
      <c r="AZM8" s="1202"/>
      <c r="AZN8" s="1202"/>
      <c r="AZO8" s="1202"/>
      <c r="AZP8" s="1202"/>
      <c r="AZQ8" s="1202"/>
      <c r="AZR8" s="1202"/>
      <c r="AZS8" s="1202"/>
      <c r="AZT8" s="1202"/>
      <c r="AZU8" s="1202"/>
      <c r="AZV8" s="1202"/>
      <c r="AZW8" s="1202"/>
      <c r="AZX8" s="1202"/>
      <c r="AZY8" s="1202"/>
      <c r="AZZ8" s="1202"/>
      <c r="BAA8" s="1202"/>
      <c r="BAB8" s="1202"/>
      <c r="BAC8" s="1202"/>
      <c r="BAD8" s="1202"/>
      <c r="BAE8" s="1202"/>
      <c r="BAF8" s="1202"/>
      <c r="BAG8" s="1202"/>
      <c r="BAH8" s="1202"/>
      <c r="BAI8" s="1202"/>
      <c r="BAJ8" s="1202"/>
      <c r="BAK8" s="1202"/>
      <c r="BAL8" s="1202"/>
      <c r="BAM8" s="1202"/>
      <c r="BAN8" s="1202"/>
      <c r="BAO8" s="1202"/>
      <c r="BAP8" s="1202"/>
      <c r="BAQ8" s="1202"/>
      <c r="BAR8" s="1202"/>
      <c r="BAS8" s="1202"/>
      <c r="BAT8" s="1202"/>
      <c r="BAU8" s="1202"/>
      <c r="BAV8" s="1202"/>
      <c r="BAW8" s="1202"/>
      <c r="BAX8" s="1202"/>
      <c r="BAY8" s="1202"/>
      <c r="BAZ8" s="1202"/>
      <c r="BBA8" s="1202"/>
      <c r="BBB8" s="1202"/>
      <c r="BBC8" s="1202"/>
      <c r="BBD8" s="1202"/>
      <c r="BBE8" s="1202"/>
      <c r="BBF8" s="1202"/>
      <c r="BBG8" s="1202"/>
      <c r="BBH8" s="1202"/>
      <c r="BBI8" s="1202"/>
      <c r="BBJ8" s="1202"/>
      <c r="BBK8" s="1202"/>
      <c r="BBL8" s="1202"/>
      <c r="BBM8" s="1202"/>
      <c r="BBN8" s="1202"/>
      <c r="BBO8" s="1202"/>
      <c r="BBP8" s="1202"/>
      <c r="BBQ8" s="1202"/>
      <c r="BBR8" s="1202"/>
      <c r="BBS8" s="1202"/>
      <c r="BBT8" s="1202"/>
      <c r="BBU8" s="1202"/>
      <c r="BBV8" s="1202"/>
      <c r="BBW8" s="1202"/>
      <c r="BBX8" s="1202"/>
      <c r="BBY8" s="1202"/>
      <c r="BBZ8" s="1202"/>
      <c r="BCA8" s="1202"/>
      <c r="BCB8" s="1202"/>
      <c r="BCC8" s="1202"/>
      <c r="BCD8" s="1202"/>
      <c r="BCE8" s="1202"/>
      <c r="BCF8" s="1202"/>
      <c r="BCG8" s="1202"/>
      <c r="BCH8" s="1202"/>
      <c r="BCI8" s="1202"/>
      <c r="BCJ8" s="1202"/>
      <c r="BCK8" s="1202"/>
      <c r="BCL8" s="1202"/>
      <c r="BCM8" s="1202"/>
      <c r="BCN8" s="1202"/>
      <c r="BCO8" s="1202"/>
      <c r="BCP8" s="1202"/>
      <c r="BCQ8" s="1202"/>
      <c r="BCR8" s="1202"/>
      <c r="BCS8" s="1202"/>
      <c r="BCT8" s="1202"/>
      <c r="BCU8" s="1202"/>
      <c r="BCV8" s="1202"/>
      <c r="BCW8" s="1202"/>
      <c r="BCX8" s="1202"/>
      <c r="BCY8" s="1202"/>
      <c r="BCZ8" s="1202"/>
      <c r="BDA8" s="1202"/>
      <c r="BDB8" s="1202"/>
      <c r="BDC8" s="1202"/>
      <c r="BDD8" s="1202"/>
      <c r="BDE8" s="1202"/>
      <c r="BDF8" s="1202"/>
      <c r="BDG8" s="1202"/>
      <c r="BDH8" s="1202"/>
      <c r="BDI8" s="1202"/>
      <c r="BDJ8" s="1202"/>
      <c r="BDK8" s="1202"/>
      <c r="BDL8" s="1202"/>
      <c r="BDM8" s="1202"/>
      <c r="BDN8" s="1202"/>
      <c r="BDO8" s="1202"/>
      <c r="BDP8" s="1202"/>
      <c r="BDQ8" s="1202"/>
      <c r="BDR8" s="1202"/>
      <c r="BDS8" s="1202"/>
      <c r="BDT8" s="1202"/>
      <c r="BDU8" s="1202"/>
      <c r="BDV8" s="1202"/>
      <c r="BDW8" s="1202"/>
      <c r="BDX8" s="1202"/>
      <c r="BDY8" s="1202"/>
      <c r="BDZ8" s="1202"/>
      <c r="BEA8" s="1202"/>
      <c r="BEB8" s="1202"/>
      <c r="BEC8" s="1202"/>
      <c r="BED8" s="1202"/>
      <c r="BEE8" s="1202"/>
      <c r="BEF8" s="1202"/>
      <c r="BEG8" s="1202"/>
      <c r="BEH8" s="1202"/>
      <c r="BEI8" s="1202"/>
      <c r="BEJ8" s="1202"/>
      <c r="BEK8" s="1202"/>
      <c r="BEL8" s="1202"/>
      <c r="BEM8" s="1202"/>
      <c r="BEN8" s="1202"/>
      <c r="BEO8" s="1202"/>
      <c r="BEP8" s="1202"/>
      <c r="BEQ8" s="1202"/>
      <c r="BER8" s="1202"/>
      <c r="BES8" s="1202"/>
      <c r="BET8" s="1202"/>
      <c r="BEU8" s="1202"/>
      <c r="BEV8" s="1202"/>
      <c r="BEW8" s="1202"/>
      <c r="BEX8" s="1202"/>
      <c r="BEY8" s="1202"/>
      <c r="BEZ8" s="1202"/>
      <c r="BFA8" s="1202"/>
      <c r="BFB8" s="1202"/>
      <c r="BFC8" s="1202"/>
      <c r="BFD8" s="1202"/>
      <c r="BFE8" s="1202"/>
      <c r="BFF8" s="1202"/>
      <c r="BFG8" s="1202"/>
      <c r="BFH8" s="1202"/>
      <c r="BFI8" s="1202"/>
      <c r="BFJ8" s="1202"/>
      <c r="BFK8" s="1202"/>
      <c r="BFL8" s="1202"/>
      <c r="BFM8" s="1202"/>
      <c r="BFN8" s="1202"/>
      <c r="BFO8" s="1202"/>
      <c r="BFP8" s="1202"/>
      <c r="BFQ8" s="1202"/>
      <c r="BFR8" s="1202"/>
      <c r="BFS8" s="1202"/>
      <c r="BFT8" s="1202"/>
      <c r="BFU8" s="1202"/>
      <c r="BFV8" s="1202"/>
      <c r="BFW8" s="1202"/>
      <c r="BFX8" s="1202"/>
      <c r="BFY8" s="1202"/>
      <c r="BFZ8" s="1202"/>
      <c r="BGA8" s="1202"/>
      <c r="BGB8" s="1202"/>
      <c r="BGC8" s="1202"/>
      <c r="BGD8" s="1202"/>
      <c r="BGE8" s="1202"/>
      <c r="BGF8" s="1202"/>
      <c r="BGG8" s="1202"/>
      <c r="BGH8" s="1202"/>
      <c r="BGI8" s="1202"/>
      <c r="BGJ8" s="1202"/>
      <c r="BGK8" s="1202"/>
      <c r="BGL8" s="1202"/>
      <c r="BGM8" s="1202"/>
      <c r="BGN8" s="1202"/>
      <c r="BGO8" s="1202"/>
      <c r="BGP8" s="1202"/>
      <c r="BGQ8" s="1202"/>
      <c r="BGR8" s="1202"/>
      <c r="BGS8" s="1202"/>
      <c r="BGT8" s="1202"/>
      <c r="BGU8" s="1202"/>
      <c r="BGV8" s="1202"/>
      <c r="BGW8" s="1202"/>
      <c r="BGX8" s="1202"/>
      <c r="BGY8" s="1202"/>
      <c r="BGZ8" s="1202"/>
      <c r="BHA8" s="1202"/>
      <c r="BHB8" s="1202"/>
      <c r="BHC8" s="1202"/>
      <c r="BHD8" s="1202"/>
      <c r="BHE8" s="1202"/>
      <c r="BHF8" s="1202"/>
      <c r="BHG8" s="1202"/>
      <c r="BHH8" s="1202"/>
      <c r="BHI8" s="1202"/>
      <c r="BHJ8" s="1202"/>
      <c r="BHK8" s="1202"/>
      <c r="BHL8" s="1202"/>
      <c r="BHM8" s="1202"/>
      <c r="BHN8" s="1202"/>
      <c r="BHO8" s="1202"/>
      <c r="BHP8" s="1202"/>
      <c r="BHQ8" s="1202"/>
      <c r="BHR8" s="1202"/>
      <c r="BHS8" s="1202"/>
      <c r="BHT8" s="1202"/>
      <c r="BHU8" s="1202"/>
      <c r="BHV8" s="1202"/>
      <c r="BHW8" s="1202"/>
      <c r="BHX8" s="1202"/>
      <c r="BHY8" s="1202"/>
      <c r="BHZ8" s="1202"/>
      <c r="BIA8" s="1202"/>
      <c r="BIB8" s="1202"/>
      <c r="BIC8" s="1202"/>
      <c r="BID8" s="1202"/>
      <c r="BIE8" s="1202"/>
      <c r="BIF8" s="1202"/>
      <c r="BIG8" s="1202"/>
      <c r="BIH8" s="1202"/>
      <c r="BII8" s="1202"/>
      <c r="BIJ8" s="1202"/>
      <c r="BIK8" s="1202"/>
      <c r="BIL8" s="1202"/>
      <c r="BIM8" s="1202"/>
      <c r="BIN8" s="1202"/>
      <c r="BIO8" s="1202"/>
      <c r="BIP8" s="1202"/>
      <c r="BIQ8" s="1202"/>
      <c r="BIR8" s="1202"/>
      <c r="BIS8" s="1202"/>
      <c r="BIT8" s="1202"/>
      <c r="BIU8" s="1202"/>
      <c r="BIV8" s="1202"/>
      <c r="BIW8" s="1202"/>
      <c r="BIX8" s="1202"/>
      <c r="BIY8" s="1202"/>
      <c r="BIZ8" s="1202"/>
      <c r="BJA8" s="1202"/>
      <c r="BJB8" s="1202"/>
      <c r="BJC8" s="1202"/>
      <c r="BJD8" s="1202"/>
      <c r="BJE8" s="1202"/>
      <c r="BJF8" s="1202"/>
      <c r="BJG8" s="1202"/>
      <c r="BJH8" s="1202"/>
      <c r="BJI8" s="1202"/>
      <c r="BJJ8" s="1202"/>
      <c r="BJK8" s="1202"/>
      <c r="BJL8" s="1202"/>
      <c r="BJM8" s="1202"/>
      <c r="BJN8" s="1202"/>
      <c r="BJO8" s="1202"/>
      <c r="BJP8" s="1202"/>
      <c r="BJQ8" s="1202"/>
      <c r="BJR8" s="1202"/>
      <c r="BJS8" s="1202"/>
      <c r="BJT8" s="1202"/>
      <c r="BJU8" s="1202"/>
      <c r="BJV8" s="1202"/>
      <c r="BJW8" s="1202"/>
      <c r="BJX8" s="1202"/>
      <c r="BJY8" s="1202"/>
      <c r="BJZ8" s="1202"/>
      <c r="BKA8" s="1202"/>
      <c r="BKB8" s="1202"/>
      <c r="BKC8" s="1202"/>
      <c r="BKD8" s="1202"/>
      <c r="BKE8" s="1202"/>
      <c r="BKF8" s="1202"/>
      <c r="BKG8" s="1202"/>
      <c r="BKH8" s="1202"/>
      <c r="BKI8" s="1202"/>
      <c r="BKJ8" s="1202"/>
      <c r="BKK8" s="1202"/>
      <c r="BKL8" s="1202"/>
      <c r="BKM8" s="1202"/>
      <c r="BKN8" s="1202"/>
      <c r="BKO8" s="1202"/>
      <c r="BKP8" s="1202"/>
      <c r="BKQ8" s="1202"/>
      <c r="BKR8" s="1202"/>
      <c r="BKS8" s="1202"/>
      <c r="BKT8" s="1202"/>
      <c r="BKU8" s="1202"/>
      <c r="BKV8" s="1202"/>
      <c r="BKW8" s="1202"/>
      <c r="BKX8" s="1202"/>
      <c r="BKY8" s="1202"/>
      <c r="BKZ8" s="1202"/>
      <c r="BLA8" s="1202"/>
      <c r="BLB8" s="1202"/>
      <c r="BLC8" s="1202"/>
      <c r="BLD8" s="1202"/>
      <c r="BLE8" s="1202"/>
      <c r="BLF8" s="1202"/>
      <c r="BLG8" s="1202"/>
      <c r="BLH8" s="1202"/>
      <c r="BLI8" s="1202"/>
      <c r="BLJ8" s="1202"/>
      <c r="BLK8" s="1202"/>
      <c r="BLL8" s="1202"/>
      <c r="BLM8" s="1202"/>
      <c r="BLN8" s="1202"/>
      <c r="BLO8" s="1202"/>
      <c r="BLP8" s="1202"/>
      <c r="BLQ8" s="1202"/>
      <c r="BLR8" s="1202"/>
      <c r="BLS8" s="1202"/>
      <c r="BLT8" s="1202"/>
      <c r="BLU8" s="1202"/>
      <c r="BLV8" s="1202"/>
      <c r="BLW8" s="1202"/>
      <c r="BLX8" s="1202"/>
      <c r="BLY8" s="1202"/>
      <c r="BLZ8" s="1202"/>
      <c r="BMA8" s="1202"/>
      <c r="BMB8" s="1202"/>
      <c r="BMC8" s="1202"/>
      <c r="BMD8" s="1202"/>
      <c r="BME8" s="1202"/>
      <c r="BMF8" s="1202"/>
      <c r="BMG8" s="1202"/>
      <c r="BMH8" s="1202"/>
      <c r="BMI8" s="1202"/>
      <c r="BMJ8" s="1202"/>
      <c r="BMK8" s="1202"/>
      <c r="BML8" s="1202"/>
      <c r="BMM8" s="1202"/>
      <c r="BMN8" s="1202"/>
      <c r="BMO8" s="1202"/>
      <c r="BMP8" s="1202"/>
      <c r="BMQ8" s="1202"/>
      <c r="BMR8" s="1202"/>
      <c r="BMS8" s="1202"/>
      <c r="BMT8" s="1202"/>
      <c r="BMU8" s="1202"/>
      <c r="BMV8" s="1202"/>
      <c r="BMW8" s="1202"/>
      <c r="BMX8" s="1202"/>
      <c r="BMY8" s="1202"/>
      <c r="BMZ8" s="1202"/>
      <c r="BNA8" s="1202"/>
      <c r="BNB8" s="1202"/>
      <c r="BNC8" s="1202"/>
      <c r="BND8" s="1202"/>
      <c r="BNE8" s="1202"/>
      <c r="BNF8" s="1202"/>
      <c r="BNG8" s="1202"/>
      <c r="BNH8" s="1202"/>
      <c r="BNI8" s="1202"/>
      <c r="BNJ8" s="1202"/>
      <c r="BNK8" s="1202"/>
      <c r="BNL8" s="1202"/>
      <c r="BNM8" s="1202"/>
      <c r="BNN8" s="1202"/>
      <c r="BNO8" s="1202"/>
      <c r="BNP8" s="1202"/>
      <c r="BNQ8" s="1202"/>
      <c r="BNR8" s="1202"/>
      <c r="BNS8" s="1202"/>
      <c r="BNT8" s="1202"/>
      <c r="BNU8" s="1202"/>
      <c r="BNV8" s="1202"/>
      <c r="BNW8" s="1202"/>
      <c r="BNX8" s="1202"/>
      <c r="BNY8" s="1202"/>
      <c r="BNZ8" s="1202"/>
      <c r="BOA8" s="1202"/>
      <c r="BOB8" s="1202"/>
      <c r="BOC8" s="1202"/>
      <c r="BOD8" s="1202"/>
      <c r="BOE8" s="1202"/>
      <c r="BOF8" s="1202"/>
      <c r="BOG8" s="1202"/>
      <c r="BOH8" s="1202"/>
      <c r="BOI8" s="1202"/>
      <c r="BOJ8" s="1202"/>
      <c r="BOK8" s="1202"/>
      <c r="BOL8" s="1202"/>
      <c r="BOM8" s="1202"/>
      <c r="BON8" s="1202"/>
      <c r="BOO8" s="1202"/>
      <c r="BOP8" s="1202"/>
      <c r="BOQ8" s="1202"/>
      <c r="BOR8" s="1202"/>
      <c r="BOS8" s="1202"/>
      <c r="BOT8" s="1202"/>
      <c r="BOU8" s="1202"/>
      <c r="BOV8" s="1202"/>
      <c r="BOW8" s="1202"/>
      <c r="BOX8" s="1202"/>
      <c r="BOY8" s="1202"/>
      <c r="BOZ8" s="1202"/>
      <c r="BPA8" s="1202"/>
      <c r="BPB8" s="1202"/>
      <c r="BPC8" s="1202"/>
      <c r="BPD8" s="1202"/>
      <c r="BPE8" s="1202"/>
      <c r="BPF8" s="1202"/>
      <c r="BPG8" s="1202"/>
      <c r="BPH8" s="1202"/>
      <c r="BPI8" s="1202"/>
      <c r="BPJ8" s="1202"/>
      <c r="BPK8" s="1202"/>
      <c r="BPL8" s="1202"/>
      <c r="BPM8" s="1202"/>
      <c r="BPN8" s="1202"/>
      <c r="BPO8" s="1202"/>
      <c r="BPP8" s="1202"/>
      <c r="BPQ8" s="1202"/>
      <c r="BPR8" s="1202"/>
      <c r="BPS8" s="1202"/>
      <c r="BPT8" s="1202"/>
      <c r="BPU8" s="1202"/>
      <c r="BPV8" s="1202"/>
      <c r="BPW8" s="1202"/>
      <c r="BPX8" s="1202"/>
      <c r="BPY8" s="1202"/>
      <c r="BPZ8" s="1202"/>
      <c r="BQA8" s="1202"/>
      <c r="BQB8" s="1202"/>
      <c r="BQC8" s="1202"/>
      <c r="BQD8" s="1202"/>
      <c r="BQE8" s="1202"/>
      <c r="BQF8" s="1202"/>
      <c r="BQG8" s="1202"/>
      <c r="BQH8" s="1202"/>
      <c r="BQI8" s="1202"/>
      <c r="BQJ8" s="1202"/>
      <c r="BQK8" s="1202"/>
      <c r="BQL8" s="1202"/>
      <c r="BQM8" s="1202"/>
      <c r="BQN8" s="1202"/>
      <c r="BQO8" s="1202"/>
      <c r="BQP8" s="1202"/>
      <c r="BQQ8" s="1202"/>
      <c r="BQR8" s="1202"/>
      <c r="BQS8" s="1202"/>
      <c r="BQT8" s="1202"/>
      <c r="BQU8" s="1202"/>
      <c r="BQV8" s="1202"/>
      <c r="BQW8" s="1202"/>
      <c r="BQX8" s="1202"/>
      <c r="BQY8" s="1202"/>
      <c r="BQZ8" s="1202"/>
      <c r="BRA8" s="1202"/>
      <c r="BRB8" s="1202"/>
      <c r="BRC8" s="1202"/>
      <c r="BRD8" s="1202"/>
      <c r="BRE8" s="1202"/>
      <c r="BRF8" s="1202"/>
      <c r="BRG8" s="1202"/>
      <c r="BRH8" s="1202"/>
      <c r="BRI8" s="1202"/>
      <c r="BRJ8" s="1202"/>
      <c r="BRK8" s="1202"/>
      <c r="BRL8" s="1202"/>
      <c r="BRM8" s="1202"/>
      <c r="BRN8" s="1202"/>
      <c r="BRO8" s="1202"/>
      <c r="BRP8" s="1202"/>
      <c r="BRQ8" s="1202"/>
      <c r="BRR8" s="1202"/>
      <c r="BRS8" s="1202"/>
      <c r="BRT8" s="1202"/>
      <c r="BRU8" s="1202"/>
      <c r="BRV8" s="1202"/>
      <c r="BRW8" s="1202"/>
      <c r="BRX8" s="1202"/>
      <c r="BRY8" s="1202"/>
      <c r="BRZ8" s="1202"/>
      <c r="BSA8" s="1202"/>
      <c r="BSB8" s="1202"/>
      <c r="BSC8" s="1202"/>
      <c r="BSD8" s="1202"/>
      <c r="BSE8" s="1202"/>
      <c r="BSF8" s="1202"/>
      <c r="BSG8" s="1202"/>
      <c r="BSH8" s="1202"/>
      <c r="BSI8" s="1202"/>
      <c r="BSJ8" s="1202"/>
      <c r="BSK8" s="1202"/>
      <c r="BSL8" s="1202"/>
      <c r="BSM8" s="1202"/>
      <c r="BSN8" s="1202"/>
      <c r="BSO8" s="1202"/>
      <c r="BSP8" s="1202"/>
      <c r="BSQ8" s="1202"/>
      <c r="BSR8" s="1202"/>
      <c r="BSS8" s="1202"/>
      <c r="BST8" s="1202"/>
      <c r="BSU8" s="1202"/>
      <c r="BSV8" s="1202"/>
      <c r="BSW8" s="1202"/>
      <c r="BSX8" s="1202"/>
      <c r="BSY8" s="1202"/>
      <c r="BSZ8" s="1202"/>
      <c r="BTA8" s="1202"/>
      <c r="BTB8" s="1202"/>
      <c r="BTC8" s="1202"/>
      <c r="BTD8" s="1202"/>
      <c r="BTE8" s="1202"/>
      <c r="BTF8" s="1202"/>
      <c r="BTG8" s="1202"/>
      <c r="BTH8" s="1202"/>
      <c r="BTI8" s="1202"/>
      <c r="BTJ8" s="1202"/>
      <c r="BTK8" s="1202"/>
      <c r="BTL8" s="1202"/>
      <c r="BTM8" s="1202"/>
      <c r="BTN8" s="1202"/>
      <c r="BTO8" s="1202"/>
      <c r="BTP8" s="1202"/>
      <c r="BTQ8" s="1202"/>
      <c r="BTR8" s="1202"/>
      <c r="BTS8" s="1202"/>
      <c r="BTT8" s="1202"/>
      <c r="BTU8" s="1202"/>
      <c r="BTV8" s="1202"/>
      <c r="BTW8" s="1202"/>
      <c r="BTX8" s="1202"/>
      <c r="BTY8" s="1202"/>
      <c r="BTZ8" s="1202"/>
      <c r="BUA8" s="1202"/>
      <c r="BUB8" s="1202"/>
      <c r="BUC8" s="1202"/>
      <c r="BUD8" s="1202"/>
      <c r="BUE8" s="1202"/>
      <c r="BUF8" s="1202"/>
      <c r="BUG8" s="1202"/>
      <c r="BUH8" s="1202"/>
      <c r="BUI8" s="1202"/>
      <c r="BUJ8" s="1202"/>
      <c r="BUK8" s="1202"/>
      <c r="BUL8" s="1202"/>
      <c r="BUM8" s="1202"/>
      <c r="BUN8" s="1202"/>
      <c r="BUO8" s="1202"/>
      <c r="BUP8" s="1202"/>
      <c r="BUQ8" s="1202"/>
      <c r="BUR8" s="1202"/>
      <c r="BUS8" s="1202"/>
      <c r="BUT8" s="1202"/>
      <c r="BUU8" s="1202"/>
      <c r="BUV8" s="1202"/>
      <c r="BUW8" s="1202"/>
      <c r="BUX8" s="1202"/>
      <c r="BUY8" s="1202"/>
      <c r="BUZ8" s="1202"/>
      <c r="BVA8" s="1202"/>
      <c r="BVB8" s="1202"/>
      <c r="BVC8" s="1202"/>
      <c r="BVD8" s="1202"/>
      <c r="BVE8" s="1202"/>
      <c r="BVF8" s="1202"/>
      <c r="BVG8" s="1202"/>
      <c r="BVH8" s="1202"/>
      <c r="BVI8" s="1202"/>
      <c r="BVJ8" s="1202"/>
      <c r="BVK8" s="1202"/>
      <c r="BVL8" s="1202"/>
      <c r="BVM8" s="1202"/>
      <c r="BVN8" s="1202"/>
      <c r="BVO8" s="1202"/>
      <c r="BVP8" s="1202"/>
      <c r="BVQ8" s="1202"/>
      <c r="BVR8" s="1202"/>
      <c r="BVS8" s="1202"/>
      <c r="BVT8" s="1202"/>
      <c r="BVU8" s="1202"/>
      <c r="BVV8" s="1202"/>
      <c r="BVW8" s="1202"/>
      <c r="BVX8" s="1202"/>
      <c r="BVY8" s="1202"/>
      <c r="BVZ8" s="1202"/>
      <c r="BWA8" s="1202"/>
      <c r="BWB8" s="1202"/>
      <c r="BWC8" s="1202"/>
      <c r="BWD8" s="1202"/>
      <c r="BWE8" s="1202"/>
      <c r="BWF8" s="1202"/>
      <c r="BWG8" s="1202"/>
      <c r="BWH8" s="1202"/>
      <c r="BWI8" s="1202"/>
      <c r="BWJ8" s="1202"/>
      <c r="BWK8" s="1202"/>
      <c r="BWL8" s="1202"/>
      <c r="BWM8" s="1202"/>
      <c r="BWN8" s="1202"/>
      <c r="BWO8" s="1202"/>
      <c r="BWP8" s="1202"/>
      <c r="BWQ8" s="1202"/>
      <c r="BWR8" s="1202"/>
      <c r="BWS8" s="1202"/>
      <c r="BWT8" s="1202"/>
      <c r="BWU8" s="1202"/>
      <c r="BWV8" s="1202"/>
      <c r="BWW8" s="1202"/>
      <c r="BWX8" s="1202"/>
      <c r="BWY8" s="1202"/>
      <c r="BWZ8" s="1202"/>
      <c r="BXA8" s="1202"/>
      <c r="BXB8" s="1202"/>
      <c r="BXC8" s="1202"/>
      <c r="BXD8" s="1202"/>
      <c r="BXE8" s="1202"/>
      <c r="BXF8" s="1202"/>
      <c r="BXG8" s="1202"/>
      <c r="BXH8" s="1202"/>
      <c r="BXI8" s="1202"/>
      <c r="BXJ8" s="1202"/>
      <c r="BXK8" s="1202"/>
      <c r="BXL8" s="1202"/>
      <c r="BXM8" s="1202"/>
      <c r="BXN8" s="1202"/>
      <c r="BXO8" s="1202"/>
      <c r="BXP8" s="1202"/>
      <c r="BXQ8" s="1202"/>
      <c r="BXR8" s="1202"/>
      <c r="BXS8" s="1202"/>
      <c r="BXT8" s="1202"/>
      <c r="BXU8" s="1202"/>
      <c r="BXV8" s="1202"/>
      <c r="BXW8" s="1202"/>
      <c r="BXX8" s="1202"/>
      <c r="BXY8" s="1202"/>
      <c r="BXZ8" s="1202"/>
      <c r="BYA8" s="1202"/>
      <c r="BYB8" s="1202"/>
      <c r="BYC8" s="1202"/>
      <c r="BYD8" s="1202"/>
      <c r="BYE8" s="1202"/>
      <c r="BYF8" s="1202"/>
      <c r="BYG8" s="1202"/>
      <c r="BYH8" s="1202"/>
      <c r="BYI8" s="1202"/>
      <c r="BYJ8" s="1202"/>
      <c r="BYK8" s="1202"/>
      <c r="BYL8" s="1202"/>
      <c r="BYM8" s="1202"/>
      <c r="BYN8" s="1202"/>
      <c r="BYO8" s="1202"/>
      <c r="BYP8" s="1202"/>
      <c r="BYQ8" s="1202"/>
      <c r="BYR8" s="1202"/>
      <c r="BYS8" s="1202"/>
      <c r="BYT8" s="1202"/>
      <c r="BYU8" s="1202"/>
      <c r="BYV8" s="1202"/>
      <c r="BYW8" s="1202"/>
      <c r="BYX8" s="1202"/>
      <c r="BYY8" s="1202"/>
      <c r="BYZ8" s="1202"/>
      <c r="BZA8" s="1202"/>
      <c r="BZB8" s="1202"/>
      <c r="BZC8" s="1202"/>
      <c r="BZD8" s="1202"/>
      <c r="BZE8" s="1202"/>
      <c r="BZF8" s="1202"/>
      <c r="BZG8" s="1202"/>
      <c r="BZH8" s="1202"/>
      <c r="BZI8" s="1202"/>
      <c r="BZJ8" s="1202"/>
      <c r="BZK8" s="1202"/>
      <c r="BZL8" s="1202"/>
      <c r="BZM8" s="1202"/>
      <c r="BZN8" s="1202"/>
      <c r="BZO8" s="1202"/>
      <c r="BZP8" s="1202"/>
      <c r="BZQ8" s="1202"/>
      <c r="BZR8" s="1202"/>
      <c r="BZS8" s="1202"/>
      <c r="BZT8" s="1202"/>
      <c r="BZU8" s="1202"/>
      <c r="BZV8" s="1202"/>
      <c r="BZW8" s="1202"/>
      <c r="BZX8" s="1202"/>
      <c r="BZY8" s="1202"/>
      <c r="BZZ8" s="1202"/>
      <c r="CAA8" s="1202"/>
      <c r="CAB8" s="1202"/>
      <c r="CAC8" s="1202"/>
      <c r="CAD8" s="1202"/>
      <c r="CAE8" s="1202"/>
      <c r="CAF8" s="1202"/>
      <c r="CAG8" s="1202"/>
      <c r="CAH8" s="1202"/>
      <c r="CAI8" s="1202"/>
      <c r="CAJ8" s="1202"/>
      <c r="CAK8" s="1202"/>
      <c r="CAL8" s="1202"/>
      <c r="CAM8" s="1202"/>
      <c r="CAN8" s="1202"/>
      <c r="CAO8" s="1202"/>
      <c r="CAP8" s="1202"/>
      <c r="CAQ8" s="1202"/>
      <c r="CAR8" s="1202"/>
      <c r="CAS8" s="1202"/>
      <c r="CAT8" s="1202"/>
      <c r="CAU8" s="1202"/>
      <c r="CAV8" s="1202"/>
      <c r="CAW8" s="1202"/>
      <c r="CAX8" s="1202"/>
      <c r="CAY8" s="1202"/>
      <c r="CAZ8" s="1202"/>
      <c r="CBA8" s="1202"/>
      <c r="CBB8" s="1202"/>
      <c r="CBC8" s="1202"/>
      <c r="CBD8" s="1202"/>
      <c r="CBE8" s="1202"/>
      <c r="CBF8" s="1202"/>
      <c r="CBG8" s="1202"/>
      <c r="CBH8" s="1202"/>
      <c r="CBI8" s="1202"/>
      <c r="CBJ8" s="1202"/>
      <c r="CBK8" s="1202"/>
      <c r="CBL8" s="1202"/>
      <c r="CBM8" s="1202"/>
      <c r="CBN8" s="1202"/>
      <c r="CBO8" s="1202"/>
      <c r="CBP8" s="1202"/>
      <c r="CBQ8" s="1202"/>
      <c r="CBR8" s="1202"/>
      <c r="CBS8" s="1202"/>
      <c r="CBT8" s="1202"/>
      <c r="CBU8" s="1202"/>
      <c r="CBV8" s="1202"/>
      <c r="CBW8" s="1202"/>
      <c r="CBX8" s="1202"/>
      <c r="CBY8" s="1202"/>
      <c r="CBZ8" s="1202"/>
      <c r="CCA8" s="1202"/>
      <c r="CCB8" s="1202"/>
      <c r="CCC8" s="1202"/>
      <c r="CCD8" s="1202"/>
      <c r="CCE8" s="1202"/>
      <c r="CCF8" s="1202"/>
      <c r="CCG8" s="1202"/>
      <c r="CCH8" s="1202"/>
      <c r="CCI8" s="1202"/>
      <c r="CCJ8" s="1202"/>
      <c r="CCK8" s="1202"/>
      <c r="CCL8" s="1202"/>
      <c r="CCM8" s="1202"/>
      <c r="CCN8" s="1202"/>
      <c r="CCO8" s="1202"/>
      <c r="CCP8" s="1202"/>
      <c r="CCQ8" s="1202"/>
      <c r="CCR8" s="1202"/>
      <c r="CCS8" s="1202"/>
      <c r="CCT8" s="1202"/>
      <c r="CCU8" s="1202"/>
      <c r="CCV8" s="1202"/>
      <c r="CCW8" s="1202"/>
      <c r="CCX8" s="1202"/>
      <c r="CCY8" s="1202"/>
      <c r="CCZ8" s="1202"/>
      <c r="CDA8" s="1202"/>
      <c r="CDB8" s="1202"/>
      <c r="CDC8" s="1202"/>
      <c r="CDD8" s="1202"/>
      <c r="CDE8" s="1202"/>
      <c r="CDF8" s="1202"/>
      <c r="CDG8" s="1202"/>
      <c r="CDH8" s="1202"/>
      <c r="CDI8" s="1202"/>
      <c r="CDJ8" s="1202"/>
      <c r="CDK8" s="1202"/>
      <c r="CDL8" s="1202"/>
      <c r="CDM8" s="1202"/>
      <c r="CDN8" s="1202"/>
      <c r="CDO8" s="1202"/>
      <c r="CDP8" s="1202"/>
      <c r="CDQ8" s="1202"/>
      <c r="CDR8" s="1202"/>
      <c r="CDS8" s="1202"/>
      <c r="CDT8" s="1202"/>
      <c r="CDU8" s="1202"/>
      <c r="CDV8" s="1202"/>
      <c r="CDW8" s="1202"/>
      <c r="CDX8" s="1202"/>
      <c r="CDY8" s="1202"/>
      <c r="CDZ8" s="1202"/>
      <c r="CEA8" s="1202"/>
      <c r="CEB8" s="1202"/>
      <c r="CEC8" s="1202"/>
      <c r="CED8" s="1202"/>
      <c r="CEE8" s="1202"/>
      <c r="CEF8" s="1202"/>
      <c r="CEG8" s="1202"/>
      <c r="CEH8" s="1202"/>
      <c r="CEI8" s="1202"/>
      <c r="CEJ8" s="1202"/>
      <c r="CEK8" s="1202"/>
      <c r="CEL8" s="1202"/>
      <c r="CEM8" s="1202"/>
      <c r="CEN8" s="1202"/>
      <c r="CEO8" s="1202"/>
      <c r="CEP8" s="1202"/>
      <c r="CEQ8" s="1202"/>
      <c r="CER8" s="1202"/>
      <c r="CES8" s="1202"/>
      <c r="CET8" s="1202"/>
      <c r="CEU8" s="1202"/>
      <c r="CEV8" s="1202"/>
      <c r="CEW8" s="1202"/>
      <c r="CEX8" s="1202"/>
      <c r="CEY8" s="1202"/>
      <c r="CEZ8" s="1202"/>
      <c r="CFA8" s="1202"/>
      <c r="CFB8" s="1202"/>
      <c r="CFC8" s="1202"/>
      <c r="CFD8" s="1202"/>
      <c r="CFE8" s="1202"/>
      <c r="CFF8" s="1202"/>
      <c r="CFG8" s="1202"/>
      <c r="CFH8" s="1202"/>
      <c r="CFI8" s="1202"/>
      <c r="CFJ8" s="1202"/>
      <c r="CFK8" s="1202"/>
      <c r="CFL8" s="1202"/>
      <c r="CFM8" s="1202"/>
      <c r="CFN8" s="1202"/>
      <c r="CFO8" s="1202"/>
      <c r="CFP8" s="1202"/>
      <c r="CFQ8" s="1202"/>
      <c r="CFR8" s="1202"/>
      <c r="CFS8" s="1202"/>
      <c r="CFT8" s="1202"/>
      <c r="CFU8" s="1202"/>
      <c r="CFV8" s="1202"/>
      <c r="CFW8" s="1202"/>
      <c r="CFX8" s="1202"/>
      <c r="CFY8" s="1202"/>
      <c r="CFZ8" s="1202"/>
      <c r="CGA8" s="1202"/>
      <c r="CGB8" s="1202"/>
      <c r="CGC8" s="1202"/>
      <c r="CGD8" s="1202"/>
      <c r="CGE8" s="1202"/>
      <c r="CGF8" s="1202"/>
      <c r="CGG8" s="1202"/>
      <c r="CGH8" s="1202"/>
      <c r="CGI8" s="1202"/>
      <c r="CGJ8" s="1202"/>
      <c r="CGK8" s="1202"/>
      <c r="CGL8" s="1202"/>
      <c r="CGM8" s="1202"/>
      <c r="CGN8" s="1202"/>
      <c r="CGO8" s="1202"/>
      <c r="CGP8" s="1202"/>
      <c r="CGQ8" s="1202"/>
      <c r="CGR8" s="1202"/>
      <c r="CGS8" s="1202"/>
      <c r="CGT8" s="1202"/>
      <c r="CGU8" s="1202"/>
      <c r="CGV8" s="1202"/>
      <c r="CGW8" s="1202"/>
      <c r="CGX8" s="1202"/>
      <c r="CGY8" s="1202"/>
      <c r="CGZ8" s="1202"/>
      <c r="CHA8" s="1202"/>
      <c r="CHB8" s="1202"/>
      <c r="CHC8" s="1202"/>
      <c r="CHD8" s="1202"/>
      <c r="CHE8" s="1202"/>
      <c r="CHF8" s="1202"/>
      <c r="CHG8" s="1202"/>
      <c r="CHH8" s="1202"/>
      <c r="CHI8" s="1202"/>
      <c r="CHJ8" s="1202"/>
      <c r="CHK8" s="1202"/>
      <c r="CHL8" s="1202"/>
      <c r="CHM8" s="1202"/>
      <c r="CHN8" s="1202"/>
      <c r="CHO8" s="1202"/>
      <c r="CHP8" s="1202"/>
      <c r="CHQ8" s="1202"/>
      <c r="CHR8" s="1202"/>
      <c r="CHS8" s="1202"/>
      <c r="CHT8" s="1202"/>
      <c r="CHU8" s="1202"/>
      <c r="CHV8" s="1202"/>
      <c r="CHW8" s="1202"/>
      <c r="CHX8" s="1202"/>
      <c r="CHY8" s="1202"/>
      <c r="CHZ8" s="1202"/>
      <c r="CIA8" s="1202"/>
      <c r="CIB8" s="1202"/>
      <c r="CIC8" s="1202"/>
      <c r="CID8" s="1202"/>
      <c r="CIE8" s="1202"/>
      <c r="CIF8" s="1202"/>
      <c r="CIG8" s="1202"/>
      <c r="CIH8" s="1202"/>
      <c r="CII8" s="1202"/>
      <c r="CIJ8" s="1202"/>
      <c r="CIK8" s="1202"/>
      <c r="CIL8" s="1202"/>
      <c r="CIM8" s="1202"/>
      <c r="CIN8" s="1202"/>
      <c r="CIO8" s="1202"/>
      <c r="CIP8" s="1202"/>
      <c r="CIQ8" s="1202"/>
      <c r="CIR8" s="1202"/>
      <c r="CIS8" s="1202"/>
      <c r="CIT8" s="1202"/>
      <c r="CIU8" s="1202"/>
      <c r="CIV8" s="1202"/>
      <c r="CIW8" s="1202"/>
      <c r="CIX8" s="1202"/>
      <c r="CIY8" s="1202"/>
      <c r="CIZ8" s="1202"/>
      <c r="CJA8" s="1202"/>
      <c r="CJB8" s="1202"/>
      <c r="CJC8" s="1202"/>
      <c r="CJD8" s="1202"/>
      <c r="CJE8" s="1202"/>
      <c r="CJF8" s="1202"/>
      <c r="CJG8" s="1202"/>
      <c r="CJH8" s="1202"/>
      <c r="CJI8" s="1202"/>
      <c r="CJJ8" s="1202"/>
      <c r="CJK8" s="1202"/>
      <c r="CJL8" s="1202"/>
      <c r="CJM8" s="1202"/>
      <c r="CJN8" s="1202"/>
      <c r="CJO8" s="1202"/>
      <c r="CJP8" s="1202"/>
      <c r="CJQ8" s="1202"/>
      <c r="CJR8" s="1202"/>
      <c r="CJS8" s="1202"/>
      <c r="CJT8" s="1202"/>
      <c r="CJU8" s="1202"/>
      <c r="CJV8" s="1202"/>
      <c r="CJW8" s="1202"/>
      <c r="CJX8" s="1202"/>
      <c r="CJY8" s="1202"/>
      <c r="CJZ8" s="1202"/>
      <c r="CKA8" s="1202"/>
      <c r="CKB8" s="1202"/>
      <c r="CKC8" s="1202"/>
      <c r="CKD8" s="1202"/>
      <c r="CKE8" s="1202"/>
      <c r="CKF8" s="1202"/>
      <c r="CKG8" s="1202"/>
      <c r="CKH8" s="1202"/>
      <c r="CKI8" s="1202"/>
      <c r="CKJ8" s="1202"/>
      <c r="CKK8" s="1202"/>
      <c r="CKL8" s="1202"/>
      <c r="CKM8" s="1202"/>
      <c r="CKN8" s="1202"/>
      <c r="CKO8" s="1202"/>
      <c r="CKP8" s="1202"/>
      <c r="CKQ8" s="1202"/>
      <c r="CKR8" s="1202"/>
      <c r="CKS8" s="1202"/>
      <c r="CKT8" s="1202"/>
      <c r="CKU8" s="1202"/>
      <c r="CKV8" s="1202"/>
      <c r="CKW8" s="1202"/>
      <c r="CKX8" s="1202"/>
      <c r="CKY8" s="1202"/>
      <c r="CKZ8" s="1202"/>
      <c r="CLA8" s="1202"/>
      <c r="CLB8" s="1202"/>
      <c r="CLC8" s="1202"/>
      <c r="CLD8" s="1202"/>
      <c r="CLE8" s="1202"/>
      <c r="CLF8" s="1202"/>
      <c r="CLG8" s="1202"/>
      <c r="CLH8" s="1202"/>
      <c r="CLI8" s="1202"/>
      <c r="CLJ8" s="1202"/>
      <c r="CLK8" s="1202"/>
      <c r="CLL8" s="1202"/>
      <c r="CLM8" s="1202"/>
      <c r="CLN8" s="1202"/>
      <c r="CLO8" s="1202"/>
      <c r="CLP8" s="1202"/>
      <c r="CLQ8" s="1202"/>
      <c r="CLR8" s="1202"/>
      <c r="CLS8" s="1202"/>
      <c r="CLT8" s="1202"/>
      <c r="CLU8" s="1202"/>
      <c r="CLV8" s="1202"/>
      <c r="CLW8" s="1202"/>
      <c r="CLX8" s="1202"/>
      <c r="CLY8" s="1202"/>
      <c r="CLZ8" s="1202"/>
      <c r="CMA8" s="1202"/>
      <c r="CMB8" s="1202"/>
      <c r="CMC8" s="1202"/>
      <c r="CMD8" s="1202"/>
      <c r="CME8" s="1202"/>
      <c r="CMF8" s="1202"/>
      <c r="CMG8" s="1202"/>
      <c r="CMH8" s="1202"/>
      <c r="CMI8" s="1202"/>
      <c r="CMJ8" s="1202"/>
      <c r="CMK8" s="1202"/>
      <c r="CML8" s="1202"/>
      <c r="CMM8" s="1202"/>
      <c r="CMN8" s="1202"/>
      <c r="CMO8" s="1202"/>
      <c r="CMP8" s="1202"/>
      <c r="CMQ8" s="1202"/>
      <c r="CMR8" s="1202"/>
      <c r="CMS8" s="1202"/>
      <c r="CMT8" s="1202"/>
      <c r="CMU8" s="1202"/>
      <c r="CMV8" s="1202"/>
      <c r="CMW8" s="1202"/>
      <c r="CMX8" s="1202"/>
      <c r="CMY8" s="1202"/>
      <c r="CMZ8" s="1202"/>
      <c r="CNA8" s="1202"/>
      <c r="CNB8" s="1202"/>
      <c r="CNC8" s="1202"/>
      <c r="CND8" s="1202"/>
      <c r="CNE8" s="1202"/>
      <c r="CNF8" s="1202"/>
      <c r="CNG8" s="1202"/>
      <c r="CNH8" s="1202"/>
      <c r="CNI8" s="1202"/>
      <c r="CNJ8" s="1202"/>
      <c r="CNK8" s="1202"/>
      <c r="CNL8" s="1202"/>
      <c r="CNM8" s="1202"/>
      <c r="CNN8" s="1202"/>
      <c r="CNO8" s="1202"/>
      <c r="CNP8" s="1202"/>
      <c r="CNQ8" s="1202"/>
      <c r="CNR8" s="1202"/>
      <c r="CNS8" s="1202"/>
      <c r="CNT8" s="1202"/>
      <c r="CNU8" s="1202"/>
      <c r="CNV8" s="1202"/>
      <c r="CNW8" s="1202"/>
      <c r="CNX8" s="1202"/>
      <c r="CNY8" s="1202"/>
      <c r="CNZ8" s="1202"/>
      <c r="COA8" s="1202"/>
      <c r="COB8" s="1202"/>
      <c r="COC8" s="1202"/>
      <c r="COD8" s="1202"/>
      <c r="COE8" s="1202"/>
      <c r="COF8" s="1202"/>
      <c r="COG8" s="1202"/>
      <c r="COH8" s="1202"/>
      <c r="COI8" s="1202"/>
      <c r="COJ8" s="1202"/>
      <c r="COK8" s="1202"/>
      <c r="COL8" s="1202"/>
      <c r="COM8" s="1202"/>
      <c r="CON8" s="1202"/>
      <c r="COO8" s="1202"/>
      <c r="COP8" s="1202"/>
      <c r="COQ8" s="1202"/>
      <c r="COR8" s="1202"/>
      <c r="COS8" s="1202"/>
      <c r="COT8" s="1202"/>
      <c r="COU8" s="1202"/>
      <c r="COV8" s="1202"/>
      <c r="COW8" s="1202"/>
      <c r="COX8" s="1202"/>
      <c r="COY8" s="1202"/>
      <c r="COZ8" s="1202"/>
      <c r="CPA8" s="1202"/>
      <c r="CPB8" s="1202"/>
      <c r="CPC8" s="1202"/>
      <c r="CPD8" s="1202"/>
      <c r="CPE8" s="1202"/>
      <c r="CPF8" s="1202"/>
      <c r="CPG8" s="1202"/>
      <c r="CPH8" s="1202"/>
      <c r="CPI8" s="1202"/>
      <c r="CPJ8" s="1202"/>
      <c r="CPK8" s="1202"/>
      <c r="CPL8" s="1202"/>
      <c r="CPM8" s="1202"/>
      <c r="CPN8" s="1202"/>
      <c r="CPO8" s="1202"/>
      <c r="CPP8" s="1202"/>
      <c r="CPQ8" s="1202"/>
      <c r="CPR8" s="1202"/>
      <c r="CPS8" s="1202"/>
      <c r="CPT8" s="1202"/>
      <c r="CPU8" s="1202"/>
      <c r="CPV8" s="1202"/>
      <c r="CPW8" s="1202"/>
      <c r="CPX8" s="1202"/>
      <c r="CPY8" s="1202"/>
      <c r="CPZ8" s="1202"/>
      <c r="CQA8" s="1202"/>
      <c r="CQB8" s="1202"/>
      <c r="CQC8" s="1202"/>
      <c r="CQD8" s="1202"/>
      <c r="CQE8" s="1202"/>
      <c r="CQF8" s="1202"/>
      <c r="CQG8" s="1202"/>
      <c r="CQH8" s="1202"/>
      <c r="CQI8" s="1202"/>
      <c r="CQJ8" s="1202"/>
      <c r="CQK8" s="1202"/>
      <c r="CQL8" s="1202"/>
      <c r="CQM8" s="1202"/>
      <c r="CQN8" s="1202"/>
      <c r="CQO8" s="1202"/>
      <c r="CQP8" s="1202"/>
      <c r="CQQ8" s="1202"/>
      <c r="CQR8" s="1202"/>
      <c r="CQS8" s="1202"/>
      <c r="CQT8" s="1202"/>
      <c r="CQU8" s="1202"/>
      <c r="CQV8" s="1202"/>
      <c r="CQW8" s="1202"/>
      <c r="CQX8" s="1202"/>
      <c r="CQY8" s="1202"/>
      <c r="CQZ8" s="1202"/>
      <c r="CRA8" s="1202"/>
      <c r="CRB8" s="1202"/>
      <c r="CRC8" s="1202"/>
      <c r="CRD8" s="1202"/>
      <c r="CRE8" s="1202"/>
      <c r="CRF8" s="1202"/>
      <c r="CRG8" s="1202"/>
      <c r="CRH8" s="1202"/>
      <c r="CRI8" s="1202"/>
      <c r="CRJ8" s="1202"/>
      <c r="CRK8" s="1202"/>
      <c r="CRL8" s="1202"/>
      <c r="CRM8" s="1202"/>
      <c r="CRN8" s="1202"/>
      <c r="CRO8" s="1202"/>
      <c r="CRP8" s="1202"/>
      <c r="CRQ8" s="1202"/>
      <c r="CRR8" s="1202"/>
      <c r="CRS8" s="1202"/>
      <c r="CRT8" s="1202"/>
      <c r="CRU8" s="1202"/>
      <c r="CRV8" s="1202"/>
      <c r="CRW8" s="1202"/>
      <c r="CRX8" s="1202"/>
      <c r="CRY8" s="1202"/>
      <c r="CRZ8" s="1202"/>
      <c r="CSA8" s="1202"/>
      <c r="CSB8" s="1202"/>
      <c r="CSC8" s="1202"/>
      <c r="CSD8" s="1202"/>
      <c r="CSE8" s="1202"/>
      <c r="CSF8" s="1202"/>
      <c r="CSG8" s="1202"/>
      <c r="CSH8" s="1202"/>
      <c r="CSI8" s="1202"/>
      <c r="CSJ8" s="1202"/>
      <c r="CSK8" s="1202"/>
      <c r="CSL8" s="1202"/>
      <c r="CSM8" s="1202"/>
      <c r="CSN8" s="1202"/>
      <c r="CSO8" s="1202"/>
      <c r="CSP8" s="1202"/>
      <c r="CSQ8" s="1202"/>
      <c r="CSR8" s="1202"/>
      <c r="CSS8" s="1202"/>
      <c r="CST8" s="1202"/>
      <c r="CSU8" s="1202"/>
      <c r="CSV8" s="1202"/>
      <c r="CSW8" s="1202"/>
      <c r="CSX8" s="1202"/>
      <c r="CSY8" s="1202"/>
      <c r="CSZ8" s="1202"/>
      <c r="CTA8" s="1202"/>
      <c r="CTB8" s="1202"/>
      <c r="CTC8" s="1202"/>
      <c r="CTD8" s="1202"/>
      <c r="CTE8" s="1202"/>
      <c r="CTF8" s="1202"/>
      <c r="CTG8" s="1202"/>
      <c r="CTH8" s="1202"/>
      <c r="CTI8" s="1202"/>
      <c r="CTJ8" s="1202"/>
      <c r="CTK8" s="1202"/>
      <c r="CTL8" s="1202"/>
      <c r="CTM8" s="1202"/>
      <c r="CTN8" s="1202"/>
      <c r="CTO8" s="1202"/>
      <c r="CTP8" s="1202"/>
      <c r="CTQ8" s="1202"/>
      <c r="CTR8" s="1202"/>
      <c r="CTS8" s="1202"/>
      <c r="CTT8" s="1202"/>
      <c r="CTU8" s="1202"/>
      <c r="CTV8" s="1202"/>
      <c r="CTW8" s="1202"/>
      <c r="CTX8" s="1202"/>
      <c r="CTY8" s="1202"/>
      <c r="CTZ8" s="1202"/>
      <c r="CUA8" s="1202"/>
      <c r="CUB8" s="1202"/>
      <c r="CUC8" s="1202"/>
      <c r="CUD8" s="1202"/>
      <c r="CUE8" s="1202"/>
      <c r="CUF8" s="1202"/>
      <c r="CUG8" s="1202"/>
      <c r="CUH8" s="1202"/>
      <c r="CUI8" s="1202"/>
      <c r="CUJ8" s="1202"/>
      <c r="CUK8" s="1202"/>
      <c r="CUL8" s="1202"/>
      <c r="CUM8" s="1202"/>
      <c r="CUN8" s="1202"/>
      <c r="CUO8" s="1202"/>
      <c r="CUP8" s="1202"/>
      <c r="CUQ8" s="1202"/>
      <c r="CUR8" s="1202"/>
      <c r="CUS8" s="1202"/>
      <c r="CUT8" s="1202"/>
      <c r="CUU8" s="1202"/>
      <c r="CUV8" s="1202"/>
      <c r="CUW8" s="1202"/>
      <c r="CUX8" s="1202"/>
      <c r="CUY8" s="1202"/>
      <c r="CUZ8" s="1202"/>
      <c r="CVA8" s="1202"/>
      <c r="CVB8" s="1202"/>
      <c r="CVC8" s="1202"/>
      <c r="CVD8" s="1202"/>
      <c r="CVE8" s="1202"/>
      <c r="CVF8" s="1202"/>
      <c r="CVG8" s="1202"/>
      <c r="CVH8" s="1202"/>
      <c r="CVI8" s="1202"/>
      <c r="CVJ8" s="1202"/>
      <c r="CVK8" s="1202"/>
      <c r="CVL8" s="1202"/>
      <c r="CVM8" s="1202"/>
      <c r="CVN8" s="1202"/>
      <c r="CVO8" s="1202"/>
      <c r="CVP8" s="1202"/>
      <c r="CVQ8" s="1202"/>
      <c r="CVR8" s="1202"/>
      <c r="CVS8" s="1202"/>
      <c r="CVT8" s="1202"/>
      <c r="CVU8" s="1202"/>
      <c r="CVV8" s="1202"/>
      <c r="CVW8" s="1202"/>
      <c r="CVX8" s="1202"/>
      <c r="CVY8" s="1202"/>
      <c r="CVZ8" s="1202"/>
      <c r="CWA8" s="1202"/>
      <c r="CWB8" s="1202"/>
      <c r="CWC8" s="1202"/>
      <c r="CWD8" s="1202"/>
      <c r="CWE8" s="1202"/>
      <c r="CWF8" s="1202"/>
      <c r="CWG8" s="1202"/>
      <c r="CWH8" s="1202"/>
      <c r="CWI8" s="1202"/>
      <c r="CWJ8" s="1202"/>
      <c r="CWK8" s="1202"/>
      <c r="CWL8" s="1202"/>
      <c r="CWM8" s="1202"/>
      <c r="CWN8" s="1202"/>
      <c r="CWO8" s="1202"/>
      <c r="CWP8" s="1202"/>
      <c r="CWQ8" s="1202"/>
      <c r="CWR8" s="1202"/>
      <c r="CWS8" s="1202"/>
      <c r="CWT8" s="1202"/>
      <c r="CWU8" s="1202"/>
      <c r="CWV8" s="1202"/>
      <c r="CWW8" s="1202"/>
      <c r="CWX8" s="1202"/>
      <c r="CWY8" s="1202"/>
      <c r="CWZ8" s="1202"/>
      <c r="CXA8" s="1202"/>
      <c r="CXB8" s="1202"/>
      <c r="CXC8" s="1202"/>
      <c r="CXD8" s="1202"/>
      <c r="CXE8" s="1202"/>
      <c r="CXF8" s="1202"/>
      <c r="CXG8" s="1202"/>
      <c r="CXH8" s="1202"/>
      <c r="CXI8" s="1202"/>
      <c r="CXJ8" s="1202"/>
      <c r="CXK8" s="1202"/>
      <c r="CXL8" s="1202"/>
      <c r="CXM8" s="1202"/>
      <c r="CXN8" s="1202"/>
      <c r="CXO8" s="1202"/>
      <c r="CXP8" s="1202"/>
      <c r="CXQ8" s="1202"/>
      <c r="CXR8" s="1202"/>
      <c r="CXS8" s="1202"/>
      <c r="CXT8" s="1202"/>
      <c r="CXU8" s="1202"/>
      <c r="CXV8" s="1202"/>
      <c r="CXW8" s="1202"/>
      <c r="CXX8" s="1202"/>
      <c r="CXY8" s="1202"/>
      <c r="CXZ8" s="1202"/>
      <c r="CYA8" s="1202"/>
      <c r="CYB8" s="1202"/>
      <c r="CYC8" s="1202"/>
      <c r="CYD8" s="1202"/>
      <c r="CYE8" s="1202"/>
      <c r="CYF8" s="1202"/>
      <c r="CYG8" s="1202"/>
      <c r="CYH8" s="1202"/>
      <c r="CYI8" s="1202"/>
      <c r="CYJ8" s="1202"/>
      <c r="CYK8" s="1202"/>
      <c r="CYL8" s="1202"/>
      <c r="CYM8" s="1202"/>
      <c r="CYN8" s="1202"/>
      <c r="CYO8" s="1202"/>
      <c r="CYP8" s="1202"/>
      <c r="CYQ8" s="1202"/>
      <c r="CYR8" s="1202"/>
      <c r="CYS8" s="1202"/>
      <c r="CYT8" s="1202"/>
      <c r="CYU8" s="1202"/>
      <c r="CYV8" s="1202"/>
      <c r="CYW8" s="1202"/>
      <c r="CYX8" s="1202"/>
      <c r="CYY8" s="1202"/>
      <c r="CYZ8" s="1202"/>
      <c r="CZA8" s="1202"/>
      <c r="CZB8" s="1202"/>
      <c r="CZC8" s="1202"/>
      <c r="CZD8" s="1202"/>
      <c r="CZE8" s="1202"/>
      <c r="CZF8" s="1202"/>
      <c r="CZG8" s="1202"/>
      <c r="CZH8" s="1202"/>
      <c r="CZI8" s="1202"/>
      <c r="CZJ8" s="1202"/>
      <c r="CZK8" s="1202"/>
      <c r="CZL8" s="1202"/>
      <c r="CZM8" s="1202"/>
      <c r="CZN8" s="1202"/>
      <c r="CZO8" s="1202"/>
      <c r="CZP8" s="1202"/>
      <c r="CZQ8" s="1202"/>
      <c r="CZR8" s="1202"/>
      <c r="CZS8" s="1202"/>
      <c r="CZT8" s="1202"/>
      <c r="CZU8" s="1202"/>
      <c r="CZV8" s="1202"/>
      <c r="CZW8" s="1202"/>
      <c r="CZX8" s="1202"/>
      <c r="CZY8" s="1202"/>
      <c r="CZZ8" s="1202"/>
      <c r="DAA8" s="1202"/>
      <c r="DAB8" s="1202"/>
      <c r="DAC8" s="1202"/>
      <c r="DAD8" s="1202"/>
      <c r="DAE8" s="1202"/>
      <c r="DAF8" s="1202"/>
      <c r="DAG8" s="1202"/>
      <c r="DAH8" s="1202"/>
      <c r="DAI8" s="1202"/>
      <c r="DAJ8" s="1202"/>
      <c r="DAK8" s="1202"/>
      <c r="DAL8" s="1202"/>
      <c r="DAM8" s="1202"/>
      <c r="DAN8" s="1202"/>
      <c r="DAO8" s="1202"/>
      <c r="DAP8" s="1202"/>
      <c r="DAQ8" s="1202"/>
      <c r="DAR8" s="1202"/>
      <c r="DAS8" s="1202"/>
      <c r="DAT8" s="1202"/>
      <c r="DAU8" s="1202"/>
      <c r="DAV8" s="1202"/>
      <c r="DAW8" s="1202"/>
      <c r="DAX8" s="1202"/>
      <c r="DAY8" s="1202"/>
      <c r="DAZ8" s="1202"/>
      <c r="DBA8" s="1202"/>
      <c r="DBB8" s="1202"/>
      <c r="DBC8" s="1202"/>
      <c r="DBD8" s="1202"/>
      <c r="DBE8" s="1202"/>
      <c r="DBF8" s="1202"/>
      <c r="DBG8" s="1202"/>
      <c r="DBH8" s="1202"/>
      <c r="DBI8" s="1202"/>
      <c r="DBJ8" s="1202"/>
      <c r="DBK8" s="1202"/>
      <c r="DBL8" s="1202"/>
      <c r="DBM8" s="1202"/>
      <c r="DBN8" s="1202"/>
      <c r="DBO8" s="1202"/>
      <c r="DBP8" s="1202"/>
      <c r="DBQ8" s="1202"/>
      <c r="DBR8" s="1202"/>
      <c r="DBS8" s="1202"/>
      <c r="DBT8" s="1202"/>
      <c r="DBU8" s="1202"/>
      <c r="DBV8" s="1202"/>
      <c r="DBW8" s="1202"/>
      <c r="DBX8" s="1202"/>
      <c r="DBY8" s="1202"/>
      <c r="DBZ8" s="1202"/>
      <c r="DCA8" s="1202"/>
      <c r="DCB8" s="1202"/>
      <c r="DCC8" s="1202"/>
      <c r="DCD8" s="1202"/>
      <c r="DCE8" s="1202"/>
      <c r="DCF8" s="1202"/>
      <c r="DCG8" s="1202"/>
      <c r="DCH8" s="1202"/>
      <c r="DCI8" s="1202"/>
      <c r="DCJ8" s="1202"/>
      <c r="DCK8" s="1202"/>
      <c r="DCL8" s="1202"/>
      <c r="DCM8" s="1202"/>
      <c r="DCN8" s="1202"/>
      <c r="DCO8" s="1202"/>
      <c r="DCP8" s="1202"/>
      <c r="DCQ8" s="1202"/>
      <c r="DCR8" s="1202"/>
      <c r="DCS8" s="1202"/>
      <c r="DCT8" s="1202"/>
      <c r="DCU8" s="1202"/>
      <c r="DCV8" s="1202"/>
      <c r="DCW8" s="1202"/>
      <c r="DCX8" s="1202"/>
      <c r="DCY8" s="1202"/>
      <c r="DCZ8" s="1202"/>
      <c r="DDA8" s="1202"/>
      <c r="DDB8" s="1202"/>
      <c r="DDC8" s="1202"/>
      <c r="DDD8" s="1202"/>
      <c r="DDE8" s="1202"/>
      <c r="DDF8" s="1202"/>
      <c r="DDG8" s="1202"/>
      <c r="DDH8" s="1202"/>
      <c r="DDI8" s="1202"/>
      <c r="DDJ8" s="1202"/>
      <c r="DDK8" s="1202"/>
      <c r="DDL8" s="1202"/>
      <c r="DDM8" s="1202"/>
      <c r="DDN8" s="1202"/>
      <c r="DDO8" s="1202"/>
      <c r="DDP8" s="1202"/>
      <c r="DDQ8" s="1202"/>
      <c r="DDR8" s="1202"/>
      <c r="DDS8" s="1202"/>
      <c r="DDT8" s="1202"/>
      <c r="DDU8" s="1202"/>
      <c r="DDV8" s="1202"/>
      <c r="DDW8" s="1202"/>
      <c r="DDX8" s="1202"/>
      <c r="DDY8" s="1202"/>
      <c r="DDZ8" s="1202"/>
      <c r="DEA8" s="1202"/>
      <c r="DEB8" s="1202"/>
      <c r="DEC8" s="1202"/>
      <c r="DED8" s="1202"/>
      <c r="DEE8" s="1202"/>
      <c r="DEF8" s="1202"/>
      <c r="DEG8" s="1202"/>
      <c r="DEH8" s="1202"/>
      <c r="DEI8" s="1202"/>
      <c r="DEJ8" s="1202"/>
      <c r="DEK8" s="1202"/>
      <c r="DEL8" s="1202"/>
      <c r="DEM8" s="1202"/>
      <c r="DEN8" s="1202"/>
      <c r="DEO8" s="1202"/>
      <c r="DEP8" s="1202"/>
      <c r="DEQ8" s="1202"/>
      <c r="DER8" s="1202"/>
      <c r="DES8" s="1202"/>
      <c r="DET8" s="1202"/>
      <c r="DEU8" s="1202"/>
      <c r="DEV8" s="1202"/>
      <c r="DEW8" s="1202"/>
      <c r="DEX8" s="1202"/>
      <c r="DEY8" s="1202"/>
      <c r="DEZ8" s="1202"/>
      <c r="DFA8" s="1202"/>
      <c r="DFB8" s="1202"/>
      <c r="DFC8" s="1202"/>
      <c r="DFD8" s="1202"/>
      <c r="DFE8" s="1202"/>
      <c r="DFF8" s="1202"/>
      <c r="DFG8" s="1202"/>
      <c r="DFH8" s="1202"/>
      <c r="DFI8" s="1202"/>
      <c r="DFJ8" s="1202"/>
      <c r="DFK8" s="1202"/>
      <c r="DFL8" s="1202"/>
      <c r="DFM8" s="1202"/>
      <c r="DFN8" s="1202"/>
      <c r="DFO8" s="1202"/>
      <c r="DFP8" s="1202"/>
      <c r="DFQ8" s="1202"/>
      <c r="DFR8" s="1202"/>
      <c r="DFS8" s="1202"/>
      <c r="DFT8" s="1202"/>
      <c r="DFU8" s="1202"/>
      <c r="DFV8" s="1202"/>
      <c r="DFW8" s="1202"/>
      <c r="DFX8" s="1202"/>
      <c r="DFY8" s="1202"/>
      <c r="DFZ8" s="1202"/>
      <c r="DGA8" s="1202"/>
      <c r="DGB8" s="1202"/>
      <c r="DGC8" s="1202"/>
      <c r="DGD8" s="1202"/>
      <c r="DGE8" s="1202"/>
      <c r="DGF8" s="1202"/>
      <c r="DGG8" s="1202"/>
      <c r="DGH8" s="1202"/>
      <c r="DGI8" s="1202"/>
      <c r="DGJ8" s="1202"/>
      <c r="DGK8" s="1202"/>
      <c r="DGL8" s="1202"/>
      <c r="DGM8" s="1202"/>
      <c r="DGN8" s="1202"/>
      <c r="DGO8" s="1202"/>
      <c r="DGP8" s="1202"/>
      <c r="DGQ8" s="1202"/>
      <c r="DGR8" s="1202"/>
      <c r="DGS8" s="1202"/>
      <c r="DGT8" s="1202"/>
      <c r="DGU8" s="1202"/>
      <c r="DGV8" s="1202"/>
      <c r="DGW8" s="1202"/>
      <c r="DGX8" s="1202"/>
      <c r="DGY8" s="1202"/>
      <c r="DGZ8" s="1202"/>
      <c r="DHA8" s="1202"/>
      <c r="DHB8" s="1202"/>
      <c r="DHC8" s="1202"/>
      <c r="DHD8" s="1202"/>
      <c r="DHE8" s="1202"/>
      <c r="DHF8" s="1202"/>
      <c r="DHG8" s="1202"/>
      <c r="DHH8" s="1202"/>
      <c r="DHI8" s="1202"/>
      <c r="DHJ8" s="1202"/>
      <c r="DHK8" s="1202"/>
      <c r="DHL8" s="1202"/>
      <c r="DHM8" s="1202"/>
      <c r="DHN8" s="1202"/>
      <c r="DHO8" s="1202"/>
      <c r="DHP8" s="1202"/>
      <c r="DHQ8" s="1202"/>
      <c r="DHR8" s="1202"/>
      <c r="DHS8" s="1202"/>
      <c r="DHT8" s="1202"/>
      <c r="DHU8" s="1202"/>
      <c r="DHV8" s="1202"/>
      <c r="DHW8" s="1202"/>
      <c r="DHX8" s="1202"/>
      <c r="DHY8" s="1202"/>
      <c r="DHZ8" s="1202"/>
      <c r="DIA8" s="1202"/>
      <c r="DIB8" s="1202"/>
      <c r="DIC8" s="1202"/>
      <c r="DID8" s="1202"/>
      <c r="DIE8" s="1202"/>
      <c r="DIF8" s="1202"/>
      <c r="DIG8" s="1202"/>
      <c r="DIH8" s="1202"/>
      <c r="DII8" s="1202"/>
      <c r="DIJ8" s="1202"/>
      <c r="DIK8" s="1202"/>
      <c r="DIL8" s="1202"/>
      <c r="DIM8" s="1202"/>
      <c r="DIN8" s="1202"/>
      <c r="DIO8" s="1202"/>
      <c r="DIP8" s="1202"/>
      <c r="DIQ8" s="1202"/>
      <c r="DIR8" s="1202"/>
      <c r="DIS8" s="1202"/>
      <c r="DIT8" s="1202"/>
      <c r="DIU8" s="1202"/>
      <c r="DIV8" s="1202"/>
      <c r="DIW8" s="1202"/>
      <c r="DIX8" s="1202"/>
      <c r="DIY8" s="1202"/>
      <c r="DIZ8" s="1202"/>
      <c r="DJA8" s="1202"/>
      <c r="DJB8" s="1202"/>
      <c r="DJC8" s="1202"/>
      <c r="DJD8" s="1202"/>
      <c r="DJE8" s="1202"/>
      <c r="DJF8" s="1202"/>
      <c r="DJG8" s="1202"/>
      <c r="DJH8" s="1202"/>
      <c r="DJI8" s="1202"/>
      <c r="DJJ8" s="1202"/>
      <c r="DJK8" s="1202"/>
      <c r="DJL8" s="1202"/>
      <c r="DJM8" s="1202"/>
      <c r="DJN8" s="1202"/>
      <c r="DJO8" s="1202"/>
      <c r="DJP8" s="1202"/>
      <c r="DJQ8" s="1202"/>
      <c r="DJR8" s="1202"/>
      <c r="DJS8" s="1202"/>
      <c r="DJT8" s="1202"/>
      <c r="DJU8" s="1202"/>
      <c r="DJV8" s="1202"/>
      <c r="DJW8" s="1202"/>
      <c r="DJX8" s="1202"/>
      <c r="DJY8" s="1202"/>
      <c r="DJZ8" s="1202"/>
      <c r="DKA8" s="1202"/>
      <c r="DKB8" s="1202"/>
      <c r="DKC8" s="1202"/>
      <c r="DKD8" s="1202"/>
      <c r="DKE8" s="1202"/>
      <c r="DKF8" s="1202"/>
      <c r="DKG8" s="1202"/>
      <c r="DKH8" s="1202"/>
      <c r="DKI8" s="1202"/>
      <c r="DKJ8" s="1202"/>
      <c r="DKK8" s="1202"/>
      <c r="DKL8" s="1202"/>
      <c r="DKM8" s="1202"/>
      <c r="DKN8" s="1202"/>
      <c r="DKO8" s="1202"/>
      <c r="DKP8" s="1202"/>
      <c r="DKQ8" s="1202"/>
      <c r="DKR8" s="1202"/>
      <c r="DKS8" s="1202"/>
      <c r="DKT8" s="1202"/>
      <c r="DKU8" s="1202"/>
      <c r="DKV8" s="1202"/>
      <c r="DKW8" s="1202"/>
      <c r="DKX8" s="1202"/>
      <c r="DKY8" s="1202"/>
      <c r="DKZ8" s="1202"/>
      <c r="DLA8" s="1202"/>
      <c r="DLB8" s="1202"/>
      <c r="DLC8" s="1202"/>
      <c r="DLD8" s="1202"/>
      <c r="DLE8" s="1202"/>
      <c r="DLF8" s="1202"/>
      <c r="DLG8" s="1202"/>
      <c r="DLH8" s="1202"/>
      <c r="DLI8" s="1202"/>
      <c r="DLJ8" s="1202"/>
      <c r="DLK8" s="1202"/>
      <c r="DLL8" s="1202"/>
      <c r="DLM8" s="1202"/>
      <c r="DLN8" s="1202"/>
      <c r="DLO8" s="1202"/>
      <c r="DLP8" s="1202"/>
      <c r="DLQ8" s="1202"/>
      <c r="DLR8" s="1202"/>
      <c r="DLS8" s="1202"/>
      <c r="DLT8" s="1202"/>
      <c r="DLU8" s="1202"/>
      <c r="DLV8" s="1202"/>
      <c r="DLW8" s="1202"/>
      <c r="DLX8" s="1202"/>
      <c r="DLY8" s="1202"/>
      <c r="DLZ8" s="1202"/>
      <c r="DMA8" s="1202"/>
      <c r="DMB8" s="1202"/>
      <c r="DMC8" s="1202"/>
      <c r="DMD8" s="1202"/>
      <c r="DME8" s="1202"/>
      <c r="DMF8" s="1202"/>
      <c r="DMG8" s="1202"/>
      <c r="DMH8" s="1202"/>
      <c r="DMI8" s="1202"/>
      <c r="DMJ8" s="1202"/>
      <c r="DMK8" s="1202"/>
      <c r="DML8" s="1202"/>
      <c r="DMM8" s="1202"/>
      <c r="DMN8" s="1202"/>
      <c r="DMO8" s="1202"/>
      <c r="DMP8" s="1202"/>
      <c r="DMQ8" s="1202"/>
      <c r="DMR8" s="1202"/>
      <c r="DMS8" s="1202"/>
      <c r="DMT8" s="1202"/>
      <c r="DMU8" s="1202"/>
      <c r="DMV8" s="1202"/>
      <c r="DMW8" s="1202"/>
      <c r="DMX8" s="1202"/>
      <c r="DMY8" s="1202"/>
      <c r="DMZ8" s="1202"/>
      <c r="DNA8" s="1202"/>
      <c r="DNB8" s="1202"/>
      <c r="DNC8" s="1202"/>
      <c r="DND8" s="1202"/>
      <c r="DNE8" s="1202"/>
      <c r="DNF8" s="1202"/>
      <c r="DNG8" s="1202"/>
      <c r="DNH8" s="1202"/>
      <c r="DNI8" s="1202"/>
      <c r="DNJ8" s="1202"/>
      <c r="DNK8" s="1202"/>
      <c r="DNL8" s="1202"/>
      <c r="DNM8" s="1202"/>
      <c r="DNN8" s="1202"/>
      <c r="DNO8" s="1202"/>
      <c r="DNP8" s="1202"/>
      <c r="DNQ8" s="1202"/>
      <c r="DNR8" s="1202"/>
      <c r="DNS8" s="1202"/>
      <c r="DNT8" s="1202"/>
      <c r="DNU8" s="1202"/>
      <c r="DNV8" s="1202"/>
      <c r="DNW8" s="1202"/>
      <c r="DNX8" s="1202"/>
      <c r="DNY8" s="1202"/>
      <c r="DNZ8" s="1202"/>
      <c r="DOA8" s="1202"/>
      <c r="DOB8" s="1202"/>
      <c r="DOC8" s="1202"/>
      <c r="DOD8" s="1202"/>
      <c r="DOE8" s="1202"/>
      <c r="DOF8" s="1202"/>
      <c r="DOG8" s="1202"/>
      <c r="DOH8" s="1202"/>
      <c r="DOI8" s="1202"/>
      <c r="DOJ8" s="1202"/>
      <c r="DOK8" s="1202"/>
      <c r="DOL8" s="1202"/>
      <c r="DOM8" s="1202"/>
      <c r="DON8" s="1202"/>
      <c r="DOO8" s="1202"/>
      <c r="DOP8" s="1202"/>
      <c r="DOQ8" s="1202"/>
      <c r="DOR8" s="1202"/>
      <c r="DOS8" s="1202"/>
      <c r="DOT8" s="1202"/>
      <c r="DOU8" s="1202"/>
      <c r="DOV8" s="1202"/>
      <c r="DOW8" s="1202"/>
      <c r="DOX8" s="1202"/>
      <c r="DOY8" s="1202"/>
      <c r="DOZ8" s="1202"/>
      <c r="DPA8" s="1202"/>
      <c r="DPB8" s="1202"/>
      <c r="DPC8" s="1202"/>
      <c r="DPD8" s="1202"/>
      <c r="DPE8" s="1202"/>
      <c r="DPF8" s="1202"/>
      <c r="DPG8" s="1202"/>
      <c r="DPH8" s="1202"/>
      <c r="DPI8" s="1202"/>
      <c r="DPJ8" s="1202"/>
      <c r="DPK8" s="1202"/>
      <c r="DPL8" s="1202"/>
      <c r="DPM8" s="1202"/>
      <c r="DPN8" s="1202"/>
      <c r="DPO8" s="1202"/>
      <c r="DPP8" s="1202"/>
      <c r="DPQ8" s="1202"/>
      <c r="DPR8" s="1202"/>
      <c r="DPS8" s="1202"/>
      <c r="DPT8" s="1202"/>
      <c r="DPU8" s="1202"/>
      <c r="DPV8" s="1202"/>
      <c r="DPW8" s="1202"/>
      <c r="DPX8" s="1202"/>
      <c r="DPY8" s="1202"/>
      <c r="DPZ8" s="1202"/>
      <c r="DQA8" s="1202"/>
      <c r="DQB8" s="1202"/>
      <c r="DQC8" s="1202"/>
      <c r="DQD8" s="1202"/>
      <c r="DQE8" s="1202"/>
      <c r="DQF8" s="1202"/>
      <c r="DQG8" s="1202"/>
      <c r="DQH8" s="1202"/>
      <c r="DQI8" s="1202"/>
      <c r="DQJ8" s="1202"/>
      <c r="DQK8" s="1202"/>
      <c r="DQL8" s="1202"/>
      <c r="DQM8" s="1202"/>
      <c r="DQN8" s="1202"/>
      <c r="DQO8" s="1202"/>
      <c r="DQP8" s="1202"/>
      <c r="DQQ8" s="1202"/>
      <c r="DQR8" s="1202"/>
      <c r="DQS8" s="1202"/>
      <c r="DQT8" s="1202"/>
      <c r="DQU8" s="1202"/>
      <c r="DQV8" s="1202"/>
      <c r="DQW8" s="1202"/>
      <c r="DQX8" s="1202"/>
      <c r="DQY8" s="1202"/>
      <c r="DQZ8" s="1202"/>
      <c r="DRA8" s="1202"/>
      <c r="DRB8" s="1202"/>
      <c r="DRC8" s="1202"/>
      <c r="DRD8" s="1202"/>
      <c r="DRE8" s="1202"/>
      <c r="DRF8" s="1202"/>
      <c r="DRG8" s="1202"/>
      <c r="DRH8" s="1202"/>
      <c r="DRI8" s="1202"/>
      <c r="DRJ8" s="1202"/>
      <c r="DRK8" s="1202"/>
      <c r="DRL8" s="1202"/>
      <c r="DRM8" s="1202"/>
      <c r="DRN8" s="1202"/>
      <c r="DRO8" s="1202"/>
      <c r="DRP8" s="1202"/>
      <c r="DRQ8" s="1202"/>
      <c r="DRR8" s="1202"/>
      <c r="DRS8" s="1202"/>
      <c r="DRT8" s="1202"/>
      <c r="DRU8" s="1202"/>
      <c r="DRV8" s="1202"/>
      <c r="DRW8" s="1202"/>
      <c r="DRX8" s="1202"/>
      <c r="DRY8" s="1202"/>
      <c r="DRZ8" s="1202"/>
      <c r="DSA8" s="1202"/>
      <c r="DSB8" s="1202"/>
      <c r="DSC8" s="1202"/>
      <c r="DSD8" s="1202"/>
      <c r="DSE8" s="1202"/>
      <c r="DSF8" s="1202"/>
      <c r="DSG8" s="1202"/>
      <c r="DSH8" s="1202"/>
      <c r="DSI8" s="1202"/>
      <c r="DSJ8" s="1202"/>
      <c r="DSK8" s="1202"/>
      <c r="DSL8" s="1202"/>
      <c r="DSM8" s="1202"/>
      <c r="DSN8" s="1202"/>
      <c r="DSO8" s="1202"/>
      <c r="DSP8" s="1202"/>
      <c r="DSQ8" s="1202"/>
      <c r="DSR8" s="1202"/>
      <c r="DSS8" s="1202"/>
      <c r="DST8" s="1202"/>
      <c r="DSU8" s="1202"/>
      <c r="DSV8" s="1202"/>
      <c r="DSW8" s="1202"/>
      <c r="DSX8" s="1202"/>
      <c r="DSY8" s="1202"/>
      <c r="DSZ8" s="1202"/>
      <c r="DTA8" s="1202"/>
      <c r="DTB8" s="1202"/>
      <c r="DTC8" s="1202"/>
      <c r="DTD8" s="1202"/>
      <c r="DTE8" s="1202"/>
      <c r="DTF8" s="1202"/>
      <c r="DTG8" s="1202"/>
      <c r="DTH8" s="1202"/>
      <c r="DTI8" s="1202"/>
      <c r="DTJ8" s="1202"/>
      <c r="DTK8" s="1202"/>
      <c r="DTL8" s="1202"/>
      <c r="DTM8" s="1202"/>
      <c r="DTN8" s="1202"/>
      <c r="DTO8" s="1202"/>
      <c r="DTP8" s="1202"/>
      <c r="DTQ8" s="1202"/>
      <c r="DTR8" s="1202"/>
      <c r="DTS8" s="1202"/>
      <c r="DTT8" s="1202"/>
      <c r="DTU8" s="1202"/>
      <c r="DTV8" s="1202"/>
      <c r="DTW8" s="1202"/>
      <c r="DTX8" s="1202"/>
      <c r="DTY8" s="1202"/>
      <c r="DTZ8" s="1202"/>
      <c r="DUA8" s="1202"/>
      <c r="DUB8" s="1202"/>
      <c r="DUC8" s="1202"/>
      <c r="DUD8" s="1202"/>
      <c r="DUE8" s="1202"/>
      <c r="DUF8" s="1202"/>
      <c r="DUG8" s="1202"/>
      <c r="DUH8" s="1202"/>
      <c r="DUI8" s="1202"/>
      <c r="DUJ8" s="1202"/>
      <c r="DUK8" s="1202"/>
      <c r="DUL8" s="1202"/>
      <c r="DUM8" s="1202"/>
      <c r="DUN8" s="1202"/>
      <c r="DUO8" s="1202"/>
      <c r="DUP8" s="1202"/>
      <c r="DUQ8" s="1202"/>
      <c r="DUR8" s="1202"/>
      <c r="DUS8" s="1202"/>
      <c r="DUT8" s="1202"/>
      <c r="DUU8" s="1202"/>
      <c r="DUV8" s="1202"/>
      <c r="DUW8" s="1202"/>
      <c r="DUX8" s="1202"/>
      <c r="DUY8" s="1202"/>
      <c r="DUZ8" s="1202"/>
      <c r="DVA8" s="1202"/>
      <c r="DVB8" s="1202"/>
      <c r="DVC8" s="1202"/>
      <c r="DVD8" s="1202"/>
      <c r="DVE8" s="1202"/>
      <c r="DVF8" s="1202"/>
      <c r="DVG8" s="1202"/>
      <c r="DVH8" s="1202"/>
      <c r="DVI8" s="1202"/>
      <c r="DVJ8" s="1202"/>
      <c r="DVK8" s="1202"/>
      <c r="DVL8" s="1202"/>
      <c r="DVM8" s="1202"/>
      <c r="DVN8" s="1202"/>
      <c r="DVO8" s="1202"/>
      <c r="DVP8" s="1202"/>
      <c r="DVQ8" s="1202"/>
      <c r="DVR8" s="1202"/>
      <c r="DVS8" s="1202"/>
      <c r="DVT8" s="1202"/>
      <c r="DVU8" s="1202"/>
      <c r="DVV8" s="1202"/>
      <c r="DVW8" s="1202"/>
      <c r="DVX8" s="1202"/>
      <c r="DVY8" s="1202"/>
      <c r="DVZ8" s="1202"/>
      <c r="DWA8" s="1202"/>
      <c r="DWB8" s="1202"/>
      <c r="DWC8" s="1202"/>
      <c r="DWD8" s="1202"/>
      <c r="DWE8" s="1202"/>
      <c r="DWF8" s="1202"/>
      <c r="DWG8" s="1202"/>
      <c r="DWH8" s="1202"/>
      <c r="DWI8" s="1202"/>
      <c r="DWJ8" s="1202"/>
      <c r="DWK8" s="1202"/>
      <c r="DWL8" s="1202"/>
      <c r="DWM8" s="1202"/>
      <c r="DWN8" s="1202"/>
      <c r="DWO8" s="1202"/>
      <c r="DWP8" s="1202"/>
      <c r="DWQ8" s="1202"/>
      <c r="DWR8" s="1202"/>
      <c r="DWS8" s="1202"/>
      <c r="DWT8" s="1202"/>
      <c r="DWU8" s="1202"/>
      <c r="DWV8" s="1202"/>
      <c r="DWW8" s="1202"/>
      <c r="DWX8" s="1202"/>
      <c r="DWY8" s="1202"/>
      <c r="DWZ8" s="1202"/>
      <c r="DXA8" s="1202"/>
      <c r="DXB8" s="1202"/>
      <c r="DXC8" s="1202"/>
      <c r="DXD8" s="1202"/>
      <c r="DXE8" s="1202"/>
      <c r="DXF8" s="1202"/>
      <c r="DXG8" s="1202"/>
      <c r="DXH8" s="1202"/>
      <c r="DXI8" s="1202"/>
      <c r="DXJ8" s="1202"/>
      <c r="DXK8" s="1202"/>
      <c r="DXL8" s="1202"/>
      <c r="DXM8" s="1202"/>
      <c r="DXN8" s="1202"/>
      <c r="DXO8" s="1202"/>
      <c r="DXP8" s="1202"/>
      <c r="DXQ8" s="1202"/>
      <c r="DXR8" s="1202"/>
      <c r="DXS8" s="1202"/>
      <c r="DXT8" s="1202"/>
      <c r="DXU8" s="1202"/>
      <c r="DXV8" s="1202"/>
      <c r="DXW8" s="1202"/>
      <c r="DXX8" s="1202"/>
      <c r="DXY8" s="1202"/>
      <c r="DXZ8" s="1202"/>
      <c r="DYA8" s="1202"/>
      <c r="DYB8" s="1202"/>
      <c r="DYC8" s="1202"/>
      <c r="DYD8" s="1202"/>
      <c r="DYE8" s="1202"/>
      <c r="DYF8" s="1202"/>
      <c r="DYG8" s="1202"/>
      <c r="DYH8" s="1202"/>
      <c r="DYI8" s="1202"/>
      <c r="DYJ8" s="1202"/>
      <c r="DYK8" s="1202"/>
      <c r="DYL8" s="1202"/>
      <c r="DYM8" s="1202"/>
      <c r="DYN8" s="1202"/>
      <c r="DYO8" s="1202"/>
      <c r="DYP8" s="1202"/>
      <c r="DYQ8" s="1202"/>
      <c r="DYR8" s="1202"/>
      <c r="DYS8" s="1202"/>
      <c r="DYT8" s="1202"/>
      <c r="DYU8" s="1202"/>
      <c r="DYV8" s="1202"/>
      <c r="DYW8" s="1202"/>
      <c r="DYX8" s="1202"/>
      <c r="DYY8" s="1202"/>
      <c r="DYZ8" s="1202"/>
      <c r="DZA8" s="1202"/>
      <c r="DZB8" s="1202"/>
      <c r="DZC8" s="1202"/>
      <c r="DZD8" s="1202"/>
      <c r="DZE8" s="1202"/>
      <c r="DZF8" s="1202"/>
      <c r="DZG8" s="1202"/>
      <c r="DZH8" s="1202"/>
      <c r="DZI8" s="1202"/>
      <c r="DZJ8" s="1202"/>
      <c r="DZK8" s="1202"/>
      <c r="DZL8" s="1202"/>
      <c r="DZM8" s="1202"/>
      <c r="DZN8" s="1202"/>
      <c r="DZO8" s="1202"/>
      <c r="DZP8" s="1202"/>
      <c r="DZQ8" s="1202"/>
      <c r="DZR8" s="1202"/>
      <c r="DZS8" s="1202"/>
      <c r="DZT8" s="1202"/>
      <c r="DZU8" s="1202"/>
      <c r="DZV8" s="1202"/>
      <c r="DZW8" s="1202"/>
      <c r="DZX8" s="1202"/>
      <c r="DZY8" s="1202"/>
      <c r="DZZ8" s="1202"/>
      <c r="EAA8" s="1202"/>
      <c r="EAB8" s="1202"/>
      <c r="EAC8" s="1202"/>
      <c r="EAD8" s="1202"/>
      <c r="EAE8" s="1202"/>
      <c r="EAF8" s="1202"/>
      <c r="EAG8" s="1202"/>
      <c r="EAH8" s="1202"/>
      <c r="EAI8" s="1202"/>
      <c r="EAJ8" s="1202"/>
      <c r="EAK8" s="1202"/>
      <c r="EAL8" s="1202"/>
      <c r="EAM8" s="1202"/>
      <c r="EAN8" s="1202"/>
      <c r="EAO8" s="1202"/>
      <c r="EAP8" s="1202"/>
      <c r="EAQ8" s="1202"/>
      <c r="EAR8" s="1202"/>
      <c r="EAS8" s="1202"/>
      <c r="EAT8" s="1202"/>
      <c r="EAU8" s="1202"/>
      <c r="EAV8" s="1202"/>
      <c r="EAW8" s="1202"/>
      <c r="EAX8" s="1202"/>
      <c r="EAY8" s="1202"/>
      <c r="EAZ8" s="1202"/>
      <c r="EBA8" s="1202"/>
      <c r="EBB8" s="1202"/>
      <c r="EBC8" s="1202"/>
      <c r="EBD8" s="1202"/>
      <c r="EBE8" s="1202"/>
      <c r="EBF8" s="1202"/>
      <c r="EBG8" s="1202"/>
      <c r="EBH8" s="1202"/>
      <c r="EBI8" s="1202"/>
      <c r="EBJ8" s="1202"/>
      <c r="EBK8" s="1202"/>
      <c r="EBL8" s="1202"/>
      <c r="EBM8" s="1202"/>
      <c r="EBN8" s="1202"/>
      <c r="EBO8" s="1202"/>
      <c r="EBP8" s="1202"/>
      <c r="EBQ8" s="1202"/>
      <c r="EBR8" s="1202"/>
      <c r="EBS8" s="1202"/>
      <c r="EBT8" s="1202"/>
      <c r="EBU8" s="1202"/>
      <c r="EBV8" s="1202"/>
      <c r="EBW8" s="1202"/>
      <c r="EBX8" s="1202"/>
      <c r="EBY8" s="1202"/>
      <c r="EBZ8" s="1202"/>
      <c r="ECA8" s="1202"/>
      <c r="ECB8" s="1202"/>
      <c r="ECC8" s="1202"/>
      <c r="ECD8" s="1202"/>
      <c r="ECE8" s="1202"/>
      <c r="ECF8" s="1202"/>
      <c r="ECG8" s="1202"/>
      <c r="ECH8" s="1202"/>
      <c r="ECI8" s="1202"/>
      <c r="ECJ8" s="1202"/>
      <c r="ECK8" s="1202"/>
      <c r="ECL8" s="1202"/>
      <c r="ECM8" s="1202"/>
      <c r="ECN8" s="1202"/>
      <c r="ECO8" s="1202"/>
      <c r="ECP8" s="1202"/>
      <c r="ECQ8" s="1202"/>
      <c r="ECR8" s="1202"/>
      <c r="ECS8" s="1202"/>
      <c r="ECT8" s="1202"/>
      <c r="ECU8" s="1202"/>
      <c r="ECV8" s="1202"/>
      <c r="ECW8" s="1202"/>
      <c r="ECX8" s="1202"/>
      <c r="ECY8" s="1202"/>
      <c r="ECZ8" s="1202"/>
      <c r="EDA8" s="1202"/>
      <c r="EDB8" s="1202"/>
      <c r="EDC8" s="1202"/>
      <c r="EDD8" s="1202"/>
      <c r="EDE8" s="1202"/>
      <c r="EDF8" s="1202"/>
      <c r="EDG8" s="1202"/>
      <c r="EDH8" s="1202"/>
      <c r="EDI8" s="1202"/>
      <c r="EDJ8" s="1202"/>
      <c r="EDK8" s="1202"/>
      <c r="EDL8" s="1202"/>
      <c r="EDM8" s="1202"/>
      <c r="EDN8" s="1202"/>
      <c r="EDO8" s="1202"/>
      <c r="EDP8" s="1202"/>
      <c r="EDQ8" s="1202"/>
      <c r="EDR8" s="1202"/>
      <c r="EDS8" s="1202"/>
      <c r="EDT8" s="1202"/>
      <c r="EDU8" s="1202"/>
      <c r="EDV8" s="1202"/>
      <c r="EDW8" s="1202"/>
      <c r="EDX8" s="1202"/>
      <c r="EDY8" s="1202"/>
      <c r="EDZ8" s="1202"/>
      <c r="EEA8" s="1202"/>
      <c r="EEB8" s="1202"/>
      <c r="EEC8" s="1202"/>
      <c r="EED8" s="1202"/>
      <c r="EEE8" s="1202"/>
      <c r="EEF8" s="1202"/>
      <c r="EEG8" s="1202"/>
      <c r="EEH8" s="1202"/>
      <c r="EEI8" s="1202"/>
      <c r="EEJ8" s="1202"/>
      <c r="EEK8" s="1202"/>
      <c r="EEL8" s="1202"/>
      <c r="EEM8" s="1202"/>
      <c r="EEN8" s="1202"/>
      <c r="EEO8" s="1202"/>
      <c r="EEP8" s="1202"/>
      <c r="EEQ8" s="1202"/>
      <c r="EER8" s="1202"/>
      <c r="EES8" s="1202"/>
      <c r="EET8" s="1202"/>
      <c r="EEU8" s="1202"/>
      <c r="EEV8" s="1202"/>
      <c r="EEW8" s="1202"/>
      <c r="EEX8" s="1202"/>
      <c r="EEY8" s="1202"/>
      <c r="EEZ8" s="1202"/>
      <c r="EFA8" s="1202"/>
      <c r="EFB8" s="1202"/>
      <c r="EFC8" s="1202"/>
      <c r="EFD8" s="1202"/>
      <c r="EFE8" s="1202"/>
      <c r="EFF8" s="1202"/>
      <c r="EFG8" s="1202"/>
      <c r="EFH8" s="1202"/>
      <c r="EFI8" s="1202"/>
      <c r="EFJ8" s="1202"/>
      <c r="EFK8" s="1202"/>
      <c r="EFL8" s="1202"/>
      <c r="EFM8" s="1202"/>
      <c r="EFN8" s="1202"/>
      <c r="EFO8" s="1202"/>
      <c r="EFP8" s="1202"/>
      <c r="EFQ8" s="1202"/>
      <c r="EFR8" s="1202"/>
      <c r="EFS8" s="1202"/>
      <c r="EFT8" s="1202"/>
      <c r="EFU8" s="1202"/>
      <c r="EFV8" s="1202"/>
      <c r="EFW8" s="1202"/>
      <c r="EFX8" s="1202"/>
      <c r="EFY8" s="1202"/>
      <c r="EFZ8" s="1202"/>
      <c r="EGA8" s="1202"/>
      <c r="EGB8" s="1202"/>
      <c r="EGC8" s="1202"/>
      <c r="EGD8" s="1202"/>
      <c r="EGE8" s="1202"/>
      <c r="EGF8" s="1202"/>
      <c r="EGG8" s="1202"/>
      <c r="EGH8" s="1202"/>
      <c r="EGI8" s="1202"/>
      <c r="EGJ8" s="1202"/>
      <c r="EGK8" s="1202"/>
      <c r="EGL8" s="1202"/>
      <c r="EGM8" s="1202"/>
      <c r="EGN8" s="1202"/>
      <c r="EGO8" s="1202"/>
      <c r="EGP8" s="1202"/>
      <c r="EGQ8" s="1202"/>
      <c r="EGR8" s="1202"/>
      <c r="EGS8" s="1202"/>
      <c r="EGT8" s="1202"/>
      <c r="EGU8" s="1202"/>
      <c r="EGV8" s="1202"/>
      <c r="EGW8" s="1202"/>
      <c r="EGX8" s="1202"/>
      <c r="EGY8" s="1202"/>
      <c r="EGZ8" s="1202"/>
      <c r="EHA8" s="1202"/>
      <c r="EHB8" s="1202"/>
      <c r="EHC8" s="1202"/>
      <c r="EHD8" s="1202"/>
      <c r="EHE8" s="1202"/>
      <c r="EHF8" s="1202"/>
      <c r="EHG8" s="1202"/>
      <c r="EHH8" s="1202"/>
      <c r="EHI8" s="1202"/>
      <c r="EHJ8" s="1202"/>
      <c r="EHK8" s="1202"/>
      <c r="EHL8" s="1202"/>
      <c r="EHM8" s="1202"/>
      <c r="EHN8" s="1202"/>
      <c r="EHO8" s="1202"/>
      <c r="EHP8" s="1202"/>
      <c r="EHQ8" s="1202"/>
      <c r="EHR8" s="1202"/>
      <c r="EHS8" s="1202"/>
      <c r="EHT8" s="1202"/>
      <c r="EHU8" s="1202"/>
      <c r="EHV8" s="1202"/>
      <c r="EHW8" s="1202"/>
      <c r="EHX8" s="1202"/>
      <c r="EHY8" s="1202"/>
      <c r="EHZ8" s="1202"/>
      <c r="EIA8" s="1202"/>
      <c r="EIB8" s="1202"/>
      <c r="EIC8" s="1202"/>
      <c r="EID8" s="1202"/>
      <c r="EIE8" s="1202"/>
      <c r="EIF8" s="1202"/>
      <c r="EIG8" s="1202"/>
      <c r="EIH8" s="1202"/>
      <c r="EII8" s="1202"/>
      <c r="EIJ8" s="1202"/>
      <c r="EIK8" s="1202"/>
      <c r="EIL8" s="1202"/>
      <c r="EIM8" s="1202"/>
      <c r="EIN8" s="1202"/>
      <c r="EIO8" s="1202"/>
      <c r="EIP8" s="1202"/>
      <c r="EIQ8" s="1202"/>
      <c r="EIR8" s="1202"/>
      <c r="EIS8" s="1202"/>
      <c r="EIT8" s="1202"/>
      <c r="EIU8" s="1202"/>
      <c r="EIV8" s="1202"/>
      <c r="EIW8" s="1202"/>
      <c r="EIX8" s="1202"/>
      <c r="EIY8" s="1202"/>
      <c r="EIZ8" s="1202"/>
      <c r="EJA8" s="1202"/>
      <c r="EJB8" s="1202"/>
      <c r="EJC8" s="1202"/>
      <c r="EJD8" s="1202"/>
      <c r="EJE8" s="1202"/>
      <c r="EJF8" s="1202"/>
      <c r="EJG8" s="1202"/>
      <c r="EJH8" s="1202"/>
      <c r="EJI8" s="1202"/>
      <c r="EJJ8" s="1202"/>
      <c r="EJK8" s="1202"/>
      <c r="EJL8" s="1202"/>
      <c r="EJM8" s="1202"/>
      <c r="EJN8" s="1202"/>
      <c r="EJO8" s="1202"/>
      <c r="EJP8" s="1202"/>
      <c r="EJQ8" s="1202"/>
      <c r="EJR8" s="1202"/>
      <c r="EJS8" s="1202"/>
      <c r="EJT8" s="1202"/>
      <c r="EJU8" s="1202"/>
      <c r="EJV8" s="1202"/>
      <c r="EJW8" s="1202"/>
      <c r="EJX8" s="1202"/>
      <c r="EJY8" s="1202"/>
      <c r="EJZ8" s="1202"/>
      <c r="EKA8" s="1202"/>
      <c r="EKB8" s="1202"/>
      <c r="EKC8" s="1202"/>
      <c r="EKD8" s="1202"/>
      <c r="EKE8" s="1202"/>
      <c r="EKF8" s="1202"/>
      <c r="EKG8" s="1202"/>
      <c r="EKH8" s="1202"/>
      <c r="EKI8" s="1202"/>
      <c r="EKJ8" s="1202"/>
      <c r="EKK8" s="1202"/>
      <c r="EKL8" s="1202"/>
      <c r="EKM8" s="1202"/>
      <c r="EKN8" s="1202"/>
      <c r="EKO8" s="1202"/>
      <c r="EKP8" s="1202"/>
      <c r="EKQ8" s="1202"/>
      <c r="EKR8" s="1202"/>
      <c r="EKS8" s="1202"/>
      <c r="EKT8" s="1202"/>
      <c r="EKU8" s="1202"/>
      <c r="EKV8" s="1202"/>
      <c r="EKW8" s="1202"/>
      <c r="EKX8" s="1202"/>
      <c r="EKY8" s="1202"/>
      <c r="EKZ8" s="1202"/>
      <c r="ELA8" s="1202"/>
      <c r="ELB8" s="1202"/>
      <c r="ELC8" s="1202"/>
      <c r="ELD8" s="1202"/>
      <c r="ELE8" s="1202"/>
      <c r="ELF8" s="1202"/>
      <c r="ELG8" s="1202"/>
      <c r="ELH8" s="1202"/>
      <c r="ELI8" s="1202"/>
      <c r="ELJ8" s="1202"/>
      <c r="ELK8" s="1202"/>
      <c r="ELL8" s="1202"/>
      <c r="ELM8" s="1202"/>
      <c r="ELN8" s="1202"/>
      <c r="ELO8" s="1202"/>
      <c r="ELP8" s="1202"/>
      <c r="ELQ8" s="1202"/>
      <c r="ELR8" s="1202"/>
      <c r="ELS8" s="1202"/>
      <c r="ELT8" s="1202"/>
      <c r="ELU8" s="1202"/>
      <c r="ELV8" s="1202"/>
      <c r="ELW8" s="1202"/>
      <c r="ELX8" s="1202"/>
      <c r="ELY8" s="1202"/>
      <c r="ELZ8" s="1202"/>
      <c r="EMA8" s="1202"/>
      <c r="EMB8" s="1202"/>
      <c r="EMC8" s="1202"/>
      <c r="EMD8" s="1202"/>
      <c r="EME8" s="1202"/>
      <c r="EMF8" s="1202"/>
      <c r="EMG8" s="1202"/>
      <c r="EMH8" s="1202"/>
      <c r="EMI8" s="1202"/>
      <c r="EMJ8" s="1202"/>
      <c r="EMK8" s="1202"/>
      <c r="EML8" s="1202"/>
      <c r="EMM8" s="1202"/>
      <c r="EMN8" s="1202"/>
      <c r="EMO8" s="1202"/>
      <c r="EMP8" s="1202"/>
      <c r="EMQ8" s="1202"/>
      <c r="EMR8" s="1202"/>
      <c r="EMS8" s="1202"/>
      <c r="EMT8" s="1202"/>
      <c r="EMU8" s="1202"/>
      <c r="EMV8" s="1202"/>
      <c r="EMW8" s="1202"/>
      <c r="EMX8" s="1202"/>
      <c r="EMY8" s="1202"/>
      <c r="EMZ8" s="1202"/>
      <c r="ENA8" s="1202"/>
      <c r="ENB8" s="1202"/>
      <c r="ENC8" s="1202"/>
      <c r="END8" s="1202"/>
      <c r="ENE8" s="1202"/>
      <c r="ENF8" s="1202"/>
      <c r="ENG8" s="1202"/>
      <c r="ENH8" s="1202"/>
      <c r="ENI8" s="1202"/>
      <c r="ENJ8" s="1202"/>
      <c r="ENK8" s="1202"/>
      <c r="ENL8" s="1202"/>
      <c r="ENM8" s="1202"/>
      <c r="ENN8" s="1202"/>
      <c r="ENO8" s="1202"/>
      <c r="ENP8" s="1202"/>
      <c r="ENQ8" s="1202"/>
      <c r="ENR8" s="1202"/>
      <c r="ENS8" s="1202"/>
      <c r="ENT8" s="1202"/>
      <c r="ENU8" s="1202"/>
      <c r="ENV8" s="1202"/>
      <c r="ENW8" s="1202"/>
      <c r="ENX8" s="1202"/>
      <c r="ENY8" s="1202"/>
      <c r="ENZ8" s="1202"/>
      <c r="EOA8" s="1202"/>
      <c r="EOB8" s="1202"/>
      <c r="EOC8" s="1202"/>
      <c r="EOD8" s="1202"/>
      <c r="EOE8" s="1202"/>
      <c r="EOF8" s="1202"/>
      <c r="EOG8" s="1202"/>
      <c r="EOH8" s="1202"/>
      <c r="EOI8" s="1202"/>
      <c r="EOJ8" s="1202"/>
      <c r="EOK8" s="1202"/>
      <c r="EOL8" s="1202"/>
      <c r="EOM8" s="1202"/>
      <c r="EON8" s="1202"/>
      <c r="EOO8" s="1202"/>
      <c r="EOP8" s="1202"/>
      <c r="EOQ8" s="1202"/>
      <c r="EOR8" s="1202"/>
      <c r="EOS8" s="1202"/>
      <c r="EOT8" s="1202"/>
      <c r="EOU8" s="1202"/>
      <c r="EOV8" s="1202"/>
      <c r="EOW8" s="1202"/>
      <c r="EOX8" s="1202"/>
      <c r="EOY8" s="1202"/>
      <c r="EOZ8" s="1202"/>
      <c r="EPA8" s="1202"/>
      <c r="EPB8" s="1202"/>
      <c r="EPC8" s="1202"/>
      <c r="EPD8" s="1202"/>
      <c r="EPE8" s="1202"/>
      <c r="EPF8" s="1202"/>
      <c r="EPG8" s="1202"/>
      <c r="EPH8" s="1202"/>
      <c r="EPI8" s="1202"/>
      <c r="EPJ8" s="1202"/>
      <c r="EPK8" s="1202"/>
      <c r="EPL8" s="1202"/>
      <c r="EPM8" s="1202"/>
      <c r="EPN8" s="1202"/>
      <c r="EPO8" s="1202"/>
      <c r="EPP8" s="1202"/>
      <c r="EPQ8" s="1202"/>
      <c r="EPR8" s="1202"/>
      <c r="EPS8" s="1202"/>
      <c r="EPT8" s="1202"/>
      <c r="EPU8" s="1202"/>
      <c r="EPV8" s="1202"/>
      <c r="EPW8" s="1202"/>
      <c r="EPX8" s="1202"/>
      <c r="EPY8" s="1202"/>
      <c r="EPZ8" s="1202"/>
      <c r="EQA8" s="1202"/>
      <c r="EQB8" s="1202"/>
      <c r="EQC8" s="1202"/>
      <c r="EQD8" s="1202"/>
      <c r="EQE8" s="1202"/>
      <c r="EQF8" s="1202"/>
      <c r="EQG8" s="1202"/>
      <c r="EQH8" s="1202"/>
      <c r="EQI8" s="1202"/>
      <c r="EQJ8" s="1202"/>
      <c r="EQK8" s="1202"/>
      <c r="EQL8" s="1202"/>
      <c r="EQM8" s="1202"/>
      <c r="EQN8" s="1202"/>
      <c r="EQO8" s="1202"/>
      <c r="EQP8" s="1202"/>
      <c r="EQQ8" s="1202"/>
      <c r="EQR8" s="1202"/>
      <c r="EQS8" s="1202"/>
      <c r="EQT8" s="1202"/>
      <c r="EQU8" s="1202"/>
      <c r="EQV8" s="1202"/>
      <c r="EQW8" s="1202"/>
      <c r="EQX8" s="1202"/>
      <c r="EQY8" s="1202"/>
      <c r="EQZ8" s="1202"/>
      <c r="ERA8" s="1202"/>
      <c r="ERB8" s="1202"/>
      <c r="ERC8" s="1202"/>
      <c r="ERD8" s="1202"/>
      <c r="ERE8" s="1202"/>
      <c r="ERF8" s="1202"/>
      <c r="ERG8" s="1202"/>
      <c r="ERH8" s="1202"/>
      <c r="ERI8" s="1202"/>
      <c r="ERJ8" s="1202"/>
      <c r="ERK8" s="1202"/>
      <c r="ERL8" s="1202"/>
      <c r="ERM8" s="1202"/>
      <c r="ERN8" s="1202"/>
      <c r="ERO8" s="1202"/>
      <c r="ERP8" s="1202"/>
      <c r="ERQ8" s="1202"/>
      <c r="ERR8" s="1202"/>
      <c r="ERS8" s="1202"/>
      <c r="ERT8" s="1202"/>
      <c r="ERU8" s="1202"/>
      <c r="ERV8" s="1202"/>
      <c r="ERW8" s="1202"/>
      <c r="ERX8" s="1202"/>
      <c r="ERY8" s="1202"/>
      <c r="ERZ8" s="1202"/>
      <c r="ESA8" s="1202"/>
      <c r="ESB8" s="1202"/>
      <c r="ESC8" s="1202"/>
      <c r="ESD8" s="1202"/>
      <c r="ESE8" s="1202"/>
      <c r="ESF8" s="1202"/>
      <c r="ESG8" s="1202"/>
      <c r="ESH8" s="1202"/>
      <c r="ESI8" s="1202"/>
      <c r="ESJ8" s="1202"/>
      <c r="ESK8" s="1202"/>
      <c r="ESL8" s="1202"/>
      <c r="ESM8" s="1202"/>
      <c r="ESN8" s="1202"/>
      <c r="ESO8" s="1202"/>
      <c r="ESP8" s="1202"/>
      <c r="ESQ8" s="1202"/>
      <c r="ESR8" s="1202"/>
      <c r="ESS8" s="1202"/>
      <c r="EST8" s="1202"/>
      <c r="ESU8" s="1202"/>
      <c r="ESV8" s="1202"/>
      <c r="ESW8" s="1202"/>
      <c r="ESX8" s="1202"/>
      <c r="ESY8" s="1202"/>
      <c r="ESZ8" s="1202"/>
      <c r="ETA8" s="1202"/>
      <c r="ETB8" s="1202"/>
      <c r="ETC8" s="1202"/>
      <c r="ETD8" s="1202"/>
      <c r="ETE8" s="1202"/>
      <c r="ETF8" s="1202"/>
      <c r="ETG8" s="1202"/>
      <c r="ETH8" s="1202"/>
      <c r="ETI8" s="1202"/>
      <c r="ETJ8" s="1202"/>
      <c r="ETK8" s="1202"/>
      <c r="ETL8" s="1202"/>
      <c r="ETM8" s="1202"/>
      <c r="ETN8" s="1202"/>
      <c r="ETO8" s="1202"/>
      <c r="ETP8" s="1202"/>
      <c r="ETQ8" s="1202"/>
      <c r="ETR8" s="1202"/>
      <c r="ETS8" s="1202"/>
      <c r="ETT8" s="1202"/>
      <c r="ETU8" s="1202"/>
      <c r="ETV8" s="1202"/>
      <c r="ETW8" s="1202"/>
      <c r="ETX8" s="1202"/>
      <c r="ETY8" s="1202"/>
      <c r="ETZ8" s="1202"/>
      <c r="EUA8" s="1202"/>
      <c r="EUB8" s="1202"/>
      <c r="EUC8" s="1202"/>
      <c r="EUD8" s="1202"/>
      <c r="EUE8" s="1202"/>
      <c r="EUF8" s="1202"/>
      <c r="EUG8" s="1202"/>
      <c r="EUH8" s="1202"/>
      <c r="EUI8" s="1202"/>
      <c r="EUJ8" s="1202"/>
      <c r="EUK8" s="1202"/>
      <c r="EUL8" s="1202"/>
      <c r="EUM8" s="1202"/>
      <c r="EUN8" s="1202"/>
      <c r="EUO8" s="1202"/>
      <c r="EUP8" s="1202"/>
      <c r="EUQ8" s="1202"/>
      <c r="EUR8" s="1202"/>
      <c r="EUS8" s="1202"/>
      <c r="EUT8" s="1202"/>
      <c r="EUU8" s="1202"/>
      <c r="EUV8" s="1202"/>
      <c r="EUW8" s="1202"/>
      <c r="EUX8" s="1202"/>
      <c r="EUY8" s="1202"/>
      <c r="EUZ8" s="1202"/>
      <c r="EVA8" s="1202"/>
      <c r="EVB8" s="1202"/>
      <c r="EVC8" s="1202"/>
      <c r="EVD8" s="1202"/>
      <c r="EVE8" s="1202"/>
      <c r="EVF8" s="1202"/>
      <c r="EVG8" s="1202"/>
      <c r="EVH8" s="1202"/>
      <c r="EVI8" s="1202"/>
      <c r="EVJ8" s="1202"/>
      <c r="EVK8" s="1202"/>
      <c r="EVL8" s="1202"/>
      <c r="EVM8" s="1202"/>
      <c r="EVN8" s="1202"/>
      <c r="EVO8" s="1202"/>
      <c r="EVP8" s="1202"/>
      <c r="EVQ8" s="1202"/>
      <c r="EVR8" s="1202"/>
      <c r="EVS8" s="1202"/>
      <c r="EVT8" s="1202"/>
      <c r="EVU8" s="1202"/>
      <c r="EVV8" s="1202"/>
      <c r="EVW8" s="1202"/>
      <c r="EVX8" s="1202"/>
      <c r="EVY8" s="1202"/>
      <c r="EVZ8" s="1202"/>
      <c r="EWA8" s="1202"/>
      <c r="EWB8" s="1202"/>
      <c r="EWC8" s="1202"/>
      <c r="EWD8" s="1202"/>
      <c r="EWE8" s="1202"/>
      <c r="EWF8" s="1202"/>
      <c r="EWG8" s="1202"/>
      <c r="EWH8" s="1202"/>
      <c r="EWI8" s="1202"/>
      <c r="EWJ8" s="1202"/>
      <c r="EWK8" s="1202"/>
      <c r="EWL8" s="1202"/>
      <c r="EWM8" s="1202"/>
      <c r="EWN8" s="1202"/>
      <c r="EWO8" s="1202"/>
      <c r="EWP8" s="1202"/>
      <c r="EWQ8" s="1202"/>
      <c r="EWR8" s="1202"/>
      <c r="EWS8" s="1202"/>
      <c r="EWT8" s="1202"/>
      <c r="EWU8" s="1202"/>
      <c r="EWV8" s="1202"/>
      <c r="EWW8" s="1202"/>
      <c r="EWX8" s="1202"/>
      <c r="EWY8" s="1202"/>
      <c r="EWZ8" s="1202"/>
      <c r="EXA8" s="1202"/>
      <c r="EXB8" s="1202"/>
      <c r="EXC8" s="1202"/>
      <c r="EXD8" s="1202"/>
      <c r="EXE8" s="1202"/>
      <c r="EXF8" s="1202"/>
      <c r="EXG8" s="1202"/>
      <c r="EXH8" s="1202"/>
      <c r="EXI8" s="1202"/>
      <c r="EXJ8" s="1202"/>
      <c r="EXK8" s="1202"/>
      <c r="EXL8" s="1202"/>
      <c r="EXM8" s="1202"/>
      <c r="EXN8" s="1202"/>
      <c r="EXO8" s="1202"/>
      <c r="EXP8" s="1202"/>
      <c r="EXQ8" s="1202"/>
      <c r="EXR8" s="1202"/>
      <c r="EXS8" s="1202"/>
      <c r="EXT8" s="1202"/>
      <c r="EXU8" s="1202"/>
      <c r="EXV8" s="1202"/>
      <c r="EXW8" s="1202"/>
      <c r="EXX8" s="1202"/>
      <c r="EXY8" s="1202"/>
      <c r="EXZ8" s="1202"/>
      <c r="EYA8" s="1202"/>
      <c r="EYB8" s="1202"/>
      <c r="EYC8" s="1202"/>
      <c r="EYD8" s="1202"/>
      <c r="EYE8" s="1202"/>
      <c r="EYF8" s="1202"/>
      <c r="EYG8" s="1202"/>
      <c r="EYH8" s="1202"/>
      <c r="EYI8" s="1202"/>
      <c r="EYJ8" s="1202"/>
      <c r="EYK8" s="1202"/>
      <c r="EYL8" s="1202"/>
      <c r="EYM8" s="1202"/>
      <c r="EYN8" s="1202"/>
      <c r="EYO8" s="1202"/>
      <c r="EYP8" s="1202"/>
      <c r="EYQ8" s="1202"/>
      <c r="EYR8" s="1202"/>
      <c r="EYS8" s="1202"/>
      <c r="EYT8" s="1202"/>
      <c r="EYU8" s="1202"/>
      <c r="EYV8" s="1202"/>
      <c r="EYW8" s="1202"/>
      <c r="EYX8" s="1202"/>
      <c r="EYY8" s="1202"/>
      <c r="EYZ8" s="1202"/>
      <c r="EZA8" s="1202"/>
      <c r="EZB8" s="1202"/>
      <c r="EZC8" s="1202"/>
      <c r="EZD8" s="1202"/>
      <c r="EZE8" s="1202"/>
      <c r="EZF8" s="1202"/>
      <c r="EZG8" s="1202"/>
      <c r="EZH8" s="1202"/>
      <c r="EZI8" s="1202"/>
      <c r="EZJ8" s="1202"/>
      <c r="EZK8" s="1202"/>
      <c r="EZL8" s="1202"/>
      <c r="EZM8" s="1202"/>
      <c r="EZN8" s="1202"/>
      <c r="EZO8" s="1202"/>
      <c r="EZP8" s="1202"/>
      <c r="EZQ8" s="1202"/>
      <c r="EZR8" s="1202"/>
      <c r="EZS8" s="1202"/>
      <c r="EZT8" s="1202"/>
      <c r="EZU8" s="1202"/>
      <c r="EZV8" s="1202"/>
      <c r="EZW8" s="1202"/>
      <c r="EZX8" s="1202"/>
      <c r="EZY8" s="1202"/>
      <c r="EZZ8" s="1202"/>
      <c r="FAA8" s="1202"/>
      <c r="FAB8" s="1202"/>
      <c r="FAC8" s="1202"/>
      <c r="FAD8" s="1202"/>
      <c r="FAE8" s="1202"/>
      <c r="FAF8" s="1202"/>
      <c r="FAG8" s="1202"/>
      <c r="FAH8" s="1202"/>
      <c r="FAI8" s="1202"/>
      <c r="FAJ8" s="1202"/>
      <c r="FAK8" s="1202"/>
      <c r="FAL8" s="1202"/>
      <c r="FAM8" s="1202"/>
      <c r="FAN8" s="1202"/>
      <c r="FAO8" s="1202"/>
      <c r="FAP8" s="1202"/>
      <c r="FAQ8" s="1202"/>
      <c r="FAR8" s="1202"/>
      <c r="FAS8" s="1202"/>
      <c r="FAT8" s="1202"/>
      <c r="FAU8" s="1202"/>
      <c r="FAV8" s="1202"/>
      <c r="FAW8" s="1202"/>
      <c r="FAX8" s="1202"/>
      <c r="FAY8" s="1202"/>
      <c r="FAZ8" s="1202"/>
      <c r="FBA8" s="1202"/>
      <c r="FBB8" s="1202"/>
      <c r="FBC8" s="1202"/>
      <c r="FBD8" s="1202"/>
      <c r="FBE8" s="1202"/>
      <c r="FBF8" s="1202"/>
      <c r="FBG8" s="1202"/>
      <c r="FBH8" s="1202"/>
      <c r="FBI8" s="1202"/>
      <c r="FBJ8" s="1202"/>
      <c r="FBK8" s="1202"/>
      <c r="FBL8" s="1202"/>
      <c r="FBM8" s="1202"/>
      <c r="FBN8" s="1202"/>
      <c r="FBO8" s="1202"/>
      <c r="FBP8" s="1202"/>
      <c r="FBQ8" s="1202"/>
      <c r="FBR8" s="1202"/>
      <c r="FBS8" s="1202"/>
      <c r="FBT8" s="1202"/>
      <c r="FBU8" s="1202"/>
      <c r="FBV8" s="1202"/>
      <c r="FBW8" s="1202"/>
      <c r="FBX8" s="1202"/>
      <c r="FBY8" s="1202"/>
      <c r="FBZ8" s="1202"/>
      <c r="FCA8" s="1202"/>
      <c r="FCB8" s="1202"/>
      <c r="FCC8" s="1202"/>
      <c r="FCD8" s="1202"/>
      <c r="FCE8" s="1202"/>
      <c r="FCF8" s="1202"/>
      <c r="FCG8" s="1202"/>
      <c r="FCH8" s="1202"/>
      <c r="FCI8" s="1202"/>
      <c r="FCJ8" s="1202"/>
      <c r="FCK8" s="1202"/>
      <c r="FCL8" s="1202"/>
      <c r="FCM8" s="1202"/>
      <c r="FCN8" s="1202"/>
      <c r="FCO8" s="1202"/>
      <c r="FCP8" s="1202"/>
      <c r="FCQ8" s="1202"/>
      <c r="FCR8" s="1202"/>
      <c r="FCS8" s="1202"/>
      <c r="FCT8" s="1202"/>
      <c r="FCU8" s="1202"/>
      <c r="FCV8" s="1202"/>
      <c r="FCW8" s="1202"/>
      <c r="FCX8" s="1202"/>
      <c r="FCY8" s="1202"/>
      <c r="FCZ8" s="1202"/>
      <c r="FDA8" s="1202"/>
      <c r="FDB8" s="1202"/>
      <c r="FDC8" s="1202"/>
      <c r="FDD8" s="1202"/>
      <c r="FDE8" s="1202"/>
      <c r="FDF8" s="1202"/>
      <c r="FDG8" s="1202"/>
      <c r="FDH8" s="1202"/>
      <c r="FDI8" s="1202"/>
      <c r="FDJ8" s="1202"/>
      <c r="FDK8" s="1202"/>
      <c r="FDL8" s="1202"/>
      <c r="FDM8" s="1202"/>
      <c r="FDN8" s="1202"/>
      <c r="FDO8" s="1202"/>
      <c r="FDP8" s="1202"/>
      <c r="FDQ8" s="1202"/>
      <c r="FDR8" s="1202"/>
      <c r="FDS8" s="1202"/>
      <c r="FDT8" s="1202"/>
      <c r="FDU8" s="1202"/>
      <c r="FDV8" s="1202"/>
      <c r="FDW8" s="1202"/>
      <c r="FDX8" s="1202"/>
      <c r="FDY8" s="1202"/>
      <c r="FDZ8" s="1202"/>
      <c r="FEA8" s="1202"/>
      <c r="FEB8" s="1202"/>
      <c r="FEC8" s="1202"/>
      <c r="FED8" s="1202"/>
      <c r="FEE8" s="1202"/>
      <c r="FEF8" s="1202"/>
      <c r="FEG8" s="1202"/>
      <c r="FEH8" s="1202"/>
      <c r="FEI8" s="1202"/>
      <c r="FEJ8" s="1202"/>
      <c r="FEK8" s="1202"/>
      <c r="FEL8" s="1202"/>
      <c r="FEM8" s="1202"/>
      <c r="FEN8" s="1202"/>
      <c r="FEO8" s="1202"/>
      <c r="FEP8" s="1202"/>
      <c r="FEQ8" s="1202"/>
      <c r="FER8" s="1202"/>
      <c r="FES8" s="1202"/>
      <c r="FET8" s="1202"/>
      <c r="FEU8" s="1202"/>
      <c r="FEV8" s="1202"/>
      <c r="FEW8" s="1202"/>
      <c r="FEX8" s="1202"/>
      <c r="FEY8" s="1202"/>
      <c r="FEZ8" s="1202"/>
      <c r="FFA8" s="1202"/>
      <c r="FFB8" s="1202"/>
      <c r="FFC8" s="1202"/>
      <c r="FFD8" s="1202"/>
      <c r="FFE8" s="1202"/>
      <c r="FFF8" s="1202"/>
      <c r="FFG8" s="1202"/>
      <c r="FFH8" s="1202"/>
      <c r="FFI8" s="1202"/>
      <c r="FFJ8" s="1202"/>
      <c r="FFK8" s="1202"/>
      <c r="FFL8" s="1202"/>
      <c r="FFM8" s="1202"/>
      <c r="FFN8" s="1202"/>
      <c r="FFO8" s="1202"/>
      <c r="FFP8" s="1202"/>
      <c r="FFQ8" s="1202"/>
      <c r="FFR8" s="1202"/>
      <c r="FFS8" s="1202"/>
      <c r="FFT8" s="1202"/>
      <c r="FFU8" s="1202"/>
      <c r="FFV8" s="1202"/>
      <c r="FFW8" s="1202"/>
      <c r="FFX8" s="1202"/>
      <c r="FFY8" s="1202"/>
      <c r="FFZ8" s="1202"/>
      <c r="FGA8" s="1202"/>
      <c r="FGB8" s="1202"/>
      <c r="FGC8" s="1202"/>
      <c r="FGD8" s="1202"/>
      <c r="FGE8" s="1202"/>
      <c r="FGF8" s="1202"/>
      <c r="FGG8" s="1202"/>
      <c r="FGH8" s="1202"/>
      <c r="FGI8" s="1202"/>
      <c r="FGJ8" s="1202"/>
      <c r="FGK8" s="1202"/>
      <c r="FGL8" s="1202"/>
      <c r="FGM8" s="1202"/>
      <c r="FGN8" s="1202"/>
      <c r="FGO8" s="1202"/>
      <c r="FGP8" s="1202"/>
      <c r="FGQ8" s="1202"/>
      <c r="FGR8" s="1202"/>
      <c r="FGS8" s="1202"/>
      <c r="FGT8" s="1202"/>
      <c r="FGU8" s="1202"/>
      <c r="FGV8" s="1202"/>
      <c r="FGW8" s="1202"/>
      <c r="FGX8" s="1202"/>
      <c r="FGY8" s="1202"/>
      <c r="FGZ8" s="1202"/>
      <c r="FHA8" s="1202"/>
      <c r="FHB8" s="1202"/>
      <c r="FHC8" s="1202"/>
      <c r="FHD8" s="1202"/>
      <c r="FHE8" s="1202"/>
      <c r="FHF8" s="1202"/>
      <c r="FHG8" s="1202"/>
      <c r="FHH8" s="1202"/>
      <c r="FHI8" s="1202"/>
      <c r="FHJ8" s="1202"/>
      <c r="FHK8" s="1202"/>
      <c r="FHL8" s="1202"/>
      <c r="FHM8" s="1202"/>
      <c r="FHN8" s="1202"/>
      <c r="FHO8" s="1202"/>
      <c r="FHP8" s="1202"/>
      <c r="FHQ8" s="1202"/>
      <c r="FHR8" s="1202"/>
      <c r="FHS8" s="1202"/>
      <c r="FHT8" s="1202"/>
      <c r="FHU8" s="1202"/>
      <c r="FHV8" s="1202"/>
      <c r="FHW8" s="1202"/>
      <c r="FHX8" s="1202"/>
      <c r="FHY8" s="1202"/>
      <c r="FHZ8" s="1202"/>
      <c r="FIA8" s="1202"/>
      <c r="FIB8" s="1202"/>
      <c r="FIC8" s="1202"/>
      <c r="FID8" s="1202"/>
      <c r="FIE8" s="1202"/>
      <c r="FIF8" s="1202"/>
      <c r="FIG8" s="1202"/>
      <c r="FIH8" s="1202"/>
      <c r="FII8" s="1202"/>
      <c r="FIJ8" s="1202"/>
      <c r="FIK8" s="1202"/>
      <c r="FIL8" s="1202"/>
      <c r="FIM8" s="1202"/>
      <c r="FIN8" s="1202"/>
      <c r="FIO8" s="1202"/>
      <c r="FIP8" s="1202"/>
      <c r="FIQ8" s="1202"/>
      <c r="FIR8" s="1202"/>
      <c r="FIS8" s="1202"/>
      <c r="FIT8" s="1202"/>
      <c r="FIU8" s="1202"/>
      <c r="FIV8" s="1202"/>
      <c r="FIW8" s="1202"/>
      <c r="FIX8" s="1202"/>
      <c r="FIY8" s="1202"/>
      <c r="FIZ8" s="1202"/>
      <c r="FJA8" s="1202"/>
      <c r="FJB8" s="1202"/>
      <c r="FJC8" s="1202"/>
      <c r="FJD8" s="1202"/>
      <c r="FJE8" s="1202"/>
      <c r="FJF8" s="1202"/>
      <c r="FJG8" s="1202"/>
      <c r="FJH8" s="1202"/>
      <c r="FJI8" s="1202"/>
      <c r="FJJ8" s="1202"/>
      <c r="FJK8" s="1202"/>
      <c r="FJL8" s="1202"/>
      <c r="FJM8" s="1202"/>
      <c r="FJN8" s="1202"/>
      <c r="FJO8" s="1202"/>
      <c r="FJP8" s="1202"/>
      <c r="FJQ8" s="1202"/>
      <c r="FJR8" s="1202"/>
      <c r="FJS8" s="1202"/>
      <c r="FJT8" s="1202"/>
      <c r="FJU8" s="1202"/>
      <c r="FJV8" s="1202"/>
      <c r="FJW8" s="1202"/>
      <c r="FJX8" s="1202"/>
      <c r="FJY8" s="1202"/>
      <c r="FJZ8" s="1202"/>
      <c r="FKA8" s="1202"/>
      <c r="FKB8" s="1202"/>
      <c r="FKC8" s="1202"/>
      <c r="FKD8" s="1202"/>
      <c r="FKE8" s="1202"/>
      <c r="FKF8" s="1202"/>
      <c r="FKG8" s="1202"/>
      <c r="FKH8" s="1202"/>
      <c r="FKI8" s="1202"/>
      <c r="FKJ8" s="1202"/>
      <c r="FKK8" s="1202"/>
      <c r="FKL8" s="1202"/>
      <c r="FKM8" s="1202"/>
      <c r="FKN8" s="1202"/>
      <c r="FKO8" s="1202"/>
      <c r="FKP8" s="1202"/>
      <c r="FKQ8" s="1202"/>
      <c r="FKR8" s="1202"/>
      <c r="FKS8" s="1202"/>
      <c r="FKT8" s="1202"/>
      <c r="FKU8" s="1202"/>
      <c r="FKV8" s="1202"/>
      <c r="FKW8" s="1202"/>
      <c r="FKX8" s="1202"/>
      <c r="FKY8" s="1202"/>
      <c r="FKZ8" s="1202"/>
      <c r="FLA8" s="1202"/>
      <c r="FLB8" s="1202"/>
      <c r="FLC8" s="1202"/>
      <c r="FLD8" s="1202"/>
      <c r="FLE8" s="1202"/>
      <c r="FLF8" s="1202"/>
      <c r="FLG8" s="1202"/>
      <c r="FLH8" s="1202"/>
      <c r="FLI8" s="1202"/>
      <c r="FLJ8" s="1202"/>
      <c r="FLK8" s="1202"/>
      <c r="FLL8" s="1202"/>
      <c r="FLM8" s="1202"/>
      <c r="FLN8" s="1202"/>
      <c r="FLO8" s="1202"/>
      <c r="FLP8" s="1202"/>
      <c r="FLQ8" s="1202"/>
      <c r="FLR8" s="1202"/>
      <c r="FLS8" s="1202"/>
      <c r="FLT8" s="1202"/>
      <c r="FLU8" s="1202"/>
      <c r="FLV8" s="1202"/>
      <c r="FLW8" s="1202"/>
      <c r="FLX8" s="1202"/>
      <c r="FLY8" s="1202"/>
      <c r="FLZ8" s="1202"/>
      <c r="FMA8" s="1202"/>
      <c r="FMB8" s="1202"/>
      <c r="FMC8" s="1202"/>
      <c r="FMD8" s="1202"/>
      <c r="FME8" s="1202"/>
      <c r="FMF8" s="1202"/>
      <c r="FMG8" s="1202"/>
      <c r="FMH8" s="1202"/>
      <c r="FMI8" s="1202"/>
      <c r="FMJ8" s="1202"/>
      <c r="FMK8" s="1202"/>
      <c r="FML8" s="1202"/>
      <c r="FMM8" s="1202"/>
      <c r="FMN8" s="1202"/>
      <c r="FMO8" s="1202"/>
      <c r="FMP8" s="1202"/>
      <c r="FMQ8" s="1202"/>
      <c r="FMR8" s="1202"/>
      <c r="FMS8" s="1202"/>
      <c r="FMT8" s="1202"/>
      <c r="FMU8" s="1202"/>
      <c r="FMV8" s="1202"/>
      <c r="FMW8" s="1202"/>
      <c r="FMX8" s="1202"/>
      <c r="FMY8" s="1202"/>
      <c r="FMZ8" s="1202"/>
      <c r="FNA8" s="1202"/>
      <c r="FNB8" s="1202"/>
      <c r="FNC8" s="1202"/>
      <c r="FND8" s="1202"/>
      <c r="FNE8" s="1202"/>
      <c r="FNF8" s="1202"/>
      <c r="FNG8" s="1202"/>
      <c r="FNH8" s="1202"/>
      <c r="FNI8" s="1202"/>
      <c r="FNJ8" s="1202"/>
      <c r="FNK8" s="1202"/>
      <c r="FNL8" s="1202"/>
      <c r="FNM8" s="1202"/>
      <c r="FNN8" s="1202"/>
      <c r="FNO8" s="1202"/>
      <c r="FNP8" s="1202"/>
      <c r="FNQ8" s="1202"/>
      <c r="FNR8" s="1202"/>
      <c r="FNS8" s="1202"/>
      <c r="FNT8" s="1202"/>
      <c r="FNU8" s="1202"/>
      <c r="FNV8" s="1202"/>
      <c r="FNW8" s="1202"/>
      <c r="FNX8" s="1202"/>
      <c r="FNY8" s="1202"/>
      <c r="FNZ8" s="1202"/>
      <c r="FOA8" s="1202"/>
      <c r="FOB8" s="1202"/>
      <c r="FOC8" s="1202"/>
      <c r="FOD8" s="1202"/>
      <c r="FOE8" s="1202"/>
      <c r="FOF8" s="1202"/>
      <c r="FOG8" s="1202"/>
      <c r="FOH8" s="1202"/>
      <c r="FOI8" s="1202"/>
      <c r="FOJ8" s="1202"/>
      <c r="FOK8" s="1202"/>
      <c r="FOL8" s="1202"/>
      <c r="FOM8" s="1202"/>
      <c r="FON8" s="1202"/>
      <c r="FOO8" s="1202"/>
      <c r="FOP8" s="1202"/>
      <c r="FOQ8" s="1202"/>
      <c r="FOR8" s="1202"/>
      <c r="FOS8" s="1202"/>
      <c r="FOT8" s="1202"/>
      <c r="FOU8" s="1202"/>
      <c r="FOV8" s="1202"/>
      <c r="FOW8" s="1202"/>
      <c r="FOX8" s="1202"/>
      <c r="FOY8" s="1202"/>
      <c r="FOZ8" s="1202"/>
      <c r="FPA8" s="1202"/>
      <c r="FPB8" s="1202"/>
      <c r="FPC8" s="1202"/>
      <c r="FPD8" s="1202"/>
      <c r="FPE8" s="1202"/>
      <c r="FPF8" s="1202"/>
      <c r="FPG8" s="1202"/>
      <c r="FPH8" s="1202"/>
      <c r="FPI8" s="1202"/>
      <c r="FPJ8" s="1202"/>
      <c r="FPK8" s="1202"/>
      <c r="FPL8" s="1202"/>
      <c r="FPM8" s="1202"/>
      <c r="FPN8" s="1202"/>
      <c r="FPO8" s="1202"/>
      <c r="FPP8" s="1202"/>
      <c r="FPQ8" s="1202"/>
      <c r="FPR8" s="1202"/>
      <c r="FPS8" s="1202"/>
      <c r="FPT8" s="1202"/>
      <c r="FPU8" s="1202"/>
      <c r="FPV8" s="1202"/>
      <c r="FPW8" s="1202"/>
      <c r="FPX8" s="1202"/>
      <c r="FPY8" s="1202"/>
      <c r="FPZ8" s="1202"/>
      <c r="FQA8" s="1202"/>
      <c r="FQB8" s="1202"/>
      <c r="FQC8" s="1202"/>
      <c r="FQD8" s="1202"/>
      <c r="FQE8" s="1202"/>
      <c r="FQF8" s="1202"/>
      <c r="FQG8" s="1202"/>
      <c r="FQH8" s="1202"/>
      <c r="FQI8" s="1202"/>
      <c r="FQJ8" s="1202"/>
      <c r="FQK8" s="1202"/>
      <c r="FQL8" s="1202"/>
      <c r="FQM8" s="1202"/>
      <c r="FQN8" s="1202"/>
      <c r="FQO8" s="1202"/>
      <c r="FQP8" s="1202"/>
      <c r="FQQ8" s="1202"/>
      <c r="FQR8" s="1202"/>
      <c r="FQS8" s="1202"/>
      <c r="FQT8" s="1202"/>
      <c r="FQU8" s="1202"/>
      <c r="FQV8" s="1202"/>
      <c r="FQW8" s="1202"/>
      <c r="FQX8" s="1202"/>
      <c r="FQY8" s="1202"/>
      <c r="FQZ8" s="1202"/>
      <c r="FRA8" s="1202"/>
      <c r="FRB8" s="1202"/>
      <c r="FRC8" s="1202"/>
      <c r="FRD8" s="1202"/>
      <c r="FRE8" s="1202"/>
      <c r="FRF8" s="1202"/>
      <c r="FRG8" s="1202"/>
      <c r="FRH8" s="1202"/>
      <c r="FRI8" s="1202"/>
      <c r="FRJ8" s="1202"/>
      <c r="FRK8" s="1202"/>
      <c r="FRL8" s="1202"/>
      <c r="FRM8" s="1202"/>
      <c r="FRN8" s="1202"/>
      <c r="FRO8" s="1202"/>
      <c r="FRP8" s="1202"/>
      <c r="FRQ8" s="1202"/>
      <c r="FRR8" s="1202"/>
      <c r="FRS8" s="1202"/>
      <c r="FRT8" s="1202"/>
      <c r="FRU8" s="1202"/>
      <c r="FRV8" s="1202"/>
      <c r="FRW8" s="1202"/>
      <c r="FRX8" s="1202"/>
      <c r="FRY8" s="1202"/>
      <c r="FRZ8" s="1202"/>
      <c r="FSA8" s="1202"/>
      <c r="FSB8" s="1202"/>
      <c r="FSC8" s="1202"/>
      <c r="FSD8" s="1202"/>
      <c r="FSE8" s="1202"/>
      <c r="FSF8" s="1202"/>
      <c r="FSG8" s="1202"/>
      <c r="FSH8" s="1202"/>
      <c r="FSI8" s="1202"/>
      <c r="FSJ8" s="1202"/>
      <c r="FSK8" s="1202"/>
      <c r="FSL8" s="1202"/>
      <c r="FSM8" s="1202"/>
      <c r="FSN8" s="1202"/>
      <c r="FSO8" s="1202"/>
      <c r="FSP8" s="1202"/>
      <c r="FSQ8" s="1202"/>
      <c r="FSR8" s="1202"/>
      <c r="FSS8" s="1202"/>
      <c r="FST8" s="1202"/>
      <c r="FSU8" s="1202"/>
      <c r="FSV8" s="1202"/>
      <c r="FSW8" s="1202"/>
      <c r="FSX8" s="1202"/>
      <c r="FSY8" s="1202"/>
      <c r="FSZ8" s="1202"/>
      <c r="FTA8" s="1202"/>
      <c r="FTB8" s="1202"/>
      <c r="FTC8" s="1202"/>
      <c r="FTD8" s="1202"/>
      <c r="FTE8" s="1202"/>
      <c r="FTF8" s="1202"/>
      <c r="FTG8" s="1202"/>
      <c r="FTH8" s="1202"/>
      <c r="FTI8" s="1202"/>
      <c r="FTJ8" s="1202"/>
      <c r="FTK8" s="1202"/>
      <c r="FTL8" s="1202"/>
      <c r="FTM8" s="1202"/>
      <c r="FTN8" s="1202"/>
      <c r="FTO8" s="1202"/>
      <c r="FTP8" s="1202"/>
      <c r="FTQ8" s="1202"/>
      <c r="FTR8" s="1202"/>
      <c r="FTS8" s="1202"/>
      <c r="FTT8" s="1202"/>
      <c r="FTU8" s="1202"/>
      <c r="FTV8" s="1202"/>
      <c r="FTW8" s="1202"/>
      <c r="FTX8" s="1202"/>
      <c r="FTY8" s="1202"/>
      <c r="FTZ8" s="1202"/>
      <c r="FUA8" s="1202"/>
      <c r="FUB8" s="1202"/>
      <c r="FUC8" s="1202"/>
      <c r="FUD8" s="1202"/>
      <c r="FUE8" s="1202"/>
      <c r="FUF8" s="1202"/>
      <c r="FUG8" s="1202"/>
      <c r="FUH8" s="1202"/>
      <c r="FUI8" s="1202"/>
      <c r="FUJ8" s="1202"/>
      <c r="FUK8" s="1202"/>
      <c r="FUL8" s="1202"/>
      <c r="FUM8" s="1202"/>
      <c r="FUN8" s="1202"/>
      <c r="FUO8" s="1202"/>
      <c r="FUP8" s="1202"/>
      <c r="FUQ8" s="1202"/>
      <c r="FUR8" s="1202"/>
      <c r="FUS8" s="1202"/>
      <c r="FUT8" s="1202"/>
      <c r="FUU8" s="1202"/>
      <c r="FUV8" s="1202"/>
      <c r="FUW8" s="1202"/>
      <c r="FUX8" s="1202"/>
      <c r="FUY8" s="1202"/>
      <c r="FUZ8" s="1202"/>
      <c r="FVA8" s="1202"/>
      <c r="FVB8" s="1202"/>
      <c r="FVC8" s="1202"/>
      <c r="FVD8" s="1202"/>
      <c r="FVE8" s="1202"/>
      <c r="FVF8" s="1202"/>
      <c r="FVG8" s="1202"/>
      <c r="FVH8" s="1202"/>
      <c r="FVI8" s="1202"/>
      <c r="FVJ8" s="1202"/>
      <c r="FVK8" s="1202"/>
      <c r="FVL8" s="1202"/>
      <c r="FVM8" s="1202"/>
      <c r="FVN8" s="1202"/>
      <c r="FVO8" s="1202"/>
      <c r="FVP8" s="1202"/>
      <c r="FVQ8" s="1202"/>
      <c r="FVR8" s="1202"/>
      <c r="FVS8" s="1202"/>
      <c r="FVT8" s="1202"/>
      <c r="FVU8" s="1202"/>
      <c r="FVV8" s="1202"/>
      <c r="FVW8" s="1202"/>
      <c r="FVX8" s="1202"/>
      <c r="FVY8" s="1202"/>
      <c r="FVZ8" s="1202"/>
      <c r="FWA8" s="1202"/>
      <c r="FWB8" s="1202"/>
      <c r="FWC8" s="1202"/>
      <c r="FWD8" s="1202"/>
      <c r="FWE8" s="1202"/>
      <c r="FWF8" s="1202"/>
      <c r="FWG8" s="1202"/>
      <c r="FWH8" s="1202"/>
      <c r="FWI8" s="1202"/>
      <c r="FWJ8" s="1202"/>
      <c r="FWK8" s="1202"/>
      <c r="FWL8" s="1202"/>
      <c r="FWM8" s="1202"/>
      <c r="FWN8" s="1202"/>
      <c r="FWO8" s="1202"/>
      <c r="FWP8" s="1202"/>
      <c r="FWQ8" s="1202"/>
      <c r="FWR8" s="1202"/>
      <c r="FWS8" s="1202"/>
      <c r="FWT8" s="1202"/>
      <c r="FWU8" s="1202"/>
      <c r="FWV8" s="1202"/>
      <c r="FWW8" s="1202"/>
      <c r="FWX8" s="1202"/>
      <c r="FWY8" s="1202"/>
      <c r="FWZ8" s="1202"/>
      <c r="FXA8" s="1202"/>
      <c r="FXB8" s="1202"/>
      <c r="FXC8" s="1202"/>
      <c r="FXD8" s="1202"/>
      <c r="FXE8" s="1202"/>
      <c r="FXF8" s="1202"/>
      <c r="FXG8" s="1202"/>
      <c r="FXH8" s="1202"/>
      <c r="FXI8" s="1202"/>
      <c r="FXJ8" s="1202"/>
      <c r="FXK8" s="1202"/>
      <c r="FXL8" s="1202"/>
      <c r="FXM8" s="1202"/>
      <c r="FXN8" s="1202"/>
      <c r="FXO8" s="1202"/>
      <c r="FXP8" s="1202"/>
      <c r="FXQ8" s="1202"/>
      <c r="FXR8" s="1202"/>
      <c r="FXS8" s="1202"/>
      <c r="FXT8" s="1202"/>
      <c r="FXU8" s="1202"/>
      <c r="FXV8" s="1202"/>
      <c r="FXW8" s="1202"/>
      <c r="FXX8" s="1202"/>
      <c r="FXY8" s="1202"/>
      <c r="FXZ8" s="1202"/>
      <c r="FYA8" s="1202"/>
      <c r="FYB8" s="1202"/>
      <c r="FYC8" s="1202"/>
      <c r="FYD8" s="1202"/>
      <c r="FYE8" s="1202"/>
      <c r="FYF8" s="1202"/>
      <c r="FYG8" s="1202"/>
      <c r="FYH8" s="1202"/>
      <c r="FYI8" s="1202"/>
      <c r="FYJ8" s="1202"/>
      <c r="FYK8" s="1202"/>
      <c r="FYL8" s="1202"/>
      <c r="FYM8" s="1202"/>
      <c r="FYN8" s="1202"/>
      <c r="FYO8" s="1202"/>
      <c r="FYP8" s="1202"/>
      <c r="FYQ8" s="1202"/>
      <c r="FYR8" s="1202"/>
      <c r="FYS8" s="1202"/>
      <c r="FYT8" s="1202"/>
      <c r="FYU8" s="1202"/>
      <c r="FYV8" s="1202"/>
      <c r="FYW8" s="1202"/>
      <c r="FYX8" s="1202"/>
      <c r="FYY8" s="1202"/>
      <c r="FYZ8" s="1202"/>
      <c r="FZA8" s="1202"/>
      <c r="FZB8" s="1202"/>
      <c r="FZC8" s="1202"/>
      <c r="FZD8" s="1202"/>
      <c r="FZE8" s="1202"/>
      <c r="FZF8" s="1202"/>
      <c r="FZG8" s="1202"/>
      <c r="FZH8" s="1202"/>
      <c r="FZI8" s="1202"/>
      <c r="FZJ8" s="1202"/>
      <c r="FZK8" s="1202"/>
      <c r="FZL8" s="1202"/>
      <c r="FZM8" s="1202"/>
      <c r="FZN8" s="1202"/>
      <c r="FZO8" s="1202"/>
      <c r="FZP8" s="1202"/>
      <c r="FZQ8" s="1202"/>
      <c r="FZR8" s="1202"/>
      <c r="FZS8" s="1202"/>
      <c r="FZT8" s="1202"/>
      <c r="FZU8" s="1202"/>
      <c r="FZV8" s="1202"/>
      <c r="FZW8" s="1202"/>
      <c r="FZX8" s="1202"/>
      <c r="FZY8" s="1202"/>
      <c r="FZZ8" s="1202"/>
      <c r="GAA8" s="1202"/>
      <c r="GAB8" s="1202"/>
      <c r="GAC8" s="1202"/>
      <c r="GAD8" s="1202"/>
      <c r="GAE8" s="1202"/>
      <c r="GAF8" s="1202"/>
      <c r="GAG8" s="1202"/>
      <c r="GAH8" s="1202"/>
      <c r="GAI8" s="1202"/>
      <c r="GAJ8" s="1202"/>
      <c r="GAK8" s="1202"/>
      <c r="GAL8" s="1202"/>
      <c r="GAM8" s="1202"/>
      <c r="GAN8" s="1202"/>
      <c r="GAO8" s="1202"/>
      <c r="GAP8" s="1202"/>
      <c r="GAQ8" s="1202"/>
      <c r="GAR8" s="1202"/>
      <c r="GAS8" s="1202"/>
      <c r="GAT8" s="1202"/>
      <c r="GAU8" s="1202"/>
      <c r="GAV8" s="1202"/>
      <c r="GAW8" s="1202"/>
      <c r="GAX8" s="1202"/>
      <c r="GAY8" s="1202"/>
      <c r="GAZ8" s="1202"/>
      <c r="GBA8" s="1202"/>
      <c r="GBB8" s="1202"/>
      <c r="GBC8" s="1202"/>
      <c r="GBD8" s="1202"/>
      <c r="GBE8" s="1202"/>
      <c r="GBF8" s="1202"/>
      <c r="GBG8" s="1202"/>
      <c r="GBH8" s="1202"/>
      <c r="GBI8" s="1202"/>
      <c r="GBJ8" s="1202"/>
      <c r="GBK8" s="1202"/>
      <c r="GBL8" s="1202"/>
      <c r="GBM8" s="1202"/>
      <c r="GBN8" s="1202"/>
      <c r="GBO8" s="1202"/>
      <c r="GBP8" s="1202"/>
      <c r="GBQ8" s="1202"/>
      <c r="GBR8" s="1202"/>
      <c r="GBS8" s="1202"/>
      <c r="GBT8" s="1202"/>
      <c r="GBU8" s="1202"/>
      <c r="GBV8" s="1202"/>
      <c r="GBW8" s="1202"/>
      <c r="GBX8" s="1202"/>
      <c r="GBY8" s="1202"/>
      <c r="GBZ8" s="1202"/>
      <c r="GCA8" s="1202"/>
      <c r="GCB8" s="1202"/>
      <c r="GCC8" s="1202"/>
      <c r="GCD8" s="1202"/>
      <c r="GCE8" s="1202"/>
      <c r="GCF8" s="1202"/>
      <c r="GCG8" s="1202"/>
      <c r="GCH8" s="1202"/>
      <c r="GCI8" s="1202"/>
      <c r="GCJ8" s="1202"/>
      <c r="GCK8" s="1202"/>
      <c r="GCL8" s="1202"/>
      <c r="GCM8" s="1202"/>
      <c r="GCN8" s="1202"/>
      <c r="GCO8" s="1202"/>
      <c r="GCP8" s="1202"/>
      <c r="GCQ8" s="1202"/>
      <c r="GCR8" s="1202"/>
      <c r="GCS8" s="1202"/>
      <c r="GCT8" s="1202"/>
      <c r="GCU8" s="1202"/>
      <c r="GCV8" s="1202"/>
      <c r="GCW8" s="1202"/>
      <c r="GCX8" s="1202"/>
      <c r="GCY8" s="1202"/>
      <c r="GCZ8" s="1202"/>
      <c r="GDA8" s="1202"/>
      <c r="GDB8" s="1202"/>
      <c r="GDC8" s="1202"/>
      <c r="GDD8" s="1202"/>
      <c r="GDE8" s="1202"/>
      <c r="GDF8" s="1202"/>
      <c r="GDG8" s="1202"/>
      <c r="GDH8" s="1202"/>
      <c r="GDI8" s="1202"/>
      <c r="GDJ8" s="1202"/>
      <c r="GDK8" s="1202"/>
      <c r="GDL8" s="1202"/>
      <c r="GDM8" s="1202"/>
      <c r="GDN8" s="1202"/>
      <c r="GDO8" s="1202"/>
      <c r="GDP8" s="1202"/>
      <c r="GDQ8" s="1202"/>
      <c r="GDR8" s="1202"/>
      <c r="GDS8" s="1202"/>
      <c r="GDT8" s="1202"/>
      <c r="GDU8" s="1202"/>
      <c r="GDV8" s="1202"/>
      <c r="GDW8" s="1202"/>
      <c r="GDX8" s="1202"/>
      <c r="GDY8" s="1202"/>
      <c r="GDZ8" s="1202"/>
      <c r="GEA8" s="1202"/>
      <c r="GEB8" s="1202"/>
      <c r="GEC8" s="1202"/>
      <c r="GED8" s="1202"/>
      <c r="GEE8" s="1202"/>
      <c r="GEF8" s="1202"/>
      <c r="GEG8" s="1202"/>
      <c r="GEH8" s="1202"/>
      <c r="GEI8" s="1202"/>
      <c r="GEJ8" s="1202"/>
      <c r="GEK8" s="1202"/>
      <c r="GEL8" s="1202"/>
      <c r="GEM8" s="1202"/>
      <c r="GEN8" s="1202"/>
      <c r="GEO8" s="1202"/>
      <c r="GEP8" s="1202"/>
      <c r="GEQ8" s="1202"/>
      <c r="GER8" s="1202"/>
      <c r="GES8" s="1202"/>
      <c r="GET8" s="1202"/>
      <c r="GEU8" s="1202"/>
      <c r="GEV8" s="1202"/>
      <c r="GEW8" s="1202"/>
      <c r="GEX8" s="1202"/>
      <c r="GEY8" s="1202"/>
      <c r="GEZ8" s="1202"/>
      <c r="GFA8" s="1202"/>
      <c r="GFB8" s="1202"/>
      <c r="GFC8" s="1202"/>
      <c r="GFD8" s="1202"/>
      <c r="GFE8" s="1202"/>
      <c r="GFF8" s="1202"/>
      <c r="GFG8" s="1202"/>
      <c r="GFH8" s="1202"/>
      <c r="GFI8" s="1202"/>
      <c r="GFJ8" s="1202"/>
      <c r="GFK8" s="1202"/>
      <c r="GFL8" s="1202"/>
      <c r="GFM8" s="1202"/>
      <c r="GFN8" s="1202"/>
      <c r="GFO8" s="1202"/>
      <c r="GFP8" s="1202"/>
      <c r="GFQ8" s="1202"/>
      <c r="GFR8" s="1202"/>
      <c r="GFS8" s="1202"/>
      <c r="GFT8" s="1202"/>
      <c r="GFU8" s="1202"/>
      <c r="GFV8" s="1202"/>
      <c r="GFW8" s="1202"/>
      <c r="GFX8" s="1202"/>
      <c r="GFY8" s="1202"/>
      <c r="GFZ8" s="1202"/>
      <c r="GGA8" s="1202"/>
      <c r="GGB8" s="1202"/>
      <c r="GGC8" s="1202"/>
      <c r="GGD8" s="1202"/>
      <c r="GGE8" s="1202"/>
      <c r="GGF8" s="1202"/>
      <c r="GGG8" s="1202"/>
      <c r="GGH8" s="1202"/>
      <c r="GGI8" s="1202"/>
      <c r="GGJ8" s="1202"/>
      <c r="GGK8" s="1202"/>
      <c r="GGL8" s="1202"/>
      <c r="GGM8" s="1202"/>
      <c r="GGN8" s="1202"/>
      <c r="GGO8" s="1202"/>
      <c r="GGP8" s="1202"/>
      <c r="GGQ8" s="1202"/>
      <c r="GGR8" s="1202"/>
      <c r="GGS8" s="1202"/>
      <c r="GGT8" s="1202"/>
      <c r="GGU8" s="1202"/>
      <c r="GGV8" s="1202"/>
      <c r="GGW8" s="1202"/>
      <c r="GGX8" s="1202"/>
      <c r="GGY8" s="1202"/>
      <c r="GGZ8" s="1202"/>
      <c r="GHA8" s="1202"/>
      <c r="GHB8" s="1202"/>
      <c r="GHC8" s="1202"/>
      <c r="GHD8" s="1202"/>
      <c r="GHE8" s="1202"/>
      <c r="GHF8" s="1202"/>
      <c r="GHG8" s="1202"/>
      <c r="GHH8" s="1202"/>
      <c r="GHI8" s="1202"/>
      <c r="GHJ8" s="1202"/>
      <c r="GHK8" s="1202"/>
      <c r="GHL8" s="1202"/>
      <c r="GHM8" s="1202"/>
      <c r="GHN8" s="1202"/>
      <c r="GHO8" s="1202"/>
      <c r="GHP8" s="1202"/>
      <c r="GHQ8" s="1202"/>
      <c r="GHR8" s="1202"/>
      <c r="GHS8" s="1202"/>
      <c r="GHT8" s="1202"/>
      <c r="GHU8" s="1202"/>
      <c r="GHV8" s="1202"/>
      <c r="GHW8" s="1202"/>
      <c r="GHX8" s="1202"/>
      <c r="GHY8" s="1202"/>
      <c r="GHZ8" s="1202"/>
      <c r="GIA8" s="1202"/>
      <c r="GIB8" s="1202"/>
      <c r="GIC8" s="1202"/>
      <c r="GID8" s="1202"/>
      <c r="GIE8" s="1202"/>
      <c r="GIF8" s="1202"/>
      <c r="GIG8" s="1202"/>
      <c r="GIH8" s="1202"/>
      <c r="GII8" s="1202"/>
      <c r="GIJ8" s="1202"/>
      <c r="GIK8" s="1202"/>
      <c r="GIL8" s="1202"/>
      <c r="GIM8" s="1202"/>
      <c r="GIN8" s="1202"/>
      <c r="GIO8" s="1202"/>
      <c r="GIP8" s="1202"/>
      <c r="GIQ8" s="1202"/>
      <c r="GIR8" s="1202"/>
      <c r="GIS8" s="1202"/>
      <c r="GIT8" s="1202"/>
      <c r="GIU8" s="1202"/>
      <c r="GIV8" s="1202"/>
      <c r="GIW8" s="1202"/>
      <c r="GIX8" s="1202"/>
      <c r="GIY8" s="1202"/>
      <c r="GIZ8" s="1202"/>
      <c r="GJA8" s="1202"/>
      <c r="GJB8" s="1202"/>
      <c r="GJC8" s="1202"/>
      <c r="GJD8" s="1202"/>
      <c r="GJE8" s="1202"/>
      <c r="GJF8" s="1202"/>
      <c r="GJG8" s="1202"/>
      <c r="GJH8" s="1202"/>
      <c r="GJI8" s="1202"/>
      <c r="GJJ8" s="1202"/>
      <c r="GJK8" s="1202"/>
      <c r="GJL8" s="1202"/>
      <c r="GJM8" s="1202"/>
      <c r="GJN8" s="1202"/>
      <c r="GJO8" s="1202"/>
      <c r="GJP8" s="1202"/>
      <c r="GJQ8" s="1202"/>
      <c r="GJR8" s="1202"/>
      <c r="GJS8" s="1202"/>
      <c r="GJT8" s="1202"/>
      <c r="GJU8" s="1202"/>
      <c r="GJV8" s="1202"/>
      <c r="GJW8" s="1202"/>
      <c r="GJX8" s="1202"/>
      <c r="GJY8" s="1202"/>
      <c r="GJZ8" s="1202"/>
      <c r="GKA8" s="1202"/>
      <c r="GKB8" s="1202"/>
      <c r="GKC8" s="1202"/>
      <c r="GKD8" s="1202"/>
      <c r="GKE8" s="1202"/>
      <c r="GKF8" s="1202"/>
      <c r="GKG8" s="1202"/>
      <c r="GKH8" s="1202"/>
      <c r="GKI8" s="1202"/>
      <c r="GKJ8" s="1202"/>
      <c r="GKK8" s="1202"/>
      <c r="GKL8" s="1202"/>
      <c r="GKM8" s="1202"/>
      <c r="GKN8" s="1202"/>
      <c r="GKO8" s="1202"/>
      <c r="GKP8" s="1202"/>
      <c r="GKQ8" s="1202"/>
      <c r="GKR8" s="1202"/>
      <c r="GKS8" s="1202"/>
      <c r="GKT8" s="1202"/>
      <c r="GKU8" s="1202"/>
      <c r="GKV8" s="1202"/>
      <c r="GKW8" s="1202"/>
      <c r="GKX8" s="1202"/>
      <c r="GKY8" s="1202"/>
      <c r="GKZ8" s="1202"/>
      <c r="GLA8" s="1202"/>
      <c r="GLB8" s="1202"/>
      <c r="GLC8" s="1202"/>
      <c r="GLD8" s="1202"/>
      <c r="GLE8" s="1202"/>
      <c r="GLF8" s="1202"/>
      <c r="GLG8" s="1202"/>
      <c r="GLH8" s="1202"/>
      <c r="GLI8" s="1202"/>
      <c r="GLJ8" s="1202"/>
      <c r="GLK8" s="1202"/>
      <c r="GLL8" s="1202"/>
      <c r="GLM8" s="1202"/>
      <c r="GLN8" s="1202"/>
      <c r="GLO8" s="1202"/>
      <c r="GLP8" s="1202"/>
      <c r="GLQ8" s="1202"/>
      <c r="GLR8" s="1202"/>
      <c r="GLS8" s="1202"/>
      <c r="GLT8" s="1202"/>
      <c r="GLU8" s="1202"/>
      <c r="GLV8" s="1202"/>
      <c r="GLW8" s="1202"/>
      <c r="GLX8" s="1202"/>
      <c r="GLY8" s="1202"/>
      <c r="GLZ8" s="1202"/>
      <c r="GMA8" s="1202"/>
      <c r="GMB8" s="1202"/>
      <c r="GMC8" s="1202"/>
      <c r="GMD8" s="1202"/>
      <c r="GME8" s="1202"/>
      <c r="GMF8" s="1202"/>
      <c r="GMG8" s="1202"/>
      <c r="GMH8" s="1202"/>
      <c r="GMI8" s="1202"/>
      <c r="GMJ8" s="1202"/>
      <c r="GMK8" s="1202"/>
      <c r="GML8" s="1202"/>
      <c r="GMM8" s="1202"/>
      <c r="GMN8" s="1202"/>
      <c r="GMO8" s="1202"/>
      <c r="GMP8" s="1202"/>
      <c r="GMQ8" s="1202"/>
      <c r="GMR8" s="1202"/>
      <c r="GMS8" s="1202"/>
      <c r="GMT8" s="1202"/>
      <c r="GMU8" s="1202"/>
      <c r="GMV8" s="1202"/>
      <c r="GMW8" s="1202"/>
      <c r="GMX8" s="1202"/>
      <c r="GMY8" s="1202"/>
      <c r="GMZ8" s="1202"/>
      <c r="GNA8" s="1202"/>
      <c r="GNB8" s="1202"/>
      <c r="GNC8" s="1202"/>
      <c r="GND8" s="1202"/>
      <c r="GNE8" s="1202"/>
      <c r="GNF8" s="1202"/>
      <c r="GNG8" s="1202"/>
      <c r="GNH8" s="1202"/>
      <c r="GNI8" s="1202"/>
      <c r="GNJ8" s="1202"/>
      <c r="GNK8" s="1202"/>
      <c r="GNL8" s="1202"/>
      <c r="GNM8" s="1202"/>
      <c r="GNN8" s="1202"/>
      <c r="GNO8" s="1202"/>
      <c r="GNP8" s="1202"/>
      <c r="GNQ8" s="1202"/>
      <c r="GNR8" s="1202"/>
      <c r="GNS8" s="1202"/>
      <c r="GNT8" s="1202"/>
      <c r="GNU8" s="1202"/>
      <c r="GNV8" s="1202"/>
      <c r="GNW8" s="1202"/>
      <c r="GNX8" s="1202"/>
      <c r="GNY8" s="1202"/>
      <c r="GNZ8" s="1202"/>
      <c r="GOA8" s="1202"/>
      <c r="GOB8" s="1202"/>
      <c r="GOC8" s="1202"/>
      <c r="GOD8" s="1202"/>
      <c r="GOE8" s="1202"/>
      <c r="GOF8" s="1202"/>
      <c r="GOG8" s="1202"/>
      <c r="GOH8" s="1202"/>
      <c r="GOI8" s="1202"/>
      <c r="GOJ8" s="1202"/>
      <c r="GOK8" s="1202"/>
      <c r="GOL8" s="1202"/>
      <c r="GOM8" s="1202"/>
      <c r="GON8" s="1202"/>
      <c r="GOO8" s="1202"/>
      <c r="GOP8" s="1202"/>
      <c r="GOQ8" s="1202"/>
      <c r="GOR8" s="1202"/>
      <c r="GOS8" s="1202"/>
      <c r="GOT8" s="1202"/>
      <c r="GOU8" s="1202"/>
      <c r="GOV8" s="1202"/>
      <c r="GOW8" s="1202"/>
      <c r="GOX8" s="1202"/>
      <c r="GOY8" s="1202"/>
      <c r="GOZ8" s="1202"/>
      <c r="GPA8" s="1202"/>
      <c r="GPB8" s="1202"/>
      <c r="GPC8" s="1202"/>
      <c r="GPD8" s="1202"/>
      <c r="GPE8" s="1202"/>
      <c r="GPF8" s="1202"/>
      <c r="GPG8" s="1202"/>
      <c r="GPH8" s="1202"/>
      <c r="GPI8" s="1202"/>
      <c r="GPJ8" s="1202"/>
      <c r="GPK8" s="1202"/>
      <c r="GPL8" s="1202"/>
      <c r="GPM8" s="1202"/>
      <c r="GPN8" s="1202"/>
      <c r="GPO8" s="1202"/>
      <c r="GPP8" s="1202"/>
      <c r="GPQ8" s="1202"/>
      <c r="GPR8" s="1202"/>
      <c r="GPS8" s="1202"/>
      <c r="GPT8" s="1202"/>
      <c r="GPU8" s="1202"/>
      <c r="GPV8" s="1202"/>
      <c r="GPW8" s="1202"/>
      <c r="GPX8" s="1202"/>
      <c r="GPY8" s="1202"/>
      <c r="GPZ8" s="1202"/>
      <c r="GQA8" s="1202"/>
      <c r="GQB8" s="1202"/>
      <c r="GQC8" s="1202"/>
      <c r="GQD8" s="1202"/>
      <c r="GQE8" s="1202"/>
      <c r="GQF8" s="1202"/>
      <c r="GQG8" s="1202"/>
      <c r="GQH8" s="1202"/>
      <c r="GQI8" s="1202"/>
      <c r="GQJ8" s="1202"/>
      <c r="GQK8" s="1202"/>
      <c r="GQL8" s="1202"/>
      <c r="GQM8" s="1202"/>
      <c r="GQN8" s="1202"/>
      <c r="GQO8" s="1202"/>
      <c r="GQP8" s="1202"/>
      <c r="GQQ8" s="1202"/>
      <c r="GQR8" s="1202"/>
      <c r="GQS8" s="1202"/>
      <c r="GQT8" s="1202"/>
      <c r="GQU8" s="1202"/>
      <c r="GQV8" s="1202"/>
      <c r="GQW8" s="1202"/>
      <c r="GQX8" s="1202"/>
      <c r="GQY8" s="1202"/>
      <c r="GQZ8" s="1202"/>
      <c r="GRA8" s="1202"/>
      <c r="GRB8" s="1202"/>
      <c r="GRC8" s="1202"/>
      <c r="GRD8" s="1202"/>
      <c r="GRE8" s="1202"/>
      <c r="GRF8" s="1202"/>
      <c r="GRG8" s="1202"/>
      <c r="GRH8" s="1202"/>
      <c r="GRI8" s="1202"/>
      <c r="GRJ8" s="1202"/>
      <c r="GRK8" s="1202"/>
      <c r="GRL8" s="1202"/>
      <c r="GRM8" s="1202"/>
      <c r="GRN8" s="1202"/>
      <c r="GRO8" s="1202"/>
      <c r="GRP8" s="1202"/>
      <c r="GRQ8" s="1202"/>
      <c r="GRR8" s="1202"/>
      <c r="GRS8" s="1202"/>
      <c r="GRT8" s="1202"/>
      <c r="GRU8" s="1202"/>
      <c r="GRV8" s="1202"/>
      <c r="GRW8" s="1202"/>
      <c r="GRX8" s="1202"/>
      <c r="GRY8" s="1202"/>
      <c r="GRZ8" s="1202"/>
      <c r="GSA8" s="1202"/>
      <c r="GSB8" s="1202"/>
      <c r="GSC8" s="1202"/>
      <c r="GSD8" s="1202"/>
      <c r="GSE8" s="1202"/>
      <c r="GSF8" s="1202"/>
      <c r="GSG8" s="1202"/>
      <c r="GSH8" s="1202"/>
      <c r="GSI8" s="1202"/>
      <c r="GSJ8" s="1202"/>
      <c r="GSK8" s="1202"/>
      <c r="GSL8" s="1202"/>
      <c r="GSM8" s="1202"/>
      <c r="GSN8" s="1202"/>
      <c r="GSO8" s="1202"/>
      <c r="GSP8" s="1202"/>
      <c r="GSQ8" s="1202"/>
      <c r="GSR8" s="1202"/>
      <c r="GSS8" s="1202"/>
      <c r="GST8" s="1202"/>
      <c r="GSU8" s="1202"/>
      <c r="GSV8" s="1202"/>
      <c r="GSW8" s="1202"/>
      <c r="GSX8" s="1202"/>
      <c r="GSY8" s="1202"/>
      <c r="GSZ8" s="1202"/>
      <c r="GTA8" s="1202"/>
      <c r="GTB8" s="1202"/>
      <c r="GTC8" s="1202"/>
      <c r="GTD8" s="1202"/>
      <c r="GTE8" s="1202"/>
      <c r="GTF8" s="1202"/>
      <c r="GTG8" s="1202"/>
      <c r="GTH8" s="1202"/>
      <c r="GTI8" s="1202"/>
      <c r="GTJ8" s="1202"/>
      <c r="GTK8" s="1202"/>
      <c r="GTL8" s="1202"/>
      <c r="GTM8" s="1202"/>
      <c r="GTN8" s="1202"/>
      <c r="GTO8" s="1202"/>
      <c r="GTP8" s="1202"/>
      <c r="GTQ8" s="1202"/>
      <c r="GTR8" s="1202"/>
      <c r="GTS8" s="1202"/>
      <c r="GTT8" s="1202"/>
      <c r="GTU8" s="1202"/>
      <c r="GTV8" s="1202"/>
      <c r="GTW8" s="1202"/>
      <c r="GTX8" s="1202"/>
      <c r="GTY8" s="1202"/>
      <c r="GTZ8" s="1202"/>
      <c r="GUA8" s="1202"/>
      <c r="GUB8" s="1202"/>
      <c r="GUC8" s="1202"/>
      <c r="GUD8" s="1202"/>
      <c r="GUE8" s="1202"/>
      <c r="GUF8" s="1202"/>
      <c r="GUG8" s="1202"/>
      <c r="GUH8" s="1202"/>
      <c r="GUI8" s="1202"/>
      <c r="GUJ8" s="1202"/>
      <c r="GUK8" s="1202"/>
      <c r="GUL8" s="1202"/>
      <c r="GUM8" s="1202"/>
      <c r="GUN8" s="1202"/>
      <c r="GUO8" s="1202"/>
      <c r="GUP8" s="1202"/>
      <c r="GUQ8" s="1202"/>
      <c r="GUR8" s="1202"/>
      <c r="GUS8" s="1202"/>
      <c r="GUT8" s="1202"/>
      <c r="GUU8" s="1202"/>
      <c r="GUV8" s="1202"/>
      <c r="GUW8" s="1202"/>
      <c r="GUX8" s="1202"/>
      <c r="GUY8" s="1202"/>
      <c r="GUZ8" s="1202"/>
      <c r="GVA8" s="1202"/>
      <c r="GVB8" s="1202"/>
      <c r="GVC8" s="1202"/>
      <c r="GVD8" s="1202"/>
      <c r="GVE8" s="1202"/>
      <c r="GVF8" s="1202"/>
      <c r="GVG8" s="1202"/>
      <c r="GVH8" s="1202"/>
      <c r="GVI8" s="1202"/>
      <c r="GVJ8" s="1202"/>
      <c r="GVK8" s="1202"/>
      <c r="GVL8" s="1202"/>
      <c r="GVM8" s="1202"/>
      <c r="GVN8" s="1202"/>
      <c r="GVO8" s="1202"/>
      <c r="GVP8" s="1202"/>
      <c r="GVQ8" s="1202"/>
      <c r="GVR8" s="1202"/>
      <c r="GVS8" s="1202"/>
      <c r="GVT8" s="1202"/>
      <c r="GVU8" s="1202"/>
      <c r="GVV8" s="1202"/>
      <c r="GVW8" s="1202"/>
      <c r="GVX8" s="1202"/>
      <c r="GVY8" s="1202"/>
      <c r="GVZ8" s="1202"/>
      <c r="GWA8" s="1202"/>
      <c r="GWB8" s="1202"/>
      <c r="GWC8" s="1202"/>
      <c r="GWD8" s="1202"/>
      <c r="GWE8" s="1202"/>
      <c r="GWF8" s="1202"/>
      <c r="GWG8" s="1202"/>
      <c r="GWH8" s="1202"/>
      <c r="GWI8" s="1202"/>
      <c r="GWJ8" s="1202"/>
      <c r="GWK8" s="1202"/>
      <c r="GWL8" s="1202"/>
      <c r="GWM8" s="1202"/>
      <c r="GWN8" s="1202"/>
      <c r="GWO8" s="1202"/>
      <c r="GWP8" s="1202"/>
      <c r="GWQ8" s="1202"/>
      <c r="GWR8" s="1202"/>
      <c r="GWS8" s="1202"/>
      <c r="GWT8" s="1202"/>
      <c r="GWU8" s="1202"/>
      <c r="GWV8" s="1202"/>
      <c r="GWW8" s="1202"/>
      <c r="GWX8" s="1202"/>
      <c r="GWY8" s="1202"/>
      <c r="GWZ8" s="1202"/>
      <c r="GXA8" s="1202"/>
      <c r="GXB8" s="1202"/>
      <c r="GXC8" s="1202"/>
      <c r="GXD8" s="1202"/>
      <c r="GXE8" s="1202"/>
      <c r="GXF8" s="1202"/>
      <c r="GXG8" s="1202"/>
      <c r="GXH8" s="1202"/>
      <c r="GXI8" s="1202"/>
      <c r="GXJ8" s="1202"/>
      <c r="GXK8" s="1202"/>
      <c r="GXL8" s="1202"/>
      <c r="GXM8" s="1202"/>
      <c r="GXN8" s="1202"/>
      <c r="GXO8" s="1202"/>
      <c r="GXP8" s="1202"/>
      <c r="GXQ8" s="1202"/>
      <c r="GXR8" s="1202"/>
      <c r="GXS8" s="1202"/>
      <c r="GXT8" s="1202"/>
      <c r="GXU8" s="1202"/>
      <c r="GXV8" s="1202"/>
      <c r="GXW8" s="1202"/>
      <c r="GXX8" s="1202"/>
      <c r="GXY8" s="1202"/>
      <c r="GXZ8" s="1202"/>
      <c r="GYA8" s="1202"/>
      <c r="GYB8" s="1202"/>
      <c r="GYC8" s="1202"/>
      <c r="GYD8" s="1202"/>
      <c r="GYE8" s="1202"/>
      <c r="GYF8" s="1202"/>
      <c r="GYG8" s="1202"/>
      <c r="GYH8" s="1202"/>
      <c r="GYI8" s="1202"/>
      <c r="GYJ8" s="1202"/>
      <c r="GYK8" s="1202"/>
      <c r="GYL8" s="1202"/>
      <c r="GYM8" s="1202"/>
      <c r="GYN8" s="1202"/>
      <c r="GYO8" s="1202"/>
      <c r="GYP8" s="1202"/>
      <c r="GYQ8" s="1202"/>
      <c r="GYR8" s="1202"/>
      <c r="GYS8" s="1202"/>
      <c r="GYT8" s="1202"/>
      <c r="GYU8" s="1202"/>
      <c r="GYV8" s="1202"/>
      <c r="GYW8" s="1202"/>
      <c r="GYX8" s="1202"/>
      <c r="GYY8" s="1202"/>
      <c r="GYZ8" s="1202"/>
      <c r="GZA8" s="1202"/>
      <c r="GZB8" s="1202"/>
      <c r="GZC8" s="1202"/>
      <c r="GZD8" s="1202"/>
      <c r="GZE8" s="1202"/>
      <c r="GZF8" s="1202"/>
      <c r="GZG8" s="1202"/>
      <c r="GZH8" s="1202"/>
      <c r="GZI8" s="1202"/>
      <c r="GZJ8" s="1202"/>
      <c r="GZK8" s="1202"/>
      <c r="GZL8" s="1202"/>
      <c r="GZM8" s="1202"/>
      <c r="GZN8" s="1202"/>
      <c r="GZO8" s="1202"/>
      <c r="GZP8" s="1202"/>
      <c r="GZQ8" s="1202"/>
      <c r="GZR8" s="1202"/>
      <c r="GZS8" s="1202"/>
      <c r="GZT8" s="1202"/>
      <c r="GZU8" s="1202"/>
      <c r="GZV8" s="1202"/>
      <c r="GZW8" s="1202"/>
      <c r="GZX8" s="1202"/>
      <c r="GZY8" s="1202"/>
      <c r="GZZ8" s="1202"/>
      <c r="HAA8" s="1202"/>
      <c r="HAB8" s="1202"/>
      <c r="HAC8" s="1202"/>
      <c r="HAD8" s="1202"/>
      <c r="HAE8" s="1202"/>
      <c r="HAF8" s="1202"/>
      <c r="HAG8" s="1202"/>
      <c r="HAH8" s="1202"/>
      <c r="HAI8" s="1202"/>
      <c r="HAJ8" s="1202"/>
      <c r="HAK8" s="1202"/>
      <c r="HAL8" s="1202"/>
      <c r="HAM8" s="1202"/>
      <c r="HAN8" s="1202"/>
      <c r="HAO8" s="1202"/>
      <c r="HAP8" s="1202"/>
      <c r="HAQ8" s="1202"/>
      <c r="HAR8" s="1202"/>
      <c r="HAS8" s="1202"/>
      <c r="HAT8" s="1202"/>
      <c r="HAU8" s="1202"/>
      <c r="HAV8" s="1202"/>
      <c r="HAW8" s="1202"/>
      <c r="HAX8" s="1202"/>
      <c r="HAY8" s="1202"/>
      <c r="HAZ8" s="1202"/>
      <c r="HBA8" s="1202"/>
      <c r="HBB8" s="1202"/>
      <c r="HBC8" s="1202"/>
      <c r="HBD8" s="1202"/>
      <c r="HBE8" s="1202"/>
      <c r="HBF8" s="1202"/>
      <c r="HBG8" s="1202"/>
      <c r="HBH8" s="1202"/>
      <c r="HBI8" s="1202"/>
      <c r="HBJ8" s="1202"/>
      <c r="HBK8" s="1202"/>
      <c r="HBL8" s="1202"/>
      <c r="HBM8" s="1202"/>
      <c r="HBN8" s="1202"/>
      <c r="HBO8" s="1202"/>
      <c r="HBP8" s="1202"/>
      <c r="HBQ8" s="1202"/>
      <c r="HBR8" s="1202"/>
      <c r="HBS8" s="1202"/>
      <c r="HBT8" s="1202"/>
      <c r="HBU8" s="1202"/>
      <c r="HBV8" s="1202"/>
      <c r="HBW8" s="1202"/>
      <c r="HBX8" s="1202"/>
      <c r="HBY8" s="1202"/>
      <c r="HBZ8" s="1202"/>
      <c r="HCA8" s="1202"/>
      <c r="HCB8" s="1202"/>
      <c r="HCC8" s="1202"/>
      <c r="HCD8" s="1202"/>
      <c r="HCE8" s="1202"/>
      <c r="HCF8" s="1202"/>
      <c r="HCG8" s="1202"/>
      <c r="HCH8" s="1202"/>
      <c r="HCI8" s="1202"/>
      <c r="HCJ8" s="1202"/>
      <c r="HCK8" s="1202"/>
      <c r="HCL8" s="1202"/>
      <c r="HCM8" s="1202"/>
      <c r="HCN8" s="1202"/>
      <c r="HCO8" s="1202"/>
      <c r="HCP8" s="1202"/>
      <c r="HCQ8" s="1202"/>
      <c r="HCR8" s="1202"/>
      <c r="HCS8" s="1202"/>
      <c r="HCT8" s="1202"/>
      <c r="HCU8" s="1202"/>
      <c r="HCV8" s="1202"/>
      <c r="HCW8" s="1202"/>
      <c r="HCX8" s="1202"/>
      <c r="HCY8" s="1202"/>
      <c r="HCZ8" s="1202"/>
      <c r="HDA8" s="1202"/>
      <c r="HDB8" s="1202"/>
      <c r="HDC8" s="1202"/>
      <c r="HDD8" s="1202"/>
      <c r="HDE8" s="1202"/>
      <c r="HDF8" s="1202"/>
      <c r="HDG8" s="1202"/>
      <c r="HDH8" s="1202"/>
      <c r="HDI8" s="1202"/>
      <c r="HDJ8" s="1202"/>
      <c r="HDK8" s="1202"/>
      <c r="HDL8" s="1202"/>
      <c r="HDM8" s="1202"/>
      <c r="HDN8" s="1202"/>
      <c r="HDO8" s="1202"/>
      <c r="HDP8" s="1202"/>
      <c r="HDQ8" s="1202"/>
      <c r="HDR8" s="1202"/>
      <c r="HDS8" s="1202"/>
      <c r="HDT8" s="1202"/>
      <c r="HDU8" s="1202"/>
      <c r="HDV8" s="1202"/>
      <c r="HDW8" s="1202"/>
      <c r="HDX8" s="1202"/>
      <c r="HDY8" s="1202"/>
      <c r="HDZ8" s="1202"/>
      <c r="HEA8" s="1202"/>
      <c r="HEB8" s="1202"/>
      <c r="HEC8" s="1202"/>
      <c r="HED8" s="1202"/>
      <c r="HEE8" s="1202"/>
      <c r="HEF8" s="1202"/>
      <c r="HEG8" s="1202"/>
      <c r="HEH8" s="1202"/>
      <c r="HEI8" s="1202"/>
      <c r="HEJ8" s="1202"/>
      <c r="HEK8" s="1202"/>
      <c r="HEL8" s="1202"/>
      <c r="HEM8" s="1202"/>
      <c r="HEN8" s="1202"/>
      <c r="HEO8" s="1202"/>
      <c r="HEP8" s="1202"/>
      <c r="HEQ8" s="1202"/>
      <c r="HER8" s="1202"/>
      <c r="HES8" s="1202"/>
      <c r="HET8" s="1202"/>
      <c r="HEU8" s="1202"/>
      <c r="HEV8" s="1202"/>
      <c r="HEW8" s="1202"/>
      <c r="HEX8" s="1202"/>
      <c r="HEY8" s="1202"/>
      <c r="HEZ8" s="1202"/>
      <c r="HFA8" s="1202"/>
      <c r="HFB8" s="1202"/>
      <c r="HFC8" s="1202"/>
      <c r="HFD8" s="1202"/>
      <c r="HFE8" s="1202"/>
      <c r="HFF8" s="1202"/>
      <c r="HFG8" s="1202"/>
      <c r="HFH8" s="1202"/>
      <c r="HFI8" s="1202"/>
      <c r="HFJ8" s="1202"/>
      <c r="HFK8" s="1202"/>
      <c r="HFL8" s="1202"/>
      <c r="HFM8" s="1202"/>
      <c r="HFN8" s="1202"/>
      <c r="HFO8" s="1202"/>
      <c r="HFP8" s="1202"/>
      <c r="HFQ8" s="1202"/>
      <c r="HFR8" s="1202"/>
      <c r="HFS8" s="1202"/>
      <c r="HFT8" s="1202"/>
      <c r="HFU8" s="1202"/>
      <c r="HFV8" s="1202"/>
      <c r="HFW8" s="1202"/>
      <c r="HFX8" s="1202"/>
      <c r="HFY8" s="1202"/>
      <c r="HFZ8" s="1202"/>
      <c r="HGA8" s="1202"/>
      <c r="HGB8" s="1202"/>
      <c r="HGC8" s="1202"/>
      <c r="HGD8" s="1202"/>
      <c r="HGE8" s="1202"/>
      <c r="HGF8" s="1202"/>
      <c r="HGG8" s="1202"/>
      <c r="HGH8" s="1202"/>
      <c r="HGI8" s="1202"/>
      <c r="HGJ8" s="1202"/>
      <c r="HGK8" s="1202"/>
      <c r="HGL8" s="1202"/>
      <c r="HGM8" s="1202"/>
      <c r="HGN8" s="1202"/>
      <c r="HGO8" s="1202"/>
      <c r="HGP8" s="1202"/>
      <c r="HGQ8" s="1202"/>
      <c r="HGR8" s="1202"/>
      <c r="HGS8" s="1202"/>
      <c r="HGT8" s="1202"/>
      <c r="HGU8" s="1202"/>
      <c r="HGV8" s="1202"/>
      <c r="HGW8" s="1202"/>
      <c r="HGX8" s="1202"/>
      <c r="HGY8" s="1202"/>
      <c r="HGZ8" s="1202"/>
      <c r="HHA8" s="1202"/>
      <c r="HHB8" s="1202"/>
      <c r="HHC8" s="1202"/>
      <c r="HHD8" s="1202"/>
      <c r="HHE8" s="1202"/>
      <c r="HHF8" s="1202"/>
      <c r="HHG8" s="1202"/>
      <c r="HHH8" s="1202"/>
      <c r="HHI8" s="1202"/>
      <c r="HHJ8" s="1202"/>
      <c r="HHK8" s="1202"/>
      <c r="HHL8" s="1202"/>
      <c r="HHM8" s="1202"/>
      <c r="HHN8" s="1202"/>
      <c r="HHO8" s="1202"/>
      <c r="HHP8" s="1202"/>
      <c r="HHQ8" s="1202"/>
      <c r="HHR8" s="1202"/>
      <c r="HHS8" s="1202"/>
      <c r="HHT8" s="1202"/>
      <c r="HHU8" s="1202"/>
      <c r="HHV8" s="1202"/>
      <c r="HHW8" s="1202"/>
      <c r="HHX8" s="1202"/>
      <c r="HHY8" s="1202"/>
      <c r="HHZ8" s="1202"/>
      <c r="HIA8" s="1202"/>
      <c r="HIB8" s="1202"/>
      <c r="HIC8" s="1202"/>
      <c r="HID8" s="1202"/>
      <c r="HIE8" s="1202"/>
      <c r="HIF8" s="1202"/>
      <c r="HIG8" s="1202"/>
      <c r="HIH8" s="1202"/>
      <c r="HII8" s="1202"/>
      <c r="HIJ8" s="1202"/>
      <c r="HIK8" s="1202"/>
      <c r="HIL8" s="1202"/>
      <c r="HIM8" s="1202"/>
      <c r="HIN8" s="1202"/>
      <c r="HIO8" s="1202"/>
      <c r="HIP8" s="1202"/>
      <c r="HIQ8" s="1202"/>
      <c r="HIR8" s="1202"/>
      <c r="HIS8" s="1202"/>
      <c r="HIT8" s="1202"/>
      <c r="HIU8" s="1202"/>
      <c r="HIV8" s="1202"/>
      <c r="HIW8" s="1202"/>
      <c r="HIX8" s="1202"/>
      <c r="HIY8" s="1202"/>
      <c r="HIZ8" s="1202"/>
      <c r="HJA8" s="1202"/>
      <c r="HJB8" s="1202"/>
      <c r="HJC8" s="1202"/>
      <c r="HJD8" s="1202"/>
      <c r="HJE8" s="1202"/>
      <c r="HJF8" s="1202"/>
      <c r="HJG8" s="1202"/>
      <c r="HJH8" s="1202"/>
      <c r="HJI8" s="1202"/>
      <c r="HJJ8" s="1202"/>
      <c r="HJK8" s="1202"/>
      <c r="HJL8" s="1202"/>
      <c r="HJM8" s="1202"/>
      <c r="HJN8" s="1202"/>
      <c r="HJO8" s="1202"/>
      <c r="HJP8" s="1202"/>
      <c r="HJQ8" s="1202"/>
      <c r="HJR8" s="1202"/>
      <c r="HJS8" s="1202"/>
      <c r="HJT8" s="1202"/>
      <c r="HJU8" s="1202"/>
      <c r="HJV8" s="1202"/>
      <c r="HJW8" s="1202"/>
      <c r="HJX8" s="1202"/>
      <c r="HJY8" s="1202"/>
      <c r="HJZ8" s="1202"/>
      <c r="HKA8" s="1202"/>
      <c r="HKB8" s="1202"/>
      <c r="HKC8" s="1202"/>
      <c r="HKD8" s="1202"/>
      <c r="HKE8" s="1202"/>
      <c r="HKF8" s="1202"/>
      <c r="HKG8" s="1202"/>
      <c r="HKH8" s="1202"/>
      <c r="HKI8" s="1202"/>
      <c r="HKJ8" s="1202"/>
      <c r="HKK8" s="1202"/>
      <c r="HKL8" s="1202"/>
      <c r="HKM8" s="1202"/>
      <c r="HKN8" s="1202"/>
      <c r="HKO8" s="1202"/>
      <c r="HKP8" s="1202"/>
      <c r="HKQ8" s="1202"/>
      <c r="HKR8" s="1202"/>
      <c r="HKS8" s="1202"/>
      <c r="HKT8" s="1202"/>
      <c r="HKU8" s="1202"/>
      <c r="HKV8" s="1202"/>
      <c r="HKW8" s="1202"/>
      <c r="HKX8" s="1202"/>
      <c r="HKY8" s="1202"/>
      <c r="HKZ8" s="1202"/>
      <c r="HLA8" s="1202"/>
      <c r="HLB8" s="1202"/>
      <c r="HLC8" s="1202"/>
      <c r="HLD8" s="1202"/>
      <c r="HLE8" s="1202"/>
      <c r="HLF8" s="1202"/>
      <c r="HLG8" s="1202"/>
      <c r="HLH8" s="1202"/>
      <c r="HLI8" s="1202"/>
      <c r="HLJ8" s="1202"/>
      <c r="HLK8" s="1202"/>
      <c r="HLL8" s="1202"/>
      <c r="HLM8" s="1202"/>
      <c r="HLN8" s="1202"/>
      <c r="HLO8" s="1202"/>
      <c r="HLP8" s="1202"/>
      <c r="HLQ8" s="1202"/>
      <c r="HLR8" s="1202"/>
      <c r="HLS8" s="1202"/>
      <c r="HLT8" s="1202"/>
      <c r="HLU8" s="1202"/>
      <c r="HLV8" s="1202"/>
      <c r="HLW8" s="1202"/>
      <c r="HLX8" s="1202"/>
      <c r="HLY8" s="1202"/>
      <c r="HLZ8" s="1202"/>
      <c r="HMA8" s="1202"/>
      <c r="HMB8" s="1202"/>
      <c r="HMC8" s="1202"/>
      <c r="HMD8" s="1202"/>
      <c r="HME8" s="1202"/>
      <c r="HMF8" s="1202"/>
      <c r="HMG8" s="1202"/>
      <c r="HMH8" s="1202"/>
      <c r="HMI8" s="1202"/>
      <c r="HMJ8" s="1202"/>
      <c r="HMK8" s="1202"/>
      <c r="HML8" s="1202"/>
      <c r="HMM8" s="1202"/>
      <c r="HMN8" s="1202"/>
      <c r="HMO8" s="1202"/>
      <c r="HMP8" s="1202"/>
      <c r="HMQ8" s="1202"/>
      <c r="HMR8" s="1202"/>
      <c r="HMS8" s="1202"/>
      <c r="HMT8" s="1202"/>
      <c r="HMU8" s="1202"/>
      <c r="HMV8" s="1202"/>
      <c r="HMW8" s="1202"/>
      <c r="HMX8" s="1202"/>
      <c r="HMY8" s="1202"/>
      <c r="HMZ8" s="1202"/>
      <c r="HNA8" s="1202"/>
      <c r="HNB8" s="1202"/>
      <c r="HNC8" s="1202"/>
      <c r="HND8" s="1202"/>
      <c r="HNE8" s="1202"/>
      <c r="HNF8" s="1202"/>
      <c r="HNG8" s="1202"/>
      <c r="HNH8" s="1202"/>
      <c r="HNI8" s="1202"/>
      <c r="HNJ8" s="1202"/>
      <c r="HNK8" s="1202"/>
      <c r="HNL8" s="1202"/>
      <c r="HNM8" s="1202"/>
      <c r="HNN8" s="1202"/>
      <c r="HNO8" s="1202"/>
      <c r="HNP8" s="1202"/>
      <c r="HNQ8" s="1202"/>
      <c r="HNR8" s="1202"/>
      <c r="HNS8" s="1202"/>
      <c r="HNT8" s="1202"/>
      <c r="HNU8" s="1202"/>
      <c r="HNV8" s="1202"/>
      <c r="HNW8" s="1202"/>
      <c r="HNX8" s="1202"/>
      <c r="HNY8" s="1202"/>
      <c r="HNZ8" s="1202"/>
      <c r="HOA8" s="1202"/>
      <c r="HOB8" s="1202"/>
      <c r="HOC8" s="1202"/>
      <c r="HOD8" s="1202"/>
      <c r="HOE8" s="1202"/>
      <c r="HOF8" s="1202"/>
      <c r="HOG8" s="1202"/>
      <c r="HOH8" s="1202"/>
      <c r="HOI8" s="1202"/>
      <c r="HOJ8" s="1202"/>
      <c r="HOK8" s="1202"/>
      <c r="HOL8" s="1202"/>
      <c r="HOM8" s="1202"/>
      <c r="HON8" s="1202"/>
      <c r="HOO8" s="1202"/>
      <c r="HOP8" s="1202"/>
      <c r="HOQ8" s="1202"/>
      <c r="HOR8" s="1202"/>
      <c r="HOS8" s="1202"/>
      <c r="HOT8" s="1202"/>
      <c r="HOU8" s="1202"/>
      <c r="HOV8" s="1202"/>
      <c r="HOW8" s="1202"/>
      <c r="HOX8" s="1202"/>
      <c r="HOY8" s="1202"/>
      <c r="HOZ8" s="1202"/>
      <c r="HPA8" s="1202"/>
      <c r="HPB8" s="1202"/>
      <c r="HPC8" s="1202"/>
      <c r="HPD8" s="1202"/>
      <c r="HPE8" s="1202"/>
      <c r="HPF8" s="1202"/>
      <c r="HPG8" s="1202"/>
      <c r="HPH8" s="1202"/>
      <c r="HPI8" s="1202"/>
      <c r="HPJ8" s="1202"/>
      <c r="HPK8" s="1202"/>
      <c r="HPL8" s="1202"/>
      <c r="HPM8" s="1202"/>
      <c r="HPN8" s="1202"/>
      <c r="HPO8" s="1202"/>
      <c r="HPP8" s="1202"/>
      <c r="HPQ8" s="1202"/>
      <c r="HPR8" s="1202"/>
      <c r="HPS8" s="1202"/>
      <c r="HPT8" s="1202"/>
      <c r="HPU8" s="1202"/>
      <c r="HPV8" s="1202"/>
      <c r="HPW8" s="1202"/>
      <c r="HPX8" s="1202"/>
      <c r="HPY8" s="1202"/>
      <c r="HPZ8" s="1202"/>
      <c r="HQA8" s="1202"/>
      <c r="HQB8" s="1202"/>
      <c r="HQC8" s="1202"/>
      <c r="HQD8" s="1202"/>
      <c r="HQE8" s="1202"/>
      <c r="HQF8" s="1202"/>
      <c r="HQG8" s="1202"/>
      <c r="HQH8" s="1202"/>
      <c r="HQI8" s="1202"/>
      <c r="HQJ8" s="1202"/>
      <c r="HQK8" s="1202"/>
      <c r="HQL8" s="1202"/>
      <c r="HQM8" s="1202"/>
      <c r="HQN8" s="1202"/>
      <c r="HQO8" s="1202"/>
      <c r="HQP8" s="1202"/>
      <c r="HQQ8" s="1202"/>
      <c r="HQR8" s="1202"/>
      <c r="HQS8" s="1202"/>
      <c r="HQT8" s="1202"/>
      <c r="HQU8" s="1202"/>
      <c r="HQV8" s="1202"/>
      <c r="HQW8" s="1202"/>
      <c r="HQX8" s="1202"/>
      <c r="HQY8" s="1202"/>
      <c r="HQZ8" s="1202"/>
      <c r="HRA8" s="1202"/>
      <c r="HRB8" s="1202"/>
      <c r="HRC8" s="1202"/>
      <c r="HRD8" s="1202"/>
      <c r="HRE8" s="1202"/>
      <c r="HRF8" s="1202"/>
      <c r="HRG8" s="1202"/>
      <c r="HRH8" s="1202"/>
      <c r="HRI8" s="1202"/>
      <c r="HRJ8" s="1202"/>
      <c r="HRK8" s="1202"/>
      <c r="HRL8" s="1202"/>
      <c r="HRM8" s="1202"/>
      <c r="HRN8" s="1202"/>
      <c r="HRO8" s="1202"/>
      <c r="HRP8" s="1202"/>
      <c r="HRQ8" s="1202"/>
      <c r="HRR8" s="1202"/>
      <c r="HRS8" s="1202"/>
      <c r="HRT8" s="1202"/>
      <c r="HRU8" s="1202"/>
      <c r="HRV8" s="1202"/>
      <c r="HRW8" s="1202"/>
      <c r="HRX8" s="1202"/>
      <c r="HRY8" s="1202"/>
      <c r="HRZ8" s="1202"/>
      <c r="HSA8" s="1202"/>
      <c r="HSB8" s="1202"/>
      <c r="HSC8" s="1202"/>
      <c r="HSD8" s="1202"/>
      <c r="HSE8" s="1202"/>
      <c r="HSF8" s="1202"/>
      <c r="HSG8" s="1202"/>
      <c r="HSH8" s="1202"/>
      <c r="HSI8" s="1202"/>
      <c r="HSJ8" s="1202"/>
      <c r="HSK8" s="1202"/>
      <c r="HSL8" s="1202"/>
      <c r="HSM8" s="1202"/>
      <c r="HSN8" s="1202"/>
      <c r="HSO8" s="1202"/>
      <c r="HSP8" s="1202"/>
      <c r="HSQ8" s="1202"/>
      <c r="HSR8" s="1202"/>
      <c r="HSS8" s="1202"/>
      <c r="HST8" s="1202"/>
      <c r="HSU8" s="1202"/>
      <c r="HSV8" s="1202"/>
      <c r="HSW8" s="1202"/>
      <c r="HSX8" s="1202"/>
      <c r="HSY8" s="1202"/>
      <c r="HSZ8" s="1202"/>
      <c r="HTA8" s="1202"/>
      <c r="HTB8" s="1202"/>
      <c r="HTC8" s="1202"/>
      <c r="HTD8" s="1202"/>
      <c r="HTE8" s="1202"/>
      <c r="HTF8" s="1202"/>
      <c r="HTG8" s="1202"/>
      <c r="HTH8" s="1202"/>
      <c r="HTI8" s="1202"/>
      <c r="HTJ8" s="1202"/>
      <c r="HTK8" s="1202"/>
      <c r="HTL8" s="1202"/>
      <c r="HTM8" s="1202"/>
      <c r="HTN8" s="1202"/>
      <c r="HTO8" s="1202"/>
      <c r="HTP8" s="1202"/>
      <c r="HTQ8" s="1202"/>
      <c r="HTR8" s="1202"/>
      <c r="HTS8" s="1202"/>
      <c r="HTT8" s="1202"/>
      <c r="HTU8" s="1202"/>
      <c r="HTV8" s="1202"/>
      <c r="HTW8" s="1202"/>
      <c r="HTX8" s="1202"/>
      <c r="HTY8" s="1202"/>
      <c r="HTZ8" s="1202"/>
      <c r="HUA8" s="1202"/>
      <c r="HUB8" s="1202"/>
      <c r="HUC8" s="1202"/>
      <c r="HUD8" s="1202"/>
      <c r="HUE8" s="1202"/>
      <c r="HUF8" s="1202"/>
      <c r="HUG8" s="1202"/>
      <c r="HUH8" s="1202"/>
      <c r="HUI8" s="1202"/>
      <c r="HUJ8" s="1202"/>
      <c r="HUK8" s="1202"/>
      <c r="HUL8" s="1202"/>
      <c r="HUM8" s="1202"/>
      <c r="HUN8" s="1202"/>
      <c r="HUO8" s="1202"/>
      <c r="HUP8" s="1202"/>
      <c r="HUQ8" s="1202"/>
      <c r="HUR8" s="1202"/>
      <c r="HUS8" s="1202"/>
      <c r="HUT8" s="1202"/>
      <c r="HUU8" s="1202"/>
      <c r="HUV8" s="1202"/>
      <c r="HUW8" s="1202"/>
      <c r="HUX8" s="1202"/>
      <c r="HUY8" s="1202"/>
      <c r="HUZ8" s="1202"/>
      <c r="HVA8" s="1202"/>
      <c r="HVB8" s="1202"/>
      <c r="HVC8" s="1202"/>
      <c r="HVD8" s="1202"/>
      <c r="HVE8" s="1202"/>
      <c r="HVF8" s="1202"/>
      <c r="HVG8" s="1202"/>
      <c r="HVH8" s="1202"/>
      <c r="HVI8" s="1202"/>
      <c r="HVJ8" s="1202"/>
      <c r="HVK8" s="1202"/>
      <c r="HVL8" s="1202"/>
      <c r="HVM8" s="1202"/>
      <c r="HVN8" s="1202"/>
      <c r="HVO8" s="1202"/>
      <c r="HVP8" s="1202"/>
      <c r="HVQ8" s="1202"/>
      <c r="HVR8" s="1202"/>
      <c r="HVS8" s="1202"/>
      <c r="HVT8" s="1202"/>
      <c r="HVU8" s="1202"/>
      <c r="HVV8" s="1202"/>
      <c r="HVW8" s="1202"/>
      <c r="HVX8" s="1202"/>
      <c r="HVY8" s="1202"/>
      <c r="HVZ8" s="1202"/>
      <c r="HWA8" s="1202"/>
      <c r="HWB8" s="1202"/>
      <c r="HWC8" s="1202"/>
      <c r="HWD8" s="1202"/>
      <c r="HWE8" s="1202"/>
      <c r="HWF8" s="1202"/>
      <c r="HWG8" s="1202"/>
      <c r="HWH8" s="1202"/>
      <c r="HWI8" s="1202"/>
      <c r="HWJ8" s="1202"/>
      <c r="HWK8" s="1202"/>
      <c r="HWL8" s="1202"/>
      <c r="HWM8" s="1202"/>
      <c r="HWN8" s="1202"/>
      <c r="HWO8" s="1202"/>
      <c r="HWP8" s="1202"/>
      <c r="HWQ8" s="1202"/>
      <c r="HWR8" s="1202"/>
      <c r="HWS8" s="1202"/>
      <c r="HWT8" s="1202"/>
      <c r="HWU8" s="1202"/>
      <c r="HWV8" s="1202"/>
      <c r="HWW8" s="1202"/>
      <c r="HWX8" s="1202"/>
      <c r="HWY8" s="1202"/>
      <c r="HWZ8" s="1202"/>
      <c r="HXA8" s="1202"/>
      <c r="HXB8" s="1202"/>
      <c r="HXC8" s="1202"/>
      <c r="HXD8" s="1202"/>
      <c r="HXE8" s="1202"/>
      <c r="HXF8" s="1202"/>
      <c r="HXG8" s="1202"/>
      <c r="HXH8" s="1202"/>
      <c r="HXI8" s="1202"/>
      <c r="HXJ8" s="1202"/>
      <c r="HXK8" s="1202"/>
      <c r="HXL8" s="1202"/>
      <c r="HXM8" s="1202"/>
      <c r="HXN8" s="1202"/>
      <c r="HXO8" s="1202"/>
      <c r="HXP8" s="1202"/>
      <c r="HXQ8" s="1202"/>
      <c r="HXR8" s="1202"/>
      <c r="HXS8" s="1202"/>
      <c r="HXT8" s="1202"/>
      <c r="HXU8" s="1202"/>
      <c r="HXV8" s="1202"/>
      <c r="HXW8" s="1202"/>
      <c r="HXX8" s="1202"/>
      <c r="HXY8" s="1202"/>
      <c r="HXZ8" s="1202"/>
      <c r="HYA8" s="1202"/>
      <c r="HYB8" s="1202"/>
      <c r="HYC8" s="1202"/>
      <c r="HYD8" s="1202"/>
      <c r="HYE8" s="1202"/>
      <c r="HYF8" s="1202"/>
      <c r="HYG8" s="1202"/>
      <c r="HYH8" s="1202"/>
      <c r="HYI8" s="1202"/>
      <c r="HYJ8" s="1202"/>
      <c r="HYK8" s="1202"/>
      <c r="HYL8" s="1202"/>
      <c r="HYM8" s="1202"/>
      <c r="HYN8" s="1202"/>
      <c r="HYO8" s="1202"/>
      <c r="HYP8" s="1202"/>
      <c r="HYQ8" s="1202"/>
      <c r="HYR8" s="1202"/>
      <c r="HYS8" s="1202"/>
      <c r="HYT8" s="1202"/>
      <c r="HYU8" s="1202"/>
      <c r="HYV8" s="1202"/>
      <c r="HYW8" s="1202"/>
      <c r="HYX8" s="1202"/>
      <c r="HYY8" s="1202"/>
      <c r="HYZ8" s="1202"/>
      <c r="HZA8" s="1202"/>
      <c r="HZB8" s="1202"/>
      <c r="HZC8" s="1202"/>
      <c r="HZD8" s="1202"/>
      <c r="HZE8" s="1202"/>
      <c r="HZF8" s="1202"/>
      <c r="HZG8" s="1202"/>
      <c r="HZH8" s="1202"/>
      <c r="HZI8" s="1202"/>
      <c r="HZJ8" s="1202"/>
      <c r="HZK8" s="1202"/>
      <c r="HZL8" s="1202"/>
      <c r="HZM8" s="1202"/>
      <c r="HZN8" s="1202"/>
      <c r="HZO8" s="1202"/>
      <c r="HZP8" s="1202"/>
      <c r="HZQ8" s="1202"/>
      <c r="HZR8" s="1202"/>
      <c r="HZS8" s="1202"/>
      <c r="HZT8" s="1202"/>
      <c r="HZU8" s="1202"/>
      <c r="HZV8" s="1202"/>
      <c r="HZW8" s="1202"/>
      <c r="HZX8" s="1202"/>
      <c r="HZY8" s="1202"/>
      <c r="HZZ8" s="1202"/>
      <c r="IAA8" s="1202"/>
      <c r="IAB8" s="1202"/>
      <c r="IAC8" s="1202"/>
      <c r="IAD8" s="1202"/>
      <c r="IAE8" s="1202"/>
      <c r="IAF8" s="1202"/>
      <c r="IAG8" s="1202"/>
      <c r="IAH8" s="1202"/>
      <c r="IAI8" s="1202"/>
      <c r="IAJ8" s="1202"/>
      <c r="IAK8" s="1202"/>
      <c r="IAL8" s="1202"/>
      <c r="IAM8" s="1202"/>
      <c r="IAN8" s="1202"/>
      <c r="IAO8" s="1202"/>
      <c r="IAP8" s="1202"/>
      <c r="IAQ8" s="1202"/>
      <c r="IAR8" s="1202"/>
      <c r="IAS8" s="1202"/>
      <c r="IAT8" s="1202"/>
      <c r="IAU8" s="1202"/>
      <c r="IAV8" s="1202"/>
      <c r="IAW8" s="1202"/>
      <c r="IAX8" s="1202"/>
      <c r="IAY8" s="1202"/>
      <c r="IAZ8" s="1202"/>
      <c r="IBA8" s="1202"/>
      <c r="IBB8" s="1202"/>
      <c r="IBC8" s="1202"/>
      <c r="IBD8" s="1202"/>
      <c r="IBE8" s="1202"/>
      <c r="IBF8" s="1202"/>
      <c r="IBG8" s="1202"/>
      <c r="IBH8" s="1202"/>
      <c r="IBI8" s="1202"/>
      <c r="IBJ8" s="1202"/>
      <c r="IBK8" s="1202"/>
      <c r="IBL8" s="1202"/>
      <c r="IBM8" s="1202"/>
      <c r="IBN8" s="1202"/>
      <c r="IBO8" s="1202"/>
      <c r="IBP8" s="1202"/>
      <c r="IBQ8" s="1202"/>
      <c r="IBR8" s="1202"/>
      <c r="IBS8" s="1202"/>
      <c r="IBT8" s="1202"/>
      <c r="IBU8" s="1202"/>
      <c r="IBV8" s="1202"/>
      <c r="IBW8" s="1202"/>
      <c r="IBX8" s="1202"/>
      <c r="IBY8" s="1202"/>
      <c r="IBZ8" s="1202"/>
      <c r="ICA8" s="1202"/>
      <c r="ICB8" s="1202"/>
      <c r="ICC8" s="1202"/>
      <c r="ICD8" s="1202"/>
      <c r="ICE8" s="1202"/>
      <c r="ICF8" s="1202"/>
      <c r="ICG8" s="1202"/>
      <c r="ICH8" s="1202"/>
      <c r="ICI8" s="1202"/>
      <c r="ICJ8" s="1202"/>
      <c r="ICK8" s="1202"/>
      <c r="ICL8" s="1202"/>
      <c r="ICM8" s="1202"/>
      <c r="ICN8" s="1202"/>
      <c r="ICO8" s="1202"/>
      <c r="ICP8" s="1202"/>
      <c r="ICQ8" s="1202"/>
      <c r="ICR8" s="1202"/>
      <c r="ICS8" s="1202"/>
      <c r="ICT8" s="1202"/>
      <c r="ICU8" s="1202"/>
      <c r="ICV8" s="1202"/>
      <c r="ICW8" s="1202"/>
      <c r="ICX8" s="1202"/>
      <c r="ICY8" s="1202"/>
      <c r="ICZ8" s="1202"/>
      <c r="IDA8" s="1202"/>
      <c r="IDB8" s="1202"/>
      <c r="IDC8" s="1202"/>
      <c r="IDD8" s="1202"/>
      <c r="IDE8" s="1202"/>
      <c r="IDF8" s="1202"/>
      <c r="IDG8" s="1202"/>
      <c r="IDH8" s="1202"/>
      <c r="IDI8" s="1202"/>
      <c r="IDJ8" s="1202"/>
      <c r="IDK8" s="1202"/>
      <c r="IDL8" s="1202"/>
      <c r="IDM8" s="1202"/>
      <c r="IDN8" s="1202"/>
      <c r="IDO8" s="1202"/>
      <c r="IDP8" s="1202"/>
      <c r="IDQ8" s="1202"/>
      <c r="IDR8" s="1202"/>
      <c r="IDS8" s="1202"/>
      <c r="IDT8" s="1202"/>
      <c r="IDU8" s="1202"/>
      <c r="IDV8" s="1202"/>
      <c r="IDW8" s="1202"/>
      <c r="IDX8" s="1202"/>
      <c r="IDY8" s="1202"/>
      <c r="IDZ8" s="1202"/>
      <c r="IEA8" s="1202"/>
      <c r="IEB8" s="1202"/>
      <c r="IEC8" s="1202"/>
      <c r="IED8" s="1202"/>
      <c r="IEE8" s="1202"/>
      <c r="IEF8" s="1202"/>
      <c r="IEG8" s="1202"/>
      <c r="IEH8" s="1202"/>
      <c r="IEI8" s="1202"/>
      <c r="IEJ8" s="1202"/>
      <c r="IEK8" s="1202"/>
      <c r="IEL8" s="1202"/>
      <c r="IEM8" s="1202"/>
      <c r="IEN8" s="1202"/>
      <c r="IEO8" s="1202"/>
      <c r="IEP8" s="1202"/>
      <c r="IEQ8" s="1202"/>
      <c r="IER8" s="1202"/>
      <c r="IES8" s="1202"/>
      <c r="IET8" s="1202"/>
      <c r="IEU8" s="1202"/>
      <c r="IEV8" s="1202"/>
      <c r="IEW8" s="1202"/>
      <c r="IEX8" s="1202"/>
      <c r="IEY8" s="1202"/>
      <c r="IEZ8" s="1202"/>
      <c r="IFA8" s="1202"/>
      <c r="IFB8" s="1202"/>
      <c r="IFC8" s="1202"/>
      <c r="IFD8" s="1202"/>
      <c r="IFE8" s="1202"/>
      <c r="IFF8" s="1202"/>
      <c r="IFG8" s="1202"/>
      <c r="IFH8" s="1202"/>
      <c r="IFI8" s="1202"/>
      <c r="IFJ8" s="1202"/>
      <c r="IFK8" s="1202"/>
      <c r="IFL8" s="1202"/>
      <c r="IFM8" s="1202"/>
      <c r="IFN8" s="1202"/>
      <c r="IFO8" s="1202"/>
      <c r="IFP8" s="1202"/>
      <c r="IFQ8" s="1202"/>
      <c r="IFR8" s="1202"/>
      <c r="IFS8" s="1202"/>
      <c r="IFT8" s="1202"/>
      <c r="IFU8" s="1202"/>
      <c r="IFV8" s="1202"/>
      <c r="IFW8" s="1202"/>
      <c r="IFX8" s="1202"/>
      <c r="IFY8" s="1202"/>
      <c r="IFZ8" s="1202"/>
      <c r="IGA8" s="1202"/>
      <c r="IGB8" s="1202"/>
      <c r="IGC8" s="1202"/>
      <c r="IGD8" s="1202"/>
      <c r="IGE8" s="1202"/>
      <c r="IGF8" s="1202"/>
      <c r="IGG8" s="1202"/>
      <c r="IGH8" s="1202"/>
      <c r="IGI8" s="1202"/>
      <c r="IGJ8" s="1202"/>
      <c r="IGK8" s="1202"/>
      <c r="IGL8" s="1202"/>
      <c r="IGM8" s="1202"/>
      <c r="IGN8" s="1202"/>
      <c r="IGO8" s="1202"/>
      <c r="IGP8" s="1202"/>
      <c r="IGQ8" s="1202"/>
      <c r="IGR8" s="1202"/>
      <c r="IGS8" s="1202"/>
      <c r="IGT8" s="1202"/>
      <c r="IGU8" s="1202"/>
      <c r="IGV8" s="1202"/>
      <c r="IGW8" s="1202"/>
      <c r="IGX8" s="1202"/>
      <c r="IGY8" s="1202"/>
      <c r="IGZ8" s="1202"/>
      <c r="IHA8" s="1202"/>
      <c r="IHB8" s="1202"/>
      <c r="IHC8" s="1202"/>
      <c r="IHD8" s="1202"/>
      <c r="IHE8" s="1202"/>
      <c r="IHF8" s="1202"/>
      <c r="IHG8" s="1202"/>
      <c r="IHH8" s="1202"/>
      <c r="IHI8" s="1202"/>
      <c r="IHJ8" s="1202"/>
      <c r="IHK8" s="1202"/>
      <c r="IHL8" s="1202"/>
      <c r="IHM8" s="1202"/>
      <c r="IHN8" s="1202"/>
      <c r="IHO8" s="1202"/>
      <c r="IHP8" s="1202"/>
      <c r="IHQ8" s="1202"/>
      <c r="IHR8" s="1202"/>
      <c r="IHS8" s="1202"/>
      <c r="IHT8" s="1202"/>
      <c r="IHU8" s="1202"/>
      <c r="IHV8" s="1202"/>
      <c r="IHW8" s="1202"/>
      <c r="IHX8" s="1202"/>
      <c r="IHY8" s="1202"/>
      <c r="IHZ8" s="1202"/>
      <c r="IIA8" s="1202"/>
      <c r="IIB8" s="1202"/>
      <c r="IIC8" s="1202"/>
      <c r="IID8" s="1202"/>
      <c r="IIE8" s="1202"/>
      <c r="IIF8" s="1202"/>
      <c r="IIG8" s="1202"/>
      <c r="IIH8" s="1202"/>
      <c r="III8" s="1202"/>
      <c r="IIJ8" s="1202"/>
      <c r="IIK8" s="1202"/>
      <c r="IIL8" s="1202"/>
      <c r="IIM8" s="1202"/>
      <c r="IIN8" s="1202"/>
      <c r="IIO8" s="1202"/>
      <c r="IIP8" s="1202"/>
      <c r="IIQ8" s="1202"/>
      <c r="IIR8" s="1202"/>
      <c r="IIS8" s="1202"/>
      <c r="IIT8" s="1202"/>
      <c r="IIU8" s="1202"/>
      <c r="IIV8" s="1202"/>
      <c r="IIW8" s="1202"/>
      <c r="IIX8" s="1202"/>
      <c r="IIY8" s="1202"/>
      <c r="IIZ8" s="1202"/>
      <c r="IJA8" s="1202"/>
      <c r="IJB8" s="1202"/>
      <c r="IJC8" s="1202"/>
      <c r="IJD8" s="1202"/>
      <c r="IJE8" s="1202"/>
      <c r="IJF8" s="1202"/>
      <c r="IJG8" s="1202"/>
      <c r="IJH8" s="1202"/>
      <c r="IJI8" s="1202"/>
      <c r="IJJ8" s="1202"/>
      <c r="IJK8" s="1202"/>
      <c r="IJL8" s="1202"/>
      <c r="IJM8" s="1202"/>
      <c r="IJN8" s="1202"/>
      <c r="IJO8" s="1202"/>
      <c r="IJP8" s="1202"/>
      <c r="IJQ8" s="1202"/>
      <c r="IJR8" s="1202"/>
      <c r="IJS8" s="1202"/>
      <c r="IJT8" s="1202"/>
      <c r="IJU8" s="1202"/>
      <c r="IJV8" s="1202"/>
      <c r="IJW8" s="1202"/>
      <c r="IJX8" s="1202"/>
      <c r="IJY8" s="1202"/>
      <c r="IJZ8" s="1202"/>
      <c r="IKA8" s="1202"/>
      <c r="IKB8" s="1202"/>
      <c r="IKC8" s="1202"/>
      <c r="IKD8" s="1202"/>
      <c r="IKE8" s="1202"/>
      <c r="IKF8" s="1202"/>
      <c r="IKG8" s="1202"/>
      <c r="IKH8" s="1202"/>
      <c r="IKI8" s="1202"/>
      <c r="IKJ8" s="1202"/>
      <c r="IKK8" s="1202"/>
      <c r="IKL8" s="1202"/>
      <c r="IKM8" s="1202"/>
      <c r="IKN8" s="1202"/>
      <c r="IKO8" s="1202"/>
      <c r="IKP8" s="1202"/>
      <c r="IKQ8" s="1202"/>
      <c r="IKR8" s="1202"/>
      <c r="IKS8" s="1202"/>
      <c r="IKT8" s="1202"/>
      <c r="IKU8" s="1202"/>
      <c r="IKV8" s="1202"/>
      <c r="IKW8" s="1202"/>
      <c r="IKX8" s="1202"/>
      <c r="IKY8" s="1202"/>
      <c r="IKZ8" s="1202"/>
      <c r="ILA8" s="1202"/>
      <c r="ILB8" s="1202"/>
      <c r="ILC8" s="1202"/>
      <c r="ILD8" s="1202"/>
      <c r="ILE8" s="1202"/>
      <c r="ILF8" s="1202"/>
      <c r="ILG8" s="1202"/>
      <c r="ILH8" s="1202"/>
      <c r="ILI8" s="1202"/>
      <c r="ILJ8" s="1202"/>
      <c r="ILK8" s="1202"/>
      <c r="ILL8" s="1202"/>
      <c r="ILM8" s="1202"/>
      <c r="ILN8" s="1202"/>
      <c r="ILO8" s="1202"/>
      <c r="ILP8" s="1202"/>
      <c r="ILQ8" s="1202"/>
      <c r="ILR8" s="1202"/>
      <c r="ILS8" s="1202"/>
      <c r="ILT8" s="1202"/>
      <c r="ILU8" s="1202"/>
      <c r="ILV8" s="1202"/>
      <c r="ILW8" s="1202"/>
      <c r="ILX8" s="1202"/>
      <c r="ILY8" s="1202"/>
      <c r="ILZ8" s="1202"/>
      <c r="IMA8" s="1202"/>
      <c r="IMB8" s="1202"/>
      <c r="IMC8" s="1202"/>
      <c r="IMD8" s="1202"/>
      <c r="IME8" s="1202"/>
      <c r="IMF8" s="1202"/>
      <c r="IMG8" s="1202"/>
      <c r="IMH8" s="1202"/>
      <c r="IMI8" s="1202"/>
      <c r="IMJ8" s="1202"/>
      <c r="IMK8" s="1202"/>
      <c r="IML8" s="1202"/>
      <c r="IMM8" s="1202"/>
      <c r="IMN8" s="1202"/>
      <c r="IMO8" s="1202"/>
      <c r="IMP8" s="1202"/>
      <c r="IMQ8" s="1202"/>
      <c r="IMR8" s="1202"/>
      <c r="IMS8" s="1202"/>
      <c r="IMT8" s="1202"/>
      <c r="IMU8" s="1202"/>
      <c r="IMV8" s="1202"/>
      <c r="IMW8" s="1202"/>
      <c r="IMX8" s="1202"/>
      <c r="IMY8" s="1202"/>
      <c r="IMZ8" s="1202"/>
      <c r="INA8" s="1202"/>
      <c r="INB8" s="1202"/>
      <c r="INC8" s="1202"/>
      <c r="IND8" s="1202"/>
      <c r="INE8" s="1202"/>
      <c r="INF8" s="1202"/>
      <c r="ING8" s="1202"/>
      <c r="INH8" s="1202"/>
      <c r="INI8" s="1202"/>
      <c r="INJ8" s="1202"/>
      <c r="INK8" s="1202"/>
      <c r="INL8" s="1202"/>
      <c r="INM8" s="1202"/>
      <c r="INN8" s="1202"/>
      <c r="INO8" s="1202"/>
      <c r="INP8" s="1202"/>
      <c r="INQ8" s="1202"/>
      <c r="INR8" s="1202"/>
      <c r="INS8" s="1202"/>
      <c r="INT8" s="1202"/>
      <c r="INU8" s="1202"/>
      <c r="INV8" s="1202"/>
      <c r="INW8" s="1202"/>
      <c r="INX8" s="1202"/>
      <c r="INY8" s="1202"/>
      <c r="INZ8" s="1202"/>
      <c r="IOA8" s="1202"/>
      <c r="IOB8" s="1202"/>
      <c r="IOC8" s="1202"/>
      <c r="IOD8" s="1202"/>
      <c r="IOE8" s="1202"/>
      <c r="IOF8" s="1202"/>
      <c r="IOG8" s="1202"/>
      <c r="IOH8" s="1202"/>
      <c r="IOI8" s="1202"/>
      <c r="IOJ8" s="1202"/>
      <c r="IOK8" s="1202"/>
      <c r="IOL8" s="1202"/>
      <c r="IOM8" s="1202"/>
      <c r="ION8" s="1202"/>
      <c r="IOO8" s="1202"/>
      <c r="IOP8" s="1202"/>
      <c r="IOQ8" s="1202"/>
      <c r="IOR8" s="1202"/>
      <c r="IOS8" s="1202"/>
      <c r="IOT8" s="1202"/>
      <c r="IOU8" s="1202"/>
      <c r="IOV8" s="1202"/>
      <c r="IOW8" s="1202"/>
      <c r="IOX8" s="1202"/>
      <c r="IOY8" s="1202"/>
      <c r="IOZ8" s="1202"/>
      <c r="IPA8" s="1202"/>
      <c r="IPB8" s="1202"/>
      <c r="IPC8" s="1202"/>
      <c r="IPD8" s="1202"/>
      <c r="IPE8" s="1202"/>
      <c r="IPF8" s="1202"/>
      <c r="IPG8" s="1202"/>
      <c r="IPH8" s="1202"/>
      <c r="IPI8" s="1202"/>
      <c r="IPJ8" s="1202"/>
      <c r="IPK8" s="1202"/>
      <c r="IPL8" s="1202"/>
      <c r="IPM8" s="1202"/>
      <c r="IPN8" s="1202"/>
      <c r="IPO8" s="1202"/>
      <c r="IPP8" s="1202"/>
      <c r="IPQ8" s="1202"/>
      <c r="IPR8" s="1202"/>
      <c r="IPS8" s="1202"/>
      <c r="IPT8" s="1202"/>
      <c r="IPU8" s="1202"/>
      <c r="IPV8" s="1202"/>
      <c r="IPW8" s="1202"/>
      <c r="IPX8" s="1202"/>
      <c r="IPY8" s="1202"/>
      <c r="IPZ8" s="1202"/>
      <c r="IQA8" s="1202"/>
      <c r="IQB8" s="1202"/>
      <c r="IQC8" s="1202"/>
      <c r="IQD8" s="1202"/>
      <c r="IQE8" s="1202"/>
      <c r="IQF8" s="1202"/>
      <c r="IQG8" s="1202"/>
      <c r="IQH8" s="1202"/>
      <c r="IQI8" s="1202"/>
      <c r="IQJ8" s="1202"/>
      <c r="IQK8" s="1202"/>
      <c r="IQL8" s="1202"/>
      <c r="IQM8" s="1202"/>
      <c r="IQN8" s="1202"/>
      <c r="IQO8" s="1202"/>
      <c r="IQP8" s="1202"/>
      <c r="IQQ8" s="1202"/>
      <c r="IQR8" s="1202"/>
      <c r="IQS8" s="1202"/>
      <c r="IQT8" s="1202"/>
      <c r="IQU8" s="1202"/>
      <c r="IQV8" s="1202"/>
      <c r="IQW8" s="1202"/>
      <c r="IQX8" s="1202"/>
      <c r="IQY8" s="1202"/>
      <c r="IQZ8" s="1202"/>
      <c r="IRA8" s="1202"/>
      <c r="IRB8" s="1202"/>
      <c r="IRC8" s="1202"/>
      <c r="IRD8" s="1202"/>
      <c r="IRE8" s="1202"/>
      <c r="IRF8" s="1202"/>
      <c r="IRG8" s="1202"/>
      <c r="IRH8" s="1202"/>
      <c r="IRI8" s="1202"/>
      <c r="IRJ8" s="1202"/>
      <c r="IRK8" s="1202"/>
      <c r="IRL8" s="1202"/>
      <c r="IRM8" s="1202"/>
      <c r="IRN8" s="1202"/>
      <c r="IRO8" s="1202"/>
      <c r="IRP8" s="1202"/>
      <c r="IRQ8" s="1202"/>
      <c r="IRR8" s="1202"/>
      <c r="IRS8" s="1202"/>
      <c r="IRT8" s="1202"/>
      <c r="IRU8" s="1202"/>
      <c r="IRV8" s="1202"/>
      <c r="IRW8" s="1202"/>
      <c r="IRX8" s="1202"/>
      <c r="IRY8" s="1202"/>
      <c r="IRZ8" s="1202"/>
      <c r="ISA8" s="1202"/>
      <c r="ISB8" s="1202"/>
      <c r="ISC8" s="1202"/>
      <c r="ISD8" s="1202"/>
      <c r="ISE8" s="1202"/>
      <c r="ISF8" s="1202"/>
      <c r="ISG8" s="1202"/>
      <c r="ISH8" s="1202"/>
      <c r="ISI8" s="1202"/>
      <c r="ISJ8" s="1202"/>
      <c r="ISK8" s="1202"/>
      <c r="ISL8" s="1202"/>
      <c r="ISM8" s="1202"/>
      <c r="ISN8" s="1202"/>
      <c r="ISO8" s="1202"/>
      <c r="ISP8" s="1202"/>
      <c r="ISQ8" s="1202"/>
      <c r="ISR8" s="1202"/>
      <c r="ISS8" s="1202"/>
      <c r="IST8" s="1202"/>
      <c r="ISU8" s="1202"/>
      <c r="ISV8" s="1202"/>
      <c r="ISW8" s="1202"/>
      <c r="ISX8" s="1202"/>
      <c r="ISY8" s="1202"/>
      <c r="ISZ8" s="1202"/>
      <c r="ITA8" s="1202"/>
      <c r="ITB8" s="1202"/>
      <c r="ITC8" s="1202"/>
      <c r="ITD8" s="1202"/>
      <c r="ITE8" s="1202"/>
      <c r="ITF8" s="1202"/>
      <c r="ITG8" s="1202"/>
      <c r="ITH8" s="1202"/>
      <c r="ITI8" s="1202"/>
      <c r="ITJ8" s="1202"/>
      <c r="ITK8" s="1202"/>
      <c r="ITL8" s="1202"/>
      <c r="ITM8" s="1202"/>
      <c r="ITN8" s="1202"/>
      <c r="ITO8" s="1202"/>
      <c r="ITP8" s="1202"/>
      <c r="ITQ8" s="1202"/>
      <c r="ITR8" s="1202"/>
      <c r="ITS8" s="1202"/>
      <c r="ITT8" s="1202"/>
      <c r="ITU8" s="1202"/>
      <c r="ITV8" s="1202"/>
      <c r="ITW8" s="1202"/>
      <c r="ITX8" s="1202"/>
      <c r="ITY8" s="1202"/>
      <c r="ITZ8" s="1202"/>
      <c r="IUA8" s="1202"/>
      <c r="IUB8" s="1202"/>
      <c r="IUC8" s="1202"/>
      <c r="IUD8" s="1202"/>
      <c r="IUE8" s="1202"/>
      <c r="IUF8" s="1202"/>
      <c r="IUG8" s="1202"/>
      <c r="IUH8" s="1202"/>
      <c r="IUI8" s="1202"/>
      <c r="IUJ8" s="1202"/>
      <c r="IUK8" s="1202"/>
      <c r="IUL8" s="1202"/>
      <c r="IUM8" s="1202"/>
      <c r="IUN8" s="1202"/>
      <c r="IUO8" s="1202"/>
      <c r="IUP8" s="1202"/>
      <c r="IUQ8" s="1202"/>
      <c r="IUR8" s="1202"/>
      <c r="IUS8" s="1202"/>
      <c r="IUT8" s="1202"/>
      <c r="IUU8" s="1202"/>
      <c r="IUV8" s="1202"/>
      <c r="IUW8" s="1202"/>
      <c r="IUX8" s="1202"/>
      <c r="IUY8" s="1202"/>
      <c r="IUZ8" s="1202"/>
      <c r="IVA8" s="1202"/>
      <c r="IVB8" s="1202"/>
      <c r="IVC8" s="1202"/>
      <c r="IVD8" s="1202"/>
      <c r="IVE8" s="1202"/>
      <c r="IVF8" s="1202"/>
      <c r="IVG8" s="1202"/>
      <c r="IVH8" s="1202"/>
      <c r="IVI8" s="1202"/>
      <c r="IVJ8" s="1202"/>
      <c r="IVK8" s="1202"/>
      <c r="IVL8" s="1202"/>
      <c r="IVM8" s="1202"/>
      <c r="IVN8" s="1202"/>
      <c r="IVO8" s="1202"/>
      <c r="IVP8" s="1202"/>
      <c r="IVQ8" s="1202"/>
      <c r="IVR8" s="1202"/>
      <c r="IVS8" s="1202"/>
      <c r="IVT8" s="1202"/>
      <c r="IVU8" s="1202"/>
      <c r="IVV8" s="1202"/>
      <c r="IVW8" s="1202"/>
      <c r="IVX8" s="1202"/>
      <c r="IVY8" s="1202"/>
      <c r="IVZ8" s="1202"/>
      <c r="IWA8" s="1202"/>
      <c r="IWB8" s="1202"/>
      <c r="IWC8" s="1202"/>
      <c r="IWD8" s="1202"/>
      <c r="IWE8" s="1202"/>
      <c r="IWF8" s="1202"/>
      <c r="IWG8" s="1202"/>
      <c r="IWH8" s="1202"/>
      <c r="IWI8" s="1202"/>
      <c r="IWJ8" s="1202"/>
      <c r="IWK8" s="1202"/>
      <c r="IWL8" s="1202"/>
      <c r="IWM8" s="1202"/>
      <c r="IWN8" s="1202"/>
      <c r="IWO8" s="1202"/>
      <c r="IWP8" s="1202"/>
      <c r="IWQ8" s="1202"/>
      <c r="IWR8" s="1202"/>
      <c r="IWS8" s="1202"/>
      <c r="IWT8" s="1202"/>
      <c r="IWU8" s="1202"/>
      <c r="IWV8" s="1202"/>
      <c r="IWW8" s="1202"/>
      <c r="IWX8" s="1202"/>
      <c r="IWY8" s="1202"/>
      <c r="IWZ8" s="1202"/>
      <c r="IXA8" s="1202"/>
      <c r="IXB8" s="1202"/>
      <c r="IXC8" s="1202"/>
      <c r="IXD8" s="1202"/>
      <c r="IXE8" s="1202"/>
      <c r="IXF8" s="1202"/>
      <c r="IXG8" s="1202"/>
      <c r="IXH8" s="1202"/>
      <c r="IXI8" s="1202"/>
      <c r="IXJ8" s="1202"/>
      <c r="IXK8" s="1202"/>
      <c r="IXL8" s="1202"/>
      <c r="IXM8" s="1202"/>
      <c r="IXN8" s="1202"/>
      <c r="IXO8" s="1202"/>
      <c r="IXP8" s="1202"/>
      <c r="IXQ8" s="1202"/>
      <c r="IXR8" s="1202"/>
      <c r="IXS8" s="1202"/>
      <c r="IXT8" s="1202"/>
      <c r="IXU8" s="1202"/>
      <c r="IXV8" s="1202"/>
      <c r="IXW8" s="1202"/>
      <c r="IXX8" s="1202"/>
      <c r="IXY8" s="1202"/>
      <c r="IXZ8" s="1202"/>
      <c r="IYA8" s="1202"/>
      <c r="IYB8" s="1202"/>
      <c r="IYC8" s="1202"/>
      <c r="IYD8" s="1202"/>
      <c r="IYE8" s="1202"/>
      <c r="IYF8" s="1202"/>
      <c r="IYG8" s="1202"/>
      <c r="IYH8" s="1202"/>
      <c r="IYI8" s="1202"/>
      <c r="IYJ8" s="1202"/>
      <c r="IYK8" s="1202"/>
      <c r="IYL8" s="1202"/>
      <c r="IYM8" s="1202"/>
      <c r="IYN8" s="1202"/>
      <c r="IYO8" s="1202"/>
      <c r="IYP8" s="1202"/>
      <c r="IYQ8" s="1202"/>
      <c r="IYR8" s="1202"/>
      <c r="IYS8" s="1202"/>
      <c r="IYT8" s="1202"/>
      <c r="IYU8" s="1202"/>
      <c r="IYV8" s="1202"/>
      <c r="IYW8" s="1202"/>
      <c r="IYX8" s="1202"/>
      <c r="IYY8" s="1202"/>
      <c r="IYZ8" s="1202"/>
      <c r="IZA8" s="1202"/>
      <c r="IZB8" s="1202"/>
      <c r="IZC8" s="1202"/>
      <c r="IZD8" s="1202"/>
      <c r="IZE8" s="1202"/>
      <c r="IZF8" s="1202"/>
      <c r="IZG8" s="1202"/>
      <c r="IZH8" s="1202"/>
      <c r="IZI8" s="1202"/>
      <c r="IZJ8" s="1202"/>
      <c r="IZK8" s="1202"/>
      <c r="IZL8" s="1202"/>
      <c r="IZM8" s="1202"/>
      <c r="IZN8" s="1202"/>
      <c r="IZO8" s="1202"/>
      <c r="IZP8" s="1202"/>
      <c r="IZQ8" s="1202"/>
      <c r="IZR8" s="1202"/>
      <c r="IZS8" s="1202"/>
      <c r="IZT8" s="1202"/>
      <c r="IZU8" s="1202"/>
      <c r="IZV8" s="1202"/>
      <c r="IZW8" s="1202"/>
      <c r="IZX8" s="1202"/>
      <c r="IZY8" s="1202"/>
      <c r="IZZ8" s="1202"/>
      <c r="JAA8" s="1202"/>
      <c r="JAB8" s="1202"/>
      <c r="JAC8" s="1202"/>
      <c r="JAD8" s="1202"/>
      <c r="JAE8" s="1202"/>
      <c r="JAF8" s="1202"/>
      <c r="JAG8" s="1202"/>
      <c r="JAH8" s="1202"/>
      <c r="JAI8" s="1202"/>
      <c r="JAJ8" s="1202"/>
      <c r="JAK8" s="1202"/>
      <c r="JAL8" s="1202"/>
      <c r="JAM8" s="1202"/>
      <c r="JAN8" s="1202"/>
      <c r="JAO8" s="1202"/>
      <c r="JAP8" s="1202"/>
      <c r="JAQ8" s="1202"/>
      <c r="JAR8" s="1202"/>
      <c r="JAS8" s="1202"/>
      <c r="JAT8" s="1202"/>
      <c r="JAU8" s="1202"/>
      <c r="JAV8" s="1202"/>
      <c r="JAW8" s="1202"/>
      <c r="JAX8" s="1202"/>
      <c r="JAY8" s="1202"/>
      <c r="JAZ8" s="1202"/>
      <c r="JBA8" s="1202"/>
      <c r="JBB8" s="1202"/>
      <c r="JBC8" s="1202"/>
      <c r="JBD8" s="1202"/>
      <c r="JBE8" s="1202"/>
      <c r="JBF8" s="1202"/>
      <c r="JBG8" s="1202"/>
      <c r="JBH8" s="1202"/>
      <c r="JBI8" s="1202"/>
      <c r="JBJ8" s="1202"/>
      <c r="JBK8" s="1202"/>
      <c r="JBL8" s="1202"/>
      <c r="JBM8" s="1202"/>
      <c r="JBN8" s="1202"/>
      <c r="JBO8" s="1202"/>
      <c r="JBP8" s="1202"/>
      <c r="JBQ8" s="1202"/>
      <c r="JBR8" s="1202"/>
      <c r="JBS8" s="1202"/>
      <c r="JBT8" s="1202"/>
      <c r="JBU8" s="1202"/>
      <c r="JBV8" s="1202"/>
      <c r="JBW8" s="1202"/>
      <c r="JBX8" s="1202"/>
      <c r="JBY8" s="1202"/>
      <c r="JBZ8" s="1202"/>
      <c r="JCA8" s="1202"/>
      <c r="JCB8" s="1202"/>
      <c r="JCC8" s="1202"/>
      <c r="JCD8" s="1202"/>
      <c r="JCE8" s="1202"/>
      <c r="JCF8" s="1202"/>
      <c r="JCG8" s="1202"/>
      <c r="JCH8" s="1202"/>
      <c r="JCI8" s="1202"/>
      <c r="JCJ8" s="1202"/>
      <c r="JCK8" s="1202"/>
      <c r="JCL8" s="1202"/>
      <c r="JCM8" s="1202"/>
      <c r="JCN8" s="1202"/>
      <c r="JCO8" s="1202"/>
      <c r="JCP8" s="1202"/>
      <c r="JCQ8" s="1202"/>
      <c r="JCR8" s="1202"/>
      <c r="JCS8" s="1202"/>
      <c r="JCT8" s="1202"/>
      <c r="JCU8" s="1202"/>
      <c r="JCV8" s="1202"/>
      <c r="JCW8" s="1202"/>
      <c r="JCX8" s="1202"/>
      <c r="JCY8" s="1202"/>
      <c r="JCZ8" s="1202"/>
      <c r="JDA8" s="1202"/>
      <c r="JDB8" s="1202"/>
      <c r="JDC8" s="1202"/>
      <c r="JDD8" s="1202"/>
      <c r="JDE8" s="1202"/>
      <c r="JDF8" s="1202"/>
      <c r="JDG8" s="1202"/>
      <c r="JDH8" s="1202"/>
      <c r="JDI8" s="1202"/>
      <c r="JDJ8" s="1202"/>
      <c r="JDK8" s="1202"/>
      <c r="JDL8" s="1202"/>
      <c r="JDM8" s="1202"/>
      <c r="JDN8" s="1202"/>
      <c r="JDO8" s="1202"/>
      <c r="JDP8" s="1202"/>
      <c r="JDQ8" s="1202"/>
      <c r="JDR8" s="1202"/>
      <c r="JDS8" s="1202"/>
      <c r="JDT8" s="1202"/>
      <c r="JDU8" s="1202"/>
      <c r="JDV8" s="1202"/>
      <c r="JDW8" s="1202"/>
      <c r="JDX8" s="1202"/>
      <c r="JDY8" s="1202"/>
      <c r="JDZ8" s="1202"/>
      <c r="JEA8" s="1202"/>
      <c r="JEB8" s="1202"/>
      <c r="JEC8" s="1202"/>
      <c r="JED8" s="1202"/>
      <c r="JEE8" s="1202"/>
      <c r="JEF8" s="1202"/>
      <c r="JEG8" s="1202"/>
      <c r="JEH8" s="1202"/>
      <c r="JEI8" s="1202"/>
      <c r="JEJ8" s="1202"/>
      <c r="JEK8" s="1202"/>
      <c r="JEL8" s="1202"/>
      <c r="JEM8" s="1202"/>
      <c r="JEN8" s="1202"/>
      <c r="JEO8" s="1202"/>
      <c r="JEP8" s="1202"/>
      <c r="JEQ8" s="1202"/>
      <c r="JER8" s="1202"/>
      <c r="JES8" s="1202"/>
      <c r="JET8" s="1202"/>
      <c r="JEU8" s="1202"/>
      <c r="JEV8" s="1202"/>
      <c r="JEW8" s="1202"/>
      <c r="JEX8" s="1202"/>
      <c r="JEY8" s="1202"/>
      <c r="JEZ8" s="1202"/>
      <c r="JFA8" s="1202"/>
      <c r="JFB8" s="1202"/>
      <c r="JFC8" s="1202"/>
      <c r="JFD8" s="1202"/>
      <c r="JFE8" s="1202"/>
      <c r="JFF8" s="1202"/>
      <c r="JFG8" s="1202"/>
      <c r="JFH8" s="1202"/>
      <c r="JFI8" s="1202"/>
      <c r="JFJ8" s="1202"/>
      <c r="JFK8" s="1202"/>
      <c r="JFL8" s="1202"/>
      <c r="JFM8" s="1202"/>
      <c r="JFN8" s="1202"/>
      <c r="JFO8" s="1202"/>
      <c r="JFP8" s="1202"/>
      <c r="JFQ8" s="1202"/>
      <c r="JFR8" s="1202"/>
      <c r="JFS8" s="1202"/>
      <c r="JFT8" s="1202"/>
      <c r="JFU8" s="1202"/>
      <c r="JFV8" s="1202"/>
      <c r="JFW8" s="1202"/>
      <c r="JFX8" s="1202"/>
      <c r="JFY8" s="1202"/>
      <c r="JFZ8" s="1202"/>
      <c r="JGA8" s="1202"/>
      <c r="JGB8" s="1202"/>
      <c r="JGC8" s="1202"/>
      <c r="JGD8" s="1202"/>
      <c r="JGE8" s="1202"/>
      <c r="JGF8" s="1202"/>
      <c r="JGG8" s="1202"/>
      <c r="JGH8" s="1202"/>
      <c r="JGI8" s="1202"/>
      <c r="JGJ8" s="1202"/>
      <c r="JGK8" s="1202"/>
      <c r="JGL8" s="1202"/>
      <c r="JGM8" s="1202"/>
      <c r="JGN8" s="1202"/>
      <c r="JGO8" s="1202"/>
      <c r="JGP8" s="1202"/>
      <c r="JGQ8" s="1202"/>
      <c r="JGR8" s="1202"/>
      <c r="JGS8" s="1202"/>
      <c r="JGT8" s="1202"/>
      <c r="JGU8" s="1202"/>
      <c r="JGV8" s="1202"/>
      <c r="JGW8" s="1202"/>
      <c r="JGX8" s="1202"/>
      <c r="JGY8" s="1202"/>
      <c r="JGZ8" s="1202"/>
      <c r="JHA8" s="1202"/>
      <c r="JHB8" s="1202"/>
      <c r="JHC8" s="1202"/>
      <c r="JHD8" s="1202"/>
      <c r="JHE8" s="1202"/>
      <c r="JHF8" s="1202"/>
      <c r="JHG8" s="1202"/>
      <c r="JHH8" s="1202"/>
      <c r="JHI8" s="1202"/>
      <c r="JHJ8" s="1202"/>
      <c r="JHK8" s="1202"/>
      <c r="JHL8" s="1202"/>
      <c r="JHM8" s="1202"/>
      <c r="JHN8" s="1202"/>
      <c r="JHO8" s="1202"/>
      <c r="JHP8" s="1202"/>
      <c r="JHQ8" s="1202"/>
      <c r="JHR8" s="1202"/>
      <c r="JHS8" s="1202"/>
      <c r="JHT8" s="1202"/>
      <c r="JHU8" s="1202"/>
      <c r="JHV8" s="1202"/>
      <c r="JHW8" s="1202"/>
      <c r="JHX8" s="1202"/>
      <c r="JHY8" s="1202"/>
      <c r="JHZ8" s="1202"/>
      <c r="JIA8" s="1202"/>
      <c r="JIB8" s="1202"/>
      <c r="JIC8" s="1202"/>
      <c r="JID8" s="1202"/>
      <c r="JIE8" s="1202"/>
      <c r="JIF8" s="1202"/>
      <c r="JIG8" s="1202"/>
      <c r="JIH8" s="1202"/>
      <c r="JII8" s="1202"/>
      <c r="JIJ8" s="1202"/>
      <c r="JIK8" s="1202"/>
      <c r="JIL8" s="1202"/>
      <c r="JIM8" s="1202"/>
      <c r="JIN8" s="1202"/>
      <c r="JIO8" s="1202"/>
      <c r="JIP8" s="1202"/>
      <c r="JIQ8" s="1202"/>
      <c r="JIR8" s="1202"/>
      <c r="JIS8" s="1202"/>
      <c r="JIT8" s="1202"/>
      <c r="JIU8" s="1202"/>
      <c r="JIV8" s="1202"/>
      <c r="JIW8" s="1202"/>
      <c r="JIX8" s="1202"/>
      <c r="JIY8" s="1202"/>
      <c r="JIZ8" s="1202"/>
      <c r="JJA8" s="1202"/>
      <c r="JJB8" s="1202"/>
      <c r="JJC8" s="1202"/>
      <c r="JJD8" s="1202"/>
      <c r="JJE8" s="1202"/>
      <c r="JJF8" s="1202"/>
      <c r="JJG8" s="1202"/>
      <c r="JJH8" s="1202"/>
      <c r="JJI8" s="1202"/>
      <c r="JJJ8" s="1202"/>
      <c r="JJK8" s="1202"/>
      <c r="JJL8" s="1202"/>
      <c r="JJM8" s="1202"/>
      <c r="JJN8" s="1202"/>
      <c r="JJO8" s="1202"/>
      <c r="JJP8" s="1202"/>
      <c r="JJQ8" s="1202"/>
      <c r="JJR8" s="1202"/>
      <c r="JJS8" s="1202"/>
      <c r="JJT8" s="1202"/>
      <c r="JJU8" s="1202"/>
      <c r="JJV8" s="1202"/>
      <c r="JJW8" s="1202"/>
      <c r="JJX8" s="1202"/>
      <c r="JJY8" s="1202"/>
      <c r="JJZ8" s="1202"/>
      <c r="JKA8" s="1202"/>
      <c r="JKB8" s="1202"/>
      <c r="JKC8" s="1202"/>
      <c r="JKD8" s="1202"/>
      <c r="JKE8" s="1202"/>
      <c r="JKF8" s="1202"/>
      <c r="JKG8" s="1202"/>
      <c r="JKH8" s="1202"/>
      <c r="JKI8" s="1202"/>
      <c r="JKJ8" s="1202"/>
      <c r="JKK8" s="1202"/>
      <c r="JKL8" s="1202"/>
      <c r="JKM8" s="1202"/>
      <c r="JKN8" s="1202"/>
      <c r="JKO8" s="1202"/>
      <c r="JKP8" s="1202"/>
      <c r="JKQ8" s="1202"/>
      <c r="JKR8" s="1202"/>
      <c r="JKS8" s="1202"/>
      <c r="JKT8" s="1202"/>
      <c r="JKU8" s="1202"/>
      <c r="JKV8" s="1202"/>
      <c r="JKW8" s="1202"/>
      <c r="JKX8" s="1202"/>
      <c r="JKY8" s="1202"/>
      <c r="JKZ8" s="1202"/>
      <c r="JLA8" s="1202"/>
      <c r="JLB8" s="1202"/>
      <c r="JLC8" s="1202"/>
      <c r="JLD8" s="1202"/>
      <c r="JLE8" s="1202"/>
      <c r="JLF8" s="1202"/>
      <c r="JLG8" s="1202"/>
      <c r="JLH8" s="1202"/>
      <c r="JLI8" s="1202"/>
      <c r="JLJ8" s="1202"/>
      <c r="JLK8" s="1202"/>
      <c r="JLL8" s="1202"/>
      <c r="JLM8" s="1202"/>
      <c r="JLN8" s="1202"/>
      <c r="JLO8" s="1202"/>
      <c r="JLP8" s="1202"/>
      <c r="JLQ8" s="1202"/>
      <c r="JLR8" s="1202"/>
      <c r="JLS8" s="1202"/>
      <c r="JLT8" s="1202"/>
      <c r="JLU8" s="1202"/>
      <c r="JLV8" s="1202"/>
      <c r="JLW8" s="1202"/>
      <c r="JLX8" s="1202"/>
      <c r="JLY8" s="1202"/>
      <c r="JLZ8" s="1202"/>
      <c r="JMA8" s="1202"/>
      <c r="JMB8" s="1202"/>
      <c r="JMC8" s="1202"/>
      <c r="JMD8" s="1202"/>
      <c r="JME8" s="1202"/>
      <c r="JMF8" s="1202"/>
      <c r="JMG8" s="1202"/>
      <c r="JMH8" s="1202"/>
      <c r="JMI8" s="1202"/>
      <c r="JMJ8" s="1202"/>
      <c r="JMK8" s="1202"/>
      <c r="JML8" s="1202"/>
      <c r="JMM8" s="1202"/>
      <c r="JMN8" s="1202"/>
      <c r="JMO8" s="1202"/>
      <c r="JMP8" s="1202"/>
      <c r="JMQ8" s="1202"/>
      <c r="JMR8" s="1202"/>
      <c r="JMS8" s="1202"/>
      <c r="JMT8" s="1202"/>
      <c r="JMU8" s="1202"/>
      <c r="JMV8" s="1202"/>
      <c r="JMW8" s="1202"/>
      <c r="JMX8" s="1202"/>
      <c r="JMY8" s="1202"/>
      <c r="JMZ8" s="1202"/>
      <c r="JNA8" s="1202"/>
      <c r="JNB8" s="1202"/>
      <c r="JNC8" s="1202"/>
      <c r="JND8" s="1202"/>
      <c r="JNE8" s="1202"/>
      <c r="JNF8" s="1202"/>
      <c r="JNG8" s="1202"/>
      <c r="JNH8" s="1202"/>
      <c r="JNI8" s="1202"/>
      <c r="JNJ8" s="1202"/>
      <c r="JNK8" s="1202"/>
      <c r="JNL8" s="1202"/>
      <c r="JNM8" s="1202"/>
      <c r="JNN8" s="1202"/>
      <c r="JNO8" s="1202"/>
      <c r="JNP8" s="1202"/>
      <c r="JNQ8" s="1202"/>
      <c r="JNR8" s="1202"/>
      <c r="JNS8" s="1202"/>
      <c r="JNT8" s="1202"/>
      <c r="JNU8" s="1202"/>
      <c r="JNV8" s="1202"/>
      <c r="JNW8" s="1202"/>
      <c r="JNX8" s="1202"/>
      <c r="JNY8" s="1202"/>
      <c r="JNZ8" s="1202"/>
      <c r="JOA8" s="1202"/>
      <c r="JOB8" s="1202"/>
      <c r="JOC8" s="1202"/>
      <c r="JOD8" s="1202"/>
      <c r="JOE8" s="1202"/>
      <c r="JOF8" s="1202"/>
      <c r="JOG8" s="1202"/>
      <c r="JOH8" s="1202"/>
      <c r="JOI8" s="1202"/>
      <c r="JOJ8" s="1202"/>
      <c r="JOK8" s="1202"/>
      <c r="JOL8" s="1202"/>
      <c r="JOM8" s="1202"/>
      <c r="JON8" s="1202"/>
      <c r="JOO8" s="1202"/>
      <c r="JOP8" s="1202"/>
      <c r="JOQ8" s="1202"/>
      <c r="JOR8" s="1202"/>
      <c r="JOS8" s="1202"/>
      <c r="JOT8" s="1202"/>
      <c r="JOU8" s="1202"/>
      <c r="JOV8" s="1202"/>
      <c r="JOW8" s="1202"/>
      <c r="JOX8" s="1202"/>
      <c r="JOY8" s="1202"/>
      <c r="JOZ8" s="1202"/>
      <c r="JPA8" s="1202"/>
      <c r="JPB8" s="1202"/>
      <c r="JPC8" s="1202"/>
      <c r="JPD8" s="1202"/>
      <c r="JPE8" s="1202"/>
      <c r="JPF8" s="1202"/>
      <c r="JPG8" s="1202"/>
      <c r="JPH8" s="1202"/>
      <c r="JPI8" s="1202"/>
      <c r="JPJ8" s="1202"/>
      <c r="JPK8" s="1202"/>
      <c r="JPL8" s="1202"/>
      <c r="JPM8" s="1202"/>
      <c r="JPN8" s="1202"/>
      <c r="JPO8" s="1202"/>
      <c r="JPP8" s="1202"/>
      <c r="JPQ8" s="1202"/>
      <c r="JPR8" s="1202"/>
      <c r="JPS8" s="1202"/>
      <c r="JPT8" s="1202"/>
      <c r="JPU8" s="1202"/>
      <c r="JPV8" s="1202"/>
      <c r="JPW8" s="1202"/>
      <c r="JPX8" s="1202"/>
      <c r="JPY8" s="1202"/>
      <c r="JPZ8" s="1202"/>
      <c r="JQA8" s="1202"/>
      <c r="JQB8" s="1202"/>
      <c r="JQC8" s="1202"/>
      <c r="JQD8" s="1202"/>
      <c r="JQE8" s="1202"/>
      <c r="JQF8" s="1202"/>
      <c r="JQG8" s="1202"/>
      <c r="JQH8" s="1202"/>
      <c r="JQI8" s="1202"/>
      <c r="JQJ8" s="1202"/>
      <c r="JQK8" s="1202"/>
      <c r="JQL8" s="1202"/>
      <c r="JQM8" s="1202"/>
      <c r="JQN8" s="1202"/>
      <c r="JQO8" s="1202"/>
      <c r="JQP8" s="1202"/>
      <c r="JQQ8" s="1202"/>
      <c r="JQR8" s="1202"/>
      <c r="JQS8" s="1202"/>
      <c r="JQT8" s="1202"/>
      <c r="JQU8" s="1202"/>
      <c r="JQV8" s="1202"/>
      <c r="JQW8" s="1202"/>
      <c r="JQX8" s="1202"/>
      <c r="JQY8" s="1202"/>
      <c r="JQZ8" s="1202"/>
      <c r="JRA8" s="1202"/>
      <c r="JRB8" s="1202"/>
      <c r="JRC8" s="1202"/>
      <c r="JRD8" s="1202"/>
      <c r="JRE8" s="1202"/>
      <c r="JRF8" s="1202"/>
      <c r="JRG8" s="1202"/>
      <c r="JRH8" s="1202"/>
      <c r="JRI8" s="1202"/>
      <c r="JRJ8" s="1202"/>
      <c r="JRK8" s="1202"/>
      <c r="JRL8" s="1202"/>
      <c r="JRM8" s="1202"/>
      <c r="JRN8" s="1202"/>
      <c r="JRO8" s="1202"/>
      <c r="JRP8" s="1202"/>
      <c r="JRQ8" s="1202"/>
      <c r="JRR8" s="1202"/>
      <c r="JRS8" s="1202"/>
      <c r="JRT8" s="1202"/>
      <c r="JRU8" s="1202"/>
      <c r="JRV8" s="1202"/>
      <c r="JRW8" s="1202"/>
      <c r="JRX8" s="1202"/>
      <c r="JRY8" s="1202"/>
      <c r="JRZ8" s="1202"/>
      <c r="JSA8" s="1202"/>
      <c r="JSB8" s="1202"/>
      <c r="JSC8" s="1202"/>
      <c r="JSD8" s="1202"/>
      <c r="JSE8" s="1202"/>
      <c r="JSF8" s="1202"/>
      <c r="JSG8" s="1202"/>
      <c r="JSH8" s="1202"/>
      <c r="JSI8" s="1202"/>
      <c r="JSJ8" s="1202"/>
      <c r="JSK8" s="1202"/>
      <c r="JSL8" s="1202"/>
      <c r="JSM8" s="1202"/>
      <c r="JSN8" s="1202"/>
      <c r="JSO8" s="1202"/>
      <c r="JSP8" s="1202"/>
      <c r="JSQ8" s="1202"/>
      <c r="JSR8" s="1202"/>
      <c r="JSS8" s="1202"/>
      <c r="JST8" s="1202"/>
      <c r="JSU8" s="1202"/>
      <c r="JSV8" s="1202"/>
      <c r="JSW8" s="1202"/>
      <c r="JSX8" s="1202"/>
      <c r="JSY8" s="1202"/>
      <c r="JSZ8" s="1202"/>
      <c r="JTA8" s="1202"/>
      <c r="JTB8" s="1202"/>
      <c r="JTC8" s="1202"/>
      <c r="JTD8" s="1202"/>
      <c r="JTE8" s="1202"/>
      <c r="JTF8" s="1202"/>
      <c r="JTG8" s="1202"/>
      <c r="JTH8" s="1202"/>
      <c r="JTI8" s="1202"/>
      <c r="JTJ8" s="1202"/>
      <c r="JTK8" s="1202"/>
      <c r="JTL8" s="1202"/>
      <c r="JTM8" s="1202"/>
      <c r="JTN8" s="1202"/>
      <c r="JTO8" s="1202"/>
      <c r="JTP8" s="1202"/>
      <c r="JTQ8" s="1202"/>
      <c r="JTR8" s="1202"/>
      <c r="JTS8" s="1202"/>
      <c r="JTT8" s="1202"/>
      <c r="JTU8" s="1202"/>
      <c r="JTV8" s="1202"/>
      <c r="JTW8" s="1202"/>
      <c r="JTX8" s="1202"/>
      <c r="JTY8" s="1202"/>
      <c r="JTZ8" s="1202"/>
      <c r="JUA8" s="1202"/>
      <c r="JUB8" s="1202"/>
      <c r="JUC8" s="1202"/>
      <c r="JUD8" s="1202"/>
      <c r="JUE8" s="1202"/>
      <c r="JUF8" s="1202"/>
      <c r="JUG8" s="1202"/>
      <c r="JUH8" s="1202"/>
      <c r="JUI8" s="1202"/>
      <c r="JUJ8" s="1202"/>
      <c r="JUK8" s="1202"/>
      <c r="JUL8" s="1202"/>
      <c r="JUM8" s="1202"/>
      <c r="JUN8" s="1202"/>
      <c r="JUO8" s="1202"/>
      <c r="JUP8" s="1202"/>
      <c r="JUQ8" s="1202"/>
      <c r="JUR8" s="1202"/>
      <c r="JUS8" s="1202"/>
      <c r="JUT8" s="1202"/>
      <c r="JUU8" s="1202"/>
      <c r="JUV8" s="1202"/>
      <c r="JUW8" s="1202"/>
      <c r="JUX8" s="1202"/>
      <c r="JUY8" s="1202"/>
      <c r="JUZ8" s="1202"/>
      <c r="JVA8" s="1202"/>
      <c r="JVB8" s="1202"/>
      <c r="JVC8" s="1202"/>
      <c r="JVD8" s="1202"/>
      <c r="JVE8" s="1202"/>
      <c r="JVF8" s="1202"/>
      <c r="JVG8" s="1202"/>
      <c r="JVH8" s="1202"/>
      <c r="JVI8" s="1202"/>
      <c r="JVJ8" s="1202"/>
      <c r="JVK8" s="1202"/>
      <c r="JVL8" s="1202"/>
      <c r="JVM8" s="1202"/>
      <c r="JVN8" s="1202"/>
      <c r="JVO8" s="1202"/>
      <c r="JVP8" s="1202"/>
      <c r="JVQ8" s="1202"/>
      <c r="JVR8" s="1202"/>
      <c r="JVS8" s="1202"/>
      <c r="JVT8" s="1202"/>
      <c r="JVU8" s="1202"/>
      <c r="JVV8" s="1202"/>
      <c r="JVW8" s="1202"/>
      <c r="JVX8" s="1202"/>
      <c r="JVY8" s="1202"/>
      <c r="JVZ8" s="1202"/>
      <c r="JWA8" s="1202"/>
      <c r="JWB8" s="1202"/>
      <c r="JWC8" s="1202"/>
      <c r="JWD8" s="1202"/>
      <c r="JWE8" s="1202"/>
      <c r="JWF8" s="1202"/>
      <c r="JWG8" s="1202"/>
      <c r="JWH8" s="1202"/>
      <c r="JWI8" s="1202"/>
      <c r="JWJ8" s="1202"/>
      <c r="JWK8" s="1202"/>
      <c r="JWL8" s="1202"/>
      <c r="JWM8" s="1202"/>
      <c r="JWN8" s="1202"/>
      <c r="JWO8" s="1202"/>
      <c r="JWP8" s="1202"/>
      <c r="JWQ8" s="1202"/>
      <c r="JWR8" s="1202"/>
      <c r="JWS8" s="1202"/>
      <c r="JWT8" s="1202"/>
      <c r="JWU8" s="1202"/>
      <c r="JWV8" s="1202"/>
      <c r="JWW8" s="1202"/>
      <c r="JWX8" s="1202"/>
      <c r="JWY8" s="1202"/>
      <c r="JWZ8" s="1202"/>
      <c r="JXA8" s="1202"/>
      <c r="JXB8" s="1202"/>
      <c r="JXC8" s="1202"/>
      <c r="JXD8" s="1202"/>
      <c r="JXE8" s="1202"/>
      <c r="JXF8" s="1202"/>
      <c r="JXG8" s="1202"/>
      <c r="JXH8" s="1202"/>
      <c r="JXI8" s="1202"/>
      <c r="JXJ8" s="1202"/>
      <c r="JXK8" s="1202"/>
      <c r="JXL8" s="1202"/>
      <c r="JXM8" s="1202"/>
      <c r="JXN8" s="1202"/>
      <c r="JXO8" s="1202"/>
      <c r="JXP8" s="1202"/>
      <c r="JXQ8" s="1202"/>
      <c r="JXR8" s="1202"/>
      <c r="JXS8" s="1202"/>
      <c r="JXT8" s="1202"/>
      <c r="JXU8" s="1202"/>
      <c r="JXV8" s="1202"/>
      <c r="JXW8" s="1202"/>
      <c r="JXX8" s="1202"/>
      <c r="JXY8" s="1202"/>
      <c r="JXZ8" s="1202"/>
      <c r="JYA8" s="1202"/>
      <c r="JYB8" s="1202"/>
      <c r="JYC8" s="1202"/>
      <c r="JYD8" s="1202"/>
      <c r="JYE8" s="1202"/>
      <c r="JYF8" s="1202"/>
      <c r="JYG8" s="1202"/>
      <c r="JYH8" s="1202"/>
      <c r="JYI8" s="1202"/>
      <c r="JYJ8" s="1202"/>
      <c r="JYK8" s="1202"/>
      <c r="JYL8" s="1202"/>
      <c r="JYM8" s="1202"/>
      <c r="JYN8" s="1202"/>
      <c r="JYO8" s="1202"/>
      <c r="JYP8" s="1202"/>
      <c r="JYQ8" s="1202"/>
      <c r="JYR8" s="1202"/>
      <c r="JYS8" s="1202"/>
      <c r="JYT8" s="1202"/>
      <c r="JYU8" s="1202"/>
      <c r="JYV8" s="1202"/>
      <c r="JYW8" s="1202"/>
      <c r="JYX8" s="1202"/>
      <c r="JYY8" s="1202"/>
      <c r="JYZ8" s="1202"/>
      <c r="JZA8" s="1202"/>
      <c r="JZB8" s="1202"/>
      <c r="JZC8" s="1202"/>
      <c r="JZD8" s="1202"/>
      <c r="JZE8" s="1202"/>
      <c r="JZF8" s="1202"/>
      <c r="JZG8" s="1202"/>
      <c r="JZH8" s="1202"/>
      <c r="JZI8" s="1202"/>
      <c r="JZJ8" s="1202"/>
      <c r="JZK8" s="1202"/>
      <c r="JZL8" s="1202"/>
      <c r="JZM8" s="1202"/>
      <c r="JZN8" s="1202"/>
      <c r="JZO8" s="1202"/>
      <c r="JZP8" s="1202"/>
      <c r="JZQ8" s="1202"/>
      <c r="JZR8" s="1202"/>
      <c r="JZS8" s="1202"/>
      <c r="JZT8" s="1202"/>
      <c r="JZU8" s="1202"/>
      <c r="JZV8" s="1202"/>
      <c r="JZW8" s="1202"/>
      <c r="JZX8" s="1202"/>
      <c r="JZY8" s="1202"/>
      <c r="JZZ8" s="1202"/>
      <c r="KAA8" s="1202"/>
      <c r="KAB8" s="1202"/>
      <c r="KAC8" s="1202"/>
      <c r="KAD8" s="1202"/>
      <c r="KAE8" s="1202"/>
      <c r="KAF8" s="1202"/>
      <c r="KAG8" s="1202"/>
      <c r="KAH8" s="1202"/>
      <c r="KAI8" s="1202"/>
      <c r="KAJ8" s="1202"/>
      <c r="KAK8" s="1202"/>
      <c r="KAL8" s="1202"/>
      <c r="KAM8" s="1202"/>
      <c r="KAN8" s="1202"/>
      <c r="KAO8" s="1202"/>
      <c r="KAP8" s="1202"/>
      <c r="KAQ8" s="1202"/>
      <c r="KAR8" s="1202"/>
      <c r="KAS8" s="1202"/>
      <c r="KAT8" s="1202"/>
      <c r="KAU8" s="1202"/>
      <c r="KAV8" s="1202"/>
      <c r="KAW8" s="1202"/>
      <c r="KAX8" s="1202"/>
      <c r="KAY8" s="1202"/>
      <c r="KAZ8" s="1202"/>
      <c r="KBA8" s="1202"/>
      <c r="KBB8" s="1202"/>
      <c r="KBC8" s="1202"/>
      <c r="KBD8" s="1202"/>
      <c r="KBE8" s="1202"/>
      <c r="KBF8" s="1202"/>
      <c r="KBG8" s="1202"/>
      <c r="KBH8" s="1202"/>
      <c r="KBI8" s="1202"/>
      <c r="KBJ8" s="1202"/>
      <c r="KBK8" s="1202"/>
      <c r="KBL8" s="1202"/>
      <c r="KBM8" s="1202"/>
      <c r="KBN8" s="1202"/>
      <c r="KBO8" s="1202"/>
      <c r="KBP8" s="1202"/>
      <c r="KBQ8" s="1202"/>
      <c r="KBR8" s="1202"/>
      <c r="KBS8" s="1202"/>
      <c r="KBT8" s="1202"/>
      <c r="KBU8" s="1202"/>
      <c r="KBV8" s="1202"/>
      <c r="KBW8" s="1202"/>
      <c r="KBX8" s="1202"/>
      <c r="KBY8" s="1202"/>
      <c r="KBZ8" s="1202"/>
      <c r="KCA8" s="1202"/>
      <c r="KCB8" s="1202"/>
      <c r="KCC8" s="1202"/>
      <c r="KCD8" s="1202"/>
      <c r="KCE8" s="1202"/>
      <c r="KCF8" s="1202"/>
      <c r="KCG8" s="1202"/>
      <c r="KCH8" s="1202"/>
      <c r="KCI8" s="1202"/>
      <c r="KCJ8" s="1202"/>
      <c r="KCK8" s="1202"/>
      <c r="KCL8" s="1202"/>
      <c r="KCM8" s="1202"/>
      <c r="KCN8" s="1202"/>
      <c r="KCO8" s="1202"/>
      <c r="KCP8" s="1202"/>
      <c r="KCQ8" s="1202"/>
      <c r="KCR8" s="1202"/>
      <c r="KCS8" s="1202"/>
      <c r="KCT8" s="1202"/>
      <c r="KCU8" s="1202"/>
      <c r="KCV8" s="1202"/>
      <c r="KCW8" s="1202"/>
      <c r="KCX8" s="1202"/>
      <c r="KCY8" s="1202"/>
      <c r="KCZ8" s="1202"/>
      <c r="KDA8" s="1202"/>
      <c r="KDB8" s="1202"/>
      <c r="KDC8" s="1202"/>
      <c r="KDD8" s="1202"/>
      <c r="KDE8" s="1202"/>
      <c r="KDF8" s="1202"/>
      <c r="KDG8" s="1202"/>
      <c r="KDH8" s="1202"/>
      <c r="KDI8" s="1202"/>
      <c r="KDJ8" s="1202"/>
      <c r="KDK8" s="1202"/>
      <c r="KDL8" s="1202"/>
      <c r="KDM8" s="1202"/>
      <c r="KDN8" s="1202"/>
      <c r="KDO8" s="1202"/>
      <c r="KDP8" s="1202"/>
      <c r="KDQ8" s="1202"/>
      <c r="KDR8" s="1202"/>
      <c r="KDS8" s="1202"/>
      <c r="KDT8" s="1202"/>
      <c r="KDU8" s="1202"/>
      <c r="KDV8" s="1202"/>
      <c r="KDW8" s="1202"/>
      <c r="KDX8" s="1202"/>
      <c r="KDY8" s="1202"/>
      <c r="KDZ8" s="1202"/>
      <c r="KEA8" s="1202"/>
      <c r="KEB8" s="1202"/>
      <c r="KEC8" s="1202"/>
      <c r="KED8" s="1202"/>
      <c r="KEE8" s="1202"/>
      <c r="KEF8" s="1202"/>
      <c r="KEG8" s="1202"/>
      <c r="KEH8" s="1202"/>
      <c r="KEI8" s="1202"/>
      <c r="KEJ8" s="1202"/>
      <c r="KEK8" s="1202"/>
      <c r="KEL8" s="1202"/>
      <c r="KEM8" s="1202"/>
      <c r="KEN8" s="1202"/>
      <c r="KEO8" s="1202"/>
      <c r="KEP8" s="1202"/>
      <c r="KEQ8" s="1202"/>
      <c r="KER8" s="1202"/>
      <c r="KES8" s="1202"/>
      <c r="KET8" s="1202"/>
      <c r="KEU8" s="1202"/>
      <c r="KEV8" s="1202"/>
      <c r="KEW8" s="1202"/>
      <c r="KEX8" s="1202"/>
      <c r="KEY8" s="1202"/>
      <c r="KEZ8" s="1202"/>
      <c r="KFA8" s="1202"/>
      <c r="KFB8" s="1202"/>
      <c r="KFC8" s="1202"/>
      <c r="KFD8" s="1202"/>
      <c r="KFE8" s="1202"/>
      <c r="KFF8" s="1202"/>
      <c r="KFG8" s="1202"/>
      <c r="KFH8" s="1202"/>
      <c r="KFI8" s="1202"/>
      <c r="KFJ8" s="1202"/>
      <c r="KFK8" s="1202"/>
      <c r="KFL8" s="1202"/>
      <c r="KFM8" s="1202"/>
      <c r="KFN8" s="1202"/>
      <c r="KFO8" s="1202"/>
      <c r="KFP8" s="1202"/>
      <c r="KFQ8" s="1202"/>
      <c r="KFR8" s="1202"/>
      <c r="KFS8" s="1202"/>
      <c r="KFT8" s="1202"/>
      <c r="KFU8" s="1202"/>
      <c r="KFV8" s="1202"/>
      <c r="KFW8" s="1202"/>
      <c r="KFX8" s="1202"/>
      <c r="KFY8" s="1202"/>
      <c r="KFZ8" s="1202"/>
      <c r="KGA8" s="1202"/>
      <c r="KGB8" s="1202"/>
      <c r="KGC8" s="1202"/>
      <c r="KGD8" s="1202"/>
      <c r="KGE8" s="1202"/>
      <c r="KGF8" s="1202"/>
      <c r="KGG8" s="1202"/>
      <c r="KGH8" s="1202"/>
      <c r="KGI8" s="1202"/>
      <c r="KGJ8" s="1202"/>
      <c r="KGK8" s="1202"/>
      <c r="KGL8" s="1202"/>
      <c r="KGM8" s="1202"/>
      <c r="KGN8" s="1202"/>
      <c r="KGO8" s="1202"/>
      <c r="KGP8" s="1202"/>
      <c r="KGQ8" s="1202"/>
      <c r="KGR8" s="1202"/>
      <c r="KGS8" s="1202"/>
      <c r="KGT8" s="1202"/>
      <c r="KGU8" s="1202"/>
      <c r="KGV8" s="1202"/>
      <c r="KGW8" s="1202"/>
      <c r="KGX8" s="1202"/>
      <c r="KGY8" s="1202"/>
      <c r="KGZ8" s="1202"/>
      <c r="KHA8" s="1202"/>
      <c r="KHB8" s="1202"/>
      <c r="KHC8" s="1202"/>
      <c r="KHD8" s="1202"/>
      <c r="KHE8" s="1202"/>
      <c r="KHF8" s="1202"/>
      <c r="KHG8" s="1202"/>
      <c r="KHH8" s="1202"/>
      <c r="KHI8" s="1202"/>
      <c r="KHJ8" s="1202"/>
      <c r="KHK8" s="1202"/>
      <c r="KHL8" s="1202"/>
      <c r="KHM8" s="1202"/>
      <c r="KHN8" s="1202"/>
      <c r="KHO8" s="1202"/>
      <c r="KHP8" s="1202"/>
      <c r="KHQ8" s="1202"/>
      <c r="KHR8" s="1202"/>
      <c r="KHS8" s="1202"/>
      <c r="KHT8" s="1202"/>
      <c r="KHU8" s="1202"/>
      <c r="KHV8" s="1202"/>
      <c r="KHW8" s="1202"/>
      <c r="KHX8" s="1202"/>
      <c r="KHY8" s="1202"/>
      <c r="KHZ8" s="1202"/>
      <c r="KIA8" s="1202"/>
      <c r="KIB8" s="1202"/>
      <c r="KIC8" s="1202"/>
      <c r="KID8" s="1202"/>
      <c r="KIE8" s="1202"/>
      <c r="KIF8" s="1202"/>
      <c r="KIG8" s="1202"/>
      <c r="KIH8" s="1202"/>
      <c r="KII8" s="1202"/>
      <c r="KIJ8" s="1202"/>
      <c r="KIK8" s="1202"/>
      <c r="KIL8" s="1202"/>
      <c r="KIM8" s="1202"/>
      <c r="KIN8" s="1202"/>
      <c r="KIO8" s="1202"/>
      <c r="KIP8" s="1202"/>
      <c r="KIQ8" s="1202"/>
      <c r="KIR8" s="1202"/>
      <c r="KIS8" s="1202"/>
      <c r="KIT8" s="1202"/>
      <c r="KIU8" s="1202"/>
      <c r="KIV8" s="1202"/>
      <c r="KIW8" s="1202"/>
      <c r="KIX8" s="1202"/>
      <c r="KIY8" s="1202"/>
      <c r="KIZ8" s="1202"/>
      <c r="KJA8" s="1202"/>
      <c r="KJB8" s="1202"/>
      <c r="KJC8" s="1202"/>
      <c r="KJD8" s="1202"/>
      <c r="KJE8" s="1202"/>
      <c r="KJF8" s="1202"/>
      <c r="KJG8" s="1202"/>
      <c r="KJH8" s="1202"/>
      <c r="KJI8" s="1202"/>
      <c r="KJJ8" s="1202"/>
      <c r="KJK8" s="1202"/>
      <c r="KJL8" s="1202"/>
      <c r="KJM8" s="1202"/>
      <c r="KJN8" s="1202"/>
      <c r="KJO8" s="1202"/>
      <c r="KJP8" s="1202"/>
      <c r="KJQ8" s="1202"/>
      <c r="KJR8" s="1202"/>
      <c r="KJS8" s="1202"/>
      <c r="KJT8" s="1202"/>
      <c r="KJU8" s="1202"/>
      <c r="KJV8" s="1202"/>
      <c r="KJW8" s="1202"/>
      <c r="KJX8" s="1202"/>
      <c r="KJY8" s="1202"/>
      <c r="KJZ8" s="1202"/>
      <c r="KKA8" s="1202"/>
      <c r="KKB8" s="1202"/>
      <c r="KKC8" s="1202"/>
      <c r="KKD8" s="1202"/>
      <c r="KKE8" s="1202"/>
      <c r="KKF8" s="1202"/>
      <c r="KKG8" s="1202"/>
      <c r="KKH8" s="1202"/>
      <c r="KKI8" s="1202"/>
      <c r="KKJ8" s="1202"/>
      <c r="KKK8" s="1202"/>
      <c r="KKL8" s="1202"/>
      <c r="KKM8" s="1202"/>
      <c r="KKN8" s="1202"/>
      <c r="KKO8" s="1202"/>
      <c r="KKP8" s="1202"/>
      <c r="KKQ8" s="1202"/>
      <c r="KKR8" s="1202"/>
      <c r="KKS8" s="1202"/>
      <c r="KKT8" s="1202"/>
      <c r="KKU8" s="1202"/>
      <c r="KKV8" s="1202"/>
      <c r="KKW8" s="1202"/>
      <c r="KKX8" s="1202"/>
      <c r="KKY8" s="1202"/>
      <c r="KKZ8" s="1202"/>
      <c r="KLA8" s="1202"/>
      <c r="KLB8" s="1202"/>
      <c r="KLC8" s="1202"/>
      <c r="KLD8" s="1202"/>
      <c r="KLE8" s="1202"/>
      <c r="KLF8" s="1202"/>
      <c r="KLG8" s="1202"/>
      <c r="KLH8" s="1202"/>
      <c r="KLI8" s="1202"/>
      <c r="KLJ8" s="1202"/>
      <c r="KLK8" s="1202"/>
      <c r="KLL8" s="1202"/>
      <c r="KLM8" s="1202"/>
      <c r="KLN8" s="1202"/>
      <c r="KLO8" s="1202"/>
      <c r="KLP8" s="1202"/>
      <c r="KLQ8" s="1202"/>
      <c r="KLR8" s="1202"/>
      <c r="KLS8" s="1202"/>
      <c r="KLT8" s="1202"/>
      <c r="KLU8" s="1202"/>
      <c r="KLV8" s="1202"/>
      <c r="KLW8" s="1202"/>
      <c r="KLX8" s="1202"/>
      <c r="KLY8" s="1202"/>
      <c r="KLZ8" s="1202"/>
      <c r="KMA8" s="1202"/>
      <c r="KMB8" s="1202"/>
      <c r="KMC8" s="1202"/>
      <c r="KMD8" s="1202"/>
      <c r="KME8" s="1202"/>
      <c r="KMF8" s="1202"/>
      <c r="KMG8" s="1202"/>
      <c r="KMH8" s="1202"/>
      <c r="KMI8" s="1202"/>
      <c r="KMJ8" s="1202"/>
      <c r="KMK8" s="1202"/>
      <c r="KML8" s="1202"/>
      <c r="KMM8" s="1202"/>
      <c r="KMN8" s="1202"/>
      <c r="KMO8" s="1202"/>
      <c r="KMP8" s="1202"/>
      <c r="KMQ8" s="1202"/>
      <c r="KMR8" s="1202"/>
      <c r="KMS8" s="1202"/>
      <c r="KMT8" s="1202"/>
      <c r="KMU8" s="1202"/>
      <c r="KMV8" s="1202"/>
      <c r="KMW8" s="1202"/>
      <c r="KMX8" s="1202"/>
      <c r="KMY8" s="1202"/>
      <c r="KMZ8" s="1202"/>
      <c r="KNA8" s="1202"/>
      <c r="KNB8" s="1202"/>
      <c r="KNC8" s="1202"/>
      <c r="KND8" s="1202"/>
      <c r="KNE8" s="1202"/>
      <c r="KNF8" s="1202"/>
      <c r="KNG8" s="1202"/>
      <c r="KNH8" s="1202"/>
      <c r="KNI8" s="1202"/>
      <c r="KNJ8" s="1202"/>
      <c r="KNK8" s="1202"/>
      <c r="KNL8" s="1202"/>
      <c r="KNM8" s="1202"/>
      <c r="KNN8" s="1202"/>
      <c r="KNO8" s="1202"/>
      <c r="KNP8" s="1202"/>
      <c r="KNQ8" s="1202"/>
      <c r="KNR8" s="1202"/>
      <c r="KNS8" s="1202"/>
      <c r="KNT8" s="1202"/>
      <c r="KNU8" s="1202"/>
      <c r="KNV8" s="1202"/>
      <c r="KNW8" s="1202"/>
      <c r="KNX8" s="1202"/>
      <c r="KNY8" s="1202"/>
      <c r="KNZ8" s="1202"/>
      <c r="KOA8" s="1202"/>
      <c r="KOB8" s="1202"/>
      <c r="KOC8" s="1202"/>
      <c r="KOD8" s="1202"/>
      <c r="KOE8" s="1202"/>
      <c r="KOF8" s="1202"/>
      <c r="KOG8" s="1202"/>
      <c r="KOH8" s="1202"/>
      <c r="KOI8" s="1202"/>
      <c r="KOJ8" s="1202"/>
      <c r="KOK8" s="1202"/>
      <c r="KOL8" s="1202"/>
      <c r="KOM8" s="1202"/>
      <c r="KON8" s="1202"/>
      <c r="KOO8" s="1202"/>
      <c r="KOP8" s="1202"/>
      <c r="KOQ8" s="1202"/>
      <c r="KOR8" s="1202"/>
      <c r="KOS8" s="1202"/>
      <c r="KOT8" s="1202"/>
      <c r="KOU8" s="1202"/>
      <c r="KOV8" s="1202"/>
      <c r="KOW8" s="1202"/>
      <c r="KOX8" s="1202"/>
      <c r="KOY8" s="1202"/>
      <c r="KOZ8" s="1202"/>
      <c r="KPA8" s="1202"/>
      <c r="KPB8" s="1202"/>
      <c r="KPC8" s="1202"/>
      <c r="KPD8" s="1202"/>
      <c r="KPE8" s="1202"/>
      <c r="KPF8" s="1202"/>
      <c r="KPG8" s="1202"/>
      <c r="KPH8" s="1202"/>
      <c r="KPI8" s="1202"/>
      <c r="KPJ8" s="1202"/>
      <c r="KPK8" s="1202"/>
      <c r="KPL8" s="1202"/>
      <c r="KPM8" s="1202"/>
      <c r="KPN8" s="1202"/>
      <c r="KPO8" s="1202"/>
      <c r="KPP8" s="1202"/>
      <c r="KPQ8" s="1202"/>
      <c r="KPR8" s="1202"/>
      <c r="KPS8" s="1202"/>
      <c r="KPT8" s="1202"/>
      <c r="KPU8" s="1202"/>
      <c r="KPV8" s="1202"/>
      <c r="KPW8" s="1202"/>
      <c r="KPX8" s="1202"/>
      <c r="KPY8" s="1202"/>
      <c r="KPZ8" s="1202"/>
      <c r="KQA8" s="1202"/>
      <c r="KQB8" s="1202"/>
      <c r="KQC8" s="1202"/>
      <c r="KQD8" s="1202"/>
      <c r="KQE8" s="1202"/>
      <c r="KQF8" s="1202"/>
      <c r="KQG8" s="1202"/>
      <c r="KQH8" s="1202"/>
      <c r="KQI8" s="1202"/>
      <c r="KQJ8" s="1202"/>
      <c r="KQK8" s="1202"/>
      <c r="KQL8" s="1202"/>
      <c r="KQM8" s="1202"/>
      <c r="KQN8" s="1202"/>
      <c r="KQO8" s="1202"/>
      <c r="KQP8" s="1202"/>
      <c r="KQQ8" s="1202"/>
      <c r="KQR8" s="1202"/>
      <c r="KQS8" s="1202"/>
      <c r="KQT8" s="1202"/>
      <c r="KQU8" s="1202"/>
      <c r="KQV8" s="1202"/>
      <c r="KQW8" s="1202"/>
      <c r="KQX8" s="1202"/>
      <c r="KQY8" s="1202"/>
      <c r="KQZ8" s="1202"/>
      <c r="KRA8" s="1202"/>
      <c r="KRB8" s="1202"/>
      <c r="KRC8" s="1202"/>
      <c r="KRD8" s="1202"/>
      <c r="KRE8" s="1202"/>
      <c r="KRF8" s="1202"/>
      <c r="KRG8" s="1202"/>
      <c r="KRH8" s="1202"/>
      <c r="KRI8" s="1202"/>
      <c r="KRJ8" s="1202"/>
      <c r="KRK8" s="1202"/>
      <c r="KRL8" s="1202"/>
      <c r="KRM8" s="1202"/>
      <c r="KRN8" s="1202"/>
      <c r="KRO8" s="1202"/>
      <c r="KRP8" s="1202"/>
      <c r="KRQ8" s="1202"/>
      <c r="KRR8" s="1202"/>
      <c r="KRS8" s="1202"/>
      <c r="KRT8" s="1202"/>
      <c r="KRU8" s="1202"/>
      <c r="KRV8" s="1202"/>
      <c r="KRW8" s="1202"/>
      <c r="KRX8" s="1202"/>
      <c r="KRY8" s="1202"/>
      <c r="KRZ8" s="1202"/>
      <c r="KSA8" s="1202"/>
      <c r="KSB8" s="1202"/>
      <c r="KSC8" s="1202"/>
      <c r="KSD8" s="1202"/>
      <c r="KSE8" s="1202"/>
      <c r="KSF8" s="1202"/>
      <c r="KSG8" s="1202"/>
      <c r="KSH8" s="1202"/>
      <c r="KSI8" s="1202"/>
      <c r="KSJ8" s="1202"/>
      <c r="KSK8" s="1202"/>
      <c r="KSL8" s="1202"/>
      <c r="KSM8" s="1202"/>
      <c r="KSN8" s="1202"/>
      <c r="KSO8" s="1202"/>
      <c r="KSP8" s="1202"/>
      <c r="KSQ8" s="1202"/>
      <c r="KSR8" s="1202"/>
      <c r="KSS8" s="1202"/>
      <c r="KST8" s="1202"/>
      <c r="KSU8" s="1202"/>
      <c r="KSV8" s="1202"/>
      <c r="KSW8" s="1202"/>
      <c r="KSX8" s="1202"/>
      <c r="KSY8" s="1202"/>
      <c r="KSZ8" s="1202"/>
      <c r="KTA8" s="1202"/>
      <c r="KTB8" s="1202"/>
      <c r="KTC8" s="1202"/>
      <c r="KTD8" s="1202"/>
      <c r="KTE8" s="1202"/>
      <c r="KTF8" s="1202"/>
      <c r="KTG8" s="1202"/>
      <c r="KTH8" s="1202"/>
      <c r="KTI8" s="1202"/>
      <c r="KTJ8" s="1202"/>
      <c r="KTK8" s="1202"/>
      <c r="KTL8" s="1202"/>
      <c r="KTM8" s="1202"/>
      <c r="KTN8" s="1202"/>
      <c r="KTO8" s="1202"/>
      <c r="KTP8" s="1202"/>
      <c r="KTQ8" s="1202"/>
      <c r="KTR8" s="1202"/>
      <c r="KTS8" s="1202"/>
      <c r="KTT8" s="1202"/>
      <c r="KTU8" s="1202"/>
      <c r="KTV8" s="1202"/>
      <c r="KTW8" s="1202"/>
      <c r="KTX8" s="1202"/>
      <c r="KTY8" s="1202"/>
      <c r="KTZ8" s="1202"/>
      <c r="KUA8" s="1202"/>
      <c r="KUB8" s="1202"/>
      <c r="KUC8" s="1202"/>
      <c r="KUD8" s="1202"/>
      <c r="KUE8" s="1202"/>
      <c r="KUF8" s="1202"/>
      <c r="KUG8" s="1202"/>
      <c r="KUH8" s="1202"/>
      <c r="KUI8" s="1202"/>
      <c r="KUJ8" s="1202"/>
      <c r="KUK8" s="1202"/>
      <c r="KUL8" s="1202"/>
      <c r="KUM8" s="1202"/>
      <c r="KUN8" s="1202"/>
      <c r="KUO8" s="1202"/>
      <c r="KUP8" s="1202"/>
      <c r="KUQ8" s="1202"/>
      <c r="KUR8" s="1202"/>
      <c r="KUS8" s="1202"/>
      <c r="KUT8" s="1202"/>
      <c r="KUU8" s="1202"/>
      <c r="KUV8" s="1202"/>
      <c r="KUW8" s="1202"/>
      <c r="KUX8" s="1202"/>
      <c r="KUY8" s="1202"/>
      <c r="KUZ8" s="1202"/>
      <c r="KVA8" s="1202"/>
      <c r="KVB8" s="1202"/>
      <c r="KVC8" s="1202"/>
      <c r="KVD8" s="1202"/>
      <c r="KVE8" s="1202"/>
      <c r="KVF8" s="1202"/>
      <c r="KVG8" s="1202"/>
      <c r="KVH8" s="1202"/>
      <c r="KVI8" s="1202"/>
      <c r="KVJ8" s="1202"/>
      <c r="KVK8" s="1202"/>
      <c r="KVL8" s="1202"/>
      <c r="KVM8" s="1202"/>
      <c r="KVN8" s="1202"/>
      <c r="KVO8" s="1202"/>
      <c r="KVP8" s="1202"/>
      <c r="KVQ8" s="1202"/>
      <c r="KVR8" s="1202"/>
      <c r="KVS8" s="1202"/>
      <c r="KVT8" s="1202"/>
      <c r="KVU8" s="1202"/>
      <c r="KVV8" s="1202"/>
      <c r="KVW8" s="1202"/>
      <c r="KVX8" s="1202"/>
      <c r="KVY8" s="1202"/>
      <c r="KVZ8" s="1202"/>
      <c r="KWA8" s="1202"/>
      <c r="KWB8" s="1202"/>
      <c r="KWC8" s="1202"/>
      <c r="KWD8" s="1202"/>
      <c r="KWE8" s="1202"/>
      <c r="KWF8" s="1202"/>
      <c r="KWG8" s="1202"/>
      <c r="KWH8" s="1202"/>
      <c r="KWI8" s="1202"/>
      <c r="KWJ8" s="1202"/>
      <c r="KWK8" s="1202"/>
      <c r="KWL8" s="1202"/>
      <c r="KWM8" s="1202"/>
      <c r="KWN8" s="1202"/>
      <c r="KWO8" s="1202"/>
      <c r="KWP8" s="1202"/>
      <c r="KWQ8" s="1202"/>
      <c r="KWR8" s="1202"/>
      <c r="KWS8" s="1202"/>
      <c r="KWT8" s="1202"/>
      <c r="KWU8" s="1202"/>
      <c r="KWV8" s="1202"/>
      <c r="KWW8" s="1202"/>
      <c r="KWX8" s="1202"/>
      <c r="KWY8" s="1202"/>
      <c r="KWZ8" s="1202"/>
      <c r="KXA8" s="1202"/>
      <c r="KXB8" s="1202"/>
      <c r="KXC8" s="1202"/>
      <c r="KXD8" s="1202"/>
      <c r="KXE8" s="1202"/>
      <c r="KXF8" s="1202"/>
      <c r="KXG8" s="1202"/>
      <c r="KXH8" s="1202"/>
      <c r="KXI8" s="1202"/>
      <c r="KXJ8" s="1202"/>
      <c r="KXK8" s="1202"/>
      <c r="KXL8" s="1202"/>
      <c r="KXM8" s="1202"/>
      <c r="KXN8" s="1202"/>
      <c r="KXO8" s="1202"/>
      <c r="KXP8" s="1202"/>
      <c r="KXQ8" s="1202"/>
      <c r="KXR8" s="1202"/>
      <c r="KXS8" s="1202"/>
      <c r="KXT8" s="1202"/>
      <c r="KXU8" s="1202"/>
      <c r="KXV8" s="1202"/>
      <c r="KXW8" s="1202"/>
      <c r="KXX8" s="1202"/>
      <c r="KXY8" s="1202"/>
      <c r="KXZ8" s="1202"/>
      <c r="KYA8" s="1202"/>
      <c r="KYB8" s="1202"/>
      <c r="KYC8" s="1202"/>
      <c r="KYD8" s="1202"/>
      <c r="KYE8" s="1202"/>
      <c r="KYF8" s="1202"/>
      <c r="KYG8" s="1202"/>
      <c r="KYH8" s="1202"/>
      <c r="KYI8" s="1202"/>
      <c r="KYJ8" s="1202"/>
      <c r="KYK8" s="1202"/>
      <c r="KYL8" s="1202"/>
      <c r="KYM8" s="1202"/>
      <c r="KYN8" s="1202"/>
      <c r="KYO8" s="1202"/>
      <c r="KYP8" s="1202"/>
      <c r="KYQ8" s="1202"/>
      <c r="KYR8" s="1202"/>
      <c r="KYS8" s="1202"/>
      <c r="KYT8" s="1202"/>
      <c r="KYU8" s="1202"/>
      <c r="KYV8" s="1202"/>
      <c r="KYW8" s="1202"/>
      <c r="KYX8" s="1202"/>
      <c r="KYY8" s="1202"/>
      <c r="KYZ8" s="1202"/>
      <c r="KZA8" s="1202"/>
      <c r="KZB8" s="1202"/>
      <c r="KZC8" s="1202"/>
      <c r="KZD8" s="1202"/>
      <c r="KZE8" s="1202"/>
      <c r="KZF8" s="1202"/>
      <c r="KZG8" s="1202"/>
      <c r="KZH8" s="1202"/>
      <c r="KZI8" s="1202"/>
      <c r="KZJ8" s="1202"/>
      <c r="KZK8" s="1202"/>
      <c r="KZL8" s="1202"/>
      <c r="KZM8" s="1202"/>
      <c r="KZN8" s="1202"/>
      <c r="KZO8" s="1202"/>
      <c r="KZP8" s="1202"/>
      <c r="KZQ8" s="1202"/>
      <c r="KZR8" s="1202"/>
      <c r="KZS8" s="1202"/>
      <c r="KZT8" s="1202"/>
      <c r="KZU8" s="1202"/>
      <c r="KZV8" s="1202"/>
      <c r="KZW8" s="1202"/>
      <c r="KZX8" s="1202"/>
      <c r="KZY8" s="1202"/>
      <c r="KZZ8" s="1202"/>
      <c r="LAA8" s="1202"/>
      <c r="LAB8" s="1202"/>
      <c r="LAC8" s="1202"/>
      <c r="LAD8" s="1202"/>
      <c r="LAE8" s="1202"/>
      <c r="LAF8" s="1202"/>
      <c r="LAG8" s="1202"/>
      <c r="LAH8" s="1202"/>
      <c r="LAI8" s="1202"/>
      <c r="LAJ8" s="1202"/>
      <c r="LAK8" s="1202"/>
      <c r="LAL8" s="1202"/>
      <c r="LAM8" s="1202"/>
      <c r="LAN8" s="1202"/>
      <c r="LAO8" s="1202"/>
      <c r="LAP8" s="1202"/>
      <c r="LAQ8" s="1202"/>
      <c r="LAR8" s="1202"/>
      <c r="LAS8" s="1202"/>
      <c r="LAT8" s="1202"/>
      <c r="LAU8" s="1202"/>
      <c r="LAV8" s="1202"/>
      <c r="LAW8" s="1202"/>
      <c r="LAX8" s="1202"/>
      <c r="LAY8" s="1202"/>
      <c r="LAZ8" s="1202"/>
      <c r="LBA8" s="1202"/>
      <c r="LBB8" s="1202"/>
      <c r="LBC8" s="1202"/>
      <c r="LBD8" s="1202"/>
      <c r="LBE8" s="1202"/>
      <c r="LBF8" s="1202"/>
      <c r="LBG8" s="1202"/>
      <c r="LBH8" s="1202"/>
      <c r="LBI8" s="1202"/>
      <c r="LBJ8" s="1202"/>
      <c r="LBK8" s="1202"/>
      <c r="LBL8" s="1202"/>
      <c r="LBM8" s="1202"/>
      <c r="LBN8" s="1202"/>
      <c r="LBO8" s="1202"/>
      <c r="LBP8" s="1202"/>
      <c r="LBQ8" s="1202"/>
      <c r="LBR8" s="1202"/>
      <c r="LBS8" s="1202"/>
      <c r="LBT8" s="1202"/>
      <c r="LBU8" s="1202"/>
      <c r="LBV8" s="1202"/>
      <c r="LBW8" s="1202"/>
      <c r="LBX8" s="1202"/>
      <c r="LBY8" s="1202"/>
      <c r="LBZ8" s="1202"/>
      <c r="LCA8" s="1202"/>
      <c r="LCB8" s="1202"/>
      <c r="LCC8" s="1202"/>
      <c r="LCD8" s="1202"/>
      <c r="LCE8" s="1202"/>
      <c r="LCF8" s="1202"/>
      <c r="LCG8" s="1202"/>
      <c r="LCH8" s="1202"/>
      <c r="LCI8" s="1202"/>
      <c r="LCJ8" s="1202"/>
      <c r="LCK8" s="1202"/>
      <c r="LCL8" s="1202"/>
      <c r="LCM8" s="1202"/>
      <c r="LCN8" s="1202"/>
      <c r="LCO8" s="1202"/>
      <c r="LCP8" s="1202"/>
      <c r="LCQ8" s="1202"/>
      <c r="LCR8" s="1202"/>
      <c r="LCS8" s="1202"/>
      <c r="LCT8" s="1202"/>
      <c r="LCU8" s="1202"/>
      <c r="LCV8" s="1202"/>
      <c r="LCW8" s="1202"/>
      <c r="LCX8" s="1202"/>
      <c r="LCY8" s="1202"/>
      <c r="LCZ8" s="1202"/>
      <c r="LDA8" s="1202"/>
      <c r="LDB8" s="1202"/>
      <c r="LDC8" s="1202"/>
      <c r="LDD8" s="1202"/>
      <c r="LDE8" s="1202"/>
      <c r="LDF8" s="1202"/>
      <c r="LDG8" s="1202"/>
      <c r="LDH8" s="1202"/>
      <c r="LDI8" s="1202"/>
      <c r="LDJ8" s="1202"/>
      <c r="LDK8" s="1202"/>
      <c r="LDL8" s="1202"/>
      <c r="LDM8" s="1202"/>
      <c r="LDN8" s="1202"/>
      <c r="LDO8" s="1202"/>
      <c r="LDP8" s="1202"/>
      <c r="LDQ8" s="1202"/>
      <c r="LDR8" s="1202"/>
      <c r="LDS8" s="1202"/>
      <c r="LDT8" s="1202"/>
      <c r="LDU8" s="1202"/>
      <c r="LDV8" s="1202"/>
      <c r="LDW8" s="1202"/>
      <c r="LDX8" s="1202"/>
      <c r="LDY8" s="1202"/>
      <c r="LDZ8" s="1202"/>
      <c r="LEA8" s="1202"/>
      <c r="LEB8" s="1202"/>
      <c r="LEC8" s="1202"/>
      <c r="LED8" s="1202"/>
      <c r="LEE8" s="1202"/>
      <c r="LEF8" s="1202"/>
      <c r="LEG8" s="1202"/>
      <c r="LEH8" s="1202"/>
      <c r="LEI8" s="1202"/>
      <c r="LEJ8" s="1202"/>
      <c r="LEK8" s="1202"/>
      <c r="LEL8" s="1202"/>
      <c r="LEM8" s="1202"/>
      <c r="LEN8" s="1202"/>
      <c r="LEO8" s="1202"/>
      <c r="LEP8" s="1202"/>
      <c r="LEQ8" s="1202"/>
      <c r="LER8" s="1202"/>
      <c r="LES8" s="1202"/>
      <c r="LET8" s="1202"/>
      <c r="LEU8" s="1202"/>
      <c r="LEV8" s="1202"/>
      <c r="LEW8" s="1202"/>
      <c r="LEX8" s="1202"/>
      <c r="LEY8" s="1202"/>
      <c r="LEZ8" s="1202"/>
      <c r="LFA8" s="1202"/>
      <c r="LFB8" s="1202"/>
      <c r="LFC8" s="1202"/>
      <c r="LFD8" s="1202"/>
      <c r="LFE8" s="1202"/>
      <c r="LFF8" s="1202"/>
      <c r="LFG8" s="1202"/>
      <c r="LFH8" s="1202"/>
      <c r="LFI8" s="1202"/>
      <c r="LFJ8" s="1202"/>
      <c r="LFK8" s="1202"/>
      <c r="LFL8" s="1202"/>
      <c r="LFM8" s="1202"/>
      <c r="LFN8" s="1202"/>
      <c r="LFO8" s="1202"/>
      <c r="LFP8" s="1202"/>
      <c r="LFQ8" s="1202"/>
      <c r="LFR8" s="1202"/>
      <c r="LFS8" s="1202"/>
      <c r="LFT8" s="1202"/>
      <c r="LFU8" s="1202"/>
      <c r="LFV8" s="1202"/>
      <c r="LFW8" s="1202"/>
      <c r="LFX8" s="1202"/>
      <c r="LFY8" s="1202"/>
      <c r="LFZ8" s="1202"/>
      <c r="LGA8" s="1202"/>
      <c r="LGB8" s="1202"/>
      <c r="LGC8" s="1202"/>
      <c r="LGD8" s="1202"/>
      <c r="LGE8" s="1202"/>
      <c r="LGF8" s="1202"/>
      <c r="LGG8" s="1202"/>
      <c r="LGH8" s="1202"/>
      <c r="LGI8" s="1202"/>
      <c r="LGJ8" s="1202"/>
      <c r="LGK8" s="1202"/>
      <c r="LGL8" s="1202"/>
      <c r="LGM8" s="1202"/>
      <c r="LGN8" s="1202"/>
      <c r="LGO8" s="1202"/>
      <c r="LGP8" s="1202"/>
      <c r="LGQ8" s="1202"/>
      <c r="LGR8" s="1202"/>
      <c r="LGS8" s="1202"/>
      <c r="LGT8" s="1202"/>
      <c r="LGU8" s="1202"/>
      <c r="LGV8" s="1202"/>
      <c r="LGW8" s="1202"/>
      <c r="LGX8" s="1202"/>
      <c r="LGY8" s="1202"/>
      <c r="LGZ8" s="1202"/>
      <c r="LHA8" s="1202"/>
      <c r="LHB8" s="1202"/>
      <c r="LHC8" s="1202"/>
      <c r="LHD8" s="1202"/>
      <c r="LHE8" s="1202"/>
      <c r="LHF8" s="1202"/>
      <c r="LHG8" s="1202"/>
      <c r="LHH8" s="1202"/>
      <c r="LHI8" s="1202"/>
      <c r="LHJ8" s="1202"/>
      <c r="LHK8" s="1202"/>
      <c r="LHL8" s="1202"/>
      <c r="LHM8" s="1202"/>
      <c r="LHN8" s="1202"/>
      <c r="LHO8" s="1202"/>
      <c r="LHP8" s="1202"/>
      <c r="LHQ8" s="1202"/>
      <c r="LHR8" s="1202"/>
      <c r="LHS8" s="1202"/>
      <c r="LHT8" s="1202"/>
      <c r="LHU8" s="1202"/>
      <c r="LHV8" s="1202"/>
      <c r="LHW8" s="1202"/>
      <c r="LHX8" s="1202"/>
      <c r="LHY8" s="1202"/>
      <c r="LHZ8" s="1202"/>
      <c r="LIA8" s="1202"/>
      <c r="LIB8" s="1202"/>
      <c r="LIC8" s="1202"/>
      <c r="LID8" s="1202"/>
      <c r="LIE8" s="1202"/>
      <c r="LIF8" s="1202"/>
      <c r="LIG8" s="1202"/>
      <c r="LIH8" s="1202"/>
      <c r="LII8" s="1202"/>
      <c r="LIJ8" s="1202"/>
      <c r="LIK8" s="1202"/>
      <c r="LIL8" s="1202"/>
      <c r="LIM8" s="1202"/>
      <c r="LIN8" s="1202"/>
      <c r="LIO8" s="1202"/>
      <c r="LIP8" s="1202"/>
      <c r="LIQ8" s="1202"/>
      <c r="LIR8" s="1202"/>
      <c r="LIS8" s="1202"/>
      <c r="LIT8" s="1202"/>
      <c r="LIU8" s="1202"/>
      <c r="LIV8" s="1202"/>
      <c r="LIW8" s="1202"/>
      <c r="LIX8" s="1202"/>
      <c r="LIY8" s="1202"/>
      <c r="LIZ8" s="1202"/>
      <c r="LJA8" s="1202"/>
      <c r="LJB8" s="1202"/>
      <c r="LJC8" s="1202"/>
      <c r="LJD8" s="1202"/>
      <c r="LJE8" s="1202"/>
      <c r="LJF8" s="1202"/>
      <c r="LJG8" s="1202"/>
      <c r="LJH8" s="1202"/>
      <c r="LJI8" s="1202"/>
      <c r="LJJ8" s="1202"/>
      <c r="LJK8" s="1202"/>
      <c r="LJL8" s="1202"/>
      <c r="LJM8" s="1202"/>
      <c r="LJN8" s="1202"/>
      <c r="LJO8" s="1202"/>
      <c r="LJP8" s="1202"/>
      <c r="LJQ8" s="1202"/>
      <c r="LJR8" s="1202"/>
      <c r="LJS8" s="1202"/>
      <c r="LJT8" s="1202"/>
      <c r="LJU8" s="1202"/>
      <c r="LJV8" s="1202"/>
      <c r="LJW8" s="1202"/>
      <c r="LJX8" s="1202"/>
      <c r="LJY8" s="1202"/>
      <c r="LJZ8" s="1202"/>
      <c r="LKA8" s="1202"/>
      <c r="LKB8" s="1202"/>
      <c r="LKC8" s="1202"/>
      <c r="LKD8" s="1202"/>
      <c r="LKE8" s="1202"/>
      <c r="LKF8" s="1202"/>
      <c r="LKG8" s="1202"/>
      <c r="LKH8" s="1202"/>
      <c r="LKI8" s="1202"/>
      <c r="LKJ8" s="1202"/>
      <c r="LKK8" s="1202"/>
      <c r="LKL8" s="1202"/>
      <c r="LKM8" s="1202"/>
      <c r="LKN8" s="1202"/>
      <c r="LKO8" s="1202"/>
      <c r="LKP8" s="1202"/>
      <c r="LKQ8" s="1202"/>
      <c r="LKR8" s="1202"/>
      <c r="LKS8" s="1202"/>
      <c r="LKT8" s="1202"/>
      <c r="LKU8" s="1202"/>
      <c r="LKV8" s="1202"/>
      <c r="LKW8" s="1202"/>
      <c r="LKX8" s="1202"/>
      <c r="LKY8" s="1202"/>
      <c r="LKZ8" s="1202"/>
      <c r="LLA8" s="1202"/>
      <c r="LLB8" s="1202"/>
      <c r="LLC8" s="1202"/>
      <c r="LLD8" s="1202"/>
      <c r="LLE8" s="1202"/>
      <c r="LLF8" s="1202"/>
      <c r="LLG8" s="1202"/>
      <c r="LLH8" s="1202"/>
      <c r="LLI8" s="1202"/>
      <c r="LLJ8" s="1202"/>
      <c r="LLK8" s="1202"/>
      <c r="LLL8" s="1202"/>
      <c r="LLM8" s="1202"/>
      <c r="LLN8" s="1202"/>
      <c r="LLO8" s="1202"/>
      <c r="LLP8" s="1202"/>
      <c r="LLQ8" s="1202"/>
      <c r="LLR8" s="1202"/>
      <c r="LLS8" s="1202"/>
      <c r="LLT8" s="1202"/>
      <c r="LLU8" s="1202"/>
      <c r="LLV8" s="1202"/>
      <c r="LLW8" s="1202"/>
      <c r="LLX8" s="1202"/>
      <c r="LLY8" s="1202"/>
      <c r="LLZ8" s="1202"/>
      <c r="LMA8" s="1202"/>
      <c r="LMB8" s="1202"/>
      <c r="LMC8" s="1202"/>
      <c r="LMD8" s="1202"/>
      <c r="LME8" s="1202"/>
      <c r="LMF8" s="1202"/>
      <c r="LMG8" s="1202"/>
      <c r="LMH8" s="1202"/>
      <c r="LMI8" s="1202"/>
      <c r="LMJ8" s="1202"/>
      <c r="LMK8" s="1202"/>
      <c r="LML8" s="1202"/>
      <c r="LMM8" s="1202"/>
      <c r="LMN8" s="1202"/>
      <c r="LMO8" s="1202"/>
      <c r="LMP8" s="1202"/>
      <c r="LMQ8" s="1202"/>
      <c r="LMR8" s="1202"/>
      <c r="LMS8" s="1202"/>
      <c r="LMT8" s="1202"/>
      <c r="LMU8" s="1202"/>
      <c r="LMV8" s="1202"/>
      <c r="LMW8" s="1202"/>
      <c r="LMX8" s="1202"/>
      <c r="LMY8" s="1202"/>
      <c r="LMZ8" s="1202"/>
      <c r="LNA8" s="1202"/>
      <c r="LNB8" s="1202"/>
      <c r="LNC8" s="1202"/>
      <c r="LND8" s="1202"/>
      <c r="LNE8" s="1202"/>
      <c r="LNF8" s="1202"/>
      <c r="LNG8" s="1202"/>
      <c r="LNH8" s="1202"/>
      <c r="LNI8" s="1202"/>
      <c r="LNJ8" s="1202"/>
      <c r="LNK8" s="1202"/>
      <c r="LNL8" s="1202"/>
      <c r="LNM8" s="1202"/>
      <c r="LNN8" s="1202"/>
      <c r="LNO8" s="1202"/>
      <c r="LNP8" s="1202"/>
      <c r="LNQ8" s="1202"/>
      <c r="LNR8" s="1202"/>
      <c r="LNS8" s="1202"/>
      <c r="LNT8" s="1202"/>
      <c r="LNU8" s="1202"/>
      <c r="LNV8" s="1202"/>
      <c r="LNW8" s="1202"/>
      <c r="LNX8" s="1202"/>
      <c r="LNY8" s="1202"/>
      <c r="LNZ8" s="1202"/>
      <c r="LOA8" s="1202"/>
      <c r="LOB8" s="1202"/>
      <c r="LOC8" s="1202"/>
      <c r="LOD8" s="1202"/>
      <c r="LOE8" s="1202"/>
      <c r="LOF8" s="1202"/>
      <c r="LOG8" s="1202"/>
      <c r="LOH8" s="1202"/>
      <c r="LOI8" s="1202"/>
      <c r="LOJ8" s="1202"/>
      <c r="LOK8" s="1202"/>
      <c r="LOL8" s="1202"/>
      <c r="LOM8" s="1202"/>
      <c r="LON8" s="1202"/>
      <c r="LOO8" s="1202"/>
      <c r="LOP8" s="1202"/>
      <c r="LOQ8" s="1202"/>
      <c r="LOR8" s="1202"/>
      <c r="LOS8" s="1202"/>
      <c r="LOT8" s="1202"/>
      <c r="LOU8" s="1202"/>
      <c r="LOV8" s="1202"/>
      <c r="LOW8" s="1202"/>
      <c r="LOX8" s="1202"/>
      <c r="LOY8" s="1202"/>
      <c r="LOZ8" s="1202"/>
      <c r="LPA8" s="1202"/>
      <c r="LPB8" s="1202"/>
      <c r="LPC8" s="1202"/>
      <c r="LPD8" s="1202"/>
      <c r="LPE8" s="1202"/>
      <c r="LPF8" s="1202"/>
      <c r="LPG8" s="1202"/>
      <c r="LPH8" s="1202"/>
      <c r="LPI8" s="1202"/>
      <c r="LPJ8" s="1202"/>
      <c r="LPK8" s="1202"/>
      <c r="LPL8" s="1202"/>
      <c r="LPM8" s="1202"/>
      <c r="LPN8" s="1202"/>
      <c r="LPO8" s="1202"/>
      <c r="LPP8" s="1202"/>
      <c r="LPQ8" s="1202"/>
      <c r="LPR8" s="1202"/>
      <c r="LPS8" s="1202"/>
      <c r="LPT8" s="1202"/>
      <c r="LPU8" s="1202"/>
      <c r="LPV8" s="1202"/>
      <c r="LPW8" s="1202"/>
      <c r="LPX8" s="1202"/>
      <c r="LPY8" s="1202"/>
      <c r="LPZ8" s="1202"/>
      <c r="LQA8" s="1202"/>
      <c r="LQB8" s="1202"/>
      <c r="LQC8" s="1202"/>
      <c r="LQD8" s="1202"/>
      <c r="LQE8" s="1202"/>
      <c r="LQF8" s="1202"/>
      <c r="LQG8" s="1202"/>
      <c r="LQH8" s="1202"/>
      <c r="LQI8" s="1202"/>
      <c r="LQJ8" s="1202"/>
      <c r="LQK8" s="1202"/>
      <c r="LQL8" s="1202"/>
      <c r="LQM8" s="1202"/>
      <c r="LQN8" s="1202"/>
      <c r="LQO8" s="1202"/>
      <c r="LQP8" s="1202"/>
      <c r="LQQ8" s="1202"/>
      <c r="LQR8" s="1202"/>
      <c r="LQS8" s="1202"/>
      <c r="LQT8" s="1202"/>
      <c r="LQU8" s="1202"/>
      <c r="LQV8" s="1202"/>
      <c r="LQW8" s="1202"/>
      <c r="LQX8" s="1202"/>
      <c r="LQY8" s="1202"/>
      <c r="LQZ8" s="1202"/>
      <c r="LRA8" s="1202"/>
      <c r="LRB8" s="1202"/>
      <c r="LRC8" s="1202"/>
      <c r="LRD8" s="1202"/>
      <c r="LRE8" s="1202"/>
      <c r="LRF8" s="1202"/>
      <c r="LRG8" s="1202"/>
      <c r="LRH8" s="1202"/>
      <c r="LRI8" s="1202"/>
      <c r="LRJ8" s="1202"/>
      <c r="LRK8" s="1202"/>
      <c r="LRL8" s="1202"/>
      <c r="LRM8" s="1202"/>
      <c r="LRN8" s="1202"/>
      <c r="LRO8" s="1202"/>
      <c r="LRP8" s="1202"/>
      <c r="LRQ8" s="1202"/>
      <c r="LRR8" s="1202"/>
      <c r="LRS8" s="1202"/>
      <c r="LRT8" s="1202"/>
      <c r="LRU8" s="1202"/>
      <c r="LRV8" s="1202"/>
      <c r="LRW8" s="1202"/>
      <c r="LRX8" s="1202"/>
      <c r="LRY8" s="1202"/>
      <c r="LRZ8" s="1202"/>
      <c r="LSA8" s="1202"/>
      <c r="LSB8" s="1202"/>
      <c r="LSC8" s="1202"/>
      <c r="LSD8" s="1202"/>
      <c r="LSE8" s="1202"/>
      <c r="LSF8" s="1202"/>
      <c r="LSG8" s="1202"/>
      <c r="LSH8" s="1202"/>
      <c r="LSI8" s="1202"/>
      <c r="LSJ8" s="1202"/>
      <c r="LSK8" s="1202"/>
      <c r="LSL8" s="1202"/>
      <c r="LSM8" s="1202"/>
      <c r="LSN8" s="1202"/>
      <c r="LSO8" s="1202"/>
      <c r="LSP8" s="1202"/>
      <c r="LSQ8" s="1202"/>
      <c r="LSR8" s="1202"/>
      <c r="LSS8" s="1202"/>
      <c r="LST8" s="1202"/>
      <c r="LSU8" s="1202"/>
      <c r="LSV8" s="1202"/>
      <c r="LSW8" s="1202"/>
      <c r="LSX8" s="1202"/>
      <c r="LSY8" s="1202"/>
      <c r="LSZ8" s="1202"/>
      <c r="LTA8" s="1202"/>
      <c r="LTB8" s="1202"/>
      <c r="LTC8" s="1202"/>
      <c r="LTD8" s="1202"/>
      <c r="LTE8" s="1202"/>
      <c r="LTF8" s="1202"/>
      <c r="LTG8" s="1202"/>
      <c r="LTH8" s="1202"/>
      <c r="LTI8" s="1202"/>
      <c r="LTJ8" s="1202"/>
      <c r="LTK8" s="1202"/>
      <c r="LTL8" s="1202"/>
      <c r="LTM8" s="1202"/>
      <c r="LTN8" s="1202"/>
      <c r="LTO8" s="1202"/>
      <c r="LTP8" s="1202"/>
      <c r="LTQ8" s="1202"/>
      <c r="LTR8" s="1202"/>
      <c r="LTS8" s="1202"/>
      <c r="LTT8" s="1202"/>
      <c r="LTU8" s="1202"/>
      <c r="LTV8" s="1202"/>
      <c r="LTW8" s="1202"/>
      <c r="LTX8" s="1202"/>
      <c r="LTY8" s="1202"/>
      <c r="LTZ8" s="1202"/>
      <c r="LUA8" s="1202"/>
      <c r="LUB8" s="1202"/>
      <c r="LUC8" s="1202"/>
      <c r="LUD8" s="1202"/>
      <c r="LUE8" s="1202"/>
      <c r="LUF8" s="1202"/>
      <c r="LUG8" s="1202"/>
      <c r="LUH8" s="1202"/>
      <c r="LUI8" s="1202"/>
      <c r="LUJ8" s="1202"/>
      <c r="LUK8" s="1202"/>
      <c r="LUL8" s="1202"/>
      <c r="LUM8" s="1202"/>
      <c r="LUN8" s="1202"/>
      <c r="LUO8" s="1202"/>
      <c r="LUP8" s="1202"/>
      <c r="LUQ8" s="1202"/>
      <c r="LUR8" s="1202"/>
      <c r="LUS8" s="1202"/>
      <c r="LUT8" s="1202"/>
      <c r="LUU8" s="1202"/>
      <c r="LUV8" s="1202"/>
      <c r="LUW8" s="1202"/>
      <c r="LUX8" s="1202"/>
      <c r="LUY8" s="1202"/>
      <c r="LUZ8" s="1202"/>
      <c r="LVA8" s="1202"/>
      <c r="LVB8" s="1202"/>
      <c r="LVC8" s="1202"/>
      <c r="LVD8" s="1202"/>
      <c r="LVE8" s="1202"/>
      <c r="LVF8" s="1202"/>
      <c r="LVG8" s="1202"/>
      <c r="LVH8" s="1202"/>
      <c r="LVI8" s="1202"/>
      <c r="LVJ8" s="1202"/>
      <c r="LVK8" s="1202"/>
      <c r="LVL8" s="1202"/>
      <c r="LVM8" s="1202"/>
      <c r="LVN8" s="1202"/>
      <c r="LVO8" s="1202"/>
      <c r="LVP8" s="1202"/>
      <c r="LVQ8" s="1202"/>
      <c r="LVR8" s="1202"/>
      <c r="LVS8" s="1202"/>
      <c r="LVT8" s="1202"/>
      <c r="LVU8" s="1202"/>
      <c r="LVV8" s="1202"/>
      <c r="LVW8" s="1202"/>
      <c r="LVX8" s="1202"/>
      <c r="LVY8" s="1202"/>
      <c r="LVZ8" s="1202"/>
      <c r="LWA8" s="1202"/>
      <c r="LWB8" s="1202"/>
      <c r="LWC8" s="1202"/>
      <c r="LWD8" s="1202"/>
      <c r="LWE8" s="1202"/>
      <c r="LWF8" s="1202"/>
      <c r="LWG8" s="1202"/>
      <c r="LWH8" s="1202"/>
      <c r="LWI8" s="1202"/>
      <c r="LWJ8" s="1202"/>
      <c r="LWK8" s="1202"/>
      <c r="LWL8" s="1202"/>
      <c r="LWM8" s="1202"/>
      <c r="LWN8" s="1202"/>
      <c r="LWO8" s="1202"/>
      <c r="LWP8" s="1202"/>
      <c r="LWQ8" s="1202"/>
      <c r="LWR8" s="1202"/>
      <c r="LWS8" s="1202"/>
      <c r="LWT8" s="1202"/>
      <c r="LWU8" s="1202"/>
      <c r="LWV8" s="1202"/>
      <c r="LWW8" s="1202"/>
      <c r="LWX8" s="1202"/>
      <c r="LWY8" s="1202"/>
      <c r="LWZ8" s="1202"/>
      <c r="LXA8" s="1202"/>
      <c r="LXB8" s="1202"/>
      <c r="LXC8" s="1202"/>
      <c r="LXD8" s="1202"/>
      <c r="LXE8" s="1202"/>
      <c r="LXF8" s="1202"/>
      <c r="LXG8" s="1202"/>
      <c r="LXH8" s="1202"/>
      <c r="LXI8" s="1202"/>
      <c r="LXJ8" s="1202"/>
      <c r="LXK8" s="1202"/>
      <c r="LXL8" s="1202"/>
      <c r="LXM8" s="1202"/>
      <c r="LXN8" s="1202"/>
      <c r="LXO8" s="1202"/>
      <c r="LXP8" s="1202"/>
      <c r="LXQ8" s="1202"/>
      <c r="LXR8" s="1202"/>
      <c r="LXS8" s="1202"/>
      <c r="LXT8" s="1202"/>
      <c r="LXU8" s="1202"/>
      <c r="LXV8" s="1202"/>
      <c r="LXW8" s="1202"/>
      <c r="LXX8" s="1202"/>
      <c r="LXY8" s="1202"/>
      <c r="LXZ8" s="1202"/>
      <c r="LYA8" s="1202"/>
      <c r="LYB8" s="1202"/>
      <c r="LYC8" s="1202"/>
      <c r="LYD8" s="1202"/>
      <c r="LYE8" s="1202"/>
      <c r="LYF8" s="1202"/>
      <c r="LYG8" s="1202"/>
      <c r="LYH8" s="1202"/>
      <c r="LYI8" s="1202"/>
      <c r="LYJ8" s="1202"/>
      <c r="LYK8" s="1202"/>
      <c r="LYL8" s="1202"/>
      <c r="LYM8" s="1202"/>
      <c r="LYN8" s="1202"/>
      <c r="LYO8" s="1202"/>
      <c r="LYP8" s="1202"/>
      <c r="LYQ8" s="1202"/>
      <c r="LYR8" s="1202"/>
      <c r="LYS8" s="1202"/>
      <c r="LYT8" s="1202"/>
      <c r="LYU8" s="1202"/>
      <c r="LYV8" s="1202"/>
      <c r="LYW8" s="1202"/>
      <c r="LYX8" s="1202"/>
      <c r="LYY8" s="1202"/>
      <c r="LYZ8" s="1202"/>
      <c r="LZA8" s="1202"/>
      <c r="LZB8" s="1202"/>
      <c r="LZC8" s="1202"/>
      <c r="LZD8" s="1202"/>
      <c r="LZE8" s="1202"/>
      <c r="LZF8" s="1202"/>
      <c r="LZG8" s="1202"/>
      <c r="LZH8" s="1202"/>
      <c r="LZI8" s="1202"/>
      <c r="LZJ8" s="1202"/>
      <c r="LZK8" s="1202"/>
      <c r="LZL8" s="1202"/>
      <c r="LZM8" s="1202"/>
      <c r="LZN8" s="1202"/>
      <c r="LZO8" s="1202"/>
      <c r="LZP8" s="1202"/>
      <c r="LZQ8" s="1202"/>
      <c r="LZR8" s="1202"/>
      <c r="LZS8" s="1202"/>
      <c r="LZT8" s="1202"/>
      <c r="LZU8" s="1202"/>
      <c r="LZV8" s="1202"/>
      <c r="LZW8" s="1202"/>
      <c r="LZX8" s="1202"/>
      <c r="LZY8" s="1202"/>
      <c r="LZZ8" s="1202"/>
      <c r="MAA8" s="1202"/>
      <c r="MAB8" s="1202"/>
      <c r="MAC8" s="1202"/>
      <c r="MAD8" s="1202"/>
      <c r="MAE8" s="1202"/>
      <c r="MAF8" s="1202"/>
      <c r="MAG8" s="1202"/>
      <c r="MAH8" s="1202"/>
      <c r="MAI8" s="1202"/>
      <c r="MAJ8" s="1202"/>
      <c r="MAK8" s="1202"/>
      <c r="MAL8" s="1202"/>
      <c r="MAM8" s="1202"/>
      <c r="MAN8" s="1202"/>
      <c r="MAO8" s="1202"/>
      <c r="MAP8" s="1202"/>
      <c r="MAQ8" s="1202"/>
      <c r="MAR8" s="1202"/>
      <c r="MAS8" s="1202"/>
      <c r="MAT8" s="1202"/>
      <c r="MAU8" s="1202"/>
      <c r="MAV8" s="1202"/>
      <c r="MAW8" s="1202"/>
      <c r="MAX8" s="1202"/>
      <c r="MAY8" s="1202"/>
      <c r="MAZ8" s="1202"/>
      <c r="MBA8" s="1202"/>
      <c r="MBB8" s="1202"/>
      <c r="MBC8" s="1202"/>
      <c r="MBD8" s="1202"/>
      <c r="MBE8" s="1202"/>
      <c r="MBF8" s="1202"/>
      <c r="MBG8" s="1202"/>
      <c r="MBH8" s="1202"/>
      <c r="MBI8" s="1202"/>
      <c r="MBJ8" s="1202"/>
      <c r="MBK8" s="1202"/>
      <c r="MBL8" s="1202"/>
      <c r="MBM8" s="1202"/>
      <c r="MBN8" s="1202"/>
      <c r="MBO8" s="1202"/>
      <c r="MBP8" s="1202"/>
      <c r="MBQ8" s="1202"/>
      <c r="MBR8" s="1202"/>
      <c r="MBS8" s="1202"/>
      <c r="MBT8" s="1202"/>
      <c r="MBU8" s="1202"/>
      <c r="MBV8" s="1202"/>
      <c r="MBW8" s="1202"/>
      <c r="MBX8" s="1202"/>
      <c r="MBY8" s="1202"/>
      <c r="MBZ8" s="1202"/>
      <c r="MCA8" s="1202"/>
      <c r="MCB8" s="1202"/>
      <c r="MCC8" s="1202"/>
      <c r="MCD8" s="1202"/>
      <c r="MCE8" s="1202"/>
      <c r="MCF8" s="1202"/>
      <c r="MCG8" s="1202"/>
      <c r="MCH8" s="1202"/>
      <c r="MCI8" s="1202"/>
      <c r="MCJ8" s="1202"/>
      <c r="MCK8" s="1202"/>
      <c r="MCL8" s="1202"/>
      <c r="MCM8" s="1202"/>
      <c r="MCN8" s="1202"/>
      <c r="MCO8" s="1202"/>
      <c r="MCP8" s="1202"/>
      <c r="MCQ8" s="1202"/>
      <c r="MCR8" s="1202"/>
      <c r="MCS8" s="1202"/>
      <c r="MCT8" s="1202"/>
      <c r="MCU8" s="1202"/>
      <c r="MCV8" s="1202"/>
      <c r="MCW8" s="1202"/>
      <c r="MCX8" s="1202"/>
      <c r="MCY8" s="1202"/>
      <c r="MCZ8" s="1202"/>
      <c r="MDA8" s="1202"/>
      <c r="MDB8" s="1202"/>
      <c r="MDC8" s="1202"/>
      <c r="MDD8" s="1202"/>
      <c r="MDE8" s="1202"/>
      <c r="MDF8" s="1202"/>
      <c r="MDG8" s="1202"/>
      <c r="MDH8" s="1202"/>
      <c r="MDI8" s="1202"/>
      <c r="MDJ8" s="1202"/>
      <c r="MDK8" s="1202"/>
      <c r="MDL8" s="1202"/>
      <c r="MDM8" s="1202"/>
      <c r="MDN8" s="1202"/>
      <c r="MDO8" s="1202"/>
      <c r="MDP8" s="1202"/>
      <c r="MDQ8" s="1202"/>
      <c r="MDR8" s="1202"/>
      <c r="MDS8" s="1202"/>
      <c r="MDT8" s="1202"/>
      <c r="MDU8" s="1202"/>
      <c r="MDV8" s="1202"/>
      <c r="MDW8" s="1202"/>
      <c r="MDX8" s="1202"/>
      <c r="MDY8" s="1202"/>
      <c r="MDZ8" s="1202"/>
      <c r="MEA8" s="1202"/>
      <c r="MEB8" s="1202"/>
      <c r="MEC8" s="1202"/>
      <c r="MED8" s="1202"/>
      <c r="MEE8" s="1202"/>
      <c r="MEF8" s="1202"/>
      <c r="MEG8" s="1202"/>
      <c r="MEH8" s="1202"/>
      <c r="MEI8" s="1202"/>
      <c r="MEJ8" s="1202"/>
      <c r="MEK8" s="1202"/>
      <c r="MEL8" s="1202"/>
      <c r="MEM8" s="1202"/>
      <c r="MEN8" s="1202"/>
      <c r="MEO8" s="1202"/>
      <c r="MEP8" s="1202"/>
      <c r="MEQ8" s="1202"/>
      <c r="MER8" s="1202"/>
      <c r="MES8" s="1202"/>
      <c r="MET8" s="1202"/>
      <c r="MEU8" s="1202"/>
      <c r="MEV8" s="1202"/>
      <c r="MEW8" s="1202"/>
      <c r="MEX8" s="1202"/>
      <c r="MEY8" s="1202"/>
      <c r="MEZ8" s="1202"/>
      <c r="MFA8" s="1202"/>
      <c r="MFB8" s="1202"/>
      <c r="MFC8" s="1202"/>
      <c r="MFD8" s="1202"/>
      <c r="MFE8" s="1202"/>
      <c r="MFF8" s="1202"/>
      <c r="MFG8" s="1202"/>
      <c r="MFH8" s="1202"/>
      <c r="MFI8" s="1202"/>
      <c r="MFJ8" s="1202"/>
      <c r="MFK8" s="1202"/>
      <c r="MFL8" s="1202"/>
      <c r="MFM8" s="1202"/>
      <c r="MFN8" s="1202"/>
      <c r="MFO8" s="1202"/>
      <c r="MFP8" s="1202"/>
      <c r="MFQ8" s="1202"/>
      <c r="MFR8" s="1202"/>
      <c r="MFS8" s="1202"/>
      <c r="MFT8" s="1202"/>
      <c r="MFU8" s="1202"/>
      <c r="MFV8" s="1202"/>
      <c r="MFW8" s="1202"/>
      <c r="MFX8" s="1202"/>
      <c r="MFY8" s="1202"/>
      <c r="MFZ8" s="1202"/>
      <c r="MGA8" s="1202"/>
      <c r="MGB8" s="1202"/>
      <c r="MGC8" s="1202"/>
      <c r="MGD8" s="1202"/>
      <c r="MGE8" s="1202"/>
      <c r="MGF8" s="1202"/>
      <c r="MGG8" s="1202"/>
      <c r="MGH8" s="1202"/>
      <c r="MGI8" s="1202"/>
      <c r="MGJ8" s="1202"/>
      <c r="MGK8" s="1202"/>
      <c r="MGL8" s="1202"/>
      <c r="MGM8" s="1202"/>
      <c r="MGN8" s="1202"/>
      <c r="MGO8" s="1202"/>
      <c r="MGP8" s="1202"/>
      <c r="MGQ8" s="1202"/>
      <c r="MGR8" s="1202"/>
      <c r="MGS8" s="1202"/>
      <c r="MGT8" s="1202"/>
      <c r="MGU8" s="1202"/>
      <c r="MGV8" s="1202"/>
      <c r="MGW8" s="1202"/>
      <c r="MGX8" s="1202"/>
      <c r="MGY8" s="1202"/>
      <c r="MGZ8" s="1202"/>
      <c r="MHA8" s="1202"/>
      <c r="MHB8" s="1202"/>
      <c r="MHC8" s="1202"/>
      <c r="MHD8" s="1202"/>
      <c r="MHE8" s="1202"/>
      <c r="MHF8" s="1202"/>
      <c r="MHG8" s="1202"/>
      <c r="MHH8" s="1202"/>
      <c r="MHI8" s="1202"/>
      <c r="MHJ8" s="1202"/>
      <c r="MHK8" s="1202"/>
      <c r="MHL8" s="1202"/>
      <c r="MHM8" s="1202"/>
      <c r="MHN8" s="1202"/>
      <c r="MHO8" s="1202"/>
      <c r="MHP8" s="1202"/>
      <c r="MHQ8" s="1202"/>
      <c r="MHR8" s="1202"/>
      <c r="MHS8" s="1202"/>
      <c r="MHT8" s="1202"/>
      <c r="MHU8" s="1202"/>
      <c r="MHV8" s="1202"/>
      <c r="MHW8" s="1202"/>
      <c r="MHX8" s="1202"/>
      <c r="MHY8" s="1202"/>
      <c r="MHZ8" s="1202"/>
      <c r="MIA8" s="1202"/>
      <c r="MIB8" s="1202"/>
      <c r="MIC8" s="1202"/>
      <c r="MID8" s="1202"/>
      <c r="MIE8" s="1202"/>
      <c r="MIF8" s="1202"/>
      <c r="MIG8" s="1202"/>
      <c r="MIH8" s="1202"/>
      <c r="MII8" s="1202"/>
      <c r="MIJ8" s="1202"/>
      <c r="MIK8" s="1202"/>
      <c r="MIL8" s="1202"/>
      <c r="MIM8" s="1202"/>
      <c r="MIN8" s="1202"/>
      <c r="MIO8" s="1202"/>
      <c r="MIP8" s="1202"/>
      <c r="MIQ8" s="1202"/>
      <c r="MIR8" s="1202"/>
      <c r="MIS8" s="1202"/>
      <c r="MIT8" s="1202"/>
      <c r="MIU8" s="1202"/>
      <c r="MIV8" s="1202"/>
      <c r="MIW8" s="1202"/>
      <c r="MIX8" s="1202"/>
      <c r="MIY8" s="1202"/>
      <c r="MIZ8" s="1202"/>
      <c r="MJA8" s="1202"/>
      <c r="MJB8" s="1202"/>
      <c r="MJC8" s="1202"/>
      <c r="MJD8" s="1202"/>
      <c r="MJE8" s="1202"/>
      <c r="MJF8" s="1202"/>
      <c r="MJG8" s="1202"/>
      <c r="MJH8" s="1202"/>
      <c r="MJI8" s="1202"/>
      <c r="MJJ8" s="1202"/>
      <c r="MJK8" s="1202"/>
      <c r="MJL8" s="1202"/>
      <c r="MJM8" s="1202"/>
      <c r="MJN8" s="1202"/>
      <c r="MJO8" s="1202"/>
      <c r="MJP8" s="1202"/>
      <c r="MJQ8" s="1202"/>
      <c r="MJR8" s="1202"/>
      <c r="MJS8" s="1202"/>
      <c r="MJT8" s="1202"/>
      <c r="MJU8" s="1202"/>
      <c r="MJV8" s="1202"/>
      <c r="MJW8" s="1202"/>
      <c r="MJX8" s="1202"/>
      <c r="MJY8" s="1202"/>
      <c r="MJZ8" s="1202"/>
      <c r="MKA8" s="1202"/>
      <c r="MKB8" s="1202"/>
      <c r="MKC8" s="1202"/>
      <c r="MKD8" s="1202"/>
      <c r="MKE8" s="1202"/>
      <c r="MKF8" s="1202"/>
      <c r="MKG8" s="1202"/>
      <c r="MKH8" s="1202"/>
      <c r="MKI8" s="1202"/>
      <c r="MKJ8" s="1202"/>
      <c r="MKK8" s="1202"/>
      <c r="MKL8" s="1202"/>
      <c r="MKM8" s="1202"/>
      <c r="MKN8" s="1202"/>
      <c r="MKO8" s="1202"/>
      <c r="MKP8" s="1202"/>
      <c r="MKQ8" s="1202"/>
      <c r="MKR8" s="1202"/>
      <c r="MKS8" s="1202"/>
      <c r="MKT8" s="1202"/>
      <c r="MKU8" s="1202"/>
      <c r="MKV8" s="1202"/>
      <c r="MKW8" s="1202"/>
      <c r="MKX8" s="1202"/>
      <c r="MKY8" s="1202"/>
      <c r="MKZ8" s="1202"/>
      <c r="MLA8" s="1202"/>
      <c r="MLB8" s="1202"/>
      <c r="MLC8" s="1202"/>
      <c r="MLD8" s="1202"/>
      <c r="MLE8" s="1202"/>
      <c r="MLF8" s="1202"/>
      <c r="MLG8" s="1202"/>
      <c r="MLH8" s="1202"/>
      <c r="MLI8" s="1202"/>
      <c r="MLJ8" s="1202"/>
      <c r="MLK8" s="1202"/>
      <c r="MLL8" s="1202"/>
      <c r="MLM8" s="1202"/>
      <c r="MLN8" s="1202"/>
      <c r="MLO8" s="1202"/>
      <c r="MLP8" s="1202"/>
      <c r="MLQ8" s="1202"/>
      <c r="MLR8" s="1202"/>
      <c r="MLS8" s="1202"/>
      <c r="MLT8" s="1202"/>
      <c r="MLU8" s="1202"/>
      <c r="MLV8" s="1202"/>
      <c r="MLW8" s="1202"/>
      <c r="MLX8" s="1202"/>
      <c r="MLY8" s="1202"/>
      <c r="MLZ8" s="1202"/>
      <c r="MMA8" s="1202"/>
      <c r="MMB8" s="1202"/>
      <c r="MMC8" s="1202"/>
      <c r="MMD8" s="1202"/>
      <c r="MME8" s="1202"/>
      <c r="MMF8" s="1202"/>
      <c r="MMG8" s="1202"/>
      <c r="MMH8" s="1202"/>
      <c r="MMI8" s="1202"/>
      <c r="MMJ8" s="1202"/>
      <c r="MMK8" s="1202"/>
      <c r="MML8" s="1202"/>
      <c r="MMM8" s="1202"/>
      <c r="MMN8" s="1202"/>
      <c r="MMO8" s="1202"/>
      <c r="MMP8" s="1202"/>
      <c r="MMQ8" s="1202"/>
      <c r="MMR8" s="1202"/>
      <c r="MMS8" s="1202"/>
      <c r="MMT8" s="1202"/>
      <c r="MMU8" s="1202"/>
      <c r="MMV8" s="1202"/>
      <c r="MMW8" s="1202"/>
      <c r="MMX8" s="1202"/>
      <c r="MMY8" s="1202"/>
      <c r="MMZ8" s="1202"/>
      <c r="MNA8" s="1202"/>
      <c r="MNB8" s="1202"/>
      <c r="MNC8" s="1202"/>
      <c r="MND8" s="1202"/>
      <c r="MNE8" s="1202"/>
      <c r="MNF8" s="1202"/>
      <c r="MNG8" s="1202"/>
      <c r="MNH8" s="1202"/>
      <c r="MNI8" s="1202"/>
      <c r="MNJ8" s="1202"/>
      <c r="MNK8" s="1202"/>
      <c r="MNL8" s="1202"/>
      <c r="MNM8" s="1202"/>
      <c r="MNN8" s="1202"/>
      <c r="MNO8" s="1202"/>
      <c r="MNP8" s="1202"/>
      <c r="MNQ8" s="1202"/>
      <c r="MNR8" s="1202"/>
      <c r="MNS8" s="1202"/>
      <c r="MNT8" s="1202"/>
      <c r="MNU8" s="1202"/>
      <c r="MNV8" s="1202"/>
      <c r="MNW8" s="1202"/>
      <c r="MNX8" s="1202"/>
      <c r="MNY8" s="1202"/>
      <c r="MNZ8" s="1202"/>
      <c r="MOA8" s="1202"/>
      <c r="MOB8" s="1202"/>
      <c r="MOC8" s="1202"/>
      <c r="MOD8" s="1202"/>
      <c r="MOE8" s="1202"/>
      <c r="MOF8" s="1202"/>
      <c r="MOG8" s="1202"/>
      <c r="MOH8" s="1202"/>
      <c r="MOI8" s="1202"/>
      <c r="MOJ8" s="1202"/>
      <c r="MOK8" s="1202"/>
      <c r="MOL8" s="1202"/>
      <c r="MOM8" s="1202"/>
      <c r="MON8" s="1202"/>
      <c r="MOO8" s="1202"/>
      <c r="MOP8" s="1202"/>
      <c r="MOQ8" s="1202"/>
      <c r="MOR8" s="1202"/>
      <c r="MOS8" s="1202"/>
      <c r="MOT8" s="1202"/>
      <c r="MOU8" s="1202"/>
      <c r="MOV8" s="1202"/>
      <c r="MOW8" s="1202"/>
      <c r="MOX8" s="1202"/>
      <c r="MOY8" s="1202"/>
      <c r="MOZ8" s="1202"/>
      <c r="MPA8" s="1202"/>
      <c r="MPB8" s="1202"/>
      <c r="MPC8" s="1202"/>
      <c r="MPD8" s="1202"/>
      <c r="MPE8" s="1202"/>
      <c r="MPF8" s="1202"/>
      <c r="MPG8" s="1202"/>
      <c r="MPH8" s="1202"/>
      <c r="MPI8" s="1202"/>
      <c r="MPJ8" s="1202"/>
      <c r="MPK8" s="1202"/>
      <c r="MPL8" s="1202"/>
      <c r="MPM8" s="1202"/>
      <c r="MPN8" s="1202"/>
      <c r="MPO8" s="1202"/>
      <c r="MPP8" s="1202"/>
      <c r="MPQ8" s="1202"/>
      <c r="MPR8" s="1202"/>
      <c r="MPS8" s="1202"/>
      <c r="MPT8" s="1202"/>
      <c r="MPU8" s="1202"/>
      <c r="MPV8" s="1202"/>
      <c r="MPW8" s="1202"/>
      <c r="MPX8" s="1202"/>
      <c r="MPY8" s="1202"/>
      <c r="MPZ8" s="1202"/>
      <c r="MQA8" s="1202"/>
      <c r="MQB8" s="1202"/>
      <c r="MQC8" s="1202"/>
      <c r="MQD8" s="1202"/>
      <c r="MQE8" s="1202"/>
      <c r="MQF8" s="1202"/>
      <c r="MQG8" s="1202"/>
      <c r="MQH8" s="1202"/>
      <c r="MQI8" s="1202"/>
      <c r="MQJ8" s="1202"/>
      <c r="MQK8" s="1202"/>
      <c r="MQL8" s="1202"/>
      <c r="MQM8" s="1202"/>
      <c r="MQN8" s="1202"/>
      <c r="MQO8" s="1202"/>
      <c r="MQP8" s="1202"/>
      <c r="MQQ8" s="1202"/>
      <c r="MQR8" s="1202"/>
      <c r="MQS8" s="1202"/>
      <c r="MQT8" s="1202"/>
      <c r="MQU8" s="1202"/>
      <c r="MQV8" s="1202"/>
      <c r="MQW8" s="1202"/>
      <c r="MQX8" s="1202"/>
      <c r="MQY8" s="1202"/>
      <c r="MQZ8" s="1202"/>
      <c r="MRA8" s="1202"/>
      <c r="MRB8" s="1202"/>
      <c r="MRC8" s="1202"/>
      <c r="MRD8" s="1202"/>
      <c r="MRE8" s="1202"/>
      <c r="MRF8" s="1202"/>
      <c r="MRG8" s="1202"/>
      <c r="MRH8" s="1202"/>
      <c r="MRI8" s="1202"/>
      <c r="MRJ8" s="1202"/>
      <c r="MRK8" s="1202"/>
      <c r="MRL8" s="1202"/>
      <c r="MRM8" s="1202"/>
      <c r="MRN8" s="1202"/>
      <c r="MRO8" s="1202"/>
      <c r="MRP8" s="1202"/>
      <c r="MRQ8" s="1202"/>
      <c r="MRR8" s="1202"/>
      <c r="MRS8" s="1202"/>
      <c r="MRT8" s="1202"/>
      <c r="MRU8" s="1202"/>
      <c r="MRV8" s="1202"/>
      <c r="MRW8" s="1202"/>
      <c r="MRX8" s="1202"/>
      <c r="MRY8" s="1202"/>
      <c r="MRZ8" s="1202"/>
      <c r="MSA8" s="1202"/>
      <c r="MSB8" s="1202"/>
      <c r="MSC8" s="1202"/>
      <c r="MSD8" s="1202"/>
      <c r="MSE8" s="1202"/>
      <c r="MSF8" s="1202"/>
      <c r="MSG8" s="1202"/>
      <c r="MSH8" s="1202"/>
      <c r="MSI8" s="1202"/>
      <c r="MSJ8" s="1202"/>
      <c r="MSK8" s="1202"/>
      <c r="MSL8" s="1202"/>
      <c r="MSM8" s="1202"/>
      <c r="MSN8" s="1202"/>
      <c r="MSO8" s="1202"/>
      <c r="MSP8" s="1202"/>
      <c r="MSQ8" s="1202"/>
      <c r="MSR8" s="1202"/>
      <c r="MSS8" s="1202"/>
      <c r="MST8" s="1202"/>
      <c r="MSU8" s="1202"/>
      <c r="MSV8" s="1202"/>
      <c r="MSW8" s="1202"/>
      <c r="MSX8" s="1202"/>
      <c r="MSY8" s="1202"/>
      <c r="MSZ8" s="1202"/>
      <c r="MTA8" s="1202"/>
      <c r="MTB8" s="1202"/>
      <c r="MTC8" s="1202"/>
      <c r="MTD8" s="1202"/>
      <c r="MTE8" s="1202"/>
      <c r="MTF8" s="1202"/>
      <c r="MTG8" s="1202"/>
      <c r="MTH8" s="1202"/>
      <c r="MTI8" s="1202"/>
      <c r="MTJ8" s="1202"/>
      <c r="MTK8" s="1202"/>
      <c r="MTL8" s="1202"/>
      <c r="MTM8" s="1202"/>
      <c r="MTN8" s="1202"/>
      <c r="MTO8" s="1202"/>
      <c r="MTP8" s="1202"/>
      <c r="MTQ8" s="1202"/>
      <c r="MTR8" s="1202"/>
      <c r="MTS8" s="1202"/>
      <c r="MTT8" s="1202"/>
      <c r="MTU8" s="1202"/>
      <c r="MTV8" s="1202"/>
      <c r="MTW8" s="1202"/>
      <c r="MTX8" s="1202"/>
      <c r="MTY8" s="1202"/>
      <c r="MTZ8" s="1202"/>
      <c r="MUA8" s="1202"/>
      <c r="MUB8" s="1202"/>
      <c r="MUC8" s="1202"/>
      <c r="MUD8" s="1202"/>
      <c r="MUE8" s="1202"/>
      <c r="MUF8" s="1202"/>
      <c r="MUG8" s="1202"/>
      <c r="MUH8" s="1202"/>
      <c r="MUI8" s="1202"/>
      <c r="MUJ8" s="1202"/>
      <c r="MUK8" s="1202"/>
      <c r="MUL8" s="1202"/>
      <c r="MUM8" s="1202"/>
      <c r="MUN8" s="1202"/>
      <c r="MUO8" s="1202"/>
      <c r="MUP8" s="1202"/>
      <c r="MUQ8" s="1202"/>
      <c r="MUR8" s="1202"/>
      <c r="MUS8" s="1202"/>
      <c r="MUT8" s="1202"/>
      <c r="MUU8" s="1202"/>
      <c r="MUV8" s="1202"/>
      <c r="MUW8" s="1202"/>
      <c r="MUX8" s="1202"/>
      <c r="MUY8" s="1202"/>
      <c r="MUZ8" s="1202"/>
      <c r="MVA8" s="1202"/>
      <c r="MVB8" s="1202"/>
      <c r="MVC8" s="1202"/>
      <c r="MVD8" s="1202"/>
      <c r="MVE8" s="1202"/>
      <c r="MVF8" s="1202"/>
      <c r="MVG8" s="1202"/>
      <c r="MVH8" s="1202"/>
      <c r="MVI8" s="1202"/>
      <c r="MVJ8" s="1202"/>
      <c r="MVK8" s="1202"/>
      <c r="MVL8" s="1202"/>
      <c r="MVM8" s="1202"/>
      <c r="MVN8" s="1202"/>
      <c r="MVO8" s="1202"/>
      <c r="MVP8" s="1202"/>
      <c r="MVQ8" s="1202"/>
      <c r="MVR8" s="1202"/>
      <c r="MVS8" s="1202"/>
      <c r="MVT8" s="1202"/>
      <c r="MVU8" s="1202"/>
      <c r="MVV8" s="1202"/>
      <c r="MVW8" s="1202"/>
      <c r="MVX8" s="1202"/>
      <c r="MVY8" s="1202"/>
      <c r="MVZ8" s="1202"/>
      <c r="MWA8" s="1202"/>
      <c r="MWB8" s="1202"/>
      <c r="MWC8" s="1202"/>
      <c r="MWD8" s="1202"/>
      <c r="MWE8" s="1202"/>
      <c r="MWF8" s="1202"/>
      <c r="MWG8" s="1202"/>
      <c r="MWH8" s="1202"/>
      <c r="MWI8" s="1202"/>
      <c r="MWJ8" s="1202"/>
      <c r="MWK8" s="1202"/>
      <c r="MWL8" s="1202"/>
      <c r="MWM8" s="1202"/>
      <c r="MWN8" s="1202"/>
      <c r="MWO8" s="1202"/>
      <c r="MWP8" s="1202"/>
      <c r="MWQ8" s="1202"/>
      <c r="MWR8" s="1202"/>
      <c r="MWS8" s="1202"/>
      <c r="MWT8" s="1202"/>
      <c r="MWU8" s="1202"/>
      <c r="MWV8" s="1202"/>
      <c r="MWW8" s="1202"/>
      <c r="MWX8" s="1202"/>
      <c r="MWY8" s="1202"/>
      <c r="MWZ8" s="1202"/>
      <c r="MXA8" s="1202"/>
      <c r="MXB8" s="1202"/>
      <c r="MXC8" s="1202"/>
      <c r="MXD8" s="1202"/>
      <c r="MXE8" s="1202"/>
      <c r="MXF8" s="1202"/>
      <c r="MXG8" s="1202"/>
      <c r="MXH8" s="1202"/>
      <c r="MXI8" s="1202"/>
      <c r="MXJ8" s="1202"/>
      <c r="MXK8" s="1202"/>
      <c r="MXL8" s="1202"/>
      <c r="MXM8" s="1202"/>
      <c r="MXN8" s="1202"/>
      <c r="MXO8" s="1202"/>
      <c r="MXP8" s="1202"/>
      <c r="MXQ8" s="1202"/>
      <c r="MXR8" s="1202"/>
      <c r="MXS8" s="1202"/>
      <c r="MXT8" s="1202"/>
      <c r="MXU8" s="1202"/>
      <c r="MXV8" s="1202"/>
      <c r="MXW8" s="1202"/>
      <c r="MXX8" s="1202"/>
      <c r="MXY8" s="1202"/>
      <c r="MXZ8" s="1202"/>
      <c r="MYA8" s="1202"/>
      <c r="MYB8" s="1202"/>
      <c r="MYC8" s="1202"/>
      <c r="MYD8" s="1202"/>
      <c r="MYE8" s="1202"/>
      <c r="MYF8" s="1202"/>
      <c r="MYG8" s="1202"/>
      <c r="MYH8" s="1202"/>
      <c r="MYI8" s="1202"/>
      <c r="MYJ8" s="1202"/>
      <c r="MYK8" s="1202"/>
      <c r="MYL8" s="1202"/>
      <c r="MYM8" s="1202"/>
      <c r="MYN8" s="1202"/>
      <c r="MYO8" s="1202"/>
      <c r="MYP8" s="1202"/>
      <c r="MYQ8" s="1202"/>
      <c r="MYR8" s="1202"/>
      <c r="MYS8" s="1202"/>
      <c r="MYT8" s="1202"/>
      <c r="MYU8" s="1202"/>
      <c r="MYV8" s="1202"/>
      <c r="MYW8" s="1202"/>
      <c r="MYX8" s="1202"/>
      <c r="MYY8" s="1202"/>
      <c r="MYZ8" s="1202"/>
      <c r="MZA8" s="1202"/>
      <c r="MZB8" s="1202"/>
      <c r="MZC8" s="1202"/>
      <c r="MZD8" s="1202"/>
      <c r="MZE8" s="1202"/>
      <c r="MZF8" s="1202"/>
      <c r="MZG8" s="1202"/>
      <c r="MZH8" s="1202"/>
      <c r="MZI8" s="1202"/>
      <c r="MZJ8" s="1202"/>
      <c r="MZK8" s="1202"/>
      <c r="MZL8" s="1202"/>
      <c r="MZM8" s="1202"/>
      <c r="MZN8" s="1202"/>
      <c r="MZO8" s="1202"/>
      <c r="MZP8" s="1202"/>
      <c r="MZQ8" s="1202"/>
      <c r="MZR8" s="1202"/>
      <c r="MZS8" s="1202"/>
      <c r="MZT8" s="1202"/>
      <c r="MZU8" s="1202"/>
      <c r="MZV8" s="1202"/>
      <c r="MZW8" s="1202"/>
      <c r="MZX8" s="1202"/>
      <c r="MZY8" s="1202"/>
      <c r="MZZ8" s="1202"/>
      <c r="NAA8" s="1202"/>
      <c r="NAB8" s="1202"/>
      <c r="NAC8" s="1202"/>
      <c r="NAD8" s="1202"/>
      <c r="NAE8" s="1202"/>
      <c r="NAF8" s="1202"/>
      <c r="NAG8" s="1202"/>
      <c r="NAH8" s="1202"/>
      <c r="NAI8" s="1202"/>
      <c r="NAJ8" s="1202"/>
      <c r="NAK8" s="1202"/>
      <c r="NAL8" s="1202"/>
      <c r="NAM8" s="1202"/>
      <c r="NAN8" s="1202"/>
      <c r="NAO8" s="1202"/>
      <c r="NAP8" s="1202"/>
      <c r="NAQ8" s="1202"/>
      <c r="NAR8" s="1202"/>
      <c r="NAS8" s="1202"/>
      <c r="NAT8" s="1202"/>
      <c r="NAU8" s="1202"/>
      <c r="NAV8" s="1202"/>
      <c r="NAW8" s="1202"/>
      <c r="NAX8" s="1202"/>
      <c r="NAY8" s="1202"/>
      <c r="NAZ8" s="1202"/>
      <c r="NBA8" s="1202"/>
      <c r="NBB8" s="1202"/>
      <c r="NBC8" s="1202"/>
      <c r="NBD8" s="1202"/>
      <c r="NBE8" s="1202"/>
      <c r="NBF8" s="1202"/>
      <c r="NBG8" s="1202"/>
      <c r="NBH8" s="1202"/>
      <c r="NBI8" s="1202"/>
      <c r="NBJ8" s="1202"/>
      <c r="NBK8" s="1202"/>
      <c r="NBL8" s="1202"/>
      <c r="NBM8" s="1202"/>
      <c r="NBN8" s="1202"/>
      <c r="NBO8" s="1202"/>
      <c r="NBP8" s="1202"/>
      <c r="NBQ8" s="1202"/>
      <c r="NBR8" s="1202"/>
      <c r="NBS8" s="1202"/>
      <c r="NBT8" s="1202"/>
      <c r="NBU8" s="1202"/>
      <c r="NBV8" s="1202"/>
      <c r="NBW8" s="1202"/>
      <c r="NBX8" s="1202"/>
      <c r="NBY8" s="1202"/>
      <c r="NBZ8" s="1202"/>
      <c r="NCA8" s="1202"/>
      <c r="NCB8" s="1202"/>
      <c r="NCC8" s="1202"/>
      <c r="NCD8" s="1202"/>
      <c r="NCE8" s="1202"/>
      <c r="NCF8" s="1202"/>
      <c r="NCG8" s="1202"/>
      <c r="NCH8" s="1202"/>
      <c r="NCI8" s="1202"/>
      <c r="NCJ8" s="1202"/>
      <c r="NCK8" s="1202"/>
      <c r="NCL8" s="1202"/>
      <c r="NCM8" s="1202"/>
      <c r="NCN8" s="1202"/>
      <c r="NCO8" s="1202"/>
      <c r="NCP8" s="1202"/>
      <c r="NCQ8" s="1202"/>
      <c r="NCR8" s="1202"/>
      <c r="NCS8" s="1202"/>
      <c r="NCT8" s="1202"/>
      <c r="NCU8" s="1202"/>
      <c r="NCV8" s="1202"/>
      <c r="NCW8" s="1202"/>
      <c r="NCX8" s="1202"/>
      <c r="NCY8" s="1202"/>
      <c r="NCZ8" s="1202"/>
      <c r="NDA8" s="1202"/>
      <c r="NDB8" s="1202"/>
      <c r="NDC8" s="1202"/>
      <c r="NDD8" s="1202"/>
      <c r="NDE8" s="1202"/>
      <c r="NDF8" s="1202"/>
      <c r="NDG8" s="1202"/>
      <c r="NDH8" s="1202"/>
      <c r="NDI8" s="1202"/>
      <c r="NDJ8" s="1202"/>
      <c r="NDK8" s="1202"/>
      <c r="NDL8" s="1202"/>
      <c r="NDM8" s="1202"/>
      <c r="NDN8" s="1202"/>
      <c r="NDO8" s="1202"/>
      <c r="NDP8" s="1202"/>
      <c r="NDQ8" s="1202"/>
      <c r="NDR8" s="1202"/>
      <c r="NDS8" s="1202"/>
      <c r="NDT8" s="1202"/>
      <c r="NDU8" s="1202"/>
      <c r="NDV8" s="1202"/>
      <c r="NDW8" s="1202"/>
      <c r="NDX8" s="1202"/>
      <c r="NDY8" s="1202"/>
      <c r="NDZ8" s="1202"/>
      <c r="NEA8" s="1202"/>
      <c r="NEB8" s="1202"/>
      <c r="NEC8" s="1202"/>
      <c r="NED8" s="1202"/>
      <c r="NEE8" s="1202"/>
      <c r="NEF8" s="1202"/>
      <c r="NEG8" s="1202"/>
      <c r="NEH8" s="1202"/>
      <c r="NEI8" s="1202"/>
      <c r="NEJ8" s="1202"/>
      <c r="NEK8" s="1202"/>
      <c r="NEL8" s="1202"/>
      <c r="NEM8" s="1202"/>
      <c r="NEN8" s="1202"/>
      <c r="NEO8" s="1202"/>
      <c r="NEP8" s="1202"/>
      <c r="NEQ8" s="1202"/>
      <c r="NER8" s="1202"/>
      <c r="NES8" s="1202"/>
      <c r="NET8" s="1202"/>
      <c r="NEU8" s="1202"/>
      <c r="NEV8" s="1202"/>
      <c r="NEW8" s="1202"/>
      <c r="NEX8" s="1202"/>
      <c r="NEY8" s="1202"/>
      <c r="NEZ8" s="1202"/>
      <c r="NFA8" s="1202"/>
      <c r="NFB8" s="1202"/>
      <c r="NFC8" s="1202"/>
      <c r="NFD8" s="1202"/>
      <c r="NFE8" s="1202"/>
      <c r="NFF8" s="1202"/>
      <c r="NFG8" s="1202"/>
      <c r="NFH8" s="1202"/>
      <c r="NFI8" s="1202"/>
      <c r="NFJ8" s="1202"/>
      <c r="NFK8" s="1202"/>
      <c r="NFL8" s="1202"/>
      <c r="NFM8" s="1202"/>
      <c r="NFN8" s="1202"/>
      <c r="NFO8" s="1202"/>
      <c r="NFP8" s="1202"/>
      <c r="NFQ8" s="1202"/>
      <c r="NFR8" s="1202"/>
      <c r="NFS8" s="1202"/>
      <c r="NFT8" s="1202"/>
      <c r="NFU8" s="1202"/>
      <c r="NFV8" s="1202"/>
      <c r="NFW8" s="1202"/>
      <c r="NFX8" s="1202"/>
      <c r="NFY8" s="1202"/>
      <c r="NFZ8" s="1202"/>
      <c r="NGA8" s="1202"/>
      <c r="NGB8" s="1202"/>
      <c r="NGC8" s="1202"/>
      <c r="NGD8" s="1202"/>
      <c r="NGE8" s="1202"/>
      <c r="NGF8" s="1202"/>
      <c r="NGG8" s="1202"/>
      <c r="NGH8" s="1202"/>
      <c r="NGI8" s="1202"/>
      <c r="NGJ8" s="1202"/>
      <c r="NGK8" s="1202"/>
      <c r="NGL8" s="1202"/>
      <c r="NGM8" s="1202"/>
      <c r="NGN8" s="1202"/>
      <c r="NGO8" s="1202"/>
      <c r="NGP8" s="1202"/>
      <c r="NGQ8" s="1202"/>
      <c r="NGR8" s="1202"/>
      <c r="NGS8" s="1202"/>
      <c r="NGT8" s="1202"/>
      <c r="NGU8" s="1202"/>
      <c r="NGV8" s="1202"/>
      <c r="NGW8" s="1202"/>
      <c r="NGX8" s="1202"/>
      <c r="NGY8" s="1202"/>
      <c r="NGZ8" s="1202"/>
      <c r="NHA8" s="1202"/>
      <c r="NHB8" s="1202"/>
      <c r="NHC8" s="1202"/>
      <c r="NHD8" s="1202"/>
      <c r="NHE8" s="1202"/>
      <c r="NHF8" s="1202"/>
      <c r="NHG8" s="1202"/>
      <c r="NHH8" s="1202"/>
      <c r="NHI8" s="1202"/>
      <c r="NHJ8" s="1202"/>
      <c r="NHK8" s="1202"/>
      <c r="NHL8" s="1202"/>
      <c r="NHM8" s="1202"/>
      <c r="NHN8" s="1202"/>
      <c r="NHO8" s="1202"/>
      <c r="NHP8" s="1202"/>
      <c r="NHQ8" s="1202"/>
      <c r="NHR8" s="1202"/>
      <c r="NHS8" s="1202"/>
      <c r="NHT8" s="1202"/>
      <c r="NHU8" s="1202"/>
      <c r="NHV8" s="1202"/>
      <c r="NHW8" s="1202"/>
      <c r="NHX8" s="1202"/>
      <c r="NHY8" s="1202"/>
      <c r="NHZ8" s="1202"/>
      <c r="NIA8" s="1202"/>
      <c r="NIB8" s="1202"/>
      <c r="NIC8" s="1202"/>
      <c r="NID8" s="1202"/>
      <c r="NIE8" s="1202"/>
      <c r="NIF8" s="1202"/>
      <c r="NIG8" s="1202"/>
      <c r="NIH8" s="1202"/>
      <c r="NII8" s="1202"/>
      <c r="NIJ8" s="1202"/>
      <c r="NIK8" s="1202"/>
      <c r="NIL8" s="1202"/>
      <c r="NIM8" s="1202"/>
      <c r="NIN8" s="1202"/>
      <c r="NIO8" s="1202"/>
      <c r="NIP8" s="1202"/>
      <c r="NIQ8" s="1202"/>
      <c r="NIR8" s="1202"/>
      <c r="NIS8" s="1202"/>
      <c r="NIT8" s="1202"/>
      <c r="NIU8" s="1202"/>
      <c r="NIV8" s="1202"/>
      <c r="NIW8" s="1202"/>
      <c r="NIX8" s="1202"/>
      <c r="NIY8" s="1202"/>
      <c r="NIZ8" s="1202"/>
      <c r="NJA8" s="1202"/>
      <c r="NJB8" s="1202"/>
      <c r="NJC8" s="1202"/>
      <c r="NJD8" s="1202"/>
      <c r="NJE8" s="1202"/>
      <c r="NJF8" s="1202"/>
      <c r="NJG8" s="1202"/>
      <c r="NJH8" s="1202"/>
      <c r="NJI8" s="1202"/>
      <c r="NJJ8" s="1202"/>
      <c r="NJK8" s="1202"/>
      <c r="NJL8" s="1202"/>
      <c r="NJM8" s="1202"/>
      <c r="NJN8" s="1202"/>
      <c r="NJO8" s="1202"/>
      <c r="NJP8" s="1202"/>
      <c r="NJQ8" s="1202"/>
      <c r="NJR8" s="1202"/>
      <c r="NJS8" s="1202"/>
      <c r="NJT8" s="1202"/>
      <c r="NJU8" s="1202"/>
      <c r="NJV8" s="1202"/>
      <c r="NJW8" s="1202"/>
      <c r="NJX8" s="1202"/>
      <c r="NJY8" s="1202"/>
      <c r="NJZ8" s="1202"/>
      <c r="NKA8" s="1202"/>
      <c r="NKB8" s="1202"/>
      <c r="NKC8" s="1202"/>
      <c r="NKD8" s="1202"/>
      <c r="NKE8" s="1202"/>
      <c r="NKF8" s="1202"/>
      <c r="NKG8" s="1202"/>
      <c r="NKH8" s="1202"/>
      <c r="NKI8" s="1202"/>
      <c r="NKJ8" s="1202"/>
      <c r="NKK8" s="1202"/>
      <c r="NKL8" s="1202"/>
      <c r="NKM8" s="1202"/>
      <c r="NKN8" s="1202"/>
      <c r="NKO8" s="1202"/>
      <c r="NKP8" s="1202"/>
      <c r="NKQ8" s="1202"/>
      <c r="NKR8" s="1202"/>
      <c r="NKS8" s="1202"/>
      <c r="NKT8" s="1202"/>
      <c r="NKU8" s="1202"/>
      <c r="NKV8" s="1202"/>
      <c r="NKW8" s="1202"/>
      <c r="NKX8" s="1202"/>
      <c r="NKY8" s="1202"/>
      <c r="NKZ8" s="1202"/>
      <c r="NLA8" s="1202"/>
      <c r="NLB8" s="1202"/>
      <c r="NLC8" s="1202"/>
      <c r="NLD8" s="1202"/>
      <c r="NLE8" s="1202"/>
      <c r="NLF8" s="1202"/>
      <c r="NLG8" s="1202"/>
      <c r="NLH8" s="1202"/>
      <c r="NLI8" s="1202"/>
      <c r="NLJ8" s="1202"/>
      <c r="NLK8" s="1202"/>
      <c r="NLL8" s="1202"/>
      <c r="NLM8" s="1202"/>
      <c r="NLN8" s="1202"/>
      <c r="NLO8" s="1202"/>
      <c r="NLP8" s="1202"/>
      <c r="NLQ8" s="1202"/>
      <c r="NLR8" s="1202"/>
      <c r="NLS8" s="1202"/>
      <c r="NLT8" s="1202"/>
      <c r="NLU8" s="1202"/>
      <c r="NLV8" s="1202"/>
      <c r="NLW8" s="1202"/>
      <c r="NLX8" s="1202"/>
      <c r="NLY8" s="1202"/>
      <c r="NLZ8" s="1202"/>
      <c r="NMA8" s="1202"/>
      <c r="NMB8" s="1202"/>
      <c r="NMC8" s="1202"/>
      <c r="NMD8" s="1202"/>
      <c r="NME8" s="1202"/>
      <c r="NMF8" s="1202"/>
      <c r="NMG8" s="1202"/>
      <c r="NMH8" s="1202"/>
      <c r="NMI8" s="1202"/>
      <c r="NMJ8" s="1202"/>
      <c r="NMK8" s="1202"/>
      <c r="NML8" s="1202"/>
      <c r="NMM8" s="1202"/>
      <c r="NMN8" s="1202"/>
      <c r="NMO8" s="1202"/>
      <c r="NMP8" s="1202"/>
      <c r="NMQ8" s="1202"/>
      <c r="NMR8" s="1202"/>
      <c r="NMS8" s="1202"/>
      <c r="NMT8" s="1202"/>
      <c r="NMU8" s="1202"/>
      <c r="NMV8" s="1202"/>
      <c r="NMW8" s="1202"/>
      <c r="NMX8" s="1202"/>
      <c r="NMY8" s="1202"/>
      <c r="NMZ8" s="1202"/>
      <c r="NNA8" s="1202"/>
      <c r="NNB8" s="1202"/>
      <c r="NNC8" s="1202"/>
      <c r="NND8" s="1202"/>
      <c r="NNE8" s="1202"/>
      <c r="NNF8" s="1202"/>
      <c r="NNG8" s="1202"/>
      <c r="NNH8" s="1202"/>
      <c r="NNI8" s="1202"/>
      <c r="NNJ8" s="1202"/>
      <c r="NNK8" s="1202"/>
      <c r="NNL8" s="1202"/>
      <c r="NNM8" s="1202"/>
      <c r="NNN8" s="1202"/>
      <c r="NNO8" s="1202"/>
      <c r="NNP8" s="1202"/>
      <c r="NNQ8" s="1202"/>
      <c r="NNR8" s="1202"/>
      <c r="NNS8" s="1202"/>
      <c r="NNT8" s="1202"/>
      <c r="NNU8" s="1202"/>
      <c r="NNV8" s="1202"/>
      <c r="NNW8" s="1202"/>
      <c r="NNX8" s="1202"/>
      <c r="NNY8" s="1202"/>
      <c r="NNZ8" s="1202"/>
      <c r="NOA8" s="1202"/>
      <c r="NOB8" s="1202"/>
      <c r="NOC8" s="1202"/>
      <c r="NOD8" s="1202"/>
      <c r="NOE8" s="1202"/>
      <c r="NOF8" s="1202"/>
      <c r="NOG8" s="1202"/>
      <c r="NOH8" s="1202"/>
      <c r="NOI8" s="1202"/>
      <c r="NOJ8" s="1202"/>
      <c r="NOK8" s="1202"/>
      <c r="NOL8" s="1202"/>
      <c r="NOM8" s="1202"/>
      <c r="NON8" s="1202"/>
      <c r="NOO8" s="1202"/>
      <c r="NOP8" s="1202"/>
      <c r="NOQ8" s="1202"/>
      <c r="NOR8" s="1202"/>
      <c r="NOS8" s="1202"/>
      <c r="NOT8" s="1202"/>
      <c r="NOU8" s="1202"/>
      <c r="NOV8" s="1202"/>
      <c r="NOW8" s="1202"/>
      <c r="NOX8" s="1202"/>
      <c r="NOY8" s="1202"/>
      <c r="NOZ8" s="1202"/>
      <c r="NPA8" s="1202"/>
      <c r="NPB8" s="1202"/>
      <c r="NPC8" s="1202"/>
      <c r="NPD8" s="1202"/>
      <c r="NPE8" s="1202"/>
      <c r="NPF8" s="1202"/>
      <c r="NPG8" s="1202"/>
      <c r="NPH8" s="1202"/>
      <c r="NPI8" s="1202"/>
      <c r="NPJ8" s="1202"/>
      <c r="NPK8" s="1202"/>
      <c r="NPL8" s="1202"/>
      <c r="NPM8" s="1202"/>
      <c r="NPN8" s="1202"/>
      <c r="NPO8" s="1202"/>
      <c r="NPP8" s="1202"/>
      <c r="NPQ8" s="1202"/>
      <c r="NPR8" s="1202"/>
      <c r="NPS8" s="1202"/>
      <c r="NPT8" s="1202"/>
      <c r="NPU8" s="1202"/>
      <c r="NPV8" s="1202"/>
      <c r="NPW8" s="1202"/>
      <c r="NPX8" s="1202"/>
      <c r="NPY8" s="1202"/>
      <c r="NPZ8" s="1202"/>
      <c r="NQA8" s="1202"/>
      <c r="NQB8" s="1202"/>
      <c r="NQC8" s="1202"/>
      <c r="NQD8" s="1202"/>
      <c r="NQE8" s="1202"/>
      <c r="NQF8" s="1202"/>
      <c r="NQG8" s="1202"/>
      <c r="NQH8" s="1202"/>
      <c r="NQI8" s="1202"/>
      <c r="NQJ8" s="1202"/>
      <c r="NQK8" s="1202"/>
      <c r="NQL8" s="1202"/>
      <c r="NQM8" s="1202"/>
      <c r="NQN8" s="1202"/>
      <c r="NQO8" s="1202"/>
      <c r="NQP8" s="1202"/>
      <c r="NQQ8" s="1202"/>
      <c r="NQR8" s="1202"/>
      <c r="NQS8" s="1202"/>
      <c r="NQT8" s="1202"/>
      <c r="NQU8" s="1202"/>
      <c r="NQV8" s="1202"/>
      <c r="NQW8" s="1202"/>
      <c r="NQX8" s="1202"/>
      <c r="NQY8" s="1202"/>
      <c r="NQZ8" s="1202"/>
      <c r="NRA8" s="1202"/>
      <c r="NRB8" s="1202"/>
      <c r="NRC8" s="1202"/>
      <c r="NRD8" s="1202"/>
      <c r="NRE8" s="1202"/>
      <c r="NRF8" s="1202"/>
      <c r="NRG8" s="1202"/>
      <c r="NRH8" s="1202"/>
      <c r="NRI8" s="1202"/>
      <c r="NRJ8" s="1202"/>
      <c r="NRK8" s="1202"/>
      <c r="NRL8" s="1202"/>
      <c r="NRM8" s="1202"/>
      <c r="NRN8" s="1202"/>
      <c r="NRO8" s="1202"/>
      <c r="NRP8" s="1202"/>
      <c r="NRQ8" s="1202"/>
      <c r="NRR8" s="1202"/>
      <c r="NRS8" s="1202"/>
      <c r="NRT8" s="1202"/>
      <c r="NRU8" s="1202"/>
      <c r="NRV8" s="1202"/>
      <c r="NRW8" s="1202"/>
      <c r="NRX8" s="1202"/>
      <c r="NRY8" s="1202"/>
      <c r="NRZ8" s="1202"/>
      <c r="NSA8" s="1202"/>
      <c r="NSB8" s="1202"/>
      <c r="NSC8" s="1202"/>
      <c r="NSD8" s="1202"/>
      <c r="NSE8" s="1202"/>
      <c r="NSF8" s="1202"/>
      <c r="NSG8" s="1202"/>
      <c r="NSH8" s="1202"/>
      <c r="NSI8" s="1202"/>
      <c r="NSJ8" s="1202"/>
      <c r="NSK8" s="1202"/>
      <c r="NSL8" s="1202"/>
      <c r="NSM8" s="1202"/>
      <c r="NSN8" s="1202"/>
      <c r="NSO8" s="1202"/>
      <c r="NSP8" s="1202"/>
      <c r="NSQ8" s="1202"/>
      <c r="NSR8" s="1202"/>
      <c r="NSS8" s="1202"/>
      <c r="NST8" s="1202"/>
      <c r="NSU8" s="1202"/>
      <c r="NSV8" s="1202"/>
      <c r="NSW8" s="1202"/>
      <c r="NSX8" s="1202"/>
      <c r="NSY8" s="1202"/>
      <c r="NSZ8" s="1202"/>
      <c r="NTA8" s="1202"/>
      <c r="NTB8" s="1202"/>
      <c r="NTC8" s="1202"/>
      <c r="NTD8" s="1202"/>
      <c r="NTE8" s="1202"/>
      <c r="NTF8" s="1202"/>
      <c r="NTG8" s="1202"/>
      <c r="NTH8" s="1202"/>
      <c r="NTI8" s="1202"/>
      <c r="NTJ8" s="1202"/>
      <c r="NTK8" s="1202"/>
      <c r="NTL8" s="1202"/>
      <c r="NTM8" s="1202"/>
      <c r="NTN8" s="1202"/>
      <c r="NTO8" s="1202"/>
      <c r="NTP8" s="1202"/>
      <c r="NTQ8" s="1202"/>
      <c r="NTR8" s="1202"/>
      <c r="NTS8" s="1202"/>
      <c r="NTT8" s="1202"/>
      <c r="NTU8" s="1202"/>
      <c r="NTV8" s="1202"/>
      <c r="NTW8" s="1202"/>
      <c r="NTX8" s="1202"/>
      <c r="NTY8" s="1202"/>
      <c r="NTZ8" s="1202"/>
      <c r="NUA8" s="1202"/>
      <c r="NUB8" s="1202"/>
      <c r="NUC8" s="1202"/>
      <c r="NUD8" s="1202"/>
      <c r="NUE8" s="1202"/>
      <c r="NUF8" s="1202"/>
      <c r="NUG8" s="1202"/>
      <c r="NUH8" s="1202"/>
      <c r="NUI8" s="1202"/>
      <c r="NUJ8" s="1202"/>
      <c r="NUK8" s="1202"/>
      <c r="NUL8" s="1202"/>
      <c r="NUM8" s="1202"/>
      <c r="NUN8" s="1202"/>
      <c r="NUO8" s="1202"/>
      <c r="NUP8" s="1202"/>
      <c r="NUQ8" s="1202"/>
      <c r="NUR8" s="1202"/>
      <c r="NUS8" s="1202"/>
      <c r="NUT8" s="1202"/>
      <c r="NUU8" s="1202"/>
      <c r="NUV8" s="1202"/>
      <c r="NUW8" s="1202"/>
      <c r="NUX8" s="1202"/>
      <c r="NUY8" s="1202"/>
      <c r="NUZ8" s="1202"/>
      <c r="NVA8" s="1202"/>
      <c r="NVB8" s="1202"/>
      <c r="NVC8" s="1202"/>
      <c r="NVD8" s="1202"/>
      <c r="NVE8" s="1202"/>
      <c r="NVF8" s="1202"/>
      <c r="NVG8" s="1202"/>
      <c r="NVH8" s="1202"/>
      <c r="NVI8" s="1202"/>
      <c r="NVJ8" s="1202"/>
      <c r="NVK8" s="1202"/>
      <c r="NVL8" s="1202"/>
      <c r="NVM8" s="1202"/>
      <c r="NVN8" s="1202"/>
      <c r="NVO8" s="1202"/>
      <c r="NVP8" s="1202"/>
      <c r="NVQ8" s="1202"/>
      <c r="NVR8" s="1202"/>
      <c r="NVS8" s="1202"/>
      <c r="NVT8" s="1202"/>
      <c r="NVU8" s="1202"/>
      <c r="NVV8" s="1202"/>
      <c r="NVW8" s="1202"/>
      <c r="NVX8" s="1202"/>
      <c r="NVY8" s="1202"/>
      <c r="NVZ8" s="1202"/>
      <c r="NWA8" s="1202"/>
      <c r="NWB8" s="1202"/>
      <c r="NWC8" s="1202"/>
      <c r="NWD8" s="1202"/>
      <c r="NWE8" s="1202"/>
      <c r="NWF8" s="1202"/>
      <c r="NWG8" s="1202"/>
      <c r="NWH8" s="1202"/>
      <c r="NWI8" s="1202"/>
      <c r="NWJ8" s="1202"/>
      <c r="NWK8" s="1202"/>
      <c r="NWL8" s="1202"/>
      <c r="NWM8" s="1202"/>
      <c r="NWN8" s="1202"/>
      <c r="NWO8" s="1202"/>
      <c r="NWP8" s="1202"/>
      <c r="NWQ8" s="1202"/>
      <c r="NWR8" s="1202"/>
      <c r="NWS8" s="1202"/>
      <c r="NWT8" s="1202"/>
      <c r="NWU8" s="1202"/>
      <c r="NWV8" s="1202"/>
      <c r="NWW8" s="1202"/>
      <c r="NWX8" s="1202"/>
      <c r="NWY8" s="1202"/>
      <c r="NWZ8" s="1202"/>
      <c r="NXA8" s="1202"/>
      <c r="NXB8" s="1202"/>
      <c r="NXC8" s="1202"/>
      <c r="NXD8" s="1202"/>
      <c r="NXE8" s="1202"/>
      <c r="NXF8" s="1202"/>
      <c r="NXG8" s="1202"/>
      <c r="NXH8" s="1202"/>
      <c r="NXI8" s="1202"/>
      <c r="NXJ8" s="1202"/>
      <c r="NXK8" s="1202"/>
      <c r="NXL8" s="1202"/>
      <c r="NXM8" s="1202"/>
      <c r="NXN8" s="1202"/>
      <c r="NXO8" s="1202"/>
      <c r="NXP8" s="1202"/>
      <c r="NXQ8" s="1202"/>
      <c r="NXR8" s="1202"/>
      <c r="NXS8" s="1202"/>
      <c r="NXT8" s="1202"/>
      <c r="NXU8" s="1202"/>
      <c r="NXV8" s="1202"/>
      <c r="NXW8" s="1202"/>
      <c r="NXX8" s="1202"/>
      <c r="NXY8" s="1202"/>
      <c r="NXZ8" s="1202"/>
      <c r="NYA8" s="1202"/>
      <c r="NYB8" s="1202"/>
      <c r="NYC8" s="1202"/>
      <c r="NYD8" s="1202"/>
      <c r="NYE8" s="1202"/>
      <c r="NYF8" s="1202"/>
      <c r="NYG8" s="1202"/>
      <c r="NYH8" s="1202"/>
      <c r="NYI8" s="1202"/>
      <c r="NYJ8" s="1202"/>
      <c r="NYK8" s="1202"/>
      <c r="NYL8" s="1202"/>
      <c r="NYM8" s="1202"/>
      <c r="NYN8" s="1202"/>
      <c r="NYO8" s="1202"/>
      <c r="NYP8" s="1202"/>
      <c r="NYQ8" s="1202"/>
      <c r="NYR8" s="1202"/>
      <c r="NYS8" s="1202"/>
      <c r="NYT8" s="1202"/>
      <c r="NYU8" s="1202"/>
      <c r="NYV8" s="1202"/>
      <c r="NYW8" s="1202"/>
      <c r="NYX8" s="1202"/>
      <c r="NYY8" s="1202"/>
      <c r="NYZ8" s="1202"/>
      <c r="NZA8" s="1202"/>
      <c r="NZB8" s="1202"/>
      <c r="NZC8" s="1202"/>
      <c r="NZD8" s="1202"/>
      <c r="NZE8" s="1202"/>
      <c r="NZF8" s="1202"/>
      <c r="NZG8" s="1202"/>
      <c r="NZH8" s="1202"/>
      <c r="NZI8" s="1202"/>
      <c r="NZJ8" s="1202"/>
      <c r="NZK8" s="1202"/>
      <c r="NZL8" s="1202"/>
      <c r="NZM8" s="1202"/>
      <c r="NZN8" s="1202"/>
      <c r="NZO8" s="1202"/>
      <c r="NZP8" s="1202"/>
      <c r="NZQ8" s="1202"/>
      <c r="NZR8" s="1202"/>
      <c r="NZS8" s="1202"/>
      <c r="NZT8" s="1202"/>
      <c r="NZU8" s="1202"/>
      <c r="NZV8" s="1202"/>
      <c r="NZW8" s="1202"/>
      <c r="NZX8" s="1202"/>
      <c r="NZY8" s="1202"/>
      <c r="NZZ8" s="1202"/>
      <c r="OAA8" s="1202"/>
      <c r="OAB8" s="1202"/>
      <c r="OAC8" s="1202"/>
      <c r="OAD8" s="1202"/>
      <c r="OAE8" s="1202"/>
      <c r="OAF8" s="1202"/>
      <c r="OAG8" s="1202"/>
      <c r="OAH8" s="1202"/>
      <c r="OAI8" s="1202"/>
      <c r="OAJ8" s="1202"/>
      <c r="OAK8" s="1202"/>
      <c r="OAL8" s="1202"/>
      <c r="OAM8" s="1202"/>
      <c r="OAN8" s="1202"/>
      <c r="OAO8" s="1202"/>
      <c r="OAP8" s="1202"/>
      <c r="OAQ8" s="1202"/>
      <c r="OAR8" s="1202"/>
      <c r="OAS8" s="1202"/>
      <c r="OAT8" s="1202"/>
      <c r="OAU8" s="1202"/>
      <c r="OAV8" s="1202"/>
      <c r="OAW8" s="1202"/>
      <c r="OAX8" s="1202"/>
      <c r="OAY8" s="1202"/>
      <c r="OAZ8" s="1202"/>
      <c r="OBA8" s="1202"/>
      <c r="OBB8" s="1202"/>
      <c r="OBC8" s="1202"/>
      <c r="OBD8" s="1202"/>
      <c r="OBE8" s="1202"/>
      <c r="OBF8" s="1202"/>
      <c r="OBG8" s="1202"/>
      <c r="OBH8" s="1202"/>
      <c r="OBI8" s="1202"/>
      <c r="OBJ8" s="1202"/>
      <c r="OBK8" s="1202"/>
      <c r="OBL8" s="1202"/>
      <c r="OBM8" s="1202"/>
      <c r="OBN8" s="1202"/>
      <c r="OBO8" s="1202"/>
      <c r="OBP8" s="1202"/>
      <c r="OBQ8" s="1202"/>
      <c r="OBR8" s="1202"/>
      <c r="OBS8" s="1202"/>
      <c r="OBT8" s="1202"/>
      <c r="OBU8" s="1202"/>
      <c r="OBV8" s="1202"/>
      <c r="OBW8" s="1202"/>
      <c r="OBX8" s="1202"/>
      <c r="OBY8" s="1202"/>
      <c r="OBZ8" s="1202"/>
      <c r="OCA8" s="1202"/>
      <c r="OCB8" s="1202"/>
      <c r="OCC8" s="1202"/>
      <c r="OCD8" s="1202"/>
      <c r="OCE8" s="1202"/>
      <c r="OCF8" s="1202"/>
      <c r="OCG8" s="1202"/>
      <c r="OCH8" s="1202"/>
      <c r="OCI8" s="1202"/>
      <c r="OCJ8" s="1202"/>
      <c r="OCK8" s="1202"/>
      <c r="OCL8" s="1202"/>
      <c r="OCM8" s="1202"/>
      <c r="OCN8" s="1202"/>
      <c r="OCO8" s="1202"/>
      <c r="OCP8" s="1202"/>
      <c r="OCQ8" s="1202"/>
      <c r="OCR8" s="1202"/>
      <c r="OCS8" s="1202"/>
      <c r="OCT8" s="1202"/>
      <c r="OCU8" s="1202"/>
      <c r="OCV8" s="1202"/>
      <c r="OCW8" s="1202"/>
      <c r="OCX8" s="1202"/>
      <c r="OCY8" s="1202"/>
      <c r="OCZ8" s="1202"/>
      <c r="ODA8" s="1202"/>
      <c r="ODB8" s="1202"/>
      <c r="ODC8" s="1202"/>
      <c r="ODD8" s="1202"/>
      <c r="ODE8" s="1202"/>
      <c r="ODF8" s="1202"/>
      <c r="ODG8" s="1202"/>
      <c r="ODH8" s="1202"/>
      <c r="ODI8" s="1202"/>
      <c r="ODJ8" s="1202"/>
      <c r="ODK8" s="1202"/>
      <c r="ODL8" s="1202"/>
      <c r="ODM8" s="1202"/>
      <c r="ODN8" s="1202"/>
      <c r="ODO8" s="1202"/>
      <c r="ODP8" s="1202"/>
      <c r="ODQ8" s="1202"/>
      <c r="ODR8" s="1202"/>
      <c r="ODS8" s="1202"/>
      <c r="ODT8" s="1202"/>
      <c r="ODU8" s="1202"/>
      <c r="ODV8" s="1202"/>
      <c r="ODW8" s="1202"/>
      <c r="ODX8" s="1202"/>
      <c r="ODY8" s="1202"/>
      <c r="ODZ8" s="1202"/>
      <c r="OEA8" s="1202"/>
      <c r="OEB8" s="1202"/>
      <c r="OEC8" s="1202"/>
      <c r="OED8" s="1202"/>
      <c r="OEE8" s="1202"/>
      <c r="OEF8" s="1202"/>
      <c r="OEG8" s="1202"/>
      <c r="OEH8" s="1202"/>
      <c r="OEI8" s="1202"/>
      <c r="OEJ8" s="1202"/>
      <c r="OEK8" s="1202"/>
      <c r="OEL8" s="1202"/>
      <c r="OEM8" s="1202"/>
      <c r="OEN8" s="1202"/>
      <c r="OEO8" s="1202"/>
      <c r="OEP8" s="1202"/>
      <c r="OEQ8" s="1202"/>
      <c r="OER8" s="1202"/>
      <c r="OES8" s="1202"/>
      <c r="OET8" s="1202"/>
      <c r="OEU8" s="1202"/>
      <c r="OEV8" s="1202"/>
      <c r="OEW8" s="1202"/>
      <c r="OEX8" s="1202"/>
      <c r="OEY8" s="1202"/>
      <c r="OEZ8" s="1202"/>
      <c r="OFA8" s="1202"/>
      <c r="OFB8" s="1202"/>
      <c r="OFC8" s="1202"/>
      <c r="OFD8" s="1202"/>
      <c r="OFE8" s="1202"/>
      <c r="OFF8" s="1202"/>
      <c r="OFG8" s="1202"/>
      <c r="OFH8" s="1202"/>
      <c r="OFI8" s="1202"/>
      <c r="OFJ8" s="1202"/>
      <c r="OFK8" s="1202"/>
      <c r="OFL8" s="1202"/>
      <c r="OFM8" s="1202"/>
      <c r="OFN8" s="1202"/>
      <c r="OFO8" s="1202"/>
      <c r="OFP8" s="1202"/>
      <c r="OFQ8" s="1202"/>
      <c r="OFR8" s="1202"/>
      <c r="OFS8" s="1202"/>
      <c r="OFT8" s="1202"/>
      <c r="OFU8" s="1202"/>
      <c r="OFV8" s="1202"/>
      <c r="OFW8" s="1202"/>
      <c r="OFX8" s="1202"/>
      <c r="OFY8" s="1202"/>
      <c r="OFZ8" s="1202"/>
      <c r="OGA8" s="1202"/>
      <c r="OGB8" s="1202"/>
      <c r="OGC8" s="1202"/>
      <c r="OGD8" s="1202"/>
      <c r="OGE8" s="1202"/>
      <c r="OGF8" s="1202"/>
      <c r="OGG8" s="1202"/>
      <c r="OGH8" s="1202"/>
      <c r="OGI8" s="1202"/>
      <c r="OGJ8" s="1202"/>
      <c r="OGK8" s="1202"/>
      <c r="OGL8" s="1202"/>
      <c r="OGM8" s="1202"/>
      <c r="OGN8" s="1202"/>
      <c r="OGO8" s="1202"/>
      <c r="OGP8" s="1202"/>
      <c r="OGQ8" s="1202"/>
      <c r="OGR8" s="1202"/>
      <c r="OGS8" s="1202"/>
      <c r="OGT8" s="1202"/>
      <c r="OGU8" s="1202"/>
      <c r="OGV8" s="1202"/>
      <c r="OGW8" s="1202"/>
      <c r="OGX8" s="1202"/>
      <c r="OGY8" s="1202"/>
      <c r="OGZ8" s="1202"/>
      <c r="OHA8" s="1202"/>
      <c r="OHB8" s="1202"/>
      <c r="OHC8" s="1202"/>
      <c r="OHD8" s="1202"/>
      <c r="OHE8" s="1202"/>
      <c r="OHF8" s="1202"/>
      <c r="OHG8" s="1202"/>
      <c r="OHH8" s="1202"/>
      <c r="OHI8" s="1202"/>
      <c r="OHJ8" s="1202"/>
      <c r="OHK8" s="1202"/>
      <c r="OHL8" s="1202"/>
      <c r="OHM8" s="1202"/>
      <c r="OHN8" s="1202"/>
      <c r="OHO8" s="1202"/>
      <c r="OHP8" s="1202"/>
      <c r="OHQ8" s="1202"/>
      <c r="OHR8" s="1202"/>
      <c r="OHS8" s="1202"/>
      <c r="OHT8" s="1202"/>
      <c r="OHU8" s="1202"/>
      <c r="OHV8" s="1202"/>
      <c r="OHW8" s="1202"/>
      <c r="OHX8" s="1202"/>
      <c r="OHY8" s="1202"/>
      <c r="OHZ8" s="1202"/>
      <c r="OIA8" s="1202"/>
      <c r="OIB8" s="1202"/>
      <c r="OIC8" s="1202"/>
      <c r="OID8" s="1202"/>
      <c r="OIE8" s="1202"/>
      <c r="OIF8" s="1202"/>
      <c r="OIG8" s="1202"/>
      <c r="OIH8" s="1202"/>
      <c r="OII8" s="1202"/>
      <c r="OIJ8" s="1202"/>
      <c r="OIK8" s="1202"/>
      <c r="OIL8" s="1202"/>
      <c r="OIM8" s="1202"/>
      <c r="OIN8" s="1202"/>
      <c r="OIO8" s="1202"/>
      <c r="OIP8" s="1202"/>
      <c r="OIQ8" s="1202"/>
      <c r="OIR8" s="1202"/>
      <c r="OIS8" s="1202"/>
      <c r="OIT8" s="1202"/>
      <c r="OIU8" s="1202"/>
      <c r="OIV8" s="1202"/>
      <c r="OIW8" s="1202"/>
      <c r="OIX8" s="1202"/>
      <c r="OIY8" s="1202"/>
      <c r="OIZ8" s="1202"/>
      <c r="OJA8" s="1202"/>
      <c r="OJB8" s="1202"/>
      <c r="OJC8" s="1202"/>
      <c r="OJD8" s="1202"/>
      <c r="OJE8" s="1202"/>
      <c r="OJF8" s="1202"/>
      <c r="OJG8" s="1202"/>
      <c r="OJH8" s="1202"/>
      <c r="OJI8" s="1202"/>
      <c r="OJJ8" s="1202"/>
      <c r="OJK8" s="1202"/>
      <c r="OJL8" s="1202"/>
      <c r="OJM8" s="1202"/>
      <c r="OJN8" s="1202"/>
      <c r="OJO8" s="1202"/>
      <c r="OJP8" s="1202"/>
      <c r="OJQ8" s="1202"/>
      <c r="OJR8" s="1202"/>
      <c r="OJS8" s="1202"/>
      <c r="OJT8" s="1202"/>
      <c r="OJU8" s="1202"/>
      <c r="OJV8" s="1202"/>
      <c r="OJW8" s="1202"/>
      <c r="OJX8" s="1202"/>
      <c r="OJY8" s="1202"/>
      <c r="OJZ8" s="1202"/>
      <c r="OKA8" s="1202"/>
      <c r="OKB8" s="1202"/>
      <c r="OKC8" s="1202"/>
      <c r="OKD8" s="1202"/>
      <c r="OKE8" s="1202"/>
      <c r="OKF8" s="1202"/>
      <c r="OKG8" s="1202"/>
      <c r="OKH8" s="1202"/>
      <c r="OKI8" s="1202"/>
      <c r="OKJ8" s="1202"/>
      <c r="OKK8" s="1202"/>
      <c r="OKL8" s="1202"/>
      <c r="OKM8" s="1202"/>
      <c r="OKN8" s="1202"/>
      <c r="OKO8" s="1202"/>
      <c r="OKP8" s="1202"/>
      <c r="OKQ8" s="1202"/>
      <c r="OKR8" s="1202"/>
      <c r="OKS8" s="1202"/>
      <c r="OKT8" s="1202"/>
      <c r="OKU8" s="1202"/>
      <c r="OKV8" s="1202"/>
      <c r="OKW8" s="1202"/>
      <c r="OKX8" s="1202"/>
      <c r="OKY8" s="1202"/>
      <c r="OKZ8" s="1202"/>
      <c r="OLA8" s="1202"/>
      <c r="OLB8" s="1202"/>
      <c r="OLC8" s="1202"/>
      <c r="OLD8" s="1202"/>
      <c r="OLE8" s="1202"/>
      <c r="OLF8" s="1202"/>
      <c r="OLG8" s="1202"/>
      <c r="OLH8" s="1202"/>
      <c r="OLI8" s="1202"/>
      <c r="OLJ8" s="1202"/>
      <c r="OLK8" s="1202"/>
      <c r="OLL8" s="1202"/>
      <c r="OLM8" s="1202"/>
      <c r="OLN8" s="1202"/>
      <c r="OLO8" s="1202"/>
      <c r="OLP8" s="1202"/>
      <c r="OLQ8" s="1202"/>
      <c r="OLR8" s="1202"/>
      <c r="OLS8" s="1202"/>
      <c r="OLT8" s="1202"/>
      <c r="OLU8" s="1202"/>
      <c r="OLV8" s="1202"/>
      <c r="OLW8" s="1202"/>
      <c r="OLX8" s="1202"/>
      <c r="OLY8" s="1202"/>
      <c r="OLZ8" s="1202"/>
      <c r="OMA8" s="1202"/>
      <c r="OMB8" s="1202"/>
      <c r="OMC8" s="1202"/>
      <c r="OMD8" s="1202"/>
      <c r="OME8" s="1202"/>
      <c r="OMF8" s="1202"/>
      <c r="OMG8" s="1202"/>
      <c r="OMH8" s="1202"/>
      <c r="OMI8" s="1202"/>
      <c r="OMJ8" s="1202"/>
      <c r="OMK8" s="1202"/>
      <c r="OML8" s="1202"/>
      <c r="OMM8" s="1202"/>
      <c r="OMN8" s="1202"/>
      <c r="OMO8" s="1202"/>
      <c r="OMP8" s="1202"/>
      <c r="OMQ8" s="1202"/>
      <c r="OMR8" s="1202"/>
      <c r="OMS8" s="1202"/>
      <c r="OMT8" s="1202"/>
      <c r="OMU8" s="1202"/>
      <c r="OMV8" s="1202"/>
      <c r="OMW8" s="1202"/>
      <c r="OMX8" s="1202"/>
      <c r="OMY8" s="1202"/>
      <c r="OMZ8" s="1202"/>
      <c r="ONA8" s="1202"/>
      <c r="ONB8" s="1202"/>
      <c r="ONC8" s="1202"/>
      <c r="OND8" s="1202"/>
      <c r="ONE8" s="1202"/>
      <c r="ONF8" s="1202"/>
      <c r="ONG8" s="1202"/>
      <c r="ONH8" s="1202"/>
      <c r="ONI8" s="1202"/>
      <c r="ONJ8" s="1202"/>
      <c r="ONK8" s="1202"/>
      <c r="ONL8" s="1202"/>
      <c r="ONM8" s="1202"/>
      <c r="ONN8" s="1202"/>
      <c r="ONO8" s="1202"/>
      <c r="ONP8" s="1202"/>
      <c r="ONQ8" s="1202"/>
      <c r="ONR8" s="1202"/>
      <c r="ONS8" s="1202"/>
      <c r="ONT8" s="1202"/>
      <c r="ONU8" s="1202"/>
      <c r="ONV8" s="1202"/>
      <c r="ONW8" s="1202"/>
      <c r="ONX8" s="1202"/>
      <c r="ONY8" s="1202"/>
      <c r="ONZ8" s="1202"/>
      <c r="OOA8" s="1202"/>
      <c r="OOB8" s="1202"/>
      <c r="OOC8" s="1202"/>
      <c r="OOD8" s="1202"/>
      <c r="OOE8" s="1202"/>
      <c r="OOF8" s="1202"/>
      <c r="OOG8" s="1202"/>
      <c r="OOH8" s="1202"/>
      <c r="OOI8" s="1202"/>
      <c r="OOJ8" s="1202"/>
      <c r="OOK8" s="1202"/>
      <c r="OOL8" s="1202"/>
      <c r="OOM8" s="1202"/>
      <c r="OON8" s="1202"/>
      <c r="OOO8" s="1202"/>
      <c r="OOP8" s="1202"/>
      <c r="OOQ8" s="1202"/>
      <c r="OOR8" s="1202"/>
      <c r="OOS8" s="1202"/>
      <c r="OOT8" s="1202"/>
      <c r="OOU8" s="1202"/>
      <c r="OOV8" s="1202"/>
      <c r="OOW8" s="1202"/>
      <c r="OOX8" s="1202"/>
      <c r="OOY8" s="1202"/>
      <c r="OOZ8" s="1202"/>
      <c r="OPA8" s="1202"/>
      <c r="OPB8" s="1202"/>
      <c r="OPC8" s="1202"/>
      <c r="OPD8" s="1202"/>
      <c r="OPE8" s="1202"/>
      <c r="OPF8" s="1202"/>
      <c r="OPG8" s="1202"/>
      <c r="OPH8" s="1202"/>
      <c r="OPI8" s="1202"/>
      <c r="OPJ8" s="1202"/>
      <c r="OPK8" s="1202"/>
      <c r="OPL8" s="1202"/>
      <c r="OPM8" s="1202"/>
      <c r="OPN8" s="1202"/>
      <c r="OPO8" s="1202"/>
      <c r="OPP8" s="1202"/>
      <c r="OPQ8" s="1202"/>
      <c r="OPR8" s="1202"/>
      <c r="OPS8" s="1202"/>
      <c r="OPT8" s="1202"/>
      <c r="OPU8" s="1202"/>
      <c r="OPV8" s="1202"/>
      <c r="OPW8" s="1202"/>
      <c r="OPX8" s="1202"/>
      <c r="OPY8" s="1202"/>
      <c r="OPZ8" s="1202"/>
      <c r="OQA8" s="1202"/>
      <c r="OQB8" s="1202"/>
      <c r="OQC8" s="1202"/>
      <c r="OQD8" s="1202"/>
      <c r="OQE8" s="1202"/>
      <c r="OQF8" s="1202"/>
      <c r="OQG8" s="1202"/>
      <c r="OQH8" s="1202"/>
      <c r="OQI8" s="1202"/>
      <c r="OQJ8" s="1202"/>
      <c r="OQK8" s="1202"/>
      <c r="OQL8" s="1202"/>
      <c r="OQM8" s="1202"/>
      <c r="OQN8" s="1202"/>
      <c r="OQO8" s="1202"/>
      <c r="OQP8" s="1202"/>
      <c r="OQQ8" s="1202"/>
      <c r="OQR8" s="1202"/>
      <c r="OQS8" s="1202"/>
      <c r="OQT8" s="1202"/>
      <c r="OQU8" s="1202"/>
      <c r="OQV8" s="1202"/>
      <c r="OQW8" s="1202"/>
      <c r="OQX8" s="1202"/>
      <c r="OQY8" s="1202"/>
      <c r="OQZ8" s="1202"/>
      <c r="ORA8" s="1202"/>
      <c r="ORB8" s="1202"/>
      <c r="ORC8" s="1202"/>
      <c r="ORD8" s="1202"/>
      <c r="ORE8" s="1202"/>
      <c r="ORF8" s="1202"/>
      <c r="ORG8" s="1202"/>
      <c r="ORH8" s="1202"/>
      <c r="ORI8" s="1202"/>
      <c r="ORJ8" s="1202"/>
      <c r="ORK8" s="1202"/>
      <c r="ORL8" s="1202"/>
      <c r="ORM8" s="1202"/>
      <c r="ORN8" s="1202"/>
      <c r="ORO8" s="1202"/>
      <c r="ORP8" s="1202"/>
      <c r="ORQ8" s="1202"/>
      <c r="ORR8" s="1202"/>
      <c r="ORS8" s="1202"/>
      <c r="ORT8" s="1202"/>
      <c r="ORU8" s="1202"/>
      <c r="ORV8" s="1202"/>
      <c r="ORW8" s="1202"/>
      <c r="ORX8" s="1202"/>
      <c r="ORY8" s="1202"/>
      <c r="ORZ8" s="1202"/>
      <c r="OSA8" s="1202"/>
      <c r="OSB8" s="1202"/>
      <c r="OSC8" s="1202"/>
      <c r="OSD8" s="1202"/>
      <c r="OSE8" s="1202"/>
      <c r="OSF8" s="1202"/>
      <c r="OSG8" s="1202"/>
      <c r="OSH8" s="1202"/>
      <c r="OSI8" s="1202"/>
      <c r="OSJ8" s="1202"/>
      <c r="OSK8" s="1202"/>
      <c r="OSL8" s="1202"/>
      <c r="OSM8" s="1202"/>
      <c r="OSN8" s="1202"/>
      <c r="OSO8" s="1202"/>
      <c r="OSP8" s="1202"/>
      <c r="OSQ8" s="1202"/>
      <c r="OSR8" s="1202"/>
      <c r="OSS8" s="1202"/>
      <c r="OST8" s="1202"/>
      <c r="OSU8" s="1202"/>
      <c r="OSV8" s="1202"/>
      <c r="OSW8" s="1202"/>
      <c r="OSX8" s="1202"/>
      <c r="OSY8" s="1202"/>
      <c r="OSZ8" s="1202"/>
      <c r="OTA8" s="1202"/>
      <c r="OTB8" s="1202"/>
      <c r="OTC8" s="1202"/>
      <c r="OTD8" s="1202"/>
      <c r="OTE8" s="1202"/>
      <c r="OTF8" s="1202"/>
      <c r="OTG8" s="1202"/>
      <c r="OTH8" s="1202"/>
      <c r="OTI8" s="1202"/>
      <c r="OTJ8" s="1202"/>
      <c r="OTK8" s="1202"/>
      <c r="OTL8" s="1202"/>
      <c r="OTM8" s="1202"/>
      <c r="OTN8" s="1202"/>
      <c r="OTO8" s="1202"/>
      <c r="OTP8" s="1202"/>
      <c r="OTQ8" s="1202"/>
      <c r="OTR8" s="1202"/>
      <c r="OTS8" s="1202"/>
      <c r="OTT8" s="1202"/>
      <c r="OTU8" s="1202"/>
      <c r="OTV8" s="1202"/>
      <c r="OTW8" s="1202"/>
      <c r="OTX8" s="1202"/>
      <c r="OTY8" s="1202"/>
      <c r="OTZ8" s="1202"/>
      <c r="OUA8" s="1202"/>
      <c r="OUB8" s="1202"/>
      <c r="OUC8" s="1202"/>
      <c r="OUD8" s="1202"/>
      <c r="OUE8" s="1202"/>
      <c r="OUF8" s="1202"/>
      <c r="OUG8" s="1202"/>
      <c r="OUH8" s="1202"/>
      <c r="OUI8" s="1202"/>
      <c r="OUJ8" s="1202"/>
      <c r="OUK8" s="1202"/>
      <c r="OUL8" s="1202"/>
      <c r="OUM8" s="1202"/>
      <c r="OUN8" s="1202"/>
      <c r="OUO8" s="1202"/>
      <c r="OUP8" s="1202"/>
      <c r="OUQ8" s="1202"/>
      <c r="OUR8" s="1202"/>
      <c r="OUS8" s="1202"/>
      <c r="OUT8" s="1202"/>
      <c r="OUU8" s="1202"/>
      <c r="OUV8" s="1202"/>
      <c r="OUW8" s="1202"/>
      <c r="OUX8" s="1202"/>
      <c r="OUY8" s="1202"/>
      <c r="OUZ8" s="1202"/>
      <c r="OVA8" s="1202"/>
      <c r="OVB8" s="1202"/>
      <c r="OVC8" s="1202"/>
      <c r="OVD8" s="1202"/>
      <c r="OVE8" s="1202"/>
      <c r="OVF8" s="1202"/>
      <c r="OVG8" s="1202"/>
      <c r="OVH8" s="1202"/>
      <c r="OVI8" s="1202"/>
      <c r="OVJ8" s="1202"/>
      <c r="OVK8" s="1202"/>
      <c r="OVL8" s="1202"/>
      <c r="OVM8" s="1202"/>
      <c r="OVN8" s="1202"/>
      <c r="OVO8" s="1202"/>
      <c r="OVP8" s="1202"/>
      <c r="OVQ8" s="1202"/>
      <c r="OVR8" s="1202"/>
      <c r="OVS8" s="1202"/>
      <c r="OVT8" s="1202"/>
      <c r="OVU8" s="1202"/>
      <c r="OVV8" s="1202"/>
      <c r="OVW8" s="1202"/>
      <c r="OVX8" s="1202"/>
      <c r="OVY8" s="1202"/>
      <c r="OVZ8" s="1202"/>
      <c r="OWA8" s="1202"/>
      <c r="OWB8" s="1202"/>
      <c r="OWC8" s="1202"/>
      <c r="OWD8" s="1202"/>
      <c r="OWE8" s="1202"/>
      <c r="OWF8" s="1202"/>
      <c r="OWG8" s="1202"/>
      <c r="OWH8" s="1202"/>
      <c r="OWI8" s="1202"/>
      <c r="OWJ8" s="1202"/>
      <c r="OWK8" s="1202"/>
      <c r="OWL8" s="1202"/>
      <c r="OWM8" s="1202"/>
      <c r="OWN8" s="1202"/>
      <c r="OWO8" s="1202"/>
      <c r="OWP8" s="1202"/>
      <c r="OWQ8" s="1202"/>
      <c r="OWR8" s="1202"/>
      <c r="OWS8" s="1202"/>
      <c r="OWT8" s="1202"/>
      <c r="OWU8" s="1202"/>
      <c r="OWV8" s="1202"/>
      <c r="OWW8" s="1202"/>
      <c r="OWX8" s="1202"/>
      <c r="OWY8" s="1202"/>
      <c r="OWZ8" s="1202"/>
      <c r="OXA8" s="1202"/>
      <c r="OXB8" s="1202"/>
      <c r="OXC8" s="1202"/>
      <c r="OXD8" s="1202"/>
      <c r="OXE8" s="1202"/>
      <c r="OXF8" s="1202"/>
      <c r="OXG8" s="1202"/>
      <c r="OXH8" s="1202"/>
      <c r="OXI8" s="1202"/>
      <c r="OXJ8" s="1202"/>
      <c r="OXK8" s="1202"/>
      <c r="OXL8" s="1202"/>
      <c r="OXM8" s="1202"/>
      <c r="OXN8" s="1202"/>
      <c r="OXO8" s="1202"/>
      <c r="OXP8" s="1202"/>
      <c r="OXQ8" s="1202"/>
      <c r="OXR8" s="1202"/>
      <c r="OXS8" s="1202"/>
      <c r="OXT8" s="1202"/>
      <c r="OXU8" s="1202"/>
      <c r="OXV8" s="1202"/>
      <c r="OXW8" s="1202"/>
      <c r="OXX8" s="1202"/>
      <c r="OXY8" s="1202"/>
      <c r="OXZ8" s="1202"/>
      <c r="OYA8" s="1202"/>
      <c r="OYB8" s="1202"/>
      <c r="OYC8" s="1202"/>
      <c r="OYD8" s="1202"/>
      <c r="OYE8" s="1202"/>
      <c r="OYF8" s="1202"/>
      <c r="OYG8" s="1202"/>
      <c r="OYH8" s="1202"/>
      <c r="OYI8" s="1202"/>
      <c r="OYJ8" s="1202"/>
      <c r="OYK8" s="1202"/>
      <c r="OYL8" s="1202"/>
      <c r="OYM8" s="1202"/>
      <c r="OYN8" s="1202"/>
      <c r="OYO8" s="1202"/>
      <c r="OYP8" s="1202"/>
      <c r="OYQ8" s="1202"/>
      <c r="OYR8" s="1202"/>
      <c r="OYS8" s="1202"/>
      <c r="OYT8" s="1202"/>
      <c r="OYU8" s="1202"/>
      <c r="OYV8" s="1202"/>
      <c r="OYW8" s="1202"/>
      <c r="OYX8" s="1202"/>
      <c r="OYY8" s="1202"/>
      <c r="OYZ8" s="1202"/>
      <c r="OZA8" s="1202"/>
      <c r="OZB8" s="1202"/>
      <c r="OZC8" s="1202"/>
      <c r="OZD8" s="1202"/>
      <c r="OZE8" s="1202"/>
      <c r="OZF8" s="1202"/>
      <c r="OZG8" s="1202"/>
      <c r="OZH8" s="1202"/>
      <c r="OZI8" s="1202"/>
      <c r="OZJ8" s="1202"/>
      <c r="OZK8" s="1202"/>
      <c r="OZL8" s="1202"/>
      <c r="OZM8" s="1202"/>
      <c r="OZN8" s="1202"/>
      <c r="OZO8" s="1202"/>
      <c r="OZP8" s="1202"/>
      <c r="OZQ8" s="1202"/>
      <c r="OZR8" s="1202"/>
      <c r="OZS8" s="1202"/>
      <c r="OZT8" s="1202"/>
      <c r="OZU8" s="1202"/>
      <c r="OZV8" s="1202"/>
      <c r="OZW8" s="1202"/>
      <c r="OZX8" s="1202"/>
      <c r="OZY8" s="1202"/>
      <c r="OZZ8" s="1202"/>
      <c r="PAA8" s="1202"/>
      <c r="PAB8" s="1202"/>
      <c r="PAC8" s="1202"/>
      <c r="PAD8" s="1202"/>
      <c r="PAE8" s="1202"/>
      <c r="PAF8" s="1202"/>
      <c r="PAG8" s="1202"/>
      <c r="PAH8" s="1202"/>
      <c r="PAI8" s="1202"/>
      <c r="PAJ8" s="1202"/>
      <c r="PAK8" s="1202"/>
      <c r="PAL8" s="1202"/>
      <c r="PAM8" s="1202"/>
      <c r="PAN8" s="1202"/>
      <c r="PAO8" s="1202"/>
      <c r="PAP8" s="1202"/>
      <c r="PAQ8" s="1202"/>
      <c r="PAR8" s="1202"/>
      <c r="PAS8" s="1202"/>
      <c r="PAT8" s="1202"/>
      <c r="PAU8" s="1202"/>
      <c r="PAV8" s="1202"/>
      <c r="PAW8" s="1202"/>
      <c r="PAX8" s="1202"/>
      <c r="PAY8" s="1202"/>
      <c r="PAZ8" s="1202"/>
      <c r="PBA8" s="1202"/>
      <c r="PBB8" s="1202"/>
      <c r="PBC8" s="1202"/>
      <c r="PBD8" s="1202"/>
      <c r="PBE8" s="1202"/>
      <c r="PBF8" s="1202"/>
      <c r="PBG8" s="1202"/>
      <c r="PBH8" s="1202"/>
      <c r="PBI8" s="1202"/>
      <c r="PBJ8" s="1202"/>
      <c r="PBK8" s="1202"/>
      <c r="PBL8" s="1202"/>
      <c r="PBM8" s="1202"/>
      <c r="PBN8" s="1202"/>
      <c r="PBO8" s="1202"/>
      <c r="PBP8" s="1202"/>
      <c r="PBQ8" s="1202"/>
      <c r="PBR8" s="1202"/>
      <c r="PBS8" s="1202"/>
      <c r="PBT8" s="1202"/>
      <c r="PBU8" s="1202"/>
      <c r="PBV8" s="1202"/>
      <c r="PBW8" s="1202"/>
      <c r="PBX8" s="1202"/>
      <c r="PBY8" s="1202"/>
      <c r="PBZ8" s="1202"/>
      <c r="PCA8" s="1202"/>
      <c r="PCB8" s="1202"/>
      <c r="PCC8" s="1202"/>
      <c r="PCD8" s="1202"/>
      <c r="PCE8" s="1202"/>
      <c r="PCF8" s="1202"/>
      <c r="PCG8" s="1202"/>
      <c r="PCH8" s="1202"/>
      <c r="PCI8" s="1202"/>
      <c r="PCJ8" s="1202"/>
      <c r="PCK8" s="1202"/>
      <c r="PCL8" s="1202"/>
      <c r="PCM8" s="1202"/>
      <c r="PCN8" s="1202"/>
      <c r="PCO8" s="1202"/>
      <c r="PCP8" s="1202"/>
      <c r="PCQ8" s="1202"/>
      <c r="PCR8" s="1202"/>
      <c r="PCS8" s="1202"/>
      <c r="PCT8" s="1202"/>
      <c r="PCU8" s="1202"/>
      <c r="PCV8" s="1202"/>
      <c r="PCW8" s="1202"/>
      <c r="PCX8" s="1202"/>
      <c r="PCY8" s="1202"/>
      <c r="PCZ8" s="1202"/>
      <c r="PDA8" s="1202"/>
      <c r="PDB8" s="1202"/>
      <c r="PDC8" s="1202"/>
      <c r="PDD8" s="1202"/>
      <c r="PDE8" s="1202"/>
      <c r="PDF8" s="1202"/>
      <c r="PDG8" s="1202"/>
      <c r="PDH8" s="1202"/>
      <c r="PDI8" s="1202"/>
      <c r="PDJ8" s="1202"/>
      <c r="PDK8" s="1202"/>
      <c r="PDL8" s="1202"/>
      <c r="PDM8" s="1202"/>
      <c r="PDN8" s="1202"/>
      <c r="PDO8" s="1202"/>
      <c r="PDP8" s="1202"/>
      <c r="PDQ8" s="1202"/>
      <c r="PDR8" s="1202"/>
      <c r="PDS8" s="1202"/>
      <c r="PDT8" s="1202"/>
      <c r="PDU8" s="1202"/>
      <c r="PDV8" s="1202"/>
      <c r="PDW8" s="1202"/>
      <c r="PDX8" s="1202"/>
      <c r="PDY8" s="1202"/>
      <c r="PDZ8" s="1202"/>
      <c r="PEA8" s="1202"/>
      <c r="PEB8" s="1202"/>
      <c r="PEC8" s="1202"/>
      <c r="PED8" s="1202"/>
      <c r="PEE8" s="1202"/>
      <c r="PEF8" s="1202"/>
      <c r="PEG8" s="1202"/>
      <c r="PEH8" s="1202"/>
      <c r="PEI8" s="1202"/>
      <c r="PEJ8" s="1202"/>
      <c r="PEK8" s="1202"/>
      <c r="PEL8" s="1202"/>
      <c r="PEM8" s="1202"/>
      <c r="PEN8" s="1202"/>
      <c r="PEO8" s="1202"/>
      <c r="PEP8" s="1202"/>
      <c r="PEQ8" s="1202"/>
      <c r="PER8" s="1202"/>
      <c r="PES8" s="1202"/>
      <c r="PET8" s="1202"/>
      <c r="PEU8" s="1202"/>
      <c r="PEV8" s="1202"/>
      <c r="PEW8" s="1202"/>
      <c r="PEX8" s="1202"/>
      <c r="PEY8" s="1202"/>
      <c r="PEZ8" s="1202"/>
      <c r="PFA8" s="1202"/>
      <c r="PFB8" s="1202"/>
      <c r="PFC8" s="1202"/>
      <c r="PFD8" s="1202"/>
      <c r="PFE8" s="1202"/>
      <c r="PFF8" s="1202"/>
      <c r="PFG8" s="1202"/>
      <c r="PFH8" s="1202"/>
      <c r="PFI8" s="1202"/>
      <c r="PFJ8" s="1202"/>
      <c r="PFK8" s="1202"/>
      <c r="PFL8" s="1202"/>
      <c r="PFM8" s="1202"/>
      <c r="PFN8" s="1202"/>
      <c r="PFO8" s="1202"/>
      <c r="PFP8" s="1202"/>
      <c r="PFQ8" s="1202"/>
      <c r="PFR8" s="1202"/>
      <c r="PFS8" s="1202"/>
      <c r="PFT8" s="1202"/>
      <c r="PFU8" s="1202"/>
      <c r="PFV8" s="1202"/>
      <c r="PFW8" s="1202"/>
      <c r="PFX8" s="1202"/>
      <c r="PFY8" s="1202"/>
      <c r="PFZ8" s="1202"/>
      <c r="PGA8" s="1202"/>
      <c r="PGB8" s="1202"/>
      <c r="PGC8" s="1202"/>
      <c r="PGD8" s="1202"/>
      <c r="PGE8" s="1202"/>
      <c r="PGF8" s="1202"/>
      <c r="PGG8" s="1202"/>
      <c r="PGH8" s="1202"/>
      <c r="PGI8" s="1202"/>
      <c r="PGJ8" s="1202"/>
      <c r="PGK8" s="1202"/>
      <c r="PGL8" s="1202"/>
      <c r="PGM8" s="1202"/>
      <c r="PGN8" s="1202"/>
      <c r="PGO8" s="1202"/>
      <c r="PGP8" s="1202"/>
      <c r="PGQ8" s="1202"/>
      <c r="PGR8" s="1202"/>
      <c r="PGS8" s="1202"/>
      <c r="PGT8" s="1202"/>
      <c r="PGU8" s="1202"/>
      <c r="PGV8" s="1202"/>
      <c r="PGW8" s="1202"/>
      <c r="PGX8" s="1202"/>
      <c r="PGY8" s="1202"/>
      <c r="PGZ8" s="1202"/>
      <c r="PHA8" s="1202"/>
      <c r="PHB8" s="1202"/>
      <c r="PHC8" s="1202"/>
      <c r="PHD8" s="1202"/>
      <c r="PHE8" s="1202"/>
      <c r="PHF8" s="1202"/>
      <c r="PHG8" s="1202"/>
      <c r="PHH8" s="1202"/>
      <c r="PHI8" s="1202"/>
      <c r="PHJ8" s="1202"/>
      <c r="PHK8" s="1202"/>
      <c r="PHL8" s="1202"/>
      <c r="PHM8" s="1202"/>
      <c r="PHN8" s="1202"/>
      <c r="PHO8" s="1202"/>
      <c r="PHP8" s="1202"/>
      <c r="PHQ8" s="1202"/>
      <c r="PHR8" s="1202"/>
      <c r="PHS8" s="1202"/>
      <c r="PHT8" s="1202"/>
      <c r="PHU8" s="1202"/>
      <c r="PHV8" s="1202"/>
      <c r="PHW8" s="1202"/>
      <c r="PHX8" s="1202"/>
      <c r="PHY8" s="1202"/>
      <c r="PHZ8" s="1202"/>
      <c r="PIA8" s="1202"/>
      <c r="PIB8" s="1202"/>
      <c r="PIC8" s="1202"/>
      <c r="PID8" s="1202"/>
      <c r="PIE8" s="1202"/>
      <c r="PIF8" s="1202"/>
      <c r="PIG8" s="1202"/>
      <c r="PIH8" s="1202"/>
      <c r="PII8" s="1202"/>
      <c r="PIJ8" s="1202"/>
      <c r="PIK8" s="1202"/>
      <c r="PIL8" s="1202"/>
      <c r="PIM8" s="1202"/>
      <c r="PIN8" s="1202"/>
      <c r="PIO8" s="1202"/>
      <c r="PIP8" s="1202"/>
      <c r="PIQ8" s="1202"/>
      <c r="PIR8" s="1202"/>
      <c r="PIS8" s="1202"/>
      <c r="PIT8" s="1202"/>
      <c r="PIU8" s="1202"/>
      <c r="PIV8" s="1202"/>
      <c r="PIW8" s="1202"/>
      <c r="PIX8" s="1202"/>
      <c r="PIY8" s="1202"/>
      <c r="PIZ8" s="1202"/>
      <c r="PJA8" s="1202"/>
      <c r="PJB8" s="1202"/>
      <c r="PJC8" s="1202"/>
      <c r="PJD8" s="1202"/>
      <c r="PJE8" s="1202"/>
      <c r="PJF8" s="1202"/>
      <c r="PJG8" s="1202"/>
      <c r="PJH8" s="1202"/>
      <c r="PJI8" s="1202"/>
      <c r="PJJ8" s="1202"/>
      <c r="PJK8" s="1202"/>
      <c r="PJL8" s="1202"/>
      <c r="PJM8" s="1202"/>
      <c r="PJN8" s="1202"/>
      <c r="PJO8" s="1202"/>
      <c r="PJP8" s="1202"/>
      <c r="PJQ8" s="1202"/>
      <c r="PJR8" s="1202"/>
      <c r="PJS8" s="1202"/>
      <c r="PJT8" s="1202"/>
      <c r="PJU8" s="1202"/>
      <c r="PJV8" s="1202"/>
      <c r="PJW8" s="1202"/>
      <c r="PJX8" s="1202"/>
      <c r="PJY8" s="1202"/>
      <c r="PJZ8" s="1202"/>
      <c r="PKA8" s="1202"/>
      <c r="PKB8" s="1202"/>
      <c r="PKC8" s="1202"/>
      <c r="PKD8" s="1202"/>
      <c r="PKE8" s="1202"/>
      <c r="PKF8" s="1202"/>
      <c r="PKG8" s="1202"/>
      <c r="PKH8" s="1202"/>
      <c r="PKI8" s="1202"/>
      <c r="PKJ8" s="1202"/>
      <c r="PKK8" s="1202"/>
      <c r="PKL8" s="1202"/>
      <c r="PKM8" s="1202"/>
      <c r="PKN8" s="1202"/>
      <c r="PKO8" s="1202"/>
      <c r="PKP8" s="1202"/>
      <c r="PKQ8" s="1202"/>
      <c r="PKR8" s="1202"/>
      <c r="PKS8" s="1202"/>
      <c r="PKT8" s="1202"/>
      <c r="PKU8" s="1202"/>
      <c r="PKV8" s="1202"/>
      <c r="PKW8" s="1202"/>
      <c r="PKX8" s="1202"/>
      <c r="PKY8" s="1202"/>
      <c r="PKZ8" s="1202"/>
      <c r="PLA8" s="1202"/>
      <c r="PLB8" s="1202"/>
      <c r="PLC8" s="1202"/>
      <c r="PLD8" s="1202"/>
      <c r="PLE8" s="1202"/>
      <c r="PLF8" s="1202"/>
      <c r="PLG8" s="1202"/>
      <c r="PLH8" s="1202"/>
      <c r="PLI8" s="1202"/>
      <c r="PLJ8" s="1202"/>
      <c r="PLK8" s="1202"/>
      <c r="PLL8" s="1202"/>
      <c r="PLM8" s="1202"/>
      <c r="PLN8" s="1202"/>
      <c r="PLO8" s="1202"/>
      <c r="PLP8" s="1202"/>
      <c r="PLQ8" s="1202"/>
      <c r="PLR8" s="1202"/>
      <c r="PLS8" s="1202"/>
      <c r="PLT8" s="1202"/>
      <c r="PLU8" s="1202"/>
      <c r="PLV8" s="1202"/>
      <c r="PLW8" s="1202"/>
      <c r="PLX8" s="1202"/>
      <c r="PLY8" s="1202"/>
      <c r="PLZ8" s="1202"/>
      <c r="PMA8" s="1202"/>
      <c r="PMB8" s="1202"/>
      <c r="PMC8" s="1202"/>
      <c r="PMD8" s="1202"/>
      <c r="PME8" s="1202"/>
      <c r="PMF8" s="1202"/>
      <c r="PMG8" s="1202"/>
      <c r="PMH8" s="1202"/>
      <c r="PMI8" s="1202"/>
      <c r="PMJ8" s="1202"/>
      <c r="PMK8" s="1202"/>
      <c r="PML8" s="1202"/>
      <c r="PMM8" s="1202"/>
      <c r="PMN8" s="1202"/>
      <c r="PMO8" s="1202"/>
      <c r="PMP8" s="1202"/>
      <c r="PMQ8" s="1202"/>
      <c r="PMR8" s="1202"/>
      <c r="PMS8" s="1202"/>
      <c r="PMT8" s="1202"/>
      <c r="PMU8" s="1202"/>
      <c r="PMV8" s="1202"/>
      <c r="PMW8" s="1202"/>
      <c r="PMX8" s="1202"/>
      <c r="PMY8" s="1202"/>
      <c r="PMZ8" s="1202"/>
      <c r="PNA8" s="1202"/>
      <c r="PNB8" s="1202"/>
      <c r="PNC8" s="1202"/>
      <c r="PND8" s="1202"/>
      <c r="PNE8" s="1202"/>
      <c r="PNF8" s="1202"/>
      <c r="PNG8" s="1202"/>
      <c r="PNH8" s="1202"/>
      <c r="PNI8" s="1202"/>
      <c r="PNJ8" s="1202"/>
      <c r="PNK8" s="1202"/>
      <c r="PNL8" s="1202"/>
      <c r="PNM8" s="1202"/>
      <c r="PNN8" s="1202"/>
      <c r="PNO8" s="1202"/>
      <c r="PNP8" s="1202"/>
      <c r="PNQ8" s="1202"/>
      <c r="PNR8" s="1202"/>
      <c r="PNS8" s="1202"/>
      <c r="PNT8" s="1202"/>
      <c r="PNU8" s="1202"/>
      <c r="PNV8" s="1202"/>
      <c r="PNW8" s="1202"/>
      <c r="PNX8" s="1202"/>
      <c r="PNY8" s="1202"/>
      <c r="PNZ8" s="1202"/>
      <c r="POA8" s="1202"/>
      <c r="POB8" s="1202"/>
      <c r="POC8" s="1202"/>
      <c r="POD8" s="1202"/>
      <c r="POE8" s="1202"/>
      <c r="POF8" s="1202"/>
      <c r="POG8" s="1202"/>
      <c r="POH8" s="1202"/>
      <c r="POI8" s="1202"/>
      <c r="POJ8" s="1202"/>
      <c r="POK8" s="1202"/>
      <c r="POL8" s="1202"/>
      <c r="POM8" s="1202"/>
      <c r="PON8" s="1202"/>
      <c r="POO8" s="1202"/>
      <c r="POP8" s="1202"/>
      <c r="POQ8" s="1202"/>
      <c r="POR8" s="1202"/>
      <c r="POS8" s="1202"/>
      <c r="POT8" s="1202"/>
      <c r="POU8" s="1202"/>
      <c r="POV8" s="1202"/>
      <c r="POW8" s="1202"/>
      <c r="POX8" s="1202"/>
      <c r="POY8" s="1202"/>
      <c r="POZ8" s="1202"/>
      <c r="PPA8" s="1202"/>
      <c r="PPB8" s="1202"/>
      <c r="PPC8" s="1202"/>
      <c r="PPD8" s="1202"/>
      <c r="PPE8" s="1202"/>
      <c r="PPF8" s="1202"/>
      <c r="PPG8" s="1202"/>
      <c r="PPH8" s="1202"/>
      <c r="PPI8" s="1202"/>
      <c r="PPJ8" s="1202"/>
      <c r="PPK8" s="1202"/>
      <c r="PPL8" s="1202"/>
      <c r="PPM8" s="1202"/>
      <c r="PPN8" s="1202"/>
      <c r="PPO8" s="1202"/>
      <c r="PPP8" s="1202"/>
      <c r="PPQ8" s="1202"/>
      <c r="PPR8" s="1202"/>
      <c r="PPS8" s="1202"/>
      <c r="PPT8" s="1202"/>
      <c r="PPU8" s="1202"/>
      <c r="PPV8" s="1202"/>
      <c r="PPW8" s="1202"/>
      <c r="PPX8" s="1202"/>
      <c r="PPY8" s="1202"/>
      <c r="PPZ8" s="1202"/>
      <c r="PQA8" s="1202"/>
      <c r="PQB8" s="1202"/>
      <c r="PQC8" s="1202"/>
      <c r="PQD8" s="1202"/>
      <c r="PQE8" s="1202"/>
      <c r="PQF8" s="1202"/>
      <c r="PQG8" s="1202"/>
      <c r="PQH8" s="1202"/>
      <c r="PQI8" s="1202"/>
      <c r="PQJ8" s="1202"/>
      <c r="PQK8" s="1202"/>
      <c r="PQL8" s="1202"/>
      <c r="PQM8" s="1202"/>
      <c r="PQN8" s="1202"/>
      <c r="PQO8" s="1202"/>
      <c r="PQP8" s="1202"/>
      <c r="PQQ8" s="1202"/>
      <c r="PQR8" s="1202"/>
      <c r="PQS8" s="1202"/>
      <c r="PQT8" s="1202"/>
      <c r="PQU8" s="1202"/>
      <c r="PQV8" s="1202"/>
      <c r="PQW8" s="1202"/>
      <c r="PQX8" s="1202"/>
      <c r="PQY8" s="1202"/>
      <c r="PQZ8" s="1202"/>
      <c r="PRA8" s="1202"/>
      <c r="PRB8" s="1202"/>
      <c r="PRC8" s="1202"/>
      <c r="PRD8" s="1202"/>
      <c r="PRE8" s="1202"/>
      <c r="PRF8" s="1202"/>
      <c r="PRG8" s="1202"/>
      <c r="PRH8" s="1202"/>
      <c r="PRI8" s="1202"/>
      <c r="PRJ8" s="1202"/>
      <c r="PRK8" s="1202"/>
      <c r="PRL8" s="1202"/>
      <c r="PRM8" s="1202"/>
      <c r="PRN8" s="1202"/>
      <c r="PRO8" s="1202"/>
      <c r="PRP8" s="1202"/>
      <c r="PRQ8" s="1202"/>
      <c r="PRR8" s="1202"/>
      <c r="PRS8" s="1202"/>
      <c r="PRT8" s="1202"/>
      <c r="PRU8" s="1202"/>
      <c r="PRV8" s="1202"/>
      <c r="PRW8" s="1202"/>
      <c r="PRX8" s="1202"/>
      <c r="PRY8" s="1202"/>
      <c r="PRZ8" s="1202"/>
      <c r="PSA8" s="1202"/>
      <c r="PSB8" s="1202"/>
      <c r="PSC8" s="1202"/>
      <c r="PSD8" s="1202"/>
      <c r="PSE8" s="1202"/>
      <c r="PSF8" s="1202"/>
      <c r="PSG8" s="1202"/>
      <c r="PSH8" s="1202"/>
      <c r="PSI8" s="1202"/>
      <c r="PSJ8" s="1202"/>
      <c r="PSK8" s="1202"/>
      <c r="PSL8" s="1202"/>
      <c r="PSM8" s="1202"/>
      <c r="PSN8" s="1202"/>
      <c r="PSO8" s="1202"/>
      <c r="PSP8" s="1202"/>
      <c r="PSQ8" s="1202"/>
      <c r="PSR8" s="1202"/>
      <c r="PSS8" s="1202"/>
      <c r="PST8" s="1202"/>
      <c r="PSU8" s="1202"/>
      <c r="PSV8" s="1202"/>
      <c r="PSW8" s="1202"/>
      <c r="PSX8" s="1202"/>
      <c r="PSY8" s="1202"/>
      <c r="PSZ8" s="1202"/>
      <c r="PTA8" s="1202"/>
      <c r="PTB8" s="1202"/>
      <c r="PTC8" s="1202"/>
      <c r="PTD8" s="1202"/>
      <c r="PTE8" s="1202"/>
      <c r="PTF8" s="1202"/>
      <c r="PTG8" s="1202"/>
      <c r="PTH8" s="1202"/>
      <c r="PTI8" s="1202"/>
      <c r="PTJ8" s="1202"/>
      <c r="PTK8" s="1202"/>
      <c r="PTL8" s="1202"/>
      <c r="PTM8" s="1202"/>
      <c r="PTN8" s="1202"/>
      <c r="PTO8" s="1202"/>
      <c r="PTP8" s="1202"/>
      <c r="PTQ8" s="1202"/>
      <c r="PTR8" s="1202"/>
      <c r="PTS8" s="1202"/>
      <c r="PTT8" s="1202"/>
      <c r="PTU8" s="1202"/>
      <c r="PTV8" s="1202"/>
      <c r="PTW8" s="1202"/>
      <c r="PTX8" s="1202"/>
      <c r="PTY8" s="1202"/>
      <c r="PTZ8" s="1202"/>
      <c r="PUA8" s="1202"/>
      <c r="PUB8" s="1202"/>
      <c r="PUC8" s="1202"/>
      <c r="PUD8" s="1202"/>
      <c r="PUE8" s="1202"/>
      <c r="PUF8" s="1202"/>
      <c r="PUG8" s="1202"/>
      <c r="PUH8" s="1202"/>
      <c r="PUI8" s="1202"/>
      <c r="PUJ8" s="1202"/>
      <c r="PUK8" s="1202"/>
      <c r="PUL8" s="1202"/>
      <c r="PUM8" s="1202"/>
      <c r="PUN8" s="1202"/>
      <c r="PUO8" s="1202"/>
      <c r="PUP8" s="1202"/>
      <c r="PUQ8" s="1202"/>
      <c r="PUR8" s="1202"/>
      <c r="PUS8" s="1202"/>
      <c r="PUT8" s="1202"/>
      <c r="PUU8" s="1202"/>
      <c r="PUV8" s="1202"/>
      <c r="PUW8" s="1202"/>
      <c r="PUX8" s="1202"/>
      <c r="PUY8" s="1202"/>
      <c r="PUZ8" s="1202"/>
      <c r="PVA8" s="1202"/>
      <c r="PVB8" s="1202"/>
      <c r="PVC8" s="1202"/>
      <c r="PVD8" s="1202"/>
      <c r="PVE8" s="1202"/>
      <c r="PVF8" s="1202"/>
      <c r="PVG8" s="1202"/>
      <c r="PVH8" s="1202"/>
      <c r="PVI8" s="1202"/>
      <c r="PVJ8" s="1202"/>
      <c r="PVK8" s="1202"/>
      <c r="PVL8" s="1202"/>
      <c r="PVM8" s="1202"/>
      <c r="PVN8" s="1202"/>
      <c r="PVO8" s="1202"/>
      <c r="PVP8" s="1202"/>
      <c r="PVQ8" s="1202"/>
      <c r="PVR8" s="1202"/>
      <c r="PVS8" s="1202"/>
      <c r="PVT8" s="1202"/>
      <c r="PVU8" s="1202"/>
      <c r="PVV8" s="1202"/>
      <c r="PVW8" s="1202"/>
      <c r="PVX8" s="1202"/>
      <c r="PVY8" s="1202"/>
      <c r="PVZ8" s="1202"/>
      <c r="PWA8" s="1202"/>
      <c r="PWB8" s="1202"/>
      <c r="PWC8" s="1202"/>
      <c r="PWD8" s="1202"/>
      <c r="PWE8" s="1202"/>
      <c r="PWF8" s="1202"/>
      <c r="PWG8" s="1202"/>
      <c r="PWH8" s="1202"/>
      <c r="PWI8" s="1202"/>
      <c r="PWJ8" s="1202"/>
      <c r="PWK8" s="1202"/>
      <c r="PWL8" s="1202"/>
      <c r="PWM8" s="1202"/>
      <c r="PWN8" s="1202"/>
      <c r="PWO8" s="1202"/>
      <c r="PWP8" s="1202"/>
      <c r="PWQ8" s="1202"/>
      <c r="PWR8" s="1202"/>
      <c r="PWS8" s="1202"/>
      <c r="PWT8" s="1202"/>
      <c r="PWU8" s="1202"/>
      <c r="PWV8" s="1202"/>
      <c r="PWW8" s="1202"/>
      <c r="PWX8" s="1202"/>
      <c r="PWY8" s="1202"/>
      <c r="PWZ8" s="1202"/>
      <c r="PXA8" s="1202"/>
      <c r="PXB8" s="1202"/>
      <c r="PXC8" s="1202"/>
      <c r="PXD8" s="1202"/>
      <c r="PXE8" s="1202"/>
      <c r="PXF8" s="1202"/>
      <c r="PXG8" s="1202"/>
      <c r="PXH8" s="1202"/>
      <c r="PXI8" s="1202"/>
      <c r="PXJ8" s="1202"/>
      <c r="PXK8" s="1202"/>
      <c r="PXL8" s="1202"/>
      <c r="PXM8" s="1202"/>
      <c r="PXN8" s="1202"/>
      <c r="PXO8" s="1202"/>
      <c r="PXP8" s="1202"/>
      <c r="PXQ8" s="1202"/>
      <c r="PXR8" s="1202"/>
      <c r="PXS8" s="1202"/>
      <c r="PXT8" s="1202"/>
      <c r="PXU8" s="1202"/>
      <c r="PXV8" s="1202"/>
      <c r="PXW8" s="1202"/>
      <c r="PXX8" s="1202"/>
      <c r="PXY8" s="1202"/>
      <c r="PXZ8" s="1202"/>
      <c r="PYA8" s="1202"/>
      <c r="PYB8" s="1202"/>
      <c r="PYC8" s="1202"/>
      <c r="PYD8" s="1202"/>
      <c r="PYE8" s="1202"/>
      <c r="PYF8" s="1202"/>
      <c r="PYG8" s="1202"/>
      <c r="PYH8" s="1202"/>
      <c r="PYI8" s="1202"/>
      <c r="PYJ8" s="1202"/>
      <c r="PYK8" s="1202"/>
      <c r="PYL8" s="1202"/>
      <c r="PYM8" s="1202"/>
      <c r="PYN8" s="1202"/>
      <c r="PYO8" s="1202"/>
      <c r="PYP8" s="1202"/>
      <c r="PYQ8" s="1202"/>
      <c r="PYR8" s="1202"/>
      <c r="PYS8" s="1202"/>
      <c r="PYT8" s="1202"/>
      <c r="PYU8" s="1202"/>
      <c r="PYV8" s="1202"/>
      <c r="PYW8" s="1202"/>
      <c r="PYX8" s="1202"/>
      <c r="PYY8" s="1202"/>
      <c r="PYZ8" s="1202"/>
      <c r="PZA8" s="1202"/>
      <c r="PZB8" s="1202"/>
      <c r="PZC8" s="1202"/>
      <c r="PZD8" s="1202"/>
      <c r="PZE8" s="1202"/>
      <c r="PZF8" s="1202"/>
      <c r="PZG8" s="1202"/>
      <c r="PZH8" s="1202"/>
      <c r="PZI8" s="1202"/>
      <c r="PZJ8" s="1202"/>
      <c r="PZK8" s="1202"/>
      <c r="PZL8" s="1202"/>
      <c r="PZM8" s="1202"/>
      <c r="PZN8" s="1202"/>
      <c r="PZO8" s="1202"/>
      <c r="PZP8" s="1202"/>
      <c r="PZQ8" s="1202"/>
      <c r="PZR8" s="1202"/>
      <c r="PZS8" s="1202"/>
      <c r="PZT8" s="1202"/>
      <c r="PZU8" s="1202"/>
      <c r="PZV8" s="1202"/>
      <c r="PZW8" s="1202"/>
      <c r="PZX8" s="1202"/>
      <c r="PZY8" s="1202"/>
      <c r="PZZ8" s="1202"/>
      <c r="QAA8" s="1202"/>
      <c r="QAB8" s="1202"/>
      <c r="QAC8" s="1202"/>
      <c r="QAD8" s="1202"/>
      <c r="QAE8" s="1202"/>
      <c r="QAF8" s="1202"/>
      <c r="QAG8" s="1202"/>
      <c r="QAH8" s="1202"/>
      <c r="QAI8" s="1202"/>
      <c r="QAJ8" s="1202"/>
      <c r="QAK8" s="1202"/>
      <c r="QAL8" s="1202"/>
      <c r="QAM8" s="1202"/>
      <c r="QAN8" s="1202"/>
      <c r="QAO8" s="1202"/>
      <c r="QAP8" s="1202"/>
      <c r="QAQ8" s="1202"/>
      <c r="QAR8" s="1202"/>
      <c r="QAS8" s="1202"/>
      <c r="QAT8" s="1202"/>
      <c r="QAU8" s="1202"/>
      <c r="QAV8" s="1202"/>
      <c r="QAW8" s="1202"/>
      <c r="QAX8" s="1202"/>
      <c r="QAY8" s="1202"/>
      <c r="QAZ8" s="1202"/>
      <c r="QBA8" s="1202"/>
      <c r="QBB8" s="1202"/>
      <c r="QBC8" s="1202"/>
      <c r="QBD8" s="1202"/>
      <c r="QBE8" s="1202"/>
      <c r="QBF8" s="1202"/>
      <c r="QBG8" s="1202"/>
      <c r="QBH8" s="1202"/>
      <c r="QBI8" s="1202"/>
      <c r="QBJ8" s="1202"/>
      <c r="QBK8" s="1202"/>
      <c r="QBL8" s="1202"/>
      <c r="QBM8" s="1202"/>
      <c r="QBN8" s="1202"/>
      <c r="QBO8" s="1202"/>
      <c r="QBP8" s="1202"/>
      <c r="QBQ8" s="1202"/>
      <c r="QBR8" s="1202"/>
      <c r="QBS8" s="1202"/>
      <c r="QBT8" s="1202"/>
      <c r="QBU8" s="1202"/>
      <c r="QBV8" s="1202"/>
      <c r="QBW8" s="1202"/>
      <c r="QBX8" s="1202"/>
      <c r="QBY8" s="1202"/>
      <c r="QBZ8" s="1202"/>
      <c r="QCA8" s="1202"/>
      <c r="QCB8" s="1202"/>
      <c r="QCC8" s="1202"/>
      <c r="QCD8" s="1202"/>
      <c r="QCE8" s="1202"/>
      <c r="QCF8" s="1202"/>
      <c r="QCG8" s="1202"/>
      <c r="QCH8" s="1202"/>
      <c r="QCI8" s="1202"/>
      <c r="QCJ8" s="1202"/>
      <c r="QCK8" s="1202"/>
      <c r="QCL8" s="1202"/>
      <c r="QCM8" s="1202"/>
      <c r="QCN8" s="1202"/>
      <c r="QCO8" s="1202"/>
      <c r="QCP8" s="1202"/>
      <c r="QCQ8" s="1202"/>
      <c r="QCR8" s="1202"/>
      <c r="QCS8" s="1202"/>
      <c r="QCT8" s="1202"/>
      <c r="QCU8" s="1202"/>
      <c r="QCV8" s="1202"/>
      <c r="QCW8" s="1202"/>
      <c r="QCX8" s="1202"/>
      <c r="QCY8" s="1202"/>
      <c r="QCZ8" s="1202"/>
      <c r="QDA8" s="1202"/>
      <c r="QDB8" s="1202"/>
      <c r="QDC8" s="1202"/>
      <c r="QDD8" s="1202"/>
      <c r="QDE8" s="1202"/>
      <c r="QDF8" s="1202"/>
      <c r="QDG8" s="1202"/>
      <c r="QDH8" s="1202"/>
      <c r="QDI8" s="1202"/>
      <c r="QDJ8" s="1202"/>
      <c r="QDK8" s="1202"/>
      <c r="QDL8" s="1202"/>
      <c r="QDM8" s="1202"/>
      <c r="QDN8" s="1202"/>
      <c r="QDO8" s="1202"/>
      <c r="QDP8" s="1202"/>
      <c r="QDQ8" s="1202"/>
      <c r="QDR8" s="1202"/>
      <c r="QDS8" s="1202"/>
      <c r="QDT8" s="1202"/>
      <c r="QDU8" s="1202"/>
      <c r="QDV8" s="1202"/>
      <c r="QDW8" s="1202"/>
      <c r="QDX8" s="1202"/>
      <c r="QDY8" s="1202"/>
      <c r="QDZ8" s="1202"/>
      <c r="QEA8" s="1202"/>
      <c r="QEB8" s="1202"/>
      <c r="QEC8" s="1202"/>
      <c r="QED8" s="1202"/>
      <c r="QEE8" s="1202"/>
      <c r="QEF8" s="1202"/>
      <c r="QEG8" s="1202"/>
      <c r="QEH8" s="1202"/>
      <c r="QEI8" s="1202"/>
      <c r="QEJ8" s="1202"/>
      <c r="QEK8" s="1202"/>
      <c r="QEL8" s="1202"/>
      <c r="QEM8" s="1202"/>
      <c r="QEN8" s="1202"/>
      <c r="QEO8" s="1202"/>
      <c r="QEP8" s="1202"/>
      <c r="QEQ8" s="1202"/>
      <c r="QER8" s="1202"/>
      <c r="QES8" s="1202"/>
      <c r="QET8" s="1202"/>
      <c r="QEU8" s="1202"/>
      <c r="QEV8" s="1202"/>
      <c r="QEW8" s="1202"/>
      <c r="QEX8" s="1202"/>
      <c r="QEY8" s="1202"/>
      <c r="QEZ8" s="1202"/>
      <c r="QFA8" s="1202"/>
      <c r="QFB8" s="1202"/>
      <c r="QFC8" s="1202"/>
      <c r="QFD8" s="1202"/>
      <c r="QFE8" s="1202"/>
      <c r="QFF8" s="1202"/>
      <c r="QFG8" s="1202"/>
      <c r="QFH8" s="1202"/>
      <c r="QFI8" s="1202"/>
      <c r="QFJ8" s="1202"/>
      <c r="QFK8" s="1202"/>
      <c r="QFL8" s="1202"/>
      <c r="QFM8" s="1202"/>
      <c r="QFN8" s="1202"/>
      <c r="QFO8" s="1202"/>
      <c r="QFP8" s="1202"/>
      <c r="QFQ8" s="1202"/>
      <c r="QFR8" s="1202"/>
      <c r="QFS8" s="1202"/>
      <c r="QFT8" s="1202"/>
      <c r="QFU8" s="1202"/>
      <c r="QFV8" s="1202"/>
      <c r="QFW8" s="1202"/>
      <c r="QFX8" s="1202"/>
      <c r="QFY8" s="1202"/>
      <c r="QFZ8" s="1202"/>
      <c r="QGA8" s="1202"/>
      <c r="QGB8" s="1202"/>
      <c r="QGC8" s="1202"/>
      <c r="QGD8" s="1202"/>
      <c r="QGE8" s="1202"/>
      <c r="QGF8" s="1202"/>
      <c r="QGG8" s="1202"/>
      <c r="QGH8" s="1202"/>
      <c r="QGI8" s="1202"/>
      <c r="QGJ8" s="1202"/>
      <c r="QGK8" s="1202"/>
      <c r="QGL8" s="1202"/>
      <c r="QGM8" s="1202"/>
      <c r="QGN8" s="1202"/>
      <c r="QGO8" s="1202"/>
      <c r="QGP8" s="1202"/>
      <c r="QGQ8" s="1202"/>
      <c r="QGR8" s="1202"/>
      <c r="QGS8" s="1202"/>
      <c r="QGT8" s="1202"/>
      <c r="QGU8" s="1202"/>
      <c r="QGV8" s="1202"/>
      <c r="QGW8" s="1202"/>
      <c r="QGX8" s="1202"/>
      <c r="QGY8" s="1202"/>
      <c r="QGZ8" s="1202"/>
      <c r="QHA8" s="1202"/>
      <c r="QHB8" s="1202"/>
      <c r="QHC8" s="1202"/>
      <c r="QHD8" s="1202"/>
      <c r="QHE8" s="1202"/>
      <c r="QHF8" s="1202"/>
      <c r="QHG8" s="1202"/>
      <c r="QHH8" s="1202"/>
      <c r="QHI8" s="1202"/>
      <c r="QHJ8" s="1202"/>
      <c r="QHK8" s="1202"/>
      <c r="QHL8" s="1202"/>
      <c r="QHM8" s="1202"/>
      <c r="QHN8" s="1202"/>
      <c r="QHO8" s="1202"/>
      <c r="QHP8" s="1202"/>
      <c r="QHQ8" s="1202"/>
      <c r="QHR8" s="1202"/>
      <c r="QHS8" s="1202"/>
      <c r="QHT8" s="1202"/>
      <c r="QHU8" s="1202"/>
      <c r="QHV8" s="1202"/>
      <c r="QHW8" s="1202"/>
      <c r="QHX8" s="1202"/>
      <c r="QHY8" s="1202"/>
      <c r="QHZ8" s="1202"/>
      <c r="QIA8" s="1202"/>
      <c r="QIB8" s="1202"/>
      <c r="QIC8" s="1202"/>
      <c r="QID8" s="1202"/>
      <c r="QIE8" s="1202"/>
      <c r="QIF8" s="1202"/>
      <c r="QIG8" s="1202"/>
      <c r="QIH8" s="1202"/>
      <c r="QII8" s="1202"/>
      <c r="QIJ8" s="1202"/>
      <c r="QIK8" s="1202"/>
      <c r="QIL8" s="1202"/>
      <c r="QIM8" s="1202"/>
      <c r="QIN8" s="1202"/>
      <c r="QIO8" s="1202"/>
      <c r="QIP8" s="1202"/>
      <c r="QIQ8" s="1202"/>
      <c r="QIR8" s="1202"/>
      <c r="QIS8" s="1202"/>
      <c r="QIT8" s="1202"/>
      <c r="QIU8" s="1202"/>
      <c r="QIV8" s="1202"/>
      <c r="QIW8" s="1202"/>
      <c r="QIX8" s="1202"/>
      <c r="QIY8" s="1202"/>
      <c r="QIZ8" s="1202"/>
      <c r="QJA8" s="1202"/>
      <c r="QJB8" s="1202"/>
      <c r="QJC8" s="1202"/>
      <c r="QJD8" s="1202"/>
      <c r="QJE8" s="1202"/>
      <c r="QJF8" s="1202"/>
      <c r="QJG8" s="1202"/>
      <c r="QJH8" s="1202"/>
      <c r="QJI8" s="1202"/>
      <c r="QJJ8" s="1202"/>
      <c r="QJK8" s="1202"/>
      <c r="QJL8" s="1202"/>
      <c r="QJM8" s="1202"/>
      <c r="QJN8" s="1202"/>
      <c r="QJO8" s="1202"/>
      <c r="QJP8" s="1202"/>
      <c r="QJQ8" s="1202"/>
      <c r="QJR8" s="1202"/>
      <c r="QJS8" s="1202"/>
      <c r="QJT8" s="1202"/>
      <c r="QJU8" s="1202"/>
      <c r="QJV8" s="1202"/>
      <c r="QJW8" s="1202"/>
      <c r="QJX8" s="1202"/>
      <c r="QJY8" s="1202"/>
      <c r="QJZ8" s="1202"/>
      <c r="QKA8" s="1202"/>
      <c r="QKB8" s="1202"/>
      <c r="QKC8" s="1202"/>
      <c r="QKD8" s="1202"/>
      <c r="QKE8" s="1202"/>
      <c r="QKF8" s="1202"/>
      <c r="QKG8" s="1202"/>
      <c r="QKH8" s="1202"/>
      <c r="QKI8" s="1202"/>
      <c r="QKJ8" s="1202"/>
      <c r="QKK8" s="1202"/>
      <c r="QKL8" s="1202"/>
      <c r="QKM8" s="1202"/>
      <c r="QKN8" s="1202"/>
      <c r="QKO8" s="1202"/>
      <c r="QKP8" s="1202"/>
      <c r="QKQ8" s="1202"/>
      <c r="QKR8" s="1202"/>
      <c r="QKS8" s="1202"/>
      <c r="QKT8" s="1202"/>
      <c r="QKU8" s="1202"/>
      <c r="QKV8" s="1202"/>
      <c r="QKW8" s="1202"/>
      <c r="QKX8" s="1202"/>
      <c r="QKY8" s="1202"/>
      <c r="QKZ8" s="1202"/>
      <c r="QLA8" s="1202"/>
      <c r="QLB8" s="1202"/>
      <c r="QLC8" s="1202"/>
      <c r="QLD8" s="1202"/>
      <c r="QLE8" s="1202"/>
      <c r="QLF8" s="1202"/>
      <c r="QLG8" s="1202"/>
      <c r="QLH8" s="1202"/>
      <c r="QLI8" s="1202"/>
      <c r="QLJ8" s="1202"/>
      <c r="QLK8" s="1202"/>
      <c r="QLL8" s="1202"/>
      <c r="QLM8" s="1202"/>
      <c r="QLN8" s="1202"/>
      <c r="QLO8" s="1202"/>
      <c r="QLP8" s="1202"/>
      <c r="QLQ8" s="1202"/>
      <c r="QLR8" s="1202"/>
      <c r="QLS8" s="1202"/>
      <c r="QLT8" s="1202"/>
      <c r="QLU8" s="1202"/>
      <c r="QLV8" s="1202"/>
      <c r="QLW8" s="1202"/>
      <c r="QLX8" s="1202"/>
      <c r="QLY8" s="1202"/>
      <c r="QLZ8" s="1202"/>
      <c r="QMA8" s="1202"/>
      <c r="QMB8" s="1202"/>
      <c r="QMC8" s="1202"/>
      <c r="QMD8" s="1202"/>
      <c r="QME8" s="1202"/>
      <c r="QMF8" s="1202"/>
      <c r="QMG8" s="1202"/>
      <c r="QMH8" s="1202"/>
      <c r="QMI8" s="1202"/>
      <c r="QMJ8" s="1202"/>
      <c r="QMK8" s="1202"/>
      <c r="QML8" s="1202"/>
      <c r="QMM8" s="1202"/>
      <c r="QMN8" s="1202"/>
      <c r="QMO8" s="1202"/>
      <c r="QMP8" s="1202"/>
      <c r="QMQ8" s="1202"/>
      <c r="QMR8" s="1202"/>
      <c r="QMS8" s="1202"/>
      <c r="QMT8" s="1202"/>
      <c r="QMU8" s="1202"/>
      <c r="QMV8" s="1202"/>
      <c r="QMW8" s="1202"/>
      <c r="QMX8" s="1202"/>
      <c r="QMY8" s="1202"/>
      <c r="QMZ8" s="1202"/>
      <c r="QNA8" s="1202"/>
      <c r="QNB8" s="1202"/>
      <c r="QNC8" s="1202"/>
      <c r="QND8" s="1202"/>
      <c r="QNE8" s="1202"/>
      <c r="QNF8" s="1202"/>
      <c r="QNG8" s="1202"/>
      <c r="QNH8" s="1202"/>
      <c r="QNI8" s="1202"/>
      <c r="QNJ8" s="1202"/>
      <c r="QNK8" s="1202"/>
      <c r="QNL8" s="1202"/>
      <c r="QNM8" s="1202"/>
      <c r="QNN8" s="1202"/>
      <c r="QNO8" s="1202"/>
      <c r="QNP8" s="1202"/>
      <c r="QNQ8" s="1202"/>
      <c r="QNR8" s="1202"/>
      <c r="QNS8" s="1202"/>
      <c r="QNT8" s="1202"/>
      <c r="QNU8" s="1202"/>
      <c r="QNV8" s="1202"/>
      <c r="QNW8" s="1202"/>
      <c r="QNX8" s="1202"/>
      <c r="QNY8" s="1202"/>
      <c r="QNZ8" s="1202"/>
      <c r="QOA8" s="1202"/>
      <c r="QOB8" s="1202"/>
      <c r="QOC8" s="1202"/>
      <c r="QOD8" s="1202"/>
      <c r="QOE8" s="1202"/>
      <c r="QOF8" s="1202"/>
      <c r="QOG8" s="1202"/>
      <c r="QOH8" s="1202"/>
      <c r="QOI8" s="1202"/>
      <c r="QOJ8" s="1202"/>
      <c r="QOK8" s="1202"/>
      <c r="QOL8" s="1202"/>
      <c r="QOM8" s="1202"/>
      <c r="QON8" s="1202"/>
      <c r="QOO8" s="1202"/>
      <c r="QOP8" s="1202"/>
      <c r="QOQ8" s="1202"/>
      <c r="QOR8" s="1202"/>
      <c r="QOS8" s="1202"/>
      <c r="QOT8" s="1202"/>
      <c r="QOU8" s="1202"/>
      <c r="QOV8" s="1202"/>
      <c r="QOW8" s="1202"/>
      <c r="QOX8" s="1202"/>
      <c r="QOY8" s="1202"/>
      <c r="QOZ8" s="1202"/>
      <c r="QPA8" s="1202"/>
      <c r="QPB8" s="1202"/>
      <c r="QPC8" s="1202"/>
      <c r="QPD8" s="1202"/>
      <c r="QPE8" s="1202"/>
      <c r="QPF8" s="1202"/>
      <c r="QPG8" s="1202"/>
      <c r="QPH8" s="1202"/>
      <c r="QPI8" s="1202"/>
      <c r="QPJ8" s="1202"/>
      <c r="QPK8" s="1202"/>
      <c r="QPL8" s="1202"/>
      <c r="QPM8" s="1202"/>
      <c r="QPN8" s="1202"/>
      <c r="QPO8" s="1202"/>
      <c r="QPP8" s="1202"/>
      <c r="QPQ8" s="1202"/>
      <c r="QPR8" s="1202"/>
      <c r="QPS8" s="1202"/>
      <c r="QPT8" s="1202"/>
      <c r="QPU8" s="1202"/>
      <c r="QPV8" s="1202"/>
      <c r="QPW8" s="1202"/>
      <c r="QPX8" s="1202"/>
      <c r="QPY8" s="1202"/>
      <c r="QPZ8" s="1202"/>
      <c r="QQA8" s="1202"/>
      <c r="QQB8" s="1202"/>
      <c r="QQC8" s="1202"/>
      <c r="QQD8" s="1202"/>
      <c r="QQE8" s="1202"/>
      <c r="QQF8" s="1202"/>
      <c r="QQG8" s="1202"/>
      <c r="QQH8" s="1202"/>
      <c r="QQI8" s="1202"/>
      <c r="QQJ8" s="1202"/>
      <c r="QQK8" s="1202"/>
      <c r="QQL8" s="1202"/>
      <c r="QQM8" s="1202"/>
      <c r="QQN8" s="1202"/>
      <c r="QQO8" s="1202"/>
      <c r="QQP8" s="1202"/>
      <c r="QQQ8" s="1202"/>
      <c r="QQR8" s="1202"/>
      <c r="QQS8" s="1202"/>
      <c r="QQT8" s="1202"/>
      <c r="QQU8" s="1202"/>
      <c r="QQV8" s="1202"/>
      <c r="QQW8" s="1202"/>
      <c r="QQX8" s="1202"/>
      <c r="QQY8" s="1202"/>
      <c r="QQZ8" s="1202"/>
      <c r="QRA8" s="1202"/>
      <c r="QRB8" s="1202"/>
      <c r="QRC8" s="1202"/>
      <c r="QRD8" s="1202"/>
      <c r="QRE8" s="1202"/>
      <c r="QRF8" s="1202"/>
      <c r="QRG8" s="1202"/>
      <c r="QRH8" s="1202"/>
      <c r="QRI8" s="1202"/>
      <c r="QRJ8" s="1202"/>
      <c r="QRK8" s="1202"/>
      <c r="QRL8" s="1202"/>
      <c r="QRM8" s="1202"/>
      <c r="QRN8" s="1202"/>
      <c r="QRO8" s="1202"/>
      <c r="QRP8" s="1202"/>
      <c r="QRQ8" s="1202"/>
      <c r="QRR8" s="1202"/>
      <c r="QRS8" s="1202"/>
      <c r="QRT8" s="1202"/>
      <c r="QRU8" s="1202"/>
      <c r="QRV8" s="1202"/>
      <c r="QRW8" s="1202"/>
      <c r="QRX8" s="1202"/>
      <c r="QRY8" s="1202"/>
      <c r="QRZ8" s="1202"/>
      <c r="QSA8" s="1202"/>
      <c r="QSB8" s="1202"/>
      <c r="QSC8" s="1202"/>
      <c r="QSD8" s="1202"/>
      <c r="QSE8" s="1202"/>
      <c r="QSF8" s="1202"/>
      <c r="QSG8" s="1202"/>
      <c r="QSH8" s="1202"/>
      <c r="QSI8" s="1202"/>
      <c r="QSJ8" s="1202"/>
      <c r="QSK8" s="1202"/>
      <c r="QSL8" s="1202"/>
      <c r="QSM8" s="1202"/>
      <c r="QSN8" s="1202"/>
      <c r="QSO8" s="1202"/>
      <c r="QSP8" s="1202"/>
      <c r="QSQ8" s="1202"/>
      <c r="QSR8" s="1202"/>
      <c r="QSS8" s="1202"/>
      <c r="QST8" s="1202"/>
      <c r="QSU8" s="1202"/>
      <c r="QSV8" s="1202"/>
      <c r="QSW8" s="1202"/>
      <c r="QSX8" s="1202"/>
      <c r="QSY8" s="1202"/>
      <c r="QSZ8" s="1202"/>
      <c r="QTA8" s="1202"/>
      <c r="QTB8" s="1202"/>
      <c r="QTC8" s="1202"/>
      <c r="QTD8" s="1202"/>
      <c r="QTE8" s="1202"/>
      <c r="QTF8" s="1202"/>
      <c r="QTG8" s="1202"/>
      <c r="QTH8" s="1202"/>
      <c r="QTI8" s="1202"/>
      <c r="QTJ8" s="1202"/>
      <c r="QTK8" s="1202"/>
      <c r="QTL8" s="1202"/>
      <c r="QTM8" s="1202"/>
      <c r="QTN8" s="1202"/>
      <c r="QTO8" s="1202"/>
      <c r="QTP8" s="1202"/>
      <c r="QTQ8" s="1202"/>
      <c r="QTR8" s="1202"/>
      <c r="QTS8" s="1202"/>
      <c r="QTT8" s="1202"/>
      <c r="QTU8" s="1202"/>
      <c r="QTV8" s="1202"/>
      <c r="QTW8" s="1202"/>
      <c r="QTX8" s="1202"/>
      <c r="QTY8" s="1202"/>
      <c r="QTZ8" s="1202"/>
      <c r="QUA8" s="1202"/>
      <c r="QUB8" s="1202"/>
      <c r="QUC8" s="1202"/>
      <c r="QUD8" s="1202"/>
      <c r="QUE8" s="1202"/>
      <c r="QUF8" s="1202"/>
      <c r="QUG8" s="1202"/>
      <c r="QUH8" s="1202"/>
      <c r="QUI8" s="1202"/>
      <c r="QUJ8" s="1202"/>
      <c r="QUK8" s="1202"/>
      <c r="QUL8" s="1202"/>
      <c r="QUM8" s="1202"/>
      <c r="QUN8" s="1202"/>
      <c r="QUO8" s="1202"/>
      <c r="QUP8" s="1202"/>
      <c r="QUQ8" s="1202"/>
      <c r="QUR8" s="1202"/>
      <c r="QUS8" s="1202"/>
      <c r="QUT8" s="1202"/>
      <c r="QUU8" s="1202"/>
      <c r="QUV8" s="1202"/>
      <c r="QUW8" s="1202"/>
      <c r="QUX8" s="1202"/>
      <c r="QUY8" s="1202"/>
      <c r="QUZ8" s="1202"/>
      <c r="QVA8" s="1202"/>
      <c r="QVB8" s="1202"/>
      <c r="QVC8" s="1202"/>
      <c r="QVD8" s="1202"/>
      <c r="QVE8" s="1202"/>
      <c r="QVF8" s="1202"/>
      <c r="QVG8" s="1202"/>
      <c r="QVH8" s="1202"/>
      <c r="QVI8" s="1202"/>
      <c r="QVJ8" s="1202"/>
      <c r="QVK8" s="1202"/>
      <c r="QVL8" s="1202"/>
      <c r="QVM8" s="1202"/>
      <c r="QVN8" s="1202"/>
      <c r="QVO8" s="1202"/>
      <c r="QVP8" s="1202"/>
      <c r="QVQ8" s="1202"/>
      <c r="QVR8" s="1202"/>
      <c r="QVS8" s="1202"/>
      <c r="QVT8" s="1202"/>
      <c r="QVU8" s="1202"/>
      <c r="QVV8" s="1202"/>
      <c r="QVW8" s="1202"/>
      <c r="QVX8" s="1202"/>
      <c r="QVY8" s="1202"/>
      <c r="QVZ8" s="1202"/>
      <c r="QWA8" s="1202"/>
      <c r="QWB8" s="1202"/>
      <c r="QWC8" s="1202"/>
      <c r="QWD8" s="1202"/>
      <c r="QWE8" s="1202"/>
      <c r="QWF8" s="1202"/>
      <c r="QWG8" s="1202"/>
      <c r="QWH8" s="1202"/>
      <c r="QWI8" s="1202"/>
      <c r="QWJ8" s="1202"/>
      <c r="QWK8" s="1202"/>
      <c r="QWL8" s="1202"/>
      <c r="QWM8" s="1202"/>
      <c r="QWN8" s="1202"/>
      <c r="QWO8" s="1202"/>
      <c r="QWP8" s="1202"/>
      <c r="QWQ8" s="1202"/>
      <c r="QWR8" s="1202"/>
      <c r="QWS8" s="1202"/>
      <c r="QWT8" s="1202"/>
      <c r="QWU8" s="1202"/>
      <c r="QWV8" s="1202"/>
      <c r="QWW8" s="1202"/>
      <c r="QWX8" s="1202"/>
      <c r="QWY8" s="1202"/>
      <c r="QWZ8" s="1202"/>
      <c r="QXA8" s="1202"/>
      <c r="QXB8" s="1202"/>
      <c r="QXC8" s="1202"/>
      <c r="QXD8" s="1202"/>
      <c r="QXE8" s="1202"/>
      <c r="QXF8" s="1202"/>
      <c r="QXG8" s="1202"/>
      <c r="QXH8" s="1202"/>
      <c r="QXI8" s="1202"/>
      <c r="QXJ8" s="1202"/>
      <c r="QXK8" s="1202"/>
      <c r="QXL8" s="1202"/>
      <c r="QXM8" s="1202"/>
      <c r="QXN8" s="1202"/>
      <c r="QXO8" s="1202"/>
      <c r="QXP8" s="1202"/>
      <c r="QXQ8" s="1202"/>
      <c r="QXR8" s="1202"/>
      <c r="QXS8" s="1202"/>
      <c r="QXT8" s="1202"/>
      <c r="QXU8" s="1202"/>
      <c r="QXV8" s="1202"/>
      <c r="QXW8" s="1202"/>
      <c r="QXX8" s="1202"/>
      <c r="QXY8" s="1202"/>
      <c r="QXZ8" s="1202"/>
      <c r="QYA8" s="1202"/>
      <c r="QYB8" s="1202"/>
      <c r="QYC8" s="1202"/>
      <c r="QYD8" s="1202"/>
      <c r="QYE8" s="1202"/>
      <c r="QYF8" s="1202"/>
      <c r="QYG8" s="1202"/>
      <c r="QYH8" s="1202"/>
      <c r="QYI8" s="1202"/>
      <c r="QYJ8" s="1202"/>
      <c r="QYK8" s="1202"/>
      <c r="QYL8" s="1202"/>
      <c r="QYM8" s="1202"/>
      <c r="QYN8" s="1202"/>
      <c r="QYO8" s="1202"/>
      <c r="QYP8" s="1202"/>
      <c r="QYQ8" s="1202"/>
      <c r="QYR8" s="1202"/>
      <c r="QYS8" s="1202"/>
      <c r="QYT8" s="1202"/>
      <c r="QYU8" s="1202"/>
      <c r="QYV8" s="1202"/>
      <c r="QYW8" s="1202"/>
      <c r="QYX8" s="1202"/>
      <c r="QYY8" s="1202"/>
      <c r="QYZ8" s="1202"/>
      <c r="QZA8" s="1202"/>
      <c r="QZB8" s="1202"/>
      <c r="QZC8" s="1202"/>
      <c r="QZD8" s="1202"/>
      <c r="QZE8" s="1202"/>
      <c r="QZF8" s="1202"/>
      <c r="QZG8" s="1202"/>
      <c r="QZH8" s="1202"/>
      <c r="QZI8" s="1202"/>
      <c r="QZJ8" s="1202"/>
      <c r="QZK8" s="1202"/>
      <c r="QZL8" s="1202"/>
      <c r="QZM8" s="1202"/>
      <c r="QZN8" s="1202"/>
      <c r="QZO8" s="1202"/>
      <c r="QZP8" s="1202"/>
      <c r="QZQ8" s="1202"/>
      <c r="QZR8" s="1202"/>
      <c r="QZS8" s="1202"/>
      <c r="QZT8" s="1202"/>
      <c r="QZU8" s="1202"/>
      <c r="QZV8" s="1202"/>
      <c r="QZW8" s="1202"/>
      <c r="QZX8" s="1202"/>
      <c r="QZY8" s="1202"/>
      <c r="QZZ8" s="1202"/>
      <c r="RAA8" s="1202"/>
      <c r="RAB8" s="1202"/>
      <c r="RAC8" s="1202"/>
      <c r="RAD8" s="1202"/>
      <c r="RAE8" s="1202"/>
      <c r="RAF8" s="1202"/>
      <c r="RAG8" s="1202"/>
      <c r="RAH8" s="1202"/>
      <c r="RAI8" s="1202"/>
      <c r="RAJ8" s="1202"/>
      <c r="RAK8" s="1202"/>
      <c r="RAL8" s="1202"/>
      <c r="RAM8" s="1202"/>
      <c r="RAN8" s="1202"/>
      <c r="RAO8" s="1202"/>
      <c r="RAP8" s="1202"/>
      <c r="RAQ8" s="1202"/>
      <c r="RAR8" s="1202"/>
      <c r="RAS8" s="1202"/>
      <c r="RAT8" s="1202"/>
      <c r="RAU8" s="1202"/>
      <c r="RAV8" s="1202"/>
      <c r="RAW8" s="1202"/>
      <c r="RAX8" s="1202"/>
      <c r="RAY8" s="1202"/>
      <c r="RAZ8" s="1202"/>
      <c r="RBA8" s="1202"/>
      <c r="RBB8" s="1202"/>
      <c r="RBC8" s="1202"/>
      <c r="RBD8" s="1202"/>
      <c r="RBE8" s="1202"/>
      <c r="RBF8" s="1202"/>
      <c r="RBG8" s="1202"/>
      <c r="RBH8" s="1202"/>
      <c r="RBI8" s="1202"/>
      <c r="RBJ8" s="1202"/>
      <c r="RBK8" s="1202"/>
      <c r="RBL8" s="1202"/>
      <c r="RBM8" s="1202"/>
      <c r="RBN8" s="1202"/>
      <c r="RBO8" s="1202"/>
      <c r="RBP8" s="1202"/>
      <c r="RBQ8" s="1202"/>
      <c r="RBR8" s="1202"/>
      <c r="RBS8" s="1202"/>
      <c r="RBT8" s="1202"/>
      <c r="RBU8" s="1202"/>
      <c r="RBV8" s="1202"/>
      <c r="RBW8" s="1202"/>
      <c r="RBX8" s="1202"/>
      <c r="RBY8" s="1202"/>
      <c r="RBZ8" s="1202"/>
      <c r="RCA8" s="1202"/>
      <c r="RCB8" s="1202"/>
      <c r="RCC8" s="1202"/>
      <c r="RCD8" s="1202"/>
      <c r="RCE8" s="1202"/>
      <c r="RCF8" s="1202"/>
      <c r="RCG8" s="1202"/>
      <c r="RCH8" s="1202"/>
      <c r="RCI8" s="1202"/>
      <c r="RCJ8" s="1202"/>
      <c r="RCK8" s="1202"/>
      <c r="RCL8" s="1202"/>
      <c r="RCM8" s="1202"/>
      <c r="RCN8" s="1202"/>
      <c r="RCO8" s="1202"/>
      <c r="RCP8" s="1202"/>
      <c r="RCQ8" s="1202"/>
      <c r="RCR8" s="1202"/>
      <c r="RCS8" s="1202"/>
      <c r="RCT8" s="1202"/>
      <c r="RCU8" s="1202"/>
      <c r="RCV8" s="1202"/>
      <c r="RCW8" s="1202"/>
      <c r="RCX8" s="1202"/>
      <c r="RCY8" s="1202"/>
      <c r="RCZ8" s="1202"/>
      <c r="RDA8" s="1202"/>
      <c r="RDB8" s="1202"/>
      <c r="RDC8" s="1202"/>
      <c r="RDD8" s="1202"/>
      <c r="RDE8" s="1202"/>
      <c r="RDF8" s="1202"/>
      <c r="RDG8" s="1202"/>
      <c r="RDH8" s="1202"/>
      <c r="RDI8" s="1202"/>
      <c r="RDJ8" s="1202"/>
      <c r="RDK8" s="1202"/>
      <c r="RDL8" s="1202"/>
      <c r="RDM8" s="1202"/>
      <c r="RDN8" s="1202"/>
      <c r="RDO8" s="1202"/>
      <c r="RDP8" s="1202"/>
      <c r="RDQ8" s="1202"/>
      <c r="RDR8" s="1202"/>
      <c r="RDS8" s="1202"/>
      <c r="RDT8" s="1202"/>
      <c r="RDU8" s="1202"/>
      <c r="RDV8" s="1202"/>
      <c r="RDW8" s="1202"/>
      <c r="RDX8" s="1202"/>
      <c r="RDY8" s="1202"/>
      <c r="RDZ8" s="1202"/>
      <c r="REA8" s="1202"/>
      <c r="REB8" s="1202"/>
      <c r="REC8" s="1202"/>
      <c r="RED8" s="1202"/>
      <c r="REE8" s="1202"/>
      <c r="REF8" s="1202"/>
      <c r="REG8" s="1202"/>
      <c r="REH8" s="1202"/>
      <c r="REI8" s="1202"/>
      <c r="REJ8" s="1202"/>
      <c r="REK8" s="1202"/>
      <c r="REL8" s="1202"/>
      <c r="REM8" s="1202"/>
      <c r="REN8" s="1202"/>
      <c r="REO8" s="1202"/>
      <c r="REP8" s="1202"/>
      <c r="REQ8" s="1202"/>
      <c r="RER8" s="1202"/>
      <c r="RES8" s="1202"/>
      <c r="RET8" s="1202"/>
      <c r="REU8" s="1202"/>
      <c r="REV8" s="1202"/>
      <c r="REW8" s="1202"/>
      <c r="REX8" s="1202"/>
      <c r="REY8" s="1202"/>
      <c r="REZ8" s="1202"/>
      <c r="RFA8" s="1202"/>
      <c r="RFB8" s="1202"/>
      <c r="RFC8" s="1202"/>
      <c r="RFD8" s="1202"/>
      <c r="RFE8" s="1202"/>
      <c r="RFF8" s="1202"/>
      <c r="RFG8" s="1202"/>
      <c r="RFH8" s="1202"/>
      <c r="RFI8" s="1202"/>
      <c r="RFJ8" s="1202"/>
      <c r="RFK8" s="1202"/>
      <c r="RFL8" s="1202"/>
      <c r="RFM8" s="1202"/>
      <c r="RFN8" s="1202"/>
      <c r="RFO8" s="1202"/>
      <c r="RFP8" s="1202"/>
      <c r="RFQ8" s="1202"/>
      <c r="RFR8" s="1202"/>
      <c r="RFS8" s="1202"/>
      <c r="RFT8" s="1202"/>
      <c r="RFU8" s="1202"/>
      <c r="RFV8" s="1202"/>
      <c r="RFW8" s="1202"/>
      <c r="RFX8" s="1202"/>
      <c r="RFY8" s="1202"/>
      <c r="RFZ8" s="1202"/>
      <c r="RGA8" s="1202"/>
      <c r="RGB8" s="1202"/>
      <c r="RGC8" s="1202"/>
      <c r="RGD8" s="1202"/>
      <c r="RGE8" s="1202"/>
      <c r="RGF8" s="1202"/>
      <c r="RGG8" s="1202"/>
      <c r="RGH8" s="1202"/>
      <c r="RGI8" s="1202"/>
      <c r="RGJ8" s="1202"/>
      <c r="RGK8" s="1202"/>
      <c r="RGL8" s="1202"/>
      <c r="RGM8" s="1202"/>
      <c r="RGN8" s="1202"/>
      <c r="RGO8" s="1202"/>
      <c r="RGP8" s="1202"/>
      <c r="RGQ8" s="1202"/>
      <c r="RGR8" s="1202"/>
      <c r="RGS8" s="1202"/>
      <c r="RGT8" s="1202"/>
      <c r="RGU8" s="1202"/>
      <c r="RGV8" s="1202"/>
      <c r="RGW8" s="1202"/>
      <c r="RGX8" s="1202"/>
      <c r="RGY8" s="1202"/>
      <c r="RGZ8" s="1202"/>
      <c r="RHA8" s="1202"/>
      <c r="RHB8" s="1202"/>
      <c r="RHC8" s="1202"/>
      <c r="RHD8" s="1202"/>
      <c r="RHE8" s="1202"/>
      <c r="RHF8" s="1202"/>
      <c r="RHG8" s="1202"/>
      <c r="RHH8" s="1202"/>
      <c r="RHI8" s="1202"/>
      <c r="RHJ8" s="1202"/>
      <c r="RHK8" s="1202"/>
      <c r="RHL8" s="1202"/>
      <c r="RHM8" s="1202"/>
      <c r="RHN8" s="1202"/>
      <c r="RHO8" s="1202"/>
      <c r="RHP8" s="1202"/>
      <c r="RHQ8" s="1202"/>
      <c r="RHR8" s="1202"/>
      <c r="RHS8" s="1202"/>
      <c r="RHT8" s="1202"/>
      <c r="RHU8" s="1202"/>
      <c r="RHV8" s="1202"/>
      <c r="RHW8" s="1202"/>
      <c r="RHX8" s="1202"/>
      <c r="RHY8" s="1202"/>
      <c r="RHZ8" s="1202"/>
      <c r="RIA8" s="1202"/>
      <c r="RIB8" s="1202"/>
      <c r="RIC8" s="1202"/>
      <c r="RID8" s="1202"/>
      <c r="RIE8" s="1202"/>
      <c r="RIF8" s="1202"/>
      <c r="RIG8" s="1202"/>
      <c r="RIH8" s="1202"/>
      <c r="RII8" s="1202"/>
      <c r="RIJ8" s="1202"/>
      <c r="RIK8" s="1202"/>
      <c r="RIL8" s="1202"/>
      <c r="RIM8" s="1202"/>
      <c r="RIN8" s="1202"/>
      <c r="RIO8" s="1202"/>
      <c r="RIP8" s="1202"/>
      <c r="RIQ8" s="1202"/>
      <c r="RIR8" s="1202"/>
      <c r="RIS8" s="1202"/>
      <c r="RIT8" s="1202"/>
      <c r="RIU8" s="1202"/>
      <c r="RIV8" s="1202"/>
      <c r="RIW8" s="1202"/>
      <c r="RIX8" s="1202"/>
      <c r="RIY8" s="1202"/>
      <c r="RIZ8" s="1202"/>
      <c r="RJA8" s="1202"/>
      <c r="RJB8" s="1202"/>
      <c r="RJC8" s="1202"/>
      <c r="RJD8" s="1202"/>
      <c r="RJE8" s="1202"/>
      <c r="RJF8" s="1202"/>
      <c r="RJG8" s="1202"/>
      <c r="RJH8" s="1202"/>
      <c r="RJI8" s="1202"/>
      <c r="RJJ8" s="1202"/>
      <c r="RJK8" s="1202"/>
      <c r="RJL8" s="1202"/>
      <c r="RJM8" s="1202"/>
      <c r="RJN8" s="1202"/>
      <c r="RJO8" s="1202"/>
      <c r="RJP8" s="1202"/>
      <c r="RJQ8" s="1202"/>
      <c r="RJR8" s="1202"/>
      <c r="RJS8" s="1202"/>
      <c r="RJT8" s="1202"/>
      <c r="RJU8" s="1202"/>
      <c r="RJV8" s="1202"/>
      <c r="RJW8" s="1202"/>
      <c r="RJX8" s="1202"/>
      <c r="RJY8" s="1202"/>
      <c r="RJZ8" s="1202"/>
      <c r="RKA8" s="1202"/>
      <c r="RKB8" s="1202"/>
      <c r="RKC8" s="1202"/>
      <c r="RKD8" s="1202"/>
      <c r="RKE8" s="1202"/>
      <c r="RKF8" s="1202"/>
      <c r="RKG8" s="1202"/>
      <c r="RKH8" s="1202"/>
      <c r="RKI8" s="1202"/>
      <c r="RKJ8" s="1202"/>
      <c r="RKK8" s="1202"/>
      <c r="RKL8" s="1202"/>
      <c r="RKM8" s="1202"/>
      <c r="RKN8" s="1202"/>
      <c r="RKO8" s="1202"/>
      <c r="RKP8" s="1202"/>
      <c r="RKQ8" s="1202"/>
      <c r="RKR8" s="1202"/>
      <c r="RKS8" s="1202"/>
      <c r="RKT8" s="1202"/>
      <c r="RKU8" s="1202"/>
      <c r="RKV8" s="1202"/>
      <c r="RKW8" s="1202"/>
      <c r="RKX8" s="1202"/>
      <c r="RKY8" s="1202"/>
      <c r="RKZ8" s="1202"/>
      <c r="RLA8" s="1202"/>
      <c r="RLB8" s="1202"/>
      <c r="RLC8" s="1202"/>
      <c r="RLD8" s="1202"/>
      <c r="RLE8" s="1202"/>
      <c r="RLF8" s="1202"/>
      <c r="RLG8" s="1202"/>
      <c r="RLH8" s="1202"/>
      <c r="RLI8" s="1202"/>
      <c r="RLJ8" s="1202"/>
      <c r="RLK8" s="1202"/>
      <c r="RLL8" s="1202"/>
      <c r="RLM8" s="1202"/>
      <c r="RLN8" s="1202"/>
      <c r="RLO8" s="1202"/>
      <c r="RLP8" s="1202"/>
      <c r="RLQ8" s="1202"/>
      <c r="RLR8" s="1202"/>
      <c r="RLS8" s="1202"/>
      <c r="RLT8" s="1202"/>
      <c r="RLU8" s="1202"/>
      <c r="RLV8" s="1202"/>
      <c r="RLW8" s="1202"/>
      <c r="RLX8" s="1202"/>
      <c r="RLY8" s="1202"/>
      <c r="RLZ8" s="1202"/>
      <c r="RMA8" s="1202"/>
      <c r="RMB8" s="1202"/>
      <c r="RMC8" s="1202"/>
      <c r="RMD8" s="1202"/>
      <c r="RME8" s="1202"/>
      <c r="RMF8" s="1202"/>
      <c r="RMG8" s="1202"/>
      <c r="RMH8" s="1202"/>
      <c r="RMI8" s="1202"/>
      <c r="RMJ8" s="1202"/>
      <c r="RMK8" s="1202"/>
      <c r="RML8" s="1202"/>
      <c r="RMM8" s="1202"/>
      <c r="RMN8" s="1202"/>
      <c r="RMO8" s="1202"/>
      <c r="RMP8" s="1202"/>
      <c r="RMQ8" s="1202"/>
      <c r="RMR8" s="1202"/>
      <c r="RMS8" s="1202"/>
      <c r="RMT8" s="1202"/>
      <c r="RMU8" s="1202"/>
      <c r="RMV8" s="1202"/>
      <c r="RMW8" s="1202"/>
      <c r="RMX8" s="1202"/>
      <c r="RMY8" s="1202"/>
      <c r="RMZ8" s="1202"/>
      <c r="RNA8" s="1202"/>
      <c r="RNB8" s="1202"/>
      <c r="RNC8" s="1202"/>
      <c r="RND8" s="1202"/>
      <c r="RNE8" s="1202"/>
      <c r="RNF8" s="1202"/>
      <c r="RNG8" s="1202"/>
      <c r="RNH8" s="1202"/>
      <c r="RNI8" s="1202"/>
      <c r="RNJ8" s="1202"/>
      <c r="RNK8" s="1202"/>
      <c r="RNL8" s="1202"/>
      <c r="RNM8" s="1202"/>
      <c r="RNN8" s="1202"/>
      <c r="RNO8" s="1202"/>
      <c r="RNP8" s="1202"/>
      <c r="RNQ8" s="1202"/>
      <c r="RNR8" s="1202"/>
      <c r="RNS8" s="1202"/>
      <c r="RNT8" s="1202"/>
      <c r="RNU8" s="1202"/>
      <c r="RNV8" s="1202"/>
      <c r="RNW8" s="1202"/>
      <c r="RNX8" s="1202"/>
      <c r="RNY8" s="1202"/>
      <c r="RNZ8" s="1202"/>
      <c r="ROA8" s="1202"/>
      <c r="ROB8" s="1202"/>
      <c r="ROC8" s="1202"/>
      <c r="ROD8" s="1202"/>
      <c r="ROE8" s="1202"/>
      <c r="ROF8" s="1202"/>
      <c r="ROG8" s="1202"/>
      <c r="ROH8" s="1202"/>
      <c r="ROI8" s="1202"/>
      <c r="ROJ8" s="1202"/>
      <c r="ROK8" s="1202"/>
      <c r="ROL8" s="1202"/>
      <c r="ROM8" s="1202"/>
      <c r="RON8" s="1202"/>
      <c r="ROO8" s="1202"/>
      <c r="ROP8" s="1202"/>
      <c r="ROQ8" s="1202"/>
      <c r="ROR8" s="1202"/>
      <c r="ROS8" s="1202"/>
      <c r="ROT8" s="1202"/>
      <c r="ROU8" s="1202"/>
      <c r="ROV8" s="1202"/>
      <c r="ROW8" s="1202"/>
      <c r="ROX8" s="1202"/>
      <c r="ROY8" s="1202"/>
      <c r="ROZ8" s="1202"/>
      <c r="RPA8" s="1202"/>
      <c r="RPB8" s="1202"/>
      <c r="RPC8" s="1202"/>
      <c r="RPD8" s="1202"/>
      <c r="RPE8" s="1202"/>
      <c r="RPF8" s="1202"/>
      <c r="RPG8" s="1202"/>
      <c r="RPH8" s="1202"/>
      <c r="RPI8" s="1202"/>
      <c r="RPJ8" s="1202"/>
      <c r="RPK8" s="1202"/>
      <c r="RPL8" s="1202"/>
      <c r="RPM8" s="1202"/>
      <c r="RPN8" s="1202"/>
      <c r="RPO8" s="1202"/>
      <c r="RPP8" s="1202"/>
      <c r="RPQ8" s="1202"/>
      <c r="RPR8" s="1202"/>
      <c r="RPS8" s="1202"/>
      <c r="RPT8" s="1202"/>
      <c r="RPU8" s="1202"/>
      <c r="RPV8" s="1202"/>
      <c r="RPW8" s="1202"/>
      <c r="RPX8" s="1202"/>
      <c r="RPY8" s="1202"/>
      <c r="RPZ8" s="1202"/>
      <c r="RQA8" s="1202"/>
      <c r="RQB8" s="1202"/>
      <c r="RQC8" s="1202"/>
      <c r="RQD8" s="1202"/>
      <c r="RQE8" s="1202"/>
      <c r="RQF8" s="1202"/>
      <c r="RQG8" s="1202"/>
      <c r="RQH8" s="1202"/>
      <c r="RQI8" s="1202"/>
      <c r="RQJ8" s="1202"/>
      <c r="RQK8" s="1202"/>
      <c r="RQL8" s="1202"/>
      <c r="RQM8" s="1202"/>
      <c r="RQN8" s="1202"/>
      <c r="RQO8" s="1202"/>
      <c r="RQP8" s="1202"/>
      <c r="RQQ8" s="1202"/>
      <c r="RQR8" s="1202"/>
      <c r="RQS8" s="1202"/>
      <c r="RQT8" s="1202"/>
      <c r="RQU8" s="1202"/>
      <c r="RQV8" s="1202"/>
      <c r="RQW8" s="1202"/>
      <c r="RQX8" s="1202"/>
      <c r="RQY8" s="1202"/>
      <c r="RQZ8" s="1202"/>
      <c r="RRA8" s="1202"/>
      <c r="RRB8" s="1202"/>
      <c r="RRC8" s="1202"/>
      <c r="RRD8" s="1202"/>
      <c r="RRE8" s="1202"/>
      <c r="RRF8" s="1202"/>
      <c r="RRG8" s="1202"/>
      <c r="RRH8" s="1202"/>
      <c r="RRI8" s="1202"/>
      <c r="RRJ8" s="1202"/>
      <c r="RRK8" s="1202"/>
      <c r="RRL8" s="1202"/>
      <c r="RRM8" s="1202"/>
      <c r="RRN8" s="1202"/>
      <c r="RRO8" s="1202"/>
      <c r="RRP8" s="1202"/>
      <c r="RRQ8" s="1202"/>
      <c r="RRR8" s="1202"/>
      <c r="RRS8" s="1202"/>
      <c r="RRT8" s="1202"/>
      <c r="RRU8" s="1202"/>
      <c r="RRV8" s="1202"/>
      <c r="RRW8" s="1202"/>
      <c r="RRX8" s="1202"/>
      <c r="RRY8" s="1202"/>
      <c r="RRZ8" s="1202"/>
      <c r="RSA8" s="1202"/>
      <c r="RSB8" s="1202"/>
      <c r="RSC8" s="1202"/>
      <c r="RSD8" s="1202"/>
      <c r="RSE8" s="1202"/>
      <c r="RSF8" s="1202"/>
      <c r="RSG8" s="1202"/>
      <c r="RSH8" s="1202"/>
      <c r="RSI8" s="1202"/>
      <c r="RSJ8" s="1202"/>
      <c r="RSK8" s="1202"/>
      <c r="RSL8" s="1202"/>
      <c r="RSM8" s="1202"/>
      <c r="RSN8" s="1202"/>
      <c r="RSO8" s="1202"/>
      <c r="RSP8" s="1202"/>
      <c r="RSQ8" s="1202"/>
      <c r="RSR8" s="1202"/>
      <c r="RSS8" s="1202"/>
      <c r="RST8" s="1202"/>
      <c r="RSU8" s="1202"/>
      <c r="RSV8" s="1202"/>
      <c r="RSW8" s="1202"/>
      <c r="RSX8" s="1202"/>
      <c r="RSY8" s="1202"/>
      <c r="RSZ8" s="1202"/>
      <c r="RTA8" s="1202"/>
      <c r="RTB8" s="1202"/>
      <c r="RTC8" s="1202"/>
      <c r="RTD8" s="1202"/>
      <c r="RTE8" s="1202"/>
      <c r="RTF8" s="1202"/>
      <c r="RTG8" s="1202"/>
      <c r="RTH8" s="1202"/>
      <c r="RTI8" s="1202"/>
      <c r="RTJ8" s="1202"/>
      <c r="RTK8" s="1202"/>
      <c r="RTL8" s="1202"/>
      <c r="RTM8" s="1202"/>
      <c r="RTN8" s="1202"/>
      <c r="RTO8" s="1202"/>
      <c r="RTP8" s="1202"/>
      <c r="RTQ8" s="1202"/>
      <c r="RTR8" s="1202"/>
      <c r="RTS8" s="1202"/>
      <c r="RTT8" s="1202"/>
      <c r="RTU8" s="1202"/>
      <c r="RTV8" s="1202"/>
      <c r="RTW8" s="1202"/>
      <c r="RTX8" s="1202"/>
      <c r="RTY8" s="1202"/>
      <c r="RTZ8" s="1202"/>
      <c r="RUA8" s="1202"/>
      <c r="RUB8" s="1202"/>
      <c r="RUC8" s="1202"/>
      <c r="RUD8" s="1202"/>
      <c r="RUE8" s="1202"/>
      <c r="RUF8" s="1202"/>
      <c r="RUG8" s="1202"/>
      <c r="RUH8" s="1202"/>
      <c r="RUI8" s="1202"/>
      <c r="RUJ8" s="1202"/>
      <c r="RUK8" s="1202"/>
      <c r="RUL8" s="1202"/>
      <c r="RUM8" s="1202"/>
      <c r="RUN8" s="1202"/>
      <c r="RUO8" s="1202"/>
      <c r="RUP8" s="1202"/>
      <c r="RUQ8" s="1202"/>
      <c r="RUR8" s="1202"/>
      <c r="RUS8" s="1202"/>
      <c r="RUT8" s="1202"/>
      <c r="RUU8" s="1202"/>
      <c r="RUV8" s="1202"/>
      <c r="RUW8" s="1202"/>
      <c r="RUX8" s="1202"/>
      <c r="RUY8" s="1202"/>
      <c r="RUZ8" s="1202"/>
      <c r="RVA8" s="1202"/>
      <c r="RVB8" s="1202"/>
      <c r="RVC8" s="1202"/>
      <c r="RVD8" s="1202"/>
      <c r="RVE8" s="1202"/>
      <c r="RVF8" s="1202"/>
      <c r="RVG8" s="1202"/>
      <c r="RVH8" s="1202"/>
      <c r="RVI8" s="1202"/>
      <c r="RVJ8" s="1202"/>
      <c r="RVK8" s="1202"/>
      <c r="RVL8" s="1202"/>
      <c r="RVM8" s="1202"/>
      <c r="RVN8" s="1202"/>
      <c r="RVO8" s="1202"/>
      <c r="RVP8" s="1202"/>
      <c r="RVQ8" s="1202"/>
      <c r="RVR8" s="1202"/>
      <c r="RVS8" s="1202"/>
      <c r="RVT8" s="1202"/>
      <c r="RVU8" s="1202"/>
      <c r="RVV8" s="1202"/>
      <c r="RVW8" s="1202"/>
      <c r="RVX8" s="1202"/>
      <c r="RVY8" s="1202"/>
      <c r="RVZ8" s="1202"/>
      <c r="RWA8" s="1202"/>
      <c r="RWB8" s="1202"/>
      <c r="RWC8" s="1202"/>
      <c r="RWD8" s="1202"/>
      <c r="RWE8" s="1202"/>
      <c r="RWF8" s="1202"/>
      <c r="RWG8" s="1202"/>
      <c r="RWH8" s="1202"/>
      <c r="RWI8" s="1202"/>
      <c r="RWJ8" s="1202"/>
      <c r="RWK8" s="1202"/>
      <c r="RWL8" s="1202"/>
      <c r="RWM8" s="1202"/>
      <c r="RWN8" s="1202"/>
      <c r="RWO8" s="1202"/>
      <c r="RWP8" s="1202"/>
      <c r="RWQ8" s="1202"/>
      <c r="RWR8" s="1202"/>
      <c r="RWS8" s="1202"/>
      <c r="RWT8" s="1202"/>
      <c r="RWU8" s="1202"/>
      <c r="RWV8" s="1202"/>
      <c r="RWW8" s="1202"/>
      <c r="RWX8" s="1202"/>
      <c r="RWY8" s="1202"/>
      <c r="RWZ8" s="1202"/>
      <c r="RXA8" s="1202"/>
      <c r="RXB8" s="1202"/>
      <c r="RXC8" s="1202"/>
      <c r="RXD8" s="1202"/>
      <c r="RXE8" s="1202"/>
      <c r="RXF8" s="1202"/>
      <c r="RXG8" s="1202"/>
      <c r="RXH8" s="1202"/>
      <c r="RXI8" s="1202"/>
      <c r="RXJ8" s="1202"/>
      <c r="RXK8" s="1202"/>
      <c r="RXL8" s="1202"/>
      <c r="RXM8" s="1202"/>
      <c r="RXN8" s="1202"/>
      <c r="RXO8" s="1202"/>
      <c r="RXP8" s="1202"/>
      <c r="RXQ8" s="1202"/>
      <c r="RXR8" s="1202"/>
      <c r="RXS8" s="1202"/>
      <c r="RXT8" s="1202"/>
      <c r="RXU8" s="1202"/>
      <c r="RXV8" s="1202"/>
      <c r="RXW8" s="1202"/>
      <c r="RXX8" s="1202"/>
      <c r="RXY8" s="1202"/>
      <c r="RXZ8" s="1202"/>
      <c r="RYA8" s="1202"/>
      <c r="RYB8" s="1202"/>
      <c r="RYC8" s="1202"/>
      <c r="RYD8" s="1202"/>
      <c r="RYE8" s="1202"/>
      <c r="RYF8" s="1202"/>
      <c r="RYG8" s="1202"/>
      <c r="RYH8" s="1202"/>
      <c r="RYI8" s="1202"/>
      <c r="RYJ8" s="1202"/>
      <c r="RYK8" s="1202"/>
      <c r="RYL8" s="1202"/>
      <c r="RYM8" s="1202"/>
      <c r="RYN8" s="1202"/>
      <c r="RYO8" s="1202"/>
      <c r="RYP8" s="1202"/>
      <c r="RYQ8" s="1202"/>
      <c r="RYR8" s="1202"/>
      <c r="RYS8" s="1202"/>
      <c r="RYT8" s="1202"/>
      <c r="RYU8" s="1202"/>
      <c r="RYV8" s="1202"/>
      <c r="RYW8" s="1202"/>
      <c r="RYX8" s="1202"/>
      <c r="RYY8" s="1202"/>
      <c r="RYZ8" s="1202"/>
      <c r="RZA8" s="1202"/>
      <c r="RZB8" s="1202"/>
      <c r="RZC8" s="1202"/>
      <c r="RZD8" s="1202"/>
      <c r="RZE8" s="1202"/>
      <c r="RZF8" s="1202"/>
      <c r="RZG8" s="1202"/>
      <c r="RZH8" s="1202"/>
      <c r="RZI8" s="1202"/>
      <c r="RZJ8" s="1202"/>
      <c r="RZK8" s="1202"/>
      <c r="RZL8" s="1202"/>
      <c r="RZM8" s="1202"/>
      <c r="RZN8" s="1202"/>
      <c r="RZO8" s="1202"/>
      <c r="RZP8" s="1202"/>
      <c r="RZQ8" s="1202"/>
      <c r="RZR8" s="1202"/>
      <c r="RZS8" s="1202"/>
      <c r="RZT8" s="1202"/>
      <c r="RZU8" s="1202"/>
      <c r="RZV8" s="1202"/>
      <c r="RZW8" s="1202"/>
      <c r="RZX8" s="1202"/>
      <c r="RZY8" s="1202"/>
      <c r="RZZ8" s="1202"/>
      <c r="SAA8" s="1202"/>
      <c r="SAB8" s="1202"/>
      <c r="SAC8" s="1202"/>
      <c r="SAD8" s="1202"/>
      <c r="SAE8" s="1202"/>
      <c r="SAF8" s="1202"/>
      <c r="SAG8" s="1202"/>
      <c r="SAH8" s="1202"/>
      <c r="SAI8" s="1202"/>
      <c r="SAJ8" s="1202"/>
      <c r="SAK8" s="1202"/>
      <c r="SAL8" s="1202"/>
      <c r="SAM8" s="1202"/>
      <c r="SAN8" s="1202"/>
      <c r="SAO8" s="1202"/>
      <c r="SAP8" s="1202"/>
      <c r="SAQ8" s="1202"/>
      <c r="SAR8" s="1202"/>
      <c r="SAS8" s="1202"/>
      <c r="SAT8" s="1202"/>
      <c r="SAU8" s="1202"/>
      <c r="SAV8" s="1202"/>
      <c r="SAW8" s="1202"/>
      <c r="SAX8" s="1202"/>
      <c r="SAY8" s="1202"/>
      <c r="SAZ8" s="1202"/>
      <c r="SBA8" s="1202"/>
      <c r="SBB8" s="1202"/>
      <c r="SBC8" s="1202"/>
      <c r="SBD8" s="1202"/>
      <c r="SBE8" s="1202"/>
      <c r="SBF8" s="1202"/>
      <c r="SBG8" s="1202"/>
      <c r="SBH8" s="1202"/>
      <c r="SBI8" s="1202"/>
      <c r="SBJ8" s="1202"/>
      <c r="SBK8" s="1202"/>
      <c r="SBL8" s="1202"/>
      <c r="SBM8" s="1202"/>
      <c r="SBN8" s="1202"/>
      <c r="SBO8" s="1202"/>
      <c r="SBP8" s="1202"/>
      <c r="SBQ8" s="1202"/>
      <c r="SBR8" s="1202"/>
      <c r="SBS8" s="1202"/>
      <c r="SBT8" s="1202"/>
      <c r="SBU8" s="1202"/>
      <c r="SBV8" s="1202"/>
      <c r="SBW8" s="1202"/>
      <c r="SBX8" s="1202"/>
      <c r="SBY8" s="1202"/>
      <c r="SBZ8" s="1202"/>
      <c r="SCA8" s="1202"/>
      <c r="SCB8" s="1202"/>
      <c r="SCC8" s="1202"/>
      <c r="SCD8" s="1202"/>
      <c r="SCE8" s="1202"/>
      <c r="SCF8" s="1202"/>
      <c r="SCG8" s="1202"/>
      <c r="SCH8" s="1202"/>
      <c r="SCI8" s="1202"/>
      <c r="SCJ8" s="1202"/>
      <c r="SCK8" s="1202"/>
      <c r="SCL8" s="1202"/>
      <c r="SCM8" s="1202"/>
      <c r="SCN8" s="1202"/>
      <c r="SCO8" s="1202"/>
      <c r="SCP8" s="1202"/>
      <c r="SCQ8" s="1202"/>
      <c r="SCR8" s="1202"/>
      <c r="SCS8" s="1202"/>
      <c r="SCT8" s="1202"/>
      <c r="SCU8" s="1202"/>
      <c r="SCV8" s="1202"/>
      <c r="SCW8" s="1202"/>
      <c r="SCX8" s="1202"/>
      <c r="SCY8" s="1202"/>
      <c r="SCZ8" s="1202"/>
      <c r="SDA8" s="1202"/>
      <c r="SDB8" s="1202"/>
      <c r="SDC8" s="1202"/>
      <c r="SDD8" s="1202"/>
      <c r="SDE8" s="1202"/>
      <c r="SDF8" s="1202"/>
      <c r="SDG8" s="1202"/>
      <c r="SDH8" s="1202"/>
      <c r="SDI8" s="1202"/>
      <c r="SDJ8" s="1202"/>
      <c r="SDK8" s="1202"/>
      <c r="SDL8" s="1202"/>
      <c r="SDM8" s="1202"/>
      <c r="SDN8" s="1202"/>
      <c r="SDO8" s="1202"/>
      <c r="SDP8" s="1202"/>
      <c r="SDQ8" s="1202"/>
      <c r="SDR8" s="1202"/>
      <c r="SDS8" s="1202"/>
      <c r="SDT8" s="1202"/>
      <c r="SDU8" s="1202"/>
      <c r="SDV8" s="1202"/>
      <c r="SDW8" s="1202"/>
      <c r="SDX8" s="1202"/>
      <c r="SDY8" s="1202"/>
      <c r="SDZ8" s="1202"/>
      <c r="SEA8" s="1202"/>
      <c r="SEB8" s="1202"/>
      <c r="SEC8" s="1202"/>
      <c r="SED8" s="1202"/>
      <c r="SEE8" s="1202"/>
      <c r="SEF8" s="1202"/>
      <c r="SEG8" s="1202"/>
      <c r="SEH8" s="1202"/>
      <c r="SEI8" s="1202"/>
      <c r="SEJ8" s="1202"/>
      <c r="SEK8" s="1202"/>
      <c r="SEL8" s="1202"/>
      <c r="SEM8" s="1202"/>
      <c r="SEN8" s="1202"/>
      <c r="SEO8" s="1202"/>
      <c r="SEP8" s="1202"/>
      <c r="SEQ8" s="1202"/>
      <c r="SER8" s="1202"/>
      <c r="SES8" s="1202"/>
      <c r="SET8" s="1202"/>
      <c r="SEU8" s="1202"/>
      <c r="SEV8" s="1202"/>
      <c r="SEW8" s="1202"/>
      <c r="SEX8" s="1202"/>
      <c r="SEY8" s="1202"/>
      <c r="SEZ8" s="1202"/>
      <c r="SFA8" s="1202"/>
      <c r="SFB8" s="1202"/>
      <c r="SFC8" s="1202"/>
      <c r="SFD8" s="1202"/>
      <c r="SFE8" s="1202"/>
      <c r="SFF8" s="1202"/>
      <c r="SFG8" s="1202"/>
      <c r="SFH8" s="1202"/>
      <c r="SFI8" s="1202"/>
      <c r="SFJ8" s="1202"/>
      <c r="SFK8" s="1202"/>
      <c r="SFL8" s="1202"/>
      <c r="SFM8" s="1202"/>
      <c r="SFN8" s="1202"/>
      <c r="SFO8" s="1202"/>
      <c r="SFP8" s="1202"/>
      <c r="SFQ8" s="1202"/>
      <c r="SFR8" s="1202"/>
      <c r="SFS8" s="1202"/>
      <c r="SFT8" s="1202"/>
      <c r="SFU8" s="1202"/>
      <c r="SFV8" s="1202"/>
      <c r="SFW8" s="1202"/>
      <c r="SFX8" s="1202"/>
      <c r="SFY8" s="1202"/>
      <c r="SFZ8" s="1202"/>
      <c r="SGA8" s="1202"/>
      <c r="SGB8" s="1202"/>
      <c r="SGC8" s="1202"/>
      <c r="SGD8" s="1202"/>
      <c r="SGE8" s="1202"/>
      <c r="SGF8" s="1202"/>
      <c r="SGG8" s="1202"/>
      <c r="SGH8" s="1202"/>
      <c r="SGI8" s="1202"/>
      <c r="SGJ8" s="1202"/>
      <c r="SGK8" s="1202"/>
      <c r="SGL8" s="1202"/>
      <c r="SGM8" s="1202"/>
      <c r="SGN8" s="1202"/>
      <c r="SGO8" s="1202"/>
      <c r="SGP8" s="1202"/>
      <c r="SGQ8" s="1202"/>
      <c r="SGR8" s="1202"/>
      <c r="SGS8" s="1202"/>
      <c r="SGT8" s="1202"/>
      <c r="SGU8" s="1202"/>
      <c r="SGV8" s="1202"/>
      <c r="SGW8" s="1202"/>
      <c r="SGX8" s="1202"/>
      <c r="SGY8" s="1202"/>
      <c r="SGZ8" s="1202"/>
      <c r="SHA8" s="1202"/>
      <c r="SHB8" s="1202"/>
      <c r="SHC8" s="1202"/>
      <c r="SHD8" s="1202"/>
      <c r="SHE8" s="1202"/>
      <c r="SHF8" s="1202"/>
      <c r="SHG8" s="1202"/>
      <c r="SHH8" s="1202"/>
      <c r="SHI8" s="1202"/>
      <c r="SHJ8" s="1202"/>
      <c r="SHK8" s="1202"/>
      <c r="SHL8" s="1202"/>
      <c r="SHM8" s="1202"/>
      <c r="SHN8" s="1202"/>
      <c r="SHO8" s="1202"/>
      <c r="SHP8" s="1202"/>
      <c r="SHQ8" s="1202"/>
      <c r="SHR8" s="1202"/>
      <c r="SHS8" s="1202"/>
      <c r="SHT8" s="1202"/>
      <c r="SHU8" s="1202"/>
      <c r="SHV8" s="1202"/>
      <c r="SHW8" s="1202"/>
      <c r="SHX8" s="1202"/>
      <c r="SHY8" s="1202"/>
      <c r="SHZ8" s="1202"/>
      <c r="SIA8" s="1202"/>
      <c r="SIB8" s="1202"/>
      <c r="SIC8" s="1202"/>
      <c r="SID8" s="1202"/>
      <c r="SIE8" s="1202"/>
      <c r="SIF8" s="1202"/>
      <c r="SIG8" s="1202"/>
      <c r="SIH8" s="1202"/>
      <c r="SII8" s="1202"/>
      <c r="SIJ8" s="1202"/>
      <c r="SIK8" s="1202"/>
      <c r="SIL8" s="1202"/>
      <c r="SIM8" s="1202"/>
      <c r="SIN8" s="1202"/>
      <c r="SIO8" s="1202"/>
      <c r="SIP8" s="1202"/>
      <c r="SIQ8" s="1202"/>
      <c r="SIR8" s="1202"/>
      <c r="SIS8" s="1202"/>
      <c r="SIT8" s="1202"/>
      <c r="SIU8" s="1202"/>
      <c r="SIV8" s="1202"/>
      <c r="SIW8" s="1202"/>
      <c r="SIX8" s="1202"/>
      <c r="SIY8" s="1202"/>
      <c r="SIZ8" s="1202"/>
      <c r="SJA8" s="1202"/>
      <c r="SJB8" s="1202"/>
      <c r="SJC8" s="1202"/>
      <c r="SJD8" s="1202"/>
      <c r="SJE8" s="1202"/>
      <c r="SJF8" s="1202"/>
      <c r="SJG8" s="1202"/>
      <c r="SJH8" s="1202"/>
      <c r="SJI8" s="1202"/>
      <c r="SJJ8" s="1202"/>
      <c r="SJK8" s="1202"/>
      <c r="SJL8" s="1202"/>
      <c r="SJM8" s="1202"/>
      <c r="SJN8" s="1202"/>
      <c r="SJO8" s="1202"/>
      <c r="SJP8" s="1202"/>
      <c r="SJQ8" s="1202"/>
      <c r="SJR8" s="1202"/>
      <c r="SJS8" s="1202"/>
      <c r="SJT8" s="1202"/>
      <c r="SJU8" s="1202"/>
      <c r="SJV8" s="1202"/>
      <c r="SJW8" s="1202"/>
      <c r="SJX8" s="1202"/>
      <c r="SJY8" s="1202"/>
      <c r="SJZ8" s="1202"/>
      <c r="SKA8" s="1202"/>
      <c r="SKB8" s="1202"/>
      <c r="SKC8" s="1202"/>
      <c r="SKD8" s="1202"/>
      <c r="SKE8" s="1202"/>
      <c r="SKF8" s="1202"/>
      <c r="SKG8" s="1202"/>
      <c r="SKH8" s="1202"/>
      <c r="SKI8" s="1202"/>
      <c r="SKJ8" s="1202"/>
      <c r="SKK8" s="1202"/>
      <c r="SKL8" s="1202"/>
      <c r="SKM8" s="1202"/>
      <c r="SKN8" s="1202"/>
      <c r="SKO8" s="1202"/>
      <c r="SKP8" s="1202"/>
      <c r="SKQ8" s="1202"/>
      <c r="SKR8" s="1202"/>
      <c r="SKS8" s="1202"/>
      <c r="SKT8" s="1202"/>
      <c r="SKU8" s="1202"/>
      <c r="SKV8" s="1202"/>
      <c r="SKW8" s="1202"/>
      <c r="SKX8" s="1202"/>
      <c r="SKY8" s="1202"/>
      <c r="SKZ8" s="1202"/>
      <c r="SLA8" s="1202"/>
      <c r="SLB8" s="1202"/>
      <c r="SLC8" s="1202"/>
      <c r="SLD8" s="1202"/>
      <c r="SLE8" s="1202"/>
      <c r="SLF8" s="1202"/>
      <c r="SLG8" s="1202"/>
      <c r="SLH8" s="1202"/>
      <c r="SLI8" s="1202"/>
      <c r="SLJ8" s="1202"/>
      <c r="SLK8" s="1202"/>
      <c r="SLL8" s="1202"/>
      <c r="SLM8" s="1202"/>
      <c r="SLN8" s="1202"/>
      <c r="SLO8" s="1202"/>
      <c r="SLP8" s="1202"/>
      <c r="SLQ8" s="1202"/>
      <c r="SLR8" s="1202"/>
      <c r="SLS8" s="1202"/>
      <c r="SLT8" s="1202"/>
      <c r="SLU8" s="1202"/>
      <c r="SLV8" s="1202"/>
      <c r="SLW8" s="1202"/>
      <c r="SLX8" s="1202"/>
      <c r="SLY8" s="1202"/>
      <c r="SLZ8" s="1202"/>
      <c r="SMA8" s="1202"/>
      <c r="SMB8" s="1202"/>
      <c r="SMC8" s="1202"/>
      <c r="SMD8" s="1202"/>
      <c r="SME8" s="1202"/>
      <c r="SMF8" s="1202"/>
      <c r="SMG8" s="1202"/>
      <c r="SMH8" s="1202"/>
      <c r="SMI8" s="1202"/>
      <c r="SMJ8" s="1202"/>
      <c r="SMK8" s="1202"/>
      <c r="SML8" s="1202"/>
      <c r="SMM8" s="1202"/>
      <c r="SMN8" s="1202"/>
      <c r="SMO8" s="1202"/>
      <c r="SMP8" s="1202"/>
      <c r="SMQ8" s="1202"/>
      <c r="SMR8" s="1202"/>
      <c r="SMS8" s="1202"/>
      <c r="SMT8" s="1202"/>
      <c r="SMU8" s="1202"/>
      <c r="SMV8" s="1202"/>
      <c r="SMW8" s="1202"/>
      <c r="SMX8" s="1202"/>
      <c r="SMY8" s="1202"/>
      <c r="SMZ8" s="1202"/>
      <c r="SNA8" s="1202"/>
      <c r="SNB8" s="1202"/>
      <c r="SNC8" s="1202"/>
      <c r="SND8" s="1202"/>
      <c r="SNE8" s="1202"/>
      <c r="SNF8" s="1202"/>
      <c r="SNG8" s="1202"/>
      <c r="SNH8" s="1202"/>
      <c r="SNI8" s="1202"/>
      <c r="SNJ8" s="1202"/>
      <c r="SNK8" s="1202"/>
      <c r="SNL8" s="1202"/>
      <c r="SNM8" s="1202"/>
      <c r="SNN8" s="1202"/>
      <c r="SNO8" s="1202"/>
      <c r="SNP8" s="1202"/>
      <c r="SNQ8" s="1202"/>
      <c r="SNR8" s="1202"/>
      <c r="SNS8" s="1202"/>
      <c r="SNT8" s="1202"/>
      <c r="SNU8" s="1202"/>
      <c r="SNV8" s="1202"/>
      <c r="SNW8" s="1202"/>
      <c r="SNX8" s="1202"/>
      <c r="SNY8" s="1202"/>
      <c r="SNZ8" s="1202"/>
      <c r="SOA8" s="1202"/>
      <c r="SOB8" s="1202"/>
      <c r="SOC8" s="1202"/>
      <c r="SOD8" s="1202"/>
      <c r="SOE8" s="1202"/>
      <c r="SOF8" s="1202"/>
      <c r="SOG8" s="1202"/>
      <c r="SOH8" s="1202"/>
      <c r="SOI8" s="1202"/>
      <c r="SOJ8" s="1202"/>
      <c r="SOK8" s="1202"/>
      <c r="SOL8" s="1202"/>
      <c r="SOM8" s="1202"/>
      <c r="SON8" s="1202"/>
      <c r="SOO8" s="1202"/>
      <c r="SOP8" s="1202"/>
      <c r="SOQ8" s="1202"/>
      <c r="SOR8" s="1202"/>
      <c r="SOS8" s="1202"/>
      <c r="SOT8" s="1202"/>
      <c r="SOU8" s="1202"/>
      <c r="SOV8" s="1202"/>
      <c r="SOW8" s="1202"/>
      <c r="SOX8" s="1202"/>
      <c r="SOY8" s="1202"/>
      <c r="SOZ8" s="1202"/>
      <c r="SPA8" s="1202"/>
      <c r="SPB8" s="1202"/>
      <c r="SPC8" s="1202"/>
      <c r="SPD8" s="1202"/>
      <c r="SPE8" s="1202"/>
      <c r="SPF8" s="1202"/>
      <c r="SPG8" s="1202"/>
      <c r="SPH8" s="1202"/>
      <c r="SPI8" s="1202"/>
      <c r="SPJ8" s="1202"/>
      <c r="SPK8" s="1202"/>
      <c r="SPL8" s="1202"/>
      <c r="SPM8" s="1202"/>
      <c r="SPN8" s="1202"/>
      <c r="SPO8" s="1202"/>
      <c r="SPP8" s="1202"/>
      <c r="SPQ8" s="1202"/>
      <c r="SPR8" s="1202"/>
      <c r="SPS8" s="1202"/>
      <c r="SPT8" s="1202"/>
      <c r="SPU8" s="1202"/>
      <c r="SPV8" s="1202"/>
      <c r="SPW8" s="1202"/>
      <c r="SPX8" s="1202"/>
      <c r="SPY8" s="1202"/>
      <c r="SPZ8" s="1202"/>
      <c r="SQA8" s="1202"/>
      <c r="SQB8" s="1202"/>
      <c r="SQC8" s="1202"/>
      <c r="SQD8" s="1202"/>
      <c r="SQE8" s="1202"/>
      <c r="SQF8" s="1202"/>
      <c r="SQG8" s="1202"/>
      <c r="SQH8" s="1202"/>
      <c r="SQI8" s="1202"/>
      <c r="SQJ8" s="1202"/>
      <c r="SQK8" s="1202"/>
      <c r="SQL8" s="1202"/>
      <c r="SQM8" s="1202"/>
      <c r="SQN8" s="1202"/>
      <c r="SQO8" s="1202"/>
      <c r="SQP8" s="1202"/>
      <c r="SQQ8" s="1202"/>
      <c r="SQR8" s="1202"/>
      <c r="SQS8" s="1202"/>
      <c r="SQT8" s="1202"/>
      <c r="SQU8" s="1202"/>
      <c r="SQV8" s="1202"/>
      <c r="SQW8" s="1202"/>
      <c r="SQX8" s="1202"/>
      <c r="SQY8" s="1202"/>
      <c r="SQZ8" s="1202"/>
      <c r="SRA8" s="1202"/>
      <c r="SRB8" s="1202"/>
      <c r="SRC8" s="1202"/>
      <c r="SRD8" s="1202"/>
      <c r="SRE8" s="1202"/>
      <c r="SRF8" s="1202"/>
      <c r="SRG8" s="1202"/>
      <c r="SRH8" s="1202"/>
      <c r="SRI8" s="1202"/>
      <c r="SRJ8" s="1202"/>
      <c r="SRK8" s="1202"/>
      <c r="SRL8" s="1202"/>
      <c r="SRM8" s="1202"/>
      <c r="SRN8" s="1202"/>
      <c r="SRO8" s="1202"/>
      <c r="SRP8" s="1202"/>
      <c r="SRQ8" s="1202"/>
      <c r="SRR8" s="1202"/>
      <c r="SRS8" s="1202"/>
      <c r="SRT8" s="1202"/>
      <c r="SRU8" s="1202"/>
      <c r="SRV8" s="1202"/>
      <c r="SRW8" s="1202"/>
      <c r="SRX8" s="1202"/>
      <c r="SRY8" s="1202"/>
      <c r="SRZ8" s="1202"/>
      <c r="SSA8" s="1202"/>
      <c r="SSB8" s="1202"/>
      <c r="SSC8" s="1202"/>
      <c r="SSD8" s="1202"/>
      <c r="SSE8" s="1202"/>
      <c r="SSF8" s="1202"/>
      <c r="SSG8" s="1202"/>
      <c r="SSH8" s="1202"/>
      <c r="SSI8" s="1202"/>
      <c r="SSJ8" s="1202"/>
      <c r="SSK8" s="1202"/>
      <c r="SSL8" s="1202"/>
      <c r="SSM8" s="1202"/>
      <c r="SSN8" s="1202"/>
      <c r="SSO8" s="1202"/>
      <c r="SSP8" s="1202"/>
      <c r="SSQ8" s="1202"/>
      <c r="SSR8" s="1202"/>
      <c r="SSS8" s="1202"/>
      <c r="SST8" s="1202"/>
      <c r="SSU8" s="1202"/>
      <c r="SSV8" s="1202"/>
      <c r="SSW8" s="1202"/>
      <c r="SSX8" s="1202"/>
      <c r="SSY8" s="1202"/>
      <c r="SSZ8" s="1202"/>
      <c r="STA8" s="1202"/>
      <c r="STB8" s="1202"/>
      <c r="STC8" s="1202"/>
      <c r="STD8" s="1202"/>
      <c r="STE8" s="1202"/>
      <c r="STF8" s="1202"/>
      <c r="STG8" s="1202"/>
      <c r="STH8" s="1202"/>
      <c r="STI8" s="1202"/>
      <c r="STJ8" s="1202"/>
      <c r="STK8" s="1202"/>
      <c r="STL8" s="1202"/>
      <c r="STM8" s="1202"/>
      <c r="STN8" s="1202"/>
      <c r="STO8" s="1202"/>
      <c r="STP8" s="1202"/>
      <c r="STQ8" s="1202"/>
      <c r="STR8" s="1202"/>
      <c r="STS8" s="1202"/>
      <c r="STT8" s="1202"/>
      <c r="STU8" s="1202"/>
      <c r="STV8" s="1202"/>
      <c r="STW8" s="1202"/>
      <c r="STX8" s="1202"/>
      <c r="STY8" s="1202"/>
      <c r="STZ8" s="1202"/>
      <c r="SUA8" s="1202"/>
      <c r="SUB8" s="1202"/>
      <c r="SUC8" s="1202"/>
      <c r="SUD8" s="1202"/>
      <c r="SUE8" s="1202"/>
      <c r="SUF8" s="1202"/>
      <c r="SUG8" s="1202"/>
      <c r="SUH8" s="1202"/>
      <c r="SUI8" s="1202"/>
      <c r="SUJ8" s="1202"/>
      <c r="SUK8" s="1202"/>
      <c r="SUL8" s="1202"/>
      <c r="SUM8" s="1202"/>
      <c r="SUN8" s="1202"/>
      <c r="SUO8" s="1202"/>
      <c r="SUP8" s="1202"/>
      <c r="SUQ8" s="1202"/>
      <c r="SUR8" s="1202"/>
      <c r="SUS8" s="1202"/>
      <c r="SUT8" s="1202"/>
      <c r="SUU8" s="1202"/>
      <c r="SUV8" s="1202"/>
      <c r="SUW8" s="1202"/>
      <c r="SUX8" s="1202"/>
      <c r="SUY8" s="1202"/>
      <c r="SUZ8" s="1202"/>
      <c r="SVA8" s="1202"/>
      <c r="SVB8" s="1202"/>
      <c r="SVC8" s="1202"/>
      <c r="SVD8" s="1202"/>
      <c r="SVE8" s="1202"/>
      <c r="SVF8" s="1202"/>
      <c r="SVG8" s="1202"/>
      <c r="SVH8" s="1202"/>
      <c r="SVI8" s="1202"/>
      <c r="SVJ8" s="1202"/>
      <c r="SVK8" s="1202"/>
      <c r="SVL8" s="1202"/>
      <c r="SVM8" s="1202"/>
      <c r="SVN8" s="1202"/>
      <c r="SVO8" s="1202"/>
      <c r="SVP8" s="1202"/>
      <c r="SVQ8" s="1202"/>
      <c r="SVR8" s="1202"/>
      <c r="SVS8" s="1202"/>
      <c r="SVT8" s="1202"/>
      <c r="SVU8" s="1202"/>
      <c r="SVV8" s="1202"/>
      <c r="SVW8" s="1202"/>
      <c r="SVX8" s="1202"/>
      <c r="SVY8" s="1202"/>
      <c r="SVZ8" s="1202"/>
      <c r="SWA8" s="1202"/>
      <c r="SWB8" s="1202"/>
      <c r="SWC8" s="1202"/>
      <c r="SWD8" s="1202"/>
      <c r="SWE8" s="1202"/>
      <c r="SWF8" s="1202"/>
      <c r="SWG8" s="1202"/>
      <c r="SWH8" s="1202"/>
      <c r="SWI8" s="1202"/>
      <c r="SWJ8" s="1202"/>
      <c r="SWK8" s="1202"/>
      <c r="SWL8" s="1202"/>
      <c r="SWM8" s="1202"/>
      <c r="SWN8" s="1202"/>
      <c r="SWO8" s="1202"/>
      <c r="SWP8" s="1202"/>
      <c r="SWQ8" s="1202"/>
      <c r="SWR8" s="1202"/>
      <c r="SWS8" s="1202"/>
      <c r="SWT8" s="1202"/>
      <c r="SWU8" s="1202"/>
      <c r="SWV8" s="1202"/>
      <c r="SWW8" s="1202"/>
      <c r="SWX8" s="1202"/>
      <c r="SWY8" s="1202"/>
      <c r="SWZ8" s="1202"/>
      <c r="SXA8" s="1202"/>
      <c r="SXB8" s="1202"/>
      <c r="SXC8" s="1202"/>
      <c r="SXD8" s="1202"/>
      <c r="SXE8" s="1202"/>
      <c r="SXF8" s="1202"/>
      <c r="SXG8" s="1202"/>
      <c r="SXH8" s="1202"/>
      <c r="SXI8" s="1202"/>
      <c r="SXJ8" s="1202"/>
      <c r="SXK8" s="1202"/>
      <c r="SXL8" s="1202"/>
      <c r="SXM8" s="1202"/>
      <c r="SXN8" s="1202"/>
      <c r="SXO8" s="1202"/>
      <c r="SXP8" s="1202"/>
      <c r="SXQ8" s="1202"/>
      <c r="SXR8" s="1202"/>
      <c r="SXS8" s="1202"/>
      <c r="SXT8" s="1202"/>
      <c r="SXU8" s="1202"/>
      <c r="SXV8" s="1202"/>
      <c r="SXW8" s="1202"/>
      <c r="SXX8" s="1202"/>
      <c r="SXY8" s="1202"/>
      <c r="SXZ8" s="1202"/>
      <c r="SYA8" s="1202"/>
      <c r="SYB8" s="1202"/>
      <c r="SYC8" s="1202"/>
      <c r="SYD8" s="1202"/>
      <c r="SYE8" s="1202"/>
      <c r="SYF8" s="1202"/>
      <c r="SYG8" s="1202"/>
      <c r="SYH8" s="1202"/>
      <c r="SYI8" s="1202"/>
      <c r="SYJ8" s="1202"/>
      <c r="SYK8" s="1202"/>
      <c r="SYL8" s="1202"/>
      <c r="SYM8" s="1202"/>
      <c r="SYN8" s="1202"/>
      <c r="SYO8" s="1202"/>
      <c r="SYP8" s="1202"/>
      <c r="SYQ8" s="1202"/>
      <c r="SYR8" s="1202"/>
      <c r="SYS8" s="1202"/>
      <c r="SYT8" s="1202"/>
      <c r="SYU8" s="1202"/>
      <c r="SYV8" s="1202"/>
      <c r="SYW8" s="1202"/>
      <c r="SYX8" s="1202"/>
      <c r="SYY8" s="1202"/>
      <c r="SYZ8" s="1202"/>
      <c r="SZA8" s="1202"/>
      <c r="SZB8" s="1202"/>
      <c r="SZC8" s="1202"/>
      <c r="SZD8" s="1202"/>
      <c r="SZE8" s="1202"/>
      <c r="SZF8" s="1202"/>
      <c r="SZG8" s="1202"/>
      <c r="SZH8" s="1202"/>
      <c r="SZI8" s="1202"/>
      <c r="SZJ8" s="1202"/>
      <c r="SZK8" s="1202"/>
      <c r="SZL8" s="1202"/>
      <c r="SZM8" s="1202"/>
      <c r="SZN8" s="1202"/>
      <c r="SZO8" s="1202"/>
      <c r="SZP8" s="1202"/>
      <c r="SZQ8" s="1202"/>
      <c r="SZR8" s="1202"/>
      <c r="SZS8" s="1202"/>
      <c r="SZT8" s="1202"/>
      <c r="SZU8" s="1202"/>
      <c r="SZV8" s="1202"/>
      <c r="SZW8" s="1202"/>
      <c r="SZX8" s="1202"/>
      <c r="SZY8" s="1202"/>
      <c r="SZZ8" s="1202"/>
      <c r="TAA8" s="1202"/>
      <c r="TAB8" s="1202"/>
      <c r="TAC8" s="1202"/>
      <c r="TAD8" s="1202"/>
      <c r="TAE8" s="1202"/>
      <c r="TAF8" s="1202"/>
      <c r="TAG8" s="1202"/>
      <c r="TAH8" s="1202"/>
      <c r="TAI8" s="1202"/>
      <c r="TAJ8" s="1202"/>
      <c r="TAK8" s="1202"/>
      <c r="TAL8" s="1202"/>
      <c r="TAM8" s="1202"/>
      <c r="TAN8" s="1202"/>
      <c r="TAO8" s="1202"/>
      <c r="TAP8" s="1202"/>
      <c r="TAQ8" s="1202"/>
      <c r="TAR8" s="1202"/>
      <c r="TAS8" s="1202"/>
      <c r="TAT8" s="1202"/>
      <c r="TAU8" s="1202"/>
      <c r="TAV8" s="1202"/>
      <c r="TAW8" s="1202"/>
      <c r="TAX8" s="1202"/>
      <c r="TAY8" s="1202"/>
      <c r="TAZ8" s="1202"/>
      <c r="TBA8" s="1202"/>
      <c r="TBB8" s="1202"/>
      <c r="TBC8" s="1202"/>
      <c r="TBD8" s="1202"/>
      <c r="TBE8" s="1202"/>
      <c r="TBF8" s="1202"/>
      <c r="TBG8" s="1202"/>
      <c r="TBH8" s="1202"/>
      <c r="TBI8" s="1202"/>
      <c r="TBJ8" s="1202"/>
      <c r="TBK8" s="1202"/>
      <c r="TBL8" s="1202"/>
      <c r="TBM8" s="1202"/>
      <c r="TBN8" s="1202"/>
      <c r="TBO8" s="1202"/>
      <c r="TBP8" s="1202"/>
      <c r="TBQ8" s="1202"/>
      <c r="TBR8" s="1202"/>
      <c r="TBS8" s="1202"/>
      <c r="TBT8" s="1202"/>
      <c r="TBU8" s="1202"/>
      <c r="TBV8" s="1202"/>
      <c r="TBW8" s="1202"/>
      <c r="TBX8" s="1202"/>
      <c r="TBY8" s="1202"/>
      <c r="TBZ8" s="1202"/>
      <c r="TCA8" s="1202"/>
      <c r="TCB8" s="1202"/>
      <c r="TCC8" s="1202"/>
      <c r="TCD8" s="1202"/>
      <c r="TCE8" s="1202"/>
      <c r="TCF8" s="1202"/>
      <c r="TCG8" s="1202"/>
      <c r="TCH8" s="1202"/>
      <c r="TCI8" s="1202"/>
      <c r="TCJ8" s="1202"/>
      <c r="TCK8" s="1202"/>
      <c r="TCL8" s="1202"/>
      <c r="TCM8" s="1202"/>
      <c r="TCN8" s="1202"/>
      <c r="TCO8" s="1202"/>
      <c r="TCP8" s="1202"/>
      <c r="TCQ8" s="1202"/>
      <c r="TCR8" s="1202"/>
      <c r="TCS8" s="1202"/>
      <c r="TCT8" s="1202"/>
      <c r="TCU8" s="1202"/>
      <c r="TCV8" s="1202"/>
      <c r="TCW8" s="1202"/>
      <c r="TCX8" s="1202"/>
      <c r="TCY8" s="1202"/>
      <c r="TCZ8" s="1202"/>
      <c r="TDA8" s="1202"/>
      <c r="TDB8" s="1202"/>
      <c r="TDC8" s="1202"/>
      <c r="TDD8" s="1202"/>
      <c r="TDE8" s="1202"/>
      <c r="TDF8" s="1202"/>
      <c r="TDG8" s="1202"/>
      <c r="TDH8" s="1202"/>
      <c r="TDI8" s="1202"/>
      <c r="TDJ8" s="1202"/>
      <c r="TDK8" s="1202"/>
      <c r="TDL8" s="1202"/>
      <c r="TDM8" s="1202"/>
      <c r="TDN8" s="1202"/>
      <c r="TDO8" s="1202"/>
      <c r="TDP8" s="1202"/>
      <c r="TDQ8" s="1202"/>
      <c r="TDR8" s="1202"/>
      <c r="TDS8" s="1202"/>
      <c r="TDT8" s="1202"/>
      <c r="TDU8" s="1202"/>
      <c r="TDV8" s="1202"/>
      <c r="TDW8" s="1202"/>
      <c r="TDX8" s="1202"/>
      <c r="TDY8" s="1202"/>
      <c r="TDZ8" s="1202"/>
      <c r="TEA8" s="1202"/>
      <c r="TEB8" s="1202"/>
      <c r="TEC8" s="1202"/>
      <c r="TED8" s="1202"/>
      <c r="TEE8" s="1202"/>
      <c r="TEF8" s="1202"/>
      <c r="TEG8" s="1202"/>
      <c r="TEH8" s="1202"/>
      <c r="TEI8" s="1202"/>
      <c r="TEJ8" s="1202"/>
      <c r="TEK8" s="1202"/>
      <c r="TEL8" s="1202"/>
      <c r="TEM8" s="1202"/>
      <c r="TEN8" s="1202"/>
      <c r="TEO8" s="1202"/>
      <c r="TEP8" s="1202"/>
      <c r="TEQ8" s="1202"/>
      <c r="TER8" s="1202"/>
      <c r="TES8" s="1202"/>
      <c r="TET8" s="1202"/>
      <c r="TEU8" s="1202"/>
      <c r="TEV8" s="1202"/>
      <c r="TEW8" s="1202"/>
      <c r="TEX8" s="1202"/>
      <c r="TEY8" s="1202"/>
      <c r="TEZ8" s="1202"/>
      <c r="TFA8" s="1202"/>
      <c r="TFB8" s="1202"/>
      <c r="TFC8" s="1202"/>
      <c r="TFD8" s="1202"/>
      <c r="TFE8" s="1202"/>
      <c r="TFF8" s="1202"/>
      <c r="TFG8" s="1202"/>
      <c r="TFH8" s="1202"/>
      <c r="TFI8" s="1202"/>
      <c r="TFJ8" s="1202"/>
      <c r="TFK8" s="1202"/>
      <c r="TFL8" s="1202"/>
      <c r="TFM8" s="1202"/>
      <c r="TFN8" s="1202"/>
      <c r="TFO8" s="1202"/>
      <c r="TFP8" s="1202"/>
      <c r="TFQ8" s="1202"/>
      <c r="TFR8" s="1202"/>
      <c r="TFS8" s="1202"/>
      <c r="TFT8" s="1202"/>
      <c r="TFU8" s="1202"/>
      <c r="TFV8" s="1202"/>
      <c r="TFW8" s="1202"/>
      <c r="TFX8" s="1202"/>
      <c r="TFY8" s="1202"/>
      <c r="TFZ8" s="1202"/>
      <c r="TGA8" s="1202"/>
      <c r="TGB8" s="1202"/>
      <c r="TGC8" s="1202"/>
      <c r="TGD8" s="1202"/>
      <c r="TGE8" s="1202"/>
      <c r="TGF8" s="1202"/>
      <c r="TGG8" s="1202"/>
      <c r="TGH8" s="1202"/>
      <c r="TGI8" s="1202"/>
      <c r="TGJ8" s="1202"/>
      <c r="TGK8" s="1202"/>
      <c r="TGL8" s="1202"/>
      <c r="TGM8" s="1202"/>
      <c r="TGN8" s="1202"/>
      <c r="TGO8" s="1202"/>
      <c r="TGP8" s="1202"/>
      <c r="TGQ8" s="1202"/>
      <c r="TGR8" s="1202"/>
      <c r="TGS8" s="1202"/>
      <c r="TGT8" s="1202"/>
      <c r="TGU8" s="1202"/>
      <c r="TGV8" s="1202"/>
      <c r="TGW8" s="1202"/>
      <c r="TGX8" s="1202"/>
      <c r="TGY8" s="1202"/>
      <c r="TGZ8" s="1202"/>
      <c r="THA8" s="1202"/>
      <c r="THB8" s="1202"/>
      <c r="THC8" s="1202"/>
      <c r="THD8" s="1202"/>
      <c r="THE8" s="1202"/>
      <c r="THF8" s="1202"/>
      <c r="THG8" s="1202"/>
      <c r="THH8" s="1202"/>
      <c r="THI8" s="1202"/>
      <c r="THJ8" s="1202"/>
      <c r="THK8" s="1202"/>
      <c r="THL8" s="1202"/>
      <c r="THM8" s="1202"/>
      <c r="THN8" s="1202"/>
      <c r="THO8" s="1202"/>
      <c r="THP8" s="1202"/>
      <c r="THQ8" s="1202"/>
      <c r="THR8" s="1202"/>
      <c r="THS8" s="1202"/>
      <c r="THT8" s="1202"/>
      <c r="THU8" s="1202"/>
      <c r="THV8" s="1202"/>
      <c r="THW8" s="1202"/>
      <c r="THX8" s="1202"/>
      <c r="THY8" s="1202"/>
      <c r="THZ8" s="1202"/>
      <c r="TIA8" s="1202"/>
      <c r="TIB8" s="1202"/>
      <c r="TIC8" s="1202"/>
      <c r="TID8" s="1202"/>
      <c r="TIE8" s="1202"/>
      <c r="TIF8" s="1202"/>
      <c r="TIG8" s="1202"/>
      <c r="TIH8" s="1202"/>
      <c r="TII8" s="1202"/>
      <c r="TIJ8" s="1202"/>
      <c r="TIK8" s="1202"/>
      <c r="TIL8" s="1202"/>
      <c r="TIM8" s="1202"/>
      <c r="TIN8" s="1202"/>
      <c r="TIO8" s="1202"/>
      <c r="TIP8" s="1202"/>
      <c r="TIQ8" s="1202"/>
      <c r="TIR8" s="1202"/>
      <c r="TIS8" s="1202"/>
      <c r="TIT8" s="1202"/>
      <c r="TIU8" s="1202"/>
      <c r="TIV8" s="1202"/>
      <c r="TIW8" s="1202"/>
      <c r="TIX8" s="1202"/>
      <c r="TIY8" s="1202"/>
      <c r="TIZ8" s="1202"/>
      <c r="TJA8" s="1202"/>
      <c r="TJB8" s="1202"/>
      <c r="TJC8" s="1202"/>
      <c r="TJD8" s="1202"/>
      <c r="TJE8" s="1202"/>
      <c r="TJF8" s="1202"/>
      <c r="TJG8" s="1202"/>
      <c r="TJH8" s="1202"/>
      <c r="TJI8" s="1202"/>
      <c r="TJJ8" s="1202"/>
      <c r="TJK8" s="1202"/>
      <c r="TJL8" s="1202"/>
      <c r="TJM8" s="1202"/>
      <c r="TJN8" s="1202"/>
      <c r="TJO8" s="1202"/>
      <c r="TJP8" s="1202"/>
      <c r="TJQ8" s="1202"/>
      <c r="TJR8" s="1202"/>
      <c r="TJS8" s="1202"/>
      <c r="TJT8" s="1202"/>
      <c r="TJU8" s="1202"/>
      <c r="TJV8" s="1202"/>
      <c r="TJW8" s="1202"/>
      <c r="TJX8" s="1202"/>
      <c r="TJY8" s="1202"/>
      <c r="TJZ8" s="1202"/>
      <c r="TKA8" s="1202"/>
      <c r="TKB8" s="1202"/>
      <c r="TKC8" s="1202"/>
      <c r="TKD8" s="1202"/>
      <c r="TKE8" s="1202"/>
      <c r="TKF8" s="1202"/>
      <c r="TKG8" s="1202"/>
      <c r="TKH8" s="1202"/>
      <c r="TKI8" s="1202"/>
      <c r="TKJ8" s="1202"/>
      <c r="TKK8" s="1202"/>
      <c r="TKL8" s="1202"/>
      <c r="TKM8" s="1202"/>
      <c r="TKN8" s="1202"/>
      <c r="TKO8" s="1202"/>
      <c r="TKP8" s="1202"/>
      <c r="TKQ8" s="1202"/>
      <c r="TKR8" s="1202"/>
      <c r="TKS8" s="1202"/>
      <c r="TKT8" s="1202"/>
      <c r="TKU8" s="1202"/>
      <c r="TKV8" s="1202"/>
      <c r="TKW8" s="1202"/>
      <c r="TKX8" s="1202"/>
      <c r="TKY8" s="1202"/>
      <c r="TKZ8" s="1202"/>
      <c r="TLA8" s="1202"/>
      <c r="TLB8" s="1202"/>
      <c r="TLC8" s="1202"/>
      <c r="TLD8" s="1202"/>
      <c r="TLE8" s="1202"/>
      <c r="TLF8" s="1202"/>
      <c r="TLG8" s="1202"/>
      <c r="TLH8" s="1202"/>
      <c r="TLI8" s="1202"/>
      <c r="TLJ8" s="1202"/>
      <c r="TLK8" s="1202"/>
      <c r="TLL8" s="1202"/>
      <c r="TLM8" s="1202"/>
      <c r="TLN8" s="1202"/>
      <c r="TLO8" s="1202"/>
      <c r="TLP8" s="1202"/>
      <c r="TLQ8" s="1202"/>
      <c r="TLR8" s="1202"/>
      <c r="TLS8" s="1202"/>
      <c r="TLT8" s="1202"/>
      <c r="TLU8" s="1202"/>
      <c r="TLV8" s="1202"/>
      <c r="TLW8" s="1202"/>
      <c r="TLX8" s="1202"/>
      <c r="TLY8" s="1202"/>
      <c r="TLZ8" s="1202"/>
      <c r="TMA8" s="1202"/>
      <c r="TMB8" s="1202"/>
      <c r="TMC8" s="1202"/>
      <c r="TMD8" s="1202"/>
      <c r="TME8" s="1202"/>
      <c r="TMF8" s="1202"/>
      <c r="TMG8" s="1202"/>
      <c r="TMH8" s="1202"/>
      <c r="TMI8" s="1202"/>
      <c r="TMJ8" s="1202"/>
      <c r="TMK8" s="1202"/>
      <c r="TML8" s="1202"/>
      <c r="TMM8" s="1202"/>
      <c r="TMN8" s="1202"/>
      <c r="TMO8" s="1202"/>
      <c r="TMP8" s="1202"/>
      <c r="TMQ8" s="1202"/>
      <c r="TMR8" s="1202"/>
      <c r="TMS8" s="1202"/>
      <c r="TMT8" s="1202"/>
      <c r="TMU8" s="1202"/>
      <c r="TMV8" s="1202"/>
      <c r="TMW8" s="1202"/>
      <c r="TMX8" s="1202"/>
      <c r="TMY8" s="1202"/>
      <c r="TMZ8" s="1202"/>
      <c r="TNA8" s="1202"/>
      <c r="TNB8" s="1202"/>
      <c r="TNC8" s="1202"/>
      <c r="TND8" s="1202"/>
      <c r="TNE8" s="1202"/>
      <c r="TNF8" s="1202"/>
      <c r="TNG8" s="1202"/>
      <c r="TNH8" s="1202"/>
      <c r="TNI8" s="1202"/>
      <c r="TNJ8" s="1202"/>
      <c r="TNK8" s="1202"/>
      <c r="TNL8" s="1202"/>
      <c r="TNM8" s="1202"/>
      <c r="TNN8" s="1202"/>
      <c r="TNO8" s="1202"/>
      <c r="TNP8" s="1202"/>
      <c r="TNQ8" s="1202"/>
      <c r="TNR8" s="1202"/>
      <c r="TNS8" s="1202"/>
      <c r="TNT8" s="1202"/>
      <c r="TNU8" s="1202"/>
      <c r="TNV8" s="1202"/>
      <c r="TNW8" s="1202"/>
      <c r="TNX8" s="1202"/>
      <c r="TNY8" s="1202"/>
      <c r="TNZ8" s="1202"/>
      <c r="TOA8" s="1202"/>
      <c r="TOB8" s="1202"/>
      <c r="TOC8" s="1202"/>
      <c r="TOD8" s="1202"/>
      <c r="TOE8" s="1202"/>
      <c r="TOF8" s="1202"/>
      <c r="TOG8" s="1202"/>
      <c r="TOH8" s="1202"/>
      <c r="TOI8" s="1202"/>
      <c r="TOJ8" s="1202"/>
      <c r="TOK8" s="1202"/>
      <c r="TOL8" s="1202"/>
      <c r="TOM8" s="1202"/>
      <c r="TON8" s="1202"/>
      <c r="TOO8" s="1202"/>
      <c r="TOP8" s="1202"/>
      <c r="TOQ8" s="1202"/>
      <c r="TOR8" s="1202"/>
      <c r="TOS8" s="1202"/>
      <c r="TOT8" s="1202"/>
      <c r="TOU8" s="1202"/>
      <c r="TOV8" s="1202"/>
      <c r="TOW8" s="1202"/>
      <c r="TOX8" s="1202"/>
      <c r="TOY8" s="1202"/>
      <c r="TOZ8" s="1202"/>
      <c r="TPA8" s="1202"/>
      <c r="TPB8" s="1202"/>
      <c r="TPC8" s="1202"/>
      <c r="TPD8" s="1202"/>
      <c r="TPE8" s="1202"/>
      <c r="TPF8" s="1202"/>
      <c r="TPG8" s="1202"/>
      <c r="TPH8" s="1202"/>
      <c r="TPI8" s="1202"/>
      <c r="TPJ8" s="1202"/>
      <c r="TPK8" s="1202"/>
      <c r="TPL8" s="1202"/>
      <c r="TPM8" s="1202"/>
      <c r="TPN8" s="1202"/>
      <c r="TPO8" s="1202"/>
      <c r="TPP8" s="1202"/>
      <c r="TPQ8" s="1202"/>
      <c r="TPR8" s="1202"/>
      <c r="TPS8" s="1202"/>
      <c r="TPT8" s="1202"/>
      <c r="TPU8" s="1202"/>
      <c r="TPV8" s="1202"/>
      <c r="TPW8" s="1202"/>
      <c r="TPX8" s="1202"/>
      <c r="TPY8" s="1202"/>
      <c r="TPZ8" s="1202"/>
      <c r="TQA8" s="1202"/>
      <c r="TQB8" s="1202"/>
      <c r="TQC8" s="1202"/>
      <c r="TQD8" s="1202"/>
      <c r="TQE8" s="1202"/>
      <c r="TQF8" s="1202"/>
      <c r="TQG8" s="1202"/>
      <c r="TQH8" s="1202"/>
      <c r="TQI8" s="1202"/>
      <c r="TQJ8" s="1202"/>
      <c r="TQK8" s="1202"/>
      <c r="TQL8" s="1202"/>
      <c r="TQM8" s="1202"/>
      <c r="TQN8" s="1202"/>
      <c r="TQO8" s="1202"/>
      <c r="TQP8" s="1202"/>
      <c r="TQQ8" s="1202"/>
      <c r="TQR8" s="1202"/>
      <c r="TQS8" s="1202"/>
      <c r="TQT8" s="1202"/>
      <c r="TQU8" s="1202"/>
      <c r="TQV8" s="1202"/>
      <c r="TQW8" s="1202"/>
      <c r="TQX8" s="1202"/>
      <c r="TQY8" s="1202"/>
      <c r="TQZ8" s="1202"/>
      <c r="TRA8" s="1202"/>
      <c r="TRB8" s="1202"/>
      <c r="TRC8" s="1202"/>
      <c r="TRD8" s="1202"/>
      <c r="TRE8" s="1202"/>
      <c r="TRF8" s="1202"/>
      <c r="TRG8" s="1202"/>
      <c r="TRH8" s="1202"/>
      <c r="TRI8" s="1202"/>
      <c r="TRJ8" s="1202"/>
      <c r="TRK8" s="1202"/>
      <c r="TRL8" s="1202"/>
      <c r="TRM8" s="1202"/>
      <c r="TRN8" s="1202"/>
      <c r="TRO8" s="1202"/>
      <c r="TRP8" s="1202"/>
      <c r="TRQ8" s="1202"/>
      <c r="TRR8" s="1202"/>
      <c r="TRS8" s="1202"/>
      <c r="TRT8" s="1202"/>
      <c r="TRU8" s="1202"/>
      <c r="TRV8" s="1202"/>
      <c r="TRW8" s="1202"/>
      <c r="TRX8" s="1202"/>
      <c r="TRY8" s="1202"/>
      <c r="TRZ8" s="1202"/>
      <c r="TSA8" s="1202"/>
      <c r="TSB8" s="1202"/>
      <c r="TSC8" s="1202"/>
      <c r="TSD8" s="1202"/>
      <c r="TSE8" s="1202"/>
      <c r="TSF8" s="1202"/>
      <c r="TSG8" s="1202"/>
      <c r="TSH8" s="1202"/>
      <c r="TSI8" s="1202"/>
      <c r="TSJ8" s="1202"/>
      <c r="TSK8" s="1202"/>
      <c r="TSL8" s="1202"/>
      <c r="TSM8" s="1202"/>
      <c r="TSN8" s="1202"/>
      <c r="TSO8" s="1202"/>
      <c r="TSP8" s="1202"/>
      <c r="TSQ8" s="1202"/>
      <c r="TSR8" s="1202"/>
      <c r="TSS8" s="1202"/>
      <c r="TST8" s="1202"/>
      <c r="TSU8" s="1202"/>
      <c r="TSV8" s="1202"/>
      <c r="TSW8" s="1202"/>
      <c r="TSX8" s="1202"/>
      <c r="TSY8" s="1202"/>
      <c r="TSZ8" s="1202"/>
      <c r="TTA8" s="1202"/>
      <c r="TTB8" s="1202"/>
      <c r="TTC8" s="1202"/>
      <c r="TTD8" s="1202"/>
      <c r="TTE8" s="1202"/>
      <c r="TTF8" s="1202"/>
      <c r="TTG8" s="1202"/>
      <c r="TTH8" s="1202"/>
      <c r="TTI8" s="1202"/>
      <c r="TTJ8" s="1202"/>
      <c r="TTK8" s="1202"/>
      <c r="TTL8" s="1202"/>
      <c r="TTM8" s="1202"/>
      <c r="TTN8" s="1202"/>
      <c r="TTO8" s="1202"/>
      <c r="TTP8" s="1202"/>
      <c r="TTQ8" s="1202"/>
      <c r="TTR8" s="1202"/>
      <c r="TTS8" s="1202"/>
      <c r="TTT8" s="1202"/>
      <c r="TTU8" s="1202"/>
      <c r="TTV8" s="1202"/>
      <c r="TTW8" s="1202"/>
      <c r="TTX8" s="1202"/>
      <c r="TTY8" s="1202"/>
      <c r="TTZ8" s="1202"/>
      <c r="TUA8" s="1202"/>
      <c r="TUB8" s="1202"/>
      <c r="TUC8" s="1202"/>
      <c r="TUD8" s="1202"/>
      <c r="TUE8" s="1202"/>
      <c r="TUF8" s="1202"/>
      <c r="TUG8" s="1202"/>
      <c r="TUH8" s="1202"/>
      <c r="TUI8" s="1202"/>
      <c r="TUJ8" s="1202"/>
      <c r="TUK8" s="1202"/>
      <c r="TUL8" s="1202"/>
      <c r="TUM8" s="1202"/>
      <c r="TUN8" s="1202"/>
      <c r="TUO8" s="1202"/>
      <c r="TUP8" s="1202"/>
      <c r="TUQ8" s="1202"/>
      <c r="TUR8" s="1202"/>
      <c r="TUS8" s="1202"/>
      <c r="TUT8" s="1202"/>
      <c r="TUU8" s="1202"/>
      <c r="TUV8" s="1202"/>
      <c r="TUW8" s="1202"/>
      <c r="TUX8" s="1202"/>
      <c r="TUY8" s="1202"/>
      <c r="TUZ8" s="1202"/>
      <c r="TVA8" s="1202"/>
      <c r="TVB8" s="1202"/>
      <c r="TVC8" s="1202"/>
      <c r="TVD8" s="1202"/>
      <c r="TVE8" s="1202"/>
      <c r="TVF8" s="1202"/>
      <c r="TVG8" s="1202"/>
      <c r="TVH8" s="1202"/>
      <c r="TVI8" s="1202"/>
      <c r="TVJ8" s="1202"/>
      <c r="TVK8" s="1202"/>
      <c r="TVL8" s="1202"/>
      <c r="TVM8" s="1202"/>
      <c r="TVN8" s="1202"/>
      <c r="TVO8" s="1202"/>
      <c r="TVP8" s="1202"/>
      <c r="TVQ8" s="1202"/>
      <c r="TVR8" s="1202"/>
      <c r="TVS8" s="1202"/>
      <c r="TVT8" s="1202"/>
      <c r="TVU8" s="1202"/>
      <c r="TVV8" s="1202"/>
      <c r="TVW8" s="1202"/>
      <c r="TVX8" s="1202"/>
      <c r="TVY8" s="1202"/>
      <c r="TVZ8" s="1202"/>
      <c r="TWA8" s="1202"/>
      <c r="TWB8" s="1202"/>
      <c r="TWC8" s="1202"/>
      <c r="TWD8" s="1202"/>
      <c r="TWE8" s="1202"/>
      <c r="TWF8" s="1202"/>
      <c r="TWG8" s="1202"/>
      <c r="TWH8" s="1202"/>
      <c r="TWI8" s="1202"/>
      <c r="TWJ8" s="1202"/>
      <c r="TWK8" s="1202"/>
      <c r="TWL8" s="1202"/>
      <c r="TWM8" s="1202"/>
      <c r="TWN8" s="1202"/>
      <c r="TWO8" s="1202"/>
      <c r="TWP8" s="1202"/>
      <c r="TWQ8" s="1202"/>
      <c r="TWR8" s="1202"/>
      <c r="TWS8" s="1202"/>
      <c r="TWT8" s="1202"/>
      <c r="TWU8" s="1202"/>
      <c r="TWV8" s="1202"/>
      <c r="TWW8" s="1202"/>
      <c r="TWX8" s="1202"/>
      <c r="TWY8" s="1202"/>
      <c r="TWZ8" s="1202"/>
      <c r="TXA8" s="1202"/>
      <c r="TXB8" s="1202"/>
      <c r="TXC8" s="1202"/>
      <c r="TXD8" s="1202"/>
      <c r="TXE8" s="1202"/>
      <c r="TXF8" s="1202"/>
      <c r="TXG8" s="1202"/>
      <c r="TXH8" s="1202"/>
      <c r="TXI8" s="1202"/>
      <c r="TXJ8" s="1202"/>
      <c r="TXK8" s="1202"/>
      <c r="TXL8" s="1202"/>
      <c r="TXM8" s="1202"/>
      <c r="TXN8" s="1202"/>
      <c r="TXO8" s="1202"/>
      <c r="TXP8" s="1202"/>
      <c r="TXQ8" s="1202"/>
      <c r="TXR8" s="1202"/>
      <c r="TXS8" s="1202"/>
      <c r="TXT8" s="1202"/>
      <c r="TXU8" s="1202"/>
      <c r="TXV8" s="1202"/>
      <c r="TXW8" s="1202"/>
      <c r="TXX8" s="1202"/>
      <c r="TXY8" s="1202"/>
      <c r="TXZ8" s="1202"/>
      <c r="TYA8" s="1202"/>
      <c r="TYB8" s="1202"/>
      <c r="TYC8" s="1202"/>
      <c r="TYD8" s="1202"/>
      <c r="TYE8" s="1202"/>
      <c r="TYF8" s="1202"/>
      <c r="TYG8" s="1202"/>
      <c r="TYH8" s="1202"/>
      <c r="TYI8" s="1202"/>
      <c r="TYJ8" s="1202"/>
      <c r="TYK8" s="1202"/>
      <c r="TYL8" s="1202"/>
      <c r="TYM8" s="1202"/>
      <c r="TYN8" s="1202"/>
      <c r="TYO8" s="1202"/>
      <c r="TYP8" s="1202"/>
      <c r="TYQ8" s="1202"/>
      <c r="TYR8" s="1202"/>
      <c r="TYS8" s="1202"/>
      <c r="TYT8" s="1202"/>
      <c r="TYU8" s="1202"/>
      <c r="TYV8" s="1202"/>
      <c r="TYW8" s="1202"/>
      <c r="TYX8" s="1202"/>
      <c r="TYY8" s="1202"/>
      <c r="TYZ8" s="1202"/>
      <c r="TZA8" s="1202"/>
      <c r="TZB8" s="1202"/>
      <c r="TZC8" s="1202"/>
      <c r="TZD8" s="1202"/>
      <c r="TZE8" s="1202"/>
      <c r="TZF8" s="1202"/>
      <c r="TZG8" s="1202"/>
      <c r="TZH8" s="1202"/>
      <c r="TZI8" s="1202"/>
      <c r="TZJ8" s="1202"/>
      <c r="TZK8" s="1202"/>
      <c r="TZL8" s="1202"/>
      <c r="TZM8" s="1202"/>
      <c r="TZN8" s="1202"/>
      <c r="TZO8" s="1202"/>
      <c r="TZP8" s="1202"/>
      <c r="TZQ8" s="1202"/>
      <c r="TZR8" s="1202"/>
      <c r="TZS8" s="1202"/>
      <c r="TZT8" s="1202"/>
      <c r="TZU8" s="1202"/>
      <c r="TZV8" s="1202"/>
      <c r="TZW8" s="1202"/>
      <c r="TZX8" s="1202"/>
      <c r="TZY8" s="1202"/>
      <c r="TZZ8" s="1202"/>
      <c r="UAA8" s="1202"/>
      <c r="UAB8" s="1202"/>
      <c r="UAC8" s="1202"/>
      <c r="UAD8" s="1202"/>
      <c r="UAE8" s="1202"/>
      <c r="UAF8" s="1202"/>
      <c r="UAG8" s="1202"/>
      <c r="UAH8" s="1202"/>
      <c r="UAI8" s="1202"/>
      <c r="UAJ8" s="1202"/>
      <c r="UAK8" s="1202"/>
      <c r="UAL8" s="1202"/>
      <c r="UAM8" s="1202"/>
      <c r="UAN8" s="1202"/>
      <c r="UAO8" s="1202"/>
      <c r="UAP8" s="1202"/>
      <c r="UAQ8" s="1202"/>
      <c r="UAR8" s="1202"/>
      <c r="UAS8" s="1202"/>
      <c r="UAT8" s="1202"/>
      <c r="UAU8" s="1202"/>
      <c r="UAV8" s="1202"/>
      <c r="UAW8" s="1202"/>
      <c r="UAX8" s="1202"/>
      <c r="UAY8" s="1202"/>
      <c r="UAZ8" s="1202"/>
      <c r="UBA8" s="1202"/>
      <c r="UBB8" s="1202"/>
      <c r="UBC8" s="1202"/>
      <c r="UBD8" s="1202"/>
      <c r="UBE8" s="1202"/>
      <c r="UBF8" s="1202"/>
      <c r="UBG8" s="1202"/>
      <c r="UBH8" s="1202"/>
      <c r="UBI8" s="1202"/>
      <c r="UBJ8" s="1202"/>
      <c r="UBK8" s="1202"/>
      <c r="UBL8" s="1202"/>
      <c r="UBM8" s="1202"/>
      <c r="UBN8" s="1202"/>
      <c r="UBO8" s="1202"/>
      <c r="UBP8" s="1202"/>
      <c r="UBQ8" s="1202"/>
      <c r="UBR8" s="1202"/>
      <c r="UBS8" s="1202"/>
      <c r="UBT8" s="1202"/>
      <c r="UBU8" s="1202"/>
      <c r="UBV8" s="1202"/>
      <c r="UBW8" s="1202"/>
      <c r="UBX8" s="1202"/>
      <c r="UBY8" s="1202"/>
      <c r="UBZ8" s="1202"/>
      <c r="UCA8" s="1202"/>
      <c r="UCB8" s="1202"/>
      <c r="UCC8" s="1202"/>
      <c r="UCD8" s="1202"/>
      <c r="UCE8" s="1202"/>
      <c r="UCF8" s="1202"/>
      <c r="UCG8" s="1202"/>
      <c r="UCH8" s="1202"/>
      <c r="UCI8" s="1202"/>
      <c r="UCJ8" s="1202"/>
      <c r="UCK8" s="1202"/>
      <c r="UCL8" s="1202"/>
      <c r="UCM8" s="1202"/>
      <c r="UCN8" s="1202"/>
      <c r="UCO8" s="1202"/>
      <c r="UCP8" s="1202"/>
      <c r="UCQ8" s="1202"/>
      <c r="UCR8" s="1202"/>
      <c r="UCS8" s="1202"/>
      <c r="UCT8" s="1202"/>
      <c r="UCU8" s="1202"/>
      <c r="UCV8" s="1202"/>
      <c r="UCW8" s="1202"/>
      <c r="UCX8" s="1202"/>
      <c r="UCY8" s="1202"/>
      <c r="UCZ8" s="1202"/>
      <c r="UDA8" s="1202"/>
      <c r="UDB8" s="1202"/>
      <c r="UDC8" s="1202"/>
      <c r="UDD8" s="1202"/>
      <c r="UDE8" s="1202"/>
      <c r="UDF8" s="1202"/>
      <c r="UDG8" s="1202"/>
      <c r="UDH8" s="1202"/>
      <c r="UDI8" s="1202"/>
      <c r="UDJ8" s="1202"/>
      <c r="UDK8" s="1202"/>
      <c r="UDL8" s="1202"/>
      <c r="UDM8" s="1202"/>
      <c r="UDN8" s="1202"/>
      <c r="UDO8" s="1202"/>
      <c r="UDP8" s="1202"/>
      <c r="UDQ8" s="1202"/>
      <c r="UDR8" s="1202"/>
      <c r="UDS8" s="1202"/>
      <c r="UDT8" s="1202"/>
      <c r="UDU8" s="1202"/>
      <c r="UDV8" s="1202"/>
      <c r="UDW8" s="1202"/>
      <c r="UDX8" s="1202"/>
      <c r="UDY8" s="1202"/>
      <c r="UDZ8" s="1202"/>
      <c r="UEA8" s="1202"/>
      <c r="UEB8" s="1202"/>
      <c r="UEC8" s="1202"/>
      <c r="UED8" s="1202"/>
      <c r="UEE8" s="1202"/>
      <c r="UEF8" s="1202"/>
      <c r="UEG8" s="1202"/>
      <c r="UEH8" s="1202"/>
      <c r="UEI8" s="1202"/>
      <c r="UEJ8" s="1202"/>
      <c r="UEK8" s="1202"/>
      <c r="UEL8" s="1202"/>
      <c r="UEM8" s="1202"/>
      <c r="UEN8" s="1202"/>
      <c r="UEO8" s="1202"/>
      <c r="UEP8" s="1202"/>
      <c r="UEQ8" s="1202"/>
      <c r="UER8" s="1202"/>
      <c r="UES8" s="1202"/>
      <c r="UET8" s="1202"/>
      <c r="UEU8" s="1202"/>
      <c r="UEV8" s="1202"/>
      <c r="UEW8" s="1202"/>
      <c r="UEX8" s="1202"/>
      <c r="UEY8" s="1202"/>
      <c r="UEZ8" s="1202"/>
      <c r="UFA8" s="1202"/>
      <c r="UFB8" s="1202"/>
      <c r="UFC8" s="1202"/>
      <c r="UFD8" s="1202"/>
      <c r="UFE8" s="1202"/>
      <c r="UFF8" s="1202"/>
      <c r="UFG8" s="1202"/>
      <c r="UFH8" s="1202"/>
      <c r="UFI8" s="1202"/>
      <c r="UFJ8" s="1202"/>
      <c r="UFK8" s="1202"/>
      <c r="UFL8" s="1202"/>
      <c r="UFM8" s="1202"/>
      <c r="UFN8" s="1202"/>
      <c r="UFO8" s="1202"/>
      <c r="UFP8" s="1202"/>
      <c r="UFQ8" s="1202"/>
      <c r="UFR8" s="1202"/>
      <c r="UFS8" s="1202"/>
      <c r="UFT8" s="1202"/>
      <c r="UFU8" s="1202"/>
      <c r="UFV8" s="1202"/>
      <c r="UFW8" s="1202"/>
      <c r="UFX8" s="1202"/>
      <c r="UFY8" s="1202"/>
      <c r="UFZ8" s="1202"/>
      <c r="UGA8" s="1202"/>
      <c r="UGB8" s="1202"/>
      <c r="UGC8" s="1202"/>
      <c r="UGD8" s="1202"/>
      <c r="UGE8" s="1202"/>
      <c r="UGF8" s="1202"/>
      <c r="UGG8" s="1202"/>
      <c r="UGH8" s="1202"/>
      <c r="UGI8" s="1202"/>
      <c r="UGJ8" s="1202"/>
      <c r="UGK8" s="1202"/>
      <c r="UGL8" s="1202"/>
      <c r="UGM8" s="1202"/>
      <c r="UGN8" s="1202"/>
      <c r="UGO8" s="1202"/>
      <c r="UGP8" s="1202"/>
      <c r="UGQ8" s="1202"/>
      <c r="UGR8" s="1202"/>
      <c r="UGS8" s="1202"/>
      <c r="UGT8" s="1202"/>
      <c r="UGU8" s="1202"/>
      <c r="UGV8" s="1202"/>
      <c r="UGW8" s="1202"/>
      <c r="UGX8" s="1202"/>
      <c r="UGY8" s="1202"/>
      <c r="UGZ8" s="1202"/>
      <c r="UHA8" s="1202"/>
      <c r="UHB8" s="1202"/>
      <c r="UHC8" s="1202"/>
      <c r="UHD8" s="1202"/>
      <c r="UHE8" s="1202"/>
      <c r="UHF8" s="1202"/>
      <c r="UHG8" s="1202"/>
      <c r="UHH8" s="1202"/>
      <c r="UHI8" s="1202"/>
      <c r="UHJ8" s="1202"/>
      <c r="UHK8" s="1202"/>
      <c r="UHL8" s="1202"/>
      <c r="UHM8" s="1202"/>
      <c r="UHN8" s="1202"/>
      <c r="UHO8" s="1202"/>
      <c r="UHP8" s="1202"/>
      <c r="UHQ8" s="1202"/>
      <c r="UHR8" s="1202"/>
      <c r="UHS8" s="1202"/>
      <c r="UHT8" s="1202"/>
      <c r="UHU8" s="1202"/>
      <c r="UHV8" s="1202"/>
      <c r="UHW8" s="1202"/>
      <c r="UHX8" s="1202"/>
      <c r="UHY8" s="1202"/>
      <c r="UHZ8" s="1202"/>
      <c r="UIA8" s="1202"/>
      <c r="UIB8" s="1202"/>
      <c r="UIC8" s="1202"/>
      <c r="UID8" s="1202"/>
      <c r="UIE8" s="1202"/>
      <c r="UIF8" s="1202"/>
      <c r="UIG8" s="1202"/>
      <c r="UIH8" s="1202"/>
      <c r="UII8" s="1202"/>
      <c r="UIJ8" s="1202"/>
      <c r="UIK8" s="1202"/>
      <c r="UIL8" s="1202"/>
      <c r="UIM8" s="1202"/>
      <c r="UIN8" s="1202"/>
      <c r="UIO8" s="1202"/>
      <c r="UIP8" s="1202"/>
      <c r="UIQ8" s="1202"/>
      <c r="UIR8" s="1202"/>
      <c r="UIS8" s="1202"/>
      <c r="UIT8" s="1202"/>
      <c r="UIU8" s="1202"/>
      <c r="UIV8" s="1202"/>
      <c r="UIW8" s="1202"/>
      <c r="UIX8" s="1202"/>
      <c r="UIY8" s="1202"/>
      <c r="UIZ8" s="1202"/>
      <c r="UJA8" s="1202"/>
      <c r="UJB8" s="1202"/>
      <c r="UJC8" s="1202"/>
      <c r="UJD8" s="1202"/>
      <c r="UJE8" s="1202"/>
      <c r="UJF8" s="1202"/>
      <c r="UJG8" s="1202"/>
      <c r="UJH8" s="1202"/>
      <c r="UJI8" s="1202"/>
      <c r="UJJ8" s="1202"/>
      <c r="UJK8" s="1202"/>
      <c r="UJL8" s="1202"/>
      <c r="UJM8" s="1202"/>
      <c r="UJN8" s="1202"/>
      <c r="UJO8" s="1202"/>
      <c r="UJP8" s="1202"/>
      <c r="UJQ8" s="1202"/>
      <c r="UJR8" s="1202"/>
      <c r="UJS8" s="1202"/>
      <c r="UJT8" s="1202"/>
      <c r="UJU8" s="1202"/>
      <c r="UJV8" s="1202"/>
      <c r="UJW8" s="1202"/>
      <c r="UJX8" s="1202"/>
      <c r="UJY8" s="1202"/>
      <c r="UJZ8" s="1202"/>
      <c r="UKA8" s="1202"/>
      <c r="UKB8" s="1202"/>
      <c r="UKC8" s="1202"/>
      <c r="UKD8" s="1202"/>
      <c r="UKE8" s="1202"/>
      <c r="UKF8" s="1202"/>
      <c r="UKG8" s="1202"/>
      <c r="UKH8" s="1202"/>
      <c r="UKI8" s="1202"/>
      <c r="UKJ8" s="1202"/>
      <c r="UKK8" s="1202"/>
      <c r="UKL8" s="1202"/>
      <c r="UKM8" s="1202"/>
      <c r="UKN8" s="1202"/>
      <c r="UKO8" s="1202"/>
      <c r="UKP8" s="1202"/>
      <c r="UKQ8" s="1202"/>
      <c r="UKR8" s="1202"/>
      <c r="UKS8" s="1202"/>
      <c r="UKT8" s="1202"/>
      <c r="UKU8" s="1202"/>
      <c r="UKV8" s="1202"/>
      <c r="UKW8" s="1202"/>
      <c r="UKX8" s="1202"/>
      <c r="UKY8" s="1202"/>
      <c r="UKZ8" s="1202"/>
      <c r="ULA8" s="1202"/>
      <c r="ULB8" s="1202"/>
      <c r="ULC8" s="1202"/>
      <c r="ULD8" s="1202"/>
      <c r="ULE8" s="1202"/>
      <c r="ULF8" s="1202"/>
      <c r="ULG8" s="1202"/>
      <c r="ULH8" s="1202"/>
      <c r="ULI8" s="1202"/>
      <c r="ULJ8" s="1202"/>
      <c r="ULK8" s="1202"/>
      <c r="ULL8" s="1202"/>
      <c r="ULM8" s="1202"/>
      <c r="ULN8" s="1202"/>
      <c r="ULO8" s="1202"/>
      <c r="ULP8" s="1202"/>
      <c r="ULQ8" s="1202"/>
      <c r="ULR8" s="1202"/>
      <c r="ULS8" s="1202"/>
      <c r="ULT8" s="1202"/>
      <c r="ULU8" s="1202"/>
      <c r="ULV8" s="1202"/>
      <c r="ULW8" s="1202"/>
      <c r="ULX8" s="1202"/>
      <c r="ULY8" s="1202"/>
      <c r="ULZ8" s="1202"/>
      <c r="UMA8" s="1202"/>
      <c r="UMB8" s="1202"/>
      <c r="UMC8" s="1202"/>
      <c r="UMD8" s="1202"/>
      <c r="UME8" s="1202"/>
      <c r="UMF8" s="1202"/>
      <c r="UMG8" s="1202"/>
      <c r="UMH8" s="1202"/>
      <c r="UMI8" s="1202"/>
      <c r="UMJ8" s="1202"/>
      <c r="UMK8" s="1202"/>
      <c r="UML8" s="1202"/>
      <c r="UMM8" s="1202"/>
      <c r="UMN8" s="1202"/>
      <c r="UMO8" s="1202"/>
      <c r="UMP8" s="1202"/>
      <c r="UMQ8" s="1202"/>
      <c r="UMR8" s="1202"/>
      <c r="UMS8" s="1202"/>
      <c r="UMT8" s="1202"/>
      <c r="UMU8" s="1202"/>
      <c r="UMV8" s="1202"/>
      <c r="UMW8" s="1202"/>
      <c r="UMX8" s="1202"/>
      <c r="UMY8" s="1202"/>
      <c r="UMZ8" s="1202"/>
      <c r="UNA8" s="1202"/>
      <c r="UNB8" s="1202"/>
      <c r="UNC8" s="1202"/>
      <c r="UND8" s="1202"/>
      <c r="UNE8" s="1202"/>
      <c r="UNF8" s="1202"/>
      <c r="UNG8" s="1202"/>
      <c r="UNH8" s="1202"/>
      <c r="UNI8" s="1202"/>
      <c r="UNJ8" s="1202"/>
      <c r="UNK8" s="1202"/>
      <c r="UNL8" s="1202"/>
      <c r="UNM8" s="1202"/>
      <c r="UNN8" s="1202"/>
      <c r="UNO8" s="1202"/>
      <c r="UNP8" s="1202"/>
      <c r="UNQ8" s="1202"/>
      <c r="UNR8" s="1202"/>
      <c r="UNS8" s="1202"/>
      <c r="UNT8" s="1202"/>
      <c r="UNU8" s="1202"/>
      <c r="UNV8" s="1202"/>
      <c r="UNW8" s="1202"/>
      <c r="UNX8" s="1202"/>
      <c r="UNY8" s="1202"/>
      <c r="UNZ8" s="1202"/>
      <c r="UOA8" s="1202"/>
      <c r="UOB8" s="1202"/>
      <c r="UOC8" s="1202"/>
      <c r="UOD8" s="1202"/>
      <c r="UOE8" s="1202"/>
      <c r="UOF8" s="1202"/>
      <c r="UOG8" s="1202"/>
      <c r="UOH8" s="1202"/>
      <c r="UOI8" s="1202"/>
      <c r="UOJ8" s="1202"/>
      <c r="UOK8" s="1202"/>
      <c r="UOL8" s="1202"/>
      <c r="UOM8" s="1202"/>
      <c r="UON8" s="1202"/>
      <c r="UOO8" s="1202"/>
      <c r="UOP8" s="1202"/>
      <c r="UOQ8" s="1202"/>
      <c r="UOR8" s="1202"/>
      <c r="UOS8" s="1202"/>
      <c r="UOT8" s="1202"/>
      <c r="UOU8" s="1202"/>
      <c r="UOV8" s="1202"/>
      <c r="UOW8" s="1202"/>
      <c r="UOX8" s="1202"/>
      <c r="UOY8" s="1202"/>
      <c r="UOZ8" s="1202"/>
      <c r="UPA8" s="1202"/>
      <c r="UPB8" s="1202"/>
      <c r="UPC8" s="1202"/>
      <c r="UPD8" s="1202"/>
      <c r="UPE8" s="1202"/>
      <c r="UPF8" s="1202"/>
      <c r="UPG8" s="1202"/>
      <c r="UPH8" s="1202"/>
      <c r="UPI8" s="1202"/>
      <c r="UPJ8" s="1202"/>
      <c r="UPK8" s="1202"/>
      <c r="UPL8" s="1202"/>
      <c r="UPM8" s="1202"/>
      <c r="UPN8" s="1202"/>
      <c r="UPO8" s="1202"/>
      <c r="UPP8" s="1202"/>
      <c r="UPQ8" s="1202"/>
      <c r="UPR8" s="1202"/>
      <c r="UPS8" s="1202"/>
      <c r="UPT8" s="1202"/>
      <c r="UPU8" s="1202"/>
      <c r="UPV8" s="1202"/>
      <c r="UPW8" s="1202"/>
      <c r="UPX8" s="1202"/>
      <c r="UPY8" s="1202"/>
      <c r="UPZ8" s="1202"/>
      <c r="UQA8" s="1202"/>
      <c r="UQB8" s="1202"/>
      <c r="UQC8" s="1202"/>
      <c r="UQD8" s="1202"/>
      <c r="UQE8" s="1202"/>
      <c r="UQF8" s="1202"/>
      <c r="UQG8" s="1202"/>
      <c r="UQH8" s="1202"/>
      <c r="UQI8" s="1202"/>
      <c r="UQJ8" s="1202"/>
      <c r="UQK8" s="1202"/>
      <c r="UQL8" s="1202"/>
      <c r="UQM8" s="1202"/>
      <c r="UQN8" s="1202"/>
      <c r="UQO8" s="1202"/>
      <c r="UQP8" s="1202"/>
      <c r="UQQ8" s="1202"/>
      <c r="UQR8" s="1202"/>
      <c r="UQS8" s="1202"/>
      <c r="UQT8" s="1202"/>
      <c r="UQU8" s="1202"/>
      <c r="UQV8" s="1202"/>
      <c r="UQW8" s="1202"/>
      <c r="UQX8" s="1202"/>
      <c r="UQY8" s="1202"/>
      <c r="UQZ8" s="1202"/>
      <c r="URA8" s="1202"/>
      <c r="URB8" s="1202"/>
      <c r="URC8" s="1202"/>
      <c r="URD8" s="1202"/>
      <c r="URE8" s="1202"/>
      <c r="URF8" s="1202"/>
      <c r="URG8" s="1202"/>
      <c r="URH8" s="1202"/>
      <c r="URI8" s="1202"/>
      <c r="URJ8" s="1202"/>
      <c r="URK8" s="1202"/>
      <c r="URL8" s="1202"/>
      <c r="URM8" s="1202"/>
      <c r="URN8" s="1202"/>
      <c r="URO8" s="1202"/>
      <c r="URP8" s="1202"/>
      <c r="URQ8" s="1202"/>
      <c r="URR8" s="1202"/>
      <c r="URS8" s="1202"/>
      <c r="URT8" s="1202"/>
      <c r="URU8" s="1202"/>
      <c r="URV8" s="1202"/>
      <c r="URW8" s="1202"/>
      <c r="URX8" s="1202"/>
      <c r="URY8" s="1202"/>
      <c r="URZ8" s="1202"/>
      <c r="USA8" s="1202"/>
      <c r="USB8" s="1202"/>
      <c r="USC8" s="1202"/>
      <c r="USD8" s="1202"/>
      <c r="USE8" s="1202"/>
      <c r="USF8" s="1202"/>
      <c r="USG8" s="1202"/>
      <c r="USH8" s="1202"/>
      <c r="USI8" s="1202"/>
      <c r="USJ8" s="1202"/>
      <c r="USK8" s="1202"/>
      <c r="USL8" s="1202"/>
      <c r="USM8" s="1202"/>
      <c r="USN8" s="1202"/>
      <c r="USO8" s="1202"/>
      <c r="USP8" s="1202"/>
      <c r="USQ8" s="1202"/>
      <c r="USR8" s="1202"/>
      <c r="USS8" s="1202"/>
      <c r="UST8" s="1202"/>
      <c r="USU8" s="1202"/>
      <c r="USV8" s="1202"/>
      <c r="USW8" s="1202"/>
      <c r="USX8" s="1202"/>
      <c r="USY8" s="1202"/>
      <c r="USZ8" s="1202"/>
      <c r="UTA8" s="1202"/>
      <c r="UTB8" s="1202"/>
      <c r="UTC8" s="1202"/>
      <c r="UTD8" s="1202"/>
      <c r="UTE8" s="1202"/>
      <c r="UTF8" s="1202"/>
      <c r="UTG8" s="1202"/>
      <c r="UTH8" s="1202"/>
      <c r="UTI8" s="1202"/>
      <c r="UTJ8" s="1202"/>
      <c r="UTK8" s="1202"/>
      <c r="UTL8" s="1202"/>
      <c r="UTM8" s="1202"/>
      <c r="UTN8" s="1202"/>
      <c r="UTO8" s="1202"/>
      <c r="UTP8" s="1202"/>
      <c r="UTQ8" s="1202"/>
      <c r="UTR8" s="1202"/>
      <c r="UTS8" s="1202"/>
      <c r="UTT8" s="1202"/>
      <c r="UTU8" s="1202"/>
      <c r="UTV8" s="1202"/>
      <c r="UTW8" s="1202"/>
      <c r="UTX8" s="1202"/>
      <c r="UTY8" s="1202"/>
      <c r="UTZ8" s="1202"/>
      <c r="UUA8" s="1202"/>
      <c r="UUB8" s="1202"/>
      <c r="UUC8" s="1202"/>
      <c r="UUD8" s="1202"/>
      <c r="UUE8" s="1202"/>
      <c r="UUF8" s="1202"/>
      <c r="UUG8" s="1202"/>
      <c r="UUH8" s="1202"/>
      <c r="UUI8" s="1202"/>
      <c r="UUJ8" s="1202"/>
      <c r="UUK8" s="1202"/>
      <c r="UUL8" s="1202"/>
      <c r="UUM8" s="1202"/>
      <c r="UUN8" s="1202"/>
      <c r="UUO8" s="1202"/>
      <c r="UUP8" s="1202"/>
      <c r="UUQ8" s="1202"/>
      <c r="UUR8" s="1202"/>
      <c r="UUS8" s="1202"/>
      <c r="UUT8" s="1202"/>
      <c r="UUU8" s="1202"/>
      <c r="UUV8" s="1202"/>
      <c r="UUW8" s="1202"/>
      <c r="UUX8" s="1202"/>
      <c r="UUY8" s="1202"/>
      <c r="UUZ8" s="1202"/>
      <c r="UVA8" s="1202"/>
      <c r="UVB8" s="1202"/>
      <c r="UVC8" s="1202"/>
      <c r="UVD8" s="1202"/>
      <c r="UVE8" s="1202"/>
      <c r="UVF8" s="1202"/>
      <c r="UVG8" s="1202"/>
      <c r="UVH8" s="1202"/>
      <c r="UVI8" s="1202"/>
      <c r="UVJ8" s="1202"/>
      <c r="UVK8" s="1202"/>
      <c r="UVL8" s="1202"/>
      <c r="UVM8" s="1202"/>
      <c r="UVN8" s="1202"/>
      <c r="UVO8" s="1202"/>
      <c r="UVP8" s="1202"/>
      <c r="UVQ8" s="1202"/>
      <c r="UVR8" s="1202"/>
      <c r="UVS8" s="1202"/>
      <c r="UVT8" s="1202"/>
      <c r="UVU8" s="1202"/>
      <c r="UVV8" s="1202"/>
      <c r="UVW8" s="1202"/>
      <c r="UVX8" s="1202"/>
      <c r="UVY8" s="1202"/>
      <c r="UVZ8" s="1202"/>
      <c r="UWA8" s="1202"/>
      <c r="UWB8" s="1202"/>
      <c r="UWC8" s="1202"/>
      <c r="UWD8" s="1202"/>
      <c r="UWE8" s="1202"/>
      <c r="UWF8" s="1202"/>
      <c r="UWG8" s="1202"/>
      <c r="UWH8" s="1202"/>
      <c r="UWI8" s="1202"/>
      <c r="UWJ8" s="1202"/>
      <c r="UWK8" s="1202"/>
      <c r="UWL8" s="1202"/>
      <c r="UWM8" s="1202"/>
      <c r="UWN8" s="1202"/>
      <c r="UWO8" s="1202"/>
      <c r="UWP8" s="1202"/>
      <c r="UWQ8" s="1202"/>
      <c r="UWR8" s="1202"/>
      <c r="UWS8" s="1202"/>
      <c r="UWT8" s="1202"/>
      <c r="UWU8" s="1202"/>
      <c r="UWV8" s="1202"/>
      <c r="UWW8" s="1202"/>
      <c r="UWX8" s="1202"/>
      <c r="UWY8" s="1202"/>
      <c r="UWZ8" s="1202"/>
      <c r="UXA8" s="1202"/>
      <c r="UXB8" s="1202"/>
      <c r="UXC8" s="1202"/>
      <c r="UXD8" s="1202"/>
      <c r="UXE8" s="1202"/>
      <c r="UXF8" s="1202"/>
      <c r="UXG8" s="1202"/>
      <c r="UXH8" s="1202"/>
      <c r="UXI8" s="1202"/>
      <c r="UXJ8" s="1202"/>
      <c r="UXK8" s="1202"/>
      <c r="UXL8" s="1202"/>
      <c r="UXM8" s="1202"/>
      <c r="UXN8" s="1202"/>
      <c r="UXO8" s="1202"/>
      <c r="UXP8" s="1202"/>
      <c r="UXQ8" s="1202"/>
      <c r="UXR8" s="1202"/>
      <c r="UXS8" s="1202"/>
      <c r="UXT8" s="1202"/>
      <c r="UXU8" s="1202"/>
      <c r="UXV8" s="1202"/>
      <c r="UXW8" s="1202"/>
      <c r="UXX8" s="1202"/>
      <c r="UXY8" s="1202"/>
      <c r="UXZ8" s="1202"/>
      <c r="UYA8" s="1202"/>
      <c r="UYB8" s="1202"/>
      <c r="UYC8" s="1202"/>
      <c r="UYD8" s="1202"/>
      <c r="UYE8" s="1202"/>
      <c r="UYF8" s="1202"/>
      <c r="UYG8" s="1202"/>
      <c r="UYH8" s="1202"/>
      <c r="UYI8" s="1202"/>
      <c r="UYJ8" s="1202"/>
      <c r="UYK8" s="1202"/>
      <c r="UYL8" s="1202"/>
      <c r="UYM8" s="1202"/>
      <c r="UYN8" s="1202"/>
      <c r="UYO8" s="1202"/>
      <c r="UYP8" s="1202"/>
      <c r="UYQ8" s="1202"/>
      <c r="UYR8" s="1202"/>
      <c r="UYS8" s="1202"/>
      <c r="UYT8" s="1202"/>
      <c r="UYU8" s="1202"/>
      <c r="UYV8" s="1202"/>
      <c r="UYW8" s="1202"/>
      <c r="UYX8" s="1202"/>
      <c r="UYY8" s="1202"/>
      <c r="UYZ8" s="1202"/>
      <c r="UZA8" s="1202"/>
      <c r="UZB8" s="1202"/>
      <c r="UZC8" s="1202"/>
      <c r="UZD8" s="1202"/>
      <c r="UZE8" s="1202"/>
      <c r="UZF8" s="1202"/>
      <c r="UZG8" s="1202"/>
      <c r="UZH8" s="1202"/>
      <c r="UZI8" s="1202"/>
      <c r="UZJ8" s="1202"/>
      <c r="UZK8" s="1202"/>
      <c r="UZL8" s="1202"/>
      <c r="UZM8" s="1202"/>
      <c r="UZN8" s="1202"/>
      <c r="UZO8" s="1202"/>
      <c r="UZP8" s="1202"/>
      <c r="UZQ8" s="1202"/>
      <c r="UZR8" s="1202"/>
      <c r="UZS8" s="1202"/>
      <c r="UZT8" s="1202"/>
      <c r="UZU8" s="1202"/>
      <c r="UZV8" s="1202"/>
      <c r="UZW8" s="1202"/>
      <c r="UZX8" s="1202"/>
      <c r="UZY8" s="1202"/>
      <c r="UZZ8" s="1202"/>
      <c r="VAA8" s="1202"/>
      <c r="VAB8" s="1202"/>
      <c r="VAC8" s="1202"/>
      <c r="VAD8" s="1202"/>
      <c r="VAE8" s="1202"/>
      <c r="VAF8" s="1202"/>
      <c r="VAG8" s="1202"/>
      <c r="VAH8" s="1202"/>
      <c r="VAI8" s="1202"/>
      <c r="VAJ8" s="1202"/>
      <c r="VAK8" s="1202"/>
      <c r="VAL8" s="1202"/>
      <c r="VAM8" s="1202"/>
      <c r="VAN8" s="1202"/>
      <c r="VAO8" s="1202"/>
      <c r="VAP8" s="1202"/>
      <c r="VAQ8" s="1202"/>
      <c r="VAR8" s="1202"/>
      <c r="VAS8" s="1202"/>
      <c r="VAT8" s="1202"/>
      <c r="VAU8" s="1202"/>
      <c r="VAV8" s="1202"/>
      <c r="VAW8" s="1202"/>
      <c r="VAX8" s="1202"/>
      <c r="VAY8" s="1202"/>
      <c r="VAZ8" s="1202"/>
      <c r="VBA8" s="1202"/>
      <c r="VBB8" s="1202"/>
      <c r="VBC8" s="1202"/>
      <c r="VBD8" s="1202"/>
      <c r="VBE8" s="1202"/>
      <c r="VBF8" s="1202"/>
      <c r="VBG8" s="1202"/>
      <c r="VBH8" s="1202"/>
      <c r="VBI8" s="1202"/>
      <c r="VBJ8" s="1202"/>
      <c r="VBK8" s="1202"/>
      <c r="VBL8" s="1202"/>
      <c r="VBM8" s="1202"/>
      <c r="VBN8" s="1202"/>
      <c r="VBO8" s="1202"/>
      <c r="VBP8" s="1202"/>
      <c r="VBQ8" s="1202"/>
      <c r="VBR8" s="1202"/>
      <c r="VBS8" s="1202"/>
      <c r="VBT8" s="1202"/>
      <c r="VBU8" s="1202"/>
      <c r="VBV8" s="1202"/>
      <c r="VBW8" s="1202"/>
      <c r="VBX8" s="1202"/>
      <c r="VBY8" s="1202"/>
      <c r="VBZ8" s="1202"/>
      <c r="VCA8" s="1202"/>
      <c r="VCB8" s="1202"/>
      <c r="VCC8" s="1202"/>
      <c r="VCD8" s="1202"/>
      <c r="VCE8" s="1202"/>
      <c r="VCF8" s="1202"/>
      <c r="VCG8" s="1202"/>
      <c r="VCH8" s="1202"/>
      <c r="VCI8" s="1202"/>
      <c r="VCJ8" s="1202"/>
      <c r="VCK8" s="1202"/>
      <c r="VCL8" s="1202"/>
      <c r="VCM8" s="1202"/>
      <c r="VCN8" s="1202"/>
      <c r="VCO8" s="1202"/>
      <c r="VCP8" s="1202"/>
      <c r="VCQ8" s="1202"/>
      <c r="VCR8" s="1202"/>
      <c r="VCS8" s="1202"/>
      <c r="VCT8" s="1202"/>
      <c r="VCU8" s="1202"/>
      <c r="VCV8" s="1202"/>
      <c r="VCW8" s="1202"/>
      <c r="VCX8" s="1202"/>
      <c r="VCY8" s="1202"/>
      <c r="VCZ8" s="1202"/>
      <c r="VDA8" s="1202"/>
      <c r="VDB8" s="1202"/>
      <c r="VDC8" s="1202"/>
      <c r="VDD8" s="1202"/>
      <c r="VDE8" s="1202"/>
      <c r="VDF8" s="1202"/>
      <c r="VDG8" s="1202"/>
      <c r="VDH8" s="1202"/>
      <c r="VDI8" s="1202"/>
      <c r="VDJ8" s="1202"/>
      <c r="VDK8" s="1202"/>
      <c r="VDL8" s="1202"/>
      <c r="VDM8" s="1202"/>
      <c r="VDN8" s="1202"/>
      <c r="VDO8" s="1202"/>
      <c r="VDP8" s="1202"/>
      <c r="VDQ8" s="1202"/>
      <c r="VDR8" s="1202"/>
      <c r="VDS8" s="1202"/>
      <c r="VDT8" s="1202"/>
      <c r="VDU8" s="1202"/>
      <c r="VDV8" s="1202"/>
      <c r="VDW8" s="1202"/>
      <c r="VDX8" s="1202"/>
      <c r="VDY8" s="1202"/>
      <c r="VDZ8" s="1202"/>
      <c r="VEA8" s="1202"/>
      <c r="VEB8" s="1202"/>
      <c r="VEC8" s="1202"/>
      <c r="VED8" s="1202"/>
      <c r="VEE8" s="1202"/>
      <c r="VEF8" s="1202"/>
      <c r="VEG8" s="1202"/>
      <c r="VEH8" s="1202"/>
      <c r="VEI8" s="1202"/>
      <c r="VEJ8" s="1202"/>
      <c r="VEK8" s="1202"/>
      <c r="VEL8" s="1202"/>
      <c r="VEM8" s="1202"/>
      <c r="VEN8" s="1202"/>
      <c r="VEO8" s="1202"/>
      <c r="VEP8" s="1202"/>
      <c r="VEQ8" s="1202"/>
      <c r="VER8" s="1202"/>
      <c r="VES8" s="1202"/>
      <c r="VET8" s="1202"/>
      <c r="VEU8" s="1202"/>
      <c r="VEV8" s="1202"/>
      <c r="VEW8" s="1202"/>
      <c r="VEX8" s="1202"/>
      <c r="VEY8" s="1202"/>
      <c r="VEZ8" s="1202"/>
      <c r="VFA8" s="1202"/>
      <c r="VFB8" s="1202"/>
      <c r="VFC8" s="1202"/>
      <c r="VFD8" s="1202"/>
      <c r="VFE8" s="1202"/>
      <c r="VFF8" s="1202"/>
      <c r="VFG8" s="1202"/>
      <c r="VFH8" s="1202"/>
      <c r="VFI8" s="1202"/>
      <c r="VFJ8" s="1202"/>
      <c r="VFK8" s="1202"/>
      <c r="VFL8" s="1202"/>
      <c r="VFM8" s="1202"/>
      <c r="VFN8" s="1202"/>
      <c r="VFO8" s="1202"/>
      <c r="VFP8" s="1202"/>
      <c r="VFQ8" s="1202"/>
      <c r="VFR8" s="1202"/>
      <c r="VFS8" s="1202"/>
      <c r="VFT8" s="1202"/>
      <c r="VFU8" s="1202"/>
      <c r="VFV8" s="1202"/>
      <c r="VFW8" s="1202"/>
      <c r="VFX8" s="1202"/>
      <c r="VFY8" s="1202"/>
      <c r="VFZ8" s="1202"/>
      <c r="VGA8" s="1202"/>
      <c r="VGB8" s="1202"/>
      <c r="VGC8" s="1202"/>
      <c r="VGD8" s="1202"/>
      <c r="VGE8" s="1202"/>
      <c r="VGF8" s="1202"/>
      <c r="VGG8" s="1202"/>
      <c r="VGH8" s="1202"/>
      <c r="VGI8" s="1202"/>
      <c r="VGJ8" s="1202"/>
      <c r="VGK8" s="1202"/>
      <c r="VGL8" s="1202"/>
      <c r="VGM8" s="1202"/>
      <c r="VGN8" s="1202"/>
      <c r="VGO8" s="1202"/>
      <c r="VGP8" s="1202"/>
      <c r="VGQ8" s="1202"/>
      <c r="VGR8" s="1202"/>
      <c r="VGS8" s="1202"/>
      <c r="VGT8" s="1202"/>
      <c r="VGU8" s="1202"/>
      <c r="VGV8" s="1202"/>
      <c r="VGW8" s="1202"/>
      <c r="VGX8" s="1202"/>
      <c r="VGY8" s="1202"/>
      <c r="VGZ8" s="1202"/>
      <c r="VHA8" s="1202"/>
      <c r="VHB8" s="1202"/>
      <c r="VHC8" s="1202"/>
      <c r="VHD8" s="1202"/>
      <c r="VHE8" s="1202"/>
      <c r="VHF8" s="1202"/>
      <c r="VHG8" s="1202"/>
      <c r="VHH8" s="1202"/>
      <c r="VHI8" s="1202"/>
      <c r="VHJ8" s="1202"/>
      <c r="VHK8" s="1202"/>
      <c r="VHL8" s="1202"/>
      <c r="VHM8" s="1202"/>
      <c r="VHN8" s="1202"/>
      <c r="VHO8" s="1202"/>
      <c r="VHP8" s="1202"/>
      <c r="VHQ8" s="1202"/>
      <c r="VHR8" s="1202"/>
      <c r="VHS8" s="1202"/>
      <c r="VHT8" s="1202"/>
      <c r="VHU8" s="1202"/>
      <c r="VHV8" s="1202"/>
      <c r="VHW8" s="1202"/>
      <c r="VHX8" s="1202"/>
      <c r="VHY8" s="1202"/>
      <c r="VHZ8" s="1202"/>
      <c r="VIA8" s="1202"/>
      <c r="VIB8" s="1202"/>
      <c r="VIC8" s="1202"/>
      <c r="VID8" s="1202"/>
      <c r="VIE8" s="1202"/>
      <c r="VIF8" s="1202"/>
      <c r="VIG8" s="1202"/>
      <c r="VIH8" s="1202"/>
      <c r="VII8" s="1202"/>
      <c r="VIJ8" s="1202"/>
      <c r="VIK8" s="1202"/>
      <c r="VIL8" s="1202"/>
      <c r="VIM8" s="1202"/>
      <c r="VIN8" s="1202"/>
      <c r="VIO8" s="1202"/>
      <c r="VIP8" s="1202"/>
      <c r="VIQ8" s="1202"/>
      <c r="VIR8" s="1202"/>
      <c r="VIS8" s="1202"/>
      <c r="VIT8" s="1202"/>
      <c r="VIU8" s="1202"/>
      <c r="VIV8" s="1202"/>
      <c r="VIW8" s="1202"/>
      <c r="VIX8" s="1202"/>
      <c r="VIY8" s="1202"/>
      <c r="VIZ8" s="1202"/>
      <c r="VJA8" s="1202"/>
      <c r="VJB8" s="1202"/>
      <c r="VJC8" s="1202"/>
      <c r="VJD8" s="1202"/>
      <c r="VJE8" s="1202"/>
      <c r="VJF8" s="1202"/>
      <c r="VJG8" s="1202"/>
      <c r="VJH8" s="1202"/>
      <c r="VJI8" s="1202"/>
      <c r="VJJ8" s="1202"/>
      <c r="VJK8" s="1202"/>
      <c r="VJL8" s="1202"/>
      <c r="VJM8" s="1202"/>
      <c r="VJN8" s="1202"/>
      <c r="VJO8" s="1202"/>
      <c r="VJP8" s="1202"/>
      <c r="VJQ8" s="1202"/>
      <c r="VJR8" s="1202"/>
      <c r="VJS8" s="1202"/>
      <c r="VJT8" s="1202"/>
      <c r="VJU8" s="1202"/>
      <c r="VJV8" s="1202"/>
      <c r="VJW8" s="1202"/>
      <c r="VJX8" s="1202"/>
      <c r="VJY8" s="1202"/>
      <c r="VJZ8" s="1202"/>
      <c r="VKA8" s="1202"/>
      <c r="VKB8" s="1202"/>
      <c r="VKC8" s="1202"/>
      <c r="VKD8" s="1202"/>
      <c r="VKE8" s="1202"/>
      <c r="VKF8" s="1202"/>
      <c r="VKG8" s="1202"/>
      <c r="VKH8" s="1202"/>
      <c r="VKI8" s="1202"/>
      <c r="VKJ8" s="1202"/>
      <c r="VKK8" s="1202"/>
      <c r="VKL8" s="1202"/>
      <c r="VKM8" s="1202"/>
      <c r="VKN8" s="1202"/>
      <c r="VKO8" s="1202"/>
      <c r="VKP8" s="1202"/>
      <c r="VKQ8" s="1202"/>
      <c r="VKR8" s="1202"/>
      <c r="VKS8" s="1202"/>
      <c r="VKT8" s="1202"/>
      <c r="VKU8" s="1202"/>
      <c r="VKV8" s="1202"/>
      <c r="VKW8" s="1202"/>
      <c r="VKX8" s="1202"/>
      <c r="VKY8" s="1202"/>
      <c r="VKZ8" s="1202"/>
      <c r="VLA8" s="1202"/>
      <c r="VLB8" s="1202"/>
      <c r="VLC8" s="1202"/>
      <c r="VLD8" s="1202"/>
      <c r="VLE8" s="1202"/>
      <c r="VLF8" s="1202"/>
      <c r="VLG8" s="1202"/>
      <c r="VLH8" s="1202"/>
      <c r="VLI8" s="1202"/>
      <c r="VLJ8" s="1202"/>
      <c r="VLK8" s="1202"/>
      <c r="VLL8" s="1202"/>
      <c r="VLM8" s="1202"/>
      <c r="VLN8" s="1202"/>
      <c r="VLO8" s="1202"/>
      <c r="VLP8" s="1202"/>
      <c r="VLQ8" s="1202"/>
      <c r="VLR8" s="1202"/>
      <c r="VLS8" s="1202"/>
      <c r="VLT8" s="1202"/>
      <c r="VLU8" s="1202"/>
      <c r="VLV8" s="1202"/>
      <c r="VLW8" s="1202"/>
      <c r="VLX8" s="1202"/>
      <c r="VLY8" s="1202"/>
      <c r="VLZ8" s="1202"/>
      <c r="VMA8" s="1202"/>
      <c r="VMB8" s="1202"/>
      <c r="VMC8" s="1202"/>
      <c r="VMD8" s="1202"/>
      <c r="VME8" s="1202"/>
      <c r="VMF8" s="1202"/>
      <c r="VMG8" s="1202"/>
      <c r="VMH8" s="1202"/>
      <c r="VMI8" s="1202"/>
      <c r="VMJ8" s="1202"/>
      <c r="VMK8" s="1202"/>
      <c r="VML8" s="1202"/>
      <c r="VMM8" s="1202"/>
      <c r="VMN8" s="1202"/>
      <c r="VMO8" s="1202"/>
      <c r="VMP8" s="1202"/>
      <c r="VMQ8" s="1202"/>
      <c r="VMR8" s="1202"/>
      <c r="VMS8" s="1202"/>
      <c r="VMT8" s="1202"/>
      <c r="VMU8" s="1202"/>
      <c r="VMV8" s="1202"/>
      <c r="VMW8" s="1202"/>
      <c r="VMX8" s="1202"/>
      <c r="VMY8" s="1202"/>
      <c r="VMZ8" s="1202"/>
      <c r="VNA8" s="1202"/>
      <c r="VNB8" s="1202"/>
      <c r="VNC8" s="1202"/>
      <c r="VND8" s="1202"/>
      <c r="VNE8" s="1202"/>
      <c r="VNF8" s="1202"/>
      <c r="VNG8" s="1202"/>
      <c r="VNH8" s="1202"/>
      <c r="VNI8" s="1202"/>
      <c r="VNJ8" s="1202"/>
      <c r="VNK8" s="1202"/>
      <c r="VNL8" s="1202"/>
      <c r="VNM8" s="1202"/>
      <c r="VNN8" s="1202"/>
      <c r="VNO8" s="1202"/>
      <c r="VNP8" s="1202"/>
      <c r="VNQ8" s="1202"/>
      <c r="VNR8" s="1202"/>
      <c r="VNS8" s="1202"/>
      <c r="VNT8" s="1202"/>
      <c r="VNU8" s="1202"/>
      <c r="VNV8" s="1202"/>
      <c r="VNW8" s="1202"/>
      <c r="VNX8" s="1202"/>
      <c r="VNY8" s="1202"/>
      <c r="VNZ8" s="1202"/>
      <c r="VOA8" s="1202"/>
      <c r="VOB8" s="1202"/>
      <c r="VOC8" s="1202"/>
      <c r="VOD8" s="1202"/>
      <c r="VOE8" s="1202"/>
      <c r="VOF8" s="1202"/>
      <c r="VOG8" s="1202"/>
      <c r="VOH8" s="1202"/>
      <c r="VOI8" s="1202"/>
      <c r="VOJ8" s="1202"/>
      <c r="VOK8" s="1202"/>
      <c r="VOL8" s="1202"/>
      <c r="VOM8" s="1202"/>
      <c r="VON8" s="1202"/>
      <c r="VOO8" s="1202"/>
      <c r="VOP8" s="1202"/>
      <c r="VOQ8" s="1202"/>
      <c r="VOR8" s="1202"/>
      <c r="VOS8" s="1202"/>
      <c r="VOT8" s="1202"/>
      <c r="VOU8" s="1202"/>
      <c r="VOV8" s="1202"/>
      <c r="VOW8" s="1202"/>
      <c r="VOX8" s="1202"/>
      <c r="VOY8" s="1202"/>
      <c r="VOZ8" s="1202"/>
      <c r="VPA8" s="1202"/>
      <c r="VPB8" s="1202"/>
      <c r="VPC8" s="1202"/>
      <c r="VPD8" s="1202"/>
      <c r="VPE8" s="1202"/>
      <c r="VPF8" s="1202"/>
      <c r="VPG8" s="1202"/>
      <c r="VPH8" s="1202"/>
      <c r="VPI8" s="1202"/>
      <c r="VPJ8" s="1202"/>
      <c r="VPK8" s="1202"/>
      <c r="VPL8" s="1202"/>
      <c r="VPM8" s="1202"/>
      <c r="VPN8" s="1202"/>
      <c r="VPO8" s="1202"/>
      <c r="VPP8" s="1202"/>
      <c r="VPQ8" s="1202"/>
      <c r="VPR8" s="1202"/>
      <c r="VPS8" s="1202"/>
      <c r="VPT8" s="1202"/>
      <c r="VPU8" s="1202"/>
      <c r="VPV8" s="1202"/>
      <c r="VPW8" s="1202"/>
      <c r="VPX8" s="1202"/>
      <c r="VPY8" s="1202"/>
      <c r="VPZ8" s="1202"/>
      <c r="VQA8" s="1202"/>
      <c r="VQB8" s="1202"/>
      <c r="VQC8" s="1202"/>
      <c r="VQD8" s="1202"/>
      <c r="VQE8" s="1202"/>
      <c r="VQF8" s="1202"/>
      <c r="VQG8" s="1202"/>
      <c r="VQH8" s="1202"/>
      <c r="VQI8" s="1202"/>
      <c r="VQJ8" s="1202"/>
      <c r="VQK8" s="1202"/>
      <c r="VQL8" s="1202"/>
      <c r="VQM8" s="1202"/>
      <c r="VQN8" s="1202"/>
      <c r="VQO8" s="1202"/>
      <c r="VQP8" s="1202"/>
      <c r="VQQ8" s="1202"/>
      <c r="VQR8" s="1202"/>
      <c r="VQS8" s="1202"/>
      <c r="VQT8" s="1202"/>
      <c r="VQU8" s="1202"/>
      <c r="VQV8" s="1202"/>
      <c r="VQW8" s="1202"/>
      <c r="VQX8" s="1202"/>
      <c r="VQY8" s="1202"/>
      <c r="VQZ8" s="1202"/>
      <c r="VRA8" s="1202"/>
      <c r="VRB8" s="1202"/>
      <c r="VRC8" s="1202"/>
      <c r="VRD8" s="1202"/>
      <c r="VRE8" s="1202"/>
      <c r="VRF8" s="1202"/>
      <c r="VRG8" s="1202"/>
      <c r="VRH8" s="1202"/>
      <c r="VRI8" s="1202"/>
      <c r="VRJ8" s="1202"/>
      <c r="VRK8" s="1202"/>
      <c r="VRL8" s="1202"/>
      <c r="VRM8" s="1202"/>
      <c r="VRN8" s="1202"/>
      <c r="VRO8" s="1202"/>
      <c r="VRP8" s="1202"/>
      <c r="VRQ8" s="1202"/>
      <c r="VRR8" s="1202"/>
      <c r="VRS8" s="1202"/>
      <c r="VRT8" s="1202"/>
      <c r="VRU8" s="1202"/>
      <c r="VRV8" s="1202"/>
      <c r="VRW8" s="1202"/>
      <c r="VRX8" s="1202"/>
      <c r="VRY8" s="1202"/>
      <c r="VRZ8" s="1202"/>
      <c r="VSA8" s="1202"/>
      <c r="VSB8" s="1202"/>
      <c r="VSC8" s="1202"/>
      <c r="VSD8" s="1202"/>
      <c r="VSE8" s="1202"/>
      <c r="VSF8" s="1202"/>
      <c r="VSG8" s="1202"/>
      <c r="VSH8" s="1202"/>
      <c r="VSI8" s="1202"/>
      <c r="VSJ8" s="1202"/>
      <c r="VSK8" s="1202"/>
      <c r="VSL8" s="1202"/>
      <c r="VSM8" s="1202"/>
      <c r="VSN8" s="1202"/>
      <c r="VSO8" s="1202"/>
      <c r="VSP8" s="1202"/>
      <c r="VSQ8" s="1202"/>
      <c r="VSR8" s="1202"/>
      <c r="VSS8" s="1202"/>
      <c r="VST8" s="1202"/>
      <c r="VSU8" s="1202"/>
      <c r="VSV8" s="1202"/>
      <c r="VSW8" s="1202"/>
      <c r="VSX8" s="1202"/>
      <c r="VSY8" s="1202"/>
      <c r="VSZ8" s="1202"/>
      <c r="VTA8" s="1202"/>
      <c r="VTB8" s="1202"/>
      <c r="VTC8" s="1202"/>
      <c r="VTD8" s="1202"/>
      <c r="VTE8" s="1202"/>
      <c r="VTF8" s="1202"/>
      <c r="VTG8" s="1202"/>
      <c r="VTH8" s="1202"/>
      <c r="VTI8" s="1202"/>
      <c r="VTJ8" s="1202"/>
      <c r="VTK8" s="1202"/>
      <c r="VTL8" s="1202"/>
      <c r="VTM8" s="1202"/>
      <c r="VTN8" s="1202"/>
      <c r="VTO8" s="1202"/>
      <c r="VTP8" s="1202"/>
      <c r="VTQ8" s="1202"/>
      <c r="VTR8" s="1202"/>
      <c r="VTS8" s="1202"/>
      <c r="VTT8" s="1202"/>
      <c r="VTU8" s="1202"/>
      <c r="VTV8" s="1202"/>
      <c r="VTW8" s="1202"/>
      <c r="VTX8" s="1202"/>
      <c r="VTY8" s="1202"/>
      <c r="VTZ8" s="1202"/>
      <c r="VUA8" s="1202"/>
      <c r="VUB8" s="1202"/>
      <c r="VUC8" s="1202"/>
      <c r="VUD8" s="1202"/>
      <c r="VUE8" s="1202"/>
      <c r="VUF8" s="1202"/>
      <c r="VUG8" s="1202"/>
      <c r="VUH8" s="1202"/>
      <c r="VUI8" s="1202"/>
      <c r="VUJ8" s="1202"/>
      <c r="VUK8" s="1202"/>
      <c r="VUL8" s="1202"/>
      <c r="VUM8" s="1202"/>
      <c r="VUN8" s="1202"/>
      <c r="VUO8" s="1202"/>
      <c r="VUP8" s="1202"/>
      <c r="VUQ8" s="1202"/>
      <c r="VUR8" s="1202"/>
      <c r="VUS8" s="1202"/>
      <c r="VUT8" s="1202"/>
      <c r="VUU8" s="1202"/>
      <c r="VUV8" s="1202"/>
      <c r="VUW8" s="1202"/>
      <c r="VUX8" s="1202"/>
      <c r="VUY8" s="1202"/>
      <c r="VUZ8" s="1202"/>
      <c r="VVA8" s="1202"/>
      <c r="VVB8" s="1202"/>
      <c r="VVC8" s="1202"/>
      <c r="VVD8" s="1202"/>
      <c r="VVE8" s="1202"/>
      <c r="VVF8" s="1202"/>
      <c r="VVG8" s="1202"/>
      <c r="VVH8" s="1202"/>
      <c r="VVI8" s="1202"/>
      <c r="VVJ8" s="1202"/>
      <c r="VVK8" s="1202"/>
      <c r="VVL8" s="1202"/>
      <c r="VVM8" s="1202"/>
      <c r="VVN8" s="1202"/>
      <c r="VVO8" s="1202"/>
      <c r="VVP8" s="1202"/>
      <c r="VVQ8" s="1202"/>
      <c r="VVR8" s="1202"/>
      <c r="VVS8" s="1202"/>
      <c r="VVT8" s="1202"/>
      <c r="VVU8" s="1202"/>
      <c r="VVV8" s="1202"/>
      <c r="VVW8" s="1202"/>
      <c r="VVX8" s="1202"/>
      <c r="VVY8" s="1202"/>
      <c r="VVZ8" s="1202"/>
      <c r="VWA8" s="1202"/>
      <c r="VWB8" s="1202"/>
      <c r="VWC8" s="1202"/>
      <c r="VWD8" s="1202"/>
      <c r="VWE8" s="1202"/>
      <c r="VWF8" s="1202"/>
      <c r="VWG8" s="1202"/>
      <c r="VWH8" s="1202"/>
      <c r="VWI8" s="1202"/>
      <c r="VWJ8" s="1202"/>
      <c r="VWK8" s="1202"/>
      <c r="VWL8" s="1202"/>
      <c r="VWM8" s="1202"/>
      <c r="VWN8" s="1202"/>
      <c r="VWO8" s="1202"/>
      <c r="VWP8" s="1202"/>
      <c r="VWQ8" s="1202"/>
      <c r="VWR8" s="1202"/>
      <c r="VWS8" s="1202"/>
      <c r="VWT8" s="1202"/>
      <c r="VWU8" s="1202"/>
      <c r="VWV8" s="1202"/>
      <c r="VWW8" s="1202"/>
      <c r="VWX8" s="1202"/>
      <c r="VWY8" s="1202"/>
      <c r="VWZ8" s="1202"/>
      <c r="VXA8" s="1202"/>
      <c r="VXB8" s="1202"/>
      <c r="VXC8" s="1202"/>
      <c r="VXD8" s="1202"/>
      <c r="VXE8" s="1202"/>
      <c r="VXF8" s="1202"/>
      <c r="VXG8" s="1202"/>
      <c r="VXH8" s="1202"/>
      <c r="VXI8" s="1202"/>
      <c r="VXJ8" s="1202"/>
      <c r="VXK8" s="1202"/>
      <c r="VXL8" s="1202"/>
      <c r="VXM8" s="1202"/>
      <c r="VXN8" s="1202"/>
      <c r="VXO8" s="1202"/>
      <c r="VXP8" s="1202"/>
      <c r="VXQ8" s="1202"/>
      <c r="VXR8" s="1202"/>
      <c r="VXS8" s="1202"/>
      <c r="VXT8" s="1202"/>
      <c r="VXU8" s="1202"/>
      <c r="VXV8" s="1202"/>
      <c r="VXW8" s="1202"/>
      <c r="VXX8" s="1202"/>
      <c r="VXY8" s="1202"/>
      <c r="VXZ8" s="1202"/>
      <c r="VYA8" s="1202"/>
      <c r="VYB8" s="1202"/>
      <c r="VYC8" s="1202"/>
      <c r="VYD8" s="1202"/>
      <c r="VYE8" s="1202"/>
      <c r="VYF8" s="1202"/>
      <c r="VYG8" s="1202"/>
      <c r="VYH8" s="1202"/>
      <c r="VYI8" s="1202"/>
      <c r="VYJ8" s="1202"/>
      <c r="VYK8" s="1202"/>
      <c r="VYL8" s="1202"/>
      <c r="VYM8" s="1202"/>
      <c r="VYN8" s="1202"/>
      <c r="VYO8" s="1202"/>
      <c r="VYP8" s="1202"/>
      <c r="VYQ8" s="1202"/>
      <c r="VYR8" s="1202"/>
      <c r="VYS8" s="1202"/>
      <c r="VYT8" s="1202"/>
      <c r="VYU8" s="1202"/>
      <c r="VYV8" s="1202"/>
      <c r="VYW8" s="1202"/>
      <c r="VYX8" s="1202"/>
      <c r="VYY8" s="1202"/>
      <c r="VYZ8" s="1202"/>
      <c r="VZA8" s="1202"/>
      <c r="VZB8" s="1202"/>
      <c r="VZC8" s="1202"/>
      <c r="VZD8" s="1202"/>
      <c r="VZE8" s="1202"/>
      <c r="VZF8" s="1202"/>
      <c r="VZG8" s="1202"/>
      <c r="VZH8" s="1202"/>
      <c r="VZI8" s="1202"/>
      <c r="VZJ8" s="1202"/>
      <c r="VZK8" s="1202"/>
      <c r="VZL8" s="1202"/>
      <c r="VZM8" s="1202"/>
      <c r="VZN8" s="1202"/>
      <c r="VZO8" s="1202"/>
      <c r="VZP8" s="1202"/>
      <c r="VZQ8" s="1202"/>
      <c r="VZR8" s="1202"/>
      <c r="VZS8" s="1202"/>
      <c r="VZT8" s="1202"/>
      <c r="VZU8" s="1202"/>
      <c r="VZV8" s="1202"/>
      <c r="VZW8" s="1202"/>
      <c r="VZX8" s="1202"/>
      <c r="VZY8" s="1202"/>
      <c r="VZZ8" s="1202"/>
      <c r="WAA8" s="1202"/>
      <c r="WAB8" s="1202"/>
      <c r="WAC8" s="1202"/>
      <c r="WAD8" s="1202"/>
      <c r="WAE8" s="1202"/>
      <c r="WAF8" s="1202"/>
      <c r="WAG8" s="1202"/>
      <c r="WAH8" s="1202"/>
      <c r="WAI8" s="1202"/>
      <c r="WAJ8" s="1202"/>
      <c r="WAK8" s="1202"/>
      <c r="WAL8" s="1202"/>
      <c r="WAM8" s="1202"/>
      <c r="WAN8" s="1202"/>
      <c r="WAO8" s="1202"/>
      <c r="WAP8" s="1202"/>
      <c r="WAQ8" s="1202"/>
      <c r="WAR8" s="1202"/>
      <c r="WAS8" s="1202"/>
      <c r="WAT8" s="1202"/>
      <c r="WAU8" s="1202"/>
      <c r="WAV8" s="1202"/>
      <c r="WAW8" s="1202"/>
      <c r="WAX8" s="1202"/>
      <c r="WAY8" s="1202"/>
      <c r="WAZ8" s="1202"/>
      <c r="WBA8" s="1202"/>
      <c r="WBB8" s="1202"/>
      <c r="WBC8" s="1202"/>
      <c r="WBD8" s="1202"/>
      <c r="WBE8" s="1202"/>
      <c r="WBF8" s="1202"/>
      <c r="WBG8" s="1202"/>
      <c r="WBH8" s="1202"/>
      <c r="WBI8" s="1202"/>
      <c r="WBJ8" s="1202"/>
      <c r="WBK8" s="1202"/>
      <c r="WBL8" s="1202"/>
      <c r="WBM8" s="1202"/>
      <c r="WBN8" s="1202"/>
      <c r="WBO8" s="1202"/>
      <c r="WBP8" s="1202"/>
      <c r="WBQ8" s="1202"/>
      <c r="WBR8" s="1202"/>
      <c r="WBS8" s="1202"/>
      <c r="WBT8" s="1202"/>
      <c r="WBU8" s="1202"/>
      <c r="WBV8" s="1202"/>
      <c r="WBW8" s="1202"/>
      <c r="WBX8" s="1202"/>
      <c r="WBY8" s="1202"/>
      <c r="WBZ8" s="1202"/>
      <c r="WCA8" s="1202"/>
      <c r="WCB8" s="1202"/>
      <c r="WCC8" s="1202"/>
      <c r="WCD8" s="1202"/>
      <c r="WCE8" s="1202"/>
      <c r="WCF8" s="1202"/>
      <c r="WCG8" s="1202"/>
      <c r="WCH8" s="1202"/>
      <c r="WCI8" s="1202"/>
      <c r="WCJ8" s="1202"/>
      <c r="WCK8" s="1202"/>
      <c r="WCL8" s="1202"/>
      <c r="WCM8" s="1202"/>
      <c r="WCN8" s="1202"/>
      <c r="WCO8" s="1202"/>
      <c r="WCP8" s="1202"/>
      <c r="WCQ8" s="1202"/>
      <c r="WCR8" s="1202"/>
      <c r="WCS8" s="1202"/>
      <c r="WCT8" s="1202"/>
      <c r="WCU8" s="1202"/>
      <c r="WCV8" s="1202"/>
      <c r="WCW8" s="1202"/>
      <c r="WCX8" s="1202"/>
      <c r="WCY8" s="1202"/>
      <c r="WCZ8" s="1202"/>
      <c r="WDA8" s="1202"/>
      <c r="WDB8" s="1202"/>
      <c r="WDC8" s="1202"/>
      <c r="WDD8" s="1202"/>
      <c r="WDE8" s="1202"/>
      <c r="WDF8" s="1202"/>
      <c r="WDG8" s="1202"/>
      <c r="WDH8" s="1202"/>
      <c r="WDI8" s="1202"/>
      <c r="WDJ8" s="1202"/>
      <c r="WDK8" s="1202"/>
      <c r="WDL8" s="1202"/>
      <c r="WDM8" s="1202"/>
      <c r="WDN8" s="1202"/>
      <c r="WDO8" s="1202"/>
      <c r="WDP8" s="1202"/>
      <c r="WDQ8" s="1202"/>
      <c r="WDR8" s="1202"/>
      <c r="WDS8" s="1202"/>
      <c r="WDT8" s="1202"/>
      <c r="WDU8" s="1202"/>
      <c r="WDV8" s="1202"/>
      <c r="WDW8" s="1202"/>
      <c r="WDX8" s="1202"/>
      <c r="WDY8" s="1202"/>
      <c r="WDZ8" s="1202"/>
      <c r="WEA8" s="1202"/>
      <c r="WEB8" s="1202"/>
      <c r="WEC8" s="1202"/>
      <c r="WED8" s="1202"/>
      <c r="WEE8" s="1202"/>
      <c r="WEF8" s="1202"/>
      <c r="WEG8" s="1202"/>
      <c r="WEH8" s="1202"/>
      <c r="WEI8" s="1202"/>
      <c r="WEJ8" s="1202"/>
      <c r="WEK8" s="1202"/>
      <c r="WEL8" s="1202"/>
      <c r="WEM8" s="1202"/>
      <c r="WEN8" s="1202"/>
      <c r="WEO8" s="1202"/>
      <c r="WEP8" s="1202"/>
      <c r="WEQ8" s="1202"/>
      <c r="WER8" s="1202"/>
      <c r="WES8" s="1202"/>
      <c r="WET8" s="1202"/>
      <c r="WEU8" s="1202"/>
      <c r="WEV8" s="1202"/>
      <c r="WEW8" s="1202"/>
      <c r="WEX8" s="1202"/>
      <c r="WEY8" s="1202"/>
      <c r="WEZ8" s="1202"/>
      <c r="WFA8" s="1202"/>
      <c r="WFB8" s="1202"/>
      <c r="WFC8" s="1202"/>
      <c r="WFD8" s="1202"/>
      <c r="WFE8" s="1202"/>
      <c r="WFF8" s="1202"/>
      <c r="WFG8" s="1202"/>
      <c r="WFH8" s="1202"/>
      <c r="WFI8" s="1202"/>
      <c r="WFJ8" s="1202"/>
      <c r="WFK8" s="1202"/>
      <c r="WFL8" s="1202"/>
      <c r="WFM8" s="1202"/>
      <c r="WFN8" s="1202"/>
      <c r="WFO8" s="1202"/>
      <c r="WFP8" s="1202"/>
      <c r="WFQ8" s="1202"/>
      <c r="WFR8" s="1202"/>
      <c r="WFS8" s="1202"/>
      <c r="WFT8" s="1202"/>
      <c r="WFU8" s="1202"/>
      <c r="WFV8" s="1202"/>
      <c r="WFW8" s="1202"/>
      <c r="WFX8" s="1202"/>
      <c r="WFY8" s="1202"/>
      <c r="WFZ8" s="1202"/>
      <c r="WGA8" s="1202"/>
      <c r="WGB8" s="1202"/>
      <c r="WGC8" s="1202"/>
      <c r="WGD8" s="1202"/>
      <c r="WGE8" s="1202"/>
      <c r="WGF8" s="1202"/>
      <c r="WGG8" s="1202"/>
      <c r="WGH8" s="1202"/>
      <c r="WGI8" s="1202"/>
      <c r="WGJ8" s="1202"/>
      <c r="WGK8" s="1202"/>
      <c r="WGL8" s="1202"/>
      <c r="WGM8" s="1202"/>
      <c r="WGN8" s="1202"/>
      <c r="WGO8" s="1202"/>
      <c r="WGP8" s="1202"/>
      <c r="WGQ8" s="1202"/>
      <c r="WGR8" s="1202"/>
      <c r="WGS8" s="1202"/>
      <c r="WGT8" s="1202"/>
      <c r="WGU8" s="1202"/>
      <c r="WGV8" s="1202"/>
      <c r="WGW8" s="1202"/>
      <c r="WGX8" s="1202"/>
      <c r="WGY8" s="1202"/>
      <c r="WGZ8" s="1202"/>
      <c r="WHA8" s="1202"/>
      <c r="WHB8" s="1202"/>
      <c r="WHC8" s="1202"/>
      <c r="WHD8" s="1202"/>
      <c r="WHE8" s="1202"/>
      <c r="WHF8" s="1202"/>
      <c r="WHG8" s="1202"/>
      <c r="WHH8" s="1202"/>
      <c r="WHI8" s="1202"/>
      <c r="WHJ8" s="1202"/>
      <c r="WHK8" s="1202"/>
      <c r="WHL8" s="1202"/>
      <c r="WHM8" s="1202"/>
      <c r="WHN8" s="1202"/>
      <c r="WHO8" s="1202"/>
      <c r="WHP8" s="1202"/>
      <c r="WHQ8" s="1202"/>
      <c r="WHR8" s="1202"/>
      <c r="WHS8" s="1202"/>
      <c r="WHT8" s="1202"/>
      <c r="WHU8" s="1202"/>
      <c r="WHV8" s="1202"/>
      <c r="WHW8" s="1202"/>
      <c r="WHX8" s="1202"/>
      <c r="WHY8" s="1202"/>
      <c r="WHZ8" s="1202"/>
      <c r="WIA8" s="1202"/>
      <c r="WIB8" s="1202"/>
      <c r="WIC8" s="1202"/>
      <c r="WID8" s="1202"/>
      <c r="WIE8" s="1202"/>
      <c r="WIF8" s="1202"/>
      <c r="WIG8" s="1202"/>
      <c r="WIH8" s="1202"/>
      <c r="WII8" s="1202"/>
      <c r="WIJ8" s="1202"/>
      <c r="WIK8" s="1202"/>
      <c r="WIL8" s="1202"/>
      <c r="WIM8" s="1202"/>
      <c r="WIN8" s="1202"/>
      <c r="WIO8" s="1202"/>
      <c r="WIP8" s="1202"/>
      <c r="WIQ8" s="1202"/>
      <c r="WIR8" s="1202"/>
      <c r="WIS8" s="1202"/>
      <c r="WIT8" s="1202"/>
      <c r="WIU8" s="1202"/>
      <c r="WIV8" s="1202"/>
      <c r="WIW8" s="1202"/>
      <c r="WIX8" s="1202"/>
      <c r="WIY8" s="1202"/>
      <c r="WIZ8" s="1202"/>
      <c r="WJA8" s="1202"/>
      <c r="WJB8" s="1202"/>
      <c r="WJC8" s="1202"/>
      <c r="WJD8" s="1202"/>
      <c r="WJE8" s="1202"/>
      <c r="WJF8" s="1202"/>
      <c r="WJG8" s="1202"/>
      <c r="WJH8" s="1202"/>
      <c r="WJI8" s="1202"/>
      <c r="WJJ8" s="1202"/>
      <c r="WJK8" s="1202"/>
      <c r="WJL8" s="1202"/>
      <c r="WJM8" s="1202"/>
      <c r="WJN8" s="1202"/>
      <c r="WJO8" s="1202"/>
      <c r="WJP8" s="1202"/>
      <c r="WJQ8" s="1202"/>
      <c r="WJR8" s="1202"/>
      <c r="WJS8" s="1202"/>
      <c r="WJT8" s="1202"/>
      <c r="WJU8" s="1202"/>
      <c r="WJV8" s="1202"/>
      <c r="WJW8" s="1202"/>
      <c r="WJX8" s="1202"/>
      <c r="WJY8" s="1202"/>
      <c r="WJZ8" s="1202"/>
      <c r="WKA8" s="1202"/>
      <c r="WKB8" s="1202"/>
      <c r="WKC8" s="1202"/>
      <c r="WKD8" s="1202"/>
      <c r="WKE8" s="1202"/>
      <c r="WKF8" s="1202"/>
      <c r="WKG8" s="1202"/>
      <c r="WKH8" s="1202"/>
      <c r="WKI8" s="1202"/>
      <c r="WKJ8" s="1202"/>
      <c r="WKK8" s="1202"/>
      <c r="WKL8" s="1202"/>
      <c r="WKM8" s="1202"/>
      <c r="WKN8" s="1202"/>
      <c r="WKO8" s="1202"/>
      <c r="WKP8" s="1202"/>
      <c r="WKQ8" s="1202"/>
      <c r="WKR8" s="1202"/>
      <c r="WKS8" s="1202"/>
      <c r="WKT8" s="1202"/>
      <c r="WKU8" s="1202"/>
      <c r="WKV8" s="1202"/>
      <c r="WKW8" s="1202"/>
      <c r="WKX8" s="1202"/>
      <c r="WKY8" s="1202"/>
      <c r="WKZ8" s="1202"/>
      <c r="WLA8" s="1202"/>
      <c r="WLB8" s="1202"/>
      <c r="WLC8" s="1202"/>
      <c r="WLD8" s="1202"/>
      <c r="WLE8" s="1202"/>
      <c r="WLF8" s="1202"/>
      <c r="WLG8" s="1202"/>
      <c r="WLH8" s="1202"/>
      <c r="WLI8" s="1202"/>
      <c r="WLJ8" s="1202"/>
      <c r="WLK8" s="1202"/>
      <c r="WLL8" s="1202"/>
      <c r="WLM8" s="1202"/>
      <c r="WLN8" s="1202"/>
      <c r="WLO8" s="1202"/>
      <c r="WLP8" s="1202"/>
      <c r="WLQ8" s="1202"/>
      <c r="WLR8" s="1202"/>
      <c r="WLS8" s="1202"/>
      <c r="WLT8" s="1202"/>
      <c r="WLU8" s="1202"/>
      <c r="WLV8" s="1202"/>
      <c r="WLW8" s="1202"/>
      <c r="WLX8" s="1202"/>
      <c r="WLY8" s="1202"/>
      <c r="WLZ8" s="1202"/>
      <c r="WMA8" s="1202"/>
      <c r="WMB8" s="1202"/>
      <c r="WMC8" s="1202"/>
      <c r="WMD8" s="1202"/>
      <c r="WME8" s="1202"/>
      <c r="WMF8" s="1202"/>
      <c r="WMG8" s="1202"/>
      <c r="WMH8" s="1202"/>
      <c r="WMI8" s="1202"/>
      <c r="WMJ8" s="1202"/>
      <c r="WMK8" s="1202"/>
      <c r="WML8" s="1202"/>
      <c r="WMM8" s="1202"/>
      <c r="WMN8" s="1202"/>
      <c r="WMO8" s="1202"/>
      <c r="WMP8" s="1202"/>
      <c r="WMQ8" s="1202"/>
      <c r="WMR8" s="1202"/>
      <c r="WMS8" s="1202"/>
      <c r="WMT8" s="1202"/>
      <c r="WMU8" s="1202"/>
      <c r="WMV8" s="1202"/>
      <c r="WMW8" s="1202"/>
      <c r="WMX8" s="1202"/>
      <c r="WMY8" s="1202"/>
      <c r="WMZ8" s="1202"/>
      <c r="WNA8" s="1202"/>
      <c r="WNB8" s="1202"/>
      <c r="WNC8" s="1202"/>
      <c r="WND8" s="1202"/>
      <c r="WNE8" s="1202"/>
      <c r="WNF8" s="1202"/>
      <c r="WNG8" s="1202"/>
      <c r="WNH8" s="1202"/>
      <c r="WNI8" s="1202"/>
      <c r="WNJ8" s="1202"/>
      <c r="WNK8" s="1202"/>
      <c r="WNL8" s="1202"/>
      <c r="WNM8" s="1202"/>
      <c r="WNN8" s="1202"/>
      <c r="WNO8" s="1202"/>
      <c r="WNP8" s="1202"/>
      <c r="WNQ8" s="1202"/>
      <c r="WNR8" s="1202"/>
      <c r="WNS8" s="1202"/>
      <c r="WNT8" s="1202"/>
      <c r="WNU8" s="1202"/>
      <c r="WNV8" s="1202"/>
      <c r="WNW8" s="1202"/>
      <c r="WNX8" s="1202"/>
      <c r="WNY8" s="1202"/>
      <c r="WNZ8" s="1202"/>
      <c r="WOA8" s="1202"/>
      <c r="WOB8" s="1202"/>
      <c r="WOC8" s="1202"/>
      <c r="WOD8" s="1202"/>
      <c r="WOE8" s="1202"/>
      <c r="WOF8" s="1202"/>
      <c r="WOG8" s="1202"/>
      <c r="WOH8" s="1202"/>
      <c r="WOI8" s="1202"/>
      <c r="WOJ8" s="1202"/>
      <c r="WOK8" s="1202"/>
      <c r="WOL8" s="1202"/>
      <c r="WOM8" s="1202"/>
      <c r="WON8" s="1202"/>
      <c r="WOO8" s="1202"/>
      <c r="WOP8" s="1202"/>
      <c r="WOQ8" s="1202"/>
      <c r="WOR8" s="1202"/>
      <c r="WOS8" s="1202"/>
      <c r="WOT8" s="1202"/>
      <c r="WOU8" s="1202"/>
      <c r="WOV8" s="1202"/>
      <c r="WOW8" s="1202"/>
      <c r="WOX8" s="1202"/>
      <c r="WOY8" s="1202"/>
      <c r="WOZ8" s="1202"/>
      <c r="WPA8" s="1202"/>
      <c r="WPB8" s="1202"/>
      <c r="WPC8" s="1202"/>
      <c r="WPD8" s="1202"/>
      <c r="WPE8" s="1202"/>
      <c r="WPF8" s="1202"/>
      <c r="WPG8" s="1202"/>
      <c r="WPH8" s="1202"/>
      <c r="WPI8" s="1202"/>
      <c r="WPJ8" s="1202"/>
      <c r="WPK8" s="1202"/>
      <c r="WPL8" s="1202"/>
      <c r="WPM8" s="1202"/>
      <c r="WPN8" s="1202"/>
      <c r="WPO8" s="1202"/>
      <c r="WPP8" s="1202"/>
      <c r="WPQ8" s="1202"/>
      <c r="WPR8" s="1202"/>
      <c r="WPS8" s="1202"/>
      <c r="WPT8" s="1202"/>
      <c r="WPU8" s="1202"/>
      <c r="WPV8" s="1202"/>
      <c r="WPW8" s="1202"/>
      <c r="WPX8" s="1202"/>
      <c r="WPY8" s="1202"/>
      <c r="WPZ8" s="1202"/>
      <c r="WQA8" s="1202"/>
      <c r="WQB8" s="1202"/>
      <c r="WQC8" s="1202"/>
      <c r="WQD8" s="1202"/>
      <c r="WQE8" s="1202"/>
      <c r="WQF8" s="1202"/>
      <c r="WQG8" s="1202"/>
      <c r="WQH8" s="1202"/>
      <c r="WQI8" s="1202"/>
      <c r="WQJ8" s="1202"/>
      <c r="WQK8" s="1202"/>
      <c r="WQL8" s="1202"/>
      <c r="WQM8" s="1202"/>
      <c r="WQN8" s="1202"/>
      <c r="WQO8" s="1202"/>
      <c r="WQP8" s="1202"/>
      <c r="WQQ8" s="1202"/>
      <c r="WQR8" s="1202"/>
      <c r="WQS8" s="1202"/>
      <c r="WQT8" s="1202"/>
      <c r="WQU8" s="1202"/>
      <c r="WQV8" s="1202"/>
      <c r="WQW8" s="1202"/>
      <c r="WQX8" s="1202"/>
      <c r="WQY8" s="1202"/>
      <c r="WQZ8" s="1202"/>
      <c r="WRA8" s="1202"/>
      <c r="WRB8" s="1202"/>
      <c r="WRC8" s="1202"/>
      <c r="WRD8" s="1202"/>
      <c r="WRE8" s="1202"/>
      <c r="WRF8" s="1202"/>
      <c r="WRG8" s="1202"/>
      <c r="WRH8" s="1202"/>
      <c r="WRI8" s="1202"/>
      <c r="WRJ8" s="1202"/>
      <c r="WRK8" s="1202"/>
      <c r="WRL8" s="1202"/>
      <c r="WRM8" s="1202"/>
      <c r="WRN8" s="1202"/>
      <c r="WRO8" s="1202"/>
      <c r="WRP8" s="1202"/>
      <c r="WRQ8" s="1202"/>
      <c r="WRR8" s="1202"/>
      <c r="WRS8" s="1202"/>
      <c r="WRT8" s="1202"/>
      <c r="WRU8" s="1202"/>
      <c r="WRV8" s="1202"/>
      <c r="WRW8" s="1202"/>
      <c r="WRX8" s="1202"/>
      <c r="WRY8" s="1202"/>
      <c r="WRZ8" s="1202"/>
      <c r="WSA8" s="1202"/>
      <c r="WSB8" s="1202"/>
      <c r="WSC8" s="1202"/>
      <c r="WSD8" s="1202"/>
      <c r="WSE8" s="1202"/>
      <c r="WSF8" s="1202"/>
      <c r="WSG8" s="1202"/>
      <c r="WSH8" s="1202"/>
      <c r="WSI8" s="1202"/>
      <c r="WSJ8" s="1202"/>
      <c r="WSK8" s="1202"/>
      <c r="WSL8" s="1202"/>
      <c r="WSM8" s="1202"/>
      <c r="WSN8" s="1202"/>
      <c r="WSO8" s="1202"/>
      <c r="WSP8" s="1202"/>
      <c r="WSQ8" s="1202"/>
      <c r="WSR8" s="1202"/>
      <c r="WSS8" s="1202"/>
      <c r="WST8" s="1202"/>
      <c r="WSU8" s="1202"/>
      <c r="WSV8" s="1202"/>
      <c r="WSW8" s="1202"/>
      <c r="WSX8" s="1202"/>
      <c r="WSY8" s="1202"/>
      <c r="WSZ8" s="1202"/>
      <c r="WTA8" s="1202"/>
      <c r="WTB8" s="1202"/>
      <c r="WTC8" s="1202"/>
      <c r="WTD8" s="1202"/>
      <c r="WTE8" s="1202"/>
      <c r="WTF8" s="1202"/>
      <c r="WTG8" s="1202"/>
      <c r="WTH8" s="1202"/>
      <c r="WTI8" s="1202"/>
      <c r="WTJ8" s="1202"/>
      <c r="WTK8" s="1202"/>
      <c r="WTL8" s="1202"/>
      <c r="WTM8" s="1202"/>
      <c r="WTN8" s="1202"/>
      <c r="WTO8" s="1202"/>
      <c r="WTP8" s="1202"/>
      <c r="WTQ8" s="1202"/>
      <c r="WTR8" s="1202"/>
      <c r="WTS8" s="1202"/>
      <c r="WTT8" s="1202"/>
      <c r="WTU8" s="1202"/>
      <c r="WTV8" s="1202"/>
      <c r="WTW8" s="1202"/>
      <c r="WTX8" s="1202"/>
      <c r="WTY8" s="1202"/>
      <c r="WTZ8" s="1202"/>
      <c r="WUA8" s="1202"/>
      <c r="WUB8" s="1202"/>
      <c r="WUC8" s="1202"/>
      <c r="WUD8" s="1202"/>
      <c r="WUE8" s="1202"/>
      <c r="WUF8" s="1202"/>
      <c r="WUG8" s="1202"/>
      <c r="WUH8" s="1202"/>
      <c r="WUI8" s="1202"/>
      <c r="WUJ8" s="1202"/>
      <c r="WUK8" s="1202"/>
      <c r="WUL8" s="1202"/>
      <c r="WUM8" s="1202"/>
      <c r="WUN8" s="1202"/>
      <c r="WUO8" s="1202"/>
      <c r="WUP8" s="1202"/>
      <c r="WUQ8" s="1202"/>
      <c r="WUR8" s="1202"/>
      <c r="WUS8" s="1202"/>
      <c r="WUT8" s="1202"/>
      <c r="WUU8" s="1202"/>
      <c r="WUV8" s="1202"/>
      <c r="WUW8" s="1202"/>
      <c r="WUX8" s="1202"/>
      <c r="WUY8" s="1202"/>
      <c r="WUZ8" s="1202"/>
      <c r="WVA8" s="1202"/>
      <c r="WVB8" s="1202"/>
      <c r="WVC8" s="1202"/>
      <c r="WVD8" s="1202"/>
      <c r="WVE8" s="1202"/>
      <c r="WVF8" s="1202"/>
      <c r="WVG8" s="1202"/>
      <c r="WVH8" s="1202"/>
      <c r="WVI8" s="1202"/>
      <c r="WVJ8" s="1202"/>
      <c r="WVK8" s="1202"/>
      <c r="WVL8" s="1202"/>
      <c r="WVM8" s="1202"/>
      <c r="WVN8" s="1202"/>
      <c r="WVO8" s="1202"/>
      <c r="WVP8" s="1202"/>
      <c r="WVQ8" s="1202"/>
      <c r="WVR8" s="1202"/>
      <c r="WVS8" s="1202"/>
      <c r="WVT8" s="1202"/>
      <c r="WVU8" s="1202"/>
      <c r="WVV8" s="1202"/>
      <c r="WVW8" s="1202"/>
      <c r="WVX8" s="1202"/>
      <c r="WVY8" s="1202"/>
      <c r="WVZ8" s="1202"/>
      <c r="WWA8" s="1202"/>
      <c r="WWB8" s="1202"/>
      <c r="WWC8" s="1202"/>
      <c r="WWD8" s="1202"/>
      <c r="WWE8" s="1202"/>
      <c r="WWF8" s="1202"/>
      <c r="WWG8" s="1202"/>
      <c r="WWH8" s="1202"/>
      <c r="WWI8" s="1202"/>
      <c r="WWJ8" s="1202"/>
      <c r="WWK8" s="1202"/>
      <c r="WWL8" s="1202"/>
      <c r="WWM8" s="1202"/>
      <c r="WWN8" s="1202"/>
      <c r="WWO8" s="1202"/>
      <c r="WWP8" s="1202"/>
      <c r="WWQ8" s="1202"/>
      <c r="WWR8" s="1202"/>
      <c r="WWS8" s="1202"/>
      <c r="WWT8" s="1202"/>
      <c r="WWU8" s="1202"/>
      <c r="WWV8" s="1202"/>
      <c r="WWW8" s="1202"/>
      <c r="WWX8" s="1202"/>
      <c r="WWY8" s="1202"/>
      <c r="WWZ8" s="1202"/>
      <c r="WXA8" s="1202"/>
      <c r="WXB8" s="1202"/>
      <c r="WXC8" s="1202"/>
      <c r="WXD8" s="1202"/>
      <c r="WXE8" s="1202"/>
      <c r="WXF8" s="1202"/>
      <c r="WXG8" s="1202"/>
      <c r="WXH8" s="1202"/>
      <c r="WXI8" s="1202"/>
      <c r="WXJ8" s="1202"/>
      <c r="WXK8" s="1202"/>
      <c r="WXL8" s="1202"/>
      <c r="WXM8" s="1202"/>
      <c r="WXN8" s="1202"/>
      <c r="WXO8" s="1202"/>
      <c r="WXP8" s="1202"/>
      <c r="WXQ8" s="1202"/>
      <c r="WXR8" s="1202"/>
      <c r="WXS8" s="1202"/>
      <c r="WXT8" s="1202"/>
      <c r="WXU8" s="1202"/>
      <c r="WXV8" s="1202"/>
      <c r="WXW8" s="1202"/>
      <c r="WXX8" s="1202"/>
      <c r="WXY8" s="1202"/>
      <c r="WXZ8" s="1202"/>
      <c r="WYA8" s="1202"/>
      <c r="WYB8" s="1202"/>
      <c r="WYC8" s="1202"/>
      <c r="WYD8" s="1202"/>
      <c r="WYE8" s="1202"/>
      <c r="WYF8" s="1202"/>
      <c r="WYG8" s="1202"/>
      <c r="WYH8" s="1202"/>
      <c r="WYI8" s="1202"/>
      <c r="WYJ8" s="1202"/>
      <c r="WYK8" s="1202"/>
      <c r="WYL8" s="1202"/>
      <c r="WYM8" s="1202"/>
      <c r="WYN8" s="1202"/>
      <c r="WYO8" s="1202"/>
      <c r="WYP8" s="1202"/>
      <c r="WYQ8" s="1202"/>
      <c r="WYR8" s="1202"/>
      <c r="WYS8" s="1202"/>
      <c r="WYT8" s="1202"/>
      <c r="WYU8" s="1202"/>
      <c r="WYV8" s="1202"/>
      <c r="WYW8" s="1202"/>
      <c r="WYX8" s="1202"/>
      <c r="WYY8" s="1202"/>
      <c r="WYZ8" s="1202"/>
      <c r="WZA8" s="1202"/>
      <c r="WZB8" s="1202"/>
      <c r="WZC8" s="1202"/>
      <c r="WZD8" s="1202"/>
      <c r="WZE8" s="1202"/>
      <c r="WZF8" s="1202"/>
      <c r="WZG8" s="1202"/>
      <c r="WZH8" s="1202"/>
      <c r="WZI8" s="1202"/>
      <c r="WZJ8" s="1202"/>
      <c r="WZK8" s="1202"/>
      <c r="WZL8" s="1202"/>
      <c r="WZM8" s="1202"/>
      <c r="WZN8" s="1202"/>
      <c r="WZO8" s="1202"/>
      <c r="WZP8" s="1202"/>
      <c r="WZQ8" s="1202"/>
      <c r="WZR8" s="1202"/>
      <c r="WZS8" s="1202"/>
      <c r="WZT8" s="1202"/>
      <c r="WZU8" s="1202"/>
      <c r="WZV8" s="1202"/>
      <c r="WZW8" s="1202"/>
      <c r="WZX8" s="1202"/>
      <c r="WZY8" s="1202"/>
      <c r="WZZ8" s="1202"/>
      <c r="XAA8" s="1202"/>
      <c r="XAB8" s="1202"/>
      <c r="XAC8" s="1202"/>
      <c r="XAD8" s="1202"/>
      <c r="XAE8" s="1202"/>
      <c r="XAF8" s="1202"/>
      <c r="XAG8" s="1202"/>
      <c r="XAH8" s="1202"/>
      <c r="XAI8" s="1202"/>
      <c r="XAJ8" s="1202"/>
      <c r="XAK8" s="1202"/>
      <c r="XAL8" s="1202"/>
      <c r="XAM8" s="1202"/>
      <c r="XAN8" s="1202"/>
      <c r="XAO8" s="1202"/>
      <c r="XAP8" s="1202"/>
      <c r="XAQ8" s="1202"/>
      <c r="XAR8" s="1202"/>
      <c r="XAS8" s="1202"/>
      <c r="XAT8" s="1202"/>
      <c r="XAU8" s="1202"/>
      <c r="XAV8" s="1202"/>
      <c r="XAW8" s="1202"/>
      <c r="XAX8" s="1202"/>
      <c r="XAY8" s="1202"/>
      <c r="XAZ8" s="1202"/>
      <c r="XBA8" s="1202"/>
      <c r="XBB8" s="1202"/>
      <c r="XBC8" s="1202"/>
      <c r="XBD8" s="1202"/>
      <c r="XBE8" s="1202"/>
      <c r="XBF8" s="1202"/>
      <c r="XBG8" s="1202"/>
      <c r="XBH8" s="1202"/>
      <c r="XBI8" s="1202"/>
      <c r="XBJ8" s="1202"/>
      <c r="XBK8" s="1202"/>
      <c r="XBL8" s="1202"/>
      <c r="XBM8" s="1202"/>
      <c r="XBN8" s="1202"/>
      <c r="XBO8" s="1202"/>
      <c r="XBP8" s="1202"/>
      <c r="XBQ8" s="1202"/>
      <c r="XBR8" s="1202"/>
      <c r="XBS8" s="1202"/>
      <c r="XBT8" s="1202"/>
      <c r="XBU8" s="1202"/>
      <c r="XBV8" s="1202"/>
      <c r="XBW8" s="1202"/>
      <c r="XBX8" s="1202"/>
      <c r="XBY8" s="1202"/>
      <c r="XBZ8" s="1202"/>
      <c r="XCA8" s="1202"/>
      <c r="XCB8" s="1202"/>
      <c r="XCC8" s="1202"/>
      <c r="XCD8" s="1202"/>
      <c r="XCE8" s="1202"/>
      <c r="XCF8" s="1202"/>
      <c r="XCG8" s="1202"/>
      <c r="XCH8" s="1202"/>
      <c r="XCI8" s="1202"/>
      <c r="XCJ8" s="1202"/>
      <c r="XCK8" s="1202"/>
      <c r="XCL8" s="1202"/>
      <c r="XCM8" s="1202"/>
      <c r="XCN8" s="1202"/>
      <c r="XCO8" s="1202"/>
      <c r="XCP8" s="1202"/>
      <c r="XCQ8" s="1202"/>
      <c r="XCR8" s="1202"/>
      <c r="XCS8" s="1202"/>
      <c r="XCT8" s="1202"/>
      <c r="XCU8" s="1202"/>
      <c r="XCV8" s="1202"/>
      <c r="XCW8" s="1202"/>
      <c r="XCX8" s="1202"/>
      <c r="XCY8" s="1202"/>
      <c r="XCZ8" s="1202"/>
      <c r="XDA8" s="1202"/>
      <c r="XDB8" s="1202"/>
      <c r="XDC8" s="1202"/>
      <c r="XDD8" s="1202"/>
      <c r="XDE8" s="1202"/>
      <c r="XDF8" s="1202"/>
      <c r="XDG8" s="1202"/>
      <c r="XDH8" s="1202"/>
      <c r="XDI8" s="1202"/>
      <c r="XDJ8" s="1202"/>
      <c r="XDK8" s="1202"/>
      <c r="XDL8" s="1202"/>
      <c r="XDM8" s="1202"/>
      <c r="XDN8" s="1202"/>
      <c r="XDO8" s="1202"/>
      <c r="XDP8" s="1202"/>
      <c r="XDQ8" s="1202"/>
      <c r="XDR8" s="1202"/>
      <c r="XDS8" s="1202"/>
      <c r="XDT8" s="1202"/>
      <c r="XDU8" s="1202"/>
      <c r="XDV8" s="1202"/>
      <c r="XDW8" s="1202"/>
      <c r="XDX8" s="1202"/>
      <c r="XDY8" s="1202"/>
      <c r="XDZ8" s="1202"/>
      <c r="XEA8" s="1202"/>
      <c r="XEB8" s="1202"/>
      <c r="XEC8" s="1202"/>
      <c r="XED8" s="1202"/>
      <c r="XEE8" s="1202"/>
      <c r="XEF8" s="1202"/>
      <c r="XEG8" s="1202"/>
      <c r="XEH8" s="1202"/>
      <c r="XEI8" s="1202"/>
      <c r="XEJ8" s="1202"/>
      <c r="XEK8" s="1202"/>
      <c r="XEL8" s="1202"/>
      <c r="XEM8" s="1202"/>
      <c r="XEN8" s="1202"/>
      <c r="XEO8" s="1202"/>
      <c r="XEP8" s="1202"/>
      <c r="XEQ8" s="1202"/>
      <c r="XER8" s="1202"/>
      <c r="XES8" s="1202"/>
      <c r="XET8" s="1202"/>
      <c r="XEU8" s="1202"/>
      <c r="XEV8" s="1202"/>
      <c r="XEW8" s="1202"/>
      <c r="XEX8" s="1202"/>
      <c r="XEY8" s="1202"/>
      <c r="XEZ8" s="1202"/>
      <c r="XFA8" s="1202"/>
      <c r="XFB8" s="1202"/>
    </row>
    <row r="9" spans="1:16382" s="1217" customFormat="1" ht="39" customHeight="1" x14ac:dyDescent="0.2">
      <c r="A9" s="1409"/>
      <c r="B9" s="1409"/>
      <c r="C9" s="1409"/>
      <c r="D9" s="1409"/>
      <c r="E9" s="1204">
        <v>2100</v>
      </c>
      <c r="F9" s="1205" t="s">
        <v>11</v>
      </c>
      <c r="G9" s="1206"/>
      <c r="H9" s="1207"/>
      <c r="I9" s="1206"/>
      <c r="J9" s="1206"/>
      <c r="K9" s="1208"/>
      <c r="L9" s="1206"/>
      <c r="M9" s="1209"/>
      <c r="N9" s="1209"/>
      <c r="O9" s="1209"/>
      <c r="P9" s="1210"/>
      <c r="Q9" s="1210"/>
      <c r="R9" s="1210"/>
      <c r="S9" s="1211"/>
      <c r="T9" s="1211"/>
      <c r="U9" s="1211"/>
      <c r="V9" s="1211"/>
      <c r="W9" s="1212"/>
      <c r="X9" s="1211"/>
      <c r="Y9" s="1211"/>
      <c r="Z9" s="1211"/>
      <c r="AA9" s="1211"/>
      <c r="AB9" s="1211"/>
      <c r="AC9" s="1211"/>
      <c r="AD9" s="1211"/>
      <c r="AE9" s="1211"/>
      <c r="AF9" s="1213"/>
      <c r="AG9" s="1214"/>
      <c r="AH9" s="1214"/>
      <c r="AI9" s="1214"/>
      <c r="AJ9" s="1214"/>
      <c r="AK9" s="1214"/>
      <c r="AL9" s="1215"/>
      <c r="AM9" s="1216"/>
      <c r="AN9" s="1202"/>
      <c r="AO9" s="1202"/>
      <c r="AP9" s="1202"/>
      <c r="AQ9" s="1202"/>
      <c r="AR9" s="1202"/>
      <c r="AS9" s="1202"/>
      <c r="AT9" s="1202"/>
      <c r="AU9" s="1202"/>
      <c r="AV9" s="1202"/>
      <c r="AW9" s="1202"/>
      <c r="AX9" s="1202"/>
      <c r="AY9" s="1202"/>
      <c r="AZ9" s="1202"/>
      <c r="BA9" s="1202"/>
      <c r="BB9" s="1202"/>
      <c r="BC9" s="1202"/>
      <c r="BD9" s="1202"/>
      <c r="BE9" s="1202"/>
      <c r="BF9" s="1202"/>
      <c r="BG9" s="1202"/>
      <c r="BH9" s="1202"/>
      <c r="BI9" s="1202"/>
      <c r="BJ9" s="1202"/>
      <c r="BK9" s="1202"/>
      <c r="BL9" s="1202"/>
      <c r="BM9" s="1202"/>
      <c r="BN9" s="1202"/>
      <c r="BO9" s="1202"/>
      <c r="BP9" s="1202"/>
      <c r="BQ9" s="1202"/>
      <c r="BR9" s="1202"/>
      <c r="BS9" s="1202"/>
      <c r="BT9" s="1202"/>
      <c r="BU9" s="1202"/>
      <c r="BV9" s="1202"/>
      <c r="BW9" s="1202"/>
      <c r="BX9" s="1202"/>
      <c r="BY9" s="1202"/>
      <c r="BZ9" s="1202"/>
      <c r="CA9" s="1202"/>
      <c r="CB9" s="1202"/>
      <c r="CC9" s="1202"/>
      <c r="CD9" s="1202"/>
      <c r="CE9" s="1202"/>
      <c r="CF9" s="1202"/>
      <c r="CG9" s="1202"/>
      <c r="CH9" s="1202"/>
      <c r="CI9" s="1202"/>
      <c r="CJ9" s="1202"/>
      <c r="CK9" s="1202"/>
      <c r="CL9" s="1202"/>
      <c r="CM9" s="1202"/>
      <c r="CN9" s="1202"/>
      <c r="CO9" s="1202"/>
      <c r="CP9" s="1202"/>
      <c r="CQ9" s="1202"/>
      <c r="CR9" s="1202"/>
      <c r="CS9" s="1202"/>
      <c r="CT9" s="1202"/>
      <c r="CU9" s="1202"/>
      <c r="CV9" s="1202"/>
      <c r="CW9" s="1202"/>
      <c r="CX9" s="1202"/>
      <c r="CY9" s="1202"/>
      <c r="CZ9" s="1202"/>
      <c r="DA9" s="1202"/>
      <c r="DB9" s="1202"/>
      <c r="DC9" s="1202"/>
      <c r="DD9" s="1202"/>
      <c r="DE9" s="1202"/>
      <c r="DF9" s="1202"/>
      <c r="DG9" s="1202"/>
      <c r="DH9" s="1202"/>
      <c r="DI9" s="1202"/>
      <c r="DJ9" s="1202"/>
      <c r="DK9" s="1202"/>
      <c r="DL9" s="1202"/>
      <c r="DM9" s="1202"/>
      <c r="DN9" s="1202"/>
      <c r="DO9" s="1202"/>
      <c r="DP9" s="1202"/>
      <c r="DQ9" s="1202"/>
      <c r="DR9" s="1202"/>
      <c r="DS9" s="1202"/>
      <c r="DT9" s="1202"/>
      <c r="DU9" s="1202"/>
      <c r="DV9" s="1202"/>
      <c r="DW9" s="1202"/>
      <c r="DX9" s="1202"/>
      <c r="DY9" s="1202"/>
      <c r="DZ9" s="1202"/>
      <c r="EA9" s="1202"/>
      <c r="EB9" s="1202"/>
      <c r="EC9" s="1202"/>
      <c r="ED9" s="1202"/>
      <c r="EE9" s="1202"/>
      <c r="EF9" s="1202"/>
      <c r="EG9" s="1202"/>
      <c r="EH9" s="1202"/>
      <c r="EI9" s="1202"/>
      <c r="EJ9" s="1202"/>
      <c r="EK9" s="1202"/>
      <c r="EL9" s="1202"/>
      <c r="EM9" s="1202"/>
      <c r="EN9" s="1202"/>
      <c r="EO9" s="1202"/>
      <c r="EP9" s="1202"/>
      <c r="EQ9" s="1202"/>
      <c r="ER9" s="1202"/>
      <c r="ES9" s="1202"/>
      <c r="ET9" s="1202"/>
      <c r="EU9" s="1202"/>
      <c r="EV9" s="1202"/>
      <c r="EW9" s="1202"/>
      <c r="EX9" s="1202"/>
      <c r="EY9" s="1202"/>
      <c r="EZ9" s="1202"/>
      <c r="FA9" s="1202"/>
      <c r="FB9" s="1202"/>
      <c r="FC9" s="1202"/>
      <c r="FD9" s="1202"/>
      <c r="FE9" s="1202"/>
      <c r="FF9" s="1202"/>
      <c r="FG9" s="1202"/>
      <c r="FH9" s="1202"/>
      <c r="FI9" s="1202"/>
      <c r="FJ9" s="1202"/>
      <c r="FK9" s="1202"/>
      <c r="FL9" s="1202"/>
      <c r="FM9" s="1202"/>
      <c r="FN9" s="1202"/>
      <c r="FO9" s="1202"/>
      <c r="FP9" s="1202"/>
      <c r="FQ9" s="1202"/>
      <c r="FR9" s="1202"/>
      <c r="FS9" s="1202"/>
      <c r="FT9" s="1202"/>
      <c r="FU9" s="1202"/>
      <c r="FV9" s="1202"/>
      <c r="FW9" s="1202"/>
      <c r="FX9" s="1202"/>
      <c r="FY9" s="1202"/>
      <c r="FZ9" s="1202"/>
      <c r="GA9" s="1202"/>
      <c r="GB9" s="1202"/>
      <c r="GC9" s="1202"/>
      <c r="GD9" s="1202"/>
      <c r="GE9" s="1202"/>
      <c r="GF9" s="1202"/>
      <c r="GG9" s="1202"/>
      <c r="GH9" s="1202"/>
      <c r="GI9" s="1202"/>
      <c r="GJ9" s="1202"/>
      <c r="GK9" s="1202"/>
      <c r="GL9" s="1202"/>
      <c r="GM9" s="1202"/>
      <c r="GN9" s="1202"/>
      <c r="GO9" s="1202"/>
      <c r="GP9" s="1202"/>
      <c r="GQ9" s="1202"/>
      <c r="GR9" s="1202"/>
      <c r="GS9" s="1202"/>
      <c r="GT9" s="1202"/>
      <c r="GU9" s="1202"/>
      <c r="GV9" s="1202"/>
      <c r="GW9" s="1202"/>
      <c r="GX9" s="1202"/>
      <c r="GY9" s="1202"/>
      <c r="GZ9" s="1202"/>
      <c r="HA9" s="1202"/>
      <c r="HB9" s="1202"/>
      <c r="HC9" s="1202"/>
      <c r="HD9" s="1202"/>
      <c r="HE9" s="1202"/>
      <c r="HF9" s="1202"/>
      <c r="HG9" s="1202"/>
      <c r="HH9" s="1202"/>
      <c r="HI9" s="1202"/>
      <c r="HJ9" s="1202"/>
      <c r="HK9" s="1202"/>
      <c r="HL9" s="1202"/>
      <c r="HM9" s="1202"/>
      <c r="HN9" s="1202"/>
      <c r="HO9" s="1202"/>
      <c r="HP9" s="1202"/>
      <c r="HQ9" s="1202"/>
      <c r="HR9" s="1202"/>
      <c r="HS9" s="1202"/>
      <c r="HT9" s="1202"/>
      <c r="HU9" s="1202"/>
      <c r="HV9" s="1202"/>
      <c r="HW9" s="1202"/>
      <c r="HX9" s="1202"/>
      <c r="HY9" s="1202"/>
      <c r="HZ9" s="1202"/>
      <c r="IA9" s="1202"/>
      <c r="IB9" s="1202"/>
      <c r="IC9" s="1202"/>
      <c r="ID9" s="1202"/>
      <c r="IE9" s="1202"/>
      <c r="IF9" s="1202"/>
      <c r="IG9" s="1202"/>
      <c r="IH9" s="1202"/>
      <c r="II9" s="1202"/>
      <c r="IJ9" s="1202"/>
      <c r="IK9" s="1202"/>
      <c r="IL9" s="1202"/>
      <c r="IM9" s="1202"/>
      <c r="IN9" s="1202"/>
      <c r="IO9" s="1202"/>
      <c r="IP9" s="1202"/>
      <c r="IQ9" s="1202"/>
      <c r="IR9" s="1202"/>
      <c r="IS9" s="1202"/>
      <c r="IT9" s="1202"/>
      <c r="IU9" s="1202"/>
      <c r="IV9" s="1202"/>
      <c r="IW9" s="1202"/>
      <c r="IX9" s="1202"/>
      <c r="IY9" s="1202"/>
      <c r="IZ9" s="1202"/>
      <c r="JA9" s="1202"/>
      <c r="JB9" s="1202"/>
      <c r="JC9" s="1202"/>
      <c r="JD9" s="1202"/>
      <c r="JE9" s="1202"/>
      <c r="JF9" s="1202"/>
      <c r="JG9" s="1202"/>
      <c r="JH9" s="1202"/>
      <c r="JI9" s="1202"/>
      <c r="JJ9" s="1202"/>
      <c r="JK9" s="1202"/>
      <c r="JL9" s="1202"/>
      <c r="JM9" s="1202"/>
      <c r="JN9" s="1202"/>
      <c r="JO9" s="1202"/>
      <c r="JP9" s="1202"/>
      <c r="JQ9" s="1202"/>
      <c r="JR9" s="1202"/>
      <c r="JS9" s="1202"/>
      <c r="JT9" s="1202"/>
      <c r="JU9" s="1202"/>
      <c r="JV9" s="1202"/>
      <c r="JW9" s="1202"/>
      <c r="JX9" s="1202"/>
      <c r="JY9" s="1202"/>
      <c r="JZ9" s="1202"/>
      <c r="KA9" s="1202"/>
      <c r="KB9" s="1202"/>
      <c r="KC9" s="1202"/>
      <c r="KD9" s="1202"/>
      <c r="KE9" s="1202"/>
      <c r="KF9" s="1202"/>
      <c r="KG9" s="1202"/>
      <c r="KH9" s="1202"/>
      <c r="KI9" s="1202"/>
      <c r="KJ9" s="1202"/>
      <c r="KK9" s="1202"/>
      <c r="KL9" s="1202"/>
      <c r="KM9" s="1202"/>
      <c r="KN9" s="1202"/>
      <c r="KO9" s="1202"/>
      <c r="KP9" s="1202"/>
      <c r="KQ9" s="1202"/>
      <c r="KR9" s="1202"/>
      <c r="KS9" s="1202"/>
      <c r="KT9" s="1202"/>
      <c r="KU9" s="1202"/>
      <c r="KV9" s="1202"/>
      <c r="KW9" s="1202"/>
      <c r="KX9" s="1202"/>
      <c r="KY9" s="1202"/>
      <c r="KZ9" s="1202"/>
      <c r="LA9" s="1202"/>
      <c r="LB9" s="1202"/>
      <c r="LC9" s="1202"/>
      <c r="LD9" s="1202"/>
      <c r="LE9" s="1202"/>
      <c r="LF9" s="1202"/>
      <c r="LG9" s="1202"/>
      <c r="LH9" s="1202"/>
      <c r="LI9" s="1202"/>
      <c r="LJ9" s="1202"/>
      <c r="LK9" s="1202"/>
      <c r="LL9" s="1202"/>
      <c r="LM9" s="1202"/>
      <c r="LN9" s="1202"/>
      <c r="LO9" s="1202"/>
      <c r="LP9" s="1202"/>
      <c r="LQ9" s="1202"/>
      <c r="LR9" s="1202"/>
      <c r="LS9" s="1202"/>
      <c r="LT9" s="1202"/>
      <c r="LU9" s="1202"/>
      <c r="LV9" s="1202"/>
      <c r="LW9" s="1202"/>
      <c r="LX9" s="1202"/>
      <c r="LY9" s="1202"/>
      <c r="LZ9" s="1202"/>
      <c r="MA9" s="1202"/>
      <c r="MB9" s="1202"/>
      <c r="MC9" s="1202"/>
      <c r="MD9" s="1202"/>
      <c r="ME9" s="1202"/>
      <c r="MF9" s="1202"/>
      <c r="MG9" s="1202"/>
      <c r="MH9" s="1202"/>
      <c r="MI9" s="1202"/>
      <c r="MJ9" s="1202"/>
      <c r="MK9" s="1202"/>
      <c r="ML9" s="1202"/>
      <c r="MM9" s="1202"/>
      <c r="MN9" s="1202"/>
      <c r="MO9" s="1202"/>
      <c r="MP9" s="1202"/>
      <c r="MQ9" s="1202"/>
      <c r="MR9" s="1202"/>
      <c r="MS9" s="1202"/>
      <c r="MT9" s="1202"/>
      <c r="MU9" s="1202"/>
      <c r="MV9" s="1202"/>
      <c r="MW9" s="1202"/>
      <c r="MX9" s="1202"/>
      <c r="MY9" s="1202"/>
      <c r="MZ9" s="1202"/>
      <c r="NA9" s="1202"/>
      <c r="NB9" s="1202"/>
      <c r="NC9" s="1202"/>
      <c r="ND9" s="1202"/>
      <c r="NE9" s="1202"/>
      <c r="NF9" s="1202"/>
      <c r="NG9" s="1202"/>
      <c r="NH9" s="1202"/>
      <c r="NI9" s="1202"/>
      <c r="NJ9" s="1202"/>
      <c r="NK9" s="1202"/>
      <c r="NL9" s="1202"/>
      <c r="NM9" s="1202"/>
      <c r="NN9" s="1202"/>
      <c r="NO9" s="1202"/>
      <c r="NP9" s="1202"/>
      <c r="NQ9" s="1202"/>
      <c r="NR9" s="1202"/>
      <c r="NS9" s="1202"/>
      <c r="NT9" s="1202"/>
      <c r="NU9" s="1202"/>
      <c r="NV9" s="1202"/>
      <c r="NW9" s="1202"/>
      <c r="NX9" s="1202"/>
      <c r="NY9" s="1202"/>
      <c r="NZ9" s="1202"/>
      <c r="OA9" s="1202"/>
      <c r="OB9" s="1202"/>
      <c r="OC9" s="1202"/>
      <c r="OD9" s="1202"/>
      <c r="OE9" s="1202"/>
      <c r="OF9" s="1202"/>
      <c r="OG9" s="1202"/>
      <c r="OH9" s="1202"/>
      <c r="OI9" s="1202"/>
      <c r="OJ9" s="1202"/>
      <c r="OK9" s="1202"/>
      <c r="OL9" s="1202"/>
      <c r="OM9" s="1202"/>
      <c r="ON9" s="1202"/>
      <c r="OO9" s="1202"/>
      <c r="OP9" s="1202"/>
      <c r="OQ9" s="1202"/>
      <c r="OR9" s="1202"/>
      <c r="OS9" s="1202"/>
      <c r="OT9" s="1202"/>
      <c r="OU9" s="1202"/>
      <c r="OV9" s="1202"/>
      <c r="OW9" s="1202"/>
      <c r="OX9" s="1202"/>
      <c r="OY9" s="1202"/>
      <c r="OZ9" s="1202"/>
      <c r="PA9" s="1202"/>
      <c r="PB9" s="1202"/>
      <c r="PC9" s="1202"/>
      <c r="PD9" s="1202"/>
      <c r="PE9" s="1202"/>
      <c r="PF9" s="1202"/>
      <c r="PG9" s="1202"/>
      <c r="PH9" s="1202"/>
      <c r="PI9" s="1202"/>
      <c r="PJ9" s="1202"/>
      <c r="PK9" s="1202"/>
      <c r="PL9" s="1202"/>
      <c r="PM9" s="1202"/>
      <c r="PN9" s="1202"/>
      <c r="PO9" s="1202"/>
      <c r="PP9" s="1202"/>
      <c r="PQ9" s="1202"/>
      <c r="PR9" s="1202"/>
      <c r="PS9" s="1202"/>
      <c r="PT9" s="1202"/>
      <c r="PU9" s="1202"/>
      <c r="PV9" s="1202"/>
      <c r="PW9" s="1202"/>
      <c r="PX9" s="1202"/>
      <c r="PY9" s="1202"/>
      <c r="PZ9" s="1202"/>
      <c r="QA9" s="1202"/>
      <c r="QB9" s="1202"/>
      <c r="QC9" s="1202"/>
      <c r="QD9" s="1202"/>
      <c r="QE9" s="1202"/>
      <c r="QF9" s="1202"/>
      <c r="QG9" s="1202"/>
      <c r="QH9" s="1202"/>
      <c r="QI9" s="1202"/>
      <c r="QJ9" s="1202"/>
      <c r="QK9" s="1202"/>
      <c r="QL9" s="1202"/>
      <c r="QM9" s="1202"/>
      <c r="QN9" s="1202"/>
      <c r="QO9" s="1202"/>
      <c r="QP9" s="1202"/>
      <c r="QQ9" s="1202"/>
      <c r="QR9" s="1202"/>
      <c r="QS9" s="1202"/>
      <c r="QT9" s="1202"/>
      <c r="QU9" s="1202"/>
      <c r="QV9" s="1202"/>
      <c r="QW9" s="1202"/>
      <c r="QX9" s="1202"/>
      <c r="QY9" s="1202"/>
      <c r="QZ9" s="1202"/>
      <c r="RA9" s="1202"/>
      <c r="RB9" s="1202"/>
      <c r="RC9" s="1202"/>
      <c r="RD9" s="1202"/>
      <c r="RE9" s="1202"/>
      <c r="RF9" s="1202"/>
      <c r="RG9" s="1202"/>
      <c r="RH9" s="1202"/>
      <c r="RI9" s="1202"/>
      <c r="RJ9" s="1202"/>
      <c r="RK9" s="1202"/>
      <c r="RL9" s="1202"/>
      <c r="RM9" s="1202"/>
      <c r="RN9" s="1202"/>
      <c r="RO9" s="1202"/>
      <c r="RP9" s="1202"/>
      <c r="RQ9" s="1202"/>
      <c r="RR9" s="1202"/>
      <c r="RS9" s="1202"/>
      <c r="RT9" s="1202"/>
      <c r="RU9" s="1202"/>
      <c r="RV9" s="1202"/>
      <c r="RW9" s="1202"/>
      <c r="RX9" s="1202"/>
      <c r="RY9" s="1202"/>
      <c r="RZ9" s="1202"/>
      <c r="SA9" s="1202"/>
      <c r="SB9" s="1202"/>
      <c r="SC9" s="1202"/>
      <c r="SD9" s="1202"/>
      <c r="SE9" s="1202"/>
      <c r="SF9" s="1202"/>
      <c r="SG9" s="1202"/>
      <c r="SH9" s="1202"/>
      <c r="SI9" s="1202"/>
      <c r="SJ9" s="1202"/>
      <c r="SK9" s="1202"/>
      <c r="SL9" s="1202"/>
      <c r="SM9" s="1202"/>
      <c r="SN9" s="1202"/>
      <c r="SO9" s="1202"/>
      <c r="SP9" s="1202"/>
      <c r="SQ9" s="1202"/>
      <c r="SR9" s="1202"/>
      <c r="SS9" s="1202"/>
      <c r="ST9" s="1202"/>
      <c r="SU9" s="1202"/>
      <c r="SV9" s="1202"/>
      <c r="SW9" s="1202"/>
      <c r="SX9" s="1202"/>
      <c r="SY9" s="1202"/>
      <c r="SZ9" s="1202"/>
      <c r="TA9" s="1202"/>
      <c r="TB9" s="1202"/>
      <c r="TC9" s="1202"/>
      <c r="TD9" s="1202"/>
      <c r="TE9" s="1202"/>
      <c r="TF9" s="1202"/>
      <c r="TG9" s="1202"/>
      <c r="TH9" s="1202"/>
      <c r="TI9" s="1202"/>
      <c r="TJ9" s="1202"/>
      <c r="TK9" s="1202"/>
      <c r="TL9" s="1202"/>
      <c r="TM9" s="1202"/>
      <c r="TN9" s="1202"/>
      <c r="TO9" s="1202"/>
      <c r="TP9" s="1202"/>
      <c r="TQ9" s="1202"/>
      <c r="TR9" s="1202"/>
      <c r="TS9" s="1202"/>
      <c r="TT9" s="1202"/>
      <c r="TU9" s="1202"/>
      <c r="TV9" s="1202"/>
      <c r="TW9" s="1202"/>
      <c r="TX9" s="1202"/>
      <c r="TY9" s="1202"/>
      <c r="TZ9" s="1202"/>
      <c r="UA9" s="1202"/>
      <c r="UB9" s="1202"/>
      <c r="UC9" s="1202"/>
      <c r="UD9" s="1202"/>
      <c r="UE9" s="1202"/>
      <c r="UF9" s="1202"/>
      <c r="UG9" s="1202"/>
      <c r="UH9" s="1202"/>
      <c r="UI9" s="1202"/>
      <c r="UJ9" s="1202"/>
      <c r="UK9" s="1202"/>
      <c r="UL9" s="1202"/>
      <c r="UM9" s="1202"/>
      <c r="UN9" s="1202"/>
      <c r="UO9" s="1202"/>
      <c r="UP9" s="1202"/>
      <c r="UQ9" s="1202"/>
      <c r="UR9" s="1202"/>
      <c r="US9" s="1202"/>
      <c r="UT9" s="1202"/>
      <c r="UU9" s="1202"/>
      <c r="UV9" s="1202"/>
      <c r="UW9" s="1202"/>
      <c r="UX9" s="1202"/>
      <c r="UY9" s="1202"/>
      <c r="UZ9" s="1202"/>
      <c r="VA9" s="1202"/>
      <c r="VB9" s="1202"/>
      <c r="VC9" s="1202"/>
      <c r="VD9" s="1202"/>
      <c r="VE9" s="1202"/>
      <c r="VF9" s="1202"/>
      <c r="VG9" s="1202"/>
      <c r="VH9" s="1202"/>
      <c r="VI9" s="1202"/>
      <c r="VJ9" s="1202"/>
      <c r="VK9" s="1202"/>
      <c r="VL9" s="1202"/>
      <c r="VM9" s="1202"/>
      <c r="VN9" s="1202"/>
      <c r="VO9" s="1202"/>
      <c r="VP9" s="1202"/>
      <c r="VQ9" s="1202"/>
      <c r="VR9" s="1202"/>
      <c r="VS9" s="1202"/>
      <c r="VT9" s="1202"/>
      <c r="VU9" s="1202"/>
      <c r="VV9" s="1202"/>
      <c r="VW9" s="1202"/>
      <c r="VX9" s="1202"/>
      <c r="VY9" s="1202"/>
      <c r="VZ9" s="1202"/>
      <c r="WA9" s="1202"/>
      <c r="WB9" s="1202"/>
      <c r="WC9" s="1202"/>
      <c r="WD9" s="1202"/>
      <c r="WE9" s="1202"/>
      <c r="WF9" s="1202"/>
      <c r="WG9" s="1202"/>
      <c r="WH9" s="1202"/>
      <c r="WI9" s="1202"/>
      <c r="WJ9" s="1202"/>
      <c r="WK9" s="1202"/>
      <c r="WL9" s="1202"/>
      <c r="WM9" s="1202"/>
      <c r="WN9" s="1202"/>
      <c r="WO9" s="1202"/>
      <c r="WP9" s="1202"/>
      <c r="WQ9" s="1202"/>
      <c r="WR9" s="1202"/>
      <c r="WS9" s="1202"/>
      <c r="WT9" s="1202"/>
      <c r="WU9" s="1202"/>
      <c r="WV9" s="1202"/>
      <c r="WW9" s="1202"/>
      <c r="WX9" s="1202"/>
      <c r="WY9" s="1202"/>
      <c r="WZ9" s="1202"/>
      <c r="XA9" s="1202"/>
      <c r="XB9" s="1202"/>
      <c r="XC9" s="1202"/>
      <c r="XD9" s="1202"/>
      <c r="XE9" s="1202"/>
      <c r="XF9" s="1202"/>
      <c r="XG9" s="1202"/>
      <c r="XH9" s="1202"/>
      <c r="XI9" s="1202"/>
      <c r="XJ9" s="1202"/>
      <c r="XK9" s="1202"/>
      <c r="XL9" s="1202"/>
      <c r="XM9" s="1202"/>
      <c r="XN9" s="1202"/>
      <c r="XO9" s="1202"/>
      <c r="XP9" s="1202"/>
      <c r="XQ9" s="1202"/>
      <c r="XR9" s="1202"/>
      <c r="XS9" s="1202"/>
      <c r="XT9" s="1202"/>
      <c r="XU9" s="1202"/>
      <c r="XV9" s="1202"/>
      <c r="XW9" s="1202"/>
      <c r="XX9" s="1202"/>
      <c r="XY9" s="1202"/>
      <c r="XZ9" s="1202"/>
      <c r="YA9" s="1202"/>
      <c r="YB9" s="1202"/>
      <c r="YC9" s="1202"/>
      <c r="YD9" s="1202"/>
      <c r="YE9" s="1202"/>
      <c r="YF9" s="1202"/>
      <c r="YG9" s="1202"/>
      <c r="YH9" s="1202"/>
      <c r="YI9" s="1202"/>
      <c r="YJ9" s="1202"/>
      <c r="YK9" s="1202"/>
      <c r="YL9" s="1202"/>
      <c r="YM9" s="1202"/>
      <c r="YN9" s="1202"/>
      <c r="YO9" s="1202"/>
      <c r="YP9" s="1202"/>
      <c r="YQ9" s="1202"/>
      <c r="YR9" s="1202"/>
      <c r="YS9" s="1202"/>
      <c r="YT9" s="1202"/>
      <c r="YU9" s="1202"/>
      <c r="YV9" s="1202"/>
      <c r="YW9" s="1202"/>
      <c r="YX9" s="1202"/>
      <c r="YY9" s="1202"/>
      <c r="YZ9" s="1202"/>
      <c r="ZA9" s="1202"/>
      <c r="ZB9" s="1202"/>
      <c r="ZC9" s="1202"/>
      <c r="ZD9" s="1202"/>
      <c r="ZE9" s="1202"/>
      <c r="ZF9" s="1202"/>
      <c r="ZG9" s="1202"/>
      <c r="ZH9" s="1202"/>
      <c r="ZI9" s="1202"/>
      <c r="ZJ9" s="1202"/>
      <c r="ZK9" s="1202"/>
      <c r="ZL9" s="1202"/>
      <c r="ZM9" s="1202"/>
      <c r="ZN9" s="1202"/>
      <c r="ZO9" s="1202"/>
      <c r="ZP9" s="1202"/>
      <c r="ZQ9" s="1202"/>
      <c r="ZR9" s="1202"/>
      <c r="ZS9" s="1202"/>
      <c r="ZT9" s="1202"/>
      <c r="ZU9" s="1202"/>
      <c r="ZV9" s="1202"/>
      <c r="ZW9" s="1202"/>
      <c r="ZX9" s="1202"/>
      <c r="ZY9" s="1202"/>
      <c r="ZZ9" s="1202"/>
      <c r="AAA9" s="1202"/>
      <c r="AAB9" s="1202"/>
      <c r="AAC9" s="1202"/>
      <c r="AAD9" s="1202"/>
      <c r="AAE9" s="1202"/>
      <c r="AAF9" s="1202"/>
      <c r="AAG9" s="1202"/>
      <c r="AAH9" s="1202"/>
      <c r="AAI9" s="1202"/>
      <c r="AAJ9" s="1202"/>
      <c r="AAK9" s="1202"/>
      <c r="AAL9" s="1202"/>
      <c r="AAM9" s="1202"/>
      <c r="AAN9" s="1202"/>
      <c r="AAO9" s="1202"/>
      <c r="AAP9" s="1202"/>
      <c r="AAQ9" s="1202"/>
      <c r="AAR9" s="1202"/>
      <c r="AAS9" s="1202"/>
      <c r="AAT9" s="1202"/>
      <c r="AAU9" s="1202"/>
      <c r="AAV9" s="1202"/>
      <c r="AAW9" s="1202"/>
      <c r="AAX9" s="1202"/>
      <c r="AAY9" s="1202"/>
      <c r="AAZ9" s="1202"/>
      <c r="ABA9" s="1202"/>
      <c r="ABB9" s="1202"/>
      <c r="ABC9" s="1202"/>
      <c r="ABD9" s="1202"/>
      <c r="ABE9" s="1202"/>
      <c r="ABF9" s="1202"/>
      <c r="ABG9" s="1202"/>
      <c r="ABH9" s="1202"/>
      <c r="ABI9" s="1202"/>
      <c r="ABJ9" s="1202"/>
      <c r="ABK9" s="1202"/>
      <c r="ABL9" s="1202"/>
      <c r="ABM9" s="1202"/>
      <c r="ABN9" s="1202"/>
      <c r="ABO9" s="1202"/>
      <c r="ABP9" s="1202"/>
      <c r="ABQ9" s="1202"/>
      <c r="ABR9" s="1202"/>
      <c r="ABS9" s="1202"/>
      <c r="ABT9" s="1202"/>
      <c r="ABU9" s="1202"/>
      <c r="ABV9" s="1202"/>
      <c r="ABW9" s="1202"/>
      <c r="ABX9" s="1202"/>
      <c r="ABY9" s="1202"/>
      <c r="ABZ9" s="1202"/>
      <c r="ACA9" s="1202"/>
      <c r="ACB9" s="1202"/>
      <c r="ACC9" s="1202"/>
      <c r="ACD9" s="1202"/>
      <c r="ACE9" s="1202"/>
      <c r="ACF9" s="1202"/>
      <c r="ACG9" s="1202"/>
      <c r="ACH9" s="1202"/>
      <c r="ACI9" s="1202"/>
      <c r="ACJ9" s="1202"/>
      <c r="ACK9" s="1202"/>
      <c r="ACL9" s="1202"/>
      <c r="ACM9" s="1202"/>
      <c r="ACN9" s="1202"/>
      <c r="ACO9" s="1202"/>
      <c r="ACP9" s="1202"/>
      <c r="ACQ9" s="1202"/>
      <c r="ACR9" s="1202"/>
      <c r="ACS9" s="1202"/>
      <c r="ACT9" s="1202"/>
      <c r="ACU9" s="1202"/>
      <c r="ACV9" s="1202"/>
      <c r="ACW9" s="1202"/>
      <c r="ACX9" s="1202"/>
      <c r="ACY9" s="1202"/>
      <c r="ACZ9" s="1202"/>
      <c r="ADA9" s="1202"/>
      <c r="ADB9" s="1202"/>
      <c r="ADC9" s="1202"/>
      <c r="ADD9" s="1202"/>
      <c r="ADE9" s="1202"/>
      <c r="ADF9" s="1202"/>
      <c r="ADG9" s="1202"/>
      <c r="ADH9" s="1202"/>
      <c r="ADI9" s="1202"/>
      <c r="ADJ9" s="1202"/>
      <c r="ADK9" s="1202"/>
      <c r="ADL9" s="1202"/>
      <c r="ADM9" s="1202"/>
      <c r="ADN9" s="1202"/>
      <c r="ADO9" s="1202"/>
      <c r="ADP9" s="1202"/>
      <c r="ADQ9" s="1202"/>
      <c r="ADR9" s="1202"/>
      <c r="ADS9" s="1202"/>
      <c r="ADT9" s="1202"/>
      <c r="ADU9" s="1202"/>
      <c r="ADV9" s="1202"/>
      <c r="ADW9" s="1202"/>
      <c r="ADX9" s="1202"/>
      <c r="ADY9" s="1202"/>
      <c r="ADZ9" s="1202"/>
      <c r="AEA9" s="1202"/>
      <c r="AEB9" s="1202"/>
      <c r="AEC9" s="1202"/>
      <c r="AED9" s="1202"/>
      <c r="AEE9" s="1202"/>
      <c r="AEF9" s="1202"/>
      <c r="AEG9" s="1202"/>
      <c r="AEH9" s="1202"/>
      <c r="AEI9" s="1202"/>
      <c r="AEJ9" s="1202"/>
      <c r="AEK9" s="1202"/>
      <c r="AEL9" s="1202"/>
      <c r="AEM9" s="1202"/>
      <c r="AEN9" s="1202"/>
      <c r="AEO9" s="1202"/>
      <c r="AEP9" s="1202"/>
      <c r="AEQ9" s="1202"/>
      <c r="AER9" s="1202"/>
      <c r="AES9" s="1202"/>
      <c r="AET9" s="1202"/>
      <c r="AEU9" s="1202"/>
      <c r="AEV9" s="1202"/>
      <c r="AEW9" s="1202"/>
      <c r="AEX9" s="1202"/>
      <c r="AEY9" s="1202"/>
      <c r="AEZ9" s="1202"/>
      <c r="AFA9" s="1202"/>
      <c r="AFB9" s="1202"/>
      <c r="AFC9" s="1202"/>
      <c r="AFD9" s="1202"/>
      <c r="AFE9" s="1202"/>
      <c r="AFF9" s="1202"/>
      <c r="AFG9" s="1202"/>
      <c r="AFH9" s="1202"/>
      <c r="AFI9" s="1202"/>
      <c r="AFJ9" s="1202"/>
      <c r="AFK9" s="1202"/>
      <c r="AFL9" s="1202"/>
      <c r="AFM9" s="1202"/>
      <c r="AFN9" s="1202"/>
      <c r="AFO9" s="1202"/>
      <c r="AFP9" s="1202"/>
      <c r="AFQ9" s="1202"/>
      <c r="AFR9" s="1202"/>
      <c r="AFS9" s="1202"/>
      <c r="AFT9" s="1202"/>
      <c r="AFU9" s="1202"/>
      <c r="AFV9" s="1202"/>
      <c r="AFW9" s="1202"/>
      <c r="AFX9" s="1202"/>
      <c r="AFY9" s="1202"/>
      <c r="AFZ9" s="1202"/>
      <c r="AGA9" s="1202"/>
      <c r="AGB9" s="1202"/>
      <c r="AGC9" s="1202"/>
      <c r="AGD9" s="1202"/>
      <c r="AGE9" s="1202"/>
      <c r="AGF9" s="1202"/>
      <c r="AGG9" s="1202"/>
      <c r="AGH9" s="1202"/>
      <c r="AGI9" s="1202"/>
      <c r="AGJ9" s="1202"/>
      <c r="AGK9" s="1202"/>
      <c r="AGL9" s="1202"/>
      <c r="AGM9" s="1202"/>
      <c r="AGN9" s="1202"/>
      <c r="AGO9" s="1202"/>
      <c r="AGP9" s="1202"/>
      <c r="AGQ9" s="1202"/>
      <c r="AGR9" s="1202"/>
      <c r="AGS9" s="1202"/>
      <c r="AGT9" s="1202"/>
      <c r="AGU9" s="1202"/>
      <c r="AGV9" s="1202"/>
      <c r="AGW9" s="1202"/>
      <c r="AGX9" s="1202"/>
      <c r="AGY9" s="1202"/>
      <c r="AGZ9" s="1202"/>
      <c r="AHA9" s="1202"/>
      <c r="AHB9" s="1202"/>
      <c r="AHC9" s="1202"/>
      <c r="AHD9" s="1202"/>
      <c r="AHE9" s="1202"/>
      <c r="AHF9" s="1202"/>
      <c r="AHG9" s="1202"/>
      <c r="AHH9" s="1202"/>
      <c r="AHI9" s="1202"/>
      <c r="AHJ9" s="1202"/>
      <c r="AHK9" s="1202"/>
      <c r="AHL9" s="1202"/>
      <c r="AHM9" s="1202"/>
      <c r="AHN9" s="1202"/>
      <c r="AHO9" s="1202"/>
      <c r="AHP9" s="1202"/>
      <c r="AHQ9" s="1202"/>
      <c r="AHR9" s="1202"/>
      <c r="AHS9" s="1202"/>
      <c r="AHT9" s="1202"/>
      <c r="AHU9" s="1202"/>
      <c r="AHV9" s="1202"/>
      <c r="AHW9" s="1202"/>
      <c r="AHX9" s="1202"/>
      <c r="AHY9" s="1202"/>
      <c r="AHZ9" s="1202"/>
      <c r="AIA9" s="1202"/>
      <c r="AIB9" s="1202"/>
      <c r="AIC9" s="1202"/>
      <c r="AID9" s="1202"/>
      <c r="AIE9" s="1202"/>
      <c r="AIF9" s="1202"/>
      <c r="AIG9" s="1202"/>
      <c r="AIH9" s="1202"/>
      <c r="AII9" s="1202"/>
      <c r="AIJ9" s="1202"/>
      <c r="AIK9" s="1202"/>
      <c r="AIL9" s="1202"/>
      <c r="AIM9" s="1202"/>
      <c r="AIN9" s="1202"/>
      <c r="AIO9" s="1202"/>
      <c r="AIP9" s="1202"/>
      <c r="AIQ9" s="1202"/>
      <c r="AIR9" s="1202"/>
      <c r="AIS9" s="1202"/>
      <c r="AIT9" s="1202"/>
      <c r="AIU9" s="1202"/>
      <c r="AIV9" s="1202"/>
      <c r="AIW9" s="1202"/>
      <c r="AIX9" s="1202"/>
      <c r="AIY9" s="1202"/>
      <c r="AIZ9" s="1202"/>
      <c r="AJA9" s="1202"/>
      <c r="AJB9" s="1202"/>
      <c r="AJC9" s="1202"/>
      <c r="AJD9" s="1202"/>
      <c r="AJE9" s="1202"/>
      <c r="AJF9" s="1202"/>
      <c r="AJG9" s="1202"/>
      <c r="AJH9" s="1202"/>
      <c r="AJI9" s="1202"/>
      <c r="AJJ9" s="1202"/>
      <c r="AJK9" s="1202"/>
      <c r="AJL9" s="1202"/>
      <c r="AJM9" s="1202"/>
      <c r="AJN9" s="1202"/>
      <c r="AJO9" s="1202"/>
      <c r="AJP9" s="1202"/>
      <c r="AJQ9" s="1202"/>
      <c r="AJR9" s="1202"/>
      <c r="AJS9" s="1202"/>
      <c r="AJT9" s="1202"/>
      <c r="AJU9" s="1202"/>
      <c r="AJV9" s="1202"/>
      <c r="AJW9" s="1202"/>
      <c r="AJX9" s="1202"/>
      <c r="AJY9" s="1202"/>
      <c r="AJZ9" s="1202"/>
      <c r="AKA9" s="1202"/>
      <c r="AKB9" s="1202"/>
      <c r="AKC9" s="1202"/>
      <c r="AKD9" s="1202"/>
      <c r="AKE9" s="1202"/>
      <c r="AKF9" s="1202"/>
      <c r="AKG9" s="1202"/>
      <c r="AKH9" s="1202"/>
      <c r="AKI9" s="1202"/>
      <c r="AKJ9" s="1202"/>
      <c r="AKK9" s="1202"/>
      <c r="AKL9" s="1202"/>
      <c r="AKM9" s="1202"/>
      <c r="AKN9" s="1202"/>
      <c r="AKO9" s="1202"/>
      <c r="AKP9" s="1202"/>
      <c r="AKQ9" s="1202"/>
      <c r="AKR9" s="1202"/>
      <c r="AKS9" s="1202"/>
      <c r="AKT9" s="1202"/>
      <c r="AKU9" s="1202"/>
      <c r="AKV9" s="1202"/>
      <c r="AKW9" s="1202"/>
      <c r="AKX9" s="1202"/>
      <c r="AKY9" s="1202"/>
      <c r="AKZ9" s="1202"/>
      <c r="ALA9" s="1202"/>
      <c r="ALB9" s="1202"/>
      <c r="ALC9" s="1202"/>
      <c r="ALD9" s="1202"/>
      <c r="ALE9" s="1202"/>
      <c r="ALF9" s="1202"/>
      <c r="ALG9" s="1202"/>
      <c r="ALH9" s="1202"/>
      <c r="ALI9" s="1202"/>
      <c r="ALJ9" s="1202"/>
      <c r="ALK9" s="1202"/>
      <c r="ALL9" s="1202"/>
      <c r="ALM9" s="1202"/>
      <c r="ALN9" s="1202"/>
      <c r="ALO9" s="1202"/>
      <c r="ALP9" s="1202"/>
      <c r="ALQ9" s="1202"/>
      <c r="ALR9" s="1202"/>
      <c r="ALS9" s="1202"/>
      <c r="ALT9" s="1202"/>
      <c r="ALU9" s="1202"/>
      <c r="ALV9" s="1202"/>
      <c r="ALW9" s="1202"/>
      <c r="ALX9" s="1202"/>
      <c r="ALY9" s="1202"/>
      <c r="ALZ9" s="1202"/>
      <c r="AMA9" s="1202"/>
      <c r="AMB9" s="1202"/>
      <c r="AMC9" s="1202"/>
      <c r="AMD9" s="1202"/>
      <c r="AME9" s="1202"/>
      <c r="AMF9" s="1202"/>
      <c r="AMG9" s="1202"/>
      <c r="AMH9" s="1202"/>
      <c r="AMI9" s="1202"/>
      <c r="AMJ9" s="1202"/>
      <c r="AMK9" s="1202"/>
      <c r="AML9" s="1202"/>
      <c r="AMM9" s="1202"/>
      <c r="AMN9" s="1202"/>
      <c r="AMO9" s="1202"/>
      <c r="AMP9" s="1202"/>
      <c r="AMQ9" s="1202"/>
      <c r="AMR9" s="1202"/>
      <c r="AMS9" s="1202"/>
      <c r="AMT9" s="1202"/>
      <c r="AMU9" s="1202"/>
      <c r="AMV9" s="1202"/>
      <c r="AMW9" s="1202"/>
      <c r="AMX9" s="1202"/>
      <c r="AMY9" s="1202"/>
      <c r="AMZ9" s="1202"/>
      <c r="ANA9" s="1202"/>
      <c r="ANB9" s="1202"/>
      <c r="ANC9" s="1202"/>
      <c r="AND9" s="1202"/>
      <c r="ANE9" s="1202"/>
      <c r="ANF9" s="1202"/>
      <c r="ANG9" s="1202"/>
      <c r="ANH9" s="1202"/>
      <c r="ANI9" s="1202"/>
      <c r="ANJ9" s="1202"/>
      <c r="ANK9" s="1202"/>
      <c r="ANL9" s="1202"/>
      <c r="ANM9" s="1202"/>
      <c r="ANN9" s="1202"/>
      <c r="ANO9" s="1202"/>
      <c r="ANP9" s="1202"/>
      <c r="ANQ9" s="1202"/>
      <c r="ANR9" s="1202"/>
      <c r="ANS9" s="1202"/>
      <c r="ANT9" s="1202"/>
      <c r="ANU9" s="1202"/>
      <c r="ANV9" s="1202"/>
      <c r="ANW9" s="1202"/>
      <c r="ANX9" s="1202"/>
      <c r="ANY9" s="1202"/>
      <c r="ANZ9" s="1202"/>
      <c r="AOA9" s="1202"/>
      <c r="AOB9" s="1202"/>
      <c r="AOC9" s="1202"/>
      <c r="AOD9" s="1202"/>
      <c r="AOE9" s="1202"/>
      <c r="AOF9" s="1202"/>
      <c r="AOG9" s="1202"/>
      <c r="AOH9" s="1202"/>
      <c r="AOI9" s="1202"/>
      <c r="AOJ9" s="1202"/>
      <c r="AOK9" s="1202"/>
      <c r="AOL9" s="1202"/>
      <c r="AOM9" s="1202"/>
      <c r="AON9" s="1202"/>
      <c r="AOO9" s="1202"/>
      <c r="AOP9" s="1202"/>
      <c r="AOQ9" s="1202"/>
      <c r="AOR9" s="1202"/>
      <c r="AOS9" s="1202"/>
      <c r="AOT9" s="1202"/>
      <c r="AOU9" s="1202"/>
      <c r="AOV9" s="1202"/>
      <c r="AOW9" s="1202"/>
      <c r="AOX9" s="1202"/>
      <c r="AOY9" s="1202"/>
      <c r="AOZ9" s="1202"/>
      <c r="APA9" s="1202"/>
      <c r="APB9" s="1202"/>
      <c r="APC9" s="1202"/>
      <c r="APD9" s="1202"/>
      <c r="APE9" s="1202"/>
      <c r="APF9" s="1202"/>
      <c r="APG9" s="1202"/>
      <c r="APH9" s="1202"/>
      <c r="API9" s="1202"/>
      <c r="APJ9" s="1202"/>
      <c r="APK9" s="1202"/>
      <c r="APL9" s="1202"/>
      <c r="APM9" s="1202"/>
      <c r="APN9" s="1202"/>
      <c r="APO9" s="1202"/>
      <c r="APP9" s="1202"/>
      <c r="APQ9" s="1202"/>
      <c r="APR9" s="1202"/>
      <c r="APS9" s="1202"/>
      <c r="APT9" s="1202"/>
      <c r="APU9" s="1202"/>
      <c r="APV9" s="1202"/>
      <c r="APW9" s="1202"/>
      <c r="APX9" s="1202"/>
      <c r="APY9" s="1202"/>
      <c r="APZ9" s="1202"/>
      <c r="AQA9" s="1202"/>
      <c r="AQB9" s="1202"/>
      <c r="AQC9" s="1202"/>
      <c r="AQD9" s="1202"/>
      <c r="AQE9" s="1202"/>
      <c r="AQF9" s="1202"/>
      <c r="AQG9" s="1202"/>
      <c r="AQH9" s="1202"/>
      <c r="AQI9" s="1202"/>
      <c r="AQJ9" s="1202"/>
      <c r="AQK9" s="1202"/>
      <c r="AQL9" s="1202"/>
      <c r="AQM9" s="1202"/>
      <c r="AQN9" s="1202"/>
      <c r="AQO9" s="1202"/>
      <c r="AQP9" s="1202"/>
      <c r="AQQ9" s="1202"/>
      <c r="AQR9" s="1202"/>
      <c r="AQS9" s="1202"/>
      <c r="AQT9" s="1202"/>
      <c r="AQU9" s="1202"/>
      <c r="AQV9" s="1202"/>
      <c r="AQW9" s="1202"/>
      <c r="AQX9" s="1202"/>
      <c r="AQY9" s="1202"/>
      <c r="AQZ9" s="1202"/>
      <c r="ARA9" s="1202"/>
      <c r="ARB9" s="1202"/>
      <c r="ARC9" s="1202"/>
      <c r="ARD9" s="1202"/>
      <c r="ARE9" s="1202"/>
      <c r="ARF9" s="1202"/>
      <c r="ARG9" s="1202"/>
      <c r="ARH9" s="1202"/>
      <c r="ARI9" s="1202"/>
      <c r="ARJ9" s="1202"/>
      <c r="ARK9" s="1202"/>
      <c r="ARL9" s="1202"/>
      <c r="ARM9" s="1202"/>
      <c r="ARN9" s="1202"/>
      <c r="ARO9" s="1202"/>
      <c r="ARP9" s="1202"/>
      <c r="ARQ9" s="1202"/>
      <c r="ARR9" s="1202"/>
      <c r="ARS9" s="1202"/>
      <c r="ART9" s="1202"/>
      <c r="ARU9" s="1202"/>
      <c r="ARV9" s="1202"/>
      <c r="ARW9" s="1202"/>
      <c r="ARX9" s="1202"/>
      <c r="ARY9" s="1202"/>
      <c r="ARZ9" s="1202"/>
      <c r="ASA9" s="1202"/>
      <c r="ASB9" s="1202"/>
      <c r="ASC9" s="1202"/>
      <c r="ASD9" s="1202"/>
      <c r="ASE9" s="1202"/>
      <c r="ASF9" s="1202"/>
      <c r="ASG9" s="1202"/>
      <c r="ASH9" s="1202"/>
      <c r="ASI9" s="1202"/>
      <c r="ASJ9" s="1202"/>
      <c r="ASK9" s="1202"/>
      <c r="ASL9" s="1202"/>
      <c r="ASM9" s="1202"/>
      <c r="ASN9" s="1202"/>
      <c r="ASO9" s="1202"/>
      <c r="ASP9" s="1202"/>
      <c r="ASQ9" s="1202"/>
      <c r="ASR9" s="1202"/>
      <c r="ASS9" s="1202"/>
      <c r="AST9" s="1202"/>
      <c r="ASU9" s="1202"/>
      <c r="ASV9" s="1202"/>
      <c r="ASW9" s="1202"/>
      <c r="ASX9" s="1202"/>
      <c r="ASY9" s="1202"/>
      <c r="ASZ9" s="1202"/>
      <c r="ATA9" s="1202"/>
      <c r="ATB9" s="1202"/>
      <c r="ATC9" s="1202"/>
      <c r="ATD9" s="1202"/>
      <c r="ATE9" s="1202"/>
      <c r="ATF9" s="1202"/>
      <c r="ATG9" s="1202"/>
      <c r="ATH9" s="1202"/>
      <c r="ATI9" s="1202"/>
      <c r="ATJ9" s="1202"/>
      <c r="ATK9" s="1202"/>
      <c r="ATL9" s="1202"/>
      <c r="ATM9" s="1202"/>
      <c r="ATN9" s="1202"/>
      <c r="ATO9" s="1202"/>
      <c r="ATP9" s="1202"/>
      <c r="ATQ9" s="1202"/>
      <c r="ATR9" s="1202"/>
      <c r="ATS9" s="1202"/>
      <c r="ATT9" s="1202"/>
      <c r="ATU9" s="1202"/>
      <c r="ATV9" s="1202"/>
      <c r="ATW9" s="1202"/>
      <c r="ATX9" s="1202"/>
      <c r="ATY9" s="1202"/>
      <c r="ATZ9" s="1202"/>
      <c r="AUA9" s="1202"/>
      <c r="AUB9" s="1202"/>
      <c r="AUC9" s="1202"/>
      <c r="AUD9" s="1202"/>
      <c r="AUE9" s="1202"/>
      <c r="AUF9" s="1202"/>
      <c r="AUG9" s="1202"/>
      <c r="AUH9" s="1202"/>
      <c r="AUI9" s="1202"/>
      <c r="AUJ9" s="1202"/>
      <c r="AUK9" s="1202"/>
      <c r="AUL9" s="1202"/>
      <c r="AUM9" s="1202"/>
      <c r="AUN9" s="1202"/>
      <c r="AUO9" s="1202"/>
      <c r="AUP9" s="1202"/>
      <c r="AUQ9" s="1202"/>
      <c r="AUR9" s="1202"/>
      <c r="AUS9" s="1202"/>
      <c r="AUT9" s="1202"/>
      <c r="AUU9" s="1202"/>
      <c r="AUV9" s="1202"/>
      <c r="AUW9" s="1202"/>
      <c r="AUX9" s="1202"/>
      <c r="AUY9" s="1202"/>
      <c r="AUZ9" s="1202"/>
      <c r="AVA9" s="1202"/>
      <c r="AVB9" s="1202"/>
      <c r="AVC9" s="1202"/>
      <c r="AVD9" s="1202"/>
      <c r="AVE9" s="1202"/>
      <c r="AVF9" s="1202"/>
      <c r="AVG9" s="1202"/>
      <c r="AVH9" s="1202"/>
      <c r="AVI9" s="1202"/>
      <c r="AVJ9" s="1202"/>
      <c r="AVK9" s="1202"/>
      <c r="AVL9" s="1202"/>
      <c r="AVM9" s="1202"/>
      <c r="AVN9" s="1202"/>
      <c r="AVO9" s="1202"/>
      <c r="AVP9" s="1202"/>
      <c r="AVQ9" s="1202"/>
      <c r="AVR9" s="1202"/>
      <c r="AVS9" s="1202"/>
      <c r="AVT9" s="1202"/>
      <c r="AVU9" s="1202"/>
      <c r="AVV9" s="1202"/>
      <c r="AVW9" s="1202"/>
      <c r="AVX9" s="1202"/>
      <c r="AVY9" s="1202"/>
      <c r="AVZ9" s="1202"/>
      <c r="AWA9" s="1202"/>
      <c r="AWB9" s="1202"/>
      <c r="AWC9" s="1202"/>
      <c r="AWD9" s="1202"/>
      <c r="AWE9" s="1202"/>
      <c r="AWF9" s="1202"/>
      <c r="AWG9" s="1202"/>
      <c r="AWH9" s="1202"/>
      <c r="AWI9" s="1202"/>
      <c r="AWJ9" s="1202"/>
      <c r="AWK9" s="1202"/>
      <c r="AWL9" s="1202"/>
      <c r="AWM9" s="1202"/>
      <c r="AWN9" s="1202"/>
      <c r="AWO9" s="1202"/>
      <c r="AWP9" s="1202"/>
      <c r="AWQ9" s="1202"/>
      <c r="AWR9" s="1202"/>
      <c r="AWS9" s="1202"/>
      <c r="AWT9" s="1202"/>
      <c r="AWU9" s="1202"/>
      <c r="AWV9" s="1202"/>
      <c r="AWW9" s="1202"/>
      <c r="AWX9" s="1202"/>
      <c r="AWY9" s="1202"/>
      <c r="AWZ9" s="1202"/>
      <c r="AXA9" s="1202"/>
      <c r="AXB9" s="1202"/>
      <c r="AXC9" s="1202"/>
      <c r="AXD9" s="1202"/>
      <c r="AXE9" s="1202"/>
      <c r="AXF9" s="1202"/>
      <c r="AXG9" s="1202"/>
      <c r="AXH9" s="1202"/>
      <c r="AXI9" s="1202"/>
      <c r="AXJ9" s="1202"/>
      <c r="AXK9" s="1202"/>
      <c r="AXL9" s="1202"/>
      <c r="AXM9" s="1202"/>
      <c r="AXN9" s="1202"/>
      <c r="AXO9" s="1202"/>
      <c r="AXP9" s="1202"/>
      <c r="AXQ9" s="1202"/>
      <c r="AXR9" s="1202"/>
      <c r="AXS9" s="1202"/>
      <c r="AXT9" s="1202"/>
      <c r="AXU9" s="1202"/>
      <c r="AXV9" s="1202"/>
      <c r="AXW9" s="1202"/>
      <c r="AXX9" s="1202"/>
      <c r="AXY9" s="1202"/>
      <c r="AXZ9" s="1202"/>
      <c r="AYA9" s="1202"/>
      <c r="AYB9" s="1202"/>
      <c r="AYC9" s="1202"/>
      <c r="AYD9" s="1202"/>
      <c r="AYE9" s="1202"/>
      <c r="AYF9" s="1202"/>
      <c r="AYG9" s="1202"/>
      <c r="AYH9" s="1202"/>
      <c r="AYI9" s="1202"/>
      <c r="AYJ9" s="1202"/>
      <c r="AYK9" s="1202"/>
      <c r="AYL9" s="1202"/>
      <c r="AYM9" s="1202"/>
      <c r="AYN9" s="1202"/>
      <c r="AYO9" s="1202"/>
      <c r="AYP9" s="1202"/>
      <c r="AYQ9" s="1202"/>
      <c r="AYR9" s="1202"/>
      <c r="AYS9" s="1202"/>
      <c r="AYT9" s="1202"/>
      <c r="AYU9" s="1202"/>
      <c r="AYV9" s="1202"/>
      <c r="AYW9" s="1202"/>
      <c r="AYX9" s="1202"/>
      <c r="AYY9" s="1202"/>
      <c r="AYZ9" s="1202"/>
      <c r="AZA9" s="1202"/>
      <c r="AZB9" s="1202"/>
      <c r="AZC9" s="1202"/>
      <c r="AZD9" s="1202"/>
      <c r="AZE9" s="1202"/>
      <c r="AZF9" s="1202"/>
      <c r="AZG9" s="1202"/>
      <c r="AZH9" s="1202"/>
      <c r="AZI9" s="1202"/>
      <c r="AZJ9" s="1202"/>
      <c r="AZK9" s="1202"/>
      <c r="AZL9" s="1202"/>
      <c r="AZM9" s="1202"/>
      <c r="AZN9" s="1202"/>
      <c r="AZO9" s="1202"/>
      <c r="AZP9" s="1202"/>
      <c r="AZQ9" s="1202"/>
      <c r="AZR9" s="1202"/>
      <c r="AZS9" s="1202"/>
      <c r="AZT9" s="1202"/>
      <c r="AZU9" s="1202"/>
      <c r="AZV9" s="1202"/>
      <c r="AZW9" s="1202"/>
      <c r="AZX9" s="1202"/>
      <c r="AZY9" s="1202"/>
      <c r="AZZ9" s="1202"/>
      <c r="BAA9" s="1202"/>
      <c r="BAB9" s="1202"/>
      <c r="BAC9" s="1202"/>
      <c r="BAD9" s="1202"/>
      <c r="BAE9" s="1202"/>
      <c r="BAF9" s="1202"/>
      <c r="BAG9" s="1202"/>
      <c r="BAH9" s="1202"/>
      <c r="BAI9" s="1202"/>
      <c r="BAJ9" s="1202"/>
      <c r="BAK9" s="1202"/>
      <c r="BAL9" s="1202"/>
      <c r="BAM9" s="1202"/>
      <c r="BAN9" s="1202"/>
      <c r="BAO9" s="1202"/>
      <c r="BAP9" s="1202"/>
      <c r="BAQ9" s="1202"/>
      <c r="BAR9" s="1202"/>
      <c r="BAS9" s="1202"/>
      <c r="BAT9" s="1202"/>
      <c r="BAU9" s="1202"/>
      <c r="BAV9" s="1202"/>
      <c r="BAW9" s="1202"/>
      <c r="BAX9" s="1202"/>
      <c r="BAY9" s="1202"/>
      <c r="BAZ9" s="1202"/>
      <c r="BBA9" s="1202"/>
      <c r="BBB9" s="1202"/>
      <c r="BBC9" s="1202"/>
      <c r="BBD9" s="1202"/>
      <c r="BBE9" s="1202"/>
      <c r="BBF9" s="1202"/>
      <c r="BBG9" s="1202"/>
      <c r="BBH9" s="1202"/>
      <c r="BBI9" s="1202"/>
      <c r="BBJ9" s="1202"/>
      <c r="BBK9" s="1202"/>
      <c r="BBL9" s="1202"/>
      <c r="BBM9" s="1202"/>
      <c r="BBN9" s="1202"/>
      <c r="BBO9" s="1202"/>
      <c r="BBP9" s="1202"/>
      <c r="BBQ9" s="1202"/>
      <c r="BBR9" s="1202"/>
      <c r="BBS9" s="1202"/>
      <c r="BBT9" s="1202"/>
      <c r="BBU9" s="1202"/>
      <c r="BBV9" s="1202"/>
      <c r="BBW9" s="1202"/>
      <c r="BBX9" s="1202"/>
      <c r="BBY9" s="1202"/>
      <c r="BBZ9" s="1202"/>
      <c r="BCA9" s="1202"/>
      <c r="BCB9" s="1202"/>
      <c r="BCC9" s="1202"/>
      <c r="BCD9" s="1202"/>
      <c r="BCE9" s="1202"/>
      <c r="BCF9" s="1202"/>
      <c r="BCG9" s="1202"/>
      <c r="BCH9" s="1202"/>
      <c r="BCI9" s="1202"/>
      <c r="BCJ9" s="1202"/>
      <c r="BCK9" s="1202"/>
      <c r="BCL9" s="1202"/>
      <c r="BCM9" s="1202"/>
      <c r="BCN9" s="1202"/>
      <c r="BCO9" s="1202"/>
      <c r="BCP9" s="1202"/>
      <c r="BCQ9" s="1202"/>
      <c r="BCR9" s="1202"/>
      <c r="BCS9" s="1202"/>
      <c r="BCT9" s="1202"/>
      <c r="BCU9" s="1202"/>
      <c r="BCV9" s="1202"/>
      <c r="BCW9" s="1202"/>
      <c r="BCX9" s="1202"/>
      <c r="BCY9" s="1202"/>
      <c r="BCZ9" s="1202"/>
      <c r="BDA9" s="1202"/>
      <c r="BDB9" s="1202"/>
      <c r="BDC9" s="1202"/>
      <c r="BDD9" s="1202"/>
      <c r="BDE9" s="1202"/>
      <c r="BDF9" s="1202"/>
      <c r="BDG9" s="1202"/>
      <c r="BDH9" s="1202"/>
      <c r="BDI9" s="1202"/>
      <c r="BDJ9" s="1202"/>
      <c r="BDK9" s="1202"/>
      <c r="BDL9" s="1202"/>
      <c r="BDM9" s="1202"/>
      <c r="BDN9" s="1202"/>
      <c r="BDO9" s="1202"/>
      <c r="BDP9" s="1202"/>
      <c r="BDQ9" s="1202"/>
      <c r="BDR9" s="1202"/>
      <c r="BDS9" s="1202"/>
      <c r="BDT9" s="1202"/>
      <c r="BDU9" s="1202"/>
      <c r="BDV9" s="1202"/>
      <c r="BDW9" s="1202"/>
      <c r="BDX9" s="1202"/>
      <c r="BDY9" s="1202"/>
      <c r="BDZ9" s="1202"/>
      <c r="BEA9" s="1202"/>
      <c r="BEB9" s="1202"/>
      <c r="BEC9" s="1202"/>
      <c r="BED9" s="1202"/>
      <c r="BEE9" s="1202"/>
      <c r="BEF9" s="1202"/>
      <c r="BEG9" s="1202"/>
      <c r="BEH9" s="1202"/>
      <c r="BEI9" s="1202"/>
      <c r="BEJ9" s="1202"/>
      <c r="BEK9" s="1202"/>
      <c r="BEL9" s="1202"/>
      <c r="BEM9" s="1202"/>
      <c r="BEN9" s="1202"/>
      <c r="BEO9" s="1202"/>
      <c r="BEP9" s="1202"/>
      <c r="BEQ9" s="1202"/>
      <c r="BER9" s="1202"/>
      <c r="BES9" s="1202"/>
      <c r="BET9" s="1202"/>
      <c r="BEU9" s="1202"/>
      <c r="BEV9" s="1202"/>
      <c r="BEW9" s="1202"/>
      <c r="BEX9" s="1202"/>
      <c r="BEY9" s="1202"/>
      <c r="BEZ9" s="1202"/>
      <c r="BFA9" s="1202"/>
      <c r="BFB9" s="1202"/>
      <c r="BFC9" s="1202"/>
      <c r="BFD9" s="1202"/>
      <c r="BFE9" s="1202"/>
      <c r="BFF9" s="1202"/>
      <c r="BFG9" s="1202"/>
      <c r="BFH9" s="1202"/>
      <c r="BFI9" s="1202"/>
      <c r="BFJ9" s="1202"/>
      <c r="BFK9" s="1202"/>
      <c r="BFL9" s="1202"/>
      <c r="BFM9" s="1202"/>
      <c r="BFN9" s="1202"/>
      <c r="BFO9" s="1202"/>
      <c r="BFP9" s="1202"/>
      <c r="BFQ9" s="1202"/>
      <c r="BFR9" s="1202"/>
      <c r="BFS9" s="1202"/>
      <c r="BFT9" s="1202"/>
      <c r="BFU9" s="1202"/>
      <c r="BFV9" s="1202"/>
      <c r="BFW9" s="1202"/>
      <c r="BFX9" s="1202"/>
      <c r="BFY9" s="1202"/>
      <c r="BFZ9" s="1202"/>
      <c r="BGA9" s="1202"/>
      <c r="BGB9" s="1202"/>
      <c r="BGC9" s="1202"/>
      <c r="BGD9" s="1202"/>
      <c r="BGE9" s="1202"/>
      <c r="BGF9" s="1202"/>
      <c r="BGG9" s="1202"/>
      <c r="BGH9" s="1202"/>
      <c r="BGI9" s="1202"/>
      <c r="BGJ9" s="1202"/>
      <c r="BGK9" s="1202"/>
      <c r="BGL9" s="1202"/>
      <c r="BGM9" s="1202"/>
      <c r="BGN9" s="1202"/>
      <c r="BGO9" s="1202"/>
      <c r="BGP9" s="1202"/>
      <c r="BGQ9" s="1202"/>
      <c r="BGR9" s="1202"/>
      <c r="BGS9" s="1202"/>
      <c r="BGT9" s="1202"/>
      <c r="BGU9" s="1202"/>
      <c r="BGV9" s="1202"/>
      <c r="BGW9" s="1202"/>
      <c r="BGX9" s="1202"/>
      <c r="BGY9" s="1202"/>
      <c r="BGZ9" s="1202"/>
      <c r="BHA9" s="1202"/>
      <c r="BHB9" s="1202"/>
      <c r="BHC9" s="1202"/>
      <c r="BHD9" s="1202"/>
      <c r="BHE9" s="1202"/>
      <c r="BHF9" s="1202"/>
      <c r="BHG9" s="1202"/>
      <c r="BHH9" s="1202"/>
      <c r="BHI9" s="1202"/>
      <c r="BHJ9" s="1202"/>
      <c r="BHK9" s="1202"/>
      <c r="BHL9" s="1202"/>
      <c r="BHM9" s="1202"/>
      <c r="BHN9" s="1202"/>
      <c r="BHO9" s="1202"/>
      <c r="BHP9" s="1202"/>
      <c r="BHQ9" s="1202"/>
      <c r="BHR9" s="1202"/>
      <c r="BHS9" s="1202"/>
      <c r="BHT9" s="1202"/>
      <c r="BHU9" s="1202"/>
      <c r="BHV9" s="1202"/>
      <c r="BHW9" s="1202"/>
      <c r="BHX9" s="1202"/>
      <c r="BHY9" s="1202"/>
      <c r="BHZ9" s="1202"/>
      <c r="BIA9" s="1202"/>
      <c r="BIB9" s="1202"/>
      <c r="BIC9" s="1202"/>
      <c r="BID9" s="1202"/>
      <c r="BIE9" s="1202"/>
      <c r="BIF9" s="1202"/>
      <c r="BIG9" s="1202"/>
      <c r="BIH9" s="1202"/>
      <c r="BII9" s="1202"/>
      <c r="BIJ9" s="1202"/>
      <c r="BIK9" s="1202"/>
      <c r="BIL9" s="1202"/>
      <c r="BIM9" s="1202"/>
      <c r="BIN9" s="1202"/>
      <c r="BIO9" s="1202"/>
      <c r="BIP9" s="1202"/>
      <c r="BIQ9" s="1202"/>
      <c r="BIR9" s="1202"/>
      <c r="BIS9" s="1202"/>
      <c r="BIT9" s="1202"/>
      <c r="BIU9" s="1202"/>
      <c r="BIV9" s="1202"/>
      <c r="BIW9" s="1202"/>
      <c r="BIX9" s="1202"/>
      <c r="BIY9" s="1202"/>
      <c r="BIZ9" s="1202"/>
      <c r="BJA9" s="1202"/>
      <c r="BJB9" s="1202"/>
      <c r="BJC9" s="1202"/>
      <c r="BJD9" s="1202"/>
      <c r="BJE9" s="1202"/>
      <c r="BJF9" s="1202"/>
      <c r="BJG9" s="1202"/>
      <c r="BJH9" s="1202"/>
      <c r="BJI9" s="1202"/>
      <c r="BJJ9" s="1202"/>
      <c r="BJK9" s="1202"/>
      <c r="BJL9" s="1202"/>
      <c r="BJM9" s="1202"/>
      <c r="BJN9" s="1202"/>
      <c r="BJO9" s="1202"/>
      <c r="BJP9" s="1202"/>
      <c r="BJQ9" s="1202"/>
      <c r="BJR9" s="1202"/>
      <c r="BJS9" s="1202"/>
      <c r="BJT9" s="1202"/>
      <c r="BJU9" s="1202"/>
      <c r="BJV9" s="1202"/>
      <c r="BJW9" s="1202"/>
      <c r="BJX9" s="1202"/>
      <c r="BJY9" s="1202"/>
      <c r="BJZ9" s="1202"/>
      <c r="BKA9" s="1202"/>
      <c r="BKB9" s="1202"/>
      <c r="BKC9" s="1202"/>
      <c r="BKD9" s="1202"/>
      <c r="BKE9" s="1202"/>
      <c r="BKF9" s="1202"/>
      <c r="BKG9" s="1202"/>
      <c r="BKH9" s="1202"/>
      <c r="BKI9" s="1202"/>
      <c r="BKJ9" s="1202"/>
      <c r="BKK9" s="1202"/>
      <c r="BKL9" s="1202"/>
      <c r="BKM9" s="1202"/>
      <c r="BKN9" s="1202"/>
      <c r="BKO9" s="1202"/>
      <c r="BKP9" s="1202"/>
      <c r="BKQ9" s="1202"/>
      <c r="BKR9" s="1202"/>
      <c r="BKS9" s="1202"/>
      <c r="BKT9" s="1202"/>
      <c r="BKU9" s="1202"/>
      <c r="BKV9" s="1202"/>
      <c r="BKW9" s="1202"/>
      <c r="BKX9" s="1202"/>
      <c r="BKY9" s="1202"/>
      <c r="BKZ9" s="1202"/>
      <c r="BLA9" s="1202"/>
      <c r="BLB9" s="1202"/>
      <c r="BLC9" s="1202"/>
      <c r="BLD9" s="1202"/>
      <c r="BLE9" s="1202"/>
      <c r="BLF9" s="1202"/>
      <c r="BLG9" s="1202"/>
      <c r="BLH9" s="1202"/>
      <c r="BLI9" s="1202"/>
      <c r="BLJ9" s="1202"/>
      <c r="BLK9" s="1202"/>
      <c r="BLL9" s="1202"/>
      <c r="BLM9" s="1202"/>
      <c r="BLN9" s="1202"/>
      <c r="BLO9" s="1202"/>
      <c r="BLP9" s="1202"/>
      <c r="BLQ9" s="1202"/>
      <c r="BLR9" s="1202"/>
      <c r="BLS9" s="1202"/>
      <c r="BLT9" s="1202"/>
      <c r="BLU9" s="1202"/>
      <c r="BLV9" s="1202"/>
      <c r="BLW9" s="1202"/>
      <c r="BLX9" s="1202"/>
      <c r="BLY9" s="1202"/>
      <c r="BLZ9" s="1202"/>
      <c r="BMA9" s="1202"/>
      <c r="BMB9" s="1202"/>
      <c r="BMC9" s="1202"/>
      <c r="BMD9" s="1202"/>
      <c r="BME9" s="1202"/>
      <c r="BMF9" s="1202"/>
      <c r="BMG9" s="1202"/>
      <c r="BMH9" s="1202"/>
      <c r="BMI9" s="1202"/>
      <c r="BMJ9" s="1202"/>
      <c r="BMK9" s="1202"/>
      <c r="BML9" s="1202"/>
      <c r="BMM9" s="1202"/>
      <c r="BMN9" s="1202"/>
      <c r="BMO9" s="1202"/>
      <c r="BMP9" s="1202"/>
      <c r="BMQ9" s="1202"/>
      <c r="BMR9" s="1202"/>
      <c r="BMS9" s="1202"/>
      <c r="BMT9" s="1202"/>
      <c r="BMU9" s="1202"/>
      <c r="BMV9" s="1202"/>
      <c r="BMW9" s="1202"/>
      <c r="BMX9" s="1202"/>
      <c r="BMY9" s="1202"/>
      <c r="BMZ9" s="1202"/>
      <c r="BNA9" s="1202"/>
      <c r="BNB9" s="1202"/>
      <c r="BNC9" s="1202"/>
      <c r="BND9" s="1202"/>
      <c r="BNE9" s="1202"/>
      <c r="BNF9" s="1202"/>
      <c r="BNG9" s="1202"/>
      <c r="BNH9" s="1202"/>
      <c r="BNI9" s="1202"/>
      <c r="BNJ9" s="1202"/>
      <c r="BNK9" s="1202"/>
      <c r="BNL9" s="1202"/>
      <c r="BNM9" s="1202"/>
      <c r="BNN9" s="1202"/>
      <c r="BNO9" s="1202"/>
      <c r="BNP9" s="1202"/>
      <c r="BNQ9" s="1202"/>
      <c r="BNR9" s="1202"/>
      <c r="BNS9" s="1202"/>
      <c r="BNT9" s="1202"/>
      <c r="BNU9" s="1202"/>
      <c r="BNV9" s="1202"/>
      <c r="BNW9" s="1202"/>
      <c r="BNX9" s="1202"/>
      <c r="BNY9" s="1202"/>
      <c r="BNZ9" s="1202"/>
      <c r="BOA9" s="1202"/>
      <c r="BOB9" s="1202"/>
      <c r="BOC9" s="1202"/>
      <c r="BOD9" s="1202"/>
      <c r="BOE9" s="1202"/>
      <c r="BOF9" s="1202"/>
      <c r="BOG9" s="1202"/>
      <c r="BOH9" s="1202"/>
      <c r="BOI9" s="1202"/>
      <c r="BOJ9" s="1202"/>
      <c r="BOK9" s="1202"/>
      <c r="BOL9" s="1202"/>
      <c r="BOM9" s="1202"/>
      <c r="BON9" s="1202"/>
      <c r="BOO9" s="1202"/>
      <c r="BOP9" s="1202"/>
      <c r="BOQ9" s="1202"/>
      <c r="BOR9" s="1202"/>
      <c r="BOS9" s="1202"/>
      <c r="BOT9" s="1202"/>
      <c r="BOU9" s="1202"/>
      <c r="BOV9" s="1202"/>
      <c r="BOW9" s="1202"/>
      <c r="BOX9" s="1202"/>
      <c r="BOY9" s="1202"/>
      <c r="BOZ9" s="1202"/>
      <c r="BPA9" s="1202"/>
      <c r="BPB9" s="1202"/>
      <c r="BPC9" s="1202"/>
      <c r="BPD9" s="1202"/>
      <c r="BPE9" s="1202"/>
      <c r="BPF9" s="1202"/>
      <c r="BPG9" s="1202"/>
      <c r="BPH9" s="1202"/>
      <c r="BPI9" s="1202"/>
      <c r="BPJ9" s="1202"/>
      <c r="BPK9" s="1202"/>
      <c r="BPL9" s="1202"/>
      <c r="BPM9" s="1202"/>
      <c r="BPN9" s="1202"/>
      <c r="BPO9" s="1202"/>
      <c r="BPP9" s="1202"/>
      <c r="BPQ9" s="1202"/>
      <c r="BPR9" s="1202"/>
      <c r="BPS9" s="1202"/>
      <c r="BPT9" s="1202"/>
      <c r="BPU9" s="1202"/>
      <c r="BPV9" s="1202"/>
      <c r="BPW9" s="1202"/>
      <c r="BPX9" s="1202"/>
      <c r="BPY9" s="1202"/>
      <c r="BPZ9" s="1202"/>
      <c r="BQA9" s="1202"/>
      <c r="BQB9" s="1202"/>
      <c r="BQC9" s="1202"/>
      <c r="BQD9" s="1202"/>
      <c r="BQE9" s="1202"/>
      <c r="BQF9" s="1202"/>
      <c r="BQG9" s="1202"/>
      <c r="BQH9" s="1202"/>
      <c r="BQI9" s="1202"/>
      <c r="BQJ9" s="1202"/>
      <c r="BQK9" s="1202"/>
      <c r="BQL9" s="1202"/>
      <c r="BQM9" s="1202"/>
      <c r="BQN9" s="1202"/>
      <c r="BQO9" s="1202"/>
      <c r="BQP9" s="1202"/>
      <c r="BQQ9" s="1202"/>
      <c r="BQR9" s="1202"/>
      <c r="BQS9" s="1202"/>
      <c r="BQT9" s="1202"/>
      <c r="BQU9" s="1202"/>
      <c r="BQV9" s="1202"/>
      <c r="BQW9" s="1202"/>
      <c r="BQX9" s="1202"/>
      <c r="BQY9" s="1202"/>
      <c r="BQZ9" s="1202"/>
      <c r="BRA9" s="1202"/>
      <c r="BRB9" s="1202"/>
      <c r="BRC9" s="1202"/>
      <c r="BRD9" s="1202"/>
      <c r="BRE9" s="1202"/>
      <c r="BRF9" s="1202"/>
      <c r="BRG9" s="1202"/>
      <c r="BRH9" s="1202"/>
      <c r="BRI9" s="1202"/>
      <c r="BRJ9" s="1202"/>
      <c r="BRK9" s="1202"/>
      <c r="BRL9" s="1202"/>
      <c r="BRM9" s="1202"/>
      <c r="BRN9" s="1202"/>
      <c r="BRO9" s="1202"/>
      <c r="BRP9" s="1202"/>
      <c r="BRQ9" s="1202"/>
      <c r="BRR9" s="1202"/>
      <c r="BRS9" s="1202"/>
      <c r="BRT9" s="1202"/>
      <c r="BRU9" s="1202"/>
      <c r="BRV9" s="1202"/>
      <c r="BRW9" s="1202"/>
      <c r="BRX9" s="1202"/>
      <c r="BRY9" s="1202"/>
      <c r="BRZ9" s="1202"/>
      <c r="BSA9" s="1202"/>
      <c r="BSB9" s="1202"/>
      <c r="BSC9" s="1202"/>
      <c r="BSD9" s="1202"/>
      <c r="BSE9" s="1202"/>
      <c r="BSF9" s="1202"/>
      <c r="BSG9" s="1202"/>
      <c r="BSH9" s="1202"/>
      <c r="BSI9" s="1202"/>
      <c r="BSJ9" s="1202"/>
      <c r="BSK9" s="1202"/>
      <c r="BSL9" s="1202"/>
      <c r="BSM9" s="1202"/>
      <c r="BSN9" s="1202"/>
      <c r="BSO9" s="1202"/>
      <c r="BSP9" s="1202"/>
      <c r="BSQ9" s="1202"/>
      <c r="BSR9" s="1202"/>
      <c r="BSS9" s="1202"/>
      <c r="BST9" s="1202"/>
      <c r="BSU9" s="1202"/>
      <c r="BSV9" s="1202"/>
      <c r="BSW9" s="1202"/>
      <c r="BSX9" s="1202"/>
      <c r="BSY9" s="1202"/>
      <c r="BSZ9" s="1202"/>
      <c r="BTA9" s="1202"/>
      <c r="BTB9" s="1202"/>
      <c r="BTC9" s="1202"/>
      <c r="BTD9" s="1202"/>
      <c r="BTE9" s="1202"/>
      <c r="BTF9" s="1202"/>
      <c r="BTG9" s="1202"/>
      <c r="BTH9" s="1202"/>
      <c r="BTI9" s="1202"/>
      <c r="BTJ9" s="1202"/>
      <c r="BTK9" s="1202"/>
      <c r="BTL9" s="1202"/>
      <c r="BTM9" s="1202"/>
      <c r="BTN9" s="1202"/>
      <c r="BTO9" s="1202"/>
      <c r="BTP9" s="1202"/>
      <c r="BTQ9" s="1202"/>
      <c r="BTR9" s="1202"/>
      <c r="BTS9" s="1202"/>
      <c r="BTT9" s="1202"/>
      <c r="BTU9" s="1202"/>
      <c r="BTV9" s="1202"/>
      <c r="BTW9" s="1202"/>
      <c r="BTX9" s="1202"/>
      <c r="BTY9" s="1202"/>
      <c r="BTZ9" s="1202"/>
      <c r="BUA9" s="1202"/>
      <c r="BUB9" s="1202"/>
      <c r="BUC9" s="1202"/>
      <c r="BUD9" s="1202"/>
      <c r="BUE9" s="1202"/>
      <c r="BUF9" s="1202"/>
      <c r="BUG9" s="1202"/>
      <c r="BUH9" s="1202"/>
      <c r="BUI9" s="1202"/>
      <c r="BUJ9" s="1202"/>
      <c r="BUK9" s="1202"/>
      <c r="BUL9" s="1202"/>
      <c r="BUM9" s="1202"/>
      <c r="BUN9" s="1202"/>
      <c r="BUO9" s="1202"/>
      <c r="BUP9" s="1202"/>
      <c r="BUQ9" s="1202"/>
      <c r="BUR9" s="1202"/>
      <c r="BUS9" s="1202"/>
      <c r="BUT9" s="1202"/>
      <c r="BUU9" s="1202"/>
      <c r="BUV9" s="1202"/>
      <c r="BUW9" s="1202"/>
      <c r="BUX9" s="1202"/>
      <c r="BUY9" s="1202"/>
      <c r="BUZ9" s="1202"/>
      <c r="BVA9" s="1202"/>
      <c r="BVB9" s="1202"/>
      <c r="BVC9" s="1202"/>
      <c r="BVD9" s="1202"/>
      <c r="BVE9" s="1202"/>
      <c r="BVF9" s="1202"/>
      <c r="BVG9" s="1202"/>
      <c r="BVH9" s="1202"/>
      <c r="BVI9" s="1202"/>
      <c r="BVJ9" s="1202"/>
      <c r="BVK9" s="1202"/>
      <c r="BVL9" s="1202"/>
      <c r="BVM9" s="1202"/>
      <c r="BVN9" s="1202"/>
      <c r="BVO9" s="1202"/>
      <c r="BVP9" s="1202"/>
      <c r="BVQ9" s="1202"/>
      <c r="BVR9" s="1202"/>
      <c r="BVS9" s="1202"/>
      <c r="BVT9" s="1202"/>
      <c r="BVU9" s="1202"/>
      <c r="BVV9" s="1202"/>
      <c r="BVW9" s="1202"/>
      <c r="BVX9" s="1202"/>
      <c r="BVY9" s="1202"/>
      <c r="BVZ9" s="1202"/>
      <c r="BWA9" s="1202"/>
      <c r="BWB9" s="1202"/>
      <c r="BWC9" s="1202"/>
      <c r="BWD9" s="1202"/>
      <c r="BWE9" s="1202"/>
      <c r="BWF9" s="1202"/>
      <c r="BWG9" s="1202"/>
      <c r="BWH9" s="1202"/>
      <c r="BWI9" s="1202"/>
      <c r="BWJ9" s="1202"/>
      <c r="BWK9" s="1202"/>
      <c r="BWL9" s="1202"/>
      <c r="BWM9" s="1202"/>
      <c r="BWN9" s="1202"/>
      <c r="BWO9" s="1202"/>
      <c r="BWP9" s="1202"/>
      <c r="BWQ9" s="1202"/>
      <c r="BWR9" s="1202"/>
      <c r="BWS9" s="1202"/>
      <c r="BWT9" s="1202"/>
      <c r="BWU9" s="1202"/>
      <c r="BWV9" s="1202"/>
      <c r="BWW9" s="1202"/>
      <c r="BWX9" s="1202"/>
      <c r="BWY9" s="1202"/>
      <c r="BWZ9" s="1202"/>
      <c r="BXA9" s="1202"/>
      <c r="BXB9" s="1202"/>
      <c r="BXC9" s="1202"/>
      <c r="BXD9" s="1202"/>
      <c r="BXE9" s="1202"/>
      <c r="BXF9" s="1202"/>
      <c r="BXG9" s="1202"/>
      <c r="BXH9" s="1202"/>
      <c r="BXI9" s="1202"/>
      <c r="BXJ9" s="1202"/>
      <c r="BXK9" s="1202"/>
      <c r="BXL9" s="1202"/>
      <c r="BXM9" s="1202"/>
      <c r="BXN9" s="1202"/>
      <c r="BXO9" s="1202"/>
      <c r="BXP9" s="1202"/>
      <c r="BXQ9" s="1202"/>
      <c r="BXR9" s="1202"/>
      <c r="BXS9" s="1202"/>
      <c r="BXT9" s="1202"/>
      <c r="BXU9" s="1202"/>
      <c r="BXV9" s="1202"/>
      <c r="BXW9" s="1202"/>
      <c r="BXX9" s="1202"/>
      <c r="BXY9" s="1202"/>
      <c r="BXZ9" s="1202"/>
      <c r="BYA9" s="1202"/>
      <c r="BYB9" s="1202"/>
      <c r="BYC9" s="1202"/>
      <c r="BYD9" s="1202"/>
      <c r="BYE9" s="1202"/>
      <c r="BYF9" s="1202"/>
      <c r="BYG9" s="1202"/>
      <c r="BYH9" s="1202"/>
      <c r="BYI9" s="1202"/>
      <c r="BYJ9" s="1202"/>
      <c r="BYK9" s="1202"/>
      <c r="BYL9" s="1202"/>
      <c r="BYM9" s="1202"/>
      <c r="BYN9" s="1202"/>
      <c r="BYO9" s="1202"/>
      <c r="BYP9" s="1202"/>
      <c r="BYQ9" s="1202"/>
      <c r="BYR9" s="1202"/>
      <c r="BYS9" s="1202"/>
      <c r="BYT9" s="1202"/>
      <c r="BYU9" s="1202"/>
      <c r="BYV9" s="1202"/>
      <c r="BYW9" s="1202"/>
      <c r="BYX9" s="1202"/>
      <c r="BYY9" s="1202"/>
      <c r="BYZ9" s="1202"/>
      <c r="BZA9" s="1202"/>
      <c r="BZB9" s="1202"/>
      <c r="BZC9" s="1202"/>
      <c r="BZD9" s="1202"/>
      <c r="BZE9" s="1202"/>
      <c r="BZF9" s="1202"/>
      <c r="BZG9" s="1202"/>
      <c r="BZH9" s="1202"/>
      <c r="BZI9" s="1202"/>
      <c r="BZJ9" s="1202"/>
      <c r="BZK9" s="1202"/>
      <c r="BZL9" s="1202"/>
      <c r="BZM9" s="1202"/>
      <c r="BZN9" s="1202"/>
      <c r="BZO9" s="1202"/>
      <c r="BZP9" s="1202"/>
      <c r="BZQ9" s="1202"/>
      <c r="BZR9" s="1202"/>
      <c r="BZS9" s="1202"/>
      <c r="BZT9" s="1202"/>
      <c r="BZU9" s="1202"/>
      <c r="BZV9" s="1202"/>
      <c r="BZW9" s="1202"/>
      <c r="BZX9" s="1202"/>
      <c r="BZY9" s="1202"/>
      <c r="BZZ9" s="1202"/>
      <c r="CAA9" s="1202"/>
      <c r="CAB9" s="1202"/>
      <c r="CAC9" s="1202"/>
      <c r="CAD9" s="1202"/>
      <c r="CAE9" s="1202"/>
      <c r="CAF9" s="1202"/>
      <c r="CAG9" s="1202"/>
      <c r="CAH9" s="1202"/>
      <c r="CAI9" s="1202"/>
      <c r="CAJ9" s="1202"/>
      <c r="CAK9" s="1202"/>
      <c r="CAL9" s="1202"/>
      <c r="CAM9" s="1202"/>
      <c r="CAN9" s="1202"/>
      <c r="CAO9" s="1202"/>
      <c r="CAP9" s="1202"/>
      <c r="CAQ9" s="1202"/>
      <c r="CAR9" s="1202"/>
      <c r="CAS9" s="1202"/>
      <c r="CAT9" s="1202"/>
      <c r="CAU9" s="1202"/>
      <c r="CAV9" s="1202"/>
      <c r="CAW9" s="1202"/>
      <c r="CAX9" s="1202"/>
      <c r="CAY9" s="1202"/>
      <c r="CAZ9" s="1202"/>
      <c r="CBA9" s="1202"/>
      <c r="CBB9" s="1202"/>
      <c r="CBC9" s="1202"/>
      <c r="CBD9" s="1202"/>
      <c r="CBE9" s="1202"/>
      <c r="CBF9" s="1202"/>
      <c r="CBG9" s="1202"/>
      <c r="CBH9" s="1202"/>
      <c r="CBI9" s="1202"/>
      <c r="CBJ9" s="1202"/>
      <c r="CBK9" s="1202"/>
      <c r="CBL9" s="1202"/>
      <c r="CBM9" s="1202"/>
      <c r="CBN9" s="1202"/>
      <c r="CBO9" s="1202"/>
      <c r="CBP9" s="1202"/>
      <c r="CBQ9" s="1202"/>
      <c r="CBR9" s="1202"/>
      <c r="CBS9" s="1202"/>
      <c r="CBT9" s="1202"/>
      <c r="CBU9" s="1202"/>
      <c r="CBV9" s="1202"/>
      <c r="CBW9" s="1202"/>
      <c r="CBX9" s="1202"/>
      <c r="CBY9" s="1202"/>
      <c r="CBZ9" s="1202"/>
      <c r="CCA9" s="1202"/>
      <c r="CCB9" s="1202"/>
      <c r="CCC9" s="1202"/>
      <c r="CCD9" s="1202"/>
      <c r="CCE9" s="1202"/>
      <c r="CCF9" s="1202"/>
      <c r="CCG9" s="1202"/>
      <c r="CCH9" s="1202"/>
      <c r="CCI9" s="1202"/>
      <c r="CCJ9" s="1202"/>
      <c r="CCK9" s="1202"/>
      <c r="CCL9" s="1202"/>
      <c r="CCM9" s="1202"/>
      <c r="CCN9" s="1202"/>
      <c r="CCO9" s="1202"/>
      <c r="CCP9" s="1202"/>
      <c r="CCQ9" s="1202"/>
      <c r="CCR9" s="1202"/>
      <c r="CCS9" s="1202"/>
      <c r="CCT9" s="1202"/>
      <c r="CCU9" s="1202"/>
      <c r="CCV9" s="1202"/>
      <c r="CCW9" s="1202"/>
      <c r="CCX9" s="1202"/>
      <c r="CCY9" s="1202"/>
      <c r="CCZ9" s="1202"/>
      <c r="CDA9" s="1202"/>
      <c r="CDB9" s="1202"/>
      <c r="CDC9" s="1202"/>
      <c r="CDD9" s="1202"/>
      <c r="CDE9" s="1202"/>
      <c r="CDF9" s="1202"/>
      <c r="CDG9" s="1202"/>
      <c r="CDH9" s="1202"/>
      <c r="CDI9" s="1202"/>
      <c r="CDJ9" s="1202"/>
      <c r="CDK9" s="1202"/>
      <c r="CDL9" s="1202"/>
      <c r="CDM9" s="1202"/>
      <c r="CDN9" s="1202"/>
      <c r="CDO9" s="1202"/>
      <c r="CDP9" s="1202"/>
      <c r="CDQ9" s="1202"/>
      <c r="CDR9" s="1202"/>
      <c r="CDS9" s="1202"/>
      <c r="CDT9" s="1202"/>
      <c r="CDU9" s="1202"/>
      <c r="CDV9" s="1202"/>
      <c r="CDW9" s="1202"/>
      <c r="CDX9" s="1202"/>
      <c r="CDY9" s="1202"/>
      <c r="CDZ9" s="1202"/>
      <c r="CEA9" s="1202"/>
      <c r="CEB9" s="1202"/>
      <c r="CEC9" s="1202"/>
      <c r="CED9" s="1202"/>
      <c r="CEE9" s="1202"/>
      <c r="CEF9" s="1202"/>
      <c r="CEG9" s="1202"/>
      <c r="CEH9" s="1202"/>
      <c r="CEI9" s="1202"/>
      <c r="CEJ9" s="1202"/>
      <c r="CEK9" s="1202"/>
      <c r="CEL9" s="1202"/>
      <c r="CEM9" s="1202"/>
      <c r="CEN9" s="1202"/>
      <c r="CEO9" s="1202"/>
      <c r="CEP9" s="1202"/>
      <c r="CEQ9" s="1202"/>
      <c r="CER9" s="1202"/>
      <c r="CES9" s="1202"/>
      <c r="CET9" s="1202"/>
      <c r="CEU9" s="1202"/>
      <c r="CEV9" s="1202"/>
      <c r="CEW9" s="1202"/>
      <c r="CEX9" s="1202"/>
      <c r="CEY9" s="1202"/>
      <c r="CEZ9" s="1202"/>
      <c r="CFA9" s="1202"/>
      <c r="CFB9" s="1202"/>
      <c r="CFC9" s="1202"/>
      <c r="CFD9" s="1202"/>
      <c r="CFE9" s="1202"/>
      <c r="CFF9" s="1202"/>
      <c r="CFG9" s="1202"/>
      <c r="CFH9" s="1202"/>
      <c r="CFI9" s="1202"/>
      <c r="CFJ9" s="1202"/>
      <c r="CFK9" s="1202"/>
      <c r="CFL9" s="1202"/>
      <c r="CFM9" s="1202"/>
      <c r="CFN9" s="1202"/>
      <c r="CFO9" s="1202"/>
      <c r="CFP9" s="1202"/>
      <c r="CFQ9" s="1202"/>
      <c r="CFR9" s="1202"/>
      <c r="CFS9" s="1202"/>
      <c r="CFT9" s="1202"/>
      <c r="CFU9" s="1202"/>
      <c r="CFV9" s="1202"/>
      <c r="CFW9" s="1202"/>
      <c r="CFX9" s="1202"/>
      <c r="CFY9" s="1202"/>
      <c r="CFZ9" s="1202"/>
      <c r="CGA9" s="1202"/>
      <c r="CGB9" s="1202"/>
      <c r="CGC9" s="1202"/>
      <c r="CGD9" s="1202"/>
      <c r="CGE9" s="1202"/>
      <c r="CGF9" s="1202"/>
      <c r="CGG9" s="1202"/>
      <c r="CGH9" s="1202"/>
      <c r="CGI9" s="1202"/>
      <c r="CGJ9" s="1202"/>
      <c r="CGK9" s="1202"/>
      <c r="CGL9" s="1202"/>
      <c r="CGM9" s="1202"/>
      <c r="CGN9" s="1202"/>
      <c r="CGO9" s="1202"/>
      <c r="CGP9" s="1202"/>
      <c r="CGQ9" s="1202"/>
      <c r="CGR9" s="1202"/>
      <c r="CGS9" s="1202"/>
      <c r="CGT9" s="1202"/>
      <c r="CGU9" s="1202"/>
      <c r="CGV9" s="1202"/>
      <c r="CGW9" s="1202"/>
      <c r="CGX9" s="1202"/>
      <c r="CGY9" s="1202"/>
      <c r="CGZ9" s="1202"/>
      <c r="CHA9" s="1202"/>
      <c r="CHB9" s="1202"/>
      <c r="CHC9" s="1202"/>
      <c r="CHD9" s="1202"/>
      <c r="CHE9" s="1202"/>
      <c r="CHF9" s="1202"/>
      <c r="CHG9" s="1202"/>
      <c r="CHH9" s="1202"/>
      <c r="CHI9" s="1202"/>
      <c r="CHJ9" s="1202"/>
      <c r="CHK9" s="1202"/>
      <c r="CHL9" s="1202"/>
      <c r="CHM9" s="1202"/>
      <c r="CHN9" s="1202"/>
      <c r="CHO9" s="1202"/>
      <c r="CHP9" s="1202"/>
      <c r="CHQ9" s="1202"/>
      <c r="CHR9" s="1202"/>
      <c r="CHS9" s="1202"/>
      <c r="CHT9" s="1202"/>
      <c r="CHU9" s="1202"/>
      <c r="CHV9" s="1202"/>
      <c r="CHW9" s="1202"/>
      <c r="CHX9" s="1202"/>
      <c r="CHY9" s="1202"/>
      <c r="CHZ9" s="1202"/>
      <c r="CIA9" s="1202"/>
      <c r="CIB9" s="1202"/>
      <c r="CIC9" s="1202"/>
      <c r="CID9" s="1202"/>
      <c r="CIE9" s="1202"/>
      <c r="CIF9" s="1202"/>
      <c r="CIG9" s="1202"/>
      <c r="CIH9" s="1202"/>
      <c r="CII9" s="1202"/>
      <c r="CIJ9" s="1202"/>
      <c r="CIK9" s="1202"/>
      <c r="CIL9" s="1202"/>
      <c r="CIM9" s="1202"/>
      <c r="CIN9" s="1202"/>
      <c r="CIO9" s="1202"/>
      <c r="CIP9" s="1202"/>
      <c r="CIQ9" s="1202"/>
      <c r="CIR9" s="1202"/>
      <c r="CIS9" s="1202"/>
      <c r="CIT9" s="1202"/>
      <c r="CIU9" s="1202"/>
      <c r="CIV9" s="1202"/>
      <c r="CIW9" s="1202"/>
      <c r="CIX9" s="1202"/>
      <c r="CIY9" s="1202"/>
      <c r="CIZ9" s="1202"/>
      <c r="CJA9" s="1202"/>
      <c r="CJB9" s="1202"/>
      <c r="CJC9" s="1202"/>
      <c r="CJD9" s="1202"/>
      <c r="CJE9" s="1202"/>
      <c r="CJF9" s="1202"/>
      <c r="CJG9" s="1202"/>
      <c r="CJH9" s="1202"/>
      <c r="CJI9" s="1202"/>
      <c r="CJJ9" s="1202"/>
      <c r="CJK9" s="1202"/>
      <c r="CJL9" s="1202"/>
      <c r="CJM9" s="1202"/>
      <c r="CJN9" s="1202"/>
      <c r="CJO9" s="1202"/>
      <c r="CJP9" s="1202"/>
      <c r="CJQ9" s="1202"/>
      <c r="CJR9" s="1202"/>
      <c r="CJS9" s="1202"/>
      <c r="CJT9" s="1202"/>
      <c r="CJU9" s="1202"/>
      <c r="CJV9" s="1202"/>
      <c r="CJW9" s="1202"/>
      <c r="CJX9" s="1202"/>
      <c r="CJY9" s="1202"/>
      <c r="CJZ9" s="1202"/>
      <c r="CKA9" s="1202"/>
      <c r="CKB9" s="1202"/>
      <c r="CKC9" s="1202"/>
      <c r="CKD9" s="1202"/>
      <c r="CKE9" s="1202"/>
      <c r="CKF9" s="1202"/>
      <c r="CKG9" s="1202"/>
      <c r="CKH9" s="1202"/>
      <c r="CKI9" s="1202"/>
      <c r="CKJ9" s="1202"/>
      <c r="CKK9" s="1202"/>
      <c r="CKL9" s="1202"/>
      <c r="CKM9" s="1202"/>
      <c r="CKN9" s="1202"/>
      <c r="CKO9" s="1202"/>
      <c r="CKP9" s="1202"/>
      <c r="CKQ9" s="1202"/>
      <c r="CKR9" s="1202"/>
      <c r="CKS9" s="1202"/>
      <c r="CKT9" s="1202"/>
      <c r="CKU9" s="1202"/>
      <c r="CKV9" s="1202"/>
      <c r="CKW9" s="1202"/>
      <c r="CKX9" s="1202"/>
      <c r="CKY9" s="1202"/>
      <c r="CKZ9" s="1202"/>
      <c r="CLA9" s="1202"/>
      <c r="CLB9" s="1202"/>
      <c r="CLC9" s="1202"/>
      <c r="CLD9" s="1202"/>
      <c r="CLE9" s="1202"/>
      <c r="CLF9" s="1202"/>
      <c r="CLG9" s="1202"/>
      <c r="CLH9" s="1202"/>
      <c r="CLI9" s="1202"/>
      <c r="CLJ9" s="1202"/>
      <c r="CLK9" s="1202"/>
      <c r="CLL9" s="1202"/>
      <c r="CLM9" s="1202"/>
      <c r="CLN9" s="1202"/>
      <c r="CLO9" s="1202"/>
      <c r="CLP9" s="1202"/>
      <c r="CLQ9" s="1202"/>
      <c r="CLR9" s="1202"/>
      <c r="CLS9" s="1202"/>
      <c r="CLT9" s="1202"/>
      <c r="CLU9" s="1202"/>
      <c r="CLV9" s="1202"/>
      <c r="CLW9" s="1202"/>
      <c r="CLX9" s="1202"/>
      <c r="CLY9" s="1202"/>
      <c r="CLZ9" s="1202"/>
      <c r="CMA9" s="1202"/>
      <c r="CMB9" s="1202"/>
      <c r="CMC9" s="1202"/>
      <c r="CMD9" s="1202"/>
      <c r="CME9" s="1202"/>
      <c r="CMF9" s="1202"/>
      <c r="CMG9" s="1202"/>
      <c r="CMH9" s="1202"/>
      <c r="CMI9" s="1202"/>
      <c r="CMJ9" s="1202"/>
      <c r="CMK9" s="1202"/>
      <c r="CML9" s="1202"/>
      <c r="CMM9" s="1202"/>
      <c r="CMN9" s="1202"/>
      <c r="CMO9" s="1202"/>
      <c r="CMP9" s="1202"/>
      <c r="CMQ9" s="1202"/>
      <c r="CMR9" s="1202"/>
      <c r="CMS9" s="1202"/>
      <c r="CMT9" s="1202"/>
      <c r="CMU9" s="1202"/>
      <c r="CMV9" s="1202"/>
      <c r="CMW9" s="1202"/>
      <c r="CMX9" s="1202"/>
      <c r="CMY9" s="1202"/>
      <c r="CMZ9" s="1202"/>
      <c r="CNA9" s="1202"/>
      <c r="CNB9" s="1202"/>
      <c r="CNC9" s="1202"/>
      <c r="CND9" s="1202"/>
      <c r="CNE9" s="1202"/>
      <c r="CNF9" s="1202"/>
      <c r="CNG9" s="1202"/>
      <c r="CNH9" s="1202"/>
      <c r="CNI9" s="1202"/>
      <c r="CNJ9" s="1202"/>
      <c r="CNK9" s="1202"/>
      <c r="CNL9" s="1202"/>
      <c r="CNM9" s="1202"/>
      <c r="CNN9" s="1202"/>
      <c r="CNO9" s="1202"/>
      <c r="CNP9" s="1202"/>
      <c r="CNQ9" s="1202"/>
      <c r="CNR9" s="1202"/>
      <c r="CNS9" s="1202"/>
      <c r="CNT9" s="1202"/>
      <c r="CNU9" s="1202"/>
      <c r="CNV9" s="1202"/>
      <c r="CNW9" s="1202"/>
      <c r="CNX9" s="1202"/>
      <c r="CNY9" s="1202"/>
      <c r="CNZ9" s="1202"/>
      <c r="COA9" s="1202"/>
      <c r="COB9" s="1202"/>
      <c r="COC9" s="1202"/>
      <c r="COD9" s="1202"/>
      <c r="COE9" s="1202"/>
      <c r="COF9" s="1202"/>
      <c r="COG9" s="1202"/>
      <c r="COH9" s="1202"/>
      <c r="COI9" s="1202"/>
      <c r="COJ9" s="1202"/>
      <c r="COK9" s="1202"/>
      <c r="COL9" s="1202"/>
      <c r="COM9" s="1202"/>
      <c r="CON9" s="1202"/>
      <c r="COO9" s="1202"/>
      <c r="COP9" s="1202"/>
      <c r="COQ9" s="1202"/>
      <c r="COR9" s="1202"/>
      <c r="COS9" s="1202"/>
      <c r="COT9" s="1202"/>
      <c r="COU9" s="1202"/>
      <c r="COV9" s="1202"/>
      <c r="COW9" s="1202"/>
      <c r="COX9" s="1202"/>
      <c r="COY9" s="1202"/>
      <c r="COZ9" s="1202"/>
      <c r="CPA9" s="1202"/>
      <c r="CPB9" s="1202"/>
      <c r="CPC9" s="1202"/>
      <c r="CPD9" s="1202"/>
      <c r="CPE9" s="1202"/>
      <c r="CPF9" s="1202"/>
      <c r="CPG9" s="1202"/>
      <c r="CPH9" s="1202"/>
      <c r="CPI9" s="1202"/>
      <c r="CPJ9" s="1202"/>
      <c r="CPK9" s="1202"/>
      <c r="CPL9" s="1202"/>
      <c r="CPM9" s="1202"/>
      <c r="CPN9" s="1202"/>
      <c r="CPO9" s="1202"/>
      <c r="CPP9" s="1202"/>
      <c r="CPQ9" s="1202"/>
      <c r="CPR9" s="1202"/>
      <c r="CPS9" s="1202"/>
      <c r="CPT9" s="1202"/>
      <c r="CPU9" s="1202"/>
      <c r="CPV9" s="1202"/>
      <c r="CPW9" s="1202"/>
      <c r="CPX9" s="1202"/>
      <c r="CPY9" s="1202"/>
      <c r="CPZ9" s="1202"/>
      <c r="CQA9" s="1202"/>
      <c r="CQB9" s="1202"/>
      <c r="CQC9" s="1202"/>
      <c r="CQD9" s="1202"/>
      <c r="CQE9" s="1202"/>
      <c r="CQF9" s="1202"/>
      <c r="CQG9" s="1202"/>
      <c r="CQH9" s="1202"/>
      <c r="CQI9" s="1202"/>
      <c r="CQJ9" s="1202"/>
      <c r="CQK9" s="1202"/>
      <c r="CQL9" s="1202"/>
      <c r="CQM9" s="1202"/>
      <c r="CQN9" s="1202"/>
      <c r="CQO9" s="1202"/>
      <c r="CQP9" s="1202"/>
      <c r="CQQ9" s="1202"/>
      <c r="CQR9" s="1202"/>
      <c r="CQS9" s="1202"/>
      <c r="CQT9" s="1202"/>
      <c r="CQU9" s="1202"/>
      <c r="CQV9" s="1202"/>
      <c r="CQW9" s="1202"/>
      <c r="CQX9" s="1202"/>
      <c r="CQY9" s="1202"/>
      <c r="CQZ9" s="1202"/>
      <c r="CRA9" s="1202"/>
      <c r="CRB9" s="1202"/>
      <c r="CRC9" s="1202"/>
      <c r="CRD9" s="1202"/>
      <c r="CRE9" s="1202"/>
      <c r="CRF9" s="1202"/>
      <c r="CRG9" s="1202"/>
      <c r="CRH9" s="1202"/>
      <c r="CRI9" s="1202"/>
      <c r="CRJ9" s="1202"/>
      <c r="CRK9" s="1202"/>
      <c r="CRL9" s="1202"/>
      <c r="CRM9" s="1202"/>
      <c r="CRN9" s="1202"/>
      <c r="CRO9" s="1202"/>
      <c r="CRP9" s="1202"/>
      <c r="CRQ9" s="1202"/>
      <c r="CRR9" s="1202"/>
      <c r="CRS9" s="1202"/>
      <c r="CRT9" s="1202"/>
      <c r="CRU9" s="1202"/>
      <c r="CRV9" s="1202"/>
      <c r="CRW9" s="1202"/>
      <c r="CRX9" s="1202"/>
      <c r="CRY9" s="1202"/>
      <c r="CRZ9" s="1202"/>
      <c r="CSA9" s="1202"/>
      <c r="CSB9" s="1202"/>
      <c r="CSC9" s="1202"/>
      <c r="CSD9" s="1202"/>
      <c r="CSE9" s="1202"/>
      <c r="CSF9" s="1202"/>
      <c r="CSG9" s="1202"/>
      <c r="CSH9" s="1202"/>
      <c r="CSI9" s="1202"/>
      <c r="CSJ9" s="1202"/>
      <c r="CSK9" s="1202"/>
      <c r="CSL9" s="1202"/>
      <c r="CSM9" s="1202"/>
      <c r="CSN9" s="1202"/>
      <c r="CSO9" s="1202"/>
      <c r="CSP9" s="1202"/>
      <c r="CSQ9" s="1202"/>
      <c r="CSR9" s="1202"/>
      <c r="CSS9" s="1202"/>
      <c r="CST9" s="1202"/>
      <c r="CSU9" s="1202"/>
      <c r="CSV9" s="1202"/>
      <c r="CSW9" s="1202"/>
      <c r="CSX9" s="1202"/>
      <c r="CSY9" s="1202"/>
      <c r="CSZ9" s="1202"/>
      <c r="CTA9" s="1202"/>
      <c r="CTB9" s="1202"/>
      <c r="CTC9" s="1202"/>
      <c r="CTD9" s="1202"/>
      <c r="CTE9" s="1202"/>
      <c r="CTF9" s="1202"/>
      <c r="CTG9" s="1202"/>
      <c r="CTH9" s="1202"/>
      <c r="CTI9" s="1202"/>
      <c r="CTJ9" s="1202"/>
      <c r="CTK9" s="1202"/>
      <c r="CTL9" s="1202"/>
      <c r="CTM9" s="1202"/>
      <c r="CTN9" s="1202"/>
      <c r="CTO9" s="1202"/>
      <c r="CTP9" s="1202"/>
      <c r="CTQ9" s="1202"/>
      <c r="CTR9" s="1202"/>
      <c r="CTS9" s="1202"/>
      <c r="CTT9" s="1202"/>
      <c r="CTU9" s="1202"/>
      <c r="CTV9" s="1202"/>
      <c r="CTW9" s="1202"/>
      <c r="CTX9" s="1202"/>
      <c r="CTY9" s="1202"/>
      <c r="CTZ9" s="1202"/>
      <c r="CUA9" s="1202"/>
      <c r="CUB9" s="1202"/>
      <c r="CUC9" s="1202"/>
      <c r="CUD9" s="1202"/>
      <c r="CUE9" s="1202"/>
      <c r="CUF9" s="1202"/>
      <c r="CUG9" s="1202"/>
      <c r="CUH9" s="1202"/>
      <c r="CUI9" s="1202"/>
      <c r="CUJ9" s="1202"/>
      <c r="CUK9" s="1202"/>
      <c r="CUL9" s="1202"/>
      <c r="CUM9" s="1202"/>
      <c r="CUN9" s="1202"/>
      <c r="CUO9" s="1202"/>
      <c r="CUP9" s="1202"/>
      <c r="CUQ9" s="1202"/>
      <c r="CUR9" s="1202"/>
      <c r="CUS9" s="1202"/>
      <c r="CUT9" s="1202"/>
      <c r="CUU9" s="1202"/>
      <c r="CUV9" s="1202"/>
      <c r="CUW9" s="1202"/>
      <c r="CUX9" s="1202"/>
      <c r="CUY9" s="1202"/>
      <c r="CUZ9" s="1202"/>
      <c r="CVA9" s="1202"/>
      <c r="CVB9" s="1202"/>
      <c r="CVC9" s="1202"/>
      <c r="CVD9" s="1202"/>
      <c r="CVE9" s="1202"/>
      <c r="CVF9" s="1202"/>
      <c r="CVG9" s="1202"/>
      <c r="CVH9" s="1202"/>
      <c r="CVI9" s="1202"/>
      <c r="CVJ9" s="1202"/>
      <c r="CVK9" s="1202"/>
      <c r="CVL9" s="1202"/>
      <c r="CVM9" s="1202"/>
      <c r="CVN9" s="1202"/>
      <c r="CVO9" s="1202"/>
      <c r="CVP9" s="1202"/>
      <c r="CVQ9" s="1202"/>
      <c r="CVR9" s="1202"/>
      <c r="CVS9" s="1202"/>
      <c r="CVT9" s="1202"/>
      <c r="CVU9" s="1202"/>
      <c r="CVV9" s="1202"/>
      <c r="CVW9" s="1202"/>
      <c r="CVX9" s="1202"/>
      <c r="CVY9" s="1202"/>
      <c r="CVZ9" s="1202"/>
      <c r="CWA9" s="1202"/>
      <c r="CWB9" s="1202"/>
      <c r="CWC9" s="1202"/>
      <c r="CWD9" s="1202"/>
      <c r="CWE9" s="1202"/>
      <c r="CWF9" s="1202"/>
      <c r="CWG9" s="1202"/>
      <c r="CWH9" s="1202"/>
      <c r="CWI9" s="1202"/>
      <c r="CWJ9" s="1202"/>
      <c r="CWK9" s="1202"/>
      <c r="CWL9" s="1202"/>
      <c r="CWM9" s="1202"/>
      <c r="CWN9" s="1202"/>
      <c r="CWO9" s="1202"/>
      <c r="CWP9" s="1202"/>
      <c r="CWQ9" s="1202"/>
      <c r="CWR9" s="1202"/>
      <c r="CWS9" s="1202"/>
      <c r="CWT9" s="1202"/>
      <c r="CWU9" s="1202"/>
      <c r="CWV9" s="1202"/>
      <c r="CWW9" s="1202"/>
      <c r="CWX9" s="1202"/>
      <c r="CWY9" s="1202"/>
      <c r="CWZ9" s="1202"/>
      <c r="CXA9" s="1202"/>
      <c r="CXB9" s="1202"/>
      <c r="CXC9" s="1202"/>
      <c r="CXD9" s="1202"/>
      <c r="CXE9" s="1202"/>
      <c r="CXF9" s="1202"/>
      <c r="CXG9" s="1202"/>
      <c r="CXH9" s="1202"/>
      <c r="CXI9" s="1202"/>
      <c r="CXJ9" s="1202"/>
      <c r="CXK9" s="1202"/>
      <c r="CXL9" s="1202"/>
      <c r="CXM9" s="1202"/>
      <c r="CXN9" s="1202"/>
      <c r="CXO9" s="1202"/>
      <c r="CXP9" s="1202"/>
      <c r="CXQ9" s="1202"/>
      <c r="CXR9" s="1202"/>
      <c r="CXS9" s="1202"/>
      <c r="CXT9" s="1202"/>
      <c r="CXU9" s="1202"/>
      <c r="CXV9" s="1202"/>
      <c r="CXW9" s="1202"/>
      <c r="CXX9" s="1202"/>
      <c r="CXY9" s="1202"/>
      <c r="CXZ9" s="1202"/>
      <c r="CYA9" s="1202"/>
      <c r="CYB9" s="1202"/>
      <c r="CYC9" s="1202"/>
      <c r="CYD9" s="1202"/>
      <c r="CYE9" s="1202"/>
      <c r="CYF9" s="1202"/>
      <c r="CYG9" s="1202"/>
      <c r="CYH9" s="1202"/>
      <c r="CYI9" s="1202"/>
      <c r="CYJ9" s="1202"/>
      <c r="CYK9" s="1202"/>
      <c r="CYL9" s="1202"/>
      <c r="CYM9" s="1202"/>
      <c r="CYN9" s="1202"/>
      <c r="CYO9" s="1202"/>
      <c r="CYP9" s="1202"/>
      <c r="CYQ9" s="1202"/>
      <c r="CYR9" s="1202"/>
      <c r="CYS9" s="1202"/>
      <c r="CYT9" s="1202"/>
      <c r="CYU9" s="1202"/>
      <c r="CYV9" s="1202"/>
      <c r="CYW9" s="1202"/>
      <c r="CYX9" s="1202"/>
      <c r="CYY9" s="1202"/>
      <c r="CYZ9" s="1202"/>
      <c r="CZA9" s="1202"/>
      <c r="CZB9" s="1202"/>
      <c r="CZC9" s="1202"/>
      <c r="CZD9" s="1202"/>
      <c r="CZE9" s="1202"/>
      <c r="CZF9" s="1202"/>
      <c r="CZG9" s="1202"/>
      <c r="CZH9" s="1202"/>
      <c r="CZI9" s="1202"/>
      <c r="CZJ9" s="1202"/>
      <c r="CZK9" s="1202"/>
      <c r="CZL9" s="1202"/>
      <c r="CZM9" s="1202"/>
      <c r="CZN9" s="1202"/>
      <c r="CZO9" s="1202"/>
      <c r="CZP9" s="1202"/>
      <c r="CZQ9" s="1202"/>
      <c r="CZR9" s="1202"/>
      <c r="CZS9" s="1202"/>
      <c r="CZT9" s="1202"/>
      <c r="CZU9" s="1202"/>
      <c r="CZV9" s="1202"/>
      <c r="CZW9" s="1202"/>
      <c r="CZX9" s="1202"/>
      <c r="CZY9" s="1202"/>
      <c r="CZZ9" s="1202"/>
      <c r="DAA9" s="1202"/>
      <c r="DAB9" s="1202"/>
      <c r="DAC9" s="1202"/>
      <c r="DAD9" s="1202"/>
      <c r="DAE9" s="1202"/>
      <c r="DAF9" s="1202"/>
      <c r="DAG9" s="1202"/>
      <c r="DAH9" s="1202"/>
      <c r="DAI9" s="1202"/>
      <c r="DAJ9" s="1202"/>
      <c r="DAK9" s="1202"/>
      <c r="DAL9" s="1202"/>
      <c r="DAM9" s="1202"/>
      <c r="DAN9" s="1202"/>
      <c r="DAO9" s="1202"/>
      <c r="DAP9" s="1202"/>
      <c r="DAQ9" s="1202"/>
      <c r="DAR9" s="1202"/>
      <c r="DAS9" s="1202"/>
      <c r="DAT9" s="1202"/>
      <c r="DAU9" s="1202"/>
      <c r="DAV9" s="1202"/>
      <c r="DAW9" s="1202"/>
      <c r="DAX9" s="1202"/>
      <c r="DAY9" s="1202"/>
      <c r="DAZ9" s="1202"/>
      <c r="DBA9" s="1202"/>
      <c r="DBB9" s="1202"/>
      <c r="DBC9" s="1202"/>
      <c r="DBD9" s="1202"/>
      <c r="DBE9" s="1202"/>
      <c r="DBF9" s="1202"/>
      <c r="DBG9" s="1202"/>
      <c r="DBH9" s="1202"/>
      <c r="DBI9" s="1202"/>
      <c r="DBJ9" s="1202"/>
      <c r="DBK9" s="1202"/>
      <c r="DBL9" s="1202"/>
      <c r="DBM9" s="1202"/>
      <c r="DBN9" s="1202"/>
      <c r="DBO9" s="1202"/>
      <c r="DBP9" s="1202"/>
      <c r="DBQ9" s="1202"/>
      <c r="DBR9" s="1202"/>
      <c r="DBS9" s="1202"/>
      <c r="DBT9" s="1202"/>
      <c r="DBU9" s="1202"/>
      <c r="DBV9" s="1202"/>
      <c r="DBW9" s="1202"/>
      <c r="DBX9" s="1202"/>
      <c r="DBY9" s="1202"/>
      <c r="DBZ9" s="1202"/>
      <c r="DCA9" s="1202"/>
      <c r="DCB9" s="1202"/>
      <c r="DCC9" s="1202"/>
      <c r="DCD9" s="1202"/>
      <c r="DCE9" s="1202"/>
      <c r="DCF9" s="1202"/>
      <c r="DCG9" s="1202"/>
      <c r="DCH9" s="1202"/>
      <c r="DCI9" s="1202"/>
      <c r="DCJ9" s="1202"/>
      <c r="DCK9" s="1202"/>
      <c r="DCL9" s="1202"/>
      <c r="DCM9" s="1202"/>
      <c r="DCN9" s="1202"/>
      <c r="DCO9" s="1202"/>
      <c r="DCP9" s="1202"/>
      <c r="DCQ9" s="1202"/>
      <c r="DCR9" s="1202"/>
      <c r="DCS9" s="1202"/>
      <c r="DCT9" s="1202"/>
      <c r="DCU9" s="1202"/>
      <c r="DCV9" s="1202"/>
      <c r="DCW9" s="1202"/>
      <c r="DCX9" s="1202"/>
      <c r="DCY9" s="1202"/>
      <c r="DCZ9" s="1202"/>
      <c r="DDA9" s="1202"/>
      <c r="DDB9" s="1202"/>
      <c r="DDC9" s="1202"/>
      <c r="DDD9" s="1202"/>
      <c r="DDE9" s="1202"/>
      <c r="DDF9" s="1202"/>
      <c r="DDG9" s="1202"/>
      <c r="DDH9" s="1202"/>
      <c r="DDI9" s="1202"/>
      <c r="DDJ9" s="1202"/>
      <c r="DDK9" s="1202"/>
      <c r="DDL9" s="1202"/>
      <c r="DDM9" s="1202"/>
      <c r="DDN9" s="1202"/>
      <c r="DDO9" s="1202"/>
      <c r="DDP9" s="1202"/>
      <c r="DDQ9" s="1202"/>
      <c r="DDR9" s="1202"/>
      <c r="DDS9" s="1202"/>
      <c r="DDT9" s="1202"/>
      <c r="DDU9" s="1202"/>
      <c r="DDV9" s="1202"/>
      <c r="DDW9" s="1202"/>
      <c r="DDX9" s="1202"/>
      <c r="DDY9" s="1202"/>
      <c r="DDZ9" s="1202"/>
      <c r="DEA9" s="1202"/>
      <c r="DEB9" s="1202"/>
      <c r="DEC9" s="1202"/>
      <c r="DED9" s="1202"/>
      <c r="DEE9" s="1202"/>
      <c r="DEF9" s="1202"/>
      <c r="DEG9" s="1202"/>
      <c r="DEH9" s="1202"/>
      <c r="DEI9" s="1202"/>
      <c r="DEJ9" s="1202"/>
      <c r="DEK9" s="1202"/>
      <c r="DEL9" s="1202"/>
      <c r="DEM9" s="1202"/>
      <c r="DEN9" s="1202"/>
      <c r="DEO9" s="1202"/>
      <c r="DEP9" s="1202"/>
      <c r="DEQ9" s="1202"/>
      <c r="DER9" s="1202"/>
      <c r="DES9" s="1202"/>
      <c r="DET9" s="1202"/>
      <c r="DEU9" s="1202"/>
      <c r="DEV9" s="1202"/>
      <c r="DEW9" s="1202"/>
      <c r="DEX9" s="1202"/>
      <c r="DEY9" s="1202"/>
      <c r="DEZ9" s="1202"/>
      <c r="DFA9" s="1202"/>
      <c r="DFB9" s="1202"/>
      <c r="DFC9" s="1202"/>
      <c r="DFD9" s="1202"/>
      <c r="DFE9" s="1202"/>
      <c r="DFF9" s="1202"/>
      <c r="DFG9" s="1202"/>
      <c r="DFH9" s="1202"/>
      <c r="DFI9" s="1202"/>
      <c r="DFJ9" s="1202"/>
      <c r="DFK9" s="1202"/>
      <c r="DFL9" s="1202"/>
      <c r="DFM9" s="1202"/>
      <c r="DFN9" s="1202"/>
      <c r="DFO9" s="1202"/>
      <c r="DFP9" s="1202"/>
      <c r="DFQ9" s="1202"/>
      <c r="DFR9" s="1202"/>
      <c r="DFS9" s="1202"/>
      <c r="DFT9" s="1202"/>
      <c r="DFU9" s="1202"/>
      <c r="DFV9" s="1202"/>
      <c r="DFW9" s="1202"/>
      <c r="DFX9" s="1202"/>
      <c r="DFY9" s="1202"/>
      <c r="DFZ9" s="1202"/>
      <c r="DGA9" s="1202"/>
      <c r="DGB9" s="1202"/>
      <c r="DGC9" s="1202"/>
      <c r="DGD9" s="1202"/>
      <c r="DGE9" s="1202"/>
      <c r="DGF9" s="1202"/>
      <c r="DGG9" s="1202"/>
      <c r="DGH9" s="1202"/>
      <c r="DGI9" s="1202"/>
      <c r="DGJ9" s="1202"/>
      <c r="DGK9" s="1202"/>
      <c r="DGL9" s="1202"/>
      <c r="DGM9" s="1202"/>
      <c r="DGN9" s="1202"/>
      <c r="DGO9" s="1202"/>
      <c r="DGP9" s="1202"/>
      <c r="DGQ9" s="1202"/>
      <c r="DGR9" s="1202"/>
      <c r="DGS9" s="1202"/>
      <c r="DGT9" s="1202"/>
      <c r="DGU9" s="1202"/>
      <c r="DGV9" s="1202"/>
      <c r="DGW9" s="1202"/>
      <c r="DGX9" s="1202"/>
      <c r="DGY9" s="1202"/>
      <c r="DGZ9" s="1202"/>
      <c r="DHA9" s="1202"/>
      <c r="DHB9" s="1202"/>
      <c r="DHC9" s="1202"/>
      <c r="DHD9" s="1202"/>
      <c r="DHE9" s="1202"/>
      <c r="DHF9" s="1202"/>
      <c r="DHG9" s="1202"/>
      <c r="DHH9" s="1202"/>
      <c r="DHI9" s="1202"/>
      <c r="DHJ9" s="1202"/>
      <c r="DHK9" s="1202"/>
      <c r="DHL9" s="1202"/>
      <c r="DHM9" s="1202"/>
      <c r="DHN9" s="1202"/>
      <c r="DHO9" s="1202"/>
      <c r="DHP9" s="1202"/>
      <c r="DHQ9" s="1202"/>
      <c r="DHR9" s="1202"/>
      <c r="DHS9" s="1202"/>
      <c r="DHT9" s="1202"/>
      <c r="DHU9" s="1202"/>
      <c r="DHV9" s="1202"/>
      <c r="DHW9" s="1202"/>
      <c r="DHX9" s="1202"/>
      <c r="DHY9" s="1202"/>
      <c r="DHZ9" s="1202"/>
      <c r="DIA9" s="1202"/>
      <c r="DIB9" s="1202"/>
      <c r="DIC9" s="1202"/>
      <c r="DID9" s="1202"/>
      <c r="DIE9" s="1202"/>
      <c r="DIF9" s="1202"/>
      <c r="DIG9" s="1202"/>
      <c r="DIH9" s="1202"/>
      <c r="DII9" s="1202"/>
      <c r="DIJ9" s="1202"/>
      <c r="DIK9" s="1202"/>
      <c r="DIL9" s="1202"/>
      <c r="DIM9" s="1202"/>
      <c r="DIN9" s="1202"/>
      <c r="DIO9" s="1202"/>
      <c r="DIP9" s="1202"/>
      <c r="DIQ9" s="1202"/>
      <c r="DIR9" s="1202"/>
      <c r="DIS9" s="1202"/>
      <c r="DIT9" s="1202"/>
      <c r="DIU9" s="1202"/>
      <c r="DIV9" s="1202"/>
      <c r="DIW9" s="1202"/>
      <c r="DIX9" s="1202"/>
      <c r="DIY9" s="1202"/>
      <c r="DIZ9" s="1202"/>
      <c r="DJA9" s="1202"/>
      <c r="DJB9" s="1202"/>
      <c r="DJC9" s="1202"/>
      <c r="DJD9" s="1202"/>
      <c r="DJE9" s="1202"/>
      <c r="DJF9" s="1202"/>
      <c r="DJG9" s="1202"/>
      <c r="DJH9" s="1202"/>
      <c r="DJI9" s="1202"/>
      <c r="DJJ9" s="1202"/>
      <c r="DJK9" s="1202"/>
      <c r="DJL9" s="1202"/>
      <c r="DJM9" s="1202"/>
      <c r="DJN9" s="1202"/>
      <c r="DJO9" s="1202"/>
      <c r="DJP9" s="1202"/>
      <c r="DJQ9" s="1202"/>
      <c r="DJR9" s="1202"/>
      <c r="DJS9" s="1202"/>
      <c r="DJT9" s="1202"/>
      <c r="DJU9" s="1202"/>
      <c r="DJV9" s="1202"/>
      <c r="DJW9" s="1202"/>
      <c r="DJX9" s="1202"/>
      <c r="DJY9" s="1202"/>
      <c r="DJZ9" s="1202"/>
      <c r="DKA9" s="1202"/>
      <c r="DKB9" s="1202"/>
      <c r="DKC9" s="1202"/>
      <c r="DKD9" s="1202"/>
      <c r="DKE9" s="1202"/>
      <c r="DKF9" s="1202"/>
      <c r="DKG9" s="1202"/>
      <c r="DKH9" s="1202"/>
      <c r="DKI9" s="1202"/>
      <c r="DKJ9" s="1202"/>
      <c r="DKK9" s="1202"/>
      <c r="DKL9" s="1202"/>
      <c r="DKM9" s="1202"/>
      <c r="DKN9" s="1202"/>
      <c r="DKO9" s="1202"/>
      <c r="DKP9" s="1202"/>
      <c r="DKQ9" s="1202"/>
      <c r="DKR9" s="1202"/>
      <c r="DKS9" s="1202"/>
      <c r="DKT9" s="1202"/>
      <c r="DKU9" s="1202"/>
      <c r="DKV9" s="1202"/>
      <c r="DKW9" s="1202"/>
      <c r="DKX9" s="1202"/>
      <c r="DKY9" s="1202"/>
      <c r="DKZ9" s="1202"/>
      <c r="DLA9" s="1202"/>
      <c r="DLB9" s="1202"/>
      <c r="DLC9" s="1202"/>
      <c r="DLD9" s="1202"/>
      <c r="DLE9" s="1202"/>
      <c r="DLF9" s="1202"/>
      <c r="DLG9" s="1202"/>
      <c r="DLH9" s="1202"/>
      <c r="DLI9" s="1202"/>
      <c r="DLJ9" s="1202"/>
      <c r="DLK9" s="1202"/>
      <c r="DLL9" s="1202"/>
      <c r="DLM9" s="1202"/>
      <c r="DLN9" s="1202"/>
      <c r="DLO9" s="1202"/>
      <c r="DLP9" s="1202"/>
      <c r="DLQ9" s="1202"/>
      <c r="DLR9" s="1202"/>
      <c r="DLS9" s="1202"/>
      <c r="DLT9" s="1202"/>
      <c r="DLU9" s="1202"/>
      <c r="DLV9" s="1202"/>
      <c r="DLW9" s="1202"/>
      <c r="DLX9" s="1202"/>
      <c r="DLY9" s="1202"/>
      <c r="DLZ9" s="1202"/>
      <c r="DMA9" s="1202"/>
      <c r="DMB9" s="1202"/>
      <c r="DMC9" s="1202"/>
      <c r="DMD9" s="1202"/>
      <c r="DME9" s="1202"/>
      <c r="DMF9" s="1202"/>
      <c r="DMG9" s="1202"/>
      <c r="DMH9" s="1202"/>
      <c r="DMI9" s="1202"/>
      <c r="DMJ9" s="1202"/>
      <c r="DMK9" s="1202"/>
      <c r="DML9" s="1202"/>
      <c r="DMM9" s="1202"/>
      <c r="DMN9" s="1202"/>
      <c r="DMO9" s="1202"/>
      <c r="DMP9" s="1202"/>
      <c r="DMQ9" s="1202"/>
      <c r="DMR9" s="1202"/>
      <c r="DMS9" s="1202"/>
      <c r="DMT9" s="1202"/>
      <c r="DMU9" s="1202"/>
      <c r="DMV9" s="1202"/>
      <c r="DMW9" s="1202"/>
      <c r="DMX9" s="1202"/>
      <c r="DMY9" s="1202"/>
      <c r="DMZ9" s="1202"/>
      <c r="DNA9" s="1202"/>
      <c r="DNB9" s="1202"/>
      <c r="DNC9" s="1202"/>
      <c r="DND9" s="1202"/>
      <c r="DNE9" s="1202"/>
      <c r="DNF9" s="1202"/>
      <c r="DNG9" s="1202"/>
      <c r="DNH9" s="1202"/>
      <c r="DNI9" s="1202"/>
      <c r="DNJ9" s="1202"/>
      <c r="DNK9" s="1202"/>
      <c r="DNL9" s="1202"/>
      <c r="DNM9" s="1202"/>
      <c r="DNN9" s="1202"/>
      <c r="DNO9" s="1202"/>
      <c r="DNP9" s="1202"/>
      <c r="DNQ9" s="1202"/>
      <c r="DNR9" s="1202"/>
      <c r="DNS9" s="1202"/>
      <c r="DNT9" s="1202"/>
      <c r="DNU9" s="1202"/>
      <c r="DNV9" s="1202"/>
      <c r="DNW9" s="1202"/>
      <c r="DNX9" s="1202"/>
      <c r="DNY9" s="1202"/>
      <c r="DNZ9" s="1202"/>
      <c r="DOA9" s="1202"/>
      <c r="DOB9" s="1202"/>
      <c r="DOC9" s="1202"/>
      <c r="DOD9" s="1202"/>
      <c r="DOE9" s="1202"/>
      <c r="DOF9" s="1202"/>
      <c r="DOG9" s="1202"/>
      <c r="DOH9" s="1202"/>
      <c r="DOI9" s="1202"/>
      <c r="DOJ9" s="1202"/>
      <c r="DOK9" s="1202"/>
      <c r="DOL9" s="1202"/>
      <c r="DOM9" s="1202"/>
      <c r="DON9" s="1202"/>
      <c r="DOO9" s="1202"/>
      <c r="DOP9" s="1202"/>
      <c r="DOQ9" s="1202"/>
      <c r="DOR9" s="1202"/>
      <c r="DOS9" s="1202"/>
      <c r="DOT9" s="1202"/>
      <c r="DOU9" s="1202"/>
      <c r="DOV9" s="1202"/>
      <c r="DOW9" s="1202"/>
      <c r="DOX9" s="1202"/>
      <c r="DOY9" s="1202"/>
      <c r="DOZ9" s="1202"/>
      <c r="DPA9" s="1202"/>
      <c r="DPB9" s="1202"/>
      <c r="DPC9" s="1202"/>
      <c r="DPD9" s="1202"/>
      <c r="DPE9" s="1202"/>
      <c r="DPF9" s="1202"/>
      <c r="DPG9" s="1202"/>
      <c r="DPH9" s="1202"/>
      <c r="DPI9" s="1202"/>
      <c r="DPJ9" s="1202"/>
      <c r="DPK9" s="1202"/>
      <c r="DPL9" s="1202"/>
      <c r="DPM9" s="1202"/>
      <c r="DPN9" s="1202"/>
      <c r="DPO9" s="1202"/>
      <c r="DPP9" s="1202"/>
      <c r="DPQ9" s="1202"/>
      <c r="DPR9" s="1202"/>
      <c r="DPS9" s="1202"/>
      <c r="DPT9" s="1202"/>
      <c r="DPU9" s="1202"/>
      <c r="DPV9" s="1202"/>
      <c r="DPW9" s="1202"/>
      <c r="DPX9" s="1202"/>
      <c r="DPY9" s="1202"/>
      <c r="DPZ9" s="1202"/>
      <c r="DQA9" s="1202"/>
      <c r="DQB9" s="1202"/>
      <c r="DQC9" s="1202"/>
      <c r="DQD9" s="1202"/>
      <c r="DQE9" s="1202"/>
      <c r="DQF9" s="1202"/>
      <c r="DQG9" s="1202"/>
      <c r="DQH9" s="1202"/>
      <c r="DQI9" s="1202"/>
      <c r="DQJ9" s="1202"/>
      <c r="DQK9" s="1202"/>
      <c r="DQL9" s="1202"/>
      <c r="DQM9" s="1202"/>
      <c r="DQN9" s="1202"/>
      <c r="DQO9" s="1202"/>
      <c r="DQP9" s="1202"/>
      <c r="DQQ9" s="1202"/>
      <c r="DQR9" s="1202"/>
      <c r="DQS9" s="1202"/>
      <c r="DQT9" s="1202"/>
      <c r="DQU9" s="1202"/>
      <c r="DQV9" s="1202"/>
      <c r="DQW9" s="1202"/>
      <c r="DQX9" s="1202"/>
      <c r="DQY9" s="1202"/>
      <c r="DQZ9" s="1202"/>
      <c r="DRA9" s="1202"/>
      <c r="DRB9" s="1202"/>
      <c r="DRC9" s="1202"/>
      <c r="DRD9" s="1202"/>
      <c r="DRE9" s="1202"/>
      <c r="DRF9" s="1202"/>
      <c r="DRG9" s="1202"/>
      <c r="DRH9" s="1202"/>
      <c r="DRI9" s="1202"/>
      <c r="DRJ9" s="1202"/>
      <c r="DRK9" s="1202"/>
      <c r="DRL9" s="1202"/>
      <c r="DRM9" s="1202"/>
      <c r="DRN9" s="1202"/>
      <c r="DRO9" s="1202"/>
      <c r="DRP9" s="1202"/>
      <c r="DRQ9" s="1202"/>
      <c r="DRR9" s="1202"/>
      <c r="DRS9" s="1202"/>
      <c r="DRT9" s="1202"/>
      <c r="DRU9" s="1202"/>
      <c r="DRV9" s="1202"/>
      <c r="DRW9" s="1202"/>
      <c r="DRX9" s="1202"/>
      <c r="DRY9" s="1202"/>
      <c r="DRZ9" s="1202"/>
      <c r="DSA9" s="1202"/>
      <c r="DSB9" s="1202"/>
      <c r="DSC9" s="1202"/>
      <c r="DSD9" s="1202"/>
      <c r="DSE9" s="1202"/>
      <c r="DSF9" s="1202"/>
      <c r="DSG9" s="1202"/>
      <c r="DSH9" s="1202"/>
      <c r="DSI9" s="1202"/>
      <c r="DSJ9" s="1202"/>
      <c r="DSK9" s="1202"/>
      <c r="DSL9" s="1202"/>
      <c r="DSM9" s="1202"/>
      <c r="DSN9" s="1202"/>
      <c r="DSO9" s="1202"/>
      <c r="DSP9" s="1202"/>
      <c r="DSQ9" s="1202"/>
      <c r="DSR9" s="1202"/>
      <c r="DSS9" s="1202"/>
      <c r="DST9" s="1202"/>
      <c r="DSU9" s="1202"/>
      <c r="DSV9" s="1202"/>
      <c r="DSW9" s="1202"/>
      <c r="DSX9" s="1202"/>
      <c r="DSY9" s="1202"/>
      <c r="DSZ9" s="1202"/>
      <c r="DTA9" s="1202"/>
      <c r="DTB9" s="1202"/>
      <c r="DTC9" s="1202"/>
      <c r="DTD9" s="1202"/>
      <c r="DTE9" s="1202"/>
      <c r="DTF9" s="1202"/>
      <c r="DTG9" s="1202"/>
      <c r="DTH9" s="1202"/>
      <c r="DTI9" s="1202"/>
      <c r="DTJ9" s="1202"/>
      <c r="DTK9" s="1202"/>
      <c r="DTL9" s="1202"/>
      <c r="DTM9" s="1202"/>
      <c r="DTN9" s="1202"/>
      <c r="DTO9" s="1202"/>
      <c r="DTP9" s="1202"/>
      <c r="DTQ9" s="1202"/>
      <c r="DTR9" s="1202"/>
      <c r="DTS9" s="1202"/>
      <c r="DTT9" s="1202"/>
      <c r="DTU9" s="1202"/>
      <c r="DTV9" s="1202"/>
      <c r="DTW9" s="1202"/>
      <c r="DTX9" s="1202"/>
      <c r="DTY9" s="1202"/>
      <c r="DTZ9" s="1202"/>
      <c r="DUA9" s="1202"/>
      <c r="DUB9" s="1202"/>
      <c r="DUC9" s="1202"/>
      <c r="DUD9" s="1202"/>
      <c r="DUE9" s="1202"/>
      <c r="DUF9" s="1202"/>
      <c r="DUG9" s="1202"/>
      <c r="DUH9" s="1202"/>
      <c r="DUI9" s="1202"/>
      <c r="DUJ9" s="1202"/>
      <c r="DUK9" s="1202"/>
      <c r="DUL9" s="1202"/>
      <c r="DUM9" s="1202"/>
      <c r="DUN9" s="1202"/>
      <c r="DUO9" s="1202"/>
      <c r="DUP9" s="1202"/>
      <c r="DUQ9" s="1202"/>
      <c r="DUR9" s="1202"/>
      <c r="DUS9" s="1202"/>
      <c r="DUT9" s="1202"/>
      <c r="DUU9" s="1202"/>
      <c r="DUV9" s="1202"/>
      <c r="DUW9" s="1202"/>
      <c r="DUX9" s="1202"/>
      <c r="DUY9" s="1202"/>
      <c r="DUZ9" s="1202"/>
      <c r="DVA9" s="1202"/>
      <c r="DVB9" s="1202"/>
      <c r="DVC9" s="1202"/>
      <c r="DVD9" s="1202"/>
      <c r="DVE9" s="1202"/>
      <c r="DVF9" s="1202"/>
      <c r="DVG9" s="1202"/>
      <c r="DVH9" s="1202"/>
      <c r="DVI9" s="1202"/>
      <c r="DVJ9" s="1202"/>
      <c r="DVK9" s="1202"/>
      <c r="DVL9" s="1202"/>
      <c r="DVM9" s="1202"/>
      <c r="DVN9" s="1202"/>
      <c r="DVO9" s="1202"/>
      <c r="DVP9" s="1202"/>
      <c r="DVQ9" s="1202"/>
      <c r="DVR9" s="1202"/>
      <c r="DVS9" s="1202"/>
      <c r="DVT9" s="1202"/>
      <c r="DVU9" s="1202"/>
      <c r="DVV9" s="1202"/>
      <c r="DVW9" s="1202"/>
      <c r="DVX9" s="1202"/>
      <c r="DVY9" s="1202"/>
      <c r="DVZ9" s="1202"/>
      <c r="DWA9" s="1202"/>
      <c r="DWB9" s="1202"/>
      <c r="DWC9" s="1202"/>
      <c r="DWD9" s="1202"/>
      <c r="DWE9" s="1202"/>
      <c r="DWF9" s="1202"/>
      <c r="DWG9" s="1202"/>
      <c r="DWH9" s="1202"/>
      <c r="DWI9" s="1202"/>
      <c r="DWJ9" s="1202"/>
      <c r="DWK9" s="1202"/>
      <c r="DWL9" s="1202"/>
      <c r="DWM9" s="1202"/>
      <c r="DWN9" s="1202"/>
      <c r="DWO9" s="1202"/>
      <c r="DWP9" s="1202"/>
      <c r="DWQ9" s="1202"/>
      <c r="DWR9" s="1202"/>
      <c r="DWS9" s="1202"/>
      <c r="DWT9" s="1202"/>
      <c r="DWU9" s="1202"/>
      <c r="DWV9" s="1202"/>
      <c r="DWW9" s="1202"/>
      <c r="DWX9" s="1202"/>
      <c r="DWY9" s="1202"/>
      <c r="DWZ9" s="1202"/>
      <c r="DXA9" s="1202"/>
      <c r="DXB9" s="1202"/>
      <c r="DXC9" s="1202"/>
      <c r="DXD9" s="1202"/>
      <c r="DXE9" s="1202"/>
      <c r="DXF9" s="1202"/>
      <c r="DXG9" s="1202"/>
      <c r="DXH9" s="1202"/>
      <c r="DXI9" s="1202"/>
      <c r="DXJ9" s="1202"/>
      <c r="DXK9" s="1202"/>
      <c r="DXL9" s="1202"/>
      <c r="DXM9" s="1202"/>
      <c r="DXN9" s="1202"/>
      <c r="DXO9" s="1202"/>
      <c r="DXP9" s="1202"/>
      <c r="DXQ9" s="1202"/>
      <c r="DXR9" s="1202"/>
      <c r="DXS9" s="1202"/>
      <c r="DXT9" s="1202"/>
      <c r="DXU9" s="1202"/>
      <c r="DXV9" s="1202"/>
      <c r="DXW9" s="1202"/>
      <c r="DXX9" s="1202"/>
      <c r="DXY9" s="1202"/>
      <c r="DXZ9" s="1202"/>
      <c r="DYA9" s="1202"/>
      <c r="DYB9" s="1202"/>
      <c r="DYC9" s="1202"/>
      <c r="DYD9" s="1202"/>
      <c r="DYE9" s="1202"/>
      <c r="DYF9" s="1202"/>
      <c r="DYG9" s="1202"/>
      <c r="DYH9" s="1202"/>
      <c r="DYI9" s="1202"/>
      <c r="DYJ9" s="1202"/>
      <c r="DYK9" s="1202"/>
      <c r="DYL9" s="1202"/>
      <c r="DYM9" s="1202"/>
      <c r="DYN9" s="1202"/>
      <c r="DYO9" s="1202"/>
      <c r="DYP9" s="1202"/>
      <c r="DYQ9" s="1202"/>
      <c r="DYR9" s="1202"/>
      <c r="DYS9" s="1202"/>
      <c r="DYT9" s="1202"/>
      <c r="DYU9" s="1202"/>
      <c r="DYV9" s="1202"/>
      <c r="DYW9" s="1202"/>
      <c r="DYX9" s="1202"/>
      <c r="DYY9" s="1202"/>
      <c r="DYZ9" s="1202"/>
      <c r="DZA9" s="1202"/>
      <c r="DZB9" s="1202"/>
      <c r="DZC9" s="1202"/>
      <c r="DZD9" s="1202"/>
      <c r="DZE9" s="1202"/>
      <c r="DZF9" s="1202"/>
      <c r="DZG9" s="1202"/>
      <c r="DZH9" s="1202"/>
      <c r="DZI9" s="1202"/>
      <c r="DZJ9" s="1202"/>
      <c r="DZK9" s="1202"/>
      <c r="DZL9" s="1202"/>
      <c r="DZM9" s="1202"/>
      <c r="DZN9" s="1202"/>
      <c r="DZO9" s="1202"/>
      <c r="DZP9" s="1202"/>
      <c r="DZQ9" s="1202"/>
      <c r="DZR9" s="1202"/>
      <c r="DZS9" s="1202"/>
      <c r="DZT9" s="1202"/>
      <c r="DZU9" s="1202"/>
      <c r="DZV9" s="1202"/>
      <c r="DZW9" s="1202"/>
      <c r="DZX9" s="1202"/>
      <c r="DZY9" s="1202"/>
      <c r="DZZ9" s="1202"/>
      <c r="EAA9" s="1202"/>
      <c r="EAB9" s="1202"/>
      <c r="EAC9" s="1202"/>
      <c r="EAD9" s="1202"/>
      <c r="EAE9" s="1202"/>
      <c r="EAF9" s="1202"/>
      <c r="EAG9" s="1202"/>
      <c r="EAH9" s="1202"/>
      <c r="EAI9" s="1202"/>
      <c r="EAJ9" s="1202"/>
      <c r="EAK9" s="1202"/>
      <c r="EAL9" s="1202"/>
      <c r="EAM9" s="1202"/>
      <c r="EAN9" s="1202"/>
      <c r="EAO9" s="1202"/>
      <c r="EAP9" s="1202"/>
      <c r="EAQ9" s="1202"/>
      <c r="EAR9" s="1202"/>
      <c r="EAS9" s="1202"/>
      <c r="EAT9" s="1202"/>
      <c r="EAU9" s="1202"/>
      <c r="EAV9" s="1202"/>
      <c r="EAW9" s="1202"/>
      <c r="EAX9" s="1202"/>
      <c r="EAY9" s="1202"/>
      <c r="EAZ9" s="1202"/>
      <c r="EBA9" s="1202"/>
      <c r="EBB9" s="1202"/>
      <c r="EBC9" s="1202"/>
      <c r="EBD9" s="1202"/>
      <c r="EBE9" s="1202"/>
      <c r="EBF9" s="1202"/>
      <c r="EBG9" s="1202"/>
      <c r="EBH9" s="1202"/>
      <c r="EBI9" s="1202"/>
      <c r="EBJ9" s="1202"/>
      <c r="EBK9" s="1202"/>
      <c r="EBL9" s="1202"/>
      <c r="EBM9" s="1202"/>
      <c r="EBN9" s="1202"/>
      <c r="EBO9" s="1202"/>
      <c r="EBP9" s="1202"/>
      <c r="EBQ9" s="1202"/>
      <c r="EBR9" s="1202"/>
      <c r="EBS9" s="1202"/>
      <c r="EBT9" s="1202"/>
      <c r="EBU9" s="1202"/>
      <c r="EBV9" s="1202"/>
      <c r="EBW9" s="1202"/>
      <c r="EBX9" s="1202"/>
      <c r="EBY9" s="1202"/>
      <c r="EBZ9" s="1202"/>
      <c r="ECA9" s="1202"/>
      <c r="ECB9" s="1202"/>
      <c r="ECC9" s="1202"/>
      <c r="ECD9" s="1202"/>
      <c r="ECE9" s="1202"/>
      <c r="ECF9" s="1202"/>
      <c r="ECG9" s="1202"/>
      <c r="ECH9" s="1202"/>
      <c r="ECI9" s="1202"/>
      <c r="ECJ9" s="1202"/>
      <c r="ECK9" s="1202"/>
      <c r="ECL9" s="1202"/>
      <c r="ECM9" s="1202"/>
      <c r="ECN9" s="1202"/>
      <c r="ECO9" s="1202"/>
      <c r="ECP9" s="1202"/>
      <c r="ECQ9" s="1202"/>
      <c r="ECR9" s="1202"/>
      <c r="ECS9" s="1202"/>
      <c r="ECT9" s="1202"/>
      <c r="ECU9" s="1202"/>
      <c r="ECV9" s="1202"/>
      <c r="ECW9" s="1202"/>
      <c r="ECX9" s="1202"/>
      <c r="ECY9" s="1202"/>
      <c r="ECZ9" s="1202"/>
      <c r="EDA9" s="1202"/>
      <c r="EDB9" s="1202"/>
      <c r="EDC9" s="1202"/>
      <c r="EDD9" s="1202"/>
      <c r="EDE9" s="1202"/>
      <c r="EDF9" s="1202"/>
      <c r="EDG9" s="1202"/>
      <c r="EDH9" s="1202"/>
      <c r="EDI9" s="1202"/>
      <c r="EDJ9" s="1202"/>
      <c r="EDK9" s="1202"/>
      <c r="EDL9" s="1202"/>
      <c r="EDM9" s="1202"/>
      <c r="EDN9" s="1202"/>
      <c r="EDO9" s="1202"/>
      <c r="EDP9" s="1202"/>
      <c r="EDQ9" s="1202"/>
      <c r="EDR9" s="1202"/>
      <c r="EDS9" s="1202"/>
      <c r="EDT9" s="1202"/>
      <c r="EDU9" s="1202"/>
      <c r="EDV9" s="1202"/>
      <c r="EDW9" s="1202"/>
      <c r="EDX9" s="1202"/>
      <c r="EDY9" s="1202"/>
      <c r="EDZ9" s="1202"/>
      <c r="EEA9" s="1202"/>
      <c r="EEB9" s="1202"/>
      <c r="EEC9" s="1202"/>
      <c r="EED9" s="1202"/>
      <c r="EEE9" s="1202"/>
      <c r="EEF9" s="1202"/>
      <c r="EEG9" s="1202"/>
      <c r="EEH9" s="1202"/>
      <c r="EEI9" s="1202"/>
      <c r="EEJ9" s="1202"/>
      <c r="EEK9" s="1202"/>
      <c r="EEL9" s="1202"/>
      <c r="EEM9" s="1202"/>
      <c r="EEN9" s="1202"/>
      <c r="EEO9" s="1202"/>
      <c r="EEP9" s="1202"/>
      <c r="EEQ9" s="1202"/>
      <c r="EER9" s="1202"/>
      <c r="EES9" s="1202"/>
      <c r="EET9" s="1202"/>
      <c r="EEU9" s="1202"/>
      <c r="EEV9" s="1202"/>
      <c r="EEW9" s="1202"/>
      <c r="EEX9" s="1202"/>
      <c r="EEY9" s="1202"/>
      <c r="EEZ9" s="1202"/>
      <c r="EFA9" s="1202"/>
      <c r="EFB9" s="1202"/>
      <c r="EFC9" s="1202"/>
      <c r="EFD9" s="1202"/>
      <c r="EFE9" s="1202"/>
      <c r="EFF9" s="1202"/>
      <c r="EFG9" s="1202"/>
      <c r="EFH9" s="1202"/>
      <c r="EFI9" s="1202"/>
      <c r="EFJ9" s="1202"/>
      <c r="EFK9" s="1202"/>
      <c r="EFL9" s="1202"/>
      <c r="EFM9" s="1202"/>
      <c r="EFN9" s="1202"/>
      <c r="EFO9" s="1202"/>
      <c r="EFP9" s="1202"/>
      <c r="EFQ9" s="1202"/>
      <c r="EFR9" s="1202"/>
      <c r="EFS9" s="1202"/>
      <c r="EFT9" s="1202"/>
      <c r="EFU9" s="1202"/>
      <c r="EFV9" s="1202"/>
      <c r="EFW9" s="1202"/>
      <c r="EFX9" s="1202"/>
      <c r="EFY9" s="1202"/>
      <c r="EFZ9" s="1202"/>
      <c r="EGA9" s="1202"/>
      <c r="EGB9" s="1202"/>
      <c r="EGC9" s="1202"/>
      <c r="EGD9" s="1202"/>
      <c r="EGE9" s="1202"/>
      <c r="EGF9" s="1202"/>
      <c r="EGG9" s="1202"/>
      <c r="EGH9" s="1202"/>
      <c r="EGI9" s="1202"/>
      <c r="EGJ9" s="1202"/>
      <c r="EGK9" s="1202"/>
      <c r="EGL9" s="1202"/>
      <c r="EGM9" s="1202"/>
      <c r="EGN9" s="1202"/>
      <c r="EGO9" s="1202"/>
      <c r="EGP9" s="1202"/>
      <c r="EGQ9" s="1202"/>
      <c r="EGR9" s="1202"/>
      <c r="EGS9" s="1202"/>
      <c r="EGT9" s="1202"/>
      <c r="EGU9" s="1202"/>
      <c r="EGV9" s="1202"/>
      <c r="EGW9" s="1202"/>
      <c r="EGX9" s="1202"/>
      <c r="EGY9" s="1202"/>
      <c r="EGZ9" s="1202"/>
      <c r="EHA9" s="1202"/>
      <c r="EHB9" s="1202"/>
      <c r="EHC9" s="1202"/>
      <c r="EHD9" s="1202"/>
      <c r="EHE9" s="1202"/>
      <c r="EHF9" s="1202"/>
      <c r="EHG9" s="1202"/>
      <c r="EHH9" s="1202"/>
      <c r="EHI9" s="1202"/>
      <c r="EHJ9" s="1202"/>
      <c r="EHK9" s="1202"/>
      <c r="EHL9" s="1202"/>
      <c r="EHM9" s="1202"/>
      <c r="EHN9" s="1202"/>
      <c r="EHO9" s="1202"/>
      <c r="EHP9" s="1202"/>
      <c r="EHQ9" s="1202"/>
      <c r="EHR9" s="1202"/>
      <c r="EHS9" s="1202"/>
      <c r="EHT9" s="1202"/>
      <c r="EHU9" s="1202"/>
      <c r="EHV9" s="1202"/>
      <c r="EHW9" s="1202"/>
      <c r="EHX9" s="1202"/>
      <c r="EHY9" s="1202"/>
      <c r="EHZ9" s="1202"/>
      <c r="EIA9" s="1202"/>
      <c r="EIB9" s="1202"/>
      <c r="EIC9" s="1202"/>
      <c r="EID9" s="1202"/>
      <c r="EIE9" s="1202"/>
      <c r="EIF9" s="1202"/>
      <c r="EIG9" s="1202"/>
      <c r="EIH9" s="1202"/>
      <c r="EII9" s="1202"/>
      <c r="EIJ9" s="1202"/>
      <c r="EIK9" s="1202"/>
      <c r="EIL9" s="1202"/>
      <c r="EIM9" s="1202"/>
      <c r="EIN9" s="1202"/>
      <c r="EIO9" s="1202"/>
      <c r="EIP9" s="1202"/>
      <c r="EIQ9" s="1202"/>
      <c r="EIR9" s="1202"/>
      <c r="EIS9" s="1202"/>
      <c r="EIT9" s="1202"/>
      <c r="EIU9" s="1202"/>
      <c r="EIV9" s="1202"/>
      <c r="EIW9" s="1202"/>
      <c r="EIX9" s="1202"/>
      <c r="EIY9" s="1202"/>
      <c r="EIZ9" s="1202"/>
      <c r="EJA9" s="1202"/>
      <c r="EJB9" s="1202"/>
      <c r="EJC9" s="1202"/>
      <c r="EJD9" s="1202"/>
      <c r="EJE9" s="1202"/>
      <c r="EJF9" s="1202"/>
      <c r="EJG9" s="1202"/>
      <c r="EJH9" s="1202"/>
      <c r="EJI9" s="1202"/>
      <c r="EJJ9" s="1202"/>
      <c r="EJK9" s="1202"/>
      <c r="EJL9" s="1202"/>
      <c r="EJM9" s="1202"/>
      <c r="EJN9" s="1202"/>
      <c r="EJO9" s="1202"/>
      <c r="EJP9" s="1202"/>
      <c r="EJQ9" s="1202"/>
      <c r="EJR9" s="1202"/>
      <c r="EJS9" s="1202"/>
      <c r="EJT9" s="1202"/>
      <c r="EJU9" s="1202"/>
      <c r="EJV9" s="1202"/>
      <c r="EJW9" s="1202"/>
      <c r="EJX9" s="1202"/>
      <c r="EJY9" s="1202"/>
      <c r="EJZ9" s="1202"/>
      <c r="EKA9" s="1202"/>
      <c r="EKB9" s="1202"/>
      <c r="EKC9" s="1202"/>
      <c r="EKD9" s="1202"/>
      <c r="EKE9" s="1202"/>
      <c r="EKF9" s="1202"/>
      <c r="EKG9" s="1202"/>
      <c r="EKH9" s="1202"/>
      <c r="EKI9" s="1202"/>
      <c r="EKJ9" s="1202"/>
      <c r="EKK9" s="1202"/>
      <c r="EKL9" s="1202"/>
      <c r="EKM9" s="1202"/>
      <c r="EKN9" s="1202"/>
      <c r="EKO9" s="1202"/>
      <c r="EKP9" s="1202"/>
      <c r="EKQ9" s="1202"/>
      <c r="EKR9" s="1202"/>
      <c r="EKS9" s="1202"/>
      <c r="EKT9" s="1202"/>
      <c r="EKU9" s="1202"/>
      <c r="EKV9" s="1202"/>
      <c r="EKW9" s="1202"/>
      <c r="EKX9" s="1202"/>
      <c r="EKY9" s="1202"/>
      <c r="EKZ9" s="1202"/>
      <c r="ELA9" s="1202"/>
      <c r="ELB9" s="1202"/>
      <c r="ELC9" s="1202"/>
      <c r="ELD9" s="1202"/>
      <c r="ELE9" s="1202"/>
      <c r="ELF9" s="1202"/>
      <c r="ELG9" s="1202"/>
      <c r="ELH9" s="1202"/>
      <c r="ELI9" s="1202"/>
      <c r="ELJ9" s="1202"/>
      <c r="ELK9" s="1202"/>
      <c r="ELL9" s="1202"/>
      <c r="ELM9" s="1202"/>
      <c r="ELN9" s="1202"/>
      <c r="ELO9" s="1202"/>
      <c r="ELP9" s="1202"/>
      <c r="ELQ9" s="1202"/>
      <c r="ELR9" s="1202"/>
      <c r="ELS9" s="1202"/>
      <c r="ELT9" s="1202"/>
      <c r="ELU9" s="1202"/>
      <c r="ELV9" s="1202"/>
      <c r="ELW9" s="1202"/>
      <c r="ELX9" s="1202"/>
      <c r="ELY9" s="1202"/>
      <c r="ELZ9" s="1202"/>
      <c r="EMA9" s="1202"/>
      <c r="EMB9" s="1202"/>
      <c r="EMC9" s="1202"/>
      <c r="EMD9" s="1202"/>
      <c r="EME9" s="1202"/>
      <c r="EMF9" s="1202"/>
      <c r="EMG9" s="1202"/>
      <c r="EMH9" s="1202"/>
      <c r="EMI9" s="1202"/>
      <c r="EMJ9" s="1202"/>
      <c r="EMK9" s="1202"/>
      <c r="EML9" s="1202"/>
      <c r="EMM9" s="1202"/>
      <c r="EMN9" s="1202"/>
      <c r="EMO9" s="1202"/>
      <c r="EMP9" s="1202"/>
      <c r="EMQ9" s="1202"/>
      <c r="EMR9" s="1202"/>
      <c r="EMS9" s="1202"/>
      <c r="EMT9" s="1202"/>
      <c r="EMU9" s="1202"/>
      <c r="EMV9" s="1202"/>
      <c r="EMW9" s="1202"/>
      <c r="EMX9" s="1202"/>
      <c r="EMY9" s="1202"/>
      <c r="EMZ9" s="1202"/>
      <c r="ENA9" s="1202"/>
      <c r="ENB9" s="1202"/>
      <c r="ENC9" s="1202"/>
      <c r="END9" s="1202"/>
      <c r="ENE9" s="1202"/>
      <c r="ENF9" s="1202"/>
      <c r="ENG9" s="1202"/>
      <c r="ENH9" s="1202"/>
      <c r="ENI9" s="1202"/>
      <c r="ENJ9" s="1202"/>
      <c r="ENK9" s="1202"/>
      <c r="ENL9" s="1202"/>
      <c r="ENM9" s="1202"/>
      <c r="ENN9" s="1202"/>
      <c r="ENO9" s="1202"/>
      <c r="ENP9" s="1202"/>
      <c r="ENQ9" s="1202"/>
      <c r="ENR9" s="1202"/>
      <c r="ENS9" s="1202"/>
      <c r="ENT9" s="1202"/>
      <c r="ENU9" s="1202"/>
      <c r="ENV9" s="1202"/>
      <c r="ENW9" s="1202"/>
      <c r="ENX9" s="1202"/>
      <c r="ENY9" s="1202"/>
      <c r="ENZ9" s="1202"/>
      <c r="EOA9" s="1202"/>
      <c r="EOB9" s="1202"/>
      <c r="EOC9" s="1202"/>
      <c r="EOD9" s="1202"/>
      <c r="EOE9" s="1202"/>
      <c r="EOF9" s="1202"/>
      <c r="EOG9" s="1202"/>
      <c r="EOH9" s="1202"/>
      <c r="EOI9" s="1202"/>
      <c r="EOJ9" s="1202"/>
      <c r="EOK9" s="1202"/>
      <c r="EOL9" s="1202"/>
      <c r="EOM9" s="1202"/>
      <c r="EON9" s="1202"/>
      <c r="EOO9" s="1202"/>
      <c r="EOP9" s="1202"/>
      <c r="EOQ9" s="1202"/>
      <c r="EOR9" s="1202"/>
      <c r="EOS9" s="1202"/>
      <c r="EOT9" s="1202"/>
      <c r="EOU9" s="1202"/>
      <c r="EOV9" s="1202"/>
      <c r="EOW9" s="1202"/>
      <c r="EOX9" s="1202"/>
      <c r="EOY9" s="1202"/>
      <c r="EOZ9" s="1202"/>
      <c r="EPA9" s="1202"/>
      <c r="EPB9" s="1202"/>
      <c r="EPC9" s="1202"/>
      <c r="EPD9" s="1202"/>
      <c r="EPE9" s="1202"/>
      <c r="EPF9" s="1202"/>
      <c r="EPG9" s="1202"/>
      <c r="EPH9" s="1202"/>
      <c r="EPI9" s="1202"/>
      <c r="EPJ9" s="1202"/>
      <c r="EPK9" s="1202"/>
      <c r="EPL9" s="1202"/>
      <c r="EPM9" s="1202"/>
      <c r="EPN9" s="1202"/>
      <c r="EPO9" s="1202"/>
      <c r="EPP9" s="1202"/>
      <c r="EPQ9" s="1202"/>
      <c r="EPR9" s="1202"/>
      <c r="EPS9" s="1202"/>
      <c r="EPT9" s="1202"/>
      <c r="EPU9" s="1202"/>
      <c r="EPV9" s="1202"/>
      <c r="EPW9" s="1202"/>
      <c r="EPX9" s="1202"/>
      <c r="EPY9" s="1202"/>
      <c r="EPZ9" s="1202"/>
      <c r="EQA9" s="1202"/>
      <c r="EQB9" s="1202"/>
      <c r="EQC9" s="1202"/>
      <c r="EQD9" s="1202"/>
      <c r="EQE9" s="1202"/>
      <c r="EQF9" s="1202"/>
      <c r="EQG9" s="1202"/>
      <c r="EQH9" s="1202"/>
      <c r="EQI9" s="1202"/>
      <c r="EQJ9" s="1202"/>
      <c r="EQK9" s="1202"/>
      <c r="EQL9" s="1202"/>
      <c r="EQM9" s="1202"/>
      <c r="EQN9" s="1202"/>
      <c r="EQO9" s="1202"/>
      <c r="EQP9" s="1202"/>
      <c r="EQQ9" s="1202"/>
      <c r="EQR9" s="1202"/>
      <c r="EQS9" s="1202"/>
      <c r="EQT9" s="1202"/>
      <c r="EQU9" s="1202"/>
      <c r="EQV9" s="1202"/>
      <c r="EQW9" s="1202"/>
      <c r="EQX9" s="1202"/>
      <c r="EQY9" s="1202"/>
      <c r="EQZ9" s="1202"/>
      <c r="ERA9" s="1202"/>
      <c r="ERB9" s="1202"/>
      <c r="ERC9" s="1202"/>
      <c r="ERD9" s="1202"/>
      <c r="ERE9" s="1202"/>
      <c r="ERF9" s="1202"/>
      <c r="ERG9" s="1202"/>
      <c r="ERH9" s="1202"/>
      <c r="ERI9" s="1202"/>
      <c r="ERJ9" s="1202"/>
      <c r="ERK9" s="1202"/>
      <c r="ERL9" s="1202"/>
      <c r="ERM9" s="1202"/>
      <c r="ERN9" s="1202"/>
      <c r="ERO9" s="1202"/>
      <c r="ERP9" s="1202"/>
      <c r="ERQ9" s="1202"/>
      <c r="ERR9" s="1202"/>
      <c r="ERS9" s="1202"/>
      <c r="ERT9" s="1202"/>
      <c r="ERU9" s="1202"/>
      <c r="ERV9" s="1202"/>
      <c r="ERW9" s="1202"/>
      <c r="ERX9" s="1202"/>
      <c r="ERY9" s="1202"/>
      <c r="ERZ9" s="1202"/>
      <c r="ESA9" s="1202"/>
      <c r="ESB9" s="1202"/>
      <c r="ESC9" s="1202"/>
      <c r="ESD9" s="1202"/>
      <c r="ESE9" s="1202"/>
      <c r="ESF9" s="1202"/>
      <c r="ESG9" s="1202"/>
      <c r="ESH9" s="1202"/>
      <c r="ESI9" s="1202"/>
      <c r="ESJ9" s="1202"/>
      <c r="ESK9" s="1202"/>
      <c r="ESL9" s="1202"/>
      <c r="ESM9" s="1202"/>
      <c r="ESN9" s="1202"/>
      <c r="ESO9" s="1202"/>
      <c r="ESP9" s="1202"/>
      <c r="ESQ9" s="1202"/>
      <c r="ESR9" s="1202"/>
      <c r="ESS9" s="1202"/>
      <c r="EST9" s="1202"/>
      <c r="ESU9" s="1202"/>
      <c r="ESV9" s="1202"/>
      <c r="ESW9" s="1202"/>
      <c r="ESX9" s="1202"/>
      <c r="ESY9" s="1202"/>
      <c r="ESZ9" s="1202"/>
      <c r="ETA9" s="1202"/>
      <c r="ETB9" s="1202"/>
      <c r="ETC9" s="1202"/>
      <c r="ETD9" s="1202"/>
      <c r="ETE9" s="1202"/>
      <c r="ETF9" s="1202"/>
      <c r="ETG9" s="1202"/>
      <c r="ETH9" s="1202"/>
      <c r="ETI9" s="1202"/>
      <c r="ETJ9" s="1202"/>
      <c r="ETK9" s="1202"/>
      <c r="ETL9" s="1202"/>
      <c r="ETM9" s="1202"/>
      <c r="ETN9" s="1202"/>
      <c r="ETO9" s="1202"/>
      <c r="ETP9" s="1202"/>
      <c r="ETQ9" s="1202"/>
      <c r="ETR9" s="1202"/>
      <c r="ETS9" s="1202"/>
      <c r="ETT9" s="1202"/>
      <c r="ETU9" s="1202"/>
      <c r="ETV9" s="1202"/>
      <c r="ETW9" s="1202"/>
      <c r="ETX9" s="1202"/>
      <c r="ETY9" s="1202"/>
      <c r="ETZ9" s="1202"/>
      <c r="EUA9" s="1202"/>
      <c r="EUB9" s="1202"/>
      <c r="EUC9" s="1202"/>
      <c r="EUD9" s="1202"/>
      <c r="EUE9" s="1202"/>
      <c r="EUF9" s="1202"/>
      <c r="EUG9" s="1202"/>
      <c r="EUH9" s="1202"/>
      <c r="EUI9" s="1202"/>
      <c r="EUJ9" s="1202"/>
      <c r="EUK9" s="1202"/>
      <c r="EUL9" s="1202"/>
      <c r="EUM9" s="1202"/>
      <c r="EUN9" s="1202"/>
      <c r="EUO9" s="1202"/>
      <c r="EUP9" s="1202"/>
      <c r="EUQ9" s="1202"/>
      <c r="EUR9" s="1202"/>
      <c r="EUS9" s="1202"/>
      <c r="EUT9" s="1202"/>
      <c r="EUU9" s="1202"/>
      <c r="EUV9" s="1202"/>
      <c r="EUW9" s="1202"/>
      <c r="EUX9" s="1202"/>
      <c r="EUY9" s="1202"/>
      <c r="EUZ9" s="1202"/>
      <c r="EVA9" s="1202"/>
      <c r="EVB9" s="1202"/>
      <c r="EVC9" s="1202"/>
      <c r="EVD9" s="1202"/>
      <c r="EVE9" s="1202"/>
      <c r="EVF9" s="1202"/>
      <c r="EVG9" s="1202"/>
      <c r="EVH9" s="1202"/>
      <c r="EVI9" s="1202"/>
      <c r="EVJ9" s="1202"/>
      <c r="EVK9" s="1202"/>
      <c r="EVL9" s="1202"/>
      <c r="EVM9" s="1202"/>
      <c r="EVN9" s="1202"/>
      <c r="EVO9" s="1202"/>
      <c r="EVP9" s="1202"/>
      <c r="EVQ9" s="1202"/>
      <c r="EVR9" s="1202"/>
      <c r="EVS9" s="1202"/>
      <c r="EVT9" s="1202"/>
      <c r="EVU9" s="1202"/>
      <c r="EVV9" s="1202"/>
      <c r="EVW9" s="1202"/>
      <c r="EVX9" s="1202"/>
      <c r="EVY9" s="1202"/>
      <c r="EVZ9" s="1202"/>
      <c r="EWA9" s="1202"/>
      <c r="EWB9" s="1202"/>
      <c r="EWC9" s="1202"/>
      <c r="EWD9" s="1202"/>
      <c r="EWE9" s="1202"/>
      <c r="EWF9" s="1202"/>
      <c r="EWG9" s="1202"/>
      <c r="EWH9" s="1202"/>
      <c r="EWI9" s="1202"/>
      <c r="EWJ9" s="1202"/>
      <c r="EWK9" s="1202"/>
      <c r="EWL9" s="1202"/>
      <c r="EWM9" s="1202"/>
      <c r="EWN9" s="1202"/>
      <c r="EWO9" s="1202"/>
      <c r="EWP9" s="1202"/>
      <c r="EWQ9" s="1202"/>
      <c r="EWR9" s="1202"/>
      <c r="EWS9" s="1202"/>
      <c r="EWT9" s="1202"/>
      <c r="EWU9" s="1202"/>
      <c r="EWV9" s="1202"/>
      <c r="EWW9" s="1202"/>
      <c r="EWX9" s="1202"/>
      <c r="EWY9" s="1202"/>
      <c r="EWZ9" s="1202"/>
      <c r="EXA9" s="1202"/>
      <c r="EXB9" s="1202"/>
      <c r="EXC9" s="1202"/>
      <c r="EXD9" s="1202"/>
      <c r="EXE9" s="1202"/>
      <c r="EXF9" s="1202"/>
      <c r="EXG9" s="1202"/>
      <c r="EXH9" s="1202"/>
      <c r="EXI9" s="1202"/>
      <c r="EXJ9" s="1202"/>
      <c r="EXK9" s="1202"/>
      <c r="EXL9" s="1202"/>
      <c r="EXM9" s="1202"/>
      <c r="EXN9" s="1202"/>
      <c r="EXO9" s="1202"/>
      <c r="EXP9" s="1202"/>
      <c r="EXQ9" s="1202"/>
      <c r="EXR9" s="1202"/>
      <c r="EXS9" s="1202"/>
      <c r="EXT9" s="1202"/>
      <c r="EXU9" s="1202"/>
      <c r="EXV9" s="1202"/>
      <c r="EXW9" s="1202"/>
      <c r="EXX9" s="1202"/>
      <c r="EXY9" s="1202"/>
      <c r="EXZ9" s="1202"/>
      <c r="EYA9" s="1202"/>
      <c r="EYB9" s="1202"/>
      <c r="EYC9" s="1202"/>
      <c r="EYD9" s="1202"/>
      <c r="EYE9" s="1202"/>
      <c r="EYF9" s="1202"/>
      <c r="EYG9" s="1202"/>
      <c r="EYH9" s="1202"/>
      <c r="EYI9" s="1202"/>
      <c r="EYJ9" s="1202"/>
      <c r="EYK9" s="1202"/>
      <c r="EYL9" s="1202"/>
      <c r="EYM9" s="1202"/>
      <c r="EYN9" s="1202"/>
      <c r="EYO9" s="1202"/>
      <c r="EYP9" s="1202"/>
      <c r="EYQ9" s="1202"/>
      <c r="EYR9" s="1202"/>
      <c r="EYS9" s="1202"/>
      <c r="EYT9" s="1202"/>
      <c r="EYU9" s="1202"/>
      <c r="EYV9" s="1202"/>
      <c r="EYW9" s="1202"/>
      <c r="EYX9" s="1202"/>
      <c r="EYY9" s="1202"/>
      <c r="EYZ9" s="1202"/>
      <c r="EZA9" s="1202"/>
      <c r="EZB9" s="1202"/>
      <c r="EZC9" s="1202"/>
      <c r="EZD9" s="1202"/>
      <c r="EZE9" s="1202"/>
      <c r="EZF9" s="1202"/>
      <c r="EZG9" s="1202"/>
      <c r="EZH9" s="1202"/>
      <c r="EZI9" s="1202"/>
      <c r="EZJ9" s="1202"/>
      <c r="EZK9" s="1202"/>
      <c r="EZL9" s="1202"/>
      <c r="EZM9" s="1202"/>
      <c r="EZN9" s="1202"/>
      <c r="EZO9" s="1202"/>
      <c r="EZP9" s="1202"/>
      <c r="EZQ9" s="1202"/>
      <c r="EZR9" s="1202"/>
      <c r="EZS9" s="1202"/>
      <c r="EZT9" s="1202"/>
      <c r="EZU9" s="1202"/>
      <c r="EZV9" s="1202"/>
      <c r="EZW9" s="1202"/>
      <c r="EZX9" s="1202"/>
      <c r="EZY9" s="1202"/>
      <c r="EZZ9" s="1202"/>
      <c r="FAA9" s="1202"/>
      <c r="FAB9" s="1202"/>
      <c r="FAC9" s="1202"/>
      <c r="FAD9" s="1202"/>
      <c r="FAE9" s="1202"/>
      <c r="FAF9" s="1202"/>
      <c r="FAG9" s="1202"/>
      <c r="FAH9" s="1202"/>
      <c r="FAI9" s="1202"/>
      <c r="FAJ9" s="1202"/>
      <c r="FAK9" s="1202"/>
      <c r="FAL9" s="1202"/>
      <c r="FAM9" s="1202"/>
      <c r="FAN9" s="1202"/>
      <c r="FAO9" s="1202"/>
      <c r="FAP9" s="1202"/>
      <c r="FAQ9" s="1202"/>
      <c r="FAR9" s="1202"/>
      <c r="FAS9" s="1202"/>
      <c r="FAT9" s="1202"/>
      <c r="FAU9" s="1202"/>
      <c r="FAV9" s="1202"/>
      <c r="FAW9" s="1202"/>
      <c r="FAX9" s="1202"/>
      <c r="FAY9" s="1202"/>
      <c r="FAZ9" s="1202"/>
      <c r="FBA9" s="1202"/>
      <c r="FBB9" s="1202"/>
      <c r="FBC9" s="1202"/>
      <c r="FBD9" s="1202"/>
      <c r="FBE9" s="1202"/>
      <c r="FBF9" s="1202"/>
      <c r="FBG9" s="1202"/>
      <c r="FBH9" s="1202"/>
      <c r="FBI9" s="1202"/>
      <c r="FBJ9" s="1202"/>
      <c r="FBK9" s="1202"/>
      <c r="FBL9" s="1202"/>
      <c r="FBM9" s="1202"/>
      <c r="FBN9" s="1202"/>
      <c r="FBO9" s="1202"/>
      <c r="FBP9" s="1202"/>
      <c r="FBQ9" s="1202"/>
      <c r="FBR9" s="1202"/>
      <c r="FBS9" s="1202"/>
      <c r="FBT9" s="1202"/>
      <c r="FBU9" s="1202"/>
      <c r="FBV9" s="1202"/>
      <c r="FBW9" s="1202"/>
      <c r="FBX9" s="1202"/>
      <c r="FBY9" s="1202"/>
      <c r="FBZ9" s="1202"/>
      <c r="FCA9" s="1202"/>
      <c r="FCB9" s="1202"/>
      <c r="FCC9" s="1202"/>
      <c r="FCD9" s="1202"/>
      <c r="FCE9" s="1202"/>
      <c r="FCF9" s="1202"/>
      <c r="FCG9" s="1202"/>
      <c r="FCH9" s="1202"/>
      <c r="FCI9" s="1202"/>
      <c r="FCJ9" s="1202"/>
      <c r="FCK9" s="1202"/>
      <c r="FCL9" s="1202"/>
      <c r="FCM9" s="1202"/>
      <c r="FCN9" s="1202"/>
      <c r="FCO9" s="1202"/>
      <c r="FCP9" s="1202"/>
      <c r="FCQ9" s="1202"/>
      <c r="FCR9" s="1202"/>
      <c r="FCS9" s="1202"/>
      <c r="FCT9" s="1202"/>
      <c r="FCU9" s="1202"/>
      <c r="FCV9" s="1202"/>
      <c r="FCW9" s="1202"/>
      <c r="FCX9" s="1202"/>
      <c r="FCY9" s="1202"/>
      <c r="FCZ9" s="1202"/>
      <c r="FDA9" s="1202"/>
      <c r="FDB9" s="1202"/>
      <c r="FDC9" s="1202"/>
      <c r="FDD9" s="1202"/>
      <c r="FDE9" s="1202"/>
      <c r="FDF9" s="1202"/>
      <c r="FDG9" s="1202"/>
      <c r="FDH9" s="1202"/>
      <c r="FDI9" s="1202"/>
      <c r="FDJ9" s="1202"/>
      <c r="FDK9" s="1202"/>
      <c r="FDL9" s="1202"/>
      <c r="FDM9" s="1202"/>
      <c r="FDN9" s="1202"/>
      <c r="FDO9" s="1202"/>
      <c r="FDP9" s="1202"/>
      <c r="FDQ9" s="1202"/>
      <c r="FDR9" s="1202"/>
      <c r="FDS9" s="1202"/>
      <c r="FDT9" s="1202"/>
      <c r="FDU9" s="1202"/>
      <c r="FDV9" s="1202"/>
      <c r="FDW9" s="1202"/>
      <c r="FDX9" s="1202"/>
      <c r="FDY9" s="1202"/>
      <c r="FDZ9" s="1202"/>
      <c r="FEA9" s="1202"/>
      <c r="FEB9" s="1202"/>
      <c r="FEC9" s="1202"/>
      <c r="FED9" s="1202"/>
      <c r="FEE9" s="1202"/>
      <c r="FEF9" s="1202"/>
      <c r="FEG9" s="1202"/>
      <c r="FEH9" s="1202"/>
      <c r="FEI9" s="1202"/>
      <c r="FEJ9" s="1202"/>
      <c r="FEK9" s="1202"/>
      <c r="FEL9" s="1202"/>
      <c r="FEM9" s="1202"/>
      <c r="FEN9" s="1202"/>
      <c r="FEO9" s="1202"/>
      <c r="FEP9" s="1202"/>
      <c r="FEQ9" s="1202"/>
      <c r="FER9" s="1202"/>
      <c r="FES9" s="1202"/>
      <c r="FET9" s="1202"/>
      <c r="FEU9" s="1202"/>
      <c r="FEV9" s="1202"/>
      <c r="FEW9" s="1202"/>
      <c r="FEX9" s="1202"/>
      <c r="FEY9" s="1202"/>
      <c r="FEZ9" s="1202"/>
      <c r="FFA9" s="1202"/>
      <c r="FFB9" s="1202"/>
      <c r="FFC9" s="1202"/>
      <c r="FFD9" s="1202"/>
      <c r="FFE9" s="1202"/>
      <c r="FFF9" s="1202"/>
      <c r="FFG9" s="1202"/>
      <c r="FFH9" s="1202"/>
      <c r="FFI9" s="1202"/>
      <c r="FFJ9" s="1202"/>
      <c r="FFK9" s="1202"/>
      <c r="FFL9" s="1202"/>
      <c r="FFM9" s="1202"/>
      <c r="FFN9" s="1202"/>
      <c r="FFO9" s="1202"/>
      <c r="FFP9" s="1202"/>
      <c r="FFQ9" s="1202"/>
      <c r="FFR9" s="1202"/>
      <c r="FFS9" s="1202"/>
      <c r="FFT9" s="1202"/>
      <c r="FFU9" s="1202"/>
      <c r="FFV9" s="1202"/>
      <c r="FFW9" s="1202"/>
      <c r="FFX9" s="1202"/>
      <c r="FFY9" s="1202"/>
      <c r="FFZ9" s="1202"/>
      <c r="FGA9" s="1202"/>
      <c r="FGB9" s="1202"/>
      <c r="FGC9" s="1202"/>
      <c r="FGD9" s="1202"/>
      <c r="FGE9" s="1202"/>
      <c r="FGF9" s="1202"/>
      <c r="FGG9" s="1202"/>
      <c r="FGH9" s="1202"/>
      <c r="FGI9" s="1202"/>
      <c r="FGJ9" s="1202"/>
      <c r="FGK9" s="1202"/>
      <c r="FGL9" s="1202"/>
      <c r="FGM9" s="1202"/>
      <c r="FGN9" s="1202"/>
      <c r="FGO9" s="1202"/>
      <c r="FGP9" s="1202"/>
      <c r="FGQ9" s="1202"/>
      <c r="FGR9" s="1202"/>
      <c r="FGS9" s="1202"/>
      <c r="FGT9" s="1202"/>
      <c r="FGU9" s="1202"/>
      <c r="FGV9" s="1202"/>
      <c r="FGW9" s="1202"/>
      <c r="FGX9" s="1202"/>
      <c r="FGY9" s="1202"/>
      <c r="FGZ9" s="1202"/>
      <c r="FHA9" s="1202"/>
      <c r="FHB9" s="1202"/>
      <c r="FHC9" s="1202"/>
      <c r="FHD9" s="1202"/>
      <c r="FHE9" s="1202"/>
      <c r="FHF9" s="1202"/>
      <c r="FHG9" s="1202"/>
      <c r="FHH9" s="1202"/>
      <c r="FHI9" s="1202"/>
      <c r="FHJ9" s="1202"/>
      <c r="FHK9" s="1202"/>
      <c r="FHL9" s="1202"/>
      <c r="FHM9" s="1202"/>
      <c r="FHN9" s="1202"/>
      <c r="FHO9" s="1202"/>
      <c r="FHP9" s="1202"/>
      <c r="FHQ9" s="1202"/>
      <c r="FHR9" s="1202"/>
      <c r="FHS9" s="1202"/>
      <c r="FHT9" s="1202"/>
      <c r="FHU9" s="1202"/>
      <c r="FHV9" s="1202"/>
      <c r="FHW9" s="1202"/>
      <c r="FHX9" s="1202"/>
      <c r="FHY9" s="1202"/>
      <c r="FHZ9" s="1202"/>
      <c r="FIA9" s="1202"/>
      <c r="FIB9" s="1202"/>
      <c r="FIC9" s="1202"/>
      <c r="FID9" s="1202"/>
      <c r="FIE9" s="1202"/>
      <c r="FIF9" s="1202"/>
      <c r="FIG9" s="1202"/>
      <c r="FIH9" s="1202"/>
      <c r="FII9" s="1202"/>
      <c r="FIJ9" s="1202"/>
      <c r="FIK9" s="1202"/>
      <c r="FIL9" s="1202"/>
      <c r="FIM9" s="1202"/>
      <c r="FIN9" s="1202"/>
      <c r="FIO9" s="1202"/>
      <c r="FIP9" s="1202"/>
      <c r="FIQ9" s="1202"/>
      <c r="FIR9" s="1202"/>
      <c r="FIS9" s="1202"/>
      <c r="FIT9" s="1202"/>
      <c r="FIU9" s="1202"/>
      <c r="FIV9" s="1202"/>
      <c r="FIW9" s="1202"/>
      <c r="FIX9" s="1202"/>
      <c r="FIY9" s="1202"/>
      <c r="FIZ9" s="1202"/>
      <c r="FJA9" s="1202"/>
      <c r="FJB9" s="1202"/>
      <c r="FJC9" s="1202"/>
      <c r="FJD9" s="1202"/>
      <c r="FJE9" s="1202"/>
      <c r="FJF9" s="1202"/>
      <c r="FJG9" s="1202"/>
      <c r="FJH9" s="1202"/>
      <c r="FJI9" s="1202"/>
      <c r="FJJ9" s="1202"/>
      <c r="FJK9" s="1202"/>
      <c r="FJL9" s="1202"/>
      <c r="FJM9" s="1202"/>
      <c r="FJN9" s="1202"/>
      <c r="FJO9" s="1202"/>
      <c r="FJP9" s="1202"/>
      <c r="FJQ9" s="1202"/>
      <c r="FJR9" s="1202"/>
      <c r="FJS9" s="1202"/>
      <c r="FJT9" s="1202"/>
      <c r="FJU9" s="1202"/>
      <c r="FJV9" s="1202"/>
      <c r="FJW9" s="1202"/>
      <c r="FJX9" s="1202"/>
      <c r="FJY9" s="1202"/>
      <c r="FJZ9" s="1202"/>
      <c r="FKA9" s="1202"/>
      <c r="FKB9" s="1202"/>
      <c r="FKC9" s="1202"/>
      <c r="FKD9" s="1202"/>
      <c r="FKE9" s="1202"/>
      <c r="FKF9" s="1202"/>
      <c r="FKG9" s="1202"/>
      <c r="FKH9" s="1202"/>
      <c r="FKI9" s="1202"/>
      <c r="FKJ9" s="1202"/>
      <c r="FKK9" s="1202"/>
      <c r="FKL9" s="1202"/>
      <c r="FKM9" s="1202"/>
      <c r="FKN9" s="1202"/>
      <c r="FKO9" s="1202"/>
      <c r="FKP9" s="1202"/>
      <c r="FKQ9" s="1202"/>
      <c r="FKR9" s="1202"/>
      <c r="FKS9" s="1202"/>
      <c r="FKT9" s="1202"/>
      <c r="FKU9" s="1202"/>
      <c r="FKV9" s="1202"/>
      <c r="FKW9" s="1202"/>
      <c r="FKX9" s="1202"/>
      <c r="FKY9" s="1202"/>
      <c r="FKZ9" s="1202"/>
      <c r="FLA9" s="1202"/>
      <c r="FLB9" s="1202"/>
      <c r="FLC9" s="1202"/>
      <c r="FLD9" s="1202"/>
      <c r="FLE9" s="1202"/>
      <c r="FLF9" s="1202"/>
      <c r="FLG9" s="1202"/>
      <c r="FLH9" s="1202"/>
      <c r="FLI9" s="1202"/>
      <c r="FLJ9" s="1202"/>
      <c r="FLK9" s="1202"/>
      <c r="FLL9" s="1202"/>
      <c r="FLM9" s="1202"/>
      <c r="FLN9" s="1202"/>
      <c r="FLO9" s="1202"/>
      <c r="FLP9" s="1202"/>
      <c r="FLQ9" s="1202"/>
      <c r="FLR9" s="1202"/>
      <c r="FLS9" s="1202"/>
      <c r="FLT9" s="1202"/>
      <c r="FLU9" s="1202"/>
      <c r="FLV9" s="1202"/>
      <c r="FLW9" s="1202"/>
      <c r="FLX9" s="1202"/>
      <c r="FLY9" s="1202"/>
      <c r="FLZ9" s="1202"/>
      <c r="FMA9" s="1202"/>
      <c r="FMB9" s="1202"/>
      <c r="FMC9" s="1202"/>
      <c r="FMD9" s="1202"/>
      <c r="FME9" s="1202"/>
      <c r="FMF9" s="1202"/>
      <c r="FMG9" s="1202"/>
      <c r="FMH9" s="1202"/>
      <c r="FMI9" s="1202"/>
      <c r="FMJ9" s="1202"/>
      <c r="FMK9" s="1202"/>
      <c r="FML9" s="1202"/>
      <c r="FMM9" s="1202"/>
      <c r="FMN9" s="1202"/>
      <c r="FMO9" s="1202"/>
      <c r="FMP9" s="1202"/>
      <c r="FMQ9" s="1202"/>
      <c r="FMR9" s="1202"/>
      <c r="FMS9" s="1202"/>
      <c r="FMT9" s="1202"/>
      <c r="FMU9" s="1202"/>
      <c r="FMV9" s="1202"/>
      <c r="FMW9" s="1202"/>
      <c r="FMX9" s="1202"/>
      <c r="FMY9" s="1202"/>
      <c r="FMZ9" s="1202"/>
      <c r="FNA9" s="1202"/>
      <c r="FNB9" s="1202"/>
      <c r="FNC9" s="1202"/>
      <c r="FND9" s="1202"/>
      <c r="FNE9" s="1202"/>
      <c r="FNF9" s="1202"/>
      <c r="FNG9" s="1202"/>
      <c r="FNH9" s="1202"/>
      <c r="FNI9" s="1202"/>
      <c r="FNJ9" s="1202"/>
      <c r="FNK9" s="1202"/>
      <c r="FNL9" s="1202"/>
      <c r="FNM9" s="1202"/>
      <c r="FNN9" s="1202"/>
      <c r="FNO9" s="1202"/>
      <c r="FNP9" s="1202"/>
      <c r="FNQ9" s="1202"/>
      <c r="FNR9" s="1202"/>
      <c r="FNS9" s="1202"/>
      <c r="FNT9" s="1202"/>
      <c r="FNU9" s="1202"/>
      <c r="FNV9" s="1202"/>
      <c r="FNW9" s="1202"/>
      <c r="FNX9" s="1202"/>
      <c r="FNY9" s="1202"/>
      <c r="FNZ9" s="1202"/>
      <c r="FOA9" s="1202"/>
      <c r="FOB9" s="1202"/>
      <c r="FOC9" s="1202"/>
      <c r="FOD9" s="1202"/>
      <c r="FOE9" s="1202"/>
      <c r="FOF9" s="1202"/>
      <c r="FOG9" s="1202"/>
      <c r="FOH9" s="1202"/>
      <c r="FOI9" s="1202"/>
      <c r="FOJ9" s="1202"/>
      <c r="FOK9" s="1202"/>
      <c r="FOL9" s="1202"/>
      <c r="FOM9" s="1202"/>
      <c r="FON9" s="1202"/>
      <c r="FOO9" s="1202"/>
      <c r="FOP9" s="1202"/>
      <c r="FOQ9" s="1202"/>
      <c r="FOR9" s="1202"/>
      <c r="FOS9" s="1202"/>
      <c r="FOT9" s="1202"/>
      <c r="FOU9" s="1202"/>
      <c r="FOV9" s="1202"/>
      <c r="FOW9" s="1202"/>
      <c r="FOX9" s="1202"/>
      <c r="FOY9" s="1202"/>
      <c r="FOZ9" s="1202"/>
      <c r="FPA9" s="1202"/>
      <c r="FPB9" s="1202"/>
      <c r="FPC9" s="1202"/>
      <c r="FPD9" s="1202"/>
      <c r="FPE9" s="1202"/>
      <c r="FPF9" s="1202"/>
      <c r="FPG9" s="1202"/>
      <c r="FPH9" s="1202"/>
      <c r="FPI9" s="1202"/>
      <c r="FPJ9" s="1202"/>
      <c r="FPK9" s="1202"/>
      <c r="FPL9" s="1202"/>
      <c r="FPM9" s="1202"/>
      <c r="FPN9" s="1202"/>
      <c r="FPO9" s="1202"/>
      <c r="FPP9" s="1202"/>
      <c r="FPQ9" s="1202"/>
      <c r="FPR9" s="1202"/>
      <c r="FPS9" s="1202"/>
      <c r="FPT9" s="1202"/>
      <c r="FPU9" s="1202"/>
      <c r="FPV9" s="1202"/>
      <c r="FPW9" s="1202"/>
      <c r="FPX9" s="1202"/>
      <c r="FPY9" s="1202"/>
      <c r="FPZ9" s="1202"/>
      <c r="FQA9" s="1202"/>
      <c r="FQB9" s="1202"/>
      <c r="FQC9" s="1202"/>
      <c r="FQD9" s="1202"/>
      <c r="FQE9" s="1202"/>
      <c r="FQF9" s="1202"/>
      <c r="FQG9" s="1202"/>
      <c r="FQH9" s="1202"/>
      <c r="FQI9" s="1202"/>
      <c r="FQJ9" s="1202"/>
      <c r="FQK9" s="1202"/>
      <c r="FQL9" s="1202"/>
      <c r="FQM9" s="1202"/>
      <c r="FQN9" s="1202"/>
      <c r="FQO9" s="1202"/>
      <c r="FQP9" s="1202"/>
      <c r="FQQ9" s="1202"/>
      <c r="FQR9" s="1202"/>
      <c r="FQS9" s="1202"/>
      <c r="FQT9" s="1202"/>
      <c r="FQU9" s="1202"/>
      <c r="FQV9" s="1202"/>
      <c r="FQW9" s="1202"/>
      <c r="FQX9" s="1202"/>
      <c r="FQY9" s="1202"/>
      <c r="FQZ9" s="1202"/>
      <c r="FRA9" s="1202"/>
      <c r="FRB9" s="1202"/>
      <c r="FRC9" s="1202"/>
      <c r="FRD9" s="1202"/>
      <c r="FRE9" s="1202"/>
      <c r="FRF9" s="1202"/>
      <c r="FRG9" s="1202"/>
      <c r="FRH9" s="1202"/>
      <c r="FRI9" s="1202"/>
      <c r="FRJ9" s="1202"/>
      <c r="FRK9" s="1202"/>
      <c r="FRL9" s="1202"/>
      <c r="FRM9" s="1202"/>
      <c r="FRN9" s="1202"/>
      <c r="FRO9" s="1202"/>
      <c r="FRP9" s="1202"/>
      <c r="FRQ9" s="1202"/>
      <c r="FRR9" s="1202"/>
      <c r="FRS9" s="1202"/>
      <c r="FRT9" s="1202"/>
      <c r="FRU9" s="1202"/>
      <c r="FRV9" s="1202"/>
      <c r="FRW9" s="1202"/>
      <c r="FRX9" s="1202"/>
      <c r="FRY9" s="1202"/>
      <c r="FRZ9" s="1202"/>
      <c r="FSA9" s="1202"/>
      <c r="FSB9" s="1202"/>
      <c r="FSC9" s="1202"/>
      <c r="FSD9" s="1202"/>
      <c r="FSE9" s="1202"/>
      <c r="FSF9" s="1202"/>
      <c r="FSG9" s="1202"/>
      <c r="FSH9" s="1202"/>
      <c r="FSI9" s="1202"/>
      <c r="FSJ9" s="1202"/>
      <c r="FSK9" s="1202"/>
      <c r="FSL9" s="1202"/>
      <c r="FSM9" s="1202"/>
      <c r="FSN9" s="1202"/>
      <c r="FSO9" s="1202"/>
      <c r="FSP9" s="1202"/>
      <c r="FSQ9" s="1202"/>
      <c r="FSR9" s="1202"/>
      <c r="FSS9" s="1202"/>
      <c r="FST9" s="1202"/>
      <c r="FSU9" s="1202"/>
      <c r="FSV9" s="1202"/>
      <c r="FSW9" s="1202"/>
      <c r="FSX9" s="1202"/>
      <c r="FSY9" s="1202"/>
      <c r="FSZ9" s="1202"/>
      <c r="FTA9" s="1202"/>
      <c r="FTB9" s="1202"/>
      <c r="FTC9" s="1202"/>
      <c r="FTD9" s="1202"/>
      <c r="FTE9" s="1202"/>
      <c r="FTF9" s="1202"/>
      <c r="FTG9" s="1202"/>
      <c r="FTH9" s="1202"/>
      <c r="FTI9" s="1202"/>
      <c r="FTJ9" s="1202"/>
      <c r="FTK9" s="1202"/>
      <c r="FTL9" s="1202"/>
      <c r="FTM9" s="1202"/>
      <c r="FTN9" s="1202"/>
      <c r="FTO9" s="1202"/>
      <c r="FTP9" s="1202"/>
      <c r="FTQ9" s="1202"/>
      <c r="FTR9" s="1202"/>
      <c r="FTS9" s="1202"/>
      <c r="FTT9" s="1202"/>
      <c r="FTU9" s="1202"/>
      <c r="FTV9" s="1202"/>
      <c r="FTW9" s="1202"/>
      <c r="FTX9" s="1202"/>
      <c r="FTY9" s="1202"/>
      <c r="FTZ9" s="1202"/>
      <c r="FUA9" s="1202"/>
      <c r="FUB9" s="1202"/>
      <c r="FUC9" s="1202"/>
      <c r="FUD9" s="1202"/>
      <c r="FUE9" s="1202"/>
      <c r="FUF9" s="1202"/>
      <c r="FUG9" s="1202"/>
      <c r="FUH9" s="1202"/>
      <c r="FUI9" s="1202"/>
      <c r="FUJ9" s="1202"/>
      <c r="FUK9" s="1202"/>
      <c r="FUL9" s="1202"/>
      <c r="FUM9" s="1202"/>
      <c r="FUN9" s="1202"/>
      <c r="FUO9" s="1202"/>
      <c r="FUP9" s="1202"/>
      <c r="FUQ9" s="1202"/>
      <c r="FUR9" s="1202"/>
      <c r="FUS9" s="1202"/>
      <c r="FUT9" s="1202"/>
      <c r="FUU9" s="1202"/>
      <c r="FUV9" s="1202"/>
      <c r="FUW9" s="1202"/>
      <c r="FUX9" s="1202"/>
      <c r="FUY9" s="1202"/>
      <c r="FUZ9" s="1202"/>
      <c r="FVA9" s="1202"/>
      <c r="FVB9" s="1202"/>
      <c r="FVC9" s="1202"/>
      <c r="FVD9" s="1202"/>
      <c r="FVE9" s="1202"/>
      <c r="FVF9" s="1202"/>
      <c r="FVG9" s="1202"/>
      <c r="FVH9" s="1202"/>
      <c r="FVI9" s="1202"/>
      <c r="FVJ9" s="1202"/>
      <c r="FVK9" s="1202"/>
      <c r="FVL9" s="1202"/>
      <c r="FVM9" s="1202"/>
      <c r="FVN9" s="1202"/>
      <c r="FVO9" s="1202"/>
      <c r="FVP9" s="1202"/>
      <c r="FVQ9" s="1202"/>
      <c r="FVR9" s="1202"/>
      <c r="FVS9" s="1202"/>
      <c r="FVT9" s="1202"/>
      <c r="FVU9" s="1202"/>
      <c r="FVV9" s="1202"/>
      <c r="FVW9" s="1202"/>
      <c r="FVX9" s="1202"/>
      <c r="FVY9" s="1202"/>
      <c r="FVZ9" s="1202"/>
      <c r="FWA9" s="1202"/>
      <c r="FWB9" s="1202"/>
      <c r="FWC9" s="1202"/>
      <c r="FWD9" s="1202"/>
      <c r="FWE9" s="1202"/>
      <c r="FWF9" s="1202"/>
      <c r="FWG9" s="1202"/>
      <c r="FWH9" s="1202"/>
      <c r="FWI9" s="1202"/>
      <c r="FWJ9" s="1202"/>
      <c r="FWK9" s="1202"/>
      <c r="FWL9" s="1202"/>
      <c r="FWM9" s="1202"/>
      <c r="FWN9" s="1202"/>
      <c r="FWO9" s="1202"/>
      <c r="FWP9" s="1202"/>
      <c r="FWQ9" s="1202"/>
      <c r="FWR9" s="1202"/>
      <c r="FWS9" s="1202"/>
      <c r="FWT9" s="1202"/>
      <c r="FWU9" s="1202"/>
      <c r="FWV9" s="1202"/>
      <c r="FWW9" s="1202"/>
      <c r="FWX9" s="1202"/>
      <c r="FWY9" s="1202"/>
      <c r="FWZ9" s="1202"/>
      <c r="FXA9" s="1202"/>
      <c r="FXB9" s="1202"/>
      <c r="FXC9" s="1202"/>
      <c r="FXD9" s="1202"/>
      <c r="FXE9" s="1202"/>
      <c r="FXF9" s="1202"/>
      <c r="FXG9" s="1202"/>
      <c r="FXH9" s="1202"/>
      <c r="FXI9" s="1202"/>
      <c r="FXJ9" s="1202"/>
      <c r="FXK9" s="1202"/>
      <c r="FXL9" s="1202"/>
      <c r="FXM9" s="1202"/>
      <c r="FXN9" s="1202"/>
      <c r="FXO9" s="1202"/>
      <c r="FXP9" s="1202"/>
      <c r="FXQ9" s="1202"/>
      <c r="FXR9" s="1202"/>
      <c r="FXS9" s="1202"/>
      <c r="FXT9" s="1202"/>
      <c r="FXU9" s="1202"/>
      <c r="FXV9" s="1202"/>
      <c r="FXW9" s="1202"/>
      <c r="FXX9" s="1202"/>
      <c r="FXY9" s="1202"/>
      <c r="FXZ9" s="1202"/>
      <c r="FYA9" s="1202"/>
      <c r="FYB9" s="1202"/>
      <c r="FYC9" s="1202"/>
      <c r="FYD9" s="1202"/>
      <c r="FYE9" s="1202"/>
      <c r="FYF9" s="1202"/>
      <c r="FYG9" s="1202"/>
      <c r="FYH9" s="1202"/>
      <c r="FYI9" s="1202"/>
      <c r="FYJ9" s="1202"/>
      <c r="FYK9" s="1202"/>
      <c r="FYL9" s="1202"/>
      <c r="FYM9" s="1202"/>
      <c r="FYN9" s="1202"/>
      <c r="FYO9" s="1202"/>
      <c r="FYP9" s="1202"/>
      <c r="FYQ9" s="1202"/>
      <c r="FYR9" s="1202"/>
      <c r="FYS9" s="1202"/>
      <c r="FYT9" s="1202"/>
      <c r="FYU9" s="1202"/>
      <c r="FYV9" s="1202"/>
      <c r="FYW9" s="1202"/>
      <c r="FYX9" s="1202"/>
      <c r="FYY9" s="1202"/>
      <c r="FYZ9" s="1202"/>
      <c r="FZA9" s="1202"/>
      <c r="FZB9" s="1202"/>
      <c r="FZC9" s="1202"/>
      <c r="FZD9" s="1202"/>
      <c r="FZE9" s="1202"/>
      <c r="FZF9" s="1202"/>
      <c r="FZG9" s="1202"/>
      <c r="FZH9" s="1202"/>
      <c r="FZI9" s="1202"/>
      <c r="FZJ9" s="1202"/>
      <c r="FZK9" s="1202"/>
      <c r="FZL9" s="1202"/>
      <c r="FZM9" s="1202"/>
      <c r="FZN9" s="1202"/>
      <c r="FZO9" s="1202"/>
      <c r="FZP9" s="1202"/>
      <c r="FZQ9" s="1202"/>
      <c r="FZR9" s="1202"/>
      <c r="FZS9" s="1202"/>
      <c r="FZT9" s="1202"/>
      <c r="FZU9" s="1202"/>
      <c r="FZV9" s="1202"/>
      <c r="FZW9" s="1202"/>
      <c r="FZX9" s="1202"/>
      <c r="FZY9" s="1202"/>
      <c r="FZZ9" s="1202"/>
      <c r="GAA9" s="1202"/>
      <c r="GAB9" s="1202"/>
      <c r="GAC9" s="1202"/>
      <c r="GAD9" s="1202"/>
      <c r="GAE9" s="1202"/>
      <c r="GAF9" s="1202"/>
      <c r="GAG9" s="1202"/>
      <c r="GAH9" s="1202"/>
      <c r="GAI9" s="1202"/>
      <c r="GAJ9" s="1202"/>
      <c r="GAK9" s="1202"/>
      <c r="GAL9" s="1202"/>
      <c r="GAM9" s="1202"/>
      <c r="GAN9" s="1202"/>
      <c r="GAO9" s="1202"/>
      <c r="GAP9" s="1202"/>
      <c r="GAQ9" s="1202"/>
      <c r="GAR9" s="1202"/>
      <c r="GAS9" s="1202"/>
      <c r="GAT9" s="1202"/>
      <c r="GAU9" s="1202"/>
      <c r="GAV9" s="1202"/>
      <c r="GAW9" s="1202"/>
      <c r="GAX9" s="1202"/>
      <c r="GAY9" s="1202"/>
      <c r="GAZ9" s="1202"/>
      <c r="GBA9" s="1202"/>
      <c r="GBB9" s="1202"/>
      <c r="GBC9" s="1202"/>
      <c r="GBD9" s="1202"/>
      <c r="GBE9" s="1202"/>
      <c r="GBF9" s="1202"/>
      <c r="GBG9" s="1202"/>
      <c r="GBH9" s="1202"/>
      <c r="GBI9" s="1202"/>
      <c r="GBJ9" s="1202"/>
      <c r="GBK9" s="1202"/>
      <c r="GBL9" s="1202"/>
      <c r="GBM9" s="1202"/>
      <c r="GBN9" s="1202"/>
      <c r="GBO9" s="1202"/>
      <c r="GBP9" s="1202"/>
      <c r="GBQ9" s="1202"/>
      <c r="GBR9" s="1202"/>
      <c r="GBS9" s="1202"/>
      <c r="GBT9" s="1202"/>
      <c r="GBU9" s="1202"/>
      <c r="GBV9" s="1202"/>
      <c r="GBW9" s="1202"/>
      <c r="GBX9" s="1202"/>
      <c r="GBY9" s="1202"/>
      <c r="GBZ9" s="1202"/>
      <c r="GCA9" s="1202"/>
      <c r="GCB9" s="1202"/>
      <c r="GCC9" s="1202"/>
      <c r="GCD9" s="1202"/>
      <c r="GCE9" s="1202"/>
      <c r="GCF9" s="1202"/>
      <c r="GCG9" s="1202"/>
      <c r="GCH9" s="1202"/>
      <c r="GCI9" s="1202"/>
      <c r="GCJ9" s="1202"/>
      <c r="GCK9" s="1202"/>
      <c r="GCL9" s="1202"/>
      <c r="GCM9" s="1202"/>
      <c r="GCN9" s="1202"/>
      <c r="GCO9" s="1202"/>
      <c r="GCP9" s="1202"/>
      <c r="GCQ9" s="1202"/>
      <c r="GCR9" s="1202"/>
      <c r="GCS9" s="1202"/>
      <c r="GCT9" s="1202"/>
      <c r="GCU9" s="1202"/>
      <c r="GCV9" s="1202"/>
      <c r="GCW9" s="1202"/>
      <c r="GCX9" s="1202"/>
      <c r="GCY9" s="1202"/>
      <c r="GCZ9" s="1202"/>
      <c r="GDA9" s="1202"/>
      <c r="GDB9" s="1202"/>
      <c r="GDC9" s="1202"/>
      <c r="GDD9" s="1202"/>
      <c r="GDE9" s="1202"/>
      <c r="GDF9" s="1202"/>
      <c r="GDG9" s="1202"/>
      <c r="GDH9" s="1202"/>
      <c r="GDI9" s="1202"/>
      <c r="GDJ9" s="1202"/>
      <c r="GDK9" s="1202"/>
      <c r="GDL9" s="1202"/>
      <c r="GDM9" s="1202"/>
      <c r="GDN9" s="1202"/>
      <c r="GDO9" s="1202"/>
      <c r="GDP9" s="1202"/>
      <c r="GDQ9" s="1202"/>
      <c r="GDR9" s="1202"/>
      <c r="GDS9" s="1202"/>
      <c r="GDT9" s="1202"/>
      <c r="GDU9" s="1202"/>
      <c r="GDV9" s="1202"/>
      <c r="GDW9" s="1202"/>
      <c r="GDX9" s="1202"/>
      <c r="GDY9" s="1202"/>
      <c r="GDZ9" s="1202"/>
      <c r="GEA9" s="1202"/>
      <c r="GEB9" s="1202"/>
      <c r="GEC9" s="1202"/>
      <c r="GED9" s="1202"/>
      <c r="GEE9" s="1202"/>
      <c r="GEF9" s="1202"/>
      <c r="GEG9" s="1202"/>
      <c r="GEH9" s="1202"/>
      <c r="GEI9" s="1202"/>
      <c r="GEJ9" s="1202"/>
      <c r="GEK9" s="1202"/>
      <c r="GEL9" s="1202"/>
      <c r="GEM9" s="1202"/>
      <c r="GEN9" s="1202"/>
      <c r="GEO9" s="1202"/>
      <c r="GEP9" s="1202"/>
      <c r="GEQ9" s="1202"/>
      <c r="GER9" s="1202"/>
      <c r="GES9" s="1202"/>
      <c r="GET9" s="1202"/>
      <c r="GEU9" s="1202"/>
      <c r="GEV9" s="1202"/>
      <c r="GEW9" s="1202"/>
      <c r="GEX9" s="1202"/>
      <c r="GEY9" s="1202"/>
      <c r="GEZ9" s="1202"/>
      <c r="GFA9" s="1202"/>
      <c r="GFB9" s="1202"/>
      <c r="GFC9" s="1202"/>
      <c r="GFD9" s="1202"/>
      <c r="GFE9" s="1202"/>
      <c r="GFF9" s="1202"/>
      <c r="GFG9" s="1202"/>
      <c r="GFH9" s="1202"/>
      <c r="GFI9" s="1202"/>
      <c r="GFJ9" s="1202"/>
      <c r="GFK9" s="1202"/>
      <c r="GFL9" s="1202"/>
      <c r="GFM9" s="1202"/>
      <c r="GFN9" s="1202"/>
      <c r="GFO9" s="1202"/>
      <c r="GFP9" s="1202"/>
      <c r="GFQ9" s="1202"/>
      <c r="GFR9" s="1202"/>
      <c r="GFS9" s="1202"/>
      <c r="GFT9" s="1202"/>
      <c r="GFU9" s="1202"/>
      <c r="GFV9" s="1202"/>
      <c r="GFW9" s="1202"/>
      <c r="GFX9" s="1202"/>
      <c r="GFY9" s="1202"/>
      <c r="GFZ9" s="1202"/>
      <c r="GGA9" s="1202"/>
      <c r="GGB9" s="1202"/>
      <c r="GGC9" s="1202"/>
      <c r="GGD9" s="1202"/>
      <c r="GGE9" s="1202"/>
      <c r="GGF9" s="1202"/>
      <c r="GGG9" s="1202"/>
      <c r="GGH9" s="1202"/>
      <c r="GGI9" s="1202"/>
      <c r="GGJ9" s="1202"/>
      <c r="GGK9" s="1202"/>
      <c r="GGL9" s="1202"/>
      <c r="GGM9" s="1202"/>
      <c r="GGN9" s="1202"/>
      <c r="GGO9" s="1202"/>
      <c r="GGP9" s="1202"/>
      <c r="GGQ9" s="1202"/>
      <c r="GGR9" s="1202"/>
      <c r="GGS9" s="1202"/>
      <c r="GGT9" s="1202"/>
      <c r="GGU9" s="1202"/>
      <c r="GGV9" s="1202"/>
      <c r="GGW9" s="1202"/>
      <c r="GGX9" s="1202"/>
      <c r="GGY9" s="1202"/>
      <c r="GGZ9" s="1202"/>
      <c r="GHA9" s="1202"/>
      <c r="GHB9" s="1202"/>
      <c r="GHC9" s="1202"/>
      <c r="GHD9" s="1202"/>
      <c r="GHE9" s="1202"/>
      <c r="GHF9" s="1202"/>
      <c r="GHG9" s="1202"/>
      <c r="GHH9" s="1202"/>
      <c r="GHI9" s="1202"/>
      <c r="GHJ9" s="1202"/>
      <c r="GHK9" s="1202"/>
      <c r="GHL9" s="1202"/>
      <c r="GHM9" s="1202"/>
      <c r="GHN9" s="1202"/>
      <c r="GHO9" s="1202"/>
      <c r="GHP9" s="1202"/>
      <c r="GHQ9" s="1202"/>
      <c r="GHR9" s="1202"/>
      <c r="GHS9" s="1202"/>
      <c r="GHT9" s="1202"/>
      <c r="GHU9" s="1202"/>
      <c r="GHV9" s="1202"/>
      <c r="GHW9" s="1202"/>
      <c r="GHX9" s="1202"/>
      <c r="GHY9" s="1202"/>
      <c r="GHZ9" s="1202"/>
      <c r="GIA9" s="1202"/>
      <c r="GIB9" s="1202"/>
      <c r="GIC9" s="1202"/>
      <c r="GID9" s="1202"/>
      <c r="GIE9" s="1202"/>
      <c r="GIF9" s="1202"/>
      <c r="GIG9" s="1202"/>
      <c r="GIH9" s="1202"/>
      <c r="GII9" s="1202"/>
      <c r="GIJ9" s="1202"/>
      <c r="GIK9" s="1202"/>
      <c r="GIL9" s="1202"/>
      <c r="GIM9" s="1202"/>
      <c r="GIN9" s="1202"/>
      <c r="GIO9" s="1202"/>
      <c r="GIP9" s="1202"/>
      <c r="GIQ9" s="1202"/>
      <c r="GIR9" s="1202"/>
      <c r="GIS9" s="1202"/>
      <c r="GIT9" s="1202"/>
      <c r="GIU9" s="1202"/>
      <c r="GIV9" s="1202"/>
      <c r="GIW9" s="1202"/>
      <c r="GIX9" s="1202"/>
      <c r="GIY9" s="1202"/>
      <c r="GIZ9" s="1202"/>
      <c r="GJA9" s="1202"/>
      <c r="GJB9" s="1202"/>
      <c r="GJC9" s="1202"/>
      <c r="GJD9" s="1202"/>
      <c r="GJE9" s="1202"/>
      <c r="GJF9" s="1202"/>
      <c r="GJG9" s="1202"/>
      <c r="GJH9" s="1202"/>
      <c r="GJI9" s="1202"/>
      <c r="GJJ9" s="1202"/>
      <c r="GJK9" s="1202"/>
      <c r="GJL9" s="1202"/>
      <c r="GJM9" s="1202"/>
      <c r="GJN9" s="1202"/>
      <c r="GJO9" s="1202"/>
      <c r="GJP9" s="1202"/>
      <c r="GJQ9" s="1202"/>
      <c r="GJR9" s="1202"/>
      <c r="GJS9" s="1202"/>
      <c r="GJT9" s="1202"/>
      <c r="GJU9" s="1202"/>
      <c r="GJV9" s="1202"/>
      <c r="GJW9" s="1202"/>
      <c r="GJX9" s="1202"/>
      <c r="GJY9" s="1202"/>
      <c r="GJZ9" s="1202"/>
      <c r="GKA9" s="1202"/>
      <c r="GKB9" s="1202"/>
      <c r="GKC9" s="1202"/>
      <c r="GKD9" s="1202"/>
      <c r="GKE9" s="1202"/>
      <c r="GKF9" s="1202"/>
      <c r="GKG9" s="1202"/>
      <c r="GKH9" s="1202"/>
      <c r="GKI9" s="1202"/>
      <c r="GKJ9" s="1202"/>
      <c r="GKK9" s="1202"/>
      <c r="GKL9" s="1202"/>
      <c r="GKM9" s="1202"/>
      <c r="GKN9" s="1202"/>
      <c r="GKO9" s="1202"/>
      <c r="GKP9" s="1202"/>
      <c r="GKQ9" s="1202"/>
      <c r="GKR9" s="1202"/>
      <c r="GKS9" s="1202"/>
      <c r="GKT9" s="1202"/>
      <c r="GKU9" s="1202"/>
      <c r="GKV9" s="1202"/>
      <c r="GKW9" s="1202"/>
      <c r="GKX9" s="1202"/>
      <c r="GKY9" s="1202"/>
      <c r="GKZ9" s="1202"/>
      <c r="GLA9" s="1202"/>
      <c r="GLB9" s="1202"/>
      <c r="GLC9" s="1202"/>
      <c r="GLD9" s="1202"/>
      <c r="GLE9" s="1202"/>
      <c r="GLF9" s="1202"/>
      <c r="GLG9" s="1202"/>
      <c r="GLH9" s="1202"/>
      <c r="GLI9" s="1202"/>
      <c r="GLJ9" s="1202"/>
      <c r="GLK9" s="1202"/>
      <c r="GLL9" s="1202"/>
      <c r="GLM9" s="1202"/>
      <c r="GLN9" s="1202"/>
      <c r="GLO9" s="1202"/>
      <c r="GLP9" s="1202"/>
      <c r="GLQ9" s="1202"/>
      <c r="GLR9" s="1202"/>
      <c r="GLS9" s="1202"/>
      <c r="GLT9" s="1202"/>
      <c r="GLU9" s="1202"/>
      <c r="GLV9" s="1202"/>
      <c r="GLW9" s="1202"/>
      <c r="GLX9" s="1202"/>
      <c r="GLY9" s="1202"/>
      <c r="GLZ9" s="1202"/>
      <c r="GMA9" s="1202"/>
      <c r="GMB9" s="1202"/>
      <c r="GMC9" s="1202"/>
      <c r="GMD9" s="1202"/>
      <c r="GME9" s="1202"/>
      <c r="GMF9" s="1202"/>
      <c r="GMG9" s="1202"/>
      <c r="GMH9" s="1202"/>
      <c r="GMI9" s="1202"/>
      <c r="GMJ9" s="1202"/>
      <c r="GMK9" s="1202"/>
      <c r="GML9" s="1202"/>
      <c r="GMM9" s="1202"/>
      <c r="GMN9" s="1202"/>
      <c r="GMO9" s="1202"/>
      <c r="GMP9" s="1202"/>
      <c r="GMQ9" s="1202"/>
      <c r="GMR9" s="1202"/>
      <c r="GMS9" s="1202"/>
      <c r="GMT9" s="1202"/>
      <c r="GMU9" s="1202"/>
      <c r="GMV9" s="1202"/>
      <c r="GMW9" s="1202"/>
      <c r="GMX9" s="1202"/>
      <c r="GMY9" s="1202"/>
      <c r="GMZ9" s="1202"/>
      <c r="GNA9" s="1202"/>
      <c r="GNB9" s="1202"/>
      <c r="GNC9" s="1202"/>
      <c r="GND9" s="1202"/>
      <c r="GNE9" s="1202"/>
      <c r="GNF9" s="1202"/>
      <c r="GNG9" s="1202"/>
      <c r="GNH9" s="1202"/>
      <c r="GNI9" s="1202"/>
      <c r="GNJ9" s="1202"/>
      <c r="GNK9" s="1202"/>
      <c r="GNL9" s="1202"/>
      <c r="GNM9" s="1202"/>
      <c r="GNN9" s="1202"/>
      <c r="GNO9" s="1202"/>
      <c r="GNP9" s="1202"/>
      <c r="GNQ9" s="1202"/>
      <c r="GNR9" s="1202"/>
      <c r="GNS9" s="1202"/>
      <c r="GNT9" s="1202"/>
      <c r="GNU9" s="1202"/>
      <c r="GNV9" s="1202"/>
      <c r="GNW9" s="1202"/>
      <c r="GNX9" s="1202"/>
      <c r="GNY9" s="1202"/>
      <c r="GNZ9" s="1202"/>
      <c r="GOA9" s="1202"/>
      <c r="GOB9" s="1202"/>
      <c r="GOC9" s="1202"/>
      <c r="GOD9" s="1202"/>
      <c r="GOE9" s="1202"/>
      <c r="GOF9" s="1202"/>
      <c r="GOG9" s="1202"/>
      <c r="GOH9" s="1202"/>
      <c r="GOI9" s="1202"/>
      <c r="GOJ9" s="1202"/>
      <c r="GOK9" s="1202"/>
      <c r="GOL9" s="1202"/>
      <c r="GOM9" s="1202"/>
      <c r="GON9" s="1202"/>
      <c r="GOO9" s="1202"/>
      <c r="GOP9" s="1202"/>
      <c r="GOQ9" s="1202"/>
      <c r="GOR9" s="1202"/>
      <c r="GOS9" s="1202"/>
      <c r="GOT9" s="1202"/>
      <c r="GOU9" s="1202"/>
      <c r="GOV9" s="1202"/>
      <c r="GOW9" s="1202"/>
      <c r="GOX9" s="1202"/>
      <c r="GOY9" s="1202"/>
      <c r="GOZ9" s="1202"/>
      <c r="GPA9" s="1202"/>
      <c r="GPB9" s="1202"/>
      <c r="GPC9" s="1202"/>
      <c r="GPD9" s="1202"/>
      <c r="GPE9" s="1202"/>
      <c r="GPF9" s="1202"/>
      <c r="GPG9" s="1202"/>
      <c r="GPH9" s="1202"/>
      <c r="GPI9" s="1202"/>
      <c r="GPJ9" s="1202"/>
      <c r="GPK9" s="1202"/>
      <c r="GPL9" s="1202"/>
      <c r="GPM9" s="1202"/>
      <c r="GPN9" s="1202"/>
      <c r="GPO9" s="1202"/>
      <c r="GPP9" s="1202"/>
      <c r="GPQ9" s="1202"/>
      <c r="GPR9" s="1202"/>
      <c r="GPS9" s="1202"/>
      <c r="GPT9" s="1202"/>
      <c r="GPU9" s="1202"/>
      <c r="GPV9" s="1202"/>
      <c r="GPW9" s="1202"/>
      <c r="GPX9" s="1202"/>
      <c r="GPY9" s="1202"/>
      <c r="GPZ9" s="1202"/>
      <c r="GQA9" s="1202"/>
      <c r="GQB9" s="1202"/>
      <c r="GQC9" s="1202"/>
      <c r="GQD9" s="1202"/>
      <c r="GQE9" s="1202"/>
      <c r="GQF9" s="1202"/>
      <c r="GQG9" s="1202"/>
      <c r="GQH9" s="1202"/>
      <c r="GQI9" s="1202"/>
      <c r="GQJ9" s="1202"/>
      <c r="GQK9" s="1202"/>
      <c r="GQL9" s="1202"/>
      <c r="GQM9" s="1202"/>
      <c r="GQN9" s="1202"/>
      <c r="GQO9" s="1202"/>
      <c r="GQP9" s="1202"/>
      <c r="GQQ9" s="1202"/>
      <c r="GQR9" s="1202"/>
      <c r="GQS9" s="1202"/>
      <c r="GQT9" s="1202"/>
      <c r="GQU9" s="1202"/>
      <c r="GQV9" s="1202"/>
      <c r="GQW9" s="1202"/>
      <c r="GQX9" s="1202"/>
      <c r="GQY9" s="1202"/>
      <c r="GQZ9" s="1202"/>
      <c r="GRA9" s="1202"/>
      <c r="GRB9" s="1202"/>
      <c r="GRC9" s="1202"/>
      <c r="GRD9" s="1202"/>
      <c r="GRE9" s="1202"/>
      <c r="GRF9" s="1202"/>
      <c r="GRG9" s="1202"/>
      <c r="GRH9" s="1202"/>
      <c r="GRI9" s="1202"/>
      <c r="GRJ9" s="1202"/>
      <c r="GRK9" s="1202"/>
      <c r="GRL9" s="1202"/>
      <c r="GRM9" s="1202"/>
      <c r="GRN9" s="1202"/>
      <c r="GRO9" s="1202"/>
      <c r="GRP9" s="1202"/>
      <c r="GRQ9" s="1202"/>
      <c r="GRR9" s="1202"/>
      <c r="GRS9" s="1202"/>
      <c r="GRT9" s="1202"/>
      <c r="GRU9" s="1202"/>
      <c r="GRV9" s="1202"/>
      <c r="GRW9" s="1202"/>
      <c r="GRX9" s="1202"/>
      <c r="GRY9" s="1202"/>
      <c r="GRZ9" s="1202"/>
      <c r="GSA9" s="1202"/>
      <c r="GSB9" s="1202"/>
      <c r="GSC9" s="1202"/>
      <c r="GSD9" s="1202"/>
      <c r="GSE9" s="1202"/>
      <c r="GSF9" s="1202"/>
      <c r="GSG9" s="1202"/>
      <c r="GSH9" s="1202"/>
      <c r="GSI9" s="1202"/>
      <c r="GSJ9" s="1202"/>
      <c r="GSK9" s="1202"/>
      <c r="GSL9" s="1202"/>
      <c r="GSM9" s="1202"/>
      <c r="GSN9" s="1202"/>
      <c r="GSO9" s="1202"/>
      <c r="GSP9" s="1202"/>
      <c r="GSQ9" s="1202"/>
      <c r="GSR9" s="1202"/>
      <c r="GSS9" s="1202"/>
      <c r="GST9" s="1202"/>
      <c r="GSU9" s="1202"/>
      <c r="GSV9" s="1202"/>
      <c r="GSW9" s="1202"/>
      <c r="GSX9" s="1202"/>
      <c r="GSY9" s="1202"/>
      <c r="GSZ9" s="1202"/>
      <c r="GTA9" s="1202"/>
      <c r="GTB9" s="1202"/>
      <c r="GTC9" s="1202"/>
      <c r="GTD9" s="1202"/>
      <c r="GTE9" s="1202"/>
      <c r="GTF9" s="1202"/>
      <c r="GTG9" s="1202"/>
      <c r="GTH9" s="1202"/>
      <c r="GTI9" s="1202"/>
      <c r="GTJ9" s="1202"/>
      <c r="GTK9" s="1202"/>
      <c r="GTL9" s="1202"/>
      <c r="GTM9" s="1202"/>
      <c r="GTN9" s="1202"/>
      <c r="GTO9" s="1202"/>
      <c r="GTP9" s="1202"/>
      <c r="GTQ9" s="1202"/>
      <c r="GTR9" s="1202"/>
      <c r="GTS9" s="1202"/>
      <c r="GTT9" s="1202"/>
      <c r="GTU9" s="1202"/>
      <c r="GTV9" s="1202"/>
      <c r="GTW9" s="1202"/>
      <c r="GTX9" s="1202"/>
      <c r="GTY9" s="1202"/>
      <c r="GTZ9" s="1202"/>
      <c r="GUA9" s="1202"/>
      <c r="GUB9" s="1202"/>
      <c r="GUC9" s="1202"/>
      <c r="GUD9" s="1202"/>
      <c r="GUE9" s="1202"/>
      <c r="GUF9" s="1202"/>
      <c r="GUG9" s="1202"/>
      <c r="GUH9" s="1202"/>
      <c r="GUI9" s="1202"/>
      <c r="GUJ9" s="1202"/>
      <c r="GUK9" s="1202"/>
      <c r="GUL9" s="1202"/>
      <c r="GUM9" s="1202"/>
      <c r="GUN9" s="1202"/>
      <c r="GUO9" s="1202"/>
      <c r="GUP9" s="1202"/>
      <c r="GUQ9" s="1202"/>
      <c r="GUR9" s="1202"/>
      <c r="GUS9" s="1202"/>
      <c r="GUT9" s="1202"/>
      <c r="GUU9" s="1202"/>
      <c r="GUV9" s="1202"/>
      <c r="GUW9" s="1202"/>
      <c r="GUX9" s="1202"/>
      <c r="GUY9" s="1202"/>
      <c r="GUZ9" s="1202"/>
      <c r="GVA9" s="1202"/>
      <c r="GVB9" s="1202"/>
      <c r="GVC9" s="1202"/>
      <c r="GVD9" s="1202"/>
      <c r="GVE9" s="1202"/>
      <c r="GVF9" s="1202"/>
      <c r="GVG9" s="1202"/>
      <c r="GVH9" s="1202"/>
      <c r="GVI9" s="1202"/>
      <c r="GVJ9" s="1202"/>
      <c r="GVK9" s="1202"/>
      <c r="GVL9" s="1202"/>
      <c r="GVM9" s="1202"/>
      <c r="GVN9" s="1202"/>
      <c r="GVO9" s="1202"/>
      <c r="GVP9" s="1202"/>
      <c r="GVQ9" s="1202"/>
      <c r="GVR9" s="1202"/>
      <c r="GVS9" s="1202"/>
      <c r="GVT9" s="1202"/>
      <c r="GVU9" s="1202"/>
      <c r="GVV9" s="1202"/>
      <c r="GVW9" s="1202"/>
      <c r="GVX9" s="1202"/>
      <c r="GVY9" s="1202"/>
      <c r="GVZ9" s="1202"/>
      <c r="GWA9" s="1202"/>
      <c r="GWB9" s="1202"/>
      <c r="GWC9" s="1202"/>
      <c r="GWD9" s="1202"/>
      <c r="GWE9" s="1202"/>
      <c r="GWF9" s="1202"/>
      <c r="GWG9" s="1202"/>
      <c r="GWH9" s="1202"/>
      <c r="GWI9" s="1202"/>
      <c r="GWJ9" s="1202"/>
      <c r="GWK9" s="1202"/>
      <c r="GWL9" s="1202"/>
      <c r="GWM9" s="1202"/>
      <c r="GWN9" s="1202"/>
      <c r="GWO9" s="1202"/>
      <c r="GWP9" s="1202"/>
      <c r="GWQ9" s="1202"/>
      <c r="GWR9" s="1202"/>
      <c r="GWS9" s="1202"/>
      <c r="GWT9" s="1202"/>
      <c r="GWU9" s="1202"/>
      <c r="GWV9" s="1202"/>
      <c r="GWW9" s="1202"/>
      <c r="GWX9" s="1202"/>
      <c r="GWY9" s="1202"/>
      <c r="GWZ9" s="1202"/>
      <c r="GXA9" s="1202"/>
      <c r="GXB9" s="1202"/>
      <c r="GXC9" s="1202"/>
      <c r="GXD9" s="1202"/>
      <c r="GXE9" s="1202"/>
      <c r="GXF9" s="1202"/>
      <c r="GXG9" s="1202"/>
      <c r="GXH9" s="1202"/>
      <c r="GXI9" s="1202"/>
      <c r="GXJ9" s="1202"/>
      <c r="GXK9" s="1202"/>
      <c r="GXL9" s="1202"/>
      <c r="GXM9" s="1202"/>
      <c r="GXN9" s="1202"/>
      <c r="GXO9" s="1202"/>
      <c r="GXP9" s="1202"/>
      <c r="GXQ9" s="1202"/>
      <c r="GXR9" s="1202"/>
      <c r="GXS9" s="1202"/>
      <c r="GXT9" s="1202"/>
      <c r="GXU9" s="1202"/>
      <c r="GXV9" s="1202"/>
      <c r="GXW9" s="1202"/>
      <c r="GXX9" s="1202"/>
      <c r="GXY9" s="1202"/>
      <c r="GXZ9" s="1202"/>
      <c r="GYA9" s="1202"/>
      <c r="GYB9" s="1202"/>
      <c r="GYC9" s="1202"/>
      <c r="GYD9" s="1202"/>
      <c r="GYE9" s="1202"/>
      <c r="GYF9" s="1202"/>
      <c r="GYG9" s="1202"/>
      <c r="GYH9" s="1202"/>
      <c r="GYI9" s="1202"/>
      <c r="GYJ9" s="1202"/>
      <c r="GYK9" s="1202"/>
      <c r="GYL9" s="1202"/>
      <c r="GYM9" s="1202"/>
      <c r="GYN9" s="1202"/>
      <c r="GYO9" s="1202"/>
      <c r="GYP9" s="1202"/>
      <c r="GYQ9" s="1202"/>
      <c r="GYR9" s="1202"/>
      <c r="GYS9" s="1202"/>
      <c r="GYT9" s="1202"/>
      <c r="GYU9" s="1202"/>
      <c r="GYV9" s="1202"/>
      <c r="GYW9" s="1202"/>
      <c r="GYX9" s="1202"/>
      <c r="GYY9" s="1202"/>
      <c r="GYZ9" s="1202"/>
      <c r="GZA9" s="1202"/>
      <c r="GZB9" s="1202"/>
      <c r="GZC9" s="1202"/>
      <c r="GZD9" s="1202"/>
      <c r="GZE9" s="1202"/>
      <c r="GZF9" s="1202"/>
      <c r="GZG9" s="1202"/>
      <c r="GZH9" s="1202"/>
      <c r="GZI9" s="1202"/>
      <c r="GZJ9" s="1202"/>
      <c r="GZK9" s="1202"/>
      <c r="GZL9" s="1202"/>
      <c r="GZM9" s="1202"/>
      <c r="GZN9" s="1202"/>
      <c r="GZO9" s="1202"/>
      <c r="GZP9" s="1202"/>
      <c r="GZQ9" s="1202"/>
      <c r="GZR9" s="1202"/>
      <c r="GZS9" s="1202"/>
      <c r="GZT9" s="1202"/>
      <c r="GZU9" s="1202"/>
      <c r="GZV9" s="1202"/>
      <c r="GZW9" s="1202"/>
      <c r="GZX9" s="1202"/>
      <c r="GZY9" s="1202"/>
      <c r="GZZ9" s="1202"/>
      <c r="HAA9" s="1202"/>
      <c r="HAB9" s="1202"/>
      <c r="HAC9" s="1202"/>
      <c r="HAD9" s="1202"/>
      <c r="HAE9" s="1202"/>
      <c r="HAF9" s="1202"/>
      <c r="HAG9" s="1202"/>
      <c r="HAH9" s="1202"/>
      <c r="HAI9" s="1202"/>
      <c r="HAJ9" s="1202"/>
      <c r="HAK9" s="1202"/>
      <c r="HAL9" s="1202"/>
      <c r="HAM9" s="1202"/>
      <c r="HAN9" s="1202"/>
      <c r="HAO9" s="1202"/>
      <c r="HAP9" s="1202"/>
      <c r="HAQ9" s="1202"/>
      <c r="HAR9" s="1202"/>
      <c r="HAS9" s="1202"/>
      <c r="HAT9" s="1202"/>
      <c r="HAU9" s="1202"/>
      <c r="HAV9" s="1202"/>
      <c r="HAW9" s="1202"/>
      <c r="HAX9" s="1202"/>
      <c r="HAY9" s="1202"/>
      <c r="HAZ9" s="1202"/>
      <c r="HBA9" s="1202"/>
      <c r="HBB9" s="1202"/>
      <c r="HBC9" s="1202"/>
      <c r="HBD9" s="1202"/>
      <c r="HBE9" s="1202"/>
      <c r="HBF9" s="1202"/>
      <c r="HBG9" s="1202"/>
      <c r="HBH9" s="1202"/>
      <c r="HBI9" s="1202"/>
      <c r="HBJ9" s="1202"/>
      <c r="HBK9" s="1202"/>
      <c r="HBL9" s="1202"/>
      <c r="HBM9" s="1202"/>
      <c r="HBN9" s="1202"/>
      <c r="HBO9" s="1202"/>
      <c r="HBP9" s="1202"/>
      <c r="HBQ9" s="1202"/>
      <c r="HBR9" s="1202"/>
      <c r="HBS9" s="1202"/>
      <c r="HBT9" s="1202"/>
      <c r="HBU9" s="1202"/>
      <c r="HBV9" s="1202"/>
      <c r="HBW9" s="1202"/>
      <c r="HBX9" s="1202"/>
      <c r="HBY9" s="1202"/>
      <c r="HBZ9" s="1202"/>
      <c r="HCA9" s="1202"/>
      <c r="HCB9" s="1202"/>
      <c r="HCC9" s="1202"/>
      <c r="HCD9" s="1202"/>
      <c r="HCE9" s="1202"/>
      <c r="HCF9" s="1202"/>
      <c r="HCG9" s="1202"/>
      <c r="HCH9" s="1202"/>
      <c r="HCI9" s="1202"/>
      <c r="HCJ9" s="1202"/>
      <c r="HCK9" s="1202"/>
      <c r="HCL9" s="1202"/>
      <c r="HCM9" s="1202"/>
      <c r="HCN9" s="1202"/>
      <c r="HCO9" s="1202"/>
      <c r="HCP9" s="1202"/>
      <c r="HCQ9" s="1202"/>
      <c r="HCR9" s="1202"/>
      <c r="HCS9" s="1202"/>
      <c r="HCT9" s="1202"/>
      <c r="HCU9" s="1202"/>
      <c r="HCV9" s="1202"/>
      <c r="HCW9" s="1202"/>
      <c r="HCX9" s="1202"/>
      <c r="HCY9" s="1202"/>
      <c r="HCZ9" s="1202"/>
      <c r="HDA9" s="1202"/>
      <c r="HDB9" s="1202"/>
      <c r="HDC9" s="1202"/>
      <c r="HDD9" s="1202"/>
      <c r="HDE9" s="1202"/>
      <c r="HDF9" s="1202"/>
      <c r="HDG9" s="1202"/>
      <c r="HDH9" s="1202"/>
      <c r="HDI9" s="1202"/>
      <c r="HDJ9" s="1202"/>
      <c r="HDK9" s="1202"/>
      <c r="HDL9" s="1202"/>
      <c r="HDM9" s="1202"/>
      <c r="HDN9" s="1202"/>
      <c r="HDO9" s="1202"/>
      <c r="HDP9" s="1202"/>
      <c r="HDQ9" s="1202"/>
      <c r="HDR9" s="1202"/>
      <c r="HDS9" s="1202"/>
      <c r="HDT9" s="1202"/>
      <c r="HDU9" s="1202"/>
      <c r="HDV9" s="1202"/>
      <c r="HDW9" s="1202"/>
      <c r="HDX9" s="1202"/>
      <c r="HDY9" s="1202"/>
      <c r="HDZ9" s="1202"/>
      <c r="HEA9" s="1202"/>
      <c r="HEB9" s="1202"/>
      <c r="HEC9" s="1202"/>
      <c r="HED9" s="1202"/>
      <c r="HEE9" s="1202"/>
      <c r="HEF9" s="1202"/>
      <c r="HEG9" s="1202"/>
      <c r="HEH9" s="1202"/>
      <c r="HEI9" s="1202"/>
      <c r="HEJ9" s="1202"/>
      <c r="HEK9" s="1202"/>
      <c r="HEL9" s="1202"/>
      <c r="HEM9" s="1202"/>
      <c r="HEN9" s="1202"/>
      <c r="HEO9" s="1202"/>
      <c r="HEP9" s="1202"/>
      <c r="HEQ9" s="1202"/>
      <c r="HER9" s="1202"/>
      <c r="HES9" s="1202"/>
      <c r="HET9" s="1202"/>
      <c r="HEU9" s="1202"/>
      <c r="HEV9" s="1202"/>
      <c r="HEW9" s="1202"/>
      <c r="HEX9" s="1202"/>
      <c r="HEY9" s="1202"/>
      <c r="HEZ9" s="1202"/>
      <c r="HFA9" s="1202"/>
      <c r="HFB9" s="1202"/>
      <c r="HFC9" s="1202"/>
      <c r="HFD9" s="1202"/>
      <c r="HFE9" s="1202"/>
      <c r="HFF9" s="1202"/>
      <c r="HFG9" s="1202"/>
      <c r="HFH9" s="1202"/>
      <c r="HFI9" s="1202"/>
      <c r="HFJ9" s="1202"/>
      <c r="HFK9" s="1202"/>
      <c r="HFL9" s="1202"/>
      <c r="HFM9" s="1202"/>
      <c r="HFN9" s="1202"/>
      <c r="HFO9" s="1202"/>
      <c r="HFP9" s="1202"/>
      <c r="HFQ9" s="1202"/>
      <c r="HFR9" s="1202"/>
      <c r="HFS9" s="1202"/>
      <c r="HFT9" s="1202"/>
      <c r="HFU9" s="1202"/>
      <c r="HFV9" s="1202"/>
      <c r="HFW9" s="1202"/>
      <c r="HFX9" s="1202"/>
      <c r="HFY9" s="1202"/>
      <c r="HFZ9" s="1202"/>
      <c r="HGA9" s="1202"/>
      <c r="HGB9" s="1202"/>
      <c r="HGC9" s="1202"/>
      <c r="HGD9" s="1202"/>
      <c r="HGE9" s="1202"/>
      <c r="HGF9" s="1202"/>
      <c r="HGG9" s="1202"/>
      <c r="HGH9" s="1202"/>
      <c r="HGI9" s="1202"/>
      <c r="HGJ9" s="1202"/>
      <c r="HGK9" s="1202"/>
      <c r="HGL9" s="1202"/>
      <c r="HGM9" s="1202"/>
      <c r="HGN9" s="1202"/>
      <c r="HGO9" s="1202"/>
      <c r="HGP9" s="1202"/>
      <c r="HGQ9" s="1202"/>
      <c r="HGR9" s="1202"/>
      <c r="HGS9" s="1202"/>
      <c r="HGT9" s="1202"/>
      <c r="HGU9" s="1202"/>
      <c r="HGV9" s="1202"/>
      <c r="HGW9" s="1202"/>
      <c r="HGX9" s="1202"/>
      <c r="HGY9" s="1202"/>
      <c r="HGZ9" s="1202"/>
      <c r="HHA9" s="1202"/>
      <c r="HHB9" s="1202"/>
      <c r="HHC9" s="1202"/>
      <c r="HHD9" s="1202"/>
      <c r="HHE9" s="1202"/>
      <c r="HHF9" s="1202"/>
      <c r="HHG9" s="1202"/>
      <c r="HHH9" s="1202"/>
      <c r="HHI9" s="1202"/>
      <c r="HHJ9" s="1202"/>
      <c r="HHK9" s="1202"/>
      <c r="HHL9" s="1202"/>
      <c r="HHM9" s="1202"/>
      <c r="HHN9" s="1202"/>
      <c r="HHO9" s="1202"/>
      <c r="HHP9" s="1202"/>
      <c r="HHQ9" s="1202"/>
      <c r="HHR9" s="1202"/>
      <c r="HHS9" s="1202"/>
      <c r="HHT9" s="1202"/>
      <c r="HHU9" s="1202"/>
      <c r="HHV9" s="1202"/>
      <c r="HHW9" s="1202"/>
      <c r="HHX9" s="1202"/>
      <c r="HHY9" s="1202"/>
      <c r="HHZ9" s="1202"/>
      <c r="HIA9" s="1202"/>
      <c r="HIB9" s="1202"/>
      <c r="HIC9" s="1202"/>
      <c r="HID9" s="1202"/>
      <c r="HIE9" s="1202"/>
      <c r="HIF9" s="1202"/>
      <c r="HIG9" s="1202"/>
      <c r="HIH9" s="1202"/>
      <c r="HII9" s="1202"/>
      <c r="HIJ9" s="1202"/>
      <c r="HIK9" s="1202"/>
      <c r="HIL9" s="1202"/>
      <c r="HIM9" s="1202"/>
      <c r="HIN9" s="1202"/>
      <c r="HIO9" s="1202"/>
      <c r="HIP9" s="1202"/>
      <c r="HIQ9" s="1202"/>
      <c r="HIR9" s="1202"/>
      <c r="HIS9" s="1202"/>
      <c r="HIT9" s="1202"/>
      <c r="HIU9" s="1202"/>
      <c r="HIV9" s="1202"/>
      <c r="HIW9" s="1202"/>
      <c r="HIX9" s="1202"/>
      <c r="HIY9" s="1202"/>
      <c r="HIZ9" s="1202"/>
      <c r="HJA9" s="1202"/>
      <c r="HJB9" s="1202"/>
      <c r="HJC9" s="1202"/>
      <c r="HJD9" s="1202"/>
      <c r="HJE9" s="1202"/>
      <c r="HJF9" s="1202"/>
      <c r="HJG9" s="1202"/>
      <c r="HJH9" s="1202"/>
      <c r="HJI9" s="1202"/>
      <c r="HJJ9" s="1202"/>
      <c r="HJK9" s="1202"/>
      <c r="HJL9" s="1202"/>
      <c r="HJM9" s="1202"/>
      <c r="HJN9" s="1202"/>
      <c r="HJO9" s="1202"/>
      <c r="HJP9" s="1202"/>
      <c r="HJQ9" s="1202"/>
      <c r="HJR9" s="1202"/>
      <c r="HJS9" s="1202"/>
      <c r="HJT9" s="1202"/>
      <c r="HJU9" s="1202"/>
      <c r="HJV9" s="1202"/>
      <c r="HJW9" s="1202"/>
      <c r="HJX9" s="1202"/>
      <c r="HJY9" s="1202"/>
      <c r="HJZ9" s="1202"/>
      <c r="HKA9" s="1202"/>
      <c r="HKB9" s="1202"/>
      <c r="HKC9" s="1202"/>
      <c r="HKD9" s="1202"/>
      <c r="HKE9" s="1202"/>
      <c r="HKF9" s="1202"/>
      <c r="HKG9" s="1202"/>
      <c r="HKH9" s="1202"/>
      <c r="HKI9" s="1202"/>
      <c r="HKJ9" s="1202"/>
      <c r="HKK9" s="1202"/>
      <c r="HKL9" s="1202"/>
      <c r="HKM9" s="1202"/>
      <c r="HKN9" s="1202"/>
      <c r="HKO9" s="1202"/>
      <c r="HKP9" s="1202"/>
      <c r="HKQ9" s="1202"/>
      <c r="HKR9" s="1202"/>
      <c r="HKS9" s="1202"/>
      <c r="HKT9" s="1202"/>
      <c r="HKU9" s="1202"/>
      <c r="HKV9" s="1202"/>
      <c r="HKW9" s="1202"/>
      <c r="HKX9" s="1202"/>
      <c r="HKY9" s="1202"/>
      <c r="HKZ9" s="1202"/>
      <c r="HLA9" s="1202"/>
      <c r="HLB9" s="1202"/>
      <c r="HLC9" s="1202"/>
      <c r="HLD9" s="1202"/>
      <c r="HLE9" s="1202"/>
      <c r="HLF9" s="1202"/>
      <c r="HLG9" s="1202"/>
      <c r="HLH9" s="1202"/>
      <c r="HLI9" s="1202"/>
      <c r="HLJ9" s="1202"/>
      <c r="HLK9" s="1202"/>
      <c r="HLL9" s="1202"/>
      <c r="HLM9" s="1202"/>
      <c r="HLN9" s="1202"/>
      <c r="HLO9" s="1202"/>
      <c r="HLP9" s="1202"/>
      <c r="HLQ9" s="1202"/>
      <c r="HLR9" s="1202"/>
      <c r="HLS9" s="1202"/>
      <c r="HLT9" s="1202"/>
      <c r="HLU9" s="1202"/>
      <c r="HLV9" s="1202"/>
      <c r="HLW9" s="1202"/>
      <c r="HLX9" s="1202"/>
      <c r="HLY9" s="1202"/>
      <c r="HLZ9" s="1202"/>
      <c r="HMA9" s="1202"/>
      <c r="HMB9" s="1202"/>
      <c r="HMC9" s="1202"/>
      <c r="HMD9" s="1202"/>
      <c r="HME9" s="1202"/>
      <c r="HMF9" s="1202"/>
      <c r="HMG9" s="1202"/>
      <c r="HMH9" s="1202"/>
      <c r="HMI9" s="1202"/>
      <c r="HMJ9" s="1202"/>
      <c r="HMK9" s="1202"/>
      <c r="HML9" s="1202"/>
      <c r="HMM9" s="1202"/>
      <c r="HMN9" s="1202"/>
      <c r="HMO9" s="1202"/>
      <c r="HMP9" s="1202"/>
      <c r="HMQ9" s="1202"/>
      <c r="HMR9" s="1202"/>
      <c r="HMS9" s="1202"/>
      <c r="HMT9" s="1202"/>
      <c r="HMU9" s="1202"/>
      <c r="HMV9" s="1202"/>
      <c r="HMW9" s="1202"/>
      <c r="HMX9" s="1202"/>
      <c r="HMY9" s="1202"/>
      <c r="HMZ9" s="1202"/>
      <c r="HNA9" s="1202"/>
      <c r="HNB9" s="1202"/>
      <c r="HNC9" s="1202"/>
      <c r="HND9" s="1202"/>
      <c r="HNE9" s="1202"/>
      <c r="HNF9" s="1202"/>
      <c r="HNG9" s="1202"/>
      <c r="HNH9" s="1202"/>
      <c r="HNI9" s="1202"/>
      <c r="HNJ9" s="1202"/>
      <c r="HNK9" s="1202"/>
      <c r="HNL9" s="1202"/>
      <c r="HNM9" s="1202"/>
      <c r="HNN9" s="1202"/>
      <c r="HNO9" s="1202"/>
      <c r="HNP9" s="1202"/>
      <c r="HNQ9" s="1202"/>
      <c r="HNR9" s="1202"/>
      <c r="HNS9" s="1202"/>
      <c r="HNT9" s="1202"/>
      <c r="HNU9" s="1202"/>
      <c r="HNV9" s="1202"/>
      <c r="HNW9" s="1202"/>
      <c r="HNX9" s="1202"/>
      <c r="HNY9" s="1202"/>
      <c r="HNZ9" s="1202"/>
      <c r="HOA9" s="1202"/>
      <c r="HOB9" s="1202"/>
      <c r="HOC9" s="1202"/>
      <c r="HOD9" s="1202"/>
      <c r="HOE9" s="1202"/>
      <c r="HOF9" s="1202"/>
      <c r="HOG9" s="1202"/>
      <c r="HOH9" s="1202"/>
      <c r="HOI9" s="1202"/>
      <c r="HOJ9" s="1202"/>
      <c r="HOK9" s="1202"/>
      <c r="HOL9" s="1202"/>
      <c r="HOM9" s="1202"/>
      <c r="HON9" s="1202"/>
      <c r="HOO9" s="1202"/>
      <c r="HOP9" s="1202"/>
      <c r="HOQ9" s="1202"/>
      <c r="HOR9" s="1202"/>
      <c r="HOS9" s="1202"/>
      <c r="HOT9" s="1202"/>
      <c r="HOU9" s="1202"/>
      <c r="HOV9" s="1202"/>
      <c r="HOW9" s="1202"/>
      <c r="HOX9" s="1202"/>
      <c r="HOY9" s="1202"/>
      <c r="HOZ9" s="1202"/>
      <c r="HPA9" s="1202"/>
      <c r="HPB9" s="1202"/>
      <c r="HPC9" s="1202"/>
      <c r="HPD9" s="1202"/>
      <c r="HPE9" s="1202"/>
      <c r="HPF9" s="1202"/>
      <c r="HPG9" s="1202"/>
      <c r="HPH9" s="1202"/>
      <c r="HPI9" s="1202"/>
      <c r="HPJ9" s="1202"/>
      <c r="HPK9" s="1202"/>
      <c r="HPL9" s="1202"/>
      <c r="HPM9" s="1202"/>
      <c r="HPN9" s="1202"/>
      <c r="HPO9" s="1202"/>
      <c r="HPP9" s="1202"/>
      <c r="HPQ9" s="1202"/>
      <c r="HPR9" s="1202"/>
      <c r="HPS9" s="1202"/>
      <c r="HPT9" s="1202"/>
      <c r="HPU9" s="1202"/>
      <c r="HPV9" s="1202"/>
      <c r="HPW9" s="1202"/>
      <c r="HPX9" s="1202"/>
      <c r="HPY9" s="1202"/>
      <c r="HPZ9" s="1202"/>
      <c r="HQA9" s="1202"/>
      <c r="HQB9" s="1202"/>
      <c r="HQC9" s="1202"/>
      <c r="HQD9" s="1202"/>
      <c r="HQE9" s="1202"/>
      <c r="HQF9" s="1202"/>
      <c r="HQG9" s="1202"/>
      <c r="HQH9" s="1202"/>
      <c r="HQI9" s="1202"/>
      <c r="HQJ9" s="1202"/>
      <c r="HQK9" s="1202"/>
      <c r="HQL9" s="1202"/>
      <c r="HQM9" s="1202"/>
      <c r="HQN9" s="1202"/>
      <c r="HQO9" s="1202"/>
      <c r="HQP9" s="1202"/>
      <c r="HQQ9" s="1202"/>
      <c r="HQR9" s="1202"/>
      <c r="HQS9" s="1202"/>
      <c r="HQT9" s="1202"/>
      <c r="HQU9" s="1202"/>
      <c r="HQV9" s="1202"/>
      <c r="HQW9" s="1202"/>
      <c r="HQX9" s="1202"/>
      <c r="HQY9" s="1202"/>
      <c r="HQZ9" s="1202"/>
      <c r="HRA9" s="1202"/>
      <c r="HRB9" s="1202"/>
      <c r="HRC9" s="1202"/>
      <c r="HRD9" s="1202"/>
      <c r="HRE9" s="1202"/>
      <c r="HRF9" s="1202"/>
      <c r="HRG9" s="1202"/>
      <c r="HRH9" s="1202"/>
      <c r="HRI9" s="1202"/>
      <c r="HRJ9" s="1202"/>
      <c r="HRK9" s="1202"/>
      <c r="HRL9" s="1202"/>
      <c r="HRM9" s="1202"/>
      <c r="HRN9" s="1202"/>
      <c r="HRO9" s="1202"/>
      <c r="HRP9" s="1202"/>
      <c r="HRQ9" s="1202"/>
      <c r="HRR9" s="1202"/>
      <c r="HRS9" s="1202"/>
      <c r="HRT9" s="1202"/>
      <c r="HRU9" s="1202"/>
      <c r="HRV9" s="1202"/>
      <c r="HRW9" s="1202"/>
      <c r="HRX9" s="1202"/>
      <c r="HRY9" s="1202"/>
      <c r="HRZ9" s="1202"/>
      <c r="HSA9" s="1202"/>
      <c r="HSB9" s="1202"/>
      <c r="HSC9" s="1202"/>
      <c r="HSD9" s="1202"/>
      <c r="HSE9" s="1202"/>
      <c r="HSF9" s="1202"/>
      <c r="HSG9" s="1202"/>
      <c r="HSH9" s="1202"/>
      <c r="HSI9" s="1202"/>
      <c r="HSJ9" s="1202"/>
      <c r="HSK9" s="1202"/>
      <c r="HSL9" s="1202"/>
      <c r="HSM9" s="1202"/>
      <c r="HSN9" s="1202"/>
      <c r="HSO9" s="1202"/>
      <c r="HSP9" s="1202"/>
      <c r="HSQ9" s="1202"/>
      <c r="HSR9" s="1202"/>
      <c r="HSS9" s="1202"/>
      <c r="HST9" s="1202"/>
      <c r="HSU9" s="1202"/>
      <c r="HSV9" s="1202"/>
      <c r="HSW9" s="1202"/>
      <c r="HSX9" s="1202"/>
      <c r="HSY9" s="1202"/>
      <c r="HSZ9" s="1202"/>
      <c r="HTA9" s="1202"/>
      <c r="HTB9" s="1202"/>
      <c r="HTC9" s="1202"/>
      <c r="HTD9" s="1202"/>
      <c r="HTE9" s="1202"/>
      <c r="HTF9" s="1202"/>
      <c r="HTG9" s="1202"/>
      <c r="HTH9" s="1202"/>
      <c r="HTI9" s="1202"/>
      <c r="HTJ9" s="1202"/>
      <c r="HTK9" s="1202"/>
      <c r="HTL9" s="1202"/>
      <c r="HTM9" s="1202"/>
      <c r="HTN9" s="1202"/>
      <c r="HTO9" s="1202"/>
      <c r="HTP9" s="1202"/>
      <c r="HTQ9" s="1202"/>
      <c r="HTR9" s="1202"/>
      <c r="HTS9" s="1202"/>
      <c r="HTT9" s="1202"/>
      <c r="HTU9" s="1202"/>
      <c r="HTV9" s="1202"/>
      <c r="HTW9" s="1202"/>
      <c r="HTX9" s="1202"/>
      <c r="HTY9" s="1202"/>
      <c r="HTZ9" s="1202"/>
      <c r="HUA9" s="1202"/>
      <c r="HUB9" s="1202"/>
      <c r="HUC9" s="1202"/>
      <c r="HUD9" s="1202"/>
      <c r="HUE9" s="1202"/>
      <c r="HUF9" s="1202"/>
      <c r="HUG9" s="1202"/>
      <c r="HUH9" s="1202"/>
      <c r="HUI9" s="1202"/>
      <c r="HUJ9" s="1202"/>
      <c r="HUK9" s="1202"/>
      <c r="HUL9" s="1202"/>
      <c r="HUM9" s="1202"/>
      <c r="HUN9" s="1202"/>
      <c r="HUO9" s="1202"/>
      <c r="HUP9" s="1202"/>
      <c r="HUQ9" s="1202"/>
      <c r="HUR9" s="1202"/>
      <c r="HUS9" s="1202"/>
      <c r="HUT9" s="1202"/>
      <c r="HUU9" s="1202"/>
      <c r="HUV9" s="1202"/>
      <c r="HUW9" s="1202"/>
      <c r="HUX9" s="1202"/>
      <c r="HUY9" s="1202"/>
      <c r="HUZ9" s="1202"/>
      <c r="HVA9" s="1202"/>
      <c r="HVB9" s="1202"/>
      <c r="HVC9" s="1202"/>
      <c r="HVD9" s="1202"/>
      <c r="HVE9" s="1202"/>
      <c r="HVF9" s="1202"/>
      <c r="HVG9" s="1202"/>
      <c r="HVH9" s="1202"/>
      <c r="HVI9" s="1202"/>
      <c r="HVJ9" s="1202"/>
      <c r="HVK9" s="1202"/>
      <c r="HVL9" s="1202"/>
      <c r="HVM9" s="1202"/>
      <c r="HVN9" s="1202"/>
      <c r="HVO9" s="1202"/>
      <c r="HVP9" s="1202"/>
      <c r="HVQ9" s="1202"/>
      <c r="HVR9" s="1202"/>
      <c r="HVS9" s="1202"/>
      <c r="HVT9" s="1202"/>
      <c r="HVU9" s="1202"/>
      <c r="HVV9" s="1202"/>
      <c r="HVW9" s="1202"/>
      <c r="HVX9" s="1202"/>
      <c r="HVY9" s="1202"/>
      <c r="HVZ9" s="1202"/>
      <c r="HWA9" s="1202"/>
      <c r="HWB9" s="1202"/>
      <c r="HWC9" s="1202"/>
      <c r="HWD9" s="1202"/>
      <c r="HWE9" s="1202"/>
      <c r="HWF9" s="1202"/>
      <c r="HWG9" s="1202"/>
      <c r="HWH9" s="1202"/>
      <c r="HWI9" s="1202"/>
      <c r="HWJ9" s="1202"/>
      <c r="HWK9" s="1202"/>
      <c r="HWL9" s="1202"/>
      <c r="HWM9" s="1202"/>
      <c r="HWN9" s="1202"/>
      <c r="HWO9" s="1202"/>
      <c r="HWP9" s="1202"/>
      <c r="HWQ9" s="1202"/>
      <c r="HWR9" s="1202"/>
      <c r="HWS9" s="1202"/>
      <c r="HWT9" s="1202"/>
      <c r="HWU9" s="1202"/>
      <c r="HWV9" s="1202"/>
      <c r="HWW9" s="1202"/>
      <c r="HWX9" s="1202"/>
      <c r="HWY9" s="1202"/>
      <c r="HWZ9" s="1202"/>
      <c r="HXA9" s="1202"/>
      <c r="HXB9" s="1202"/>
      <c r="HXC9" s="1202"/>
      <c r="HXD9" s="1202"/>
      <c r="HXE9" s="1202"/>
      <c r="HXF9" s="1202"/>
      <c r="HXG9" s="1202"/>
      <c r="HXH9" s="1202"/>
      <c r="HXI9" s="1202"/>
      <c r="HXJ9" s="1202"/>
      <c r="HXK9" s="1202"/>
      <c r="HXL9" s="1202"/>
      <c r="HXM9" s="1202"/>
      <c r="HXN9" s="1202"/>
      <c r="HXO9" s="1202"/>
      <c r="HXP9" s="1202"/>
      <c r="HXQ9" s="1202"/>
      <c r="HXR9" s="1202"/>
      <c r="HXS9" s="1202"/>
      <c r="HXT9" s="1202"/>
      <c r="HXU9" s="1202"/>
      <c r="HXV9" s="1202"/>
      <c r="HXW9" s="1202"/>
      <c r="HXX9" s="1202"/>
      <c r="HXY9" s="1202"/>
      <c r="HXZ9" s="1202"/>
      <c r="HYA9" s="1202"/>
      <c r="HYB9" s="1202"/>
      <c r="HYC9" s="1202"/>
      <c r="HYD9" s="1202"/>
      <c r="HYE9" s="1202"/>
      <c r="HYF9" s="1202"/>
      <c r="HYG9" s="1202"/>
      <c r="HYH9" s="1202"/>
      <c r="HYI9" s="1202"/>
      <c r="HYJ9" s="1202"/>
      <c r="HYK9" s="1202"/>
      <c r="HYL9" s="1202"/>
      <c r="HYM9" s="1202"/>
      <c r="HYN9" s="1202"/>
      <c r="HYO9" s="1202"/>
      <c r="HYP9" s="1202"/>
      <c r="HYQ9" s="1202"/>
      <c r="HYR9" s="1202"/>
      <c r="HYS9" s="1202"/>
      <c r="HYT9" s="1202"/>
      <c r="HYU9" s="1202"/>
      <c r="HYV9" s="1202"/>
      <c r="HYW9" s="1202"/>
      <c r="HYX9" s="1202"/>
      <c r="HYY9" s="1202"/>
      <c r="HYZ9" s="1202"/>
      <c r="HZA9" s="1202"/>
      <c r="HZB9" s="1202"/>
      <c r="HZC9" s="1202"/>
      <c r="HZD9" s="1202"/>
      <c r="HZE9" s="1202"/>
      <c r="HZF9" s="1202"/>
      <c r="HZG9" s="1202"/>
      <c r="HZH9" s="1202"/>
      <c r="HZI9" s="1202"/>
      <c r="HZJ9" s="1202"/>
      <c r="HZK9" s="1202"/>
      <c r="HZL9" s="1202"/>
      <c r="HZM9" s="1202"/>
      <c r="HZN9" s="1202"/>
      <c r="HZO9" s="1202"/>
      <c r="HZP9" s="1202"/>
      <c r="HZQ9" s="1202"/>
      <c r="HZR9" s="1202"/>
      <c r="HZS9" s="1202"/>
      <c r="HZT9" s="1202"/>
      <c r="HZU9" s="1202"/>
      <c r="HZV9" s="1202"/>
      <c r="HZW9" s="1202"/>
      <c r="HZX9" s="1202"/>
      <c r="HZY9" s="1202"/>
      <c r="HZZ9" s="1202"/>
      <c r="IAA9" s="1202"/>
      <c r="IAB9" s="1202"/>
      <c r="IAC9" s="1202"/>
      <c r="IAD9" s="1202"/>
      <c r="IAE9" s="1202"/>
      <c r="IAF9" s="1202"/>
      <c r="IAG9" s="1202"/>
      <c r="IAH9" s="1202"/>
      <c r="IAI9" s="1202"/>
      <c r="IAJ9" s="1202"/>
      <c r="IAK9" s="1202"/>
      <c r="IAL9" s="1202"/>
      <c r="IAM9" s="1202"/>
      <c r="IAN9" s="1202"/>
      <c r="IAO9" s="1202"/>
      <c r="IAP9" s="1202"/>
      <c r="IAQ9" s="1202"/>
      <c r="IAR9" s="1202"/>
      <c r="IAS9" s="1202"/>
      <c r="IAT9" s="1202"/>
      <c r="IAU9" s="1202"/>
      <c r="IAV9" s="1202"/>
      <c r="IAW9" s="1202"/>
      <c r="IAX9" s="1202"/>
      <c r="IAY9" s="1202"/>
      <c r="IAZ9" s="1202"/>
      <c r="IBA9" s="1202"/>
      <c r="IBB9" s="1202"/>
      <c r="IBC9" s="1202"/>
      <c r="IBD9" s="1202"/>
      <c r="IBE9" s="1202"/>
      <c r="IBF9" s="1202"/>
      <c r="IBG9" s="1202"/>
      <c r="IBH9" s="1202"/>
      <c r="IBI9" s="1202"/>
      <c r="IBJ9" s="1202"/>
      <c r="IBK9" s="1202"/>
      <c r="IBL9" s="1202"/>
      <c r="IBM9" s="1202"/>
      <c r="IBN9" s="1202"/>
      <c r="IBO9" s="1202"/>
      <c r="IBP9" s="1202"/>
      <c r="IBQ9" s="1202"/>
      <c r="IBR9" s="1202"/>
      <c r="IBS9" s="1202"/>
      <c r="IBT9" s="1202"/>
      <c r="IBU9" s="1202"/>
      <c r="IBV9" s="1202"/>
      <c r="IBW9" s="1202"/>
      <c r="IBX9" s="1202"/>
      <c r="IBY9" s="1202"/>
      <c r="IBZ9" s="1202"/>
      <c r="ICA9" s="1202"/>
      <c r="ICB9" s="1202"/>
      <c r="ICC9" s="1202"/>
      <c r="ICD9" s="1202"/>
      <c r="ICE9" s="1202"/>
      <c r="ICF9" s="1202"/>
      <c r="ICG9" s="1202"/>
      <c r="ICH9" s="1202"/>
      <c r="ICI9" s="1202"/>
      <c r="ICJ9" s="1202"/>
      <c r="ICK9" s="1202"/>
      <c r="ICL9" s="1202"/>
      <c r="ICM9" s="1202"/>
      <c r="ICN9" s="1202"/>
      <c r="ICO9" s="1202"/>
      <c r="ICP9" s="1202"/>
      <c r="ICQ9" s="1202"/>
      <c r="ICR9" s="1202"/>
      <c r="ICS9" s="1202"/>
      <c r="ICT9" s="1202"/>
      <c r="ICU9" s="1202"/>
      <c r="ICV9" s="1202"/>
      <c r="ICW9" s="1202"/>
      <c r="ICX9" s="1202"/>
      <c r="ICY9" s="1202"/>
      <c r="ICZ9" s="1202"/>
      <c r="IDA9" s="1202"/>
      <c r="IDB9" s="1202"/>
      <c r="IDC9" s="1202"/>
      <c r="IDD9" s="1202"/>
      <c r="IDE9" s="1202"/>
      <c r="IDF9" s="1202"/>
      <c r="IDG9" s="1202"/>
      <c r="IDH9" s="1202"/>
      <c r="IDI9" s="1202"/>
      <c r="IDJ9" s="1202"/>
      <c r="IDK9" s="1202"/>
      <c r="IDL9" s="1202"/>
      <c r="IDM9" s="1202"/>
      <c r="IDN9" s="1202"/>
      <c r="IDO9" s="1202"/>
      <c r="IDP9" s="1202"/>
      <c r="IDQ9" s="1202"/>
      <c r="IDR9" s="1202"/>
      <c r="IDS9" s="1202"/>
      <c r="IDT9" s="1202"/>
      <c r="IDU9" s="1202"/>
      <c r="IDV9" s="1202"/>
      <c r="IDW9" s="1202"/>
      <c r="IDX9" s="1202"/>
      <c r="IDY9" s="1202"/>
      <c r="IDZ9" s="1202"/>
      <c r="IEA9" s="1202"/>
      <c r="IEB9" s="1202"/>
      <c r="IEC9" s="1202"/>
      <c r="IED9" s="1202"/>
      <c r="IEE9" s="1202"/>
      <c r="IEF9" s="1202"/>
      <c r="IEG9" s="1202"/>
      <c r="IEH9" s="1202"/>
      <c r="IEI9" s="1202"/>
      <c r="IEJ9" s="1202"/>
      <c r="IEK9" s="1202"/>
      <c r="IEL9" s="1202"/>
      <c r="IEM9" s="1202"/>
      <c r="IEN9" s="1202"/>
      <c r="IEO9" s="1202"/>
      <c r="IEP9" s="1202"/>
      <c r="IEQ9" s="1202"/>
      <c r="IER9" s="1202"/>
      <c r="IES9" s="1202"/>
      <c r="IET9" s="1202"/>
      <c r="IEU9" s="1202"/>
      <c r="IEV9" s="1202"/>
      <c r="IEW9" s="1202"/>
      <c r="IEX9" s="1202"/>
      <c r="IEY9" s="1202"/>
      <c r="IEZ9" s="1202"/>
      <c r="IFA9" s="1202"/>
      <c r="IFB9" s="1202"/>
      <c r="IFC9" s="1202"/>
      <c r="IFD9" s="1202"/>
      <c r="IFE9" s="1202"/>
      <c r="IFF9" s="1202"/>
      <c r="IFG9" s="1202"/>
      <c r="IFH9" s="1202"/>
      <c r="IFI9" s="1202"/>
      <c r="IFJ9" s="1202"/>
      <c r="IFK9" s="1202"/>
      <c r="IFL9" s="1202"/>
      <c r="IFM9" s="1202"/>
      <c r="IFN9" s="1202"/>
      <c r="IFO9" s="1202"/>
      <c r="IFP9" s="1202"/>
      <c r="IFQ9" s="1202"/>
      <c r="IFR9" s="1202"/>
      <c r="IFS9" s="1202"/>
      <c r="IFT9" s="1202"/>
      <c r="IFU9" s="1202"/>
      <c r="IFV9" s="1202"/>
      <c r="IFW9" s="1202"/>
      <c r="IFX9" s="1202"/>
      <c r="IFY9" s="1202"/>
      <c r="IFZ9" s="1202"/>
      <c r="IGA9" s="1202"/>
      <c r="IGB9" s="1202"/>
      <c r="IGC9" s="1202"/>
      <c r="IGD9" s="1202"/>
      <c r="IGE9" s="1202"/>
      <c r="IGF9" s="1202"/>
      <c r="IGG9" s="1202"/>
      <c r="IGH9" s="1202"/>
      <c r="IGI9" s="1202"/>
      <c r="IGJ9" s="1202"/>
      <c r="IGK9" s="1202"/>
      <c r="IGL9" s="1202"/>
      <c r="IGM9" s="1202"/>
      <c r="IGN9" s="1202"/>
      <c r="IGO9" s="1202"/>
      <c r="IGP9" s="1202"/>
      <c r="IGQ9" s="1202"/>
      <c r="IGR9" s="1202"/>
      <c r="IGS9" s="1202"/>
      <c r="IGT9" s="1202"/>
      <c r="IGU9" s="1202"/>
      <c r="IGV9" s="1202"/>
      <c r="IGW9" s="1202"/>
      <c r="IGX9" s="1202"/>
      <c r="IGY9" s="1202"/>
      <c r="IGZ9" s="1202"/>
      <c r="IHA9" s="1202"/>
      <c r="IHB9" s="1202"/>
      <c r="IHC9" s="1202"/>
      <c r="IHD9" s="1202"/>
      <c r="IHE9" s="1202"/>
      <c r="IHF9" s="1202"/>
      <c r="IHG9" s="1202"/>
      <c r="IHH9" s="1202"/>
      <c r="IHI9" s="1202"/>
      <c r="IHJ9" s="1202"/>
      <c r="IHK9" s="1202"/>
      <c r="IHL9" s="1202"/>
      <c r="IHM9" s="1202"/>
      <c r="IHN9" s="1202"/>
      <c r="IHO9" s="1202"/>
      <c r="IHP9" s="1202"/>
      <c r="IHQ9" s="1202"/>
      <c r="IHR9" s="1202"/>
      <c r="IHS9" s="1202"/>
      <c r="IHT9" s="1202"/>
      <c r="IHU9" s="1202"/>
      <c r="IHV9" s="1202"/>
      <c r="IHW9" s="1202"/>
      <c r="IHX9" s="1202"/>
      <c r="IHY9" s="1202"/>
      <c r="IHZ9" s="1202"/>
      <c r="IIA9" s="1202"/>
      <c r="IIB9" s="1202"/>
      <c r="IIC9" s="1202"/>
      <c r="IID9" s="1202"/>
      <c r="IIE9" s="1202"/>
      <c r="IIF9" s="1202"/>
      <c r="IIG9" s="1202"/>
      <c r="IIH9" s="1202"/>
      <c r="III9" s="1202"/>
      <c r="IIJ9" s="1202"/>
      <c r="IIK9" s="1202"/>
      <c r="IIL9" s="1202"/>
      <c r="IIM9" s="1202"/>
      <c r="IIN9" s="1202"/>
      <c r="IIO9" s="1202"/>
      <c r="IIP9" s="1202"/>
      <c r="IIQ9" s="1202"/>
      <c r="IIR9" s="1202"/>
      <c r="IIS9" s="1202"/>
      <c r="IIT9" s="1202"/>
      <c r="IIU9" s="1202"/>
      <c r="IIV9" s="1202"/>
      <c r="IIW9" s="1202"/>
      <c r="IIX9" s="1202"/>
      <c r="IIY9" s="1202"/>
      <c r="IIZ9" s="1202"/>
      <c r="IJA9" s="1202"/>
      <c r="IJB9" s="1202"/>
      <c r="IJC9" s="1202"/>
      <c r="IJD9" s="1202"/>
      <c r="IJE9" s="1202"/>
      <c r="IJF9" s="1202"/>
      <c r="IJG9" s="1202"/>
      <c r="IJH9" s="1202"/>
      <c r="IJI9" s="1202"/>
      <c r="IJJ9" s="1202"/>
      <c r="IJK9" s="1202"/>
      <c r="IJL9" s="1202"/>
      <c r="IJM9" s="1202"/>
      <c r="IJN9" s="1202"/>
      <c r="IJO9" s="1202"/>
      <c r="IJP9" s="1202"/>
      <c r="IJQ9" s="1202"/>
      <c r="IJR9" s="1202"/>
      <c r="IJS9" s="1202"/>
      <c r="IJT9" s="1202"/>
      <c r="IJU9" s="1202"/>
      <c r="IJV9" s="1202"/>
      <c r="IJW9" s="1202"/>
      <c r="IJX9" s="1202"/>
      <c r="IJY9" s="1202"/>
      <c r="IJZ9" s="1202"/>
      <c r="IKA9" s="1202"/>
      <c r="IKB9" s="1202"/>
      <c r="IKC9" s="1202"/>
      <c r="IKD9" s="1202"/>
      <c r="IKE9" s="1202"/>
      <c r="IKF9" s="1202"/>
      <c r="IKG9" s="1202"/>
      <c r="IKH9" s="1202"/>
      <c r="IKI9" s="1202"/>
      <c r="IKJ9" s="1202"/>
      <c r="IKK9" s="1202"/>
      <c r="IKL9" s="1202"/>
      <c r="IKM9" s="1202"/>
      <c r="IKN9" s="1202"/>
      <c r="IKO9" s="1202"/>
      <c r="IKP9" s="1202"/>
      <c r="IKQ9" s="1202"/>
      <c r="IKR9" s="1202"/>
      <c r="IKS9" s="1202"/>
      <c r="IKT9" s="1202"/>
      <c r="IKU9" s="1202"/>
      <c r="IKV9" s="1202"/>
      <c r="IKW9" s="1202"/>
      <c r="IKX9" s="1202"/>
      <c r="IKY9" s="1202"/>
      <c r="IKZ9" s="1202"/>
      <c r="ILA9" s="1202"/>
      <c r="ILB9" s="1202"/>
      <c r="ILC9" s="1202"/>
      <c r="ILD9" s="1202"/>
      <c r="ILE9" s="1202"/>
      <c r="ILF9" s="1202"/>
      <c r="ILG9" s="1202"/>
      <c r="ILH9" s="1202"/>
      <c r="ILI9" s="1202"/>
      <c r="ILJ9" s="1202"/>
      <c r="ILK9" s="1202"/>
      <c r="ILL9" s="1202"/>
      <c r="ILM9" s="1202"/>
      <c r="ILN9" s="1202"/>
      <c r="ILO9" s="1202"/>
      <c r="ILP9" s="1202"/>
      <c r="ILQ9" s="1202"/>
      <c r="ILR9" s="1202"/>
      <c r="ILS9" s="1202"/>
      <c r="ILT9" s="1202"/>
      <c r="ILU9" s="1202"/>
      <c r="ILV9" s="1202"/>
      <c r="ILW9" s="1202"/>
      <c r="ILX9" s="1202"/>
      <c r="ILY9" s="1202"/>
      <c r="ILZ9" s="1202"/>
      <c r="IMA9" s="1202"/>
      <c r="IMB9" s="1202"/>
      <c r="IMC9" s="1202"/>
      <c r="IMD9" s="1202"/>
      <c r="IME9" s="1202"/>
      <c r="IMF9" s="1202"/>
      <c r="IMG9" s="1202"/>
      <c r="IMH9" s="1202"/>
      <c r="IMI9" s="1202"/>
      <c r="IMJ9" s="1202"/>
      <c r="IMK9" s="1202"/>
      <c r="IML9" s="1202"/>
      <c r="IMM9" s="1202"/>
      <c r="IMN9" s="1202"/>
      <c r="IMO9" s="1202"/>
      <c r="IMP9" s="1202"/>
      <c r="IMQ9" s="1202"/>
      <c r="IMR9" s="1202"/>
      <c r="IMS9" s="1202"/>
      <c r="IMT9" s="1202"/>
      <c r="IMU9" s="1202"/>
      <c r="IMV9" s="1202"/>
      <c r="IMW9" s="1202"/>
      <c r="IMX9" s="1202"/>
      <c r="IMY9" s="1202"/>
      <c r="IMZ9" s="1202"/>
      <c r="INA9" s="1202"/>
      <c r="INB9" s="1202"/>
      <c r="INC9" s="1202"/>
      <c r="IND9" s="1202"/>
      <c r="INE9" s="1202"/>
      <c r="INF9" s="1202"/>
      <c r="ING9" s="1202"/>
      <c r="INH9" s="1202"/>
      <c r="INI9" s="1202"/>
      <c r="INJ9" s="1202"/>
      <c r="INK9" s="1202"/>
      <c r="INL9" s="1202"/>
      <c r="INM9" s="1202"/>
      <c r="INN9" s="1202"/>
      <c r="INO9" s="1202"/>
      <c r="INP9" s="1202"/>
      <c r="INQ9" s="1202"/>
      <c r="INR9" s="1202"/>
      <c r="INS9" s="1202"/>
      <c r="INT9" s="1202"/>
      <c r="INU9" s="1202"/>
      <c r="INV9" s="1202"/>
      <c r="INW9" s="1202"/>
      <c r="INX9" s="1202"/>
      <c r="INY9" s="1202"/>
      <c r="INZ9" s="1202"/>
      <c r="IOA9" s="1202"/>
      <c r="IOB9" s="1202"/>
      <c r="IOC9" s="1202"/>
      <c r="IOD9" s="1202"/>
      <c r="IOE9" s="1202"/>
      <c r="IOF9" s="1202"/>
      <c r="IOG9" s="1202"/>
      <c r="IOH9" s="1202"/>
      <c r="IOI9" s="1202"/>
      <c r="IOJ9" s="1202"/>
      <c r="IOK9" s="1202"/>
      <c r="IOL9" s="1202"/>
      <c r="IOM9" s="1202"/>
      <c r="ION9" s="1202"/>
      <c r="IOO9" s="1202"/>
      <c r="IOP9" s="1202"/>
      <c r="IOQ9" s="1202"/>
      <c r="IOR9" s="1202"/>
      <c r="IOS9" s="1202"/>
      <c r="IOT9" s="1202"/>
      <c r="IOU9" s="1202"/>
      <c r="IOV9" s="1202"/>
      <c r="IOW9" s="1202"/>
      <c r="IOX9" s="1202"/>
      <c r="IOY9" s="1202"/>
      <c r="IOZ9" s="1202"/>
      <c r="IPA9" s="1202"/>
      <c r="IPB9" s="1202"/>
      <c r="IPC9" s="1202"/>
      <c r="IPD9" s="1202"/>
      <c r="IPE9" s="1202"/>
      <c r="IPF9" s="1202"/>
      <c r="IPG9" s="1202"/>
      <c r="IPH9" s="1202"/>
      <c r="IPI9" s="1202"/>
      <c r="IPJ9" s="1202"/>
      <c r="IPK9" s="1202"/>
      <c r="IPL9" s="1202"/>
      <c r="IPM9" s="1202"/>
      <c r="IPN9" s="1202"/>
      <c r="IPO9" s="1202"/>
      <c r="IPP9" s="1202"/>
      <c r="IPQ9" s="1202"/>
      <c r="IPR9" s="1202"/>
      <c r="IPS9" s="1202"/>
      <c r="IPT9" s="1202"/>
      <c r="IPU9" s="1202"/>
      <c r="IPV9" s="1202"/>
      <c r="IPW9" s="1202"/>
      <c r="IPX9" s="1202"/>
      <c r="IPY9" s="1202"/>
      <c r="IPZ9" s="1202"/>
      <c r="IQA9" s="1202"/>
      <c r="IQB9" s="1202"/>
      <c r="IQC9" s="1202"/>
      <c r="IQD9" s="1202"/>
      <c r="IQE9" s="1202"/>
      <c r="IQF9" s="1202"/>
      <c r="IQG9" s="1202"/>
      <c r="IQH9" s="1202"/>
      <c r="IQI9" s="1202"/>
      <c r="IQJ9" s="1202"/>
      <c r="IQK9" s="1202"/>
      <c r="IQL9" s="1202"/>
      <c r="IQM9" s="1202"/>
      <c r="IQN9" s="1202"/>
      <c r="IQO9" s="1202"/>
      <c r="IQP9" s="1202"/>
      <c r="IQQ9" s="1202"/>
      <c r="IQR9" s="1202"/>
      <c r="IQS9" s="1202"/>
      <c r="IQT9" s="1202"/>
      <c r="IQU9" s="1202"/>
      <c r="IQV9" s="1202"/>
      <c r="IQW9" s="1202"/>
      <c r="IQX9" s="1202"/>
      <c r="IQY9" s="1202"/>
      <c r="IQZ9" s="1202"/>
      <c r="IRA9" s="1202"/>
      <c r="IRB9" s="1202"/>
      <c r="IRC9" s="1202"/>
      <c r="IRD9" s="1202"/>
      <c r="IRE9" s="1202"/>
      <c r="IRF9" s="1202"/>
      <c r="IRG9" s="1202"/>
      <c r="IRH9" s="1202"/>
      <c r="IRI9" s="1202"/>
      <c r="IRJ9" s="1202"/>
      <c r="IRK9" s="1202"/>
      <c r="IRL9" s="1202"/>
      <c r="IRM9" s="1202"/>
      <c r="IRN9" s="1202"/>
      <c r="IRO9" s="1202"/>
      <c r="IRP9" s="1202"/>
      <c r="IRQ9" s="1202"/>
      <c r="IRR9" s="1202"/>
      <c r="IRS9" s="1202"/>
      <c r="IRT9" s="1202"/>
      <c r="IRU9" s="1202"/>
      <c r="IRV9" s="1202"/>
      <c r="IRW9" s="1202"/>
      <c r="IRX9" s="1202"/>
      <c r="IRY9" s="1202"/>
      <c r="IRZ9" s="1202"/>
      <c r="ISA9" s="1202"/>
      <c r="ISB9" s="1202"/>
      <c r="ISC9" s="1202"/>
      <c r="ISD9" s="1202"/>
      <c r="ISE9" s="1202"/>
      <c r="ISF9" s="1202"/>
      <c r="ISG9" s="1202"/>
      <c r="ISH9" s="1202"/>
      <c r="ISI9" s="1202"/>
      <c r="ISJ9" s="1202"/>
      <c r="ISK9" s="1202"/>
      <c r="ISL9" s="1202"/>
      <c r="ISM9" s="1202"/>
      <c r="ISN9" s="1202"/>
      <c r="ISO9" s="1202"/>
      <c r="ISP9" s="1202"/>
      <c r="ISQ9" s="1202"/>
      <c r="ISR9" s="1202"/>
      <c r="ISS9" s="1202"/>
      <c r="IST9" s="1202"/>
      <c r="ISU9" s="1202"/>
      <c r="ISV9" s="1202"/>
      <c r="ISW9" s="1202"/>
      <c r="ISX9" s="1202"/>
      <c r="ISY9" s="1202"/>
      <c r="ISZ9" s="1202"/>
      <c r="ITA9" s="1202"/>
      <c r="ITB9" s="1202"/>
      <c r="ITC9" s="1202"/>
      <c r="ITD9" s="1202"/>
      <c r="ITE9" s="1202"/>
      <c r="ITF9" s="1202"/>
      <c r="ITG9" s="1202"/>
      <c r="ITH9" s="1202"/>
      <c r="ITI9" s="1202"/>
      <c r="ITJ9" s="1202"/>
      <c r="ITK9" s="1202"/>
      <c r="ITL9" s="1202"/>
      <c r="ITM9" s="1202"/>
      <c r="ITN9" s="1202"/>
      <c r="ITO9" s="1202"/>
      <c r="ITP9" s="1202"/>
      <c r="ITQ9" s="1202"/>
      <c r="ITR9" s="1202"/>
      <c r="ITS9" s="1202"/>
      <c r="ITT9" s="1202"/>
      <c r="ITU9" s="1202"/>
      <c r="ITV9" s="1202"/>
      <c r="ITW9" s="1202"/>
      <c r="ITX9" s="1202"/>
      <c r="ITY9" s="1202"/>
      <c r="ITZ9" s="1202"/>
      <c r="IUA9" s="1202"/>
      <c r="IUB9" s="1202"/>
      <c r="IUC9" s="1202"/>
      <c r="IUD9" s="1202"/>
      <c r="IUE9" s="1202"/>
      <c r="IUF9" s="1202"/>
      <c r="IUG9" s="1202"/>
      <c r="IUH9" s="1202"/>
      <c r="IUI9" s="1202"/>
      <c r="IUJ9" s="1202"/>
      <c r="IUK9" s="1202"/>
      <c r="IUL9" s="1202"/>
      <c r="IUM9" s="1202"/>
      <c r="IUN9" s="1202"/>
      <c r="IUO9" s="1202"/>
      <c r="IUP9" s="1202"/>
      <c r="IUQ9" s="1202"/>
      <c r="IUR9" s="1202"/>
      <c r="IUS9" s="1202"/>
      <c r="IUT9" s="1202"/>
      <c r="IUU9" s="1202"/>
      <c r="IUV9" s="1202"/>
      <c r="IUW9" s="1202"/>
      <c r="IUX9" s="1202"/>
      <c r="IUY9" s="1202"/>
      <c r="IUZ9" s="1202"/>
      <c r="IVA9" s="1202"/>
      <c r="IVB9" s="1202"/>
      <c r="IVC9" s="1202"/>
      <c r="IVD9" s="1202"/>
      <c r="IVE9" s="1202"/>
      <c r="IVF9" s="1202"/>
      <c r="IVG9" s="1202"/>
      <c r="IVH9" s="1202"/>
      <c r="IVI9" s="1202"/>
      <c r="IVJ9" s="1202"/>
      <c r="IVK9" s="1202"/>
      <c r="IVL9" s="1202"/>
      <c r="IVM9" s="1202"/>
      <c r="IVN9" s="1202"/>
      <c r="IVO9" s="1202"/>
      <c r="IVP9" s="1202"/>
      <c r="IVQ9" s="1202"/>
      <c r="IVR9" s="1202"/>
      <c r="IVS9" s="1202"/>
      <c r="IVT9" s="1202"/>
      <c r="IVU9" s="1202"/>
      <c r="IVV9" s="1202"/>
      <c r="IVW9" s="1202"/>
      <c r="IVX9" s="1202"/>
      <c r="IVY9" s="1202"/>
      <c r="IVZ9" s="1202"/>
      <c r="IWA9" s="1202"/>
      <c r="IWB9" s="1202"/>
      <c r="IWC9" s="1202"/>
      <c r="IWD9" s="1202"/>
      <c r="IWE9" s="1202"/>
      <c r="IWF9" s="1202"/>
      <c r="IWG9" s="1202"/>
      <c r="IWH9" s="1202"/>
      <c r="IWI9" s="1202"/>
      <c r="IWJ9" s="1202"/>
      <c r="IWK9" s="1202"/>
      <c r="IWL9" s="1202"/>
      <c r="IWM9" s="1202"/>
      <c r="IWN9" s="1202"/>
      <c r="IWO9" s="1202"/>
      <c r="IWP9" s="1202"/>
      <c r="IWQ9" s="1202"/>
      <c r="IWR9" s="1202"/>
      <c r="IWS9" s="1202"/>
      <c r="IWT9" s="1202"/>
      <c r="IWU9" s="1202"/>
      <c r="IWV9" s="1202"/>
      <c r="IWW9" s="1202"/>
      <c r="IWX9" s="1202"/>
      <c r="IWY9" s="1202"/>
      <c r="IWZ9" s="1202"/>
      <c r="IXA9" s="1202"/>
      <c r="IXB9" s="1202"/>
      <c r="IXC9" s="1202"/>
      <c r="IXD9" s="1202"/>
      <c r="IXE9" s="1202"/>
      <c r="IXF9" s="1202"/>
      <c r="IXG9" s="1202"/>
      <c r="IXH9" s="1202"/>
      <c r="IXI9" s="1202"/>
      <c r="IXJ9" s="1202"/>
      <c r="IXK9" s="1202"/>
      <c r="IXL9" s="1202"/>
      <c r="IXM9" s="1202"/>
      <c r="IXN9" s="1202"/>
      <c r="IXO9" s="1202"/>
      <c r="IXP9" s="1202"/>
      <c r="IXQ9" s="1202"/>
      <c r="IXR9" s="1202"/>
      <c r="IXS9" s="1202"/>
      <c r="IXT9" s="1202"/>
      <c r="IXU9" s="1202"/>
      <c r="IXV9" s="1202"/>
      <c r="IXW9" s="1202"/>
      <c r="IXX9" s="1202"/>
      <c r="IXY9" s="1202"/>
      <c r="IXZ9" s="1202"/>
      <c r="IYA9" s="1202"/>
      <c r="IYB9" s="1202"/>
      <c r="IYC9" s="1202"/>
      <c r="IYD9" s="1202"/>
      <c r="IYE9" s="1202"/>
      <c r="IYF9" s="1202"/>
      <c r="IYG9" s="1202"/>
      <c r="IYH9" s="1202"/>
      <c r="IYI9" s="1202"/>
      <c r="IYJ9" s="1202"/>
      <c r="IYK9" s="1202"/>
      <c r="IYL9" s="1202"/>
      <c r="IYM9" s="1202"/>
      <c r="IYN9" s="1202"/>
      <c r="IYO9" s="1202"/>
      <c r="IYP9" s="1202"/>
      <c r="IYQ9" s="1202"/>
      <c r="IYR9" s="1202"/>
      <c r="IYS9" s="1202"/>
      <c r="IYT9" s="1202"/>
      <c r="IYU9" s="1202"/>
      <c r="IYV9" s="1202"/>
      <c r="IYW9" s="1202"/>
      <c r="IYX9" s="1202"/>
      <c r="IYY9" s="1202"/>
      <c r="IYZ9" s="1202"/>
      <c r="IZA9" s="1202"/>
      <c r="IZB9" s="1202"/>
      <c r="IZC9" s="1202"/>
      <c r="IZD9" s="1202"/>
      <c r="IZE9" s="1202"/>
      <c r="IZF9" s="1202"/>
      <c r="IZG9" s="1202"/>
      <c r="IZH9" s="1202"/>
      <c r="IZI9" s="1202"/>
      <c r="IZJ9" s="1202"/>
      <c r="IZK9" s="1202"/>
      <c r="IZL9" s="1202"/>
      <c r="IZM9" s="1202"/>
      <c r="IZN9" s="1202"/>
      <c r="IZO9" s="1202"/>
      <c r="IZP9" s="1202"/>
      <c r="IZQ9" s="1202"/>
      <c r="IZR9" s="1202"/>
      <c r="IZS9" s="1202"/>
      <c r="IZT9" s="1202"/>
      <c r="IZU9" s="1202"/>
      <c r="IZV9" s="1202"/>
      <c r="IZW9" s="1202"/>
      <c r="IZX9" s="1202"/>
      <c r="IZY9" s="1202"/>
      <c r="IZZ9" s="1202"/>
      <c r="JAA9" s="1202"/>
      <c r="JAB9" s="1202"/>
      <c r="JAC9" s="1202"/>
      <c r="JAD9" s="1202"/>
      <c r="JAE9" s="1202"/>
      <c r="JAF9" s="1202"/>
      <c r="JAG9" s="1202"/>
      <c r="JAH9" s="1202"/>
      <c r="JAI9" s="1202"/>
      <c r="JAJ9" s="1202"/>
      <c r="JAK9" s="1202"/>
      <c r="JAL9" s="1202"/>
      <c r="JAM9" s="1202"/>
      <c r="JAN9" s="1202"/>
      <c r="JAO9" s="1202"/>
      <c r="JAP9" s="1202"/>
      <c r="JAQ9" s="1202"/>
      <c r="JAR9" s="1202"/>
      <c r="JAS9" s="1202"/>
      <c r="JAT9" s="1202"/>
      <c r="JAU9" s="1202"/>
      <c r="JAV9" s="1202"/>
      <c r="JAW9" s="1202"/>
      <c r="JAX9" s="1202"/>
      <c r="JAY9" s="1202"/>
      <c r="JAZ9" s="1202"/>
      <c r="JBA9" s="1202"/>
      <c r="JBB9" s="1202"/>
      <c r="JBC9" s="1202"/>
      <c r="JBD9" s="1202"/>
      <c r="JBE9" s="1202"/>
      <c r="JBF9" s="1202"/>
      <c r="JBG9" s="1202"/>
      <c r="JBH9" s="1202"/>
      <c r="JBI9" s="1202"/>
      <c r="JBJ9" s="1202"/>
      <c r="JBK9" s="1202"/>
      <c r="JBL9" s="1202"/>
      <c r="JBM9" s="1202"/>
      <c r="JBN9" s="1202"/>
      <c r="JBO9" s="1202"/>
      <c r="JBP9" s="1202"/>
      <c r="JBQ9" s="1202"/>
      <c r="JBR9" s="1202"/>
      <c r="JBS9" s="1202"/>
      <c r="JBT9" s="1202"/>
      <c r="JBU9" s="1202"/>
      <c r="JBV9" s="1202"/>
      <c r="JBW9" s="1202"/>
      <c r="JBX9" s="1202"/>
      <c r="JBY9" s="1202"/>
      <c r="JBZ9" s="1202"/>
      <c r="JCA9" s="1202"/>
      <c r="JCB9" s="1202"/>
      <c r="JCC9" s="1202"/>
      <c r="JCD9" s="1202"/>
      <c r="JCE9" s="1202"/>
      <c r="JCF9" s="1202"/>
      <c r="JCG9" s="1202"/>
      <c r="JCH9" s="1202"/>
      <c r="JCI9" s="1202"/>
      <c r="JCJ9" s="1202"/>
      <c r="JCK9" s="1202"/>
      <c r="JCL9" s="1202"/>
      <c r="JCM9" s="1202"/>
      <c r="JCN9" s="1202"/>
      <c r="JCO9" s="1202"/>
      <c r="JCP9" s="1202"/>
      <c r="JCQ9" s="1202"/>
      <c r="JCR9" s="1202"/>
      <c r="JCS9" s="1202"/>
      <c r="JCT9" s="1202"/>
      <c r="JCU9" s="1202"/>
      <c r="JCV9" s="1202"/>
      <c r="JCW9" s="1202"/>
      <c r="JCX9" s="1202"/>
      <c r="JCY9" s="1202"/>
      <c r="JCZ9" s="1202"/>
      <c r="JDA9" s="1202"/>
      <c r="JDB9" s="1202"/>
      <c r="JDC9" s="1202"/>
      <c r="JDD9" s="1202"/>
      <c r="JDE9" s="1202"/>
      <c r="JDF9" s="1202"/>
      <c r="JDG9" s="1202"/>
      <c r="JDH9" s="1202"/>
      <c r="JDI9" s="1202"/>
      <c r="JDJ9" s="1202"/>
      <c r="JDK9" s="1202"/>
      <c r="JDL9" s="1202"/>
      <c r="JDM9" s="1202"/>
      <c r="JDN9" s="1202"/>
      <c r="JDO9" s="1202"/>
      <c r="JDP9" s="1202"/>
      <c r="JDQ9" s="1202"/>
      <c r="JDR9" s="1202"/>
      <c r="JDS9" s="1202"/>
      <c r="JDT9" s="1202"/>
      <c r="JDU9" s="1202"/>
      <c r="JDV9" s="1202"/>
      <c r="JDW9" s="1202"/>
      <c r="JDX9" s="1202"/>
      <c r="JDY9" s="1202"/>
      <c r="JDZ9" s="1202"/>
      <c r="JEA9" s="1202"/>
      <c r="JEB9" s="1202"/>
      <c r="JEC9" s="1202"/>
      <c r="JED9" s="1202"/>
      <c r="JEE9" s="1202"/>
      <c r="JEF9" s="1202"/>
      <c r="JEG9" s="1202"/>
      <c r="JEH9" s="1202"/>
      <c r="JEI9" s="1202"/>
      <c r="JEJ9" s="1202"/>
      <c r="JEK9" s="1202"/>
      <c r="JEL9" s="1202"/>
      <c r="JEM9" s="1202"/>
      <c r="JEN9" s="1202"/>
      <c r="JEO9" s="1202"/>
      <c r="JEP9" s="1202"/>
      <c r="JEQ9" s="1202"/>
      <c r="JER9" s="1202"/>
      <c r="JES9" s="1202"/>
      <c r="JET9" s="1202"/>
      <c r="JEU9" s="1202"/>
      <c r="JEV9" s="1202"/>
      <c r="JEW9" s="1202"/>
      <c r="JEX9" s="1202"/>
      <c r="JEY9" s="1202"/>
      <c r="JEZ9" s="1202"/>
      <c r="JFA9" s="1202"/>
      <c r="JFB9" s="1202"/>
      <c r="JFC9" s="1202"/>
      <c r="JFD9" s="1202"/>
      <c r="JFE9" s="1202"/>
      <c r="JFF9" s="1202"/>
      <c r="JFG9" s="1202"/>
      <c r="JFH9" s="1202"/>
      <c r="JFI9" s="1202"/>
      <c r="JFJ9" s="1202"/>
      <c r="JFK9" s="1202"/>
      <c r="JFL9" s="1202"/>
      <c r="JFM9" s="1202"/>
      <c r="JFN9" s="1202"/>
      <c r="JFO9" s="1202"/>
      <c r="JFP9" s="1202"/>
      <c r="JFQ9" s="1202"/>
      <c r="JFR9" s="1202"/>
      <c r="JFS9" s="1202"/>
      <c r="JFT9" s="1202"/>
      <c r="JFU9" s="1202"/>
      <c r="JFV9" s="1202"/>
      <c r="JFW9" s="1202"/>
      <c r="JFX9" s="1202"/>
      <c r="JFY9" s="1202"/>
      <c r="JFZ9" s="1202"/>
      <c r="JGA9" s="1202"/>
      <c r="JGB9" s="1202"/>
      <c r="JGC9" s="1202"/>
      <c r="JGD9" s="1202"/>
      <c r="JGE9" s="1202"/>
      <c r="JGF9" s="1202"/>
      <c r="JGG9" s="1202"/>
      <c r="JGH9" s="1202"/>
      <c r="JGI9" s="1202"/>
      <c r="JGJ9" s="1202"/>
      <c r="JGK9" s="1202"/>
      <c r="JGL9" s="1202"/>
      <c r="JGM9" s="1202"/>
      <c r="JGN9" s="1202"/>
      <c r="JGO9" s="1202"/>
      <c r="JGP9" s="1202"/>
      <c r="JGQ9" s="1202"/>
      <c r="JGR9" s="1202"/>
      <c r="JGS9" s="1202"/>
      <c r="JGT9" s="1202"/>
      <c r="JGU9" s="1202"/>
      <c r="JGV9" s="1202"/>
      <c r="JGW9" s="1202"/>
      <c r="JGX9" s="1202"/>
      <c r="JGY9" s="1202"/>
      <c r="JGZ9" s="1202"/>
      <c r="JHA9" s="1202"/>
      <c r="JHB9" s="1202"/>
      <c r="JHC9" s="1202"/>
      <c r="JHD9" s="1202"/>
      <c r="JHE9" s="1202"/>
      <c r="JHF9" s="1202"/>
      <c r="JHG9" s="1202"/>
      <c r="JHH9" s="1202"/>
      <c r="JHI9" s="1202"/>
      <c r="JHJ9" s="1202"/>
      <c r="JHK9" s="1202"/>
      <c r="JHL9" s="1202"/>
      <c r="JHM9" s="1202"/>
      <c r="JHN9" s="1202"/>
      <c r="JHO9" s="1202"/>
      <c r="JHP9" s="1202"/>
      <c r="JHQ9" s="1202"/>
      <c r="JHR9" s="1202"/>
      <c r="JHS9" s="1202"/>
      <c r="JHT9" s="1202"/>
      <c r="JHU9" s="1202"/>
      <c r="JHV9" s="1202"/>
      <c r="JHW9" s="1202"/>
      <c r="JHX9" s="1202"/>
      <c r="JHY9" s="1202"/>
      <c r="JHZ9" s="1202"/>
      <c r="JIA9" s="1202"/>
      <c r="JIB9" s="1202"/>
      <c r="JIC9" s="1202"/>
      <c r="JID9" s="1202"/>
      <c r="JIE9" s="1202"/>
      <c r="JIF9" s="1202"/>
      <c r="JIG9" s="1202"/>
      <c r="JIH9" s="1202"/>
      <c r="JII9" s="1202"/>
      <c r="JIJ9" s="1202"/>
      <c r="JIK9" s="1202"/>
      <c r="JIL9" s="1202"/>
      <c r="JIM9" s="1202"/>
      <c r="JIN9" s="1202"/>
      <c r="JIO9" s="1202"/>
      <c r="JIP9" s="1202"/>
      <c r="JIQ9" s="1202"/>
      <c r="JIR9" s="1202"/>
      <c r="JIS9" s="1202"/>
      <c r="JIT9" s="1202"/>
      <c r="JIU9" s="1202"/>
      <c r="JIV9" s="1202"/>
      <c r="JIW9" s="1202"/>
      <c r="JIX9" s="1202"/>
      <c r="JIY9" s="1202"/>
      <c r="JIZ9" s="1202"/>
      <c r="JJA9" s="1202"/>
      <c r="JJB9" s="1202"/>
      <c r="JJC9" s="1202"/>
      <c r="JJD9" s="1202"/>
      <c r="JJE9" s="1202"/>
      <c r="JJF9" s="1202"/>
      <c r="JJG9" s="1202"/>
      <c r="JJH9" s="1202"/>
      <c r="JJI9" s="1202"/>
      <c r="JJJ9" s="1202"/>
      <c r="JJK9" s="1202"/>
      <c r="JJL9" s="1202"/>
      <c r="JJM9" s="1202"/>
      <c r="JJN9" s="1202"/>
      <c r="JJO9" s="1202"/>
      <c r="JJP9" s="1202"/>
      <c r="JJQ9" s="1202"/>
      <c r="JJR9" s="1202"/>
      <c r="JJS9" s="1202"/>
      <c r="JJT9" s="1202"/>
      <c r="JJU9" s="1202"/>
      <c r="JJV9" s="1202"/>
      <c r="JJW9" s="1202"/>
      <c r="JJX9" s="1202"/>
      <c r="JJY9" s="1202"/>
      <c r="JJZ9" s="1202"/>
      <c r="JKA9" s="1202"/>
      <c r="JKB9" s="1202"/>
      <c r="JKC9" s="1202"/>
      <c r="JKD9" s="1202"/>
      <c r="JKE9" s="1202"/>
      <c r="JKF9" s="1202"/>
      <c r="JKG9" s="1202"/>
      <c r="JKH9" s="1202"/>
      <c r="JKI9" s="1202"/>
      <c r="JKJ9" s="1202"/>
      <c r="JKK9" s="1202"/>
      <c r="JKL9" s="1202"/>
      <c r="JKM9" s="1202"/>
      <c r="JKN9" s="1202"/>
      <c r="JKO9" s="1202"/>
      <c r="JKP9" s="1202"/>
      <c r="JKQ9" s="1202"/>
      <c r="JKR9" s="1202"/>
      <c r="JKS9" s="1202"/>
      <c r="JKT9" s="1202"/>
      <c r="JKU9" s="1202"/>
      <c r="JKV9" s="1202"/>
      <c r="JKW9" s="1202"/>
      <c r="JKX9" s="1202"/>
      <c r="JKY9" s="1202"/>
      <c r="JKZ9" s="1202"/>
      <c r="JLA9" s="1202"/>
      <c r="JLB9" s="1202"/>
      <c r="JLC9" s="1202"/>
      <c r="JLD9" s="1202"/>
      <c r="JLE9" s="1202"/>
      <c r="JLF9" s="1202"/>
      <c r="JLG9" s="1202"/>
      <c r="JLH9" s="1202"/>
      <c r="JLI9" s="1202"/>
      <c r="JLJ9" s="1202"/>
      <c r="JLK9" s="1202"/>
      <c r="JLL9" s="1202"/>
      <c r="JLM9" s="1202"/>
      <c r="JLN9" s="1202"/>
      <c r="JLO9" s="1202"/>
      <c r="JLP9" s="1202"/>
      <c r="JLQ9" s="1202"/>
      <c r="JLR9" s="1202"/>
      <c r="JLS9" s="1202"/>
      <c r="JLT9" s="1202"/>
      <c r="JLU9" s="1202"/>
      <c r="JLV9" s="1202"/>
      <c r="JLW9" s="1202"/>
      <c r="JLX9" s="1202"/>
      <c r="JLY9" s="1202"/>
      <c r="JLZ9" s="1202"/>
      <c r="JMA9" s="1202"/>
      <c r="JMB9" s="1202"/>
      <c r="JMC9" s="1202"/>
      <c r="JMD9" s="1202"/>
      <c r="JME9" s="1202"/>
      <c r="JMF9" s="1202"/>
      <c r="JMG9" s="1202"/>
      <c r="JMH9" s="1202"/>
      <c r="JMI9" s="1202"/>
      <c r="JMJ9" s="1202"/>
      <c r="JMK9" s="1202"/>
      <c r="JML9" s="1202"/>
      <c r="JMM9" s="1202"/>
      <c r="JMN9" s="1202"/>
      <c r="JMO9" s="1202"/>
      <c r="JMP9" s="1202"/>
      <c r="JMQ9" s="1202"/>
      <c r="JMR9" s="1202"/>
      <c r="JMS9" s="1202"/>
      <c r="JMT9" s="1202"/>
      <c r="JMU9" s="1202"/>
      <c r="JMV9" s="1202"/>
      <c r="JMW9" s="1202"/>
      <c r="JMX9" s="1202"/>
      <c r="JMY9" s="1202"/>
      <c r="JMZ9" s="1202"/>
      <c r="JNA9" s="1202"/>
      <c r="JNB9" s="1202"/>
      <c r="JNC9" s="1202"/>
      <c r="JND9" s="1202"/>
      <c r="JNE9" s="1202"/>
      <c r="JNF9" s="1202"/>
      <c r="JNG9" s="1202"/>
      <c r="JNH9" s="1202"/>
      <c r="JNI9" s="1202"/>
      <c r="JNJ9" s="1202"/>
      <c r="JNK9" s="1202"/>
      <c r="JNL9" s="1202"/>
      <c r="JNM9" s="1202"/>
      <c r="JNN9" s="1202"/>
      <c r="JNO9" s="1202"/>
      <c r="JNP9" s="1202"/>
      <c r="JNQ9" s="1202"/>
      <c r="JNR9" s="1202"/>
      <c r="JNS9" s="1202"/>
      <c r="JNT9" s="1202"/>
      <c r="JNU9" s="1202"/>
      <c r="JNV9" s="1202"/>
      <c r="JNW9" s="1202"/>
      <c r="JNX9" s="1202"/>
      <c r="JNY9" s="1202"/>
      <c r="JNZ9" s="1202"/>
      <c r="JOA9" s="1202"/>
      <c r="JOB9" s="1202"/>
      <c r="JOC9" s="1202"/>
      <c r="JOD9" s="1202"/>
      <c r="JOE9" s="1202"/>
      <c r="JOF9" s="1202"/>
      <c r="JOG9" s="1202"/>
      <c r="JOH9" s="1202"/>
      <c r="JOI9" s="1202"/>
      <c r="JOJ9" s="1202"/>
      <c r="JOK9" s="1202"/>
      <c r="JOL9" s="1202"/>
      <c r="JOM9" s="1202"/>
      <c r="JON9" s="1202"/>
      <c r="JOO9" s="1202"/>
      <c r="JOP9" s="1202"/>
      <c r="JOQ9" s="1202"/>
      <c r="JOR9" s="1202"/>
      <c r="JOS9" s="1202"/>
      <c r="JOT9" s="1202"/>
      <c r="JOU9" s="1202"/>
      <c r="JOV9" s="1202"/>
      <c r="JOW9" s="1202"/>
      <c r="JOX9" s="1202"/>
      <c r="JOY9" s="1202"/>
      <c r="JOZ9" s="1202"/>
      <c r="JPA9" s="1202"/>
      <c r="JPB9" s="1202"/>
      <c r="JPC9" s="1202"/>
      <c r="JPD9" s="1202"/>
      <c r="JPE9" s="1202"/>
      <c r="JPF9" s="1202"/>
      <c r="JPG9" s="1202"/>
      <c r="JPH9" s="1202"/>
      <c r="JPI9" s="1202"/>
      <c r="JPJ9" s="1202"/>
      <c r="JPK9" s="1202"/>
      <c r="JPL9" s="1202"/>
      <c r="JPM9" s="1202"/>
      <c r="JPN9" s="1202"/>
      <c r="JPO9" s="1202"/>
      <c r="JPP9" s="1202"/>
      <c r="JPQ9" s="1202"/>
      <c r="JPR9" s="1202"/>
      <c r="JPS9" s="1202"/>
      <c r="JPT9" s="1202"/>
      <c r="JPU9" s="1202"/>
      <c r="JPV9" s="1202"/>
      <c r="JPW9" s="1202"/>
      <c r="JPX9" s="1202"/>
      <c r="JPY9" s="1202"/>
      <c r="JPZ9" s="1202"/>
      <c r="JQA9" s="1202"/>
      <c r="JQB9" s="1202"/>
      <c r="JQC9" s="1202"/>
      <c r="JQD9" s="1202"/>
      <c r="JQE9" s="1202"/>
      <c r="JQF9" s="1202"/>
      <c r="JQG9" s="1202"/>
      <c r="JQH9" s="1202"/>
      <c r="JQI9" s="1202"/>
      <c r="JQJ9" s="1202"/>
      <c r="JQK9" s="1202"/>
      <c r="JQL9" s="1202"/>
      <c r="JQM9" s="1202"/>
      <c r="JQN9" s="1202"/>
      <c r="JQO9" s="1202"/>
      <c r="JQP9" s="1202"/>
      <c r="JQQ9" s="1202"/>
      <c r="JQR9" s="1202"/>
      <c r="JQS9" s="1202"/>
      <c r="JQT9" s="1202"/>
      <c r="JQU9" s="1202"/>
      <c r="JQV9" s="1202"/>
      <c r="JQW9" s="1202"/>
      <c r="JQX9" s="1202"/>
      <c r="JQY9" s="1202"/>
      <c r="JQZ9" s="1202"/>
      <c r="JRA9" s="1202"/>
      <c r="JRB9" s="1202"/>
      <c r="JRC9" s="1202"/>
      <c r="JRD9" s="1202"/>
      <c r="JRE9" s="1202"/>
      <c r="JRF9" s="1202"/>
      <c r="JRG9" s="1202"/>
      <c r="JRH9" s="1202"/>
      <c r="JRI9" s="1202"/>
      <c r="JRJ9" s="1202"/>
      <c r="JRK9" s="1202"/>
      <c r="JRL9" s="1202"/>
      <c r="JRM9" s="1202"/>
      <c r="JRN9" s="1202"/>
      <c r="JRO9" s="1202"/>
      <c r="JRP9" s="1202"/>
      <c r="JRQ9" s="1202"/>
      <c r="JRR9" s="1202"/>
      <c r="JRS9" s="1202"/>
      <c r="JRT9" s="1202"/>
      <c r="JRU9" s="1202"/>
      <c r="JRV9" s="1202"/>
      <c r="JRW9" s="1202"/>
      <c r="JRX9" s="1202"/>
      <c r="JRY9" s="1202"/>
      <c r="JRZ9" s="1202"/>
      <c r="JSA9" s="1202"/>
      <c r="JSB9" s="1202"/>
      <c r="JSC9" s="1202"/>
      <c r="JSD9" s="1202"/>
      <c r="JSE9" s="1202"/>
      <c r="JSF9" s="1202"/>
      <c r="JSG9" s="1202"/>
      <c r="JSH9" s="1202"/>
      <c r="JSI9" s="1202"/>
      <c r="JSJ9" s="1202"/>
      <c r="JSK9" s="1202"/>
      <c r="JSL9" s="1202"/>
      <c r="JSM9" s="1202"/>
      <c r="JSN9" s="1202"/>
      <c r="JSO9" s="1202"/>
      <c r="JSP9" s="1202"/>
      <c r="JSQ9" s="1202"/>
      <c r="JSR9" s="1202"/>
      <c r="JSS9" s="1202"/>
      <c r="JST9" s="1202"/>
      <c r="JSU9" s="1202"/>
      <c r="JSV9" s="1202"/>
      <c r="JSW9" s="1202"/>
      <c r="JSX9" s="1202"/>
      <c r="JSY9" s="1202"/>
      <c r="JSZ9" s="1202"/>
      <c r="JTA9" s="1202"/>
      <c r="JTB9" s="1202"/>
      <c r="JTC9" s="1202"/>
      <c r="JTD9" s="1202"/>
      <c r="JTE9" s="1202"/>
      <c r="JTF9" s="1202"/>
      <c r="JTG9" s="1202"/>
      <c r="JTH9" s="1202"/>
      <c r="JTI9" s="1202"/>
      <c r="JTJ9" s="1202"/>
      <c r="JTK9" s="1202"/>
      <c r="JTL9" s="1202"/>
      <c r="JTM9" s="1202"/>
      <c r="JTN9" s="1202"/>
      <c r="JTO9" s="1202"/>
      <c r="JTP9" s="1202"/>
      <c r="JTQ9" s="1202"/>
      <c r="JTR9" s="1202"/>
      <c r="JTS9" s="1202"/>
      <c r="JTT9" s="1202"/>
      <c r="JTU9" s="1202"/>
      <c r="JTV9" s="1202"/>
      <c r="JTW9" s="1202"/>
      <c r="JTX9" s="1202"/>
      <c r="JTY9" s="1202"/>
      <c r="JTZ9" s="1202"/>
      <c r="JUA9" s="1202"/>
      <c r="JUB9" s="1202"/>
      <c r="JUC9" s="1202"/>
      <c r="JUD9" s="1202"/>
      <c r="JUE9" s="1202"/>
      <c r="JUF9" s="1202"/>
      <c r="JUG9" s="1202"/>
      <c r="JUH9" s="1202"/>
      <c r="JUI9" s="1202"/>
      <c r="JUJ9" s="1202"/>
      <c r="JUK9" s="1202"/>
      <c r="JUL9" s="1202"/>
      <c r="JUM9" s="1202"/>
      <c r="JUN9" s="1202"/>
      <c r="JUO9" s="1202"/>
      <c r="JUP9" s="1202"/>
      <c r="JUQ9" s="1202"/>
      <c r="JUR9" s="1202"/>
      <c r="JUS9" s="1202"/>
      <c r="JUT9" s="1202"/>
      <c r="JUU9" s="1202"/>
      <c r="JUV9" s="1202"/>
      <c r="JUW9" s="1202"/>
      <c r="JUX9" s="1202"/>
      <c r="JUY9" s="1202"/>
      <c r="JUZ9" s="1202"/>
      <c r="JVA9" s="1202"/>
      <c r="JVB9" s="1202"/>
      <c r="JVC9" s="1202"/>
      <c r="JVD9" s="1202"/>
      <c r="JVE9" s="1202"/>
      <c r="JVF9" s="1202"/>
      <c r="JVG9" s="1202"/>
      <c r="JVH9" s="1202"/>
      <c r="JVI9" s="1202"/>
      <c r="JVJ9" s="1202"/>
      <c r="JVK9" s="1202"/>
      <c r="JVL9" s="1202"/>
      <c r="JVM9" s="1202"/>
      <c r="JVN9" s="1202"/>
      <c r="JVO9" s="1202"/>
      <c r="JVP9" s="1202"/>
      <c r="JVQ9" s="1202"/>
      <c r="JVR9" s="1202"/>
      <c r="JVS9" s="1202"/>
      <c r="JVT9" s="1202"/>
      <c r="JVU9" s="1202"/>
      <c r="JVV9" s="1202"/>
      <c r="JVW9" s="1202"/>
      <c r="JVX9" s="1202"/>
      <c r="JVY9" s="1202"/>
      <c r="JVZ9" s="1202"/>
      <c r="JWA9" s="1202"/>
      <c r="JWB9" s="1202"/>
      <c r="JWC9" s="1202"/>
      <c r="JWD9" s="1202"/>
      <c r="JWE9" s="1202"/>
      <c r="JWF9" s="1202"/>
      <c r="JWG9" s="1202"/>
      <c r="JWH9" s="1202"/>
      <c r="JWI9" s="1202"/>
      <c r="JWJ9" s="1202"/>
      <c r="JWK9" s="1202"/>
      <c r="JWL9" s="1202"/>
      <c r="JWM9" s="1202"/>
      <c r="JWN9" s="1202"/>
      <c r="JWO9" s="1202"/>
      <c r="JWP9" s="1202"/>
      <c r="JWQ9" s="1202"/>
      <c r="JWR9" s="1202"/>
      <c r="JWS9" s="1202"/>
      <c r="JWT9" s="1202"/>
      <c r="JWU9" s="1202"/>
      <c r="JWV9" s="1202"/>
      <c r="JWW9" s="1202"/>
      <c r="JWX9" s="1202"/>
      <c r="JWY9" s="1202"/>
      <c r="JWZ9" s="1202"/>
      <c r="JXA9" s="1202"/>
      <c r="JXB9" s="1202"/>
      <c r="JXC9" s="1202"/>
      <c r="JXD9" s="1202"/>
      <c r="JXE9" s="1202"/>
      <c r="JXF9" s="1202"/>
      <c r="JXG9" s="1202"/>
      <c r="JXH9" s="1202"/>
      <c r="JXI9" s="1202"/>
      <c r="JXJ9" s="1202"/>
      <c r="JXK9" s="1202"/>
      <c r="JXL9" s="1202"/>
      <c r="JXM9" s="1202"/>
      <c r="JXN9" s="1202"/>
      <c r="JXO9" s="1202"/>
      <c r="JXP9" s="1202"/>
      <c r="JXQ9" s="1202"/>
      <c r="JXR9" s="1202"/>
      <c r="JXS9" s="1202"/>
      <c r="JXT9" s="1202"/>
      <c r="JXU9" s="1202"/>
      <c r="JXV9" s="1202"/>
      <c r="JXW9" s="1202"/>
      <c r="JXX9" s="1202"/>
      <c r="JXY9" s="1202"/>
      <c r="JXZ9" s="1202"/>
      <c r="JYA9" s="1202"/>
      <c r="JYB9" s="1202"/>
      <c r="JYC9" s="1202"/>
      <c r="JYD9" s="1202"/>
      <c r="JYE9" s="1202"/>
      <c r="JYF9" s="1202"/>
      <c r="JYG9" s="1202"/>
      <c r="JYH9" s="1202"/>
      <c r="JYI9" s="1202"/>
      <c r="JYJ9" s="1202"/>
      <c r="JYK9" s="1202"/>
      <c r="JYL9" s="1202"/>
      <c r="JYM9" s="1202"/>
      <c r="JYN9" s="1202"/>
      <c r="JYO9" s="1202"/>
      <c r="JYP9" s="1202"/>
      <c r="JYQ9" s="1202"/>
      <c r="JYR9" s="1202"/>
      <c r="JYS9" s="1202"/>
      <c r="JYT9" s="1202"/>
      <c r="JYU9" s="1202"/>
      <c r="JYV9" s="1202"/>
      <c r="JYW9" s="1202"/>
      <c r="JYX9" s="1202"/>
      <c r="JYY9" s="1202"/>
      <c r="JYZ9" s="1202"/>
      <c r="JZA9" s="1202"/>
      <c r="JZB9" s="1202"/>
      <c r="JZC9" s="1202"/>
      <c r="JZD9" s="1202"/>
      <c r="JZE9" s="1202"/>
      <c r="JZF9" s="1202"/>
      <c r="JZG9" s="1202"/>
      <c r="JZH9" s="1202"/>
      <c r="JZI9" s="1202"/>
      <c r="JZJ9" s="1202"/>
      <c r="JZK9" s="1202"/>
      <c r="JZL9" s="1202"/>
      <c r="JZM9" s="1202"/>
      <c r="JZN9" s="1202"/>
      <c r="JZO9" s="1202"/>
      <c r="JZP9" s="1202"/>
      <c r="JZQ9" s="1202"/>
      <c r="JZR9" s="1202"/>
      <c r="JZS9" s="1202"/>
      <c r="JZT9" s="1202"/>
      <c r="JZU9" s="1202"/>
      <c r="JZV9" s="1202"/>
      <c r="JZW9" s="1202"/>
      <c r="JZX9" s="1202"/>
      <c r="JZY9" s="1202"/>
      <c r="JZZ9" s="1202"/>
      <c r="KAA9" s="1202"/>
      <c r="KAB9" s="1202"/>
      <c r="KAC9" s="1202"/>
      <c r="KAD9" s="1202"/>
      <c r="KAE9" s="1202"/>
      <c r="KAF9" s="1202"/>
      <c r="KAG9" s="1202"/>
      <c r="KAH9" s="1202"/>
      <c r="KAI9" s="1202"/>
      <c r="KAJ9" s="1202"/>
      <c r="KAK9" s="1202"/>
      <c r="KAL9" s="1202"/>
      <c r="KAM9" s="1202"/>
      <c r="KAN9" s="1202"/>
      <c r="KAO9" s="1202"/>
      <c r="KAP9" s="1202"/>
      <c r="KAQ9" s="1202"/>
      <c r="KAR9" s="1202"/>
      <c r="KAS9" s="1202"/>
      <c r="KAT9" s="1202"/>
      <c r="KAU9" s="1202"/>
      <c r="KAV9" s="1202"/>
      <c r="KAW9" s="1202"/>
      <c r="KAX9" s="1202"/>
      <c r="KAY9" s="1202"/>
      <c r="KAZ9" s="1202"/>
      <c r="KBA9" s="1202"/>
      <c r="KBB9" s="1202"/>
      <c r="KBC9" s="1202"/>
      <c r="KBD9" s="1202"/>
      <c r="KBE9" s="1202"/>
      <c r="KBF9" s="1202"/>
      <c r="KBG9" s="1202"/>
      <c r="KBH9" s="1202"/>
      <c r="KBI9" s="1202"/>
      <c r="KBJ9" s="1202"/>
      <c r="KBK9" s="1202"/>
      <c r="KBL9" s="1202"/>
      <c r="KBM9" s="1202"/>
      <c r="KBN9" s="1202"/>
      <c r="KBO9" s="1202"/>
      <c r="KBP9" s="1202"/>
      <c r="KBQ9" s="1202"/>
      <c r="KBR9" s="1202"/>
      <c r="KBS9" s="1202"/>
      <c r="KBT9" s="1202"/>
      <c r="KBU9" s="1202"/>
      <c r="KBV9" s="1202"/>
      <c r="KBW9" s="1202"/>
      <c r="KBX9" s="1202"/>
      <c r="KBY9" s="1202"/>
      <c r="KBZ9" s="1202"/>
      <c r="KCA9" s="1202"/>
      <c r="KCB9" s="1202"/>
      <c r="KCC9" s="1202"/>
      <c r="KCD9" s="1202"/>
      <c r="KCE9" s="1202"/>
      <c r="KCF9" s="1202"/>
      <c r="KCG9" s="1202"/>
      <c r="KCH9" s="1202"/>
      <c r="KCI9" s="1202"/>
      <c r="KCJ9" s="1202"/>
      <c r="KCK9" s="1202"/>
      <c r="KCL9" s="1202"/>
      <c r="KCM9" s="1202"/>
      <c r="KCN9" s="1202"/>
      <c r="KCO9" s="1202"/>
      <c r="KCP9" s="1202"/>
      <c r="KCQ9" s="1202"/>
      <c r="KCR9" s="1202"/>
      <c r="KCS9" s="1202"/>
      <c r="KCT9" s="1202"/>
      <c r="KCU9" s="1202"/>
      <c r="KCV9" s="1202"/>
      <c r="KCW9" s="1202"/>
      <c r="KCX9" s="1202"/>
      <c r="KCY9" s="1202"/>
      <c r="KCZ9" s="1202"/>
      <c r="KDA9" s="1202"/>
      <c r="KDB9" s="1202"/>
      <c r="KDC9" s="1202"/>
      <c r="KDD9" s="1202"/>
      <c r="KDE9" s="1202"/>
      <c r="KDF9" s="1202"/>
      <c r="KDG9" s="1202"/>
      <c r="KDH9" s="1202"/>
      <c r="KDI9" s="1202"/>
      <c r="KDJ9" s="1202"/>
      <c r="KDK9" s="1202"/>
      <c r="KDL9" s="1202"/>
      <c r="KDM9" s="1202"/>
      <c r="KDN9" s="1202"/>
      <c r="KDO9" s="1202"/>
      <c r="KDP9" s="1202"/>
      <c r="KDQ9" s="1202"/>
      <c r="KDR9" s="1202"/>
      <c r="KDS9" s="1202"/>
      <c r="KDT9" s="1202"/>
      <c r="KDU9" s="1202"/>
      <c r="KDV9" s="1202"/>
      <c r="KDW9" s="1202"/>
      <c r="KDX9" s="1202"/>
      <c r="KDY9" s="1202"/>
      <c r="KDZ9" s="1202"/>
      <c r="KEA9" s="1202"/>
      <c r="KEB9" s="1202"/>
      <c r="KEC9" s="1202"/>
      <c r="KED9" s="1202"/>
      <c r="KEE9" s="1202"/>
      <c r="KEF9" s="1202"/>
      <c r="KEG9" s="1202"/>
      <c r="KEH9" s="1202"/>
      <c r="KEI9" s="1202"/>
      <c r="KEJ9" s="1202"/>
      <c r="KEK9" s="1202"/>
      <c r="KEL9" s="1202"/>
      <c r="KEM9" s="1202"/>
      <c r="KEN9" s="1202"/>
      <c r="KEO9" s="1202"/>
      <c r="KEP9" s="1202"/>
      <c r="KEQ9" s="1202"/>
      <c r="KER9" s="1202"/>
      <c r="KES9" s="1202"/>
      <c r="KET9" s="1202"/>
      <c r="KEU9" s="1202"/>
      <c r="KEV9" s="1202"/>
      <c r="KEW9" s="1202"/>
      <c r="KEX9" s="1202"/>
      <c r="KEY9" s="1202"/>
      <c r="KEZ9" s="1202"/>
      <c r="KFA9" s="1202"/>
      <c r="KFB9" s="1202"/>
      <c r="KFC9" s="1202"/>
      <c r="KFD9" s="1202"/>
      <c r="KFE9" s="1202"/>
      <c r="KFF9" s="1202"/>
      <c r="KFG9" s="1202"/>
      <c r="KFH9" s="1202"/>
      <c r="KFI9" s="1202"/>
      <c r="KFJ9" s="1202"/>
      <c r="KFK9" s="1202"/>
      <c r="KFL9" s="1202"/>
      <c r="KFM9" s="1202"/>
      <c r="KFN9" s="1202"/>
      <c r="KFO9" s="1202"/>
      <c r="KFP9" s="1202"/>
      <c r="KFQ9" s="1202"/>
      <c r="KFR9" s="1202"/>
      <c r="KFS9" s="1202"/>
      <c r="KFT9" s="1202"/>
      <c r="KFU9" s="1202"/>
      <c r="KFV9" s="1202"/>
      <c r="KFW9" s="1202"/>
      <c r="KFX9" s="1202"/>
      <c r="KFY9" s="1202"/>
      <c r="KFZ9" s="1202"/>
      <c r="KGA9" s="1202"/>
      <c r="KGB9" s="1202"/>
      <c r="KGC9" s="1202"/>
      <c r="KGD9" s="1202"/>
      <c r="KGE9" s="1202"/>
      <c r="KGF9" s="1202"/>
      <c r="KGG9" s="1202"/>
      <c r="KGH9" s="1202"/>
      <c r="KGI9" s="1202"/>
      <c r="KGJ9" s="1202"/>
      <c r="KGK9" s="1202"/>
      <c r="KGL9" s="1202"/>
      <c r="KGM9" s="1202"/>
      <c r="KGN9" s="1202"/>
      <c r="KGO9" s="1202"/>
      <c r="KGP9" s="1202"/>
      <c r="KGQ9" s="1202"/>
      <c r="KGR9" s="1202"/>
      <c r="KGS9" s="1202"/>
      <c r="KGT9" s="1202"/>
      <c r="KGU9" s="1202"/>
      <c r="KGV9" s="1202"/>
      <c r="KGW9" s="1202"/>
      <c r="KGX9" s="1202"/>
      <c r="KGY9" s="1202"/>
      <c r="KGZ9" s="1202"/>
      <c r="KHA9" s="1202"/>
      <c r="KHB9" s="1202"/>
      <c r="KHC9" s="1202"/>
      <c r="KHD9" s="1202"/>
      <c r="KHE9" s="1202"/>
      <c r="KHF9" s="1202"/>
      <c r="KHG9" s="1202"/>
      <c r="KHH9" s="1202"/>
      <c r="KHI9" s="1202"/>
      <c r="KHJ9" s="1202"/>
      <c r="KHK9" s="1202"/>
      <c r="KHL9" s="1202"/>
      <c r="KHM9" s="1202"/>
      <c r="KHN9" s="1202"/>
      <c r="KHO9" s="1202"/>
      <c r="KHP9" s="1202"/>
      <c r="KHQ9" s="1202"/>
      <c r="KHR9" s="1202"/>
      <c r="KHS9" s="1202"/>
      <c r="KHT9" s="1202"/>
      <c r="KHU9" s="1202"/>
      <c r="KHV9" s="1202"/>
      <c r="KHW9" s="1202"/>
      <c r="KHX9" s="1202"/>
      <c r="KHY9" s="1202"/>
      <c r="KHZ9" s="1202"/>
      <c r="KIA9" s="1202"/>
      <c r="KIB9" s="1202"/>
      <c r="KIC9" s="1202"/>
      <c r="KID9" s="1202"/>
      <c r="KIE9" s="1202"/>
      <c r="KIF9" s="1202"/>
      <c r="KIG9" s="1202"/>
      <c r="KIH9" s="1202"/>
      <c r="KII9" s="1202"/>
      <c r="KIJ9" s="1202"/>
      <c r="KIK9" s="1202"/>
      <c r="KIL9" s="1202"/>
      <c r="KIM9" s="1202"/>
      <c r="KIN9" s="1202"/>
      <c r="KIO9" s="1202"/>
      <c r="KIP9" s="1202"/>
      <c r="KIQ9" s="1202"/>
      <c r="KIR9" s="1202"/>
      <c r="KIS9" s="1202"/>
      <c r="KIT9" s="1202"/>
      <c r="KIU9" s="1202"/>
      <c r="KIV9" s="1202"/>
      <c r="KIW9" s="1202"/>
      <c r="KIX9" s="1202"/>
      <c r="KIY9" s="1202"/>
      <c r="KIZ9" s="1202"/>
      <c r="KJA9" s="1202"/>
      <c r="KJB9" s="1202"/>
      <c r="KJC9" s="1202"/>
      <c r="KJD9" s="1202"/>
      <c r="KJE9" s="1202"/>
      <c r="KJF9" s="1202"/>
      <c r="KJG9" s="1202"/>
      <c r="KJH9" s="1202"/>
      <c r="KJI9" s="1202"/>
      <c r="KJJ9" s="1202"/>
      <c r="KJK9" s="1202"/>
      <c r="KJL9" s="1202"/>
      <c r="KJM9" s="1202"/>
      <c r="KJN9" s="1202"/>
      <c r="KJO9" s="1202"/>
      <c r="KJP9" s="1202"/>
      <c r="KJQ9" s="1202"/>
      <c r="KJR9" s="1202"/>
      <c r="KJS9" s="1202"/>
      <c r="KJT9" s="1202"/>
      <c r="KJU9" s="1202"/>
      <c r="KJV9" s="1202"/>
      <c r="KJW9" s="1202"/>
      <c r="KJX9" s="1202"/>
      <c r="KJY9" s="1202"/>
      <c r="KJZ9" s="1202"/>
      <c r="KKA9" s="1202"/>
      <c r="KKB9" s="1202"/>
      <c r="KKC9" s="1202"/>
      <c r="KKD9" s="1202"/>
      <c r="KKE9" s="1202"/>
      <c r="KKF9" s="1202"/>
      <c r="KKG9" s="1202"/>
      <c r="KKH9" s="1202"/>
      <c r="KKI9" s="1202"/>
      <c r="KKJ9" s="1202"/>
      <c r="KKK9" s="1202"/>
      <c r="KKL9" s="1202"/>
      <c r="KKM9" s="1202"/>
      <c r="KKN9" s="1202"/>
      <c r="KKO9" s="1202"/>
      <c r="KKP9" s="1202"/>
      <c r="KKQ9" s="1202"/>
      <c r="KKR9" s="1202"/>
      <c r="KKS9" s="1202"/>
      <c r="KKT9" s="1202"/>
      <c r="KKU9" s="1202"/>
      <c r="KKV9" s="1202"/>
      <c r="KKW9" s="1202"/>
      <c r="KKX9" s="1202"/>
      <c r="KKY9" s="1202"/>
      <c r="KKZ9" s="1202"/>
      <c r="KLA9" s="1202"/>
      <c r="KLB9" s="1202"/>
      <c r="KLC9" s="1202"/>
      <c r="KLD9" s="1202"/>
      <c r="KLE9" s="1202"/>
      <c r="KLF9" s="1202"/>
      <c r="KLG9" s="1202"/>
      <c r="KLH9" s="1202"/>
      <c r="KLI9" s="1202"/>
      <c r="KLJ9" s="1202"/>
      <c r="KLK9" s="1202"/>
      <c r="KLL9" s="1202"/>
      <c r="KLM9" s="1202"/>
      <c r="KLN9" s="1202"/>
      <c r="KLO9" s="1202"/>
      <c r="KLP9" s="1202"/>
      <c r="KLQ9" s="1202"/>
      <c r="KLR9" s="1202"/>
      <c r="KLS9" s="1202"/>
      <c r="KLT9" s="1202"/>
      <c r="KLU9" s="1202"/>
      <c r="KLV9" s="1202"/>
      <c r="KLW9" s="1202"/>
      <c r="KLX9" s="1202"/>
      <c r="KLY9" s="1202"/>
      <c r="KLZ9" s="1202"/>
      <c r="KMA9" s="1202"/>
      <c r="KMB9" s="1202"/>
      <c r="KMC9" s="1202"/>
      <c r="KMD9" s="1202"/>
      <c r="KME9" s="1202"/>
      <c r="KMF9" s="1202"/>
      <c r="KMG9" s="1202"/>
      <c r="KMH9" s="1202"/>
      <c r="KMI9" s="1202"/>
      <c r="KMJ9" s="1202"/>
      <c r="KMK9" s="1202"/>
      <c r="KML9" s="1202"/>
      <c r="KMM9" s="1202"/>
      <c r="KMN9" s="1202"/>
      <c r="KMO9" s="1202"/>
      <c r="KMP9" s="1202"/>
      <c r="KMQ9" s="1202"/>
      <c r="KMR9" s="1202"/>
      <c r="KMS9" s="1202"/>
      <c r="KMT9" s="1202"/>
      <c r="KMU9" s="1202"/>
      <c r="KMV9" s="1202"/>
      <c r="KMW9" s="1202"/>
      <c r="KMX9" s="1202"/>
      <c r="KMY9" s="1202"/>
      <c r="KMZ9" s="1202"/>
      <c r="KNA9" s="1202"/>
      <c r="KNB9" s="1202"/>
      <c r="KNC9" s="1202"/>
      <c r="KND9" s="1202"/>
      <c r="KNE9" s="1202"/>
      <c r="KNF9" s="1202"/>
      <c r="KNG9" s="1202"/>
      <c r="KNH9" s="1202"/>
      <c r="KNI9" s="1202"/>
      <c r="KNJ9" s="1202"/>
      <c r="KNK9" s="1202"/>
      <c r="KNL9" s="1202"/>
      <c r="KNM9" s="1202"/>
      <c r="KNN9" s="1202"/>
      <c r="KNO9" s="1202"/>
      <c r="KNP9" s="1202"/>
      <c r="KNQ9" s="1202"/>
      <c r="KNR9" s="1202"/>
      <c r="KNS9" s="1202"/>
      <c r="KNT9" s="1202"/>
      <c r="KNU9" s="1202"/>
      <c r="KNV9" s="1202"/>
      <c r="KNW9" s="1202"/>
      <c r="KNX9" s="1202"/>
      <c r="KNY9" s="1202"/>
      <c r="KNZ9" s="1202"/>
      <c r="KOA9" s="1202"/>
      <c r="KOB9" s="1202"/>
      <c r="KOC9" s="1202"/>
      <c r="KOD9" s="1202"/>
      <c r="KOE9" s="1202"/>
      <c r="KOF9" s="1202"/>
      <c r="KOG9" s="1202"/>
      <c r="KOH9" s="1202"/>
      <c r="KOI9" s="1202"/>
      <c r="KOJ9" s="1202"/>
      <c r="KOK9" s="1202"/>
      <c r="KOL9" s="1202"/>
      <c r="KOM9" s="1202"/>
      <c r="KON9" s="1202"/>
      <c r="KOO9" s="1202"/>
      <c r="KOP9" s="1202"/>
      <c r="KOQ9" s="1202"/>
      <c r="KOR9" s="1202"/>
      <c r="KOS9" s="1202"/>
      <c r="KOT9" s="1202"/>
      <c r="KOU9" s="1202"/>
      <c r="KOV9" s="1202"/>
      <c r="KOW9" s="1202"/>
      <c r="KOX9" s="1202"/>
      <c r="KOY9" s="1202"/>
      <c r="KOZ9" s="1202"/>
      <c r="KPA9" s="1202"/>
      <c r="KPB9" s="1202"/>
      <c r="KPC9" s="1202"/>
      <c r="KPD9" s="1202"/>
      <c r="KPE9" s="1202"/>
      <c r="KPF9" s="1202"/>
      <c r="KPG9" s="1202"/>
      <c r="KPH9" s="1202"/>
      <c r="KPI9" s="1202"/>
      <c r="KPJ9" s="1202"/>
      <c r="KPK9" s="1202"/>
      <c r="KPL9" s="1202"/>
      <c r="KPM9" s="1202"/>
      <c r="KPN9" s="1202"/>
      <c r="KPO9" s="1202"/>
      <c r="KPP9" s="1202"/>
      <c r="KPQ9" s="1202"/>
      <c r="KPR9" s="1202"/>
      <c r="KPS9" s="1202"/>
      <c r="KPT9" s="1202"/>
      <c r="KPU9" s="1202"/>
      <c r="KPV9" s="1202"/>
      <c r="KPW9" s="1202"/>
      <c r="KPX9" s="1202"/>
      <c r="KPY9" s="1202"/>
      <c r="KPZ9" s="1202"/>
      <c r="KQA9" s="1202"/>
      <c r="KQB9" s="1202"/>
      <c r="KQC9" s="1202"/>
      <c r="KQD9" s="1202"/>
      <c r="KQE9" s="1202"/>
      <c r="KQF9" s="1202"/>
      <c r="KQG9" s="1202"/>
      <c r="KQH9" s="1202"/>
      <c r="KQI9" s="1202"/>
      <c r="KQJ9" s="1202"/>
      <c r="KQK9" s="1202"/>
      <c r="KQL9" s="1202"/>
      <c r="KQM9" s="1202"/>
      <c r="KQN9" s="1202"/>
      <c r="KQO9" s="1202"/>
      <c r="KQP9" s="1202"/>
      <c r="KQQ9" s="1202"/>
      <c r="KQR9" s="1202"/>
      <c r="KQS9" s="1202"/>
      <c r="KQT9" s="1202"/>
      <c r="KQU9" s="1202"/>
      <c r="KQV9" s="1202"/>
      <c r="KQW9" s="1202"/>
      <c r="KQX9" s="1202"/>
      <c r="KQY9" s="1202"/>
      <c r="KQZ9" s="1202"/>
      <c r="KRA9" s="1202"/>
      <c r="KRB9" s="1202"/>
      <c r="KRC9" s="1202"/>
      <c r="KRD9" s="1202"/>
      <c r="KRE9" s="1202"/>
      <c r="KRF9" s="1202"/>
      <c r="KRG9" s="1202"/>
      <c r="KRH9" s="1202"/>
      <c r="KRI9" s="1202"/>
      <c r="KRJ9" s="1202"/>
      <c r="KRK9" s="1202"/>
      <c r="KRL9" s="1202"/>
      <c r="KRM9" s="1202"/>
      <c r="KRN9" s="1202"/>
      <c r="KRO9" s="1202"/>
      <c r="KRP9" s="1202"/>
      <c r="KRQ9" s="1202"/>
      <c r="KRR9" s="1202"/>
      <c r="KRS9" s="1202"/>
      <c r="KRT9" s="1202"/>
      <c r="KRU9" s="1202"/>
      <c r="KRV9" s="1202"/>
      <c r="KRW9" s="1202"/>
      <c r="KRX9" s="1202"/>
      <c r="KRY9" s="1202"/>
      <c r="KRZ9" s="1202"/>
      <c r="KSA9" s="1202"/>
      <c r="KSB9" s="1202"/>
      <c r="KSC9" s="1202"/>
      <c r="KSD9" s="1202"/>
      <c r="KSE9" s="1202"/>
      <c r="KSF9" s="1202"/>
      <c r="KSG9" s="1202"/>
      <c r="KSH9" s="1202"/>
      <c r="KSI9" s="1202"/>
      <c r="KSJ9" s="1202"/>
      <c r="KSK9" s="1202"/>
      <c r="KSL9" s="1202"/>
      <c r="KSM9" s="1202"/>
      <c r="KSN9" s="1202"/>
      <c r="KSO9" s="1202"/>
      <c r="KSP9" s="1202"/>
      <c r="KSQ9" s="1202"/>
      <c r="KSR9" s="1202"/>
      <c r="KSS9" s="1202"/>
      <c r="KST9" s="1202"/>
      <c r="KSU9" s="1202"/>
      <c r="KSV9" s="1202"/>
      <c r="KSW9" s="1202"/>
      <c r="KSX9" s="1202"/>
      <c r="KSY9" s="1202"/>
      <c r="KSZ9" s="1202"/>
      <c r="KTA9" s="1202"/>
      <c r="KTB9" s="1202"/>
      <c r="KTC9" s="1202"/>
      <c r="KTD9" s="1202"/>
      <c r="KTE9" s="1202"/>
      <c r="KTF9" s="1202"/>
      <c r="KTG9" s="1202"/>
      <c r="KTH9" s="1202"/>
      <c r="KTI9" s="1202"/>
      <c r="KTJ9" s="1202"/>
      <c r="KTK9" s="1202"/>
      <c r="KTL9" s="1202"/>
      <c r="KTM9" s="1202"/>
      <c r="KTN9" s="1202"/>
      <c r="KTO9" s="1202"/>
      <c r="KTP9" s="1202"/>
      <c r="KTQ9" s="1202"/>
      <c r="KTR9" s="1202"/>
      <c r="KTS9" s="1202"/>
      <c r="KTT9" s="1202"/>
      <c r="KTU9" s="1202"/>
      <c r="KTV9" s="1202"/>
      <c r="KTW9" s="1202"/>
      <c r="KTX9" s="1202"/>
      <c r="KTY9" s="1202"/>
      <c r="KTZ9" s="1202"/>
      <c r="KUA9" s="1202"/>
      <c r="KUB9" s="1202"/>
      <c r="KUC9" s="1202"/>
      <c r="KUD9" s="1202"/>
      <c r="KUE9" s="1202"/>
      <c r="KUF9" s="1202"/>
      <c r="KUG9" s="1202"/>
      <c r="KUH9" s="1202"/>
      <c r="KUI9" s="1202"/>
      <c r="KUJ9" s="1202"/>
      <c r="KUK9" s="1202"/>
      <c r="KUL9" s="1202"/>
      <c r="KUM9" s="1202"/>
      <c r="KUN9" s="1202"/>
      <c r="KUO9" s="1202"/>
      <c r="KUP9" s="1202"/>
      <c r="KUQ9" s="1202"/>
      <c r="KUR9" s="1202"/>
      <c r="KUS9" s="1202"/>
      <c r="KUT9" s="1202"/>
      <c r="KUU9" s="1202"/>
      <c r="KUV9" s="1202"/>
      <c r="KUW9" s="1202"/>
      <c r="KUX9" s="1202"/>
      <c r="KUY9" s="1202"/>
      <c r="KUZ9" s="1202"/>
      <c r="KVA9" s="1202"/>
      <c r="KVB9" s="1202"/>
      <c r="KVC9" s="1202"/>
      <c r="KVD9" s="1202"/>
      <c r="KVE9" s="1202"/>
      <c r="KVF9" s="1202"/>
      <c r="KVG9" s="1202"/>
      <c r="KVH9" s="1202"/>
      <c r="KVI9" s="1202"/>
      <c r="KVJ9" s="1202"/>
      <c r="KVK9" s="1202"/>
      <c r="KVL9" s="1202"/>
      <c r="KVM9" s="1202"/>
      <c r="KVN9" s="1202"/>
      <c r="KVO9" s="1202"/>
      <c r="KVP9" s="1202"/>
      <c r="KVQ9" s="1202"/>
      <c r="KVR9" s="1202"/>
      <c r="KVS9" s="1202"/>
      <c r="KVT9" s="1202"/>
      <c r="KVU9" s="1202"/>
      <c r="KVV9" s="1202"/>
      <c r="KVW9" s="1202"/>
      <c r="KVX9" s="1202"/>
      <c r="KVY9" s="1202"/>
      <c r="KVZ9" s="1202"/>
      <c r="KWA9" s="1202"/>
      <c r="KWB9" s="1202"/>
      <c r="KWC9" s="1202"/>
      <c r="KWD9" s="1202"/>
      <c r="KWE9" s="1202"/>
      <c r="KWF9" s="1202"/>
      <c r="KWG9" s="1202"/>
      <c r="KWH9" s="1202"/>
      <c r="KWI9" s="1202"/>
      <c r="KWJ9" s="1202"/>
      <c r="KWK9" s="1202"/>
      <c r="KWL9" s="1202"/>
      <c r="KWM9" s="1202"/>
      <c r="KWN9" s="1202"/>
      <c r="KWO9" s="1202"/>
      <c r="KWP9" s="1202"/>
      <c r="KWQ9" s="1202"/>
      <c r="KWR9" s="1202"/>
      <c r="KWS9" s="1202"/>
      <c r="KWT9" s="1202"/>
      <c r="KWU9" s="1202"/>
      <c r="KWV9" s="1202"/>
      <c r="KWW9" s="1202"/>
      <c r="KWX9" s="1202"/>
      <c r="KWY9" s="1202"/>
      <c r="KWZ9" s="1202"/>
      <c r="KXA9" s="1202"/>
      <c r="KXB9" s="1202"/>
      <c r="KXC9" s="1202"/>
      <c r="KXD9" s="1202"/>
      <c r="KXE9" s="1202"/>
      <c r="KXF9" s="1202"/>
      <c r="KXG9" s="1202"/>
      <c r="KXH9" s="1202"/>
      <c r="KXI9" s="1202"/>
      <c r="KXJ9" s="1202"/>
      <c r="KXK9" s="1202"/>
      <c r="KXL9" s="1202"/>
      <c r="KXM9" s="1202"/>
      <c r="KXN9" s="1202"/>
      <c r="KXO9" s="1202"/>
      <c r="KXP9" s="1202"/>
      <c r="KXQ9" s="1202"/>
      <c r="KXR9" s="1202"/>
      <c r="KXS9" s="1202"/>
      <c r="KXT9" s="1202"/>
      <c r="KXU9" s="1202"/>
      <c r="KXV9" s="1202"/>
      <c r="KXW9" s="1202"/>
      <c r="KXX9" s="1202"/>
      <c r="KXY9" s="1202"/>
      <c r="KXZ9" s="1202"/>
      <c r="KYA9" s="1202"/>
      <c r="KYB9" s="1202"/>
      <c r="KYC9" s="1202"/>
      <c r="KYD9" s="1202"/>
      <c r="KYE9" s="1202"/>
      <c r="KYF9" s="1202"/>
      <c r="KYG9" s="1202"/>
      <c r="KYH9" s="1202"/>
      <c r="KYI9" s="1202"/>
      <c r="KYJ9" s="1202"/>
      <c r="KYK9" s="1202"/>
      <c r="KYL9" s="1202"/>
      <c r="KYM9" s="1202"/>
      <c r="KYN9" s="1202"/>
      <c r="KYO9" s="1202"/>
      <c r="KYP9" s="1202"/>
      <c r="KYQ9" s="1202"/>
      <c r="KYR9" s="1202"/>
      <c r="KYS9" s="1202"/>
      <c r="KYT9" s="1202"/>
      <c r="KYU9" s="1202"/>
      <c r="KYV9" s="1202"/>
      <c r="KYW9" s="1202"/>
      <c r="KYX9" s="1202"/>
      <c r="KYY9" s="1202"/>
      <c r="KYZ9" s="1202"/>
      <c r="KZA9" s="1202"/>
      <c r="KZB9" s="1202"/>
      <c r="KZC9" s="1202"/>
      <c r="KZD9" s="1202"/>
      <c r="KZE9" s="1202"/>
      <c r="KZF9" s="1202"/>
      <c r="KZG9" s="1202"/>
      <c r="KZH9" s="1202"/>
      <c r="KZI9" s="1202"/>
      <c r="KZJ9" s="1202"/>
      <c r="KZK9" s="1202"/>
      <c r="KZL9" s="1202"/>
      <c r="KZM9" s="1202"/>
      <c r="KZN9" s="1202"/>
      <c r="KZO9" s="1202"/>
      <c r="KZP9" s="1202"/>
      <c r="KZQ9" s="1202"/>
      <c r="KZR9" s="1202"/>
      <c r="KZS9" s="1202"/>
      <c r="KZT9" s="1202"/>
      <c r="KZU9" s="1202"/>
      <c r="KZV9" s="1202"/>
      <c r="KZW9" s="1202"/>
      <c r="KZX9" s="1202"/>
      <c r="KZY9" s="1202"/>
      <c r="KZZ9" s="1202"/>
      <c r="LAA9" s="1202"/>
      <c r="LAB9" s="1202"/>
      <c r="LAC9" s="1202"/>
      <c r="LAD9" s="1202"/>
      <c r="LAE9" s="1202"/>
      <c r="LAF9" s="1202"/>
      <c r="LAG9" s="1202"/>
      <c r="LAH9" s="1202"/>
      <c r="LAI9" s="1202"/>
      <c r="LAJ9" s="1202"/>
      <c r="LAK9" s="1202"/>
      <c r="LAL9" s="1202"/>
      <c r="LAM9" s="1202"/>
      <c r="LAN9" s="1202"/>
      <c r="LAO9" s="1202"/>
      <c r="LAP9" s="1202"/>
      <c r="LAQ9" s="1202"/>
      <c r="LAR9" s="1202"/>
      <c r="LAS9" s="1202"/>
      <c r="LAT9" s="1202"/>
      <c r="LAU9" s="1202"/>
      <c r="LAV9" s="1202"/>
      <c r="LAW9" s="1202"/>
      <c r="LAX9" s="1202"/>
      <c r="LAY9" s="1202"/>
      <c r="LAZ9" s="1202"/>
      <c r="LBA9" s="1202"/>
      <c r="LBB9" s="1202"/>
      <c r="LBC9" s="1202"/>
      <c r="LBD9" s="1202"/>
      <c r="LBE9" s="1202"/>
      <c r="LBF9" s="1202"/>
      <c r="LBG9" s="1202"/>
      <c r="LBH9" s="1202"/>
      <c r="LBI9" s="1202"/>
      <c r="LBJ9" s="1202"/>
      <c r="LBK9" s="1202"/>
      <c r="LBL9" s="1202"/>
      <c r="LBM9" s="1202"/>
      <c r="LBN9" s="1202"/>
      <c r="LBO9" s="1202"/>
      <c r="LBP9" s="1202"/>
      <c r="LBQ9" s="1202"/>
      <c r="LBR9" s="1202"/>
      <c r="LBS9" s="1202"/>
      <c r="LBT9" s="1202"/>
      <c r="LBU9" s="1202"/>
      <c r="LBV9" s="1202"/>
      <c r="LBW9" s="1202"/>
      <c r="LBX9" s="1202"/>
      <c r="LBY9" s="1202"/>
      <c r="LBZ9" s="1202"/>
      <c r="LCA9" s="1202"/>
      <c r="LCB9" s="1202"/>
      <c r="LCC9" s="1202"/>
      <c r="LCD9" s="1202"/>
      <c r="LCE9" s="1202"/>
      <c r="LCF9" s="1202"/>
      <c r="LCG9" s="1202"/>
      <c r="LCH9" s="1202"/>
      <c r="LCI9" s="1202"/>
      <c r="LCJ9" s="1202"/>
      <c r="LCK9" s="1202"/>
      <c r="LCL9" s="1202"/>
      <c r="LCM9" s="1202"/>
      <c r="LCN9" s="1202"/>
      <c r="LCO9" s="1202"/>
      <c r="LCP9" s="1202"/>
      <c r="LCQ9" s="1202"/>
      <c r="LCR9" s="1202"/>
      <c r="LCS9" s="1202"/>
      <c r="LCT9" s="1202"/>
      <c r="LCU9" s="1202"/>
      <c r="LCV9" s="1202"/>
      <c r="LCW9" s="1202"/>
      <c r="LCX9" s="1202"/>
      <c r="LCY9" s="1202"/>
      <c r="LCZ9" s="1202"/>
      <c r="LDA9" s="1202"/>
      <c r="LDB9" s="1202"/>
      <c r="LDC9" s="1202"/>
      <c r="LDD9" s="1202"/>
      <c r="LDE9" s="1202"/>
      <c r="LDF9" s="1202"/>
      <c r="LDG9" s="1202"/>
      <c r="LDH9" s="1202"/>
      <c r="LDI9" s="1202"/>
      <c r="LDJ9" s="1202"/>
      <c r="LDK9" s="1202"/>
      <c r="LDL9" s="1202"/>
      <c r="LDM9" s="1202"/>
      <c r="LDN9" s="1202"/>
      <c r="LDO9" s="1202"/>
      <c r="LDP9" s="1202"/>
      <c r="LDQ9" s="1202"/>
      <c r="LDR9" s="1202"/>
      <c r="LDS9" s="1202"/>
      <c r="LDT9" s="1202"/>
      <c r="LDU9" s="1202"/>
      <c r="LDV9" s="1202"/>
      <c r="LDW9" s="1202"/>
      <c r="LDX9" s="1202"/>
      <c r="LDY9" s="1202"/>
      <c r="LDZ9" s="1202"/>
      <c r="LEA9" s="1202"/>
      <c r="LEB9" s="1202"/>
      <c r="LEC9" s="1202"/>
      <c r="LED9" s="1202"/>
      <c r="LEE9" s="1202"/>
      <c r="LEF9" s="1202"/>
      <c r="LEG9" s="1202"/>
      <c r="LEH9" s="1202"/>
      <c r="LEI9" s="1202"/>
      <c r="LEJ9" s="1202"/>
      <c r="LEK9" s="1202"/>
      <c r="LEL9" s="1202"/>
      <c r="LEM9" s="1202"/>
      <c r="LEN9" s="1202"/>
      <c r="LEO9" s="1202"/>
      <c r="LEP9" s="1202"/>
      <c r="LEQ9" s="1202"/>
      <c r="LER9" s="1202"/>
      <c r="LES9" s="1202"/>
      <c r="LET9" s="1202"/>
      <c r="LEU9" s="1202"/>
      <c r="LEV9" s="1202"/>
      <c r="LEW9" s="1202"/>
      <c r="LEX9" s="1202"/>
      <c r="LEY9" s="1202"/>
      <c r="LEZ9" s="1202"/>
      <c r="LFA9" s="1202"/>
      <c r="LFB9" s="1202"/>
      <c r="LFC9" s="1202"/>
      <c r="LFD9" s="1202"/>
      <c r="LFE9" s="1202"/>
      <c r="LFF9" s="1202"/>
      <c r="LFG9" s="1202"/>
      <c r="LFH9" s="1202"/>
      <c r="LFI9" s="1202"/>
      <c r="LFJ9" s="1202"/>
      <c r="LFK9" s="1202"/>
      <c r="LFL9" s="1202"/>
      <c r="LFM9" s="1202"/>
      <c r="LFN9" s="1202"/>
      <c r="LFO9" s="1202"/>
      <c r="LFP9" s="1202"/>
      <c r="LFQ9" s="1202"/>
      <c r="LFR9" s="1202"/>
      <c r="LFS9" s="1202"/>
      <c r="LFT9" s="1202"/>
      <c r="LFU9" s="1202"/>
      <c r="LFV9" s="1202"/>
      <c r="LFW9" s="1202"/>
      <c r="LFX9" s="1202"/>
      <c r="LFY9" s="1202"/>
      <c r="LFZ9" s="1202"/>
      <c r="LGA9" s="1202"/>
      <c r="LGB9" s="1202"/>
      <c r="LGC9" s="1202"/>
      <c r="LGD9" s="1202"/>
      <c r="LGE9" s="1202"/>
      <c r="LGF9" s="1202"/>
      <c r="LGG9" s="1202"/>
      <c r="LGH9" s="1202"/>
      <c r="LGI9" s="1202"/>
      <c r="LGJ9" s="1202"/>
      <c r="LGK9" s="1202"/>
      <c r="LGL9" s="1202"/>
      <c r="LGM9" s="1202"/>
      <c r="LGN9" s="1202"/>
      <c r="LGO9" s="1202"/>
      <c r="LGP9" s="1202"/>
      <c r="LGQ9" s="1202"/>
      <c r="LGR9" s="1202"/>
      <c r="LGS9" s="1202"/>
      <c r="LGT9" s="1202"/>
      <c r="LGU9" s="1202"/>
      <c r="LGV9" s="1202"/>
      <c r="LGW9" s="1202"/>
      <c r="LGX9" s="1202"/>
      <c r="LGY9" s="1202"/>
      <c r="LGZ9" s="1202"/>
      <c r="LHA9" s="1202"/>
      <c r="LHB9" s="1202"/>
      <c r="LHC9" s="1202"/>
      <c r="LHD9" s="1202"/>
      <c r="LHE9" s="1202"/>
      <c r="LHF9" s="1202"/>
      <c r="LHG9" s="1202"/>
      <c r="LHH9" s="1202"/>
      <c r="LHI9" s="1202"/>
      <c r="LHJ9" s="1202"/>
      <c r="LHK9" s="1202"/>
      <c r="LHL9" s="1202"/>
      <c r="LHM9" s="1202"/>
      <c r="LHN9" s="1202"/>
      <c r="LHO9" s="1202"/>
      <c r="LHP9" s="1202"/>
      <c r="LHQ9" s="1202"/>
      <c r="LHR9" s="1202"/>
      <c r="LHS9" s="1202"/>
      <c r="LHT9" s="1202"/>
      <c r="LHU9" s="1202"/>
      <c r="LHV9" s="1202"/>
      <c r="LHW9" s="1202"/>
      <c r="LHX9" s="1202"/>
      <c r="LHY9" s="1202"/>
      <c r="LHZ9" s="1202"/>
      <c r="LIA9" s="1202"/>
      <c r="LIB9" s="1202"/>
      <c r="LIC9" s="1202"/>
      <c r="LID9" s="1202"/>
      <c r="LIE9" s="1202"/>
      <c r="LIF9" s="1202"/>
      <c r="LIG9" s="1202"/>
      <c r="LIH9" s="1202"/>
      <c r="LII9" s="1202"/>
      <c r="LIJ9" s="1202"/>
      <c r="LIK9" s="1202"/>
      <c r="LIL9" s="1202"/>
      <c r="LIM9" s="1202"/>
      <c r="LIN9" s="1202"/>
      <c r="LIO9" s="1202"/>
      <c r="LIP9" s="1202"/>
      <c r="LIQ9" s="1202"/>
      <c r="LIR9" s="1202"/>
      <c r="LIS9" s="1202"/>
      <c r="LIT9" s="1202"/>
      <c r="LIU9" s="1202"/>
      <c r="LIV9" s="1202"/>
      <c r="LIW9" s="1202"/>
      <c r="LIX9" s="1202"/>
      <c r="LIY9" s="1202"/>
      <c r="LIZ9" s="1202"/>
      <c r="LJA9" s="1202"/>
      <c r="LJB9" s="1202"/>
      <c r="LJC9" s="1202"/>
      <c r="LJD9" s="1202"/>
      <c r="LJE9" s="1202"/>
      <c r="LJF9" s="1202"/>
      <c r="LJG9" s="1202"/>
      <c r="LJH9" s="1202"/>
      <c r="LJI9" s="1202"/>
      <c r="LJJ9" s="1202"/>
      <c r="LJK9" s="1202"/>
      <c r="LJL9" s="1202"/>
      <c r="LJM9" s="1202"/>
      <c r="LJN9" s="1202"/>
      <c r="LJO9" s="1202"/>
      <c r="LJP9" s="1202"/>
      <c r="LJQ9" s="1202"/>
      <c r="LJR9" s="1202"/>
      <c r="LJS9" s="1202"/>
      <c r="LJT9" s="1202"/>
      <c r="LJU9" s="1202"/>
      <c r="LJV9" s="1202"/>
      <c r="LJW9" s="1202"/>
      <c r="LJX9" s="1202"/>
      <c r="LJY9" s="1202"/>
      <c r="LJZ9" s="1202"/>
      <c r="LKA9" s="1202"/>
      <c r="LKB9" s="1202"/>
      <c r="LKC9" s="1202"/>
      <c r="LKD9" s="1202"/>
      <c r="LKE9" s="1202"/>
      <c r="LKF9" s="1202"/>
      <c r="LKG9" s="1202"/>
      <c r="LKH9" s="1202"/>
      <c r="LKI9" s="1202"/>
      <c r="LKJ9" s="1202"/>
      <c r="LKK9" s="1202"/>
      <c r="LKL9" s="1202"/>
      <c r="LKM9" s="1202"/>
      <c r="LKN9" s="1202"/>
      <c r="LKO9" s="1202"/>
      <c r="LKP9" s="1202"/>
      <c r="LKQ9" s="1202"/>
      <c r="LKR9" s="1202"/>
      <c r="LKS9" s="1202"/>
      <c r="LKT9" s="1202"/>
      <c r="LKU9" s="1202"/>
      <c r="LKV9" s="1202"/>
      <c r="LKW9" s="1202"/>
      <c r="LKX9" s="1202"/>
      <c r="LKY9" s="1202"/>
      <c r="LKZ9" s="1202"/>
      <c r="LLA9" s="1202"/>
      <c r="LLB9" s="1202"/>
      <c r="LLC9" s="1202"/>
      <c r="LLD9" s="1202"/>
      <c r="LLE9" s="1202"/>
      <c r="LLF9" s="1202"/>
      <c r="LLG9" s="1202"/>
      <c r="LLH9" s="1202"/>
      <c r="LLI9" s="1202"/>
      <c r="LLJ9" s="1202"/>
      <c r="LLK9" s="1202"/>
      <c r="LLL9" s="1202"/>
      <c r="LLM9" s="1202"/>
      <c r="LLN9" s="1202"/>
      <c r="LLO9" s="1202"/>
      <c r="LLP9" s="1202"/>
      <c r="LLQ9" s="1202"/>
      <c r="LLR9" s="1202"/>
      <c r="LLS9" s="1202"/>
      <c r="LLT9" s="1202"/>
      <c r="LLU9" s="1202"/>
      <c r="LLV9" s="1202"/>
      <c r="LLW9" s="1202"/>
      <c r="LLX9" s="1202"/>
      <c r="LLY9" s="1202"/>
      <c r="LLZ9" s="1202"/>
      <c r="LMA9" s="1202"/>
      <c r="LMB9" s="1202"/>
      <c r="LMC9" s="1202"/>
      <c r="LMD9" s="1202"/>
      <c r="LME9" s="1202"/>
      <c r="LMF9" s="1202"/>
      <c r="LMG9" s="1202"/>
      <c r="LMH9" s="1202"/>
      <c r="LMI9" s="1202"/>
      <c r="LMJ9" s="1202"/>
      <c r="LMK9" s="1202"/>
      <c r="LML9" s="1202"/>
      <c r="LMM9" s="1202"/>
      <c r="LMN9" s="1202"/>
      <c r="LMO9" s="1202"/>
      <c r="LMP9" s="1202"/>
      <c r="LMQ9" s="1202"/>
      <c r="LMR9" s="1202"/>
      <c r="LMS9" s="1202"/>
      <c r="LMT9" s="1202"/>
      <c r="LMU9" s="1202"/>
      <c r="LMV9" s="1202"/>
      <c r="LMW9" s="1202"/>
      <c r="LMX9" s="1202"/>
      <c r="LMY9" s="1202"/>
      <c r="LMZ9" s="1202"/>
      <c r="LNA9" s="1202"/>
      <c r="LNB9" s="1202"/>
      <c r="LNC9" s="1202"/>
      <c r="LND9" s="1202"/>
      <c r="LNE9" s="1202"/>
      <c r="LNF9" s="1202"/>
      <c r="LNG9" s="1202"/>
      <c r="LNH9" s="1202"/>
      <c r="LNI9" s="1202"/>
      <c r="LNJ9" s="1202"/>
      <c r="LNK9" s="1202"/>
      <c r="LNL9" s="1202"/>
      <c r="LNM9" s="1202"/>
      <c r="LNN9" s="1202"/>
      <c r="LNO9" s="1202"/>
      <c r="LNP9" s="1202"/>
      <c r="LNQ9" s="1202"/>
      <c r="LNR9" s="1202"/>
      <c r="LNS9" s="1202"/>
      <c r="LNT9" s="1202"/>
      <c r="LNU9" s="1202"/>
      <c r="LNV9" s="1202"/>
      <c r="LNW9" s="1202"/>
      <c r="LNX9" s="1202"/>
      <c r="LNY9" s="1202"/>
      <c r="LNZ9" s="1202"/>
      <c r="LOA9" s="1202"/>
      <c r="LOB9" s="1202"/>
      <c r="LOC9" s="1202"/>
      <c r="LOD9" s="1202"/>
      <c r="LOE9" s="1202"/>
      <c r="LOF9" s="1202"/>
      <c r="LOG9" s="1202"/>
      <c r="LOH9" s="1202"/>
      <c r="LOI9" s="1202"/>
      <c r="LOJ9" s="1202"/>
      <c r="LOK9" s="1202"/>
      <c r="LOL9" s="1202"/>
      <c r="LOM9" s="1202"/>
      <c r="LON9" s="1202"/>
      <c r="LOO9" s="1202"/>
      <c r="LOP9" s="1202"/>
      <c r="LOQ9" s="1202"/>
      <c r="LOR9" s="1202"/>
      <c r="LOS9" s="1202"/>
      <c r="LOT9" s="1202"/>
      <c r="LOU9" s="1202"/>
      <c r="LOV9" s="1202"/>
      <c r="LOW9" s="1202"/>
      <c r="LOX9" s="1202"/>
      <c r="LOY9" s="1202"/>
      <c r="LOZ9" s="1202"/>
      <c r="LPA9" s="1202"/>
      <c r="LPB9" s="1202"/>
      <c r="LPC9" s="1202"/>
      <c r="LPD9" s="1202"/>
      <c r="LPE9" s="1202"/>
      <c r="LPF9" s="1202"/>
      <c r="LPG9" s="1202"/>
      <c r="LPH9" s="1202"/>
      <c r="LPI9" s="1202"/>
      <c r="LPJ9" s="1202"/>
      <c r="LPK9" s="1202"/>
      <c r="LPL9" s="1202"/>
      <c r="LPM9" s="1202"/>
      <c r="LPN9" s="1202"/>
      <c r="LPO9" s="1202"/>
      <c r="LPP9" s="1202"/>
      <c r="LPQ9" s="1202"/>
      <c r="LPR9" s="1202"/>
      <c r="LPS9" s="1202"/>
      <c r="LPT9" s="1202"/>
      <c r="LPU9" s="1202"/>
      <c r="LPV9" s="1202"/>
      <c r="LPW9" s="1202"/>
      <c r="LPX9" s="1202"/>
      <c r="LPY9" s="1202"/>
      <c r="LPZ9" s="1202"/>
      <c r="LQA9" s="1202"/>
      <c r="LQB9" s="1202"/>
      <c r="LQC9" s="1202"/>
      <c r="LQD9" s="1202"/>
      <c r="LQE9" s="1202"/>
      <c r="LQF9" s="1202"/>
      <c r="LQG9" s="1202"/>
      <c r="LQH9" s="1202"/>
      <c r="LQI9" s="1202"/>
      <c r="LQJ9" s="1202"/>
      <c r="LQK9" s="1202"/>
      <c r="LQL9" s="1202"/>
      <c r="LQM9" s="1202"/>
      <c r="LQN9" s="1202"/>
      <c r="LQO9" s="1202"/>
      <c r="LQP9" s="1202"/>
      <c r="LQQ9" s="1202"/>
      <c r="LQR9" s="1202"/>
      <c r="LQS9" s="1202"/>
      <c r="LQT9" s="1202"/>
      <c r="LQU9" s="1202"/>
      <c r="LQV9" s="1202"/>
      <c r="LQW9" s="1202"/>
      <c r="LQX9" s="1202"/>
      <c r="LQY9" s="1202"/>
      <c r="LQZ9" s="1202"/>
      <c r="LRA9" s="1202"/>
      <c r="LRB9" s="1202"/>
      <c r="LRC9" s="1202"/>
      <c r="LRD9" s="1202"/>
      <c r="LRE9" s="1202"/>
      <c r="LRF9" s="1202"/>
      <c r="LRG9" s="1202"/>
      <c r="LRH9" s="1202"/>
      <c r="LRI9" s="1202"/>
      <c r="LRJ9" s="1202"/>
      <c r="LRK9" s="1202"/>
      <c r="LRL9" s="1202"/>
      <c r="LRM9" s="1202"/>
      <c r="LRN9" s="1202"/>
      <c r="LRO9" s="1202"/>
      <c r="LRP9" s="1202"/>
      <c r="LRQ9" s="1202"/>
      <c r="LRR9" s="1202"/>
      <c r="LRS9" s="1202"/>
      <c r="LRT9" s="1202"/>
      <c r="LRU9" s="1202"/>
      <c r="LRV9" s="1202"/>
      <c r="LRW9" s="1202"/>
      <c r="LRX9" s="1202"/>
      <c r="LRY9" s="1202"/>
      <c r="LRZ9" s="1202"/>
      <c r="LSA9" s="1202"/>
      <c r="LSB9" s="1202"/>
      <c r="LSC9" s="1202"/>
      <c r="LSD9" s="1202"/>
      <c r="LSE9" s="1202"/>
      <c r="LSF9" s="1202"/>
      <c r="LSG9" s="1202"/>
      <c r="LSH9" s="1202"/>
      <c r="LSI9" s="1202"/>
      <c r="LSJ9" s="1202"/>
      <c r="LSK9" s="1202"/>
      <c r="LSL9" s="1202"/>
      <c r="LSM9" s="1202"/>
      <c r="LSN9" s="1202"/>
      <c r="LSO9" s="1202"/>
      <c r="LSP9" s="1202"/>
      <c r="LSQ9" s="1202"/>
      <c r="LSR9" s="1202"/>
      <c r="LSS9" s="1202"/>
      <c r="LST9" s="1202"/>
      <c r="LSU9" s="1202"/>
      <c r="LSV9" s="1202"/>
      <c r="LSW9" s="1202"/>
      <c r="LSX9" s="1202"/>
      <c r="LSY9" s="1202"/>
      <c r="LSZ9" s="1202"/>
      <c r="LTA9" s="1202"/>
      <c r="LTB9" s="1202"/>
      <c r="LTC9" s="1202"/>
      <c r="LTD9" s="1202"/>
      <c r="LTE9" s="1202"/>
      <c r="LTF9" s="1202"/>
      <c r="LTG9" s="1202"/>
      <c r="LTH9" s="1202"/>
      <c r="LTI9" s="1202"/>
      <c r="LTJ9" s="1202"/>
      <c r="LTK9" s="1202"/>
      <c r="LTL9" s="1202"/>
      <c r="LTM9" s="1202"/>
      <c r="LTN9" s="1202"/>
      <c r="LTO9" s="1202"/>
      <c r="LTP9" s="1202"/>
      <c r="LTQ9" s="1202"/>
      <c r="LTR9" s="1202"/>
      <c r="LTS9" s="1202"/>
      <c r="LTT9" s="1202"/>
      <c r="LTU9" s="1202"/>
      <c r="LTV9" s="1202"/>
      <c r="LTW9" s="1202"/>
      <c r="LTX9" s="1202"/>
      <c r="LTY9" s="1202"/>
      <c r="LTZ9" s="1202"/>
      <c r="LUA9" s="1202"/>
      <c r="LUB9" s="1202"/>
      <c r="LUC9" s="1202"/>
      <c r="LUD9" s="1202"/>
      <c r="LUE9" s="1202"/>
      <c r="LUF9" s="1202"/>
      <c r="LUG9" s="1202"/>
      <c r="LUH9" s="1202"/>
      <c r="LUI9" s="1202"/>
      <c r="LUJ9" s="1202"/>
      <c r="LUK9" s="1202"/>
      <c r="LUL9" s="1202"/>
      <c r="LUM9" s="1202"/>
      <c r="LUN9" s="1202"/>
      <c r="LUO9" s="1202"/>
      <c r="LUP9" s="1202"/>
      <c r="LUQ9" s="1202"/>
      <c r="LUR9" s="1202"/>
      <c r="LUS9" s="1202"/>
      <c r="LUT9" s="1202"/>
      <c r="LUU9" s="1202"/>
      <c r="LUV9" s="1202"/>
      <c r="LUW9" s="1202"/>
      <c r="LUX9" s="1202"/>
      <c r="LUY9" s="1202"/>
      <c r="LUZ9" s="1202"/>
      <c r="LVA9" s="1202"/>
      <c r="LVB9" s="1202"/>
      <c r="LVC9" s="1202"/>
      <c r="LVD9" s="1202"/>
      <c r="LVE9" s="1202"/>
      <c r="LVF9" s="1202"/>
      <c r="LVG9" s="1202"/>
      <c r="LVH9" s="1202"/>
      <c r="LVI9" s="1202"/>
      <c r="LVJ9" s="1202"/>
      <c r="LVK9" s="1202"/>
      <c r="LVL9" s="1202"/>
      <c r="LVM9" s="1202"/>
      <c r="LVN9" s="1202"/>
      <c r="LVO9" s="1202"/>
      <c r="LVP9" s="1202"/>
      <c r="LVQ9" s="1202"/>
      <c r="LVR9" s="1202"/>
      <c r="LVS9" s="1202"/>
      <c r="LVT9" s="1202"/>
      <c r="LVU9" s="1202"/>
      <c r="LVV9" s="1202"/>
      <c r="LVW9" s="1202"/>
      <c r="LVX9" s="1202"/>
      <c r="LVY9" s="1202"/>
      <c r="LVZ9" s="1202"/>
      <c r="LWA9" s="1202"/>
      <c r="LWB9" s="1202"/>
      <c r="LWC9" s="1202"/>
      <c r="LWD9" s="1202"/>
      <c r="LWE9" s="1202"/>
      <c r="LWF9" s="1202"/>
      <c r="LWG9" s="1202"/>
      <c r="LWH9" s="1202"/>
      <c r="LWI9" s="1202"/>
      <c r="LWJ9" s="1202"/>
      <c r="LWK9" s="1202"/>
      <c r="LWL9" s="1202"/>
      <c r="LWM9" s="1202"/>
      <c r="LWN9" s="1202"/>
      <c r="LWO9" s="1202"/>
      <c r="LWP9" s="1202"/>
      <c r="LWQ9" s="1202"/>
      <c r="LWR9" s="1202"/>
      <c r="LWS9" s="1202"/>
      <c r="LWT9" s="1202"/>
      <c r="LWU9" s="1202"/>
      <c r="LWV9" s="1202"/>
      <c r="LWW9" s="1202"/>
      <c r="LWX9" s="1202"/>
      <c r="LWY9" s="1202"/>
      <c r="LWZ9" s="1202"/>
      <c r="LXA9" s="1202"/>
      <c r="LXB9" s="1202"/>
      <c r="LXC9" s="1202"/>
      <c r="LXD9" s="1202"/>
      <c r="LXE9" s="1202"/>
      <c r="LXF9" s="1202"/>
      <c r="LXG9" s="1202"/>
      <c r="LXH9" s="1202"/>
      <c r="LXI9" s="1202"/>
      <c r="LXJ9" s="1202"/>
      <c r="LXK9" s="1202"/>
      <c r="LXL9" s="1202"/>
      <c r="LXM9" s="1202"/>
      <c r="LXN9" s="1202"/>
      <c r="LXO9" s="1202"/>
      <c r="LXP9" s="1202"/>
      <c r="LXQ9" s="1202"/>
      <c r="LXR9" s="1202"/>
      <c r="LXS9" s="1202"/>
      <c r="LXT9" s="1202"/>
      <c r="LXU9" s="1202"/>
      <c r="LXV9" s="1202"/>
      <c r="LXW9" s="1202"/>
      <c r="LXX9" s="1202"/>
      <c r="LXY9" s="1202"/>
      <c r="LXZ9" s="1202"/>
      <c r="LYA9" s="1202"/>
      <c r="LYB9" s="1202"/>
      <c r="LYC9" s="1202"/>
      <c r="LYD9" s="1202"/>
      <c r="LYE9" s="1202"/>
      <c r="LYF9" s="1202"/>
      <c r="LYG9" s="1202"/>
      <c r="LYH9" s="1202"/>
      <c r="LYI9" s="1202"/>
      <c r="LYJ9" s="1202"/>
      <c r="LYK9" s="1202"/>
      <c r="LYL9" s="1202"/>
      <c r="LYM9" s="1202"/>
      <c r="LYN9" s="1202"/>
      <c r="LYO9" s="1202"/>
      <c r="LYP9" s="1202"/>
      <c r="LYQ9" s="1202"/>
      <c r="LYR9" s="1202"/>
      <c r="LYS9" s="1202"/>
      <c r="LYT9" s="1202"/>
      <c r="LYU9" s="1202"/>
      <c r="LYV9" s="1202"/>
      <c r="LYW9" s="1202"/>
      <c r="LYX9" s="1202"/>
      <c r="LYY9" s="1202"/>
      <c r="LYZ9" s="1202"/>
      <c r="LZA9" s="1202"/>
      <c r="LZB9" s="1202"/>
      <c r="LZC9" s="1202"/>
      <c r="LZD9" s="1202"/>
      <c r="LZE9" s="1202"/>
      <c r="LZF9" s="1202"/>
      <c r="LZG9" s="1202"/>
      <c r="LZH9" s="1202"/>
      <c r="LZI9" s="1202"/>
      <c r="LZJ9" s="1202"/>
      <c r="LZK9" s="1202"/>
      <c r="LZL9" s="1202"/>
      <c r="LZM9" s="1202"/>
      <c r="LZN9" s="1202"/>
      <c r="LZO9" s="1202"/>
      <c r="LZP9" s="1202"/>
      <c r="LZQ9" s="1202"/>
      <c r="LZR9" s="1202"/>
      <c r="LZS9" s="1202"/>
      <c r="LZT9" s="1202"/>
      <c r="LZU9" s="1202"/>
      <c r="LZV9" s="1202"/>
      <c r="LZW9" s="1202"/>
      <c r="LZX9" s="1202"/>
      <c r="LZY9" s="1202"/>
      <c r="LZZ9" s="1202"/>
      <c r="MAA9" s="1202"/>
      <c r="MAB9" s="1202"/>
      <c r="MAC9" s="1202"/>
      <c r="MAD9" s="1202"/>
      <c r="MAE9" s="1202"/>
      <c r="MAF9" s="1202"/>
      <c r="MAG9" s="1202"/>
      <c r="MAH9" s="1202"/>
      <c r="MAI9" s="1202"/>
      <c r="MAJ9" s="1202"/>
      <c r="MAK9" s="1202"/>
      <c r="MAL9" s="1202"/>
      <c r="MAM9" s="1202"/>
      <c r="MAN9" s="1202"/>
      <c r="MAO9" s="1202"/>
      <c r="MAP9" s="1202"/>
      <c r="MAQ9" s="1202"/>
      <c r="MAR9" s="1202"/>
      <c r="MAS9" s="1202"/>
      <c r="MAT9" s="1202"/>
      <c r="MAU9" s="1202"/>
      <c r="MAV9" s="1202"/>
      <c r="MAW9" s="1202"/>
      <c r="MAX9" s="1202"/>
      <c r="MAY9" s="1202"/>
      <c r="MAZ9" s="1202"/>
      <c r="MBA9" s="1202"/>
      <c r="MBB9" s="1202"/>
      <c r="MBC9" s="1202"/>
      <c r="MBD9" s="1202"/>
      <c r="MBE9" s="1202"/>
      <c r="MBF9" s="1202"/>
      <c r="MBG9" s="1202"/>
      <c r="MBH9" s="1202"/>
      <c r="MBI9" s="1202"/>
      <c r="MBJ9" s="1202"/>
      <c r="MBK9" s="1202"/>
      <c r="MBL9" s="1202"/>
      <c r="MBM9" s="1202"/>
      <c r="MBN9" s="1202"/>
      <c r="MBO9" s="1202"/>
      <c r="MBP9" s="1202"/>
      <c r="MBQ9" s="1202"/>
      <c r="MBR9" s="1202"/>
      <c r="MBS9" s="1202"/>
      <c r="MBT9" s="1202"/>
      <c r="MBU9" s="1202"/>
      <c r="MBV9" s="1202"/>
      <c r="MBW9" s="1202"/>
      <c r="MBX9" s="1202"/>
      <c r="MBY9" s="1202"/>
      <c r="MBZ9" s="1202"/>
      <c r="MCA9" s="1202"/>
      <c r="MCB9" s="1202"/>
      <c r="MCC9" s="1202"/>
      <c r="MCD9" s="1202"/>
      <c r="MCE9" s="1202"/>
      <c r="MCF9" s="1202"/>
      <c r="MCG9" s="1202"/>
      <c r="MCH9" s="1202"/>
      <c r="MCI9" s="1202"/>
      <c r="MCJ9" s="1202"/>
      <c r="MCK9" s="1202"/>
      <c r="MCL9" s="1202"/>
      <c r="MCM9" s="1202"/>
      <c r="MCN9" s="1202"/>
      <c r="MCO9" s="1202"/>
      <c r="MCP9" s="1202"/>
      <c r="MCQ9" s="1202"/>
      <c r="MCR9" s="1202"/>
      <c r="MCS9" s="1202"/>
      <c r="MCT9" s="1202"/>
      <c r="MCU9" s="1202"/>
      <c r="MCV9" s="1202"/>
      <c r="MCW9" s="1202"/>
      <c r="MCX9" s="1202"/>
      <c r="MCY9" s="1202"/>
      <c r="MCZ9" s="1202"/>
      <c r="MDA9" s="1202"/>
      <c r="MDB9" s="1202"/>
      <c r="MDC9" s="1202"/>
      <c r="MDD9" s="1202"/>
      <c r="MDE9" s="1202"/>
      <c r="MDF9" s="1202"/>
      <c r="MDG9" s="1202"/>
      <c r="MDH9" s="1202"/>
      <c r="MDI9" s="1202"/>
      <c r="MDJ9" s="1202"/>
      <c r="MDK9" s="1202"/>
      <c r="MDL9" s="1202"/>
      <c r="MDM9" s="1202"/>
      <c r="MDN9" s="1202"/>
      <c r="MDO9" s="1202"/>
      <c r="MDP9" s="1202"/>
      <c r="MDQ9" s="1202"/>
      <c r="MDR9" s="1202"/>
      <c r="MDS9" s="1202"/>
      <c r="MDT9" s="1202"/>
      <c r="MDU9" s="1202"/>
      <c r="MDV9" s="1202"/>
      <c r="MDW9" s="1202"/>
      <c r="MDX9" s="1202"/>
      <c r="MDY9" s="1202"/>
      <c r="MDZ9" s="1202"/>
      <c r="MEA9" s="1202"/>
      <c r="MEB9" s="1202"/>
      <c r="MEC9" s="1202"/>
      <c r="MED9" s="1202"/>
      <c r="MEE9" s="1202"/>
      <c r="MEF9" s="1202"/>
      <c r="MEG9" s="1202"/>
      <c r="MEH9" s="1202"/>
      <c r="MEI9" s="1202"/>
      <c r="MEJ9" s="1202"/>
      <c r="MEK9" s="1202"/>
      <c r="MEL9" s="1202"/>
      <c r="MEM9" s="1202"/>
      <c r="MEN9" s="1202"/>
      <c r="MEO9" s="1202"/>
      <c r="MEP9" s="1202"/>
      <c r="MEQ9" s="1202"/>
      <c r="MER9" s="1202"/>
      <c r="MES9" s="1202"/>
      <c r="MET9" s="1202"/>
      <c r="MEU9" s="1202"/>
      <c r="MEV9" s="1202"/>
      <c r="MEW9" s="1202"/>
      <c r="MEX9" s="1202"/>
      <c r="MEY9" s="1202"/>
      <c r="MEZ9" s="1202"/>
      <c r="MFA9" s="1202"/>
      <c r="MFB9" s="1202"/>
      <c r="MFC9" s="1202"/>
      <c r="MFD9" s="1202"/>
      <c r="MFE9" s="1202"/>
      <c r="MFF9" s="1202"/>
      <c r="MFG9" s="1202"/>
      <c r="MFH9" s="1202"/>
      <c r="MFI9" s="1202"/>
      <c r="MFJ9" s="1202"/>
      <c r="MFK9" s="1202"/>
      <c r="MFL9" s="1202"/>
      <c r="MFM9" s="1202"/>
      <c r="MFN9" s="1202"/>
      <c r="MFO9" s="1202"/>
      <c r="MFP9" s="1202"/>
      <c r="MFQ9" s="1202"/>
      <c r="MFR9" s="1202"/>
      <c r="MFS9" s="1202"/>
      <c r="MFT9" s="1202"/>
      <c r="MFU9" s="1202"/>
      <c r="MFV9" s="1202"/>
      <c r="MFW9" s="1202"/>
      <c r="MFX9" s="1202"/>
      <c r="MFY9" s="1202"/>
      <c r="MFZ9" s="1202"/>
      <c r="MGA9" s="1202"/>
      <c r="MGB9" s="1202"/>
      <c r="MGC9" s="1202"/>
      <c r="MGD9" s="1202"/>
      <c r="MGE9" s="1202"/>
      <c r="MGF9" s="1202"/>
      <c r="MGG9" s="1202"/>
      <c r="MGH9" s="1202"/>
      <c r="MGI9" s="1202"/>
      <c r="MGJ9" s="1202"/>
      <c r="MGK9" s="1202"/>
      <c r="MGL9" s="1202"/>
      <c r="MGM9" s="1202"/>
      <c r="MGN9" s="1202"/>
      <c r="MGO9" s="1202"/>
      <c r="MGP9" s="1202"/>
      <c r="MGQ9" s="1202"/>
      <c r="MGR9" s="1202"/>
      <c r="MGS9" s="1202"/>
      <c r="MGT9" s="1202"/>
      <c r="MGU9" s="1202"/>
      <c r="MGV9" s="1202"/>
      <c r="MGW9" s="1202"/>
      <c r="MGX9" s="1202"/>
      <c r="MGY9" s="1202"/>
      <c r="MGZ9" s="1202"/>
      <c r="MHA9" s="1202"/>
      <c r="MHB9" s="1202"/>
      <c r="MHC9" s="1202"/>
      <c r="MHD9" s="1202"/>
      <c r="MHE9" s="1202"/>
      <c r="MHF9" s="1202"/>
      <c r="MHG9" s="1202"/>
      <c r="MHH9" s="1202"/>
      <c r="MHI9" s="1202"/>
      <c r="MHJ9" s="1202"/>
      <c r="MHK9" s="1202"/>
      <c r="MHL9" s="1202"/>
      <c r="MHM9" s="1202"/>
      <c r="MHN9" s="1202"/>
      <c r="MHO9" s="1202"/>
      <c r="MHP9" s="1202"/>
      <c r="MHQ9" s="1202"/>
      <c r="MHR9" s="1202"/>
      <c r="MHS9" s="1202"/>
      <c r="MHT9" s="1202"/>
      <c r="MHU9" s="1202"/>
      <c r="MHV9" s="1202"/>
      <c r="MHW9" s="1202"/>
      <c r="MHX9" s="1202"/>
      <c r="MHY9" s="1202"/>
      <c r="MHZ9" s="1202"/>
      <c r="MIA9" s="1202"/>
      <c r="MIB9" s="1202"/>
      <c r="MIC9" s="1202"/>
      <c r="MID9" s="1202"/>
      <c r="MIE9" s="1202"/>
      <c r="MIF9" s="1202"/>
      <c r="MIG9" s="1202"/>
      <c r="MIH9" s="1202"/>
      <c r="MII9" s="1202"/>
      <c r="MIJ9" s="1202"/>
      <c r="MIK9" s="1202"/>
      <c r="MIL9" s="1202"/>
      <c r="MIM9" s="1202"/>
      <c r="MIN9" s="1202"/>
      <c r="MIO9" s="1202"/>
      <c r="MIP9" s="1202"/>
      <c r="MIQ9" s="1202"/>
      <c r="MIR9" s="1202"/>
      <c r="MIS9" s="1202"/>
      <c r="MIT9" s="1202"/>
      <c r="MIU9" s="1202"/>
      <c r="MIV9" s="1202"/>
      <c r="MIW9" s="1202"/>
      <c r="MIX9" s="1202"/>
      <c r="MIY9" s="1202"/>
      <c r="MIZ9" s="1202"/>
      <c r="MJA9" s="1202"/>
      <c r="MJB9" s="1202"/>
      <c r="MJC9" s="1202"/>
      <c r="MJD9" s="1202"/>
      <c r="MJE9" s="1202"/>
      <c r="MJF9" s="1202"/>
      <c r="MJG9" s="1202"/>
      <c r="MJH9" s="1202"/>
      <c r="MJI9" s="1202"/>
      <c r="MJJ9" s="1202"/>
      <c r="MJK9" s="1202"/>
      <c r="MJL9" s="1202"/>
      <c r="MJM9" s="1202"/>
      <c r="MJN9" s="1202"/>
      <c r="MJO9" s="1202"/>
      <c r="MJP9" s="1202"/>
      <c r="MJQ9" s="1202"/>
      <c r="MJR9" s="1202"/>
      <c r="MJS9" s="1202"/>
      <c r="MJT9" s="1202"/>
      <c r="MJU9" s="1202"/>
      <c r="MJV9" s="1202"/>
      <c r="MJW9" s="1202"/>
      <c r="MJX9" s="1202"/>
      <c r="MJY9" s="1202"/>
      <c r="MJZ9" s="1202"/>
      <c r="MKA9" s="1202"/>
      <c r="MKB9" s="1202"/>
      <c r="MKC9" s="1202"/>
      <c r="MKD9" s="1202"/>
      <c r="MKE9" s="1202"/>
      <c r="MKF9" s="1202"/>
      <c r="MKG9" s="1202"/>
      <c r="MKH9" s="1202"/>
      <c r="MKI9" s="1202"/>
      <c r="MKJ9" s="1202"/>
      <c r="MKK9" s="1202"/>
      <c r="MKL9" s="1202"/>
      <c r="MKM9" s="1202"/>
      <c r="MKN9" s="1202"/>
      <c r="MKO9" s="1202"/>
      <c r="MKP9" s="1202"/>
      <c r="MKQ9" s="1202"/>
      <c r="MKR9" s="1202"/>
      <c r="MKS9" s="1202"/>
      <c r="MKT9" s="1202"/>
      <c r="MKU9" s="1202"/>
      <c r="MKV9" s="1202"/>
      <c r="MKW9" s="1202"/>
      <c r="MKX9" s="1202"/>
      <c r="MKY9" s="1202"/>
      <c r="MKZ9" s="1202"/>
      <c r="MLA9" s="1202"/>
      <c r="MLB9" s="1202"/>
      <c r="MLC9" s="1202"/>
      <c r="MLD9" s="1202"/>
      <c r="MLE9" s="1202"/>
      <c r="MLF9" s="1202"/>
      <c r="MLG9" s="1202"/>
      <c r="MLH9" s="1202"/>
      <c r="MLI9" s="1202"/>
      <c r="MLJ9" s="1202"/>
      <c r="MLK9" s="1202"/>
      <c r="MLL9" s="1202"/>
      <c r="MLM9" s="1202"/>
      <c r="MLN9" s="1202"/>
      <c r="MLO9" s="1202"/>
      <c r="MLP9" s="1202"/>
      <c r="MLQ9" s="1202"/>
      <c r="MLR9" s="1202"/>
      <c r="MLS9" s="1202"/>
      <c r="MLT9" s="1202"/>
      <c r="MLU9" s="1202"/>
      <c r="MLV9" s="1202"/>
      <c r="MLW9" s="1202"/>
      <c r="MLX9" s="1202"/>
      <c r="MLY9" s="1202"/>
      <c r="MLZ9" s="1202"/>
      <c r="MMA9" s="1202"/>
      <c r="MMB9" s="1202"/>
      <c r="MMC9" s="1202"/>
      <c r="MMD9" s="1202"/>
      <c r="MME9" s="1202"/>
      <c r="MMF9" s="1202"/>
      <c r="MMG9" s="1202"/>
      <c r="MMH9" s="1202"/>
      <c r="MMI9" s="1202"/>
      <c r="MMJ9" s="1202"/>
      <c r="MMK9" s="1202"/>
      <c r="MML9" s="1202"/>
      <c r="MMM9" s="1202"/>
      <c r="MMN9" s="1202"/>
      <c r="MMO9" s="1202"/>
      <c r="MMP9" s="1202"/>
      <c r="MMQ9" s="1202"/>
      <c r="MMR9" s="1202"/>
      <c r="MMS9" s="1202"/>
      <c r="MMT9" s="1202"/>
      <c r="MMU9" s="1202"/>
      <c r="MMV9" s="1202"/>
      <c r="MMW9" s="1202"/>
      <c r="MMX9" s="1202"/>
      <c r="MMY9" s="1202"/>
      <c r="MMZ9" s="1202"/>
      <c r="MNA9" s="1202"/>
      <c r="MNB9" s="1202"/>
      <c r="MNC9" s="1202"/>
      <c r="MND9" s="1202"/>
      <c r="MNE9" s="1202"/>
      <c r="MNF9" s="1202"/>
      <c r="MNG9" s="1202"/>
      <c r="MNH9" s="1202"/>
      <c r="MNI9" s="1202"/>
      <c r="MNJ9" s="1202"/>
      <c r="MNK9" s="1202"/>
      <c r="MNL9" s="1202"/>
      <c r="MNM9" s="1202"/>
      <c r="MNN9" s="1202"/>
      <c r="MNO9" s="1202"/>
      <c r="MNP9" s="1202"/>
      <c r="MNQ9" s="1202"/>
      <c r="MNR9" s="1202"/>
      <c r="MNS9" s="1202"/>
      <c r="MNT9" s="1202"/>
      <c r="MNU9" s="1202"/>
      <c r="MNV9" s="1202"/>
      <c r="MNW9" s="1202"/>
      <c r="MNX9" s="1202"/>
      <c r="MNY9" s="1202"/>
      <c r="MNZ9" s="1202"/>
      <c r="MOA9" s="1202"/>
      <c r="MOB9" s="1202"/>
      <c r="MOC9" s="1202"/>
      <c r="MOD9" s="1202"/>
      <c r="MOE9" s="1202"/>
      <c r="MOF9" s="1202"/>
      <c r="MOG9" s="1202"/>
      <c r="MOH9" s="1202"/>
      <c r="MOI9" s="1202"/>
      <c r="MOJ9" s="1202"/>
      <c r="MOK9" s="1202"/>
      <c r="MOL9" s="1202"/>
      <c r="MOM9" s="1202"/>
      <c r="MON9" s="1202"/>
      <c r="MOO9" s="1202"/>
      <c r="MOP9" s="1202"/>
      <c r="MOQ9" s="1202"/>
      <c r="MOR9" s="1202"/>
      <c r="MOS9" s="1202"/>
      <c r="MOT9" s="1202"/>
      <c r="MOU9" s="1202"/>
      <c r="MOV9" s="1202"/>
      <c r="MOW9" s="1202"/>
      <c r="MOX9" s="1202"/>
      <c r="MOY9" s="1202"/>
      <c r="MOZ9" s="1202"/>
      <c r="MPA9" s="1202"/>
      <c r="MPB9" s="1202"/>
      <c r="MPC9" s="1202"/>
      <c r="MPD9" s="1202"/>
      <c r="MPE9" s="1202"/>
      <c r="MPF9" s="1202"/>
      <c r="MPG9" s="1202"/>
      <c r="MPH9" s="1202"/>
      <c r="MPI9" s="1202"/>
      <c r="MPJ9" s="1202"/>
      <c r="MPK9" s="1202"/>
      <c r="MPL9" s="1202"/>
      <c r="MPM9" s="1202"/>
      <c r="MPN9" s="1202"/>
      <c r="MPO9" s="1202"/>
      <c r="MPP9" s="1202"/>
      <c r="MPQ9" s="1202"/>
      <c r="MPR9" s="1202"/>
      <c r="MPS9" s="1202"/>
      <c r="MPT9" s="1202"/>
      <c r="MPU9" s="1202"/>
      <c r="MPV9" s="1202"/>
      <c r="MPW9" s="1202"/>
      <c r="MPX9" s="1202"/>
      <c r="MPY9" s="1202"/>
      <c r="MPZ9" s="1202"/>
      <c r="MQA9" s="1202"/>
      <c r="MQB9" s="1202"/>
      <c r="MQC9" s="1202"/>
      <c r="MQD9" s="1202"/>
      <c r="MQE9" s="1202"/>
      <c r="MQF9" s="1202"/>
      <c r="MQG9" s="1202"/>
      <c r="MQH9" s="1202"/>
      <c r="MQI9" s="1202"/>
      <c r="MQJ9" s="1202"/>
      <c r="MQK9" s="1202"/>
      <c r="MQL9" s="1202"/>
      <c r="MQM9" s="1202"/>
      <c r="MQN9" s="1202"/>
      <c r="MQO9" s="1202"/>
      <c r="MQP9" s="1202"/>
      <c r="MQQ9" s="1202"/>
      <c r="MQR9" s="1202"/>
      <c r="MQS9" s="1202"/>
      <c r="MQT9" s="1202"/>
      <c r="MQU9" s="1202"/>
      <c r="MQV9" s="1202"/>
      <c r="MQW9" s="1202"/>
      <c r="MQX9" s="1202"/>
      <c r="MQY9" s="1202"/>
      <c r="MQZ9" s="1202"/>
      <c r="MRA9" s="1202"/>
      <c r="MRB9" s="1202"/>
      <c r="MRC9" s="1202"/>
      <c r="MRD9" s="1202"/>
      <c r="MRE9" s="1202"/>
      <c r="MRF9" s="1202"/>
      <c r="MRG9" s="1202"/>
      <c r="MRH9" s="1202"/>
      <c r="MRI9" s="1202"/>
      <c r="MRJ9" s="1202"/>
      <c r="MRK9" s="1202"/>
      <c r="MRL9" s="1202"/>
      <c r="MRM9" s="1202"/>
      <c r="MRN9" s="1202"/>
      <c r="MRO9" s="1202"/>
      <c r="MRP9" s="1202"/>
      <c r="MRQ9" s="1202"/>
      <c r="MRR9" s="1202"/>
      <c r="MRS9" s="1202"/>
      <c r="MRT9" s="1202"/>
      <c r="MRU9" s="1202"/>
      <c r="MRV9" s="1202"/>
      <c r="MRW9" s="1202"/>
      <c r="MRX9" s="1202"/>
      <c r="MRY9" s="1202"/>
      <c r="MRZ9" s="1202"/>
      <c r="MSA9" s="1202"/>
      <c r="MSB9" s="1202"/>
      <c r="MSC9" s="1202"/>
      <c r="MSD9" s="1202"/>
      <c r="MSE9" s="1202"/>
      <c r="MSF9" s="1202"/>
      <c r="MSG9" s="1202"/>
      <c r="MSH9" s="1202"/>
      <c r="MSI9" s="1202"/>
      <c r="MSJ9" s="1202"/>
      <c r="MSK9" s="1202"/>
      <c r="MSL9" s="1202"/>
      <c r="MSM9" s="1202"/>
      <c r="MSN9" s="1202"/>
      <c r="MSO9" s="1202"/>
      <c r="MSP9" s="1202"/>
      <c r="MSQ9" s="1202"/>
      <c r="MSR9" s="1202"/>
      <c r="MSS9" s="1202"/>
      <c r="MST9" s="1202"/>
      <c r="MSU9" s="1202"/>
      <c r="MSV9" s="1202"/>
      <c r="MSW9" s="1202"/>
      <c r="MSX9" s="1202"/>
      <c r="MSY9" s="1202"/>
      <c r="MSZ9" s="1202"/>
      <c r="MTA9" s="1202"/>
      <c r="MTB9" s="1202"/>
      <c r="MTC9" s="1202"/>
      <c r="MTD9" s="1202"/>
      <c r="MTE9" s="1202"/>
      <c r="MTF9" s="1202"/>
      <c r="MTG9" s="1202"/>
      <c r="MTH9" s="1202"/>
      <c r="MTI9" s="1202"/>
      <c r="MTJ9" s="1202"/>
      <c r="MTK9" s="1202"/>
      <c r="MTL9" s="1202"/>
      <c r="MTM9" s="1202"/>
      <c r="MTN9" s="1202"/>
      <c r="MTO9" s="1202"/>
      <c r="MTP9" s="1202"/>
      <c r="MTQ9" s="1202"/>
      <c r="MTR9" s="1202"/>
      <c r="MTS9" s="1202"/>
      <c r="MTT9" s="1202"/>
      <c r="MTU9" s="1202"/>
      <c r="MTV9" s="1202"/>
      <c r="MTW9" s="1202"/>
      <c r="MTX9" s="1202"/>
      <c r="MTY9" s="1202"/>
      <c r="MTZ9" s="1202"/>
      <c r="MUA9" s="1202"/>
      <c r="MUB9" s="1202"/>
      <c r="MUC9" s="1202"/>
      <c r="MUD9" s="1202"/>
      <c r="MUE9" s="1202"/>
      <c r="MUF9" s="1202"/>
      <c r="MUG9" s="1202"/>
      <c r="MUH9" s="1202"/>
      <c r="MUI9" s="1202"/>
      <c r="MUJ9" s="1202"/>
      <c r="MUK9" s="1202"/>
      <c r="MUL9" s="1202"/>
      <c r="MUM9" s="1202"/>
      <c r="MUN9" s="1202"/>
      <c r="MUO9" s="1202"/>
      <c r="MUP9" s="1202"/>
      <c r="MUQ9" s="1202"/>
      <c r="MUR9" s="1202"/>
      <c r="MUS9" s="1202"/>
      <c r="MUT9" s="1202"/>
      <c r="MUU9" s="1202"/>
      <c r="MUV9" s="1202"/>
      <c r="MUW9" s="1202"/>
      <c r="MUX9" s="1202"/>
      <c r="MUY9" s="1202"/>
      <c r="MUZ9" s="1202"/>
      <c r="MVA9" s="1202"/>
      <c r="MVB9" s="1202"/>
      <c r="MVC9" s="1202"/>
      <c r="MVD9" s="1202"/>
      <c r="MVE9" s="1202"/>
      <c r="MVF9" s="1202"/>
      <c r="MVG9" s="1202"/>
      <c r="MVH9" s="1202"/>
      <c r="MVI9" s="1202"/>
      <c r="MVJ9" s="1202"/>
      <c r="MVK9" s="1202"/>
      <c r="MVL9" s="1202"/>
      <c r="MVM9" s="1202"/>
      <c r="MVN9" s="1202"/>
      <c r="MVO9" s="1202"/>
      <c r="MVP9" s="1202"/>
      <c r="MVQ9" s="1202"/>
      <c r="MVR9" s="1202"/>
      <c r="MVS9" s="1202"/>
      <c r="MVT9" s="1202"/>
      <c r="MVU9" s="1202"/>
      <c r="MVV9" s="1202"/>
      <c r="MVW9" s="1202"/>
      <c r="MVX9" s="1202"/>
      <c r="MVY9" s="1202"/>
      <c r="MVZ9" s="1202"/>
      <c r="MWA9" s="1202"/>
      <c r="MWB9" s="1202"/>
      <c r="MWC9" s="1202"/>
      <c r="MWD9" s="1202"/>
      <c r="MWE9" s="1202"/>
      <c r="MWF9" s="1202"/>
      <c r="MWG9" s="1202"/>
      <c r="MWH9" s="1202"/>
      <c r="MWI9" s="1202"/>
      <c r="MWJ9" s="1202"/>
      <c r="MWK9" s="1202"/>
      <c r="MWL9" s="1202"/>
      <c r="MWM9" s="1202"/>
      <c r="MWN9" s="1202"/>
      <c r="MWO9" s="1202"/>
      <c r="MWP9" s="1202"/>
      <c r="MWQ9" s="1202"/>
      <c r="MWR9" s="1202"/>
      <c r="MWS9" s="1202"/>
      <c r="MWT9" s="1202"/>
      <c r="MWU9" s="1202"/>
      <c r="MWV9" s="1202"/>
      <c r="MWW9" s="1202"/>
      <c r="MWX9" s="1202"/>
      <c r="MWY9" s="1202"/>
      <c r="MWZ9" s="1202"/>
      <c r="MXA9" s="1202"/>
      <c r="MXB9" s="1202"/>
      <c r="MXC9" s="1202"/>
      <c r="MXD9" s="1202"/>
      <c r="MXE9" s="1202"/>
      <c r="MXF9" s="1202"/>
      <c r="MXG9" s="1202"/>
      <c r="MXH9" s="1202"/>
      <c r="MXI9" s="1202"/>
      <c r="MXJ9" s="1202"/>
      <c r="MXK9" s="1202"/>
      <c r="MXL9" s="1202"/>
      <c r="MXM9" s="1202"/>
      <c r="MXN9" s="1202"/>
      <c r="MXO9" s="1202"/>
      <c r="MXP9" s="1202"/>
      <c r="MXQ9" s="1202"/>
      <c r="MXR9" s="1202"/>
      <c r="MXS9" s="1202"/>
      <c r="MXT9" s="1202"/>
      <c r="MXU9" s="1202"/>
      <c r="MXV9" s="1202"/>
      <c r="MXW9" s="1202"/>
      <c r="MXX9" s="1202"/>
      <c r="MXY9" s="1202"/>
      <c r="MXZ9" s="1202"/>
      <c r="MYA9" s="1202"/>
      <c r="MYB9" s="1202"/>
      <c r="MYC9" s="1202"/>
      <c r="MYD9" s="1202"/>
      <c r="MYE9" s="1202"/>
      <c r="MYF9" s="1202"/>
      <c r="MYG9" s="1202"/>
      <c r="MYH9" s="1202"/>
      <c r="MYI9" s="1202"/>
      <c r="MYJ9" s="1202"/>
      <c r="MYK9" s="1202"/>
      <c r="MYL9" s="1202"/>
      <c r="MYM9" s="1202"/>
      <c r="MYN9" s="1202"/>
      <c r="MYO9" s="1202"/>
      <c r="MYP9" s="1202"/>
      <c r="MYQ9" s="1202"/>
      <c r="MYR9" s="1202"/>
      <c r="MYS9" s="1202"/>
      <c r="MYT9" s="1202"/>
      <c r="MYU9" s="1202"/>
      <c r="MYV9" s="1202"/>
      <c r="MYW9" s="1202"/>
      <c r="MYX9" s="1202"/>
      <c r="MYY9" s="1202"/>
      <c r="MYZ9" s="1202"/>
      <c r="MZA9" s="1202"/>
      <c r="MZB9" s="1202"/>
      <c r="MZC9" s="1202"/>
      <c r="MZD9" s="1202"/>
      <c r="MZE9" s="1202"/>
      <c r="MZF9" s="1202"/>
      <c r="MZG9" s="1202"/>
      <c r="MZH9" s="1202"/>
      <c r="MZI9" s="1202"/>
      <c r="MZJ9" s="1202"/>
      <c r="MZK9" s="1202"/>
      <c r="MZL9" s="1202"/>
      <c r="MZM9" s="1202"/>
      <c r="MZN9" s="1202"/>
      <c r="MZO9" s="1202"/>
      <c r="MZP9" s="1202"/>
      <c r="MZQ9" s="1202"/>
      <c r="MZR9" s="1202"/>
      <c r="MZS9" s="1202"/>
      <c r="MZT9" s="1202"/>
      <c r="MZU9" s="1202"/>
      <c r="MZV9" s="1202"/>
      <c r="MZW9" s="1202"/>
      <c r="MZX9" s="1202"/>
      <c r="MZY9" s="1202"/>
      <c r="MZZ9" s="1202"/>
      <c r="NAA9" s="1202"/>
      <c r="NAB9" s="1202"/>
      <c r="NAC9" s="1202"/>
      <c r="NAD9" s="1202"/>
      <c r="NAE9" s="1202"/>
      <c r="NAF9" s="1202"/>
      <c r="NAG9" s="1202"/>
      <c r="NAH9" s="1202"/>
      <c r="NAI9" s="1202"/>
      <c r="NAJ9" s="1202"/>
      <c r="NAK9" s="1202"/>
      <c r="NAL9" s="1202"/>
      <c r="NAM9" s="1202"/>
      <c r="NAN9" s="1202"/>
      <c r="NAO9" s="1202"/>
      <c r="NAP9" s="1202"/>
      <c r="NAQ9" s="1202"/>
      <c r="NAR9" s="1202"/>
      <c r="NAS9" s="1202"/>
      <c r="NAT9" s="1202"/>
      <c r="NAU9" s="1202"/>
      <c r="NAV9" s="1202"/>
      <c r="NAW9" s="1202"/>
      <c r="NAX9" s="1202"/>
      <c r="NAY9" s="1202"/>
      <c r="NAZ9" s="1202"/>
      <c r="NBA9" s="1202"/>
      <c r="NBB9" s="1202"/>
      <c r="NBC9" s="1202"/>
      <c r="NBD9" s="1202"/>
      <c r="NBE9" s="1202"/>
      <c r="NBF9" s="1202"/>
      <c r="NBG9" s="1202"/>
      <c r="NBH9" s="1202"/>
      <c r="NBI9" s="1202"/>
      <c r="NBJ9" s="1202"/>
      <c r="NBK9" s="1202"/>
      <c r="NBL9" s="1202"/>
      <c r="NBM9" s="1202"/>
      <c r="NBN9" s="1202"/>
      <c r="NBO9" s="1202"/>
      <c r="NBP9" s="1202"/>
      <c r="NBQ9" s="1202"/>
      <c r="NBR9" s="1202"/>
      <c r="NBS9" s="1202"/>
      <c r="NBT9" s="1202"/>
      <c r="NBU9" s="1202"/>
      <c r="NBV9" s="1202"/>
      <c r="NBW9" s="1202"/>
      <c r="NBX9" s="1202"/>
      <c r="NBY9" s="1202"/>
      <c r="NBZ9" s="1202"/>
      <c r="NCA9" s="1202"/>
      <c r="NCB9" s="1202"/>
      <c r="NCC9" s="1202"/>
      <c r="NCD9" s="1202"/>
      <c r="NCE9" s="1202"/>
      <c r="NCF9" s="1202"/>
      <c r="NCG9" s="1202"/>
      <c r="NCH9" s="1202"/>
      <c r="NCI9" s="1202"/>
      <c r="NCJ9" s="1202"/>
      <c r="NCK9" s="1202"/>
      <c r="NCL9" s="1202"/>
      <c r="NCM9" s="1202"/>
      <c r="NCN9" s="1202"/>
      <c r="NCO9" s="1202"/>
      <c r="NCP9" s="1202"/>
      <c r="NCQ9" s="1202"/>
      <c r="NCR9" s="1202"/>
      <c r="NCS9" s="1202"/>
      <c r="NCT9" s="1202"/>
      <c r="NCU9" s="1202"/>
      <c r="NCV9" s="1202"/>
      <c r="NCW9" s="1202"/>
      <c r="NCX9" s="1202"/>
      <c r="NCY9" s="1202"/>
      <c r="NCZ9" s="1202"/>
      <c r="NDA9" s="1202"/>
      <c r="NDB9" s="1202"/>
      <c r="NDC9" s="1202"/>
      <c r="NDD9" s="1202"/>
      <c r="NDE9" s="1202"/>
      <c r="NDF9" s="1202"/>
      <c r="NDG9" s="1202"/>
      <c r="NDH9" s="1202"/>
      <c r="NDI9" s="1202"/>
      <c r="NDJ9" s="1202"/>
      <c r="NDK9" s="1202"/>
      <c r="NDL9" s="1202"/>
      <c r="NDM9" s="1202"/>
      <c r="NDN9" s="1202"/>
      <c r="NDO9" s="1202"/>
      <c r="NDP9" s="1202"/>
      <c r="NDQ9" s="1202"/>
      <c r="NDR9" s="1202"/>
      <c r="NDS9" s="1202"/>
      <c r="NDT9" s="1202"/>
      <c r="NDU9" s="1202"/>
      <c r="NDV9" s="1202"/>
      <c r="NDW9" s="1202"/>
      <c r="NDX9" s="1202"/>
      <c r="NDY9" s="1202"/>
      <c r="NDZ9" s="1202"/>
      <c r="NEA9" s="1202"/>
      <c r="NEB9" s="1202"/>
      <c r="NEC9" s="1202"/>
      <c r="NED9" s="1202"/>
      <c r="NEE9" s="1202"/>
      <c r="NEF9" s="1202"/>
      <c r="NEG9" s="1202"/>
      <c r="NEH9" s="1202"/>
      <c r="NEI9" s="1202"/>
      <c r="NEJ9" s="1202"/>
      <c r="NEK9" s="1202"/>
      <c r="NEL9" s="1202"/>
      <c r="NEM9" s="1202"/>
      <c r="NEN9" s="1202"/>
      <c r="NEO9" s="1202"/>
      <c r="NEP9" s="1202"/>
      <c r="NEQ9" s="1202"/>
      <c r="NER9" s="1202"/>
      <c r="NES9" s="1202"/>
      <c r="NET9" s="1202"/>
      <c r="NEU9" s="1202"/>
      <c r="NEV9" s="1202"/>
      <c r="NEW9" s="1202"/>
      <c r="NEX9" s="1202"/>
      <c r="NEY9" s="1202"/>
      <c r="NEZ9" s="1202"/>
      <c r="NFA9" s="1202"/>
      <c r="NFB9" s="1202"/>
      <c r="NFC9" s="1202"/>
      <c r="NFD9" s="1202"/>
      <c r="NFE9" s="1202"/>
      <c r="NFF9" s="1202"/>
      <c r="NFG9" s="1202"/>
      <c r="NFH9" s="1202"/>
      <c r="NFI9" s="1202"/>
      <c r="NFJ9" s="1202"/>
      <c r="NFK9" s="1202"/>
      <c r="NFL9" s="1202"/>
      <c r="NFM9" s="1202"/>
      <c r="NFN9" s="1202"/>
      <c r="NFO9" s="1202"/>
      <c r="NFP9" s="1202"/>
      <c r="NFQ9" s="1202"/>
      <c r="NFR9" s="1202"/>
      <c r="NFS9" s="1202"/>
      <c r="NFT9" s="1202"/>
      <c r="NFU9" s="1202"/>
      <c r="NFV9" s="1202"/>
      <c r="NFW9" s="1202"/>
      <c r="NFX9" s="1202"/>
      <c r="NFY9" s="1202"/>
      <c r="NFZ9" s="1202"/>
      <c r="NGA9" s="1202"/>
      <c r="NGB9" s="1202"/>
      <c r="NGC9" s="1202"/>
      <c r="NGD9" s="1202"/>
      <c r="NGE9" s="1202"/>
      <c r="NGF9" s="1202"/>
      <c r="NGG9" s="1202"/>
      <c r="NGH9" s="1202"/>
      <c r="NGI9" s="1202"/>
      <c r="NGJ9" s="1202"/>
      <c r="NGK9" s="1202"/>
      <c r="NGL9" s="1202"/>
      <c r="NGM9" s="1202"/>
      <c r="NGN9" s="1202"/>
      <c r="NGO9" s="1202"/>
      <c r="NGP9" s="1202"/>
      <c r="NGQ9" s="1202"/>
      <c r="NGR9" s="1202"/>
      <c r="NGS9" s="1202"/>
      <c r="NGT9" s="1202"/>
      <c r="NGU9" s="1202"/>
      <c r="NGV9" s="1202"/>
      <c r="NGW9" s="1202"/>
      <c r="NGX9" s="1202"/>
      <c r="NGY9" s="1202"/>
      <c r="NGZ9" s="1202"/>
      <c r="NHA9" s="1202"/>
      <c r="NHB9" s="1202"/>
      <c r="NHC9" s="1202"/>
      <c r="NHD9" s="1202"/>
      <c r="NHE9" s="1202"/>
      <c r="NHF9" s="1202"/>
      <c r="NHG9" s="1202"/>
      <c r="NHH9" s="1202"/>
      <c r="NHI9" s="1202"/>
      <c r="NHJ9" s="1202"/>
      <c r="NHK9" s="1202"/>
      <c r="NHL9" s="1202"/>
      <c r="NHM9" s="1202"/>
      <c r="NHN9" s="1202"/>
      <c r="NHO9" s="1202"/>
      <c r="NHP9" s="1202"/>
      <c r="NHQ9" s="1202"/>
      <c r="NHR9" s="1202"/>
      <c r="NHS9" s="1202"/>
      <c r="NHT9" s="1202"/>
      <c r="NHU9" s="1202"/>
      <c r="NHV9" s="1202"/>
      <c r="NHW9" s="1202"/>
      <c r="NHX9" s="1202"/>
      <c r="NHY9" s="1202"/>
      <c r="NHZ9" s="1202"/>
      <c r="NIA9" s="1202"/>
      <c r="NIB9" s="1202"/>
      <c r="NIC9" s="1202"/>
      <c r="NID9" s="1202"/>
      <c r="NIE9" s="1202"/>
      <c r="NIF9" s="1202"/>
      <c r="NIG9" s="1202"/>
      <c r="NIH9" s="1202"/>
      <c r="NII9" s="1202"/>
      <c r="NIJ9" s="1202"/>
      <c r="NIK9" s="1202"/>
      <c r="NIL9" s="1202"/>
      <c r="NIM9" s="1202"/>
      <c r="NIN9" s="1202"/>
      <c r="NIO9" s="1202"/>
      <c r="NIP9" s="1202"/>
      <c r="NIQ9" s="1202"/>
      <c r="NIR9" s="1202"/>
      <c r="NIS9" s="1202"/>
      <c r="NIT9" s="1202"/>
      <c r="NIU9" s="1202"/>
      <c r="NIV9" s="1202"/>
      <c r="NIW9" s="1202"/>
      <c r="NIX9" s="1202"/>
      <c r="NIY9" s="1202"/>
      <c r="NIZ9" s="1202"/>
      <c r="NJA9" s="1202"/>
      <c r="NJB9" s="1202"/>
      <c r="NJC9" s="1202"/>
      <c r="NJD9" s="1202"/>
      <c r="NJE9" s="1202"/>
      <c r="NJF9" s="1202"/>
      <c r="NJG9" s="1202"/>
      <c r="NJH9" s="1202"/>
      <c r="NJI9" s="1202"/>
      <c r="NJJ9" s="1202"/>
      <c r="NJK9" s="1202"/>
      <c r="NJL9" s="1202"/>
      <c r="NJM9" s="1202"/>
      <c r="NJN9" s="1202"/>
      <c r="NJO9" s="1202"/>
      <c r="NJP9" s="1202"/>
      <c r="NJQ9" s="1202"/>
      <c r="NJR9" s="1202"/>
      <c r="NJS9" s="1202"/>
      <c r="NJT9" s="1202"/>
      <c r="NJU9" s="1202"/>
      <c r="NJV9" s="1202"/>
      <c r="NJW9" s="1202"/>
      <c r="NJX9" s="1202"/>
      <c r="NJY9" s="1202"/>
      <c r="NJZ9" s="1202"/>
      <c r="NKA9" s="1202"/>
      <c r="NKB9" s="1202"/>
      <c r="NKC9" s="1202"/>
      <c r="NKD9" s="1202"/>
      <c r="NKE9" s="1202"/>
      <c r="NKF9" s="1202"/>
      <c r="NKG9" s="1202"/>
      <c r="NKH9" s="1202"/>
      <c r="NKI9" s="1202"/>
      <c r="NKJ9" s="1202"/>
      <c r="NKK9" s="1202"/>
      <c r="NKL9" s="1202"/>
      <c r="NKM9" s="1202"/>
      <c r="NKN9" s="1202"/>
      <c r="NKO9" s="1202"/>
      <c r="NKP9" s="1202"/>
      <c r="NKQ9" s="1202"/>
      <c r="NKR9" s="1202"/>
      <c r="NKS9" s="1202"/>
      <c r="NKT9" s="1202"/>
      <c r="NKU9" s="1202"/>
      <c r="NKV9" s="1202"/>
      <c r="NKW9" s="1202"/>
      <c r="NKX9" s="1202"/>
      <c r="NKY9" s="1202"/>
      <c r="NKZ9" s="1202"/>
      <c r="NLA9" s="1202"/>
      <c r="NLB9" s="1202"/>
      <c r="NLC9" s="1202"/>
      <c r="NLD9" s="1202"/>
      <c r="NLE9" s="1202"/>
      <c r="NLF9" s="1202"/>
      <c r="NLG9" s="1202"/>
      <c r="NLH9" s="1202"/>
      <c r="NLI9" s="1202"/>
      <c r="NLJ9" s="1202"/>
      <c r="NLK9" s="1202"/>
      <c r="NLL9" s="1202"/>
      <c r="NLM9" s="1202"/>
      <c r="NLN9" s="1202"/>
      <c r="NLO9" s="1202"/>
      <c r="NLP9" s="1202"/>
      <c r="NLQ9" s="1202"/>
      <c r="NLR9" s="1202"/>
      <c r="NLS9" s="1202"/>
      <c r="NLT9" s="1202"/>
      <c r="NLU9" s="1202"/>
      <c r="NLV9" s="1202"/>
      <c r="NLW9" s="1202"/>
      <c r="NLX9" s="1202"/>
      <c r="NLY9" s="1202"/>
      <c r="NLZ9" s="1202"/>
      <c r="NMA9" s="1202"/>
      <c r="NMB9" s="1202"/>
      <c r="NMC9" s="1202"/>
      <c r="NMD9" s="1202"/>
      <c r="NME9" s="1202"/>
      <c r="NMF9" s="1202"/>
      <c r="NMG9" s="1202"/>
      <c r="NMH9" s="1202"/>
      <c r="NMI9" s="1202"/>
      <c r="NMJ9" s="1202"/>
      <c r="NMK9" s="1202"/>
      <c r="NML9" s="1202"/>
      <c r="NMM9" s="1202"/>
      <c r="NMN9" s="1202"/>
      <c r="NMO9" s="1202"/>
      <c r="NMP9" s="1202"/>
      <c r="NMQ9" s="1202"/>
      <c r="NMR9" s="1202"/>
      <c r="NMS9" s="1202"/>
      <c r="NMT9" s="1202"/>
      <c r="NMU9" s="1202"/>
      <c r="NMV9" s="1202"/>
      <c r="NMW9" s="1202"/>
      <c r="NMX9" s="1202"/>
      <c r="NMY9" s="1202"/>
      <c r="NMZ9" s="1202"/>
      <c r="NNA9" s="1202"/>
      <c r="NNB9" s="1202"/>
      <c r="NNC9" s="1202"/>
      <c r="NND9" s="1202"/>
      <c r="NNE9" s="1202"/>
      <c r="NNF9" s="1202"/>
      <c r="NNG9" s="1202"/>
      <c r="NNH9" s="1202"/>
      <c r="NNI9" s="1202"/>
      <c r="NNJ9" s="1202"/>
      <c r="NNK9" s="1202"/>
      <c r="NNL9" s="1202"/>
      <c r="NNM9" s="1202"/>
      <c r="NNN9" s="1202"/>
      <c r="NNO9" s="1202"/>
      <c r="NNP9" s="1202"/>
      <c r="NNQ9" s="1202"/>
      <c r="NNR9" s="1202"/>
      <c r="NNS9" s="1202"/>
      <c r="NNT9" s="1202"/>
      <c r="NNU9" s="1202"/>
      <c r="NNV9" s="1202"/>
      <c r="NNW9" s="1202"/>
      <c r="NNX9" s="1202"/>
      <c r="NNY9" s="1202"/>
      <c r="NNZ9" s="1202"/>
      <c r="NOA9" s="1202"/>
      <c r="NOB9" s="1202"/>
      <c r="NOC9" s="1202"/>
      <c r="NOD9" s="1202"/>
      <c r="NOE9" s="1202"/>
      <c r="NOF9" s="1202"/>
      <c r="NOG9" s="1202"/>
      <c r="NOH9" s="1202"/>
      <c r="NOI9" s="1202"/>
      <c r="NOJ9" s="1202"/>
      <c r="NOK9" s="1202"/>
      <c r="NOL9" s="1202"/>
      <c r="NOM9" s="1202"/>
      <c r="NON9" s="1202"/>
      <c r="NOO9" s="1202"/>
      <c r="NOP9" s="1202"/>
      <c r="NOQ9" s="1202"/>
      <c r="NOR9" s="1202"/>
      <c r="NOS9" s="1202"/>
      <c r="NOT9" s="1202"/>
      <c r="NOU9" s="1202"/>
      <c r="NOV9" s="1202"/>
      <c r="NOW9" s="1202"/>
      <c r="NOX9" s="1202"/>
      <c r="NOY9" s="1202"/>
      <c r="NOZ9" s="1202"/>
      <c r="NPA9" s="1202"/>
      <c r="NPB9" s="1202"/>
      <c r="NPC9" s="1202"/>
      <c r="NPD9" s="1202"/>
      <c r="NPE9" s="1202"/>
      <c r="NPF9" s="1202"/>
      <c r="NPG9" s="1202"/>
      <c r="NPH9" s="1202"/>
      <c r="NPI9" s="1202"/>
      <c r="NPJ9" s="1202"/>
      <c r="NPK9" s="1202"/>
      <c r="NPL9" s="1202"/>
      <c r="NPM9" s="1202"/>
      <c r="NPN9" s="1202"/>
      <c r="NPO9" s="1202"/>
      <c r="NPP9" s="1202"/>
      <c r="NPQ9" s="1202"/>
      <c r="NPR9" s="1202"/>
      <c r="NPS9" s="1202"/>
      <c r="NPT9" s="1202"/>
      <c r="NPU9" s="1202"/>
      <c r="NPV9" s="1202"/>
      <c r="NPW9" s="1202"/>
      <c r="NPX9" s="1202"/>
      <c r="NPY9" s="1202"/>
      <c r="NPZ9" s="1202"/>
      <c r="NQA9" s="1202"/>
      <c r="NQB9" s="1202"/>
      <c r="NQC9" s="1202"/>
      <c r="NQD9" s="1202"/>
      <c r="NQE9" s="1202"/>
      <c r="NQF9" s="1202"/>
      <c r="NQG9" s="1202"/>
      <c r="NQH9" s="1202"/>
      <c r="NQI9" s="1202"/>
      <c r="NQJ9" s="1202"/>
      <c r="NQK9" s="1202"/>
      <c r="NQL9" s="1202"/>
      <c r="NQM9" s="1202"/>
      <c r="NQN9" s="1202"/>
      <c r="NQO9" s="1202"/>
      <c r="NQP9" s="1202"/>
      <c r="NQQ9" s="1202"/>
      <c r="NQR9" s="1202"/>
      <c r="NQS9" s="1202"/>
      <c r="NQT9" s="1202"/>
      <c r="NQU9" s="1202"/>
      <c r="NQV9" s="1202"/>
      <c r="NQW9" s="1202"/>
      <c r="NQX9" s="1202"/>
      <c r="NQY9" s="1202"/>
      <c r="NQZ9" s="1202"/>
      <c r="NRA9" s="1202"/>
      <c r="NRB9" s="1202"/>
      <c r="NRC9" s="1202"/>
      <c r="NRD9" s="1202"/>
      <c r="NRE9" s="1202"/>
      <c r="NRF9" s="1202"/>
      <c r="NRG9" s="1202"/>
      <c r="NRH9" s="1202"/>
      <c r="NRI9" s="1202"/>
      <c r="NRJ9" s="1202"/>
      <c r="NRK9" s="1202"/>
      <c r="NRL9" s="1202"/>
      <c r="NRM9" s="1202"/>
      <c r="NRN9" s="1202"/>
      <c r="NRO9" s="1202"/>
      <c r="NRP9" s="1202"/>
      <c r="NRQ9" s="1202"/>
      <c r="NRR9" s="1202"/>
      <c r="NRS9" s="1202"/>
      <c r="NRT9" s="1202"/>
      <c r="NRU9" s="1202"/>
      <c r="NRV9" s="1202"/>
      <c r="NRW9" s="1202"/>
      <c r="NRX9" s="1202"/>
      <c r="NRY9" s="1202"/>
      <c r="NRZ9" s="1202"/>
      <c r="NSA9" s="1202"/>
      <c r="NSB9" s="1202"/>
      <c r="NSC9" s="1202"/>
      <c r="NSD9" s="1202"/>
      <c r="NSE9" s="1202"/>
      <c r="NSF9" s="1202"/>
      <c r="NSG9" s="1202"/>
      <c r="NSH9" s="1202"/>
      <c r="NSI9" s="1202"/>
      <c r="NSJ9" s="1202"/>
      <c r="NSK9" s="1202"/>
      <c r="NSL9" s="1202"/>
      <c r="NSM9" s="1202"/>
      <c r="NSN9" s="1202"/>
      <c r="NSO9" s="1202"/>
      <c r="NSP9" s="1202"/>
      <c r="NSQ9" s="1202"/>
      <c r="NSR9" s="1202"/>
      <c r="NSS9" s="1202"/>
      <c r="NST9" s="1202"/>
      <c r="NSU9" s="1202"/>
      <c r="NSV9" s="1202"/>
      <c r="NSW9" s="1202"/>
      <c r="NSX9" s="1202"/>
      <c r="NSY9" s="1202"/>
      <c r="NSZ9" s="1202"/>
      <c r="NTA9" s="1202"/>
      <c r="NTB9" s="1202"/>
      <c r="NTC9" s="1202"/>
      <c r="NTD9" s="1202"/>
      <c r="NTE9" s="1202"/>
      <c r="NTF9" s="1202"/>
      <c r="NTG9" s="1202"/>
      <c r="NTH9" s="1202"/>
      <c r="NTI9" s="1202"/>
      <c r="NTJ9" s="1202"/>
      <c r="NTK9" s="1202"/>
      <c r="NTL9" s="1202"/>
      <c r="NTM9" s="1202"/>
      <c r="NTN9" s="1202"/>
      <c r="NTO9" s="1202"/>
      <c r="NTP9" s="1202"/>
      <c r="NTQ9" s="1202"/>
      <c r="NTR9" s="1202"/>
      <c r="NTS9" s="1202"/>
      <c r="NTT9" s="1202"/>
      <c r="NTU9" s="1202"/>
      <c r="NTV9" s="1202"/>
      <c r="NTW9" s="1202"/>
      <c r="NTX9" s="1202"/>
      <c r="NTY9" s="1202"/>
      <c r="NTZ9" s="1202"/>
      <c r="NUA9" s="1202"/>
      <c r="NUB9" s="1202"/>
      <c r="NUC9" s="1202"/>
      <c r="NUD9" s="1202"/>
      <c r="NUE9" s="1202"/>
      <c r="NUF9" s="1202"/>
      <c r="NUG9" s="1202"/>
      <c r="NUH9" s="1202"/>
      <c r="NUI9" s="1202"/>
      <c r="NUJ9" s="1202"/>
      <c r="NUK9" s="1202"/>
      <c r="NUL9" s="1202"/>
      <c r="NUM9" s="1202"/>
      <c r="NUN9" s="1202"/>
      <c r="NUO9" s="1202"/>
      <c r="NUP9" s="1202"/>
      <c r="NUQ9" s="1202"/>
      <c r="NUR9" s="1202"/>
      <c r="NUS9" s="1202"/>
      <c r="NUT9" s="1202"/>
      <c r="NUU9" s="1202"/>
      <c r="NUV9" s="1202"/>
      <c r="NUW9" s="1202"/>
      <c r="NUX9" s="1202"/>
      <c r="NUY9" s="1202"/>
      <c r="NUZ9" s="1202"/>
      <c r="NVA9" s="1202"/>
      <c r="NVB9" s="1202"/>
      <c r="NVC9" s="1202"/>
      <c r="NVD9" s="1202"/>
      <c r="NVE9" s="1202"/>
      <c r="NVF9" s="1202"/>
      <c r="NVG9" s="1202"/>
      <c r="NVH9" s="1202"/>
      <c r="NVI9" s="1202"/>
      <c r="NVJ9" s="1202"/>
      <c r="NVK9" s="1202"/>
      <c r="NVL9" s="1202"/>
      <c r="NVM9" s="1202"/>
      <c r="NVN9" s="1202"/>
      <c r="NVO9" s="1202"/>
      <c r="NVP9" s="1202"/>
      <c r="NVQ9" s="1202"/>
      <c r="NVR9" s="1202"/>
      <c r="NVS9" s="1202"/>
      <c r="NVT9" s="1202"/>
      <c r="NVU9" s="1202"/>
      <c r="NVV9" s="1202"/>
      <c r="NVW9" s="1202"/>
      <c r="NVX9" s="1202"/>
      <c r="NVY9" s="1202"/>
      <c r="NVZ9" s="1202"/>
      <c r="NWA9" s="1202"/>
      <c r="NWB9" s="1202"/>
      <c r="NWC9" s="1202"/>
      <c r="NWD9" s="1202"/>
      <c r="NWE9" s="1202"/>
      <c r="NWF9" s="1202"/>
      <c r="NWG9" s="1202"/>
      <c r="NWH9" s="1202"/>
      <c r="NWI9" s="1202"/>
      <c r="NWJ9" s="1202"/>
      <c r="NWK9" s="1202"/>
      <c r="NWL9" s="1202"/>
      <c r="NWM9" s="1202"/>
      <c r="NWN9" s="1202"/>
      <c r="NWO9" s="1202"/>
      <c r="NWP9" s="1202"/>
      <c r="NWQ9" s="1202"/>
      <c r="NWR9" s="1202"/>
      <c r="NWS9" s="1202"/>
      <c r="NWT9" s="1202"/>
      <c r="NWU9" s="1202"/>
      <c r="NWV9" s="1202"/>
      <c r="NWW9" s="1202"/>
      <c r="NWX9" s="1202"/>
      <c r="NWY9" s="1202"/>
      <c r="NWZ9" s="1202"/>
      <c r="NXA9" s="1202"/>
      <c r="NXB9" s="1202"/>
      <c r="NXC9" s="1202"/>
      <c r="NXD9" s="1202"/>
      <c r="NXE9" s="1202"/>
      <c r="NXF9" s="1202"/>
      <c r="NXG9" s="1202"/>
      <c r="NXH9" s="1202"/>
      <c r="NXI9" s="1202"/>
      <c r="NXJ9" s="1202"/>
      <c r="NXK9" s="1202"/>
      <c r="NXL9" s="1202"/>
      <c r="NXM9" s="1202"/>
      <c r="NXN9" s="1202"/>
      <c r="NXO9" s="1202"/>
      <c r="NXP9" s="1202"/>
      <c r="NXQ9" s="1202"/>
      <c r="NXR9" s="1202"/>
      <c r="NXS9" s="1202"/>
      <c r="NXT9" s="1202"/>
      <c r="NXU9" s="1202"/>
      <c r="NXV9" s="1202"/>
      <c r="NXW9" s="1202"/>
      <c r="NXX9" s="1202"/>
      <c r="NXY9" s="1202"/>
      <c r="NXZ9" s="1202"/>
      <c r="NYA9" s="1202"/>
      <c r="NYB9" s="1202"/>
      <c r="NYC9" s="1202"/>
      <c r="NYD9" s="1202"/>
      <c r="NYE9" s="1202"/>
      <c r="NYF9" s="1202"/>
      <c r="NYG9" s="1202"/>
      <c r="NYH9" s="1202"/>
      <c r="NYI9" s="1202"/>
      <c r="NYJ9" s="1202"/>
      <c r="NYK9" s="1202"/>
      <c r="NYL9" s="1202"/>
      <c r="NYM9" s="1202"/>
      <c r="NYN9" s="1202"/>
      <c r="NYO9" s="1202"/>
      <c r="NYP9" s="1202"/>
      <c r="NYQ9" s="1202"/>
      <c r="NYR9" s="1202"/>
      <c r="NYS9" s="1202"/>
      <c r="NYT9" s="1202"/>
      <c r="NYU9" s="1202"/>
      <c r="NYV9" s="1202"/>
      <c r="NYW9" s="1202"/>
      <c r="NYX9" s="1202"/>
      <c r="NYY9" s="1202"/>
      <c r="NYZ9" s="1202"/>
      <c r="NZA9" s="1202"/>
      <c r="NZB9" s="1202"/>
      <c r="NZC9" s="1202"/>
      <c r="NZD9" s="1202"/>
      <c r="NZE9" s="1202"/>
      <c r="NZF9" s="1202"/>
      <c r="NZG9" s="1202"/>
      <c r="NZH9" s="1202"/>
      <c r="NZI9" s="1202"/>
      <c r="NZJ9" s="1202"/>
      <c r="NZK9" s="1202"/>
      <c r="NZL9" s="1202"/>
      <c r="NZM9" s="1202"/>
      <c r="NZN9" s="1202"/>
      <c r="NZO9" s="1202"/>
      <c r="NZP9" s="1202"/>
      <c r="NZQ9" s="1202"/>
      <c r="NZR9" s="1202"/>
      <c r="NZS9" s="1202"/>
      <c r="NZT9" s="1202"/>
      <c r="NZU9" s="1202"/>
      <c r="NZV9" s="1202"/>
      <c r="NZW9" s="1202"/>
      <c r="NZX9" s="1202"/>
      <c r="NZY9" s="1202"/>
      <c r="NZZ9" s="1202"/>
      <c r="OAA9" s="1202"/>
      <c r="OAB9" s="1202"/>
      <c r="OAC9" s="1202"/>
      <c r="OAD9" s="1202"/>
      <c r="OAE9" s="1202"/>
      <c r="OAF9" s="1202"/>
      <c r="OAG9" s="1202"/>
      <c r="OAH9" s="1202"/>
      <c r="OAI9" s="1202"/>
      <c r="OAJ9" s="1202"/>
      <c r="OAK9" s="1202"/>
      <c r="OAL9" s="1202"/>
      <c r="OAM9" s="1202"/>
      <c r="OAN9" s="1202"/>
      <c r="OAO9" s="1202"/>
      <c r="OAP9" s="1202"/>
      <c r="OAQ9" s="1202"/>
      <c r="OAR9" s="1202"/>
      <c r="OAS9" s="1202"/>
      <c r="OAT9" s="1202"/>
      <c r="OAU9" s="1202"/>
      <c r="OAV9" s="1202"/>
      <c r="OAW9" s="1202"/>
      <c r="OAX9" s="1202"/>
      <c r="OAY9" s="1202"/>
      <c r="OAZ9" s="1202"/>
      <c r="OBA9" s="1202"/>
      <c r="OBB9" s="1202"/>
      <c r="OBC9" s="1202"/>
      <c r="OBD9" s="1202"/>
      <c r="OBE9" s="1202"/>
      <c r="OBF9" s="1202"/>
      <c r="OBG9" s="1202"/>
      <c r="OBH9" s="1202"/>
      <c r="OBI9" s="1202"/>
      <c r="OBJ9" s="1202"/>
      <c r="OBK9" s="1202"/>
      <c r="OBL9" s="1202"/>
      <c r="OBM9" s="1202"/>
      <c r="OBN9" s="1202"/>
      <c r="OBO9" s="1202"/>
      <c r="OBP9" s="1202"/>
      <c r="OBQ9" s="1202"/>
      <c r="OBR9" s="1202"/>
      <c r="OBS9" s="1202"/>
      <c r="OBT9" s="1202"/>
      <c r="OBU9" s="1202"/>
      <c r="OBV9" s="1202"/>
      <c r="OBW9" s="1202"/>
      <c r="OBX9" s="1202"/>
      <c r="OBY9" s="1202"/>
      <c r="OBZ9" s="1202"/>
      <c r="OCA9" s="1202"/>
      <c r="OCB9" s="1202"/>
      <c r="OCC9" s="1202"/>
      <c r="OCD9" s="1202"/>
      <c r="OCE9" s="1202"/>
      <c r="OCF9" s="1202"/>
      <c r="OCG9" s="1202"/>
      <c r="OCH9" s="1202"/>
      <c r="OCI9" s="1202"/>
      <c r="OCJ9" s="1202"/>
      <c r="OCK9" s="1202"/>
      <c r="OCL9" s="1202"/>
      <c r="OCM9" s="1202"/>
      <c r="OCN9" s="1202"/>
      <c r="OCO9" s="1202"/>
      <c r="OCP9" s="1202"/>
      <c r="OCQ9" s="1202"/>
      <c r="OCR9" s="1202"/>
      <c r="OCS9" s="1202"/>
      <c r="OCT9" s="1202"/>
      <c r="OCU9" s="1202"/>
      <c r="OCV9" s="1202"/>
      <c r="OCW9" s="1202"/>
      <c r="OCX9" s="1202"/>
      <c r="OCY9" s="1202"/>
      <c r="OCZ9" s="1202"/>
      <c r="ODA9" s="1202"/>
      <c r="ODB9" s="1202"/>
      <c r="ODC9" s="1202"/>
      <c r="ODD9" s="1202"/>
      <c r="ODE9" s="1202"/>
      <c r="ODF9" s="1202"/>
      <c r="ODG9" s="1202"/>
      <c r="ODH9" s="1202"/>
      <c r="ODI9" s="1202"/>
      <c r="ODJ9" s="1202"/>
      <c r="ODK9" s="1202"/>
      <c r="ODL9" s="1202"/>
      <c r="ODM9" s="1202"/>
      <c r="ODN9" s="1202"/>
      <c r="ODO9" s="1202"/>
      <c r="ODP9" s="1202"/>
      <c r="ODQ9" s="1202"/>
      <c r="ODR9" s="1202"/>
      <c r="ODS9" s="1202"/>
      <c r="ODT9" s="1202"/>
      <c r="ODU9" s="1202"/>
      <c r="ODV9" s="1202"/>
      <c r="ODW9" s="1202"/>
      <c r="ODX9" s="1202"/>
      <c r="ODY9" s="1202"/>
      <c r="ODZ9" s="1202"/>
      <c r="OEA9" s="1202"/>
      <c r="OEB9" s="1202"/>
      <c r="OEC9" s="1202"/>
      <c r="OED9" s="1202"/>
      <c r="OEE9" s="1202"/>
      <c r="OEF9" s="1202"/>
      <c r="OEG9" s="1202"/>
      <c r="OEH9" s="1202"/>
      <c r="OEI9" s="1202"/>
      <c r="OEJ9" s="1202"/>
      <c r="OEK9" s="1202"/>
      <c r="OEL9" s="1202"/>
      <c r="OEM9" s="1202"/>
      <c r="OEN9" s="1202"/>
      <c r="OEO9" s="1202"/>
      <c r="OEP9" s="1202"/>
      <c r="OEQ9" s="1202"/>
      <c r="OER9" s="1202"/>
      <c r="OES9" s="1202"/>
      <c r="OET9" s="1202"/>
      <c r="OEU9" s="1202"/>
      <c r="OEV9" s="1202"/>
      <c r="OEW9" s="1202"/>
      <c r="OEX9" s="1202"/>
      <c r="OEY9" s="1202"/>
      <c r="OEZ9" s="1202"/>
      <c r="OFA9" s="1202"/>
      <c r="OFB9" s="1202"/>
      <c r="OFC9" s="1202"/>
      <c r="OFD9" s="1202"/>
      <c r="OFE9" s="1202"/>
      <c r="OFF9" s="1202"/>
      <c r="OFG9" s="1202"/>
      <c r="OFH9" s="1202"/>
      <c r="OFI9" s="1202"/>
      <c r="OFJ9" s="1202"/>
      <c r="OFK9" s="1202"/>
      <c r="OFL9" s="1202"/>
      <c r="OFM9" s="1202"/>
      <c r="OFN9" s="1202"/>
      <c r="OFO9" s="1202"/>
      <c r="OFP9" s="1202"/>
      <c r="OFQ9" s="1202"/>
      <c r="OFR9" s="1202"/>
      <c r="OFS9" s="1202"/>
      <c r="OFT9" s="1202"/>
      <c r="OFU9" s="1202"/>
      <c r="OFV9" s="1202"/>
      <c r="OFW9" s="1202"/>
      <c r="OFX9" s="1202"/>
      <c r="OFY9" s="1202"/>
      <c r="OFZ9" s="1202"/>
      <c r="OGA9" s="1202"/>
      <c r="OGB9" s="1202"/>
      <c r="OGC9" s="1202"/>
      <c r="OGD9" s="1202"/>
      <c r="OGE9" s="1202"/>
      <c r="OGF9" s="1202"/>
      <c r="OGG9" s="1202"/>
      <c r="OGH9" s="1202"/>
      <c r="OGI9" s="1202"/>
      <c r="OGJ9" s="1202"/>
      <c r="OGK9" s="1202"/>
      <c r="OGL9" s="1202"/>
      <c r="OGM9" s="1202"/>
      <c r="OGN9" s="1202"/>
      <c r="OGO9" s="1202"/>
      <c r="OGP9" s="1202"/>
      <c r="OGQ9" s="1202"/>
      <c r="OGR9" s="1202"/>
      <c r="OGS9" s="1202"/>
      <c r="OGT9" s="1202"/>
      <c r="OGU9" s="1202"/>
      <c r="OGV9" s="1202"/>
      <c r="OGW9" s="1202"/>
      <c r="OGX9" s="1202"/>
      <c r="OGY9" s="1202"/>
      <c r="OGZ9" s="1202"/>
      <c r="OHA9" s="1202"/>
      <c r="OHB9" s="1202"/>
      <c r="OHC9" s="1202"/>
      <c r="OHD9" s="1202"/>
      <c r="OHE9" s="1202"/>
      <c r="OHF9" s="1202"/>
      <c r="OHG9" s="1202"/>
      <c r="OHH9" s="1202"/>
      <c r="OHI9" s="1202"/>
      <c r="OHJ9" s="1202"/>
      <c r="OHK9" s="1202"/>
      <c r="OHL9" s="1202"/>
      <c r="OHM9" s="1202"/>
      <c r="OHN9" s="1202"/>
      <c r="OHO9" s="1202"/>
      <c r="OHP9" s="1202"/>
      <c r="OHQ9" s="1202"/>
      <c r="OHR9" s="1202"/>
      <c r="OHS9" s="1202"/>
      <c r="OHT9" s="1202"/>
      <c r="OHU9" s="1202"/>
      <c r="OHV9" s="1202"/>
      <c r="OHW9" s="1202"/>
      <c r="OHX9" s="1202"/>
      <c r="OHY9" s="1202"/>
      <c r="OHZ9" s="1202"/>
      <c r="OIA9" s="1202"/>
      <c r="OIB9" s="1202"/>
      <c r="OIC9" s="1202"/>
      <c r="OID9" s="1202"/>
      <c r="OIE9" s="1202"/>
      <c r="OIF9" s="1202"/>
      <c r="OIG9" s="1202"/>
      <c r="OIH9" s="1202"/>
      <c r="OII9" s="1202"/>
      <c r="OIJ9" s="1202"/>
      <c r="OIK9" s="1202"/>
      <c r="OIL9" s="1202"/>
      <c r="OIM9" s="1202"/>
      <c r="OIN9" s="1202"/>
      <c r="OIO9" s="1202"/>
      <c r="OIP9" s="1202"/>
      <c r="OIQ9" s="1202"/>
      <c r="OIR9" s="1202"/>
      <c r="OIS9" s="1202"/>
      <c r="OIT9" s="1202"/>
      <c r="OIU9" s="1202"/>
      <c r="OIV9" s="1202"/>
      <c r="OIW9" s="1202"/>
      <c r="OIX9" s="1202"/>
      <c r="OIY9" s="1202"/>
      <c r="OIZ9" s="1202"/>
      <c r="OJA9" s="1202"/>
      <c r="OJB9" s="1202"/>
      <c r="OJC9" s="1202"/>
      <c r="OJD9" s="1202"/>
      <c r="OJE9" s="1202"/>
      <c r="OJF9" s="1202"/>
      <c r="OJG9" s="1202"/>
      <c r="OJH9" s="1202"/>
      <c r="OJI9" s="1202"/>
      <c r="OJJ9" s="1202"/>
      <c r="OJK9" s="1202"/>
      <c r="OJL9" s="1202"/>
      <c r="OJM9" s="1202"/>
      <c r="OJN9" s="1202"/>
      <c r="OJO9" s="1202"/>
      <c r="OJP9" s="1202"/>
      <c r="OJQ9" s="1202"/>
      <c r="OJR9" s="1202"/>
      <c r="OJS9" s="1202"/>
      <c r="OJT9" s="1202"/>
      <c r="OJU9" s="1202"/>
      <c r="OJV9" s="1202"/>
      <c r="OJW9" s="1202"/>
      <c r="OJX9" s="1202"/>
      <c r="OJY9" s="1202"/>
      <c r="OJZ9" s="1202"/>
      <c r="OKA9" s="1202"/>
      <c r="OKB9" s="1202"/>
      <c r="OKC9" s="1202"/>
      <c r="OKD9" s="1202"/>
      <c r="OKE9" s="1202"/>
      <c r="OKF9" s="1202"/>
      <c r="OKG9" s="1202"/>
      <c r="OKH9" s="1202"/>
      <c r="OKI9" s="1202"/>
      <c r="OKJ9" s="1202"/>
      <c r="OKK9" s="1202"/>
      <c r="OKL9" s="1202"/>
      <c r="OKM9" s="1202"/>
      <c r="OKN9" s="1202"/>
      <c r="OKO9" s="1202"/>
      <c r="OKP9" s="1202"/>
      <c r="OKQ9" s="1202"/>
      <c r="OKR9" s="1202"/>
      <c r="OKS9" s="1202"/>
      <c r="OKT9" s="1202"/>
      <c r="OKU9" s="1202"/>
      <c r="OKV9" s="1202"/>
      <c r="OKW9" s="1202"/>
      <c r="OKX9" s="1202"/>
      <c r="OKY9" s="1202"/>
      <c r="OKZ9" s="1202"/>
      <c r="OLA9" s="1202"/>
      <c r="OLB9" s="1202"/>
      <c r="OLC9" s="1202"/>
      <c r="OLD9" s="1202"/>
      <c r="OLE9" s="1202"/>
      <c r="OLF9" s="1202"/>
      <c r="OLG9" s="1202"/>
      <c r="OLH9" s="1202"/>
      <c r="OLI9" s="1202"/>
      <c r="OLJ9" s="1202"/>
      <c r="OLK9" s="1202"/>
      <c r="OLL9" s="1202"/>
      <c r="OLM9" s="1202"/>
      <c r="OLN9" s="1202"/>
      <c r="OLO9" s="1202"/>
      <c r="OLP9" s="1202"/>
      <c r="OLQ9" s="1202"/>
      <c r="OLR9" s="1202"/>
      <c r="OLS9" s="1202"/>
      <c r="OLT9" s="1202"/>
      <c r="OLU9" s="1202"/>
      <c r="OLV9" s="1202"/>
      <c r="OLW9" s="1202"/>
      <c r="OLX9" s="1202"/>
      <c r="OLY9" s="1202"/>
      <c r="OLZ9" s="1202"/>
      <c r="OMA9" s="1202"/>
      <c r="OMB9" s="1202"/>
      <c r="OMC9" s="1202"/>
      <c r="OMD9" s="1202"/>
      <c r="OME9" s="1202"/>
      <c r="OMF9" s="1202"/>
      <c r="OMG9" s="1202"/>
      <c r="OMH9" s="1202"/>
      <c r="OMI9" s="1202"/>
      <c r="OMJ9" s="1202"/>
      <c r="OMK9" s="1202"/>
      <c r="OML9" s="1202"/>
      <c r="OMM9" s="1202"/>
      <c r="OMN9" s="1202"/>
      <c r="OMO9" s="1202"/>
      <c r="OMP9" s="1202"/>
      <c r="OMQ9" s="1202"/>
      <c r="OMR9" s="1202"/>
      <c r="OMS9" s="1202"/>
      <c r="OMT9" s="1202"/>
      <c r="OMU9" s="1202"/>
      <c r="OMV9" s="1202"/>
      <c r="OMW9" s="1202"/>
      <c r="OMX9" s="1202"/>
      <c r="OMY9" s="1202"/>
      <c r="OMZ9" s="1202"/>
      <c r="ONA9" s="1202"/>
      <c r="ONB9" s="1202"/>
      <c r="ONC9" s="1202"/>
      <c r="OND9" s="1202"/>
      <c r="ONE9" s="1202"/>
      <c r="ONF9" s="1202"/>
      <c r="ONG9" s="1202"/>
      <c r="ONH9" s="1202"/>
      <c r="ONI9" s="1202"/>
      <c r="ONJ9" s="1202"/>
      <c r="ONK9" s="1202"/>
      <c r="ONL9" s="1202"/>
      <c r="ONM9" s="1202"/>
      <c r="ONN9" s="1202"/>
      <c r="ONO9" s="1202"/>
      <c r="ONP9" s="1202"/>
      <c r="ONQ9" s="1202"/>
      <c r="ONR9" s="1202"/>
      <c r="ONS9" s="1202"/>
      <c r="ONT9" s="1202"/>
      <c r="ONU9" s="1202"/>
      <c r="ONV9" s="1202"/>
      <c r="ONW9" s="1202"/>
      <c r="ONX9" s="1202"/>
      <c r="ONY9" s="1202"/>
      <c r="ONZ9" s="1202"/>
      <c r="OOA9" s="1202"/>
      <c r="OOB9" s="1202"/>
      <c r="OOC9" s="1202"/>
      <c r="OOD9" s="1202"/>
      <c r="OOE9" s="1202"/>
      <c r="OOF9" s="1202"/>
      <c r="OOG9" s="1202"/>
      <c r="OOH9" s="1202"/>
      <c r="OOI9" s="1202"/>
      <c r="OOJ9" s="1202"/>
      <c r="OOK9" s="1202"/>
      <c r="OOL9" s="1202"/>
      <c r="OOM9" s="1202"/>
      <c r="OON9" s="1202"/>
      <c r="OOO9" s="1202"/>
      <c r="OOP9" s="1202"/>
      <c r="OOQ9" s="1202"/>
      <c r="OOR9" s="1202"/>
      <c r="OOS9" s="1202"/>
      <c r="OOT9" s="1202"/>
      <c r="OOU9" s="1202"/>
      <c r="OOV9" s="1202"/>
      <c r="OOW9" s="1202"/>
      <c r="OOX9" s="1202"/>
      <c r="OOY9" s="1202"/>
      <c r="OOZ9" s="1202"/>
      <c r="OPA9" s="1202"/>
      <c r="OPB9" s="1202"/>
      <c r="OPC9" s="1202"/>
      <c r="OPD9" s="1202"/>
      <c r="OPE9" s="1202"/>
      <c r="OPF9" s="1202"/>
      <c r="OPG9" s="1202"/>
      <c r="OPH9" s="1202"/>
      <c r="OPI9" s="1202"/>
      <c r="OPJ9" s="1202"/>
      <c r="OPK9" s="1202"/>
      <c r="OPL9" s="1202"/>
      <c r="OPM9" s="1202"/>
      <c r="OPN9" s="1202"/>
      <c r="OPO9" s="1202"/>
      <c r="OPP9" s="1202"/>
      <c r="OPQ9" s="1202"/>
      <c r="OPR9" s="1202"/>
      <c r="OPS9" s="1202"/>
      <c r="OPT9" s="1202"/>
      <c r="OPU9" s="1202"/>
      <c r="OPV9" s="1202"/>
      <c r="OPW9" s="1202"/>
      <c r="OPX9" s="1202"/>
      <c r="OPY9" s="1202"/>
      <c r="OPZ9" s="1202"/>
      <c r="OQA9" s="1202"/>
      <c r="OQB9" s="1202"/>
      <c r="OQC9" s="1202"/>
      <c r="OQD9" s="1202"/>
      <c r="OQE9" s="1202"/>
      <c r="OQF9" s="1202"/>
      <c r="OQG9" s="1202"/>
      <c r="OQH9" s="1202"/>
      <c r="OQI9" s="1202"/>
      <c r="OQJ9" s="1202"/>
      <c r="OQK9" s="1202"/>
      <c r="OQL9" s="1202"/>
      <c r="OQM9" s="1202"/>
      <c r="OQN9" s="1202"/>
      <c r="OQO9" s="1202"/>
      <c r="OQP9" s="1202"/>
      <c r="OQQ9" s="1202"/>
      <c r="OQR9" s="1202"/>
      <c r="OQS9" s="1202"/>
      <c r="OQT9" s="1202"/>
      <c r="OQU9" s="1202"/>
      <c r="OQV9" s="1202"/>
      <c r="OQW9" s="1202"/>
      <c r="OQX9" s="1202"/>
      <c r="OQY9" s="1202"/>
      <c r="OQZ9" s="1202"/>
      <c r="ORA9" s="1202"/>
      <c r="ORB9" s="1202"/>
      <c r="ORC9" s="1202"/>
      <c r="ORD9" s="1202"/>
      <c r="ORE9" s="1202"/>
      <c r="ORF9" s="1202"/>
      <c r="ORG9" s="1202"/>
      <c r="ORH9" s="1202"/>
      <c r="ORI9" s="1202"/>
      <c r="ORJ9" s="1202"/>
      <c r="ORK9" s="1202"/>
      <c r="ORL9" s="1202"/>
      <c r="ORM9" s="1202"/>
      <c r="ORN9" s="1202"/>
      <c r="ORO9" s="1202"/>
      <c r="ORP9" s="1202"/>
      <c r="ORQ9" s="1202"/>
      <c r="ORR9" s="1202"/>
      <c r="ORS9" s="1202"/>
      <c r="ORT9" s="1202"/>
      <c r="ORU9" s="1202"/>
      <c r="ORV9" s="1202"/>
      <c r="ORW9" s="1202"/>
      <c r="ORX9" s="1202"/>
      <c r="ORY9" s="1202"/>
      <c r="ORZ9" s="1202"/>
      <c r="OSA9" s="1202"/>
      <c r="OSB9" s="1202"/>
      <c r="OSC9" s="1202"/>
      <c r="OSD9" s="1202"/>
      <c r="OSE9" s="1202"/>
      <c r="OSF9" s="1202"/>
      <c r="OSG9" s="1202"/>
      <c r="OSH9" s="1202"/>
      <c r="OSI9" s="1202"/>
      <c r="OSJ9" s="1202"/>
      <c r="OSK9" s="1202"/>
      <c r="OSL9" s="1202"/>
      <c r="OSM9" s="1202"/>
      <c r="OSN9" s="1202"/>
      <c r="OSO9" s="1202"/>
      <c r="OSP9" s="1202"/>
      <c r="OSQ9" s="1202"/>
      <c r="OSR9" s="1202"/>
      <c r="OSS9" s="1202"/>
      <c r="OST9" s="1202"/>
      <c r="OSU9" s="1202"/>
      <c r="OSV9" s="1202"/>
      <c r="OSW9" s="1202"/>
      <c r="OSX9" s="1202"/>
      <c r="OSY9" s="1202"/>
      <c r="OSZ9" s="1202"/>
      <c r="OTA9" s="1202"/>
      <c r="OTB9" s="1202"/>
      <c r="OTC9" s="1202"/>
      <c r="OTD9" s="1202"/>
      <c r="OTE9" s="1202"/>
      <c r="OTF9" s="1202"/>
      <c r="OTG9" s="1202"/>
      <c r="OTH9" s="1202"/>
      <c r="OTI9" s="1202"/>
      <c r="OTJ9" s="1202"/>
      <c r="OTK9" s="1202"/>
      <c r="OTL9" s="1202"/>
      <c r="OTM9" s="1202"/>
      <c r="OTN9" s="1202"/>
      <c r="OTO9" s="1202"/>
      <c r="OTP9" s="1202"/>
      <c r="OTQ9" s="1202"/>
      <c r="OTR9" s="1202"/>
      <c r="OTS9" s="1202"/>
      <c r="OTT9" s="1202"/>
      <c r="OTU9" s="1202"/>
      <c r="OTV9" s="1202"/>
      <c r="OTW9" s="1202"/>
      <c r="OTX9" s="1202"/>
      <c r="OTY9" s="1202"/>
      <c r="OTZ9" s="1202"/>
      <c r="OUA9" s="1202"/>
      <c r="OUB9" s="1202"/>
      <c r="OUC9" s="1202"/>
      <c r="OUD9" s="1202"/>
      <c r="OUE9" s="1202"/>
      <c r="OUF9" s="1202"/>
      <c r="OUG9" s="1202"/>
      <c r="OUH9" s="1202"/>
      <c r="OUI9" s="1202"/>
      <c r="OUJ9" s="1202"/>
      <c r="OUK9" s="1202"/>
      <c r="OUL9" s="1202"/>
      <c r="OUM9" s="1202"/>
      <c r="OUN9" s="1202"/>
      <c r="OUO9" s="1202"/>
      <c r="OUP9" s="1202"/>
      <c r="OUQ9" s="1202"/>
      <c r="OUR9" s="1202"/>
      <c r="OUS9" s="1202"/>
      <c r="OUT9" s="1202"/>
      <c r="OUU9" s="1202"/>
      <c r="OUV9" s="1202"/>
      <c r="OUW9" s="1202"/>
      <c r="OUX9" s="1202"/>
      <c r="OUY9" s="1202"/>
      <c r="OUZ9" s="1202"/>
      <c r="OVA9" s="1202"/>
      <c r="OVB9" s="1202"/>
      <c r="OVC9" s="1202"/>
      <c r="OVD9" s="1202"/>
      <c r="OVE9" s="1202"/>
      <c r="OVF9" s="1202"/>
      <c r="OVG9" s="1202"/>
      <c r="OVH9" s="1202"/>
      <c r="OVI9" s="1202"/>
      <c r="OVJ9" s="1202"/>
      <c r="OVK9" s="1202"/>
      <c r="OVL9" s="1202"/>
      <c r="OVM9" s="1202"/>
      <c r="OVN9" s="1202"/>
      <c r="OVO9" s="1202"/>
      <c r="OVP9" s="1202"/>
      <c r="OVQ9" s="1202"/>
      <c r="OVR9" s="1202"/>
      <c r="OVS9" s="1202"/>
      <c r="OVT9" s="1202"/>
      <c r="OVU9" s="1202"/>
      <c r="OVV9" s="1202"/>
      <c r="OVW9" s="1202"/>
      <c r="OVX9" s="1202"/>
      <c r="OVY9" s="1202"/>
      <c r="OVZ9" s="1202"/>
      <c r="OWA9" s="1202"/>
      <c r="OWB9" s="1202"/>
      <c r="OWC9" s="1202"/>
      <c r="OWD9" s="1202"/>
      <c r="OWE9" s="1202"/>
      <c r="OWF9" s="1202"/>
      <c r="OWG9" s="1202"/>
      <c r="OWH9" s="1202"/>
      <c r="OWI9" s="1202"/>
      <c r="OWJ9" s="1202"/>
      <c r="OWK9" s="1202"/>
      <c r="OWL9" s="1202"/>
      <c r="OWM9" s="1202"/>
      <c r="OWN9" s="1202"/>
      <c r="OWO9" s="1202"/>
      <c r="OWP9" s="1202"/>
      <c r="OWQ9" s="1202"/>
      <c r="OWR9" s="1202"/>
      <c r="OWS9" s="1202"/>
      <c r="OWT9" s="1202"/>
      <c r="OWU9" s="1202"/>
      <c r="OWV9" s="1202"/>
      <c r="OWW9" s="1202"/>
      <c r="OWX9" s="1202"/>
      <c r="OWY9" s="1202"/>
      <c r="OWZ9" s="1202"/>
      <c r="OXA9" s="1202"/>
      <c r="OXB9" s="1202"/>
      <c r="OXC9" s="1202"/>
      <c r="OXD9" s="1202"/>
      <c r="OXE9" s="1202"/>
      <c r="OXF9" s="1202"/>
      <c r="OXG9" s="1202"/>
      <c r="OXH9" s="1202"/>
      <c r="OXI9" s="1202"/>
      <c r="OXJ9" s="1202"/>
      <c r="OXK9" s="1202"/>
      <c r="OXL9" s="1202"/>
      <c r="OXM9" s="1202"/>
      <c r="OXN9" s="1202"/>
      <c r="OXO9" s="1202"/>
      <c r="OXP9" s="1202"/>
      <c r="OXQ9" s="1202"/>
      <c r="OXR9" s="1202"/>
      <c r="OXS9" s="1202"/>
      <c r="OXT9" s="1202"/>
      <c r="OXU9" s="1202"/>
      <c r="OXV9" s="1202"/>
      <c r="OXW9" s="1202"/>
      <c r="OXX9" s="1202"/>
      <c r="OXY9" s="1202"/>
      <c r="OXZ9" s="1202"/>
      <c r="OYA9" s="1202"/>
      <c r="OYB9" s="1202"/>
      <c r="OYC9" s="1202"/>
      <c r="OYD9" s="1202"/>
      <c r="OYE9" s="1202"/>
      <c r="OYF9" s="1202"/>
      <c r="OYG9" s="1202"/>
      <c r="OYH9" s="1202"/>
      <c r="OYI9" s="1202"/>
      <c r="OYJ9" s="1202"/>
      <c r="OYK9" s="1202"/>
      <c r="OYL9" s="1202"/>
      <c r="OYM9" s="1202"/>
      <c r="OYN9" s="1202"/>
      <c r="OYO9" s="1202"/>
      <c r="OYP9" s="1202"/>
      <c r="OYQ9" s="1202"/>
      <c r="OYR9" s="1202"/>
      <c r="OYS9" s="1202"/>
      <c r="OYT9" s="1202"/>
      <c r="OYU9" s="1202"/>
      <c r="OYV9" s="1202"/>
      <c r="OYW9" s="1202"/>
      <c r="OYX9" s="1202"/>
      <c r="OYY9" s="1202"/>
      <c r="OYZ9" s="1202"/>
      <c r="OZA9" s="1202"/>
      <c r="OZB9" s="1202"/>
      <c r="OZC9" s="1202"/>
      <c r="OZD9" s="1202"/>
      <c r="OZE9" s="1202"/>
      <c r="OZF9" s="1202"/>
      <c r="OZG9" s="1202"/>
      <c r="OZH9" s="1202"/>
      <c r="OZI9" s="1202"/>
      <c r="OZJ9" s="1202"/>
      <c r="OZK9" s="1202"/>
      <c r="OZL9" s="1202"/>
      <c r="OZM9" s="1202"/>
      <c r="OZN9" s="1202"/>
      <c r="OZO9" s="1202"/>
      <c r="OZP9" s="1202"/>
      <c r="OZQ9" s="1202"/>
      <c r="OZR9" s="1202"/>
      <c r="OZS9" s="1202"/>
      <c r="OZT9" s="1202"/>
      <c r="OZU9" s="1202"/>
      <c r="OZV9" s="1202"/>
      <c r="OZW9" s="1202"/>
      <c r="OZX9" s="1202"/>
      <c r="OZY9" s="1202"/>
      <c r="OZZ9" s="1202"/>
      <c r="PAA9" s="1202"/>
      <c r="PAB9" s="1202"/>
      <c r="PAC9" s="1202"/>
      <c r="PAD9" s="1202"/>
      <c r="PAE9" s="1202"/>
      <c r="PAF9" s="1202"/>
      <c r="PAG9" s="1202"/>
      <c r="PAH9" s="1202"/>
      <c r="PAI9" s="1202"/>
      <c r="PAJ9" s="1202"/>
      <c r="PAK9" s="1202"/>
      <c r="PAL9" s="1202"/>
      <c r="PAM9" s="1202"/>
      <c r="PAN9" s="1202"/>
      <c r="PAO9" s="1202"/>
      <c r="PAP9" s="1202"/>
      <c r="PAQ9" s="1202"/>
      <c r="PAR9" s="1202"/>
      <c r="PAS9" s="1202"/>
      <c r="PAT9" s="1202"/>
      <c r="PAU9" s="1202"/>
      <c r="PAV9" s="1202"/>
      <c r="PAW9" s="1202"/>
      <c r="PAX9" s="1202"/>
      <c r="PAY9" s="1202"/>
      <c r="PAZ9" s="1202"/>
      <c r="PBA9" s="1202"/>
      <c r="PBB9" s="1202"/>
      <c r="PBC9" s="1202"/>
      <c r="PBD9" s="1202"/>
      <c r="PBE9" s="1202"/>
      <c r="PBF9" s="1202"/>
      <c r="PBG9" s="1202"/>
      <c r="PBH9" s="1202"/>
      <c r="PBI9" s="1202"/>
      <c r="PBJ9" s="1202"/>
      <c r="PBK9" s="1202"/>
      <c r="PBL9" s="1202"/>
      <c r="PBM9" s="1202"/>
      <c r="PBN9" s="1202"/>
      <c r="PBO9" s="1202"/>
      <c r="PBP9" s="1202"/>
      <c r="PBQ9" s="1202"/>
      <c r="PBR9" s="1202"/>
      <c r="PBS9" s="1202"/>
      <c r="PBT9" s="1202"/>
      <c r="PBU9" s="1202"/>
      <c r="PBV9" s="1202"/>
      <c r="PBW9" s="1202"/>
      <c r="PBX9" s="1202"/>
      <c r="PBY9" s="1202"/>
      <c r="PBZ9" s="1202"/>
      <c r="PCA9" s="1202"/>
      <c r="PCB9" s="1202"/>
      <c r="PCC9" s="1202"/>
      <c r="PCD9" s="1202"/>
      <c r="PCE9" s="1202"/>
      <c r="PCF9" s="1202"/>
      <c r="PCG9" s="1202"/>
      <c r="PCH9" s="1202"/>
      <c r="PCI9" s="1202"/>
      <c r="PCJ9" s="1202"/>
      <c r="PCK9" s="1202"/>
      <c r="PCL9" s="1202"/>
      <c r="PCM9" s="1202"/>
      <c r="PCN9" s="1202"/>
      <c r="PCO9" s="1202"/>
      <c r="PCP9" s="1202"/>
      <c r="PCQ9" s="1202"/>
      <c r="PCR9" s="1202"/>
      <c r="PCS9" s="1202"/>
      <c r="PCT9" s="1202"/>
      <c r="PCU9" s="1202"/>
      <c r="PCV9" s="1202"/>
      <c r="PCW9" s="1202"/>
      <c r="PCX9" s="1202"/>
      <c r="PCY9" s="1202"/>
      <c r="PCZ9" s="1202"/>
      <c r="PDA9" s="1202"/>
      <c r="PDB9" s="1202"/>
      <c r="PDC9" s="1202"/>
      <c r="PDD9" s="1202"/>
      <c r="PDE9" s="1202"/>
      <c r="PDF9" s="1202"/>
      <c r="PDG9" s="1202"/>
      <c r="PDH9" s="1202"/>
      <c r="PDI9" s="1202"/>
      <c r="PDJ9" s="1202"/>
      <c r="PDK9" s="1202"/>
      <c r="PDL9" s="1202"/>
      <c r="PDM9" s="1202"/>
      <c r="PDN9" s="1202"/>
      <c r="PDO9" s="1202"/>
      <c r="PDP9" s="1202"/>
      <c r="PDQ9" s="1202"/>
      <c r="PDR9" s="1202"/>
      <c r="PDS9" s="1202"/>
      <c r="PDT9" s="1202"/>
      <c r="PDU9" s="1202"/>
      <c r="PDV9" s="1202"/>
      <c r="PDW9" s="1202"/>
      <c r="PDX9" s="1202"/>
      <c r="PDY9" s="1202"/>
      <c r="PDZ9" s="1202"/>
      <c r="PEA9" s="1202"/>
      <c r="PEB9" s="1202"/>
      <c r="PEC9" s="1202"/>
      <c r="PED9" s="1202"/>
      <c r="PEE9" s="1202"/>
      <c r="PEF9" s="1202"/>
      <c r="PEG9" s="1202"/>
      <c r="PEH9" s="1202"/>
      <c r="PEI9" s="1202"/>
      <c r="PEJ9" s="1202"/>
      <c r="PEK9" s="1202"/>
      <c r="PEL9" s="1202"/>
      <c r="PEM9" s="1202"/>
      <c r="PEN9" s="1202"/>
      <c r="PEO9" s="1202"/>
      <c r="PEP9" s="1202"/>
      <c r="PEQ9" s="1202"/>
      <c r="PER9" s="1202"/>
      <c r="PES9" s="1202"/>
      <c r="PET9" s="1202"/>
      <c r="PEU9" s="1202"/>
      <c r="PEV9" s="1202"/>
      <c r="PEW9" s="1202"/>
      <c r="PEX9" s="1202"/>
      <c r="PEY9" s="1202"/>
      <c r="PEZ9" s="1202"/>
      <c r="PFA9" s="1202"/>
      <c r="PFB9" s="1202"/>
      <c r="PFC9" s="1202"/>
      <c r="PFD9" s="1202"/>
      <c r="PFE9" s="1202"/>
      <c r="PFF9" s="1202"/>
      <c r="PFG9" s="1202"/>
      <c r="PFH9" s="1202"/>
      <c r="PFI9" s="1202"/>
      <c r="PFJ9" s="1202"/>
      <c r="PFK9" s="1202"/>
      <c r="PFL9" s="1202"/>
      <c r="PFM9" s="1202"/>
      <c r="PFN9" s="1202"/>
      <c r="PFO9" s="1202"/>
      <c r="PFP9" s="1202"/>
      <c r="PFQ9" s="1202"/>
      <c r="PFR9" s="1202"/>
      <c r="PFS9" s="1202"/>
      <c r="PFT9" s="1202"/>
      <c r="PFU9" s="1202"/>
      <c r="PFV9" s="1202"/>
      <c r="PFW9" s="1202"/>
      <c r="PFX9" s="1202"/>
      <c r="PFY9" s="1202"/>
      <c r="PFZ9" s="1202"/>
      <c r="PGA9" s="1202"/>
      <c r="PGB9" s="1202"/>
      <c r="PGC9" s="1202"/>
      <c r="PGD9" s="1202"/>
      <c r="PGE9" s="1202"/>
      <c r="PGF9" s="1202"/>
      <c r="PGG9" s="1202"/>
      <c r="PGH9" s="1202"/>
      <c r="PGI9" s="1202"/>
      <c r="PGJ9" s="1202"/>
      <c r="PGK9" s="1202"/>
      <c r="PGL9" s="1202"/>
      <c r="PGM9" s="1202"/>
      <c r="PGN9" s="1202"/>
      <c r="PGO9" s="1202"/>
      <c r="PGP9" s="1202"/>
      <c r="PGQ9" s="1202"/>
      <c r="PGR9" s="1202"/>
      <c r="PGS9" s="1202"/>
      <c r="PGT9" s="1202"/>
      <c r="PGU9" s="1202"/>
      <c r="PGV9" s="1202"/>
      <c r="PGW9" s="1202"/>
      <c r="PGX9" s="1202"/>
      <c r="PGY9" s="1202"/>
      <c r="PGZ9" s="1202"/>
      <c r="PHA9" s="1202"/>
      <c r="PHB9" s="1202"/>
      <c r="PHC9" s="1202"/>
      <c r="PHD9" s="1202"/>
      <c r="PHE9" s="1202"/>
      <c r="PHF9" s="1202"/>
      <c r="PHG9" s="1202"/>
      <c r="PHH9" s="1202"/>
      <c r="PHI9" s="1202"/>
      <c r="PHJ9" s="1202"/>
      <c r="PHK9" s="1202"/>
      <c r="PHL9" s="1202"/>
      <c r="PHM9" s="1202"/>
      <c r="PHN9" s="1202"/>
      <c r="PHO9" s="1202"/>
      <c r="PHP9" s="1202"/>
      <c r="PHQ9" s="1202"/>
      <c r="PHR9" s="1202"/>
      <c r="PHS9" s="1202"/>
      <c r="PHT9" s="1202"/>
      <c r="PHU9" s="1202"/>
      <c r="PHV9" s="1202"/>
      <c r="PHW9" s="1202"/>
      <c r="PHX9" s="1202"/>
      <c r="PHY9" s="1202"/>
      <c r="PHZ9" s="1202"/>
      <c r="PIA9" s="1202"/>
      <c r="PIB9" s="1202"/>
      <c r="PIC9" s="1202"/>
      <c r="PID9" s="1202"/>
      <c r="PIE9" s="1202"/>
      <c r="PIF9" s="1202"/>
      <c r="PIG9" s="1202"/>
      <c r="PIH9" s="1202"/>
      <c r="PII9" s="1202"/>
      <c r="PIJ9" s="1202"/>
      <c r="PIK9" s="1202"/>
      <c r="PIL9" s="1202"/>
      <c r="PIM9" s="1202"/>
      <c r="PIN9" s="1202"/>
      <c r="PIO9" s="1202"/>
      <c r="PIP9" s="1202"/>
      <c r="PIQ9" s="1202"/>
      <c r="PIR9" s="1202"/>
      <c r="PIS9" s="1202"/>
      <c r="PIT9" s="1202"/>
      <c r="PIU9" s="1202"/>
      <c r="PIV9" s="1202"/>
      <c r="PIW9" s="1202"/>
      <c r="PIX9" s="1202"/>
      <c r="PIY9" s="1202"/>
      <c r="PIZ9" s="1202"/>
      <c r="PJA9" s="1202"/>
      <c r="PJB9" s="1202"/>
      <c r="PJC9" s="1202"/>
      <c r="PJD9" s="1202"/>
      <c r="PJE9" s="1202"/>
      <c r="PJF9" s="1202"/>
      <c r="PJG9" s="1202"/>
      <c r="PJH9" s="1202"/>
      <c r="PJI9" s="1202"/>
      <c r="PJJ9" s="1202"/>
      <c r="PJK9" s="1202"/>
      <c r="PJL9" s="1202"/>
      <c r="PJM9" s="1202"/>
      <c r="PJN9" s="1202"/>
      <c r="PJO9" s="1202"/>
      <c r="PJP9" s="1202"/>
      <c r="PJQ9" s="1202"/>
      <c r="PJR9" s="1202"/>
      <c r="PJS9" s="1202"/>
      <c r="PJT9" s="1202"/>
      <c r="PJU9" s="1202"/>
      <c r="PJV9" s="1202"/>
      <c r="PJW9" s="1202"/>
      <c r="PJX9" s="1202"/>
      <c r="PJY9" s="1202"/>
      <c r="PJZ9" s="1202"/>
      <c r="PKA9" s="1202"/>
      <c r="PKB9" s="1202"/>
      <c r="PKC9" s="1202"/>
      <c r="PKD9" s="1202"/>
      <c r="PKE9" s="1202"/>
      <c r="PKF9" s="1202"/>
      <c r="PKG9" s="1202"/>
      <c r="PKH9" s="1202"/>
      <c r="PKI9" s="1202"/>
      <c r="PKJ9" s="1202"/>
      <c r="PKK9" s="1202"/>
      <c r="PKL9" s="1202"/>
      <c r="PKM9" s="1202"/>
      <c r="PKN9" s="1202"/>
      <c r="PKO9" s="1202"/>
      <c r="PKP9" s="1202"/>
      <c r="PKQ9" s="1202"/>
      <c r="PKR9" s="1202"/>
      <c r="PKS9" s="1202"/>
      <c r="PKT9" s="1202"/>
      <c r="PKU9" s="1202"/>
      <c r="PKV9" s="1202"/>
      <c r="PKW9" s="1202"/>
      <c r="PKX9" s="1202"/>
      <c r="PKY9" s="1202"/>
      <c r="PKZ9" s="1202"/>
      <c r="PLA9" s="1202"/>
      <c r="PLB9" s="1202"/>
      <c r="PLC9" s="1202"/>
      <c r="PLD9" s="1202"/>
      <c r="PLE9" s="1202"/>
      <c r="PLF9" s="1202"/>
      <c r="PLG9" s="1202"/>
      <c r="PLH9" s="1202"/>
      <c r="PLI9" s="1202"/>
      <c r="PLJ9" s="1202"/>
      <c r="PLK9" s="1202"/>
      <c r="PLL9" s="1202"/>
      <c r="PLM9" s="1202"/>
      <c r="PLN9" s="1202"/>
      <c r="PLO9" s="1202"/>
      <c r="PLP9" s="1202"/>
      <c r="PLQ9" s="1202"/>
      <c r="PLR9" s="1202"/>
      <c r="PLS9" s="1202"/>
      <c r="PLT9" s="1202"/>
      <c r="PLU9" s="1202"/>
      <c r="PLV9" s="1202"/>
      <c r="PLW9" s="1202"/>
      <c r="PLX9" s="1202"/>
      <c r="PLY9" s="1202"/>
      <c r="PLZ9" s="1202"/>
      <c r="PMA9" s="1202"/>
      <c r="PMB9" s="1202"/>
      <c r="PMC9" s="1202"/>
      <c r="PMD9" s="1202"/>
      <c r="PME9" s="1202"/>
      <c r="PMF9" s="1202"/>
      <c r="PMG9" s="1202"/>
      <c r="PMH9" s="1202"/>
      <c r="PMI9" s="1202"/>
      <c r="PMJ9" s="1202"/>
      <c r="PMK9" s="1202"/>
      <c r="PML9" s="1202"/>
      <c r="PMM9" s="1202"/>
      <c r="PMN9" s="1202"/>
      <c r="PMO9" s="1202"/>
      <c r="PMP9" s="1202"/>
      <c r="PMQ9" s="1202"/>
      <c r="PMR9" s="1202"/>
      <c r="PMS9" s="1202"/>
      <c r="PMT9" s="1202"/>
      <c r="PMU9" s="1202"/>
      <c r="PMV9" s="1202"/>
      <c r="PMW9" s="1202"/>
      <c r="PMX9" s="1202"/>
      <c r="PMY9" s="1202"/>
      <c r="PMZ9" s="1202"/>
      <c r="PNA9" s="1202"/>
      <c r="PNB9" s="1202"/>
      <c r="PNC9" s="1202"/>
      <c r="PND9" s="1202"/>
      <c r="PNE9" s="1202"/>
      <c r="PNF9" s="1202"/>
      <c r="PNG9" s="1202"/>
      <c r="PNH9" s="1202"/>
      <c r="PNI9" s="1202"/>
      <c r="PNJ9" s="1202"/>
      <c r="PNK9" s="1202"/>
      <c r="PNL9" s="1202"/>
      <c r="PNM9" s="1202"/>
      <c r="PNN9" s="1202"/>
      <c r="PNO9" s="1202"/>
      <c r="PNP9" s="1202"/>
      <c r="PNQ9" s="1202"/>
      <c r="PNR9" s="1202"/>
      <c r="PNS9" s="1202"/>
      <c r="PNT9" s="1202"/>
      <c r="PNU9" s="1202"/>
      <c r="PNV9" s="1202"/>
      <c r="PNW9" s="1202"/>
      <c r="PNX9" s="1202"/>
      <c r="PNY9" s="1202"/>
      <c r="PNZ9" s="1202"/>
      <c r="POA9" s="1202"/>
      <c r="POB9" s="1202"/>
      <c r="POC9" s="1202"/>
      <c r="POD9" s="1202"/>
      <c r="POE9" s="1202"/>
      <c r="POF9" s="1202"/>
      <c r="POG9" s="1202"/>
      <c r="POH9" s="1202"/>
      <c r="POI9" s="1202"/>
      <c r="POJ9" s="1202"/>
      <c r="POK9" s="1202"/>
      <c r="POL9" s="1202"/>
      <c r="POM9" s="1202"/>
      <c r="PON9" s="1202"/>
      <c r="POO9" s="1202"/>
      <c r="POP9" s="1202"/>
      <c r="POQ9" s="1202"/>
      <c r="POR9" s="1202"/>
      <c r="POS9" s="1202"/>
      <c r="POT9" s="1202"/>
      <c r="POU9" s="1202"/>
      <c r="POV9" s="1202"/>
      <c r="POW9" s="1202"/>
      <c r="POX9" s="1202"/>
      <c r="POY9" s="1202"/>
      <c r="POZ9" s="1202"/>
      <c r="PPA9" s="1202"/>
      <c r="PPB9" s="1202"/>
      <c r="PPC9" s="1202"/>
      <c r="PPD9" s="1202"/>
      <c r="PPE9" s="1202"/>
      <c r="PPF9" s="1202"/>
      <c r="PPG9" s="1202"/>
      <c r="PPH9" s="1202"/>
      <c r="PPI9" s="1202"/>
      <c r="PPJ9" s="1202"/>
      <c r="PPK9" s="1202"/>
      <c r="PPL9" s="1202"/>
      <c r="PPM9" s="1202"/>
      <c r="PPN9" s="1202"/>
      <c r="PPO9" s="1202"/>
      <c r="PPP9" s="1202"/>
      <c r="PPQ9" s="1202"/>
      <c r="PPR9" s="1202"/>
      <c r="PPS9" s="1202"/>
      <c r="PPT9" s="1202"/>
      <c r="PPU9" s="1202"/>
      <c r="PPV9" s="1202"/>
      <c r="PPW9" s="1202"/>
      <c r="PPX9" s="1202"/>
      <c r="PPY9" s="1202"/>
      <c r="PPZ9" s="1202"/>
      <c r="PQA9" s="1202"/>
      <c r="PQB9" s="1202"/>
      <c r="PQC9" s="1202"/>
      <c r="PQD9" s="1202"/>
      <c r="PQE9" s="1202"/>
      <c r="PQF9" s="1202"/>
      <c r="PQG9" s="1202"/>
      <c r="PQH9" s="1202"/>
      <c r="PQI9" s="1202"/>
      <c r="PQJ9" s="1202"/>
      <c r="PQK9" s="1202"/>
      <c r="PQL9" s="1202"/>
      <c r="PQM9" s="1202"/>
      <c r="PQN9" s="1202"/>
      <c r="PQO9" s="1202"/>
      <c r="PQP9" s="1202"/>
      <c r="PQQ9" s="1202"/>
      <c r="PQR9" s="1202"/>
      <c r="PQS9" s="1202"/>
      <c r="PQT9" s="1202"/>
      <c r="PQU9" s="1202"/>
      <c r="PQV9" s="1202"/>
      <c r="PQW9" s="1202"/>
      <c r="PQX9" s="1202"/>
      <c r="PQY9" s="1202"/>
      <c r="PQZ9" s="1202"/>
      <c r="PRA9" s="1202"/>
      <c r="PRB9" s="1202"/>
      <c r="PRC9" s="1202"/>
      <c r="PRD9" s="1202"/>
      <c r="PRE9" s="1202"/>
      <c r="PRF9" s="1202"/>
      <c r="PRG9" s="1202"/>
      <c r="PRH9" s="1202"/>
      <c r="PRI9" s="1202"/>
      <c r="PRJ9" s="1202"/>
      <c r="PRK9" s="1202"/>
      <c r="PRL9" s="1202"/>
      <c r="PRM9" s="1202"/>
      <c r="PRN9" s="1202"/>
      <c r="PRO9" s="1202"/>
      <c r="PRP9" s="1202"/>
      <c r="PRQ9" s="1202"/>
      <c r="PRR9" s="1202"/>
      <c r="PRS9" s="1202"/>
      <c r="PRT9" s="1202"/>
      <c r="PRU9" s="1202"/>
      <c r="PRV9" s="1202"/>
      <c r="PRW9" s="1202"/>
      <c r="PRX9" s="1202"/>
      <c r="PRY9" s="1202"/>
      <c r="PRZ9" s="1202"/>
      <c r="PSA9" s="1202"/>
      <c r="PSB9" s="1202"/>
      <c r="PSC9" s="1202"/>
      <c r="PSD9" s="1202"/>
      <c r="PSE9" s="1202"/>
      <c r="PSF9" s="1202"/>
      <c r="PSG9" s="1202"/>
      <c r="PSH9" s="1202"/>
      <c r="PSI9" s="1202"/>
      <c r="PSJ9" s="1202"/>
      <c r="PSK9" s="1202"/>
      <c r="PSL9" s="1202"/>
      <c r="PSM9" s="1202"/>
      <c r="PSN9" s="1202"/>
      <c r="PSO9" s="1202"/>
      <c r="PSP9" s="1202"/>
      <c r="PSQ9" s="1202"/>
      <c r="PSR9" s="1202"/>
      <c r="PSS9" s="1202"/>
      <c r="PST9" s="1202"/>
      <c r="PSU9" s="1202"/>
      <c r="PSV9" s="1202"/>
      <c r="PSW9" s="1202"/>
      <c r="PSX9" s="1202"/>
      <c r="PSY9" s="1202"/>
      <c r="PSZ9" s="1202"/>
      <c r="PTA9" s="1202"/>
      <c r="PTB9" s="1202"/>
      <c r="PTC9" s="1202"/>
      <c r="PTD9" s="1202"/>
      <c r="PTE9" s="1202"/>
      <c r="PTF9" s="1202"/>
      <c r="PTG9" s="1202"/>
      <c r="PTH9" s="1202"/>
      <c r="PTI9" s="1202"/>
      <c r="PTJ9" s="1202"/>
      <c r="PTK9" s="1202"/>
      <c r="PTL9" s="1202"/>
      <c r="PTM9" s="1202"/>
      <c r="PTN9" s="1202"/>
      <c r="PTO9" s="1202"/>
      <c r="PTP9" s="1202"/>
      <c r="PTQ9" s="1202"/>
      <c r="PTR9" s="1202"/>
      <c r="PTS9" s="1202"/>
      <c r="PTT9" s="1202"/>
      <c r="PTU9" s="1202"/>
      <c r="PTV9" s="1202"/>
      <c r="PTW9" s="1202"/>
      <c r="PTX9" s="1202"/>
      <c r="PTY9" s="1202"/>
      <c r="PTZ9" s="1202"/>
      <c r="PUA9" s="1202"/>
      <c r="PUB9" s="1202"/>
      <c r="PUC9" s="1202"/>
      <c r="PUD9" s="1202"/>
      <c r="PUE9" s="1202"/>
      <c r="PUF9" s="1202"/>
      <c r="PUG9" s="1202"/>
      <c r="PUH9" s="1202"/>
      <c r="PUI9" s="1202"/>
      <c r="PUJ9" s="1202"/>
      <c r="PUK9" s="1202"/>
      <c r="PUL9" s="1202"/>
      <c r="PUM9" s="1202"/>
      <c r="PUN9" s="1202"/>
      <c r="PUO9" s="1202"/>
      <c r="PUP9" s="1202"/>
      <c r="PUQ9" s="1202"/>
      <c r="PUR9" s="1202"/>
      <c r="PUS9" s="1202"/>
      <c r="PUT9" s="1202"/>
      <c r="PUU9" s="1202"/>
      <c r="PUV9" s="1202"/>
      <c r="PUW9" s="1202"/>
      <c r="PUX9" s="1202"/>
      <c r="PUY9" s="1202"/>
      <c r="PUZ9" s="1202"/>
      <c r="PVA9" s="1202"/>
      <c r="PVB9" s="1202"/>
      <c r="PVC9" s="1202"/>
      <c r="PVD9" s="1202"/>
      <c r="PVE9" s="1202"/>
      <c r="PVF9" s="1202"/>
      <c r="PVG9" s="1202"/>
      <c r="PVH9" s="1202"/>
      <c r="PVI9" s="1202"/>
      <c r="PVJ9" s="1202"/>
      <c r="PVK9" s="1202"/>
      <c r="PVL9" s="1202"/>
      <c r="PVM9" s="1202"/>
      <c r="PVN9" s="1202"/>
      <c r="PVO9" s="1202"/>
      <c r="PVP9" s="1202"/>
      <c r="PVQ9" s="1202"/>
      <c r="PVR9" s="1202"/>
      <c r="PVS9" s="1202"/>
      <c r="PVT9" s="1202"/>
      <c r="PVU9" s="1202"/>
      <c r="PVV9" s="1202"/>
      <c r="PVW9" s="1202"/>
      <c r="PVX9" s="1202"/>
      <c r="PVY9" s="1202"/>
      <c r="PVZ9" s="1202"/>
      <c r="PWA9" s="1202"/>
      <c r="PWB9" s="1202"/>
      <c r="PWC9" s="1202"/>
      <c r="PWD9" s="1202"/>
      <c r="PWE9" s="1202"/>
      <c r="PWF9" s="1202"/>
      <c r="PWG9" s="1202"/>
      <c r="PWH9" s="1202"/>
      <c r="PWI9" s="1202"/>
      <c r="PWJ9" s="1202"/>
      <c r="PWK9" s="1202"/>
      <c r="PWL9" s="1202"/>
      <c r="PWM9" s="1202"/>
      <c r="PWN9" s="1202"/>
      <c r="PWO9" s="1202"/>
      <c r="PWP9" s="1202"/>
      <c r="PWQ9" s="1202"/>
      <c r="PWR9" s="1202"/>
      <c r="PWS9" s="1202"/>
      <c r="PWT9" s="1202"/>
      <c r="PWU9" s="1202"/>
      <c r="PWV9" s="1202"/>
      <c r="PWW9" s="1202"/>
      <c r="PWX9" s="1202"/>
      <c r="PWY9" s="1202"/>
      <c r="PWZ9" s="1202"/>
      <c r="PXA9" s="1202"/>
      <c r="PXB9" s="1202"/>
      <c r="PXC9" s="1202"/>
      <c r="PXD9" s="1202"/>
      <c r="PXE9" s="1202"/>
      <c r="PXF9" s="1202"/>
      <c r="PXG9" s="1202"/>
      <c r="PXH9" s="1202"/>
      <c r="PXI9" s="1202"/>
      <c r="PXJ9" s="1202"/>
      <c r="PXK9" s="1202"/>
      <c r="PXL9" s="1202"/>
      <c r="PXM9" s="1202"/>
      <c r="PXN9" s="1202"/>
      <c r="PXO9" s="1202"/>
      <c r="PXP9" s="1202"/>
      <c r="PXQ9" s="1202"/>
      <c r="PXR9" s="1202"/>
      <c r="PXS9" s="1202"/>
      <c r="PXT9" s="1202"/>
      <c r="PXU9" s="1202"/>
      <c r="PXV9" s="1202"/>
      <c r="PXW9" s="1202"/>
      <c r="PXX9" s="1202"/>
      <c r="PXY9" s="1202"/>
      <c r="PXZ9" s="1202"/>
      <c r="PYA9" s="1202"/>
      <c r="PYB9" s="1202"/>
      <c r="PYC9" s="1202"/>
      <c r="PYD9" s="1202"/>
      <c r="PYE9" s="1202"/>
      <c r="PYF9" s="1202"/>
      <c r="PYG9" s="1202"/>
      <c r="PYH9" s="1202"/>
      <c r="PYI9" s="1202"/>
      <c r="PYJ9" s="1202"/>
      <c r="PYK9" s="1202"/>
      <c r="PYL9" s="1202"/>
      <c r="PYM9" s="1202"/>
      <c r="PYN9" s="1202"/>
      <c r="PYO9" s="1202"/>
      <c r="PYP9" s="1202"/>
      <c r="PYQ9" s="1202"/>
      <c r="PYR9" s="1202"/>
      <c r="PYS9" s="1202"/>
      <c r="PYT9" s="1202"/>
      <c r="PYU9" s="1202"/>
      <c r="PYV9" s="1202"/>
      <c r="PYW9" s="1202"/>
      <c r="PYX9" s="1202"/>
      <c r="PYY9" s="1202"/>
      <c r="PYZ9" s="1202"/>
      <c r="PZA9" s="1202"/>
      <c r="PZB9" s="1202"/>
      <c r="PZC9" s="1202"/>
      <c r="PZD9" s="1202"/>
      <c r="PZE9" s="1202"/>
      <c r="PZF9" s="1202"/>
      <c r="PZG9" s="1202"/>
      <c r="PZH9" s="1202"/>
      <c r="PZI9" s="1202"/>
      <c r="PZJ9" s="1202"/>
      <c r="PZK9" s="1202"/>
      <c r="PZL9" s="1202"/>
      <c r="PZM9" s="1202"/>
      <c r="PZN9" s="1202"/>
      <c r="PZO9" s="1202"/>
      <c r="PZP9" s="1202"/>
      <c r="PZQ9" s="1202"/>
      <c r="PZR9" s="1202"/>
      <c r="PZS9" s="1202"/>
      <c r="PZT9" s="1202"/>
      <c r="PZU9" s="1202"/>
      <c r="PZV9" s="1202"/>
      <c r="PZW9" s="1202"/>
      <c r="PZX9" s="1202"/>
      <c r="PZY9" s="1202"/>
      <c r="PZZ9" s="1202"/>
      <c r="QAA9" s="1202"/>
      <c r="QAB9" s="1202"/>
      <c r="QAC9" s="1202"/>
      <c r="QAD9" s="1202"/>
      <c r="QAE9" s="1202"/>
      <c r="QAF9" s="1202"/>
      <c r="QAG9" s="1202"/>
      <c r="QAH9" s="1202"/>
      <c r="QAI9" s="1202"/>
      <c r="QAJ9" s="1202"/>
      <c r="QAK9" s="1202"/>
      <c r="QAL9" s="1202"/>
      <c r="QAM9" s="1202"/>
      <c r="QAN9" s="1202"/>
      <c r="QAO9" s="1202"/>
      <c r="QAP9" s="1202"/>
      <c r="QAQ9" s="1202"/>
      <c r="QAR9" s="1202"/>
      <c r="QAS9" s="1202"/>
      <c r="QAT9" s="1202"/>
      <c r="QAU9" s="1202"/>
      <c r="QAV9" s="1202"/>
      <c r="QAW9" s="1202"/>
      <c r="QAX9" s="1202"/>
      <c r="QAY9" s="1202"/>
      <c r="QAZ9" s="1202"/>
      <c r="QBA9" s="1202"/>
      <c r="QBB9" s="1202"/>
      <c r="QBC9" s="1202"/>
      <c r="QBD9" s="1202"/>
      <c r="QBE9" s="1202"/>
      <c r="QBF9" s="1202"/>
      <c r="QBG9" s="1202"/>
      <c r="QBH9" s="1202"/>
      <c r="QBI9" s="1202"/>
      <c r="QBJ9" s="1202"/>
      <c r="QBK9" s="1202"/>
      <c r="QBL9" s="1202"/>
      <c r="QBM9" s="1202"/>
      <c r="QBN9" s="1202"/>
      <c r="QBO9" s="1202"/>
      <c r="QBP9" s="1202"/>
      <c r="QBQ9" s="1202"/>
      <c r="QBR9" s="1202"/>
      <c r="QBS9" s="1202"/>
      <c r="QBT9" s="1202"/>
      <c r="QBU9" s="1202"/>
      <c r="QBV9" s="1202"/>
      <c r="QBW9" s="1202"/>
      <c r="QBX9" s="1202"/>
      <c r="QBY9" s="1202"/>
      <c r="QBZ9" s="1202"/>
      <c r="QCA9" s="1202"/>
      <c r="QCB9" s="1202"/>
      <c r="QCC9" s="1202"/>
      <c r="QCD9" s="1202"/>
      <c r="QCE9" s="1202"/>
      <c r="QCF9" s="1202"/>
      <c r="QCG9" s="1202"/>
      <c r="QCH9" s="1202"/>
      <c r="QCI9" s="1202"/>
      <c r="QCJ9" s="1202"/>
      <c r="QCK9" s="1202"/>
      <c r="QCL9" s="1202"/>
      <c r="QCM9" s="1202"/>
      <c r="QCN9" s="1202"/>
      <c r="QCO9" s="1202"/>
      <c r="QCP9" s="1202"/>
      <c r="QCQ9" s="1202"/>
      <c r="QCR9" s="1202"/>
      <c r="QCS9" s="1202"/>
      <c r="QCT9" s="1202"/>
      <c r="QCU9" s="1202"/>
      <c r="QCV9" s="1202"/>
      <c r="QCW9" s="1202"/>
      <c r="QCX9" s="1202"/>
      <c r="QCY9" s="1202"/>
      <c r="QCZ9" s="1202"/>
      <c r="QDA9" s="1202"/>
      <c r="QDB9" s="1202"/>
      <c r="QDC9" s="1202"/>
      <c r="QDD9" s="1202"/>
      <c r="QDE9" s="1202"/>
      <c r="QDF9" s="1202"/>
      <c r="QDG9" s="1202"/>
      <c r="QDH9" s="1202"/>
      <c r="QDI9" s="1202"/>
      <c r="QDJ9" s="1202"/>
      <c r="QDK9" s="1202"/>
      <c r="QDL9" s="1202"/>
      <c r="QDM9" s="1202"/>
      <c r="QDN9" s="1202"/>
      <c r="QDO9" s="1202"/>
      <c r="QDP9" s="1202"/>
      <c r="QDQ9" s="1202"/>
      <c r="QDR9" s="1202"/>
      <c r="QDS9" s="1202"/>
      <c r="QDT9" s="1202"/>
      <c r="QDU9" s="1202"/>
      <c r="QDV9" s="1202"/>
      <c r="QDW9" s="1202"/>
      <c r="QDX9" s="1202"/>
      <c r="QDY9" s="1202"/>
      <c r="QDZ9" s="1202"/>
      <c r="QEA9" s="1202"/>
      <c r="QEB9" s="1202"/>
      <c r="QEC9" s="1202"/>
      <c r="QED9" s="1202"/>
      <c r="QEE9" s="1202"/>
      <c r="QEF9" s="1202"/>
      <c r="QEG9" s="1202"/>
      <c r="QEH9" s="1202"/>
      <c r="QEI9" s="1202"/>
      <c r="QEJ9" s="1202"/>
      <c r="QEK9" s="1202"/>
      <c r="QEL9" s="1202"/>
      <c r="QEM9" s="1202"/>
      <c r="QEN9" s="1202"/>
      <c r="QEO9" s="1202"/>
      <c r="QEP9" s="1202"/>
      <c r="QEQ9" s="1202"/>
      <c r="QER9" s="1202"/>
      <c r="QES9" s="1202"/>
      <c r="QET9" s="1202"/>
      <c r="QEU9" s="1202"/>
      <c r="QEV9" s="1202"/>
      <c r="QEW9" s="1202"/>
      <c r="QEX9" s="1202"/>
      <c r="QEY9" s="1202"/>
      <c r="QEZ9" s="1202"/>
      <c r="QFA9" s="1202"/>
      <c r="QFB9" s="1202"/>
      <c r="QFC9" s="1202"/>
      <c r="QFD9" s="1202"/>
      <c r="QFE9" s="1202"/>
      <c r="QFF9" s="1202"/>
      <c r="QFG9" s="1202"/>
      <c r="QFH9" s="1202"/>
      <c r="QFI9" s="1202"/>
      <c r="QFJ9" s="1202"/>
      <c r="QFK9" s="1202"/>
      <c r="QFL9" s="1202"/>
      <c r="QFM9" s="1202"/>
      <c r="QFN9" s="1202"/>
      <c r="QFO9" s="1202"/>
      <c r="QFP9" s="1202"/>
      <c r="QFQ9" s="1202"/>
      <c r="QFR9" s="1202"/>
      <c r="QFS9" s="1202"/>
      <c r="QFT9" s="1202"/>
      <c r="QFU9" s="1202"/>
      <c r="QFV9" s="1202"/>
      <c r="QFW9" s="1202"/>
      <c r="QFX9" s="1202"/>
      <c r="QFY9" s="1202"/>
      <c r="QFZ9" s="1202"/>
      <c r="QGA9" s="1202"/>
      <c r="QGB9" s="1202"/>
      <c r="QGC9" s="1202"/>
      <c r="QGD9" s="1202"/>
      <c r="QGE9" s="1202"/>
      <c r="QGF9" s="1202"/>
      <c r="QGG9" s="1202"/>
      <c r="QGH9" s="1202"/>
      <c r="QGI9" s="1202"/>
      <c r="QGJ9" s="1202"/>
      <c r="QGK9" s="1202"/>
      <c r="QGL9" s="1202"/>
      <c r="QGM9" s="1202"/>
      <c r="QGN9" s="1202"/>
      <c r="QGO9" s="1202"/>
      <c r="QGP9" s="1202"/>
      <c r="QGQ9" s="1202"/>
      <c r="QGR9" s="1202"/>
      <c r="QGS9" s="1202"/>
      <c r="QGT9" s="1202"/>
      <c r="QGU9" s="1202"/>
      <c r="QGV9" s="1202"/>
      <c r="QGW9" s="1202"/>
      <c r="QGX9" s="1202"/>
      <c r="QGY9" s="1202"/>
      <c r="QGZ9" s="1202"/>
      <c r="QHA9" s="1202"/>
      <c r="QHB9" s="1202"/>
      <c r="QHC9" s="1202"/>
      <c r="QHD9" s="1202"/>
      <c r="QHE9" s="1202"/>
      <c r="QHF9" s="1202"/>
      <c r="QHG9" s="1202"/>
      <c r="QHH9" s="1202"/>
      <c r="QHI9" s="1202"/>
      <c r="QHJ9" s="1202"/>
      <c r="QHK9" s="1202"/>
      <c r="QHL9" s="1202"/>
      <c r="QHM9" s="1202"/>
      <c r="QHN9" s="1202"/>
      <c r="QHO9" s="1202"/>
      <c r="QHP9" s="1202"/>
      <c r="QHQ9" s="1202"/>
      <c r="QHR9" s="1202"/>
      <c r="QHS9" s="1202"/>
      <c r="QHT9" s="1202"/>
      <c r="QHU9" s="1202"/>
      <c r="QHV9" s="1202"/>
      <c r="QHW9" s="1202"/>
      <c r="QHX9" s="1202"/>
      <c r="QHY9" s="1202"/>
      <c r="QHZ9" s="1202"/>
      <c r="QIA9" s="1202"/>
      <c r="QIB9" s="1202"/>
      <c r="QIC9" s="1202"/>
      <c r="QID9" s="1202"/>
      <c r="QIE9" s="1202"/>
      <c r="QIF9" s="1202"/>
      <c r="QIG9" s="1202"/>
      <c r="QIH9" s="1202"/>
      <c r="QII9" s="1202"/>
      <c r="QIJ9" s="1202"/>
      <c r="QIK9" s="1202"/>
      <c r="QIL9" s="1202"/>
      <c r="QIM9" s="1202"/>
      <c r="QIN9" s="1202"/>
      <c r="QIO9" s="1202"/>
      <c r="QIP9" s="1202"/>
      <c r="QIQ9" s="1202"/>
      <c r="QIR9" s="1202"/>
      <c r="QIS9" s="1202"/>
      <c r="QIT9" s="1202"/>
      <c r="QIU9" s="1202"/>
      <c r="QIV9" s="1202"/>
      <c r="QIW9" s="1202"/>
      <c r="QIX9" s="1202"/>
      <c r="QIY9" s="1202"/>
      <c r="QIZ9" s="1202"/>
      <c r="QJA9" s="1202"/>
      <c r="QJB9" s="1202"/>
      <c r="QJC9" s="1202"/>
      <c r="QJD9" s="1202"/>
      <c r="QJE9" s="1202"/>
      <c r="QJF9" s="1202"/>
      <c r="QJG9" s="1202"/>
      <c r="QJH9" s="1202"/>
      <c r="QJI9" s="1202"/>
      <c r="QJJ9" s="1202"/>
      <c r="QJK9" s="1202"/>
      <c r="QJL9" s="1202"/>
      <c r="QJM9" s="1202"/>
      <c r="QJN9" s="1202"/>
      <c r="QJO9" s="1202"/>
      <c r="QJP9" s="1202"/>
      <c r="QJQ9" s="1202"/>
      <c r="QJR9" s="1202"/>
      <c r="QJS9" s="1202"/>
      <c r="QJT9" s="1202"/>
      <c r="QJU9" s="1202"/>
      <c r="QJV9" s="1202"/>
      <c r="QJW9" s="1202"/>
      <c r="QJX9" s="1202"/>
      <c r="QJY9" s="1202"/>
      <c r="QJZ9" s="1202"/>
      <c r="QKA9" s="1202"/>
      <c r="QKB9" s="1202"/>
      <c r="QKC9" s="1202"/>
      <c r="QKD9" s="1202"/>
      <c r="QKE9" s="1202"/>
      <c r="QKF9" s="1202"/>
      <c r="QKG9" s="1202"/>
      <c r="QKH9" s="1202"/>
      <c r="QKI9" s="1202"/>
      <c r="QKJ9" s="1202"/>
      <c r="QKK9" s="1202"/>
      <c r="QKL9" s="1202"/>
      <c r="QKM9" s="1202"/>
      <c r="QKN9" s="1202"/>
      <c r="QKO9" s="1202"/>
      <c r="QKP9" s="1202"/>
      <c r="QKQ9" s="1202"/>
      <c r="QKR9" s="1202"/>
      <c r="QKS9" s="1202"/>
      <c r="QKT9" s="1202"/>
      <c r="QKU9" s="1202"/>
      <c r="QKV9" s="1202"/>
      <c r="QKW9" s="1202"/>
      <c r="QKX9" s="1202"/>
      <c r="QKY9" s="1202"/>
      <c r="QKZ9" s="1202"/>
      <c r="QLA9" s="1202"/>
      <c r="QLB9" s="1202"/>
      <c r="QLC9" s="1202"/>
      <c r="QLD9" s="1202"/>
      <c r="QLE9" s="1202"/>
      <c r="QLF9" s="1202"/>
      <c r="QLG9" s="1202"/>
      <c r="QLH9" s="1202"/>
      <c r="QLI9" s="1202"/>
      <c r="QLJ9" s="1202"/>
      <c r="QLK9" s="1202"/>
      <c r="QLL9" s="1202"/>
      <c r="QLM9" s="1202"/>
      <c r="QLN9" s="1202"/>
      <c r="QLO9" s="1202"/>
      <c r="QLP9" s="1202"/>
      <c r="QLQ9" s="1202"/>
      <c r="QLR9" s="1202"/>
      <c r="QLS9" s="1202"/>
      <c r="QLT9" s="1202"/>
      <c r="QLU9" s="1202"/>
      <c r="QLV9" s="1202"/>
      <c r="QLW9" s="1202"/>
      <c r="QLX9" s="1202"/>
      <c r="QLY9" s="1202"/>
      <c r="QLZ9" s="1202"/>
      <c r="QMA9" s="1202"/>
      <c r="QMB9" s="1202"/>
      <c r="QMC9" s="1202"/>
      <c r="QMD9" s="1202"/>
      <c r="QME9" s="1202"/>
      <c r="QMF9" s="1202"/>
      <c r="QMG9" s="1202"/>
      <c r="QMH9" s="1202"/>
      <c r="QMI9" s="1202"/>
      <c r="QMJ9" s="1202"/>
      <c r="QMK9" s="1202"/>
      <c r="QML9" s="1202"/>
      <c r="QMM9" s="1202"/>
      <c r="QMN9" s="1202"/>
      <c r="QMO9" s="1202"/>
      <c r="QMP9" s="1202"/>
      <c r="QMQ9" s="1202"/>
      <c r="QMR9" s="1202"/>
      <c r="QMS9" s="1202"/>
      <c r="QMT9" s="1202"/>
      <c r="QMU9" s="1202"/>
      <c r="QMV9" s="1202"/>
      <c r="QMW9" s="1202"/>
      <c r="QMX9" s="1202"/>
      <c r="QMY9" s="1202"/>
      <c r="QMZ9" s="1202"/>
      <c r="QNA9" s="1202"/>
      <c r="QNB9" s="1202"/>
      <c r="QNC9" s="1202"/>
      <c r="QND9" s="1202"/>
      <c r="QNE9" s="1202"/>
      <c r="QNF9" s="1202"/>
      <c r="QNG9" s="1202"/>
      <c r="QNH9" s="1202"/>
      <c r="QNI9" s="1202"/>
      <c r="QNJ9" s="1202"/>
      <c r="QNK9" s="1202"/>
      <c r="QNL9" s="1202"/>
      <c r="QNM9" s="1202"/>
      <c r="QNN9" s="1202"/>
      <c r="QNO9" s="1202"/>
      <c r="QNP9" s="1202"/>
      <c r="QNQ9" s="1202"/>
      <c r="QNR9" s="1202"/>
      <c r="QNS9" s="1202"/>
      <c r="QNT9" s="1202"/>
      <c r="QNU9" s="1202"/>
      <c r="QNV9" s="1202"/>
      <c r="QNW9" s="1202"/>
      <c r="QNX9" s="1202"/>
      <c r="QNY9" s="1202"/>
      <c r="QNZ9" s="1202"/>
      <c r="QOA9" s="1202"/>
      <c r="QOB9" s="1202"/>
      <c r="QOC9" s="1202"/>
      <c r="QOD9" s="1202"/>
      <c r="QOE9" s="1202"/>
      <c r="QOF9" s="1202"/>
      <c r="QOG9" s="1202"/>
      <c r="QOH9" s="1202"/>
      <c r="QOI9" s="1202"/>
      <c r="QOJ9" s="1202"/>
      <c r="QOK9" s="1202"/>
      <c r="QOL9" s="1202"/>
      <c r="QOM9" s="1202"/>
      <c r="QON9" s="1202"/>
      <c r="QOO9" s="1202"/>
      <c r="QOP9" s="1202"/>
      <c r="QOQ9" s="1202"/>
      <c r="QOR9" s="1202"/>
      <c r="QOS9" s="1202"/>
      <c r="QOT9" s="1202"/>
      <c r="QOU9" s="1202"/>
      <c r="QOV9" s="1202"/>
      <c r="QOW9" s="1202"/>
      <c r="QOX9" s="1202"/>
      <c r="QOY9" s="1202"/>
      <c r="QOZ9" s="1202"/>
      <c r="QPA9" s="1202"/>
      <c r="QPB9" s="1202"/>
      <c r="QPC9" s="1202"/>
      <c r="QPD9" s="1202"/>
      <c r="QPE9" s="1202"/>
      <c r="QPF9" s="1202"/>
      <c r="QPG9" s="1202"/>
      <c r="QPH9" s="1202"/>
      <c r="QPI9" s="1202"/>
      <c r="QPJ9" s="1202"/>
      <c r="QPK9" s="1202"/>
      <c r="QPL9" s="1202"/>
      <c r="QPM9" s="1202"/>
      <c r="QPN9" s="1202"/>
      <c r="QPO9" s="1202"/>
      <c r="QPP9" s="1202"/>
      <c r="QPQ9" s="1202"/>
      <c r="QPR9" s="1202"/>
      <c r="QPS9" s="1202"/>
      <c r="QPT9" s="1202"/>
      <c r="QPU9" s="1202"/>
      <c r="QPV9" s="1202"/>
      <c r="QPW9" s="1202"/>
      <c r="QPX9" s="1202"/>
      <c r="QPY9" s="1202"/>
      <c r="QPZ9" s="1202"/>
      <c r="QQA9" s="1202"/>
      <c r="QQB9" s="1202"/>
      <c r="QQC9" s="1202"/>
      <c r="QQD9" s="1202"/>
      <c r="QQE9" s="1202"/>
      <c r="QQF9" s="1202"/>
      <c r="QQG9" s="1202"/>
      <c r="QQH9" s="1202"/>
      <c r="QQI9" s="1202"/>
      <c r="QQJ9" s="1202"/>
      <c r="QQK9" s="1202"/>
      <c r="QQL9" s="1202"/>
      <c r="QQM9" s="1202"/>
      <c r="QQN9" s="1202"/>
      <c r="QQO9" s="1202"/>
      <c r="QQP9" s="1202"/>
      <c r="QQQ9" s="1202"/>
      <c r="QQR9" s="1202"/>
      <c r="QQS9" s="1202"/>
      <c r="QQT9" s="1202"/>
      <c r="QQU9" s="1202"/>
      <c r="QQV9" s="1202"/>
      <c r="QQW9" s="1202"/>
      <c r="QQX9" s="1202"/>
      <c r="QQY9" s="1202"/>
      <c r="QQZ9" s="1202"/>
      <c r="QRA9" s="1202"/>
      <c r="QRB9" s="1202"/>
      <c r="QRC9" s="1202"/>
      <c r="QRD9" s="1202"/>
      <c r="QRE9" s="1202"/>
      <c r="QRF9" s="1202"/>
      <c r="QRG9" s="1202"/>
      <c r="QRH9" s="1202"/>
      <c r="QRI9" s="1202"/>
      <c r="QRJ9" s="1202"/>
      <c r="QRK9" s="1202"/>
      <c r="QRL9" s="1202"/>
      <c r="QRM9" s="1202"/>
      <c r="QRN9" s="1202"/>
      <c r="QRO9" s="1202"/>
      <c r="QRP9" s="1202"/>
      <c r="QRQ9" s="1202"/>
      <c r="QRR9" s="1202"/>
      <c r="QRS9" s="1202"/>
      <c r="QRT9" s="1202"/>
      <c r="QRU9" s="1202"/>
      <c r="QRV9" s="1202"/>
      <c r="QRW9" s="1202"/>
      <c r="QRX9" s="1202"/>
      <c r="QRY9" s="1202"/>
      <c r="QRZ9" s="1202"/>
      <c r="QSA9" s="1202"/>
      <c r="QSB9" s="1202"/>
      <c r="QSC9" s="1202"/>
      <c r="QSD9" s="1202"/>
      <c r="QSE9" s="1202"/>
      <c r="QSF9" s="1202"/>
      <c r="QSG9" s="1202"/>
      <c r="QSH9" s="1202"/>
      <c r="QSI9" s="1202"/>
      <c r="QSJ9" s="1202"/>
      <c r="QSK9" s="1202"/>
      <c r="QSL9" s="1202"/>
      <c r="QSM9" s="1202"/>
      <c r="QSN9" s="1202"/>
      <c r="QSO9" s="1202"/>
      <c r="QSP9" s="1202"/>
      <c r="QSQ9" s="1202"/>
      <c r="QSR9" s="1202"/>
      <c r="QSS9" s="1202"/>
      <c r="QST9" s="1202"/>
      <c r="QSU9" s="1202"/>
      <c r="QSV9" s="1202"/>
      <c r="QSW9" s="1202"/>
      <c r="QSX9" s="1202"/>
      <c r="QSY9" s="1202"/>
      <c r="QSZ9" s="1202"/>
      <c r="QTA9" s="1202"/>
      <c r="QTB9" s="1202"/>
      <c r="QTC9" s="1202"/>
      <c r="QTD9" s="1202"/>
      <c r="QTE9" s="1202"/>
      <c r="QTF9" s="1202"/>
      <c r="QTG9" s="1202"/>
      <c r="QTH9" s="1202"/>
      <c r="QTI9" s="1202"/>
      <c r="QTJ9" s="1202"/>
      <c r="QTK9" s="1202"/>
      <c r="QTL9" s="1202"/>
      <c r="QTM9" s="1202"/>
      <c r="QTN9" s="1202"/>
      <c r="QTO9" s="1202"/>
      <c r="QTP9" s="1202"/>
      <c r="QTQ9" s="1202"/>
      <c r="QTR9" s="1202"/>
      <c r="QTS9" s="1202"/>
      <c r="QTT9" s="1202"/>
      <c r="QTU9" s="1202"/>
      <c r="QTV9" s="1202"/>
      <c r="QTW9" s="1202"/>
      <c r="QTX9" s="1202"/>
      <c r="QTY9" s="1202"/>
      <c r="QTZ9" s="1202"/>
      <c r="QUA9" s="1202"/>
      <c r="QUB9" s="1202"/>
      <c r="QUC9" s="1202"/>
      <c r="QUD9" s="1202"/>
      <c r="QUE9" s="1202"/>
      <c r="QUF9" s="1202"/>
      <c r="QUG9" s="1202"/>
      <c r="QUH9" s="1202"/>
      <c r="QUI9" s="1202"/>
      <c r="QUJ9" s="1202"/>
      <c r="QUK9" s="1202"/>
      <c r="QUL9" s="1202"/>
      <c r="QUM9" s="1202"/>
      <c r="QUN9" s="1202"/>
      <c r="QUO9" s="1202"/>
      <c r="QUP9" s="1202"/>
      <c r="QUQ9" s="1202"/>
      <c r="QUR9" s="1202"/>
      <c r="QUS9" s="1202"/>
      <c r="QUT9" s="1202"/>
      <c r="QUU9" s="1202"/>
      <c r="QUV9" s="1202"/>
      <c r="QUW9" s="1202"/>
      <c r="QUX9" s="1202"/>
      <c r="QUY9" s="1202"/>
      <c r="QUZ9" s="1202"/>
      <c r="QVA9" s="1202"/>
      <c r="QVB9" s="1202"/>
      <c r="QVC9" s="1202"/>
      <c r="QVD9" s="1202"/>
      <c r="QVE9" s="1202"/>
      <c r="QVF9" s="1202"/>
      <c r="QVG9" s="1202"/>
      <c r="QVH9" s="1202"/>
      <c r="QVI9" s="1202"/>
      <c r="QVJ9" s="1202"/>
      <c r="QVK9" s="1202"/>
      <c r="QVL9" s="1202"/>
      <c r="QVM9" s="1202"/>
      <c r="QVN9" s="1202"/>
      <c r="QVO9" s="1202"/>
      <c r="QVP9" s="1202"/>
      <c r="QVQ9" s="1202"/>
      <c r="QVR9" s="1202"/>
      <c r="QVS9" s="1202"/>
      <c r="QVT9" s="1202"/>
      <c r="QVU9" s="1202"/>
      <c r="QVV9" s="1202"/>
      <c r="QVW9" s="1202"/>
      <c r="QVX9" s="1202"/>
      <c r="QVY9" s="1202"/>
      <c r="QVZ9" s="1202"/>
      <c r="QWA9" s="1202"/>
      <c r="QWB9" s="1202"/>
      <c r="QWC9" s="1202"/>
      <c r="QWD9" s="1202"/>
      <c r="QWE9" s="1202"/>
      <c r="QWF9" s="1202"/>
      <c r="QWG9" s="1202"/>
      <c r="QWH9" s="1202"/>
      <c r="QWI9" s="1202"/>
      <c r="QWJ9" s="1202"/>
      <c r="QWK9" s="1202"/>
      <c r="QWL9" s="1202"/>
      <c r="QWM9" s="1202"/>
      <c r="QWN9" s="1202"/>
      <c r="QWO9" s="1202"/>
      <c r="QWP9" s="1202"/>
      <c r="QWQ9" s="1202"/>
      <c r="QWR9" s="1202"/>
      <c r="QWS9" s="1202"/>
      <c r="QWT9" s="1202"/>
      <c r="QWU9" s="1202"/>
      <c r="QWV9" s="1202"/>
      <c r="QWW9" s="1202"/>
      <c r="QWX9" s="1202"/>
      <c r="QWY9" s="1202"/>
      <c r="QWZ9" s="1202"/>
      <c r="QXA9" s="1202"/>
      <c r="QXB9" s="1202"/>
      <c r="QXC9" s="1202"/>
      <c r="QXD9" s="1202"/>
      <c r="QXE9" s="1202"/>
      <c r="QXF9" s="1202"/>
      <c r="QXG9" s="1202"/>
      <c r="QXH9" s="1202"/>
      <c r="QXI9" s="1202"/>
      <c r="QXJ9" s="1202"/>
      <c r="QXK9" s="1202"/>
      <c r="QXL9" s="1202"/>
      <c r="QXM9" s="1202"/>
      <c r="QXN9" s="1202"/>
      <c r="QXO9" s="1202"/>
      <c r="QXP9" s="1202"/>
      <c r="QXQ9" s="1202"/>
      <c r="QXR9" s="1202"/>
      <c r="QXS9" s="1202"/>
      <c r="QXT9" s="1202"/>
      <c r="QXU9" s="1202"/>
      <c r="QXV9" s="1202"/>
      <c r="QXW9" s="1202"/>
      <c r="QXX9" s="1202"/>
      <c r="QXY9" s="1202"/>
      <c r="QXZ9" s="1202"/>
      <c r="QYA9" s="1202"/>
      <c r="QYB9" s="1202"/>
      <c r="QYC9" s="1202"/>
      <c r="QYD9" s="1202"/>
      <c r="QYE9" s="1202"/>
      <c r="QYF9" s="1202"/>
      <c r="QYG9" s="1202"/>
      <c r="QYH9" s="1202"/>
      <c r="QYI9" s="1202"/>
      <c r="QYJ9" s="1202"/>
      <c r="QYK9" s="1202"/>
      <c r="QYL9" s="1202"/>
      <c r="QYM9" s="1202"/>
      <c r="QYN9" s="1202"/>
      <c r="QYO9" s="1202"/>
      <c r="QYP9" s="1202"/>
      <c r="QYQ9" s="1202"/>
      <c r="QYR9" s="1202"/>
      <c r="QYS9" s="1202"/>
      <c r="QYT9" s="1202"/>
      <c r="QYU9" s="1202"/>
      <c r="QYV9" s="1202"/>
      <c r="QYW9" s="1202"/>
      <c r="QYX9" s="1202"/>
      <c r="QYY9" s="1202"/>
      <c r="QYZ9" s="1202"/>
      <c r="QZA9" s="1202"/>
      <c r="QZB9" s="1202"/>
      <c r="QZC9" s="1202"/>
      <c r="QZD9" s="1202"/>
      <c r="QZE9" s="1202"/>
      <c r="QZF9" s="1202"/>
      <c r="QZG9" s="1202"/>
      <c r="QZH9" s="1202"/>
      <c r="QZI9" s="1202"/>
      <c r="QZJ9" s="1202"/>
      <c r="QZK9" s="1202"/>
      <c r="QZL9" s="1202"/>
      <c r="QZM9" s="1202"/>
      <c r="QZN9" s="1202"/>
      <c r="QZO9" s="1202"/>
      <c r="QZP9" s="1202"/>
      <c r="QZQ9" s="1202"/>
      <c r="QZR9" s="1202"/>
      <c r="QZS9" s="1202"/>
      <c r="QZT9" s="1202"/>
      <c r="QZU9" s="1202"/>
      <c r="QZV9" s="1202"/>
      <c r="QZW9" s="1202"/>
      <c r="QZX9" s="1202"/>
      <c r="QZY9" s="1202"/>
      <c r="QZZ9" s="1202"/>
      <c r="RAA9" s="1202"/>
      <c r="RAB9" s="1202"/>
      <c r="RAC9" s="1202"/>
      <c r="RAD9" s="1202"/>
      <c r="RAE9" s="1202"/>
      <c r="RAF9" s="1202"/>
      <c r="RAG9" s="1202"/>
      <c r="RAH9" s="1202"/>
      <c r="RAI9" s="1202"/>
      <c r="RAJ9" s="1202"/>
      <c r="RAK9" s="1202"/>
      <c r="RAL9" s="1202"/>
      <c r="RAM9" s="1202"/>
      <c r="RAN9" s="1202"/>
      <c r="RAO9" s="1202"/>
      <c r="RAP9" s="1202"/>
      <c r="RAQ9" s="1202"/>
      <c r="RAR9" s="1202"/>
      <c r="RAS9" s="1202"/>
      <c r="RAT9" s="1202"/>
      <c r="RAU9" s="1202"/>
      <c r="RAV9" s="1202"/>
      <c r="RAW9" s="1202"/>
      <c r="RAX9" s="1202"/>
      <c r="RAY9" s="1202"/>
      <c r="RAZ9" s="1202"/>
      <c r="RBA9" s="1202"/>
      <c r="RBB9" s="1202"/>
      <c r="RBC9" s="1202"/>
      <c r="RBD9" s="1202"/>
      <c r="RBE9" s="1202"/>
      <c r="RBF9" s="1202"/>
      <c r="RBG9" s="1202"/>
      <c r="RBH9" s="1202"/>
      <c r="RBI9" s="1202"/>
      <c r="RBJ9" s="1202"/>
      <c r="RBK9" s="1202"/>
      <c r="RBL9" s="1202"/>
      <c r="RBM9" s="1202"/>
      <c r="RBN9" s="1202"/>
      <c r="RBO9" s="1202"/>
      <c r="RBP9" s="1202"/>
      <c r="RBQ9" s="1202"/>
      <c r="RBR9" s="1202"/>
      <c r="RBS9" s="1202"/>
      <c r="RBT9" s="1202"/>
      <c r="RBU9" s="1202"/>
      <c r="RBV9" s="1202"/>
      <c r="RBW9" s="1202"/>
      <c r="RBX9" s="1202"/>
      <c r="RBY9" s="1202"/>
      <c r="RBZ9" s="1202"/>
      <c r="RCA9" s="1202"/>
      <c r="RCB9" s="1202"/>
      <c r="RCC9" s="1202"/>
      <c r="RCD9" s="1202"/>
      <c r="RCE9" s="1202"/>
      <c r="RCF9" s="1202"/>
      <c r="RCG9" s="1202"/>
      <c r="RCH9" s="1202"/>
      <c r="RCI9" s="1202"/>
      <c r="RCJ9" s="1202"/>
      <c r="RCK9" s="1202"/>
      <c r="RCL9" s="1202"/>
      <c r="RCM9" s="1202"/>
      <c r="RCN9" s="1202"/>
      <c r="RCO9" s="1202"/>
      <c r="RCP9" s="1202"/>
      <c r="RCQ9" s="1202"/>
      <c r="RCR9" s="1202"/>
      <c r="RCS9" s="1202"/>
      <c r="RCT9" s="1202"/>
      <c r="RCU9" s="1202"/>
      <c r="RCV9" s="1202"/>
      <c r="RCW9" s="1202"/>
      <c r="RCX9" s="1202"/>
      <c r="RCY9" s="1202"/>
      <c r="RCZ9" s="1202"/>
      <c r="RDA9" s="1202"/>
      <c r="RDB9" s="1202"/>
      <c r="RDC9" s="1202"/>
      <c r="RDD9" s="1202"/>
      <c r="RDE9" s="1202"/>
      <c r="RDF9" s="1202"/>
      <c r="RDG9" s="1202"/>
      <c r="RDH9" s="1202"/>
      <c r="RDI9" s="1202"/>
      <c r="RDJ9" s="1202"/>
      <c r="RDK9" s="1202"/>
      <c r="RDL9" s="1202"/>
      <c r="RDM9" s="1202"/>
      <c r="RDN9" s="1202"/>
      <c r="RDO9" s="1202"/>
      <c r="RDP9" s="1202"/>
      <c r="RDQ9" s="1202"/>
      <c r="RDR9" s="1202"/>
      <c r="RDS9" s="1202"/>
      <c r="RDT9" s="1202"/>
      <c r="RDU9" s="1202"/>
      <c r="RDV9" s="1202"/>
      <c r="RDW9" s="1202"/>
      <c r="RDX9" s="1202"/>
      <c r="RDY9" s="1202"/>
      <c r="RDZ9" s="1202"/>
      <c r="REA9" s="1202"/>
      <c r="REB9" s="1202"/>
      <c r="REC9" s="1202"/>
      <c r="RED9" s="1202"/>
      <c r="REE9" s="1202"/>
      <c r="REF9" s="1202"/>
      <c r="REG9" s="1202"/>
      <c r="REH9" s="1202"/>
      <c r="REI9" s="1202"/>
      <c r="REJ9" s="1202"/>
      <c r="REK9" s="1202"/>
      <c r="REL9" s="1202"/>
      <c r="REM9" s="1202"/>
      <c r="REN9" s="1202"/>
      <c r="REO9" s="1202"/>
      <c r="REP9" s="1202"/>
      <c r="REQ9" s="1202"/>
      <c r="RER9" s="1202"/>
      <c r="RES9" s="1202"/>
      <c r="RET9" s="1202"/>
      <c r="REU9" s="1202"/>
      <c r="REV9" s="1202"/>
      <c r="REW9" s="1202"/>
      <c r="REX9" s="1202"/>
      <c r="REY9" s="1202"/>
      <c r="REZ9" s="1202"/>
      <c r="RFA9" s="1202"/>
      <c r="RFB9" s="1202"/>
      <c r="RFC9" s="1202"/>
      <c r="RFD9" s="1202"/>
      <c r="RFE9" s="1202"/>
      <c r="RFF9" s="1202"/>
      <c r="RFG9" s="1202"/>
      <c r="RFH9" s="1202"/>
      <c r="RFI9" s="1202"/>
      <c r="RFJ9" s="1202"/>
      <c r="RFK9" s="1202"/>
      <c r="RFL9" s="1202"/>
      <c r="RFM9" s="1202"/>
      <c r="RFN9" s="1202"/>
      <c r="RFO9" s="1202"/>
      <c r="RFP9" s="1202"/>
      <c r="RFQ9" s="1202"/>
      <c r="RFR9" s="1202"/>
      <c r="RFS9" s="1202"/>
      <c r="RFT9" s="1202"/>
      <c r="RFU9" s="1202"/>
      <c r="RFV9" s="1202"/>
      <c r="RFW9" s="1202"/>
      <c r="RFX9" s="1202"/>
      <c r="RFY9" s="1202"/>
      <c r="RFZ9" s="1202"/>
      <c r="RGA9" s="1202"/>
      <c r="RGB9" s="1202"/>
      <c r="RGC9" s="1202"/>
      <c r="RGD9" s="1202"/>
      <c r="RGE9" s="1202"/>
      <c r="RGF9" s="1202"/>
      <c r="RGG9" s="1202"/>
      <c r="RGH9" s="1202"/>
      <c r="RGI9" s="1202"/>
      <c r="RGJ9" s="1202"/>
      <c r="RGK9" s="1202"/>
      <c r="RGL9" s="1202"/>
      <c r="RGM9" s="1202"/>
      <c r="RGN9" s="1202"/>
      <c r="RGO9" s="1202"/>
      <c r="RGP9" s="1202"/>
      <c r="RGQ9" s="1202"/>
      <c r="RGR9" s="1202"/>
      <c r="RGS9" s="1202"/>
      <c r="RGT9" s="1202"/>
      <c r="RGU9" s="1202"/>
      <c r="RGV9" s="1202"/>
      <c r="RGW9" s="1202"/>
      <c r="RGX9" s="1202"/>
      <c r="RGY9" s="1202"/>
      <c r="RGZ9" s="1202"/>
      <c r="RHA9" s="1202"/>
      <c r="RHB9" s="1202"/>
      <c r="RHC9" s="1202"/>
      <c r="RHD9" s="1202"/>
      <c r="RHE9" s="1202"/>
      <c r="RHF9" s="1202"/>
      <c r="RHG9" s="1202"/>
      <c r="RHH9" s="1202"/>
      <c r="RHI9" s="1202"/>
      <c r="RHJ9" s="1202"/>
      <c r="RHK9" s="1202"/>
      <c r="RHL9" s="1202"/>
      <c r="RHM9" s="1202"/>
      <c r="RHN9" s="1202"/>
      <c r="RHO9" s="1202"/>
      <c r="RHP9" s="1202"/>
      <c r="RHQ9" s="1202"/>
      <c r="RHR9" s="1202"/>
      <c r="RHS9" s="1202"/>
      <c r="RHT9" s="1202"/>
      <c r="RHU9" s="1202"/>
      <c r="RHV9" s="1202"/>
      <c r="RHW9" s="1202"/>
      <c r="RHX9" s="1202"/>
      <c r="RHY9" s="1202"/>
      <c r="RHZ9" s="1202"/>
      <c r="RIA9" s="1202"/>
      <c r="RIB9" s="1202"/>
      <c r="RIC9" s="1202"/>
      <c r="RID9" s="1202"/>
      <c r="RIE9" s="1202"/>
      <c r="RIF9" s="1202"/>
      <c r="RIG9" s="1202"/>
      <c r="RIH9" s="1202"/>
      <c r="RII9" s="1202"/>
      <c r="RIJ9" s="1202"/>
      <c r="RIK9" s="1202"/>
      <c r="RIL9" s="1202"/>
      <c r="RIM9" s="1202"/>
      <c r="RIN9" s="1202"/>
      <c r="RIO9" s="1202"/>
      <c r="RIP9" s="1202"/>
      <c r="RIQ9" s="1202"/>
      <c r="RIR9" s="1202"/>
      <c r="RIS9" s="1202"/>
      <c r="RIT9" s="1202"/>
      <c r="RIU9" s="1202"/>
      <c r="RIV9" s="1202"/>
      <c r="RIW9" s="1202"/>
      <c r="RIX9" s="1202"/>
      <c r="RIY9" s="1202"/>
      <c r="RIZ9" s="1202"/>
      <c r="RJA9" s="1202"/>
      <c r="RJB9" s="1202"/>
      <c r="RJC9" s="1202"/>
      <c r="RJD9" s="1202"/>
      <c r="RJE9" s="1202"/>
      <c r="RJF9" s="1202"/>
      <c r="RJG9" s="1202"/>
      <c r="RJH9" s="1202"/>
      <c r="RJI9" s="1202"/>
      <c r="RJJ9" s="1202"/>
      <c r="RJK9" s="1202"/>
      <c r="RJL9" s="1202"/>
      <c r="RJM9" s="1202"/>
      <c r="RJN9" s="1202"/>
      <c r="RJO9" s="1202"/>
      <c r="RJP9" s="1202"/>
      <c r="RJQ9" s="1202"/>
      <c r="RJR9" s="1202"/>
      <c r="RJS9" s="1202"/>
      <c r="RJT9" s="1202"/>
      <c r="RJU9" s="1202"/>
      <c r="RJV9" s="1202"/>
      <c r="RJW9" s="1202"/>
      <c r="RJX9" s="1202"/>
      <c r="RJY9" s="1202"/>
      <c r="RJZ9" s="1202"/>
      <c r="RKA9" s="1202"/>
      <c r="RKB9" s="1202"/>
      <c r="RKC9" s="1202"/>
      <c r="RKD9" s="1202"/>
      <c r="RKE9" s="1202"/>
      <c r="RKF9" s="1202"/>
      <c r="RKG9" s="1202"/>
      <c r="RKH9" s="1202"/>
      <c r="RKI9" s="1202"/>
      <c r="RKJ9" s="1202"/>
      <c r="RKK9" s="1202"/>
      <c r="RKL9" s="1202"/>
      <c r="RKM9" s="1202"/>
      <c r="RKN9" s="1202"/>
      <c r="RKO9" s="1202"/>
      <c r="RKP9" s="1202"/>
      <c r="RKQ9" s="1202"/>
      <c r="RKR9" s="1202"/>
      <c r="RKS9" s="1202"/>
      <c r="RKT9" s="1202"/>
      <c r="RKU9" s="1202"/>
      <c r="RKV9" s="1202"/>
      <c r="RKW9" s="1202"/>
      <c r="RKX9" s="1202"/>
      <c r="RKY9" s="1202"/>
      <c r="RKZ9" s="1202"/>
      <c r="RLA9" s="1202"/>
      <c r="RLB9" s="1202"/>
      <c r="RLC9" s="1202"/>
      <c r="RLD9" s="1202"/>
      <c r="RLE9" s="1202"/>
      <c r="RLF9" s="1202"/>
      <c r="RLG9" s="1202"/>
      <c r="RLH9" s="1202"/>
      <c r="RLI9" s="1202"/>
      <c r="RLJ9" s="1202"/>
      <c r="RLK9" s="1202"/>
      <c r="RLL9" s="1202"/>
      <c r="RLM9" s="1202"/>
      <c r="RLN9" s="1202"/>
      <c r="RLO9" s="1202"/>
      <c r="RLP9" s="1202"/>
      <c r="RLQ9" s="1202"/>
      <c r="RLR9" s="1202"/>
      <c r="RLS9" s="1202"/>
      <c r="RLT9" s="1202"/>
      <c r="RLU9" s="1202"/>
      <c r="RLV9" s="1202"/>
      <c r="RLW9" s="1202"/>
      <c r="RLX9" s="1202"/>
      <c r="RLY9" s="1202"/>
      <c r="RLZ9" s="1202"/>
      <c r="RMA9" s="1202"/>
      <c r="RMB9" s="1202"/>
      <c r="RMC9" s="1202"/>
      <c r="RMD9" s="1202"/>
      <c r="RME9" s="1202"/>
      <c r="RMF9" s="1202"/>
      <c r="RMG9" s="1202"/>
      <c r="RMH9" s="1202"/>
      <c r="RMI9" s="1202"/>
      <c r="RMJ9" s="1202"/>
      <c r="RMK9" s="1202"/>
      <c r="RML9" s="1202"/>
      <c r="RMM9" s="1202"/>
      <c r="RMN9" s="1202"/>
      <c r="RMO9" s="1202"/>
      <c r="RMP9" s="1202"/>
      <c r="RMQ9" s="1202"/>
      <c r="RMR9" s="1202"/>
      <c r="RMS9" s="1202"/>
      <c r="RMT9" s="1202"/>
      <c r="RMU9" s="1202"/>
      <c r="RMV9" s="1202"/>
      <c r="RMW9" s="1202"/>
      <c r="RMX9" s="1202"/>
      <c r="RMY9" s="1202"/>
      <c r="RMZ9" s="1202"/>
      <c r="RNA9" s="1202"/>
      <c r="RNB9" s="1202"/>
      <c r="RNC9" s="1202"/>
      <c r="RND9" s="1202"/>
      <c r="RNE9" s="1202"/>
      <c r="RNF9" s="1202"/>
      <c r="RNG9" s="1202"/>
      <c r="RNH9" s="1202"/>
      <c r="RNI9" s="1202"/>
      <c r="RNJ9" s="1202"/>
      <c r="RNK9" s="1202"/>
      <c r="RNL9" s="1202"/>
      <c r="RNM9" s="1202"/>
      <c r="RNN9" s="1202"/>
      <c r="RNO9" s="1202"/>
      <c r="RNP9" s="1202"/>
      <c r="RNQ9" s="1202"/>
      <c r="RNR9" s="1202"/>
      <c r="RNS9" s="1202"/>
      <c r="RNT9" s="1202"/>
      <c r="RNU9" s="1202"/>
      <c r="RNV9" s="1202"/>
      <c r="RNW9" s="1202"/>
      <c r="RNX9" s="1202"/>
      <c r="RNY9" s="1202"/>
      <c r="RNZ9" s="1202"/>
      <c r="ROA9" s="1202"/>
      <c r="ROB9" s="1202"/>
      <c r="ROC9" s="1202"/>
      <c r="ROD9" s="1202"/>
      <c r="ROE9" s="1202"/>
      <c r="ROF9" s="1202"/>
      <c r="ROG9" s="1202"/>
      <c r="ROH9" s="1202"/>
      <c r="ROI9" s="1202"/>
      <c r="ROJ9" s="1202"/>
      <c r="ROK9" s="1202"/>
      <c r="ROL9" s="1202"/>
      <c r="ROM9" s="1202"/>
      <c r="RON9" s="1202"/>
      <c r="ROO9" s="1202"/>
      <c r="ROP9" s="1202"/>
      <c r="ROQ9" s="1202"/>
      <c r="ROR9" s="1202"/>
      <c r="ROS9" s="1202"/>
      <c r="ROT9" s="1202"/>
      <c r="ROU9" s="1202"/>
      <c r="ROV9" s="1202"/>
      <c r="ROW9" s="1202"/>
      <c r="ROX9" s="1202"/>
      <c r="ROY9" s="1202"/>
      <c r="ROZ9" s="1202"/>
      <c r="RPA9" s="1202"/>
      <c r="RPB9" s="1202"/>
      <c r="RPC9" s="1202"/>
      <c r="RPD9" s="1202"/>
      <c r="RPE9" s="1202"/>
      <c r="RPF9" s="1202"/>
      <c r="RPG9" s="1202"/>
      <c r="RPH9" s="1202"/>
      <c r="RPI9" s="1202"/>
      <c r="RPJ9" s="1202"/>
      <c r="RPK9" s="1202"/>
      <c r="RPL9" s="1202"/>
      <c r="RPM9" s="1202"/>
      <c r="RPN9" s="1202"/>
      <c r="RPO9" s="1202"/>
      <c r="RPP9" s="1202"/>
      <c r="RPQ9" s="1202"/>
      <c r="RPR9" s="1202"/>
      <c r="RPS9" s="1202"/>
      <c r="RPT9" s="1202"/>
      <c r="RPU9" s="1202"/>
      <c r="RPV9" s="1202"/>
      <c r="RPW9" s="1202"/>
      <c r="RPX9" s="1202"/>
      <c r="RPY9" s="1202"/>
      <c r="RPZ9" s="1202"/>
      <c r="RQA9" s="1202"/>
      <c r="RQB9" s="1202"/>
      <c r="RQC9" s="1202"/>
      <c r="RQD9" s="1202"/>
      <c r="RQE9" s="1202"/>
      <c r="RQF9" s="1202"/>
      <c r="RQG9" s="1202"/>
      <c r="RQH9" s="1202"/>
      <c r="RQI9" s="1202"/>
      <c r="RQJ9" s="1202"/>
      <c r="RQK9" s="1202"/>
      <c r="RQL9" s="1202"/>
      <c r="RQM9" s="1202"/>
      <c r="RQN9" s="1202"/>
      <c r="RQO9" s="1202"/>
      <c r="RQP9" s="1202"/>
      <c r="RQQ9" s="1202"/>
      <c r="RQR9" s="1202"/>
      <c r="RQS9" s="1202"/>
      <c r="RQT9" s="1202"/>
      <c r="RQU9" s="1202"/>
      <c r="RQV9" s="1202"/>
      <c r="RQW9" s="1202"/>
      <c r="RQX9" s="1202"/>
      <c r="RQY9" s="1202"/>
      <c r="RQZ9" s="1202"/>
      <c r="RRA9" s="1202"/>
      <c r="RRB9" s="1202"/>
      <c r="RRC9" s="1202"/>
      <c r="RRD9" s="1202"/>
      <c r="RRE9" s="1202"/>
      <c r="RRF9" s="1202"/>
      <c r="RRG9" s="1202"/>
      <c r="RRH9" s="1202"/>
      <c r="RRI9" s="1202"/>
      <c r="RRJ9" s="1202"/>
      <c r="RRK9" s="1202"/>
      <c r="RRL9" s="1202"/>
      <c r="RRM9" s="1202"/>
      <c r="RRN9" s="1202"/>
      <c r="RRO9" s="1202"/>
      <c r="RRP9" s="1202"/>
      <c r="RRQ9" s="1202"/>
      <c r="RRR9" s="1202"/>
      <c r="RRS9" s="1202"/>
      <c r="RRT9" s="1202"/>
      <c r="RRU9" s="1202"/>
      <c r="RRV9" s="1202"/>
      <c r="RRW9" s="1202"/>
      <c r="RRX9" s="1202"/>
      <c r="RRY9" s="1202"/>
      <c r="RRZ9" s="1202"/>
      <c r="RSA9" s="1202"/>
      <c r="RSB9" s="1202"/>
      <c r="RSC9" s="1202"/>
      <c r="RSD9" s="1202"/>
      <c r="RSE9" s="1202"/>
      <c r="RSF9" s="1202"/>
      <c r="RSG9" s="1202"/>
      <c r="RSH9" s="1202"/>
      <c r="RSI9" s="1202"/>
      <c r="RSJ9" s="1202"/>
      <c r="RSK9" s="1202"/>
      <c r="RSL9" s="1202"/>
      <c r="RSM9" s="1202"/>
      <c r="RSN9" s="1202"/>
      <c r="RSO9" s="1202"/>
      <c r="RSP9" s="1202"/>
      <c r="RSQ9" s="1202"/>
      <c r="RSR9" s="1202"/>
      <c r="RSS9" s="1202"/>
      <c r="RST9" s="1202"/>
      <c r="RSU9" s="1202"/>
      <c r="RSV9" s="1202"/>
      <c r="RSW9" s="1202"/>
      <c r="RSX9" s="1202"/>
      <c r="RSY9" s="1202"/>
      <c r="RSZ9" s="1202"/>
      <c r="RTA9" s="1202"/>
      <c r="RTB9" s="1202"/>
      <c r="RTC9" s="1202"/>
      <c r="RTD9" s="1202"/>
      <c r="RTE9" s="1202"/>
      <c r="RTF9" s="1202"/>
      <c r="RTG9" s="1202"/>
      <c r="RTH9" s="1202"/>
      <c r="RTI9" s="1202"/>
      <c r="RTJ9" s="1202"/>
      <c r="RTK9" s="1202"/>
      <c r="RTL9" s="1202"/>
      <c r="RTM9" s="1202"/>
      <c r="RTN9" s="1202"/>
      <c r="RTO9" s="1202"/>
      <c r="RTP9" s="1202"/>
      <c r="RTQ9" s="1202"/>
      <c r="RTR9" s="1202"/>
      <c r="RTS9" s="1202"/>
      <c r="RTT9" s="1202"/>
      <c r="RTU9" s="1202"/>
      <c r="RTV9" s="1202"/>
      <c r="RTW9" s="1202"/>
      <c r="RTX9" s="1202"/>
      <c r="RTY9" s="1202"/>
      <c r="RTZ9" s="1202"/>
      <c r="RUA9" s="1202"/>
      <c r="RUB9" s="1202"/>
      <c r="RUC9" s="1202"/>
      <c r="RUD9" s="1202"/>
      <c r="RUE9" s="1202"/>
      <c r="RUF9" s="1202"/>
      <c r="RUG9" s="1202"/>
      <c r="RUH9" s="1202"/>
      <c r="RUI9" s="1202"/>
      <c r="RUJ9" s="1202"/>
      <c r="RUK9" s="1202"/>
      <c r="RUL9" s="1202"/>
      <c r="RUM9" s="1202"/>
      <c r="RUN9" s="1202"/>
      <c r="RUO9" s="1202"/>
      <c r="RUP9" s="1202"/>
      <c r="RUQ9" s="1202"/>
      <c r="RUR9" s="1202"/>
      <c r="RUS9" s="1202"/>
      <c r="RUT9" s="1202"/>
      <c r="RUU9" s="1202"/>
      <c r="RUV9" s="1202"/>
      <c r="RUW9" s="1202"/>
      <c r="RUX9" s="1202"/>
      <c r="RUY9" s="1202"/>
      <c r="RUZ9" s="1202"/>
      <c r="RVA9" s="1202"/>
      <c r="RVB9" s="1202"/>
      <c r="RVC9" s="1202"/>
      <c r="RVD9" s="1202"/>
      <c r="RVE9" s="1202"/>
      <c r="RVF9" s="1202"/>
      <c r="RVG9" s="1202"/>
      <c r="RVH9" s="1202"/>
      <c r="RVI9" s="1202"/>
      <c r="RVJ9" s="1202"/>
      <c r="RVK9" s="1202"/>
      <c r="RVL9" s="1202"/>
      <c r="RVM9" s="1202"/>
      <c r="RVN9" s="1202"/>
      <c r="RVO9" s="1202"/>
      <c r="RVP9" s="1202"/>
      <c r="RVQ9" s="1202"/>
      <c r="RVR9" s="1202"/>
      <c r="RVS9" s="1202"/>
      <c r="RVT9" s="1202"/>
      <c r="RVU9" s="1202"/>
      <c r="RVV9" s="1202"/>
      <c r="RVW9" s="1202"/>
      <c r="RVX9" s="1202"/>
      <c r="RVY9" s="1202"/>
      <c r="RVZ9" s="1202"/>
      <c r="RWA9" s="1202"/>
      <c r="RWB9" s="1202"/>
      <c r="RWC9" s="1202"/>
      <c r="RWD9" s="1202"/>
      <c r="RWE9" s="1202"/>
      <c r="RWF9" s="1202"/>
      <c r="RWG9" s="1202"/>
      <c r="RWH9" s="1202"/>
      <c r="RWI9" s="1202"/>
      <c r="RWJ9" s="1202"/>
      <c r="RWK9" s="1202"/>
      <c r="RWL9" s="1202"/>
      <c r="RWM9" s="1202"/>
      <c r="RWN9" s="1202"/>
      <c r="RWO9" s="1202"/>
      <c r="RWP9" s="1202"/>
      <c r="RWQ9" s="1202"/>
      <c r="RWR9" s="1202"/>
      <c r="RWS9" s="1202"/>
      <c r="RWT9" s="1202"/>
      <c r="RWU9" s="1202"/>
      <c r="RWV9" s="1202"/>
      <c r="RWW9" s="1202"/>
      <c r="RWX9" s="1202"/>
      <c r="RWY9" s="1202"/>
      <c r="RWZ9" s="1202"/>
      <c r="RXA9" s="1202"/>
      <c r="RXB9" s="1202"/>
      <c r="RXC9" s="1202"/>
      <c r="RXD9" s="1202"/>
      <c r="RXE9" s="1202"/>
      <c r="RXF9" s="1202"/>
      <c r="RXG9" s="1202"/>
      <c r="RXH9" s="1202"/>
      <c r="RXI9" s="1202"/>
      <c r="RXJ9" s="1202"/>
      <c r="RXK9" s="1202"/>
      <c r="RXL9" s="1202"/>
      <c r="RXM9" s="1202"/>
      <c r="RXN9" s="1202"/>
      <c r="RXO9" s="1202"/>
      <c r="RXP9" s="1202"/>
      <c r="RXQ9" s="1202"/>
      <c r="RXR9" s="1202"/>
      <c r="RXS9" s="1202"/>
      <c r="RXT9" s="1202"/>
      <c r="RXU9" s="1202"/>
      <c r="RXV9" s="1202"/>
      <c r="RXW9" s="1202"/>
      <c r="RXX9" s="1202"/>
      <c r="RXY9" s="1202"/>
      <c r="RXZ9" s="1202"/>
      <c r="RYA9" s="1202"/>
      <c r="RYB9" s="1202"/>
      <c r="RYC9" s="1202"/>
      <c r="RYD9" s="1202"/>
      <c r="RYE9" s="1202"/>
      <c r="RYF9" s="1202"/>
      <c r="RYG9" s="1202"/>
      <c r="RYH9" s="1202"/>
      <c r="RYI9" s="1202"/>
      <c r="RYJ9" s="1202"/>
      <c r="RYK9" s="1202"/>
      <c r="RYL9" s="1202"/>
      <c r="RYM9" s="1202"/>
      <c r="RYN9" s="1202"/>
      <c r="RYO9" s="1202"/>
      <c r="RYP9" s="1202"/>
      <c r="RYQ9" s="1202"/>
      <c r="RYR9" s="1202"/>
      <c r="RYS9" s="1202"/>
      <c r="RYT9" s="1202"/>
      <c r="RYU9" s="1202"/>
      <c r="RYV9" s="1202"/>
      <c r="RYW9" s="1202"/>
      <c r="RYX9" s="1202"/>
      <c r="RYY9" s="1202"/>
      <c r="RYZ9" s="1202"/>
      <c r="RZA9" s="1202"/>
      <c r="RZB9" s="1202"/>
      <c r="RZC9" s="1202"/>
      <c r="RZD9" s="1202"/>
      <c r="RZE9" s="1202"/>
      <c r="RZF9" s="1202"/>
      <c r="RZG9" s="1202"/>
      <c r="RZH9" s="1202"/>
      <c r="RZI9" s="1202"/>
      <c r="RZJ9" s="1202"/>
      <c r="RZK9" s="1202"/>
      <c r="RZL9" s="1202"/>
      <c r="RZM9" s="1202"/>
      <c r="RZN9" s="1202"/>
      <c r="RZO9" s="1202"/>
      <c r="RZP9" s="1202"/>
      <c r="RZQ9" s="1202"/>
      <c r="RZR9" s="1202"/>
      <c r="RZS9" s="1202"/>
      <c r="RZT9" s="1202"/>
      <c r="RZU9" s="1202"/>
      <c r="RZV9" s="1202"/>
      <c r="RZW9" s="1202"/>
      <c r="RZX9" s="1202"/>
      <c r="RZY9" s="1202"/>
      <c r="RZZ9" s="1202"/>
      <c r="SAA9" s="1202"/>
      <c r="SAB9" s="1202"/>
      <c r="SAC9" s="1202"/>
      <c r="SAD9" s="1202"/>
      <c r="SAE9" s="1202"/>
      <c r="SAF9" s="1202"/>
      <c r="SAG9" s="1202"/>
      <c r="SAH9" s="1202"/>
      <c r="SAI9" s="1202"/>
      <c r="SAJ9" s="1202"/>
      <c r="SAK9" s="1202"/>
      <c r="SAL9" s="1202"/>
      <c r="SAM9" s="1202"/>
      <c r="SAN9" s="1202"/>
      <c r="SAO9" s="1202"/>
      <c r="SAP9" s="1202"/>
      <c r="SAQ9" s="1202"/>
      <c r="SAR9" s="1202"/>
      <c r="SAS9" s="1202"/>
      <c r="SAT9" s="1202"/>
      <c r="SAU9" s="1202"/>
      <c r="SAV9" s="1202"/>
      <c r="SAW9" s="1202"/>
      <c r="SAX9" s="1202"/>
      <c r="SAY9" s="1202"/>
      <c r="SAZ9" s="1202"/>
      <c r="SBA9" s="1202"/>
      <c r="SBB9" s="1202"/>
      <c r="SBC9" s="1202"/>
      <c r="SBD9" s="1202"/>
      <c r="SBE9" s="1202"/>
      <c r="SBF9" s="1202"/>
      <c r="SBG9" s="1202"/>
      <c r="SBH9" s="1202"/>
      <c r="SBI9" s="1202"/>
      <c r="SBJ9" s="1202"/>
      <c r="SBK9" s="1202"/>
      <c r="SBL9" s="1202"/>
      <c r="SBM9" s="1202"/>
      <c r="SBN9" s="1202"/>
      <c r="SBO9" s="1202"/>
      <c r="SBP9" s="1202"/>
      <c r="SBQ9" s="1202"/>
      <c r="SBR9" s="1202"/>
      <c r="SBS9" s="1202"/>
      <c r="SBT9" s="1202"/>
      <c r="SBU9" s="1202"/>
      <c r="SBV9" s="1202"/>
      <c r="SBW9" s="1202"/>
      <c r="SBX9" s="1202"/>
      <c r="SBY9" s="1202"/>
      <c r="SBZ9" s="1202"/>
      <c r="SCA9" s="1202"/>
      <c r="SCB9" s="1202"/>
      <c r="SCC9" s="1202"/>
      <c r="SCD9" s="1202"/>
      <c r="SCE9" s="1202"/>
      <c r="SCF9" s="1202"/>
      <c r="SCG9" s="1202"/>
      <c r="SCH9" s="1202"/>
      <c r="SCI9" s="1202"/>
      <c r="SCJ9" s="1202"/>
      <c r="SCK9" s="1202"/>
      <c r="SCL9" s="1202"/>
      <c r="SCM9" s="1202"/>
      <c r="SCN9" s="1202"/>
      <c r="SCO9" s="1202"/>
      <c r="SCP9" s="1202"/>
      <c r="SCQ9" s="1202"/>
      <c r="SCR9" s="1202"/>
      <c r="SCS9" s="1202"/>
      <c r="SCT9" s="1202"/>
      <c r="SCU9" s="1202"/>
      <c r="SCV9" s="1202"/>
      <c r="SCW9" s="1202"/>
      <c r="SCX9" s="1202"/>
      <c r="SCY9" s="1202"/>
      <c r="SCZ9" s="1202"/>
      <c r="SDA9" s="1202"/>
      <c r="SDB9" s="1202"/>
      <c r="SDC9" s="1202"/>
      <c r="SDD9" s="1202"/>
      <c r="SDE9" s="1202"/>
      <c r="SDF9" s="1202"/>
      <c r="SDG9" s="1202"/>
      <c r="SDH9" s="1202"/>
      <c r="SDI9" s="1202"/>
      <c r="SDJ9" s="1202"/>
      <c r="SDK9" s="1202"/>
      <c r="SDL9" s="1202"/>
      <c r="SDM9" s="1202"/>
      <c r="SDN9" s="1202"/>
      <c r="SDO9" s="1202"/>
      <c r="SDP9" s="1202"/>
      <c r="SDQ9" s="1202"/>
      <c r="SDR9" s="1202"/>
      <c r="SDS9" s="1202"/>
      <c r="SDT9" s="1202"/>
      <c r="SDU9" s="1202"/>
      <c r="SDV9" s="1202"/>
      <c r="SDW9" s="1202"/>
      <c r="SDX9" s="1202"/>
      <c r="SDY9" s="1202"/>
      <c r="SDZ9" s="1202"/>
      <c r="SEA9" s="1202"/>
      <c r="SEB9" s="1202"/>
      <c r="SEC9" s="1202"/>
      <c r="SED9" s="1202"/>
      <c r="SEE9" s="1202"/>
      <c r="SEF9" s="1202"/>
      <c r="SEG9" s="1202"/>
      <c r="SEH9" s="1202"/>
      <c r="SEI9" s="1202"/>
      <c r="SEJ9" s="1202"/>
      <c r="SEK9" s="1202"/>
      <c r="SEL9" s="1202"/>
      <c r="SEM9" s="1202"/>
      <c r="SEN9" s="1202"/>
      <c r="SEO9" s="1202"/>
      <c r="SEP9" s="1202"/>
      <c r="SEQ9" s="1202"/>
      <c r="SER9" s="1202"/>
      <c r="SES9" s="1202"/>
      <c r="SET9" s="1202"/>
      <c r="SEU9" s="1202"/>
      <c r="SEV9" s="1202"/>
      <c r="SEW9" s="1202"/>
      <c r="SEX9" s="1202"/>
      <c r="SEY9" s="1202"/>
      <c r="SEZ9" s="1202"/>
      <c r="SFA9" s="1202"/>
      <c r="SFB9" s="1202"/>
      <c r="SFC9" s="1202"/>
      <c r="SFD9" s="1202"/>
      <c r="SFE9" s="1202"/>
      <c r="SFF9" s="1202"/>
      <c r="SFG9" s="1202"/>
      <c r="SFH9" s="1202"/>
      <c r="SFI9" s="1202"/>
      <c r="SFJ9" s="1202"/>
      <c r="SFK9" s="1202"/>
      <c r="SFL9" s="1202"/>
      <c r="SFM9" s="1202"/>
      <c r="SFN9" s="1202"/>
      <c r="SFO9" s="1202"/>
      <c r="SFP9" s="1202"/>
      <c r="SFQ9" s="1202"/>
      <c r="SFR9" s="1202"/>
      <c r="SFS9" s="1202"/>
      <c r="SFT9" s="1202"/>
      <c r="SFU9" s="1202"/>
      <c r="SFV9" s="1202"/>
      <c r="SFW9" s="1202"/>
      <c r="SFX9" s="1202"/>
      <c r="SFY9" s="1202"/>
      <c r="SFZ9" s="1202"/>
      <c r="SGA9" s="1202"/>
      <c r="SGB9" s="1202"/>
      <c r="SGC9" s="1202"/>
      <c r="SGD9" s="1202"/>
      <c r="SGE9" s="1202"/>
      <c r="SGF9" s="1202"/>
      <c r="SGG9" s="1202"/>
      <c r="SGH9" s="1202"/>
      <c r="SGI9" s="1202"/>
      <c r="SGJ9" s="1202"/>
      <c r="SGK9" s="1202"/>
      <c r="SGL9" s="1202"/>
      <c r="SGM9" s="1202"/>
      <c r="SGN9" s="1202"/>
      <c r="SGO9" s="1202"/>
      <c r="SGP9" s="1202"/>
      <c r="SGQ9" s="1202"/>
      <c r="SGR9" s="1202"/>
      <c r="SGS9" s="1202"/>
      <c r="SGT9" s="1202"/>
      <c r="SGU9" s="1202"/>
      <c r="SGV9" s="1202"/>
      <c r="SGW9" s="1202"/>
      <c r="SGX9" s="1202"/>
      <c r="SGY9" s="1202"/>
      <c r="SGZ9" s="1202"/>
      <c r="SHA9" s="1202"/>
      <c r="SHB9" s="1202"/>
      <c r="SHC9" s="1202"/>
      <c r="SHD9" s="1202"/>
      <c r="SHE9" s="1202"/>
      <c r="SHF9" s="1202"/>
      <c r="SHG9" s="1202"/>
      <c r="SHH9" s="1202"/>
      <c r="SHI9" s="1202"/>
      <c r="SHJ9" s="1202"/>
      <c r="SHK9" s="1202"/>
      <c r="SHL9" s="1202"/>
      <c r="SHM9" s="1202"/>
      <c r="SHN9" s="1202"/>
      <c r="SHO9" s="1202"/>
      <c r="SHP9" s="1202"/>
      <c r="SHQ9" s="1202"/>
      <c r="SHR9" s="1202"/>
      <c r="SHS9" s="1202"/>
      <c r="SHT9" s="1202"/>
      <c r="SHU9" s="1202"/>
      <c r="SHV9" s="1202"/>
      <c r="SHW9" s="1202"/>
      <c r="SHX9" s="1202"/>
      <c r="SHY9" s="1202"/>
      <c r="SHZ9" s="1202"/>
      <c r="SIA9" s="1202"/>
      <c r="SIB9" s="1202"/>
      <c r="SIC9" s="1202"/>
      <c r="SID9" s="1202"/>
      <c r="SIE9" s="1202"/>
      <c r="SIF9" s="1202"/>
      <c r="SIG9" s="1202"/>
      <c r="SIH9" s="1202"/>
      <c r="SII9" s="1202"/>
      <c r="SIJ9" s="1202"/>
      <c r="SIK9" s="1202"/>
      <c r="SIL9" s="1202"/>
      <c r="SIM9" s="1202"/>
      <c r="SIN9" s="1202"/>
      <c r="SIO9" s="1202"/>
      <c r="SIP9" s="1202"/>
      <c r="SIQ9" s="1202"/>
      <c r="SIR9" s="1202"/>
      <c r="SIS9" s="1202"/>
      <c r="SIT9" s="1202"/>
      <c r="SIU9" s="1202"/>
      <c r="SIV9" s="1202"/>
      <c r="SIW9" s="1202"/>
      <c r="SIX9" s="1202"/>
      <c r="SIY9" s="1202"/>
      <c r="SIZ9" s="1202"/>
      <c r="SJA9" s="1202"/>
      <c r="SJB9" s="1202"/>
      <c r="SJC9" s="1202"/>
      <c r="SJD9" s="1202"/>
      <c r="SJE9" s="1202"/>
      <c r="SJF9" s="1202"/>
      <c r="SJG9" s="1202"/>
      <c r="SJH9" s="1202"/>
      <c r="SJI9" s="1202"/>
      <c r="SJJ9" s="1202"/>
      <c r="SJK9" s="1202"/>
      <c r="SJL9" s="1202"/>
      <c r="SJM9" s="1202"/>
      <c r="SJN9" s="1202"/>
      <c r="SJO9" s="1202"/>
      <c r="SJP9" s="1202"/>
      <c r="SJQ9" s="1202"/>
      <c r="SJR9" s="1202"/>
      <c r="SJS9" s="1202"/>
      <c r="SJT9" s="1202"/>
      <c r="SJU9" s="1202"/>
      <c r="SJV9" s="1202"/>
      <c r="SJW9" s="1202"/>
      <c r="SJX9" s="1202"/>
      <c r="SJY9" s="1202"/>
      <c r="SJZ9" s="1202"/>
      <c r="SKA9" s="1202"/>
      <c r="SKB9" s="1202"/>
      <c r="SKC9" s="1202"/>
      <c r="SKD9" s="1202"/>
      <c r="SKE9" s="1202"/>
      <c r="SKF9" s="1202"/>
      <c r="SKG9" s="1202"/>
      <c r="SKH9" s="1202"/>
      <c r="SKI9" s="1202"/>
      <c r="SKJ9" s="1202"/>
      <c r="SKK9" s="1202"/>
      <c r="SKL9" s="1202"/>
      <c r="SKM9" s="1202"/>
      <c r="SKN9" s="1202"/>
      <c r="SKO9" s="1202"/>
      <c r="SKP9" s="1202"/>
      <c r="SKQ9" s="1202"/>
      <c r="SKR9" s="1202"/>
      <c r="SKS9" s="1202"/>
      <c r="SKT9" s="1202"/>
      <c r="SKU9" s="1202"/>
      <c r="SKV9" s="1202"/>
      <c r="SKW9" s="1202"/>
      <c r="SKX9" s="1202"/>
      <c r="SKY9" s="1202"/>
      <c r="SKZ9" s="1202"/>
      <c r="SLA9" s="1202"/>
      <c r="SLB9" s="1202"/>
      <c r="SLC9" s="1202"/>
      <c r="SLD9" s="1202"/>
      <c r="SLE9" s="1202"/>
      <c r="SLF9" s="1202"/>
      <c r="SLG9" s="1202"/>
      <c r="SLH9" s="1202"/>
      <c r="SLI9" s="1202"/>
      <c r="SLJ9" s="1202"/>
      <c r="SLK9" s="1202"/>
      <c r="SLL9" s="1202"/>
      <c r="SLM9" s="1202"/>
      <c r="SLN9" s="1202"/>
      <c r="SLO9" s="1202"/>
      <c r="SLP9" s="1202"/>
      <c r="SLQ9" s="1202"/>
      <c r="SLR9" s="1202"/>
      <c r="SLS9" s="1202"/>
      <c r="SLT9" s="1202"/>
      <c r="SLU9" s="1202"/>
      <c r="SLV9" s="1202"/>
      <c r="SLW9" s="1202"/>
      <c r="SLX9" s="1202"/>
      <c r="SLY9" s="1202"/>
      <c r="SLZ9" s="1202"/>
      <c r="SMA9" s="1202"/>
      <c r="SMB9" s="1202"/>
      <c r="SMC9" s="1202"/>
      <c r="SMD9" s="1202"/>
      <c r="SME9" s="1202"/>
      <c r="SMF9" s="1202"/>
      <c r="SMG9" s="1202"/>
      <c r="SMH9" s="1202"/>
      <c r="SMI9" s="1202"/>
      <c r="SMJ9" s="1202"/>
      <c r="SMK9" s="1202"/>
      <c r="SML9" s="1202"/>
      <c r="SMM9" s="1202"/>
      <c r="SMN9" s="1202"/>
      <c r="SMO9" s="1202"/>
      <c r="SMP9" s="1202"/>
      <c r="SMQ9" s="1202"/>
      <c r="SMR9" s="1202"/>
      <c r="SMS9" s="1202"/>
      <c r="SMT9" s="1202"/>
      <c r="SMU9" s="1202"/>
      <c r="SMV9" s="1202"/>
      <c r="SMW9" s="1202"/>
      <c r="SMX9" s="1202"/>
      <c r="SMY9" s="1202"/>
      <c r="SMZ9" s="1202"/>
      <c r="SNA9" s="1202"/>
      <c r="SNB9" s="1202"/>
      <c r="SNC9" s="1202"/>
      <c r="SND9" s="1202"/>
      <c r="SNE9" s="1202"/>
      <c r="SNF9" s="1202"/>
      <c r="SNG9" s="1202"/>
      <c r="SNH9" s="1202"/>
      <c r="SNI9" s="1202"/>
      <c r="SNJ9" s="1202"/>
      <c r="SNK9" s="1202"/>
      <c r="SNL9" s="1202"/>
      <c r="SNM9" s="1202"/>
      <c r="SNN9" s="1202"/>
      <c r="SNO9" s="1202"/>
      <c r="SNP9" s="1202"/>
      <c r="SNQ9" s="1202"/>
      <c r="SNR9" s="1202"/>
      <c r="SNS9" s="1202"/>
      <c r="SNT9" s="1202"/>
      <c r="SNU9" s="1202"/>
      <c r="SNV9" s="1202"/>
      <c r="SNW9" s="1202"/>
      <c r="SNX9" s="1202"/>
      <c r="SNY9" s="1202"/>
      <c r="SNZ9" s="1202"/>
      <c r="SOA9" s="1202"/>
      <c r="SOB9" s="1202"/>
      <c r="SOC9" s="1202"/>
      <c r="SOD9" s="1202"/>
      <c r="SOE9" s="1202"/>
      <c r="SOF9" s="1202"/>
      <c r="SOG9" s="1202"/>
      <c r="SOH9" s="1202"/>
      <c r="SOI9" s="1202"/>
      <c r="SOJ9" s="1202"/>
      <c r="SOK9" s="1202"/>
      <c r="SOL9" s="1202"/>
      <c r="SOM9" s="1202"/>
      <c r="SON9" s="1202"/>
      <c r="SOO9" s="1202"/>
      <c r="SOP9" s="1202"/>
      <c r="SOQ9" s="1202"/>
      <c r="SOR9" s="1202"/>
      <c r="SOS9" s="1202"/>
      <c r="SOT9" s="1202"/>
      <c r="SOU9" s="1202"/>
      <c r="SOV9" s="1202"/>
      <c r="SOW9" s="1202"/>
      <c r="SOX9" s="1202"/>
      <c r="SOY9" s="1202"/>
      <c r="SOZ9" s="1202"/>
      <c r="SPA9" s="1202"/>
      <c r="SPB9" s="1202"/>
      <c r="SPC9" s="1202"/>
      <c r="SPD9" s="1202"/>
      <c r="SPE9" s="1202"/>
      <c r="SPF9" s="1202"/>
      <c r="SPG9" s="1202"/>
      <c r="SPH9" s="1202"/>
      <c r="SPI9" s="1202"/>
      <c r="SPJ9" s="1202"/>
      <c r="SPK9" s="1202"/>
      <c r="SPL9" s="1202"/>
      <c r="SPM9" s="1202"/>
      <c r="SPN9" s="1202"/>
      <c r="SPO9" s="1202"/>
      <c r="SPP9" s="1202"/>
      <c r="SPQ9" s="1202"/>
      <c r="SPR9" s="1202"/>
      <c r="SPS9" s="1202"/>
      <c r="SPT9" s="1202"/>
      <c r="SPU9" s="1202"/>
      <c r="SPV9" s="1202"/>
      <c r="SPW9" s="1202"/>
      <c r="SPX9" s="1202"/>
      <c r="SPY9" s="1202"/>
      <c r="SPZ9" s="1202"/>
      <c r="SQA9" s="1202"/>
      <c r="SQB9" s="1202"/>
      <c r="SQC9" s="1202"/>
      <c r="SQD9" s="1202"/>
      <c r="SQE9" s="1202"/>
      <c r="SQF9" s="1202"/>
      <c r="SQG9" s="1202"/>
      <c r="SQH9" s="1202"/>
      <c r="SQI9" s="1202"/>
      <c r="SQJ9" s="1202"/>
      <c r="SQK9" s="1202"/>
      <c r="SQL9" s="1202"/>
      <c r="SQM9" s="1202"/>
      <c r="SQN9" s="1202"/>
      <c r="SQO9" s="1202"/>
      <c r="SQP9" s="1202"/>
      <c r="SQQ9" s="1202"/>
      <c r="SQR9" s="1202"/>
      <c r="SQS9" s="1202"/>
      <c r="SQT9" s="1202"/>
      <c r="SQU9" s="1202"/>
      <c r="SQV9" s="1202"/>
      <c r="SQW9" s="1202"/>
      <c r="SQX9" s="1202"/>
      <c r="SQY9" s="1202"/>
      <c r="SQZ9" s="1202"/>
      <c r="SRA9" s="1202"/>
      <c r="SRB9" s="1202"/>
      <c r="SRC9" s="1202"/>
      <c r="SRD9" s="1202"/>
      <c r="SRE9" s="1202"/>
      <c r="SRF9" s="1202"/>
      <c r="SRG9" s="1202"/>
      <c r="SRH9" s="1202"/>
      <c r="SRI9" s="1202"/>
      <c r="SRJ9" s="1202"/>
      <c r="SRK9" s="1202"/>
      <c r="SRL9" s="1202"/>
      <c r="SRM9" s="1202"/>
      <c r="SRN9" s="1202"/>
      <c r="SRO9" s="1202"/>
      <c r="SRP9" s="1202"/>
      <c r="SRQ9" s="1202"/>
      <c r="SRR9" s="1202"/>
      <c r="SRS9" s="1202"/>
      <c r="SRT9" s="1202"/>
      <c r="SRU9" s="1202"/>
      <c r="SRV9" s="1202"/>
      <c r="SRW9" s="1202"/>
      <c r="SRX9" s="1202"/>
      <c r="SRY9" s="1202"/>
      <c r="SRZ9" s="1202"/>
      <c r="SSA9" s="1202"/>
      <c r="SSB9" s="1202"/>
      <c r="SSC9" s="1202"/>
      <c r="SSD9" s="1202"/>
      <c r="SSE9" s="1202"/>
      <c r="SSF9" s="1202"/>
      <c r="SSG9" s="1202"/>
      <c r="SSH9" s="1202"/>
      <c r="SSI9" s="1202"/>
      <c r="SSJ9" s="1202"/>
      <c r="SSK9" s="1202"/>
      <c r="SSL9" s="1202"/>
      <c r="SSM9" s="1202"/>
      <c r="SSN9" s="1202"/>
      <c r="SSO9" s="1202"/>
      <c r="SSP9" s="1202"/>
      <c r="SSQ9" s="1202"/>
      <c r="SSR9" s="1202"/>
      <c r="SSS9" s="1202"/>
      <c r="SST9" s="1202"/>
      <c r="SSU9" s="1202"/>
      <c r="SSV9" s="1202"/>
      <c r="SSW9" s="1202"/>
      <c r="SSX9" s="1202"/>
      <c r="SSY9" s="1202"/>
      <c r="SSZ9" s="1202"/>
      <c r="STA9" s="1202"/>
      <c r="STB9" s="1202"/>
      <c r="STC9" s="1202"/>
      <c r="STD9" s="1202"/>
      <c r="STE9" s="1202"/>
      <c r="STF9" s="1202"/>
      <c r="STG9" s="1202"/>
      <c r="STH9" s="1202"/>
      <c r="STI9" s="1202"/>
      <c r="STJ9" s="1202"/>
      <c r="STK9" s="1202"/>
      <c r="STL9" s="1202"/>
      <c r="STM9" s="1202"/>
      <c r="STN9" s="1202"/>
      <c r="STO9" s="1202"/>
      <c r="STP9" s="1202"/>
      <c r="STQ9" s="1202"/>
      <c r="STR9" s="1202"/>
      <c r="STS9" s="1202"/>
      <c r="STT9" s="1202"/>
      <c r="STU9" s="1202"/>
      <c r="STV9" s="1202"/>
      <c r="STW9" s="1202"/>
      <c r="STX9" s="1202"/>
      <c r="STY9" s="1202"/>
      <c r="STZ9" s="1202"/>
      <c r="SUA9" s="1202"/>
      <c r="SUB9" s="1202"/>
      <c r="SUC9" s="1202"/>
      <c r="SUD9" s="1202"/>
      <c r="SUE9" s="1202"/>
      <c r="SUF9" s="1202"/>
      <c r="SUG9" s="1202"/>
      <c r="SUH9" s="1202"/>
      <c r="SUI9" s="1202"/>
      <c r="SUJ9" s="1202"/>
      <c r="SUK9" s="1202"/>
      <c r="SUL9" s="1202"/>
      <c r="SUM9" s="1202"/>
      <c r="SUN9" s="1202"/>
      <c r="SUO9" s="1202"/>
      <c r="SUP9" s="1202"/>
      <c r="SUQ9" s="1202"/>
      <c r="SUR9" s="1202"/>
      <c r="SUS9" s="1202"/>
      <c r="SUT9" s="1202"/>
      <c r="SUU9" s="1202"/>
      <c r="SUV9" s="1202"/>
      <c r="SUW9" s="1202"/>
      <c r="SUX9" s="1202"/>
      <c r="SUY9" s="1202"/>
      <c r="SUZ9" s="1202"/>
      <c r="SVA9" s="1202"/>
      <c r="SVB9" s="1202"/>
      <c r="SVC9" s="1202"/>
      <c r="SVD9" s="1202"/>
      <c r="SVE9" s="1202"/>
      <c r="SVF9" s="1202"/>
      <c r="SVG9" s="1202"/>
      <c r="SVH9" s="1202"/>
      <c r="SVI9" s="1202"/>
      <c r="SVJ9" s="1202"/>
      <c r="SVK9" s="1202"/>
      <c r="SVL9" s="1202"/>
      <c r="SVM9" s="1202"/>
      <c r="SVN9" s="1202"/>
      <c r="SVO9" s="1202"/>
      <c r="SVP9" s="1202"/>
      <c r="SVQ9" s="1202"/>
      <c r="SVR9" s="1202"/>
      <c r="SVS9" s="1202"/>
      <c r="SVT9" s="1202"/>
      <c r="SVU9" s="1202"/>
      <c r="SVV9" s="1202"/>
      <c r="SVW9" s="1202"/>
      <c r="SVX9" s="1202"/>
      <c r="SVY9" s="1202"/>
      <c r="SVZ9" s="1202"/>
      <c r="SWA9" s="1202"/>
      <c r="SWB9" s="1202"/>
      <c r="SWC9" s="1202"/>
      <c r="SWD9" s="1202"/>
      <c r="SWE9" s="1202"/>
      <c r="SWF9" s="1202"/>
      <c r="SWG9" s="1202"/>
      <c r="SWH9" s="1202"/>
      <c r="SWI9" s="1202"/>
      <c r="SWJ9" s="1202"/>
      <c r="SWK9" s="1202"/>
      <c r="SWL9" s="1202"/>
      <c r="SWM9" s="1202"/>
      <c r="SWN9" s="1202"/>
      <c r="SWO9" s="1202"/>
      <c r="SWP9" s="1202"/>
      <c r="SWQ9" s="1202"/>
      <c r="SWR9" s="1202"/>
      <c r="SWS9" s="1202"/>
      <c r="SWT9" s="1202"/>
      <c r="SWU9" s="1202"/>
      <c r="SWV9" s="1202"/>
      <c r="SWW9" s="1202"/>
      <c r="SWX9" s="1202"/>
      <c r="SWY9" s="1202"/>
      <c r="SWZ9" s="1202"/>
      <c r="SXA9" s="1202"/>
      <c r="SXB9" s="1202"/>
      <c r="SXC9" s="1202"/>
      <c r="SXD9" s="1202"/>
      <c r="SXE9" s="1202"/>
      <c r="SXF9" s="1202"/>
      <c r="SXG9" s="1202"/>
      <c r="SXH9" s="1202"/>
      <c r="SXI9" s="1202"/>
      <c r="SXJ9" s="1202"/>
      <c r="SXK9" s="1202"/>
      <c r="SXL9" s="1202"/>
      <c r="SXM9" s="1202"/>
      <c r="SXN9" s="1202"/>
      <c r="SXO9" s="1202"/>
      <c r="SXP9" s="1202"/>
      <c r="SXQ9" s="1202"/>
      <c r="SXR9" s="1202"/>
      <c r="SXS9" s="1202"/>
      <c r="SXT9" s="1202"/>
      <c r="SXU9" s="1202"/>
      <c r="SXV9" s="1202"/>
      <c r="SXW9" s="1202"/>
      <c r="SXX9" s="1202"/>
      <c r="SXY9" s="1202"/>
      <c r="SXZ9" s="1202"/>
      <c r="SYA9" s="1202"/>
      <c r="SYB9" s="1202"/>
      <c r="SYC9" s="1202"/>
      <c r="SYD9" s="1202"/>
      <c r="SYE9" s="1202"/>
      <c r="SYF9" s="1202"/>
      <c r="SYG9" s="1202"/>
      <c r="SYH9" s="1202"/>
      <c r="SYI9" s="1202"/>
      <c r="SYJ9" s="1202"/>
      <c r="SYK9" s="1202"/>
      <c r="SYL9" s="1202"/>
      <c r="SYM9" s="1202"/>
      <c r="SYN9" s="1202"/>
      <c r="SYO9" s="1202"/>
      <c r="SYP9" s="1202"/>
      <c r="SYQ9" s="1202"/>
      <c r="SYR9" s="1202"/>
      <c r="SYS9" s="1202"/>
      <c r="SYT9" s="1202"/>
      <c r="SYU9" s="1202"/>
      <c r="SYV9" s="1202"/>
      <c r="SYW9" s="1202"/>
      <c r="SYX9" s="1202"/>
      <c r="SYY9" s="1202"/>
      <c r="SYZ9" s="1202"/>
      <c r="SZA9" s="1202"/>
      <c r="SZB9" s="1202"/>
      <c r="SZC9" s="1202"/>
      <c r="SZD9" s="1202"/>
      <c r="SZE9" s="1202"/>
      <c r="SZF9" s="1202"/>
      <c r="SZG9" s="1202"/>
      <c r="SZH9" s="1202"/>
      <c r="SZI9" s="1202"/>
      <c r="SZJ9" s="1202"/>
      <c r="SZK9" s="1202"/>
      <c r="SZL9" s="1202"/>
      <c r="SZM9" s="1202"/>
      <c r="SZN9" s="1202"/>
      <c r="SZO9" s="1202"/>
      <c r="SZP9" s="1202"/>
      <c r="SZQ9" s="1202"/>
      <c r="SZR9" s="1202"/>
      <c r="SZS9" s="1202"/>
      <c r="SZT9" s="1202"/>
      <c r="SZU9" s="1202"/>
      <c r="SZV9" s="1202"/>
      <c r="SZW9" s="1202"/>
      <c r="SZX9" s="1202"/>
      <c r="SZY9" s="1202"/>
      <c r="SZZ9" s="1202"/>
      <c r="TAA9" s="1202"/>
      <c r="TAB9" s="1202"/>
      <c r="TAC9" s="1202"/>
      <c r="TAD9" s="1202"/>
      <c r="TAE9" s="1202"/>
      <c r="TAF9" s="1202"/>
      <c r="TAG9" s="1202"/>
      <c r="TAH9" s="1202"/>
      <c r="TAI9" s="1202"/>
      <c r="TAJ9" s="1202"/>
      <c r="TAK9" s="1202"/>
      <c r="TAL9" s="1202"/>
      <c r="TAM9" s="1202"/>
      <c r="TAN9" s="1202"/>
      <c r="TAO9" s="1202"/>
      <c r="TAP9" s="1202"/>
      <c r="TAQ9" s="1202"/>
      <c r="TAR9" s="1202"/>
      <c r="TAS9" s="1202"/>
      <c r="TAT9" s="1202"/>
      <c r="TAU9" s="1202"/>
      <c r="TAV9" s="1202"/>
      <c r="TAW9" s="1202"/>
      <c r="TAX9" s="1202"/>
      <c r="TAY9" s="1202"/>
      <c r="TAZ9" s="1202"/>
      <c r="TBA9" s="1202"/>
      <c r="TBB9" s="1202"/>
      <c r="TBC9" s="1202"/>
      <c r="TBD9" s="1202"/>
      <c r="TBE9" s="1202"/>
      <c r="TBF9" s="1202"/>
      <c r="TBG9" s="1202"/>
      <c r="TBH9" s="1202"/>
      <c r="TBI9" s="1202"/>
      <c r="TBJ9" s="1202"/>
      <c r="TBK9" s="1202"/>
      <c r="TBL9" s="1202"/>
      <c r="TBM9" s="1202"/>
      <c r="TBN9" s="1202"/>
      <c r="TBO9" s="1202"/>
      <c r="TBP9" s="1202"/>
      <c r="TBQ9" s="1202"/>
      <c r="TBR9" s="1202"/>
      <c r="TBS9" s="1202"/>
      <c r="TBT9" s="1202"/>
      <c r="TBU9" s="1202"/>
      <c r="TBV9" s="1202"/>
      <c r="TBW9" s="1202"/>
      <c r="TBX9" s="1202"/>
      <c r="TBY9" s="1202"/>
      <c r="TBZ9" s="1202"/>
      <c r="TCA9" s="1202"/>
      <c r="TCB9" s="1202"/>
      <c r="TCC9" s="1202"/>
      <c r="TCD9" s="1202"/>
      <c r="TCE9" s="1202"/>
      <c r="TCF9" s="1202"/>
      <c r="TCG9" s="1202"/>
      <c r="TCH9" s="1202"/>
      <c r="TCI9" s="1202"/>
      <c r="TCJ9" s="1202"/>
      <c r="TCK9" s="1202"/>
      <c r="TCL9" s="1202"/>
      <c r="TCM9" s="1202"/>
      <c r="TCN9" s="1202"/>
      <c r="TCO9" s="1202"/>
      <c r="TCP9" s="1202"/>
      <c r="TCQ9" s="1202"/>
      <c r="TCR9" s="1202"/>
      <c r="TCS9" s="1202"/>
      <c r="TCT9" s="1202"/>
      <c r="TCU9" s="1202"/>
      <c r="TCV9" s="1202"/>
      <c r="TCW9" s="1202"/>
      <c r="TCX9" s="1202"/>
      <c r="TCY9" s="1202"/>
      <c r="TCZ9" s="1202"/>
      <c r="TDA9" s="1202"/>
      <c r="TDB9" s="1202"/>
      <c r="TDC9" s="1202"/>
      <c r="TDD9" s="1202"/>
      <c r="TDE9" s="1202"/>
      <c r="TDF9" s="1202"/>
      <c r="TDG9" s="1202"/>
      <c r="TDH9" s="1202"/>
      <c r="TDI9" s="1202"/>
      <c r="TDJ9" s="1202"/>
      <c r="TDK9" s="1202"/>
      <c r="TDL9" s="1202"/>
      <c r="TDM9" s="1202"/>
      <c r="TDN9" s="1202"/>
      <c r="TDO9" s="1202"/>
      <c r="TDP9" s="1202"/>
      <c r="TDQ9" s="1202"/>
      <c r="TDR9" s="1202"/>
      <c r="TDS9" s="1202"/>
      <c r="TDT9" s="1202"/>
      <c r="TDU9" s="1202"/>
      <c r="TDV9" s="1202"/>
      <c r="TDW9" s="1202"/>
      <c r="TDX9" s="1202"/>
      <c r="TDY9" s="1202"/>
      <c r="TDZ9" s="1202"/>
      <c r="TEA9" s="1202"/>
      <c r="TEB9" s="1202"/>
      <c r="TEC9" s="1202"/>
      <c r="TED9" s="1202"/>
      <c r="TEE9" s="1202"/>
      <c r="TEF9" s="1202"/>
      <c r="TEG9" s="1202"/>
      <c r="TEH9" s="1202"/>
      <c r="TEI9" s="1202"/>
      <c r="TEJ9" s="1202"/>
      <c r="TEK9" s="1202"/>
      <c r="TEL9" s="1202"/>
      <c r="TEM9" s="1202"/>
      <c r="TEN9" s="1202"/>
      <c r="TEO9" s="1202"/>
      <c r="TEP9" s="1202"/>
      <c r="TEQ9" s="1202"/>
      <c r="TER9" s="1202"/>
      <c r="TES9" s="1202"/>
      <c r="TET9" s="1202"/>
      <c r="TEU9" s="1202"/>
      <c r="TEV9" s="1202"/>
      <c r="TEW9" s="1202"/>
      <c r="TEX9" s="1202"/>
      <c r="TEY9" s="1202"/>
      <c r="TEZ9" s="1202"/>
      <c r="TFA9" s="1202"/>
      <c r="TFB9" s="1202"/>
      <c r="TFC9" s="1202"/>
      <c r="TFD9" s="1202"/>
      <c r="TFE9" s="1202"/>
      <c r="TFF9" s="1202"/>
      <c r="TFG9" s="1202"/>
      <c r="TFH9" s="1202"/>
      <c r="TFI9" s="1202"/>
      <c r="TFJ9" s="1202"/>
      <c r="TFK9" s="1202"/>
      <c r="TFL9" s="1202"/>
      <c r="TFM9" s="1202"/>
      <c r="TFN9" s="1202"/>
      <c r="TFO9" s="1202"/>
      <c r="TFP9" s="1202"/>
      <c r="TFQ9" s="1202"/>
      <c r="TFR9" s="1202"/>
      <c r="TFS9" s="1202"/>
      <c r="TFT9" s="1202"/>
      <c r="TFU9" s="1202"/>
      <c r="TFV9" s="1202"/>
      <c r="TFW9" s="1202"/>
      <c r="TFX9" s="1202"/>
      <c r="TFY9" s="1202"/>
      <c r="TFZ9" s="1202"/>
      <c r="TGA9" s="1202"/>
      <c r="TGB9" s="1202"/>
      <c r="TGC9" s="1202"/>
      <c r="TGD9" s="1202"/>
      <c r="TGE9" s="1202"/>
      <c r="TGF9" s="1202"/>
      <c r="TGG9" s="1202"/>
      <c r="TGH9" s="1202"/>
      <c r="TGI9" s="1202"/>
      <c r="TGJ9" s="1202"/>
      <c r="TGK9" s="1202"/>
      <c r="TGL9" s="1202"/>
      <c r="TGM9" s="1202"/>
      <c r="TGN9" s="1202"/>
      <c r="TGO9" s="1202"/>
      <c r="TGP9" s="1202"/>
      <c r="TGQ9" s="1202"/>
      <c r="TGR9" s="1202"/>
      <c r="TGS9" s="1202"/>
      <c r="TGT9" s="1202"/>
      <c r="TGU9" s="1202"/>
      <c r="TGV9" s="1202"/>
      <c r="TGW9" s="1202"/>
      <c r="TGX9" s="1202"/>
      <c r="TGY9" s="1202"/>
      <c r="TGZ9" s="1202"/>
      <c r="THA9" s="1202"/>
      <c r="THB9" s="1202"/>
      <c r="THC9" s="1202"/>
      <c r="THD9" s="1202"/>
      <c r="THE9" s="1202"/>
      <c r="THF9" s="1202"/>
      <c r="THG9" s="1202"/>
      <c r="THH9" s="1202"/>
      <c r="THI9" s="1202"/>
      <c r="THJ9" s="1202"/>
      <c r="THK9" s="1202"/>
      <c r="THL9" s="1202"/>
      <c r="THM9" s="1202"/>
      <c r="THN9" s="1202"/>
      <c r="THO9" s="1202"/>
      <c r="THP9" s="1202"/>
      <c r="THQ9" s="1202"/>
      <c r="THR9" s="1202"/>
      <c r="THS9" s="1202"/>
      <c r="THT9" s="1202"/>
      <c r="THU9" s="1202"/>
      <c r="THV9" s="1202"/>
      <c r="THW9" s="1202"/>
      <c r="THX9" s="1202"/>
      <c r="THY9" s="1202"/>
      <c r="THZ9" s="1202"/>
      <c r="TIA9" s="1202"/>
      <c r="TIB9" s="1202"/>
      <c r="TIC9" s="1202"/>
      <c r="TID9" s="1202"/>
      <c r="TIE9" s="1202"/>
      <c r="TIF9" s="1202"/>
      <c r="TIG9" s="1202"/>
      <c r="TIH9" s="1202"/>
      <c r="TII9" s="1202"/>
      <c r="TIJ9" s="1202"/>
      <c r="TIK9" s="1202"/>
      <c r="TIL9" s="1202"/>
      <c r="TIM9" s="1202"/>
      <c r="TIN9" s="1202"/>
      <c r="TIO9" s="1202"/>
      <c r="TIP9" s="1202"/>
      <c r="TIQ9" s="1202"/>
      <c r="TIR9" s="1202"/>
      <c r="TIS9" s="1202"/>
      <c r="TIT9" s="1202"/>
      <c r="TIU9" s="1202"/>
      <c r="TIV9" s="1202"/>
      <c r="TIW9" s="1202"/>
      <c r="TIX9" s="1202"/>
      <c r="TIY9" s="1202"/>
      <c r="TIZ9" s="1202"/>
      <c r="TJA9" s="1202"/>
      <c r="TJB9" s="1202"/>
      <c r="TJC9" s="1202"/>
      <c r="TJD9" s="1202"/>
      <c r="TJE9" s="1202"/>
      <c r="TJF9" s="1202"/>
      <c r="TJG9" s="1202"/>
      <c r="TJH9" s="1202"/>
      <c r="TJI9" s="1202"/>
      <c r="TJJ9" s="1202"/>
      <c r="TJK9" s="1202"/>
      <c r="TJL9" s="1202"/>
      <c r="TJM9" s="1202"/>
      <c r="TJN9" s="1202"/>
      <c r="TJO9" s="1202"/>
      <c r="TJP9" s="1202"/>
      <c r="TJQ9" s="1202"/>
      <c r="TJR9" s="1202"/>
      <c r="TJS9" s="1202"/>
      <c r="TJT9" s="1202"/>
      <c r="TJU9" s="1202"/>
      <c r="TJV9" s="1202"/>
      <c r="TJW9" s="1202"/>
      <c r="TJX9" s="1202"/>
      <c r="TJY9" s="1202"/>
      <c r="TJZ9" s="1202"/>
      <c r="TKA9" s="1202"/>
      <c r="TKB9" s="1202"/>
      <c r="TKC9" s="1202"/>
      <c r="TKD9" s="1202"/>
      <c r="TKE9" s="1202"/>
      <c r="TKF9" s="1202"/>
      <c r="TKG9" s="1202"/>
      <c r="TKH9" s="1202"/>
      <c r="TKI9" s="1202"/>
      <c r="TKJ9" s="1202"/>
      <c r="TKK9" s="1202"/>
      <c r="TKL9" s="1202"/>
      <c r="TKM9" s="1202"/>
      <c r="TKN9" s="1202"/>
      <c r="TKO9" s="1202"/>
      <c r="TKP9" s="1202"/>
      <c r="TKQ9" s="1202"/>
      <c r="TKR9" s="1202"/>
      <c r="TKS9" s="1202"/>
      <c r="TKT9" s="1202"/>
      <c r="TKU9" s="1202"/>
      <c r="TKV9" s="1202"/>
      <c r="TKW9" s="1202"/>
      <c r="TKX9" s="1202"/>
      <c r="TKY9" s="1202"/>
      <c r="TKZ9" s="1202"/>
      <c r="TLA9" s="1202"/>
      <c r="TLB9" s="1202"/>
      <c r="TLC9" s="1202"/>
      <c r="TLD9" s="1202"/>
      <c r="TLE9" s="1202"/>
      <c r="TLF9" s="1202"/>
      <c r="TLG9" s="1202"/>
      <c r="TLH9" s="1202"/>
      <c r="TLI9" s="1202"/>
      <c r="TLJ9" s="1202"/>
      <c r="TLK9" s="1202"/>
      <c r="TLL9" s="1202"/>
      <c r="TLM9" s="1202"/>
      <c r="TLN9" s="1202"/>
      <c r="TLO9" s="1202"/>
      <c r="TLP9" s="1202"/>
      <c r="TLQ9" s="1202"/>
      <c r="TLR9" s="1202"/>
      <c r="TLS9" s="1202"/>
      <c r="TLT9" s="1202"/>
      <c r="TLU9" s="1202"/>
      <c r="TLV9" s="1202"/>
      <c r="TLW9" s="1202"/>
      <c r="TLX9" s="1202"/>
      <c r="TLY9" s="1202"/>
      <c r="TLZ9" s="1202"/>
      <c r="TMA9" s="1202"/>
      <c r="TMB9" s="1202"/>
      <c r="TMC9" s="1202"/>
      <c r="TMD9" s="1202"/>
      <c r="TME9" s="1202"/>
      <c r="TMF9" s="1202"/>
      <c r="TMG9" s="1202"/>
      <c r="TMH9" s="1202"/>
      <c r="TMI9" s="1202"/>
      <c r="TMJ9" s="1202"/>
      <c r="TMK9" s="1202"/>
      <c r="TML9" s="1202"/>
      <c r="TMM9" s="1202"/>
      <c r="TMN9" s="1202"/>
      <c r="TMO9" s="1202"/>
      <c r="TMP9" s="1202"/>
      <c r="TMQ9" s="1202"/>
      <c r="TMR9" s="1202"/>
      <c r="TMS9" s="1202"/>
      <c r="TMT9" s="1202"/>
      <c r="TMU9" s="1202"/>
      <c r="TMV9" s="1202"/>
      <c r="TMW9" s="1202"/>
      <c r="TMX9" s="1202"/>
      <c r="TMY9" s="1202"/>
      <c r="TMZ9" s="1202"/>
      <c r="TNA9" s="1202"/>
      <c r="TNB9" s="1202"/>
      <c r="TNC9" s="1202"/>
      <c r="TND9" s="1202"/>
      <c r="TNE9" s="1202"/>
      <c r="TNF9" s="1202"/>
      <c r="TNG9" s="1202"/>
      <c r="TNH9" s="1202"/>
      <c r="TNI9" s="1202"/>
      <c r="TNJ9" s="1202"/>
      <c r="TNK9" s="1202"/>
      <c r="TNL9" s="1202"/>
      <c r="TNM9" s="1202"/>
      <c r="TNN9" s="1202"/>
      <c r="TNO9" s="1202"/>
      <c r="TNP9" s="1202"/>
      <c r="TNQ9" s="1202"/>
      <c r="TNR9" s="1202"/>
      <c r="TNS9" s="1202"/>
      <c r="TNT9" s="1202"/>
      <c r="TNU9" s="1202"/>
      <c r="TNV9" s="1202"/>
      <c r="TNW9" s="1202"/>
      <c r="TNX9" s="1202"/>
      <c r="TNY9" s="1202"/>
      <c r="TNZ9" s="1202"/>
      <c r="TOA9" s="1202"/>
      <c r="TOB9" s="1202"/>
      <c r="TOC9" s="1202"/>
      <c r="TOD9" s="1202"/>
      <c r="TOE9" s="1202"/>
      <c r="TOF9" s="1202"/>
      <c r="TOG9" s="1202"/>
      <c r="TOH9" s="1202"/>
      <c r="TOI9" s="1202"/>
      <c r="TOJ9" s="1202"/>
      <c r="TOK9" s="1202"/>
      <c r="TOL9" s="1202"/>
      <c r="TOM9" s="1202"/>
      <c r="TON9" s="1202"/>
      <c r="TOO9" s="1202"/>
      <c r="TOP9" s="1202"/>
      <c r="TOQ9" s="1202"/>
      <c r="TOR9" s="1202"/>
      <c r="TOS9" s="1202"/>
      <c r="TOT9" s="1202"/>
      <c r="TOU9" s="1202"/>
      <c r="TOV9" s="1202"/>
      <c r="TOW9" s="1202"/>
      <c r="TOX9" s="1202"/>
      <c r="TOY9" s="1202"/>
      <c r="TOZ9" s="1202"/>
      <c r="TPA9" s="1202"/>
      <c r="TPB9" s="1202"/>
      <c r="TPC9" s="1202"/>
      <c r="TPD9" s="1202"/>
      <c r="TPE9" s="1202"/>
      <c r="TPF9" s="1202"/>
      <c r="TPG9" s="1202"/>
      <c r="TPH9" s="1202"/>
      <c r="TPI9" s="1202"/>
      <c r="TPJ9" s="1202"/>
      <c r="TPK9" s="1202"/>
      <c r="TPL9" s="1202"/>
      <c r="TPM9" s="1202"/>
      <c r="TPN9" s="1202"/>
      <c r="TPO9" s="1202"/>
      <c r="TPP9" s="1202"/>
      <c r="TPQ9" s="1202"/>
      <c r="TPR9" s="1202"/>
      <c r="TPS9" s="1202"/>
      <c r="TPT9" s="1202"/>
      <c r="TPU9" s="1202"/>
      <c r="TPV9" s="1202"/>
      <c r="TPW9" s="1202"/>
      <c r="TPX9" s="1202"/>
      <c r="TPY9" s="1202"/>
      <c r="TPZ9" s="1202"/>
      <c r="TQA9" s="1202"/>
      <c r="TQB9" s="1202"/>
      <c r="TQC9" s="1202"/>
      <c r="TQD9" s="1202"/>
      <c r="TQE9" s="1202"/>
      <c r="TQF9" s="1202"/>
      <c r="TQG9" s="1202"/>
      <c r="TQH9" s="1202"/>
      <c r="TQI9" s="1202"/>
      <c r="TQJ9" s="1202"/>
      <c r="TQK9" s="1202"/>
      <c r="TQL9" s="1202"/>
      <c r="TQM9" s="1202"/>
      <c r="TQN9" s="1202"/>
      <c r="TQO9" s="1202"/>
      <c r="TQP9" s="1202"/>
      <c r="TQQ9" s="1202"/>
      <c r="TQR9" s="1202"/>
      <c r="TQS9" s="1202"/>
      <c r="TQT9" s="1202"/>
      <c r="TQU9" s="1202"/>
      <c r="TQV9" s="1202"/>
      <c r="TQW9" s="1202"/>
      <c r="TQX9" s="1202"/>
      <c r="TQY9" s="1202"/>
      <c r="TQZ9" s="1202"/>
      <c r="TRA9" s="1202"/>
      <c r="TRB9" s="1202"/>
      <c r="TRC9" s="1202"/>
      <c r="TRD9" s="1202"/>
      <c r="TRE9" s="1202"/>
      <c r="TRF9" s="1202"/>
      <c r="TRG9" s="1202"/>
      <c r="TRH9" s="1202"/>
      <c r="TRI9" s="1202"/>
      <c r="TRJ9" s="1202"/>
      <c r="TRK9" s="1202"/>
      <c r="TRL9" s="1202"/>
      <c r="TRM9" s="1202"/>
      <c r="TRN9" s="1202"/>
      <c r="TRO9" s="1202"/>
      <c r="TRP9" s="1202"/>
      <c r="TRQ9" s="1202"/>
      <c r="TRR9" s="1202"/>
      <c r="TRS9" s="1202"/>
      <c r="TRT9" s="1202"/>
      <c r="TRU9" s="1202"/>
      <c r="TRV9" s="1202"/>
      <c r="TRW9" s="1202"/>
      <c r="TRX9" s="1202"/>
      <c r="TRY9" s="1202"/>
      <c r="TRZ9" s="1202"/>
      <c r="TSA9" s="1202"/>
      <c r="TSB9" s="1202"/>
      <c r="TSC9" s="1202"/>
      <c r="TSD9" s="1202"/>
      <c r="TSE9" s="1202"/>
      <c r="TSF9" s="1202"/>
      <c r="TSG9" s="1202"/>
      <c r="TSH9" s="1202"/>
      <c r="TSI9" s="1202"/>
      <c r="TSJ9" s="1202"/>
      <c r="TSK9" s="1202"/>
      <c r="TSL9" s="1202"/>
      <c r="TSM9" s="1202"/>
      <c r="TSN9" s="1202"/>
      <c r="TSO9" s="1202"/>
      <c r="TSP9" s="1202"/>
      <c r="TSQ9" s="1202"/>
      <c r="TSR9" s="1202"/>
      <c r="TSS9" s="1202"/>
      <c r="TST9" s="1202"/>
      <c r="TSU9" s="1202"/>
      <c r="TSV9" s="1202"/>
      <c r="TSW9" s="1202"/>
      <c r="TSX9" s="1202"/>
      <c r="TSY9" s="1202"/>
      <c r="TSZ9" s="1202"/>
      <c r="TTA9" s="1202"/>
      <c r="TTB9" s="1202"/>
      <c r="TTC9" s="1202"/>
      <c r="TTD9" s="1202"/>
      <c r="TTE9" s="1202"/>
      <c r="TTF9" s="1202"/>
      <c r="TTG9" s="1202"/>
      <c r="TTH9" s="1202"/>
      <c r="TTI9" s="1202"/>
      <c r="TTJ9" s="1202"/>
      <c r="TTK9" s="1202"/>
      <c r="TTL9" s="1202"/>
      <c r="TTM9" s="1202"/>
      <c r="TTN9" s="1202"/>
      <c r="TTO9" s="1202"/>
      <c r="TTP9" s="1202"/>
      <c r="TTQ9" s="1202"/>
      <c r="TTR9" s="1202"/>
      <c r="TTS9" s="1202"/>
      <c r="TTT9" s="1202"/>
      <c r="TTU9" s="1202"/>
      <c r="TTV9" s="1202"/>
      <c r="TTW9" s="1202"/>
      <c r="TTX9" s="1202"/>
      <c r="TTY9" s="1202"/>
      <c r="TTZ9" s="1202"/>
      <c r="TUA9" s="1202"/>
      <c r="TUB9" s="1202"/>
      <c r="TUC9" s="1202"/>
      <c r="TUD9" s="1202"/>
      <c r="TUE9" s="1202"/>
      <c r="TUF9" s="1202"/>
      <c r="TUG9" s="1202"/>
      <c r="TUH9" s="1202"/>
      <c r="TUI9" s="1202"/>
      <c r="TUJ9" s="1202"/>
      <c r="TUK9" s="1202"/>
      <c r="TUL9" s="1202"/>
      <c r="TUM9" s="1202"/>
      <c r="TUN9" s="1202"/>
      <c r="TUO9" s="1202"/>
      <c r="TUP9" s="1202"/>
      <c r="TUQ9" s="1202"/>
      <c r="TUR9" s="1202"/>
      <c r="TUS9" s="1202"/>
      <c r="TUT9" s="1202"/>
      <c r="TUU9" s="1202"/>
      <c r="TUV9" s="1202"/>
      <c r="TUW9" s="1202"/>
      <c r="TUX9" s="1202"/>
      <c r="TUY9" s="1202"/>
      <c r="TUZ9" s="1202"/>
      <c r="TVA9" s="1202"/>
      <c r="TVB9" s="1202"/>
      <c r="TVC9" s="1202"/>
      <c r="TVD9" s="1202"/>
      <c r="TVE9" s="1202"/>
      <c r="TVF9" s="1202"/>
      <c r="TVG9" s="1202"/>
      <c r="TVH9" s="1202"/>
      <c r="TVI9" s="1202"/>
      <c r="TVJ9" s="1202"/>
      <c r="TVK9" s="1202"/>
      <c r="TVL9" s="1202"/>
      <c r="TVM9" s="1202"/>
      <c r="TVN9" s="1202"/>
      <c r="TVO9" s="1202"/>
      <c r="TVP9" s="1202"/>
      <c r="TVQ9" s="1202"/>
      <c r="TVR9" s="1202"/>
      <c r="TVS9" s="1202"/>
      <c r="TVT9" s="1202"/>
      <c r="TVU9" s="1202"/>
      <c r="TVV9" s="1202"/>
      <c r="TVW9" s="1202"/>
      <c r="TVX9" s="1202"/>
      <c r="TVY9" s="1202"/>
      <c r="TVZ9" s="1202"/>
      <c r="TWA9" s="1202"/>
      <c r="TWB9" s="1202"/>
      <c r="TWC9" s="1202"/>
      <c r="TWD9" s="1202"/>
      <c r="TWE9" s="1202"/>
      <c r="TWF9" s="1202"/>
      <c r="TWG9" s="1202"/>
      <c r="TWH9" s="1202"/>
      <c r="TWI9" s="1202"/>
      <c r="TWJ9" s="1202"/>
      <c r="TWK9" s="1202"/>
      <c r="TWL9" s="1202"/>
      <c r="TWM9" s="1202"/>
      <c r="TWN9" s="1202"/>
      <c r="TWO9" s="1202"/>
      <c r="TWP9" s="1202"/>
      <c r="TWQ9" s="1202"/>
      <c r="TWR9" s="1202"/>
      <c r="TWS9" s="1202"/>
      <c r="TWT9" s="1202"/>
      <c r="TWU9" s="1202"/>
      <c r="TWV9" s="1202"/>
      <c r="TWW9" s="1202"/>
      <c r="TWX9" s="1202"/>
      <c r="TWY9" s="1202"/>
      <c r="TWZ9" s="1202"/>
      <c r="TXA9" s="1202"/>
      <c r="TXB9" s="1202"/>
      <c r="TXC9" s="1202"/>
      <c r="TXD9" s="1202"/>
      <c r="TXE9" s="1202"/>
      <c r="TXF9" s="1202"/>
      <c r="TXG9" s="1202"/>
      <c r="TXH9" s="1202"/>
      <c r="TXI9" s="1202"/>
      <c r="TXJ9" s="1202"/>
      <c r="TXK9" s="1202"/>
      <c r="TXL9" s="1202"/>
      <c r="TXM9" s="1202"/>
      <c r="TXN9" s="1202"/>
      <c r="TXO9" s="1202"/>
      <c r="TXP9" s="1202"/>
      <c r="TXQ9" s="1202"/>
      <c r="TXR9" s="1202"/>
      <c r="TXS9" s="1202"/>
      <c r="TXT9" s="1202"/>
      <c r="TXU9" s="1202"/>
      <c r="TXV9" s="1202"/>
      <c r="TXW9" s="1202"/>
      <c r="TXX9" s="1202"/>
      <c r="TXY9" s="1202"/>
      <c r="TXZ9" s="1202"/>
      <c r="TYA9" s="1202"/>
      <c r="TYB9" s="1202"/>
      <c r="TYC9" s="1202"/>
      <c r="TYD9" s="1202"/>
      <c r="TYE9" s="1202"/>
      <c r="TYF9" s="1202"/>
      <c r="TYG9" s="1202"/>
      <c r="TYH9" s="1202"/>
      <c r="TYI9" s="1202"/>
      <c r="TYJ9" s="1202"/>
      <c r="TYK9" s="1202"/>
      <c r="TYL9" s="1202"/>
      <c r="TYM9" s="1202"/>
      <c r="TYN9" s="1202"/>
      <c r="TYO9" s="1202"/>
      <c r="TYP9" s="1202"/>
      <c r="TYQ9" s="1202"/>
      <c r="TYR9" s="1202"/>
      <c r="TYS9" s="1202"/>
      <c r="TYT9" s="1202"/>
      <c r="TYU9" s="1202"/>
      <c r="TYV9" s="1202"/>
      <c r="TYW9" s="1202"/>
      <c r="TYX9" s="1202"/>
      <c r="TYY9" s="1202"/>
      <c r="TYZ9" s="1202"/>
      <c r="TZA9" s="1202"/>
      <c r="TZB9" s="1202"/>
      <c r="TZC9" s="1202"/>
      <c r="TZD9" s="1202"/>
      <c r="TZE9" s="1202"/>
      <c r="TZF9" s="1202"/>
      <c r="TZG9" s="1202"/>
      <c r="TZH9" s="1202"/>
      <c r="TZI9" s="1202"/>
      <c r="TZJ9" s="1202"/>
      <c r="TZK9" s="1202"/>
      <c r="TZL9" s="1202"/>
      <c r="TZM9" s="1202"/>
      <c r="TZN9" s="1202"/>
      <c r="TZO9" s="1202"/>
      <c r="TZP9" s="1202"/>
      <c r="TZQ9" s="1202"/>
      <c r="TZR9" s="1202"/>
      <c r="TZS9" s="1202"/>
      <c r="TZT9" s="1202"/>
      <c r="TZU9" s="1202"/>
      <c r="TZV9" s="1202"/>
      <c r="TZW9" s="1202"/>
      <c r="TZX9" s="1202"/>
      <c r="TZY9" s="1202"/>
      <c r="TZZ9" s="1202"/>
      <c r="UAA9" s="1202"/>
      <c r="UAB9" s="1202"/>
      <c r="UAC9" s="1202"/>
      <c r="UAD9" s="1202"/>
      <c r="UAE9" s="1202"/>
      <c r="UAF9" s="1202"/>
      <c r="UAG9" s="1202"/>
      <c r="UAH9" s="1202"/>
      <c r="UAI9" s="1202"/>
      <c r="UAJ9" s="1202"/>
      <c r="UAK9" s="1202"/>
      <c r="UAL9" s="1202"/>
      <c r="UAM9" s="1202"/>
      <c r="UAN9" s="1202"/>
      <c r="UAO9" s="1202"/>
      <c r="UAP9" s="1202"/>
      <c r="UAQ9" s="1202"/>
      <c r="UAR9" s="1202"/>
      <c r="UAS9" s="1202"/>
      <c r="UAT9" s="1202"/>
      <c r="UAU9" s="1202"/>
      <c r="UAV9" s="1202"/>
      <c r="UAW9" s="1202"/>
      <c r="UAX9" s="1202"/>
      <c r="UAY9" s="1202"/>
      <c r="UAZ9" s="1202"/>
      <c r="UBA9" s="1202"/>
      <c r="UBB9" s="1202"/>
      <c r="UBC9" s="1202"/>
      <c r="UBD9" s="1202"/>
      <c r="UBE9" s="1202"/>
      <c r="UBF9" s="1202"/>
      <c r="UBG9" s="1202"/>
      <c r="UBH9" s="1202"/>
      <c r="UBI9" s="1202"/>
      <c r="UBJ9" s="1202"/>
      <c r="UBK9" s="1202"/>
      <c r="UBL9" s="1202"/>
      <c r="UBM9" s="1202"/>
      <c r="UBN9" s="1202"/>
      <c r="UBO9" s="1202"/>
      <c r="UBP9" s="1202"/>
      <c r="UBQ9" s="1202"/>
      <c r="UBR9" s="1202"/>
      <c r="UBS9" s="1202"/>
      <c r="UBT9" s="1202"/>
      <c r="UBU9" s="1202"/>
      <c r="UBV9" s="1202"/>
      <c r="UBW9" s="1202"/>
      <c r="UBX9" s="1202"/>
      <c r="UBY9" s="1202"/>
      <c r="UBZ9" s="1202"/>
      <c r="UCA9" s="1202"/>
      <c r="UCB9" s="1202"/>
      <c r="UCC9" s="1202"/>
      <c r="UCD9" s="1202"/>
      <c r="UCE9" s="1202"/>
      <c r="UCF9" s="1202"/>
      <c r="UCG9" s="1202"/>
      <c r="UCH9" s="1202"/>
      <c r="UCI9" s="1202"/>
      <c r="UCJ9" s="1202"/>
      <c r="UCK9" s="1202"/>
      <c r="UCL9" s="1202"/>
      <c r="UCM9" s="1202"/>
      <c r="UCN9" s="1202"/>
      <c r="UCO9" s="1202"/>
      <c r="UCP9" s="1202"/>
      <c r="UCQ9" s="1202"/>
      <c r="UCR9" s="1202"/>
      <c r="UCS9" s="1202"/>
      <c r="UCT9" s="1202"/>
      <c r="UCU9" s="1202"/>
      <c r="UCV9" s="1202"/>
      <c r="UCW9" s="1202"/>
      <c r="UCX9" s="1202"/>
      <c r="UCY9" s="1202"/>
      <c r="UCZ9" s="1202"/>
      <c r="UDA9" s="1202"/>
      <c r="UDB9" s="1202"/>
      <c r="UDC9" s="1202"/>
      <c r="UDD9" s="1202"/>
      <c r="UDE9" s="1202"/>
      <c r="UDF9" s="1202"/>
      <c r="UDG9" s="1202"/>
      <c r="UDH9" s="1202"/>
      <c r="UDI9" s="1202"/>
      <c r="UDJ9" s="1202"/>
      <c r="UDK9" s="1202"/>
      <c r="UDL9" s="1202"/>
      <c r="UDM9" s="1202"/>
      <c r="UDN9" s="1202"/>
      <c r="UDO9" s="1202"/>
      <c r="UDP9" s="1202"/>
      <c r="UDQ9" s="1202"/>
      <c r="UDR9" s="1202"/>
      <c r="UDS9" s="1202"/>
      <c r="UDT9" s="1202"/>
      <c r="UDU9" s="1202"/>
      <c r="UDV9" s="1202"/>
      <c r="UDW9" s="1202"/>
      <c r="UDX9" s="1202"/>
      <c r="UDY9" s="1202"/>
      <c r="UDZ9" s="1202"/>
      <c r="UEA9" s="1202"/>
      <c r="UEB9" s="1202"/>
      <c r="UEC9" s="1202"/>
      <c r="UED9" s="1202"/>
      <c r="UEE9" s="1202"/>
      <c r="UEF9" s="1202"/>
      <c r="UEG9" s="1202"/>
      <c r="UEH9" s="1202"/>
      <c r="UEI9" s="1202"/>
      <c r="UEJ9" s="1202"/>
      <c r="UEK9" s="1202"/>
      <c r="UEL9" s="1202"/>
      <c r="UEM9" s="1202"/>
      <c r="UEN9" s="1202"/>
      <c r="UEO9" s="1202"/>
      <c r="UEP9" s="1202"/>
      <c r="UEQ9" s="1202"/>
      <c r="UER9" s="1202"/>
      <c r="UES9" s="1202"/>
      <c r="UET9" s="1202"/>
      <c r="UEU9" s="1202"/>
      <c r="UEV9" s="1202"/>
      <c r="UEW9" s="1202"/>
      <c r="UEX9" s="1202"/>
      <c r="UEY9" s="1202"/>
      <c r="UEZ9" s="1202"/>
      <c r="UFA9" s="1202"/>
      <c r="UFB9" s="1202"/>
      <c r="UFC9" s="1202"/>
      <c r="UFD9" s="1202"/>
      <c r="UFE9" s="1202"/>
      <c r="UFF9" s="1202"/>
      <c r="UFG9" s="1202"/>
      <c r="UFH9" s="1202"/>
      <c r="UFI9" s="1202"/>
      <c r="UFJ9" s="1202"/>
      <c r="UFK9" s="1202"/>
      <c r="UFL9" s="1202"/>
      <c r="UFM9" s="1202"/>
      <c r="UFN9" s="1202"/>
      <c r="UFO9" s="1202"/>
      <c r="UFP9" s="1202"/>
      <c r="UFQ9" s="1202"/>
      <c r="UFR9" s="1202"/>
      <c r="UFS9" s="1202"/>
      <c r="UFT9" s="1202"/>
      <c r="UFU9" s="1202"/>
      <c r="UFV9" s="1202"/>
      <c r="UFW9" s="1202"/>
      <c r="UFX9" s="1202"/>
      <c r="UFY9" s="1202"/>
      <c r="UFZ9" s="1202"/>
      <c r="UGA9" s="1202"/>
      <c r="UGB9" s="1202"/>
      <c r="UGC9" s="1202"/>
      <c r="UGD9" s="1202"/>
      <c r="UGE9" s="1202"/>
      <c r="UGF9" s="1202"/>
      <c r="UGG9" s="1202"/>
      <c r="UGH9" s="1202"/>
      <c r="UGI9" s="1202"/>
      <c r="UGJ9" s="1202"/>
      <c r="UGK9" s="1202"/>
      <c r="UGL9" s="1202"/>
      <c r="UGM9" s="1202"/>
      <c r="UGN9" s="1202"/>
      <c r="UGO9" s="1202"/>
      <c r="UGP9" s="1202"/>
      <c r="UGQ9" s="1202"/>
      <c r="UGR9" s="1202"/>
      <c r="UGS9" s="1202"/>
      <c r="UGT9" s="1202"/>
      <c r="UGU9" s="1202"/>
      <c r="UGV9" s="1202"/>
      <c r="UGW9" s="1202"/>
      <c r="UGX9" s="1202"/>
      <c r="UGY9" s="1202"/>
      <c r="UGZ9" s="1202"/>
      <c r="UHA9" s="1202"/>
      <c r="UHB9" s="1202"/>
      <c r="UHC9" s="1202"/>
      <c r="UHD9" s="1202"/>
      <c r="UHE9" s="1202"/>
      <c r="UHF9" s="1202"/>
      <c r="UHG9" s="1202"/>
      <c r="UHH9" s="1202"/>
      <c r="UHI9" s="1202"/>
      <c r="UHJ9" s="1202"/>
      <c r="UHK9" s="1202"/>
      <c r="UHL9" s="1202"/>
      <c r="UHM9" s="1202"/>
      <c r="UHN9" s="1202"/>
      <c r="UHO9" s="1202"/>
      <c r="UHP9" s="1202"/>
      <c r="UHQ9" s="1202"/>
      <c r="UHR9" s="1202"/>
      <c r="UHS9" s="1202"/>
      <c r="UHT9" s="1202"/>
      <c r="UHU9" s="1202"/>
      <c r="UHV9" s="1202"/>
      <c r="UHW9" s="1202"/>
      <c r="UHX9" s="1202"/>
      <c r="UHY9" s="1202"/>
      <c r="UHZ9" s="1202"/>
      <c r="UIA9" s="1202"/>
      <c r="UIB9" s="1202"/>
      <c r="UIC9" s="1202"/>
      <c r="UID9" s="1202"/>
      <c r="UIE9" s="1202"/>
      <c r="UIF9" s="1202"/>
      <c r="UIG9" s="1202"/>
      <c r="UIH9" s="1202"/>
      <c r="UII9" s="1202"/>
      <c r="UIJ9" s="1202"/>
      <c r="UIK9" s="1202"/>
      <c r="UIL9" s="1202"/>
      <c r="UIM9" s="1202"/>
      <c r="UIN9" s="1202"/>
      <c r="UIO9" s="1202"/>
      <c r="UIP9" s="1202"/>
      <c r="UIQ9" s="1202"/>
      <c r="UIR9" s="1202"/>
      <c r="UIS9" s="1202"/>
      <c r="UIT9" s="1202"/>
      <c r="UIU9" s="1202"/>
      <c r="UIV9" s="1202"/>
      <c r="UIW9" s="1202"/>
      <c r="UIX9" s="1202"/>
      <c r="UIY9" s="1202"/>
      <c r="UIZ9" s="1202"/>
      <c r="UJA9" s="1202"/>
      <c r="UJB9" s="1202"/>
      <c r="UJC9" s="1202"/>
      <c r="UJD9" s="1202"/>
      <c r="UJE9" s="1202"/>
      <c r="UJF9" s="1202"/>
      <c r="UJG9" s="1202"/>
      <c r="UJH9" s="1202"/>
      <c r="UJI9" s="1202"/>
      <c r="UJJ9" s="1202"/>
      <c r="UJK9" s="1202"/>
      <c r="UJL9" s="1202"/>
      <c r="UJM9" s="1202"/>
      <c r="UJN9" s="1202"/>
      <c r="UJO9" s="1202"/>
      <c r="UJP9" s="1202"/>
      <c r="UJQ9" s="1202"/>
      <c r="UJR9" s="1202"/>
      <c r="UJS9" s="1202"/>
      <c r="UJT9" s="1202"/>
      <c r="UJU9" s="1202"/>
      <c r="UJV9" s="1202"/>
      <c r="UJW9" s="1202"/>
      <c r="UJX9" s="1202"/>
      <c r="UJY9" s="1202"/>
      <c r="UJZ9" s="1202"/>
      <c r="UKA9" s="1202"/>
      <c r="UKB9" s="1202"/>
      <c r="UKC9" s="1202"/>
      <c r="UKD9" s="1202"/>
      <c r="UKE9" s="1202"/>
      <c r="UKF9" s="1202"/>
      <c r="UKG9" s="1202"/>
      <c r="UKH9" s="1202"/>
      <c r="UKI9" s="1202"/>
      <c r="UKJ9" s="1202"/>
      <c r="UKK9" s="1202"/>
      <c r="UKL9" s="1202"/>
      <c r="UKM9" s="1202"/>
      <c r="UKN9" s="1202"/>
      <c r="UKO9" s="1202"/>
      <c r="UKP9" s="1202"/>
      <c r="UKQ9" s="1202"/>
      <c r="UKR9" s="1202"/>
      <c r="UKS9" s="1202"/>
      <c r="UKT9" s="1202"/>
      <c r="UKU9" s="1202"/>
      <c r="UKV9" s="1202"/>
      <c r="UKW9" s="1202"/>
      <c r="UKX9" s="1202"/>
      <c r="UKY9" s="1202"/>
      <c r="UKZ9" s="1202"/>
      <c r="ULA9" s="1202"/>
      <c r="ULB9" s="1202"/>
      <c r="ULC9" s="1202"/>
      <c r="ULD9" s="1202"/>
      <c r="ULE9" s="1202"/>
      <c r="ULF9" s="1202"/>
      <c r="ULG9" s="1202"/>
      <c r="ULH9" s="1202"/>
      <c r="ULI9" s="1202"/>
      <c r="ULJ9" s="1202"/>
      <c r="ULK9" s="1202"/>
      <c r="ULL9" s="1202"/>
      <c r="ULM9" s="1202"/>
      <c r="ULN9" s="1202"/>
      <c r="ULO9" s="1202"/>
      <c r="ULP9" s="1202"/>
      <c r="ULQ9" s="1202"/>
      <c r="ULR9" s="1202"/>
      <c r="ULS9" s="1202"/>
      <c r="ULT9" s="1202"/>
      <c r="ULU9" s="1202"/>
      <c r="ULV9" s="1202"/>
      <c r="ULW9" s="1202"/>
      <c r="ULX9" s="1202"/>
      <c r="ULY9" s="1202"/>
      <c r="ULZ9" s="1202"/>
      <c r="UMA9" s="1202"/>
      <c r="UMB9" s="1202"/>
      <c r="UMC9" s="1202"/>
      <c r="UMD9" s="1202"/>
      <c r="UME9" s="1202"/>
      <c r="UMF9" s="1202"/>
      <c r="UMG9" s="1202"/>
      <c r="UMH9" s="1202"/>
      <c r="UMI9" s="1202"/>
      <c r="UMJ9" s="1202"/>
      <c r="UMK9" s="1202"/>
      <c r="UML9" s="1202"/>
      <c r="UMM9" s="1202"/>
      <c r="UMN9" s="1202"/>
      <c r="UMO9" s="1202"/>
      <c r="UMP9" s="1202"/>
      <c r="UMQ9" s="1202"/>
      <c r="UMR9" s="1202"/>
      <c r="UMS9" s="1202"/>
      <c r="UMT9" s="1202"/>
      <c r="UMU9" s="1202"/>
      <c r="UMV9" s="1202"/>
      <c r="UMW9" s="1202"/>
      <c r="UMX9" s="1202"/>
      <c r="UMY9" s="1202"/>
      <c r="UMZ9" s="1202"/>
      <c r="UNA9" s="1202"/>
      <c r="UNB9" s="1202"/>
      <c r="UNC9" s="1202"/>
      <c r="UND9" s="1202"/>
      <c r="UNE9" s="1202"/>
      <c r="UNF9" s="1202"/>
      <c r="UNG9" s="1202"/>
      <c r="UNH9" s="1202"/>
      <c r="UNI9" s="1202"/>
      <c r="UNJ9" s="1202"/>
      <c r="UNK9" s="1202"/>
      <c r="UNL9" s="1202"/>
      <c r="UNM9" s="1202"/>
      <c r="UNN9" s="1202"/>
      <c r="UNO9" s="1202"/>
      <c r="UNP9" s="1202"/>
      <c r="UNQ9" s="1202"/>
      <c r="UNR9" s="1202"/>
      <c r="UNS9" s="1202"/>
      <c r="UNT9" s="1202"/>
      <c r="UNU9" s="1202"/>
      <c r="UNV9" s="1202"/>
      <c r="UNW9" s="1202"/>
      <c r="UNX9" s="1202"/>
      <c r="UNY9" s="1202"/>
      <c r="UNZ9" s="1202"/>
      <c r="UOA9" s="1202"/>
      <c r="UOB9" s="1202"/>
      <c r="UOC9" s="1202"/>
      <c r="UOD9" s="1202"/>
      <c r="UOE9" s="1202"/>
      <c r="UOF9" s="1202"/>
      <c r="UOG9" s="1202"/>
      <c r="UOH9" s="1202"/>
      <c r="UOI9" s="1202"/>
      <c r="UOJ9" s="1202"/>
      <c r="UOK9" s="1202"/>
      <c r="UOL9" s="1202"/>
      <c r="UOM9" s="1202"/>
      <c r="UON9" s="1202"/>
      <c r="UOO9" s="1202"/>
      <c r="UOP9" s="1202"/>
      <c r="UOQ9" s="1202"/>
      <c r="UOR9" s="1202"/>
      <c r="UOS9" s="1202"/>
      <c r="UOT9" s="1202"/>
      <c r="UOU9" s="1202"/>
      <c r="UOV9" s="1202"/>
      <c r="UOW9" s="1202"/>
      <c r="UOX9" s="1202"/>
      <c r="UOY9" s="1202"/>
      <c r="UOZ9" s="1202"/>
      <c r="UPA9" s="1202"/>
      <c r="UPB9" s="1202"/>
      <c r="UPC9" s="1202"/>
      <c r="UPD9" s="1202"/>
      <c r="UPE9" s="1202"/>
      <c r="UPF9" s="1202"/>
      <c r="UPG9" s="1202"/>
      <c r="UPH9" s="1202"/>
      <c r="UPI9" s="1202"/>
      <c r="UPJ9" s="1202"/>
      <c r="UPK9" s="1202"/>
      <c r="UPL9" s="1202"/>
      <c r="UPM9" s="1202"/>
      <c r="UPN9" s="1202"/>
      <c r="UPO9" s="1202"/>
      <c r="UPP9" s="1202"/>
      <c r="UPQ9" s="1202"/>
      <c r="UPR9" s="1202"/>
      <c r="UPS9" s="1202"/>
      <c r="UPT9" s="1202"/>
      <c r="UPU9" s="1202"/>
      <c r="UPV9" s="1202"/>
      <c r="UPW9" s="1202"/>
      <c r="UPX9" s="1202"/>
      <c r="UPY9" s="1202"/>
      <c r="UPZ9" s="1202"/>
      <c r="UQA9" s="1202"/>
      <c r="UQB9" s="1202"/>
      <c r="UQC9" s="1202"/>
      <c r="UQD9" s="1202"/>
      <c r="UQE9" s="1202"/>
      <c r="UQF9" s="1202"/>
      <c r="UQG9" s="1202"/>
      <c r="UQH9" s="1202"/>
      <c r="UQI9" s="1202"/>
      <c r="UQJ9" s="1202"/>
      <c r="UQK9" s="1202"/>
      <c r="UQL9" s="1202"/>
      <c r="UQM9" s="1202"/>
      <c r="UQN9" s="1202"/>
      <c r="UQO9" s="1202"/>
      <c r="UQP9" s="1202"/>
      <c r="UQQ9" s="1202"/>
      <c r="UQR9" s="1202"/>
      <c r="UQS9" s="1202"/>
      <c r="UQT9" s="1202"/>
      <c r="UQU9" s="1202"/>
      <c r="UQV9" s="1202"/>
      <c r="UQW9" s="1202"/>
      <c r="UQX9" s="1202"/>
      <c r="UQY9" s="1202"/>
      <c r="UQZ9" s="1202"/>
      <c r="URA9" s="1202"/>
      <c r="URB9" s="1202"/>
      <c r="URC9" s="1202"/>
      <c r="URD9" s="1202"/>
      <c r="URE9" s="1202"/>
      <c r="URF9" s="1202"/>
      <c r="URG9" s="1202"/>
      <c r="URH9" s="1202"/>
      <c r="URI9" s="1202"/>
      <c r="URJ9" s="1202"/>
      <c r="URK9" s="1202"/>
      <c r="URL9" s="1202"/>
      <c r="URM9" s="1202"/>
      <c r="URN9" s="1202"/>
      <c r="URO9" s="1202"/>
      <c r="URP9" s="1202"/>
      <c r="URQ9" s="1202"/>
      <c r="URR9" s="1202"/>
      <c r="URS9" s="1202"/>
      <c r="URT9" s="1202"/>
      <c r="URU9" s="1202"/>
      <c r="URV9" s="1202"/>
      <c r="URW9" s="1202"/>
      <c r="URX9" s="1202"/>
      <c r="URY9" s="1202"/>
      <c r="URZ9" s="1202"/>
      <c r="USA9" s="1202"/>
      <c r="USB9" s="1202"/>
      <c r="USC9" s="1202"/>
      <c r="USD9" s="1202"/>
      <c r="USE9" s="1202"/>
      <c r="USF9" s="1202"/>
      <c r="USG9" s="1202"/>
      <c r="USH9" s="1202"/>
      <c r="USI9" s="1202"/>
      <c r="USJ9" s="1202"/>
      <c r="USK9" s="1202"/>
      <c r="USL9" s="1202"/>
      <c r="USM9" s="1202"/>
      <c r="USN9" s="1202"/>
      <c r="USO9" s="1202"/>
      <c r="USP9" s="1202"/>
      <c r="USQ9" s="1202"/>
      <c r="USR9" s="1202"/>
      <c r="USS9" s="1202"/>
      <c r="UST9" s="1202"/>
      <c r="USU9" s="1202"/>
      <c r="USV9" s="1202"/>
      <c r="USW9" s="1202"/>
      <c r="USX9" s="1202"/>
      <c r="USY9" s="1202"/>
      <c r="USZ9" s="1202"/>
      <c r="UTA9" s="1202"/>
      <c r="UTB9" s="1202"/>
      <c r="UTC9" s="1202"/>
      <c r="UTD9" s="1202"/>
      <c r="UTE9" s="1202"/>
      <c r="UTF9" s="1202"/>
      <c r="UTG9" s="1202"/>
      <c r="UTH9" s="1202"/>
      <c r="UTI9" s="1202"/>
      <c r="UTJ9" s="1202"/>
      <c r="UTK9" s="1202"/>
      <c r="UTL9" s="1202"/>
      <c r="UTM9" s="1202"/>
      <c r="UTN9" s="1202"/>
      <c r="UTO9" s="1202"/>
      <c r="UTP9" s="1202"/>
      <c r="UTQ9" s="1202"/>
      <c r="UTR9" s="1202"/>
      <c r="UTS9" s="1202"/>
      <c r="UTT9" s="1202"/>
      <c r="UTU9" s="1202"/>
      <c r="UTV9" s="1202"/>
      <c r="UTW9" s="1202"/>
      <c r="UTX9" s="1202"/>
      <c r="UTY9" s="1202"/>
      <c r="UTZ9" s="1202"/>
      <c r="UUA9" s="1202"/>
      <c r="UUB9" s="1202"/>
      <c r="UUC9" s="1202"/>
      <c r="UUD9" s="1202"/>
      <c r="UUE9" s="1202"/>
      <c r="UUF9" s="1202"/>
      <c r="UUG9" s="1202"/>
      <c r="UUH9" s="1202"/>
      <c r="UUI9" s="1202"/>
      <c r="UUJ9" s="1202"/>
      <c r="UUK9" s="1202"/>
      <c r="UUL9" s="1202"/>
      <c r="UUM9" s="1202"/>
      <c r="UUN9" s="1202"/>
      <c r="UUO9" s="1202"/>
      <c r="UUP9" s="1202"/>
      <c r="UUQ9" s="1202"/>
      <c r="UUR9" s="1202"/>
      <c r="UUS9" s="1202"/>
      <c r="UUT9" s="1202"/>
      <c r="UUU9" s="1202"/>
      <c r="UUV9" s="1202"/>
      <c r="UUW9" s="1202"/>
      <c r="UUX9" s="1202"/>
      <c r="UUY9" s="1202"/>
      <c r="UUZ9" s="1202"/>
      <c r="UVA9" s="1202"/>
      <c r="UVB9" s="1202"/>
      <c r="UVC9" s="1202"/>
      <c r="UVD9" s="1202"/>
      <c r="UVE9" s="1202"/>
      <c r="UVF9" s="1202"/>
      <c r="UVG9" s="1202"/>
      <c r="UVH9" s="1202"/>
      <c r="UVI9" s="1202"/>
      <c r="UVJ9" s="1202"/>
      <c r="UVK9" s="1202"/>
      <c r="UVL9" s="1202"/>
      <c r="UVM9" s="1202"/>
      <c r="UVN9" s="1202"/>
      <c r="UVO9" s="1202"/>
      <c r="UVP9" s="1202"/>
      <c r="UVQ9" s="1202"/>
      <c r="UVR9" s="1202"/>
      <c r="UVS9" s="1202"/>
      <c r="UVT9" s="1202"/>
      <c r="UVU9" s="1202"/>
      <c r="UVV9" s="1202"/>
      <c r="UVW9" s="1202"/>
      <c r="UVX9" s="1202"/>
      <c r="UVY9" s="1202"/>
      <c r="UVZ9" s="1202"/>
      <c r="UWA9" s="1202"/>
      <c r="UWB9" s="1202"/>
      <c r="UWC9" s="1202"/>
      <c r="UWD9" s="1202"/>
      <c r="UWE9" s="1202"/>
      <c r="UWF9" s="1202"/>
      <c r="UWG9" s="1202"/>
      <c r="UWH9" s="1202"/>
      <c r="UWI9" s="1202"/>
      <c r="UWJ9" s="1202"/>
      <c r="UWK9" s="1202"/>
      <c r="UWL9" s="1202"/>
      <c r="UWM9" s="1202"/>
      <c r="UWN9" s="1202"/>
      <c r="UWO9" s="1202"/>
      <c r="UWP9" s="1202"/>
      <c r="UWQ9" s="1202"/>
      <c r="UWR9" s="1202"/>
      <c r="UWS9" s="1202"/>
      <c r="UWT9" s="1202"/>
      <c r="UWU9" s="1202"/>
      <c r="UWV9" s="1202"/>
      <c r="UWW9" s="1202"/>
      <c r="UWX9" s="1202"/>
      <c r="UWY9" s="1202"/>
      <c r="UWZ9" s="1202"/>
      <c r="UXA9" s="1202"/>
      <c r="UXB9" s="1202"/>
      <c r="UXC9" s="1202"/>
      <c r="UXD9" s="1202"/>
      <c r="UXE9" s="1202"/>
      <c r="UXF9" s="1202"/>
      <c r="UXG9" s="1202"/>
      <c r="UXH9" s="1202"/>
      <c r="UXI9" s="1202"/>
      <c r="UXJ9" s="1202"/>
      <c r="UXK9" s="1202"/>
      <c r="UXL9" s="1202"/>
      <c r="UXM9" s="1202"/>
      <c r="UXN9" s="1202"/>
      <c r="UXO9" s="1202"/>
      <c r="UXP9" s="1202"/>
      <c r="UXQ9" s="1202"/>
      <c r="UXR9" s="1202"/>
      <c r="UXS9" s="1202"/>
      <c r="UXT9" s="1202"/>
      <c r="UXU9" s="1202"/>
      <c r="UXV9" s="1202"/>
      <c r="UXW9" s="1202"/>
      <c r="UXX9" s="1202"/>
      <c r="UXY9" s="1202"/>
      <c r="UXZ9" s="1202"/>
      <c r="UYA9" s="1202"/>
      <c r="UYB9" s="1202"/>
      <c r="UYC9" s="1202"/>
      <c r="UYD9" s="1202"/>
      <c r="UYE9" s="1202"/>
      <c r="UYF9" s="1202"/>
      <c r="UYG9" s="1202"/>
      <c r="UYH9" s="1202"/>
      <c r="UYI9" s="1202"/>
      <c r="UYJ9" s="1202"/>
      <c r="UYK9" s="1202"/>
      <c r="UYL9" s="1202"/>
      <c r="UYM9" s="1202"/>
      <c r="UYN9" s="1202"/>
      <c r="UYO9" s="1202"/>
      <c r="UYP9" s="1202"/>
      <c r="UYQ9" s="1202"/>
      <c r="UYR9" s="1202"/>
      <c r="UYS9" s="1202"/>
      <c r="UYT9" s="1202"/>
      <c r="UYU9" s="1202"/>
      <c r="UYV9" s="1202"/>
      <c r="UYW9" s="1202"/>
      <c r="UYX9" s="1202"/>
      <c r="UYY9" s="1202"/>
      <c r="UYZ9" s="1202"/>
      <c r="UZA9" s="1202"/>
      <c r="UZB9" s="1202"/>
      <c r="UZC9" s="1202"/>
      <c r="UZD9" s="1202"/>
      <c r="UZE9" s="1202"/>
      <c r="UZF9" s="1202"/>
      <c r="UZG9" s="1202"/>
      <c r="UZH9" s="1202"/>
      <c r="UZI9" s="1202"/>
      <c r="UZJ9" s="1202"/>
      <c r="UZK9" s="1202"/>
      <c r="UZL9" s="1202"/>
      <c r="UZM9" s="1202"/>
      <c r="UZN9" s="1202"/>
      <c r="UZO9" s="1202"/>
      <c r="UZP9" s="1202"/>
      <c r="UZQ9" s="1202"/>
      <c r="UZR9" s="1202"/>
      <c r="UZS9" s="1202"/>
      <c r="UZT9" s="1202"/>
      <c r="UZU9" s="1202"/>
      <c r="UZV9" s="1202"/>
      <c r="UZW9" s="1202"/>
      <c r="UZX9" s="1202"/>
      <c r="UZY9" s="1202"/>
      <c r="UZZ9" s="1202"/>
      <c r="VAA9" s="1202"/>
      <c r="VAB9" s="1202"/>
      <c r="VAC9" s="1202"/>
      <c r="VAD9" s="1202"/>
      <c r="VAE9" s="1202"/>
      <c r="VAF9" s="1202"/>
      <c r="VAG9" s="1202"/>
      <c r="VAH9" s="1202"/>
      <c r="VAI9" s="1202"/>
      <c r="VAJ9" s="1202"/>
      <c r="VAK9" s="1202"/>
      <c r="VAL9" s="1202"/>
      <c r="VAM9" s="1202"/>
      <c r="VAN9" s="1202"/>
      <c r="VAO9" s="1202"/>
      <c r="VAP9" s="1202"/>
      <c r="VAQ9" s="1202"/>
      <c r="VAR9" s="1202"/>
      <c r="VAS9" s="1202"/>
      <c r="VAT9" s="1202"/>
      <c r="VAU9" s="1202"/>
      <c r="VAV9" s="1202"/>
      <c r="VAW9" s="1202"/>
      <c r="VAX9" s="1202"/>
      <c r="VAY9" s="1202"/>
      <c r="VAZ9" s="1202"/>
      <c r="VBA9" s="1202"/>
      <c r="VBB9" s="1202"/>
      <c r="VBC9" s="1202"/>
      <c r="VBD9" s="1202"/>
      <c r="VBE9" s="1202"/>
      <c r="VBF9" s="1202"/>
      <c r="VBG9" s="1202"/>
      <c r="VBH9" s="1202"/>
      <c r="VBI9" s="1202"/>
      <c r="VBJ9" s="1202"/>
      <c r="VBK9" s="1202"/>
      <c r="VBL9" s="1202"/>
      <c r="VBM9" s="1202"/>
      <c r="VBN9" s="1202"/>
      <c r="VBO9" s="1202"/>
      <c r="VBP9" s="1202"/>
      <c r="VBQ9" s="1202"/>
      <c r="VBR9" s="1202"/>
      <c r="VBS9" s="1202"/>
      <c r="VBT9" s="1202"/>
      <c r="VBU9" s="1202"/>
      <c r="VBV9" s="1202"/>
      <c r="VBW9" s="1202"/>
      <c r="VBX9" s="1202"/>
      <c r="VBY9" s="1202"/>
      <c r="VBZ9" s="1202"/>
      <c r="VCA9" s="1202"/>
      <c r="VCB9" s="1202"/>
      <c r="VCC9" s="1202"/>
      <c r="VCD9" s="1202"/>
      <c r="VCE9" s="1202"/>
      <c r="VCF9" s="1202"/>
      <c r="VCG9" s="1202"/>
      <c r="VCH9" s="1202"/>
      <c r="VCI9" s="1202"/>
      <c r="VCJ9" s="1202"/>
      <c r="VCK9" s="1202"/>
      <c r="VCL9" s="1202"/>
      <c r="VCM9" s="1202"/>
      <c r="VCN9" s="1202"/>
      <c r="VCO9" s="1202"/>
      <c r="VCP9" s="1202"/>
      <c r="VCQ9" s="1202"/>
      <c r="VCR9" s="1202"/>
      <c r="VCS9" s="1202"/>
      <c r="VCT9" s="1202"/>
      <c r="VCU9" s="1202"/>
      <c r="VCV9" s="1202"/>
      <c r="VCW9" s="1202"/>
      <c r="VCX9" s="1202"/>
      <c r="VCY9" s="1202"/>
      <c r="VCZ9" s="1202"/>
      <c r="VDA9" s="1202"/>
      <c r="VDB9" s="1202"/>
      <c r="VDC9" s="1202"/>
      <c r="VDD9" s="1202"/>
      <c r="VDE9" s="1202"/>
      <c r="VDF9" s="1202"/>
      <c r="VDG9" s="1202"/>
      <c r="VDH9" s="1202"/>
      <c r="VDI9" s="1202"/>
      <c r="VDJ9" s="1202"/>
      <c r="VDK9" s="1202"/>
      <c r="VDL9" s="1202"/>
      <c r="VDM9" s="1202"/>
      <c r="VDN9" s="1202"/>
      <c r="VDO9" s="1202"/>
      <c r="VDP9" s="1202"/>
      <c r="VDQ9" s="1202"/>
      <c r="VDR9" s="1202"/>
      <c r="VDS9" s="1202"/>
      <c r="VDT9" s="1202"/>
      <c r="VDU9" s="1202"/>
      <c r="VDV9" s="1202"/>
      <c r="VDW9" s="1202"/>
      <c r="VDX9" s="1202"/>
      <c r="VDY9" s="1202"/>
      <c r="VDZ9" s="1202"/>
      <c r="VEA9" s="1202"/>
      <c r="VEB9" s="1202"/>
      <c r="VEC9" s="1202"/>
      <c r="VED9" s="1202"/>
      <c r="VEE9" s="1202"/>
      <c r="VEF9" s="1202"/>
      <c r="VEG9" s="1202"/>
      <c r="VEH9" s="1202"/>
      <c r="VEI9" s="1202"/>
      <c r="VEJ9" s="1202"/>
      <c r="VEK9" s="1202"/>
      <c r="VEL9" s="1202"/>
      <c r="VEM9" s="1202"/>
      <c r="VEN9" s="1202"/>
      <c r="VEO9" s="1202"/>
      <c r="VEP9" s="1202"/>
      <c r="VEQ9" s="1202"/>
      <c r="VER9" s="1202"/>
      <c r="VES9" s="1202"/>
      <c r="VET9" s="1202"/>
      <c r="VEU9" s="1202"/>
      <c r="VEV9" s="1202"/>
      <c r="VEW9" s="1202"/>
      <c r="VEX9" s="1202"/>
      <c r="VEY9" s="1202"/>
      <c r="VEZ9" s="1202"/>
      <c r="VFA9" s="1202"/>
      <c r="VFB9" s="1202"/>
      <c r="VFC9" s="1202"/>
      <c r="VFD9" s="1202"/>
      <c r="VFE9" s="1202"/>
      <c r="VFF9" s="1202"/>
      <c r="VFG9" s="1202"/>
      <c r="VFH9" s="1202"/>
      <c r="VFI9" s="1202"/>
      <c r="VFJ9" s="1202"/>
      <c r="VFK9" s="1202"/>
      <c r="VFL9" s="1202"/>
      <c r="VFM9" s="1202"/>
      <c r="VFN9" s="1202"/>
      <c r="VFO9" s="1202"/>
      <c r="VFP9" s="1202"/>
      <c r="VFQ9" s="1202"/>
      <c r="VFR9" s="1202"/>
      <c r="VFS9" s="1202"/>
      <c r="VFT9" s="1202"/>
      <c r="VFU9" s="1202"/>
      <c r="VFV9" s="1202"/>
      <c r="VFW9" s="1202"/>
      <c r="VFX9" s="1202"/>
      <c r="VFY9" s="1202"/>
      <c r="VFZ9" s="1202"/>
      <c r="VGA9" s="1202"/>
      <c r="VGB9" s="1202"/>
      <c r="VGC9" s="1202"/>
      <c r="VGD9" s="1202"/>
      <c r="VGE9" s="1202"/>
      <c r="VGF9" s="1202"/>
      <c r="VGG9" s="1202"/>
      <c r="VGH9" s="1202"/>
      <c r="VGI9" s="1202"/>
      <c r="VGJ9" s="1202"/>
      <c r="VGK9" s="1202"/>
      <c r="VGL9" s="1202"/>
      <c r="VGM9" s="1202"/>
      <c r="VGN9" s="1202"/>
      <c r="VGO9" s="1202"/>
      <c r="VGP9" s="1202"/>
      <c r="VGQ9" s="1202"/>
      <c r="VGR9" s="1202"/>
      <c r="VGS9" s="1202"/>
      <c r="VGT9" s="1202"/>
      <c r="VGU9" s="1202"/>
      <c r="VGV9" s="1202"/>
      <c r="VGW9" s="1202"/>
      <c r="VGX9" s="1202"/>
      <c r="VGY9" s="1202"/>
      <c r="VGZ9" s="1202"/>
      <c r="VHA9" s="1202"/>
      <c r="VHB9" s="1202"/>
      <c r="VHC9" s="1202"/>
      <c r="VHD9" s="1202"/>
      <c r="VHE9" s="1202"/>
      <c r="VHF9" s="1202"/>
      <c r="VHG9" s="1202"/>
      <c r="VHH9" s="1202"/>
      <c r="VHI9" s="1202"/>
      <c r="VHJ9" s="1202"/>
      <c r="VHK9" s="1202"/>
      <c r="VHL9" s="1202"/>
      <c r="VHM9" s="1202"/>
      <c r="VHN9" s="1202"/>
      <c r="VHO9" s="1202"/>
      <c r="VHP9" s="1202"/>
      <c r="VHQ9" s="1202"/>
      <c r="VHR9" s="1202"/>
      <c r="VHS9" s="1202"/>
      <c r="VHT9" s="1202"/>
      <c r="VHU9" s="1202"/>
      <c r="VHV9" s="1202"/>
      <c r="VHW9" s="1202"/>
      <c r="VHX9" s="1202"/>
      <c r="VHY9" s="1202"/>
      <c r="VHZ9" s="1202"/>
      <c r="VIA9" s="1202"/>
      <c r="VIB9" s="1202"/>
      <c r="VIC9" s="1202"/>
      <c r="VID9" s="1202"/>
      <c r="VIE9" s="1202"/>
      <c r="VIF9" s="1202"/>
      <c r="VIG9" s="1202"/>
      <c r="VIH9" s="1202"/>
      <c r="VII9" s="1202"/>
      <c r="VIJ9" s="1202"/>
      <c r="VIK9" s="1202"/>
      <c r="VIL9" s="1202"/>
      <c r="VIM9" s="1202"/>
      <c r="VIN9" s="1202"/>
      <c r="VIO9" s="1202"/>
      <c r="VIP9" s="1202"/>
      <c r="VIQ9" s="1202"/>
      <c r="VIR9" s="1202"/>
      <c r="VIS9" s="1202"/>
      <c r="VIT9" s="1202"/>
      <c r="VIU9" s="1202"/>
      <c r="VIV9" s="1202"/>
      <c r="VIW9" s="1202"/>
      <c r="VIX9" s="1202"/>
      <c r="VIY9" s="1202"/>
      <c r="VIZ9" s="1202"/>
      <c r="VJA9" s="1202"/>
      <c r="VJB9" s="1202"/>
      <c r="VJC9" s="1202"/>
      <c r="VJD9" s="1202"/>
      <c r="VJE9" s="1202"/>
      <c r="VJF9" s="1202"/>
      <c r="VJG9" s="1202"/>
      <c r="VJH9" s="1202"/>
      <c r="VJI9" s="1202"/>
      <c r="VJJ9" s="1202"/>
      <c r="VJK9" s="1202"/>
      <c r="VJL9" s="1202"/>
      <c r="VJM9" s="1202"/>
      <c r="VJN9" s="1202"/>
      <c r="VJO9" s="1202"/>
      <c r="VJP9" s="1202"/>
      <c r="VJQ9" s="1202"/>
      <c r="VJR9" s="1202"/>
      <c r="VJS9" s="1202"/>
      <c r="VJT9" s="1202"/>
      <c r="VJU9" s="1202"/>
      <c r="VJV9" s="1202"/>
      <c r="VJW9" s="1202"/>
      <c r="VJX9" s="1202"/>
      <c r="VJY9" s="1202"/>
      <c r="VJZ9" s="1202"/>
      <c r="VKA9" s="1202"/>
      <c r="VKB9" s="1202"/>
      <c r="VKC9" s="1202"/>
      <c r="VKD9" s="1202"/>
      <c r="VKE9" s="1202"/>
      <c r="VKF9" s="1202"/>
      <c r="VKG9" s="1202"/>
      <c r="VKH9" s="1202"/>
      <c r="VKI9" s="1202"/>
      <c r="VKJ9" s="1202"/>
      <c r="VKK9" s="1202"/>
      <c r="VKL9" s="1202"/>
      <c r="VKM9" s="1202"/>
      <c r="VKN9" s="1202"/>
      <c r="VKO9" s="1202"/>
      <c r="VKP9" s="1202"/>
      <c r="VKQ9" s="1202"/>
      <c r="VKR9" s="1202"/>
      <c r="VKS9" s="1202"/>
      <c r="VKT9" s="1202"/>
      <c r="VKU9" s="1202"/>
      <c r="VKV9" s="1202"/>
      <c r="VKW9" s="1202"/>
      <c r="VKX9" s="1202"/>
      <c r="VKY9" s="1202"/>
      <c r="VKZ9" s="1202"/>
      <c r="VLA9" s="1202"/>
      <c r="VLB9" s="1202"/>
      <c r="VLC9" s="1202"/>
      <c r="VLD9" s="1202"/>
      <c r="VLE9" s="1202"/>
      <c r="VLF9" s="1202"/>
      <c r="VLG9" s="1202"/>
      <c r="VLH9" s="1202"/>
      <c r="VLI9" s="1202"/>
      <c r="VLJ9" s="1202"/>
      <c r="VLK9" s="1202"/>
      <c r="VLL9" s="1202"/>
      <c r="VLM9" s="1202"/>
      <c r="VLN9" s="1202"/>
      <c r="VLO9" s="1202"/>
      <c r="VLP9" s="1202"/>
      <c r="VLQ9" s="1202"/>
      <c r="VLR9" s="1202"/>
      <c r="VLS9" s="1202"/>
      <c r="VLT9" s="1202"/>
      <c r="VLU9" s="1202"/>
      <c r="VLV9" s="1202"/>
      <c r="VLW9" s="1202"/>
      <c r="VLX9" s="1202"/>
      <c r="VLY9" s="1202"/>
      <c r="VLZ9" s="1202"/>
      <c r="VMA9" s="1202"/>
      <c r="VMB9" s="1202"/>
      <c r="VMC9" s="1202"/>
      <c r="VMD9" s="1202"/>
      <c r="VME9" s="1202"/>
      <c r="VMF9" s="1202"/>
      <c r="VMG9" s="1202"/>
      <c r="VMH9" s="1202"/>
      <c r="VMI9" s="1202"/>
      <c r="VMJ9" s="1202"/>
      <c r="VMK9" s="1202"/>
      <c r="VML9" s="1202"/>
      <c r="VMM9" s="1202"/>
      <c r="VMN9" s="1202"/>
      <c r="VMO9" s="1202"/>
      <c r="VMP9" s="1202"/>
      <c r="VMQ9" s="1202"/>
      <c r="VMR9" s="1202"/>
      <c r="VMS9" s="1202"/>
      <c r="VMT9" s="1202"/>
      <c r="VMU9" s="1202"/>
      <c r="VMV9" s="1202"/>
      <c r="VMW9" s="1202"/>
      <c r="VMX9" s="1202"/>
      <c r="VMY9" s="1202"/>
      <c r="VMZ9" s="1202"/>
      <c r="VNA9" s="1202"/>
      <c r="VNB9" s="1202"/>
      <c r="VNC9" s="1202"/>
      <c r="VND9" s="1202"/>
      <c r="VNE9" s="1202"/>
      <c r="VNF9" s="1202"/>
      <c r="VNG9" s="1202"/>
      <c r="VNH9" s="1202"/>
      <c r="VNI9" s="1202"/>
      <c r="VNJ9" s="1202"/>
      <c r="VNK9" s="1202"/>
      <c r="VNL9" s="1202"/>
      <c r="VNM9" s="1202"/>
      <c r="VNN9" s="1202"/>
      <c r="VNO9" s="1202"/>
      <c r="VNP9" s="1202"/>
      <c r="VNQ9" s="1202"/>
      <c r="VNR9" s="1202"/>
      <c r="VNS9" s="1202"/>
      <c r="VNT9" s="1202"/>
      <c r="VNU9" s="1202"/>
      <c r="VNV9" s="1202"/>
      <c r="VNW9" s="1202"/>
      <c r="VNX9" s="1202"/>
      <c r="VNY9" s="1202"/>
      <c r="VNZ9" s="1202"/>
      <c r="VOA9" s="1202"/>
      <c r="VOB9" s="1202"/>
      <c r="VOC9" s="1202"/>
      <c r="VOD9" s="1202"/>
      <c r="VOE9" s="1202"/>
      <c r="VOF9" s="1202"/>
      <c r="VOG9" s="1202"/>
      <c r="VOH9" s="1202"/>
      <c r="VOI9" s="1202"/>
      <c r="VOJ9" s="1202"/>
      <c r="VOK9" s="1202"/>
      <c r="VOL9" s="1202"/>
      <c r="VOM9" s="1202"/>
      <c r="VON9" s="1202"/>
      <c r="VOO9" s="1202"/>
      <c r="VOP9" s="1202"/>
      <c r="VOQ9" s="1202"/>
      <c r="VOR9" s="1202"/>
      <c r="VOS9" s="1202"/>
      <c r="VOT9" s="1202"/>
      <c r="VOU9" s="1202"/>
      <c r="VOV9" s="1202"/>
      <c r="VOW9" s="1202"/>
      <c r="VOX9" s="1202"/>
      <c r="VOY9" s="1202"/>
      <c r="VOZ9" s="1202"/>
      <c r="VPA9" s="1202"/>
      <c r="VPB9" s="1202"/>
      <c r="VPC9" s="1202"/>
      <c r="VPD9" s="1202"/>
      <c r="VPE9" s="1202"/>
      <c r="VPF9" s="1202"/>
      <c r="VPG9" s="1202"/>
      <c r="VPH9" s="1202"/>
      <c r="VPI9" s="1202"/>
      <c r="VPJ9" s="1202"/>
      <c r="VPK9" s="1202"/>
      <c r="VPL9" s="1202"/>
      <c r="VPM9" s="1202"/>
      <c r="VPN9" s="1202"/>
      <c r="VPO9" s="1202"/>
      <c r="VPP9" s="1202"/>
      <c r="VPQ9" s="1202"/>
      <c r="VPR9" s="1202"/>
      <c r="VPS9" s="1202"/>
      <c r="VPT9" s="1202"/>
      <c r="VPU9" s="1202"/>
      <c r="VPV9" s="1202"/>
      <c r="VPW9" s="1202"/>
      <c r="VPX9" s="1202"/>
      <c r="VPY9" s="1202"/>
      <c r="VPZ9" s="1202"/>
      <c r="VQA9" s="1202"/>
      <c r="VQB9" s="1202"/>
      <c r="VQC9" s="1202"/>
      <c r="VQD9" s="1202"/>
      <c r="VQE9" s="1202"/>
      <c r="VQF9" s="1202"/>
      <c r="VQG9" s="1202"/>
      <c r="VQH9" s="1202"/>
      <c r="VQI9" s="1202"/>
      <c r="VQJ9" s="1202"/>
      <c r="VQK9" s="1202"/>
      <c r="VQL9" s="1202"/>
      <c r="VQM9" s="1202"/>
      <c r="VQN9" s="1202"/>
      <c r="VQO9" s="1202"/>
      <c r="VQP9" s="1202"/>
      <c r="VQQ9" s="1202"/>
      <c r="VQR9" s="1202"/>
      <c r="VQS9" s="1202"/>
      <c r="VQT9" s="1202"/>
      <c r="VQU9" s="1202"/>
      <c r="VQV9" s="1202"/>
      <c r="VQW9" s="1202"/>
      <c r="VQX9" s="1202"/>
      <c r="VQY9" s="1202"/>
      <c r="VQZ9" s="1202"/>
      <c r="VRA9" s="1202"/>
      <c r="VRB9" s="1202"/>
      <c r="VRC9" s="1202"/>
      <c r="VRD9" s="1202"/>
      <c r="VRE9" s="1202"/>
      <c r="VRF9" s="1202"/>
      <c r="VRG9" s="1202"/>
      <c r="VRH9" s="1202"/>
      <c r="VRI9" s="1202"/>
      <c r="VRJ9" s="1202"/>
      <c r="VRK9" s="1202"/>
      <c r="VRL9" s="1202"/>
      <c r="VRM9" s="1202"/>
      <c r="VRN9" s="1202"/>
      <c r="VRO9" s="1202"/>
      <c r="VRP9" s="1202"/>
      <c r="VRQ9" s="1202"/>
      <c r="VRR9" s="1202"/>
      <c r="VRS9" s="1202"/>
      <c r="VRT9" s="1202"/>
      <c r="VRU9" s="1202"/>
      <c r="VRV9" s="1202"/>
      <c r="VRW9" s="1202"/>
      <c r="VRX9" s="1202"/>
      <c r="VRY9" s="1202"/>
      <c r="VRZ9" s="1202"/>
      <c r="VSA9" s="1202"/>
      <c r="VSB9" s="1202"/>
      <c r="VSC9" s="1202"/>
      <c r="VSD9" s="1202"/>
      <c r="VSE9" s="1202"/>
      <c r="VSF9" s="1202"/>
      <c r="VSG9" s="1202"/>
      <c r="VSH9" s="1202"/>
      <c r="VSI9" s="1202"/>
      <c r="VSJ9" s="1202"/>
      <c r="VSK9" s="1202"/>
      <c r="VSL9" s="1202"/>
      <c r="VSM9" s="1202"/>
      <c r="VSN9" s="1202"/>
      <c r="VSO9" s="1202"/>
      <c r="VSP9" s="1202"/>
      <c r="VSQ9" s="1202"/>
      <c r="VSR9" s="1202"/>
      <c r="VSS9" s="1202"/>
      <c r="VST9" s="1202"/>
      <c r="VSU9" s="1202"/>
      <c r="VSV9" s="1202"/>
      <c r="VSW9" s="1202"/>
      <c r="VSX9" s="1202"/>
      <c r="VSY9" s="1202"/>
      <c r="VSZ9" s="1202"/>
      <c r="VTA9" s="1202"/>
      <c r="VTB9" s="1202"/>
      <c r="VTC9" s="1202"/>
      <c r="VTD9" s="1202"/>
      <c r="VTE9" s="1202"/>
      <c r="VTF9" s="1202"/>
      <c r="VTG9" s="1202"/>
      <c r="VTH9" s="1202"/>
      <c r="VTI9" s="1202"/>
      <c r="VTJ9" s="1202"/>
      <c r="VTK9" s="1202"/>
      <c r="VTL9" s="1202"/>
      <c r="VTM9" s="1202"/>
      <c r="VTN9" s="1202"/>
      <c r="VTO9" s="1202"/>
      <c r="VTP9" s="1202"/>
      <c r="VTQ9" s="1202"/>
      <c r="VTR9" s="1202"/>
      <c r="VTS9" s="1202"/>
      <c r="VTT9" s="1202"/>
      <c r="VTU9" s="1202"/>
      <c r="VTV9" s="1202"/>
      <c r="VTW9" s="1202"/>
      <c r="VTX9" s="1202"/>
      <c r="VTY9" s="1202"/>
      <c r="VTZ9" s="1202"/>
      <c r="VUA9" s="1202"/>
      <c r="VUB9" s="1202"/>
      <c r="VUC9" s="1202"/>
      <c r="VUD9" s="1202"/>
      <c r="VUE9" s="1202"/>
      <c r="VUF9" s="1202"/>
      <c r="VUG9" s="1202"/>
      <c r="VUH9" s="1202"/>
      <c r="VUI9" s="1202"/>
      <c r="VUJ9" s="1202"/>
      <c r="VUK9" s="1202"/>
      <c r="VUL9" s="1202"/>
      <c r="VUM9" s="1202"/>
      <c r="VUN9" s="1202"/>
      <c r="VUO9" s="1202"/>
      <c r="VUP9" s="1202"/>
      <c r="VUQ9" s="1202"/>
      <c r="VUR9" s="1202"/>
      <c r="VUS9" s="1202"/>
      <c r="VUT9" s="1202"/>
      <c r="VUU9" s="1202"/>
      <c r="VUV9" s="1202"/>
      <c r="VUW9" s="1202"/>
      <c r="VUX9" s="1202"/>
      <c r="VUY9" s="1202"/>
      <c r="VUZ9" s="1202"/>
      <c r="VVA9" s="1202"/>
      <c r="VVB9" s="1202"/>
      <c r="VVC9" s="1202"/>
      <c r="VVD9" s="1202"/>
      <c r="VVE9" s="1202"/>
      <c r="VVF9" s="1202"/>
      <c r="VVG9" s="1202"/>
      <c r="VVH9" s="1202"/>
      <c r="VVI9" s="1202"/>
      <c r="VVJ9" s="1202"/>
      <c r="VVK9" s="1202"/>
      <c r="VVL9" s="1202"/>
      <c r="VVM9" s="1202"/>
      <c r="VVN9" s="1202"/>
      <c r="VVO9" s="1202"/>
      <c r="VVP9" s="1202"/>
      <c r="VVQ9" s="1202"/>
      <c r="VVR9" s="1202"/>
      <c r="VVS9" s="1202"/>
      <c r="VVT9" s="1202"/>
      <c r="VVU9" s="1202"/>
      <c r="VVV9" s="1202"/>
      <c r="VVW9" s="1202"/>
      <c r="VVX9" s="1202"/>
      <c r="VVY9" s="1202"/>
      <c r="VVZ9" s="1202"/>
      <c r="VWA9" s="1202"/>
      <c r="VWB9" s="1202"/>
      <c r="VWC9" s="1202"/>
      <c r="VWD9" s="1202"/>
      <c r="VWE9" s="1202"/>
      <c r="VWF9" s="1202"/>
      <c r="VWG9" s="1202"/>
      <c r="VWH9" s="1202"/>
      <c r="VWI9" s="1202"/>
      <c r="VWJ9" s="1202"/>
      <c r="VWK9" s="1202"/>
      <c r="VWL9" s="1202"/>
      <c r="VWM9" s="1202"/>
      <c r="VWN9" s="1202"/>
      <c r="VWO9" s="1202"/>
      <c r="VWP9" s="1202"/>
      <c r="VWQ9" s="1202"/>
      <c r="VWR9" s="1202"/>
      <c r="VWS9" s="1202"/>
      <c r="VWT9" s="1202"/>
      <c r="VWU9" s="1202"/>
      <c r="VWV9" s="1202"/>
      <c r="VWW9" s="1202"/>
      <c r="VWX9" s="1202"/>
      <c r="VWY9" s="1202"/>
      <c r="VWZ9" s="1202"/>
      <c r="VXA9" s="1202"/>
      <c r="VXB9" s="1202"/>
      <c r="VXC9" s="1202"/>
      <c r="VXD9" s="1202"/>
      <c r="VXE9" s="1202"/>
      <c r="VXF9" s="1202"/>
      <c r="VXG9" s="1202"/>
      <c r="VXH9" s="1202"/>
      <c r="VXI9" s="1202"/>
      <c r="VXJ9" s="1202"/>
      <c r="VXK9" s="1202"/>
      <c r="VXL9" s="1202"/>
      <c r="VXM9" s="1202"/>
      <c r="VXN9" s="1202"/>
      <c r="VXO9" s="1202"/>
      <c r="VXP9" s="1202"/>
      <c r="VXQ9" s="1202"/>
      <c r="VXR9" s="1202"/>
      <c r="VXS9" s="1202"/>
      <c r="VXT9" s="1202"/>
      <c r="VXU9" s="1202"/>
      <c r="VXV9" s="1202"/>
      <c r="VXW9" s="1202"/>
      <c r="VXX9" s="1202"/>
      <c r="VXY9" s="1202"/>
      <c r="VXZ9" s="1202"/>
      <c r="VYA9" s="1202"/>
      <c r="VYB9" s="1202"/>
      <c r="VYC9" s="1202"/>
      <c r="VYD9" s="1202"/>
      <c r="VYE9" s="1202"/>
      <c r="VYF9" s="1202"/>
      <c r="VYG9" s="1202"/>
      <c r="VYH9" s="1202"/>
      <c r="VYI9" s="1202"/>
      <c r="VYJ9" s="1202"/>
      <c r="VYK9" s="1202"/>
      <c r="VYL9" s="1202"/>
      <c r="VYM9" s="1202"/>
      <c r="VYN9" s="1202"/>
      <c r="VYO9" s="1202"/>
      <c r="VYP9" s="1202"/>
      <c r="VYQ9" s="1202"/>
      <c r="VYR9" s="1202"/>
      <c r="VYS9" s="1202"/>
      <c r="VYT9" s="1202"/>
      <c r="VYU9" s="1202"/>
      <c r="VYV9" s="1202"/>
      <c r="VYW9" s="1202"/>
      <c r="VYX9" s="1202"/>
      <c r="VYY9" s="1202"/>
      <c r="VYZ9" s="1202"/>
      <c r="VZA9" s="1202"/>
      <c r="VZB9" s="1202"/>
      <c r="VZC9" s="1202"/>
      <c r="VZD9" s="1202"/>
      <c r="VZE9" s="1202"/>
      <c r="VZF9" s="1202"/>
      <c r="VZG9" s="1202"/>
      <c r="VZH9" s="1202"/>
      <c r="VZI9" s="1202"/>
      <c r="VZJ9" s="1202"/>
      <c r="VZK9" s="1202"/>
      <c r="VZL9" s="1202"/>
      <c r="VZM9" s="1202"/>
      <c r="VZN9" s="1202"/>
      <c r="VZO9" s="1202"/>
      <c r="VZP9" s="1202"/>
      <c r="VZQ9" s="1202"/>
      <c r="VZR9" s="1202"/>
      <c r="VZS9" s="1202"/>
      <c r="VZT9" s="1202"/>
      <c r="VZU9" s="1202"/>
      <c r="VZV9" s="1202"/>
      <c r="VZW9" s="1202"/>
      <c r="VZX9" s="1202"/>
      <c r="VZY9" s="1202"/>
      <c r="VZZ9" s="1202"/>
      <c r="WAA9" s="1202"/>
      <c r="WAB9" s="1202"/>
      <c r="WAC9" s="1202"/>
      <c r="WAD9" s="1202"/>
      <c r="WAE9" s="1202"/>
      <c r="WAF9" s="1202"/>
      <c r="WAG9" s="1202"/>
      <c r="WAH9" s="1202"/>
      <c r="WAI9" s="1202"/>
      <c r="WAJ9" s="1202"/>
      <c r="WAK9" s="1202"/>
      <c r="WAL9" s="1202"/>
      <c r="WAM9" s="1202"/>
      <c r="WAN9" s="1202"/>
      <c r="WAO9" s="1202"/>
      <c r="WAP9" s="1202"/>
      <c r="WAQ9" s="1202"/>
      <c r="WAR9" s="1202"/>
      <c r="WAS9" s="1202"/>
      <c r="WAT9" s="1202"/>
      <c r="WAU9" s="1202"/>
      <c r="WAV9" s="1202"/>
      <c r="WAW9" s="1202"/>
      <c r="WAX9" s="1202"/>
      <c r="WAY9" s="1202"/>
      <c r="WAZ9" s="1202"/>
      <c r="WBA9" s="1202"/>
      <c r="WBB9" s="1202"/>
      <c r="WBC9" s="1202"/>
      <c r="WBD9" s="1202"/>
      <c r="WBE9" s="1202"/>
      <c r="WBF9" s="1202"/>
      <c r="WBG9" s="1202"/>
      <c r="WBH9" s="1202"/>
      <c r="WBI9" s="1202"/>
      <c r="WBJ9" s="1202"/>
      <c r="WBK9" s="1202"/>
      <c r="WBL9" s="1202"/>
      <c r="WBM9" s="1202"/>
      <c r="WBN9" s="1202"/>
      <c r="WBO9" s="1202"/>
      <c r="WBP9" s="1202"/>
      <c r="WBQ9" s="1202"/>
      <c r="WBR9" s="1202"/>
      <c r="WBS9" s="1202"/>
      <c r="WBT9" s="1202"/>
      <c r="WBU9" s="1202"/>
      <c r="WBV9" s="1202"/>
      <c r="WBW9" s="1202"/>
      <c r="WBX9" s="1202"/>
      <c r="WBY9" s="1202"/>
      <c r="WBZ9" s="1202"/>
      <c r="WCA9" s="1202"/>
      <c r="WCB9" s="1202"/>
      <c r="WCC9" s="1202"/>
      <c r="WCD9" s="1202"/>
      <c r="WCE9" s="1202"/>
      <c r="WCF9" s="1202"/>
      <c r="WCG9" s="1202"/>
      <c r="WCH9" s="1202"/>
      <c r="WCI9" s="1202"/>
      <c r="WCJ9" s="1202"/>
      <c r="WCK9" s="1202"/>
      <c r="WCL9" s="1202"/>
      <c r="WCM9" s="1202"/>
      <c r="WCN9" s="1202"/>
      <c r="WCO9" s="1202"/>
      <c r="WCP9" s="1202"/>
      <c r="WCQ9" s="1202"/>
      <c r="WCR9" s="1202"/>
      <c r="WCS9" s="1202"/>
      <c r="WCT9" s="1202"/>
      <c r="WCU9" s="1202"/>
      <c r="WCV9" s="1202"/>
      <c r="WCW9" s="1202"/>
      <c r="WCX9" s="1202"/>
      <c r="WCY9" s="1202"/>
      <c r="WCZ9" s="1202"/>
      <c r="WDA9" s="1202"/>
      <c r="WDB9" s="1202"/>
      <c r="WDC9" s="1202"/>
      <c r="WDD9" s="1202"/>
      <c r="WDE9" s="1202"/>
      <c r="WDF9" s="1202"/>
      <c r="WDG9" s="1202"/>
      <c r="WDH9" s="1202"/>
      <c r="WDI9" s="1202"/>
      <c r="WDJ9" s="1202"/>
      <c r="WDK9" s="1202"/>
      <c r="WDL9" s="1202"/>
      <c r="WDM9" s="1202"/>
      <c r="WDN9" s="1202"/>
      <c r="WDO9" s="1202"/>
      <c r="WDP9" s="1202"/>
      <c r="WDQ9" s="1202"/>
      <c r="WDR9" s="1202"/>
      <c r="WDS9" s="1202"/>
      <c r="WDT9" s="1202"/>
      <c r="WDU9" s="1202"/>
      <c r="WDV9" s="1202"/>
      <c r="WDW9" s="1202"/>
      <c r="WDX9" s="1202"/>
      <c r="WDY9" s="1202"/>
      <c r="WDZ9" s="1202"/>
      <c r="WEA9" s="1202"/>
      <c r="WEB9" s="1202"/>
      <c r="WEC9" s="1202"/>
      <c r="WED9" s="1202"/>
      <c r="WEE9" s="1202"/>
      <c r="WEF9" s="1202"/>
      <c r="WEG9" s="1202"/>
      <c r="WEH9" s="1202"/>
      <c r="WEI9" s="1202"/>
      <c r="WEJ9" s="1202"/>
      <c r="WEK9" s="1202"/>
      <c r="WEL9" s="1202"/>
      <c r="WEM9" s="1202"/>
      <c r="WEN9" s="1202"/>
      <c r="WEO9" s="1202"/>
      <c r="WEP9" s="1202"/>
      <c r="WEQ9" s="1202"/>
      <c r="WER9" s="1202"/>
      <c r="WES9" s="1202"/>
      <c r="WET9" s="1202"/>
      <c r="WEU9" s="1202"/>
      <c r="WEV9" s="1202"/>
      <c r="WEW9" s="1202"/>
      <c r="WEX9" s="1202"/>
      <c r="WEY9" s="1202"/>
      <c r="WEZ9" s="1202"/>
      <c r="WFA9" s="1202"/>
      <c r="WFB9" s="1202"/>
      <c r="WFC9" s="1202"/>
      <c r="WFD9" s="1202"/>
      <c r="WFE9" s="1202"/>
      <c r="WFF9" s="1202"/>
      <c r="WFG9" s="1202"/>
      <c r="WFH9" s="1202"/>
      <c r="WFI9" s="1202"/>
      <c r="WFJ9" s="1202"/>
      <c r="WFK9" s="1202"/>
      <c r="WFL9" s="1202"/>
      <c r="WFM9" s="1202"/>
      <c r="WFN9" s="1202"/>
      <c r="WFO9" s="1202"/>
      <c r="WFP9" s="1202"/>
      <c r="WFQ9" s="1202"/>
      <c r="WFR9" s="1202"/>
      <c r="WFS9" s="1202"/>
      <c r="WFT9" s="1202"/>
      <c r="WFU9" s="1202"/>
      <c r="WFV9" s="1202"/>
      <c r="WFW9" s="1202"/>
      <c r="WFX9" s="1202"/>
      <c r="WFY9" s="1202"/>
      <c r="WFZ9" s="1202"/>
      <c r="WGA9" s="1202"/>
      <c r="WGB9" s="1202"/>
      <c r="WGC9" s="1202"/>
      <c r="WGD9" s="1202"/>
      <c r="WGE9" s="1202"/>
      <c r="WGF9" s="1202"/>
      <c r="WGG9" s="1202"/>
      <c r="WGH9" s="1202"/>
      <c r="WGI9" s="1202"/>
      <c r="WGJ9" s="1202"/>
      <c r="WGK9" s="1202"/>
      <c r="WGL9" s="1202"/>
      <c r="WGM9" s="1202"/>
      <c r="WGN9" s="1202"/>
      <c r="WGO9" s="1202"/>
      <c r="WGP9" s="1202"/>
      <c r="WGQ9" s="1202"/>
      <c r="WGR9" s="1202"/>
      <c r="WGS9" s="1202"/>
      <c r="WGT9" s="1202"/>
      <c r="WGU9" s="1202"/>
      <c r="WGV9" s="1202"/>
      <c r="WGW9" s="1202"/>
      <c r="WGX9" s="1202"/>
      <c r="WGY9" s="1202"/>
      <c r="WGZ9" s="1202"/>
      <c r="WHA9" s="1202"/>
      <c r="WHB9" s="1202"/>
      <c r="WHC9" s="1202"/>
      <c r="WHD9" s="1202"/>
      <c r="WHE9" s="1202"/>
      <c r="WHF9" s="1202"/>
      <c r="WHG9" s="1202"/>
      <c r="WHH9" s="1202"/>
      <c r="WHI9" s="1202"/>
      <c r="WHJ9" s="1202"/>
      <c r="WHK9" s="1202"/>
      <c r="WHL9" s="1202"/>
      <c r="WHM9" s="1202"/>
      <c r="WHN9" s="1202"/>
      <c r="WHO9" s="1202"/>
      <c r="WHP9" s="1202"/>
      <c r="WHQ9" s="1202"/>
      <c r="WHR9" s="1202"/>
      <c r="WHS9" s="1202"/>
      <c r="WHT9" s="1202"/>
      <c r="WHU9" s="1202"/>
      <c r="WHV9" s="1202"/>
      <c r="WHW9" s="1202"/>
      <c r="WHX9" s="1202"/>
      <c r="WHY9" s="1202"/>
      <c r="WHZ9" s="1202"/>
      <c r="WIA9" s="1202"/>
      <c r="WIB9" s="1202"/>
      <c r="WIC9" s="1202"/>
      <c r="WID9" s="1202"/>
      <c r="WIE9" s="1202"/>
      <c r="WIF9" s="1202"/>
      <c r="WIG9" s="1202"/>
      <c r="WIH9" s="1202"/>
      <c r="WII9" s="1202"/>
      <c r="WIJ9" s="1202"/>
      <c r="WIK9" s="1202"/>
      <c r="WIL9" s="1202"/>
      <c r="WIM9" s="1202"/>
      <c r="WIN9" s="1202"/>
      <c r="WIO9" s="1202"/>
      <c r="WIP9" s="1202"/>
      <c r="WIQ9" s="1202"/>
      <c r="WIR9" s="1202"/>
      <c r="WIS9" s="1202"/>
      <c r="WIT9" s="1202"/>
      <c r="WIU9" s="1202"/>
      <c r="WIV9" s="1202"/>
      <c r="WIW9" s="1202"/>
      <c r="WIX9" s="1202"/>
      <c r="WIY9" s="1202"/>
      <c r="WIZ9" s="1202"/>
      <c r="WJA9" s="1202"/>
      <c r="WJB9" s="1202"/>
      <c r="WJC9" s="1202"/>
      <c r="WJD9" s="1202"/>
      <c r="WJE9" s="1202"/>
      <c r="WJF9" s="1202"/>
      <c r="WJG9" s="1202"/>
      <c r="WJH9" s="1202"/>
      <c r="WJI9" s="1202"/>
      <c r="WJJ9" s="1202"/>
      <c r="WJK9" s="1202"/>
      <c r="WJL9" s="1202"/>
      <c r="WJM9" s="1202"/>
      <c r="WJN9" s="1202"/>
      <c r="WJO9" s="1202"/>
      <c r="WJP9" s="1202"/>
      <c r="WJQ9" s="1202"/>
      <c r="WJR9" s="1202"/>
      <c r="WJS9" s="1202"/>
      <c r="WJT9" s="1202"/>
      <c r="WJU9" s="1202"/>
      <c r="WJV9" s="1202"/>
      <c r="WJW9" s="1202"/>
      <c r="WJX9" s="1202"/>
      <c r="WJY9" s="1202"/>
      <c r="WJZ9" s="1202"/>
      <c r="WKA9" s="1202"/>
      <c r="WKB9" s="1202"/>
      <c r="WKC9" s="1202"/>
      <c r="WKD9" s="1202"/>
      <c r="WKE9" s="1202"/>
      <c r="WKF9" s="1202"/>
      <c r="WKG9" s="1202"/>
      <c r="WKH9" s="1202"/>
      <c r="WKI9" s="1202"/>
      <c r="WKJ9" s="1202"/>
      <c r="WKK9" s="1202"/>
      <c r="WKL9" s="1202"/>
      <c r="WKM9" s="1202"/>
      <c r="WKN9" s="1202"/>
      <c r="WKO9" s="1202"/>
      <c r="WKP9" s="1202"/>
      <c r="WKQ9" s="1202"/>
      <c r="WKR9" s="1202"/>
      <c r="WKS9" s="1202"/>
      <c r="WKT9" s="1202"/>
      <c r="WKU9" s="1202"/>
      <c r="WKV9" s="1202"/>
      <c r="WKW9" s="1202"/>
      <c r="WKX9" s="1202"/>
      <c r="WKY9" s="1202"/>
      <c r="WKZ9" s="1202"/>
      <c r="WLA9" s="1202"/>
      <c r="WLB9" s="1202"/>
      <c r="WLC9" s="1202"/>
      <c r="WLD9" s="1202"/>
      <c r="WLE9" s="1202"/>
      <c r="WLF9" s="1202"/>
      <c r="WLG9" s="1202"/>
      <c r="WLH9" s="1202"/>
      <c r="WLI9" s="1202"/>
      <c r="WLJ9" s="1202"/>
      <c r="WLK9" s="1202"/>
      <c r="WLL9" s="1202"/>
      <c r="WLM9" s="1202"/>
      <c r="WLN9" s="1202"/>
      <c r="WLO9" s="1202"/>
      <c r="WLP9" s="1202"/>
      <c r="WLQ9" s="1202"/>
      <c r="WLR9" s="1202"/>
      <c r="WLS9" s="1202"/>
      <c r="WLT9" s="1202"/>
      <c r="WLU9" s="1202"/>
      <c r="WLV9" s="1202"/>
      <c r="WLW9" s="1202"/>
      <c r="WLX9" s="1202"/>
      <c r="WLY9" s="1202"/>
      <c r="WLZ9" s="1202"/>
      <c r="WMA9" s="1202"/>
      <c r="WMB9" s="1202"/>
      <c r="WMC9" s="1202"/>
      <c r="WMD9" s="1202"/>
      <c r="WME9" s="1202"/>
      <c r="WMF9" s="1202"/>
      <c r="WMG9" s="1202"/>
      <c r="WMH9" s="1202"/>
      <c r="WMI9" s="1202"/>
      <c r="WMJ9" s="1202"/>
      <c r="WMK9" s="1202"/>
      <c r="WML9" s="1202"/>
      <c r="WMM9" s="1202"/>
      <c r="WMN9" s="1202"/>
      <c r="WMO9" s="1202"/>
      <c r="WMP9" s="1202"/>
      <c r="WMQ9" s="1202"/>
      <c r="WMR9" s="1202"/>
      <c r="WMS9" s="1202"/>
      <c r="WMT9" s="1202"/>
      <c r="WMU9" s="1202"/>
      <c r="WMV9" s="1202"/>
      <c r="WMW9" s="1202"/>
      <c r="WMX9" s="1202"/>
      <c r="WMY9" s="1202"/>
      <c r="WMZ9" s="1202"/>
      <c r="WNA9" s="1202"/>
      <c r="WNB9" s="1202"/>
      <c r="WNC9" s="1202"/>
      <c r="WND9" s="1202"/>
      <c r="WNE9" s="1202"/>
      <c r="WNF9" s="1202"/>
      <c r="WNG9" s="1202"/>
      <c r="WNH9" s="1202"/>
      <c r="WNI9" s="1202"/>
      <c r="WNJ9" s="1202"/>
      <c r="WNK9" s="1202"/>
      <c r="WNL9" s="1202"/>
      <c r="WNM9" s="1202"/>
      <c r="WNN9" s="1202"/>
      <c r="WNO9" s="1202"/>
      <c r="WNP9" s="1202"/>
      <c r="WNQ9" s="1202"/>
      <c r="WNR9" s="1202"/>
      <c r="WNS9" s="1202"/>
      <c r="WNT9" s="1202"/>
      <c r="WNU9" s="1202"/>
      <c r="WNV9" s="1202"/>
      <c r="WNW9" s="1202"/>
      <c r="WNX9" s="1202"/>
      <c r="WNY9" s="1202"/>
      <c r="WNZ9" s="1202"/>
      <c r="WOA9" s="1202"/>
      <c r="WOB9" s="1202"/>
      <c r="WOC9" s="1202"/>
      <c r="WOD9" s="1202"/>
      <c r="WOE9" s="1202"/>
      <c r="WOF9" s="1202"/>
      <c r="WOG9" s="1202"/>
      <c r="WOH9" s="1202"/>
      <c r="WOI9" s="1202"/>
      <c r="WOJ9" s="1202"/>
      <c r="WOK9" s="1202"/>
      <c r="WOL9" s="1202"/>
      <c r="WOM9" s="1202"/>
      <c r="WON9" s="1202"/>
      <c r="WOO9" s="1202"/>
      <c r="WOP9" s="1202"/>
      <c r="WOQ9" s="1202"/>
      <c r="WOR9" s="1202"/>
      <c r="WOS9" s="1202"/>
      <c r="WOT9" s="1202"/>
      <c r="WOU9" s="1202"/>
      <c r="WOV9" s="1202"/>
      <c r="WOW9" s="1202"/>
      <c r="WOX9" s="1202"/>
      <c r="WOY9" s="1202"/>
      <c r="WOZ9" s="1202"/>
      <c r="WPA9" s="1202"/>
      <c r="WPB9" s="1202"/>
      <c r="WPC9" s="1202"/>
      <c r="WPD9" s="1202"/>
      <c r="WPE9" s="1202"/>
      <c r="WPF9" s="1202"/>
      <c r="WPG9" s="1202"/>
      <c r="WPH9" s="1202"/>
      <c r="WPI9" s="1202"/>
      <c r="WPJ9" s="1202"/>
      <c r="WPK9" s="1202"/>
      <c r="WPL9" s="1202"/>
      <c r="WPM9" s="1202"/>
      <c r="WPN9" s="1202"/>
      <c r="WPO9" s="1202"/>
      <c r="WPP9" s="1202"/>
      <c r="WPQ9" s="1202"/>
      <c r="WPR9" s="1202"/>
      <c r="WPS9" s="1202"/>
      <c r="WPT9" s="1202"/>
      <c r="WPU9" s="1202"/>
      <c r="WPV9" s="1202"/>
      <c r="WPW9" s="1202"/>
      <c r="WPX9" s="1202"/>
      <c r="WPY9" s="1202"/>
      <c r="WPZ9" s="1202"/>
      <c r="WQA9" s="1202"/>
      <c r="WQB9" s="1202"/>
      <c r="WQC9" s="1202"/>
      <c r="WQD9" s="1202"/>
      <c r="WQE9" s="1202"/>
      <c r="WQF9" s="1202"/>
      <c r="WQG9" s="1202"/>
      <c r="WQH9" s="1202"/>
      <c r="WQI9" s="1202"/>
      <c r="WQJ9" s="1202"/>
      <c r="WQK9" s="1202"/>
      <c r="WQL9" s="1202"/>
      <c r="WQM9" s="1202"/>
      <c r="WQN9" s="1202"/>
      <c r="WQO9" s="1202"/>
      <c r="WQP9" s="1202"/>
      <c r="WQQ9" s="1202"/>
      <c r="WQR9" s="1202"/>
      <c r="WQS9" s="1202"/>
      <c r="WQT9" s="1202"/>
      <c r="WQU9" s="1202"/>
      <c r="WQV9" s="1202"/>
      <c r="WQW9" s="1202"/>
      <c r="WQX9" s="1202"/>
      <c r="WQY9" s="1202"/>
      <c r="WQZ9" s="1202"/>
      <c r="WRA9" s="1202"/>
      <c r="WRB9" s="1202"/>
      <c r="WRC9" s="1202"/>
      <c r="WRD9" s="1202"/>
      <c r="WRE9" s="1202"/>
      <c r="WRF9" s="1202"/>
      <c r="WRG9" s="1202"/>
      <c r="WRH9" s="1202"/>
      <c r="WRI9" s="1202"/>
      <c r="WRJ9" s="1202"/>
      <c r="WRK9" s="1202"/>
      <c r="WRL9" s="1202"/>
      <c r="WRM9" s="1202"/>
      <c r="WRN9" s="1202"/>
      <c r="WRO9" s="1202"/>
      <c r="WRP9" s="1202"/>
      <c r="WRQ9" s="1202"/>
      <c r="WRR9" s="1202"/>
      <c r="WRS9" s="1202"/>
      <c r="WRT9" s="1202"/>
      <c r="WRU9" s="1202"/>
      <c r="WRV9" s="1202"/>
      <c r="WRW9" s="1202"/>
      <c r="WRX9" s="1202"/>
      <c r="WRY9" s="1202"/>
      <c r="WRZ9" s="1202"/>
      <c r="WSA9" s="1202"/>
      <c r="WSB9" s="1202"/>
      <c r="WSC9" s="1202"/>
      <c r="WSD9" s="1202"/>
      <c r="WSE9" s="1202"/>
      <c r="WSF9" s="1202"/>
      <c r="WSG9" s="1202"/>
      <c r="WSH9" s="1202"/>
      <c r="WSI9" s="1202"/>
      <c r="WSJ9" s="1202"/>
      <c r="WSK9" s="1202"/>
      <c r="WSL9" s="1202"/>
      <c r="WSM9" s="1202"/>
      <c r="WSN9" s="1202"/>
      <c r="WSO9" s="1202"/>
      <c r="WSP9" s="1202"/>
      <c r="WSQ9" s="1202"/>
      <c r="WSR9" s="1202"/>
      <c r="WSS9" s="1202"/>
      <c r="WST9" s="1202"/>
      <c r="WSU9" s="1202"/>
      <c r="WSV9" s="1202"/>
      <c r="WSW9" s="1202"/>
      <c r="WSX9" s="1202"/>
      <c r="WSY9" s="1202"/>
      <c r="WSZ9" s="1202"/>
      <c r="WTA9" s="1202"/>
      <c r="WTB9" s="1202"/>
      <c r="WTC9" s="1202"/>
      <c r="WTD9" s="1202"/>
      <c r="WTE9" s="1202"/>
      <c r="WTF9" s="1202"/>
      <c r="WTG9" s="1202"/>
      <c r="WTH9" s="1202"/>
      <c r="WTI9" s="1202"/>
      <c r="WTJ9" s="1202"/>
      <c r="WTK9" s="1202"/>
      <c r="WTL9" s="1202"/>
      <c r="WTM9" s="1202"/>
      <c r="WTN9" s="1202"/>
      <c r="WTO9" s="1202"/>
      <c r="WTP9" s="1202"/>
      <c r="WTQ9" s="1202"/>
      <c r="WTR9" s="1202"/>
      <c r="WTS9" s="1202"/>
      <c r="WTT9" s="1202"/>
      <c r="WTU9" s="1202"/>
      <c r="WTV9" s="1202"/>
      <c r="WTW9" s="1202"/>
      <c r="WTX9" s="1202"/>
      <c r="WTY9" s="1202"/>
      <c r="WTZ9" s="1202"/>
      <c r="WUA9" s="1202"/>
      <c r="WUB9" s="1202"/>
      <c r="WUC9" s="1202"/>
      <c r="WUD9" s="1202"/>
      <c r="WUE9" s="1202"/>
      <c r="WUF9" s="1202"/>
      <c r="WUG9" s="1202"/>
      <c r="WUH9" s="1202"/>
      <c r="WUI9" s="1202"/>
      <c r="WUJ9" s="1202"/>
      <c r="WUK9" s="1202"/>
      <c r="WUL9" s="1202"/>
      <c r="WUM9" s="1202"/>
      <c r="WUN9" s="1202"/>
      <c r="WUO9" s="1202"/>
      <c r="WUP9" s="1202"/>
      <c r="WUQ9" s="1202"/>
      <c r="WUR9" s="1202"/>
      <c r="WUS9" s="1202"/>
      <c r="WUT9" s="1202"/>
      <c r="WUU9" s="1202"/>
      <c r="WUV9" s="1202"/>
      <c r="WUW9" s="1202"/>
      <c r="WUX9" s="1202"/>
      <c r="WUY9" s="1202"/>
      <c r="WUZ9" s="1202"/>
      <c r="WVA9" s="1202"/>
      <c r="WVB9" s="1202"/>
      <c r="WVC9" s="1202"/>
      <c r="WVD9" s="1202"/>
      <c r="WVE9" s="1202"/>
      <c r="WVF9" s="1202"/>
      <c r="WVG9" s="1202"/>
      <c r="WVH9" s="1202"/>
      <c r="WVI9" s="1202"/>
      <c r="WVJ9" s="1202"/>
      <c r="WVK9" s="1202"/>
      <c r="WVL9" s="1202"/>
      <c r="WVM9" s="1202"/>
      <c r="WVN9" s="1202"/>
      <c r="WVO9" s="1202"/>
      <c r="WVP9" s="1202"/>
      <c r="WVQ9" s="1202"/>
      <c r="WVR9" s="1202"/>
      <c r="WVS9" s="1202"/>
      <c r="WVT9" s="1202"/>
      <c r="WVU9" s="1202"/>
      <c r="WVV9" s="1202"/>
      <c r="WVW9" s="1202"/>
      <c r="WVX9" s="1202"/>
      <c r="WVY9" s="1202"/>
      <c r="WVZ9" s="1202"/>
      <c r="WWA9" s="1202"/>
      <c r="WWB9" s="1202"/>
      <c r="WWC9" s="1202"/>
      <c r="WWD9" s="1202"/>
      <c r="WWE9" s="1202"/>
      <c r="WWF9" s="1202"/>
      <c r="WWG9" s="1202"/>
      <c r="WWH9" s="1202"/>
      <c r="WWI9" s="1202"/>
      <c r="WWJ9" s="1202"/>
      <c r="WWK9" s="1202"/>
      <c r="WWL9" s="1202"/>
      <c r="WWM9" s="1202"/>
      <c r="WWN9" s="1202"/>
      <c r="WWO9" s="1202"/>
      <c r="WWP9" s="1202"/>
      <c r="WWQ9" s="1202"/>
      <c r="WWR9" s="1202"/>
      <c r="WWS9" s="1202"/>
      <c r="WWT9" s="1202"/>
      <c r="WWU9" s="1202"/>
      <c r="WWV9" s="1202"/>
      <c r="WWW9" s="1202"/>
      <c r="WWX9" s="1202"/>
      <c r="WWY9" s="1202"/>
      <c r="WWZ9" s="1202"/>
      <c r="WXA9" s="1202"/>
      <c r="WXB9" s="1202"/>
      <c r="WXC9" s="1202"/>
      <c r="WXD9" s="1202"/>
      <c r="WXE9" s="1202"/>
      <c r="WXF9" s="1202"/>
      <c r="WXG9" s="1202"/>
      <c r="WXH9" s="1202"/>
      <c r="WXI9" s="1202"/>
      <c r="WXJ9" s="1202"/>
      <c r="WXK9" s="1202"/>
      <c r="WXL9" s="1202"/>
      <c r="WXM9" s="1202"/>
      <c r="WXN9" s="1202"/>
      <c r="WXO9" s="1202"/>
      <c r="WXP9" s="1202"/>
      <c r="WXQ9" s="1202"/>
      <c r="WXR9" s="1202"/>
      <c r="WXS9" s="1202"/>
      <c r="WXT9" s="1202"/>
      <c r="WXU9" s="1202"/>
      <c r="WXV9" s="1202"/>
      <c r="WXW9" s="1202"/>
      <c r="WXX9" s="1202"/>
      <c r="WXY9" s="1202"/>
      <c r="WXZ9" s="1202"/>
      <c r="WYA9" s="1202"/>
      <c r="WYB9" s="1202"/>
      <c r="WYC9" s="1202"/>
      <c r="WYD9" s="1202"/>
      <c r="WYE9" s="1202"/>
      <c r="WYF9" s="1202"/>
      <c r="WYG9" s="1202"/>
      <c r="WYH9" s="1202"/>
      <c r="WYI9" s="1202"/>
      <c r="WYJ9" s="1202"/>
      <c r="WYK9" s="1202"/>
      <c r="WYL9" s="1202"/>
      <c r="WYM9" s="1202"/>
      <c r="WYN9" s="1202"/>
      <c r="WYO9" s="1202"/>
      <c r="WYP9" s="1202"/>
      <c r="WYQ9" s="1202"/>
      <c r="WYR9" s="1202"/>
      <c r="WYS9" s="1202"/>
      <c r="WYT9" s="1202"/>
      <c r="WYU9" s="1202"/>
      <c r="WYV9" s="1202"/>
      <c r="WYW9" s="1202"/>
      <c r="WYX9" s="1202"/>
      <c r="WYY9" s="1202"/>
      <c r="WYZ9" s="1202"/>
      <c r="WZA9" s="1202"/>
      <c r="WZB9" s="1202"/>
      <c r="WZC9" s="1202"/>
      <c r="WZD9" s="1202"/>
      <c r="WZE9" s="1202"/>
      <c r="WZF9" s="1202"/>
      <c r="WZG9" s="1202"/>
      <c r="WZH9" s="1202"/>
      <c r="WZI9" s="1202"/>
      <c r="WZJ9" s="1202"/>
      <c r="WZK9" s="1202"/>
      <c r="WZL9" s="1202"/>
      <c r="WZM9" s="1202"/>
      <c r="WZN9" s="1202"/>
      <c r="WZO9" s="1202"/>
      <c r="WZP9" s="1202"/>
      <c r="WZQ9" s="1202"/>
      <c r="WZR9" s="1202"/>
      <c r="WZS9" s="1202"/>
      <c r="WZT9" s="1202"/>
      <c r="WZU9" s="1202"/>
      <c r="WZV9" s="1202"/>
      <c r="WZW9" s="1202"/>
      <c r="WZX9" s="1202"/>
      <c r="WZY9" s="1202"/>
      <c r="WZZ9" s="1202"/>
      <c r="XAA9" s="1202"/>
      <c r="XAB9" s="1202"/>
      <c r="XAC9" s="1202"/>
      <c r="XAD9" s="1202"/>
      <c r="XAE9" s="1202"/>
      <c r="XAF9" s="1202"/>
      <c r="XAG9" s="1202"/>
      <c r="XAH9" s="1202"/>
      <c r="XAI9" s="1202"/>
      <c r="XAJ9" s="1202"/>
      <c r="XAK9" s="1202"/>
      <c r="XAL9" s="1202"/>
      <c r="XAM9" s="1202"/>
      <c r="XAN9" s="1202"/>
      <c r="XAO9" s="1202"/>
      <c r="XAP9" s="1202"/>
      <c r="XAQ9" s="1202"/>
      <c r="XAR9" s="1202"/>
      <c r="XAS9" s="1202"/>
      <c r="XAT9" s="1202"/>
      <c r="XAU9" s="1202"/>
      <c r="XAV9" s="1202"/>
      <c r="XAW9" s="1202"/>
      <c r="XAX9" s="1202"/>
      <c r="XAY9" s="1202"/>
      <c r="XAZ9" s="1202"/>
      <c r="XBA9" s="1202"/>
      <c r="XBB9" s="1202"/>
      <c r="XBC9" s="1202"/>
      <c r="XBD9" s="1202"/>
      <c r="XBE9" s="1202"/>
      <c r="XBF9" s="1202"/>
      <c r="XBG9" s="1202"/>
      <c r="XBH9" s="1202"/>
      <c r="XBI9" s="1202"/>
      <c r="XBJ9" s="1202"/>
      <c r="XBK9" s="1202"/>
      <c r="XBL9" s="1202"/>
      <c r="XBM9" s="1202"/>
      <c r="XBN9" s="1202"/>
      <c r="XBO9" s="1202"/>
      <c r="XBP9" s="1202"/>
      <c r="XBQ9" s="1202"/>
      <c r="XBR9" s="1202"/>
      <c r="XBS9" s="1202"/>
      <c r="XBT9" s="1202"/>
      <c r="XBU9" s="1202"/>
      <c r="XBV9" s="1202"/>
      <c r="XBW9" s="1202"/>
      <c r="XBX9" s="1202"/>
      <c r="XBY9" s="1202"/>
      <c r="XBZ9" s="1202"/>
      <c r="XCA9" s="1202"/>
      <c r="XCB9" s="1202"/>
      <c r="XCC9" s="1202"/>
      <c r="XCD9" s="1202"/>
      <c r="XCE9" s="1202"/>
      <c r="XCF9" s="1202"/>
      <c r="XCG9" s="1202"/>
      <c r="XCH9" s="1202"/>
      <c r="XCI9" s="1202"/>
      <c r="XCJ9" s="1202"/>
      <c r="XCK9" s="1202"/>
      <c r="XCL9" s="1202"/>
      <c r="XCM9" s="1202"/>
      <c r="XCN9" s="1202"/>
      <c r="XCO9" s="1202"/>
      <c r="XCP9" s="1202"/>
      <c r="XCQ9" s="1202"/>
      <c r="XCR9" s="1202"/>
      <c r="XCS9" s="1202"/>
      <c r="XCT9" s="1202"/>
      <c r="XCU9" s="1202"/>
      <c r="XCV9" s="1202"/>
      <c r="XCW9" s="1202"/>
      <c r="XCX9" s="1202"/>
      <c r="XCY9" s="1202"/>
      <c r="XCZ9" s="1202"/>
      <c r="XDA9" s="1202"/>
      <c r="XDB9" s="1202"/>
      <c r="XDC9" s="1202"/>
      <c r="XDD9" s="1202"/>
      <c r="XDE9" s="1202"/>
      <c r="XDF9" s="1202"/>
      <c r="XDG9" s="1202"/>
      <c r="XDH9" s="1202"/>
      <c r="XDI9" s="1202"/>
      <c r="XDJ9" s="1202"/>
      <c r="XDK9" s="1202"/>
      <c r="XDL9" s="1202"/>
      <c r="XDM9" s="1202"/>
      <c r="XDN9" s="1202"/>
      <c r="XDO9" s="1202"/>
      <c r="XDP9" s="1202"/>
      <c r="XDQ9" s="1202"/>
      <c r="XDR9" s="1202"/>
      <c r="XDS9" s="1202"/>
      <c r="XDT9" s="1202"/>
      <c r="XDU9" s="1202"/>
      <c r="XDV9" s="1202"/>
      <c r="XDW9" s="1202"/>
      <c r="XDX9" s="1202"/>
      <c r="XDY9" s="1202"/>
      <c r="XDZ9" s="1202"/>
      <c r="XEA9" s="1202"/>
      <c r="XEB9" s="1202"/>
      <c r="XEC9" s="1202"/>
      <c r="XED9" s="1202"/>
      <c r="XEE9" s="1202"/>
      <c r="XEF9" s="1202"/>
      <c r="XEG9" s="1202"/>
      <c r="XEH9" s="1202"/>
      <c r="XEI9" s="1202"/>
      <c r="XEJ9" s="1202"/>
      <c r="XEK9" s="1202"/>
      <c r="XEL9" s="1202"/>
      <c r="XEM9" s="1202"/>
      <c r="XEN9" s="1202"/>
      <c r="XEO9" s="1202"/>
      <c r="XEP9" s="1202"/>
      <c r="XEQ9" s="1202"/>
      <c r="XER9" s="1202"/>
      <c r="XES9" s="1202"/>
      <c r="XET9" s="1202"/>
      <c r="XEU9" s="1202"/>
      <c r="XEV9" s="1202"/>
      <c r="XEW9" s="1202"/>
      <c r="XEX9" s="1202"/>
      <c r="XEY9" s="1202"/>
      <c r="XEZ9" s="1202"/>
      <c r="XFA9" s="1202"/>
      <c r="XFB9" s="1202"/>
    </row>
    <row r="10" spans="1:16382" s="1232" customFormat="1" ht="39" customHeight="1" x14ac:dyDescent="0.2">
      <c r="A10" s="1409"/>
      <c r="B10" s="1409"/>
      <c r="C10" s="1409"/>
      <c r="D10" s="1409"/>
      <c r="E10" s="1218">
        <v>211</v>
      </c>
      <c r="F10" s="1219" t="s">
        <v>12</v>
      </c>
      <c r="G10" s="1220"/>
      <c r="H10" s="1221"/>
      <c r="I10" s="1220"/>
      <c r="J10" s="1220"/>
      <c r="K10" s="1222"/>
      <c r="L10" s="1220"/>
      <c r="M10" s="1223"/>
      <c r="N10" s="1224"/>
      <c r="O10" s="1224"/>
      <c r="P10" s="1225"/>
      <c r="Q10" s="1225"/>
      <c r="R10" s="1225"/>
      <c r="S10" s="1226"/>
      <c r="T10" s="1226"/>
      <c r="U10" s="1226"/>
      <c r="V10" s="1226"/>
      <c r="W10" s="1227"/>
      <c r="X10" s="1226"/>
      <c r="Y10" s="1226"/>
      <c r="Z10" s="1226"/>
      <c r="AA10" s="1226"/>
      <c r="AB10" s="1226"/>
      <c r="AC10" s="1226"/>
      <c r="AD10" s="1226"/>
      <c r="AE10" s="1226"/>
      <c r="AF10" s="1228"/>
      <c r="AG10" s="1229"/>
      <c r="AH10" s="1229"/>
      <c r="AI10" s="1229"/>
      <c r="AJ10" s="1229"/>
      <c r="AK10" s="1229"/>
      <c r="AL10" s="1230"/>
      <c r="AM10" s="1231"/>
      <c r="AN10" s="1202"/>
      <c r="AO10" s="1202"/>
      <c r="AP10" s="1202"/>
      <c r="AQ10" s="1202"/>
      <c r="AR10" s="1202"/>
      <c r="AS10" s="1202"/>
      <c r="AT10" s="1202"/>
      <c r="AU10" s="1202"/>
      <c r="AV10" s="1202"/>
      <c r="AW10" s="1202"/>
      <c r="AX10" s="1202"/>
      <c r="AY10" s="1202"/>
      <c r="AZ10" s="1202"/>
      <c r="BA10" s="1202"/>
      <c r="BB10" s="1202"/>
      <c r="BC10" s="1202"/>
      <c r="BD10" s="1202"/>
      <c r="BE10" s="1202"/>
      <c r="BF10" s="1202"/>
      <c r="BG10" s="1202"/>
      <c r="BH10" s="1202"/>
      <c r="BI10" s="1202"/>
      <c r="BJ10" s="1202"/>
      <c r="BK10" s="1202"/>
      <c r="BL10" s="1202"/>
      <c r="BM10" s="1202"/>
      <c r="BN10" s="1202"/>
      <c r="BO10" s="1202"/>
      <c r="BP10" s="1202"/>
      <c r="BQ10" s="1202"/>
      <c r="BR10" s="1202"/>
      <c r="BS10" s="1202"/>
      <c r="BT10" s="1202"/>
      <c r="BU10" s="1202"/>
      <c r="BV10" s="1202"/>
      <c r="BW10" s="1202"/>
      <c r="BX10" s="1202"/>
      <c r="BY10" s="1202"/>
      <c r="BZ10" s="1202"/>
      <c r="CA10" s="1202"/>
      <c r="CB10" s="1202"/>
      <c r="CC10" s="1202"/>
      <c r="CD10" s="1202"/>
      <c r="CE10" s="1202"/>
      <c r="CF10" s="1202"/>
      <c r="CG10" s="1202"/>
      <c r="CH10" s="1202"/>
      <c r="CI10" s="1202"/>
      <c r="CJ10" s="1202"/>
      <c r="CK10" s="1202"/>
      <c r="CL10" s="1202"/>
      <c r="CM10" s="1202"/>
      <c r="CN10" s="1202"/>
      <c r="CO10" s="1202"/>
      <c r="CP10" s="1202"/>
      <c r="CQ10" s="1202"/>
      <c r="CR10" s="1202"/>
      <c r="CS10" s="1202"/>
      <c r="CT10" s="1202"/>
      <c r="CU10" s="1202"/>
      <c r="CV10" s="1202"/>
      <c r="CW10" s="1202"/>
      <c r="CX10" s="1202"/>
      <c r="CY10" s="1202"/>
      <c r="CZ10" s="1202"/>
      <c r="DA10" s="1202"/>
      <c r="DB10" s="1202"/>
      <c r="DC10" s="1202"/>
      <c r="DD10" s="1202"/>
      <c r="DE10" s="1202"/>
      <c r="DF10" s="1202"/>
      <c r="DG10" s="1202"/>
      <c r="DH10" s="1202"/>
      <c r="DI10" s="1202"/>
      <c r="DJ10" s="1202"/>
      <c r="DK10" s="1202"/>
      <c r="DL10" s="1202"/>
      <c r="DM10" s="1202"/>
      <c r="DN10" s="1202"/>
      <c r="DO10" s="1202"/>
      <c r="DP10" s="1202"/>
      <c r="DQ10" s="1202"/>
      <c r="DR10" s="1202"/>
      <c r="DS10" s="1202"/>
      <c r="DT10" s="1202"/>
      <c r="DU10" s="1202"/>
      <c r="DV10" s="1202"/>
      <c r="DW10" s="1202"/>
      <c r="DX10" s="1202"/>
      <c r="DY10" s="1202"/>
      <c r="DZ10" s="1202"/>
      <c r="EA10" s="1202"/>
      <c r="EB10" s="1202"/>
      <c r="EC10" s="1202"/>
      <c r="ED10" s="1202"/>
      <c r="EE10" s="1202"/>
      <c r="EF10" s="1202"/>
      <c r="EG10" s="1202"/>
      <c r="EH10" s="1202"/>
      <c r="EI10" s="1202"/>
      <c r="EJ10" s="1202"/>
      <c r="EK10" s="1202"/>
      <c r="EL10" s="1202"/>
      <c r="EM10" s="1202"/>
      <c r="EN10" s="1202"/>
      <c r="EO10" s="1202"/>
      <c r="EP10" s="1202"/>
      <c r="EQ10" s="1202"/>
      <c r="ER10" s="1202"/>
      <c r="ES10" s="1202"/>
      <c r="ET10" s="1202"/>
      <c r="EU10" s="1202"/>
      <c r="EV10" s="1202"/>
      <c r="EW10" s="1202"/>
      <c r="EX10" s="1202"/>
      <c r="EY10" s="1202"/>
      <c r="EZ10" s="1202"/>
      <c r="FA10" s="1202"/>
      <c r="FB10" s="1202"/>
      <c r="FC10" s="1202"/>
      <c r="FD10" s="1202"/>
      <c r="FE10" s="1202"/>
      <c r="FF10" s="1202"/>
      <c r="FG10" s="1202"/>
      <c r="FH10" s="1202"/>
      <c r="FI10" s="1202"/>
      <c r="FJ10" s="1202"/>
      <c r="FK10" s="1202"/>
      <c r="FL10" s="1202"/>
      <c r="FM10" s="1202"/>
      <c r="FN10" s="1202"/>
      <c r="FO10" s="1202"/>
      <c r="FP10" s="1202"/>
      <c r="FQ10" s="1202"/>
      <c r="FR10" s="1202"/>
      <c r="FS10" s="1202"/>
      <c r="FT10" s="1202"/>
      <c r="FU10" s="1202"/>
      <c r="FV10" s="1202"/>
      <c r="FW10" s="1202"/>
      <c r="FX10" s="1202"/>
      <c r="FY10" s="1202"/>
      <c r="FZ10" s="1202"/>
      <c r="GA10" s="1202"/>
      <c r="GB10" s="1202"/>
      <c r="GC10" s="1202"/>
      <c r="GD10" s="1202"/>
      <c r="GE10" s="1202"/>
      <c r="GF10" s="1202"/>
      <c r="GG10" s="1202"/>
      <c r="GH10" s="1202"/>
      <c r="GI10" s="1202"/>
      <c r="GJ10" s="1202"/>
      <c r="GK10" s="1202"/>
      <c r="GL10" s="1202"/>
      <c r="GM10" s="1202"/>
      <c r="GN10" s="1202"/>
      <c r="GO10" s="1202"/>
      <c r="GP10" s="1202"/>
      <c r="GQ10" s="1202"/>
      <c r="GR10" s="1202"/>
      <c r="GS10" s="1202"/>
      <c r="GT10" s="1202"/>
      <c r="GU10" s="1202"/>
      <c r="GV10" s="1202"/>
      <c r="GW10" s="1202"/>
      <c r="GX10" s="1202"/>
      <c r="GY10" s="1202"/>
      <c r="GZ10" s="1202"/>
      <c r="HA10" s="1202"/>
      <c r="HB10" s="1202"/>
      <c r="HC10" s="1202"/>
      <c r="HD10" s="1202"/>
      <c r="HE10" s="1202"/>
      <c r="HF10" s="1202"/>
      <c r="HG10" s="1202"/>
      <c r="HH10" s="1202"/>
      <c r="HI10" s="1202"/>
      <c r="HJ10" s="1202"/>
      <c r="HK10" s="1202"/>
      <c r="HL10" s="1202"/>
      <c r="HM10" s="1202"/>
      <c r="HN10" s="1202"/>
      <c r="HO10" s="1202"/>
      <c r="HP10" s="1202"/>
      <c r="HQ10" s="1202"/>
      <c r="HR10" s="1202"/>
      <c r="HS10" s="1202"/>
      <c r="HT10" s="1202"/>
      <c r="HU10" s="1202"/>
      <c r="HV10" s="1202"/>
      <c r="HW10" s="1202"/>
      <c r="HX10" s="1202"/>
      <c r="HY10" s="1202"/>
      <c r="HZ10" s="1202"/>
      <c r="IA10" s="1202"/>
      <c r="IB10" s="1202"/>
      <c r="IC10" s="1202"/>
      <c r="ID10" s="1202"/>
      <c r="IE10" s="1202"/>
      <c r="IF10" s="1202"/>
      <c r="IG10" s="1202"/>
      <c r="IH10" s="1202"/>
      <c r="II10" s="1202"/>
      <c r="IJ10" s="1202"/>
      <c r="IK10" s="1202"/>
      <c r="IL10" s="1202"/>
      <c r="IM10" s="1202"/>
      <c r="IN10" s="1202"/>
      <c r="IO10" s="1202"/>
      <c r="IP10" s="1202"/>
      <c r="IQ10" s="1202"/>
      <c r="IR10" s="1202"/>
      <c r="IS10" s="1202"/>
      <c r="IT10" s="1202"/>
      <c r="IU10" s="1202"/>
      <c r="IV10" s="1202"/>
      <c r="IW10" s="1202"/>
      <c r="IX10" s="1202"/>
      <c r="IY10" s="1202"/>
      <c r="IZ10" s="1202"/>
      <c r="JA10" s="1202"/>
      <c r="JB10" s="1202"/>
      <c r="JC10" s="1202"/>
      <c r="JD10" s="1202"/>
      <c r="JE10" s="1202"/>
      <c r="JF10" s="1202"/>
      <c r="JG10" s="1202"/>
      <c r="JH10" s="1202"/>
      <c r="JI10" s="1202"/>
      <c r="JJ10" s="1202"/>
      <c r="JK10" s="1202"/>
      <c r="JL10" s="1202"/>
      <c r="JM10" s="1202"/>
      <c r="JN10" s="1202"/>
      <c r="JO10" s="1202"/>
      <c r="JP10" s="1202"/>
      <c r="JQ10" s="1202"/>
      <c r="JR10" s="1202"/>
      <c r="JS10" s="1202"/>
      <c r="JT10" s="1202"/>
      <c r="JU10" s="1202"/>
      <c r="JV10" s="1202"/>
      <c r="JW10" s="1202"/>
      <c r="JX10" s="1202"/>
      <c r="JY10" s="1202"/>
      <c r="JZ10" s="1202"/>
      <c r="KA10" s="1202"/>
      <c r="KB10" s="1202"/>
      <c r="KC10" s="1202"/>
      <c r="KD10" s="1202"/>
      <c r="KE10" s="1202"/>
      <c r="KF10" s="1202"/>
      <c r="KG10" s="1202"/>
      <c r="KH10" s="1202"/>
      <c r="KI10" s="1202"/>
      <c r="KJ10" s="1202"/>
      <c r="KK10" s="1202"/>
      <c r="KL10" s="1202"/>
      <c r="KM10" s="1202"/>
      <c r="KN10" s="1202"/>
      <c r="KO10" s="1202"/>
      <c r="KP10" s="1202"/>
      <c r="KQ10" s="1202"/>
      <c r="KR10" s="1202"/>
      <c r="KS10" s="1202"/>
      <c r="KT10" s="1202"/>
      <c r="KU10" s="1202"/>
      <c r="KV10" s="1202"/>
      <c r="KW10" s="1202"/>
      <c r="KX10" s="1202"/>
      <c r="KY10" s="1202"/>
      <c r="KZ10" s="1202"/>
      <c r="LA10" s="1202"/>
      <c r="LB10" s="1202"/>
      <c r="LC10" s="1202"/>
      <c r="LD10" s="1202"/>
      <c r="LE10" s="1202"/>
      <c r="LF10" s="1202"/>
      <c r="LG10" s="1202"/>
      <c r="LH10" s="1202"/>
      <c r="LI10" s="1202"/>
      <c r="LJ10" s="1202"/>
      <c r="LK10" s="1202"/>
      <c r="LL10" s="1202"/>
      <c r="LM10" s="1202"/>
      <c r="LN10" s="1202"/>
      <c r="LO10" s="1202"/>
      <c r="LP10" s="1202"/>
      <c r="LQ10" s="1202"/>
      <c r="LR10" s="1202"/>
      <c r="LS10" s="1202"/>
      <c r="LT10" s="1202"/>
      <c r="LU10" s="1202"/>
      <c r="LV10" s="1202"/>
      <c r="LW10" s="1202"/>
      <c r="LX10" s="1202"/>
      <c r="LY10" s="1202"/>
      <c r="LZ10" s="1202"/>
      <c r="MA10" s="1202"/>
      <c r="MB10" s="1202"/>
      <c r="MC10" s="1202"/>
      <c r="MD10" s="1202"/>
      <c r="ME10" s="1202"/>
      <c r="MF10" s="1202"/>
      <c r="MG10" s="1202"/>
      <c r="MH10" s="1202"/>
      <c r="MI10" s="1202"/>
      <c r="MJ10" s="1202"/>
      <c r="MK10" s="1202"/>
      <c r="ML10" s="1202"/>
      <c r="MM10" s="1202"/>
      <c r="MN10" s="1202"/>
      <c r="MO10" s="1202"/>
      <c r="MP10" s="1202"/>
      <c r="MQ10" s="1202"/>
      <c r="MR10" s="1202"/>
      <c r="MS10" s="1202"/>
      <c r="MT10" s="1202"/>
      <c r="MU10" s="1202"/>
      <c r="MV10" s="1202"/>
      <c r="MW10" s="1202"/>
      <c r="MX10" s="1202"/>
      <c r="MY10" s="1202"/>
      <c r="MZ10" s="1202"/>
      <c r="NA10" s="1202"/>
      <c r="NB10" s="1202"/>
      <c r="NC10" s="1202"/>
      <c r="ND10" s="1202"/>
      <c r="NE10" s="1202"/>
      <c r="NF10" s="1202"/>
      <c r="NG10" s="1202"/>
      <c r="NH10" s="1202"/>
      <c r="NI10" s="1202"/>
      <c r="NJ10" s="1202"/>
      <c r="NK10" s="1202"/>
      <c r="NL10" s="1202"/>
      <c r="NM10" s="1202"/>
      <c r="NN10" s="1202"/>
      <c r="NO10" s="1202"/>
      <c r="NP10" s="1202"/>
      <c r="NQ10" s="1202"/>
      <c r="NR10" s="1202"/>
      <c r="NS10" s="1202"/>
      <c r="NT10" s="1202"/>
      <c r="NU10" s="1202"/>
      <c r="NV10" s="1202"/>
      <c r="NW10" s="1202"/>
      <c r="NX10" s="1202"/>
      <c r="NY10" s="1202"/>
      <c r="NZ10" s="1202"/>
      <c r="OA10" s="1202"/>
      <c r="OB10" s="1202"/>
      <c r="OC10" s="1202"/>
      <c r="OD10" s="1202"/>
      <c r="OE10" s="1202"/>
      <c r="OF10" s="1202"/>
      <c r="OG10" s="1202"/>
      <c r="OH10" s="1202"/>
      <c r="OI10" s="1202"/>
      <c r="OJ10" s="1202"/>
      <c r="OK10" s="1202"/>
      <c r="OL10" s="1202"/>
      <c r="OM10" s="1202"/>
      <c r="ON10" s="1202"/>
      <c r="OO10" s="1202"/>
      <c r="OP10" s="1202"/>
      <c r="OQ10" s="1202"/>
      <c r="OR10" s="1202"/>
      <c r="OS10" s="1202"/>
      <c r="OT10" s="1202"/>
      <c r="OU10" s="1202"/>
      <c r="OV10" s="1202"/>
      <c r="OW10" s="1202"/>
      <c r="OX10" s="1202"/>
      <c r="OY10" s="1202"/>
      <c r="OZ10" s="1202"/>
      <c r="PA10" s="1202"/>
      <c r="PB10" s="1202"/>
      <c r="PC10" s="1202"/>
      <c r="PD10" s="1202"/>
      <c r="PE10" s="1202"/>
      <c r="PF10" s="1202"/>
      <c r="PG10" s="1202"/>
      <c r="PH10" s="1202"/>
      <c r="PI10" s="1202"/>
      <c r="PJ10" s="1202"/>
      <c r="PK10" s="1202"/>
      <c r="PL10" s="1202"/>
      <c r="PM10" s="1202"/>
      <c r="PN10" s="1202"/>
      <c r="PO10" s="1202"/>
      <c r="PP10" s="1202"/>
      <c r="PQ10" s="1202"/>
      <c r="PR10" s="1202"/>
      <c r="PS10" s="1202"/>
      <c r="PT10" s="1202"/>
      <c r="PU10" s="1202"/>
      <c r="PV10" s="1202"/>
      <c r="PW10" s="1202"/>
      <c r="PX10" s="1202"/>
      <c r="PY10" s="1202"/>
      <c r="PZ10" s="1202"/>
      <c r="QA10" s="1202"/>
      <c r="QB10" s="1202"/>
      <c r="QC10" s="1202"/>
      <c r="QD10" s="1202"/>
      <c r="QE10" s="1202"/>
      <c r="QF10" s="1202"/>
      <c r="QG10" s="1202"/>
      <c r="QH10" s="1202"/>
      <c r="QI10" s="1202"/>
      <c r="QJ10" s="1202"/>
      <c r="QK10" s="1202"/>
      <c r="QL10" s="1202"/>
      <c r="QM10" s="1202"/>
      <c r="QN10" s="1202"/>
      <c r="QO10" s="1202"/>
      <c r="QP10" s="1202"/>
      <c r="QQ10" s="1202"/>
      <c r="QR10" s="1202"/>
      <c r="QS10" s="1202"/>
      <c r="QT10" s="1202"/>
      <c r="QU10" s="1202"/>
      <c r="QV10" s="1202"/>
      <c r="QW10" s="1202"/>
      <c r="QX10" s="1202"/>
      <c r="QY10" s="1202"/>
      <c r="QZ10" s="1202"/>
      <c r="RA10" s="1202"/>
      <c r="RB10" s="1202"/>
      <c r="RC10" s="1202"/>
      <c r="RD10" s="1202"/>
      <c r="RE10" s="1202"/>
      <c r="RF10" s="1202"/>
      <c r="RG10" s="1202"/>
      <c r="RH10" s="1202"/>
      <c r="RI10" s="1202"/>
      <c r="RJ10" s="1202"/>
      <c r="RK10" s="1202"/>
      <c r="RL10" s="1202"/>
      <c r="RM10" s="1202"/>
      <c r="RN10" s="1202"/>
      <c r="RO10" s="1202"/>
      <c r="RP10" s="1202"/>
      <c r="RQ10" s="1202"/>
      <c r="RR10" s="1202"/>
      <c r="RS10" s="1202"/>
      <c r="RT10" s="1202"/>
      <c r="RU10" s="1202"/>
      <c r="RV10" s="1202"/>
      <c r="RW10" s="1202"/>
      <c r="RX10" s="1202"/>
      <c r="RY10" s="1202"/>
      <c r="RZ10" s="1202"/>
      <c r="SA10" s="1202"/>
      <c r="SB10" s="1202"/>
      <c r="SC10" s="1202"/>
      <c r="SD10" s="1202"/>
      <c r="SE10" s="1202"/>
      <c r="SF10" s="1202"/>
      <c r="SG10" s="1202"/>
      <c r="SH10" s="1202"/>
      <c r="SI10" s="1202"/>
      <c r="SJ10" s="1202"/>
      <c r="SK10" s="1202"/>
      <c r="SL10" s="1202"/>
      <c r="SM10" s="1202"/>
      <c r="SN10" s="1202"/>
      <c r="SO10" s="1202"/>
      <c r="SP10" s="1202"/>
      <c r="SQ10" s="1202"/>
      <c r="SR10" s="1202"/>
      <c r="SS10" s="1202"/>
      <c r="ST10" s="1202"/>
      <c r="SU10" s="1202"/>
      <c r="SV10" s="1202"/>
      <c r="SW10" s="1202"/>
      <c r="SX10" s="1202"/>
      <c r="SY10" s="1202"/>
      <c r="SZ10" s="1202"/>
      <c r="TA10" s="1202"/>
      <c r="TB10" s="1202"/>
      <c r="TC10" s="1202"/>
      <c r="TD10" s="1202"/>
      <c r="TE10" s="1202"/>
      <c r="TF10" s="1202"/>
      <c r="TG10" s="1202"/>
      <c r="TH10" s="1202"/>
      <c r="TI10" s="1202"/>
      <c r="TJ10" s="1202"/>
      <c r="TK10" s="1202"/>
      <c r="TL10" s="1202"/>
      <c r="TM10" s="1202"/>
      <c r="TN10" s="1202"/>
      <c r="TO10" s="1202"/>
      <c r="TP10" s="1202"/>
      <c r="TQ10" s="1202"/>
      <c r="TR10" s="1202"/>
      <c r="TS10" s="1202"/>
      <c r="TT10" s="1202"/>
      <c r="TU10" s="1202"/>
      <c r="TV10" s="1202"/>
      <c r="TW10" s="1202"/>
      <c r="TX10" s="1202"/>
      <c r="TY10" s="1202"/>
      <c r="TZ10" s="1202"/>
      <c r="UA10" s="1202"/>
      <c r="UB10" s="1202"/>
      <c r="UC10" s="1202"/>
      <c r="UD10" s="1202"/>
      <c r="UE10" s="1202"/>
      <c r="UF10" s="1202"/>
      <c r="UG10" s="1202"/>
      <c r="UH10" s="1202"/>
      <c r="UI10" s="1202"/>
      <c r="UJ10" s="1202"/>
      <c r="UK10" s="1202"/>
      <c r="UL10" s="1202"/>
      <c r="UM10" s="1202"/>
      <c r="UN10" s="1202"/>
      <c r="UO10" s="1202"/>
      <c r="UP10" s="1202"/>
      <c r="UQ10" s="1202"/>
      <c r="UR10" s="1202"/>
      <c r="US10" s="1202"/>
      <c r="UT10" s="1202"/>
      <c r="UU10" s="1202"/>
      <c r="UV10" s="1202"/>
      <c r="UW10" s="1202"/>
      <c r="UX10" s="1202"/>
      <c r="UY10" s="1202"/>
      <c r="UZ10" s="1202"/>
      <c r="VA10" s="1202"/>
      <c r="VB10" s="1202"/>
      <c r="VC10" s="1202"/>
      <c r="VD10" s="1202"/>
      <c r="VE10" s="1202"/>
      <c r="VF10" s="1202"/>
      <c r="VG10" s="1202"/>
      <c r="VH10" s="1202"/>
      <c r="VI10" s="1202"/>
      <c r="VJ10" s="1202"/>
      <c r="VK10" s="1202"/>
      <c r="VL10" s="1202"/>
      <c r="VM10" s="1202"/>
      <c r="VN10" s="1202"/>
      <c r="VO10" s="1202"/>
      <c r="VP10" s="1202"/>
      <c r="VQ10" s="1202"/>
      <c r="VR10" s="1202"/>
      <c r="VS10" s="1202"/>
      <c r="VT10" s="1202"/>
      <c r="VU10" s="1202"/>
      <c r="VV10" s="1202"/>
      <c r="VW10" s="1202"/>
      <c r="VX10" s="1202"/>
      <c r="VY10" s="1202"/>
      <c r="VZ10" s="1202"/>
      <c r="WA10" s="1202"/>
      <c r="WB10" s="1202"/>
      <c r="WC10" s="1202"/>
      <c r="WD10" s="1202"/>
      <c r="WE10" s="1202"/>
      <c r="WF10" s="1202"/>
      <c r="WG10" s="1202"/>
      <c r="WH10" s="1202"/>
      <c r="WI10" s="1202"/>
      <c r="WJ10" s="1202"/>
      <c r="WK10" s="1202"/>
      <c r="WL10" s="1202"/>
      <c r="WM10" s="1202"/>
      <c r="WN10" s="1202"/>
      <c r="WO10" s="1202"/>
      <c r="WP10" s="1202"/>
      <c r="WQ10" s="1202"/>
      <c r="WR10" s="1202"/>
      <c r="WS10" s="1202"/>
      <c r="WT10" s="1202"/>
      <c r="WU10" s="1202"/>
      <c r="WV10" s="1202"/>
      <c r="WW10" s="1202"/>
      <c r="WX10" s="1202"/>
      <c r="WY10" s="1202"/>
      <c r="WZ10" s="1202"/>
      <c r="XA10" s="1202"/>
      <c r="XB10" s="1202"/>
      <c r="XC10" s="1202"/>
      <c r="XD10" s="1202"/>
      <c r="XE10" s="1202"/>
      <c r="XF10" s="1202"/>
      <c r="XG10" s="1202"/>
      <c r="XH10" s="1202"/>
      <c r="XI10" s="1202"/>
      <c r="XJ10" s="1202"/>
      <c r="XK10" s="1202"/>
      <c r="XL10" s="1202"/>
      <c r="XM10" s="1202"/>
      <c r="XN10" s="1202"/>
      <c r="XO10" s="1202"/>
      <c r="XP10" s="1202"/>
      <c r="XQ10" s="1202"/>
      <c r="XR10" s="1202"/>
      <c r="XS10" s="1202"/>
      <c r="XT10" s="1202"/>
      <c r="XU10" s="1202"/>
      <c r="XV10" s="1202"/>
      <c r="XW10" s="1202"/>
      <c r="XX10" s="1202"/>
      <c r="XY10" s="1202"/>
      <c r="XZ10" s="1202"/>
      <c r="YA10" s="1202"/>
      <c r="YB10" s="1202"/>
      <c r="YC10" s="1202"/>
      <c r="YD10" s="1202"/>
      <c r="YE10" s="1202"/>
      <c r="YF10" s="1202"/>
      <c r="YG10" s="1202"/>
      <c r="YH10" s="1202"/>
      <c r="YI10" s="1202"/>
      <c r="YJ10" s="1202"/>
      <c r="YK10" s="1202"/>
      <c r="YL10" s="1202"/>
      <c r="YM10" s="1202"/>
      <c r="YN10" s="1202"/>
      <c r="YO10" s="1202"/>
      <c r="YP10" s="1202"/>
      <c r="YQ10" s="1202"/>
      <c r="YR10" s="1202"/>
      <c r="YS10" s="1202"/>
      <c r="YT10" s="1202"/>
      <c r="YU10" s="1202"/>
      <c r="YV10" s="1202"/>
      <c r="YW10" s="1202"/>
      <c r="YX10" s="1202"/>
      <c r="YY10" s="1202"/>
      <c r="YZ10" s="1202"/>
      <c r="ZA10" s="1202"/>
      <c r="ZB10" s="1202"/>
      <c r="ZC10" s="1202"/>
      <c r="ZD10" s="1202"/>
      <c r="ZE10" s="1202"/>
      <c r="ZF10" s="1202"/>
      <c r="ZG10" s="1202"/>
      <c r="ZH10" s="1202"/>
      <c r="ZI10" s="1202"/>
      <c r="ZJ10" s="1202"/>
      <c r="ZK10" s="1202"/>
      <c r="ZL10" s="1202"/>
      <c r="ZM10" s="1202"/>
      <c r="ZN10" s="1202"/>
      <c r="ZO10" s="1202"/>
      <c r="ZP10" s="1202"/>
      <c r="ZQ10" s="1202"/>
      <c r="ZR10" s="1202"/>
      <c r="ZS10" s="1202"/>
      <c r="ZT10" s="1202"/>
      <c r="ZU10" s="1202"/>
      <c r="ZV10" s="1202"/>
      <c r="ZW10" s="1202"/>
      <c r="ZX10" s="1202"/>
      <c r="ZY10" s="1202"/>
      <c r="ZZ10" s="1202"/>
      <c r="AAA10" s="1202"/>
      <c r="AAB10" s="1202"/>
      <c r="AAC10" s="1202"/>
      <c r="AAD10" s="1202"/>
      <c r="AAE10" s="1202"/>
      <c r="AAF10" s="1202"/>
      <c r="AAG10" s="1202"/>
      <c r="AAH10" s="1202"/>
      <c r="AAI10" s="1202"/>
      <c r="AAJ10" s="1202"/>
      <c r="AAK10" s="1202"/>
      <c r="AAL10" s="1202"/>
      <c r="AAM10" s="1202"/>
      <c r="AAN10" s="1202"/>
      <c r="AAO10" s="1202"/>
      <c r="AAP10" s="1202"/>
      <c r="AAQ10" s="1202"/>
      <c r="AAR10" s="1202"/>
      <c r="AAS10" s="1202"/>
      <c r="AAT10" s="1202"/>
      <c r="AAU10" s="1202"/>
      <c r="AAV10" s="1202"/>
      <c r="AAW10" s="1202"/>
      <c r="AAX10" s="1202"/>
      <c r="AAY10" s="1202"/>
      <c r="AAZ10" s="1202"/>
      <c r="ABA10" s="1202"/>
      <c r="ABB10" s="1202"/>
      <c r="ABC10" s="1202"/>
      <c r="ABD10" s="1202"/>
      <c r="ABE10" s="1202"/>
      <c r="ABF10" s="1202"/>
      <c r="ABG10" s="1202"/>
      <c r="ABH10" s="1202"/>
      <c r="ABI10" s="1202"/>
      <c r="ABJ10" s="1202"/>
      <c r="ABK10" s="1202"/>
      <c r="ABL10" s="1202"/>
      <c r="ABM10" s="1202"/>
      <c r="ABN10" s="1202"/>
      <c r="ABO10" s="1202"/>
      <c r="ABP10" s="1202"/>
      <c r="ABQ10" s="1202"/>
      <c r="ABR10" s="1202"/>
      <c r="ABS10" s="1202"/>
      <c r="ABT10" s="1202"/>
      <c r="ABU10" s="1202"/>
      <c r="ABV10" s="1202"/>
      <c r="ABW10" s="1202"/>
      <c r="ABX10" s="1202"/>
      <c r="ABY10" s="1202"/>
      <c r="ABZ10" s="1202"/>
      <c r="ACA10" s="1202"/>
      <c r="ACB10" s="1202"/>
      <c r="ACC10" s="1202"/>
      <c r="ACD10" s="1202"/>
      <c r="ACE10" s="1202"/>
      <c r="ACF10" s="1202"/>
      <c r="ACG10" s="1202"/>
      <c r="ACH10" s="1202"/>
      <c r="ACI10" s="1202"/>
      <c r="ACJ10" s="1202"/>
      <c r="ACK10" s="1202"/>
      <c r="ACL10" s="1202"/>
      <c r="ACM10" s="1202"/>
      <c r="ACN10" s="1202"/>
      <c r="ACO10" s="1202"/>
      <c r="ACP10" s="1202"/>
      <c r="ACQ10" s="1202"/>
      <c r="ACR10" s="1202"/>
      <c r="ACS10" s="1202"/>
      <c r="ACT10" s="1202"/>
      <c r="ACU10" s="1202"/>
      <c r="ACV10" s="1202"/>
      <c r="ACW10" s="1202"/>
      <c r="ACX10" s="1202"/>
      <c r="ACY10" s="1202"/>
      <c r="ACZ10" s="1202"/>
      <c r="ADA10" s="1202"/>
      <c r="ADB10" s="1202"/>
      <c r="ADC10" s="1202"/>
      <c r="ADD10" s="1202"/>
      <c r="ADE10" s="1202"/>
      <c r="ADF10" s="1202"/>
      <c r="ADG10" s="1202"/>
      <c r="ADH10" s="1202"/>
      <c r="ADI10" s="1202"/>
      <c r="ADJ10" s="1202"/>
      <c r="ADK10" s="1202"/>
      <c r="ADL10" s="1202"/>
      <c r="ADM10" s="1202"/>
      <c r="ADN10" s="1202"/>
      <c r="ADO10" s="1202"/>
      <c r="ADP10" s="1202"/>
      <c r="ADQ10" s="1202"/>
      <c r="ADR10" s="1202"/>
      <c r="ADS10" s="1202"/>
      <c r="ADT10" s="1202"/>
      <c r="ADU10" s="1202"/>
      <c r="ADV10" s="1202"/>
      <c r="ADW10" s="1202"/>
      <c r="ADX10" s="1202"/>
      <c r="ADY10" s="1202"/>
      <c r="ADZ10" s="1202"/>
      <c r="AEA10" s="1202"/>
      <c r="AEB10" s="1202"/>
      <c r="AEC10" s="1202"/>
      <c r="AED10" s="1202"/>
      <c r="AEE10" s="1202"/>
      <c r="AEF10" s="1202"/>
      <c r="AEG10" s="1202"/>
      <c r="AEH10" s="1202"/>
      <c r="AEI10" s="1202"/>
      <c r="AEJ10" s="1202"/>
      <c r="AEK10" s="1202"/>
      <c r="AEL10" s="1202"/>
      <c r="AEM10" s="1202"/>
      <c r="AEN10" s="1202"/>
      <c r="AEO10" s="1202"/>
      <c r="AEP10" s="1202"/>
      <c r="AEQ10" s="1202"/>
      <c r="AER10" s="1202"/>
      <c r="AES10" s="1202"/>
      <c r="AET10" s="1202"/>
      <c r="AEU10" s="1202"/>
      <c r="AEV10" s="1202"/>
      <c r="AEW10" s="1202"/>
      <c r="AEX10" s="1202"/>
      <c r="AEY10" s="1202"/>
      <c r="AEZ10" s="1202"/>
      <c r="AFA10" s="1202"/>
      <c r="AFB10" s="1202"/>
      <c r="AFC10" s="1202"/>
      <c r="AFD10" s="1202"/>
      <c r="AFE10" s="1202"/>
      <c r="AFF10" s="1202"/>
      <c r="AFG10" s="1202"/>
      <c r="AFH10" s="1202"/>
      <c r="AFI10" s="1202"/>
      <c r="AFJ10" s="1202"/>
      <c r="AFK10" s="1202"/>
      <c r="AFL10" s="1202"/>
      <c r="AFM10" s="1202"/>
      <c r="AFN10" s="1202"/>
      <c r="AFO10" s="1202"/>
      <c r="AFP10" s="1202"/>
      <c r="AFQ10" s="1202"/>
      <c r="AFR10" s="1202"/>
      <c r="AFS10" s="1202"/>
      <c r="AFT10" s="1202"/>
      <c r="AFU10" s="1202"/>
      <c r="AFV10" s="1202"/>
      <c r="AFW10" s="1202"/>
      <c r="AFX10" s="1202"/>
      <c r="AFY10" s="1202"/>
      <c r="AFZ10" s="1202"/>
      <c r="AGA10" s="1202"/>
      <c r="AGB10" s="1202"/>
      <c r="AGC10" s="1202"/>
      <c r="AGD10" s="1202"/>
      <c r="AGE10" s="1202"/>
      <c r="AGF10" s="1202"/>
      <c r="AGG10" s="1202"/>
      <c r="AGH10" s="1202"/>
      <c r="AGI10" s="1202"/>
      <c r="AGJ10" s="1202"/>
      <c r="AGK10" s="1202"/>
      <c r="AGL10" s="1202"/>
      <c r="AGM10" s="1202"/>
      <c r="AGN10" s="1202"/>
      <c r="AGO10" s="1202"/>
      <c r="AGP10" s="1202"/>
      <c r="AGQ10" s="1202"/>
      <c r="AGR10" s="1202"/>
      <c r="AGS10" s="1202"/>
      <c r="AGT10" s="1202"/>
      <c r="AGU10" s="1202"/>
      <c r="AGV10" s="1202"/>
      <c r="AGW10" s="1202"/>
      <c r="AGX10" s="1202"/>
      <c r="AGY10" s="1202"/>
      <c r="AGZ10" s="1202"/>
      <c r="AHA10" s="1202"/>
      <c r="AHB10" s="1202"/>
      <c r="AHC10" s="1202"/>
      <c r="AHD10" s="1202"/>
      <c r="AHE10" s="1202"/>
      <c r="AHF10" s="1202"/>
      <c r="AHG10" s="1202"/>
      <c r="AHH10" s="1202"/>
      <c r="AHI10" s="1202"/>
      <c r="AHJ10" s="1202"/>
      <c r="AHK10" s="1202"/>
      <c r="AHL10" s="1202"/>
      <c r="AHM10" s="1202"/>
      <c r="AHN10" s="1202"/>
      <c r="AHO10" s="1202"/>
      <c r="AHP10" s="1202"/>
      <c r="AHQ10" s="1202"/>
      <c r="AHR10" s="1202"/>
      <c r="AHS10" s="1202"/>
      <c r="AHT10" s="1202"/>
      <c r="AHU10" s="1202"/>
      <c r="AHV10" s="1202"/>
      <c r="AHW10" s="1202"/>
      <c r="AHX10" s="1202"/>
      <c r="AHY10" s="1202"/>
      <c r="AHZ10" s="1202"/>
      <c r="AIA10" s="1202"/>
      <c r="AIB10" s="1202"/>
      <c r="AIC10" s="1202"/>
      <c r="AID10" s="1202"/>
      <c r="AIE10" s="1202"/>
      <c r="AIF10" s="1202"/>
      <c r="AIG10" s="1202"/>
      <c r="AIH10" s="1202"/>
      <c r="AII10" s="1202"/>
      <c r="AIJ10" s="1202"/>
      <c r="AIK10" s="1202"/>
      <c r="AIL10" s="1202"/>
      <c r="AIM10" s="1202"/>
      <c r="AIN10" s="1202"/>
      <c r="AIO10" s="1202"/>
      <c r="AIP10" s="1202"/>
      <c r="AIQ10" s="1202"/>
      <c r="AIR10" s="1202"/>
      <c r="AIS10" s="1202"/>
      <c r="AIT10" s="1202"/>
      <c r="AIU10" s="1202"/>
      <c r="AIV10" s="1202"/>
      <c r="AIW10" s="1202"/>
      <c r="AIX10" s="1202"/>
      <c r="AIY10" s="1202"/>
      <c r="AIZ10" s="1202"/>
      <c r="AJA10" s="1202"/>
      <c r="AJB10" s="1202"/>
      <c r="AJC10" s="1202"/>
      <c r="AJD10" s="1202"/>
      <c r="AJE10" s="1202"/>
      <c r="AJF10" s="1202"/>
      <c r="AJG10" s="1202"/>
      <c r="AJH10" s="1202"/>
      <c r="AJI10" s="1202"/>
      <c r="AJJ10" s="1202"/>
      <c r="AJK10" s="1202"/>
      <c r="AJL10" s="1202"/>
      <c r="AJM10" s="1202"/>
      <c r="AJN10" s="1202"/>
      <c r="AJO10" s="1202"/>
      <c r="AJP10" s="1202"/>
      <c r="AJQ10" s="1202"/>
      <c r="AJR10" s="1202"/>
      <c r="AJS10" s="1202"/>
      <c r="AJT10" s="1202"/>
      <c r="AJU10" s="1202"/>
      <c r="AJV10" s="1202"/>
      <c r="AJW10" s="1202"/>
      <c r="AJX10" s="1202"/>
      <c r="AJY10" s="1202"/>
      <c r="AJZ10" s="1202"/>
      <c r="AKA10" s="1202"/>
      <c r="AKB10" s="1202"/>
      <c r="AKC10" s="1202"/>
      <c r="AKD10" s="1202"/>
      <c r="AKE10" s="1202"/>
      <c r="AKF10" s="1202"/>
      <c r="AKG10" s="1202"/>
      <c r="AKH10" s="1202"/>
      <c r="AKI10" s="1202"/>
      <c r="AKJ10" s="1202"/>
      <c r="AKK10" s="1202"/>
      <c r="AKL10" s="1202"/>
      <c r="AKM10" s="1202"/>
      <c r="AKN10" s="1202"/>
      <c r="AKO10" s="1202"/>
      <c r="AKP10" s="1202"/>
      <c r="AKQ10" s="1202"/>
      <c r="AKR10" s="1202"/>
      <c r="AKS10" s="1202"/>
      <c r="AKT10" s="1202"/>
      <c r="AKU10" s="1202"/>
      <c r="AKV10" s="1202"/>
      <c r="AKW10" s="1202"/>
      <c r="AKX10" s="1202"/>
      <c r="AKY10" s="1202"/>
      <c r="AKZ10" s="1202"/>
      <c r="ALA10" s="1202"/>
      <c r="ALB10" s="1202"/>
      <c r="ALC10" s="1202"/>
      <c r="ALD10" s="1202"/>
      <c r="ALE10" s="1202"/>
      <c r="ALF10" s="1202"/>
      <c r="ALG10" s="1202"/>
      <c r="ALH10" s="1202"/>
      <c r="ALI10" s="1202"/>
      <c r="ALJ10" s="1202"/>
      <c r="ALK10" s="1202"/>
      <c r="ALL10" s="1202"/>
      <c r="ALM10" s="1202"/>
      <c r="ALN10" s="1202"/>
      <c r="ALO10" s="1202"/>
      <c r="ALP10" s="1202"/>
      <c r="ALQ10" s="1202"/>
      <c r="ALR10" s="1202"/>
      <c r="ALS10" s="1202"/>
      <c r="ALT10" s="1202"/>
      <c r="ALU10" s="1202"/>
      <c r="ALV10" s="1202"/>
      <c r="ALW10" s="1202"/>
      <c r="ALX10" s="1202"/>
      <c r="ALY10" s="1202"/>
      <c r="ALZ10" s="1202"/>
      <c r="AMA10" s="1202"/>
      <c r="AMB10" s="1202"/>
      <c r="AMC10" s="1202"/>
      <c r="AMD10" s="1202"/>
      <c r="AME10" s="1202"/>
      <c r="AMF10" s="1202"/>
      <c r="AMG10" s="1202"/>
      <c r="AMH10" s="1202"/>
      <c r="AMI10" s="1202"/>
      <c r="AMJ10" s="1202"/>
      <c r="AMK10" s="1202"/>
      <c r="AML10" s="1202"/>
      <c r="AMM10" s="1202"/>
      <c r="AMN10" s="1202"/>
      <c r="AMO10" s="1202"/>
      <c r="AMP10" s="1202"/>
      <c r="AMQ10" s="1202"/>
      <c r="AMR10" s="1202"/>
      <c r="AMS10" s="1202"/>
      <c r="AMT10" s="1202"/>
      <c r="AMU10" s="1202"/>
      <c r="AMV10" s="1202"/>
      <c r="AMW10" s="1202"/>
      <c r="AMX10" s="1202"/>
      <c r="AMY10" s="1202"/>
      <c r="AMZ10" s="1202"/>
      <c r="ANA10" s="1202"/>
      <c r="ANB10" s="1202"/>
      <c r="ANC10" s="1202"/>
      <c r="AND10" s="1202"/>
      <c r="ANE10" s="1202"/>
      <c r="ANF10" s="1202"/>
      <c r="ANG10" s="1202"/>
      <c r="ANH10" s="1202"/>
      <c r="ANI10" s="1202"/>
      <c r="ANJ10" s="1202"/>
      <c r="ANK10" s="1202"/>
      <c r="ANL10" s="1202"/>
      <c r="ANM10" s="1202"/>
      <c r="ANN10" s="1202"/>
      <c r="ANO10" s="1202"/>
      <c r="ANP10" s="1202"/>
      <c r="ANQ10" s="1202"/>
      <c r="ANR10" s="1202"/>
      <c r="ANS10" s="1202"/>
      <c r="ANT10" s="1202"/>
      <c r="ANU10" s="1202"/>
      <c r="ANV10" s="1202"/>
      <c r="ANW10" s="1202"/>
      <c r="ANX10" s="1202"/>
      <c r="ANY10" s="1202"/>
      <c r="ANZ10" s="1202"/>
      <c r="AOA10" s="1202"/>
      <c r="AOB10" s="1202"/>
      <c r="AOC10" s="1202"/>
      <c r="AOD10" s="1202"/>
      <c r="AOE10" s="1202"/>
      <c r="AOF10" s="1202"/>
      <c r="AOG10" s="1202"/>
      <c r="AOH10" s="1202"/>
      <c r="AOI10" s="1202"/>
      <c r="AOJ10" s="1202"/>
      <c r="AOK10" s="1202"/>
      <c r="AOL10" s="1202"/>
      <c r="AOM10" s="1202"/>
      <c r="AON10" s="1202"/>
      <c r="AOO10" s="1202"/>
      <c r="AOP10" s="1202"/>
      <c r="AOQ10" s="1202"/>
      <c r="AOR10" s="1202"/>
      <c r="AOS10" s="1202"/>
      <c r="AOT10" s="1202"/>
      <c r="AOU10" s="1202"/>
      <c r="AOV10" s="1202"/>
      <c r="AOW10" s="1202"/>
      <c r="AOX10" s="1202"/>
      <c r="AOY10" s="1202"/>
      <c r="AOZ10" s="1202"/>
      <c r="APA10" s="1202"/>
      <c r="APB10" s="1202"/>
      <c r="APC10" s="1202"/>
      <c r="APD10" s="1202"/>
      <c r="APE10" s="1202"/>
      <c r="APF10" s="1202"/>
      <c r="APG10" s="1202"/>
      <c r="APH10" s="1202"/>
      <c r="API10" s="1202"/>
      <c r="APJ10" s="1202"/>
      <c r="APK10" s="1202"/>
      <c r="APL10" s="1202"/>
      <c r="APM10" s="1202"/>
      <c r="APN10" s="1202"/>
      <c r="APO10" s="1202"/>
      <c r="APP10" s="1202"/>
      <c r="APQ10" s="1202"/>
      <c r="APR10" s="1202"/>
      <c r="APS10" s="1202"/>
      <c r="APT10" s="1202"/>
      <c r="APU10" s="1202"/>
      <c r="APV10" s="1202"/>
      <c r="APW10" s="1202"/>
      <c r="APX10" s="1202"/>
      <c r="APY10" s="1202"/>
      <c r="APZ10" s="1202"/>
      <c r="AQA10" s="1202"/>
      <c r="AQB10" s="1202"/>
      <c r="AQC10" s="1202"/>
      <c r="AQD10" s="1202"/>
      <c r="AQE10" s="1202"/>
      <c r="AQF10" s="1202"/>
      <c r="AQG10" s="1202"/>
      <c r="AQH10" s="1202"/>
      <c r="AQI10" s="1202"/>
      <c r="AQJ10" s="1202"/>
      <c r="AQK10" s="1202"/>
      <c r="AQL10" s="1202"/>
      <c r="AQM10" s="1202"/>
      <c r="AQN10" s="1202"/>
      <c r="AQO10" s="1202"/>
      <c r="AQP10" s="1202"/>
      <c r="AQQ10" s="1202"/>
      <c r="AQR10" s="1202"/>
      <c r="AQS10" s="1202"/>
      <c r="AQT10" s="1202"/>
      <c r="AQU10" s="1202"/>
      <c r="AQV10" s="1202"/>
      <c r="AQW10" s="1202"/>
      <c r="AQX10" s="1202"/>
      <c r="AQY10" s="1202"/>
      <c r="AQZ10" s="1202"/>
      <c r="ARA10" s="1202"/>
      <c r="ARB10" s="1202"/>
      <c r="ARC10" s="1202"/>
      <c r="ARD10" s="1202"/>
      <c r="ARE10" s="1202"/>
      <c r="ARF10" s="1202"/>
      <c r="ARG10" s="1202"/>
      <c r="ARH10" s="1202"/>
      <c r="ARI10" s="1202"/>
      <c r="ARJ10" s="1202"/>
      <c r="ARK10" s="1202"/>
      <c r="ARL10" s="1202"/>
      <c r="ARM10" s="1202"/>
      <c r="ARN10" s="1202"/>
      <c r="ARO10" s="1202"/>
      <c r="ARP10" s="1202"/>
      <c r="ARQ10" s="1202"/>
      <c r="ARR10" s="1202"/>
      <c r="ARS10" s="1202"/>
      <c r="ART10" s="1202"/>
      <c r="ARU10" s="1202"/>
      <c r="ARV10" s="1202"/>
      <c r="ARW10" s="1202"/>
      <c r="ARX10" s="1202"/>
      <c r="ARY10" s="1202"/>
      <c r="ARZ10" s="1202"/>
      <c r="ASA10" s="1202"/>
      <c r="ASB10" s="1202"/>
      <c r="ASC10" s="1202"/>
      <c r="ASD10" s="1202"/>
      <c r="ASE10" s="1202"/>
      <c r="ASF10" s="1202"/>
      <c r="ASG10" s="1202"/>
      <c r="ASH10" s="1202"/>
      <c r="ASI10" s="1202"/>
      <c r="ASJ10" s="1202"/>
      <c r="ASK10" s="1202"/>
      <c r="ASL10" s="1202"/>
      <c r="ASM10" s="1202"/>
      <c r="ASN10" s="1202"/>
      <c r="ASO10" s="1202"/>
      <c r="ASP10" s="1202"/>
      <c r="ASQ10" s="1202"/>
      <c r="ASR10" s="1202"/>
      <c r="ASS10" s="1202"/>
      <c r="AST10" s="1202"/>
      <c r="ASU10" s="1202"/>
      <c r="ASV10" s="1202"/>
      <c r="ASW10" s="1202"/>
      <c r="ASX10" s="1202"/>
      <c r="ASY10" s="1202"/>
      <c r="ASZ10" s="1202"/>
      <c r="ATA10" s="1202"/>
      <c r="ATB10" s="1202"/>
      <c r="ATC10" s="1202"/>
      <c r="ATD10" s="1202"/>
      <c r="ATE10" s="1202"/>
      <c r="ATF10" s="1202"/>
      <c r="ATG10" s="1202"/>
      <c r="ATH10" s="1202"/>
      <c r="ATI10" s="1202"/>
      <c r="ATJ10" s="1202"/>
      <c r="ATK10" s="1202"/>
      <c r="ATL10" s="1202"/>
      <c r="ATM10" s="1202"/>
      <c r="ATN10" s="1202"/>
      <c r="ATO10" s="1202"/>
      <c r="ATP10" s="1202"/>
      <c r="ATQ10" s="1202"/>
      <c r="ATR10" s="1202"/>
      <c r="ATS10" s="1202"/>
      <c r="ATT10" s="1202"/>
      <c r="ATU10" s="1202"/>
      <c r="ATV10" s="1202"/>
      <c r="ATW10" s="1202"/>
      <c r="ATX10" s="1202"/>
      <c r="ATY10" s="1202"/>
      <c r="ATZ10" s="1202"/>
      <c r="AUA10" s="1202"/>
      <c r="AUB10" s="1202"/>
      <c r="AUC10" s="1202"/>
      <c r="AUD10" s="1202"/>
      <c r="AUE10" s="1202"/>
      <c r="AUF10" s="1202"/>
      <c r="AUG10" s="1202"/>
      <c r="AUH10" s="1202"/>
      <c r="AUI10" s="1202"/>
      <c r="AUJ10" s="1202"/>
      <c r="AUK10" s="1202"/>
      <c r="AUL10" s="1202"/>
      <c r="AUM10" s="1202"/>
      <c r="AUN10" s="1202"/>
      <c r="AUO10" s="1202"/>
      <c r="AUP10" s="1202"/>
      <c r="AUQ10" s="1202"/>
      <c r="AUR10" s="1202"/>
      <c r="AUS10" s="1202"/>
      <c r="AUT10" s="1202"/>
      <c r="AUU10" s="1202"/>
      <c r="AUV10" s="1202"/>
      <c r="AUW10" s="1202"/>
      <c r="AUX10" s="1202"/>
      <c r="AUY10" s="1202"/>
      <c r="AUZ10" s="1202"/>
      <c r="AVA10" s="1202"/>
      <c r="AVB10" s="1202"/>
      <c r="AVC10" s="1202"/>
      <c r="AVD10" s="1202"/>
      <c r="AVE10" s="1202"/>
      <c r="AVF10" s="1202"/>
      <c r="AVG10" s="1202"/>
      <c r="AVH10" s="1202"/>
      <c r="AVI10" s="1202"/>
      <c r="AVJ10" s="1202"/>
      <c r="AVK10" s="1202"/>
      <c r="AVL10" s="1202"/>
      <c r="AVM10" s="1202"/>
      <c r="AVN10" s="1202"/>
      <c r="AVO10" s="1202"/>
      <c r="AVP10" s="1202"/>
      <c r="AVQ10" s="1202"/>
      <c r="AVR10" s="1202"/>
      <c r="AVS10" s="1202"/>
      <c r="AVT10" s="1202"/>
      <c r="AVU10" s="1202"/>
      <c r="AVV10" s="1202"/>
      <c r="AVW10" s="1202"/>
      <c r="AVX10" s="1202"/>
      <c r="AVY10" s="1202"/>
      <c r="AVZ10" s="1202"/>
      <c r="AWA10" s="1202"/>
      <c r="AWB10" s="1202"/>
      <c r="AWC10" s="1202"/>
      <c r="AWD10" s="1202"/>
      <c r="AWE10" s="1202"/>
      <c r="AWF10" s="1202"/>
      <c r="AWG10" s="1202"/>
      <c r="AWH10" s="1202"/>
      <c r="AWI10" s="1202"/>
      <c r="AWJ10" s="1202"/>
      <c r="AWK10" s="1202"/>
      <c r="AWL10" s="1202"/>
      <c r="AWM10" s="1202"/>
      <c r="AWN10" s="1202"/>
      <c r="AWO10" s="1202"/>
      <c r="AWP10" s="1202"/>
      <c r="AWQ10" s="1202"/>
      <c r="AWR10" s="1202"/>
      <c r="AWS10" s="1202"/>
      <c r="AWT10" s="1202"/>
      <c r="AWU10" s="1202"/>
      <c r="AWV10" s="1202"/>
      <c r="AWW10" s="1202"/>
      <c r="AWX10" s="1202"/>
      <c r="AWY10" s="1202"/>
      <c r="AWZ10" s="1202"/>
      <c r="AXA10" s="1202"/>
      <c r="AXB10" s="1202"/>
      <c r="AXC10" s="1202"/>
      <c r="AXD10" s="1202"/>
      <c r="AXE10" s="1202"/>
      <c r="AXF10" s="1202"/>
      <c r="AXG10" s="1202"/>
      <c r="AXH10" s="1202"/>
      <c r="AXI10" s="1202"/>
      <c r="AXJ10" s="1202"/>
      <c r="AXK10" s="1202"/>
      <c r="AXL10" s="1202"/>
      <c r="AXM10" s="1202"/>
      <c r="AXN10" s="1202"/>
      <c r="AXO10" s="1202"/>
      <c r="AXP10" s="1202"/>
      <c r="AXQ10" s="1202"/>
      <c r="AXR10" s="1202"/>
      <c r="AXS10" s="1202"/>
      <c r="AXT10" s="1202"/>
      <c r="AXU10" s="1202"/>
      <c r="AXV10" s="1202"/>
      <c r="AXW10" s="1202"/>
      <c r="AXX10" s="1202"/>
      <c r="AXY10" s="1202"/>
      <c r="AXZ10" s="1202"/>
      <c r="AYA10" s="1202"/>
      <c r="AYB10" s="1202"/>
      <c r="AYC10" s="1202"/>
      <c r="AYD10" s="1202"/>
      <c r="AYE10" s="1202"/>
      <c r="AYF10" s="1202"/>
      <c r="AYG10" s="1202"/>
      <c r="AYH10" s="1202"/>
      <c r="AYI10" s="1202"/>
      <c r="AYJ10" s="1202"/>
      <c r="AYK10" s="1202"/>
      <c r="AYL10" s="1202"/>
      <c r="AYM10" s="1202"/>
      <c r="AYN10" s="1202"/>
      <c r="AYO10" s="1202"/>
      <c r="AYP10" s="1202"/>
      <c r="AYQ10" s="1202"/>
      <c r="AYR10" s="1202"/>
      <c r="AYS10" s="1202"/>
      <c r="AYT10" s="1202"/>
      <c r="AYU10" s="1202"/>
      <c r="AYV10" s="1202"/>
      <c r="AYW10" s="1202"/>
      <c r="AYX10" s="1202"/>
      <c r="AYY10" s="1202"/>
      <c r="AYZ10" s="1202"/>
      <c r="AZA10" s="1202"/>
      <c r="AZB10" s="1202"/>
      <c r="AZC10" s="1202"/>
      <c r="AZD10" s="1202"/>
      <c r="AZE10" s="1202"/>
      <c r="AZF10" s="1202"/>
      <c r="AZG10" s="1202"/>
      <c r="AZH10" s="1202"/>
      <c r="AZI10" s="1202"/>
      <c r="AZJ10" s="1202"/>
      <c r="AZK10" s="1202"/>
      <c r="AZL10" s="1202"/>
      <c r="AZM10" s="1202"/>
      <c r="AZN10" s="1202"/>
      <c r="AZO10" s="1202"/>
      <c r="AZP10" s="1202"/>
      <c r="AZQ10" s="1202"/>
      <c r="AZR10" s="1202"/>
      <c r="AZS10" s="1202"/>
      <c r="AZT10" s="1202"/>
      <c r="AZU10" s="1202"/>
      <c r="AZV10" s="1202"/>
      <c r="AZW10" s="1202"/>
      <c r="AZX10" s="1202"/>
      <c r="AZY10" s="1202"/>
      <c r="AZZ10" s="1202"/>
      <c r="BAA10" s="1202"/>
      <c r="BAB10" s="1202"/>
      <c r="BAC10" s="1202"/>
      <c r="BAD10" s="1202"/>
      <c r="BAE10" s="1202"/>
      <c r="BAF10" s="1202"/>
      <c r="BAG10" s="1202"/>
      <c r="BAH10" s="1202"/>
      <c r="BAI10" s="1202"/>
      <c r="BAJ10" s="1202"/>
      <c r="BAK10" s="1202"/>
      <c r="BAL10" s="1202"/>
      <c r="BAM10" s="1202"/>
      <c r="BAN10" s="1202"/>
      <c r="BAO10" s="1202"/>
      <c r="BAP10" s="1202"/>
      <c r="BAQ10" s="1202"/>
      <c r="BAR10" s="1202"/>
      <c r="BAS10" s="1202"/>
      <c r="BAT10" s="1202"/>
      <c r="BAU10" s="1202"/>
      <c r="BAV10" s="1202"/>
      <c r="BAW10" s="1202"/>
      <c r="BAX10" s="1202"/>
      <c r="BAY10" s="1202"/>
      <c r="BAZ10" s="1202"/>
      <c r="BBA10" s="1202"/>
      <c r="BBB10" s="1202"/>
      <c r="BBC10" s="1202"/>
      <c r="BBD10" s="1202"/>
      <c r="BBE10" s="1202"/>
      <c r="BBF10" s="1202"/>
      <c r="BBG10" s="1202"/>
      <c r="BBH10" s="1202"/>
      <c r="BBI10" s="1202"/>
      <c r="BBJ10" s="1202"/>
      <c r="BBK10" s="1202"/>
      <c r="BBL10" s="1202"/>
      <c r="BBM10" s="1202"/>
      <c r="BBN10" s="1202"/>
      <c r="BBO10" s="1202"/>
      <c r="BBP10" s="1202"/>
      <c r="BBQ10" s="1202"/>
      <c r="BBR10" s="1202"/>
      <c r="BBS10" s="1202"/>
      <c r="BBT10" s="1202"/>
      <c r="BBU10" s="1202"/>
      <c r="BBV10" s="1202"/>
      <c r="BBW10" s="1202"/>
      <c r="BBX10" s="1202"/>
      <c r="BBY10" s="1202"/>
      <c r="BBZ10" s="1202"/>
      <c r="BCA10" s="1202"/>
      <c r="BCB10" s="1202"/>
      <c r="BCC10" s="1202"/>
      <c r="BCD10" s="1202"/>
      <c r="BCE10" s="1202"/>
      <c r="BCF10" s="1202"/>
      <c r="BCG10" s="1202"/>
      <c r="BCH10" s="1202"/>
      <c r="BCI10" s="1202"/>
      <c r="BCJ10" s="1202"/>
      <c r="BCK10" s="1202"/>
      <c r="BCL10" s="1202"/>
      <c r="BCM10" s="1202"/>
      <c r="BCN10" s="1202"/>
      <c r="BCO10" s="1202"/>
      <c r="BCP10" s="1202"/>
      <c r="BCQ10" s="1202"/>
      <c r="BCR10" s="1202"/>
      <c r="BCS10" s="1202"/>
      <c r="BCT10" s="1202"/>
      <c r="BCU10" s="1202"/>
      <c r="BCV10" s="1202"/>
      <c r="BCW10" s="1202"/>
      <c r="BCX10" s="1202"/>
      <c r="BCY10" s="1202"/>
      <c r="BCZ10" s="1202"/>
      <c r="BDA10" s="1202"/>
      <c r="BDB10" s="1202"/>
      <c r="BDC10" s="1202"/>
      <c r="BDD10" s="1202"/>
      <c r="BDE10" s="1202"/>
      <c r="BDF10" s="1202"/>
      <c r="BDG10" s="1202"/>
      <c r="BDH10" s="1202"/>
      <c r="BDI10" s="1202"/>
      <c r="BDJ10" s="1202"/>
      <c r="BDK10" s="1202"/>
      <c r="BDL10" s="1202"/>
      <c r="BDM10" s="1202"/>
      <c r="BDN10" s="1202"/>
      <c r="BDO10" s="1202"/>
      <c r="BDP10" s="1202"/>
      <c r="BDQ10" s="1202"/>
      <c r="BDR10" s="1202"/>
      <c r="BDS10" s="1202"/>
      <c r="BDT10" s="1202"/>
      <c r="BDU10" s="1202"/>
      <c r="BDV10" s="1202"/>
      <c r="BDW10" s="1202"/>
      <c r="BDX10" s="1202"/>
      <c r="BDY10" s="1202"/>
      <c r="BDZ10" s="1202"/>
      <c r="BEA10" s="1202"/>
      <c r="BEB10" s="1202"/>
      <c r="BEC10" s="1202"/>
      <c r="BED10" s="1202"/>
      <c r="BEE10" s="1202"/>
      <c r="BEF10" s="1202"/>
      <c r="BEG10" s="1202"/>
      <c r="BEH10" s="1202"/>
      <c r="BEI10" s="1202"/>
      <c r="BEJ10" s="1202"/>
      <c r="BEK10" s="1202"/>
      <c r="BEL10" s="1202"/>
      <c r="BEM10" s="1202"/>
      <c r="BEN10" s="1202"/>
      <c r="BEO10" s="1202"/>
      <c r="BEP10" s="1202"/>
      <c r="BEQ10" s="1202"/>
      <c r="BER10" s="1202"/>
      <c r="BES10" s="1202"/>
      <c r="BET10" s="1202"/>
      <c r="BEU10" s="1202"/>
      <c r="BEV10" s="1202"/>
      <c r="BEW10" s="1202"/>
      <c r="BEX10" s="1202"/>
      <c r="BEY10" s="1202"/>
      <c r="BEZ10" s="1202"/>
      <c r="BFA10" s="1202"/>
      <c r="BFB10" s="1202"/>
      <c r="BFC10" s="1202"/>
      <c r="BFD10" s="1202"/>
      <c r="BFE10" s="1202"/>
      <c r="BFF10" s="1202"/>
      <c r="BFG10" s="1202"/>
      <c r="BFH10" s="1202"/>
      <c r="BFI10" s="1202"/>
      <c r="BFJ10" s="1202"/>
      <c r="BFK10" s="1202"/>
      <c r="BFL10" s="1202"/>
      <c r="BFM10" s="1202"/>
      <c r="BFN10" s="1202"/>
      <c r="BFO10" s="1202"/>
      <c r="BFP10" s="1202"/>
      <c r="BFQ10" s="1202"/>
      <c r="BFR10" s="1202"/>
      <c r="BFS10" s="1202"/>
      <c r="BFT10" s="1202"/>
      <c r="BFU10" s="1202"/>
      <c r="BFV10" s="1202"/>
      <c r="BFW10" s="1202"/>
      <c r="BFX10" s="1202"/>
      <c r="BFY10" s="1202"/>
      <c r="BFZ10" s="1202"/>
      <c r="BGA10" s="1202"/>
      <c r="BGB10" s="1202"/>
      <c r="BGC10" s="1202"/>
      <c r="BGD10" s="1202"/>
      <c r="BGE10" s="1202"/>
      <c r="BGF10" s="1202"/>
      <c r="BGG10" s="1202"/>
      <c r="BGH10" s="1202"/>
      <c r="BGI10" s="1202"/>
      <c r="BGJ10" s="1202"/>
      <c r="BGK10" s="1202"/>
      <c r="BGL10" s="1202"/>
      <c r="BGM10" s="1202"/>
      <c r="BGN10" s="1202"/>
      <c r="BGO10" s="1202"/>
      <c r="BGP10" s="1202"/>
      <c r="BGQ10" s="1202"/>
      <c r="BGR10" s="1202"/>
      <c r="BGS10" s="1202"/>
      <c r="BGT10" s="1202"/>
      <c r="BGU10" s="1202"/>
      <c r="BGV10" s="1202"/>
      <c r="BGW10" s="1202"/>
      <c r="BGX10" s="1202"/>
      <c r="BGY10" s="1202"/>
      <c r="BGZ10" s="1202"/>
      <c r="BHA10" s="1202"/>
      <c r="BHB10" s="1202"/>
      <c r="BHC10" s="1202"/>
      <c r="BHD10" s="1202"/>
      <c r="BHE10" s="1202"/>
      <c r="BHF10" s="1202"/>
      <c r="BHG10" s="1202"/>
      <c r="BHH10" s="1202"/>
      <c r="BHI10" s="1202"/>
      <c r="BHJ10" s="1202"/>
      <c r="BHK10" s="1202"/>
      <c r="BHL10" s="1202"/>
      <c r="BHM10" s="1202"/>
      <c r="BHN10" s="1202"/>
      <c r="BHO10" s="1202"/>
      <c r="BHP10" s="1202"/>
      <c r="BHQ10" s="1202"/>
      <c r="BHR10" s="1202"/>
      <c r="BHS10" s="1202"/>
      <c r="BHT10" s="1202"/>
      <c r="BHU10" s="1202"/>
      <c r="BHV10" s="1202"/>
      <c r="BHW10" s="1202"/>
      <c r="BHX10" s="1202"/>
      <c r="BHY10" s="1202"/>
      <c r="BHZ10" s="1202"/>
      <c r="BIA10" s="1202"/>
      <c r="BIB10" s="1202"/>
      <c r="BIC10" s="1202"/>
      <c r="BID10" s="1202"/>
      <c r="BIE10" s="1202"/>
      <c r="BIF10" s="1202"/>
      <c r="BIG10" s="1202"/>
      <c r="BIH10" s="1202"/>
      <c r="BII10" s="1202"/>
      <c r="BIJ10" s="1202"/>
      <c r="BIK10" s="1202"/>
      <c r="BIL10" s="1202"/>
      <c r="BIM10" s="1202"/>
      <c r="BIN10" s="1202"/>
      <c r="BIO10" s="1202"/>
      <c r="BIP10" s="1202"/>
      <c r="BIQ10" s="1202"/>
      <c r="BIR10" s="1202"/>
      <c r="BIS10" s="1202"/>
      <c r="BIT10" s="1202"/>
      <c r="BIU10" s="1202"/>
      <c r="BIV10" s="1202"/>
      <c r="BIW10" s="1202"/>
      <c r="BIX10" s="1202"/>
      <c r="BIY10" s="1202"/>
      <c r="BIZ10" s="1202"/>
      <c r="BJA10" s="1202"/>
      <c r="BJB10" s="1202"/>
      <c r="BJC10" s="1202"/>
      <c r="BJD10" s="1202"/>
      <c r="BJE10" s="1202"/>
      <c r="BJF10" s="1202"/>
      <c r="BJG10" s="1202"/>
      <c r="BJH10" s="1202"/>
      <c r="BJI10" s="1202"/>
      <c r="BJJ10" s="1202"/>
      <c r="BJK10" s="1202"/>
      <c r="BJL10" s="1202"/>
      <c r="BJM10" s="1202"/>
      <c r="BJN10" s="1202"/>
      <c r="BJO10" s="1202"/>
      <c r="BJP10" s="1202"/>
      <c r="BJQ10" s="1202"/>
      <c r="BJR10" s="1202"/>
      <c r="BJS10" s="1202"/>
      <c r="BJT10" s="1202"/>
      <c r="BJU10" s="1202"/>
      <c r="BJV10" s="1202"/>
      <c r="BJW10" s="1202"/>
      <c r="BJX10" s="1202"/>
      <c r="BJY10" s="1202"/>
      <c r="BJZ10" s="1202"/>
      <c r="BKA10" s="1202"/>
      <c r="BKB10" s="1202"/>
      <c r="BKC10" s="1202"/>
      <c r="BKD10" s="1202"/>
      <c r="BKE10" s="1202"/>
      <c r="BKF10" s="1202"/>
      <c r="BKG10" s="1202"/>
      <c r="BKH10" s="1202"/>
      <c r="BKI10" s="1202"/>
      <c r="BKJ10" s="1202"/>
      <c r="BKK10" s="1202"/>
      <c r="BKL10" s="1202"/>
      <c r="BKM10" s="1202"/>
      <c r="BKN10" s="1202"/>
      <c r="BKO10" s="1202"/>
      <c r="BKP10" s="1202"/>
      <c r="BKQ10" s="1202"/>
      <c r="BKR10" s="1202"/>
      <c r="BKS10" s="1202"/>
      <c r="BKT10" s="1202"/>
      <c r="BKU10" s="1202"/>
      <c r="BKV10" s="1202"/>
      <c r="BKW10" s="1202"/>
      <c r="BKX10" s="1202"/>
      <c r="BKY10" s="1202"/>
      <c r="BKZ10" s="1202"/>
      <c r="BLA10" s="1202"/>
      <c r="BLB10" s="1202"/>
      <c r="BLC10" s="1202"/>
      <c r="BLD10" s="1202"/>
      <c r="BLE10" s="1202"/>
      <c r="BLF10" s="1202"/>
      <c r="BLG10" s="1202"/>
      <c r="BLH10" s="1202"/>
      <c r="BLI10" s="1202"/>
      <c r="BLJ10" s="1202"/>
      <c r="BLK10" s="1202"/>
      <c r="BLL10" s="1202"/>
      <c r="BLM10" s="1202"/>
      <c r="BLN10" s="1202"/>
      <c r="BLO10" s="1202"/>
      <c r="BLP10" s="1202"/>
      <c r="BLQ10" s="1202"/>
      <c r="BLR10" s="1202"/>
      <c r="BLS10" s="1202"/>
      <c r="BLT10" s="1202"/>
      <c r="BLU10" s="1202"/>
      <c r="BLV10" s="1202"/>
      <c r="BLW10" s="1202"/>
      <c r="BLX10" s="1202"/>
      <c r="BLY10" s="1202"/>
      <c r="BLZ10" s="1202"/>
      <c r="BMA10" s="1202"/>
      <c r="BMB10" s="1202"/>
      <c r="BMC10" s="1202"/>
      <c r="BMD10" s="1202"/>
      <c r="BME10" s="1202"/>
      <c r="BMF10" s="1202"/>
      <c r="BMG10" s="1202"/>
      <c r="BMH10" s="1202"/>
      <c r="BMI10" s="1202"/>
      <c r="BMJ10" s="1202"/>
      <c r="BMK10" s="1202"/>
      <c r="BML10" s="1202"/>
      <c r="BMM10" s="1202"/>
      <c r="BMN10" s="1202"/>
      <c r="BMO10" s="1202"/>
      <c r="BMP10" s="1202"/>
      <c r="BMQ10" s="1202"/>
      <c r="BMR10" s="1202"/>
      <c r="BMS10" s="1202"/>
      <c r="BMT10" s="1202"/>
      <c r="BMU10" s="1202"/>
      <c r="BMV10" s="1202"/>
      <c r="BMW10" s="1202"/>
      <c r="BMX10" s="1202"/>
      <c r="BMY10" s="1202"/>
      <c r="BMZ10" s="1202"/>
      <c r="BNA10" s="1202"/>
      <c r="BNB10" s="1202"/>
      <c r="BNC10" s="1202"/>
      <c r="BND10" s="1202"/>
      <c r="BNE10" s="1202"/>
      <c r="BNF10" s="1202"/>
      <c r="BNG10" s="1202"/>
      <c r="BNH10" s="1202"/>
      <c r="BNI10" s="1202"/>
      <c r="BNJ10" s="1202"/>
      <c r="BNK10" s="1202"/>
      <c r="BNL10" s="1202"/>
      <c r="BNM10" s="1202"/>
      <c r="BNN10" s="1202"/>
      <c r="BNO10" s="1202"/>
      <c r="BNP10" s="1202"/>
      <c r="BNQ10" s="1202"/>
      <c r="BNR10" s="1202"/>
      <c r="BNS10" s="1202"/>
      <c r="BNT10" s="1202"/>
      <c r="BNU10" s="1202"/>
      <c r="BNV10" s="1202"/>
      <c r="BNW10" s="1202"/>
      <c r="BNX10" s="1202"/>
      <c r="BNY10" s="1202"/>
      <c r="BNZ10" s="1202"/>
      <c r="BOA10" s="1202"/>
      <c r="BOB10" s="1202"/>
      <c r="BOC10" s="1202"/>
      <c r="BOD10" s="1202"/>
      <c r="BOE10" s="1202"/>
      <c r="BOF10" s="1202"/>
      <c r="BOG10" s="1202"/>
      <c r="BOH10" s="1202"/>
      <c r="BOI10" s="1202"/>
      <c r="BOJ10" s="1202"/>
      <c r="BOK10" s="1202"/>
      <c r="BOL10" s="1202"/>
      <c r="BOM10" s="1202"/>
      <c r="BON10" s="1202"/>
      <c r="BOO10" s="1202"/>
      <c r="BOP10" s="1202"/>
      <c r="BOQ10" s="1202"/>
      <c r="BOR10" s="1202"/>
      <c r="BOS10" s="1202"/>
      <c r="BOT10" s="1202"/>
      <c r="BOU10" s="1202"/>
      <c r="BOV10" s="1202"/>
      <c r="BOW10" s="1202"/>
      <c r="BOX10" s="1202"/>
      <c r="BOY10" s="1202"/>
      <c r="BOZ10" s="1202"/>
      <c r="BPA10" s="1202"/>
      <c r="BPB10" s="1202"/>
      <c r="BPC10" s="1202"/>
      <c r="BPD10" s="1202"/>
      <c r="BPE10" s="1202"/>
      <c r="BPF10" s="1202"/>
      <c r="BPG10" s="1202"/>
      <c r="BPH10" s="1202"/>
      <c r="BPI10" s="1202"/>
      <c r="BPJ10" s="1202"/>
      <c r="BPK10" s="1202"/>
      <c r="BPL10" s="1202"/>
      <c r="BPM10" s="1202"/>
      <c r="BPN10" s="1202"/>
      <c r="BPO10" s="1202"/>
      <c r="BPP10" s="1202"/>
      <c r="BPQ10" s="1202"/>
      <c r="BPR10" s="1202"/>
      <c r="BPS10" s="1202"/>
      <c r="BPT10" s="1202"/>
      <c r="BPU10" s="1202"/>
      <c r="BPV10" s="1202"/>
      <c r="BPW10" s="1202"/>
      <c r="BPX10" s="1202"/>
      <c r="BPY10" s="1202"/>
      <c r="BPZ10" s="1202"/>
      <c r="BQA10" s="1202"/>
      <c r="BQB10" s="1202"/>
      <c r="BQC10" s="1202"/>
      <c r="BQD10" s="1202"/>
      <c r="BQE10" s="1202"/>
      <c r="BQF10" s="1202"/>
      <c r="BQG10" s="1202"/>
      <c r="BQH10" s="1202"/>
      <c r="BQI10" s="1202"/>
      <c r="BQJ10" s="1202"/>
      <c r="BQK10" s="1202"/>
      <c r="BQL10" s="1202"/>
      <c r="BQM10" s="1202"/>
      <c r="BQN10" s="1202"/>
      <c r="BQO10" s="1202"/>
      <c r="BQP10" s="1202"/>
      <c r="BQQ10" s="1202"/>
      <c r="BQR10" s="1202"/>
      <c r="BQS10" s="1202"/>
      <c r="BQT10" s="1202"/>
      <c r="BQU10" s="1202"/>
      <c r="BQV10" s="1202"/>
      <c r="BQW10" s="1202"/>
      <c r="BQX10" s="1202"/>
      <c r="BQY10" s="1202"/>
      <c r="BQZ10" s="1202"/>
      <c r="BRA10" s="1202"/>
      <c r="BRB10" s="1202"/>
      <c r="BRC10" s="1202"/>
      <c r="BRD10" s="1202"/>
      <c r="BRE10" s="1202"/>
      <c r="BRF10" s="1202"/>
      <c r="BRG10" s="1202"/>
      <c r="BRH10" s="1202"/>
      <c r="BRI10" s="1202"/>
      <c r="BRJ10" s="1202"/>
      <c r="BRK10" s="1202"/>
      <c r="BRL10" s="1202"/>
      <c r="BRM10" s="1202"/>
      <c r="BRN10" s="1202"/>
      <c r="BRO10" s="1202"/>
      <c r="BRP10" s="1202"/>
      <c r="BRQ10" s="1202"/>
      <c r="BRR10" s="1202"/>
      <c r="BRS10" s="1202"/>
      <c r="BRT10" s="1202"/>
      <c r="BRU10" s="1202"/>
      <c r="BRV10" s="1202"/>
      <c r="BRW10" s="1202"/>
      <c r="BRX10" s="1202"/>
      <c r="BRY10" s="1202"/>
      <c r="BRZ10" s="1202"/>
      <c r="BSA10" s="1202"/>
      <c r="BSB10" s="1202"/>
      <c r="BSC10" s="1202"/>
      <c r="BSD10" s="1202"/>
      <c r="BSE10" s="1202"/>
      <c r="BSF10" s="1202"/>
      <c r="BSG10" s="1202"/>
      <c r="BSH10" s="1202"/>
      <c r="BSI10" s="1202"/>
      <c r="BSJ10" s="1202"/>
      <c r="BSK10" s="1202"/>
      <c r="BSL10" s="1202"/>
      <c r="BSM10" s="1202"/>
      <c r="BSN10" s="1202"/>
      <c r="BSO10" s="1202"/>
      <c r="BSP10" s="1202"/>
      <c r="BSQ10" s="1202"/>
      <c r="BSR10" s="1202"/>
      <c r="BSS10" s="1202"/>
      <c r="BST10" s="1202"/>
      <c r="BSU10" s="1202"/>
      <c r="BSV10" s="1202"/>
      <c r="BSW10" s="1202"/>
      <c r="BSX10" s="1202"/>
      <c r="BSY10" s="1202"/>
      <c r="BSZ10" s="1202"/>
      <c r="BTA10" s="1202"/>
      <c r="BTB10" s="1202"/>
      <c r="BTC10" s="1202"/>
      <c r="BTD10" s="1202"/>
      <c r="BTE10" s="1202"/>
      <c r="BTF10" s="1202"/>
      <c r="BTG10" s="1202"/>
      <c r="BTH10" s="1202"/>
      <c r="BTI10" s="1202"/>
      <c r="BTJ10" s="1202"/>
      <c r="BTK10" s="1202"/>
      <c r="BTL10" s="1202"/>
      <c r="BTM10" s="1202"/>
      <c r="BTN10" s="1202"/>
      <c r="BTO10" s="1202"/>
      <c r="BTP10" s="1202"/>
      <c r="BTQ10" s="1202"/>
      <c r="BTR10" s="1202"/>
      <c r="BTS10" s="1202"/>
      <c r="BTT10" s="1202"/>
      <c r="BTU10" s="1202"/>
      <c r="BTV10" s="1202"/>
      <c r="BTW10" s="1202"/>
      <c r="BTX10" s="1202"/>
      <c r="BTY10" s="1202"/>
      <c r="BTZ10" s="1202"/>
      <c r="BUA10" s="1202"/>
      <c r="BUB10" s="1202"/>
      <c r="BUC10" s="1202"/>
      <c r="BUD10" s="1202"/>
      <c r="BUE10" s="1202"/>
      <c r="BUF10" s="1202"/>
      <c r="BUG10" s="1202"/>
      <c r="BUH10" s="1202"/>
      <c r="BUI10" s="1202"/>
      <c r="BUJ10" s="1202"/>
      <c r="BUK10" s="1202"/>
      <c r="BUL10" s="1202"/>
      <c r="BUM10" s="1202"/>
      <c r="BUN10" s="1202"/>
      <c r="BUO10" s="1202"/>
      <c r="BUP10" s="1202"/>
      <c r="BUQ10" s="1202"/>
      <c r="BUR10" s="1202"/>
      <c r="BUS10" s="1202"/>
      <c r="BUT10" s="1202"/>
      <c r="BUU10" s="1202"/>
      <c r="BUV10" s="1202"/>
      <c r="BUW10" s="1202"/>
      <c r="BUX10" s="1202"/>
      <c r="BUY10" s="1202"/>
      <c r="BUZ10" s="1202"/>
      <c r="BVA10" s="1202"/>
      <c r="BVB10" s="1202"/>
      <c r="BVC10" s="1202"/>
      <c r="BVD10" s="1202"/>
      <c r="BVE10" s="1202"/>
      <c r="BVF10" s="1202"/>
      <c r="BVG10" s="1202"/>
      <c r="BVH10" s="1202"/>
      <c r="BVI10" s="1202"/>
      <c r="BVJ10" s="1202"/>
      <c r="BVK10" s="1202"/>
      <c r="BVL10" s="1202"/>
      <c r="BVM10" s="1202"/>
      <c r="BVN10" s="1202"/>
      <c r="BVO10" s="1202"/>
      <c r="BVP10" s="1202"/>
      <c r="BVQ10" s="1202"/>
      <c r="BVR10" s="1202"/>
      <c r="BVS10" s="1202"/>
      <c r="BVT10" s="1202"/>
      <c r="BVU10" s="1202"/>
      <c r="BVV10" s="1202"/>
      <c r="BVW10" s="1202"/>
      <c r="BVX10" s="1202"/>
      <c r="BVY10" s="1202"/>
      <c r="BVZ10" s="1202"/>
      <c r="BWA10" s="1202"/>
      <c r="BWB10" s="1202"/>
      <c r="BWC10" s="1202"/>
      <c r="BWD10" s="1202"/>
      <c r="BWE10" s="1202"/>
      <c r="BWF10" s="1202"/>
      <c r="BWG10" s="1202"/>
      <c r="BWH10" s="1202"/>
      <c r="BWI10" s="1202"/>
      <c r="BWJ10" s="1202"/>
      <c r="BWK10" s="1202"/>
      <c r="BWL10" s="1202"/>
      <c r="BWM10" s="1202"/>
      <c r="BWN10" s="1202"/>
      <c r="BWO10" s="1202"/>
      <c r="BWP10" s="1202"/>
      <c r="BWQ10" s="1202"/>
      <c r="BWR10" s="1202"/>
      <c r="BWS10" s="1202"/>
      <c r="BWT10" s="1202"/>
      <c r="BWU10" s="1202"/>
      <c r="BWV10" s="1202"/>
      <c r="BWW10" s="1202"/>
      <c r="BWX10" s="1202"/>
      <c r="BWY10" s="1202"/>
      <c r="BWZ10" s="1202"/>
      <c r="BXA10" s="1202"/>
      <c r="BXB10" s="1202"/>
      <c r="BXC10" s="1202"/>
      <c r="BXD10" s="1202"/>
      <c r="BXE10" s="1202"/>
      <c r="BXF10" s="1202"/>
      <c r="BXG10" s="1202"/>
      <c r="BXH10" s="1202"/>
      <c r="BXI10" s="1202"/>
      <c r="BXJ10" s="1202"/>
      <c r="BXK10" s="1202"/>
      <c r="BXL10" s="1202"/>
      <c r="BXM10" s="1202"/>
      <c r="BXN10" s="1202"/>
      <c r="BXO10" s="1202"/>
      <c r="BXP10" s="1202"/>
      <c r="BXQ10" s="1202"/>
      <c r="BXR10" s="1202"/>
      <c r="BXS10" s="1202"/>
      <c r="BXT10" s="1202"/>
      <c r="BXU10" s="1202"/>
      <c r="BXV10" s="1202"/>
      <c r="BXW10" s="1202"/>
      <c r="BXX10" s="1202"/>
      <c r="BXY10" s="1202"/>
      <c r="BXZ10" s="1202"/>
      <c r="BYA10" s="1202"/>
      <c r="BYB10" s="1202"/>
      <c r="BYC10" s="1202"/>
      <c r="BYD10" s="1202"/>
      <c r="BYE10" s="1202"/>
      <c r="BYF10" s="1202"/>
      <c r="BYG10" s="1202"/>
      <c r="BYH10" s="1202"/>
      <c r="BYI10" s="1202"/>
      <c r="BYJ10" s="1202"/>
      <c r="BYK10" s="1202"/>
      <c r="BYL10" s="1202"/>
      <c r="BYM10" s="1202"/>
      <c r="BYN10" s="1202"/>
      <c r="BYO10" s="1202"/>
      <c r="BYP10" s="1202"/>
      <c r="BYQ10" s="1202"/>
      <c r="BYR10" s="1202"/>
      <c r="BYS10" s="1202"/>
      <c r="BYT10" s="1202"/>
      <c r="BYU10" s="1202"/>
      <c r="BYV10" s="1202"/>
      <c r="BYW10" s="1202"/>
      <c r="BYX10" s="1202"/>
      <c r="BYY10" s="1202"/>
      <c r="BYZ10" s="1202"/>
      <c r="BZA10" s="1202"/>
      <c r="BZB10" s="1202"/>
      <c r="BZC10" s="1202"/>
      <c r="BZD10" s="1202"/>
      <c r="BZE10" s="1202"/>
      <c r="BZF10" s="1202"/>
      <c r="BZG10" s="1202"/>
      <c r="BZH10" s="1202"/>
      <c r="BZI10" s="1202"/>
      <c r="BZJ10" s="1202"/>
      <c r="BZK10" s="1202"/>
      <c r="BZL10" s="1202"/>
      <c r="BZM10" s="1202"/>
      <c r="BZN10" s="1202"/>
      <c r="BZO10" s="1202"/>
      <c r="BZP10" s="1202"/>
      <c r="BZQ10" s="1202"/>
      <c r="BZR10" s="1202"/>
      <c r="BZS10" s="1202"/>
      <c r="BZT10" s="1202"/>
      <c r="BZU10" s="1202"/>
      <c r="BZV10" s="1202"/>
      <c r="BZW10" s="1202"/>
      <c r="BZX10" s="1202"/>
      <c r="BZY10" s="1202"/>
      <c r="BZZ10" s="1202"/>
      <c r="CAA10" s="1202"/>
      <c r="CAB10" s="1202"/>
      <c r="CAC10" s="1202"/>
      <c r="CAD10" s="1202"/>
      <c r="CAE10" s="1202"/>
      <c r="CAF10" s="1202"/>
      <c r="CAG10" s="1202"/>
      <c r="CAH10" s="1202"/>
      <c r="CAI10" s="1202"/>
      <c r="CAJ10" s="1202"/>
      <c r="CAK10" s="1202"/>
      <c r="CAL10" s="1202"/>
      <c r="CAM10" s="1202"/>
      <c r="CAN10" s="1202"/>
      <c r="CAO10" s="1202"/>
      <c r="CAP10" s="1202"/>
      <c r="CAQ10" s="1202"/>
      <c r="CAR10" s="1202"/>
      <c r="CAS10" s="1202"/>
      <c r="CAT10" s="1202"/>
      <c r="CAU10" s="1202"/>
      <c r="CAV10" s="1202"/>
      <c r="CAW10" s="1202"/>
      <c r="CAX10" s="1202"/>
      <c r="CAY10" s="1202"/>
      <c r="CAZ10" s="1202"/>
      <c r="CBA10" s="1202"/>
      <c r="CBB10" s="1202"/>
      <c r="CBC10" s="1202"/>
      <c r="CBD10" s="1202"/>
      <c r="CBE10" s="1202"/>
      <c r="CBF10" s="1202"/>
      <c r="CBG10" s="1202"/>
      <c r="CBH10" s="1202"/>
      <c r="CBI10" s="1202"/>
      <c r="CBJ10" s="1202"/>
      <c r="CBK10" s="1202"/>
      <c r="CBL10" s="1202"/>
      <c r="CBM10" s="1202"/>
      <c r="CBN10" s="1202"/>
      <c r="CBO10" s="1202"/>
      <c r="CBP10" s="1202"/>
      <c r="CBQ10" s="1202"/>
      <c r="CBR10" s="1202"/>
      <c r="CBS10" s="1202"/>
      <c r="CBT10" s="1202"/>
      <c r="CBU10" s="1202"/>
      <c r="CBV10" s="1202"/>
      <c r="CBW10" s="1202"/>
      <c r="CBX10" s="1202"/>
      <c r="CBY10" s="1202"/>
      <c r="CBZ10" s="1202"/>
      <c r="CCA10" s="1202"/>
      <c r="CCB10" s="1202"/>
      <c r="CCC10" s="1202"/>
      <c r="CCD10" s="1202"/>
      <c r="CCE10" s="1202"/>
      <c r="CCF10" s="1202"/>
      <c r="CCG10" s="1202"/>
      <c r="CCH10" s="1202"/>
      <c r="CCI10" s="1202"/>
      <c r="CCJ10" s="1202"/>
      <c r="CCK10" s="1202"/>
      <c r="CCL10" s="1202"/>
      <c r="CCM10" s="1202"/>
      <c r="CCN10" s="1202"/>
      <c r="CCO10" s="1202"/>
      <c r="CCP10" s="1202"/>
      <c r="CCQ10" s="1202"/>
      <c r="CCR10" s="1202"/>
      <c r="CCS10" s="1202"/>
      <c r="CCT10" s="1202"/>
      <c r="CCU10" s="1202"/>
      <c r="CCV10" s="1202"/>
      <c r="CCW10" s="1202"/>
      <c r="CCX10" s="1202"/>
      <c r="CCY10" s="1202"/>
      <c r="CCZ10" s="1202"/>
      <c r="CDA10" s="1202"/>
      <c r="CDB10" s="1202"/>
      <c r="CDC10" s="1202"/>
      <c r="CDD10" s="1202"/>
      <c r="CDE10" s="1202"/>
      <c r="CDF10" s="1202"/>
      <c r="CDG10" s="1202"/>
      <c r="CDH10" s="1202"/>
      <c r="CDI10" s="1202"/>
      <c r="CDJ10" s="1202"/>
      <c r="CDK10" s="1202"/>
      <c r="CDL10" s="1202"/>
      <c r="CDM10" s="1202"/>
      <c r="CDN10" s="1202"/>
      <c r="CDO10" s="1202"/>
      <c r="CDP10" s="1202"/>
      <c r="CDQ10" s="1202"/>
      <c r="CDR10" s="1202"/>
      <c r="CDS10" s="1202"/>
      <c r="CDT10" s="1202"/>
      <c r="CDU10" s="1202"/>
      <c r="CDV10" s="1202"/>
      <c r="CDW10" s="1202"/>
      <c r="CDX10" s="1202"/>
      <c r="CDY10" s="1202"/>
      <c r="CDZ10" s="1202"/>
      <c r="CEA10" s="1202"/>
      <c r="CEB10" s="1202"/>
      <c r="CEC10" s="1202"/>
      <c r="CED10" s="1202"/>
      <c r="CEE10" s="1202"/>
      <c r="CEF10" s="1202"/>
      <c r="CEG10" s="1202"/>
      <c r="CEH10" s="1202"/>
      <c r="CEI10" s="1202"/>
      <c r="CEJ10" s="1202"/>
      <c r="CEK10" s="1202"/>
      <c r="CEL10" s="1202"/>
      <c r="CEM10" s="1202"/>
      <c r="CEN10" s="1202"/>
      <c r="CEO10" s="1202"/>
      <c r="CEP10" s="1202"/>
      <c r="CEQ10" s="1202"/>
      <c r="CER10" s="1202"/>
      <c r="CES10" s="1202"/>
      <c r="CET10" s="1202"/>
      <c r="CEU10" s="1202"/>
      <c r="CEV10" s="1202"/>
      <c r="CEW10" s="1202"/>
      <c r="CEX10" s="1202"/>
      <c r="CEY10" s="1202"/>
      <c r="CEZ10" s="1202"/>
      <c r="CFA10" s="1202"/>
      <c r="CFB10" s="1202"/>
      <c r="CFC10" s="1202"/>
      <c r="CFD10" s="1202"/>
      <c r="CFE10" s="1202"/>
      <c r="CFF10" s="1202"/>
      <c r="CFG10" s="1202"/>
      <c r="CFH10" s="1202"/>
      <c r="CFI10" s="1202"/>
      <c r="CFJ10" s="1202"/>
      <c r="CFK10" s="1202"/>
      <c r="CFL10" s="1202"/>
      <c r="CFM10" s="1202"/>
      <c r="CFN10" s="1202"/>
      <c r="CFO10" s="1202"/>
      <c r="CFP10" s="1202"/>
      <c r="CFQ10" s="1202"/>
      <c r="CFR10" s="1202"/>
      <c r="CFS10" s="1202"/>
      <c r="CFT10" s="1202"/>
      <c r="CFU10" s="1202"/>
      <c r="CFV10" s="1202"/>
      <c r="CFW10" s="1202"/>
      <c r="CFX10" s="1202"/>
      <c r="CFY10" s="1202"/>
      <c r="CFZ10" s="1202"/>
      <c r="CGA10" s="1202"/>
      <c r="CGB10" s="1202"/>
      <c r="CGC10" s="1202"/>
      <c r="CGD10" s="1202"/>
      <c r="CGE10" s="1202"/>
      <c r="CGF10" s="1202"/>
      <c r="CGG10" s="1202"/>
      <c r="CGH10" s="1202"/>
      <c r="CGI10" s="1202"/>
      <c r="CGJ10" s="1202"/>
      <c r="CGK10" s="1202"/>
      <c r="CGL10" s="1202"/>
      <c r="CGM10" s="1202"/>
      <c r="CGN10" s="1202"/>
      <c r="CGO10" s="1202"/>
      <c r="CGP10" s="1202"/>
      <c r="CGQ10" s="1202"/>
      <c r="CGR10" s="1202"/>
      <c r="CGS10" s="1202"/>
      <c r="CGT10" s="1202"/>
      <c r="CGU10" s="1202"/>
      <c r="CGV10" s="1202"/>
      <c r="CGW10" s="1202"/>
      <c r="CGX10" s="1202"/>
      <c r="CGY10" s="1202"/>
      <c r="CGZ10" s="1202"/>
      <c r="CHA10" s="1202"/>
      <c r="CHB10" s="1202"/>
      <c r="CHC10" s="1202"/>
      <c r="CHD10" s="1202"/>
      <c r="CHE10" s="1202"/>
      <c r="CHF10" s="1202"/>
      <c r="CHG10" s="1202"/>
      <c r="CHH10" s="1202"/>
      <c r="CHI10" s="1202"/>
      <c r="CHJ10" s="1202"/>
      <c r="CHK10" s="1202"/>
      <c r="CHL10" s="1202"/>
      <c r="CHM10" s="1202"/>
      <c r="CHN10" s="1202"/>
      <c r="CHO10" s="1202"/>
      <c r="CHP10" s="1202"/>
      <c r="CHQ10" s="1202"/>
      <c r="CHR10" s="1202"/>
      <c r="CHS10" s="1202"/>
      <c r="CHT10" s="1202"/>
      <c r="CHU10" s="1202"/>
      <c r="CHV10" s="1202"/>
      <c r="CHW10" s="1202"/>
      <c r="CHX10" s="1202"/>
      <c r="CHY10" s="1202"/>
      <c r="CHZ10" s="1202"/>
      <c r="CIA10" s="1202"/>
      <c r="CIB10" s="1202"/>
      <c r="CIC10" s="1202"/>
      <c r="CID10" s="1202"/>
      <c r="CIE10" s="1202"/>
      <c r="CIF10" s="1202"/>
      <c r="CIG10" s="1202"/>
      <c r="CIH10" s="1202"/>
      <c r="CII10" s="1202"/>
      <c r="CIJ10" s="1202"/>
      <c r="CIK10" s="1202"/>
      <c r="CIL10" s="1202"/>
      <c r="CIM10" s="1202"/>
      <c r="CIN10" s="1202"/>
      <c r="CIO10" s="1202"/>
      <c r="CIP10" s="1202"/>
      <c r="CIQ10" s="1202"/>
      <c r="CIR10" s="1202"/>
      <c r="CIS10" s="1202"/>
      <c r="CIT10" s="1202"/>
      <c r="CIU10" s="1202"/>
      <c r="CIV10" s="1202"/>
      <c r="CIW10" s="1202"/>
      <c r="CIX10" s="1202"/>
      <c r="CIY10" s="1202"/>
      <c r="CIZ10" s="1202"/>
      <c r="CJA10" s="1202"/>
      <c r="CJB10" s="1202"/>
      <c r="CJC10" s="1202"/>
      <c r="CJD10" s="1202"/>
      <c r="CJE10" s="1202"/>
      <c r="CJF10" s="1202"/>
      <c r="CJG10" s="1202"/>
      <c r="CJH10" s="1202"/>
      <c r="CJI10" s="1202"/>
      <c r="CJJ10" s="1202"/>
      <c r="CJK10" s="1202"/>
      <c r="CJL10" s="1202"/>
      <c r="CJM10" s="1202"/>
      <c r="CJN10" s="1202"/>
      <c r="CJO10" s="1202"/>
      <c r="CJP10" s="1202"/>
      <c r="CJQ10" s="1202"/>
      <c r="CJR10" s="1202"/>
      <c r="CJS10" s="1202"/>
      <c r="CJT10" s="1202"/>
      <c r="CJU10" s="1202"/>
      <c r="CJV10" s="1202"/>
      <c r="CJW10" s="1202"/>
      <c r="CJX10" s="1202"/>
      <c r="CJY10" s="1202"/>
      <c r="CJZ10" s="1202"/>
      <c r="CKA10" s="1202"/>
      <c r="CKB10" s="1202"/>
      <c r="CKC10" s="1202"/>
      <c r="CKD10" s="1202"/>
      <c r="CKE10" s="1202"/>
      <c r="CKF10" s="1202"/>
      <c r="CKG10" s="1202"/>
      <c r="CKH10" s="1202"/>
      <c r="CKI10" s="1202"/>
      <c r="CKJ10" s="1202"/>
      <c r="CKK10" s="1202"/>
      <c r="CKL10" s="1202"/>
      <c r="CKM10" s="1202"/>
      <c r="CKN10" s="1202"/>
      <c r="CKO10" s="1202"/>
      <c r="CKP10" s="1202"/>
      <c r="CKQ10" s="1202"/>
      <c r="CKR10" s="1202"/>
      <c r="CKS10" s="1202"/>
      <c r="CKT10" s="1202"/>
      <c r="CKU10" s="1202"/>
      <c r="CKV10" s="1202"/>
      <c r="CKW10" s="1202"/>
      <c r="CKX10" s="1202"/>
      <c r="CKY10" s="1202"/>
      <c r="CKZ10" s="1202"/>
      <c r="CLA10" s="1202"/>
      <c r="CLB10" s="1202"/>
      <c r="CLC10" s="1202"/>
      <c r="CLD10" s="1202"/>
      <c r="CLE10" s="1202"/>
      <c r="CLF10" s="1202"/>
      <c r="CLG10" s="1202"/>
      <c r="CLH10" s="1202"/>
      <c r="CLI10" s="1202"/>
      <c r="CLJ10" s="1202"/>
      <c r="CLK10" s="1202"/>
      <c r="CLL10" s="1202"/>
      <c r="CLM10" s="1202"/>
      <c r="CLN10" s="1202"/>
      <c r="CLO10" s="1202"/>
      <c r="CLP10" s="1202"/>
      <c r="CLQ10" s="1202"/>
      <c r="CLR10" s="1202"/>
      <c r="CLS10" s="1202"/>
      <c r="CLT10" s="1202"/>
      <c r="CLU10" s="1202"/>
      <c r="CLV10" s="1202"/>
      <c r="CLW10" s="1202"/>
      <c r="CLX10" s="1202"/>
      <c r="CLY10" s="1202"/>
      <c r="CLZ10" s="1202"/>
      <c r="CMA10" s="1202"/>
      <c r="CMB10" s="1202"/>
      <c r="CMC10" s="1202"/>
      <c r="CMD10" s="1202"/>
      <c r="CME10" s="1202"/>
      <c r="CMF10" s="1202"/>
      <c r="CMG10" s="1202"/>
      <c r="CMH10" s="1202"/>
      <c r="CMI10" s="1202"/>
      <c r="CMJ10" s="1202"/>
      <c r="CMK10" s="1202"/>
      <c r="CML10" s="1202"/>
      <c r="CMM10" s="1202"/>
      <c r="CMN10" s="1202"/>
      <c r="CMO10" s="1202"/>
      <c r="CMP10" s="1202"/>
      <c r="CMQ10" s="1202"/>
      <c r="CMR10" s="1202"/>
      <c r="CMS10" s="1202"/>
      <c r="CMT10" s="1202"/>
      <c r="CMU10" s="1202"/>
      <c r="CMV10" s="1202"/>
      <c r="CMW10" s="1202"/>
      <c r="CMX10" s="1202"/>
      <c r="CMY10" s="1202"/>
      <c r="CMZ10" s="1202"/>
      <c r="CNA10" s="1202"/>
      <c r="CNB10" s="1202"/>
      <c r="CNC10" s="1202"/>
      <c r="CND10" s="1202"/>
      <c r="CNE10" s="1202"/>
      <c r="CNF10" s="1202"/>
      <c r="CNG10" s="1202"/>
      <c r="CNH10" s="1202"/>
      <c r="CNI10" s="1202"/>
      <c r="CNJ10" s="1202"/>
      <c r="CNK10" s="1202"/>
      <c r="CNL10" s="1202"/>
      <c r="CNM10" s="1202"/>
      <c r="CNN10" s="1202"/>
      <c r="CNO10" s="1202"/>
      <c r="CNP10" s="1202"/>
      <c r="CNQ10" s="1202"/>
      <c r="CNR10" s="1202"/>
      <c r="CNS10" s="1202"/>
      <c r="CNT10" s="1202"/>
      <c r="CNU10" s="1202"/>
      <c r="CNV10" s="1202"/>
      <c r="CNW10" s="1202"/>
      <c r="CNX10" s="1202"/>
      <c r="CNY10" s="1202"/>
      <c r="CNZ10" s="1202"/>
      <c r="COA10" s="1202"/>
      <c r="COB10" s="1202"/>
      <c r="COC10" s="1202"/>
      <c r="COD10" s="1202"/>
      <c r="COE10" s="1202"/>
      <c r="COF10" s="1202"/>
      <c r="COG10" s="1202"/>
      <c r="COH10" s="1202"/>
      <c r="COI10" s="1202"/>
      <c r="COJ10" s="1202"/>
      <c r="COK10" s="1202"/>
      <c r="COL10" s="1202"/>
      <c r="COM10" s="1202"/>
      <c r="CON10" s="1202"/>
      <c r="COO10" s="1202"/>
      <c r="COP10" s="1202"/>
      <c r="COQ10" s="1202"/>
      <c r="COR10" s="1202"/>
      <c r="COS10" s="1202"/>
      <c r="COT10" s="1202"/>
      <c r="COU10" s="1202"/>
      <c r="COV10" s="1202"/>
      <c r="COW10" s="1202"/>
      <c r="COX10" s="1202"/>
      <c r="COY10" s="1202"/>
      <c r="COZ10" s="1202"/>
      <c r="CPA10" s="1202"/>
      <c r="CPB10" s="1202"/>
      <c r="CPC10" s="1202"/>
      <c r="CPD10" s="1202"/>
      <c r="CPE10" s="1202"/>
      <c r="CPF10" s="1202"/>
      <c r="CPG10" s="1202"/>
      <c r="CPH10" s="1202"/>
      <c r="CPI10" s="1202"/>
      <c r="CPJ10" s="1202"/>
      <c r="CPK10" s="1202"/>
      <c r="CPL10" s="1202"/>
      <c r="CPM10" s="1202"/>
      <c r="CPN10" s="1202"/>
      <c r="CPO10" s="1202"/>
      <c r="CPP10" s="1202"/>
      <c r="CPQ10" s="1202"/>
      <c r="CPR10" s="1202"/>
      <c r="CPS10" s="1202"/>
      <c r="CPT10" s="1202"/>
      <c r="CPU10" s="1202"/>
      <c r="CPV10" s="1202"/>
      <c r="CPW10" s="1202"/>
      <c r="CPX10" s="1202"/>
      <c r="CPY10" s="1202"/>
      <c r="CPZ10" s="1202"/>
      <c r="CQA10" s="1202"/>
      <c r="CQB10" s="1202"/>
      <c r="CQC10" s="1202"/>
      <c r="CQD10" s="1202"/>
      <c r="CQE10" s="1202"/>
      <c r="CQF10" s="1202"/>
      <c r="CQG10" s="1202"/>
      <c r="CQH10" s="1202"/>
      <c r="CQI10" s="1202"/>
      <c r="CQJ10" s="1202"/>
      <c r="CQK10" s="1202"/>
      <c r="CQL10" s="1202"/>
      <c r="CQM10" s="1202"/>
      <c r="CQN10" s="1202"/>
      <c r="CQO10" s="1202"/>
      <c r="CQP10" s="1202"/>
      <c r="CQQ10" s="1202"/>
      <c r="CQR10" s="1202"/>
      <c r="CQS10" s="1202"/>
      <c r="CQT10" s="1202"/>
      <c r="CQU10" s="1202"/>
      <c r="CQV10" s="1202"/>
      <c r="CQW10" s="1202"/>
      <c r="CQX10" s="1202"/>
      <c r="CQY10" s="1202"/>
      <c r="CQZ10" s="1202"/>
      <c r="CRA10" s="1202"/>
      <c r="CRB10" s="1202"/>
      <c r="CRC10" s="1202"/>
      <c r="CRD10" s="1202"/>
      <c r="CRE10" s="1202"/>
      <c r="CRF10" s="1202"/>
      <c r="CRG10" s="1202"/>
      <c r="CRH10" s="1202"/>
      <c r="CRI10" s="1202"/>
      <c r="CRJ10" s="1202"/>
      <c r="CRK10" s="1202"/>
      <c r="CRL10" s="1202"/>
      <c r="CRM10" s="1202"/>
      <c r="CRN10" s="1202"/>
      <c r="CRO10" s="1202"/>
      <c r="CRP10" s="1202"/>
      <c r="CRQ10" s="1202"/>
      <c r="CRR10" s="1202"/>
      <c r="CRS10" s="1202"/>
      <c r="CRT10" s="1202"/>
      <c r="CRU10" s="1202"/>
      <c r="CRV10" s="1202"/>
      <c r="CRW10" s="1202"/>
      <c r="CRX10" s="1202"/>
      <c r="CRY10" s="1202"/>
      <c r="CRZ10" s="1202"/>
      <c r="CSA10" s="1202"/>
      <c r="CSB10" s="1202"/>
      <c r="CSC10" s="1202"/>
      <c r="CSD10" s="1202"/>
      <c r="CSE10" s="1202"/>
      <c r="CSF10" s="1202"/>
      <c r="CSG10" s="1202"/>
      <c r="CSH10" s="1202"/>
      <c r="CSI10" s="1202"/>
      <c r="CSJ10" s="1202"/>
      <c r="CSK10" s="1202"/>
      <c r="CSL10" s="1202"/>
      <c r="CSM10" s="1202"/>
      <c r="CSN10" s="1202"/>
      <c r="CSO10" s="1202"/>
      <c r="CSP10" s="1202"/>
      <c r="CSQ10" s="1202"/>
      <c r="CSR10" s="1202"/>
      <c r="CSS10" s="1202"/>
      <c r="CST10" s="1202"/>
      <c r="CSU10" s="1202"/>
      <c r="CSV10" s="1202"/>
      <c r="CSW10" s="1202"/>
      <c r="CSX10" s="1202"/>
      <c r="CSY10" s="1202"/>
      <c r="CSZ10" s="1202"/>
      <c r="CTA10" s="1202"/>
      <c r="CTB10" s="1202"/>
      <c r="CTC10" s="1202"/>
      <c r="CTD10" s="1202"/>
      <c r="CTE10" s="1202"/>
      <c r="CTF10" s="1202"/>
      <c r="CTG10" s="1202"/>
      <c r="CTH10" s="1202"/>
      <c r="CTI10" s="1202"/>
      <c r="CTJ10" s="1202"/>
      <c r="CTK10" s="1202"/>
      <c r="CTL10" s="1202"/>
      <c r="CTM10" s="1202"/>
      <c r="CTN10" s="1202"/>
      <c r="CTO10" s="1202"/>
      <c r="CTP10" s="1202"/>
      <c r="CTQ10" s="1202"/>
      <c r="CTR10" s="1202"/>
      <c r="CTS10" s="1202"/>
      <c r="CTT10" s="1202"/>
      <c r="CTU10" s="1202"/>
      <c r="CTV10" s="1202"/>
      <c r="CTW10" s="1202"/>
      <c r="CTX10" s="1202"/>
      <c r="CTY10" s="1202"/>
      <c r="CTZ10" s="1202"/>
      <c r="CUA10" s="1202"/>
      <c r="CUB10" s="1202"/>
      <c r="CUC10" s="1202"/>
      <c r="CUD10" s="1202"/>
      <c r="CUE10" s="1202"/>
      <c r="CUF10" s="1202"/>
      <c r="CUG10" s="1202"/>
      <c r="CUH10" s="1202"/>
      <c r="CUI10" s="1202"/>
      <c r="CUJ10" s="1202"/>
      <c r="CUK10" s="1202"/>
      <c r="CUL10" s="1202"/>
      <c r="CUM10" s="1202"/>
      <c r="CUN10" s="1202"/>
      <c r="CUO10" s="1202"/>
      <c r="CUP10" s="1202"/>
      <c r="CUQ10" s="1202"/>
      <c r="CUR10" s="1202"/>
      <c r="CUS10" s="1202"/>
      <c r="CUT10" s="1202"/>
      <c r="CUU10" s="1202"/>
      <c r="CUV10" s="1202"/>
      <c r="CUW10" s="1202"/>
      <c r="CUX10" s="1202"/>
      <c r="CUY10" s="1202"/>
      <c r="CUZ10" s="1202"/>
      <c r="CVA10" s="1202"/>
      <c r="CVB10" s="1202"/>
      <c r="CVC10" s="1202"/>
      <c r="CVD10" s="1202"/>
      <c r="CVE10" s="1202"/>
      <c r="CVF10" s="1202"/>
      <c r="CVG10" s="1202"/>
      <c r="CVH10" s="1202"/>
      <c r="CVI10" s="1202"/>
      <c r="CVJ10" s="1202"/>
      <c r="CVK10" s="1202"/>
      <c r="CVL10" s="1202"/>
      <c r="CVM10" s="1202"/>
      <c r="CVN10" s="1202"/>
      <c r="CVO10" s="1202"/>
      <c r="CVP10" s="1202"/>
      <c r="CVQ10" s="1202"/>
      <c r="CVR10" s="1202"/>
      <c r="CVS10" s="1202"/>
      <c r="CVT10" s="1202"/>
      <c r="CVU10" s="1202"/>
      <c r="CVV10" s="1202"/>
      <c r="CVW10" s="1202"/>
      <c r="CVX10" s="1202"/>
      <c r="CVY10" s="1202"/>
      <c r="CVZ10" s="1202"/>
      <c r="CWA10" s="1202"/>
      <c r="CWB10" s="1202"/>
      <c r="CWC10" s="1202"/>
      <c r="CWD10" s="1202"/>
      <c r="CWE10" s="1202"/>
      <c r="CWF10" s="1202"/>
      <c r="CWG10" s="1202"/>
      <c r="CWH10" s="1202"/>
      <c r="CWI10" s="1202"/>
      <c r="CWJ10" s="1202"/>
      <c r="CWK10" s="1202"/>
      <c r="CWL10" s="1202"/>
      <c r="CWM10" s="1202"/>
      <c r="CWN10" s="1202"/>
      <c r="CWO10" s="1202"/>
      <c r="CWP10" s="1202"/>
      <c r="CWQ10" s="1202"/>
      <c r="CWR10" s="1202"/>
      <c r="CWS10" s="1202"/>
      <c r="CWT10" s="1202"/>
      <c r="CWU10" s="1202"/>
      <c r="CWV10" s="1202"/>
      <c r="CWW10" s="1202"/>
      <c r="CWX10" s="1202"/>
      <c r="CWY10" s="1202"/>
      <c r="CWZ10" s="1202"/>
      <c r="CXA10" s="1202"/>
      <c r="CXB10" s="1202"/>
      <c r="CXC10" s="1202"/>
      <c r="CXD10" s="1202"/>
      <c r="CXE10" s="1202"/>
      <c r="CXF10" s="1202"/>
      <c r="CXG10" s="1202"/>
      <c r="CXH10" s="1202"/>
      <c r="CXI10" s="1202"/>
      <c r="CXJ10" s="1202"/>
      <c r="CXK10" s="1202"/>
      <c r="CXL10" s="1202"/>
      <c r="CXM10" s="1202"/>
      <c r="CXN10" s="1202"/>
      <c r="CXO10" s="1202"/>
      <c r="CXP10" s="1202"/>
      <c r="CXQ10" s="1202"/>
      <c r="CXR10" s="1202"/>
      <c r="CXS10" s="1202"/>
      <c r="CXT10" s="1202"/>
      <c r="CXU10" s="1202"/>
      <c r="CXV10" s="1202"/>
      <c r="CXW10" s="1202"/>
      <c r="CXX10" s="1202"/>
      <c r="CXY10" s="1202"/>
      <c r="CXZ10" s="1202"/>
      <c r="CYA10" s="1202"/>
      <c r="CYB10" s="1202"/>
      <c r="CYC10" s="1202"/>
      <c r="CYD10" s="1202"/>
      <c r="CYE10" s="1202"/>
      <c r="CYF10" s="1202"/>
      <c r="CYG10" s="1202"/>
      <c r="CYH10" s="1202"/>
      <c r="CYI10" s="1202"/>
      <c r="CYJ10" s="1202"/>
      <c r="CYK10" s="1202"/>
      <c r="CYL10" s="1202"/>
      <c r="CYM10" s="1202"/>
      <c r="CYN10" s="1202"/>
      <c r="CYO10" s="1202"/>
      <c r="CYP10" s="1202"/>
      <c r="CYQ10" s="1202"/>
      <c r="CYR10" s="1202"/>
      <c r="CYS10" s="1202"/>
      <c r="CYT10" s="1202"/>
      <c r="CYU10" s="1202"/>
      <c r="CYV10" s="1202"/>
      <c r="CYW10" s="1202"/>
      <c r="CYX10" s="1202"/>
      <c r="CYY10" s="1202"/>
      <c r="CYZ10" s="1202"/>
      <c r="CZA10" s="1202"/>
      <c r="CZB10" s="1202"/>
      <c r="CZC10" s="1202"/>
      <c r="CZD10" s="1202"/>
      <c r="CZE10" s="1202"/>
      <c r="CZF10" s="1202"/>
      <c r="CZG10" s="1202"/>
      <c r="CZH10" s="1202"/>
      <c r="CZI10" s="1202"/>
      <c r="CZJ10" s="1202"/>
      <c r="CZK10" s="1202"/>
      <c r="CZL10" s="1202"/>
      <c r="CZM10" s="1202"/>
      <c r="CZN10" s="1202"/>
      <c r="CZO10" s="1202"/>
      <c r="CZP10" s="1202"/>
      <c r="CZQ10" s="1202"/>
      <c r="CZR10" s="1202"/>
      <c r="CZS10" s="1202"/>
      <c r="CZT10" s="1202"/>
      <c r="CZU10" s="1202"/>
      <c r="CZV10" s="1202"/>
      <c r="CZW10" s="1202"/>
      <c r="CZX10" s="1202"/>
      <c r="CZY10" s="1202"/>
      <c r="CZZ10" s="1202"/>
      <c r="DAA10" s="1202"/>
      <c r="DAB10" s="1202"/>
      <c r="DAC10" s="1202"/>
      <c r="DAD10" s="1202"/>
      <c r="DAE10" s="1202"/>
      <c r="DAF10" s="1202"/>
      <c r="DAG10" s="1202"/>
      <c r="DAH10" s="1202"/>
      <c r="DAI10" s="1202"/>
      <c r="DAJ10" s="1202"/>
      <c r="DAK10" s="1202"/>
      <c r="DAL10" s="1202"/>
      <c r="DAM10" s="1202"/>
      <c r="DAN10" s="1202"/>
      <c r="DAO10" s="1202"/>
      <c r="DAP10" s="1202"/>
      <c r="DAQ10" s="1202"/>
      <c r="DAR10" s="1202"/>
      <c r="DAS10" s="1202"/>
      <c r="DAT10" s="1202"/>
      <c r="DAU10" s="1202"/>
      <c r="DAV10" s="1202"/>
      <c r="DAW10" s="1202"/>
      <c r="DAX10" s="1202"/>
      <c r="DAY10" s="1202"/>
      <c r="DAZ10" s="1202"/>
      <c r="DBA10" s="1202"/>
      <c r="DBB10" s="1202"/>
      <c r="DBC10" s="1202"/>
      <c r="DBD10" s="1202"/>
      <c r="DBE10" s="1202"/>
      <c r="DBF10" s="1202"/>
      <c r="DBG10" s="1202"/>
      <c r="DBH10" s="1202"/>
      <c r="DBI10" s="1202"/>
      <c r="DBJ10" s="1202"/>
      <c r="DBK10" s="1202"/>
      <c r="DBL10" s="1202"/>
      <c r="DBM10" s="1202"/>
      <c r="DBN10" s="1202"/>
      <c r="DBO10" s="1202"/>
      <c r="DBP10" s="1202"/>
      <c r="DBQ10" s="1202"/>
      <c r="DBR10" s="1202"/>
      <c r="DBS10" s="1202"/>
      <c r="DBT10" s="1202"/>
      <c r="DBU10" s="1202"/>
      <c r="DBV10" s="1202"/>
      <c r="DBW10" s="1202"/>
      <c r="DBX10" s="1202"/>
      <c r="DBY10" s="1202"/>
      <c r="DBZ10" s="1202"/>
      <c r="DCA10" s="1202"/>
      <c r="DCB10" s="1202"/>
      <c r="DCC10" s="1202"/>
      <c r="DCD10" s="1202"/>
      <c r="DCE10" s="1202"/>
      <c r="DCF10" s="1202"/>
      <c r="DCG10" s="1202"/>
      <c r="DCH10" s="1202"/>
      <c r="DCI10" s="1202"/>
      <c r="DCJ10" s="1202"/>
      <c r="DCK10" s="1202"/>
      <c r="DCL10" s="1202"/>
      <c r="DCM10" s="1202"/>
      <c r="DCN10" s="1202"/>
      <c r="DCO10" s="1202"/>
      <c r="DCP10" s="1202"/>
      <c r="DCQ10" s="1202"/>
      <c r="DCR10" s="1202"/>
      <c r="DCS10" s="1202"/>
      <c r="DCT10" s="1202"/>
      <c r="DCU10" s="1202"/>
      <c r="DCV10" s="1202"/>
      <c r="DCW10" s="1202"/>
      <c r="DCX10" s="1202"/>
      <c r="DCY10" s="1202"/>
      <c r="DCZ10" s="1202"/>
      <c r="DDA10" s="1202"/>
      <c r="DDB10" s="1202"/>
      <c r="DDC10" s="1202"/>
      <c r="DDD10" s="1202"/>
      <c r="DDE10" s="1202"/>
      <c r="DDF10" s="1202"/>
      <c r="DDG10" s="1202"/>
      <c r="DDH10" s="1202"/>
      <c r="DDI10" s="1202"/>
      <c r="DDJ10" s="1202"/>
      <c r="DDK10" s="1202"/>
      <c r="DDL10" s="1202"/>
      <c r="DDM10" s="1202"/>
      <c r="DDN10" s="1202"/>
      <c r="DDO10" s="1202"/>
      <c r="DDP10" s="1202"/>
      <c r="DDQ10" s="1202"/>
      <c r="DDR10" s="1202"/>
      <c r="DDS10" s="1202"/>
      <c r="DDT10" s="1202"/>
      <c r="DDU10" s="1202"/>
      <c r="DDV10" s="1202"/>
      <c r="DDW10" s="1202"/>
      <c r="DDX10" s="1202"/>
      <c r="DDY10" s="1202"/>
      <c r="DDZ10" s="1202"/>
      <c r="DEA10" s="1202"/>
      <c r="DEB10" s="1202"/>
      <c r="DEC10" s="1202"/>
      <c r="DED10" s="1202"/>
      <c r="DEE10" s="1202"/>
      <c r="DEF10" s="1202"/>
      <c r="DEG10" s="1202"/>
      <c r="DEH10" s="1202"/>
      <c r="DEI10" s="1202"/>
      <c r="DEJ10" s="1202"/>
      <c r="DEK10" s="1202"/>
      <c r="DEL10" s="1202"/>
      <c r="DEM10" s="1202"/>
      <c r="DEN10" s="1202"/>
      <c r="DEO10" s="1202"/>
      <c r="DEP10" s="1202"/>
      <c r="DEQ10" s="1202"/>
      <c r="DER10" s="1202"/>
      <c r="DES10" s="1202"/>
      <c r="DET10" s="1202"/>
      <c r="DEU10" s="1202"/>
      <c r="DEV10" s="1202"/>
      <c r="DEW10" s="1202"/>
      <c r="DEX10" s="1202"/>
      <c r="DEY10" s="1202"/>
      <c r="DEZ10" s="1202"/>
      <c r="DFA10" s="1202"/>
      <c r="DFB10" s="1202"/>
      <c r="DFC10" s="1202"/>
      <c r="DFD10" s="1202"/>
      <c r="DFE10" s="1202"/>
      <c r="DFF10" s="1202"/>
      <c r="DFG10" s="1202"/>
      <c r="DFH10" s="1202"/>
      <c r="DFI10" s="1202"/>
      <c r="DFJ10" s="1202"/>
      <c r="DFK10" s="1202"/>
      <c r="DFL10" s="1202"/>
      <c r="DFM10" s="1202"/>
      <c r="DFN10" s="1202"/>
      <c r="DFO10" s="1202"/>
      <c r="DFP10" s="1202"/>
      <c r="DFQ10" s="1202"/>
      <c r="DFR10" s="1202"/>
      <c r="DFS10" s="1202"/>
      <c r="DFT10" s="1202"/>
      <c r="DFU10" s="1202"/>
      <c r="DFV10" s="1202"/>
      <c r="DFW10" s="1202"/>
      <c r="DFX10" s="1202"/>
      <c r="DFY10" s="1202"/>
      <c r="DFZ10" s="1202"/>
      <c r="DGA10" s="1202"/>
      <c r="DGB10" s="1202"/>
      <c r="DGC10" s="1202"/>
      <c r="DGD10" s="1202"/>
      <c r="DGE10" s="1202"/>
      <c r="DGF10" s="1202"/>
      <c r="DGG10" s="1202"/>
      <c r="DGH10" s="1202"/>
      <c r="DGI10" s="1202"/>
      <c r="DGJ10" s="1202"/>
      <c r="DGK10" s="1202"/>
      <c r="DGL10" s="1202"/>
      <c r="DGM10" s="1202"/>
      <c r="DGN10" s="1202"/>
      <c r="DGO10" s="1202"/>
      <c r="DGP10" s="1202"/>
      <c r="DGQ10" s="1202"/>
      <c r="DGR10" s="1202"/>
      <c r="DGS10" s="1202"/>
      <c r="DGT10" s="1202"/>
      <c r="DGU10" s="1202"/>
      <c r="DGV10" s="1202"/>
      <c r="DGW10" s="1202"/>
      <c r="DGX10" s="1202"/>
      <c r="DGY10" s="1202"/>
      <c r="DGZ10" s="1202"/>
      <c r="DHA10" s="1202"/>
      <c r="DHB10" s="1202"/>
      <c r="DHC10" s="1202"/>
      <c r="DHD10" s="1202"/>
      <c r="DHE10" s="1202"/>
      <c r="DHF10" s="1202"/>
      <c r="DHG10" s="1202"/>
      <c r="DHH10" s="1202"/>
      <c r="DHI10" s="1202"/>
      <c r="DHJ10" s="1202"/>
      <c r="DHK10" s="1202"/>
      <c r="DHL10" s="1202"/>
      <c r="DHM10" s="1202"/>
      <c r="DHN10" s="1202"/>
      <c r="DHO10" s="1202"/>
      <c r="DHP10" s="1202"/>
      <c r="DHQ10" s="1202"/>
      <c r="DHR10" s="1202"/>
      <c r="DHS10" s="1202"/>
      <c r="DHT10" s="1202"/>
      <c r="DHU10" s="1202"/>
      <c r="DHV10" s="1202"/>
      <c r="DHW10" s="1202"/>
      <c r="DHX10" s="1202"/>
      <c r="DHY10" s="1202"/>
      <c r="DHZ10" s="1202"/>
      <c r="DIA10" s="1202"/>
      <c r="DIB10" s="1202"/>
      <c r="DIC10" s="1202"/>
      <c r="DID10" s="1202"/>
      <c r="DIE10" s="1202"/>
      <c r="DIF10" s="1202"/>
      <c r="DIG10" s="1202"/>
      <c r="DIH10" s="1202"/>
      <c r="DII10" s="1202"/>
      <c r="DIJ10" s="1202"/>
      <c r="DIK10" s="1202"/>
      <c r="DIL10" s="1202"/>
      <c r="DIM10" s="1202"/>
      <c r="DIN10" s="1202"/>
      <c r="DIO10" s="1202"/>
      <c r="DIP10" s="1202"/>
      <c r="DIQ10" s="1202"/>
      <c r="DIR10" s="1202"/>
      <c r="DIS10" s="1202"/>
      <c r="DIT10" s="1202"/>
      <c r="DIU10" s="1202"/>
      <c r="DIV10" s="1202"/>
      <c r="DIW10" s="1202"/>
      <c r="DIX10" s="1202"/>
      <c r="DIY10" s="1202"/>
      <c r="DIZ10" s="1202"/>
      <c r="DJA10" s="1202"/>
      <c r="DJB10" s="1202"/>
      <c r="DJC10" s="1202"/>
      <c r="DJD10" s="1202"/>
      <c r="DJE10" s="1202"/>
      <c r="DJF10" s="1202"/>
      <c r="DJG10" s="1202"/>
      <c r="DJH10" s="1202"/>
      <c r="DJI10" s="1202"/>
      <c r="DJJ10" s="1202"/>
      <c r="DJK10" s="1202"/>
      <c r="DJL10" s="1202"/>
      <c r="DJM10" s="1202"/>
      <c r="DJN10" s="1202"/>
      <c r="DJO10" s="1202"/>
      <c r="DJP10" s="1202"/>
      <c r="DJQ10" s="1202"/>
      <c r="DJR10" s="1202"/>
      <c r="DJS10" s="1202"/>
      <c r="DJT10" s="1202"/>
      <c r="DJU10" s="1202"/>
      <c r="DJV10" s="1202"/>
      <c r="DJW10" s="1202"/>
      <c r="DJX10" s="1202"/>
      <c r="DJY10" s="1202"/>
      <c r="DJZ10" s="1202"/>
      <c r="DKA10" s="1202"/>
      <c r="DKB10" s="1202"/>
      <c r="DKC10" s="1202"/>
      <c r="DKD10" s="1202"/>
      <c r="DKE10" s="1202"/>
      <c r="DKF10" s="1202"/>
      <c r="DKG10" s="1202"/>
      <c r="DKH10" s="1202"/>
      <c r="DKI10" s="1202"/>
      <c r="DKJ10" s="1202"/>
      <c r="DKK10" s="1202"/>
      <c r="DKL10" s="1202"/>
      <c r="DKM10" s="1202"/>
      <c r="DKN10" s="1202"/>
      <c r="DKO10" s="1202"/>
      <c r="DKP10" s="1202"/>
      <c r="DKQ10" s="1202"/>
      <c r="DKR10" s="1202"/>
      <c r="DKS10" s="1202"/>
      <c r="DKT10" s="1202"/>
      <c r="DKU10" s="1202"/>
      <c r="DKV10" s="1202"/>
      <c r="DKW10" s="1202"/>
      <c r="DKX10" s="1202"/>
      <c r="DKY10" s="1202"/>
      <c r="DKZ10" s="1202"/>
      <c r="DLA10" s="1202"/>
      <c r="DLB10" s="1202"/>
      <c r="DLC10" s="1202"/>
      <c r="DLD10" s="1202"/>
      <c r="DLE10" s="1202"/>
      <c r="DLF10" s="1202"/>
      <c r="DLG10" s="1202"/>
      <c r="DLH10" s="1202"/>
      <c r="DLI10" s="1202"/>
      <c r="DLJ10" s="1202"/>
      <c r="DLK10" s="1202"/>
      <c r="DLL10" s="1202"/>
      <c r="DLM10" s="1202"/>
      <c r="DLN10" s="1202"/>
      <c r="DLO10" s="1202"/>
      <c r="DLP10" s="1202"/>
      <c r="DLQ10" s="1202"/>
      <c r="DLR10" s="1202"/>
      <c r="DLS10" s="1202"/>
      <c r="DLT10" s="1202"/>
      <c r="DLU10" s="1202"/>
      <c r="DLV10" s="1202"/>
      <c r="DLW10" s="1202"/>
      <c r="DLX10" s="1202"/>
      <c r="DLY10" s="1202"/>
      <c r="DLZ10" s="1202"/>
      <c r="DMA10" s="1202"/>
      <c r="DMB10" s="1202"/>
      <c r="DMC10" s="1202"/>
      <c r="DMD10" s="1202"/>
      <c r="DME10" s="1202"/>
      <c r="DMF10" s="1202"/>
      <c r="DMG10" s="1202"/>
      <c r="DMH10" s="1202"/>
      <c r="DMI10" s="1202"/>
      <c r="DMJ10" s="1202"/>
      <c r="DMK10" s="1202"/>
      <c r="DML10" s="1202"/>
      <c r="DMM10" s="1202"/>
      <c r="DMN10" s="1202"/>
      <c r="DMO10" s="1202"/>
      <c r="DMP10" s="1202"/>
      <c r="DMQ10" s="1202"/>
      <c r="DMR10" s="1202"/>
      <c r="DMS10" s="1202"/>
      <c r="DMT10" s="1202"/>
      <c r="DMU10" s="1202"/>
      <c r="DMV10" s="1202"/>
      <c r="DMW10" s="1202"/>
      <c r="DMX10" s="1202"/>
      <c r="DMY10" s="1202"/>
      <c r="DMZ10" s="1202"/>
      <c r="DNA10" s="1202"/>
      <c r="DNB10" s="1202"/>
      <c r="DNC10" s="1202"/>
      <c r="DND10" s="1202"/>
      <c r="DNE10" s="1202"/>
      <c r="DNF10" s="1202"/>
      <c r="DNG10" s="1202"/>
      <c r="DNH10" s="1202"/>
      <c r="DNI10" s="1202"/>
      <c r="DNJ10" s="1202"/>
      <c r="DNK10" s="1202"/>
      <c r="DNL10" s="1202"/>
      <c r="DNM10" s="1202"/>
      <c r="DNN10" s="1202"/>
      <c r="DNO10" s="1202"/>
      <c r="DNP10" s="1202"/>
      <c r="DNQ10" s="1202"/>
      <c r="DNR10" s="1202"/>
      <c r="DNS10" s="1202"/>
      <c r="DNT10" s="1202"/>
      <c r="DNU10" s="1202"/>
      <c r="DNV10" s="1202"/>
      <c r="DNW10" s="1202"/>
      <c r="DNX10" s="1202"/>
      <c r="DNY10" s="1202"/>
      <c r="DNZ10" s="1202"/>
      <c r="DOA10" s="1202"/>
      <c r="DOB10" s="1202"/>
      <c r="DOC10" s="1202"/>
      <c r="DOD10" s="1202"/>
      <c r="DOE10" s="1202"/>
      <c r="DOF10" s="1202"/>
      <c r="DOG10" s="1202"/>
      <c r="DOH10" s="1202"/>
      <c r="DOI10" s="1202"/>
      <c r="DOJ10" s="1202"/>
      <c r="DOK10" s="1202"/>
      <c r="DOL10" s="1202"/>
      <c r="DOM10" s="1202"/>
      <c r="DON10" s="1202"/>
      <c r="DOO10" s="1202"/>
      <c r="DOP10" s="1202"/>
      <c r="DOQ10" s="1202"/>
      <c r="DOR10" s="1202"/>
      <c r="DOS10" s="1202"/>
      <c r="DOT10" s="1202"/>
      <c r="DOU10" s="1202"/>
      <c r="DOV10" s="1202"/>
      <c r="DOW10" s="1202"/>
      <c r="DOX10" s="1202"/>
      <c r="DOY10" s="1202"/>
      <c r="DOZ10" s="1202"/>
      <c r="DPA10" s="1202"/>
      <c r="DPB10" s="1202"/>
      <c r="DPC10" s="1202"/>
      <c r="DPD10" s="1202"/>
      <c r="DPE10" s="1202"/>
      <c r="DPF10" s="1202"/>
      <c r="DPG10" s="1202"/>
      <c r="DPH10" s="1202"/>
      <c r="DPI10" s="1202"/>
      <c r="DPJ10" s="1202"/>
      <c r="DPK10" s="1202"/>
      <c r="DPL10" s="1202"/>
      <c r="DPM10" s="1202"/>
      <c r="DPN10" s="1202"/>
      <c r="DPO10" s="1202"/>
      <c r="DPP10" s="1202"/>
      <c r="DPQ10" s="1202"/>
      <c r="DPR10" s="1202"/>
      <c r="DPS10" s="1202"/>
      <c r="DPT10" s="1202"/>
      <c r="DPU10" s="1202"/>
      <c r="DPV10" s="1202"/>
      <c r="DPW10" s="1202"/>
      <c r="DPX10" s="1202"/>
      <c r="DPY10" s="1202"/>
      <c r="DPZ10" s="1202"/>
      <c r="DQA10" s="1202"/>
      <c r="DQB10" s="1202"/>
      <c r="DQC10" s="1202"/>
      <c r="DQD10" s="1202"/>
      <c r="DQE10" s="1202"/>
      <c r="DQF10" s="1202"/>
      <c r="DQG10" s="1202"/>
      <c r="DQH10" s="1202"/>
      <c r="DQI10" s="1202"/>
      <c r="DQJ10" s="1202"/>
      <c r="DQK10" s="1202"/>
      <c r="DQL10" s="1202"/>
      <c r="DQM10" s="1202"/>
      <c r="DQN10" s="1202"/>
      <c r="DQO10" s="1202"/>
      <c r="DQP10" s="1202"/>
      <c r="DQQ10" s="1202"/>
      <c r="DQR10" s="1202"/>
      <c r="DQS10" s="1202"/>
      <c r="DQT10" s="1202"/>
      <c r="DQU10" s="1202"/>
      <c r="DQV10" s="1202"/>
      <c r="DQW10" s="1202"/>
      <c r="DQX10" s="1202"/>
      <c r="DQY10" s="1202"/>
      <c r="DQZ10" s="1202"/>
      <c r="DRA10" s="1202"/>
      <c r="DRB10" s="1202"/>
      <c r="DRC10" s="1202"/>
      <c r="DRD10" s="1202"/>
      <c r="DRE10" s="1202"/>
      <c r="DRF10" s="1202"/>
      <c r="DRG10" s="1202"/>
      <c r="DRH10" s="1202"/>
      <c r="DRI10" s="1202"/>
      <c r="DRJ10" s="1202"/>
      <c r="DRK10" s="1202"/>
      <c r="DRL10" s="1202"/>
      <c r="DRM10" s="1202"/>
      <c r="DRN10" s="1202"/>
      <c r="DRO10" s="1202"/>
      <c r="DRP10" s="1202"/>
      <c r="DRQ10" s="1202"/>
      <c r="DRR10" s="1202"/>
      <c r="DRS10" s="1202"/>
      <c r="DRT10" s="1202"/>
      <c r="DRU10" s="1202"/>
      <c r="DRV10" s="1202"/>
      <c r="DRW10" s="1202"/>
      <c r="DRX10" s="1202"/>
      <c r="DRY10" s="1202"/>
      <c r="DRZ10" s="1202"/>
      <c r="DSA10" s="1202"/>
      <c r="DSB10" s="1202"/>
      <c r="DSC10" s="1202"/>
      <c r="DSD10" s="1202"/>
      <c r="DSE10" s="1202"/>
      <c r="DSF10" s="1202"/>
      <c r="DSG10" s="1202"/>
      <c r="DSH10" s="1202"/>
      <c r="DSI10" s="1202"/>
      <c r="DSJ10" s="1202"/>
      <c r="DSK10" s="1202"/>
      <c r="DSL10" s="1202"/>
      <c r="DSM10" s="1202"/>
      <c r="DSN10" s="1202"/>
      <c r="DSO10" s="1202"/>
      <c r="DSP10" s="1202"/>
      <c r="DSQ10" s="1202"/>
      <c r="DSR10" s="1202"/>
      <c r="DSS10" s="1202"/>
      <c r="DST10" s="1202"/>
      <c r="DSU10" s="1202"/>
      <c r="DSV10" s="1202"/>
      <c r="DSW10" s="1202"/>
      <c r="DSX10" s="1202"/>
      <c r="DSY10" s="1202"/>
      <c r="DSZ10" s="1202"/>
      <c r="DTA10" s="1202"/>
      <c r="DTB10" s="1202"/>
      <c r="DTC10" s="1202"/>
      <c r="DTD10" s="1202"/>
      <c r="DTE10" s="1202"/>
      <c r="DTF10" s="1202"/>
      <c r="DTG10" s="1202"/>
      <c r="DTH10" s="1202"/>
      <c r="DTI10" s="1202"/>
      <c r="DTJ10" s="1202"/>
      <c r="DTK10" s="1202"/>
      <c r="DTL10" s="1202"/>
      <c r="DTM10" s="1202"/>
      <c r="DTN10" s="1202"/>
      <c r="DTO10" s="1202"/>
      <c r="DTP10" s="1202"/>
      <c r="DTQ10" s="1202"/>
      <c r="DTR10" s="1202"/>
      <c r="DTS10" s="1202"/>
      <c r="DTT10" s="1202"/>
      <c r="DTU10" s="1202"/>
      <c r="DTV10" s="1202"/>
      <c r="DTW10" s="1202"/>
      <c r="DTX10" s="1202"/>
      <c r="DTY10" s="1202"/>
      <c r="DTZ10" s="1202"/>
      <c r="DUA10" s="1202"/>
      <c r="DUB10" s="1202"/>
      <c r="DUC10" s="1202"/>
      <c r="DUD10" s="1202"/>
      <c r="DUE10" s="1202"/>
      <c r="DUF10" s="1202"/>
      <c r="DUG10" s="1202"/>
      <c r="DUH10" s="1202"/>
      <c r="DUI10" s="1202"/>
      <c r="DUJ10" s="1202"/>
      <c r="DUK10" s="1202"/>
      <c r="DUL10" s="1202"/>
      <c r="DUM10" s="1202"/>
      <c r="DUN10" s="1202"/>
      <c r="DUO10" s="1202"/>
      <c r="DUP10" s="1202"/>
      <c r="DUQ10" s="1202"/>
      <c r="DUR10" s="1202"/>
      <c r="DUS10" s="1202"/>
      <c r="DUT10" s="1202"/>
      <c r="DUU10" s="1202"/>
      <c r="DUV10" s="1202"/>
      <c r="DUW10" s="1202"/>
      <c r="DUX10" s="1202"/>
      <c r="DUY10" s="1202"/>
      <c r="DUZ10" s="1202"/>
      <c r="DVA10" s="1202"/>
      <c r="DVB10" s="1202"/>
      <c r="DVC10" s="1202"/>
      <c r="DVD10" s="1202"/>
      <c r="DVE10" s="1202"/>
      <c r="DVF10" s="1202"/>
      <c r="DVG10" s="1202"/>
      <c r="DVH10" s="1202"/>
      <c r="DVI10" s="1202"/>
      <c r="DVJ10" s="1202"/>
      <c r="DVK10" s="1202"/>
      <c r="DVL10" s="1202"/>
      <c r="DVM10" s="1202"/>
      <c r="DVN10" s="1202"/>
      <c r="DVO10" s="1202"/>
      <c r="DVP10" s="1202"/>
      <c r="DVQ10" s="1202"/>
      <c r="DVR10" s="1202"/>
      <c r="DVS10" s="1202"/>
      <c r="DVT10" s="1202"/>
      <c r="DVU10" s="1202"/>
      <c r="DVV10" s="1202"/>
      <c r="DVW10" s="1202"/>
      <c r="DVX10" s="1202"/>
      <c r="DVY10" s="1202"/>
      <c r="DVZ10" s="1202"/>
      <c r="DWA10" s="1202"/>
      <c r="DWB10" s="1202"/>
      <c r="DWC10" s="1202"/>
      <c r="DWD10" s="1202"/>
      <c r="DWE10" s="1202"/>
      <c r="DWF10" s="1202"/>
      <c r="DWG10" s="1202"/>
      <c r="DWH10" s="1202"/>
      <c r="DWI10" s="1202"/>
      <c r="DWJ10" s="1202"/>
      <c r="DWK10" s="1202"/>
      <c r="DWL10" s="1202"/>
      <c r="DWM10" s="1202"/>
      <c r="DWN10" s="1202"/>
      <c r="DWO10" s="1202"/>
      <c r="DWP10" s="1202"/>
      <c r="DWQ10" s="1202"/>
      <c r="DWR10" s="1202"/>
      <c r="DWS10" s="1202"/>
      <c r="DWT10" s="1202"/>
      <c r="DWU10" s="1202"/>
      <c r="DWV10" s="1202"/>
      <c r="DWW10" s="1202"/>
      <c r="DWX10" s="1202"/>
      <c r="DWY10" s="1202"/>
      <c r="DWZ10" s="1202"/>
      <c r="DXA10" s="1202"/>
      <c r="DXB10" s="1202"/>
      <c r="DXC10" s="1202"/>
      <c r="DXD10" s="1202"/>
      <c r="DXE10" s="1202"/>
      <c r="DXF10" s="1202"/>
      <c r="DXG10" s="1202"/>
      <c r="DXH10" s="1202"/>
      <c r="DXI10" s="1202"/>
      <c r="DXJ10" s="1202"/>
      <c r="DXK10" s="1202"/>
      <c r="DXL10" s="1202"/>
      <c r="DXM10" s="1202"/>
      <c r="DXN10" s="1202"/>
      <c r="DXO10" s="1202"/>
      <c r="DXP10" s="1202"/>
      <c r="DXQ10" s="1202"/>
      <c r="DXR10" s="1202"/>
      <c r="DXS10" s="1202"/>
      <c r="DXT10" s="1202"/>
      <c r="DXU10" s="1202"/>
      <c r="DXV10" s="1202"/>
      <c r="DXW10" s="1202"/>
      <c r="DXX10" s="1202"/>
      <c r="DXY10" s="1202"/>
      <c r="DXZ10" s="1202"/>
      <c r="DYA10" s="1202"/>
      <c r="DYB10" s="1202"/>
      <c r="DYC10" s="1202"/>
      <c r="DYD10" s="1202"/>
      <c r="DYE10" s="1202"/>
      <c r="DYF10" s="1202"/>
      <c r="DYG10" s="1202"/>
      <c r="DYH10" s="1202"/>
      <c r="DYI10" s="1202"/>
      <c r="DYJ10" s="1202"/>
      <c r="DYK10" s="1202"/>
      <c r="DYL10" s="1202"/>
      <c r="DYM10" s="1202"/>
      <c r="DYN10" s="1202"/>
      <c r="DYO10" s="1202"/>
      <c r="DYP10" s="1202"/>
      <c r="DYQ10" s="1202"/>
      <c r="DYR10" s="1202"/>
      <c r="DYS10" s="1202"/>
      <c r="DYT10" s="1202"/>
      <c r="DYU10" s="1202"/>
      <c r="DYV10" s="1202"/>
      <c r="DYW10" s="1202"/>
      <c r="DYX10" s="1202"/>
      <c r="DYY10" s="1202"/>
      <c r="DYZ10" s="1202"/>
      <c r="DZA10" s="1202"/>
      <c r="DZB10" s="1202"/>
      <c r="DZC10" s="1202"/>
      <c r="DZD10" s="1202"/>
      <c r="DZE10" s="1202"/>
      <c r="DZF10" s="1202"/>
      <c r="DZG10" s="1202"/>
      <c r="DZH10" s="1202"/>
      <c r="DZI10" s="1202"/>
      <c r="DZJ10" s="1202"/>
      <c r="DZK10" s="1202"/>
      <c r="DZL10" s="1202"/>
      <c r="DZM10" s="1202"/>
      <c r="DZN10" s="1202"/>
      <c r="DZO10" s="1202"/>
      <c r="DZP10" s="1202"/>
      <c r="DZQ10" s="1202"/>
      <c r="DZR10" s="1202"/>
      <c r="DZS10" s="1202"/>
      <c r="DZT10" s="1202"/>
      <c r="DZU10" s="1202"/>
      <c r="DZV10" s="1202"/>
      <c r="DZW10" s="1202"/>
      <c r="DZX10" s="1202"/>
      <c r="DZY10" s="1202"/>
      <c r="DZZ10" s="1202"/>
      <c r="EAA10" s="1202"/>
      <c r="EAB10" s="1202"/>
      <c r="EAC10" s="1202"/>
      <c r="EAD10" s="1202"/>
      <c r="EAE10" s="1202"/>
      <c r="EAF10" s="1202"/>
      <c r="EAG10" s="1202"/>
      <c r="EAH10" s="1202"/>
      <c r="EAI10" s="1202"/>
      <c r="EAJ10" s="1202"/>
      <c r="EAK10" s="1202"/>
      <c r="EAL10" s="1202"/>
      <c r="EAM10" s="1202"/>
      <c r="EAN10" s="1202"/>
      <c r="EAO10" s="1202"/>
      <c r="EAP10" s="1202"/>
      <c r="EAQ10" s="1202"/>
      <c r="EAR10" s="1202"/>
      <c r="EAS10" s="1202"/>
      <c r="EAT10" s="1202"/>
      <c r="EAU10" s="1202"/>
      <c r="EAV10" s="1202"/>
      <c r="EAW10" s="1202"/>
      <c r="EAX10" s="1202"/>
      <c r="EAY10" s="1202"/>
      <c r="EAZ10" s="1202"/>
      <c r="EBA10" s="1202"/>
      <c r="EBB10" s="1202"/>
      <c r="EBC10" s="1202"/>
      <c r="EBD10" s="1202"/>
      <c r="EBE10" s="1202"/>
      <c r="EBF10" s="1202"/>
      <c r="EBG10" s="1202"/>
      <c r="EBH10" s="1202"/>
      <c r="EBI10" s="1202"/>
      <c r="EBJ10" s="1202"/>
      <c r="EBK10" s="1202"/>
      <c r="EBL10" s="1202"/>
      <c r="EBM10" s="1202"/>
      <c r="EBN10" s="1202"/>
      <c r="EBO10" s="1202"/>
      <c r="EBP10" s="1202"/>
      <c r="EBQ10" s="1202"/>
      <c r="EBR10" s="1202"/>
      <c r="EBS10" s="1202"/>
      <c r="EBT10" s="1202"/>
      <c r="EBU10" s="1202"/>
      <c r="EBV10" s="1202"/>
      <c r="EBW10" s="1202"/>
      <c r="EBX10" s="1202"/>
      <c r="EBY10" s="1202"/>
      <c r="EBZ10" s="1202"/>
      <c r="ECA10" s="1202"/>
      <c r="ECB10" s="1202"/>
      <c r="ECC10" s="1202"/>
      <c r="ECD10" s="1202"/>
      <c r="ECE10" s="1202"/>
      <c r="ECF10" s="1202"/>
      <c r="ECG10" s="1202"/>
      <c r="ECH10" s="1202"/>
      <c r="ECI10" s="1202"/>
      <c r="ECJ10" s="1202"/>
      <c r="ECK10" s="1202"/>
      <c r="ECL10" s="1202"/>
      <c r="ECM10" s="1202"/>
      <c r="ECN10" s="1202"/>
      <c r="ECO10" s="1202"/>
      <c r="ECP10" s="1202"/>
      <c r="ECQ10" s="1202"/>
      <c r="ECR10" s="1202"/>
      <c r="ECS10" s="1202"/>
      <c r="ECT10" s="1202"/>
      <c r="ECU10" s="1202"/>
      <c r="ECV10" s="1202"/>
      <c r="ECW10" s="1202"/>
      <c r="ECX10" s="1202"/>
      <c r="ECY10" s="1202"/>
      <c r="ECZ10" s="1202"/>
      <c r="EDA10" s="1202"/>
      <c r="EDB10" s="1202"/>
      <c r="EDC10" s="1202"/>
      <c r="EDD10" s="1202"/>
      <c r="EDE10" s="1202"/>
      <c r="EDF10" s="1202"/>
      <c r="EDG10" s="1202"/>
      <c r="EDH10" s="1202"/>
      <c r="EDI10" s="1202"/>
      <c r="EDJ10" s="1202"/>
      <c r="EDK10" s="1202"/>
      <c r="EDL10" s="1202"/>
      <c r="EDM10" s="1202"/>
      <c r="EDN10" s="1202"/>
      <c r="EDO10" s="1202"/>
      <c r="EDP10" s="1202"/>
      <c r="EDQ10" s="1202"/>
      <c r="EDR10" s="1202"/>
      <c r="EDS10" s="1202"/>
      <c r="EDT10" s="1202"/>
      <c r="EDU10" s="1202"/>
      <c r="EDV10" s="1202"/>
      <c r="EDW10" s="1202"/>
      <c r="EDX10" s="1202"/>
      <c r="EDY10" s="1202"/>
      <c r="EDZ10" s="1202"/>
      <c r="EEA10" s="1202"/>
      <c r="EEB10" s="1202"/>
      <c r="EEC10" s="1202"/>
      <c r="EED10" s="1202"/>
      <c r="EEE10" s="1202"/>
      <c r="EEF10" s="1202"/>
      <c r="EEG10" s="1202"/>
      <c r="EEH10" s="1202"/>
      <c r="EEI10" s="1202"/>
      <c r="EEJ10" s="1202"/>
      <c r="EEK10" s="1202"/>
      <c r="EEL10" s="1202"/>
      <c r="EEM10" s="1202"/>
      <c r="EEN10" s="1202"/>
      <c r="EEO10" s="1202"/>
      <c r="EEP10" s="1202"/>
      <c r="EEQ10" s="1202"/>
      <c r="EER10" s="1202"/>
      <c r="EES10" s="1202"/>
      <c r="EET10" s="1202"/>
      <c r="EEU10" s="1202"/>
      <c r="EEV10" s="1202"/>
      <c r="EEW10" s="1202"/>
      <c r="EEX10" s="1202"/>
      <c r="EEY10" s="1202"/>
      <c r="EEZ10" s="1202"/>
      <c r="EFA10" s="1202"/>
      <c r="EFB10" s="1202"/>
      <c r="EFC10" s="1202"/>
      <c r="EFD10" s="1202"/>
      <c r="EFE10" s="1202"/>
      <c r="EFF10" s="1202"/>
      <c r="EFG10" s="1202"/>
      <c r="EFH10" s="1202"/>
      <c r="EFI10" s="1202"/>
      <c r="EFJ10" s="1202"/>
      <c r="EFK10" s="1202"/>
      <c r="EFL10" s="1202"/>
      <c r="EFM10" s="1202"/>
      <c r="EFN10" s="1202"/>
      <c r="EFO10" s="1202"/>
      <c r="EFP10" s="1202"/>
      <c r="EFQ10" s="1202"/>
      <c r="EFR10" s="1202"/>
      <c r="EFS10" s="1202"/>
      <c r="EFT10" s="1202"/>
      <c r="EFU10" s="1202"/>
      <c r="EFV10" s="1202"/>
      <c r="EFW10" s="1202"/>
      <c r="EFX10" s="1202"/>
      <c r="EFY10" s="1202"/>
      <c r="EFZ10" s="1202"/>
      <c r="EGA10" s="1202"/>
      <c r="EGB10" s="1202"/>
      <c r="EGC10" s="1202"/>
      <c r="EGD10" s="1202"/>
      <c r="EGE10" s="1202"/>
      <c r="EGF10" s="1202"/>
      <c r="EGG10" s="1202"/>
      <c r="EGH10" s="1202"/>
      <c r="EGI10" s="1202"/>
      <c r="EGJ10" s="1202"/>
      <c r="EGK10" s="1202"/>
      <c r="EGL10" s="1202"/>
      <c r="EGM10" s="1202"/>
      <c r="EGN10" s="1202"/>
      <c r="EGO10" s="1202"/>
      <c r="EGP10" s="1202"/>
      <c r="EGQ10" s="1202"/>
      <c r="EGR10" s="1202"/>
      <c r="EGS10" s="1202"/>
      <c r="EGT10" s="1202"/>
      <c r="EGU10" s="1202"/>
      <c r="EGV10" s="1202"/>
      <c r="EGW10" s="1202"/>
      <c r="EGX10" s="1202"/>
      <c r="EGY10" s="1202"/>
      <c r="EGZ10" s="1202"/>
      <c r="EHA10" s="1202"/>
      <c r="EHB10" s="1202"/>
      <c r="EHC10" s="1202"/>
      <c r="EHD10" s="1202"/>
      <c r="EHE10" s="1202"/>
      <c r="EHF10" s="1202"/>
      <c r="EHG10" s="1202"/>
      <c r="EHH10" s="1202"/>
      <c r="EHI10" s="1202"/>
      <c r="EHJ10" s="1202"/>
      <c r="EHK10" s="1202"/>
      <c r="EHL10" s="1202"/>
      <c r="EHM10" s="1202"/>
      <c r="EHN10" s="1202"/>
      <c r="EHO10" s="1202"/>
      <c r="EHP10" s="1202"/>
      <c r="EHQ10" s="1202"/>
      <c r="EHR10" s="1202"/>
      <c r="EHS10" s="1202"/>
      <c r="EHT10" s="1202"/>
      <c r="EHU10" s="1202"/>
      <c r="EHV10" s="1202"/>
      <c r="EHW10" s="1202"/>
      <c r="EHX10" s="1202"/>
      <c r="EHY10" s="1202"/>
      <c r="EHZ10" s="1202"/>
      <c r="EIA10" s="1202"/>
      <c r="EIB10" s="1202"/>
      <c r="EIC10" s="1202"/>
      <c r="EID10" s="1202"/>
      <c r="EIE10" s="1202"/>
      <c r="EIF10" s="1202"/>
      <c r="EIG10" s="1202"/>
      <c r="EIH10" s="1202"/>
      <c r="EII10" s="1202"/>
      <c r="EIJ10" s="1202"/>
      <c r="EIK10" s="1202"/>
      <c r="EIL10" s="1202"/>
      <c r="EIM10" s="1202"/>
      <c r="EIN10" s="1202"/>
      <c r="EIO10" s="1202"/>
      <c r="EIP10" s="1202"/>
      <c r="EIQ10" s="1202"/>
      <c r="EIR10" s="1202"/>
      <c r="EIS10" s="1202"/>
      <c r="EIT10" s="1202"/>
      <c r="EIU10" s="1202"/>
      <c r="EIV10" s="1202"/>
      <c r="EIW10" s="1202"/>
      <c r="EIX10" s="1202"/>
      <c r="EIY10" s="1202"/>
      <c r="EIZ10" s="1202"/>
      <c r="EJA10" s="1202"/>
      <c r="EJB10" s="1202"/>
      <c r="EJC10" s="1202"/>
      <c r="EJD10" s="1202"/>
      <c r="EJE10" s="1202"/>
      <c r="EJF10" s="1202"/>
      <c r="EJG10" s="1202"/>
      <c r="EJH10" s="1202"/>
      <c r="EJI10" s="1202"/>
      <c r="EJJ10" s="1202"/>
      <c r="EJK10" s="1202"/>
      <c r="EJL10" s="1202"/>
      <c r="EJM10" s="1202"/>
      <c r="EJN10" s="1202"/>
      <c r="EJO10" s="1202"/>
      <c r="EJP10" s="1202"/>
      <c r="EJQ10" s="1202"/>
      <c r="EJR10" s="1202"/>
      <c r="EJS10" s="1202"/>
      <c r="EJT10" s="1202"/>
      <c r="EJU10" s="1202"/>
      <c r="EJV10" s="1202"/>
      <c r="EJW10" s="1202"/>
      <c r="EJX10" s="1202"/>
      <c r="EJY10" s="1202"/>
      <c r="EJZ10" s="1202"/>
      <c r="EKA10" s="1202"/>
      <c r="EKB10" s="1202"/>
      <c r="EKC10" s="1202"/>
      <c r="EKD10" s="1202"/>
      <c r="EKE10" s="1202"/>
      <c r="EKF10" s="1202"/>
      <c r="EKG10" s="1202"/>
      <c r="EKH10" s="1202"/>
      <c r="EKI10" s="1202"/>
      <c r="EKJ10" s="1202"/>
      <c r="EKK10" s="1202"/>
      <c r="EKL10" s="1202"/>
      <c r="EKM10" s="1202"/>
      <c r="EKN10" s="1202"/>
      <c r="EKO10" s="1202"/>
      <c r="EKP10" s="1202"/>
      <c r="EKQ10" s="1202"/>
      <c r="EKR10" s="1202"/>
      <c r="EKS10" s="1202"/>
      <c r="EKT10" s="1202"/>
      <c r="EKU10" s="1202"/>
      <c r="EKV10" s="1202"/>
      <c r="EKW10" s="1202"/>
      <c r="EKX10" s="1202"/>
      <c r="EKY10" s="1202"/>
      <c r="EKZ10" s="1202"/>
      <c r="ELA10" s="1202"/>
      <c r="ELB10" s="1202"/>
      <c r="ELC10" s="1202"/>
      <c r="ELD10" s="1202"/>
      <c r="ELE10" s="1202"/>
      <c r="ELF10" s="1202"/>
      <c r="ELG10" s="1202"/>
      <c r="ELH10" s="1202"/>
      <c r="ELI10" s="1202"/>
      <c r="ELJ10" s="1202"/>
      <c r="ELK10" s="1202"/>
      <c r="ELL10" s="1202"/>
      <c r="ELM10" s="1202"/>
      <c r="ELN10" s="1202"/>
      <c r="ELO10" s="1202"/>
      <c r="ELP10" s="1202"/>
      <c r="ELQ10" s="1202"/>
      <c r="ELR10" s="1202"/>
      <c r="ELS10" s="1202"/>
      <c r="ELT10" s="1202"/>
      <c r="ELU10" s="1202"/>
      <c r="ELV10" s="1202"/>
      <c r="ELW10" s="1202"/>
      <c r="ELX10" s="1202"/>
      <c r="ELY10" s="1202"/>
      <c r="ELZ10" s="1202"/>
      <c r="EMA10" s="1202"/>
      <c r="EMB10" s="1202"/>
      <c r="EMC10" s="1202"/>
      <c r="EMD10" s="1202"/>
      <c r="EME10" s="1202"/>
      <c r="EMF10" s="1202"/>
      <c r="EMG10" s="1202"/>
      <c r="EMH10" s="1202"/>
      <c r="EMI10" s="1202"/>
      <c r="EMJ10" s="1202"/>
      <c r="EMK10" s="1202"/>
      <c r="EML10" s="1202"/>
      <c r="EMM10" s="1202"/>
      <c r="EMN10" s="1202"/>
      <c r="EMO10" s="1202"/>
      <c r="EMP10" s="1202"/>
      <c r="EMQ10" s="1202"/>
      <c r="EMR10" s="1202"/>
      <c r="EMS10" s="1202"/>
      <c r="EMT10" s="1202"/>
      <c r="EMU10" s="1202"/>
      <c r="EMV10" s="1202"/>
      <c r="EMW10" s="1202"/>
      <c r="EMX10" s="1202"/>
      <c r="EMY10" s="1202"/>
      <c r="EMZ10" s="1202"/>
      <c r="ENA10" s="1202"/>
      <c r="ENB10" s="1202"/>
      <c r="ENC10" s="1202"/>
      <c r="END10" s="1202"/>
      <c r="ENE10" s="1202"/>
      <c r="ENF10" s="1202"/>
      <c r="ENG10" s="1202"/>
      <c r="ENH10" s="1202"/>
      <c r="ENI10" s="1202"/>
      <c r="ENJ10" s="1202"/>
      <c r="ENK10" s="1202"/>
      <c r="ENL10" s="1202"/>
      <c r="ENM10" s="1202"/>
      <c r="ENN10" s="1202"/>
      <c r="ENO10" s="1202"/>
      <c r="ENP10" s="1202"/>
      <c r="ENQ10" s="1202"/>
      <c r="ENR10" s="1202"/>
      <c r="ENS10" s="1202"/>
      <c r="ENT10" s="1202"/>
      <c r="ENU10" s="1202"/>
      <c r="ENV10" s="1202"/>
      <c r="ENW10" s="1202"/>
      <c r="ENX10" s="1202"/>
      <c r="ENY10" s="1202"/>
      <c r="ENZ10" s="1202"/>
      <c r="EOA10" s="1202"/>
      <c r="EOB10" s="1202"/>
      <c r="EOC10" s="1202"/>
      <c r="EOD10" s="1202"/>
      <c r="EOE10" s="1202"/>
      <c r="EOF10" s="1202"/>
      <c r="EOG10" s="1202"/>
      <c r="EOH10" s="1202"/>
      <c r="EOI10" s="1202"/>
      <c r="EOJ10" s="1202"/>
      <c r="EOK10" s="1202"/>
      <c r="EOL10" s="1202"/>
      <c r="EOM10" s="1202"/>
      <c r="EON10" s="1202"/>
      <c r="EOO10" s="1202"/>
      <c r="EOP10" s="1202"/>
      <c r="EOQ10" s="1202"/>
      <c r="EOR10" s="1202"/>
      <c r="EOS10" s="1202"/>
      <c r="EOT10" s="1202"/>
      <c r="EOU10" s="1202"/>
      <c r="EOV10" s="1202"/>
      <c r="EOW10" s="1202"/>
      <c r="EOX10" s="1202"/>
      <c r="EOY10" s="1202"/>
      <c r="EOZ10" s="1202"/>
      <c r="EPA10" s="1202"/>
      <c r="EPB10" s="1202"/>
      <c r="EPC10" s="1202"/>
      <c r="EPD10" s="1202"/>
      <c r="EPE10" s="1202"/>
      <c r="EPF10" s="1202"/>
      <c r="EPG10" s="1202"/>
      <c r="EPH10" s="1202"/>
      <c r="EPI10" s="1202"/>
      <c r="EPJ10" s="1202"/>
      <c r="EPK10" s="1202"/>
      <c r="EPL10" s="1202"/>
      <c r="EPM10" s="1202"/>
      <c r="EPN10" s="1202"/>
      <c r="EPO10" s="1202"/>
      <c r="EPP10" s="1202"/>
      <c r="EPQ10" s="1202"/>
      <c r="EPR10" s="1202"/>
      <c r="EPS10" s="1202"/>
      <c r="EPT10" s="1202"/>
      <c r="EPU10" s="1202"/>
      <c r="EPV10" s="1202"/>
      <c r="EPW10" s="1202"/>
      <c r="EPX10" s="1202"/>
      <c r="EPY10" s="1202"/>
      <c r="EPZ10" s="1202"/>
      <c r="EQA10" s="1202"/>
      <c r="EQB10" s="1202"/>
      <c r="EQC10" s="1202"/>
      <c r="EQD10" s="1202"/>
      <c r="EQE10" s="1202"/>
      <c r="EQF10" s="1202"/>
      <c r="EQG10" s="1202"/>
      <c r="EQH10" s="1202"/>
      <c r="EQI10" s="1202"/>
      <c r="EQJ10" s="1202"/>
      <c r="EQK10" s="1202"/>
      <c r="EQL10" s="1202"/>
      <c r="EQM10" s="1202"/>
      <c r="EQN10" s="1202"/>
      <c r="EQO10" s="1202"/>
      <c r="EQP10" s="1202"/>
      <c r="EQQ10" s="1202"/>
      <c r="EQR10" s="1202"/>
      <c r="EQS10" s="1202"/>
      <c r="EQT10" s="1202"/>
      <c r="EQU10" s="1202"/>
      <c r="EQV10" s="1202"/>
      <c r="EQW10" s="1202"/>
      <c r="EQX10" s="1202"/>
      <c r="EQY10" s="1202"/>
      <c r="EQZ10" s="1202"/>
      <c r="ERA10" s="1202"/>
      <c r="ERB10" s="1202"/>
      <c r="ERC10" s="1202"/>
      <c r="ERD10" s="1202"/>
      <c r="ERE10" s="1202"/>
      <c r="ERF10" s="1202"/>
      <c r="ERG10" s="1202"/>
      <c r="ERH10" s="1202"/>
      <c r="ERI10" s="1202"/>
      <c r="ERJ10" s="1202"/>
      <c r="ERK10" s="1202"/>
      <c r="ERL10" s="1202"/>
      <c r="ERM10" s="1202"/>
      <c r="ERN10" s="1202"/>
      <c r="ERO10" s="1202"/>
      <c r="ERP10" s="1202"/>
      <c r="ERQ10" s="1202"/>
      <c r="ERR10" s="1202"/>
      <c r="ERS10" s="1202"/>
      <c r="ERT10" s="1202"/>
      <c r="ERU10" s="1202"/>
      <c r="ERV10" s="1202"/>
      <c r="ERW10" s="1202"/>
      <c r="ERX10" s="1202"/>
      <c r="ERY10" s="1202"/>
      <c r="ERZ10" s="1202"/>
      <c r="ESA10" s="1202"/>
      <c r="ESB10" s="1202"/>
      <c r="ESC10" s="1202"/>
      <c r="ESD10" s="1202"/>
      <c r="ESE10" s="1202"/>
      <c r="ESF10" s="1202"/>
      <c r="ESG10" s="1202"/>
      <c r="ESH10" s="1202"/>
      <c r="ESI10" s="1202"/>
      <c r="ESJ10" s="1202"/>
      <c r="ESK10" s="1202"/>
      <c r="ESL10" s="1202"/>
      <c r="ESM10" s="1202"/>
      <c r="ESN10" s="1202"/>
      <c r="ESO10" s="1202"/>
      <c r="ESP10" s="1202"/>
      <c r="ESQ10" s="1202"/>
      <c r="ESR10" s="1202"/>
      <c r="ESS10" s="1202"/>
      <c r="EST10" s="1202"/>
      <c r="ESU10" s="1202"/>
      <c r="ESV10" s="1202"/>
      <c r="ESW10" s="1202"/>
      <c r="ESX10" s="1202"/>
      <c r="ESY10" s="1202"/>
      <c r="ESZ10" s="1202"/>
      <c r="ETA10" s="1202"/>
      <c r="ETB10" s="1202"/>
      <c r="ETC10" s="1202"/>
      <c r="ETD10" s="1202"/>
      <c r="ETE10" s="1202"/>
      <c r="ETF10" s="1202"/>
      <c r="ETG10" s="1202"/>
      <c r="ETH10" s="1202"/>
      <c r="ETI10" s="1202"/>
      <c r="ETJ10" s="1202"/>
      <c r="ETK10" s="1202"/>
      <c r="ETL10" s="1202"/>
      <c r="ETM10" s="1202"/>
      <c r="ETN10" s="1202"/>
      <c r="ETO10" s="1202"/>
      <c r="ETP10" s="1202"/>
      <c r="ETQ10" s="1202"/>
      <c r="ETR10" s="1202"/>
      <c r="ETS10" s="1202"/>
      <c r="ETT10" s="1202"/>
      <c r="ETU10" s="1202"/>
      <c r="ETV10" s="1202"/>
      <c r="ETW10" s="1202"/>
      <c r="ETX10" s="1202"/>
      <c r="ETY10" s="1202"/>
      <c r="ETZ10" s="1202"/>
      <c r="EUA10" s="1202"/>
      <c r="EUB10" s="1202"/>
      <c r="EUC10" s="1202"/>
      <c r="EUD10" s="1202"/>
      <c r="EUE10" s="1202"/>
      <c r="EUF10" s="1202"/>
      <c r="EUG10" s="1202"/>
      <c r="EUH10" s="1202"/>
      <c r="EUI10" s="1202"/>
      <c r="EUJ10" s="1202"/>
      <c r="EUK10" s="1202"/>
      <c r="EUL10" s="1202"/>
      <c r="EUM10" s="1202"/>
      <c r="EUN10" s="1202"/>
      <c r="EUO10" s="1202"/>
      <c r="EUP10" s="1202"/>
      <c r="EUQ10" s="1202"/>
      <c r="EUR10" s="1202"/>
      <c r="EUS10" s="1202"/>
      <c r="EUT10" s="1202"/>
      <c r="EUU10" s="1202"/>
      <c r="EUV10" s="1202"/>
      <c r="EUW10" s="1202"/>
      <c r="EUX10" s="1202"/>
      <c r="EUY10" s="1202"/>
      <c r="EUZ10" s="1202"/>
      <c r="EVA10" s="1202"/>
      <c r="EVB10" s="1202"/>
      <c r="EVC10" s="1202"/>
      <c r="EVD10" s="1202"/>
      <c r="EVE10" s="1202"/>
      <c r="EVF10" s="1202"/>
      <c r="EVG10" s="1202"/>
      <c r="EVH10" s="1202"/>
      <c r="EVI10" s="1202"/>
      <c r="EVJ10" s="1202"/>
      <c r="EVK10" s="1202"/>
      <c r="EVL10" s="1202"/>
      <c r="EVM10" s="1202"/>
      <c r="EVN10" s="1202"/>
      <c r="EVO10" s="1202"/>
      <c r="EVP10" s="1202"/>
      <c r="EVQ10" s="1202"/>
      <c r="EVR10" s="1202"/>
      <c r="EVS10" s="1202"/>
      <c r="EVT10" s="1202"/>
      <c r="EVU10" s="1202"/>
      <c r="EVV10" s="1202"/>
      <c r="EVW10" s="1202"/>
      <c r="EVX10" s="1202"/>
      <c r="EVY10" s="1202"/>
      <c r="EVZ10" s="1202"/>
      <c r="EWA10" s="1202"/>
      <c r="EWB10" s="1202"/>
      <c r="EWC10" s="1202"/>
      <c r="EWD10" s="1202"/>
      <c r="EWE10" s="1202"/>
      <c r="EWF10" s="1202"/>
      <c r="EWG10" s="1202"/>
      <c r="EWH10" s="1202"/>
      <c r="EWI10" s="1202"/>
      <c r="EWJ10" s="1202"/>
      <c r="EWK10" s="1202"/>
      <c r="EWL10" s="1202"/>
      <c r="EWM10" s="1202"/>
      <c r="EWN10" s="1202"/>
      <c r="EWO10" s="1202"/>
      <c r="EWP10" s="1202"/>
      <c r="EWQ10" s="1202"/>
      <c r="EWR10" s="1202"/>
      <c r="EWS10" s="1202"/>
      <c r="EWT10" s="1202"/>
      <c r="EWU10" s="1202"/>
      <c r="EWV10" s="1202"/>
      <c r="EWW10" s="1202"/>
      <c r="EWX10" s="1202"/>
      <c r="EWY10" s="1202"/>
      <c r="EWZ10" s="1202"/>
      <c r="EXA10" s="1202"/>
      <c r="EXB10" s="1202"/>
      <c r="EXC10" s="1202"/>
      <c r="EXD10" s="1202"/>
      <c r="EXE10" s="1202"/>
      <c r="EXF10" s="1202"/>
      <c r="EXG10" s="1202"/>
      <c r="EXH10" s="1202"/>
      <c r="EXI10" s="1202"/>
      <c r="EXJ10" s="1202"/>
      <c r="EXK10" s="1202"/>
      <c r="EXL10" s="1202"/>
      <c r="EXM10" s="1202"/>
      <c r="EXN10" s="1202"/>
      <c r="EXO10" s="1202"/>
      <c r="EXP10" s="1202"/>
      <c r="EXQ10" s="1202"/>
      <c r="EXR10" s="1202"/>
      <c r="EXS10" s="1202"/>
      <c r="EXT10" s="1202"/>
      <c r="EXU10" s="1202"/>
      <c r="EXV10" s="1202"/>
      <c r="EXW10" s="1202"/>
      <c r="EXX10" s="1202"/>
      <c r="EXY10" s="1202"/>
      <c r="EXZ10" s="1202"/>
      <c r="EYA10" s="1202"/>
      <c r="EYB10" s="1202"/>
      <c r="EYC10" s="1202"/>
      <c r="EYD10" s="1202"/>
      <c r="EYE10" s="1202"/>
      <c r="EYF10" s="1202"/>
      <c r="EYG10" s="1202"/>
      <c r="EYH10" s="1202"/>
      <c r="EYI10" s="1202"/>
      <c r="EYJ10" s="1202"/>
      <c r="EYK10" s="1202"/>
      <c r="EYL10" s="1202"/>
      <c r="EYM10" s="1202"/>
      <c r="EYN10" s="1202"/>
      <c r="EYO10" s="1202"/>
      <c r="EYP10" s="1202"/>
      <c r="EYQ10" s="1202"/>
      <c r="EYR10" s="1202"/>
      <c r="EYS10" s="1202"/>
      <c r="EYT10" s="1202"/>
      <c r="EYU10" s="1202"/>
      <c r="EYV10" s="1202"/>
      <c r="EYW10" s="1202"/>
      <c r="EYX10" s="1202"/>
      <c r="EYY10" s="1202"/>
      <c r="EYZ10" s="1202"/>
      <c r="EZA10" s="1202"/>
      <c r="EZB10" s="1202"/>
      <c r="EZC10" s="1202"/>
      <c r="EZD10" s="1202"/>
      <c r="EZE10" s="1202"/>
      <c r="EZF10" s="1202"/>
      <c r="EZG10" s="1202"/>
      <c r="EZH10" s="1202"/>
      <c r="EZI10" s="1202"/>
      <c r="EZJ10" s="1202"/>
      <c r="EZK10" s="1202"/>
      <c r="EZL10" s="1202"/>
      <c r="EZM10" s="1202"/>
      <c r="EZN10" s="1202"/>
      <c r="EZO10" s="1202"/>
      <c r="EZP10" s="1202"/>
      <c r="EZQ10" s="1202"/>
      <c r="EZR10" s="1202"/>
      <c r="EZS10" s="1202"/>
      <c r="EZT10" s="1202"/>
      <c r="EZU10" s="1202"/>
      <c r="EZV10" s="1202"/>
      <c r="EZW10" s="1202"/>
      <c r="EZX10" s="1202"/>
      <c r="EZY10" s="1202"/>
      <c r="EZZ10" s="1202"/>
      <c r="FAA10" s="1202"/>
      <c r="FAB10" s="1202"/>
      <c r="FAC10" s="1202"/>
      <c r="FAD10" s="1202"/>
      <c r="FAE10" s="1202"/>
      <c r="FAF10" s="1202"/>
      <c r="FAG10" s="1202"/>
      <c r="FAH10" s="1202"/>
      <c r="FAI10" s="1202"/>
      <c r="FAJ10" s="1202"/>
      <c r="FAK10" s="1202"/>
      <c r="FAL10" s="1202"/>
      <c r="FAM10" s="1202"/>
      <c r="FAN10" s="1202"/>
      <c r="FAO10" s="1202"/>
      <c r="FAP10" s="1202"/>
      <c r="FAQ10" s="1202"/>
      <c r="FAR10" s="1202"/>
      <c r="FAS10" s="1202"/>
      <c r="FAT10" s="1202"/>
      <c r="FAU10" s="1202"/>
      <c r="FAV10" s="1202"/>
      <c r="FAW10" s="1202"/>
      <c r="FAX10" s="1202"/>
      <c r="FAY10" s="1202"/>
      <c r="FAZ10" s="1202"/>
      <c r="FBA10" s="1202"/>
      <c r="FBB10" s="1202"/>
      <c r="FBC10" s="1202"/>
      <c r="FBD10" s="1202"/>
      <c r="FBE10" s="1202"/>
      <c r="FBF10" s="1202"/>
      <c r="FBG10" s="1202"/>
      <c r="FBH10" s="1202"/>
      <c r="FBI10" s="1202"/>
      <c r="FBJ10" s="1202"/>
      <c r="FBK10" s="1202"/>
      <c r="FBL10" s="1202"/>
      <c r="FBM10" s="1202"/>
      <c r="FBN10" s="1202"/>
      <c r="FBO10" s="1202"/>
      <c r="FBP10" s="1202"/>
      <c r="FBQ10" s="1202"/>
      <c r="FBR10" s="1202"/>
      <c r="FBS10" s="1202"/>
      <c r="FBT10" s="1202"/>
      <c r="FBU10" s="1202"/>
      <c r="FBV10" s="1202"/>
      <c r="FBW10" s="1202"/>
      <c r="FBX10" s="1202"/>
      <c r="FBY10" s="1202"/>
      <c r="FBZ10" s="1202"/>
      <c r="FCA10" s="1202"/>
      <c r="FCB10" s="1202"/>
      <c r="FCC10" s="1202"/>
      <c r="FCD10" s="1202"/>
      <c r="FCE10" s="1202"/>
      <c r="FCF10" s="1202"/>
      <c r="FCG10" s="1202"/>
      <c r="FCH10" s="1202"/>
      <c r="FCI10" s="1202"/>
      <c r="FCJ10" s="1202"/>
      <c r="FCK10" s="1202"/>
      <c r="FCL10" s="1202"/>
      <c r="FCM10" s="1202"/>
      <c r="FCN10" s="1202"/>
      <c r="FCO10" s="1202"/>
      <c r="FCP10" s="1202"/>
      <c r="FCQ10" s="1202"/>
      <c r="FCR10" s="1202"/>
      <c r="FCS10" s="1202"/>
      <c r="FCT10" s="1202"/>
      <c r="FCU10" s="1202"/>
      <c r="FCV10" s="1202"/>
      <c r="FCW10" s="1202"/>
      <c r="FCX10" s="1202"/>
      <c r="FCY10" s="1202"/>
      <c r="FCZ10" s="1202"/>
      <c r="FDA10" s="1202"/>
      <c r="FDB10" s="1202"/>
      <c r="FDC10" s="1202"/>
      <c r="FDD10" s="1202"/>
      <c r="FDE10" s="1202"/>
      <c r="FDF10" s="1202"/>
      <c r="FDG10" s="1202"/>
      <c r="FDH10" s="1202"/>
      <c r="FDI10" s="1202"/>
      <c r="FDJ10" s="1202"/>
      <c r="FDK10" s="1202"/>
      <c r="FDL10" s="1202"/>
      <c r="FDM10" s="1202"/>
      <c r="FDN10" s="1202"/>
      <c r="FDO10" s="1202"/>
      <c r="FDP10" s="1202"/>
      <c r="FDQ10" s="1202"/>
      <c r="FDR10" s="1202"/>
      <c r="FDS10" s="1202"/>
      <c r="FDT10" s="1202"/>
      <c r="FDU10" s="1202"/>
      <c r="FDV10" s="1202"/>
      <c r="FDW10" s="1202"/>
      <c r="FDX10" s="1202"/>
      <c r="FDY10" s="1202"/>
      <c r="FDZ10" s="1202"/>
      <c r="FEA10" s="1202"/>
      <c r="FEB10" s="1202"/>
      <c r="FEC10" s="1202"/>
      <c r="FED10" s="1202"/>
      <c r="FEE10" s="1202"/>
      <c r="FEF10" s="1202"/>
      <c r="FEG10" s="1202"/>
      <c r="FEH10" s="1202"/>
      <c r="FEI10" s="1202"/>
      <c r="FEJ10" s="1202"/>
      <c r="FEK10" s="1202"/>
      <c r="FEL10" s="1202"/>
      <c r="FEM10" s="1202"/>
      <c r="FEN10" s="1202"/>
      <c r="FEO10" s="1202"/>
      <c r="FEP10" s="1202"/>
      <c r="FEQ10" s="1202"/>
      <c r="FER10" s="1202"/>
      <c r="FES10" s="1202"/>
      <c r="FET10" s="1202"/>
      <c r="FEU10" s="1202"/>
      <c r="FEV10" s="1202"/>
      <c r="FEW10" s="1202"/>
      <c r="FEX10" s="1202"/>
      <c r="FEY10" s="1202"/>
      <c r="FEZ10" s="1202"/>
      <c r="FFA10" s="1202"/>
      <c r="FFB10" s="1202"/>
      <c r="FFC10" s="1202"/>
      <c r="FFD10" s="1202"/>
      <c r="FFE10" s="1202"/>
      <c r="FFF10" s="1202"/>
      <c r="FFG10" s="1202"/>
      <c r="FFH10" s="1202"/>
      <c r="FFI10" s="1202"/>
      <c r="FFJ10" s="1202"/>
      <c r="FFK10" s="1202"/>
      <c r="FFL10" s="1202"/>
      <c r="FFM10" s="1202"/>
      <c r="FFN10" s="1202"/>
      <c r="FFO10" s="1202"/>
      <c r="FFP10" s="1202"/>
      <c r="FFQ10" s="1202"/>
      <c r="FFR10" s="1202"/>
      <c r="FFS10" s="1202"/>
      <c r="FFT10" s="1202"/>
      <c r="FFU10" s="1202"/>
      <c r="FFV10" s="1202"/>
      <c r="FFW10" s="1202"/>
      <c r="FFX10" s="1202"/>
      <c r="FFY10" s="1202"/>
      <c r="FFZ10" s="1202"/>
      <c r="FGA10" s="1202"/>
      <c r="FGB10" s="1202"/>
      <c r="FGC10" s="1202"/>
      <c r="FGD10" s="1202"/>
      <c r="FGE10" s="1202"/>
      <c r="FGF10" s="1202"/>
      <c r="FGG10" s="1202"/>
      <c r="FGH10" s="1202"/>
      <c r="FGI10" s="1202"/>
      <c r="FGJ10" s="1202"/>
      <c r="FGK10" s="1202"/>
      <c r="FGL10" s="1202"/>
      <c r="FGM10" s="1202"/>
      <c r="FGN10" s="1202"/>
      <c r="FGO10" s="1202"/>
      <c r="FGP10" s="1202"/>
      <c r="FGQ10" s="1202"/>
      <c r="FGR10" s="1202"/>
      <c r="FGS10" s="1202"/>
      <c r="FGT10" s="1202"/>
      <c r="FGU10" s="1202"/>
      <c r="FGV10" s="1202"/>
      <c r="FGW10" s="1202"/>
      <c r="FGX10" s="1202"/>
      <c r="FGY10" s="1202"/>
      <c r="FGZ10" s="1202"/>
      <c r="FHA10" s="1202"/>
      <c r="FHB10" s="1202"/>
      <c r="FHC10" s="1202"/>
      <c r="FHD10" s="1202"/>
      <c r="FHE10" s="1202"/>
      <c r="FHF10" s="1202"/>
      <c r="FHG10" s="1202"/>
      <c r="FHH10" s="1202"/>
      <c r="FHI10" s="1202"/>
      <c r="FHJ10" s="1202"/>
      <c r="FHK10" s="1202"/>
      <c r="FHL10" s="1202"/>
      <c r="FHM10" s="1202"/>
      <c r="FHN10" s="1202"/>
      <c r="FHO10" s="1202"/>
      <c r="FHP10" s="1202"/>
      <c r="FHQ10" s="1202"/>
      <c r="FHR10" s="1202"/>
      <c r="FHS10" s="1202"/>
      <c r="FHT10" s="1202"/>
      <c r="FHU10" s="1202"/>
      <c r="FHV10" s="1202"/>
      <c r="FHW10" s="1202"/>
      <c r="FHX10" s="1202"/>
      <c r="FHY10" s="1202"/>
      <c r="FHZ10" s="1202"/>
      <c r="FIA10" s="1202"/>
      <c r="FIB10" s="1202"/>
      <c r="FIC10" s="1202"/>
      <c r="FID10" s="1202"/>
      <c r="FIE10" s="1202"/>
      <c r="FIF10" s="1202"/>
      <c r="FIG10" s="1202"/>
      <c r="FIH10" s="1202"/>
      <c r="FII10" s="1202"/>
      <c r="FIJ10" s="1202"/>
      <c r="FIK10" s="1202"/>
      <c r="FIL10" s="1202"/>
      <c r="FIM10" s="1202"/>
      <c r="FIN10" s="1202"/>
      <c r="FIO10" s="1202"/>
      <c r="FIP10" s="1202"/>
      <c r="FIQ10" s="1202"/>
      <c r="FIR10" s="1202"/>
      <c r="FIS10" s="1202"/>
      <c r="FIT10" s="1202"/>
      <c r="FIU10" s="1202"/>
      <c r="FIV10" s="1202"/>
      <c r="FIW10" s="1202"/>
      <c r="FIX10" s="1202"/>
      <c r="FIY10" s="1202"/>
      <c r="FIZ10" s="1202"/>
      <c r="FJA10" s="1202"/>
      <c r="FJB10" s="1202"/>
      <c r="FJC10" s="1202"/>
      <c r="FJD10" s="1202"/>
      <c r="FJE10" s="1202"/>
      <c r="FJF10" s="1202"/>
      <c r="FJG10" s="1202"/>
      <c r="FJH10" s="1202"/>
      <c r="FJI10" s="1202"/>
      <c r="FJJ10" s="1202"/>
      <c r="FJK10" s="1202"/>
      <c r="FJL10" s="1202"/>
      <c r="FJM10" s="1202"/>
      <c r="FJN10" s="1202"/>
      <c r="FJO10" s="1202"/>
      <c r="FJP10" s="1202"/>
      <c r="FJQ10" s="1202"/>
      <c r="FJR10" s="1202"/>
      <c r="FJS10" s="1202"/>
      <c r="FJT10" s="1202"/>
      <c r="FJU10" s="1202"/>
      <c r="FJV10" s="1202"/>
      <c r="FJW10" s="1202"/>
      <c r="FJX10" s="1202"/>
      <c r="FJY10" s="1202"/>
      <c r="FJZ10" s="1202"/>
      <c r="FKA10" s="1202"/>
      <c r="FKB10" s="1202"/>
      <c r="FKC10" s="1202"/>
      <c r="FKD10" s="1202"/>
      <c r="FKE10" s="1202"/>
      <c r="FKF10" s="1202"/>
      <c r="FKG10" s="1202"/>
      <c r="FKH10" s="1202"/>
      <c r="FKI10" s="1202"/>
      <c r="FKJ10" s="1202"/>
      <c r="FKK10" s="1202"/>
      <c r="FKL10" s="1202"/>
      <c r="FKM10" s="1202"/>
      <c r="FKN10" s="1202"/>
      <c r="FKO10" s="1202"/>
      <c r="FKP10" s="1202"/>
      <c r="FKQ10" s="1202"/>
      <c r="FKR10" s="1202"/>
      <c r="FKS10" s="1202"/>
      <c r="FKT10" s="1202"/>
      <c r="FKU10" s="1202"/>
      <c r="FKV10" s="1202"/>
      <c r="FKW10" s="1202"/>
      <c r="FKX10" s="1202"/>
      <c r="FKY10" s="1202"/>
      <c r="FKZ10" s="1202"/>
      <c r="FLA10" s="1202"/>
      <c r="FLB10" s="1202"/>
      <c r="FLC10" s="1202"/>
      <c r="FLD10" s="1202"/>
      <c r="FLE10" s="1202"/>
      <c r="FLF10" s="1202"/>
      <c r="FLG10" s="1202"/>
      <c r="FLH10" s="1202"/>
      <c r="FLI10" s="1202"/>
      <c r="FLJ10" s="1202"/>
      <c r="FLK10" s="1202"/>
      <c r="FLL10" s="1202"/>
      <c r="FLM10" s="1202"/>
      <c r="FLN10" s="1202"/>
      <c r="FLO10" s="1202"/>
      <c r="FLP10" s="1202"/>
      <c r="FLQ10" s="1202"/>
      <c r="FLR10" s="1202"/>
      <c r="FLS10" s="1202"/>
      <c r="FLT10" s="1202"/>
      <c r="FLU10" s="1202"/>
      <c r="FLV10" s="1202"/>
      <c r="FLW10" s="1202"/>
      <c r="FLX10" s="1202"/>
      <c r="FLY10" s="1202"/>
      <c r="FLZ10" s="1202"/>
      <c r="FMA10" s="1202"/>
      <c r="FMB10" s="1202"/>
      <c r="FMC10" s="1202"/>
      <c r="FMD10" s="1202"/>
      <c r="FME10" s="1202"/>
      <c r="FMF10" s="1202"/>
      <c r="FMG10" s="1202"/>
      <c r="FMH10" s="1202"/>
      <c r="FMI10" s="1202"/>
      <c r="FMJ10" s="1202"/>
      <c r="FMK10" s="1202"/>
      <c r="FML10" s="1202"/>
      <c r="FMM10" s="1202"/>
      <c r="FMN10" s="1202"/>
      <c r="FMO10" s="1202"/>
      <c r="FMP10" s="1202"/>
      <c r="FMQ10" s="1202"/>
      <c r="FMR10" s="1202"/>
      <c r="FMS10" s="1202"/>
      <c r="FMT10" s="1202"/>
      <c r="FMU10" s="1202"/>
      <c r="FMV10" s="1202"/>
      <c r="FMW10" s="1202"/>
      <c r="FMX10" s="1202"/>
      <c r="FMY10" s="1202"/>
      <c r="FMZ10" s="1202"/>
      <c r="FNA10" s="1202"/>
      <c r="FNB10" s="1202"/>
      <c r="FNC10" s="1202"/>
      <c r="FND10" s="1202"/>
      <c r="FNE10" s="1202"/>
      <c r="FNF10" s="1202"/>
      <c r="FNG10" s="1202"/>
      <c r="FNH10" s="1202"/>
      <c r="FNI10" s="1202"/>
      <c r="FNJ10" s="1202"/>
      <c r="FNK10" s="1202"/>
      <c r="FNL10" s="1202"/>
      <c r="FNM10" s="1202"/>
      <c r="FNN10" s="1202"/>
      <c r="FNO10" s="1202"/>
      <c r="FNP10" s="1202"/>
      <c r="FNQ10" s="1202"/>
      <c r="FNR10" s="1202"/>
      <c r="FNS10" s="1202"/>
      <c r="FNT10" s="1202"/>
      <c r="FNU10" s="1202"/>
      <c r="FNV10" s="1202"/>
      <c r="FNW10" s="1202"/>
      <c r="FNX10" s="1202"/>
      <c r="FNY10" s="1202"/>
      <c r="FNZ10" s="1202"/>
      <c r="FOA10" s="1202"/>
      <c r="FOB10" s="1202"/>
      <c r="FOC10" s="1202"/>
      <c r="FOD10" s="1202"/>
      <c r="FOE10" s="1202"/>
      <c r="FOF10" s="1202"/>
      <c r="FOG10" s="1202"/>
      <c r="FOH10" s="1202"/>
      <c r="FOI10" s="1202"/>
      <c r="FOJ10" s="1202"/>
      <c r="FOK10" s="1202"/>
      <c r="FOL10" s="1202"/>
      <c r="FOM10" s="1202"/>
      <c r="FON10" s="1202"/>
      <c r="FOO10" s="1202"/>
      <c r="FOP10" s="1202"/>
      <c r="FOQ10" s="1202"/>
      <c r="FOR10" s="1202"/>
      <c r="FOS10" s="1202"/>
      <c r="FOT10" s="1202"/>
      <c r="FOU10" s="1202"/>
      <c r="FOV10" s="1202"/>
      <c r="FOW10" s="1202"/>
      <c r="FOX10" s="1202"/>
      <c r="FOY10" s="1202"/>
      <c r="FOZ10" s="1202"/>
      <c r="FPA10" s="1202"/>
      <c r="FPB10" s="1202"/>
      <c r="FPC10" s="1202"/>
      <c r="FPD10" s="1202"/>
      <c r="FPE10" s="1202"/>
      <c r="FPF10" s="1202"/>
      <c r="FPG10" s="1202"/>
      <c r="FPH10" s="1202"/>
      <c r="FPI10" s="1202"/>
      <c r="FPJ10" s="1202"/>
      <c r="FPK10" s="1202"/>
      <c r="FPL10" s="1202"/>
      <c r="FPM10" s="1202"/>
      <c r="FPN10" s="1202"/>
      <c r="FPO10" s="1202"/>
      <c r="FPP10" s="1202"/>
      <c r="FPQ10" s="1202"/>
      <c r="FPR10" s="1202"/>
      <c r="FPS10" s="1202"/>
      <c r="FPT10" s="1202"/>
      <c r="FPU10" s="1202"/>
      <c r="FPV10" s="1202"/>
      <c r="FPW10" s="1202"/>
      <c r="FPX10" s="1202"/>
      <c r="FPY10" s="1202"/>
      <c r="FPZ10" s="1202"/>
      <c r="FQA10" s="1202"/>
      <c r="FQB10" s="1202"/>
      <c r="FQC10" s="1202"/>
      <c r="FQD10" s="1202"/>
      <c r="FQE10" s="1202"/>
      <c r="FQF10" s="1202"/>
      <c r="FQG10" s="1202"/>
      <c r="FQH10" s="1202"/>
      <c r="FQI10" s="1202"/>
      <c r="FQJ10" s="1202"/>
      <c r="FQK10" s="1202"/>
      <c r="FQL10" s="1202"/>
      <c r="FQM10" s="1202"/>
      <c r="FQN10" s="1202"/>
      <c r="FQO10" s="1202"/>
      <c r="FQP10" s="1202"/>
      <c r="FQQ10" s="1202"/>
      <c r="FQR10" s="1202"/>
      <c r="FQS10" s="1202"/>
      <c r="FQT10" s="1202"/>
      <c r="FQU10" s="1202"/>
      <c r="FQV10" s="1202"/>
      <c r="FQW10" s="1202"/>
      <c r="FQX10" s="1202"/>
      <c r="FQY10" s="1202"/>
      <c r="FQZ10" s="1202"/>
      <c r="FRA10" s="1202"/>
      <c r="FRB10" s="1202"/>
      <c r="FRC10" s="1202"/>
      <c r="FRD10" s="1202"/>
      <c r="FRE10" s="1202"/>
      <c r="FRF10" s="1202"/>
      <c r="FRG10" s="1202"/>
      <c r="FRH10" s="1202"/>
      <c r="FRI10" s="1202"/>
      <c r="FRJ10" s="1202"/>
      <c r="FRK10" s="1202"/>
      <c r="FRL10" s="1202"/>
      <c r="FRM10" s="1202"/>
      <c r="FRN10" s="1202"/>
      <c r="FRO10" s="1202"/>
      <c r="FRP10" s="1202"/>
      <c r="FRQ10" s="1202"/>
      <c r="FRR10" s="1202"/>
      <c r="FRS10" s="1202"/>
      <c r="FRT10" s="1202"/>
      <c r="FRU10" s="1202"/>
      <c r="FRV10" s="1202"/>
      <c r="FRW10" s="1202"/>
      <c r="FRX10" s="1202"/>
      <c r="FRY10" s="1202"/>
      <c r="FRZ10" s="1202"/>
      <c r="FSA10" s="1202"/>
      <c r="FSB10" s="1202"/>
      <c r="FSC10" s="1202"/>
      <c r="FSD10" s="1202"/>
      <c r="FSE10" s="1202"/>
      <c r="FSF10" s="1202"/>
      <c r="FSG10" s="1202"/>
      <c r="FSH10" s="1202"/>
      <c r="FSI10" s="1202"/>
      <c r="FSJ10" s="1202"/>
      <c r="FSK10" s="1202"/>
      <c r="FSL10" s="1202"/>
      <c r="FSM10" s="1202"/>
      <c r="FSN10" s="1202"/>
      <c r="FSO10" s="1202"/>
      <c r="FSP10" s="1202"/>
      <c r="FSQ10" s="1202"/>
      <c r="FSR10" s="1202"/>
      <c r="FSS10" s="1202"/>
      <c r="FST10" s="1202"/>
      <c r="FSU10" s="1202"/>
      <c r="FSV10" s="1202"/>
      <c r="FSW10" s="1202"/>
      <c r="FSX10" s="1202"/>
      <c r="FSY10" s="1202"/>
      <c r="FSZ10" s="1202"/>
      <c r="FTA10" s="1202"/>
      <c r="FTB10" s="1202"/>
      <c r="FTC10" s="1202"/>
      <c r="FTD10" s="1202"/>
      <c r="FTE10" s="1202"/>
      <c r="FTF10" s="1202"/>
      <c r="FTG10" s="1202"/>
      <c r="FTH10" s="1202"/>
      <c r="FTI10" s="1202"/>
      <c r="FTJ10" s="1202"/>
      <c r="FTK10" s="1202"/>
      <c r="FTL10" s="1202"/>
      <c r="FTM10" s="1202"/>
      <c r="FTN10" s="1202"/>
      <c r="FTO10" s="1202"/>
      <c r="FTP10" s="1202"/>
      <c r="FTQ10" s="1202"/>
      <c r="FTR10" s="1202"/>
      <c r="FTS10" s="1202"/>
      <c r="FTT10" s="1202"/>
      <c r="FTU10" s="1202"/>
      <c r="FTV10" s="1202"/>
      <c r="FTW10" s="1202"/>
      <c r="FTX10" s="1202"/>
      <c r="FTY10" s="1202"/>
      <c r="FTZ10" s="1202"/>
      <c r="FUA10" s="1202"/>
      <c r="FUB10" s="1202"/>
      <c r="FUC10" s="1202"/>
      <c r="FUD10" s="1202"/>
      <c r="FUE10" s="1202"/>
      <c r="FUF10" s="1202"/>
      <c r="FUG10" s="1202"/>
      <c r="FUH10" s="1202"/>
      <c r="FUI10" s="1202"/>
      <c r="FUJ10" s="1202"/>
      <c r="FUK10" s="1202"/>
      <c r="FUL10" s="1202"/>
      <c r="FUM10" s="1202"/>
      <c r="FUN10" s="1202"/>
      <c r="FUO10" s="1202"/>
      <c r="FUP10" s="1202"/>
      <c r="FUQ10" s="1202"/>
      <c r="FUR10" s="1202"/>
      <c r="FUS10" s="1202"/>
      <c r="FUT10" s="1202"/>
      <c r="FUU10" s="1202"/>
      <c r="FUV10" s="1202"/>
      <c r="FUW10" s="1202"/>
      <c r="FUX10" s="1202"/>
      <c r="FUY10" s="1202"/>
      <c r="FUZ10" s="1202"/>
      <c r="FVA10" s="1202"/>
      <c r="FVB10" s="1202"/>
      <c r="FVC10" s="1202"/>
      <c r="FVD10" s="1202"/>
      <c r="FVE10" s="1202"/>
      <c r="FVF10" s="1202"/>
      <c r="FVG10" s="1202"/>
      <c r="FVH10" s="1202"/>
      <c r="FVI10" s="1202"/>
      <c r="FVJ10" s="1202"/>
      <c r="FVK10" s="1202"/>
      <c r="FVL10" s="1202"/>
      <c r="FVM10" s="1202"/>
      <c r="FVN10" s="1202"/>
      <c r="FVO10" s="1202"/>
      <c r="FVP10" s="1202"/>
      <c r="FVQ10" s="1202"/>
      <c r="FVR10" s="1202"/>
      <c r="FVS10" s="1202"/>
      <c r="FVT10" s="1202"/>
      <c r="FVU10" s="1202"/>
      <c r="FVV10" s="1202"/>
      <c r="FVW10" s="1202"/>
      <c r="FVX10" s="1202"/>
      <c r="FVY10" s="1202"/>
      <c r="FVZ10" s="1202"/>
      <c r="FWA10" s="1202"/>
      <c r="FWB10" s="1202"/>
      <c r="FWC10" s="1202"/>
      <c r="FWD10" s="1202"/>
      <c r="FWE10" s="1202"/>
      <c r="FWF10" s="1202"/>
      <c r="FWG10" s="1202"/>
      <c r="FWH10" s="1202"/>
      <c r="FWI10" s="1202"/>
      <c r="FWJ10" s="1202"/>
      <c r="FWK10" s="1202"/>
      <c r="FWL10" s="1202"/>
      <c r="FWM10" s="1202"/>
      <c r="FWN10" s="1202"/>
      <c r="FWO10" s="1202"/>
      <c r="FWP10" s="1202"/>
      <c r="FWQ10" s="1202"/>
      <c r="FWR10" s="1202"/>
      <c r="FWS10" s="1202"/>
      <c r="FWT10" s="1202"/>
      <c r="FWU10" s="1202"/>
      <c r="FWV10" s="1202"/>
      <c r="FWW10" s="1202"/>
      <c r="FWX10" s="1202"/>
      <c r="FWY10" s="1202"/>
      <c r="FWZ10" s="1202"/>
      <c r="FXA10" s="1202"/>
      <c r="FXB10" s="1202"/>
      <c r="FXC10" s="1202"/>
      <c r="FXD10" s="1202"/>
      <c r="FXE10" s="1202"/>
      <c r="FXF10" s="1202"/>
      <c r="FXG10" s="1202"/>
      <c r="FXH10" s="1202"/>
      <c r="FXI10" s="1202"/>
      <c r="FXJ10" s="1202"/>
      <c r="FXK10" s="1202"/>
      <c r="FXL10" s="1202"/>
      <c r="FXM10" s="1202"/>
      <c r="FXN10" s="1202"/>
      <c r="FXO10" s="1202"/>
      <c r="FXP10" s="1202"/>
      <c r="FXQ10" s="1202"/>
      <c r="FXR10" s="1202"/>
      <c r="FXS10" s="1202"/>
      <c r="FXT10" s="1202"/>
      <c r="FXU10" s="1202"/>
      <c r="FXV10" s="1202"/>
      <c r="FXW10" s="1202"/>
      <c r="FXX10" s="1202"/>
      <c r="FXY10" s="1202"/>
      <c r="FXZ10" s="1202"/>
      <c r="FYA10" s="1202"/>
      <c r="FYB10" s="1202"/>
      <c r="FYC10" s="1202"/>
      <c r="FYD10" s="1202"/>
      <c r="FYE10" s="1202"/>
      <c r="FYF10" s="1202"/>
      <c r="FYG10" s="1202"/>
      <c r="FYH10" s="1202"/>
      <c r="FYI10" s="1202"/>
      <c r="FYJ10" s="1202"/>
      <c r="FYK10" s="1202"/>
      <c r="FYL10" s="1202"/>
      <c r="FYM10" s="1202"/>
      <c r="FYN10" s="1202"/>
      <c r="FYO10" s="1202"/>
      <c r="FYP10" s="1202"/>
      <c r="FYQ10" s="1202"/>
      <c r="FYR10" s="1202"/>
      <c r="FYS10" s="1202"/>
      <c r="FYT10" s="1202"/>
      <c r="FYU10" s="1202"/>
      <c r="FYV10" s="1202"/>
      <c r="FYW10" s="1202"/>
      <c r="FYX10" s="1202"/>
      <c r="FYY10" s="1202"/>
      <c r="FYZ10" s="1202"/>
      <c r="FZA10" s="1202"/>
      <c r="FZB10" s="1202"/>
      <c r="FZC10" s="1202"/>
      <c r="FZD10" s="1202"/>
      <c r="FZE10" s="1202"/>
      <c r="FZF10" s="1202"/>
      <c r="FZG10" s="1202"/>
      <c r="FZH10" s="1202"/>
      <c r="FZI10" s="1202"/>
      <c r="FZJ10" s="1202"/>
      <c r="FZK10" s="1202"/>
      <c r="FZL10" s="1202"/>
      <c r="FZM10" s="1202"/>
      <c r="FZN10" s="1202"/>
      <c r="FZO10" s="1202"/>
      <c r="FZP10" s="1202"/>
      <c r="FZQ10" s="1202"/>
      <c r="FZR10" s="1202"/>
      <c r="FZS10" s="1202"/>
      <c r="FZT10" s="1202"/>
      <c r="FZU10" s="1202"/>
      <c r="FZV10" s="1202"/>
      <c r="FZW10" s="1202"/>
      <c r="FZX10" s="1202"/>
      <c r="FZY10" s="1202"/>
      <c r="FZZ10" s="1202"/>
      <c r="GAA10" s="1202"/>
      <c r="GAB10" s="1202"/>
      <c r="GAC10" s="1202"/>
      <c r="GAD10" s="1202"/>
      <c r="GAE10" s="1202"/>
      <c r="GAF10" s="1202"/>
      <c r="GAG10" s="1202"/>
      <c r="GAH10" s="1202"/>
      <c r="GAI10" s="1202"/>
      <c r="GAJ10" s="1202"/>
      <c r="GAK10" s="1202"/>
      <c r="GAL10" s="1202"/>
      <c r="GAM10" s="1202"/>
      <c r="GAN10" s="1202"/>
      <c r="GAO10" s="1202"/>
      <c r="GAP10" s="1202"/>
      <c r="GAQ10" s="1202"/>
      <c r="GAR10" s="1202"/>
      <c r="GAS10" s="1202"/>
      <c r="GAT10" s="1202"/>
      <c r="GAU10" s="1202"/>
      <c r="GAV10" s="1202"/>
      <c r="GAW10" s="1202"/>
      <c r="GAX10" s="1202"/>
      <c r="GAY10" s="1202"/>
      <c r="GAZ10" s="1202"/>
      <c r="GBA10" s="1202"/>
      <c r="GBB10" s="1202"/>
      <c r="GBC10" s="1202"/>
      <c r="GBD10" s="1202"/>
      <c r="GBE10" s="1202"/>
      <c r="GBF10" s="1202"/>
      <c r="GBG10" s="1202"/>
      <c r="GBH10" s="1202"/>
      <c r="GBI10" s="1202"/>
      <c r="GBJ10" s="1202"/>
      <c r="GBK10" s="1202"/>
      <c r="GBL10" s="1202"/>
      <c r="GBM10" s="1202"/>
      <c r="GBN10" s="1202"/>
      <c r="GBO10" s="1202"/>
      <c r="GBP10" s="1202"/>
      <c r="GBQ10" s="1202"/>
      <c r="GBR10" s="1202"/>
      <c r="GBS10" s="1202"/>
      <c r="GBT10" s="1202"/>
      <c r="GBU10" s="1202"/>
      <c r="GBV10" s="1202"/>
      <c r="GBW10" s="1202"/>
      <c r="GBX10" s="1202"/>
      <c r="GBY10" s="1202"/>
      <c r="GBZ10" s="1202"/>
      <c r="GCA10" s="1202"/>
      <c r="GCB10" s="1202"/>
      <c r="GCC10" s="1202"/>
      <c r="GCD10" s="1202"/>
      <c r="GCE10" s="1202"/>
      <c r="GCF10" s="1202"/>
      <c r="GCG10" s="1202"/>
      <c r="GCH10" s="1202"/>
      <c r="GCI10" s="1202"/>
      <c r="GCJ10" s="1202"/>
      <c r="GCK10" s="1202"/>
      <c r="GCL10" s="1202"/>
      <c r="GCM10" s="1202"/>
      <c r="GCN10" s="1202"/>
      <c r="GCO10" s="1202"/>
      <c r="GCP10" s="1202"/>
      <c r="GCQ10" s="1202"/>
      <c r="GCR10" s="1202"/>
      <c r="GCS10" s="1202"/>
      <c r="GCT10" s="1202"/>
      <c r="GCU10" s="1202"/>
      <c r="GCV10" s="1202"/>
      <c r="GCW10" s="1202"/>
      <c r="GCX10" s="1202"/>
      <c r="GCY10" s="1202"/>
      <c r="GCZ10" s="1202"/>
      <c r="GDA10" s="1202"/>
      <c r="GDB10" s="1202"/>
      <c r="GDC10" s="1202"/>
      <c r="GDD10" s="1202"/>
      <c r="GDE10" s="1202"/>
      <c r="GDF10" s="1202"/>
      <c r="GDG10" s="1202"/>
      <c r="GDH10" s="1202"/>
      <c r="GDI10" s="1202"/>
      <c r="GDJ10" s="1202"/>
      <c r="GDK10" s="1202"/>
      <c r="GDL10" s="1202"/>
      <c r="GDM10" s="1202"/>
      <c r="GDN10" s="1202"/>
      <c r="GDO10" s="1202"/>
      <c r="GDP10" s="1202"/>
      <c r="GDQ10" s="1202"/>
      <c r="GDR10" s="1202"/>
      <c r="GDS10" s="1202"/>
      <c r="GDT10" s="1202"/>
      <c r="GDU10" s="1202"/>
      <c r="GDV10" s="1202"/>
      <c r="GDW10" s="1202"/>
      <c r="GDX10" s="1202"/>
      <c r="GDY10" s="1202"/>
      <c r="GDZ10" s="1202"/>
      <c r="GEA10" s="1202"/>
      <c r="GEB10" s="1202"/>
      <c r="GEC10" s="1202"/>
      <c r="GED10" s="1202"/>
      <c r="GEE10" s="1202"/>
      <c r="GEF10" s="1202"/>
      <c r="GEG10" s="1202"/>
      <c r="GEH10" s="1202"/>
      <c r="GEI10" s="1202"/>
      <c r="GEJ10" s="1202"/>
      <c r="GEK10" s="1202"/>
      <c r="GEL10" s="1202"/>
      <c r="GEM10" s="1202"/>
      <c r="GEN10" s="1202"/>
      <c r="GEO10" s="1202"/>
      <c r="GEP10" s="1202"/>
      <c r="GEQ10" s="1202"/>
      <c r="GER10" s="1202"/>
      <c r="GES10" s="1202"/>
      <c r="GET10" s="1202"/>
      <c r="GEU10" s="1202"/>
      <c r="GEV10" s="1202"/>
      <c r="GEW10" s="1202"/>
      <c r="GEX10" s="1202"/>
      <c r="GEY10" s="1202"/>
      <c r="GEZ10" s="1202"/>
      <c r="GFA10" s="1202"/>
      <c r="GFB10" s="1202"/>
      <c r="GFC10" s="1202"/>
      <c r="GFD10" s="1202"/>
      <c r="GFE10" s="1202"/>
      <c r="GFF10" s="1202"/>
      <c r="GFG10" s="1202"/>
      <c r="GFH10" s="1202"/>
      <c r="GFI10" s="1202"/>
      <c r="GFJ10" s="1202"/>
      <c r="GFK10" s="1202"/>
      <c r="GFL10" s="1202"/>
      <c r="GFM10" s="1202"/>
      <c r="GFN10" s="1202"/>
      <c r="GFO10" s="1202"/>
      <c r="GFP10" s="1202"/>
      <c r="GFQ10" s="1202"/>
      <c r="GFR10" s="1202"/>
      <c r="GFS10" s="1202"/>
      <c r="GFT10" s="1202"/>
      <c r="GFU10" s="1202"/>
      <c r="GFV10" s="1202"/>
      <c r="GFW10" s="1202"/>
      <c r="GFX10" s="1202"/>
      <c r="GFY10" s="1202"/>
      <c r="GFZ10" s="1202"/>
      <c r="GGA10" s="1202"/>
      <c r="GGB10" s="1202"/>
      <c r="GGC10" s="1202"/>
      <c r="GGD10" s="1202"/>
      <c r="GGE10" s="1202"/>
      <c r="GGF10" s="1202"/>
      <c r="GGG10" s="1202"/>
      <c r="GGH10" s="1202"/>
      <c r="GGI10" s="1202"/>
      <c r="GGJ10" s="1202"/>
      <c r="GGK10" s="1202"/>
      <c r="GGL10" s="1202"/>
      <c r="GGM10" s="1202"/>
      <c r="GGN10" s="1202"/>
      <c r="GGO10" s="1202"/>
      <c r="GGP10" s="1202"/>
      <c r="GGQ10" s="1202"/>
      <c r="GGR10" s="1202"/>
      <c r="GGS10" s="1202"/>
      <c r="GGT10" s="1202"/>
      <c r="GGU10" s="1202"/>
      <c r="GGV10" s="1202"/>
      <c r="GGW10" s="1202"/>
      <c r="GGX10" s="1202"/>
      <c r="GGY10" s="1202"/>
      <c r="GGZ10" s="1202"/>
      <c r="GHA10" s="1202"/>
      <c r="GHB10" s="1202"/>
      <c r="GHC10" s="1202"/>
      <c r="GHD10" s="1202"/>
      <c r="GHE10" s="1202"/>
      <c r="GHF10" s="1202"/>
      <c r="GHG10" s="1202"/>
      <c r="GHH10" s="1202"/>
      <c r="GHI10" s="1202"/>
      <c r="GHJ10" s="1202"/>
      <c r="GHK10" s="1202"/>
      <c r="GHL10" s="1202"/>
      <c r="GHM10" s="1202"/>
      <c r="GHN10" s="1202"/>
      <c r="GHO10" s="1202"/>
      <c r="GHP10" s="1202"/>
      <c r="GHQ10" s="1202"/>
      <c r="GHR10" s="1202"/>
      <c r="GHS10" s="1202"/>
      <c r="GHT10" s="1202"/>
      <c r="GHU10" s="1202"/>
      <c r="GHV10" s="1202"/>
      <c r="GHW10" s="1202"/>
      <c r="GHX10" s="1202"/>
      <c r="GHY10" s="1202"/>
      <c r="GHZ10" s="1202"/>
      <c r="GIA10" s="1202"/>
      <c r="GIB10" s="1202"/>
      <c r="GIC10" s="1202"/>
      <c r="GID10" s="1202"/>
      <c r="GIE10" s="1202"/>
      <c r="GIF10" s="1202"/>
      <c r="GIG10" s="1202"/>
      <c r="GIH10" s="1202"/>
      <c r="GII10" s="1202"/>
      <c r="GIJ10" s="1202"/>
      <c r="GIK10" s="1202"/>
      <c r="GIL10" s="1202"/>
      <c r="GIM10" s="1202"/>
      <c r="GIN10" s="1202"/>
      <c r="GIO10" s="1202"/>
      <c r="GIP10" s="1202"/>
      <c r="GIQ10" s="1202"/>
      <c r="GIR10" s="1202"/>
      <c r="GIS10" s="1202"/>
      <c r="GIT10" s="1202"/>
      <c r="GIU10" s="1202"/>
      <c r="GIV10" s="1202"/>
      <c r="GIW10" s="1202"/>
      <c r="GIX10" s="1202"/>
      <c r="GIY10" s="1202"/>
      <c r="GIZ10" s="1202"/>
      <c r="GJA10" s="1202"/>
      <c r="GJB10" s="1202"/>
      <c r="GJC10" s="1202"/>
      <c r="GJD10" s="1202"/>
      <c r="GJE10" s="1202"/>
      <c r="GJF10" s="1202"/>
      <c r="GJG10" s="1202"/>
      <c r="GJH10" s="1202"/>
      <c r="GJI10" s="1202"/>
      <c r="GJJ10" s="1202"/>
      <c r="GJK10" s="1202"/>
      <c r="GJL10" s="1202"/>
      <c r="GJM10" s="1202"/>
      <c r="GJN10" s="1202"/>
      <c r="GJO10" s="1202"/>
      <c r="GJP10" s="1202"/>
      <c r="GJQ10" s="1202"/>
      <c r="GJR10" s="1202"/>
      <c r="GJS10" s="1202"/>
      <c r="GJT10" s="1202"/>
      <c r="GJU10" s="1202"/>
      <c r="GJV10" s="1202"/>
      <c r="GJW10" s="1202"/>
      <c r="GJX10" s="1202"/>
      <c r="GJY10" s="1202"/>
      <c r="GJZ10" s="1202"/>
      <c r="GKA10" s="1202"/>
      <c r="GKB10" s="1202"/>
      <c r="GKC10" s="1202"/>
      <c r="GKD10" s="1202"/>
      <c r="GKE10" s="1202"/>
      <c r="GKF10" s="1202"/>
      <c r="GKG10" s="1202"/>
      <c r="GKH10" s="1202"/>
      <c r="GKI10" s="1202"/>
      <c r="GKJ10" s="1202"/>
      <c r="GKK10" s="1202"/>
      <c r="GKL10" s="1202"/>
      <c r="GKM10" s="1202"/>
      <c r="GKN10" s="1202"/>
      <c r="GKO10" s="1202"/>
      <c r="GKP10" s="1202"/>
      <c r="GKQ10" s="1202"/>
      <c r="GKR10" s="1202"/>
      <c r="GKS10" s="1202"/>
      <c r="GKT10" s="1202"/>
      <c r="GKU10" s="1202"/>
      <c r="GKV10" s="1202"/>
      <c r="GKW10" s="1202"/>
      <c r="GKX10" s="1202"/>
      <c r="GKY10" s="1202"/>
      <c r="GKZ10" s="1202"/>
      <c r="GLA10" s="1202"/>
      <c r="GLB10" s="1202"/>
      <c r="GLC10" s="1202"/>
      <c r="GLD10" s="1202"/>
      <c r="GLE10" s="1202"/>
      <c r="GLF10" s="1202"/>
      <c r="GLG10" s="1202"/>
      <c r="GLH10" s="1202"/>
      <c r="GLI10" s="1202"/>
      <c r="GLJ10" s="1202"/>
      <c r="GLK10" s="1202"/>
      <c r="GLL10" s="1202"/>
      <c r="GLM10" s="1202"/>
      <c r="GLN10" s="1202"/>
      <c r="GLO10" s="1202"/>
      <c r="GLP10" s="1202"/>
      <c r="GLQ10" s="1202"/>
      <c r="GLR10" s="1202"/>
      <c r="GLS10" s="1202"/>
      <c r="GLT10" s="1202"/>
      <c r="GLU10" s="1202"/>
      <c r="GLV10" s="1202"/>
      <c r="GLW10" s="1202"/>
      <c r="GLX10" s="1202"/>
      <c r="GLY10" s="1202"/>
      <c r="GLZ10" s="1202"/>
      <c r="GMA10" s="1202"/>
      <c r="GMB10" s="1202"/>
      <c r="GMC10" s="1202"/>
      <c r="GMD10" s="1202"/>
      <c r="GME10" s="1202"/>
      <c r="GMF10" s="1202"/>
      <c r="GMG10" s="1202"/>
      <c r="GMH10" s="1202"/>
      <c r="GMI10" s="1202"/>
      <c r="GMJ10" s="1202"/>
      <c r="GMK10" s="1202"/>
      <c r="GML10" s="1202"/>
      <c r="GMM10" s="1202"/>
      <c r="GMN10" s="1202"/>
      <c r="GMO10" s="1202"/>
      <c r="GMP10" s="1202"/>
      <c r="GMQ10" s="1202"/>
      <c r="GMR10" s="1202"/>
      <c r="GMS10" s="1202"/>
      <c r="GMT10" s="1202"/>
      <c r="GMU10" s="1202"/>
      <c r="GMV10" s="1202"/>
      <c r="GMW10" s="1202"/>
      <c r="GMX10" s="1202"/>
      <c r="GMY10" s="1202"/>
      <c r="GMZ10" s="1202"/>
      <c r="GNA10" s="1202"/>
      <c r="GNB10" s="1202"/>
      <c r="GNC10" s="1202"/>
      <c r="GND10" s="1202"/>
      <c r="GNE10" s="1202"/>
      <c r="GNF10" s="1202"/>
      <c r="GNG10" s="1202"/>
      <c r="GNH10" s="1202"/>
      <c r="GNI10" s="1202"/>
      <c r="GNJ10" s="1202"/>
      <c r="GNK10" s="1202"/>
      <c r="GNL10" s="1202"/>
      <c r="GNM10" s="1202"/>
      <c r="GNN10" s="1202"/>
      <c r="GNO10" s="1202"/>
      <c r="GNP10" s="1202"/>
      <c r="GNQ10" s="1202"/>
      <c r="GNR10" s="1202"/>
      <c r="GNS10" s="1202"/>
      <c r="GNT10" s="1202"/>
      <c r="GNU10" s="1202"/>
      <c r="GNV10" s="1202"/>
      <c r="GNW10" s="1202"/>
      <c r="GNX10" s="1202"/>
      <c r="GNY10" s="1202"/>
      <c r="GNZ10" s="1202"/>
      <c r="GOA10" s="1202"/>
      <c r="GOB10" s="1202"/>
      <c r="GOC10" s="1202"/>
      <c r="GOD10" s="1202"/>
      <c r="GOE10" s="1202"/>
      <c r="GOF10" s="1202"/>
      <c r="GOG10" s="1202"/>
      <c r="GOH10" s="1202"/>
      <c r="GOI10" s="1202"/>
      <c r="GOJ10" s="1202"/>
      <c r="GOK10" s="1202"/>
      <c r="GOL10" s="1202"/>
      <c r="GOM10" s="1202"/>
      <c r="GON10" s="1202"/>
      <c r="GOO10" s="1202"/>
      <c r="GOP10" s="1202"/>
      <c r="GOQ10" s="1202"/>
      <c r="GOR10" s="1202"/>
      <c r="GOS10" s="1202"/>
      <c r="GOT10" s="1202"/>
      <c r="GOU10" s="1202"/>
      <c r="GOV10" s="1202"/>
      <c r="GOW10" s="1202"/>
      <c r="GOX10" s="1202"/>
      <c r="GOY10" s="1202"/>
      <c r="GOZ10" s="1202"/>
      <c r="GPA10" s="1202"/>
      <c r="GPB10" s="1202"/>
      <c r="GPC10" s="1202"/>
      <c r="GPD10" s="1202"/>
      <c r="GPE10" s="1202"/>
      <c r="GPF10" s="1202"/>
      <c r="GPG10" s="1202"/>
      <c r="GPH10" s="1202"/>
      <c r="GPI10" s="1202"/>
      <c r="GPJ10" s="1202"/>
      <c r="GPK10" s="1202"/>
      <c r="GPL10" s="1202"/>
      <c r="GPM10" s="1202"/>
      <c r="GPN10" s="1202"/>
      <c r="GPO10" s="1202"/>
      <c r="GPP10" s="1202"/>
      <c r="GPQ10" s="1202"/>
      <c r="GPR10" s="1202"/>
      <c r="GPS10" s="1202"/>
      <c r="GPT10" s="1202"/>
      <c r="GPU10" s="1202"/>
      <c r="GPV10" s="1202"/>
      <c r="GPW10" s="1202"/>
      <c r="GPX10" s="1202"/>
      <c r="GPY10" s="1202"/>
      <c r="GPZ10" s="1202"/>
      <c r="GQA10" s="1202"/>
      <c r="GQB10" s="1202"/>
      <c r="GQC10" s="1202"/>
      <c r="GQD10" s="1202"/>
      <c r="GQE10" s="1202"/>
      <c r="GQF10" s="1202"/>
      <c r="GQG10" s="1202"/>
      <c r="GQH10" s="1202"/>
      <c r="GQI10" s="1202"/>
      <c r="GQJ10" s="1202"/>
      <c r="GQK10" s="1202"/>
      <c r="GQL10" s="1202"/>
      <c r="GQM10" s="1202"/>
      <c r="GQN10" s="1202"/>
      <c r="GQO10" s="1202"/>
      <c r="GQP10" s="1202"/>
      <c r="GQQ10" s="1202"/>
      <c r="GQR10" s="1202"/>
      <c r="GQS10" s="1202"/>
      <c r="GQT10" s="1202"/>
      <c r="GQU10" s="1202"/>
      <c r="GQV10" s="1202"/>
      <c r="GQW10" s="1202"/>
      <c r="GQX10" s="1202"/>
      <c r="GQY10" s="1202"/>
      <c r="GQZ10" s="1202"/>
      <c r="GRA10" s="1202"/>
      <c r="GRB10" s="1202"/>
      <c r="GRC10" s="1202"/>
      <c r="GRD10" s="1202"/>
      <c r="GRE10" s="1202"/>
      <c r="GRF10" s="1202"/>
      <c r="GRG10" s="1202"/>
      <c r="GRH10" s="1202"/>
      <c r="GRI10" s="1202"/>
      <c r="GRJ10" s="1202"/>
      <c r="GRK10" s="1202"/>
      <c r="GRL10" s="1202"/>
      <c r="GRM10" s="1202"/>
      <c r="GRN10" s="1202"/>
      <c r="GRO10" s="1202"/>
      <c r="GRP10" s="1202"/>
      <c r="GRQ10" s="1202"/>
      <c r="GRR10" s="1202"/>
      <c r="GRS10" s="1202"/>
      <c r="GRT10" s="1202"/>
      <c r="GRU10" s="1202"/>
      <c r="GRV10" s="1202"/>
      <c r="GRW10" s="1202"/>
      <c r="GRX10" s="1202"/>
      <c r="GRY10" s="1202"/>
      <c r="GRZ10" s="1202"/>
      <c r="GSA10" s="1202"/>
      <c r="GSB10" s="1202"/>
      <c r="GSC10" s="1202"/>
      <c r="GSD10" s="1202"/>
      <c r="GSE10" s="1202"/>
      <c r="GSF10" s="1202"/>
      <c r="GSG10" s="1202"/>
      <c r="GSH10" s="1202"/>
      <c r="GSI10" s="1202"/>
      <c r="GSJ10" s="1202"/>
      <c r="GSK10" s="1202"/>
      <c r="GSL10" s="1202"/>
      <c r="GSM10" s="1202"/>
      <c r="GSN10" s="1202"/>
      <c r="GSO10" s="1202"/>
      <c r="GSP10" s="1202"/>
      <c r="GSQ10" s="1202"/>
      <c r="GSR10" s="1202"/>
      <c r="GSS10" s="1202"/>
      <c r="GST10" s="1202"/>
      <c r="GSU10" s="1202"/>
      <c r="GSV10" s="1202"/>
      <c r="GSW10" s="1202"/>
      <c r="GSX10" s="1202"/>
      <c r="GSY10" s="1202"/>
      <c r="GSZ10" s="1202"/>
      <c r="GTA10" s="1202"/>
      <c r="GTB10" s="1202"/>
      <c r="GTC10" s="1202"/>
      <c r="GTD10" s="1202"/>
      <c r="GTE10" s="1202"/>
      <c r="GTF10" s="1202"/>
      <c r="GTG10" s="1202"/>
      <c r="GTH10" s="1202"/>
      <c r="GTI10" s="1202"/>
      <c r="GTJ10" s="1202"/>
      <c r="GTK10" s="1202"/>
      <c r="GTL10" s="1202"/>
      <c r="GTM10" s="1202"/>
      <c r="GTN10" s="1202"/>
      <c r="GTO10" s="1202"/>
      <c r="GTP10" s="1202"/>
      <c r="GTQ10" s="1202"/>
      <c r="GTR10" s="1202"/>
      <c r="GTS10" s="1202"/>
      <c r="GTT10" s="1202"/>
      <c r="GTU10" s="1202"/>
      <c r="GTV10" s="1202"/>
      <c r="GTW10" s="1202"/>
      <c r="GTX10" s="1202"/>
      <c r="GTY10" s="1202"/>
      <c r="GTZ10" s="1202"/>
      <c r="GUA10" s="1202"/>
      <c r="GUB10" s="1202"/>
      <c r="GUC10" s="1202"/>
      <c r="GUD10" s="1202"/>
      <c r="GUE10" s="1202"/>
      <c r="GUF10" s="1202"/>
      <c r="GUG10" s="1202"/>
      <c r="GUH10" s="1202"/>
      <c r="GUI10" s="1202"/>
      <c r="GUJ10" s="1202"/>
      <c r="GUK10" s="1202"/>
      <c r="GUL10" s="1202"/>
      <c r="GUM10" s="1202"/>
      <c r="GUN10" s="1202"/>
      <c r="GUO10" s="1202"/>
      <c r="GUP10" s="1202"/>
      <c r="GUQ10" s="1202"/>
      <c r="GUR10" s="1202"/>
      <c r="GUS10" s="1202"/>
      <c r="GUT10" s="1202"/>
      <c r="GUU10" s="1202"/>
      <c r="GUV10" s="1202"/>
      <c r="GUW10" s="1202"/>
      <c r="GUX10" s="1202"/>
      <c r="GUY10" s="1202"/>
      <c r="GUZ10" s="1202"/>
      <c r="GVA10" s="1202"/>
      <c r="GVB10" s="1202"/>
      <c r="GVC10" s="1202"/>
      <c r="GVD10" s="1202"/>
      <c r="GVE10" s="1202"/>
      <c r="GVF10" s="1202"/>
      <c r="GVG10" s="1202"/>
      <c r="GVH10" s="1202"/>
      <c r="GVI10" s="1202"/>
      <c r="GVJ10" s="1202"/>
      <c r="GVK10" s="1202"/>
      <c r="GVL10" s="1202"/>
      <c r="GVM10" s="1202"/>
      <c r="GVN10" s="1202"/>
      <c r="GVO10" s="1202"/>
      <c r="GVP10" s="1202"/>
      <c r="GVQ10" s="1202"/>
      <c r="GVR10" s="1202"/>
      <c r="GVS10" s="1202"/>
      <c r="GVT10" s="1202"/>
      <c r="GVU10" s="1202"/>
      <c r="GVV10" s="1202"/>
      <c r="GVW10" s="1202"/>
      <c r="GVX10" s="1202"/>
      <c r="GVY10" s="1202"/>
      <c r="GVZ10" s="1202"/>
      <c r="GWA10" s="1202"/>
      <c r="GWB10" s="1202"/>
      <c r="GWC10" s="1202"/>
      <c r="GWD10" s="1202"/>
      <c r="GWE10" s="1202"/>
      <c r="GWF10" s="1202"/>
      <c r="GWG10" s="1202"/>
      <c r="GWH10" s="1202"/>
      <c r="GWI10" s="1202"/>
      <c r="GWJ10" s="1202"/>
      <c r="GWK10" s="1202"/>
      <c r="GWL10" s="1202"/>
      <c r="GWM10" s="1202"/>
      <c r="GWN10" s="1202"/>
      <c r="GWO10" s="1202"/>
      <c r="GWP10" s="1202"/>
      <c r="GWQ10" s="1202"/>
      <c r="GWR10" s="1202"/>
      <c r="GWS10" s="1202"/>
      <c r="GWT10" s="1202"/>
      <c r="GWU10" s="1202"/>
      <c r="GWV10" s="1202"/>
      <c r="GWW10" s="1202"/>
      <c r="GWX10" s="1202"/>
      <c r="GWY10" s="1202"/>
      <c r="GWZ10" s="1202"/>
      <c r="GXA10" s="1202"/>
      <c r="GXB10" s="1202"/>
      <c r="GXC10" s="1202"/>
      <c r="GXD10" s="1202"/>
      <c r="GXE10" s="1202"/>
      <c r="GXF10" s="1202"/>
      <c r="GXG10" s="1202"/>
      <c r="GXH10" s="1202"/>
      <c r="GXI10" s="1202"/>
      <c r="GXJ10" s="1202"/>
      <c r="GXK10" s="1202"/>
      <c r="GXL10" s="1202"/>
      <c r="GXM10" s="1202"/>
      <c r="GXN10" s="1202"/>
      <c r="GXO10" s="1202"/>
      <c r="GXP10" s="1202"/>
      <c r="GXQ10" s="1202"/>
      <c r="GXR10" s="1202"/>
      <c r="GXS10" s="1202"/>
      <c r="GXT10" s="1202"/>
      <c r="GXU10" s="1202"/>
      <c r="GXV10" s="1202"/>
      <c r="GXW10" s="1202"/>
      <c r="GXX10" s="1202"/>
      <c r="GXY10" s="1202"/>
      <c r="GXZ10" s="1202"/>
      <c r="GYA10" s="1202"/>
      <c r="GYB10" s="1202"/>
      <c r="GYC10" s="1202"/>
      <c r="GYD10" s="1202"/>
      <c r="GYE10" s="1202"/>
      <c r="GYF10" s="1202"/>
      <c r="GYG10" s="1202"/>
      <c r="GYH10" s="1202"/>
      <c r="GYI10" s="1202"/>
      <c r="GYJ10" s="1202"/>
      <c r="GYK10" s="1202"/>
      <c r="GYL10" s="1202"/>
      <c r="GYM10" s="1202"/>
      <c r="GYN10" s="1202"/>
      <c r="GYO10" s="1202"/>
      <c r="GYP10" s="1202"/>
      <c r="GYQ10" s="1202"/>
      <c r="GYR10" s="1202"/>
      <c r="GYS10" s="1202"/>
      <c r="GYT10" s="1202"/>
      <c r="GYU10" s="1202"/>
      <c r="GYV10" s="1202"/>
      <c r="GYW10" s="1202"/>
      <c r="GYX10" s="1202"/>
      <c r="GYY10" s="1202"/>
      <c r="GYZ10" s="1202"/>
      <c r="GZA10" s="1202"/>
      <c r="GZB10" s="1202"/>
      <c r="GZC10" s="1202"/>
      <c r="GZD10" s="1202"/>
      <c r="GZE10" s="1202"/>
      <c r="GZF10" s="1202"/>
      <c r="GZG10" s="1202"/>
      <c r="GZH10" s="1202"/>
      <c r="GZI10" s="1202"/>
      <c r="GZJ10" s="1202"/>
      <c r="GZK10" s="1202"/>
      <c r="GZL10" s="1202"/>
      <c r="GZM10" s="1202"/>
      <c r="GZN10" s="1202"/>
      <c r="GZO10" s="1202"/>
      <c r="GZP10" s="1202"/>
      <c r="GZQ10" s="1202"/>
      <c r="GZR10" s="1202"/>
      <c r="GZS10" s="1202"/>
      <c r="GZT10" s="1202"/>
      <c r="GZU10" s="1202"/>
      <c r="GZV10" s="1202"/>
      <c r="GZW10" s="1202"/>
      <c r="GZX10" s="1202"/>
      <c r="GZY10" s="1202"/>
      <c r="GZZ10" s="1202"/>
      <c r="HAA10" s="1202"/>
      <c r="HAB10" s="1202"/>
      <c r="HAC10" s="1202"/>
      <c r="HAD10" s="1202"/>
      <c r="HAE10" s="1202"/>
      <c r="HAF10" s="1202"/>
      <c r="HAG10" s="1202"/>
      <c r="HAH10" s="1202"/>
      <c r="HAI10" s="1202"/>
      <c r="HAJ10" s="1202"/>
      <c r="HAK10" s="1202"/>
      <c r="HAL10" s="1202"/>
      <c r="HAM10" s="1202"/>
      <c r="HAN10" s="1202"/>
      <c r="HAO10" s="1202"/>
      <c r="HAP10" s="1202"/>
      <c r="HAQ10" s="1202"/>
      <c r="HAR10" s="1202"/>
      <c r="HAS10" s="1202"/>
      <c r="HAT10" s="1202"/>
      <c r="HAU10" s="1202"/>
      <c r="HAV10" s="1202"/>
      <c r="HAW10" s="1202"/>
      <c r="HAX10" s="1202"/>
      <c r="HAY10" s="1202"/>
      <c r="HAZ10" s="1202"/>
      <c r="HBA10" s="1202"/>
      <c r="HBB10" s="1202"/>
      <c r="HBC10" s="1202"/>
      <c r="HBD10" s="1202"/>
      <c r="HBE10" s="1202"/>
      <c r="HBF10" s="1202"/>
      <c r="HBG10" s="1202"/>
      <c r="HBH10" s="1202"/>
      <c r="HBI10" s="1202"/>
      <c r="HBJ10" s="1202"/>
      <c r="HBK10" s="1202"/>
      <c r="HBL10" s="1202"/>
      <c r="HBM10" s="1202"/>
      <c r="HBN10" s="1202"/>
      <c r="HBO10" s="1202"/>
      <c r="HBP10" s="1202"/>
      <c r="HBQ10" s="1202"/>
      <c r="HBR10" s="1202"/>
      <c r="HBS10" s="1202"/>
      <c r="HBT10" s="1202"/>
      <c r="HBU10" s="1202"/>
      <c r="HBV10" s="1202"/>
      <c r="HBW10" s="1202"/>
      <c r="HBX10" s="1202"/>
      <c r="HBY10" s="1202"/>
      <c r="HBZ10" s="1202"/>
      <c r="HCA10" s="1202"/>
      <c r="HCB10" s="1202"/>
      <c r="HCC10" s="1202"/>
      <c r="HCD10" s="1202"/>
      <c r="HCE10" s="1202"/>
      <c r="HCF10" s="1202"/>
      <c r="HCG10" s="1202"/>
      <c r="HCH10" s="1202"/>
      <c r="HCI10" s="1202"/>
      <c r="HCJ10" s="1202"/>
      <c r="HCK10" s="1202"/>
      <c r="HCL10" s="1202"/>
      <c r="HCM10" s="1202"/>
      <c r="HCN10" s="1202"/>
      <c r="HCO10" s="1202"/>
      <c r="HCP10" s="1202"/>
      <c r="HCQ10" s="1202"/>
      <c r="HCR10" s="1202"/>
      <c r="HCS10" s="1202"/>
      <c r="HCT10" s="1202"/>
      <c r="HCU10" s="1202"/>
      <c r="HCV10" s="1202"/>
      <c r="HCW10" s="1202"/>
      <c r="HCX10" s="1202"/>
      <c r="HCY10" s="1202"/>
      <c r="HCZ10" s="1202"/>
      <c r="HDA10" s="1202"/>
      <c r="HDB10" s="1202"/>
      <c r="HDC10" s="1202"/>
      <c r="HDD10" s="1202"/>
      <c r="HDE10" s="1202"/>
      <c r="HDF10" s="1202"/>
      <c r="HDG10" s="1202"/>
      <c r="HDH10" s="1202"/>
      <c r="HDI10" s="1202"/>
      <c r="HDJ10" s="1202"/>
      <c r="HDK10" s="1202"/>
      <c r="HDL10" s="1202"/>
      <c r="HDM10" s="1202"/>
      <c r="HDN10" s="1202"/>
      <c r="HDO10" s="1202"/>
      <c r="HDP10" s="1202"/>
      <c r="HDQ10" s="1202"/>
      <c r="HDR10" s="1202"/>
      <c r="HDS10" s="1202"/>
      <c r="HDT10" s="1202"/>
      <c r="HDU10" s="1202"/>
      <c r="HDV10" s="1202"/>
      <c r="HDW10" s="1202"/>
      <c r="HDX10" s="1202"/>
      <c r="HDY10" s="1202"/>
      <c r="HDZ10" s="1202"/>
      <c r="HEA10" s="1202"/>
      <c r="HEB10" s="1202"/>
      <c r="HEC10" s="1202"/>
      <c r="HED10" s="1202"/>
      <c r="HEE10" s="1202"/>
      <c r="HEF10" s="1202"/>
      <c r="HEG10" s="1202"/>
      <c r="HEH10" s="1202"/>
      <c r="HEI10" s="1202"/>
      <c r="HEJ10" s="1202"/>
      <c r="HEK10" s="1202"/>
      <c r="HEL10" s="1202"/>
      <c r="HEM10" s="1202"/>
      <c r="HEN10" s="1202"/>
      <c r="HEO10" s="1202"/>
      <c r="HEP10" s="1202"/>
      <c r="HEQ10" s="1202"/>
      <c r="HER10" s="1202"/>
      <c r="HES10" s="1202"/>
      <c r="HET10" s="1202"/>
      <c r="HEU10" s="1202"/>
      <c r="HEV10" s="1202"/>
      <c r="HEW10" s="1202"/>
      <c r="HEX10" s="1202"/>
      <c r="HEY10" s="1202"/>
      <c r="HEZ10" s="1202"/>
      <c r="HFA10" s="1202"/>
      <c r="HFB10" s="1202"/>
      <c r="HFC10" s="1202"/>
      <c r="HFD10" s="1202"/>
      <c r="HFE10" s="1202"/>
      <c r="HFF10" s="1202"/>
      <c r="HFG10" s="1202"/>
      <c r="HFH10" s="1202"/>
      <c r="HFI10" s="1202"/>
      <c r="HFJ10" s="1202"/>
      <c r="HFK10" s="1202"/>
      <c r="HFL10" s="1202"/>
      <c r="HFM10" s="1202"/>
      <c r="HFN10" s="1202"/>
      <c r="HFO10" s="1202"/>
      <c r="HFP10" s="1202"/>
      <c r="HFQ10" s="1202"/>
      <c r="HFR10" s="1202"/>
      <c r="HFS10" s="1202"/>
      <c r="HFT10" s="1202"/>
      <c r="HFU10" s="1202"/>
      <c r="HFV10" s="1202"/>
      <c r="HFW10" s="1202"/>
      <c r="HFX10" s="1202"/>
      <c r="HFY10" s="1202"/>
      <c r="HFZ10" s="1202"/>
      <c r="HGA10" s="1202"/>
      <c r="HGB10" s="1202"/>
      <c r="HGC10" s="1202"/>
      <c r="HGD10" s="1202"/>
      <c r="HGE10" s="1202"/>
      <c r="HGF10" s="1202"/>
      <c r="HGG10" s="1202"/>
      <c r="HGH10" s="1202"/>
      <c r="HGI10" s="1202"/>
      <c r="HGJ10" s="1202"/>
      <c r="HGK10" s="1202"/>
      <c r="HGL10" s="1202"/>
      <c r="HGM10" s="1202"/>
      <c r="HGN10" s="1202"/>
      <c r="HGO10" s="1202"/>
      <c r="HGP10" s="1202"/>
      <c r="HGQ10" s="1202"/>
      <c r="HGR10" s="1202"/>
      <c r="HGS10" s="1202"/>
      <c r="HGT10" s="1202"/>
      <c r="HGU10" s="1202"/>
      <c r="HGV10" s="1202"/>
      <c r="HGW10" s="1202"/>
      <c r="HGX10" s="1202"/>
      <c r="HGY10" s="1202"/>
      <c r="HGZ10" s="1202"/>
      <c r="HHA10" s="1202"/>
      <c r="HHB10" s="1202"/>
      <c r="HHC10" s="1202"/>
      <c r="HHD10" s="1202"/>
      <c r="HHE10" s="1202"/>
      <c r="HHF10" s="1202"/>
      <c r="HHG10" s="1202"/>
      <c r="HHH10" s="1202"/>
      <c r="HHI10" s="1202"/>
      <c r="HHJ10" s="1202"/>
      <c r="HHK10" s="1202"/>
      <c r="HHL10" s="1202"/>
      <c r="HHM10" s="1202"/>
      <c r="HHN10" s="1202"/>
      <c r="HHO10" s="1202"/>
      <c r="HHP10" s="1202"/>
      <c r="HHQ10" s="1202"/>
      <c r="HHR10" s="1202"/>
      <c r="HHS10" s="1202"/>
      <c r="HHT10" s="1202"/>
      <c r="HHU10" s="1202"/>
      <c r="HHV10" s="1202"/>
      <c r="HHW10" s="1202"/>
      <c r="HHX10" s="1202"/>
      <c r="HHY10" s="1202"/>
      <c r="HHZ10" s="1202"/>
      <c r="HIA10" s="1202"/>
      <c r="HIB10" s="1202"/>
      <c r="HIC10" s="1202"/>
      <c r="HID10" s="1202"/>
      <c r="HIE10" s="1202"/>
      <c r="HIF10" s="1202"/>
      <c r="HIG10" s="1202"/>
      <c r="HIH10" s="1202"/>
      <c r="HII10" s="1202"/>
      <c r="HIJ10" s="1202"/>
      <c r="HIK10" s="1202"/>
      <c r="HIL10" s="1202"/>
      <c r="HIM10" s="1202"/>
      <c r="HIN10" s="1202"/>
      <c r="HIO10" s="1202"/>
      <c r="HIP10" s="1202"/>
      <c r="HIQ10" s="1202"/>
      <c r="HIR10" s="1202"/>
      <c r="HIS10" s="1202"/>
      <c r="HIT10" s="1202"/>
      <c r="HIU10" s="1202"/>
      <c r="HIV10" s="1202"/>
      <c r="HIW10" s="1202"/>
      <c r="HIX10" s="1202"/>
      <c r="HIY10" s="1202"/>
      <c r="HIZ10" s="1202"/>
      <c r="HJA10" s="1202"/>
      <c r="HJB10" s="1202"/>
      <c r="HJC10" s="1202"/>
      <c r="HJD10" s="1202"/>
      <c r="HJE10" s="1202"/>
      <c r="HJF10" s="1202"/>
      <c r="HJG10" s="1202"/>
      <c r="HJH10" s="1202"/>
      <c r="HJI10" s="1202"/>
      <c r="HJJ10" s="1202"/>
      <c r="HJK10" s="1202"/>
      <c r="HJL10" s="1202"/>
      <c r="HJM10" s="1202"/>
      <c r="HJN10" s="1202"/>
      <c r="HJO10" s="1202"/>
      <c r="HJP10" s="1202"/>
      <c r="HJQ10" s="1202"/>
      <c r="HJR10" s="1202"/>
      <c r="HJS10" s="1202"/>
      <c r="HJT10" s="1202"/>
      <c r="HJU10" s="1202"/>
      <c r="HJV10" s="1202"/>
      <c r="HJW10" s="1202"/>
      <c r="HJX10" s="1202"/>
      <c r="HJY10" s="1202"/>
      <c r="HJZ10" s="1202"/>
      <c r="HKA10" s="1202"/>
      <c r="HKB10" s="1202"/>
      <c r="HKC10" s="1202"/>
      <c r="HKD10" s="1202"/>
      <c r="HKE10" s="1202"/>
      <c r="HKF10" s="1202"/>
      <c r="HKG10" s="1202"/>
      <c r="HKH10" s="1202"/>
      <c r="HKI10" s="1202"/>
      <c r="HKJ10" s="1202"/>
      <c r="HKK10" s="1202"/>
      <c r="HKL10" s="1202"/>
      <c r="HKM10" s="1202"/>
      <c r="HKN10" s="1202"/>
      <c r="HKO10" s="1202"/>
      <c r="HKP10" s="1202"/>
      <c r="HKQ10" s="1202"/>
      <c r="HKR10" s="1202"/>
      <c r="HKS10" s="1202"/>
      <c r="HKT10" s="1202"/>
      <c r="HKU10" s="1202"/>
      <c r="HKV10" s="1202"/>
      <c r="HKW10" s="1202"/>
      <c r="HKX10" s="1202"/>
      <c r="HKY10" s="1202"/>
      <c r="HKZ10" s="1202"/>
      <c r="HLA10" s="1202"/>
      <c r="HLB10" s="1202"/>
      <c r="HLC10" s="1202"/>
      <c r="HLD10" s="1202"/>
      <c r="HLE10" s="1202"/>
      <c r="HLF10" s="1202"/>
      <c r="HLG10" s="1202"/>
      <c r="HLH10" s="1202"/>
      <c r="HLI10" s="1202"/>
      <c r="HLJ10" s="1202"/>
      <c r="HLK10" s="1202"/>
      <c r="HLL10" s="1202"/>
      <c r="HLM10" s="1202"/>
      <c r="HLN10" s="1202"/>
      <c r="HLO10" s="1202"/>
      <c r="HLP10" s="1202"/>
      <c r="HLQ10" s="1202"/>
      <c r="HLR10" s="1202"/>
      <c r="HLS10" s="1202"/>
      <c r="HLT10" s="1202"/>
      <c r="HLU10" s="1202"/>
      <c r="HLV10" s="1202"/>
      <c r="HLW10" s="1202"/>
      <c r="HLX10" s="1202"/>
      <c r="HLY10" s="1202"/>
      <c r="HLZ10" s="1202"/>
      <c r="HMA10" s="1202"/>
      <c r="HMB10" s="1202"/>
      <c r="HMC10" s="1202"/>
      <c r="HMD10" s="1202"/>
      <c r="HME10" s="1202"/>
      <c r="HMF10" s="1202"/>
      <c r="HMG10" s="1202"/>
      <c r="HMH10" s="1202"/>
      <c r="HMI10" s="1202"/>
      <c r="HMJ10" s="1202"/>
      <c r="HMK10" s="1202"/>
      <c r="HML10" s="1202"/>
      <c r="HMM10" s="1202"/>
      <c r="HMN10" s="1202"/>
      <c r="HMO10" s="1202"/>
      <c r="HMP10" s="1202"/>
      <c r="HMQ10" s="1202"/>
      <c r="HMR10" s="1202"/>
      <c r="HMS10" s="1202"/>
      <c r="HMT10" s="1202"/>
      <c r="HMU10" s="1202"/>
      <c r="HMV10" s="1202"/>
      <c r="HMW10" s="1202"/>
      <c r="HMX10" s="1202"/>
      <c r="HMY10" s="1202"/>
      <c r="HMZ10" s="1202"/>
      <c r="HNA10" s="1202"/>
      <c r="HNB10" s="1202"/>
      <c r="HNC10" s="1202"/>
      <c r="HND10" s="1202"/>
      <c r="HNE10" s="1202"/>
      <c r="HNF10" s="1202"/>
      <c r="HNG10" s="1202"/>
      <c r="HNH10" s="1202"/>
      <c r="HNI10" s="1202"/>
      <c r="HNJ10" s="1202"/>
      <c r="HNK10" s="1202"/>
      <c r="HNL10" s="1202"/>
      <c r="HNM10" s="1202"/>
      <c r="HNN10" s="1202"/>
      <c r="HNO10" s="1202"/>
      <c r="HNP10" s="1202"/>
      <c r="HNQ10" s="1202"/>
      <c r="HNR10" s="1202"/>
      <c r="HNS10" s="1202"/>
      <c r="HNT10" s="1202"/>
      <c r="HNU10" s="1202"/>
      <c r="HNV10" s="1202"/>
      <c r="HNW10" s="1202"/>
      <c r="HNX10" s="1202"/>
      <c r="HNY10" s="1202"/>
      <c r="HNZ10" s="1202"/>
      <c r="HOA10" s="1202"/>
      <c r="HOB10" s="1202"/>
      <c r="HOC10" s="1202"/>
      <c r="HOD10" s="1202"/>
      <c r="HOE10" s="1202"/>
      <c r="HOF10" s="1202"/>
      <c r="HOG10" s="1202"/>
      <c r="HOH10" s="1202"/>
      <c r="HOI10" s="1202"/>
      <c r="HOJ10" s="1202"/>
      <c r="HOK10" s="1202"/>
      <c r="HOL10" s="1202"/>
      <c r="HOM10" s="1202"/>
      <c r="HON10" s="1202"/>
      <c r="HOO10" s="1202"/>
      <c r="HOP10" s="1202"/>
      <c r="HOQ10" s="1202"/>
      <c r="HOR10" s="1202"/>
      <c r="HOS10" s="1202"/>
      <c r="HOT10" s="1202"/>
      <c r="HOU10" s="1202"/>
      <c r="HOV10" s="1202"/>
      <c r="HOW10" s="1202"/>
      <c r="HOX10" s="1202"/>
      <c r="HOY10" s="1202"/>
      <c r="HOZ10" s="1202"/>
      <c r="HPA10" s="1202"/>
      <c r="HPB10" s="1202"/>
      <c r="HPC10" s="1202"/>
      <c r="HPD10" s="1202"/>
      <c r="HPE10" s="1202"/>
      <c r="HPF10" s="1202"/>
      <c r="HPG10" s="1202"/>
      <c r="HPH10" s="1202"/>
      <c r="HPI10" s="1202"/>
      <c r="HPJ10" s="1202"/>
      <c r="HPK10" s="1202"/>
      <c r="HPL10" s="1202"/>
      <c r="HPM10" s="1202"/>
      <c r="HPN10" s="1202"/>
      <c r="HPO10" s="1202"/>
      <c r="HPP10" s="1202"/>
      <c r="HPQ10" s="1202"/>
      <c r="HPR10" s="1202"/>
      <c r="HPS10" s="1202"/>
      <c r="HPT10" s="1202"/>
      <c r="HPU10" s="1202"/>
      <c r="HPV10" s="1202"/>
      <c r="HPW10" s="1202"/>
      <c r="HPX10" s="1202"/>
      <c r="HPY10" s="1202"/>
      <c r="HPZ10" s="1202"/>
      <c r="HQA10" s="1202"/>
      <c r="HQB10" s="1202"/>
      <c r="HQC10" s="1202"/>
      <c r="HQD10" s="1202"/>
      <c r="HQE10" s="1202"/>
      <c r="HQF10" s="1202"/>
      <c r="HQG10" s="1202"/>
      <c r="HQH10" s="1202"/>
      <c r="HQI10" s="1202"/>
      <c r="HQJ10" s="1202"/>
      <c r="HQK10" s="1202"/>
      <c r="HQL10" s="1202"/>
      <c r="HQM10" s="1202"/>
      <c r="HQN10" s="1202"/>
      <c r="HQO10" s="1202"/>
      <c r="HQP10" s="1202"/>
      <c r="HQQ10" s="1202"/>
      <c r="HQR10" s="1202"/>
      <c r="HQS10" s="1202"/>
      <c r="HQT10" s="1202"/>
      <c r="HQU10" s="1202"/>
      <c r="HQV10" s="1202"/>
      <c r="HQW10" s="1202"/>
      <c r="HQX10" s="1202"/>
      <c r="HQY10" s="1202"/>
      <c r="HQZ10" s="1202"/>
      <c r="HRA10" s="1202"/>
      <c r="HRB10" s="1202"/>
      <c r="HRC10" s="1202"/>
      <c r="HRD10" s="1202"/>
      <c r="HRE10" s="1202"/>
      <c r="HRF10" s="1202"/>
      <c r="HRG10" s="1202"/>
      <c r="HRH10" s="1202"/>
      <c r="HRI10" s="1202"/>
      <c r="HRJ10" s="1202"/>
      <c r="HRK10" s="1202"/>
      <c r="HRL10" s="1202"/>
      <c r="HRM10" s="1202"/>
      <c r="HRN10" s="1202"/>
      <c r="HRO10" s="1202"/>
      <c r="HRP10" s="1202"/>
      <c r="HRQ10" s="1202"/>
      <c r="HRR10" s="1202"/>
      <c r="HRS10" s="1202"/>
      <c r="HRT10" s="1202"/>
      <c r="HRU10" s="1202"/>
      <c r="HRV10" s="1202"/>
      <c r="HRW10" s="1202"/>
      <c r="HRX10" s="1202"/>
      <c r="HRY10" s="1202"/>
      <c r="HRZ10" s="1202"/>
      <c r="HSA10" s="1202"/>
      <c r="HSB10" s="1202"/>
      <c r="HSC10" s="1202"/>
      <c r="HSD10" s="1202"/>
      <c r="HSE10" s="1202"/>
      <c r="HSF10" s="1202"/>
      <c r="HSG10" s="1202"/>
      <c r="HSH10" s="1202"/>
      <c r="HSI10" s="1202"/>
      <c r="HSJ10" s="1202"/>
      <c r="HSK10" s="1202"/>
      <c r="HSL10" s="1202"/>
      <c r="HSM10" s="1202"/>
      <c r="HSN10" s="1202"/>
      <c r="HSO10" s="1202"/>
      <c r="HSP10" s="1202"/>
      <c r="HSQ10" s="1202"/>
      <c r="HSR10" s="1202"/>
      <c r="HSS10" s="1202"/>
      <c r="HST10" s="1202"/>
      <c r="HSU10" s="1202"/>
      <c r="HSV10" s="1202"/>
      <c r="HSW10" s="1202"/>
      <c r="HSX10" s="1202"/>
      <c r="HSY10" s="1202"/>
      <c r="HSZ10" s="1202"/>
      <c r="HTA10" s="1202"/>
      <c r="HTB10" s="1202"/>
      <c r="HTC10" s="1202"/>
      <c r="HTD10" s="1202"/>
      <c r="HTE10" s="1202"/>
      <c r="HTF10" s="1202"/>
      <c r="HTG10" s="1202"/>
      <c r="HTH10" s="1202"/>
      <c r="HTI10" s="1202"/>
      <c r="HTJ10" s="1202"/>
      <c r="HTK10" s="1202"/>
      <c r="HTL10" s="1202"/>
      <c r="HTM10" s="1202"/>
      <c r="HTN10" s="1202"/>
      <c r="HTO10" s="1202"/>
      <c r="HTP10" s="1202"/>
      <c r="HTQ10" s="1202"/>
      <c r="HTR10" s="1202"/>
      <c r="HTS10" s="1202"/>
      <c r="HTT10" s="1202"/>
      <c r="HTU10" s="1202"/>
      <c r="HTV10" s="1202"/>
      <c r="HTW10" s="1202"/>
      <c r="HTX10" s="1202"/>
      <c r="HTY10" s="1202"/>
      <c r="HTZ10" s="1202"/>
      <c r="HUA10" s="1202"/>
      <c r="HUB10" s="1202"/>
      <c r="HUC10" s="1202"/>
      <c r="HUD10" s="1202"/>
      <c r="HUE10" s="1202"/>
      <c r="HUF10" s="1202"/>
      <c r="HUG10" s="1202"/>
      <c r="HUH10" s="1202"/>
      <c r="HUI10" s="1202"/>
      <c r="HUJ10" s="1202"/>
      <c r="HUK10" s="1202"/>
      <c r="HUL10" s="1202"/>
      <c r="HUM10" s="1202"/>
      <c r="HUN10" s="1202"/>
      <c r="HUO10" s="1202"/>
      <c r="HUP10" s="1202"/>
      <c r="HUQ10" s="1202"/>
      <c r="HUR10" s="1202"/>
      <c r="HUS10" s="1202"/>
      <c r="HUT10" s="1202"/>
      <c r="HUU10" s="1202"/>
      <c r="HUV10" s="1202"/>
      <c r="HUW10" s="1202"/>
      <c r="HUX10" s="1202"/>
      <c r="HUY10" s="1202"/>
      <c r="HUZ10" s="1202"/>
      <c r="HVA10" s="1202"/>
      <c r="HVB10" s="1202"/>
      <c r="HVC10" s="1202"/>
      <c r="HVD10" s="1202"/>
      <c r="HVE10" s="1202"/>
      <c r="HVF10" s="1202"/>
      <c r="HVG10" s="1202"/>
      <c r="HVH10" s="1202"/>
      <c r="HVI10" s="1202"/>
      <c r="HVJ10" s="1202"/>
      <c r="HVK10" s="1202"/>
      <c r="HVL10" s="1202"/>
      <c r="HVM10" s="1202"/>
      <c r="HVN10" s="1202"/>
      <c r="HVO10" s="1202"/>
      <c r="HVP10" s="1202"/>
      <c r="HVQ10" s="1202"/>
      <c r="HVR10" s="1202"/>
      <c r="HVS10" s="1202"/>
      <c r="HVT10" s="1202"/>
      <c r="HVU10" s="1202"/>
      <c r="HVV10" s="1202"/>
      <c r="HVW10" s="1202"/>
      <c r="HVX10" s="1202"/>
      <c r="HVY10" s="1202"/>
      <c r="HVZ10" s="1202"/>
      <c r="HWA10" s="1202"/>
      <c r="HWB10" s="1202"/>
      <c r="HWC10" s="1202"/>
      <c r="HWD10" s="1202"/>
      <c r="HWE10" s="1202"/>
      <c r="HWF10" s="1202"/>
      <c r="HWG10" s="1202"/>
      <c r="HWH10" s="1202"/>
      <c r="HWI10" s="1202"/>
      <c r="HWJ10" s="1202"/>
      <c r="HWK10" s="1202"/>
      <c r="HWL10" s="1202"/>
      <c r="HWM10" s="1202"/>
      <c r="HWN10" s="1202"/>
      <c r="HWO10" s="1202"/>
      <c r="HWP10" s="1202"/>
      <c r="HWQ10" s="1202"/>
      <c r="HWR10" s="1202"/>
      <c r="HWS10" s="1202"/>
      <c r="HWT10" s="1202"/>
      <c r="HWU10" s="1202"/>
      <c r="HWV10" s="1202"/>
      <c r="HWW10" s="1202"/>
      <c r="HWX10" s="1202"/>
      <c r="HWY10" s="1202"/>
      <c r="HWZ10" s="1202"/>
      <c r="HXA10" s="1202"/>
      <c r="HXB10" s="1202"/>
      <c r="HXC10" s="1202"/>
      <c r="HXD10" s="1202"/>
      <c r="HXE10" s="1202"/>
      <c r="HXF10" s="1202"/>
      <c r="HXG10" s="1202"/>
      <c r="HXH10" s="1202"/>
      <c r="HXI10" s="1202"/>
      <c r="HXJ10" s="1202"/>
      <c r="HXK10" s="1202"/>
      <c r="HXL10" s="1202"/>
      <c r="HXM10" s="1202"/>
      <c r="HXN10" s="1202"/>
      <c r="HXO10" s="1202"/>
      <c r="HXP10" s="1202"/>
      <c r="HXQ10" s="1202"/>
      <c r="HXR10" s="1202"/>
      <c r="HXS10" s="1202"/>
      <c r="HXT10" s="1202"/>
      <c r="HXU10" s="1202"/>
      <c r="HXV10" s="1202"/>
      <c r="HXW10" s="1202"/>
      <c r="HXX10" s="1202"/>
      <c r="HXY10" s="1202"/>
      <c r="HXZ10" s="1202"/>
      <c r="HYA10" s="1202"/>
      <c r="HYB10" s="1202"/>
      <c r="HYC10" s="1202"/>
      <c r="HYD10" s="1202"/>
      <c r="HYE10" s="1202"/>
      <c r="HYF10" s="1202"/>
      <c r="HYG10" s="1202"/>
      <c r="HYH10" s="1202"/>
      <c r="HYI10" s="1202"/>
      <c r="HYJ10" s="1202"/>
      <c r="HYK10" s="1202"/>
      <c r="HYL10" s="1202"/>
      <c r="HYM10" s="1202"/>
      <c r="HYN10" s="1202"/>
      <c r="HYO10" s="1202"/>
      <c r="HYP10" s="1202"/>
      <c r="HYQ10" s="1202"/>
      <c r="HYR10" s="1202"/>
      <c r="HYS10" s="1202"/>
      <c r="HYT10" s="1202"/>
      <c r="HYU10" s="1202"/>
      <c r="HYV10" s="1202"/>
      <c r="HYW10" s="1202"/>
      <c r="HYX10" s="1202"/>
      <c r="HYY10" s="1202"/>
      <c r="HYZ10" s="1202"/>
      <c r="HZA10" s="1202"/>
      <c r="HZB10" s="1202"/>
      <c r="HZC10" s="1202"/>
      <c r="HZD10" s="1202"/>
      <c r="HZE10" s="1202"/>
      <c r="HZF10" s="1202"/>
      <c r="HZG10" s="1202"/>
      <c r="HZH10" s="1202"/>
      <c r="HZI10" s="1202"/>
      <c r="HZJ10" s="1202"/>
      <c r="HZK10" s="1202"/>
      <c r="HZL10" s="1202"/>
      <c r="HZM10" s="1202"/>
      <c r="HZN10" s="1202"/>
      <c r="HZO10" s="1202"/>
      <c r="HZP10" s="1202"/>
      <c r="HZQ10" s="1202"/>
      <c r="HZR10" s="1202"/>
      <c r="HZS10" s="1202"/>
      <c r="HZT10" s="1202"/>
      <c r="HZU10" s="1202"/>
      <c r="HZV10" s="1202"/>
      <c r="HZW10" s="1202"/>
      <c r="HZX10" s="1202"/>
      <c r="HZY10" s="1202"/>
      <c r="HZZ10" s="1202"/>
      <c r="IAA10" s="1202"/>
      <c r="IAB10" s="1202"/>
      <c r="IAC10" s="1202"/>
      <c r="IAD10" s="1202"/>
      <c r="IAE10" s="1202"/>
      <c r="IAF10" s="1202"/>
      <c r="IAG10" s="1202"/>
      <c r="IAH10" s="1202"/>
      <c r="IAI10" s="1202"/>
      <c r="IAJ10" s="1202"/>
      <c r="IAK10" s="1202"/>
      <c r="IAL10" s="1202"/>
      <c r="IAM10" s="1202"/>
      <c r="IAN10" s="1202"/>
      <c r="IAO10" s="1202"/>
      <c r="IAP10" s="1202"/>
      <c r="IAQ10" s="1202"/>
      <c r="IAR10" s="1202"/>
      <c r="IAS10" s="1202"/>
      <c r="IAT10" s="1202"/>
      <c r="IAU10" s="1202"/>
      <c r="IAV10" s="1202"/>
      <c r="IAW10" s="1202"/>
      <c r="IAX10" s="1202"/>
      <c r="IAY10" s="1202"/>
      <c r="IAZ10" s="1202"/>
      <c r="IBA10" s="1202"/>
      <c r="IBB10" s="1202"/>
      <c r="IBC10" s="1202"/>
      <c r="IBD10" s="1202"/>
      <c r="IBE10" s="1202"/>
      <c r="IBF10" s="1202"/>
      <c r="IBG10" s="1202"/>
      <c r="IBH10" s="1202"/>
      <c r="IBI10" s="1202"/>
      <c r="IBJ10" s="1202"/>
      <c r="IBK10" s="1202"/>
      <c r="IBL10" s="1202"/>
      <c r="IBM10" s="1202"/>
      <c r="IBN10" s="1202"/>
      <c r="IBO10" s="1202"/>
      <c r="IBP10" s="1202"/>
      <c r="IBQ10" s="1202"/>
      <c r="IBR10" s="1202"/>
      <c r="IBS10" s="1202"/>
      <c r="IBT10" s="1202"/>
      <c r="IBU10" s="1202"/>
      <c r="IBV10" s="1202"/>
      <c r="IBW10" s="1202"/>
      <c r="IBX10" s="1202"/>
      <c r="IBY10" s="1202"/>
      <c r="IBZ10" s="1202"/>
      <c r="ICA10" s="1202"/>
      <c r="ICB10" s="1202"/>
      <c r="ICC10" s="1202"/>
      <c r="ICD10" s="1202"/>
      <c r="ICE10" s="1202"/>
      <c r="ICF10" s="1202"/>
      <c r="ICG10" s="1202"/>
      <c r="ICH10" s="1202"/>
      <c r="ICI10" s="1202"/>
      <c r="ICJ10" s="1202"/>
      <c r="ICK10" s="1202"/>
      <c r="ICL10" s="1202"/>
      <c r="ICM10" s="1202"/>
      <c r="ICN10" s="1202"/>
      <c r="ICO10" s="1202"/>
      <c r="ICP10" s="1202"/>
      <c r="ICQ10" s="1202"/>
      <c r="ICR10" s="1202"/>
      <c r="ICS10" s="1202"/>
      <c r="ICT10" s="1202"/>
      <c r="ICU10" s="1202"/>
      <c r="ICV10" s="1202"/>
      <c r="ICW10" s="1202"/>
      <c r="ICX10" s="1202"/>
      <c r="ICY10" s="1202"/>
      <c r="ICZ10" s="1202"/>
      <c r="IDA10" s="1202"/>
      <c r="IDB10" s="1202"/>
      <c r="IDC10" s="1202"/>
      <c r="IDD10" s="1202"/>
      <c r="IDE10" s="1202"/>
      <c r="IDF10" s="1202"/>
      <c r="IDG10" s="1202"/>
      <c r="IDH10" s="1202"/>
      <c r="IDI10" s="1202"/>
      <c r="IDJ10" s="1202"/>
      <c r="IDK10" s="1202"/>
      <c r="IDL10" s="1202"/>
      <c r="IDM10" s="1202"/>
      <c r="IDN10" s="1202"/>
      <c r="IDO10" s="1202"/>
      <c r="IDP10" s="1202"/>
      <c r="IDQ10" s="1202"/>
      <c r="IDR10" s="1202"/>
      <c r="IDS10" s="1202"/>
      <c r="IDT10" s="1202"/>
      <c r="IDU10" s="1202"/>
      <c r="IDV10" s="1202"/>
      <c r="IDW10" s="1202"/>
      <c r="IDX10" s="1202"/>
      <c r="IDY10" s="1202"/>
      <c r="IDZ10" s="1202"/>
      <c r="IEA10" s="1202"/>
      <c r="IEB10" s="1202"/>
      <c r="IEC10" s="1202"/>
      <c r="IED10" s="1202"/>
      <c r="IEE10" s="1202"/>
      <c r="IEF10" s="1202"/>
      <c r="IEG10" s="1202"/>
      <c r="IEH10" s="1202"/>
      <c r="IEI10" s="1202"/>
      <c r="IEJ10" s="1202"/>
      <c r="IEK10" s="1202"/>
      <c r="IEL10" s="1202"/>
      <c r="IEM10" s="1202"/>
      <c r="IEN10" s="1202"/>
      <c r="IEO10" s="1202"/>
      <c r="IEP10" s="1202"/>
      <c r="IEQ10" s="1202"/>
      <c r="IER10" s="1202"/>
      <c r="IES10" s="1202"/>
      <c r="IET10" s="1202"/>
      <c r="IEU10" s="1202"/>
      <c r="IEV10" s="1202"/>
      <c r="IEW10" s="1202"/>
      <c r="IEX10" s="1202"/>
      <c r="IEY10" s="1202"/>
      <c r="IEZ10" s="1202"/>
      <c r="IFA10" s="1202"/>
      <c r="IFB10" s="1202"/>
      <c r="IFC10" s="1202"/>
      <c r="IFD10" s="1202"/>
      <c r="IFE10" s="1202"/>
      <c r="IFF10" s="1202"/>
      <c r="IFG10" s="1202"/>
      <c r="IFH10" s="1202"/>
      <c r="IFI10" s="1202"/>
      <c r="IFJ10" s="1202"/>
      <c r="IFK10" s="1202"/>
      <c r="IFL10" s="1202"/>
      <c r="IFM10" s="1202"/>
      <c r="IFN10" s="1202"/>
      <c r="IFO10" s="1202"/>
      <c r="IFP10" s="1202"/>
      <c r="IFQ10" s="1202"/>
      <c r="IFR10" s="1202"/>
      <c r="IFS10" s="1202"/>
      <c r="IFT10" s="1202"/>
      <c r="IFU10" s="1202"/>
      <c r="IFV10" s="1202"/>
      <c r="IFW10" s="1202"/>
      <c r="IFX10" s="1202"/>
      <c r="IFY10" s="1202"/>
      <c r="IFZ10" s="1202"/>
      <c r="IGA10" s="1202"/>
      <c r="IGB10" s="1202"/>
      <c r="IGC10" s="1202"/>
      <c r="IGD10" s="1202"/>
      <c r="IGE10" s="1202"/>
      <c r="IGF10" s="1202"/>
      <c r="IGG10" s="1202"/>
      <c r="IGH10" s="1202"/>
      <c r="IGI10" s="1202"/>
      <c r="IGJ10" s="1202"/>
      <c r="IGK10" s="1202"/>
      <c r="IGL10" s="1202"/>
      <c r="IGM10" s="1202"/>
      <c r="IGN10" s="1202"/>
      <c r="IGO10" s="1202"/>
      <c r="IGP10" s="1202"/>
      <c r="IGQ10" s="1202"/>
      <c r="IGR10" s="1202"/>
      <c r="IGS10" s="1202"/>
      <c r="IGT10" s="1202"/>
      <c r="IGU10" s="1202"/>
      <c r="IGV10" s="1202"/>
      <c r="IGW10" s="1202"/>
      <c r="IGX10" s="1202"/>
      <c r="IGY10" s="1202"/>
      <c r="IGZ10" s="1202"/>
      <c r="IHA10" s="1202"/>
      <c r="IHB10" s="1202"/>
      <c r="IHC10" s="1202"/>
      <c r="IHD10" s="1202"/>
      <c r="IHE10" s="1202"/>
      <c r="IHF10" s="1202"/>
      <c r="IHG10" s="1202"/>
      <c r="IHH10" s="1202"/>
      <c r="IHI10" s="1202"/>
      <c r="IHJ10" s="1202"/>
      <c r="IHK10" s="1202"/>
      <c r="IHL10" s="1202"/>
      <c r="IHM10" s="1202"/>
      <c r="IHN10" s="1202"/>
      <c r="IHO10" s="1202"/>
      <c r="IHP10" s="1202"/>
      <c r="IHQ10" s="1202"/>
      <c r="IHR10" s="1202"/>
      <c r="IHS10" s="1202"/>
      <c r="IHT10" s="1202"/>
      <c r="IHU10" s="1202"/>
      <c r="IHV10" s="1202"/>
      <c r="IHW10" s="1202"/>
      <c r="IHX10" s="1202"/>
      <c r="IHY10" s="1202"/>
      <c r="IHZ10" s="1202"/>
      <c r="IIA10" s="1202"/>
      <c r="IIB10" s="1202"/>
      <c r="IIC10" s="1202"/>
      <c r="IID10" s="1202"/>
      <c r="IIE10" s="1202"/>
      <c r="IIF10" s="1202"/>
      <c r="IIG10" s="1202"/>
      <c r="IIH10" s="1202"/>
      <c r="III10" s="1202"/>
      <c r="IIJ10" s="1202"/>
      <c r="IIK10" s="1202"/>
      <c r="IIL10" s="1202"/>
      <c r="IIM10" s="1202"/>
      <c r="IIN10" s="1202"/>
      <c r="IIO10" s="1202"/>
      <c r="IIP10" s="1202"/>
      <c r="IIQ10" s="1202"/>
      <c r="IIR10" s="1202"/>
      <c r="IIS10" s="1202"/>
      <c r="IIT10" s="1202"/>
      <c r="IIU10" s="1202"/>
      <c r="IIV10" s="1202"/>
      <c r="IIW10" s="1202"/>
      <c r="IIX10" s="1202"/>
      <c r="IIY10" s="1202"/>
      <c r="IIZ10" s="1202"/>
      <c r="IJA10" s="1202"/>
      <c r="IJB10" s="1202"/>
      <c r="IJC10" s="1202"/>
      <c r="IJD10" s="1202"/>
      <c r="IJE10" s="1202"/>
      <c r="IJF10" s="1202"/>
      <c r="IJG10" s="1202"/>
      <c r="IJH10" s="1202"/>
      <c r="IJI10" s="1202"/>
      <c r="IJJ10" s="1202"/>
      <c r="IJK10" s="1202"/>
      <c r="IJL10" s="1202"/>
      <c r="IJM10" s="1202"/>
      <c r="IJN10" s="1202"/>
      <c r="IJO10" s="1202"/>
      <c r="IJP10" s="1202"/>
      <c r="IJQ10" s="1202"/>
      <c r="IJR10" s="1202"/>
      <c r="IJS10" s="1202"/>
      <c r="IJT10" s="1202"/>
      <c r="IJU10" s="1202"/>
      <c r="IJV10" s="1202"/>
      <c r="IJW10" s="1202"/>
      <c r="IJX10" s="1202"/>
      <c r="IJY10" s="1202"/>
      <c r="IJZ10" s="1202"/>
      <c r="IKA10" s="1202"/>
      <c r="IKB10" s="1202"/>
      <c r="IKC10" s="1202"/>
      <c r="IKD10" s="1202"/>
      <c r="IKE10" s="1202"/>
      <c r="IKF10" s="1202"/>
      <c r="IKG10" s="1202"/>
      <c r="IKH10" s="1202"/>
      <c r="IKI10" s="1202"/>
      <c r="IKJ10" s="1202"/>
      <c r="IKK10" s="1202"/>
      <c r="IKL10" s="1202"/>
      <c r="IKM10" s="1202"/>
      <c r="IKN10" s="1202"/>
      <c r="IKO10" s="1202"/>
      <c r="IKP10" s="1202"/>
      <c r="IKQ10" s="1202"/>
      <c r="IKR10" s="1202"/>
      <c r="IKS10" s="1202"/>
      <c r="IKT10" s="1202"/>
      <c r="IKU10" s="1202"/>
      <c r="IKV10" s="1202"/>
      <c r="IKW10" s="1202"/>
      <c r="IKX10" s="1202"/>
      <c r="IKY10" s="1202"/>
      <c r="IKZ10" s="1202"/>
      <c r="ILA10" s="1202"/>
      <c r="ILB10" s="1202"/>
      <c r="ILC10" s="1202"/>
      <c r="ILD10" s="1202"/>
      <c r="ILE10" s="1202"/>
      <c r="ILF10" s="1202"/>
      <c r="ILG10" s="1202"/>
      <c r="ILH10" s="1202"/>
      <c r="ILI10" s="1202"/>
      <c r="ILJ10" s="1202"/>
      <c r="ILK10" s="1202"/>
      <c r="ILL10" s="1202"/>
      <c r="ILM10" s="1202"/>
      <c r="ILN10" s="1202"/>
      <c r="ILO10" s="1202"/>
      <c r="ILP10" s="1202"/>
      <c r="ILQ10" s="1202"/>
      <c r="ILR10" s="1202"/>
      <c r="ILS10" s="1202"/>
      <c r="ILT10" s="1202"/>
      <c r="ILU10" s="1202"/>
      <c r="ILV10" s="1202"/>
      <c r="ILW10" s="1202"/>
      <c r="ILX10" s="1202"/>
      <c r="ILY10" s="1202"/>
      <c r="ILZ10" s="1202"/>
      <c r="IMA10" s="1202"/>
      <c r="IMB10" s="1202"/>
      <c r="IMC10" s="1202"/>
      <c r="IMD10" s="1202"/>
      <c r="IME10" s="1202"/>
      <c r="IMF10" s="1202"/>
      <c r="IMG10" s="1202"/>
      <c r="IMH10" s="1202"/>
      <c r="IMI10" s="1202"/>
      <c r="IMJ10" s="1202"/>
      <c r="IMK10" s="1202"/>
      <c r="IML10" s="1202"/>
      <c r="IMM10" s="1202"/>
      <c r="IMN10" s="1202"/>
      <c r="IMO10" s="1202"/>
      <c r="IMP10" s="1202"/>
      <c r="IMQ10" s="1202"/>
      <c r="IMR10" s="1202"/>
      <c r="IMS10" s="1202"/>
      <c r="IMT10" s="1202"/>
      <c r="IMU10" s="1202"/>
      <c r="IMV10" s="1202"/>
      <c r="IMW10" s="1202"/>
      <c r="IMX10" s="1202"/>
      <c r="IMY10" s="1202"/>
      <c r="IMZ10" s="1202"/>
      <c r="INA10" s="1202"/>
      <c r="INB10" s="1202"/>
      <c r="INC10" s="1202"/>
      <c r="IND10" s="1202"/>
      <c r="INE10" s="1202"/>
      <c r="INF10" s="1202"/>
      <c r="ING10" s="1202"/>
      <c r="INH10" s="1202"/>
      <c r="INI10" s="1202"/>
      <c r="INJ10" s="1202"/>
      <c r="INK10" s="1202"/>
      <c r="INL10" s="1202"/>
      <c r="INM10" s="1202"/>
      <c r="INN10" s="1202"/>
      <c r="INO10" s="1202"/>
      <c r="INP10" s="1202"/>
      <c r="INQ10" s="1202"/>
      <c r="INR10" s="1202"/>
      <c r="INS10" s="1202"/>
      <c r="INT10" s="1202"/>
      <c r="INU10" s="1202"/>
      <c r="INV10" s="1202"/>
      <c r="INW10" s="1202"/>
      <c r="INX10" s="1202"/>
      <c r="INY10" s="1202"/>
      <c r="INZ10" s="1202"/>
      <c r="IOA10" s="1202"/>
      <c r="IOB10" s="1202"/>
      <c r="IOC10" s="1202"/>
      <c r="IOD10" s="1202"/>
      <c r="IOE10" s="1202"/>
      <c r="IOF10" s="1202"/>
      <c r="IOG10" s="1202"/>
      <c r="IOH10" s="1202"/>
      <c r="IOI10" s="1202"/>
      <c r="IOJ10" s="1202"/>
      <c r="IOK10" s="1202"/>
      <c r="IOL10" s="1202"/>
      <c r="IOM10" s="1202"/>
      <c r="ION10" s="1202"/>
      <c r="IOO10" s="1202"/>
      <c r="IOP10" s="1202"/>
      <c r="IOQ10" s="1202"/>
      <c r="IOR10" s="1202"/>
      <c r="IOS10" s="1202"/>
      <c r="IOT10" s="1202"/>
      <c r="IOU10" s="1202"/>
      <c r="IOV10" s="1202"/>
      <c r="IOW10" s="1202"/>
      <c r="IOX10" s="1202"/>
      <c r="IOY10" s="1202"/>
      <c r="IOZ10" s="1202"/>
      <c r="IPA10" s="1202"/>
      <c r="IPB10" s="1202"/>
      <c r="IPC10" s="1202"/>
      <c r="IPD10" s="1202"/>
      <c r="IPE10" s="1202"/>
      <c r="IPF10" s="1202"/>
      <c r="IPG10" s="1202"/>
      <c r="IPH10" s="1202"/>
      <c r="IPI10" s="1202"/>
      <c r="IPJ10" s="1202"/>
      <c r="IPK10" s="1202"/>
      <c r="IPL10" s="1202"/>
      <c r="IPM10" s="1202"/>
      <c r="IPN10" s="1202"/>
      <c r="IPO10" s="1202"/>
      <c r="IPP10" s="1202"/>
      <c r="IPQ10" s="1202"/>
      <c r="IPR10" s="1202"/>
      <c r="IPS10" s="1202"/>
      <c r="IPT10" s="1202"/>
      <c r="IPU10" s="1202"/>
      <c r="IPV10" s="1202"/>
      <c r="IPW10" s="1202"/>
      <c r="IPX10" s="1202"/>
      <c r="IPY10" s="1202"/>
      <c r="IPZ10" s="1202"/>
      <c r="IQA10" s="1202"/>
      <c r="IQB10" s="1202"/>
      <c r="IQC10" s="1202"/>
      <c r="IQD10" s="1202"/>
      <c r="IQE10" s="1202"/>
      <c r="IQF10" s="1202"/>
      <c r="IQG10" s="1202"/>
      <c r="IQH10" s="1202"/>
      <c r="IQI10" s="1202"/>
      <c r="IQJ10" s="1202"/>
      <c r="IQK10" s="1202"/>
      <c r="IQL10" s="1202"/>
      <c r="IQM10" s="1202"/>
      <c r="IQN10" s="1202"/>
      <c r="IQO10" s="1202"/>
      <c r="IQP10" s="1202"/>
      <c r="IQQ10" s="1202"/>
      <c r="IQR10" s="1202"/>
      <c r="IQS10" s="1202"/>
      <c r="IQT10" s="1202"/>
      <c r="IQU10" s="1202"/>
      <c r="IQV10" s="1202"/>
      <c r="IQW10" s="1202"/>
      <c r="IQX10" s="1202"/>
      <c r="IQY10" s="1202"/>
      <c r="IQZ10" s="1202"/>
      <c r="IRA10" s="1202"/>
      <c r="IRB10" s="1202"/>
      <c r="IRC10" s="1202"/>
      <c r="IRD10" s="1202"/>
      <c r="IRE10" s="1202"/>
      <c r="IRF10" s="1202"/>
      <c r="IRG10" s="1202"/>
      <c r="IRH10" s="1202"/>
      <c r="IRI10" s="1202"/>
      <c r="IRJ10" s="1202"/>
      <c r="IRK10" s="1202"/>
      <c r="IRL10" s="1202"/>
      <c r="IRM10" s="1202"/>
      <c r="IRN10" s="1202"/>
      <c r="IRO10" s="1202"/>
      <c r="IRP10" s="1202"/>
      <c r="IRQ10" s="1202"/>
      <c r="IRR10" s="1202"/>
      <c r="IRS10" s="1202"/>
      <c r="IRT10" s="1202"/>
      <c r="IRU10" s="1202"/>
      <c r="IRV10" s="1202"/>
      <c r="IRW10" s="1202"/>
      <c r="IRX10" s="1202"/>
      <c r="IRY10" s="1202"/>
      <c r="IRZ10" s="1202"/>
      <c r="ISA10" s="1202"/>
      <c r="ISB10" s="1202"/>
      <c r="ISC10" s="1202"/>
      <c r="ISD10" s="1202"/>
      <c r="ISE10" s="1202"/>
      <c r="ISF10" s="1202"/>
      <c r="ISG10" s="1202"/>
      <c r="ISH10" s="1202"/>
      <c r="ISI10" s="1202"/>
      <c r="ISJ10" s="1202"/>
      <c r="ISK10" s="1202"/>
      <c r="ISL10" s="1202"/>
      <c r="ISM10" s="1202"/>
      <c r="ISN10" s="1202"/>
      <c r="ISO10" s="1202"/>
      <c r="ISP10" s="1202"/>
      <c r="ISQ10" s="1202"/>
      <c r="ISR10" s="1202"/>
      <c r="ISS10" s="1202"/>
      <c r="IST10" s="1202"/>
      <c r="ISU10" s="1202"/>
      <c r="ISV10" s="1202"/>
      <c r="ISW10" s="1202"/>
      <c r="ISX10" s="1202"/>
      <c r="ISY10" s="1202"/>
      <c r="ISZ10" s="1202"/>
      <c r="ITA10" s="1202"/>
      <c r="ITB10" s="1202"/>
      <c r="ITC10" s="1202"/>
      <c r="ITD10" s="1202"/>
      <c r="ITE10" s="1202"/>
      <c r="ITF10" s="1202"/>
      <c r="ITG10" s="1202"/>
      <c r="ITH10" s="1202"/>
      <c r="ITI10" s="1202"/>
      <c r="ITJ10" s="1202"/>
      <c r="ITK10" s="1202"/>
      <c r="ITL10" s="1202"/>
      <c r="ITM10" s="1202"/>
      <c r="ITN10" s="1202"/>
      <c r="ITO10" s="1202"/>
      <c r="ITP10" s="1202"/>
      <c r="ITQ10" s="1202"/>
      <c r="ITR10" s="1202"/>
      <c r="ITS10" s="1202"/>
      <c r="ITT10" s="1202"/>
      <c r="ITU10" s="1202"/>
      <c r="ITV10" s="1202"/>
      <c r="ITW10" s="1202"/>
      <c r="ITX10" s="1202"/>
      <c r="ITY10" s="1202"/>
      <c r="ITZ10" s="1202"/>
      <c r="IUA10" s="1202"/>
      <c r="IUB10" s="1202"/>
      <c r="IUC10" s="1202"/>
      <c r="IUD10" s="1202"/>
      <c r="IUE10" s="1202"/>
      <c r="IUF10" s="1202"/>
      <c r="IUG10" s="1202"/>
      <c r="IUH10" s="1202"/>
      <c r="IUI10" s="1202"/>
      <c r="IUJ10" s="1202"/>
      <c r="IUK10" s="1202"/>
      <c r="IUL10" s="1202"/>
      <c r="IUM10" s="1202"/>
      <c r="IUN10" s="1202"/>
      <c r="IUO10" s="1202"/>
      <c r="IUP10" s="1202"/>
      <c r="IUQ10" s="1202"/>
      <c r="IUR10" s="1202"/>
      <c r="IUS10" s="1202"/>
      <c r="IUT10" s="1202"/>
      <c r="IUU10" s="1202"/>
      <c r="IUV10" s="1202"/>
      <c r="IUW10" s="1202"/>
      <c r="IUX10" s="1202"/>
      <c r="IUY10" s="1202"/>
      <c r="IUZ10" s="1202"/>
      <c r="IVA10" s="1202"/>
      <c r="IVB10" s="1202"/>
      <c r="IVC10" s="1202"/>
      <c r="IVD10" s="1202"/>
      <c r="IVE10" s="1202"/>
      <c r="IVF10" s="1202"/>
      <c r="IVG10" s="1202"/>
      <c r="IVH10" s="1202"/>
      <c r="IVI10" s="1202"/>
      <c r="IVJ10" s="1202"/>
      <c r="IVK10" s="1202"/>
      <c r="IVL10" s="1202"/>
      <c r="IVM10" s="1202"/>
      <c r="IVN10" s="1202"/>
      <c r="IVO10" s="1202"/>
      <c r="IVP10" s="1202"/>
      <c r="IVQ10" s="1202"/>
      <c r="IVR10" s="1202"/>
      <c r="IVS10" s="1202"/>
      <c r="IVT10" s="1202"/>
      <c r="IVU10" s="1202"/>
      <c r="IVV10" s="1202"/>
      <c r="IVW10" s="1202"/>
      <c r="IVX10" s="1202"/>
      <c r="IVY10" s="1202"/>
      <c r="IVZ10" s="1202"/>
      <c r="IWA10" s="1202"/>
      <c r="IWB10" s="1202"/>
      <c r="IWC10" s="1202"/>
      <c r="IWD10" s="1202"/>
      <c r="IWE10" s="1202"/>
      <c r="IWF10" s="1202"/>
      <c r="IWG10" s="1202"/>
      <c r="IWH10" s="1202"/>
      <c r="IWI10" s="1202"/>
      <c r="IWJ10" s="1202"/>
      <c r="IWK10" s="1202"/>
      <c r="IWL10" s="1202"/>
      <c r="IWM10" s="1202"/>
      <c r="IWN10" s="1202"/>
      <c r="IWO10" s="1202"/>
      <c r="IWP10" s="1202"/>
      <c r="IWQ10" s="1202"/>
      <c r="IWR10" s="1202"/>
      <c r="IWS10" s="1202"/>
      <c r="IWT10" s="1202"/>
      <c r="IWU10" s="1202"/>
      <c r="IWV10" s="1202"/>
      <c r="IWW10" s="1202"/>
      <c r="IWX10" s="1202"/>
      <c r="IWY10" s="1202"/>
      <c r="IWZ10" s="1202"/>
      <c r="IXA10" s="1202"/>
      <c r="IXB10" s="1202"/>
      <c r="IXC10" s="1202"/>
      <c r="IXD10" s="1202"/>
      <c r="IXE10" s="1202"/>
      <c r="IXF10" s="1202"/>
      <c r="IXG10" s="1202"/>
      <c r="IXH10" s="1202"/>
      <c r="IXI10" s="1202"/>
      <c r="IXJ10" s="1202"/>
      <c r="IXK10" s="1202"/>
      <c r="IXL10" s="1202"/>
      <c r="IXM10" s="1202"/>
      <c r="IXN10" s="1202"/>
      <c r="IXO10" s="1202"/>
      <c r="IXP10" s="1202"/>
      <c r="IXQ10" s="1202"/>
      <c r="IXR10" s="1202"/>
      <c r="IXS10" s="1202"/>
      <c r="IXT10" s="1202"/>
      <c r="IXU10" s="1202"/>
      <c r="IXV10" s="1202"/>
      <c r="IXW10" s="1202"/>
      <c r="IXX10" s="1202"/>
      <c r="IXY10" s="1202"/>
      <c r="IXZ10" s="1202"/>
      <c r="IYA10" s="1202"/>
      <c r="IYB10" s="1202"/>
      <c r="IYC10" s="1202"/>
      <c r="IYD10" s="1202"/>
      <c r="IYE10" s="1202"/>
      <c r="IYF10" s="1202"/>
      <c r="IYG10" s="1202"/>
      <c r="IYH10" s="1202"/>
      <c r="IYI10" s="1202"/>
      <c r="IYJ10" s="1202"/>
      <c r="IYK10" s="1202"/>
      <c r="IYL10" s="1202"/>
      <c r="IYM10" s="1202"/>
      <c r="IYN10" s="1202"/>
      <c r="IYO10" s="1202"/>
      <c r="IYP10" s="1202"/>
      <c r="IYQ10" s="1202"/>
      <c r="IYR10" s="1202"/>
      <c r="IYS10" s="1202"/>
      <c r="IYT10" s="1202"/>
      <c r="IYU10" s="1202"/>
      <c r="IYV10" s="1202"/>
      <c r="IYW10" s="1202"/>
      <c r="IYX10" s="1202"/>
      <c r="IYY10" s="1202"/>
      <c r="IYZ10" s="1202"/>
      <c r="IZA10" s="1202"/>
      <c r="IZB10" s="1202"/>
      <c r="IZC10" s="1202"/>
      <c r="IZD10" s="1202"/>
      <c r="IZE10" s="1202"/>
      <c r="IZF10" s="1202"/>
      <c r="IZG10" s="1202"/>
      <c r="IZH10" s="1202"/>
      <c r="IZI10" s="1202"/>
      <c r="IZJ10" s="1202"/>
      <c r="IZK10" s="1202"/>
      <c r="IZL10" s="1202"/>
      <c r="IZM10" s="1202"/>
      <c r="IZN10" s="1202"/>
      <c r="IZO10" s="1202"/>
      <c r="IZP10" s="1202"/>
      <c r="IZQ10" s="1202"/>
      <c r="IZR10" s="1202"/>
      <c r="IZS10" s="1202"/>
      <c r="IZT10" s="1202"/>
      <c r="IZU10" s="1202"/>
      <c r="IZV10" s="1202"/>
      <c r="IZW10" s="1202"/>
      <c r="IZX10" s="1202"/>
      <c r="IZY10" s="1202"/>
      <c r="IZZ10" s="1202"/>
      <c r="JAA10" s="1202"/>
      <c r="JAB10" s="1202"/>
      <c r="JAC10" s="1202"/>
      <c r="JAD10" s="1202"/>
      <c r="JAE10" s="1202"/>
      <c r="JAF10" s="1202"/>
      <c r="JAG10" s="1202"/>
      <c r="JAH10" s="1202"/>
      <c r="JAI10" s="1202"/>
      <c r="JAJ10" s="1202"/>
      <c r="JAK10" s="1202"/>
      <c r="JAL10" s="1202"/>
      <c r="JAM10" s="1202"/>
      <c r="JAN10" s="1202"/>
      <c r="JAO10" s="1202"/>
      <c r="JAP10" s="1202"/>
      <c r="JAQ10" s="1202"/>
      <c r="JAR10" s="1202"/>
      <c r="JAS10" s="1202"/>
      <c r="JAT10" s="1202"/>
      <c r="JAU10" s="1202"/>
      <c r="JAV10" s="1202"/>
      <c r="JAW10" s="1202"/>
      <c r="JAX10" s="1202"/>
      <c r="JAY10" s="1202"/>
      <c r="JAZ10" s="1202"/>
      <c r="JBA10" s="1202"/>
      <c r="JBB10" s="1202"/>
      <c r="JBC10" s="1202"/>
      <c r="JBD10" s="1202"/>
      <c r="JBE10" s="1202"/>
      <c r="JBF10" s="1202"/>
      <c r="JBG10" s="1202"/>
      <c r="JBH10" s="1202"/>
      <c r="JBI10" s="1202"/>
      <c r="JBJ10" s="1202"/>
      <c r="JBK10" s="1202"/>
      <c r="JBL10" s="1202"/>
      <c r="JBM10" s="1202"/>
      <c r="JBN10" s="1202"/>
      <c r="JBO10" s="1202"/>
      <c r="JBP10" s="1202"/>
      <c r="JBQ10" s="1202"/>
      <c r="JBR10" s="1202"/>
      <c r="JBS10" s="1202"/>
      <c r="JBT10" s="1202"/>
      <c r="JBU10" s="1202"/>
      <c r="JBV10" s="1202"/>
      <c r="JBW10" s="1202"/>
      <c r="JBX10" s="1202"/>
      <c r="JBY10" s="1202"/>
      <c r="JBZ10" s="1202"/>
      <c r="JCA10" s="1202"/>
      <c r="JCB10" s="1202"/>
      <c r="JCC10" s="1202"/>
      <c r="JCD10" s="1202"/>
      <c r="JCE10" s="1202"/>
      <c r="JCF10" s="1202"/>
      <c r="JCG10" s="1202"/>
      <c r="JCH10" s="1202"/>
      <c r="JCI10" s="1202"/>
      <c r="JCJ10" s="1202"/>
      <c r="JCK10" s="1202"/>
      <c r="JCL10" s="1202"/>
      <c r="JCM10" s="1202"/>
      <c r="JCN10" s="1202"/>
      <c r="JCO10" s="1202"/>
      <c r="JCP10" s="1202"/>
      <c r="JCQ10" s="1202"/>
      <c r="JCR10" s="1202"/>
      <c r="JCS10" s="1202"/>
      <c r="JCT10" s="1202"/>
      <c r="JCU10" s="1202"/>
      <c r="JCV10" s="1202"/>
      <c r="JCW10" s="1202"/>
      <c r="JCX10" s="1202"/>
      <c r="JCY10" s="1202"/>
      <c r="JCZ10" s="1202"/>
      <c r="JDA10" s="1202"/>
      <c r="JDB10" s="1202"/>
      <c r="JDC10" s="1202"/>
      <c r="JDD10" s="1202"/>
      <c r="JDE10" s="1202"/>
      <c r="JDF10" s="1202"/>
      <c r="JDG10" s="1202"/>
      <c r="JDH10" s="1202"/>
      <c r="JDI10" s="1202"/>
      <c r="JDJ10" s="1202"/>
      <c r="JDK10" s="1202"/>
      <c r="JDL10" s="1202"/>
      <c r="JDM10" s="1202"/>
      <c r="JDN10" s="1202"/>
      <c r="JDO10" s="1202"/>
      <c r="JDP10" s="1202"/>
      <c r="JDQ10" s="1202"/>
      <c r="JDR10" s="1202"/>
      <c r="JDS10" s="1202"/>
      <c r="JDT10" s="1202"/>
      <c r="JDU10" s="1202"/>
      <c r="JDV10" s="1202"/>
      <c r="JDW10" s="1202"/>
      <c r="JDX10" s="1202"/>
      <c r="JDY10" s="1202"/>
      <c r="JDZ10" s="1202"/>
      <c r="JEA10" s="1202"/>
      <c r="JEB10" s="1202"/>
      <c r="JEC10" s="1202"/>
      <c r="JED10" s="1202"/>
      <c r="JEE10" s="1202"/>
      <c r="JEF10" s="1202"/>
      <c r="JEG10" s="1202"/>
      <c r="JEH10" s="1202"/>
      <c r="JEI10" s="1202"/>
      <c r="JEJ10" s="1202"/>
      <c r="JEK10" s="1202"/>
      <c r="JEL10" s="1202"/>
      <c r="JEM10" s="1202"/>
      <c r="JEN10" s="1202"/>
      <c r="JEO10" s="1202"/>
      <c r="JEP10" s="1202"/>
      <c r="JEQ10" s="1202"/>
      <c r="JER10" s="1202"/>
      <c r="JES10" s="1202"/>
      <c r="JET10" s="1202"/>
      <c r="JEU10" s="1202"/>
      <c r="JEV10" s="1202"/>
      <c r="JEW10" s="1202"/>
      <c r="JEX10" s="1202"/>
      <c r="JEY10" s="1202"/>
      <c r="JEZ10" s="1202"/>
      <c r="JFA10" s="1202"/>
      <c r="JFB10" s="1202"/>
      <c r="JFC10" s="1202"/>
      <c r="JFD10" s="1202"/>
      <c r="JFE10" s="1202"/>
      <c r="JFF10" s="1202"/>
      <c r="JFG10" s="1202"/>
      <c r="JFH10" s="1202"/>
      <c r="JFI10" s="1202"/>
      <c r="JFJ10" s="1202"/>
      <c r="JFK10" s="1202"/>
      <c r="JFL10" s="1202"/>
      <c r="JFM10" s="1202"/>
      <c r="JFN10" s="1202"/>
      <c r="JFO10" s="1202"/>
      <c r="JFP10" s="1202"/>
      <c r="JFQ10" s="1202"/>
      <c r="JFR10" s="1202"/>
      <c r="JFS10" s="1202"/>
      <c r="JFT10" s="1202"/>
      <c r="JFU10" s="1202"/>
      <c r="JFV10" s="1202"/>
      <c r="JFW10" s="1202"/>
      <c r="JFX10" s="1202"/>
      <c r="JFY10" s="1202"/>
      <c r="JFZ10" s="1202"/>
      <c r="JGA10" s="1202"/>
      <c r="JGB10" s="1202"/>
      <c r="JGC10" s="1202"/>
      <c r="JGD10" s="1202"/>
      <c r="JGE10" s="1202"/>
      <c r="JGF10" s="1202"/>
      <c r="JGG10" s="1202"/>
      <c r="JGH10" s="1202"/>
      <c r="JGI10" s="1202"/>
      <c r="JGJ10" s="1202"/>
      <c r="JGK10" s="1202"/>
      <c r="JGL10" s="1202"/>
      <c r="JGM10" s="1202"/>
      <c r="JGN10" s="1202"/>
      <c r="JGO10" s="1202"/>
      <c r="JGP10" s="1202"/>
      <c r="JGQ10" s="1202"/>
      <c r="JGR10" s="1202"/>
      <c r="JGS10" s="1202"/>
      <c r="JGT10" s="1202"/>
      <c r="JGU10" s="1202"/>
      <c r="JGV10" s="1202"/>
      <c r="JGW10" s="1202"/>
      <c r="JGX10" s="1202"/>
      <c r="JGY10" s="1202"/>
      <c r="JGZ10" s="1202"/>
      <c r="JHA10" s="1202"/>
      <c r="JHB10" s="1202"/>
      <c r="JHC10" s="1202"/>
      <c r="JHD10" s="1202"/>
      <c r="JHE10" s="1202"/>
      <c r="JHF10" s="1202"/>
      <c r="JHG10" s="1202"/>
      <c r="JHH10" s="1202"/>
      <c r="JHI10" s="1202"/>
      <c r="JHJ10" s="1202"/>
      <c r="JHK10" s="1202"/>
      <c r="JHL10" s="1202"/>
      <c r="JHM10" s="1202"/>
      <c r="JHN10" s="1202"/>
      <c r="JHO10" s="1202"/>
      <c r="JHP10" s="1202"/>
      <c r="JHQ10" s="1202"/>
      <c r="JHR10" s="1202"/>
      <c r="JHS10" s="1202"/>
      <c r="JHT10" s="1202"/>
      <c r="JHU10" s="1202"/>
      <c r="JHV10" s="1202"/>
      <c r="JHW10" s="1202"/>
      <c r="JHX10" s="1202"/>
      <c r="JHY10" s="1202"/>
      <c r="JHZ10" s="1202"/>
      <c r="JIA10" s="1202"/>
      <c r="JIB10" s="1202"/>
      <c r="JIC10" s="1202"/>
      <c r="JID10" s="1202"/>
      <c r="JIE10" s="1202"/>
      <c r="JIF10" s="1202"/>
      <c r="JIG10" s="1202"/>
      <c r="JIH10" s="1202"/>
      <c r="JII10" s="1202"/>
      <c r="JIJ10" s="1202"/>
      <c r="JIK10" s="1202"/>
      <c r="JIL10" s="1202"/>
      <c r="JIM10" s="1202"/>
      <c r="JIN10" s="1202"/>
      <c r="JIO10" s="1202"/>
      <c r="JIP10" s="1202"/>
      <c r="JIQ10" s="1202"/>
      <c r="JIR10" s="1202"/>
      <c r="JIS10" s="1202"/>
      <c r="JIT10" s="1202"/>
      <c r="JIU10" s="1202"/>
      <c r="JIV10" s="1202"/>
      <c r="JIW10" s="1202"/>
      <c r="JIX10" s="1202"/>
      <c r="JIY10" s="1202"/>
      <c r="JIZ10" s="1202"/>
      <c r="JJA10" s="1202"/>
      <c r="JJB10" s="1202"/>
      <c r="JJC10" s="1202"/>
      <c r="JJD10" s="1202"/>
      <c r="JJE10" s="1202"/>
      <c r="JJF10" s="1202"/>
      <c r="JJG10" s="1202"/>
      <c r="JJH10" s="1202"/>
      <c r="JJI10" s="1202"/>
      <c r="JJJ10" s="1202"/>
      <c r="JJK10" s="1202"/>
      <c r="JJL10" s="1202"/>
      <c r="JJM10" s="1202"/>
      <c r="JJN10" s="1202"/>
      <c r="JJO10" s="1202"/>
      <c r="JJP10" s="1202"/>
      <c r="JJQ10" s="1202"/>
      <c r="JJR10" s="1202"/>
      <c r="JJS10" s="1202"/>
      <c r="JJT10" s="1202"/>
      <c r="JJU10" s="1202"/>
      <c r="JJV10" s="1202"/>
      <c r="JJW10" s="1202"/>
      <c r="JJX10" s="1202"/>
      <c r="JJY10" s="1202"/>
      <c r="JJZ10" s="1202"/>
      <c r="JKA10" s="1202"/>
      <c r="JKB10" s="1202"/>
      <c r="JKC10" s="1202"/>
      <c r="JKD10" s="1202"/>
      <c r="JKE10" s="1202"/>
      <c r="JKF10" s="1202"/>
      <c r="JKG10" s="1202"/>
      <c r="JKH10" s="1202"/>
      <c r="JKI10" s="1202"/>
      <c r="JKJ10" s="1202"/>
      <c r="JKK10" s="1202"/>
      <c r="JKL10" s="1202"/>
      <c r="JKM10" s="1202"/>
      <c r="JKN10" s="1202"/>
      <c r="JKO10" s="1202"/>
      <c r="JKP10" s="1202"/>
      <c r="JKQ10" s="1202"/>
      <c r="JKR10" s="1202"/>
      <c r="JKS10" s="1202"/>
      <c r="JKT10" s="1202"/>
      <c r="JKU10" s="1202"/>
      <c r="JKV10" s="1202"/>
      <c r="JKW10" s="1202"/>
      <c r="JKX10" s="1202"/>
      <c r="JKY10" s="1202"/>
      <c r="JKZ10" s="1202"/>
      <c r="JLA10" s="1202"/>
      <c r="JLB10" s="1202"/>
      <c r="JLC10" s="1202"/>
      <c r="JLD10" s="1202"/>
      <c r="JLE10" s="1202"/>
      <c r="JLF10" s="1202"/>
      <c r="JLG10" s="1202"/>
      <c r="JLH10" s="1202"/>
      <c r="JLI10" s="1202"/>
      <c r="JLJ10" s="1202"/>
      <c r="JLK10" s="1202"/>
      <c r="JLL10" s="1202"/>
      <c r="JLM10" s="1202"/>
      <c r="JLN10" s="1202"/>
      <c r="JLO10" s="1202"/>
      <c r="JLP10" s="1202"/>
      <c r="JLQ10" s="1202"/>
      <c r="JLR10" s="1202"/>
      <c r="JLS10" s="1202"/>
      <c r="JLT10" s="1202"/>
      <c r="JLU10" s="1202"/>
      <c r="JLV10" s="1202"/>
      <c r="JLW10" s="1202"/>
      <c r="JLX10" s="1202"/>
      <c r="JLY10" s="1202"/>
      <c r="JLZ10" s="1202"/>
      <c r="JMA10" s="1202"/>
      <c r="JMB10" s="1202"/>
      <c r="JMC10" s="1202"/>
      <c r="JMD10" s="1202"/>
      <c r="JME10" s="1202"/>
      <c r="JMF10" s="1202"/>
      <c r="JMG10" s="1202"/>
      <c r="JMH10" s="1202"/>
      <c r="JMI10" s="1202"/>
      <c r="JMJ10" s="1202"/>
      <c r="JMK10" s="1202"/>
      <c r="JML10" s="1202"/>
      <c r="JMM10" s="1202"/>
      <c r="JMN10" s="1202"/>
      <c r="JMO10" s="1202"/>
      <c r="JMP10" s="1202"/>
      <c r="JMQ10" s="1202"/>
      <c r="JMR10" s="1202"/>
      <c r="JMS10" s="1202"/>
      <c r="JMT10" s="1202"/>
      <c r="JMU10" s="1202"/>
      <c r="JMV10" s="1202"/>
      <c r="JMW10" s="1202"/>
      <c r="JMX10" s="1202"/>
      <c r="JMY10" s="1202"/>
      <c r="JMZ10" s="1202"/>
      <c r="JNA10" s="1202"/>
      <c r="JNB10" s="1202"/>
      <c r="JNC10" s="1202"/>
      <c r="JND10" s="1202"/>
      <c r="JNE10" s="1202"/>
      <c r="JNF10" s="1202"/>
      <c r="JNG10" s="1202"/>
      <c r="JNH10" s="1202"/>
      <c r="JNI10" s="1202"/>
      <c r="JNJ10" s="1202"/>
      <c r="JNK10" s="1202"/>
      <c r="JNL10" s="1202"/>
      <c r="JNM10" s="1202"/>
      <c r="JNN10" s="1202"/>
      <c r="JNO10" s="1202"/>
      <c r="JNP10" s="1202"/>
      <c r="JNQ10" s="1202"/>
      <c r="JNR10" s="1202"/>
      <c r="JNS10" s="1202"/>
      <c r="JNT10" s="1202"/>
      <c r="JNU10" s="1202"/>
      <c r="JNV10" s="1202"/>
      <c r="JNW10" s="1202"/>
      <c r="JNX10" s="1202"/>
      <c r="JNY10" s="1202"/>
      <c r="JNZ10" s="1202"/>
      <c r="JOA10" s="1202"/>
      <c r="JOB10" s="1202"/>
      <c r="JOC10" s="1202"/>
      <c r="JOD10" s="1202"/>
      <c r="JOE10" s="1202"/>
      <c r="JOF10" s="1202"/>
      <c r="JOG10" s="1202"/>
      <c r="JOH10" s="1202"/>
      <c r="JOI10" s="1202"/>
      <c r="JOJ10" s="1202"/>
      <c r="JOK10" s="1202"/>
      <c r="JOL10" s="1202"/>
      <c r="JOM10" s="1202"/>
      <c r="JON10" s="1202"/>
      <c r="JOO10" s="1202"/>
      <c r="JOP10" s="1202"/>
      <c r="JOQ10" s="1202"/>
      <c r="JOR10" s="1202"/>
      <c r="JOS10" s="1202"/>
      <c r="JOT10" s="1202"/>
      <c r="JOU10" s="1202"/>
      <c r="JOV10" s="1202"/>
      <c r="JOW10" s="1202"/>
      <c r="JOX10" s="1202"/>
      <c r="JOY10" s="1202"/>
      <c r="JOZ10" s="1202"/>
      <c r="JPA10" s="1202"/>
      <c r="JPB10" s="1202"/>
      <c r="JPC10" s="1202"/>
      <c r="JPD10" s="1202"/>
      <c r="JPE10" s="1202"/>
      <c r="JPF10" s="1202"/>
      <c r="JPG10" s="1202"/>
      <c r="JPH10" s="1202"/>
      <c r="JPI10" s="1202"/>
      <c r="JPJ10" s="1202"/>
      <c r="JPK10" s="1202"/>
      <c r="JPL10" s="1202"/>
      <c r="JPM10" s="1202"/>
      <c r="JPN10" s="1202"/>
      <c r="JPO10" s="1202"/>
      <c r="JPP10" s="1202"/>
      <c r="JPQ10" s="1202"/>
      <c r="JPR10" s="1202"/>
      <c r="JPS10" s="1202"/>
      <c r="JPT10" s="1202"/>
      <c r="JPU10" s="1202"/>
      <c r="JPV10" s="1202"/>
      <c r="JPW10" s="1202"/>
      <c r="JPX10" s="1202"/>
      <c r="JPY10" s="1202"/>
      <c r="JPZ10" s="1202"/>
      <c r="JQA10" s="1202"/>
      <c r="JQB10" s="1202"/>
      <c r="JQC10" s="1202"/>
      <c r="JQD10" s="1202"/>
      <c r="JQE10" s="1202"/>
      <c r="JQF10" s="1202"/>
      <c r="JQG10" s="1202"/>
      <c r="JQH10" s="1202"/>
      <c r="JQI10" s="1202"/>
      <c r="JQJ10" s="1202"/>
      <c r="JQK10" s="1202"/>
      <c r="JQL10" s="1202"/>
      <c r="JQM10" s="1202"/>
      <c r="JQN10" s="1202"/>
      <c r="JQO10" s="1202"/>
      <c r="JQP10" s="1202"/>
      <c r="JQQ10" s="1202"/>
      <c r="JQR10" s="1202"/>
      <c r="JQS10" s="1202"/>
      <c r="JQT10" s="1202"/>
      <c r="JQU10" s="1202"/>
      <c r="JQV10" s="1202"/>
      <c r="JQW10" s="1202"/>
      <c r="JQX10" s="1202"/>
      <c r="JQY10" s="1202"/>
      <c r="JQZ10" s="1202"/>
      <c r="JRA10" s="1202"/>
      <c r="JRB10" s="1202"/>
      <c r="JRC10" s="1202"/>
      <c r="JRD10" s="1202"/>
      <c r="JRE10" s="1202"/>
      <c r="JRF10" s="1202"/>
      <c r="JRG10" s="1202"/>
      <c r="JRH10" s="1202"/>
      <c r="JRI10" s="1202"/>
      <c r="JRJ10" s="1202"/>
      <c r="JRK10" s="1202"/>
      <c r="JRL10" s="1202"/>
      <c r="JRM10" s="1202"/>
      <c r="JRN10" s="1202"/>
      <c r="JRO10" s="1202"/>
      <c r="JRP10" s="1202"/>
      <c r="JRQ10" s="1202"/>
      <c r="JRR10" s="1202"/>
      <c r="JRS10" s="1202"/>
      <c r="JRT10" s="1202"/>
      <c r="JRU10" s="1202"/>
      <c r="JRV10" s="1202"/>
      <c r="JRW10" s="1202"/>
      <c r="JRX10" s="1202"/>
      <c r="JRY10" s="1202"/>
      <c r="JRZ10" s="1202"/>
      <c r="JSA10" s="1202"/>
      <c r="JSB10" s="1202"/>
      <c r="JSC10" s="1202"/>
      <c r="JSD10" s="1202"/>
      <c r="JSE10" s="1202"/>
      <c r="JSF10" s="1202"/>
      <c r="JSG10" s="1202"/>
      <c r="JSH10" s="1202"/>
      <c r="JSI10" s="1202"/>
      <c r="JSJ10" s="1202"/>
      <c r="JSK10" s="1202"/>
      <c r="JSL10" s="1202"/>
      <c r="JSM10" s="1202"/>
      <c r="JSN10" s="1202"/>
      <c r="JSO10" s="1202"/>
      <c r="JSP10" s="1202"/>
      <c r="JSQ10" s="1202"/>
      <c r="JSR10" s="1202"/>
      <c r="JSS10" s="1202"/>
      <c r="JST10" s="1202"/>
      <c r="JSU10" s="1202"/>
      <c r="JSV10" s="1202"/>
      <c r="JSW10" s="1202"/>
      <c r="JSX10" s="1202"/>
      <c r="JSY10" s="1202"/>
      <c r="JSZ10" s="1202"/>
      <c r="JTA10" s="1202"/>
      <c r="JTB10" s="1202"/>
      <c r="JTC10" s="1202"/>
      <c r="JTD10" s="1202"/>
      <c r="JTE10" s="1202"/>
      <c r="JTF10" s="1202"/>
      <c r="JTG10" s="1202"/>
      <c r="JTH10" s="1202"/>
      <c r="JTI10" s="1202"/>
      <c r="JTJ10" s="1202"/>
      <c r="JTK10" s="1202"/>
      <c r="JTL10" s="1202"/>
      <c r="JTM10" s="1202"/>
      <c r="JTN10" s="1202"/>
      <c r="JTO10" s="1202"/>
      <c r="JTP10" s="1202"/>
      <c r="JTQ10" s="1202"/>
      <c r="JTR10" s="1202"/>
      <c r="JTS10" s="1202"/>
      <c r="JTT10" s="1202"/>
      <c r="JTU10" s="1202"/>
      <c r="JTV10" s="1202"/>
      <c r="JTW10" s="1202"/>
      <c r="JTX10" s="1202"/>
      <c r="JTY10" s="1202"/>
      <c r="JTZ10" s="1202"/>
      <c r="JUA10" s="1202"/>
      <c r="JUB10" s="1202"/>
      <c r="JUC10" s="1202"/>
      <c r="JUD10" s="1202"/>
      <c r="JUE10" s="1202"/>
      <c r="JUF10" s="1202"/>
      <c r="JUG10" s="1202"/>
      <c r="JUH10" s="1202"/>
      <c r="JUI10" s="1202"/>
      <c r="JUJ10" s="1202"/>
      <c r="JUK10" s="1202"/>
      <c r="JUL10" s="1202"/>
      <c r="JUM10" s="1202"/>
      <c r="JUN10" s="1202"/>
      <c r="JUO10" s="1202"/>
      <c r="JUP10" s="1202"/>
      <c r="JUQ10" s="1202"/>
      <c r="JUR10" s="1202"/>
      <c r="JUS10" s="1202"/>
      <c r="JUT10" s="1202"/>
      <c r="JUU10" s="1202"/>
      <c r="JUV10" s="1202"/>
      <c r="JUW10" s="1202"/>
      <c r="JUX10" s="1202"/>
      <c r="JUY10" s="1202"/>
      <c r="JUZ10" s="1202"/>
      <c r="JVA10" s="1202"/>
      <c r="JVB10" s="1202"/>
      <c r="JVC10" s="1202"/>
      <c r="JVD10" s="1202"/>
      <c r="JVE10" s="1202"/>
      <c r="JVF10" s="1202"/>
      <c r="JVG10" s="1202"/>
      <c r="JVH10" s="1202"/>
      <c r="JVI10" s="1202"/>
      <c r="JVJ10" s="1202"/>
      <c r="JVK10" s="1202"/>
      <c r="JVL10" s="1202"/>
      <c r="JVM10" s="1202"/>
      <c r="JVN10" s="1202"/>
      <c r="JVO10" s="1202"/>
      <c r="JVP10" s="1202"/>
      <c r="JVQ10" s="1202"/>
      <c r="JVR10" s="1202"/>
      <c r="JVS10" s="1202"/>
      <c r="JVT10" s="1202"/>
      <c r="JVU10" s="1202"/>
      <c r="JVV10" s="1202"/>
      <c r="JVW10" s="1202"/>
      <c r="JVX10" s="1202"/>
      <c r="JVY10" s="1202"/>
      <c r="JVZ10" s="1202"/>
      <c r="JWA10" s="1202"/>
      <c r="JWB10" s="1202"/>
      <c r="JWC10" s="1202"/>
      <c r="JWD10" s="1202"/>
      <c r="JWE10" s="1202"/>
      <c r="JWF10" s="1202"/>
      <c r="JWG10" s="1202"/>
      <c r="JWH10" s="1202"/>
      <c r="JWI10" s="1202"/>
      <c r="JWJ10" s="1202"/>
      <c r="JWK10" s="1202"/>
      <c r="JWL10" s="1202"/>
      <c r="JWM10" s="1202"/>
      <c r="JWN10" s="1202"/>
      <c r="JWO10" s="1202"/>
      <c r="JWP10" s="1202"/>
      <c r="JWQ10" s="1202"/>
      <c r="JWR10" s="1202"/>
      <c r="JWS10" s="1202"/>
      <c r="JWT10" s="1202"/>
      <c r="JWU10" s="1202"/>
      <c r="JWV10" s="1202"/>
      <c r="JWW10" s="1202"/>
      <c r="JWX10" s="1202"/>
      <c r="JWY10" s="1202"/>
      <c r="JWZ10" s="1202"/>
      <c r="JXA10" s="1202"/>
      <c r="JXB10" s="1202"/>
      <c r="JXC10" s="1202"/>
      <c r="JXD10" s="1202"/>
      <c r="JXE10" s="1202"/>
      <c r="JXF10" s="1202"/>
      <c r="JXG10" s="1202"/>
      <c r="JXH10" s="1202"/>
      <c r="JXI10" s="1202"/>
      <c r="JXJ10" s="1202"/>
      <c r="JXK10" s="1202"/>
      <c r="JXL10" s="1202"/>
      <c r="JXM10" s="1202"/>
      <c r="JXN10" s="1202"/>
      <c r="JXO10" s="1202"/>
      <c r="JXP10" s="1202"/>
      <c r="JXQ10" s="1202"/>
      <c r="JXR10" s="1202"/>
      <c r="JXS10" s="1202"/>
      <c r="JXT10" s="1202"/>
      <c r="JXU10" s="1202"/>
      <c r="JXV10" s="1202"/>
      <c r="JXW10" s="1202"/>
      <c r="JXX10" s="1202"/>
      <c r="JXY10" s="1202"/>
      <c r="JXZ10" s="1202"/>
      <c r="JYA10" s="1202"/>
      <c r="JYB10" s="1202"/>
      <c r="JYC10" s="1202"/>
      <c r="JYD10" s="1202"/>
      <c r="JYE10" s="1202"/>
      <c r="JYF10" s="1202"/>
      <c r="JYG10" s="1202"/>
      <c r="JYH10" s="1202"/>
      <c r="JYI10" s="1202"/>
      <c r="JYJ10" s="1202"/>
      <c r="JYK10" s="1202"/>
      <c r="JYL10" s="1202"/>
      <c r="JYM10" s="1202"/>
      <c r="JYN10" s="1202"/>
      <c r="JYO10" s="1202"/>
      <c r="JYP10" s="1202"/>
      <c r="JYQ10" s="1202"/>
      <c r="JYR10" s="1202"/>
      <c r="JYS10" s="1202"/>
      <c r="JYT10" s="1202"/>
      <c r="JYU10" s="1202"/>
      <c r="JYV10" s="1202"/>
      <c r="JYW10" s="1202"/>
      <c r="JYX10" s="1202"/>
      <c r="JYY10" s="1202"/>
      <c r="JYZ10" s="1202"/>
      <c r="JZA10" s="1202"/>
      <c r="JZB10" s="1202"/>
      <c r="JZC10" s="1202"/>
      <c r="JZD10" s="1202"/>
      <c r="JZE10" s="1202"/>
      <c r="JZF10" s="1202"/>
      <c r="JZG10" s="1202"/>
      <c r="JZH10" s="1202"/>
      <c r="JZI10" s="1202"/>
      <c r="JZJ10" s="1202"/>
      <c r="JZK10" s="1202"/>
      <c r="JZL10" s="1202"/>
      <c r="JZM10" s="1202"/>
      <c r="JZN10" s="1202"/>
      <c r="JZO10" s="1202"/>
      <c r="JZP10" s="1202"/>
      <c r="JZQ10" s="1202"/>
      <c r="JZR10" s="1202"/>
      <c r="JZS10" s="1202"/>
      <c r="JZT10" s="1202"/>
      <c r="JZU10" s="1202"/>
      <c r="JZV10" s="1202"/>
      <c r="JZW10" s="1202"/>
      <c r="JZX10" s="1202"/>
      <c r="JZY10" s="1202"/>
      <c r="JZZ10" s="1202"/>
      <c r="KAA10" s="1202"/>
      <c r="KAB10" s="1202"/>
      <c r="KAC10" s="1202"/>
      <c r="KAD10" s="1202"/>
      <c r="KAE10" s="1202"/>
      <c r="KAF10" s="1202"/>
      <c r="KAG10" s="1202"/>
      <c r="KAH10" s="1202"/>
      <c r="KAI10" s="1202"/>
      <c r="KAJ10" s="1202"/>
      <c r="KAK10" s="1202"/>
      <c r="KAL10" s="1202"/>
      <c r="KAM10" s="1202"/>
      <c r="KAN10" s="1202"/>
      <c r="KAO10" s="1202"/>
      <c r="KAP10" s="1202"/>
      <c r="KAQ10" s="1202"/>
      <c r="KAR10" s="1202"/>
      <c r="KAS10" s="1202"/>
      <c r="KAT10" s="1202"/>
      <c r="KAU10" s="1202"/>
      <c r="KAV10" s="1202"/>
      <c r="KAW10" s="1202"/>
      <c r="KAX10" s="1202"/>
      <c r="KAY10" s="1202"/>
      <c r="KAZ10" s="1202"/>
      <c r="KBA10" s="1202"/>
      <c r="KBB10" s="1202"/>
      <c r="KBC10" s="1202"/>
      <c r="KBD10" s="1202"/>
      <c r="KBE10" s="1202"/>
      <c r="KBF10" s="1202"/>
      <c r="KBG10" s="1202"/>
      <c r="KBH10" s="1202"/>
      <c r="KBI10" s="1202"/>
      <c r="KBJ10" s="1202"/>
      <c r="KBK10" s="1202"/>
      <c r="KBL10" s="1202"/>
      <c r="KBM10" s="1202"/>
      <c r="KBN10" s="1202"/>
      <c r="KBO10" s="1202"/>
      <c r="KBP10" s="1202"/>
      <c r="KBQ10" s="1202"/>
      <c r="KBR10" s="1202"/>
      <c r="KBS10" s="1202"/>
      <c r="KBT10" s="1202"/>
      <c r="KBU10" s="1202"/>
      <c r="KBV10" s="1202"/>
      <c r="KBW10" s="1202"/>
      <c r="KBX10" s="1202"/>
      <c r="KBY10" s="1202"/>
      <c r="KBZ10" s="1202"/>
      <c r="KCA10" s="1202"/>
      <c r="KCB10" s="1202"/>
      <c r="KCC10" s="1202"/>
      <c r="KCD10" s="1202"/>
      <c r="KCE10" s="1202"/>
      <c r="KCF10" s="1202"/>
      <c r="KCG10" s="1202"/>
      <c r="KCH10" s="1202"/>
      <c r="KCI10" s="1202"/>
      <c r="KCJ10" s="1202"/>
      <c r="KCK10" s="1202"/>
      <c r="KCL10" s="1202"/>
      <c r="KCM10" s="1202"/>
      <c r="KCN10" s="1202"/>
      <c r="KCO10" s="1202"/>
      <c r="KCP10" s="1202"/>
      <c r="KCQ10" s="1202"/>
      <c r="KCR10" s="1202"/>
      <c r="KCS10" s="1202"/>
      <c r="KCT10" s="1202"/>
      <c r="KCU10" s="1202"/>
      <c r="KCV10" s="1202"/>
      <c r="KCW10" s="1202"/>
      <c r="KCX10" s="1202"/>
      <c r="KCY10" s="1202"/>
      <c r="KCZ10" s="1202"/>
      <c r="KDA10" s="1202"/>
      <c r="KDB10" s="1202"/>
      <c r="KDC10" s="1202"/>
      <c r="KDD10" s="1202"/>
      <c r="KDE10" s="1202"/>
      <c r="KDF10" s="1202"/>
      <c r="KDG10" s="1202"/>
      <c r="KDH10" s="1202"/>
      <c r="KDI10" s="1202"/>
      <c r="KDJ10" s="1202"/>
      <c r="KDK10" s="1202"/>
      <c r="KDL10" s="1202"/>
      <c r="KDM10" s="1202"/>
      <c r="KDN10" s="1202"/>
      <c r="KDO10" s="1202"/>
      <c r="KDP10" s="1202"/>
      <c r="KDQ10" s="1202"/>
      <c r="KDR10" s="1202"/>
      <c r="KDS10" s="1202"/>
      <c r="KDT10" s="1202"/>
      <c r="KDU10" s="1202"/>
      <c r="KDV10" s="1202"/>
      <c r="KDW10" s="1202"/>
      <c r="KDX10" s="1202"/>
      <c r="KDY10" s="1202"/>
      <c r="KDZ10" s="1202"/>
      <c r="KEA10" s="1202"/>
      <c r="KEB10" s="1202"/>
      <c r="KEC10" s="1202"/>
      <c r="KED10" s="1202"/>
      <c r="KEE10" s="1202"/>
      <c r="KEF10" s="1202"/>
      <c r="KEG10" s="1202"/>
      <c r="KEH10" s="1202"/>
      <c r="KEI10" s="1202"/>
      <c r="KEJ10" s="1202"/>
      <c r="KEK10" s="1202"/>
      <c r="KEL10" s="1202"/>
      <c r="KEM10" s="1202"/>
      <c r="KEN10" s="1202"/>
      <c r="KEO10" s="1202"/>
      <c r="KEP10" s="1202"/>
      <c r="KEQ10" s="1202"/>
      <c r="KER10" s="1202"/>
      <c r="KES10" s="1202"/>
      <c r="KET10" s="1202"/>
      <c r="KEU10" s="1202"/>
      <c r="KEV10" s="1202"/>
      <c r="KEW10" s="1202"/>
      <c r="KEX10" s="1202"/>
      <c r="KEY10" s="1202"/>
      <c r="KEZ10" s="1202"/>
      <c r="KFA10" s="1202"/>
      <c r="KFB10" s="1202"/>
      <c r="KFC10" s="1202"/>
      <c r="KFD10" s="1202"/>
      <c r="KFE10" s="1202"/>
      <c r="KFF10" s="1202"/>
      <c r="KFG10" s="1202"/>
      <c r="KFH10" s="1202"/>
      <c r="KFI10" s="1202"/>
      <c r="KFJ10" s="1202"/>
      <c r="KFK10" s="1202"/>
      <c r="KFL10" s="1202"/>
      <c r="KFM10" s="1202"/>
      <c r="KFN10" s="1202"/>
      <c r="KFO10" s="1202"/>
      <c r="KFP10" s="1202"/>
      <c r="KFQ10" s="1202"/>
      <c r="KFR10" s="1202"/>
      <c r="KFS10" s="1202"/>
      <c r="KFT10" s="1202"/>
      <c r="KFU10" s="1202"/>
      <c r="KFV10" s="1202"/>
      <c r="KFW10" s="1202"/>
      <c r="KFX10" s="1202"/>
      <c r="KFY10" s="1202"/>
      <c r="KFZ10" s="1202"/>
      <c r="KGA10" s="1202"/>
      <c r="KGB10" s="1202"/>
      <c r="KGC10" s="1202"/>
      <c r="KGD10" s="1202"/>
      <c r="KGE10" s="1202"/>
      <c r="KGF10" s="1202"/>
      <c r="KGG10" s="1202"/>
      <c r="KGH10" s="1202"/>
      <c r="KGI10" s="1202"/>
      <c r="KGJ10" s="1202"/>
      <c r="KGK10" s="1202"/>
      <c r="KGL10" s="1202"/>
      <c r="KGM10" s="1202"/>
      <c r="KGN10" s="1202"/>
      <c r="KGO10" s="1202"/>
      <c r="KGP10" s="1202"/>
      <c r="KGQ10" s="1202"/>
      <c r="KGR10" s="1202"/>
      <c r="KGS10" s="1202"/>
      <c r="KGT10" s="1202"/>
      <c r="KGU10" s="1202"/>
      <c r="KGV10" s="1202"/>
      <c r="KGW10" s="1202"/>
      <c r="KGX10" s="1202"/>
      <c r="KGY10" s="1202"/>
      <c r="KGZ10" s="1202"/>
      <c r="KHA10" s="1202"/>
      <c r="KHB10" s="1202"/>
      <c r="KHC10" s="1202"/>
      <c r="KHD10" s="1202"/>
      <c r="KHE10" s="1202"/>
      <c r="KHF10" s="1202"/>
      <c r="KHG10" s="1202"/>
      <c r="KHH10" s="1202"/>
      <c r="KHI10" s="1202"/>
      <c r="KHJ10" s="1202"/>
      <c r="KHK10" s="1202"/>
      <c r="KHL10" s="1202"/>
      <c r="KHM10" s="1202"/>
      <c r="KHN10" s="1202"/>
      <c r="KHO10" s="1202"/>
      <c r="KHP10" s="1202"/>
      <c r="KHQ10" s="1202"/>
      <c r="KHR10" s="1202"/>
      <c r="KHS10" s="1202"/>
      <c r="KHT10" s="1202"/>
      <c r="KHU10" s="1202"/>
      <c r="KHV10" s="1202"/>
      <c r="KHW10" s="1202"/>
      <c r="KHX10" s="1202"/>
      <c r="KHY10" s="1202"/>
      <c r="KHZ10" s="1202"/>
      <c r="KIA10" s="1202"/>
      <c r="KIB10" s="1202"/>
      <c r="KIC10" s="1202"/>
      <c r="KID10" s="1202"/>
      <c r="KIE10" s="1202"/>
      <c r="KIF10" s="1202"/>
      <c r="KIG10" s="1202"/>
      <c r="KIH10" s="1202"/>
      <c r="KII10" s="1202"/>
      <c r="KIJ10" s="1202"/>
      <c r="KIK10" s="1202"/>
      <c r="KIL10" s="1202"/>
      <c r="KIM10" s="1202"/>
      <c r="KIN10" s="1202"/>
      <c r="KIO10" s="1202"/>
      <c r="KIP10" s="1202"/>
      <c r="KIQ10" s="1202"/>
      <c r="KIR10" s="1202"/>
      <c r="KIS10" s="1202"/>
      <c r="KIT10" s="1202"/>
      <c r="KIU10" s="1202"/>
      <c r="KIV10" s="1202"/>
      <c r="KIW10" s="1202"/>
      <c r="KIX10" s="1202"/>
      <c r="KIY10" s="1202"/>
      <c r="KIZ10" s="1202"/>
      <c r="KJA10" s="1202"/>
      <c r="KJB10" s="1202"/>
      <c r="KJC10" s="1202"/>
      <c r="KJD10" s="1202"/>
      <c r="KJE10" s="1202"/>
      <c r="KJF10" s="1202"/>
      <c r="KJG10" s="1202"/>
      <c r="KJH10" s="1202"/>
      <c r="KJI10" s="1202"/>
      <c r="KJJ10" s="1202"/>
      <c r="KJK10" s="1202"/>
      <c r="KJL10" s="1202"/>
      <c r="KJM10" s="1202"/>
      <c r="KJN10" s="1202"/>
      <c r="KJO10" s="1202"/>
      <c r="KJP10" s="1202"/>
      <c r="KJQ10" s="1202"/>
      <c r="KJR10" s="1202"/>
      <c r="KJS10" s="1202"/>
      <c r="KJT10" s="1202"/>
      <c r="KJU10" s="1202"/>
      <c r="KJV10" s="1202"/>
      <c r="KJW10" s="1202"/>
      <c r="KJX10" s="1202"/>
      <c r="KJY10" s="1202"/>
      <c r="KJZ10" s="1202"/>
      <c r="KKA10" s="1202"/>
      <c r="KKB10" s="1202"/>
      <c r="KKC10" s="1202"/>
      <c r="KKD10" s="1202"/>
      <c r="KKE10" s="1202"/>
      <c r="KKF10" s="1202"/>
      <c r="KKG10" s="1202"/>
      <c r="KKH10" s="1202"/>
      <c r="KKI10" s="1202"/>
      <c r="KKJ10" s="1202"/>
      <c r="KKK10" s="1202"/>
      <c r="KKL10" s="1202"/>
      <c r="KKM10" s="1202"/>
      <c r="KKN10" s="1202"/>
      <c r="KKO10" s="1202"/>
      <c r="KKP10" s="1202"/>
      <c r="KKQ10" s="1202"/>
      <c r="KKR10" s="1202"/>
      <c r="KKS10" s="1202"/>
      <c r="KKT10" s="1202"/>
      <c r="KKU10" s="1202"/>
      <c r="KKV10" s="1202"/>
      <c r="KKW10" s="1202"/>
      <c r="KKX10" s="1202"/>
      <c r="KKY10" s="1202"/>
      <c r="KKZ10" s="1202"/>
      <c r="KLA10" s="1202"/>
      <c r="KLB10" s="1202"/>
      <c r="KLC10" s="1202"/>
      <c r="KLD10" s="1202"/>
      <c r="KLE10" s="1202"/>
      <c r="KLF10" s="1202"/>
      <c r="KLG10" s="1202"/>
      <c r="KLH10" s="1202"/>
      <c r="KLI10" s="1202"/>
      <c r="KLJ10" s="1202"/>
      <c r="KLK10" s="1202"/>
      <c r="KLL10" s="1202"/>
      <c r="KLM10" s="1202"/>
      <c r="KLN10" s="1202"/>
      <c r="KLO10" s="1202"/>
      <c r="KLP10" s="1202"/>
      <c r="KLQ10" s="1202"/>
      <c r="KLR10" s="1202"/>
      <c r="KLS10" s="1202"/>
      <c r="KLT10" s="1202"/>
      <c r="KLU10" s="1202"/>
      <c r="KLV10" s="1202"/>
      <c r="KLW10" s="1202"/>
      <c r="KLX10" s="1202"/>
      <c r="KLY10" s="1202"/>
      <c r="KLZ10" s="1202"/>
      <c r="KMA10" s="1202"/>
      <c r="KMB10" s="1202"/>
      <c r="KMC10" s="1202"/>
      <c r="KMD10" s="1202"/>
      <c r="KME10" s="1202"/>
      <c r="KMF10" s="1202"/>
      <c r="KMG10" s="1202"/>
      <c r="KMH10" s="1202"/>
      <c r="KMI10" s="1202"/>
      <c r="KMJ10" s="1202"/>
      <c r="KMK10" s="1202"/>
      <c r="KML10" s="1202"/>
      <c r="KMM10" s="1202"/>
      <c r="KMN10" s="1202"/>
      <c r="KMO10" s="1202"/>
      <c r="KMP10" s="1202"/>
      <c r="KMQ10" s="1202"/>
      <c r="KMR10" s="1202"/>
      <c r="KMS10" s="1202"/>
      <c r="KMT10" s="1202"/>
      <c r="KMU10" s="1202"/>
      <c r="KMV10" s="1202"/>
      <c r="KMW10" s="1202"/>
      <c r="KMX10" s="1202"/>
      <c r="KMY10" s="1202"/>
      <c r="KMZ10" s="1202"/>
      <c r="KNA10" s="1202"/>
      <c r="KNB10" s="1202"/>
      <c r="KNC10" s="1202"/>
      <c r="KND10" s="1202"/>
      <c r="KNE10" s="1202"/>
      <c r="KNF10" s="1202"/>
      <c r="KNG10" s="1202"/>
      <c r="KNH10" s="1202"/>
      <c r="KNI10" s="1202"/>
      <c r="KNJ10" s="1202"/>
      <c r="KNK10" s="1202"/>
      <c r="KNL10" s="1202"/>
      <c r="KNM10" s="1202"/>
      <c r="KNN10" s="1202"/>
      <c r="KNO10" s="1202"/>
      <c r="KNP10" s="1202"/>
      <c r="KNQ10" s="1202"/>
      <c r="KNR10" s="1202"/>
      <c r="KNS10" s="1202"/>
      <c r="KNT10" s="1202"/>
      <c r="KNU10" s="1202"/>
      <c r="KNV10" s="1202"/>
      <c r="KNW10" s="1202"/>
      <c r="KNX10" s="1202"/>
      <c r="KNY10" s="1202"/>
      <c r="KNZ10" s="1202"/>
      <c r="KOA10" s="1202"/>
      <c r="KOB10" s="1202"/>
      <c r="KOC10" s="1202"/>
      <c r="KOD10" s="1202"/>
      <c r="KOE10" s="1202"/>
      <c r="KOF10" s="1202"/>
      <c r="KOG10" s="1202"/>
      <c r="KOH10" s="1202"/>
      <c r="KOI10" s="1202"/>
      <c r="KOJ10" s="1202"/>
      <c r="KOK10" s="1202"/>
      <c r="KOL10" s="1202"/>
      <c r="KOM10" s="1202"/>
      <c r="KON10" s="1202"/>
      <c r="KOO10" s="1202"/>
      <c r="KOP10" s="1202"/>
      <c r="KOQ10" s="1202"/>
      <c r="KOR10" s="1202"/>
      <c r="KOS10" s="1202"/>
      <c r="KOT10" s="1202"/>
      <c r="KOU10" s="1202"/>
      <c r="KOV10" s="1202"/>
      <c r="KOW10" s="1202"/>
      <c r="KOX10" s="1202"/>
      <c r="KOY10" s="1202"/>
      <c r="KOZ10" s="1202"/>
      <c r="KPA10" s="1202"/>
      <c r="KPB10" s="1202"/>
      <c r="KPC10" s="1202"/>
      <c r="KPD10" s="1202"/>
      <c r="KPE10" s="1202"/>
      <c r="KPF10" s="1202"/>
      <c r="KPG10" s="1202"/>
      <c r="KPH10" s="1202"/>
      <c r="KPI10" s="1202"/>
      <c r="KPJ10" s="1202"/>
      <c r="KPK10" s="1202"/>
      <c r="KPL10" s="1202"/>
      <c r="KPM10" s="1202"/>
      <c r="KPN10" s="1202"/>
      <c r="KPO10" s="1202"/>
      <c r="KPP10" s="1202"/>
      <c r="KPQ10" s="1202"/>
      <c r="KPR10" s="1202"/>
      <c r="KPS10" s="1202"/>
      <c r="KPT10" s="1202"/>
      <c r="KPU10" s="1202"/>
      <c r="KPV10" s="1202"/>
      <c r="KPW10" s="1202"/>
      <c r="KPX10" s="1202"/>
      <c r="KPY10" s="1202"/>
      <c r="KPZ10" s="1202"/>
      <c r="KQA10" s="1202"/>
      <c r="KQB10" s="1202"/>
      <c r="KQC10" s="1202"/>
      <c r="KQD10" s="1202"/>
      <c r="KQE10" s="1202"/>
      <c r="KQF10" s="1202"/>
      <c r="KQG10" s="1202"/>
      <c r="KQH10" s="1202"/>
      <c r="KQI10" s="1202"/>
      <c r="KQJ10" s="1202"/>
      <c r="KQK10" s="1202"/>
      <c r="KQL10" s="1202"/>
      <c r="KQM10" s="1202"/>
      <c r="KQN10" s="1202"/>
      <c r="KQO10" s="1202"/>
      <c r="KQP10" s="1202"/>
      <c r="KQQ10" s="1202"/>
      <c r="KQR10" s="1202"/>
      <c r="KQS10" s="1202"/>
      <c r="KQT10" s="1202"/>
      <c r="KQU10" s="1202"/>
      <c r="KQV10" s="1202"/>
      <c r="KQW10" s="1202"/>
      <c r="KQX10" s="1202"/>
      <c r="KQY10" s="1202"/>
      <c r="KQZ10" s="1202"/>
      <c r="KRA10" s="1202"/>
      <c r="KRB10" s="1202"/>
      <c r="KRC10" s="1202"/>
      <c r="KRD10" s="1202"/>
      <c r="KRE10" s="1202"/>
      <c r="KRF10" s="1202"/>
      <c r="KRG10" s="1202"/>
      <c r="KRH10" s="1202"/>
      <c r="KRI10" s="1202"/>
      <c r="KRJ10" s="1202"/>
      <c r="KRK10" s="1202"/>
      <c r="KRL10" s="1202"/>
      <c r="KRM10" s="1202"/>
      <c r="KRN10" s="1202"/>
      <c r="KRO10" s="1202"/>
      <c r="KRP10" s="1202"/>
      <c r="KRQ10" s="1202"/>
      <c r="KRR10" s="1202"/>
      <c r="KRS10" s="1202"/>
      <c r="KRT10" s="1202"/>
      <c r="KRU10" s="1202"/>
      <c r="KRV10" s="1202"/>
      <c r="KRW10" s="1202"/>
      <c r="KRX10" s="1202"/>
      <c r="KRY10" s="1202"/>
      <c r="KRZ10" s="1202"/>
      <c r="KSA10" s="1202"/>
      <c r="KSB10" s="1202"/>
      <c r="KSC10" s="1202"/>
      <c r="KSD10" s="1202"/>
      <c r="KSE10" s="1202"/>
      <c r="KSF10" s="1202"/>
      <c r="KSG10" s="1202"/>
      <c r="KSH10" s="1202"/>
      <c r="KSI10" s="1202"/>
      <c r="KSJ10" s="1202"/>
      <c r="KSK10" s="1202"/>
      <c r="KSL10" s="1202"/>
      <c r="KSM10" s="1202"/>
      <c r="KSN10" s="1202"/>
      <c r="KSO10" s="1202"/>
      <c r="KSP10" s="1202"/>
      <c r="KSQ10" s="1202"/>
      <c r="KSR10" s="1202"/>
      <c r="KSS10" s="1202"/>
      <c r="KST10" s="1202"/>
      <c r="KSU10" s="1202"/>
      <c r="KSV10" s="1202"/>
      <c r="KSW10" s="1202"/>
      <c r="KSX10" s="1202"/>
      <c r="KSY10" s="1202"/>
      <c r="KSZ10" s="1202"/>
      <c r="KTA10" s="1202"/>
      <c r="KTB10" s="1202"/>
      <c r="KTC10" s="1202"/>
      <c r="KTD10" s="1202"/>
      <c r="KTE10" s="1202"/>
      <c r="KTF10" s="1202"/>
      <c r="KTG10" s="1202"/>
      <c r="KTH10" s="1202"/>
      <c r="KTI10" s="1202"/>
      <c r="KTJ10" s="1202"/>
      <c r="KTK10" s="1202"/>
      <c r="KTL10" s="1202"/>
      <c r="KTM10" s="1202"/>
      <c r="KTN10" s="1202"/>
      <c r="KTO10" s="1202"/>
      <c r="KTP10" s="1202"/>
      <c r="KTQ10" s="1202"/>
      <c r="KTR10" s="1202"/>
      <c r="KTS10" s="1202"/>
      <c r="KTT10" s="1202"/>
      <c r="KTU10" s="1202"/>
      <c r="KTV10" s="1202"/>
      <c r="KTW10" s="1202"/>
      <c r="KTX10" s="1202"/>
      <c r="KTY10" s="1202"/>
      <c r="KTZ10" s="1202"/>
      <c r="KUA10" s="1202"/>
      <c r="KUB10" s="1202"/>
      <c r="KUC10" s="1202"/>
      <c r="KUD10" s="1202"/>
      <c r="KUE10" s="1202"/>
      <c r="KUF10" s="1202"/>
      <c r="KUG10" s="1202"/>
      <c r="KUH10" s="1202"/>
      <c r="KUI10" s="1202"/>
      <c r="KUJ10" s="1202"/>
      <c r="KUK10" s="1202"/>
      <c r="KUL10" s="1202"/>
      <c r="KUM10" s="1202"/>
      <c r="KUN10" s="1202"/>
      <c r="KUO10" s="1202"/>
      <c r="KUP10" s="1202"/>
      <c r="KUQ10" s="1202"/>
      <c r="KUR10" s="1202"/>
      <c r="KUS10" s="1202"/>
      <c r="KUT10" s="1202"/>
      <c r="KUU10" s="1202"/>
      <c r="KUV10" s="1202"/>
      <c r="KUW10" s="1202"/>
      <c r="KUX10" s="1202"/>
      <c r="KUY10" s="1202"/>
      <c r="KUZ10" s="1202"/>
      <c r="KVA10" s="1202"/>
      <c r="KVB10" s="1202"/>
      <c r="KVC10" s="1202"/>
      <c r="KVD10" s="1202"/>
      <c r="KVE10" s="1202"/>
      <c r="KVF10" s="1202"/>
      <c r="KVG10" s="1202"/>
      <c r="KVH10" s="1202"/>
      <c r="KVI10" s="1202"/>
      <c r="KVJ10" s="1202"/>
      <c r="KVK10" s="1202"/>
      <c r="KVL10" s="1202"/>
      <c r="KVM10" s="1202"/>
      <c r="KVN10" s="1202"/>
      <c r="KVO10" s="1202"/>
      <c r="KVP10" s="1202"/>
      <c r="KVQ10" s="1202"/>
      <c r="KVR10" s="1202"/>
      <c r="KVS10" s="1202"/>
      <c r="KVT10" s="1202"/>
      <c r="KVU10" s="1202"/>
      <c r="KVV10" s="1202"/>
      <c r="KVW10" s="1202"/>
      <c r="KVX10" s="1202"/>
      <c r="KVY10" s="1202"/>
      <c r="KVZ10" s="1202"/>
      <c r="KWA10" s="1202"/>
      <c r="KWB10" s="1202"/>
      <c r="KWC10" s="1202"/>
      <c r="KWD10" s="1202"/>
      <c r="KWE10" s="1202"/>
      <c r="KWF10" s="1202"/>
      <c r="KWG10" s="1202"/>
      <c r="KWH10" s="1202"/>
      <c r="KWI10" s="1202"/>
      <c r="KWJ10" s="1202"/>
      <c r="KWK10" s="1202"/>
      <c r="KWL10" s="1202"/>
      <c r="KWM10" s="1202"/>
      <c r="KWN10" s="1202"/>
      <c r="KWO10" s="1202"/>
      <c r="KWP10" s="1202"/>
      <c r="KWQ10" s="1202"/>
      <c r="KWR10" s="1202"/>
      <c r="KWS10" s="1202"/>
      <c r="KWT10" s="1202"/>
      <c r="KWU10" s="1202"/>
      <c r="KWV10" s="1202"/>
      <c r="KWW10" s="1202"/>
      <c r="KWX10" s="1202"/>
      <c r="KWY10" s="1202"/>
      <c r="KWZ10" s="1202"/>
      <c r="KXA10" s="1202"/>
      <c r="KXB10" s="1202"/>
      <c r="KXC10" s="1202"/>
      <c r="KXD10" s="1202"/>
      <c r="KXE10" s="1202"/>
      <c r="KXF10" s="1202"/>
      <c r="KXG10" s="1202"/>
      <c r="KXH10" s="1202"/>
      <c r="KXI10" s="1202"/>
      <c r="KXJ10" s="1202"/>
      <c r="KXK10" s="1202"/>
      <c r="KXL10" s="1202"/>
      <c r="KXM10" s="1202"/>
      <c r="KXN10" s="1202"/>
      <c r="KXO10" s="1202"/>
      <c r="KXP10" s="1202"/>
      <c r="KXQ10" s="1202"/>
      <c r="KXR10" s="1202"/>
      <c r="KXS10" s="1202"/>
      <c r="KXT10" s="1202"/>
      <c r="KXU10" s="1202"/>
      <c r="KXV10" s="1202"/>
      <c r="KXW10" s="1202"/>
      <c r="KXX10" s="1202"/>
      <c r="KXY10" s="1202"/>
      <c r="KXZ10" s="1202"/>
      <c r="KYA10" s="1202"/>
      <c r="KYB10" s="1202"/>
      <c r="KYC10" s="1202"/>
      <c r="KYD10" s="1202"/>
      <c r="KYE10" s="1202"/>
      <c r="KYF10" s="1202"/>
      <c r="KYG10" s="1202"/>
      <c r="KYH10" s="1202"/>
      <c r="KYI10" s="1202"/>
      <c r="KYJ10" s="1202"/>
      <c r="KYK10" s="1202"/>
      <c r="KYL10" s="1202"/>
      <c r="KYM10" s="1202"/>
      <c r="KYN10" s="1202"/>
      <c r="KYO10" s="1202"/>
      <c r="KYP10" s="1202"/>
      <c r="KYQ10" s="1202"/>
      <c r="KYR10" s="1202"/>
      <c r="KYS10" s="1202"/>
      <c r="KYT10" s="1202"/>
      <c r="KYU10" s="1202"/>
      <c r="KYV10" s="1202"/>
      <c r="KYW10" s="1202"/>
      <c r="KYX10" s="1202"/>
      <c r="KYY10" s="1202"/>
      <c r="KYZ10" s="1202"/>
      <c r="KZA10" s="1202"/>
      <c r="KZB10" s="1202"/>
      <c r="KZC10" s="1202"/>
      <c r="KZD10" s="1202"/>
      <c r="KZE10" s="1202"/>
      <c r="KZF10" s="1202"/>
      <c r="KZG10" s="1202"/>
      <c r="KZH10" s="1202"/>
      <c r="KZI10" s="1202"/>
      <c r="KZJ10" s="1202"/>
      <c r="KZK10" s="1202"/>
      <c r="KZL10" s="1202"/>
      <c r="KZM10" s="1202"/>
      <c r="KZN10" s="1202"/>
      <c r="KZO10" s="1202"/>
      <c r="KZP10" s="1202"/>
      <c r="KZQ10" s="1202"/>
      <c r="KZR10" s="1202"/>
      <c r="KZS10" s="1202"/>
      <c r="KZT10" s="1202"/>
      <c r="KZU10" s="1202"/>
      <c r="KZV10" s="1202"/>
      <c r="KZW10" s="1202"/>
      <c r="KZX10" s="1202"/>
      <c r="KZY10" s="1202"/>
      <c r="KZZ10" s="1202"/>
      <c r="LAA10" s="1202"/>
      <c r="LAB10" s="1202"/>
      <c r="LAC10" s="1202"/>
      <c r="LAD10" s="1202"/>
      <c r="LAE10" s="1202"/>
      <c r="LAF10" s="1202"/>
      <c r="LAG10" s="1202"/>
      <c r="LAH10" s="1202"/>
      <c r="LAI10" s="1202"/>
      <c r="LAJ10" s="1202"/>
      <c r="LAK10" s="1202"/>
      <c r="LAL10" s="1202"/>
      <c r="LAM10" s="1202"/>
      <c r="LAN10" s="1202"/>
      <c r="LAO10" s="1202"/>
      <c r="LAP10" s="1202"/>
      <c r="LAQ10" s="1202"/>
      <c r="LAR10" s="1202"/>
      <c r="LAS10" s="1202"/>
      <c r="LAT10" s="1202"/>
      <c r="LAU10" s="1202"/>
      <c r="LAV10" s="1202"/>
      <c r="LAW10" s="1202"/>
      <c r="LAX10" s="1202"/>
      <c r="LAY10" s="1202"/>
      <c r="LAZ10" s="1202"/>
      <c r="LBA10" s="1202"/>
      <c r="LBB10" s="1202"/>
      <c r="LBC10" s="1202"/>
      <c r="LBD10" s="1202"/>
      <c r="LBE10" s="1202"/>
      <c r="LBF10" s="1202"/>
      <c r="LBG10" s="1202"/>
      <c r="LBH10" s="1202"/>
      <c r="LBI10" s="1202"/>
      <c r="LBJ10" s="1202"/>
      <c r="LBK10" s="1202"/>
      <c r="LBL10" s="1202"/>
      <c r="LBM10" s="1202"/>
      <c r="LBN10" s="1202"/>
      <c r="LBO10" s="1202"/>
      <c r="LBP10" s="1202"/>
      <c r="LBQ10" s="1202"/>
      <c r="LBR10" s="1202"/>
      <c r="LBS10" s="1202"/>
      <c r="LBT10" s="1202"/>
      <c r="LBU10" s="1202"/>
      <c r="LBV10" s="1202"/>
      <c r="LBW10" s="1202"/>
      <c r="LBX10" s="1202"/>
      <c r="LBY10" s="1202"/>
      <c r="LBZ10" s="1202"/>
      <c r="LCA10" s="1202"/>
      <c r="LCB10" s="1202"/>
      <c r="LCC10" s="1202"/>
      <c r="LCD10" s="1202"/>
      <c r="LCE10" s="1202"/>
      <c r="LCF10" s="1202"/>
      <c r="LCG10" s="1202"/>
      <c r="LCH10" s="1202"/>
      <c r="LCI10" s="1202"/>
      <c r="LCJ10" s="1202"/>
      <c r="LCK10" s="1202"/>
      <c r="LCL10" s="1202"/>
      <c r="LCM10" s="1202"/>
      <c r="LCN10" s="1202"/>
      <c r="LCO10" s="1202"/>
      <c r="LCP10" s="1202"/>
      <c r="LCQ10" s="1202"/>
      <c r="LCR10" s="1202"/>
      <c r="LCS10" s="1202"/>
      <c r="LCT10" s="1202"/>
      <c r="LCU10" s="1202"/>
      <c r="LCV10" s="1202"/>
      <c r="LCW10" s="1202"/>
      <c r="LCX10" s="1202"/>
      <c r="LCY10" s="1202"/>
      <c r="LCZ10" s="1202"/>
      <c r="LDA10" s="1202"/>
      <c r="LDB10" s="1202"/>
      <c r="LDC10" s="1202"/>
      <c r="LDD10" s="1202"/>
      <c r="LDE10" s="1202"/>
      <c r="LDF10" s="1202"/>
      <c r="LDG10" s="1202"/>
      <c r="LDH10" s="1202"/>
      <c r="LDI10" s="1202"/>
      <c r="LDJ10" s="1202"/>
      <c r="LDK10" s="1202"/>
      <c r="LDL10" s="1202"/>
      <c r="LDM10" s="1202"/>
      <c r="LDN10" s="1202"/>
      <c r="LDO10" s="1202"/>
      <c r="LDP10" s="1202"/>
      <c r="LDQ10" s="1202"/>
      <c r="LDR10" s="1202"/>
      <c r="LDS10" s="1202"/>
      <c r="LDT10" s="1202"/>
      <c r="LDU10" s="1202"/>
      <c r="LDV10" s="1202"/>
      <c r="LDW10" s="1202"/>
      <c r="LDX10" s="1202"/>
      <c r="LDY10" s="1202"/>
      <c r="LDZ10" s="1202"/>
      <c r="LEA10" s="1202"/>
      <c r="LEB10" s="1202"/>
      <c r="LEC10" s="1202"/>
      <c r="LED10" s="1202"/>
      <c r="LEE10" s="1202"/>
      <c r="LEF10" s="1202"/>
      <c r="LEG10" s="1202"/>
      <c r="LEH10" s="1202"/>
      <c r="LEI10" s="1202"/>
      <c r="LEJ10" s="1202"/>
      <c r="LEK10" s="1202"/>
      <c r="LEL10" s="1202"/>
      <c r="LEM10" s="1202"/>
      <c r="LEN10" s="1202"/>
      <c r="LEO10" s="1202"/>
      <c r="LEP10" s="1202"/>
      <c r="LEQ10" s="1202"/>
      <c r="LER10" s="1202"/>
      <c r="LES10" s="1202"/>
      <c r="LET10" s="1202"/>
      <c r="LEU10" s="1202"/>
      <c r="LEV10" s="1202"/>
      <c r="LEW10" s="1202"/>
      <c r="LEX10" s="1202"/>
      <c r="LEY10" s="1202"/>
      <c r="LEZ10" s="1202"/>
      <c r="LFA10" s="1202"/>
      <c r="LFB10" s="1202"/>
      <c r="LFC10" s="1202"/>
      <c r="LFD10" s="1202"/>
      <c r="LFE10" s="1202"/>
      <c r="LFF10" s="1202"/>
      <c r="LFG10" s="1202"/>
      <c r="LFH10" s="1202"/>
      <c r="LFI10" s="1202"/>
      <c r="LFJ10" s="1202"/>
      <c r="LFK10" s="1202"/>
      <c r="LFL10" s="1202"/>
      <c r="LFM10" s="1202"/>
      <c r="LFN10" s="1202"/>
      <c r="LFO10" s="1202"/>
      <c r="LFP10" s="1202"/>
      <c r="LFQ10" s="1202"/>
      <c r="LFR10" s="1202"/>
      <c r="LFS10" s="1202"/>
      <c r="LFT10" s="1202"/>
      <c r="LFU10" s="1202"/>
      <c r="LFV10" s="1202"/>
      <c r="LFW10" s="1202"/>
      <c r="LFX10" s="1202"/>
      <c r="LFY10" s="1202"/>
      <c r="LFZ10" s="1202"/>
      <c r="LGA10" s="1202"/>
      <c r="LGB10" s="1202"/>
      <c r="LGC10" s="1202"/>
      <c r="LGD10" s="1202"/>
      <c r="LGE10" s="1202"/>
      <c r="LGF10" s="1202"/>
      <c r="LGG10" s="1202"/>
      <c r="LGH10" s="1202"/>
      <c r="LGI10" s="1202"/>
      <c r="LGJ10" s="1202"/>
      <c r="LGK10" s="1202"/>
      <c r="LGL10" s="1202"/>
      <c r="LGM10" s="1202"/>
      <c r="LGN10" s="1202"/>
      <c r="LGO10" s="1202"/>
      <c r="LGP10" s="1202"/>
      <c r="LGQ10" s="1202"/>
      <c r="LGR10" s="1202"/>
      <c r="LGS10" s="1202"/>
      <c r="LGT10" s="1202"/>
      <c r="LGU10" s="1202"/>
      <c r="LGV10" s="1202"/>
      <c r="LGW10" s="1202"/>
      <c r="LGX10" s="1202"/>
      <c r="LGY10" s="1202"/>
      <c r="LGZ10" s="1202"/>
      <c r="LHA10" s="1202"/>
      <c r="LHB10" s="1202"/>
      <c r="LHC10" s="1202"/>
      <c r="LHD10" s="1202"/>
      <c r="LHE10" s="1202"/>
      <c r="LHF10" s="1202"/>
      <c r="LHG10" s="1202"/>
      <c r="LHH10" s="1202"/>
      <c r="LHI10" s="1202"/>
      <c r="LHJ10" s="1202"/>
      <c r="LHK10" s="1202"/>
      <c r="LHL10" s="1202"/>
      <c r="LHM10" s="1202"/>
      <c r="LHN10" s="1202"/>
      <c r="LHO10" s="1202"/>
      <c r="LHP10" s="1202"/>
      <c r="LHQ10" s="1202"/>
      <c r="LHR10" s="1202"/>
      <c r="LHS10" s="1202"/>
      <c r="LHT10" s="1202"/>
      <c r="LHU10" s="1202"/>
      <c r="LHV10" s="1202"/>
      <c r="LHW10" s="1202"/>
      <c r="LHX10" s="1202"/>
      <c r="LHY10" s="1202"/>
      <c r="LHZ10" s="1202"/>
      <c r="LIA10" s="1202"/>
      <c r="LIB10" s="1202"/>
      <c r="LIC10" s="1202"/>
      <c r="LID10" s="1202"/>
      <c r="LIE10" s="1202"/>
      <c r="LIF10" s="1202"/>
      <c r="LIG10" s="1202"/>
      <c r="LIH10" s="1202"/>
      <c r="LII10" s="1202"/>
      <c r="LIJ10" s="1202"/>
      <c r="LIK10" s="1202"/>
      <c r="LIL10" s="1202"/>
      <c r="LIM10" s="1202"/>
      <c r="LIN10" s="1202"/>
      <c r="LIO10" s="1202"/>
      <c r="LIP10" s="1202"/>
      <c r="LIQ10" s="1202"/>
      <c r="LIR10" s="1202"/>
      <c r="LIS10" s="1202"/>
      <c r="LIT10" s="1202"/>
      <c r="LIU10" s="1202"/>
      <c r="LIV10" s="1202"/>
      <c r="LIW10" s="1202"/>
      <c r="LIX10" s="1202"/>
      <c r="LIY10" s="1202"/>
      <c r="LIZ10" s="1202"/>
      <c r="LJA10" s="1202"/>
      <c r="LJB10" s="1202"/>
      <c r="LJC10" s="1202"/>
      <c r="LJD10" s="1202"/>
      <c r="LJE10" s="1202"/>
      <c r="LJF10" s="1202"/>
      <c r="LJG10" s="1202"/>
      <c r="LJH10" s="1202"/>
      <c r="LJI10" s="1202"/>
      <c r="LJJ10" s="1202"/>
      <c r="LJK10" s="1202"/>
      <c r="LJL10" s="1202"/>
      <c r="LJM10" s="1202"/>
      <c r="LJN10" s="1202"/>
      <c r="LJO10" s="1202"/>
      <c r="LJP10" s="1202"/>
      <c r="LJQ10" s="1202"/>
      <c r="LJR10" s="1202"/>
      <c r="LJS10" s="1202"/>
      <c r="LJT10" s="1202"/>
      <c r="LJU10" s="1202"/>
      <c r="LJV10" s="1202"/>
      <c r="LJW10" s="1202"/>
      <c r="LJX10" s="1202"/>
      <c r="LJY10" s="1202"/>
      <c r="LJZ10" s="1202"/>
      <c r="LKA10" s="1202"/>
      <c r="LKB10" s="1202"/>
      <c r="LKC10" s="1202"/>
      <c r="LKD10" s="1202"/>
      <c r="LKE10" s="1202"/>
      <c r="LKF10" s="1202"/>
      <c r="LKG10" s="1202"/>
      <c r="LKH10" s="1202"/>
      <c r="LKI10" s="1202"/>
      <c r="LKJ10" s="1202"/>
      <c r="LKK10" s="1202"/>
      <c r="LKL10" s="1202"/>
      <c r="LKM10" s="1202"/>
      <c r="LKN10" s="1202"/>
      <c r="LKO10" s="1202"/>
      <c r="LKP10" s="1202"/>
      <c r="LKQ10" s="1202"/>
      <c r="LKR10" s="1202"/>
      <c r="LKS10" s="1202"/>
      <c r="LKT10" s="1202"/>
      <c r="LKU10" s="1202"/>
      <c r="LKV10" s="1202"/>
      <c r="LKW10" s="1202"/>
      <c r="LKX10" s="1202"/>
      <c r="LKY10" s="1202"/>
      <c r="LKZ10" s="1202"/>
      <c r="LLA10" s="1202"/>
      <c r="LLB10" s="1202"/>
      <c r="LLC10" s="1202"/>
      <c r="LLD10" s="1202"/>
      <c r="LLE10" s="1202"/>
      <c r="LLF10" s="1202"/>
      <c r="LLG10" s="1202"/>
      <c r="LLH10" s="1202"/>
      <c r="LLI10" s="1202"/>
      <c r="LLJ10" s="1202"/>
      <c r="LLK10" s="1202"/>
      <c r="LLL10" s="1202"/>
      <c r="LLM10" s="1202"/>
      <c r="LLN10" s="1202"/>
      <c r="LLO10" s="1202"/>
      <c r="LLP10" s="1202"/>
      <c r="LLQ10" s="1202"/>
      <c r="LLR10" s="1202"/>
      <c r="LLS10" s="1202"/>
      <c r="LLT10" s="1202"/>
      <c r="LLU10" s="1202"/>
      <c r="LLV10" s="1202"/>
      <c r="LLW10" s="1202"/>
      <c r="LLX10" s="1202"/>
      <c r="LLY10" s="1202"/>
      <c r="LLZ10" s="1202"/>
      <c r="LMA10" s="1202"/>
      <c r="LMB10" s="1202"/>
      <c r="LMC10" s="1202"/>
      <c r="LMD10" s="1202"/>
      <c r="LME10" s="1202"/>
      <c r="LMF10" s="1202"/>
      <c r="LMG10" s="1202"/>
      <c r="LMH10" s="1202"/>
      <c r="LMI10" s="1202"/>
      <c r="LMJ10" s="1202"/>
      <c r="LMK10" s="1202"/>
      <c r="LML10" s="1202"/>
      <c r="LMM10" s="1202"/>
      <c r="LMN10" s="1202"/>
      <c r="LMO10" s="1202"/>
      <c r="LMP10" s="1202"/>
      <c r="LMQ10" s="1202"/>
      <c r="LMR10" s="1202"/>
      <c r="LMS10" s="1202"/>
      <c r="LMT10" s="1202"/>
      <c r="LMU10" s="1202"/>
      <c r="LMV10" s="1202"/>
      <c r="LMW10" s="1202"/>
      <c r="LMX10" s="1202"/>
      <c r="LMY10" s="1202"/>
      <c r="LMZ10" s="1202"/>
      <c r="LNA10" s="1202"/>
      <c r="LNB10" s="1202"/>
      <c r="LNC10" s="1202"/>
      <c r="LND10" s="1202"/>
      <c r="LNE10" s="1202"/>
      <c r="LNF10" s="1202"/>
      <c r="LNG10" s="1202"/>
      <c r="LNH10" s="1202"/>
      <c r="LNI10" s="1202"/>
      <c r="LNJ10" s="1202"/>
      <c r="LNK10" s="1202"/>
      <c r="LNL10" s="1202"/>
      <c r="LNM10" s="1202"/>
      <c r="LNN10" s="1202"/>
      <c r="LNO10" s="1202"/>
      <c r="LNP10" s="1202"/>
      <c r="LNQ10" s="1202"/>
      <c r="LNR10" s="1202"/>
      <c r="LNS10" s="1202"/>
      <c r="LNT10" s="1202"/>
      <c r="LNU10" s="1202"/>
      <c r="LNV10" s="1202"/>
      <c r="LNW10" s="1202"/>
      <c r="LNX10" s="1202"/>
      <c r="LNY10" s="1202"/>
      <c r="LNZ10" s="1202"/>
      <c r="LOA10" s="1202"/>
      <c r="LOB10" s="1202"/>
      <c r="LOC10" s="1202"/>
      <c r="LOD10" s="1202"/>
      <c r="LOE10" s="1202"/>
      <c r="LOF10" s="1202"/>
      <c r="LOG10" s="1202"/>
      <c r="LOH10" s="1202"/>
      <c r="LOI10" s="1202"/>
      <c r="LOJ10" s="1202"/>
      <c r="LOK10" s="1202"/>
      <c r="LOL10" s="1202"/>
      <c r="LOM10" s="1202"/>
      <c r="LON10" s="1202"/>
      <c r="LOO10" s="1202"/>
      <c r="LOP10" s="1202"/>
      <c r="LOQ10" s="1202"/>
      <c r="LOR10" s="1202"/>
      <c r="LOS10" s="1202"/>
      <c r="LOT10" s="1202"/>
      <c r="LOU10" s="1202"/>
      <c r="LOV10" s="1202"/>
      <c r="LOW10" s="1202"/>
      <c r="LOX10" s="1202"/>
      <c r="LOY10" s="1202"/>
      <c r="LOZ10" s="1202"/>
      <c r="LPA10" s="1202"/>
      <c r="LPB10" s="1202"/>
      <c r="LPC10" s="1202"/>
      <c r="LPD10" s="1202"/>
      <c r="LPE10" s="1202"/>
      <c r="LPF10" s="1202"/>
      <c r="LPG10" s="1202"/>
      <c r="LPH10" s="1202"/>
      <c r="LPI10" s="1202"/>
      <c r="LPJ10" s="1202"/>
      <c r="LPK10" s="1202"/>
      <c r="LPL10" s="1202"/>
      <c r="LPM10" s="1202"/>
      <c r="LPN10" s="1202"/>
      <c r="LPO10" s="1202"/>
      <c r="LPP10" s="1202"/>
      <c r="LPQ10" s="1202"/>
      <c r="LPR10" s="1202"/>
      <c r="LPS10" s="1202"/>
      <c r="LPT10" s="1202"/>
      <c r="LPU10" s="1202"/>
      <c r="LPV10" s="1202"/>
      <c r="LPW10" s="1202"/>
      <c r="LPX10" s="1202"/>
      <c r="LPY10" s="1202"/>
      <c r="LPZ10" s="1202"/>
      <c r="LQA10" s="1202"/>
      <c r="LQB10" s="1202"/>
      <c r="LQC10" s="1202"/>
      <c r="LQD10" s="1202"/>
      <c r="LQE10" s="1202"/>
      <c r="LQF10" s="1202"/>
      <c r="LQG10" s="1202"/>
      <c r="LQH10" s="1202"/>
      <c r="LQI10" s="1202"/>
      <c r="LQJ10" s="1202"/>
      <c r="LQK10" s="1202"/>
      <c r="LQL10" s="1202"/>
      <c r="LQM10" s="1202"/>
      <c r="LQN10" s="1202"/>
      <c r="LQO10" s="1202"/>
      <c r="LQP10" s="1202"/>
      <c r="LQQ10" s="1202"/>
      <c r="LQR10" s="1202"/>
      <c r="LQS10" s="1202"/>
      <c r="LQT10" s="1202"/>
      <c r="LQU10" s="1202"/>
      <c r="LQV10" s="1202"/>
      <c r="LQW10" s="1202"/>
      <c r="LQX10" s="1202"/>
      <c r="LQY10" s="1202"/>
      <c r="LQZ10" s="1202"/>
      <c r="LRA10" s="1202"/>
      <c r="LRB10" s="1202"/>
      <c r="LRC10" s="1202"/>
      <c r="LRD10" s="1202"/>
      <c r="LRE10" s="1202"/>
      <c r="LRF10" s="1202"/>
      <c r="LRG10" s="1202"/>
      <c r="LRH10" s="1202"/>
      <c r="LRI10" s="1202"/>
      <c r="LRJ10" s="1202"/>
      <c r="LRK10" s="1202"/>
      <c r="LRL10" s="1202"/>
      <c r="LRM10" s="1202"/>
      <c r="LRN10" s="1202"/>
      <c r="LRO10" s="1202"/>
      <c r="LRP10" s="1202"/>
      <c r="LRQ10" s="1202"/>
      <c r="LRR10" s="1202"/>
      <c r="LRS10" s="1202"/>
      <c r="LRT10" s="1202"/>
      <c r="LRU10" s="1202"/>
      <c r="LRV10" s="1202"/>
      <c r="LRW10" s="1202"/>
      <c r="LRX10" s="1202"/>
      <c r="LRY10" s="1202"/>
      <c r="LRZ10" s="1202"/>
      <c r="LSA10" s="1202"/>
      <c r="LSB10" s="1202"/>
      <c r="LSC10" s="1202"/>
      <c r="LSD10" s="1202"/>
      <c r="LSE10" s="1202"/>
      <c r="LSF10" s="1202"/>
      <c r="LSG10" s="1202"/>
      <c r="LSH10" s="1202"/>
      <c r="LSI10" s="1202"/>
      <c r="LSJ10" s="1202"/>
      <c r="LSK10" s="1202"/>
      <c r="LSL10" s="1202"/>
      <c r="LSM10" s="1202"/>
      <c r="LSN10" s="1202"/>
      <c r="LSO10" s="1202"/>
      <c r="LSP10" s="1202"/>
      <c r="LSQ10" s="1202"/>
      <c r="LSR10" s="1202"/>
      <c r="LSS10" s="1202"/>
      <c r="LST10" s="1202"/>
      <c r="LSU10" s="1202"/>
      <c r="LSV10" s="1202"/>
      <c r="LSW10" s="1202"/>
      <c r="LSX10" s="1202"/>
      <c r="LSY10" s="1202"/>
      <c r="LSZ10" s="1202"/>
      <c r="LTA10" s="1202"/>
      <c r="LTB10" s="1202"/>
      <c r="LTC10" s="1202"/>
      <c r="LTD10" s="1202"/>
      <c r="LTE10" s="1202"/>
      <c r="LTF10" s="1202"/>
      <c r="LTG10" s="1202"/>
      <c r="LTH10" s="1202"/>
      <c r="LTI10" s="1202"/>
      <c r="LTJ10" s="1202"/>
      <c r="LTK10" s="1202"/>
      <c r="LTL10" s="1202"/>
      <c r="LTM10" s="1202"/>
      <c r="LTN10" s="1202"/>
      <c r="LTO10" s="1202"/>
      <c r="LTP10" s="1202"/>
      <c r="LTQ10" s="1202"/>
      <c r="LTR10" s="1202"/>
      <c r="LTS10" s="1202"/>
      <c r="LTT10" s="1202"/>
      <c r="LTU10" s="1202"/>
      <c r="LTV10" s="1202"/>
      <c r="LTW10" s="1202"/>
      <c r="LTX10" s="1202"/>
      <c r="LTY10" s="1202"/>
      <c r="LTZ10" s="1202"/>
      <c r="LUA10" s="1202"/>
      <c r="LUB10" s="1202"/>
      <c r="LUC10" s="1202"/>
      <c r="LUD10" s="1202"/>
      <c r="LUE10" s="1202"/>
      <c r="LUF10" s="1202"/>
      <c r="LUG10" s="1202"/>
      <c r="LUH10" s="1202"/>
      <c r="LUI10" s="1202"/>
      <c r="LUJ10" s="1202"/>
      <c r="LUK10" s="1202"/>
      <c r="LUL10" s="1202"/>
      <c r="LUM10" s="1202"/>
      <c r="LUN10" s="1202"/>
      <c r="LUO10" s="1202"/>
      <c r="LUP10" s="1202"/>
      <c r="LUQ10" s="1202"/>
      <c r="LUR10" s="1202"/>
      <c r="LUS10" s="1202"/>
      <c r="LUT10" s="1202"/>
      <c r="LUU10" s="1202"/>
      <c r="LUV10" s="1202"/>
      <c r="LUW10" s="1202"/>
      <c r="LUX10" s="1202"/>
      <c r="LUY10" s="1202"/>
      <c r="LUZ10" s="1202"/>
      <c r="LVA10" s="1202"/>
      <c r="LVB10" s="1202"/>
      <c r="LVC10" s="1202"/>
      <c r="LVD10" s="1202"/>
      <c r="LVE10" s="1202"/>
      <c r="LVF10" s="1202"/>
      <c r="LVG10" s="1202"/>
      <c r="LVH10" s="1202"/>
      <c r="LVI10" s="1202"/>
      <c r="LVJ10" s="1202"/>
      <c r="LVK10" s="1202"/>
      <c r="LVL10" s="1202"/>
      <c r="LVM10" s="1202"/>
      <c r="LVN10" s="1202"/>
      <c r="LVO10" s="1202"/>
      <c r="LVP10" s="1202"/>
      <c r="LVQ10" s="1202"/>
      <c r="LVR10" s="1202"/>
      <c r="LVS10" s="1202"/>
      <c r="LVT10" s="1202"/>
      <c r="LVU10" s="1202"/>
      <c r="LVV10" s="1202"/>
      <c r="LVW10" s="1202"/>
      <c r="LVX10" s="1202"/>
      <c r="LVY10" s="1202"/>
      <c r="LVZ10" s="1202"/>
      <c r="LWA10" s="1202"/>
      <c r="LWB10" s="1202"/>
      <c r="LWC10" s="1202"/>
      <c r="LWD10" s="1202"/>
      <c r="LWE10" s="1202"/>
      <c r="LWF10" s="1202"/>
      <c r="LWG10" s="1202"/>
      <c r="LWH10" s="1202"/>
      <c r="LWI10" s="1202"/>
      <c r="LWJ10" s="1202"/>
      <c r="LWK10" s="1202"/>
      <c r="LWL10" s="1202"/>
      <c r="LWM10" s="1202"/>
      <c r="LWN10" s="1202"/>
      <c r="LWO10" s="1202"/>
      <c r="LWP10" s="1202"/>
      <c r="LWQ10" s="1202"/>
      <c r="LWR10" s="1202"/>
      <c r="LWS10" s="1202"/>
      <c r="LWT10" s="1202"/>
      <c r="LWU10" s="1202"/>
      <c r="LWV10" s="1202"/>
      <c r="LWW10" s="1202"/>
      <c r="LWX10" s="1202"/>
      <c r="LWY10" s="1202"/>
      <c r="LWZ10" s="1202"/>
      <c r="LXA10" s="1202"/>
      <c r="LXB10" s="1202"/>
      <c r="LXC10" s="1202"/>
      <c r="LXD10" s="1202"/>
      <c r="LXE10" s="1202"/>
      <c r="LXF10" s="1202"/>
      <c r="LXG10" s="1202"/>
      <c r="LXH10" s="1202"/>
      <c r="LXI10" s="1202"/>
      <c r="LXJ10" s="1202"/>
      <c r="LXK10" s="1202"/>
      <c r="LXL10" s="1202"/>
      <c r="LXM10" s="1202"/>
      <c r="LXN10" s="1202"/>
      <c r="LXO10" s="1202"/>
      <c r="LXP10" s="1202"/>
      <c r="LXQ10" s="1202"/>
      <c r="LXR10" s="1202"/>
      <c r="LXS10" s="1202"/>
      <c r="LXT10" s="1202"/>
      <c r="LXU10" s="1202"/>
      <c r="LXV10" s="1202"/>
      <c r="LXW10" s="1202"/>
      <c r="LXX10" s="1202"/>
      <c r="LXY10" s="1202"/>
      <c r="LXZ10" s="1202"/>
      <c r="LYA10" s="1202"/>
      <c r="LYB10" s="1202"/>
      <c r="LYC10" s="1202"/>
      <c r="LYD10" s="1202"/>
      <c r="LYE10" s="1202"/>
      <c r="LYF10" s="1202"/>
      <c r="LYG10" s="1202"/>
      <c r="LYH10" s="1202"/>
      <c r="LYI10" s="1202"/>
      <c r="LYJ10" s="1202"/>
      <c r="LYK10" s="1202"/>
      <c r="LYL10" s="1202"/>
      <c r="LYM10" s="1202"/>
      <c r="LYN10" s="1202"/>
      <c r="LYO10" s="1202"/>
      <c r="LYP10" s="1202"/>
      <c r="LYQ10" s="1202"/>
      <c r="LYR10" s="1202"/>
      <c r="LYS10" s="1202"/>
      <c r="LYT10" s="1202"/>
      <c r="LYU10" s="1202"/>
      <c r="LYV10" s="1202"/>
      <c r="LYW10" s="1202"/>
      <c r="LYX10" s="1202"/>
      <c r="LYY10" s="1202"/>
      <c r="LYZ10" s="1202"/>
      <c r="LZA10" s="1202"/>
      <c r="LZB10" s="1202"/>
      <c r="LZC10" s="1202"/>
      <c r="LZD10" s="1202"/>
      <c r="LZE10" s="1202"/>
      <c r="LZF10" s="1202"/>
      <c r="LZG10" s="1202"/>
      <c r="LZH10" s="1202"/>
      <c r="LZI10" s="1202"/>
      <c r="LZJ10" s="1202"/>
      <c r="LZK10" s="1202"/>
      <c r="LZL10" s="1202"/>
      <c r="LZM10" s="1202"/>
      <c r="LZN10" s="1202"/>
      <c r="LZO10" s="1202"/>
      <c r="LZP10" s="1202"/>
      <c r="LZQ10" s="1202"/>
      <c r="LZR10" s="1202"/>
      <c r="LZS10" s="1202"/>
      <c r="LZT10" s="1202"/>
      <c r="LZU10" s="1202"/>
      <c r="LZV10" s="1202"/>
      <c r="LZW10" s="1202"/>
      <c r="LZX10" s="1202"/>
      <c r="LZY10" s="1202"/>
      <c r="LZZ10" s="1202"/>
      <c r="MAA10" s="1202"/>
      <c r="MAB10" s="1202"/>
      <c r="MAC10" s="1202"/>
      <c r="MAD10" s="1202"/>
      <c r="MAE10" s="1202"/>
      <c r="MAF10" s="1202"/>
      <c r="MAG10" s="1202"/>
      <c r="MAH10" s="1202"/>
      <c r="MAI10" s="1202"/>
      <c r="MAJ10" s="1202"/>
      <c r="MAK10" s="1202"/>
      <c r="MAL10" s="1202"/>
      <c r="MAM10" s="1202"/>
      <c r="MAN10" s="1202"/>
      <c r="MAO10" s="1202"/>
      <c r="MAP10" s="1202"/>
      <c r="MAQ10" s="1202"/>
      <c r="MAR10" s="1202"/>
      <c r="MAS10" s="1202"/>
      <c r="MAT10" s="1202"/>
      <c r="MAU10" s="1202"/>
      <c r="MAV10" s="1202"/>
      <c r="MAW10" s="1202"/>
      <c r="MAX10" s="1202"/>
      <c r="MAY10" s="1202"/>
      <c r="MAZ10" s="1202"/>
      <c r="MBA10" s="1202"/>
      <c r="MBB10" s="1202"/>
      <c r="MBC10" s="1202"/>
      <c r="MBD10" s="1202"/>
      <c r="MBE10" s="1202"/>
      <c r="MBF10" s="1202"/>
      <c r="MBG10" s="1202"/>
      <c r="MBH10" s="1202"/>
      <c r="MBI10" s="1202"/>
      <c r="MBJ10" s="1202"/>
      <c r="MBK10" s="1202"/>
      <c r="MBL10" s="1202"/>
      <c r="MBM10" s="1202"/>
      <c r="MBN10" s="1202"/>
      <c r="MBO10" s="1202"/>
      <c r="MBP10" s="1202"/>
      <c r="MBQ10" s="1202"/>
      <c r="MBR10" s="1202"/>
      <c r="MBS10" s="1202"/>
      <c r="MBT10" s="1202"/>
      <c r="MBU10" s="1202"/>
      <c r="MBV10" s="1202"/>
      <c r="MBW10" s="1202"/>
      <c r="MBX10" s="1202"/>
      <c r="MBY10" s="1202"/>
      <c r="MBZ10" s="1202"/>
      <c r="MCA10" s="1202"/>
      <c r="MCB10" s="1202"/>
      <c r="MCC10" s="1202"/>
      <c r="MCD10" s="1202"/>
      <c r="MCE10" s="1202"/>
      <c r="MCF10" s="1202"/>
      <c r="MCG10" s="1202"/>
      <c r="MCH10" s="1202"/>
      <c r="MCI10" s="1202"/>
      <c r="MCJ10" s="1202"/>
      <c r="MCK10" s="1202"/>
      <c r="MCL10" s="1202"/>
      <c r="MCM10" s="1202"/>
      <c r="MCN10" s="1202"/>
      <c r="MCO10" s="1202"/>
      <c r="MCP10" s="1202"/>
      <c r="MCQ10" s="1202"/>
      <c r="MCR10" s="1202"/>
      <c r="MCS10" s="1202"/>
      <c r="MCT10" s="1202"/>
      <c r="MCU10" s="1202"/>
      <c r="MCV10" s="1202"/>
      <c r="MCW10" s="1202"/>
      <c r="MCX10" s="1202"/>
      <c r="MCY10" s="1202"/>
      <c r="MCZ10" s="1202"/>
      <c r="MDA10" s="1202"/>
      <c r="MDB10" s="1202"/>
      <c r="MDC10" s="1202"/>
      <c r="MDD10" s="1202"/>
      <c r="MDE10" s="1202"/>
      <c r="MDF10" s="1202"/>
      <c r="MDG10" s="1202"/>
      <c r="MDH10" s="1202"/>
      <c r="MDI10" s="1202"/>
      <c r="MDJ10" s="1202"/>
      <c r="MDK10" s="1202"/>
      <c r="MDL10" s="1202"/>
      <c r="MDM10" s="1202"/>
      <c r="MDN10" s="1202"/>
      <c r="MDO10" s="1202"/>
      <c r="MDP10" s="1202"/>
      <c r="MDQ10" s="1202"/>
      <c r="MDR10" s="1202"/>
      <c r="MDS10" s="1202"/>
      <c r="MDT10" s="1202"/>
      <c r="MDU10" s="1202"/>
      <c r="MDV10" s="1202"/>
      <c r="MDW10" s="1202"/>
      <c r="MDX10" s="1202"/>
      <c r="MDY10" s="1202"/>
      <c r="MDZ10" s="1202"/>
      <c r="MEA10" s="1202"/>
      <c r="MEB10" s="1202"/>
      <c r="MEC10" s="1202"/>
      <c r="MED10" s="1202"/>
      <c r="MEE10" s="1202"/>
      <c r="MEF10" s="1202"/>
      <c r="MEG10" s="1202"/>
      <c r="MEH10" s="1202"/>
      <c r="MEI10" s="1202"/>
      <c r="MEJ10" s="1202"/>
      <c r="MEK10" s="1202"/>
      <c r="MEL10" s="1202"/>
      <c r="MEM10" s="1202"/>
      <c r="MEN10" s="1202"/>
      <c r="MEO10" s="1202"/>
      <c r="MEP10" s="1202"/>
      <c r="MEQ10" s="1202"/>
      <c r="MER10" s="1202"/>
      <c r="MES10" s="1202"/>
      <c r="MET10" s="1202"/>
      <c r="MEU10" s="1202"/>
      <c r="MEV10" s="1202"/>
      <c r="MEW10" s="1202"/>
      <c r="MEX10" s="1202"/>
      <c r="MEY10" s="1202"/>
      <c r="MEZ10" s="1202"/>
      <c r="MFA10" s="1202"/>
      <c r="MFB10" s="1202"/>
      <c r="MFC10" s="1202"/>
      <c r="MFD10" s="1202"/>
      <c r="MFE10" s="1202"/>
      <c r="MFF10" s="1202"/>
      <c r="MFG10" s="1202"/>
      <c r="MFH10" s="1202"/>
      <c r="MFI10" s="1202"/>
      <c r="MFJ10" s="1202"/>
      <c r="MFK10" s="1202"/>
      <c r="MFL10" s="1202"/>
      <c r="MFM10" s="1202"/>
      <c r="MFN10" s="1202"/>
      <c r="MFO10" s="1202"/>
      <c r="MFP10" s="1202"/>
      <c r="MFQ10" s="1202"/>
      <c r="MFR10" s="1202"/>
      <c r="MFS10" s="1202"/>
      <c r="MFT10" s="1202"/>
      <c r="MFU10" s="1202"/>
      <c r="MFV10" s="1202"/>
      <c r="MFW10" s="1202"/>
      <c r="MFX10" s="1202"/>
      <c r="MFY10" s="1202"/>
      <c r="MFZ10" s="1202"/>
      <c r="MGA10" s="1202"/>
      <c r="MGB10" s="1202"/>
      <c r="MGC10" s="1202"/>
      <c r="MGD10" s="1202"/>
      <c r="MGE10" s="1202"/>
      <c r="MGF10" s="1202"/>
      <c r="MGG10" s="1202"/>
      <c r="MGH10" s="1202"/>
      <c r="MGI10" s="1202"/>
      <c r="MGJ10" s="1202"/>
      <c r="MGK10" s="1202"/>
      <c r="MGL10" s="1202"/>
      <c r="MGM10" s="1202"/>
      <c r="MGN10" s="1202"/>
      <c r="MGO10" s="1202"/>
      <c r="MGP10" s="1202"/>
      <c r="MGQ10" s="1202"/>
      <c r="MGR10" s="1202"/>
      <c r="MGS10" s="1202"/>
      <c r="MGT10" s="1202"/>
      <c r="MGU10" s="1202"/>
      <c r="MGV10" s="1202"/>
      <c r="MGW10" s="1202"/>
      <c r="MGX10" s="1202"/>
      <c r="MGY10" s="1202"/>
      <c r="MGZ10" s="1202"/>
      <c r="MHA10" s="1202"/>
      <c r="MHB10" s="1202"/>
      <c r="MHC10" s="1202"/>
      <c r="MHD10" s="1202"/>
      <c r="MHE10" s="1202"/>
      <c r="MHF10" s="1202"/>
      <c r="MHG10" s="1202"/>
      <c r="MHH10" s="1202"/>
      <c r="MHI10" s="1202"/>
      <c r="MHJ10" s="1202"/>
      <c r="MHK10" s="1202"/>
      <c r="MHL10" s="1202"/>
      <c r="MHM10" s="1202"/>
      <c r="MHN10" s="1202"/>
      <c r="MHO10" s="1202"/>
      <c r="MHP10" s="1202"/>
      <c r="MHQ10" s="1202"/>
      <c r="MHR10" s="1202"/>
      <c r="MHS10" s="1202"/>
      <c r="MHT10" s="1202"/>
      <c r="MHU10" s="1202"/>
      <c r="MHV10" s="1202"/>
      <c r="MHW10" s="1202"/>
      <c r="MHX10" s="1202"/>
      <c r="MHY10" s="1202"/>
      <c r="MHZ10" s="1202"/>
      <c r="MIA10" s="1202"/>
      <c r="MIB10" s="1202"/>
      <c r="MIC10" s="1202"/>
      <c r="MID10" s="1202"/>
      <c r="MIE10" s="1202"/>
      <c r="MIF10" s="1202"/>
      <c r="MIG10" s="1202"/>
      <c r="MIH10" s="1202"/>
      <c r="MII10" s="1202"/>
      <c r="MIJ10" s="1202"/>
      <c r="MIK10" s="1202"/>
      <c r="MIL10" s="1202"/>
      <c r="MIM10" s="1202"/>
      <c r="MIN10" s="1202"/>
      <c r="MIO10" s="1202"/>
      <c r="MIP10" s="1202"/>
      <c r="MIQ10" s="1202"/>
      <c r="MIR10" s="1202"/>
      <c r="MIS10" s="1202"/>
      <c r="MIT10" s="1202"/>
      <c r="MIU10" s="1202"/>
      <c r="MIV10" s="1202"/>
      <c r="MIW10" s="1202"/>
      <c r="MIX10" s="1202"/>
      <c r="MIY10" s="1202"/>
      <c r="MIZ10" s="1202"/>
      <c r="MJA10" s="1202"/>
      <c r="MJB10" s="1202"/>
      <c r="MJC10" s="1202"/>
      <c r="MJD10" s="1202"/>
      <c r="MJE10" s="1202"/>
      <c r="MJF10" s="1202"/>
      <c r="MJG10" s="1202"/>
      <c r="MJH10" s="1202"/>
      <c r="MJI10" s="1202"/>
      <c r="MJJ10" s="1202"/>
      <c r="MJK10" s="1202"/>
      <c r="MJL10" s="1202"/>
      <c r="MJM10" s="1202"/>
      <c r="MJN10" s="1202"/>
      <c r="MJO10" s="1202"/>
      <c r="MJP10" s="1202"/>
      <c r="MJQ10" s="1202"/>
      <c r="MJR10" s="1202"/>
      <c r="MJS10" s="1202"/>
      <c r="MJT10" s="1202"/>
      <c r="MJU10" s="1202"/>
      <c r="MJV10" s="1202"/>
      <c r="MJW10" s="1202"/>
      <c r="MJX10" s="1202"/>
      <c r="MJY10" s="1202"/>
      <c r="MJZ10" s="1202"/>
      <c r="MKA10" s="1202"/>
      <c r="MKB10" s="1202"/>
      <c r="MKC10" s="1202"/>
      <c r="MKD10" s="1202"/>
      <c r="MKE10" s="1202"/>
      <c r="MKF10" s="1202"/>
      <c r="MKG10" s="1202"/>
      <c r="MKH10" s="1202"/>
      <c r="MKI10" s="1202"/>
      <c r="MKJ10" s="1202"/>
      <c r="MKK10" s="1202"/>
      <c r="MKL10" s="1202"/>
      <c r="MKM10" s="1202"/>
      <c r="MKN10" s="1202"/>
      <c r="MKO10" s="1202"/>
      <c r="MKP10" s="1202"/>
      <c r="MKQ10" s="1202"/>
      <c r="MKR10" s="1202"/>
      <c r="MKS10" s="1202"/>
      <c r="MKT10" s="1202"/>
      <c r="MKU10" s="1202"/>
      <c r="MKV10" s="1202"/>
      <c r="MKW10" s="1202"/>
      <c r="MKX10" s="1202"/>
      <c r="MKY10" s="1202"/>
      <c r="MKZ10" s="1202"/>
      <c r="MLA10" s="1202"/>
      <c r="MLB10" s="1202"/>
      <c r="MLC10" s="1202"/>
      <c r="MLD10" s="1202"/>
      <c r="MLE10" s="1202"/>
      <c r="MLF10" s="1202"/>
      <c r="MLG10" s="1202"/>
      <c r="MLH10" s="1202"/>
      <c r="MLI10" s="1202"/>
      <c r="MLJ10" s="1202"/>
      <c r="MLK10" s="1202"/>
      <c r="MLL10" s="1202"/>
      <c r="MLM10" s="1202"/>
      <c r="MLN10" s="1202"/>
      <c r="MLO10" s="1202"/>
      <c r="MLP10" s="1202"/>
      <c r="MLQ10" s="1202"/>
      <c r="MLR10" s="1202"/>
      <c r="MLS10" s="1202"/>
      <c r="MLT10" s="1202"/>
      <c r="MLU10" s="1202"/>
      <c r="MLV10" s="1202"/>
      <c r="MLW10" s="1202"/>
      <c r="MLX10" s="1202"/>
      <c r="MLY10" s="1202"/>
      <c r="MLZ10" s="1202"/>
      <c r="MMA10" s="1202"/>
      <c r="MMB10" s="1202"/>
      <c r="MMC10" s="1202"/>
      <c r="MMD10" s="1202"/>
      <c r="MME10" s="1202"/>
      <c r="MMF10" s="1202"/>
      <c r="MMG10" s="1202"/>
      <c r="MMH10" s="1202"/>
      <c r="MMI10" s="1202"/>
      <c r="MMJ10" s="1202"/>
      <c r="MMK10" s="1202"/>
      <c r="MML10" s="1202"/>
      <c r="MMM10" s="1202"/>
      <c r="MMN10" s="1202"/>
      <c r="MMO10" s="1202"/>
      <c r="MMP10" s="1202"/>
      <c r="MMQ10" s="1202"/>
      <c r="MMR10" s="1202"/>
      <c r="MMS10" s="1202"/>
      <c r="MMT10" s="1202"/>
      <c r="MMU10" s="1202"/>
      <c r="MMV10" s="1202"/>
      <c r="MMW10" s="1202"/>
      <c r="MMX10" s="1202"/>
      <c r="MMY10" s="1202"/>
      <c r="MMZ10" s="1202"/>
      <c r="MNA10" s="1202"/>
      <c r="MNB10" s="1202"/>
      <c r="MNC10" s="1202"/>
      <c r="MND10" s="1202"/>
      <c r="MNE10" s="1202"/>
      <c r="MNF10" s="1202"/>
      <c r="MNG10" s="1202"/>
      <c r="MNH10" s="1202"/>
      <c r="MNI10" s="1202"/>
      <c r="MNJ10" s="1202"/>
      <c r="MNK10" s="1202"/>
      <c r="MNL10" s="1202"/>
      <c r="MNM10" s="1202"/>
      <c r="MNN10" s="1202"/>
      <c r="MNO10" s="1202"/>
      <c r="MNP10" s="1202"/>
      <c r="MNQ10" s="1202"/>
      <c r="MNR10" s="1202"/>
      <c r="MNS10" s="1202"/>
      <c r="MNT10" s="1202"/>
      <c r="MNU10" s="1202"/>
      <c r="MNV10" s="1202"/>
      <c r="MNW10" s="1202"/>
      <c r="MNX10" s="1202"/>
      <c r="MNY10" s="1202"/>
      <c r="MNZ10" s="1202"/>
      <c r="MOA10" s="1202"/>
      <c r="MOB10" s="1202"/>
      <c r="MOC10" s="1202"/>
      <c r="MOD10" s="1202"/>
      <c r="MOE10" s="1202"/>
      <c r="MOF10" s="1202"/>
      <c r="MOG10" s="1202"/>
      <c r="MOH10" s="1202"/>
      <c r="MOI10" s="1202"/>
      <c r="MOJ10" s="1202"/>
      <c r="MOK10" s="1202"/>
      <c r="MOL10" s="1202"/>
      <c r="MOM10" s="1202"/>
      <c r="MON10" s="1202"/>
      <c r="MOO10" s="1202"/>
      <c r="MOP10" s="1202"/>
      <c r="MOQ10" s="1202"/>
      <c r="MOR10" s="1202"/>
      <c r="MOS10" s="1202"/>
      <c r="MOT10" s="1202"/>
      <c r="MOU10" s="1202"/>
      <c r="MOV10" s="1202"/>
      <c r="MOW10" s="1202"/>
      <c r="MOX10" s="1202"/>
      <c r="MOY10" s="1202"/>
      <c r="MOZ10" s="1202"/>
      <c r="MPA10" s="1202"/>
      <c r="MPB10" s="1202"/>
      <c r="MPC10" s="1202"/>
      <c r="MPD10" s="1202"/>
      <c r="MPE10" s="1202"/>
      <c r="MPF10" s="1202"/>
      <c r="MPG10" s="1202"/>
      <c r="MPH10" s="1202"/>
      <c r="MPI10" s="1202"/>
      <c r="MPJ10" s="1202"/>
      <c r="MPK10" s="1202"/>
      <c r="MPL10" s="1202"/>
      <c r="MPM10" s="1202"/>
      <c r="MPN10" s="1202"/>
      <c r="MPO10" s="1202"/>
      <c r="MPP10" s="1202"/>
      <c r="MPQ10" s="1202"/>
      <c r="MPR10" s="1202"/>
      <c r="MPS10" s="1202"/>
      <c r="MPT10" s="1202"/>
      <c r="MPU10" s="1202"/>
      <c r="MPV10" s="1202"/>
      <c r="MPW10" s="1202"/>
      <c r="MPX10" s="1202"/>
      <c r="MPY10" s="1202"/>
      <c r="MPZ10" s="1202"/>
      <c r="MQA10" s="1202"/>
      <c r="MQB10" s="1202"/>
      <c r="MQC10" s="1202"/>
      <c r="MQD10" s="1202"/>
      <c r="MQE10" s="1202"/>
      <c r="MQF10" s="1202"/>
      <c r="MQG10" s="1202"/>
      <c r="MQH10" s="1202"/>
      <c r="MQI10" s="1202"/>
      <c r="MQJ10" s="1202"/>
      <c r="MQK10" s="1202"/>
      <c r="MQL10" s="1202"/>
      <c r="MQM10" s="1202"/>
      <c r="MQN10" s="1202"/>
      <c r="MQO10" s="1202"/>
      <c r="MQP10" s="1202"/>
      <c r="MQQ10" s="1202"/>
      <c r="MQR10" s="1202"/>
      <c r="MQS10" s="1202"/>
      <c r="MQT10" s="1202"/>
      <c r="MQU10" s="1202"/>
      <c r="MQV10" s="1202"/>
      <c r="MQW10" s="1202"/>
      <c r="MQX10" s="1202"/>
      <c r="MQY10" s="1202"/>
      <c r="MQZ10" s="1202"/>
      <c r="MRA10" s="1202"/>
      <c r="MRB10" s="1202"/>
      <c r="MRC10" s="1202"/>
      <c r="MRD10" s="1202"/>
      <c r="MRE10" s="1202"/>
      <c r="MRF10" s="1202"/>
      <c r="MRG10" s="1202"/>
      <c r="MRH10" s="1202"/>
      <c r="MRI10" s="1202"/>
      <c r="MRJ10" s="1202"/>
      <c r="MRK10" s="1202"/>
      <c r="MRL10" s="1202"/>
      <c r="MRM10" s="1202"/>
      <c r="MRN10" s="1202"/>
      <c r="MRO10" s="1202"/>
      <c r="MRP10" s="1202"/>
      <c r="MRQ10" s="1202"/>
      <c r="MRR10" s="1202"/>
      <c r="MRS10" s="1202"/>
      <c r="MRT10" s="1202"/>
      <c r="MRU10" s="1202"/>
      <c r="MRV10" s="1202"/>
      <c r="MRW10" s="1202"/>
      <c r="MRX10" s="1202"/>
      <c r="MRY10" s="1202"/>
      <c r="MRZ10" s="1202"/>
      <c r="MSA10" s="1202"/>
      <c r="MSB10" s="1202"/>
      <c r="MSC10" s="1202"/>
      <c r="MSD10" s="1202"/>
      <c r="MSE10" s="1202"/>
      <c r="MSF10" s="1202"/>
      <c r="MSG10" s="1202"/>
      <c r="MSH10" s="1202"/>
      <c r="MSI10" s="1202"/>
      <c r="MSJ10" s="1202"/>
      <c r="MSK10" s="1202"/>
      <c r="MSL10" s="1202"/>
      <c r="MSM10" s="1202"/>
      <c r="MSN10" s="1202"/>
      <c r="MSO10" s="1202"/>
      <c r="MSP10" s="1202"/>
      <c r="MSQ10" s="1202"/>
      <c r="MSR10" s="1202"/>
      <c r="MSS10" s="1202"/>
      <c r="MST10" s="1202"/>
      <c r="MSU10" s="1202"/>
      <c r="MSV10" s="1202"/>
      <c r="MSW10" s="1202"/>
      <c r="MSX10" s="1202"/>
      <c r="MSY10" s="1202"/>
      <c r="MSZ10" s="1202"/>
      <c r="MTA10" s="1202"/>
      <c r="MTB10" s="1202"/>
      <c r="MTC10" s="1202"/>
      <c r="MTD10" s="1202"/>
      <c r="MTE10" s="1202"/>
      <c r="MTF10" s="1202"/>
      <c r="MTG10" s="1202"/>
      <c r="MTH10" s="1202"/>
      <c r="MTI10" s="1202"/>
      <c r="MTJ10" s="1202"/>
      <c r="MTK10" s="1202"/>
      <c r="MTL10" s="1202"/>
      <c r="MTM10" s="1202"/>
      <c r="MTN10" s="1202"/>
      <c r="MTO10" s="1202"/>
      <c r="MTP10" s="1202"/>
      <c r="MTQ10" s="1202"/>
      <c r="MTR10" s="1202"/>
      <c r="MTS10" s="1202"/>
      <c r="MTT10" s="1202"/>
      <c r="MTU10" s="1202"/>
      <c r="MTV10" s="1202"/>
      <c r="MTW10" s="1202"/>
      <c r="MTX10" s="1202"/>
      <c r="MTY10" s="1202"/>
      <c r="MTZ10" s="1202"/>
      <c r="MUA10" s="1202"/>
      <c r="MUB10" s="1202"/>
      <c r="MUC10" s="1202"/>
      <c r="MUD10" s="1202"/>
      <c r="MUE10" s="1202"/>
      <c r="MUF10" s="1202"/>
      <c r="MUG10" s="1202"/>
      <c r="MUH10" s="1202"/>
      <c r="MUI10" s="1202"/>
      <c r="MUJ10" s="1202"/>
      <c r="MUK10" s="1202"/>
      <c r="MUL10" s="1202"/>
      <c r="MUM10" s="1202"/>
      <c r="MUN10" s="1202"/>
      <c r="MUO10" s="1202"/>
      <c r="MUP10" s="1202"/>
      <c r="MUQ10" s="1202"/>
      <c r="MUR10" s="1202"/>
      <c r="MUS10" s="1202"/>
      <c r="MUT10" s="1202"/>
      <c r="MUU10" s="1202"/>
      <c r="MUV10" s="1202"/>
      <c r="MUW10" s="1202"/>
      <c r="MUX10" s="1202"/>
      <c r="MUY10" s="1202"/>
      <c r="MUZ10" s="1202"/>
      <c r="MVA10" s="1202"/>
      <c r="MVB10" s="1202"/>
      <c r="MVC10" s="1202"/>
      <c r="MVD10" s="1202"/>
      <c r="MVE10" s="1202"/>
      <c r="MVF10" s="1202"/>
      <c r="MVG10" s="1202"/>
      <c r="MVH10" s="1202"/>
      <c r="MVI10" s="1202"/>
      <c r="MVJ10" s="1202"/>
      <c r="MVK10" s="1202"/>
      <c r="MVL10" s="1202"/>
      <c r="MVM10" s="1202"/>
      <c r="MVN10" s="1202"/>
      <c r="MVO10" s="1202"/>
      <c r="MVP10" s="1202"/>
      <c r="MVQ10" s="1202"/>
      <c r="MVR10" s="1202"/>
      <c r="MVS10" s="1202"/>
      <c r="MVT10" s="1202"/>
      <c r="MVU10" s="1202"/>
      <c r="MVV10" s="1202"/>
      <c r="MVW10" s="1202"/>
      <c r="MVX10" s="1202"/>
      <c r="MVY10" s="1202"/>
      <c r="MVZ10" s="1202"/>
      <c r="MWA10" s="1202"/>
      <c r="MWB10" s="1202"/>
      <c r="MWC10" s="1202"/>
      <c r="MWD10" s="1202"/>
      <c r="MWE10" s="1202"/>
      <c r="MWF10" s="1202"/>
      <c r="MWG10" s="1202"/>
      <c r="MWH10" s="1202"/>
      <c r="MWI10" s="1202"/>
      <c r="MWJ10" s="1202"/>
      <c r="MWK10" s="1202"/>
      <c r="MWL10" s="1202"/>
      <c r="MWM10" s="1202"/>
      <c r="MWN10" s="1202"/>
      <c r="MWO10" s="1202"/>
      <c r="MWP10" s="1202"/>
      <c r="MWQ10" s="1202"/>
      <c r="MWR10" s="1202"/>
      <c r="MWS10" s="1202"/>
      <c r="MWT10" s="1202"/>
      <c r="MWU10" s="1202"/>
      <c r="MWV10" s="1202"/>
      <c r="MWW10" s="1202"/>
      <c r="MWX10" s="1202"/>
      <c r="MWY10" s="1202"/>
      <c r="MWZ10" s="1202"/>
      <c r="MXA10" s="1202"/>
      <c r="MXB10" s="1202"/>
      <c r="MXC10" s="1202"/>
      <c r="MXD10" s="1202"/>
      <c r="MXE10" s="1202"/>
      <c r="MXF10" s="1202"/>
      <c r="MXG10" s="1202"/>
      <c r="MXH10" s="1202"/>
      <c r="MXI10" s="1202"/>
      <c r="MXJ10" s="1202"/>
      <c r="MXK10" s="1202"/>
      <c r="MXL10" s="1202"/>
      <c r="MXM10" s="1202"/>
      <c r="MXN10" s="1202"/>
      <c r="MXO10" s="1202"/>
      <c r="MXP10" s="1202"/>
      <c r="MXQ10" s="1202"/>
      <c r="MXR10" s="1202"/>
      <c r="MXS10" s="1202"/>
      <c r="MXT10" s="1202"/>
      <c r="MXU10" s="1202"/>
      <c r="MXV10" s="1202"/>
      <c r="MXW10" s="1202"/>
      <c r="MXX10" s="1202"/>
      <c r="MXY10" s="1202"/>
      <c r="MXZ10" s="1202"/>
      <c r="MYA10" s="1202"/>
      <c r="MYB10" s="1202"/>
      <c r="MYC10" s="1202"/>
      <c r="MYD10" s="1202"/>
      <c r="MYE10" s="1202"/>
      <c r="MYF10" s="1202"/>
      <c r="MYG10" s="1202"/>
      <c r="MYH10" s="1202"/>
      <c r="MYI10" s="1202"/>
      <c r="MYJ10" s="1202"/>
      <c r="MYK10" s="1202"/>
      <c r="MYL10" s="1202"/>
      <c r="MYM10" s="1202"/>
      <c r="MYN10" s="1202"/>
      <c r="MYO10" s="1202"/>
      <c r="MYP10" s="1202"/>
      <c r="MYQ10" s="1202"/>
      <c r="MYR10" s="1202"/>
      <c r="MYS10" s="1202"/>
      <c r="MYT10" s="1202"/>
      <c r="MYU10" s="1202"/>
      <c r="MYV10" s="1202"/>
      <c r="MYW10" s="1202"/>
      <c r="MYX10" s="1202"/>
      <c r="MYY10" s="1202"/>
      <c r="MYZ10" s="1202"/>
      <c r="MZA10" s="1202"/>
      <c r="MZB10" s="1202"/>
      <c r="MZC10" s="1202"/>
      <c r="MZD10" s="1202"/>
      <c r="MZE10" s="1202"/>
      <c r="MZF10" s="1202"/>
      <c r="MZG10" s="1202"/>
      <c r="MZH10" s="1202"/>
      <c r="MZI10" s="1202"/>
      <c r="MZJ10" s="1202"/>
      <c r="MZK10" s="1202"/>
      <c r="MZL10" s="1202"/>
      <c r="MZM10" s="1202"/>
      <c r="MZN10" s="1202"/>
      <c r="MZO10" s="1202"/>
      <c r="MZP10" s="1202"/>
      <c r="MZQ10" s="1202"/>
      <c r="MZR10" s="1202"/>
      <c r="MZS10" s="1202"/>
      <c r="MZT10" s="1202"/>
      <c r="MZU10" s="1202"/>
      <c r="MZV10" s="1202"/>
      <c r="MZW10" s="1202"/>
      <c r="MZX10" s="1202"/>
      <c r="MZY10" s="1202"/>
      <c r="MZZ10" s="1202"/>
      <c r="NAA10" s="1202"/>
      <c r="NAB10" s="1202"/>
      <c r="NAC10" s="1202"/>
      <c r="NAD10" s="1202"/>
      <c r="NAE10" s="1202"/>
      <c r="NAF10" s="1202"/>
      <c r="NAG10" s="1202"/>
      <c r="NAH10" s="1202"/>
      <c r="NAI10" s="1202"/>
      <c r="NAJ10" s="1202"/>
      <c r="NAK10" s="1202"/>
      <c r="NAL10" s="1202"/>
      <c r="NAM10" s="1202"/>
      <c r="NAN10" s="1202"/>
      <c r="NAO10" s="1202"/>
      <c r="NAP10" s="1202"/>
      <c r="NAQ10" s="1202"/>
      <c r="NAR10" s="1202"/>
      <c r="NAS10" s="1202"/>
      <c r="NAT10" s="1202"/>
      <c r="NAU10" s="1202"/>
      <c r="NAV10" s="1202"/>
      <c r="NAW10" s="1202"/>
      <c r="NAX10" s="1202"/>
      <c r="NAY10" s="1202"/>
      <c r="NAZ10" s="1202"/>
      <c r="NBA10" s="1202"/>
      <c r="NBB10" s="1202"/>
      <c r="NBC10" s="1202"/>
      <c r="NBD10" s="1202"/>
      <c r="NBE10" s="1202"/>
      <c r="NBF10" s="1202"/>
      <c r="NBG10" s="1202"/>
      <c r="NBH10" s="1202"/>
      <c r="NBI10" s="1202"/>
      <c r="NBJ10" s="1202"/>
      <c r="NBK10" s="1202"/>
      <c r="NBL10" s="1202"/>
      <c r="NBM10" s="1202"/>
      <c r="NBN10" s="1202"/>
      <c r="NBO10" s="1202"/>
      <c r="NBP10" s="1202"/>
      <c r="NBQ10" s="1202"/>
      <c r="NBR10" s="1202"/>
      <c r="NBS10" s="1202"/>
      <c r="NBT10" s="1202"/>
      <c r="NBU10" s="1202"/>
      <c r="NBV10" s="1202"/>
      <c r="NBW10" s="1202"/>
      <c r="NBX10" s="1202"/>
      <c r="NBY10" s="1202"/>
      <c r="NBZ10" s="1202"/>
      <c r="NCA10" s="1202"/>
      <c r="NCB10" s="1202"/>
      <c r="NCC10" s="1202"/>
      <c r="NCD10" s="1202"/>
      <c r="NCE10" s="1202"/>
      <c r="NCF10" s="1202"/>
      <c r="NCG10" s="1202"/>
      <c r="NCH10" s="1202"/>
      <c r="NCI10" s="1202"/>
      <c r="NCJ10" s="1202"/>
      <c r="NCK10" s="1202"/>
      <c r="NCL10" s="1202"/>
      <c r="NCM10" s="1202"/>
      <c r="NCN10" s="1202"/>
      <c r="NCO10" s="1202"/>
      <c r="NCP10" s="1202"/>
      <c r="NCQ10" s="1202"/>
      <c r="NCR10" s="1202"/>
      <c r="NCS10" s="1202"/>
      <c r="NCT10" s="1202"/>
      <c r="NCU10" s="1202"/>
      <c r="NCV10" s="1202"/>
      <c r="NCW10" s="1202"/>
      <c r="NCX10" s="1202"/>
      <c r="NCY10" s="1202"/>
      <c r="NCZ10" s="1202"/>
      <c r="NDA10" s="1202"/>
      <c r="NDB10" s="1202"/>
      <c r="NDC10" s="1202"/>
      <c r="NDD10" s="1202"/>
      <c r="NDE10" s="1202"/>
      <c r="NDF10" s="1202"/>
      <c r="NDG10" s="1202"/>
      <c r="NDH10" s="1202"/>
      <c r="NDI10" s="1202"/>
      <c r="NDJ10" s="1202"/>
      <c r="NDK10" s="1202"/>
      <c r="NDL10" s="1202"/>
      <c r="NDM10" s="1202"/>
      <c r="NDN10" s="1202"/>
      <c r="NDO10" s="1202"/>
      <c r="NDP10" s="1202"/>
      <c r="NDQ10" s="1202"/>
      <c r="NDR10" s="1202"/>
      <c r="NDS10" s="1202"/>
      <c r="NDT10" s="1202"/>
      <c r="NDU10" s="1202"/>
      <c r="NDV10" s="1202"/>
      <c r="NDW10" s="1202"/>
      <c r="NDX10" s="1202"/>
      <c r="NDY10" s="1202"/>
      <c r="NDZ10" s="1202"/>
      <c r="NEA10" s="1202"/>
      <c r="NEB10" s="1202"/>
      <c r="NEC10" s="1202"/>
      <c r="NED10" s="1202"/>
      <c r="NEE10" s="1202"/>
      <c r="NEF10" s="1202"/>
      <c r="NEG10" s="1202"/>
      <c r="NEH10" s="1202"/>
      <c r="NEI10" s="1202"/>
      <c r="NEJ10" s="1202"/>
      <c r="NEK10" s="1202"/>
      <c r="NEL10" s="1202"/>
      <c r="NEM10" s="1202"/>
      <c r="NEN10" s="1202"/>
      <c r="NEO10" s="1202"/>
      <c r="NEP10" s="1202"/>
      <c r="NEQ10" s="1202"/>
      <c r="NER10" s="1202"/>
      <c r="NES10" s="1202"/>
      <c r="NET10" s="1202"/>
      <c r="NEU10" s="1202"/>
      <c r="NEV10" s="1202"/>
      <c r="NEW10" s="1202"/>
      <c r="NEX10" s="1202"/>
      <c r="NEY10" s="1202"/>
      <c r="NEZ10" s="1202"/>
      <c r="NFA10" s="1202"/>
      <c r="NFB10" s="1202"/>
      <c r="NFC10" s="1202"/>
      <c r="NFD10" s="1202"/>
      <c r="NFE10" s="1202"/>
      <c r="NFF10" s="1202"/>
      <c r="NFG10" s="1202"/>
      <c r="NFH10" s="1202"/>
      <c r="NFI10" s="1202"/>
      <c r="NFJ10" s="1202"/>
      <c r="NFK10" s="1202"/>
      <c r="NFL10" s="1202"/>
      <c r="NFM10" s="1202"/>
      <c r="NFN10" s="1202"/>
      <c r="NFO10" s="1202"/>
      <c r="NFP10" s="1202"/>
      <c r="NFQ10" s="1202"/>
      <c r="NFR10" s="1202"/>
      <c r="NFS10" s="1202"/>
      <c r="NFT10" s="1202"/>
      <c r="NFU10" s="1202"/>
      <c r="NFV10" s="1202"/>
      <c r="NFW10" s="1202"/>
      <c r="NFX10" s="1202"/>
      <c r="NFY10" s="1202"/>
      <c r="NFZ10" s="1202"/>
      <c r="NGA10" s="1202"/>
      <c r="NGB10" s="1202"/>
      <c r="NGC10" s="1202"/>
      <c r="NGD10" s="1202"/>
      <c r="NGE10" s="1202"/>
      <c r="NGF10" s="1202"/>
      <c r="NGG10" s="1202"/>
      <c r="NGH10" s="1202"/>
      <c r="NGI10" s="1202"/>
      <c r="NGJ10" s="1202"/>
      <c r="NGK10" s="1202"/>
      <c r="NGL10" s="1202"/>
      <c r="NGM10" s="1202"/>
      <c r="NGN10" s="1202"/>
      <c r="NGO10" s="1202"/>
      <c r="NGP10" s="1202"/>
      <c r="NGQ10" s="1202"/>
      <c r="NGR10" s="1202"/>
      <c r="NGS10" s="1202"/>
      <c r="NGT10" s="1202"/>
      <c r="NGU10" s="1202"/>
      <c r="NGV10" s="1202"/>
      <c r="NGW10" s="1202"/>
      <c r="NGX10" s="1202"/>
      <c r="NGY10" s="1202"/>
      <c r="NGZ10" s="1202"/>
      <c r="NHA10" s="1202"/>
      <c r="NHB10" s="1202"/>
      <c r="NHC10" s="1202"/>
      <c r="NHD10" s="1202"/>
      <c r="NHE10" s="1202"/>
      <c r="NHF10" s="1202"/>
      <c r="NHG10" s="1202"/>
      <c r="NHH10" s="1202"/>
      <c r="NHI10" s="1202"/>
      <c r="NHJ10" s="1202"/>
      <c r="NHK10" s="1202"/>
      <c r="NHL10" s="1202"/>
      <c r="NHM10" s="1202"/>
      <c r="NHN10" s="1202"/>
      <c r="NHO10" s="1202"/>
      <c r="NHP10" s="1202"/>
      <c r="NHQ10" s="1202"/>
      <c r="NHR10" s="1202"/>
      <c r="NHS10" s="1202"/>
      <c r="NHT10" s="1202"/>
      <c r="NHU10" s="1202"/>
      <c r="NHV10" s="1202"/>
      <c r="NHW10" s="1202"/>
      <c r="NHX10" s="1202"/>
      <c r="NHY10" s="1202"/>
      <c r="NHZ10" s="1202"/>
      <c r="NIA10" s="1202"/>
      <c r="NIB10" s="1202"/>
      <c r="NIC10" s="1202"/>
      <c r="NID10" s="1202"/>
      <c r="NIE10" s="1202"/>
      <c r="NIF10" s="1202"/>
      <c r="NIG10" s="1202"/>
      <c r="NIH10" s="1202"/>
      <c r="NII10" s="1202"/>
      <c r="NIJ10" s="1202"/>
      <c r="NIK10" s="1202"/>
      <c r="NIL10" s="1202"/>
      <c r="NIM10" s="1202"/>
      <c r="NIN10" s="1202"/>
      <c r="NIO10" s="1202"/>
      <c r="NIP10" s="1202"/>
      <c r="NIQ10" s="1202"/>
      <c r="NIR10" s="1202"/>
      <c r="NIS10" s="1202"/>
      <c r="NIT10" s="1202"/>
      <c r="NIU10" s="1202"/>
      <c r="NIV10" s="1202"/>
      <c r="NIW10" s="1202"/>
      <c r="NIX10" s="1202"/>
      <c r="NIY10" s="1202"/>
      <c r="NIZ10" s="1202"/>
      <c r="NJA10" s="1202"/>
      <c r="NJB10" s="1202"/>
      <c r="NJC10" s="1202"/>
      <c r="NJD10" s="1202"/>
      <c r="NJE10" s="1202"/>
      <c r="NJF10" s="1202"/>
      <c r="NJG10" s="1202"/>
      <c r="NJH10" s="1202"/>
      <c r="NJI10" s="1202"/>
      <c r="NJJ10" s="1202"/>
      <c r="NJK10" s="1202"/>
      <c r="NJL10" s="1202"/>
      <c r="NJM10" s="1202"/>
      <c r="NJN10" s="1202"/>
      <c r="NJO10" s="1202"/>
      <c r="NJP10" s="1202"/>
      <c r="NJQ10" s="1202"/>
      <c r="NJR10" s="1202"/>
      <c r="NJS10" s="1202"/>
      <c r="NJT10" s="1202"/>
      <c r="NJU10" s="1202"/>
      <c r="NJV10" s="1202"/>
      <c r="NJW10" s="1202"/>
      <c r="NJX10" s="1202"/>
      <c r="NJY10" s="1202"/>
      <c r="NJZ10" s="1202"/>
      <c r="NKA10" s="1202"/>
      <c r="NKB10" s="1202"/>
      <c r="NKC10" s="1202"/>
      <c r="NKD10" s="1202"/>
      <c r="NKE10" s="1202"/>
      <c r="NKF10" s="1202"/>
      <c r="NKG10" s="1202"/>
      <c r="NKH10" s="1202"/>
      <c r="NKI10" s="1202"/>
      <c r="NKJ10" s="1202"/>
      <c r="NKK10" s="1202"/>
      <c r="NKL10" s="1202"/>
      <c r="NKM10" s="1202"/>
      <c r="NKN10" s="1202"/>
      <c r="NKO10" s="1202"/>
      <c r="NKP10" s="1202"/>
      <c r="NKQ10" s="1202"/>
      <c r="NKR10" s="1202"/>
      <c r="NKS10" s="1202"/>
      <c r="NKT10" s="1202"/>
      <c r="NKU10" s="1202"/>
      <c r="NKV10" s="1202"/>
      <c r="NKW10" s="1202"/>
      <c r="NKX10" s="1202"/>
      <c r="NKY10" s="1202"/>
      <c r="NKZ10" s="1202"/>
      <c r="NLA10" s="1202"/>
      <c r="NLB10" s="1202"/>
      <c r="NLC10" s="1202"/>
      <c r="NLD10" s="1202"/>
      <c r="NLE10" s="1202"/>
      <c r="NLF10" s="1202"/>
      <c r="NLG10" s="1202"/>
      <c r="NLH10" s="1202"/>
      <c r="NLI10" s="1202"/>
      <c r="NLJ10" s="1202"/>
      <c r="NLK10" s="1202"/>
      <c r="NLL10" s="1202"/>
      <c r="NLM10" s="1202"/>
      <c r="NLN10" s="1202"/>
      <c r="NLO10" s="1202"/>
      <c r="NLP10" s="1202"/>
      <c r="NLQ10" s="1202"/>
      <c r="NLR10" s="1202"/>
      <c r="NLS10" s="1202"/>
      <c r="NLT10" s="1202"/>
      <c r="NLU10" s="1202"/>
      <c r="NLV10" s="1202"/>
      <c r="NLW10" s="1202"/>
      <c r="NLX10" s="1202"/>
      <c r="NLY10" s="1202"/>
      <c r="NLZ10" s="1202"/>
      <c r="NMA10" s="1202"/>
      <c r="NMB10" s="1202"/>
      <c r="NMC10" s="1202"/>
      <c r="NMD10" s="1202"/>
      <c r="NME10" s="1202"/>
      <c r="NMF10" s="1202"/>
      <c r="NMG10" s="1202"/>
      <c r="NMH10" s="1202"/>
      <c r="NMI10" s="1202"/>
      <c r="NMJ10" s="1202"/>
      <c r="NMK10" s="1202"/>
      <c r="NML10" s="1202"/>
      <c r="NMM10" s="1202"/>
      <c r="NMN10" s="1202"/>
      <c r="NMO10" s="1202"/>
      <c r="NMP10" s="1202"/>
      <c r="NMQ10" s="1202"/>
      <c r="NMR10" s="1202"/>
      <c r="NMS10" s="1202"/>
      <c r="NMT10" s="1202"/>
      <c r="NMU10" s="1202"/>
      <c r="NMV10" s="1202"/>
      <c r="NMW10" s="1202"/>
      <c r="NMX10" s="1202"/>
      <c r="NMY10" s="1202"/>
      <c r="NMZ10" s="1202"/>
      <c r="NNA10" s="1202"/>
      <c r="NNB10" s="1202"/>
      <c r="NNC10" s="1202"/>
      <c r="NND10" s="1202"/>
      <c r="NNE10" s="1202"/>
      <c r="NNF10" s="1202"/>
      <c r="NNG10" s="1202"/>
      <c r="NNH10" s="1202"/>
      <c r="NNI10" s="1202"/>
      <c r="NNJ10" s="1202"/>
      <c r="NNK10" s="1202"/>
      <c r="NNL10" s="1202"/>
      <c r="NNM10" s="1202"/>
      <c r="NNN10" s="1202"/>
      <c r="NNO10" s="1202"/>
      <c r="NNP10" s="1202"/>
      <c r="NNQ10" s="1202"/>
      <c r="NNR10" s="1202"/>
      <c r="NNS10" s="1202"/>
      <c r="NNT10" s="1202"/>
      <c r="NNU10" s="1202"/>
      <c r="NNV10" s="1202"/>
      <c r="NNW10" s="1202"/>
      <c r="NNX10" s="1202"/>
      <c r="NNY10" s="1202"/>
      <c r="NNZ10" s="1202"/>
      <c r="NOA10" s="1202"/>
      <c r="NOB10" s="1202"/>
      <c r="NOC10" s="1202"/>
      <c r="NOD10" s="1202"/>
      <c r="NOE10" s="1202"/>
      <c r="NOF10" s="1202"/>
      <c r="NOG10" s="1202"/>
      <c r="NOH10" s="1202"/>
      <c r="NOI10" s="1202"/>
      <c r="NOJ10" s="1202"/>
      <c r="NOK10" s="1202"/>
      <c r="NOL10" s="1202"/>
      <c r="NOM10" s="1202"/>
      <c r="NON10" s="1202"/>
      <c r="NOO10" s="1202"/>
      <c r="NOP10" s="1202"/>
      <c r="NOQ10" s="1202"/>
      <c r="NOR10" s="1202"/>
      <c r="NOS10" s="1202"/>
      <c r="NOT10" s="1202"/>
      <c r="NOU10" s="1202"/>
      <c r="NOV10" s="1202"/>
      <c r="NOW10" s="1202"/>
      <c r="NOX10" s="1202"/>
      <c r="NOY10" s="1202"/>
      <c r="NOZ10" s="1202"/>
      <c r="NPA10" s="1202"/>
      <c r="NPB10" s="1202"/>
      <c r="NPC10" s="1202"/>
      <c r="NPD10" s="1202"/>
      <c r="NPE10" s="1202"/>
      <c r="NPF10" s="1202"/>
      <c r="NPG10" s="1202"/>
      <c r="NPH10" s="1202"/>
      <c r="NPI10" s="1202"/>
      <c r="NPJ10" s="1202"/>
      <c r="NPK10" s="1202"/>
      <c r="NPL10" s="1202"/>
      <c r="NPM10" s="1202"/>
      <c r="NPN10" s="1202"/>
      <c r="NPO10" s="1202"/>
      <c r="NPP10" s="1202"/>
      <c r="NPQ10" s="1202"/>
      <c r="NPR10" s="1202"/>
      <c r="NPS10" s="1202"/>
      <c r="NPT10" s="1202"/>
      <c r="NPU10" s="1202"/>
      <c r="NPV10" s="1202"/>
      <c r="NPW10" s="1202"/>
      <c r="NPX10" s="1202"/>
      <c r="NPY10" s="1202"/>
      <c r="NPZ10" s="1202"/>
      <c r="NQA10" s="1202"/>
      <c r="NQB10" s="1202"/>
      <c r="NQC10" s="1202"/>
      <c r="NQD10" s="1202"/>
      <c r="NQE10" s="1202"/>
      <c r="NQF10" s="1202"/>
      <c r="NQG10" s="1202"/>
      <c r="NQH10" s="1202"/>
      <c r="NQI10" s="1202"/>
      <c r="NQJ10" s="1202"/>
      <c r="NQK10" s="1202"/>
      <c r="NQL10" s="1202"/>
      <c r="NQM10" s="1202"/>
      <c r="NQN10" s="1202"/>
      <c r="NQO10" s="1202"/>
      <c r="NQP10" s="1202"/>
      <c r="NQQ10" s="1202"/>
      <c r="NQR10" s="1202"/>
      <c r="NQS10" s="1202"/>
      <c r="NQT10" s="1202"/>
      <c r="NQU10" s="1202"/>
      <c r="NQV10" s="1202"/>
      <c r="NQW10" s="1202"/>
      <c r="NQX10" s="1202"/>
      <c r="NQY10" s="1202"/>
      <c r="NQZ10" s="1202"/>
      <c r="NRA10" s="1202"/>
      <c r="NRB10" s="1202"/>
      <c r="NRC10" s="1202"/>
      <c r="NRD10" s="1202"/>
      <c r="NRE10" s="1202"/>
      <c r="NRF10" s="1202"/>
      <c r="NRG10" s="1202"/>
      <c r="NRH10" s="1202"/>
      <c r="NRI10" s="1202"/>
      <c r="NRJ10" s="1202"/>
      <c r="NRK10" s="1202"/>
      <c r="NRL10" s="1202"/>
      <c r="NRM10" s="1202"/>
      <c r="NRN10" s="1202"/>
      <c r="NRO10" s="1202"/>
      <c r="NRP10" s="1202"/>
      <c r="NRQ10" s="1202"/>
      <c r="NRR10" s="1202"/>
      <c r="NRS10" s="1202"/>
      <c r="NRT10" s="1202"/>
      <c r="NRU10" s="1202"/>
      <c r="NRV10" s="1202"/>
      <c r="NRW10" s="1202"/>
      <c r="NRX10" s="1202"/>
      <c r="NRY10" s="1202"/>
      <c r="NRZ10" s="1202"/>
      <c r="NSA10" s="1202"/>
      <c r="NSB10" s="1202"/>
      <c r="NSC10" s="1202"/>
      <c r="NSD10" s="1202"/>
      <c r="NSE10" s="1202"/>
      <c r="NSF10" s="1202"/>
      <c r="NSG10" s="1202"/>
      <c r="NSH10" s="1202"/>
      <c r="NSI10" s="1202"/>
      <c r="NSJ10" s="1202"/>
      <c r="NSK10" s="1202"/>
      <c r="NSL10" s="1202"/>
      <c r="NSM10" s="1202"/>
      <c r="NSN10" s="1202"/>
      <c r="NSO10" s="1202"/>
      <c r="NSP10" s="1202"/>
      <c r="NSQ10" s="1202"/>
      <c r="NSR10" s="1202"/>
      <c r="NSS10" s="1202"/>
      <c r="NST10" s="1202"/>
      <c r="NSU10" s="1202"/>
      <c r="NSV10" s="1202"/>
      <c r="NSW10" s="1202"/>
      <c r="NSX10" s="1202"/>
      <c r="NSY10" s="1202"/>
      <c r="NSZ10" s="1202"/>
      <c r="NTA10" s="1202"/>
      <c r="NTB10" s="1202"/>
      <c r="NTC10" s="1202"/>
      <c r="NTD10" s="1202"/>
      <c r="NTE10" s="1202"/>
      <c r="NTF10" s="1202"/>
      <c r="NTG10" s="1202"/>
      <c r="NTH10" s="1202"/>
      <c r="NTI10" s="1202"/>
      <c r="NTJ10" s="1202"/>
      <c r="NTK10" s="1202"/>
      <c r="NTL10" s="1202"/>
      <c r="NTM10" s="1202"/>
      <c r="NTN10" s="1202"/>
      <c r="NTO10" s="1202"/>
      <c r="NTP10" s="1202"/>
      <c r="NTQ10" s="1202"/>
      <c r="NTR10" s="1202"/>
      <c r="NTS10" s="1202"/>
      <c r="NTT10" s="1202"/>
      <c r="NTU10" s="1202"/>
      <c r="NTV10" s="1202"/>
      <c r="NTW10" s="1202"/>
      <c r="NTX10" s="1202"/>
      <c r="NTY10" s="1202"/>
      <c r="NTZ10" s="1202"/>
      <c r="NUA10" s="1202"/>
      <c r="NUB10" s="1202"/>
      <c r="NUC10" s="1202"/>
      <c r="NUD10" s="1202"/>
      <c r="NUE10" s="1202"/>
      <c r="NUF10" s="1202"/>
      <c r="NUG10" s="1202"/>
      <c r="NUH10" s="1202"/>
      <c r="NUI10" s="1202"/>
      <c r="NUJ10" s="1202"/>
      <c r="NUK10" s="1202"/>
      <c r="NUL10" s="1202"/>
      <c r="NUM10" s="1202"/>
      <c r="NUN10" s="1202"/>
      <c r="NUO10" s="1202"/>
      <c r="NUP10" s="1202"/>
      <c r="NUQ10" s="1202"/>
      <c r="NUR10" s="1202"/>
      <c r="NUS10" s="1202"/>
      <c r="NUT10" s="1202"/>
      <c r="NUU10" s="1202"/>
      <c r="NUV10" s="1202"/>
      <c r="NUW10" s="1202"/>
      <c r="NUX10" s="1202"/>
      <c r="NUY10" s="1202"/>
      <c r="NUZ10" s="1202"/>
      <c r="NVA10" s="1202"/>
      <c r="NVB10" s="1202"/>
      <c r="NVC10" s="1202"/>
      <c r="NVD10" s="1202"/>
      <c r="NVE10" s="1202"/>
      <c r="NVF10" s="1202"/>
      <c r="NVG10" s="1202"/>
      <c r="NVH10" s="1202"/>
      <c r="NVI10" s="1202"/>
      <c r="NVJ10" s="1202"/>
      <c r="NVK10" s="1202"/>
      <c r="NVL10" s="1202"/>
      <c r="NVM10" s="1202"/>
      <c r="NVN10" s="1202"/>
      <c r="NVO10" s="1202"/>
      <c r="NVP10" s="1202"/>
      <c r="NVQ10" s="1202"/>
      <c r="NVR10" s="1202"/>
      <c r="NVS10" s="1202"/>
      <c r="NVT10" s="1202"/>
      <c r="NVU10" s="1202"/>
      <c r="NVV10" s="1202"/>
      <c r="NVW10" s="1202"/>
      <c r="NVX10" s="1202"/>
      <c r="NVY10" s="1202"/>
      <c r="NVZ10" s="1202"/>
      <c r="NWA10" s="1202"/>
      <c r="NWB10" s="1202"/>
      <c r="NWC10" s="1202"/>
      <c r="NWD10" s="1202"/>
      <c r="NWE10" s="1202"/>
      <c r="NWF10" s="1202"/>
      <c r="NWG10" s="1202"/>
      <c r="NWH10" s="1202"/>
      <c r="NWI10" s="1202"/>
      <c r="NWJ10" s="1202"/>
      <c r="NWK10" s="1202"/>
      <c r="NWL10" s="1202"/>
      <c r="NWM10" s="1202"/>
      <c r="NWN10" s="1202"/>
      <c r="NWO10" s="1202"/>
      <c r="NWP10" s="1202"/>
      <c r="NWQ10" s="1202"/>
      <c r="NWR10" s="1202"/>
      <c r="NWS10" s="1202"/>
      <c r="NWT10" s="1202"/>
      <c r="NWU10" s="1202"/>
      <c r="NWV10" s="1202"/>
      <c r="NWW10" s="1202"/>
      <c r="NWX10" s="1202"/>
      <c r="NWY10" s="1202"/>
      <c r="NWZ10" s="1202"/>
      <c r="NXA10" s="1202"/>
      <c r="NXB10" s="1202"/>
      <c r="NXC10" s="1202"/>
      <c r="NXD10" s="1202"/>
      <c r="NXE10" s="1202"/>
      <c r="NXF10" s="1202"/>
      <c r="NXG10" s="1202"/>
      <c r="NXH10" s="1202"/>
      <c r="NXI10" s="1202"/>
      <c r="NXJ10" s="1202"/>
      <c r="NXK10" s="1202"/>
      <c r="NXL10" s="1202"/>
      <c r="NXM10" s="1202"/>
      <c r="NXN10" s="1202"/>
      <c r="NXO10" s="1202"/>
      <c r="NXP10" s="1202"/>
      <c r="NXQ10" s="1202"/>
      <c r="NXR10" s="1202"/>
      <c r="NXS10" s="1202"/>
      <c r="NXT10" s="1202"/>
      <c r="NXU10" s="1202"/>
      <c r="NXV10" s="1202"/>
      <c r="NXW10" s="1202"/>
      <c r="NXX10" s="1202"/>
      <c r="NXY10" s="1202"/>
      <c r="NXZ10" s="1202"/>
      <c r="NYA10" s="1202"/>
      <c r="NYB10" s="1202"/>
      <c r="NYC10" s="1202"/>
      <c r="NYD10" s="1202"/>
      <c r="NYE10" s="1202"/>
      <c r="NYF10" s="1202"/>
      <c r="NYG10" s="1202"/>
      <c r="NYH10" s="1202"/>
      <c r="NYI10" s="1202"/>
      <c r="NYJ10" s="1202"/>
      <c r="NYK10" s="1202"/>
      <c r="NYL10" s="1202"/>
      <c r="NYM10" s="1202"/>
      <c r="NYN10" s="1202"/>
      <c r="NYO10" s="1202"/>
      <c r="NYP10" s="1202"/>
      <c r="NYQ10" s="1202"/>
      <c r="NYR10" s="1202"/>
      <c r="NYS10" s="1202"/>
      <c r="NYT10" s="1202"/>
      <c r="NYU10" s="1202"/>
      <c r="NYV10" s="1202"/>
      <c r="NYW10" s="1202"/>
      <c r="NYX10" s="1202"/>
      <c r="NYY10" s="1202"/>
      <c r="NYZ10" s="1202"/>
      <c r="NZA10" s="1202"/>
      <c r="NZB10" s="1202"/>
      <c r="NZC10" s="1202"/>
      <c r="NZD10" s="1202"/>
      <c r="NZE10" s="1202"/>
      <c r="NZF10" s="1202"/>
      <c r="NZG10" s="1202"/>
      <c r="NZH10" s="1202"/>
      <c r="NZI10" s="1202"/>
      <c r="NZJ10" s="1202"/>
      <c r="NZK10" s="1202"/>
      <c r="NZL10" s="1202"/>
      <c r="NZM10" s="1202"/>
      <c r="NZN10" s="1202"/>
      <c r="NZO10" s="1202"/>
      <c r="NZP10" s="1202"/>
      <c r="NZQ10" s="1202"/>
      <c r="NZR10" s="1202"/>
      <c r="NZS10" s="1202"/>
      <c r="NZT10" s="1202"/>
      <c r="NZU10" s="1202"/>
      <c r="NZV10" s="1202"/>
      <c r="NZW10" s="1202"/>
      <c r="NZX10" s="1202"/>
      <c r="NZY10" s="1202"/>
      <c r="NZZ10" s="1202"/>
      <c r="OAA10" s="1202"/>
      <c r="OAB10" s="1202"/>
      <c r="OAC10" s="1202"/>
      <c r="OAD10" s="1202"/>
      <c r="OAE10" s="1202"/>
      <c r="OAF10" s="1202"/>
      <c r="OAG10" s="1202"/>
      <c r="OAH10" s="1202"/>
      <c r="OAI10" s="1202"/>
      <c r="OAJ10" s="1202"/>
      <c r="OAK10" s="1202"/>
      <c r="OAL10" s="1202"/>
      <c r="OAM10" s="1202"/>
      <c r="OAN10" s="1202"/>
      <c r="OAO10" s="1202"/>
      <c r="OAP10" s="1202"/>
      <c r="OAQ10" s="1202"/>
      <c r="OAR10" s="1202"/>
      <c r="OAS10" s="1202"/>
      <c r="OAT10" s="1202"/>
      <c r="OAU10" s="1202"/>
      <c r="OAV10" s="1202"/>
      <c r="OAW10" s="1202"/>
      <c r="OAX10" s="1202"/>
      <c r="OAY10" s="1202"/>
      <c r="OAZ10" s="1202"/>
      <c r="OBA10" s="1202"/>
      <c r="OBB10" s="1202"/>
      <c r="OBC10" s="1202"/>
      <c r="OBD10" s="1202"/>
      <c r="OBE10" s="1202"/>
      <c r="OBF10" s="1202"/>
      <c r="OBG10" s="1202"/>
      <c r="OBH10" s="1202"/>
      <c r="OBI10" s="1202"/>
      <c r="OBJ10" s="1202"/>
      <c r="OBK10" s="1202"/>
      <c r="OBL10" s="1202"/>
      <c r="OBM10" s="1202"/>
      <c r="OBN10" s="1202"/>
      <c r="OBO10" s="1202"/>
      <c r="OBP10" s="1202"/>
      <c r="OBQ10" s="1202"/>
      <c r="OBR10" s="1202"/>
      <c r="OBS10" s="1202"/>
      <c r="OBT10" s="1202"/>
      <c r="OBU10" s="1202"/>
      <c r="OBV10" s="1202"/>
      <c r="OBW10" s="1202"/>
      <c r="OBX10" s="1202"/>
      <c r="OBY10" s="1202"/>
      <c r="OBZ10" s="1202"/>
      <c r="OCA10" s="1202"/>
      <c r="OCB10" s="1202"/>
      <c r="OCC10" s="1202"/>
      <c r="OCD10" s="1202"/>
      <c r="OCE10" s="1202"/>
      <c r="OCF10" s="1202"/>
      <c r="OCG10" s="1202"/>
      <c r="OCH10" s="1202"/>
      <c r="OCI10" s="1202"/>
      <c r="OCJ10" s="1202"/>
      <c r="OCK10" s="1202"/>
      <c r="OCL10" s="1202"/>
      <c r="OCM10" s="1202"/>
      <c r="OCN10" s="1202"/>
      <c r="OCO10" s="1202"/>
      <c r="OCP10" s="1202"/>
      <c r="OCQ10" s="1202"/>
      <c r="OCR10" s="1202"/>
      <c r="OCS10" s="1202"/>
      <c r="OCT10" s="1202"/>
      <c r="OCU10" s="1202"/>
      <c r="OCV10" s="1202"/>
      <c r="OCW10" s="1202"/>
      <c r="OCX10" s="1202"/>
      <c r="OCY10" s="1202"/>
      <c r="OCZ10" s="1202"/>
      <c r="ODA10" s="1202"/>
      <c r="ODB10" s="1202"/>
      <c r="ODC10" s="1202"/>
      <c r="ODD10" s="1202"/>
      <c r="ODE10" s="1202"/>
      <c r="ODF10" s="1202"/>
      <c r="ODG10" s="1202"/>
      <c r="ODH10" s="1202"/>
      <c r="ODI10" s="1202"/>
      <c r="ODJ10" s="1202"/>
      <c r="ODK10" s="1202"/>
      <c r="ODL10" s="1202"/>
      <c r="ODM10" s="1202"/>
      <c r="ODN10" s="1202"/>
      <c r="ODO10" s="1202"/>
      <c r="ODP10" s="1202"/>
      <c r="ODQ10" s="1202"/>
      <c r="ODR10" s="1202"/>
      <c r="ODS10" s="1202"/>
      <c r="ODT10" s="1202"/>
      <c r="ODU10" s="1202"/>
      <c r="ODV10" s="1202"/>
      <c r="ODW10" s="1202"/>
      <c r="ODX10" s="1202"/>
      <c r="ODY10" s="1202"/>
      <c r="ODZ10" s="1202"/>
      <c r="OEA10" s="1202"/>
      <c r="OEB10" s="1202"/>
      <c r="OEC10" s="1202"/>
      <c r="OED10" s="1202"/>
      <c r="OEE10" s="1202"/>
      <c r="OEF10" s="1202"/>
      <c r="OEG10" s="1202"/>
      <c r="OEH10" s="1202"/>
      <c r="OEI10" s="1202"/>
      <c r="OEJ10" s="1202"/>
      <c r="OEK10" s="1202"/>
      <c r="OEL10" s="1202"/>
      <c r="OEM10" s="1202"/>
      <c r="OEN10" s="1202"/>
      <c r="OEO10" s="1202"/>
      <c r="OEP10" s="1202"/>
      <c r="OEQ10" s="1202"/>
      <c r="OER10" s="1202"/>
      <c r="OES10" s="1202"/>
      <c r="OET10" s="1202"/>
      <c r="OEU10" s="1202"/>
      <c r="OEV10" s="1202"/>
      <c r="OEW10" s="1202"/>
      <c r="OEX10" s="1202"/>
      <c r="OEY10" s="1202"/>
      <c r="OEZ10" s="1202"/>
      <c r="OFA10" s="1202"/>
      <c r="OFB10" s="1202"/>
      <c r="OFC10" s="1202"/>
      <c r="OFD10" s="1202"/>
      <c r="OFE10" s="1202"/>
      <c r="OFF10" s="1202"/>
      <c r="OFG10" s="1202"/>
      <c r="OFH10" s="1202"/>
      <c r="OFI10" s="1202"/>
      <c r="OFJ10" s="1202"/>
      <c r="OFK10" s="1202"/>
      <c r="OFL10" s="1202"/>
      <c r="OFM10" s="1202"/>
      <c r="OFN10" s="1202"/>
      <c r="OFO10" s="1202"/>
      <c r="OFP10" s="1202"/>
      <c r="OFQ10" s="1202"/>
      <c r="OFR10" s="1202"/>
      <c r="OFS10" s="1202"/>
      <c r="OFT10" s="1202"/>
      <c r="OFU10" s="1202"/>
      <c r="OFV10" s="1202"/>
      <c r="OFW10" s="1202"/>
      <c r="OFX10" s="1202"/>
      <c r="OFY10" s="1202"/>
      <c r="OFZ10" s="1202"/>
      <c r="OGA10" s="1202"/>
      <c r="OGB10" s="1202"/>
      <c r="OGC10" s="1202"/>
      <c r="OGD10" s="1202"/>
      <c r="OGE10" s="1202"/>
      <c r="OGF10" s="1202"/>
      <c r="OGG10" s="1202"/>
      <c r="OGH10" s="1202"/>
      <c r="OGI10" s="1202"/>
      <c r="OGJ10" s="1202"/>
      <c r="OGK10" s="1202"/>
      <c r="OGL10" s="1202"/>
      <c r="OGM10" s="1202"/>
      <c r="OGN10" s="1202"/>
      <c r="OGO10" s="1202"/>
      <c r="OGP10" s="1202"/>
      <c r="OGQ10" s="1202"/>
      <c r="OGR10" s="1202"/>
      <c r="OGS10" s="1202"/>
      <c r="OGT10" s="1202"/>
      <c r="OGU10" s="1202"/>
      <c r="OGV10" s="1202"/>
      <c r="OGW10" s="1202"/>
      <c r="OGX10" s="1202"/>
      <c r="OGY10" s="1202"/>
      <c r="OGZ10" s="1202"/>
      <c r="OHA10" s="1202"/>
      <c r="OHB10" s="1202"/>
      <c r="OHC10" s="1202"/>
      <c r="OHD10" s="1202"/>
      <c r="OHE10" s="1202"/>
      <c r="OHF10" s="1202"/>
      <c r="OHG10" s="1202"/>
      <c r="OHH10" s="1202"/>
      <c r="OHI10" s="1202"/>
      <c r="OHJ10" s="1202"/>
      <c r="OHK10" s="1202"/>
      <c r="OHL10" s="1202"/>
      <c r="OHM10" s="1202"/>
      <c r="OHN10" s="1202"/>
      <c r="OHO10" s="1202"/>
      <c r="OHP10" s="1202"/>
      <c r="OHQ10" s="1202"/>
      <c r="OHR10" s="1202"/>
      <c r="OHS10" s="1202"/>
      <c r="OHT10" s="1202"/>
      <c r="OHU10" s="1202"/>
      <c r="OHV10" s="1202"/>
      <c r="OHW10" s="1202"/>
      <c r="OHX10" s="1202"/>
      <c r="OHY10" s="1202"/>
      <c r="OHZ10" s="1202"/>
      <c r="OIA10" s="1202"/>
      <c r="OIB10" s="1202"/>
      <c r="OIC10" s="1202"/>
      <c r="OID10" s="1202"/>
      <c r="OIE10" s="1202"/>
      <c r="OIF10" s="1202"/>
      <c r="OIG10" s="1202"/>
      <c r="OIH10" s="1202"/>
      <c r="OII10" s="1202"/>
      <c r="OIJ10" s="1202"/>
      <c r="OIK10" s="1202"/>
      <c r="OIL10" s="1202"/>
      <c r="OIM10" s="1202"/>
      <c r="OIN10" s="1202"/>
      <c r="OIO10" s="1202"/>
      <c r="OIP10" s="1202"/>
      <c r="OIQ10" s="1202"/>
      <c r="OIR10" s="1202"/>
      <c r="OIS10" s="1202"/>
      <c r="OIT10" s="1202"/>
      <c r="OIU10" s="1202"/>
      <c r="OIV10" s="1202"/>
      <c r="OIW10" s="1202"/>
      <c r="OIX10" s="1202"/>
      <c r="OIY10" s="1202"/>
      <c r="OIZ10" s="1202"/>
      <c r="OJA10" s="1202"/>
      <c r="OJB10" s="1202"/>
      <c r="OJC10" s="1202"/>
      <c r="OJD10" s="1202"/>
      <c r="OJE10" s="1202"/>
      <c r="OJF10" s="1202"/>
      <c r="OJG10" s="1202"/>
      <c r="OJH10" s="1202"/>
      <c r="OJI10" s="1202"/>
      <c r="OJJ10" s="1202"/>
      <c r="OJK10" s="1202"/>
      <c r="OJL10" s="1202"/>
      <c r="OJM10" s="1202"/>
      <c r="OJN10" s="1202"/>
      <c r="OJO10" s="1202"/>
      <c r="OJP10" s="1202"/>
      <c r="OJQ10" s="1202"/>
      <c r="OJR10" s="1202"/>
      <c r="OJS10" s="1202"/>
      <c r="OJT10" s="1202"/>
      <c r="OJU10" s="1202"/>
      <c r="OJV10" s="1202"/>
      <c r="OJW10" s="1202"/>
      <c r="OJX10" s="1202"/>
      <c r="OJY10" s="1202"/>
      <c r="OJZ10" s="1202"/>
      <c r="OKA10" s="1202"/>
      <c r="OKB10" s="1202"/>
      <c r="OKC10" s="1202"/>
      <c r="OKD10" s="1202"/>
      <c r="OKE10" s="1202"/>
      <c r="OKF10" s="1202"/>
      <c r="OKG10" s="1202"/>
      <c r="OKH10" s="1202"/>
      <c r="OKI10" s="1202"/>
      <c r="OKJ10" s="1202"/>
      <c r="OKK10" s="1202"/>
      <c r="OKL10" s="1202"/>
      <c r="OKM10" s="1202"/>
      <c r="OKN10" s="1202"/>
      <c r="OKO10" s="1202"/>
      <c r="OKP10" s="1202"/>
      <c r="OKQ10" s="1202"/>
      <c r="OKR10" s="1202"/>
      <c r="OKS10" s="1202"/>
      <c r="OKT10" s="1202"/>
      <c r="OKU10" s="1202"/>
      <c r="OKV10" s="1202"/>
      <c r="OKW10" s="1202"/>
      <c r="OKX10" s="1202"/>
      <c r="OKY10" s="1202"/>
      <c r="OKZ10" s="1202"/>
      <c r="OLA10" s="1202"/>
      <c r="OLB10" s="1202"/>
      <c r="OLC10" s="1202"/>
      <c r="OLD10" s="1202"/>
      <c r="OLE10" s="1202"/>
      <c r="OLF10" s="1202"/>
      <c r="OLG10" s="1202"/>
      <c r="OLH10" s="1202"/>
      <c r="OLI10" s="1202"/>
      <c r="OLJ10" s="1202"/>
      <c r="OLK10" s="1202"/>
      <c r="OLL10" s="1202"/>
      <c r="OLM10" s="1202"/>
      <c r="OLN10" s="1202"/>
      <c r="OLO10" s="1202"/>
      <c r="OLP10" s="1202"/>
      <c r="OLQ10" s="1202"/>
      <c r="OLR10" s="1202"/>
      <c r="OLS10" s="1202"/>
      <c r="OLT10" s="1202"/>
      <c r="OLU10" s="1202"/>
      <c r="OLV10" s="1202"/>
      <c r="OLW10" s="1202"/>
      <c r="OLX10" s="1202"/>
      <c r="OLY10" s="1202"/>
      <c r="OLZ10" s="1202"/>
      <c r="OMA10" s="1202"/>
      <c r="OMB10" s="1202"/>
      <c r="OMC10" s="1202"/>
      <c r="OMD10" s="1202"/>
      <c r="OME10" s="1202"/>
      <c r="OMF10" s="1202"/>
      <c r="OMG10" s="1202"/>
      <c r="OMH10" s="1202"/>
      <c r="OMI10" s="1202"/>
      <c r="OMJ10" s="1202"/>
      <c r="OMK10" s="1202"/>
      <c r="OML10" s="1202"/>
      <c r="OMM10" s="1202"/>
      <c r="OMN10" s="1202"/>
      <c r="OMO10" s="1202"/>
      <c r="OMP10" s="1202"/>
      <c r="OMQ10" s="1202"/>
      <c r="OMR10" s="1202"/>
      <c r="OMS10" s="1202"/>
      <c r="OMT10" s="1202"/>
      <c r="OMU10" s="1202"/>
      <c r="OMV10" s="1202"/>
      <c r="OMW10" s="1202"/>
      <c r="OMX10" s="1202"/>
      <c r="OMY10" s="1202"/>
      <c r="OMZ10" s="1202"/>
      <c r="ONA10" s="1202"/>
      <c r="ONB10" s="1202"/>
      <c r="ONC10" s="1202"/>
      <c r="OND10" s="1202"/>
      <c r="ONE10" s="1202"/>
      <c r="ONF10" s="1202"/>
      <c r="ONG10" s="1202"/>
      <c r="ONH10" s="1202"/>
      <c r="ONI10" s="1202"/>
      <c r="ONJ10" s="1202"/>
      <c r="ONK10" s="1202"/>
      <c r="ONL10" s="1202"/>
      <c r="ONM10" s="1202"/>
      <c r="ONN10" s="1202"/>
      <c r="ONO10" s="1202"/>
      <c r="ONP10" s="1202"/>
      <c r="ONQ10" s="1202"/>
      <c r="ONR10" s="1202"/>
      <c r="ONS10" s="1202"/>
      <c r="ONT10" s="1202"/>
      <c r="ONU10" s="1202"/>
      <c r="ONV10" s="1202"/>
      <c r="ONW10" s="1202"/>
      <c r="ONX10" s="1202"/>
      <c r="ONY10" s="1202"/>
      <c r="ONZ10" s="1202"/>
      <c r="OOA10" s="1202"/>
      <c r="OOB10" s="1202"/>
      <c r="OOC10" s="1202"/>
      <c r="OOD10" s="1202"/>
      <c r="OOE10" s="1202"/>
      <c r="OOF10" s="1202"/>
      <c r="OOG10" s="1202"/>
      <c r="OOH10" s="1202"/>
      <c r="OOI10" s="1202"/>
      <c r="OOJ10" s="1202"/>
      <c r="OOK10" s="1202"/>
      <c r="OOL10" s="1202"/>
      <c r="OOM10" s="1202"/>
      <c r="OON10" s="1202"/>
      <c r="OOO10" s="1202"/>
      <c r="OOP10" s="1202"/>
      <c r="OOQ10" s="1202"/>
      <c r="OOR10" s="1202"/>
      <c r="OOS10" s="1202"/>
      <c r="OOT10" s="1202"/>
      <c r="OOU10" s="1202"/>
      <c r="OOV10" s="1202"/>
      <c r="OOW10" s="1202"/>
      <c r="OOX10" s="1202"/>
      <c r="OOY10" s="1202"/>
      <c r="OOZ10" s="1202"/>
      <c r="OPA10" s="1202"/>
      <c r="OPB10" s="1202"/>
      <c r="OPC10" s="1202"/>
      <c r="OPD10" s="1202"/>
      <c r="OPE10" s="1202"/>
      <c r="OPF10" s="1202"/>
      <c r="OPG10" s="1202"/>
      <c r="OPH10" s="1202"/>
      <c r="OPI10" s="1202"/>
      <c r="OPJ10" s="1202"/>
      <c r="OPK10" s="1202"/>
      <c r="OPL10" s="1202"/>
      <c r="OPM10" s="1202"/>
      <c r="OPN10" s="1202"/>
      <c r="OPO10" s="1202"/>
      <c r="OPP10" s="1202"/>
      <c r="OPQ10" s="1202"/>
      <c r="OPR10" s="1202"/>
      <c r="OPS10" s="1202"/>
      <c r="OPT10" s="1202"/>
      <c r="OPU10" s="1202"/>
      <c r="OPV10" s="1202"/>
      <c r="OPW10" s="1202"/>
      <c r="OPX10" s="1202"/>
      <c r="OPY10" s="1202"/>
      <c r="OPZ10" s="1202"/>
      <c r="OQA10" s="1202"/>
      <c r="OQB10" s="1202"/>
      <c r="OQC10" s="1202"/>
      <c r="OQD10" s="1202"/>
      <c r="OQE10" s="1202"/>
      <c r="OQF10" s="1202"/>
      <c r="OQG10" s="1202"/>
      <c r="OQH10" s="1202"/>
      <c r="OQI10" s="1202"/>
      <c r="OQJ10" s="1202"/>
      <c r="OQK10" s="1202"/>
      <c r="OQL10" s="1202"/>
      <c r="OQM10" s="1202"/>
      <c r="OQN10" s="1202"/>
      <c r="OQO10" s="1202"/>
      <c r="OQP10" s="1202"/>
      <c r="OQQ10" s="1202"/>
      <c r="OQR10" s="1202"/>
      <c r="OQS10" s="1202"/>
      <c r="OQT10" s="1202"/>
      <c r="OQU10" s="1202"/>
      <c r="OQV10" s="1202"/>
      <c r="OQW10" s="1202"/>
      <c r="OQX10" s="1202"/>
      <c r="OQY10" s="1202"/>
      <c r="OQZ10" s="1202"/>
      <c r="ORA10" s="1202"/>
      <c r="ORB10" s="1202"/>
      <c r="ORC10" s="1202"/>
      <c r="ORD10" s="1202"/>
      <c r="ORE10" s="1202"/>
      <c r="ORF10" s="1202"/>
      <c r="ORG10" s="1202"/>
      <c r="ORH10" s="1202"/>
      <c r="ORI10" s="1202"/>
      <c r="ORJ10" s="1202"/>
      <c r="ORK10" s="1202"/>
      <c r="ORL10" s="1202"/>
      <c r="ORM10" s="1202"/>
      <c r="ORN10" s="1202"/>
      <c r="ORO10" s="1202"/>
      <c r="ORP10" s="1202"/>
      <c r="ORQ10" s="1202"/>
      <c r="ORR10" s="1202"/>
      <c r="ORS10" s="1202"/>
      <c r="ORT10" s="1202"/>
      <c r="ORU10" s="1202"/>
      <c r="ORV10" s="1202"/>
      <c r="ORW10" s="1202"/>
      <c r="ORX10" s="1202"/>
      <c r="ORY10" s="1202"/>
      <c r="ORZ10" s="1202"/>
      <c r="OSA10" s="1202"/>
      <c r="OSB10" s="1202"/>
      <c r="OSC10" s="1202"/>
      <c r="OSD10" s="1202"/>
      <c r="OSE10" s="1202"/>
      <c r="OSF10" s="1202"/>
      <c r="OSG10" s="1202"/>
      <c r="OSH10" s="1202"/>
      <c r="OSI10" s="1202"/>
      <c r="OSJ10" s="1202"/>
      <c r="OSK10" s="1202"/>
      <c r="OSL10" s="1202"/>
      <c r="OSM10" s="1202"/>
      <c r="OSN10" s="1202"/>
      <c r="OSO10" s="1202"/>
      <c r="OSP10" s="1202"/>
      <c r="OSQ10" s="1202"/>
      <c r="OSR10" s="1202"/>
      <c r="OSS10" s="1202"/>
      <c r="OST10" s="1202"/>
      <c r="OSU10" s="1202"/>
      <c r="OSV10" s="1202"/>
      <c r="OSW10" s="1202"/>
      <c r="OSX10" s="1202"/>
      <c r="OSY10" s="1202"/>
      <c r="OSZ10" s="1202"/>
      <c r="OTA10" s="1202"/>
      <c r="OTB10" s="1202"/>
      <c r="OTC10" s="1202"/>
      <c r="OTD10" s="1202"/>
      <c r="OTE10" s="1202"/>
      <c r="OTF10" s="1202"/>
      <c r="OTG10" s="1202"/>
      <c r="OTH10" s="1202"/>
      <c r="OTI10" s="1202"/>
      <c r="OTJ10" s="1202"/>
      <c r="OTK10" s="1202"/>
      <c r="OTL10" s="1202"/>
      <c r="OTM10" s="1202"/>
      <c r="OTN10" s="1202"/>
      <c r="OTO10" s="1202"/>
      <c r="OTP10" s="1202"/>
      <c r="OTQ10" s="1202"/>
      <c r="OTR10" s="1202"/>
      <c r="OTS10" s="1202"/>
      <c r="OTT10" s="1202"/>
      <c r="OTU10" s="1202"/>
      <c r="OTV10" s="1202"/>
      <c r="OTW10" s="1202"/>
      <c r="OTX10" s="1202"/>
      <c r="OTY10" s="1202"/>
      <c r="OTZ10" s="1202"/>
      <c r="OUA10" s="1202"/>
      <c r="OUB10" s="1202"/>
      <c r="OUC10" s="1202"/>
      <c r="OUD10" s="1202"/>
      <c r="OUE10" s="1202"/>
      <c r="OUF10" s="1202"/>
      <c r="OUG10" s="1202"/>
      <c r="OUH10" s="1202"/>
      <c r="OUI10" s="1202"/>
      <c r="OUJ10" s="1202"/>
      <c r="OUK10" s="1202"/>
      <c r="OUL10" s="1202"/>
      <c r="OUM10" s="1202"/>
      <c r="OUN10" s="1202"/>
      <c r="OUO10" s="1202"/>
      <c r="OUP10" s="1202"/>
      <c r="OUQ10" s="1202"/>
      <c r="OUR10" s="1202"/>
      <c r="OUS10" s="1202"/>
      <c r="OUT10" s="1202"/>
      <c r="OUU10" s="1202"/>
      <c r="OUV10" s="1202"/>
      <c r="OUW10" s="1202"/>
      <c r="OUX10" s="1202"/>
      <c r="OUY10" s="1202"/>
      <c r="OUZ10" s="1202"/>
      <c r="OVA10" s="1202"/>
      <c r="OVB10" s="1202"/>
      <c r="OVC10" s="1202"/>
      <c r="OVD10" s="1202"/>
      <c r="OVE10" s="1202"/>
      <c r="OVF10" s="1202"/>
      <c r="OVG10" s="1202"/>
      <c r="OVH10" s="1202"/>
      <c r="OVI10" s="1202"/>
      <c r="OVJ10" s="1202"/>
      <c r="OVK10" s="1202"/>
      <c r="OVL10" s="1202"/>
      <c r="OVM10" s="1202"/>
      <c r="OVN10" s="1202"/>
      <c r="OVO10" s="1202"/>
      <c r="OVP10" s="1202"/>
      <c r="OVQ10" s="1202"/>
      <c r="OVR10" s="1202"/>
      <c r="OVS10" s="1202"/>
      <c r="OVT10" s="1202"/>
      <c r="OVU10" s="1202"/>
      <c r="OVV10" s="1202"/>
      <c r="OVW10" s="1202"/>
      <c r="OVX10" s="1202"/>
      <c r="OVY10" s="1202"/>
      <c r="OVZ10" s="1202"/>
      <c r="OWA10" s="1202"/>
      <c r="OWB10" s="1202"/>
      <c r="OWC10" s="1202"/>
      <c r="OWD10" s="1202"/>
      <c r="OWE10" s="1202"/>
      <c r="OWF10" s="1202"/>
      <c r="OWG10" s="1202"/>
      <c r="OWH10" s="1202"/>
      <c r="OWI10" s="1202"/>
      <c r="OWJ10" s="1202"/>
      <c r="OWK10" s="1202"/>
      <c r="OWL10" s="1202"/>
      <c r="OWM10" s="1202"/>
      <c r="OWN10" s="1202"/>
      <c r="OWO10" s="1202"/>
      <c r="OWP10" s="1202"/>
      <c r="OWQ10" s="1202"/>
      <c r="OWR10" s="1202"/>
      <c r="OWS10" s="1202"/>
      <c r="OWT10" s="1202"/>
      <c r="OWU10" s="1202"/>
      <c r="OWV10" s="1202"/>
      <c r="OWW10" s="1202"/>
      <c r="OWX10" s="1202"/>
      <c r="OWY10" s="1202"/>
      <c r="OWZ10" s="1202"/>
      <c r="OXA10" s="1202"/>
      <c r="OXB10" s="1202"/>
      <c r="OXC10" s="1202"/>
      <c r="OXD10" s="1202"/>
      <c r="OXE10" s="1202"/>
      <c r="OXF10" s="1202"/>
      <c r="OXG10" s="1202"/>
      <c r="OXH10" s="1202"/>
      <c r="OXI10" s="1202"/>
      <c r="OXJ10" s="1202"/>
      <c r="OXK10" s="1202"/>
      <c r="OXL10" s="1202"/>
      <c r="OXM10" s="1202"/>
      <c r="OXN10" s="1202"/>
      <c r="OXO10" s="1202"/>
      <c r="OXP10" s="1202"/>
      <c r="OXQ10" s="1202"/>
      <c r="OXR10" s="1202"/>
      <c r="OXS10" s="1202"/>
      <c r="OXT10" s="1202"/>
      <c r="OXU10" s="1202"/>
      <c r="OXV10" s="1202"/>
      <c r="OXW10" s="1202"/>
      <c r="OXX10" s="1202"/>
      <c r="OXY10" s="1202"/>
      <c r="OXZ10" s="1202"/>
      <c r="OYA10" s="1202"/>
      <c r="OYB10" s="1202"/>
      <c r="OYC10" s="1202"/>
      <c r="OYD10" s="1202"/>
      <c r="OYE10" s="1202"/>
      <c r="OYF10" s="1202"/>
      <c r="OYG10" s="1202"/>
      <c r="OYH10" s="1202"/>
      <c r="OYI10" s="1202"/>
      <c r="OYJ10" s="1202"/>
      <c r="OYK10" s="1202"/>
      <c r="OYL10" s="1202"/>
      <c r="OYM10" s="1202"/>
      <c r="OYN10" s="1202"/>
      <c r="OYO10" s="1202"/>
      <c r="OYP10" s="1202"/>
      <c r="OYQ10" s="1202"/>
      <c r="OYR10" s="1202"/>
      <c r="OYS10" s="1202"/>
      <c r="OYT10" s="1202"/>
      <c r="OYU10" s="1202"/>
      <c r="OYV10" s="1202"/>
      <c r="OYW10" s="1202"/>
      <c r="OYX10" s="1202"/>
      <c r="OYY10" s="1202"/>
      <c r="OYZ10" s="1202"/>
      <c r="OZA10" s="1202"/>
      <c r="OZB10" s="1202"/>
      <c r="OZC10" s="1202"/>
      <c r="OZD10" s="1202"/>
      <c r="OZE10" s="1202"/>
      <c r="OZF10" s="1202"/>
      <c r="OZG10" s="1202"/>
      <c r="OZH10" s="1202"/>
      <c r="OZI10" s="1202"/>
      <c r="OZJ10" s="1202"/>
      <c r="OZK10" s="1202"/>
      <c r="OZL10" s="1202"/>
      <c r="OZM10" s="1202"/>
      <c r="OZN10" s="1202"/>
      <c r="OZO10" s="1202"/>
      <c r="OZP10" s="1202"/>
      <c r="OZQ10" s="1202"/>
      <c r="OZR10" s="1202"/>
      <c r="OZS10" s="1202"/>
      <c r="OZT10" s="1202"/>
      <c r="OZU10" s="1202"/>
      <c r="OZV10" s="1202"/>
      <c r="OZW10" s="1202"/>
      <c r="OZX10" s="1202"/>
      <c r="OZY10" s="1202"/>
      <c r="OZZ10" s="1202"/>
      <c r="PAA10" s="1202"/>
      <c r="PAB10" s="1202"/>
      <c r="PAC10" s="1202"/>
      <c r="PAD10" s="1202"/>
      <c r="PAE10" s="1202"/>
      <c r="PAF10" s="1202"/>
      <c r="PAG10" s="1202"/>
      <c r="PAH10" s="1202"/>
      <c r="PAI10" s="1202"/>
      <c r="PAJ10" s="1202"/>
      <c r="PAK10" s="1202"/>
      <c r="PAL10" s="1202"/>
      <c r="PAM10" s="1202"/>
      <c r="PAN10" s="1202"/>
      <c r="PAO10" s="1202"/>
      <c r="PAP10" s="1202"/>
      <c r="PAQ10" s="1202"/>
      <c r="PAR10" s="1202"/>
      <c r="PAS10" s="1202"/>
      <c r="PAT10" s="1202"/>
      <c r="PAU10" s="1202"/>
      <c r="PAV10" s="1202"/>
      <c r="PAW10" s="1202"/>
      <c r="PAX10" s="1202"/>
      <c r="PAY10" s="1202"/>
      <c r="PAZ10" s="1202"/>
      <c r="PBA10" s="1202"/>
      <c r="PBB10" s="1202"/>
      <c r="PBC10" s="1202"/>
      <c r="PBD10" s="1202"/>
      <c r="PBE10" s="1202"/>
      <c r="PBF10" s="1202"/>
      <c r="PBG10" s="1202"/>
      <c r="PBH10" s="1202"/>
      <c r="PBI10" s="1202"/>
      <c r="PBJ10" s="1202"/>
      <c r="PBK10" s="1202"/>
      <c r="PBL10" s="1202"/>
      <c r="PBM10" s="1202"/>
      <c r="PBN10" s="1202"/>
      <c r="PBO10" s="1202"/>
      <c r="PBP10" s="1202"/>
      <c r="PBQ10" s="1202"/>
      <c r="PBR10" s="1202"/>
      <c r="PBS10" s="1202"/>
      <c r="PBT10" s="1202"/>
      <c r="PBU10" s="1202"/>
      <c r="PBV10" s="1202"/>
      <c r="PBW10" s="1202"/>
      <c r="PBX10" s="1202"/>
      <c r="PBY10" s="1202"/>
      <c r="PBZ10" s="1202"/>
      <c r="PCA10" s="1202"/>
      <c r="PCB10" s="1202"/>
      <c r="PCC10" s="1202"/>
      <c r="PCD10" s="1202"/>
      <c r="PCE10" s="1202"/>
      <c r="PCF10" s="1202"/>
      <c r="PCG10" s="1202"/>
      <c r="PCH10" s="1202"/>
      <c r="PCI10" s="1202"/>
      <c r="PCJ10" s="1202"/>
      <c r="PCK10" s="1202"/>
      <c r="PCL10" s="1202"/>
      <c r="PCM10" s="1202"/>
      <c r="PCN10" s="1202"/>
      <c r="PCO10" s="1202"/>
      <c r="PCP10" s="1202"/>
      <c r="PCQ10" s="1202"/>
      <c r="PCR10" s="1202"/>
      <c r="PCS10" s="1202"/>
      <c r="PCT10" s="1202"/>
      <c r="PCU10" s="1202"/>
      <c r="PCV10" s="1202"/>
      <c r="PCW10" s="1202"/>
      <c r="PCX10" s="1202"/>
      <c r="PCY10" s="1202"/>
      <c r="PCZ10" s="1202"/>
      <c r="PDA10" s="1202"/>
      <c r="PDB10" s="1202"/>
      <c r="PDC10" s="1202"/>
      <c r="PDD10" s="1202"/>
      <c r="PDE10" s="1202"/>
      <c r="PDF10" s="1202"/>
      <c r="PDG10" s="1202"/>
      <c r="PDH10" s="1202"/>
      <c r="PDI10" s="1202"/>
      <c r="PDJ10" s="1202"/>
      <c r="PDK10" s="1202"/>
      <c r="PDL10" s="1202"/>
      <c r="PDM10" s="1202"/>
      <c r="PDN10" s="1202"/>
      <c r="PDO10" s="1202"/>
      <c r="PDP10" s="1202"/>
      <c r="PDQ10" s="1202"/>
      <c r="PDR10" s="1202"/>
      <c r="PDS10" s="1202"/>
      <c r="PDT10" s="1202"/>
      <c r="PDU10" s="1202"/>
      <c r="PDV10" s="1202"/>
      <c r="PDW10" s="1202"/>
      <c r="PDX10" s="1202"/>
      <c r="PDY10" s="1202"/>
      <c r="PDZ10" s="1202"/>
      <c r="PEA10" s="1202"/>
      <c r="PEB10" s="1202"/>
      <c r="PEC10" s="1202"/>
      <c r="PED10" s="1202"/>
      <c r="PEE10" s="1202"/>
      <c r="PEF10" s="1202"/>
      <c r="PEG10" s="1202"/>
      <c r="PEH10" s="1202"/>
      <c r="PEI10" s="1202"/>
      <c r="PEJ10" s="1202"/>
      <c r="PEK10" s="1202"/>
      <c r="PEL10" s="1202"/>
      <c r="PEM10" s="1202"/>
      <c r="PEN10" s="1202"/>
      <c r="PEO10" s="1202"/>
      <c r="PEP10" s="1202"/>
      <c r="PEQ10" s="1202"/>
      <c r="PER10" s="1202"/>
      <c r="PES10" s="1202"/>
      <c r="PET10" s="1202"/>
      <c r="PEU10" s="1202"/>
      <c r="PEV10" s="1202"/>
      <c r="PEW10" s="1202"/>
      <c r="PEX10" s="1202"/>
      <c r="PEY10" s="1202"/>
      <c r="PEZ10" s="1202"/>
      <c r="PFA10" s="1202"/>
      <c r="PFB10" s="1202"/>
      <c r="PFC10" s="1202"/>
      <c r="PFD10" s="1202"/>
      <c r="PFE10" s="1202"/>
      <c r="PFF10" s="1202"/>
      <c r="PFG10" s="1202"/>
      <c r="PFH10" s="1202"/>
      <c r="PFI10" s="1202"/>
      <c r="PFJ10" s="1202"/>
      <c r="PFK10" s="1202"/>
      <c r="PFL10" s="1202"/>
      <c r="PFM10" s="1202"/>
      <c r="PFN10" s="1202"/>
      <c r="PFO10" s="1202"/>
      <c r="PFP10" s="1202"/>
      <c r="PFQ10" s="1202"/>
      <c r="PFR10" s="1202"/>
      <c r="PFS10" s="1202"/>
      <c r="PFT10" s="1202"/>
      <c r="PFU10" s="1202"/>
      <c r="PFV10" s="1202"/>
      <c r="PFW10" s="1202"/>
      <c r="PFX10" s="1202"/>
      <c r="PFY10" s="1202"/>
      <c r="PFZ10" s="1202"/>
      <c r="PGA10" s="1202"/>
      <c r="PGB10" s="1202"/>
      <c r="PGC10" s="1202"/>
      <c r="PGD10" s="1202"/>
      <c r="PGE10" s="1202"/>
      <c r="PGF10" s="1202"/>
      <c r="PGG10" s="1202"/>
      <c r="PGH10" s="1202"/>
      <c r="PGI10" s="1202"/>
      <c r="PGJ10" s="1202"/>
      <c r="PGK10" s="1202"/>
      <c r="PGL10" s="1202"/>
      <c r="PGM10" s="1202"/>
      <c r="PGN10" s="1202"/>
      <c r="PGO10" s="1202"/>
      <c r="PGP10" s="1202"/>
      <c r="PGQ10" s="1202"/>
      <c r="PGR10" s="1202"/>
      <c r="PGS10" s="1202"/>
      <c r="PGT10" s="1202"/>
      <c r="PGU10" s="1202"/>
      <c r="PGV10" s="1202"/>
      <c r="PGW10" s="1202"/>
      <c r="PGX10" s="1202"/>
      <c r="PGY10" s="1202"/>
      <c r="PGZ10" s="1202"/>
      <c r="PHA10" s="1202"/>
      <c r="PHB10" s="1202"/>
      <c r="PHC10" s="1202"/>
      <c r="PHD10" s="1202"/>
      <c r="PHE10" s="1202"/>
      <c r="PHF10" s="1202"/>
      <c r="PHG10" s="1202"/>
      <c r="PHH10" s="1202"/>
      <c r="PHI10" s="1202"/>
      <c r="PHJ10" s="1202"/>
      <c r="PHK10" s="1202"/>
      <c r="PHL10" s="1202"/>
      <c r="PHM10" s="1202"/>
      <c r="PHN10" s="1202"/>
      <c r="PHO10" s="1202"/>
      <c r="PHP10" s="1202"/>
      <c r="PHQ10" s="1202"/>
      <c r="PHR10" s="1202"/>
      <c r="PHS10" s="1202"/>
      <c r="PHT10" s="1202"/>
      <c r="PHU10" s="1202"/>
      <c r="PHV10" s="1202"/>
      <c r="PHW10" s="1202"/>
      <c r="PHX10" s="1202"/>
      <c r="PHY10" s="1202"/>
      <c r="PHZ10" s="1202"/>
      <c r="PIA10" s="1202"/>
      <c r="PIB10" s="1202"/>
      <c r="PIC10" s="1202"/>
      <c r="PID10" s="1202"/>
      <c r="PIE10" s="1202"/>
      <c r="PIF10" s="1202"/>
      <c r="PIG10" s="1202"/>
      <c r="PIH10" s="1202"/>
      <c r="PII10" s="1202"/>
      <c r="PIJ10" s="1202"/>
      <c r="PIK10" s="1202"/>
      <c r="PIL10" s="1202"/>
      <c r="PIM10" s="1202"/>
      <c r="PIN10" s="1202"/>
      <c r="PIO10" s="1202"/>
      <c r="PIP10" s="1202"/>
      <c r="PIQ10" s="1202"/>
      <c r="PIR10" s="1202"/>
      <c r="PIS10" s="1202"/>
      <c r="PIT10" s="1202"/>
      <c r="PIU10" s="1202"/>
      <c r="PIV10" s="1202"/>
      <c r="PIW10" s="1202"/>
      <c r="PIX10" s="1202"/>
      <c r="PIY10" s="1202"/>
      <c r="PIZ10" s="1202"/>
      <c r="PJA10" s="1202"/>
      <c r="PJB10" s="1202"/>
      <c r="PJC10" s="1202"/>
      <c r="PJD10" s="1202"/>
      <c r="PJE10" s="1202"/>
      <c r="PJF10" s="1202"/>
      <c r="PJG10" s="1202"/>
      <c r="PJH10" s="1202"/>
      <c r="PJI10" s="1202"/>
      <c r="PJJ10" s="1202"/>
      <c r="PJK10" s="1202"/>
      <c r="PJL10" s="1202"/>
      <c r="PJM10" s="1202"/>
      <c r="PJN10" s="1202"/>
      <c r="PJO10" s="1202"/>
      <c r="PJP10" s="1202"/>
      <c r="PJQ10" s="1202"/>
      <c r="PJR10" s="1202"/>
      <c r="PJS10" s="1202"/>
      <c r="PJT10" s="1202"/>
      <c r="PJU10" s="1202"/>
      <c r="PJV10" s="1202"/>
      <c r="PJW10" s="1202"/>
      <c r="PJX10" s="1202"/>
      <c r="PJY10" s="1202"/>
      <c r="PJZ10" s="1202"/>
      <c r="PKA10" s="1202"/>
      <c r="PKB10" s="1202"/>
      <c r="PKC10" s="1202"/>
      <c r="PKD10" s="1202"/>
      <c r="PKE10" s="1202"/>
      <c r="PKF10" s="1202"/>
      <c r="PKG10" s="1202"/>
      <c r="PKH10" s="1202"/>
      <c r="PKI10" s="1202"/>
      <c r="PKJ10" s="1202"/>
      <c r="PKK10" s="1202"/>
      <c r="PKL10" s="1202"/>
      <c r="PKM10" s="1202"/>
      <c r="PKN10" s="1202"/>
      <c r="PKO10" s="1202"/>
      <c r="PKP10" s="1202"/>
      <c r="PKQ10" s="1202"/>
      <c r="PKR10" s="1202"/>
      <c r="PKS10" s="1202"/>
      <c r="PKT10" s="1202"/>
      <c r="PKU10" s="1202"/>
      <c r="PKV10" s="1202"/>
      <c r="PKW10" s="1202"/>
      <c r="PKX10" s="1202"/>
      <c r="PKY10" s="1202"/>
      <c r="PKZ10" s="1202"/>
      <c r="PLA10" s="1202"/>
      <c r="PLB10" s="1202"/>
      <c r="PLC10" s="1202"/>
      <c r="PLD10" s="1202"/>
      <c r="PLE10" s="1202"/>
      <c r="PLF10" s="1202"/>
      <c r="PLG10" s="1202"/>
      <c r="PLH10" s="1202"/>
      <c r="PLI10" s="1202"/>
      <c r="PLJ10" s="1202"/>
      <c r="PLK10" s="1202"/>
      <c r="PLL10" s="1202"/>
      <c r="PLM10" s="1202"/>
      <c r="PLN10" s="1202"/>
      <c r="PLO10" s="1202"/>
      <c r="PLP10" s="1202"/>
      <c r="PLQ10" s="1202"/>
      <c r="PLR10" s="1202"/>
      <c r="PLS10" s="1202"/>
      <c r="PLT10" s="1202"/>
      <c r="PLU10" s="1202"/>
      <c r="PLV10" s="1202"/>
      <c r="PLW10" s="1202"/>
      <c r="PLX10" s="1202"/>
      <c r="PLY10" s="1202"/>
      <c r="PLZ10" s="1202"/>
      <c r="PMA10" s="1202"/>
      <c r="PMB10" s="1202"/>
      <c r="PMC10" s="1202"/>
      <c r="PMD10" s="1202"/>
      <c r="PME10" s="1202"/>
      <c r="PMF10" s="1202"/>
      <c r="PMG10" s="1202"/>
      <c r="PMH10" s="1202"/>
      <c r="PMI10" s="1202"/>
      <c r="PMJ10" s="1202"/>
      <c r="PMK10" s="1202"/>
      <c r="PML10" s="1202"/>
      <c r="PMM10" s="1202"/>
      <c r="PMN10" s="1202"/>
      <c r="PMO10" s="1202"/>
      <c r="PMP10" s="1202"/>
      <c r="PMQ10" s="1202"/>
      <c r="PMR10" s="1202"/>
      <c r="PMS10" s="1202"/>
      <c r="PMT10" s="1202"/>
      <c r="PMU10" s="1202"/>
      <c r="PMV10" s="1202"/>
      <c r="PMW10" s="1202"/>
      <c r="PMX10" s="1202"/>
      <c r="PMY10" s="1202"/>
      <c r="PMZ10" s="1202"/>
      <c r="PNA10" s="1202"/>
      <c r="PNB10" s="1202"/>
      <c r="PNC10" s="1202"/>
      <c r="PND10" s="1202"/>
      <c r="PNE10" s="1202"/>
      <c r="PNF10" s="1202"/>
      <c r="PNG10" s="1202"/>
      <c r="PNH10" s="1202"/>
      <c r="PNI10" s="1202"/>
      <c r="PNJ10" s="1202"/>
      <c r="PNK10" s="1202"/>
      <c r="PNL10" s="1202"/>
      <c r="PNM10" s="1202"/>
      <c r="PNN10" s="1202"/>
      <c r="PNO10" s="1202"/>
      <c r="PNP10" s="1202"/>
      <c r="PNQ10" s="1202"/>
      <c r="PNR10" s="1202"/>
      <c r="PNS10" s="1202"/>
      <c r="PNT10" s="1202"/>
      <c r="PNU10" s="1202"/>
      <c r="PNV10" s="1202"/>
      <c r="PNW10" s="1202"/>
      <c r="PNX10" s="1202"/>
      <c r="PNY10" s="1202"/>
      <c r="PNZ10" s="1202"/>
      <c r="POA10" s="1202"/>
      <c r="POB10" s="1202"/>
      <c r="POC10" s="1202"/>
      <c r="POD10" s="1202"/>
      <c r="POE10" s="1202"/>
      <c r="POF10" s="1202"/>
      <c r="POG10" s="1202"/>
      <c r="POH10" s="1202"/>
      <c r="POI10" s="1202"/>
      <c r="POJ10" s="1202"/>
      <c r="POK10" s="1202"/>
      <c r="POL10" s="1202"/>
      <c r="POM10" s="1202"/>
      <c r="PON10" s="1202"/>
      <c r="POO10" s="1202"/>
      <c r="POP10" s="1202"/>
      <c r="POQ10" s="1202"/>
      <c r="POR10" s="1202"/>
      <c r="POS10" s="1202"/>
      <c r="POT10" s="1202"/>
      <c r="POU10" s="1202"/>
      <c r="POV10" s="1202"/>
      <c r="POW10" s="1202"/>
      <c r="POX10" s="1202"/>
      <c r="POY10" s="1202"/>
      <c r="POZ10" s="1202"/>
      <c r="PPA10" s="1202"/>
      <c r="PPB10" s="1202"/>
      <c r="PPC10" s="1202"/>
      <c r="PPD10" s="1202"/>
      <c r="PPE10" s="1202"/>
      <c r="PPF10" s="1202"/>
      <c r="PPG10" s="1202"/>
      <c r="PPH10" s="1202"/>
      <c r="PPI10" s="1202"/>
      <c r="PPJ10" s="1202"/>
      <c r="PPK10" s="1202"/>
      <c r="PPL10" s="1202"/>
      <c r="PPM10" s="1202"/>
      <c r="PPN10" s="1202"/>
      <c r="PPO10" s="1202"/>
      <c r="PPP10" s="1202"/>
      <c r="PPQ10" s="1202"/>
      <c r="PPR10" s="1202"/>
      <c r="PPS10" s="1202"/>
      <c r="PPT10" s="1202"/>
      <c r="PPU10" s="1202"/>
      <c r="PPV10" s="1202"/>
      <c r="PPW10" s="1202"/>
      <c r="PPX10" s="1202"/>
      <c r="PPY10" s="1202"/>
      <c r="PPZ10" s="1202"/>
      <c r="PQA10" s="1202"/>
      <c r="PQB10" s="1202"/>
      <c r="PQC10" s="1202"/>
      <c r="PQD10" s="1202"/>
      <c r="PQE10" s="1202"/>
      <c r="PQF10" s="1202"/>
      <c r="PQG10" s="1202"/>
      <c r="PQH10" s="1202"/>
      <c r="PQI10" s="1202"/>
      <c r="PQJ10" s="1202"/>
      <c r="PQK10" s="1202"/>
      <c r="PQL10" s="1202"/>
      <c r="PQM10" s="1202"/>
      <c r="PQN10" s="1202"/>
      <c r="PQO10" s="1202"/>
      <c r="PQP10" s="1202"/>
      <c r="PQQ10" s="1202"/>
      <c r="PQR10" s="1202"/>
      <c r="PQS10" s="1202"/>
      <c r="PQT10" s="1202"/>
      <c r="PQU10" s="1202"/>
      <c r="PQV10" s="1202"/>
      <c r="PQW10" s="1202"/>
      <c r="PQX10" s="1202"/>
      <c r="PQY10" s="1202"/>
      <c r="PQZ10" s="1202"/>
      <c r="PRA10" s="1202"/>
      <c r="PRB10" s="1202"/>
      <c r="PRC10" s="1202"/>
      <c r="PRD10" s="1202"/>
      <c r="PRE10" s="1202"/>
      <c r="PRF10" s="1202"/>
      <c r="PRG10" s="1202"/>
      <c r="PRH10" s="1202"/>
      <c r="PRI10" s="1202"/>
      <c r="PRJ10" s="1202"/>
      <c r="PRK10" s="1202"/>
      <c r="PRL10" s="1202"/>
      <c r="PRM10" s="1202"/>
      <c r="PRN10" s="1202"/>
      <c r="PRO10" s="1202"/>
      <c r="PRP10" s="1202"/>
      <c r="PRQ10" s="1202"/>
      <c r="PRR10" s="1202"/>
      <c r="PRS10" s="1202"/>
      <c r="PRT10" s="1202"/>
      <c r="PRU10" s="1202"/>
      <c r="PRV10" s="1202"/>
      <c r="PRW10" s="1202"/>
      <c r="PRX10" s="1202"/>
      <c r="PRY10" s="1202"/>
      <c r="PRZ10" s="1202"/>
      <c r="PSA10" s="1202"/>
      <c r="PSB10" s="1202"/>
      <c r="PSC10" s="1202"/>
      <c r="PSD10" s="1202"/>
      <c r="PSE10" s="1202"/>
      <c r="PSF10" s="1202"/>
      <c r="PSG10" s="1202"/>
      <c r="PSH10" s="1202"/>
      <c r="PSI10" s="1202"/>
      <c r="PSJ10" s="1202"/>
      <c r="PSK10" s="1202"/>
      <c r="PSL10" s="1202"/>
      <c r="PSM10" s="1202"/>
      <c r="PSN10" s="1202"/>
      <c r="PSO10" s="1202"/>
      <c r="PSP10" s="1202"/>
      <c r="PSQ10" s="1202"/>
      <c r="PSR10" s="1202"/>
      <c r="PSS10" s="1202"/>
      <c r="PST10" s="1202"/>
      <c r="PSU10" s="1202"/>
      <c r="PSV10" s="1202"/>
      <c r="PSW10" s="1202"/>
      <c r="PSX10" s="1202"/>
      <c r="PSY10" s="1202"/>
      <c r="PSZ10" s="1202"/>
      <c r="PTA10" s="1202"/>
      <c r="PTB10" s="1202"/>
      <c r="PTC10" s="1202"/>
      <c r="PTD10" s="1202"/>
      <c r="PTE10" s="1202"/>
      <c r="PTF10" s="1202"/>
      <c r="PTG10" s="1202"/>
      <c r="PTH10" s="1202"/>
      <c r="PTI10" s="1202"/>
      <c r="PTJ10" s="1202"/>
      <c r="PTK10" s="1202"/>
      <c r="PTL10" s="1202"/>
      <c r="PTM10" s="1202"/>
      <c r="PTN10" s="1202"/>
      <c r="PTO10" s="1202"/>
      <c r="PTP10" s="1202"/>
      <c r="PTQ10" s="1202"/>
      <c r="PTR10" s="1202"/>
      <c r="PTS10" s="1202"/>
      <c r="PTT10" s="1202"/>
      <c r="PTU10" s="1202"/>
      <c r="PTV10" s="1202"/>
      <c r="PTW10" s="1202"/>
      <c r="PTX10" s="1202"/>
      <c r="PTY10" s="1202"/>
      <c r="PTZ10" s="1202"/>
      <c r="PUA10" s="1202"/>
      <c r="PUB10" s="1202"/>
      <c r="PUC10" s="1202"/>
      <c r="PUD10" s="1202"/>
      <c r="PUE10" s="1202"/>
      <c r="PUF10" s="1202"/>
      <c r="PUG10" s="1202"/>
      <c r="PUH10" s="1202"/>
      <c r="PUI10" s="1202"/>
      <c r="PUJ10" s="1202"/>
      <c r="PUK10" s="1202"/>
      <c r="PUL10" s="1202"/>
      <c r="PUM10" s="1202"/>
      <c r="PUN10" s="1202"/>
      <c r="PUO10" s="1202"/>
      <c r="PUP10" s="1202"/>
      <c r="PUQ10" s="1202"/>
      <c r="PUR10" s="1202"/>
      <c r="PUS10" s="1202"/>
      <c r="PUT10" s="1202"/>
      <c r="PUU10" s="1202"/>
      <c r="PUV10" s="1202"/>
      <c r="PUW10" s="1202"/>
      <c r="PUX10" s="1202"/>
      <c r="PUY10" s="1202"/>
      <c r="PUZ10" s="1202"/>
      <c r="PVA10" s="1202"/>
      <c r="PVB10" s="1202"/>
      <c r="PVC10" s="1202"/>
      <c r="PVD10" s="1202"/>
      <c r="PVE10" s="1202"/>
      <c r="PVF10" s="1202"/>
      <c r="PVG10" s="1202"/>
      <c r="PVH10" s="1202"/>
      <c r="PVI10" s="1202"/>
      <c r="PVJ10" s="1202"/>
      <c r="PVK10" s="1202"/>
      <c r="PVL10" s="1202"/>
      <c r="PVM10" s="1202"/>
      <c r="PVN10" s="1202"/>
      <c r="PVO10" s="1202"/>
      <c r="PVP10" s="1202"/>
      <c r="PVQ10" s="1202"/>
      <c r="PVR10" s="1202"/>
      <c r="PVS10" s="1202"/>
      <c r="PVT10" s="1202"/>
      <c r="PVU10" s="1202"/>
      <c r="PVV10" s="1202"/>
      <c r="PVW10" s="1202"/>
      <c r="PVX10" s="1202"/>
      <c r="PVY10" s="1202"/>
      <c r="PVZ10" s="1202"/>
      <c r="PWA10" s="1202"/>
      <c r="PWB10" s="1202"/>
      <c r="PWC10" s="1202"/>
      <c r="PWD10" s="1202"/>
      <c r="PWE10" s="1202"/>
      <c r="PWF10" s="1202"/>
      <c r="PWG10" s="1202"/>
      <c r="PWH10" s="1202"/>
      <c r="PWI10" s="1202"/>
      <c r="PWJ10" s="1202"/>
      <c r="PWK10" s="1202"/>
      <c r="PWL10" s="1202"/>
      <c r="PWM10" s="1202"/>
      <c r="PWN10" s="1202"/>
      <c r="PWO10" s="1202"/>
      <c r="PWP10" s="1202"/>
      <c r="PWQ10" s="1202"/>
      <c r="PWR10" s="1202"/>
      <c r="PWS10" s="1202"/>
      <c r="PWT10" s="1202"/>
      <c r="PWU10" s="1202"/>
      <c r="PWV10" s="1202"/>
      <c r="PWW10" s="1202"/>
      <c r="PWX10" s="1202"/>
      <c r="PWY10" s="1202"/>
      <c r="PWZ10" s="1202"/>
      <c r="PXA10" s="1202"/>
      <c r="PXB10" s="1202"/>
      <c r="PXC10" s="1202"/>
      <c r="PXD10" s="1202"/>
      <c r="PXE10" s="1202"/>
      <c r="PXF10" s="1202"/>
      <c r="PXG10" s="1202"/>
      <c r="PXH10" s="1202"/>
      <c r="PXI10" s="1202"/>
      <c r="PXJ10" s="1202"/>
      <c r="PXK10" s="1202"/>
      <c r="PXL10" s="1202"/>
      <c r="PXM10" s="1202"/>
      <c r="PXN10" s="1202"/>
      <c r="PXO10" s="1202"/>
      <c r="PXP10" s="1202"/>
      <c r="PXQ10" s="1202"/>
      <c r="PXR10" s="1202"/>
      <c r="PXS10" s="1202"/>
      <c r="PXT10" s="1202"/>
      <c r="PXU10" s="1202"/>
      <c r="PXV10" s="1202"/>
      <c r="PXW10" s="1202"/>
      <c r="PXX10" s="1202"/>
      <c r="PXY10" s="1202"/>
      <c r="PXZ10" s="1202"/>
      <c r="PYA10" s="1202"/>
      <c r="PYB10" s="1202"/>
      <c r="PYC10" s="1202"/>
      <c r="PYD10" s="1202"/>
      <c r="PYE10" s="1202"/>
      <c r="PYF10" s="1202"/>
      <c r="PYG10" s="1202"/>
      <c r="PYH10" s="1202"/>
      <c r="PYI10" s="1202"/>
      <c r="PYJ10" s="1202"/>
      <c r="PYK10" s="1202"/>
      <c r="PYL10" s="1202"/>
      <c r="PYM10" s="1202"/>
      <c r="PYN10" s="1202"/>
      <c r="PYO10" s="1202"/>
      <c r="PYP10" s="1202"/>
      <c r="PYQ10" s="1202"/>
      <c r="PYR10" s="1202"/>
      <c r="PYS10" s="1202"/>
      <c r="PYT10" s="1202"/>
      <c r="PYU10" s="1202"/>
      <c r="PYV10" s="1202"/>
      <c r="PYW10" s="1202"/>
      <c r="PYX10" s="1202"/>
      <c r="PYY10" s="1202"/>
      <c r="PYZ10" s="1202"/>
      <c r="PZA10" s="1202"/>
      <c r="PZB10" s="1202"/>
      <c r="PZC10" s="1202"/>
      <c r="PZD10" s="1202"/>
      <c r="PZE10" s="1202"/>
      <c r="PZF10" s="1202"/>
      <c r="PZG10" s="1202"/>
      <c r="PZH10" s="1202"/>
      <c r="PZI10" s="1202"/>
      <c r="PZJ10" s="1202"/>
      <c r="PZK10" s="1202"/>
      <c r="PZL10" s="1202"/>
      <c r="PZM10" s="1202"/>
      <c r="PZN10" s="1202"/>
      <c r="PZO10" s="1202"/>
      <c r="PZP10" s="1202"/>
      <c r="PZQ10" s="1202"/>
      <c r="PZR10" s="1202"/>
      <c r="PZS10" s="1202"/>
      <c r="PZT10" s="1202"/>
      <c r="PZU10" s="1202"/>
      <c r="PZV10" s="1202"/>
      <c r="PZW10" s="1202"/>
      <c r="PZX10" s="1202"/>
      <c r="PZY10" s="1202"/>
      <c r="PZZ10" s="1202"/>
      <c r="QAA10" s="1202"/>
      <c r="QAB10" s="1202"/>
      <c r="QAC10" s="1202"/>
      <c r="QAD10" s="1202"/>
      <c r="QAE10" s="1202"/>
      <c r="QAF10" s="1202"/>
      <c r="QAG10" s="1202"/>
      <c r="QAH10" s="1202"/>
      <c r="QAI10" s="1202"/>
      <c r="QAJ10" s="1202"/>
      <c r="QAK10" s="1202"/>
      <c r="QAL10" s="1202"/>
      <c r="QAM10" s="1202"/>
      <c r="QAN10" s="1202"/>
      <c r="QAO10" s="1202"/>
      <c r="QAP10" s="1202"/>
      <c r="QAQ10" s="1202"/>
      <c r="QAR10" s="1202"/>
      <c r="QAS10" s="1202"/>
      <c r="QAT10" s="1202"/>
      <c r="QAU10" s="1202"/>
      <c r="QAV10" s="1202"/>
      <c r="QAW10" s="1202"/>
      <c r="QAX10" s="1202"/>
      <c r="QAY10" s="1202"/>
      <c r="QAZ10" s="1202"/>
      <c r="QBA10" s="1202"/>
      <c r="QBB10" s="1202"/>
      <c r="QBC10" s="1202"/>
      <c r="QBD10" s="1202"/>
      <c r="QBE10" s="1202"/>
      <c r="QBF10" s="1202"/>
      <c r="QBG10" s="1202"/>
      <c r="QBH10" s="1202"/>
      <c r="QBI10" s="1202"/>
      <c r="QBJ10" s="1202"/>
      <c r="QBK10" s="1202"/>
      <c r="QBL10" s="1202"/>
      <c r="QBM10" s="1202"/>
      <c r="QBN10" s="1202"/>
      <c r="QBO10" s="1202"/>
      <c r="QBP10" s="1202"/>
      <c r="QBQ10" s="1202"/>
      <c r="QBR10" s="1202"/>
      <c r="QBS10" s="1202"/>
      <c r="QBT10" s="1202"/>
      <c r="QBU10" s="1202"/>
      <c r="QBV10" s="1202"/>
      <c r="QBW10" s="1202"/>
      <c r="QBX10" s="1202"/>
      <c r="QBY10" s="1202"/>
      <c r="QBZ10" s="1202"/>
      <c r="QCA10" s="1202"/>
      <c r="QCB10" s="1202"/>
      <c r="QCC10" s="1202"/>
      <c r="QCD10" s="1202"/>
      <c r="QCE10" s="1202"/>
      <c r="QCF10" s="1202"/>
      <c r="QCG10" s="1202"/>
      <c r="QCH10" s="1202"/>
      <c r="QCI10" s="1202"/>
      <c r="QCJ10" s="1202"/>
      <c r="QCK10" s="1202"/>
      <c r="QCL10" s="1202"/>
      <c r="QCM10" s="1202"/>
      <c r="QCN10" s="1202"/>
      <c r="QCO10" s="1202"/>
      <c r="QCP10" s="1202"/>
      <c r="QCQ10" s="1202"/>
      <c r="QCR10" s="1202"/>
      <c r="QCS10" s="1202"/>
      <c r="QCT10" s="1202"/>
      <c r="QCU10" s="1202"/>
      <c r="QCV10" s="1202"/>
      <c r="QCW10" s="1202"/>
      <c r="QCX10" s="1202"/>
      <c r="QCY10" s="1202"/>
      <c r="QCZ10" s="1202"/>
      <c r="QDA10" s="1202"/>
      <c r="QDB10" s="1202"/>
      <c r="QDC10" s="1202"/>
      <c r="QDD10" s="1202"/>
      <c r="QDE10" s="1202"/>
      <c r="QDF10" s="1202"/>
      <c r="QDG10" s="1202"/>
      <c r="QDH10" s="1202"/>
      <c r="QDI10" s="1202"/>
      <c r="QDJ10" s="1202"/>
      <c r="QDK10" s="1202"/>
      <c r="QDL10" s="1202"/>
      <c r="QDM10" s="1202"/>
      <c r="QDN10" s="1202"/>
      <c r="QDO10" s="1202"/>
      <c r="QDP10" s="1202"/>
      <c r="QDQ10" s="1202"/>
      <c r="QDR10" s="1202"/>
      <c r="QDS10" s="1202"/>
      <c r="QDT10" s="1202"/>
      <c r="QDU10" s="1202"/>
      <c r="QDV10" s="1202"/>
      <c r="QDW10" s="1202"/>
      <c r="QDX10" s="1202"/>
      <c r="QDY10" s="1202"/>
      <c r="QDZ10" s="1202"/>
      <c r="QEA10" s="1202"/>
      <c r="QEB10" s="1202"/>
      <c r="QEC10" s="1202"/>
      <c r="QED10" s="1202"/>
      <c r="QEE10" s="1202"/>
      <c r="QEF10" s="1202"/>
      <c r="QEG10" s="1202"/>
      <c r="QEH10" s="1202"/>
      <c r="QEI10" s="1202"/>
      <c r="QEJ10" s="1202"/>
      <c r="QEK10" s="1202"/>
      <c r="QEL10" s="1202"/>
      <c r="QEM10" s="1202"/>
      <c r="QEN10" s="1202"/>
      <c r="QEO10" s="1202"/>
      <c r="QEP10" s="1202"/>
      <c r="QEQ10" s="1202"/>
      <c r="QER10" s="1202"/>
      <c r="QES10" s="1202"/>
      <c r="QET10" s="1202"/>
      <c r="QEU10" s="1202"/>
      <c r="QEV10" s="1202"/>
      <c r="QEW10" s="1202"/>
      <c r="QEX10" s="1202"/>
      <c r="QEY10" s="1202"/>
      <c r="QEZ10" s="1202"/>
      <c r="QFA10" s="1202"/>
      <c r="QFB10" s="1202"/>
      <c r="QFC10" s="1202"/>
      <c r="QFD10" s="1202"/>
      <c r="QFE10" s="1202"/>
      <c r="QFF10" s="1202"/>
      <c r="QFG10" s="1202"/>
      <c r="QFH10" s="1202"/>
      <c r="QFI10" s="1202"/>
      <c r="QFJ10" s="1202"/>
      <c r="QFK10" s="1202"/>
      <c r="QFL10" s="1202"/>
      <c r="QFM10" s="1202"/>
      <c r="QFN10" s="1202"/>
      <c r="QFO10" s="1202"/>
      <c r="QFP10" s="1202"/>
      <c r="QFQ10" s="1202"/>
      <c r="QFR10" s="1202"/>
      <c r="QFS10" s="1202"/>
      <c r="QFT10" s="1202"/>
      <c r="QFU10" s="1202"/>
      <c r="QFV10" s="1202"/>
      <c r="QFW10" s="1202"/>
      <c r="QFX10" s="1202"/>
      <c r="QFY10" s="1202"/>
      <c r="QFZ10" s="1202"/>
      <c r="QGA10" s="1202"/>
      <c r="QGB10" s="1202"/>
      <c r="QGC10" s="1202"/>
      <c r="QGD10" s="1202"/>
      <c r="QGE10" s="1202"/>
      <c r="QGF10" s="1202"/>
      <c r="QGG10" s="1202"/>
      <c r="QGH10" s="1202"/>
      <c r="QGI10" s="1202"/>
      <c r="QGJ10" s="1202"/>
      <c r="QGK10" s="1202"/>
      <c r="QGL10" s="1202"/>
      <c r="QGM10" s="1202"/>
      <c r="QGN10" s="1202"/>
      <c r="QGO10" s="1202"/>
      <c r="QGP10" s="1202"/>
      <c r="QGQ10" s="1202"/>
      <c r="QGR10" s="1202"/>
      <c r="QGS10" s="1202"/>
      <c r="QGT10" s="1202"/>
      <c r="QGU10" s="1202"/>
      <c r="QGV10" s="1202"/>
      <c r="QGW10" s="1202"/>
      <c r="QGX10" s="1202"/>
      <c r="QGY10" s="1202"/>
      <c r="QGZ10" s="1202"/>
      <c r="QHA10" s="1202"/>
      <c r="QHB10" s="1202"/>
      <c r="QHC10" s="1202"/>
      <c r="QHD10" s="1202"/>
      <c r="QHE10" s="1202"/>
      <c r="QHF10" s="1202"/>
      <c r="QHG10" s="1202"/>
      <c r="QHH10" s="1202"/>
      <c r="QHI10" s="1202"/>
      <c r="QHJ10" s="1202"/>
      <c r="QHK10" s="1202"/>
      <c r="QHL10" s="1202"/>
      <c r="QHM10" s="1202"/>
      <c r="QHN10" s="1202"/>
      <c r="QHO10" s="1202"/>
      <c r="QHP10" s="1202"/>
      <c r="QHQ10" s="1202"/>
      <c r="QHR10" s="1202"/>
      <c r="QHS10" s="1202"/>
      <c r="QHT10" s="1202"/>
      <c r="QHU10" s="1202"/>
      <c r="QHV10" s="1202"/>
      <c r="QHW10" s="1202"/>
      <c r="QHX10" s="1202"/>
      <c r="QHY10" s="1202"/>
      <c r="QHZ10" s="1202"/>
      <c r="QIA10" s="1202"/>
      <c r="QIB10" s="1202"/>
      <c r="QIC10" s="1202"/>
      <c r="QID10" s="1202"/>
      <c r="QIE10" s="1202"/>
      <c r="QIF10" s="1202"/>
      <c r="QIG10" s="1202"/>
      <c r="QIH10" s="1202"/>
      <c r="QII10" s="1202"/>
      <c r="QIJ10" s="1202"/>
      <c r="QIK10" s="1202"/>
      <c r="QIL10" s="1202"/>
      <c r="QIM10" s="1202"/>
      <c r="QIN10" s="1202"/>
      <c r="QIO10" s="1202"/>
      <c r="QIP10" s="1202"/>
      <c r="QIQ10" s="1202"/>
      <c r="QIR10" s="1202"/>
      <c r="QIS10" s="1202"/>
      <c r="QIT10" s="1202"/>
      <c r="QIU10" s="1202"/>
      <c r="QIV10" s="1202"/>
      <c r="QIW10" s="1202"/>
      <c r="QIX10" s="1202"/>
      <c r="QIY10" s="1202"/>
      <c r="QIZ10" s="1202"/>
      <c r="QJA10" s="1202"/>
      <c r="QJB10" s="1202"/>
      <c r="QJC10" s="1202"/>
      <c r="QJD10" s="1202"/>
      <c r="QJE10" s="1202"/>
      <c r="QJF10" s="1202"/>
      <c r="QJG10" s="1202"/>
      <c r="QJH10" s="1202"/>
      <c r="QJI10" s="1202"/>
      <c r="QJJ10" s="1202"/>
      <c r="QJK10" s="1202"/>
      <c r="QJL10" s="1202"/>
      <c r="QJM10" s="1202"/>
      <c r="QJN10" s="1202"/>
      <c r="QJO10" s="1202"/>
      <c r="QJP10" s="1202"/>
      <c r="QJQ10" s="1202"/>
      <c r="QJR10" s="1202"/>
      <c r="QJS10" s="1202"/>
      <c r="QJT10" s="1202"/>
      <c r="QJU10" s="1202"/>
      <c r="QJV10" s="1202"/>
      <c r="QJW10" s="1202"/>
      <c r="QJX10" s="1202"/>
      <c r="QJY10" s="1202"/>
      <c r="QJZ10" s="1202"/>
      <c r="QKA10" s="1202"/>
      <c r="QKB10" s="1202"/>
      <c r="QKC10" s="1202"/>
      <c r="QKD10" s="1202"/>
      <c r="QKE10" s="1202"/>
      <c r="QKF10" s="1202"/>
      <c r="QKG10" s="1202"/>
      <c r="QKH10" s="1202"/>
      <c r="QKI10" s="1202"/>
      <c r="QKJ10" s="1202"/>
      <c r="QKK10" s="1202"/>
      <c r="QKL10" s="1202"/>
      <c r="QKM10" s="1202"/>
      <c r="QKN10" s="1202"/>
      <c r="QKO10" s="1202"/>
      <c r="QKP10" s="1202"/>
      <c r="QKQ10" s="1202"/>
      <c r="QKR10" s="1202"/>
      <c r="QKS10" s="1202"/>
      <c r="QKT10" s="1202"/>
      <c r="QKU10" s="1202"/>
      <c r="QKV10" s="1202"/>
      <c r="QKW10" s="1202"/>
      <c r="QKX10" s="1202"/>
      <c r="QKY10" s="1202"/>
      <c r="QKZ10" s="1202"/>
      <c r="QLA10" s="1202"/>
      <c r="QLB10" s="1202"/>
      <c r="QLC10" s="1202"/>
      <c r="QLD10" s="1202"/>
      <c r="QLE10" s="1202"/>
      <c r="QLF10" s="1202"/>
      <c r="QLG10" s="1202"/>
      <c r="QLH10" s="1202"/>
      <c r="QLI10" s="1202"/>
      <c r="QLJ10" s="1202"/>
      <c r="QLK10" s="1202"/>
      <c r="QLL10" s="1202"/>
      <c r="QLM10" s="1202"/>
      <c r="QLN10" s="1202"/>
      <c r="QLO10" s="1202"/>
      <c r="QLP10" s="1202"/>
      <c r="QLQ10" s="1202"/>
      <c r="QLR10" s="1202"/>
      <c r="QLS10" s="1202"/>
      <c r="QLT10" s="1202"/>
      <c r="QLU10" s="1202"/>
      <c r="QLV10" s="1202"/>
      <c r="QLW10" s="1202"/>
      <c r="QLX10" s="1202"/>
      <c r="QLY10" s="1202"/>
      <c r="QLZ10" s="1202"/>
      <c r="QMA10" s="1202"/>
      <c r="QMB10" s="1202"/>
      <c r="QMC10" s="1202"/>
      <c r="QMD10" s="1202"/>
      <c r="QME10" s="1202"/>
      <c r="QMF10" s="1202"/>
      <c r="QMG10" s="1202"/>
      <c r="QMH10" s="1202"/>
      <c r="QMI10" s="1202"/>
      <c r="QMJ10" s="1202"/>
      <c r="QMK10" s="1202"/>
      <c r="QML10" s="1202"/>
      <c r="QMM10" s="1202"/>
      <c r="QMN10" s="1202"/>
      <c r="QMO10" s="1202"/>
      <c r="QMP10" s="1202"/>
      <c r="QMQ10" s="1202"/>
      <c r="QMR10" s="1202"/>
      <c r="QMS10" s="1202"/>
      <c r="QMT10" s="1202"/>
      <c r="QMU10" s="1202"/>
      <c r="QMV10" s="1202"/>
      <c r="QMW10" s="1202"/>
      <c r="QMX10" s="1202"/>
      <c r="QMY10" s="1202"/>
      <c r="QMZ10" s="1202"/>
      <c r="QNA10" s="1202"/>
      <c r="QNB10" s="1202"/>
      <c r="QNC10" s="1202"/>
      <c r="QND10" s="1202"/>
      <c r="QNE10" s="1202"/>
      <c r="QNF10" s="1202"/>
      <c r="QNG10" s="1202"/>
      <c r="QNH10" s="1202"/>
      <c r="QNI10" s="1202"/>
      <c r="QNJ10" s="1202"/>
      <c r="QNK10" s="1202"/>
      <c r="QNL10" s="1202"/>
      <c r="QNM10" s="1202"/>
      <c r="QNN10" s="1202"/>
      <c r="QNO10" s="1202"/>
      <c r="QNP10" s="1202"/>
      <c r="QNQ10" s="1202"/>
      <c r="QNR10" s="1202"/>
      <c r="QNS10" s="1202"/>
      <c r="QNT10" s="1202"/>
      <c r="QNU10" s="1202"/>
      <c r="QNV10" s="1202"/>
      <c r="QNW10" s="1202"/>
      <c r="QNX10" s="1202"/>
      <c r="QNY10" s="1202"/>
      <c r="QNZ10" s="1202"/>
      <c r="QOA10" s="1202"/>
      <c r="QOB10" s="1202"/>
      <c r="QOC10" s="1202"/>
      <c r="QOD10" s="1202"/>
      <c r="QOE10" s="1202"/>
      <c r="QOF10" s="1202"/>
      <c r="QOG10" s="1202"/>
      <c r="QOH10" s="1202"/>
      <c r="QOI10" s="1202"/>
      <c r="QOJ10" s="1202"/>
      <c r="QOK10" s="1202"/>
      <c r="QOL10" s="1202"/>
      <c r="QOM10" s="1202"/>
      <c r="QON10" s="1202"/>
      <c r="QOO10" s="1202"/>
      <c r="QOP10" s="1202"/>
      <c r="QOQ10" s="1202"/>
      <c r="QOR10" s="1202"/>
      <c r="QOS10" s="1202"/>
      <c r="QOT10" s="1202"/>
      <c r="QOU10" s="1202"/>
      <c r="QOV10" s="1202"/>
      <c r="QOW10" s="1202"/>
      <c r="QOX10" s="1202"/>
      <c r="QOY10" s="1202"/>
      <c r="QOZ10" s="1202"/>
      <c r="QPA10" s="1202"/>
      <c r="QPB10" s="1202"/>
      <c r="QPC10" s="1202"/>
      <c r="QPD10" s="1202"/>
      <c r="QPE10" s="1202"/>
      <c r="QPF10" s="1202"/>
      <c r="QPG10" s="1202"/>
      <c r="QPH10" s="1202"/>
      <c r="QPI10" s="1202"/>
      <c r="QPJ10" s="1202"/>
      <c r="QPK10" s="1202"/>
      <c r="QPL10" s="1202"/>
      <c r="QPM10" s="1202"/>
      <c r="QPN10" s="1202"/>
      <c r="QPO10" s="1202"/>
      <c r="QPP10" s="1202"/>
      <c r="QPQ10" s="1202"/>
      <c r="QPR10" s="1202"/>
      <c r="QPS10" s="1202"/>
      <c r="QPT10" s="1202"/>
      <c r="QPU10" s="1202"/>
      <c r="QPV10" s="1202"/>
      <c r="QPW10" s="1202"/>
      <c r="QPX10" s="1202"/>
      <c r="QPY10" s="1202"/>
      <c r="QPZ10" s="1202"/>
      <c r="QQA10" s="1202"/>
      <c r="QQB10" s="1202"/>
      <c r="QQC10" s="1202"/>
      <c r="QQD10" s="1202"/>
      <c r="QQE10" s="1202"/>
      <c r="QQF10" s="1202"/>
      <c r="QQG10" s="1202"/>
      <c r="QQH10" s="1202"/>
      <c r="QQI10" s="1202"/>
      <c r="QQJ10" s="1202"/>
      <c r="QQK10" s="1202"/>
      <c r="QQL10" s="1202"/>
      <c r="QQM10" s="1202"/>
      <c r="QQN10" s="1202"/>
      <c r="QQO10" s="1202"/>
      <c r="QQP10" s="1202"/>
      <c r="QQQ10" s="1202"/>
      <c r="QQR10" s="1202"/>
      <c r="QQS10" s="1202"/>
      <c r="QQT10" s="1202"/>
      <c r="QQU10" s="1202"/>
      <c r="QQV10" s="1202"/>
      <c r="QQW10" s="1202"/>
      <c r="QQX10" s="1202"/>
      <c r="QQY10" s="1202"/>
      <c r="QQZ10" s="1202"/>
      <c r="QRA10" s="1202"/>
      <c r="QRB10" s="1202"/>
      <c r="QRC10" s="1202"/>
      <c r="QRD10" s="1202"/>
      <c r="QRE10" s="1202"/>
      <c r="QRF10" s="1202"/>
      <c r="QRG10" s="1202"/>
      <c r="QRH10" s="1202"/>
      <c r="QRI10" s="1202"/>
      <c r="QRJ10" s="1202"/>
      <c r="QRK10" s="1202"/>
      <c r="QRL10" s="1202"/>
      <c r="QRM10" s="1202"/>
      <c r="QRN10" s="1202"/>
      <c r="QRO10" s="1202"/>
      <c r="QRP10" s="1202"/>
      <c r="QRQ10" s="1202"/>
      <c r="QRR10" s="1202"/>
      <c r="QRS10" s="1202"/>
      <c r="QRT10" s="1202"/>
      <c r="QRU10" s="1202"/>
      <c r="QRV10" s="1202"/>
      <c r="QRW10" s="1202"/>
      <c r="QRX10" s="1202"/>
      <c r="QRY10" s="1202"/>
      <c r="QRZ10" s="1202"/>
      <c r="QSA10" s="1202"/>
      <c r="QSB10" s="1202"/>
      <c r="QSC10" s="1202"/>
      <c r="QSD10" s="1202"/>
      <c r="QSE10" s="1202"/>
      <c r="QSF10" s="1202"/>
      <c r="QSG10" s="1202"/>
      <c r="QSH10" s="1202"/>
      <c r="QSI10" s="1202"/>
      <c r="QSJ10" s="1202"/>
      <c r="QSK10" s="1202"/>
      <c r="QSL10" s="1202"/>
      <c r="QSM10" s="1202"/>
      <c r="QSN10" s="1202"/>
      <c r="QSO10" s="1202"/>
      <c r="QSP10" s="1202"/>
      <c r="QSQ10" s="1202"/>
      <c r="QSR10" s="1202"/>
      <c r="QSS10" s="1202"/>
      <c r="QST10" s="1202"/>
      <c r="QSU10" s="1202"/>
      <c r="QSV10" s="1202"/>
      <c r="QSW10" s="1202"/>
      <c r="QSX10" s="1202"/>
      <c r="QSY10" s="1202"/>
      <c r="QSZ10" s="1202"/>
      <c r="QTA10" s="1202"/>
      <c r="QTB10" s="1202"/>
      <c r="QTC10" s="1202"/>
      <c r="QTD10" s="1202"/>
      <c r="QTE10" s="1202"/>
      <c r="QTF10" s="1202"/>
      <c r="QTG10" s="1202"/>
      <c r="QTH10" s="1202"/>
      <c r="QTI10" s="1202"/>
      <c r="QTJ10" s="1202"/>
      <c r="QTK10" s="1202"/>
      <c r="QTL10" s="1202"/>
      <c r="QTM10" s="1202"/>
      <c r="QTN10" s="1202"/>
      <c r="QTO10" s="1202"/>
      <c r="QTP10" s="1202"/>
      <c r="QTQ10" s="1202"/>
      <c r="QTR10" s="1202"/>
      <c r="QTS10" s="1202"/>
      <c r="QTT10" s="1202"/>
      <c r="QTU10" s="1202"/>
      <c r="QTV10" s="1202"/>
      <c r="QTW10" s="1202"/>
      <c r="QTX10" s="1202"/>
      <c r="QTY10" s="1202"/>
      <c r="QTZ10" s="1202"/>
      <c r="QUA10" s="1202"/>
      <c r="QUB10" s="1202"/>
      <c r="QUC10" s="1202"/>
      <c r="QUD10" s="1202"/>
      <c r="QUE10" s="1202"/>
      <c r="QUF10" s="1202"/>
      <c r="QUG10" s="1202"/>
      <c r="QUH10" s="1202"/>
      <c r="QUI10" s="1202"/>
      <c r="QUJ10" s="1202"/>
      <c r="QUK10" s="1202"/>
      <c r="QUL10" s="1202"/>
      <c r="QUM10" s="1202"/>
      <c r="QUN10" s="1202"/>
      <c r="QUO10" s="1202"/>
      <c r="QUP10" s="1202"/>
      <c r="QUQ10" s="1202"/>
      <c r="QUR10" s="1202"/>
      <c r="QUS10" s="1202"/>
      <c r="QUT10" s="1202"/>
      <c r="QUU10" s="1202"/>
      <c r="QUV10" s="1202"/>
      <c r="QUW10" s="1202"/>
      <c r="QUX10" s="1202"/>
      <c r="QUY10" s="1202"/>
      <c r="QUZ10" s="1202"/>
      <c r="QVA10" s="1202"/>
      <c r="QVB10" s="1202"/>
      <c r="QVC10" s="1202"/>
      <c r="QVD10" s="1202"/>
      <c r="QVE10" s="1202"/>
      <c r="QVF10" s="1202"/>
      <c r="QVG10" s="1202"/>
      <c r="QVH10" s="1202"/>
      <c r="QVI10" s="1202"/>
      <c r="QVJ10" s="1202"/>
      <c r="QVK10" s="1202"/>
      <c r="QVL10" s="1202"/>
      <c r="QVM10" s="1202"/>
      <c r="QVN10" s="1202"/>
      <c r="QVO10" s="1202"/>
      <c r="QVP10" s="1202"/>
      <c r="QVQ10" s="1202"/>
      <c r="QVR10" s="1202"/>
      <c r="QVS10" s="1202"/>
      <c r="QVT10" s="1202"/>
      <c r="QVU10" s="1202"/>
      <c r="QVV10" s="1202"/>
      <c r="QVW10" s="1202"/>
      <c r="QVX10" s="1202"/>
      <c r="QVY10" s="1202"/>
      <c r="QVZ10" s="1202"/>
      <c r="QWA10" s="1202"/>
      <c r="QWB10" s="1202"/>
      <c r="QWC10" s="1202"/>
      <c r="QWD10" s="1202"/>
      <c r="QWE10" s="1202"/>
      <c r="QWF10" s="1202"/>
      <c r="QWG10" s="1202"/>
      <c r="QWH10" s="1202"/>
      <c r="QWI10" s="1202"/>
      <c r="QWJ10" s="1202"/>
      <c r="QWK10" s="1202"/>
      <c r="QWL10" s="1202"/>
      <c r="QWM10" s="1202"/>
      <c r="QWN10" s="1202"/>
      <c r="QWO10" s="1202"/>
      <c r="QWP10" s="1202"/>
      <c r="QWQ10" s="1202"/>
      <c r="QWR10" s="1202"/>
      <c r="QWS10" s="1202"/>
      <c r="QWT10" s="1202"/>
      <c r="QWU10" s="1202"/>
      <c r="QWV10" s="1202"/>
      <c r="QWW10" s="1202"/>
      <c r="QWX10" s="1202"/>
      <c r="QWY10" s="1202"/>
      <c r="QWZ10" s="1202"/>
      <c r="QXA10" s="1202"/>
      <c r="QXB10" s="1202"/>
      <c r="QXC10" s="1202"/>
      <c r="QXD10" s="1202"/>
      <c r="QXE10" s="1202"/>
      <c r="QXF10" s="1202"/>
      <c r="QXG10" s="1202"/>
      <c r="QXH10" s="1202"/>
      <c r="QXI10" s="1202"/>
      <c r="QXJ10" s="1202"/>
      <c r="QXK10" s="1202"/>
      <c r="QXL10" s="1202"/>
      <c r="QXM10" s="1202"/>
      <c r="QXN10" s="1202"/>
      <c r="QXO10" s="1202"/>
      <c r="QXP10" s="1202"/>
      <c r="QXQ10" s="1202"/>
      <c r="QXR10" s="1202"/>
      <c r="QXS10" s="1202"/>
      <c r="QXT10" s="1202"/>
      <c r="QXU10" s="1202"/>
      <c r="QXV10" s="1202"/>
      <c r="QXW10" s="1202"/>
      <c r="QXX10" s="1202"/>
      <c r="QXY10" s="1202"/>
      <c r="QXZ10" s="1202"/>
      <c r="QYA10" s="1202"/>
      <c r="QYB10" s="1202"/>
      <c r="QYC10" s="1202"/>
      <c r="QYD10" s="1202"/>
      <c r="QYE10" s="1202"/>
      <c r="QYF10" s="1202"/>
      <c r="QYG10" s="1202"/>
      <c r="QYH10" s="1202"/>
      <c r="QYI10" s="1202"/>
      <c r="QYJ10" s="1202"/>
      <c r="QYK10" s="1202"/>
      <c r="QYL10" s="1202"/>
      <c r="QYM10" s="1202"/>
      <c r="QYN10" s="1202"/>
      <c r="QYO10" s="1202"/>
      <c r="QYP10" s="1202"/>
      <c r="QYQ10" s="1202"/>
      <c r="QYR10" s="1202"/>
      <c r="QYS10" s="1202"/>
      <c r="QYT10" s="1202"/>
      <c r="QYU10" s="1202"/>
      <c r="QYV10" s="1202"/>
      <c r="QYW10" s="1202"/>
      <c r="QYX10" s="1202"/>
      <c r="QYY10" s="1202"/>
      <c r="QYZ10" s="1202"/>
      <c r="QZA10" s="1202"/>
      <c r="QZB10" s="1202"/>
      <c r="QZC10" s="1202"/>
      <c r="QZD10" s="1202"/>
      <c r="QZE10" s="1202"/>
      <c r="QZF10" s="1202"/>
      <c r="QZG10" s="1202"/>
      <c r="QZH10" s="1202"/>
      <c r="QZI10" s="1202"/>
      <c r="QZJ10" s="1202"/>
      <c r="QZK10" s="1202"/>
      <c r="QZL10" s="1202"/>
      <c r="QZM10" s="1202"/>
      <c r="QZN10" s="1202"/>
      <c r="QZO10" s="1202"/>
      <c r="QZP10" s="1202"/>
      <c r="QZQ10" s="1202"/>
      <c r="QZR10" s="1202"/>
      <c r="QZS10" s="1202"/>
      <c r="QZT10" s="1202"/>
      <c r="QZU10" s="1202"/>
      <c r="QZV10" s="1202"/>
      <c r="QZW10" s="1202"/>
      <c r="QZX10" s="1202"/>
      <c r="QZY10" s="1202"/>
      <c r="QZZ10" s="1202"/>
      <c r="RAA10" s="1202"/>
      <c r="RAB10" s="1202"/>
      <c r="RAC10" s="1202"/>
      <c r="RAD10" s="1202"/>
      <c r="RAE10" s="1202"/>
      <c r="RAF10" s="1202"/>
      <c r="RAG10" s="1202"/>
      <c r="RAH10" s="1202"/>
      <c r="RAI10" s="1202"/>
      <c r="RAJ10" s="1202"/>
      <c r="RAK10" s="1202"/>
      <c r="RAL10" s="1202"/>
      <c r="RAM10" s="1202"/>
      <c r="RAN10" s="1202"/>
      <c r="RAO10" s="1202"/>
      <c r="RAP10" s="1202"/>
      <c r="RAQ10" s="1202"/>
      <c r="RAR10" s="1202"/>
      <c r="RAS10" s="1202"/>
      <c r="RAT10" s="1202"/>
      <c r="RAU10" s="1202"/>
      <c r="RAV10" s="1202"/>
      <c r="RAW10" s="1202"/>
      <c r="RAX10" s="1202"/>
      <c r="RAY10" s="1202"/>
      <c r="RAZ10" s="1202"/>
      <c r="RBA10" s="1202"/>
      <c r="RBB10" s="1202"/>
      <c r="RBC10" s="1202"/>
      <c r="RBD10" s="1202"/>
      <c r="RBE10" s="1202"/>
      <c r="RBF10" s="1202"/>
      <c r="RBG10" s="1202"/>
      <c r="RBH10" s="1202"/>
      <c r="RBI10" s="1202"/>
      <c r="RBJ10" s="1202"/>
      <c r="RBK10" s="1202"/>
      <c r="RBL10" s="1202"/>
      <c r="RBM10" s="1202"/>
      <c r="RBN10" s="1202"/>
      <c r="RBO10" s="1202"/>
      <c r="RBP10" s="1202"/>
      <c r="RBQ10" s="1202"/>
      <c r="RBR10" s="1202"/>
      <c r="RBS10" s="1202"/>
      <c r="RBT10" s="1202"/>
      <c r="RBU10" s="1202"/>
      <c r="RBV10" s="1202"/>
      <c r="RBW10" s="1202"/>
      <c r="RBX10" s="1202"/>
      <c r="RBY10" s="1202"/>
      <c r="RBZ10" s="1202"/>
      <c r="RCA10" s="1202"/>
      <c r="RCB10" s="1202"/>
      <c r="RCC10" s="1202"/>
      <c r="RCD10" s="1202"/>
      <c r="RCE10" s="1202"/>
      <c r="RCF10" s="1202"/>
      <c r="RCG10" s="1202"/>
      <c r="RCH10" s="1202"/>
      <c r="RCI10" s="1202"/>
      <c r="RCJ10" s="1202"/>
      <c r="RCK10" s="1202"/>
      <c r="RCL10" s="1202"/>
      <c r="RCM10" s="1202"/>
      <c r="RCN10" s="1202"/>
      <c r="RCO10" s="1202"/>
      <c r="RCP10" s="1202"/>
      <c r="RCQ10" s="1202"/>
      <c r="RCR10" s="1202"/>
      <c r="RCS10" s="1202"/>
      <c r="RCT10" s="1202"/>
      <c r="RCU10" s="1202"/>
      <c r="RCV10" s="1202"/>
      <c r="RCW10" s="1202"/>
      <c r="RCX10" s="1202"/>
      <c r="RCY10" s="1202"/>
      <c r="RCZ10" s="1202"/>
      <c r="RDA10" s="1202"/>
      <c r="RDB10" s="1202"/>
      <c r="RDC10" s="1202"/>
      <c r="RDD10" s="1202"/>
      <c r="RDE10" s="1202"/>
      <c r="RDF10" s="1202"/>
      <c r="RDG10" s="1202"/>
      <c r="RDH10" s="1202"/>
      <c r="RDI10" s="1202"/>
      <c r="RDJ10" s="1202"/>
      <c r="RDK10" s="1202"/>
      <c r="RDL10" s="1202"/>
      <c r="RDM10" s="1202"/>
      <c r="RDN10" s="1202"/>
      <c r="RDO10" s="1202"/>
      <c r="RDP10" s="1202"/>
      <c r="RDQ10" s="1202"/>
      <c r="RDR10" s="1202"/>
      <c r="RDS10" s="1202"/>
      <c r="RDT10" s="1202"/>
      <c r="RDU10" s="1202"/>
      <c r="RDV10" s="1202"/>
      <c r="RDW10" s="1202"/>
      <c r="RDX10" s="1202"/>
      <c r="RDY10" s="1202"/>
      <c r="RDZ10" s="1202"/>
      <c r="REA10" s="1202"/>
      <c r="REB10" s="1202"/>
      <c r="REC10" s="1202"/>
      <c r="RED10" s="1202"/>
      <c r="REE10" s="1202"/>
      <c r="REF10" s="1202"/>
      <c r="REG10" s="1202"/>
      <c r="REH10" s="1202"/>
      <c r="REI10" s="1202"/>
      <c r="REJ10" s="1202"/>
      <c r="REK10" s="1202"/>
      <c r="REL10" s="1202"/>
      <c r="REM10" s="1202"/>
      <c r="REN10" s="1202"/>
      <c r="REO10" s="1202"/>
      <c r="REP10" s="1202"/>
      <c r="REQ10" s="1202"/>
      <c r="RER10" s="1202"/>
      <c r="RES10" s="1202"/>
      <c r="RET10" s="1202"/>
      <c r="REU10" s="1202"/>
      <c r="REV10" s="1202"/>
      <c r="REW10" s="1202"/>
      <c r="REX10" s="1202"/>
      <c r="REY10" s="1202"/>
      <c r="REZ10" s="1202"/>
      <c r="RFA10" s="1202"/>
      <c r="RFB10" s="1202"/>
      <c r="RFC10" s="1202"/>
      <c r="RFD10" s="1202"/>
      <c r="RFE10" s="1202"/>
      <c r="RFF10" s="1202"/>
      <c r="RFG10" s="1202"/>
      <c r="RFH10" s="1202"/>
      <c r="RFI10" s="1202"/>
      <c r="RFJ10" s="1202"/>
      <c r="RFK10" s="1202"/>
      <c r="RFL10" s="1202"/>
      <c r="RFM10" s="1202"/>
      <c r="RFN10" s="1202"/>
      <c r="RFO10" s="1202"/>
      <c r="RFP10" s="1202"/>
      <c r="RFQ10" s="1202"/>
      <c r="RFR10" s="1202"/>
      <c r="RFS10" s="1202"/>
      <c r="RFT10" s="1202"/>
      <c r="RFU10" s="1202"/>
      <c r="RFV10" s="1202"/>
      <c r="RFW10" s="1202"/>
      <c r="RFX10" s="1202"/>
      <c r="RFY10" s="1202"/>
      <c r="RFZ10" s="1202"/>
      <c r="RGA10" s="1202"/>
      <c r="RGB10" s="1202"/>
      <c r="RGC10" s="1202"/>
      <c r="RGD10" s="1202"/>
      <c r="RGE10" s="1202"/>
      <c r="RGF10" s="1202"/>
      <c r="RGG10" s="1202"/>
      <c r="RGH10" s="1202"/>
      <c r="RGI10" s="1202"/>
      <c r="RGJ10" s="1202"/>
      <c r="RGK10" s="1202"/>
      <c r="RGL10" s="1202"/>
      <c r="RGM10" s="1202"/>
      <c r="RGN10" s="1202"/>
      <c r="RGO10" s="1202"/>
      <c r="RGP10" s="1202"/>
      <c r="RGQ10" s="1202"/>
      <c r="RGR10" s="1202"/>
      <c r="RGS10" s="1202"/>
      <c r="RGT10" s="1202"/>
      <c r="RGU10" s="1202"/>
      <c r="RGV10" s="1202"/>
      <c r="RGW10" s="1202"/>
      <c r="RGX10" s="1202"/>
      <c r="RGY10" s="1202"/>
      <c r="RGZ10" s="1202"/>
      <c r="RHA10" s="1202"/>
      <c r="RHB10" s="1202"/>
      <c r="RHC10" s="1202"/>
      <c r="RHD10" s="1202"/>
      <c r="RHE10" s="1202"/>
      <c r="RHF10" s="1202"/>
      <c r="RHG10" s="1202"/>
      <c r="RHH10" s="1202"/>
      <c r="RHI10" s="1202"/>
      <c r="RHJ10" s="1202"/>
      <c r="RHK10" s="1202"/>
      <c r="RHL10" s="1202"/>
      <c r="RHM10" s="1202"/>
      <c r="RHN10" s="1202"/>
      <c r="RHO10" s="1202"/>
      <c r="RHP10" s="1202"/>
      <c r="RHQ10" s="1202"/>
      <c r="RHR10" s="1202"/>
      <c r="RHS10" s="1202"/>
      <c r="RHT10" s="1202"/>
      <c r="RHU10" s="1202"/>
      <c r="RHV10" s="1202"/>
      <c r="RHW10" s="1202"/>
      <c r="RHX10" s="1202"/>
      <c r="RHY10" s="1202"/>
      <c r="RHZ10" s="1202"/>
      <c r="RIA10" s="1202"/>
      <c r="RIB10" s="1202"/>
      <c r="RIC10" s="1202"/>
      <c r="RID10" s="1202"/>
      <c r="RIE10" s="1202"/>
      <c r="RIF10" s="1202"/>
      <c r="RIG10" s="1202"/>
      <c r="RIH10" s="1202"/>
      <c r="RII10" s="1202"/>
      <c r="RIJ10" s="1202"/>
      <c r="RIK10" s="1202"/>
      <c r="RIL10" s="1202"/>
      <c r="RIM10" s="1202"/>
      <c r="RIN10" s="1202"/>
      <c r="RIO10" s="1202"/>
      <c r="RIP10" s="1202"/>
      <c r="RIQ10" s="1202"/>
      <c r="RIR10" s="1202"/>
      <c r="RIS10" s="1202"/>
      <c r="RIT10" s="1202"/>
      <c r="RIU10" s="1202"/>
      <c r="RIV10" s="1202"/>
      <c r="RIW10" s="1202"/>
      <c r="RIX10" s="1202"/>
      <c r="RIY10" s="1202"/>
      <c r="RIZ10" s="1202"/>
      <c r="RJA10" s="1202"/>
      <c r="RJB10" s="1202"/>
      <c r="RJC10" s="1202"/>
      <c r="RJD10" s="1202"/>
      <c r="RJE10" s="1202"/>
      <c r="RJF10" s="1202"/>
      <c r="RJG10" s="1202"/>
      <c r="RJH10" s="1202"/>
      <c r="RJI10" s="1202"/>
      <c r="RJJ10" s="1202"/>
      <c r="RJK10" s="1202"/>
      <c r="RJL10" s="1202"/>
      <c r="RJM10" s="1202"/>
      <c r="RJN10" s="1202"/>
      <c r="RJO10" s="1202"/>
      <c r="RJP10" s="1202"/>
      <c r="RJQ10" s="1202"/>
      <c r="RJR10" s="1202"/>
      <c r="RJS10" s="1202"/>
      <c r="RJT10" s="1202"/>
      <c r="RJU10" s="1202"/>
      <c r="RJV10" s="1202"/>
      <c r="RJW10" s="1202"/>
      <c r="RJX10" s="1202"/>
      <c r="RJY10" s="1202"/>
      <c r="RJZ10" s="1202"/>
      <c r="RKA10" s="1202"/>
      <c r="RKB10" s="1202"/>
      <c r="RKC10" s="1202"/>
      <c r="RKD10" s="1202"/>
      <c r="RKE10" s="1202"/>
      <c r="RKF10" s="1202"/>
      <c r="RKG10" s="1202"/>
      <c r="RKH10" s="1202"/>
      <c r="RKI10" s="1202"/>
      <c r="RKJ10" s="1202"/>
      <c r="RKK10" s="1202"/>
      <c r="RKL10" s="1202"/>
      <c r="RKM10" s="1202"/>
      <c r="RKN10" s="1202"/>
      <c r="RKO10" s="1202"/>
      <c r="RKP10" s="1202"/>
      <c r="RKQ10" s="1202"/>
      <c r="RKR10" s="1202"/>
      <c r="RKS10" s="1202"/>
      <c r="RKT10" s="1202"/>
      <c r="RKU10" s="1202"/>
      <c r="RKV10" s="1202"/>
      <c r="RKW10" s="1202"/>
      <c r="RKX10" s="1202"/>
      <c r="RKY10" s="1202"/>
      <c r="RKZ10" s="1202"/>
      <c r="RLA10" s="1202"/>
      <c r="RLB10" s="1202"/>
      <c r="RLC10" s="1202"/>
      <c r="RLD10" s="1202"/>
      <c r="RLE10" s="1202"/>
      <c r="RLF10" s="1202"/>
      <c r="RLG10" s="1202"/>
      <c r="RLH10" s="1202"/>
      <c r="RLI10" s="1202"/>
      <c r="RLJ10" s="1202"/>
      <c r="RLK10" s="1202"/>
      <c r="RLL10" s="1202"/>
      <c r="RLM10" s="1202"/>
      <c r="RLN10" s="1202"/>
      <c r="RLO10" s="1202"/>
      <c r="RLP10" s="1202"/>
      <c r="RLQ10" s="1202"/>
      <c r="RLR10" s="1202"/>
      <c r="RLS10" s="1202"/>
      <c r="RLT10" s="1202"/>
      <c r="RLU10" s="1202"/>
      <c r="RLV10" s="1202"/>
      <c r="RLW10" s="1202"/>
      <c r="RLX10" s="1202"/>
      <c r="RLY10" s="1202"/>
      <c r="RLZ10" s="1202"/>
      <c r="RMA10" s="1202"/>
      <c r="RMB10" s="1202"/>
      <c r="RMC10" s="1202"/>
      <c r="RMD10" s="1202"/>
      <c r="RME10" s="1202"/>
      <c r="RMF10" s="1202"/>
      <c r="RMG10" s="1202"/>
      <c r="RMH10" s="1202"/>
      <c r="RMI10" s="1202"/>
      <c r="RMJ10" s="1202"/>
      <c r="RMK10" s="1202"/>
      <c r="RML10" s="1202"/>
      <c r="RMM10" s="1202"/>
      <c r="RMN10" s="1202"/>
      <c r="RMO10" s="1202"/>
      <c r="RMP10" s="1202"/>
      <c r="RMQ10" s="1202"/>
      <c r="RMR10" s="1202"/>
      <c r="RMS10" s="1202"/>
      <c r="RMT10" s="1202"/>
      <c r="RMU10" s="1202"/>
      <c r="RMV10" s="1202"/>
      <c r="RMW10" s="1202"/>
      <c r="RMX10" s="1202"/>
      <c r="RMY10" s="1202"/>
      <c r="RMZ10" s="1202"/>
      <c r="RNA10" s="1202"/>
      <c r="RNB10" s="1202"/>
      <c r="RNC10" s="1202"/>
      <c r="RND10" s="1202"/>
      <c r="RNE10" s="1202"/>
      <c r="RNF10" s="1202"/>
      <c r="RNG10" s="1202"/>
      <c r="RNH10" s="1202"/>
      <c r="RNI10" s="1202"/>
      <c r="RNJ10" s="1202"/>
      <c r="RNK10" s="1202"/>
      <c r="RNL10" s="1202"/>
      <c r="RNM10" s="1202"/>
      <c r="RNN10" s="1202"/>
      <c r="RNO10" s="1202"/>
      <c r="RNP10" s="1202"/>
      <c r="RNQ10" s="1202"/>
      <c r="RNR10" s="1202"/>
      <c r="RNS10" s="1202"/>
      <c r="RNT10" s="1202"/>
      <c r="RNU10" s="1202"/>
      <c r="RNV10" s="1202"/>
      <c r="RNW10" s="1202"/>
      <c r="RNX10" s="1202"/>
      <c r="RNY10" s="1202"/>
      <c r="RNZ10" s="1202"/>
      <c r="ROA10" s="1202"/>
      <c r="ROB10" s="1202"/>
      <c r="ROC10" s="1202"/>
      <c r="ROD10" s="1202"/>
      <c r="ROE10" s="1202"/>
      <c r="ROF10" s="1202"/>
      <c r="ROG10" s="1202"/>
      <c r="ROH10" s="1202"/>
      <c r="ROI10" s="1202"/>
      <c r="ROJ10" s="1202"/>
      <c r="ROK10" s="1202"/>
      <c r="ROL10" s="1202"/>
      <c r="ROM10" s="1202"/>
      <c r="RON10" s="1202"/>
      <c r="ROO10" s="1202"/>
      <c r="ROP10" s="1202"/>
      <c r="ROQ10" s="1202"/>
      <c r="ROR10" s="1202"/>
      <c r="ROS10" s="1202"/>
      <c r="ROT10" s="1202"/>
      <c r="ROU10" s="1202"/>
      <c r="ROV10" s="1202"/>
      <c r="ROW10" s="1202"/>
      <c r="ROX10" s="1202"/>
      <c r="ROY10" s="1202"/>
      <c r="ROZ10" s="1202"/>
      <c r="RPA10" s="1202"/>
      <c r="RPB10" s="1202"/>
      <c r="RPC10" s="1202"/>
      <c r="RPD10" s="1202"/>
      <c r="RPE10" s="1202"/>
      <c r="RPF10" s="1202"/>
      <c r="RPG10" s="1202"/>
      <c r="RPH10" s="1202"/>
      <c r="RPI10" s="1202"/>
      <c r="RPJ10" s="1202"/>
      <c r="RPK10" s="1202"/>
      <c r="RPL10" s="1202"/>
      <c r="RPM10" s="1202"/>
      <c r="RPN10" s="1202"/>
      <c r="RPO10" s="1202"/>
      <c r="RPP10" s="1202"/>
      <c r="RPQ10" s="1202"/>
      <c r="RPR10" s="1202"/>
      <c r="RPS10" s="1202"/>
      <c r="RPT10" s="1202"/>
      <c r="RPU10" s="1202"/>
      <c r="RPV10" s="1202"/>
      <c r="RPW10" s="1202"/>
      <c r="RPX10" s="1202"/>
      <c r="RPY10" s="1202"/>
      <c r="RPZ10" s="1202"/>
      <c r="RQA10" s="1202"/>
      <c r="RQB10" s="1202"/>
      <c r="RQC10" s="1202"/>
      <c r="RQD10" s="1202"/>
      <c r="RQE10" s="1202"/>
      <c r="RQF10" s="1202"/>
      <c r="RQG10" s="1202"/>
      <c r="RQH10" s="1202"/>
      <c r="RQI10" s="1202"/>
      <c r="RQJ10" s="1202"/>
      <c r="RQK10" s="1202"/>
      <c r="RQL10" s="1202"/>
      <c r="RQM10" s="1202"/>
      <c r="RQN10" s="1202"/>
      <c r="RQO10" s="1202"/>
      <c r="RQP10" s="1202"/>
      <c r="RQQ10" s="1202"/>
      <c r="RQR10" s="1202"/>
      <c r="RQS10" s="1202"/>
      <c r="RQT10" s="1202"/>
      <c r="RQU10" s="1202"/>
      <c r="RQV10" s="1202"/>
      <c r="RQW10" s="1202"/>
      <c r="RQX10" s="1202"/>
      <c r="RQY10" s="1202"/>
      <c r="RQZ10" s="1202"/>
      <c r="RRA10" s="1202"/>
      <c r="RRB10" s="1202"/>
      <c r="RRC10" s="1202"/>
      <c r="RRD10" s="1202"/>
      <c r="RRE10" s="1202"/>
      <c r="RRF10" s="1202"/>
      <c r="RRG10" s="1202"/>
      <c r="RRH10" s="1202"/>
      <c r="RRI10" s="1202"/>
      <c r="RRJ10" s="1202"/>
      <c r="RRK10" s="1202"/>
      <c r="RRL10" s="1202"/>
      <c r="RRM10" s="1202"/>
      <c r="RRN10" s="1202"/>
      <c r="RRO10" s="1202"/>
      <c r="RRP10" s="1202"/>
      <c r="RRQ10" s="1202"/>
      <c r="RRR10" s="1202"/>
      <c r="RRS10" s="1202"/>
      <c r="RRT10" s="1202"/>
      <c r="RRU10" s="1202"/>
      <c r="RRV10" s="1202"/>
      <c r="RRW10" s="1202"/>
      <c r="RRX10" s="1202"/>
      <c r="RRY10" s="1202"/>
      <c r="RRZ10" s="1202"/>
      <c r="RSA10" s="1202"/>
      <c r="RSB10" s="1202"/>
      <c r="RSC10" s="1202"/>
      <c r="RSD10" s="1202"/>
      <c r="RSE10" s="1202"/>
      <c r="RSF10" s="1202"/>
      <c r="RSG10" s="1202"/>
      <c r="RSH10" s="1202"/>
      <c r="RSI10" s="1202"/>
      <c r="RSJ10" s="1202"/>
      <c r="RSK10" s="1202"/>
      <c r="RSL10" s="1202"/>
      <c r="RSM10" s="1202"/>
      <c r="RSN10" s="1202"/>
      <c r="RSO10" s="1202"/>
      <c r="RSP10" s="1202"/>
      <c r="RSQ10" s="1202"/>
      <c r="RSR10" s="1202"/>
      <c r="RSS10" s="1202"/>
      <c r="RST10" s="1202"/>
      <c r="RSU10" s="1202"/>
      <c r="RSV10" s="1202"/>
      <c r="RSW10" s="1202"/>
      <c r="RSX10" s="1202"/>
      <c r="RSY10" s="1202"/>
      <c r="RSZ10" s="1202"/>
      <c r="RTA10" s="1202"/>
      <c r="RTB10" s="1202"/>
      <c r="RTC10" s="1202"/>
      <c r="RTD10" s="1202"/>
      <c r="RTE10" s="1202"/>
      <c r="RTF10" s="1202"/>
      <c r="RTG10" s="1202"/>
      <c r="RTH10" s="1202"/>
      <c r="RTI10" s="1202"/>
      <c r="RTJ10" s="1202"/>
      <c r="RTK10" s="1202"/>
      <c r="RTL10" s="1202"/>
      <c r="RTM10" s="1202"/>
      <c r="RTN10" s="1202"/>
      <c r="RTO10" s="1202"/>
      <c r="RTP10" s="1202"/>
      <c r="RTQ10" s="1202"/>
      <c r="RTR10" s="1202"/>
      <c r="RTS10" s="1202"/>
      <c r="RTT10" s="1202"/>
      <c r="RTU10" s="1202"/>
      <c r="RTV10" s="1202"/>
      <c r="RTW10" s="1202"/>
      <c r="RTX10" s="1202"/>
      <c r="RTY10" s="1202"/>
      <c r="RTZ10" s="1202"/>
      <c r="RUA10" s="1202"/>
      <c r="RUB10" s="1202"/>
      <c r="RUC10" s="1202"/>
      <c r="RUD10" s="1202"/>
      <c r="RUE10" s="1202"/>
      <c r="RUF10" s="1202"/>
      <c r="RUG10" s="1202"/>
      <c r="RUH10" s="1202"/>
      <c r="RUI10" s="1202"/>
      <c r="RUJ10" s="1202"/>
      <c r="RUK10" s="1202"/>
      <c r="RUL10" s="1202"/>
      <c r="RUM10" s="1202"/>
      <c r="RUN10" s="1202"/>
      <c r="RUO10" s="1202"/>
      <c r="RUP10" s="1202"/>
      <c r="RUQ10" s="1202"/>
      <c r="RUR10" s="1202"/>
      <c r="RUS10" s="1202"/>
      <c r="RUT10" s="1202"/>
      <c r="RUU10" s="1202"/>
      <c r="RUV10" s="1202"/>
      <c r="RUW10" s="1202"/>
      <c r="RUX10" s="1202"/>
      <c r="RUY10" s="1202"/>
      <c r="RUZ10" s="1202"/>
      <c r="RVA10" s="1202"/>
      <c r="RVB10" s="1202"/>
      <c r="RVC10" s="1202"/>
      <c r="RVD10" s="1202"/>
      <c r="RVE10" s="1202"/>
      <c r="RVF10" s="1202"/>
      <c r="RVG10" s="1202"/>
      <c r="RVH10" s="1202"/>
      <c r="RVI10" s="1202"/>
      <c r="RVJ10" s="1202"/>
      <c r="RVK10" s="1202"/>
      <c r="RVL10" s="1202"/>
      <c r="RVM10" s="1202"/>
      <c r="RVN10" s="1202"/>
      <c r="RVO10" s="1202"/>
      <c r="RVP10" s="1202"/>
      <c r="RVQ10" s="1202"/>
      <c r="RVR10" s="1202"/>
      <c r="RVS10" s="1202"/>
      <c r="RVT10" s="1202"/>
      <c r="RVU10" s="1202"/>
      <c r="RVV10" s="1202"/>
      <c r="RVW10" s="1202"/>
      <c r="RVX10" s="1202"/>
      <c r="RVY10" s="1202"/>
      <c r="RVZ10" s="1202"/>
      <c r="RWA10" s="1202"/>
      <c r="RWB10" s="1202"/>
      <c r="RWC10" s="1202"/>
      <c r="RWD10" s="1202"/>
      <c r="RWE10" s="1202"/>
      <c r="RWF10" s="1202"/>
      <c r="RWG10" s="1202"/>
      <c r="RWH10" s="1202"/>
      <c r="RWI10" s="1202"/>
      <c r="RWJ10" s="1202"/>
      <c r="RWK10" s="1202"/>
      <c r="RWL10" s="1202"/>
      <c r="RWM10" s="1202"/>
      <c r="RWN10" s="1202"/>
      <c r="RWO10" s="1202"/>
      <c r="RWP10" s="1202"/>
      <c r="RWQ10" s="1202"/>
      <c r="RWR10" s="1202"/>
      <c r="RWS10" s="1202"/>
      <c r="RWT10" s="1202"/>
      <c r="RWU10" s="1202"/>
      <c r="RWV10" s="1202"/>
      <c r="RWW10" s="1202"/>
      <c r="RWX10" s="1202"/>
      <c r="RWY10" s="1202"/>
      <c r="RWZ10" s="1202"/>
      <c r="RXA10" s="1202"/>
      <c r="RXB10" s="1202"/>
      <c r="RXC10" s="1202"/>
      <c r="RXD10" s="1202"/>
      <c r="RXE10" s="1202"/>
      <c r="RXF10" s="1202"/>
      <c r="RXG10" s="1202"/>
      <c r="RXH10" s="1202"/>
      <c r="RXI10" s="1202"/>
      <c r="RXJ10" s="1202"/>
      <c r="RXK10" s="1202"/>
      <c r="RXL10" s="1202"/>
      <c r="RXM10" s="1202"/>
      <c r="RXN10" s="1202"/>
      <c r="RXO10" s="1202"/>
      <c r="RXP10" s="1202"/>
      <c r="RXQ10" s="1202"/>
      <c r="RXR10" s="1202"/>
      <c r="RXS10" s="1202"/>
      <c r="RXT10" s="1202"/>
      <c r="RXU10" s="1202"/>
      <c r="RXV10" s="1202"/>
      <c r="RXW10" s="1202"/>
      <c r="RXX10" s="1202"/>
      <c r="RXY10" s="1202"/>
      <c r="RXZ10" s="1202"/>
      <c r="RYA10" s="1202"/>
      <c r="RYB10" s="1202"/>
      <c r="RYC10" s="1202"/>
      <c r="RYD10" s="1202"/>
      <c r="RYE10" s="1202"/>
      <c r="RYF10" s="1202"/>
      <c r="RYG10" s="1202"/>
      <c r="RYH10" s="1202"/>
      <c r="RYI10" s="1202"/>
      <c r="RYJ10" s="1202"/>
      <c r="RYK10" s="1202"/>
      <c r="RYL10" s="1202"/>
      <c r="RYM10" s="1202"/>
      <c r="RYN10" s="1202"/>
      <c r="RYO10" s="1202"/>
      <c r="RYP10" s="1202"/>
      <c r="RYQ10" s="1202"/>
      <c r="RYR10" s="1202"/>
      <c r="RYS10" s="1202"/>
      <c r="RYT10" s="1202"/>
      <c r="RYU10" s="1202"/>
      <c r="RYV10" s="1202"/>
      <c r="RYW10" s="1202"/>
      <c r="RYX10" s="1202"/>
      <c r="RYY10" s="1202"/>
      <c r="RYZ10" s="1202"/>
      <c r="RZA10" s="1202"/>
      <c r="RZB10" s="1202"/>
      <c r="RZC10" s="1202"/>
      <c r="RZD10" s="1202"/>
      <c r="RZE10" s="1202"/>
      <c r="RZF10" s="1202"/>
      <c r="RZG10" s="1202"/>
      <c r="RZH10" s="1202"/>
      <c r="RZI10" s="1202"/>
      <c r="RZJ10" s="1202"/>
      <c r="RZK10" s="1202"/>
      <c r="RZL10" s="1202"/>
      <c r="RZM10" s="1202"/>
      <c r="RZN10" s="1202"/>
      <c r="RZO10" s="1202"/>
      <c r="RZP10" s="1202"/>
      <c r="RZQ10" s="1202"/>
      <c r="RZR10" s="1202"/>
      <c r="RZS10" s="1202"/>
      <c r="RZT10" s="1202"/>
      <c r="RZU10" s="1202"/>
      <c r="RZV10" s="1202"/>
      <c r="RZW10" s="1202"/>
      <c r="RZX10" s="1202"/>
      <c r="RZY10" s="1202"/>
      <c r="RZZ10" s="1202"/>
      <c r="SAA10" s="1202"/>
      <c r="SAB10" s="1202"/>
      <c r="SAC10" s="1202"/>
      <c r="SAD10" s="1202"/>
      <c r="SAE10" s="1202"/>
      <c r="SAF10" s="1202"/>
      <c r="SAG10" s="1202"/>
      <c r="SAH10" s="1202"/>
      <c r="SAI10" s="1202"/>
      <c r="SAJ10" s="1202"/>
      <c r="SAK10" s="1202"/>
      <c r="SAL10" s="1202"/>
      <c r="SAM10" s="1202"/>
      <c r="SAN10" s="1202"/>
      <c r="SAO10" s="1202"/>
      <c r="SAP10" s="1202"/>
      <c r="SAQ10" s="1202"/>
      <c r="SAR10" s="1202"/>
      <c r="SAS10" s="1202"/>
      <c r="SAT10" s="1202"/>
      <c r="SAU10" s="1202"/>
      <c r="SAV10" s="1202"/>
      <c r="SAW10" s="1202"/>
      <c r="SAX10" s="1202"/>
      <c r="SAY10" s="1202"/>
      <c r="SAZ10" s="1202"/>
      <c r="SBA10" s="1202"/>
      <c r="SBB10" s="1202"/>
      <c r="SBC10" s="1202"/>
      <c r="SBD10" s="1202"/>
      <c r="SBE10" s="1202"/>
      <c r="SBF10" s="1202"/>
      <c r="SBG10" s="1202"/>
      <c r="SBH10" s="1202"/>
      <c r="SBI10" s="1202"/>
      <c r="SBJ10" s="1202"/>
      <c r="SBK10" s="1202"/>
      <c r="SBL10" s="1202"/>
      <c r="SBM10" s="1202"/>
      <c r="SBN10" s="1202"/>
      <c r="SBO10" s="1202"/>
      <c r="SBP10" s="1202"/>
      <c r="SBQ10" s="1202"/>
      <c r="SBR10" s="1202"/>
      <c r="SBS10" s="1202"/>
      <c r="SBT10" s="1202"/>
      <c r="SBU10" s="1202"/>
      <c r="SBV10" s="1202"/>
      <c r="SBW10" s="1202"/>
      <c r="SBX10" s="1202"/>
      <c r="SBY10" s="1202"/>
      <c r="SBZ10" s="1202"/>
      <c r="SCA10" s="1202"/>
      <c r="SCB10" s="1202"/>
      <c r="SCC10" s="1202"/>
      <c r="SCD10" s="1202"/>
      <c r="SCE10" s="1202"/>
      <c r="SCF10" s="1202"/>
      <c r="SCG10" s="1202"/>
      <c r="SCH10" s="1202"/>
      <c r="SCI10" s="1202"/>
      <c r="SCJ10" s="1202"/>
      <c r="SCK10" s="1202"/>
      <c r="SCL10" s="1202"/>
      <c r="SCM10" s="1202"/>
      <c r="SCN10" s="1202"/>
      <c r="SCO10" s="1202"/>
      <c r="SCP10" s="1202"/>
      <c r="SCQ10" s="1202"/>
      <c r="SCR10" s="1202"/>
      <c r="SCS10" s="1202"/>
      <c r="SCT10" s="1202"/>
      <c r="SCU10" s="1202"/>
      <c r="SCV10" s="1202"/>
      <c r="SCW10" s="1202"/>
      <c r="SCX10" s="1202"/>
      <c r="SCY10" s="1202"/>
      <c r="SCZ10" s="1202"/>
      <c r="SDA10" s="1202"/>
      <c r="SDB10" s="1202"/>
      <c r="SDC10" s="1202"/>
      <c r="SDD10" s="1202"/>
      <c r="SDE10" s="1202"/>
      <c r="SDF10" s="1202"/>
      <c r="SDG10" s="1202"/>
      <c r="SDH10" s="1202"/>
      <c r="SDI10" s="1202"/>
      <c r="SDJ10" s="1202"/>
      <c r="SDK10" s="1202"/>
      <c r="SDL10" s="1202"/>
      <c r="SDM10" s="1202"/>
      <c r="SDN10" s="1202"/>
      <c r="SDO10" s="1202"/>
      <c r="SDP10" s="1202"/>
      <c r="SDQ10" s="1202"/>
      <c r="SDR10" s="1202"/>
      <c r="SDS10" s="1202"/>
      <c r="SDT10" s="1202"/>
      <c r="SDU10" s="1202"/>
      <c r="SDV10" s="1202"/>
      <c r="SDW10" s="1202"/>
      <c r="SDX10" s="1202"/>
      <c r="SDY10" s="1202"/>
      <c r="SDZ10" s="1202"/>
      <c r="SEA10" s="1202"/>
      <c r="SEB10" s="1202"/>
      <c r="SEC10" s="1202"/>
      <c r="SED10" s="1202"/>
      <c r="SEE10" s="1202"/>
      <c r="SEF10" s="1202"/>
      <c r="SEG10" s="1202"/>
      <c r="SEH10" s="1202"/>
      <c r="SEI10" s="1202"/>
      <c r="SEJ10" s="1202"/>
      <c r="SEK10" s="1202"/>
      <c r="SEL10" s="1202"/>
      <c r="SEM10" s="1202"/>
      <c r="SEN10" s="1202"/>
      <c r="SEO10" s="1202"/>
      <c r="SEP10" s="1202"/>
      <c r="SEQ10" s="1202"/>
      <c r="SER10" s="1202"/>
      <c r="SES10" s="1202"/>
      <c r="SET10" s="1202"/>
      <c r="SEU10" s="1202"/>
      <c r="SEV10" s="1202"/>
      <c r="SEW10" s="1202"/>
      <c r="SEX10" s="1202"/>
      <c r="SEY10" s="1202"/>
      <c r="SEZ10" s="1202"/>
      <c r="SFA10" s="1202"/>
      <c r="SFB10" s="1202"/>
      <c r="SFC10" s="1202"/>
      <c r="SFD10" s="1202"/>
      <c r="SFE10" s="1202"/>
      <c r="SFF10" s="1202"/>
      <c r="SFG10" s="1202"/>
      <c r="SFH10" s="1202"/>
      <c r="SFI10" s="1202"/>
      <c r="SFJ10" s="1202"/>
      <c r="SFK10" s="1202"/>
      <c r="SFL10" s="1202"/>
      <c r="SFM10" s="1202"/>
      <c r="SFN10" s="1202"/>
      <c r="SFO10" s="1202"/>
      <c r="SFP10" s="1202"/>
      <c r="SFQ10" s="1202"/>
      <c r="SFR10" s="1202"/>
      <c r="SFS10" s="1202"/>
      <c r="SFT10" s="1202"/>
      <c r="SFU10" s="1202"/>
      <c r="SFV10" s="1202"/>
      <c r="SFW10" s="1202"/>
      <c r="SFX10" s="1202"/>
      <c r="SFY10" s="1202"/>
      <c r="SFZ10" s="1202"/>
      <c r="SGA10" s="1202"/>
      <c r="SGB10" s="1202"/>
      <c r="SGC10" s="1202"/>
      <c r="SGD10" s="1202"/>
      <c r="SGE10" s="1202"/>
      <c r="SGF10" s="1202"/>
      <c r="SGG10" s="1202"/>
      <c r="SGH10" s="1202"/>
      <c r="SGI10" s="1202"/>
      <c r="SGJ10" s="1202"/>
      <c r="SGK10" s="1202"/>
      <c r="SGL10" s="1202"/>
      <c r="SGM10" s="1202"/>
      <c r="SGN10" s="1202"/>
      <c r="SGO10" s="1202"/>
      <c r="SGP10" s="1202"/>
      <c r="SGQ10" s="1202"/>
      <c r="SGR10" s="1202"/>
      <c r="SGS10" s="1202"/>
      <c r="SGT10" s="1202"/>
      <c r="SGU10" s="1202"/>
      <c r="SGV10" s="1202"/>
      <c r="SGW10" s="1202"/>
      <c r="SGX10" s="1202"/>
      <c r="SGY10" s="1202"/>
      <c r="SGZ10" s="1202"/>
      <c r="SHA10" s="1202"/>
      <c r="SHB10" s="1202"/>
      <c r="SHC10" s="1202"/>
      <c r="SHD10" s="1202"/>
      <c r="SHE10" s="1202"/>
      <c r="SHF10" s="1202"/>
      <c r="SHG10" s="1202"/>
      <c r="SHH10" s="1202"/>
      <c r="SHI10" s="1202"/>
      <c r="SHJ10" s="1202"/>
      <c r="SHK10" s="1202"/>
      <c r="SHL10" s="1202"/>
      <c r="SHM10" s="1202"/>
      <c r="SHN10" s="1202"/>
      <c r="SHO10" s="1202"/>
      <c r="SHP10" s="1202"/>
      <c r="SHQ10" s="1202"/>
      <c r="SHR10" s="1202"/>
      <c r="SHS10" s="1202"/>
      <c r="SHT10" s="1202"/>
      <c r="SHU10" s="1202"/>
      <c r="SHV10" s="1202"/>
      <c r="SHW10" s="1202"/>
      <c r="SHX10" s="1202"/>
      <c r="SHY10" s="1202"/>
      <c r="SHZ10" s="1202"/>
      <c r="SIA10" s="1202"/>
      <c r="SIB10" s="1202"/>
      <c r="SIC10" s="1202"/>
      <c r="SID10" s="1202"/>
      <c r="SIE10" s="1202"/>
      <c r="SIF10" s="1202"/>
      <c r="SIG10" s="1202"/>
      <c r="SIH10" s="1202"/>
      <c r="SII10" s="1202"/>
      <c r="SIJ10" s="1202"/>
      <c r="SIK10" s="1202"/>
      <c r="SIL10" s="1202"/>
      <c r="SIM10" s="1202"/>
      <c r="SIN10" s="1202"/>
      <c r="SIO10" s="1202"/>
      <c r="SIP10" s="1202"/>
      <c r="SIQ10" s="1202"/>
      <c r="SIR10" s="1202"/>
      <c r="SIS10" s="1202"/>
      <c r="SIT10" s="1202"/>
      <c r="SIU10" s="1202"/>
      <c r="SIV10" s="1202"/>
      <c r="SIW10" s="1202"/>
      <c r="SIX10" s="1202"/>
      <c r="SIY10" s="1202"/>
      <c r="SIZ10" s="1202"/>
      <c r="SJA10" s="1202"/>
      <c r="SJB10" s="1202"/>
      <c r="SJC10" s="1202"/>
      <c r="SJD10" s="1202"/>
      <c r="SJE10" s="1202"/>
      <c r="SJF10" s="1202"/>
      <c r="SJG10" s="1202"/>
      <c r="SJH10" s="1202"/>
      <c r="SJI10" s="1202"/>
      <c r="SJJ10" s="1202"/>
      <c r="SJK10" s="1202"/>
      <c r="SJL10" s="1202"/>
      <c r="SJM10" s="1202"/>
      <c r="SJN10" s="1202"/>
      <c r="SJO10" s="1202"/>
      <c r="SJP10" s="1202"/>
      <c r="SJQ10" s="1202"/>
      <c r="SJR10" s="1202"/>
      <c r="SJS10" s="1202"/>
      <c r="SJT10" s="1202"/>
      <c r="SJU10" s="1202"/>
      <c r="SJV10" s="1202"/>
      <c r="SJW10" s="1202"/>
      <c r="SJX10" s="1202"/>
      <c r="SJY10" s="1202"/>
      <c r="SJZ10" s="1202"/>
      <c r="SKA10" s="1202"/>
      <c r="SKB10" s="1202"/>
      <c r="SKC10" s="1202"/>
      <c r="SKD10" s="1202"/>
      <c r="SKE10" s="1202"/>
      <c r="SKF10" s="1202"/>
      <c r="SKG10" s="1202"/>
      <c r="SKH10" s="1202"/>
      <c r="SKI10" s="1202"/>
      <c r="SKJ10" s="1202"/>
      <c r="SKK10" s="1202"/>
      <c r="SKL10" s="1202"/>
      <c r="SKM10" s="1202"/>
      <c r="SKN10" s="1202"/>
      <c r="SKO10" s="1202"/>
      <c r="SKP10" s="1202"/>
      <c r="SKQ10" s="1202"/>
      <c r="SKR10" s="1202"/>
      <c r="SKS10" s="1202"/>
      <c r="SKT10" s="1202"/>
      <c r="SKU10" s="1202"/>
      <c r="SKV10" s="1202"/>
      <c r="SKW10" s="1202"/>
      <c r="SKX10" s="1202"/>
      <c r="SKY10" s="1202"/>
      <c r="SKZ10" s="1202"/>
      <c r="SLA10" s="1202"/>
      <c r="SLB10" s="1202"/>
      <c r="SLC10" s="1202"/>
      <c r="SLD10" s="1202"/>
      <c r="SLE10" s="1202"/>
      <c r="SLF10" s="1202"/>
      <c r="SLG10" s="1202"/>
      <c r="SLH10" s="1202"/>
      <c r="SLI10" s="1202"/>
      <c r="SLJ10" s="1202"/>
      <c r="SLK10" s="1202"/>
      <c r="SLL10" s="1202"/>
      <c r="SLM10" s="1202"/>
      <c r="SLN10" s="1202"/>
      <c r="SLO10" s="1202"/>
      <c r="SLP10" s="1202"/>
      <c r="SLQ10" s="1202"/>
      <c r="SLR10" s="1202"/>
      <c r="SLS10" s="1202"/>
      <c r="SLT10" s="1202"/>
      <c r="SLU10" s="1202"/>
      <c r="SLV10" s="1202"/>
      <c r="SLW10" s="1202"/>
      <c r="SLX10" s="1202"/>
      <c r="SLY10" s="1202"/>
      <c r="SLZ10" s="1202"/>
      <c r="SMA10" s="1202"/>
      <c r="SMB10" s="1202"/>
      <c r="SMC10" s="1202"/>
      <c r="SMD10" s="1202"/>
      <c r="SME10" s="1202"/>
      <c r="SMF10" s="1202"/>
      <c r="SMG10" s="1202"/>
      <c r="SMH10" s="1202"/>
      <c r="SMI10" s="1202"/>
      <c r="SMJ10" s="1202"/>
      <c r="SMK10" s="1202"/>
      <c r="SML10" s="1202"/>
      <c r="SMM10" s="1202"/>
      <c r="SMN10" s="1202"/>
      <c r="SMO10" s="1202"/>
      <c r="SMP10" s="1202"/>
      <c r="SMQ10" s="1202"/>
      <c r="SMR10" s="1202"/>
      <c r="SMS10" s="1202"/>
      <c r="SMT10" s="1202"/>
      <c r="SMU10" s="1202"/>
      <c r="SMV10" s="1202"/>
      <c r="SMW10" s="1202"/>
      <c r="SMX10" s="1202"/>
      <c r="SMY10" s="1202"/>
      <c r="SMZ10" s="1202"/>
      <c r="SNA10" s="1202"/>
      <c r="SNB10" s="1202"/>
      <c r="SNC10" s="1202"/>
      <c r="SND10" s="1202"/>
      <c r="SNE10" s="1202"/>
      <c r="SNF10" s="1202"/>
      <c r="SNG10" s="1202"/>
      <c r="SNH10" s="1202"/>
      <c r="SNI10" s="1202"/>
      <c r="SNJ10" s="1202"/>
      <c r="SNK10" s="1202"/>
      <c r="SNL10" s="1202"/>
      <c r="SNM10" s="1202"/>
      <c r="SNN10" s="1202"/>
      <c r="SNO10" s="1202"/>
      <c r="SNP10" s="1202"/>
      <c r="SNQ10" s="1202"/>
      <c r="SNR10" s="1202"/>
      <c r="SNS10" s="1202"/>
      <c r="SNT10" s="1202"/>
      <c r="SNU10" s="1202"/>
      <c r="SNV10" s="1202"/>
      <c r="SNW10" s="1202"/>
      <c r="SNX10" s="1202"/>
      <c r="SNY10" s="1202"/>
      <c r="SNZ10" s="1202"/>
      <c r="SOA10" s="1202"/>
      <c r="SOB10" s="1202"/>
      <c r="SOC10" s="1202"/>
      <c r="SOD10" s="1202"/>
      <c r="SOE10" s="1202"/>
      <c r="SOF10" s="1202"/>
      <c r="SOG10" s="1202"/>
      <c r="SOH10" s="1202"/>
      <c r="SOI10" s="1202"/>
      <c r="SOJ10" s="1202"/>
      <c r="SOK10" s="1202"/>
      <c r="SOL10" s="1202"/>
      <c r="SOM10" s="1202"/>
      <c r="SON10" s="1202"/>
      <c r="SOO10" s="1202"/>
      <c r="SOP10" s="1202"/>
      <c r="SOQ10" s="1202"/>
      <c r="SOR10" s="1202"/>
      <c r="SOS10" s="1202"/>
      <c r="SOT10" s="1202"/>
      <c r="SOU10" s="1202"/>
      <c r="SOV10" s="1202"/>
      <c r="SOW10" s="1202"/>
      <c r="SOX10" s="1202"/>
      <c r="SOY10" s="1202"/>
      <c r="SOZ10" s="1202"/>
      <c r="SPA10" s="1202"/>
      <c r="SPB10" s="1202"/>
      <c r="SPC10" s="1202"/>
      <c r="SPD10" s="1202"/>
      <c r="SPE10" s="1202"/>
      <c r="SPF10" s="1202"/>
      <c r="SPG10" s="1202"/>
      <c r="SPH10" s="1202"/>
      <c r="SPI10" s="1202"/>
      <c r="SPJ10" s="1202"/>
      <c r="SPK10" s="1202"/>
      <c r="SPL10" s="1202"/>
      <c r="SPM10" s="1202"/>
      <c r="SPN10" s="1202"/>
      <c r="SPO10" s="1202"/>
      <c r="SPP10" s="1202"/>
      <c r="SPQ10" s="1202"/>
      <c r="SPR10" s="1202"/>
      <c r="SPS10" s="1202"/>
      <c r="SPT10" s="1202"/>
      <c r="SPU10" s="1202"/>
      <c r="SPV10" s="1202"/>
      <c r="SPW10" s="1202"/>
      <c r="SPX10" s="1202"/>
      <c r="SPY10" s="1202"/>
      <c r="SPZ10" s="1202"/>
      <c r="SQA10" s="1202"/>
      <c r="SQB10" s="1202"/>
      <c r="SQC10" s="1202"/>
      <c r="SQD10" s="1202"/>
      <c r="SQE10" s="1202"/>
      <c r="SQF10" s="1202"/>
      <c r="SQG10" s="1202"/>
      <c r="SQH10" s="1202"/>
      <c r="SQI10" s="1202"/>
      <c r="SQJ10" s="1202"/>
      <c r="SQK10" s="1202"/>
      <c r="SQL10" s="1202"/>
      <c r="SQM10" s="1202"/>
      <c r="SQN10" s="1202"/>
      <c r="SQO10" s="1202"/>
      <c r="SQP10" s="1202"/>
      <c r="SQQ10" s="1202"/>
      <c r="SQR10" s="1202"/>
      <c r="SQS10" s="1202"/>
      <c r="SQT10" s="1202"/>
      <c r="SQU10" s="1202"/>
      <c r="SQV10" s="1202"/>
      <c r="SQW10" s="1202"/>
      <c r="SQX10" s="1202"/>
      <c r="SQY10" s="1202"/>
      <c r="SQZ10" s="1202"/>
      <c r="SRA10" s="1202"/>
      <c r="SRB10" s="1202"/>
      <c r="SRC10" s="1202"/>
      <c r="SRD10" s="1202"/>
      <c r="SRE10" s="1202"/>
      <c r="SRF10" s="1202"/>
      <c r="SRG10" s="1202"/>
      <c r="SRH10" s="1202"/>
      <c r="SRI10" s="1202"/>
      <c r="SRJ10" s="1202"/>
      <c r="SRK10" s="1202"/>
      <c r="SRL10" s="1202"/>
      <c r="SRM10" s="1202"/>
      <c r="SRN10" s="1202"/>
      <c r="SRO10" s="1202"/>
      <c r="SRP10" s="1202"/>
      <c r="SRQ10" s="1202"/>
      <c r="SRR10" s="1202"/>
      <c r="SRS10" s="1202"/>
      <c r="SRT10" s="1202"/>
      <c r="SRU10" s="1202"/>
      <c r="SRV10" s="1202"/>
      <c r="SRW10" s="1202"/>
      <c r="SRX10" s="1202"/>
      <c r="SRY10" s="1202"/>
      <c r="SRZ10" s="1202"/>
      <c r="SSA10" s="1202"/>
      <c r="SSB10" s="1202"/>
      <c r="SSC10" s="1202"/>
      <c r="SSD10" s="1202"/>
      <c r="SSE10" s="1202"/>
      <c r="SSF10" s="1202"/>
      <c r="SSG10" s="1202"/>
      <c r="SSH10" s="1202"/>
      <c r="SSI10" s="1202"/>
      <c r="SSJ10" s="1202"/>
      <c r="SSK10" s="1202"/>
      <c r="SSL10" s="1202"/>
      <c r="SSM10" s="1202"/>
      <c r="SSN10" s="1202"/>
      <c r="SSO10" s="1202"/>
      <c r="SSP10" s="1202"/>
      <c r="SSQ10" s="1202"/>
      <c r="SSR10" s="1202"/>
      <c r="SSS10" s="1202"/>
      <c r="SST10" s="1202"/>
      <c r="SSU10" s="1202"/>
      <c r="SSV10" s="1202"/>
      <c r="SSW10" s="1202"/>
      <c r="SSX10" s="1202"/>
      <c r="SSY10" s="1202"/>
      <c r="SSZ10" s="1202"/>
      <c r="STA10" s="1202"/>
      <c r="STB10" s="1202"/>
      <c r="STC10" s="1202"/>
      <c r="STD10" s="1202"/>
      <c r="STE10" s="1202"/>
      <c r="STF10" s="1202"/>
      <c r="STG10" s="1202"/>
      <c r="STH10" s="1202"/>
      <c r="STI10" s="1202"/>
      <c r="STJ10" s="1202"/>
      <c r="STK10" s="1202"/>
      <c r="STL10" s="1202"/>
      <c r="STM10" s="1202"/>
      <c r="STN10" s="1202"/>
      <c r="STO10" s="1202"/>
      <c r="STP10" s="1202"/>
      <c r="STQ10" s="1202"/>
      <c r="STR10" s="1202"/>
      <c r="STS10" s="1202"/>
      <c r="STT10" s="1202"/>
      <c r="STU10" s="1202"/>
      <c r="STV10" s="1202"/>
      <c r="STW10" s="1202"/>
      <c r="STX10" s="1202"/>
      <c r="STY10" s="1202"/>
      <c r="STZ10" s="1202"/>
      <c r="SUA10" s="1202"/>
      <c r="SUB10" s="1202"/>
      <c r="SUC10" s="1202"/>
      <c r="SUD10" s="1202"/>
      <c r="SUE10" s="1202"/>
      <c r="SUF10" s="1202"/>
      <c r="SUG10" s="1202"/>
      <c r="SUH10" s="1202"/>
      <c r="SUI10" s="1202"/>
      <c r="SUJ10" s="1202"/>
      <c r="SUK10" s="1202"/>
      <c r="SUL10" s="1202"/>
      <c r="SUM10" s="1202"/>
      <c r="SUN10" s="1202"/>
      <c r="SUO10" s="1202"/>
      <c r="SUP10" s="1202"/>
      <c r="SUQ10" s="1202"/>
      <c r="SUR10" s="1202"/>
      <c r="SUS10" s="1202"/>
      <c r="SUT10" s="1202"/>
      <c r="SUU10" s="1202"/>
      <c r="SUV10" s="1202"/>
      <c r="SUW10" s="1202"/>
      <c r="SUX10" s="1202"/>
      <c r="SUY10" s="1202"/>
      <c r="SUZ10" s="1202"/>
      <c r="SVA10" s="1202"/>
      <c r="SVB10" s="1202"/>
      <c r="SVC10" s="1202"/>
      <c r="SVD10" s="1202"/>
      <c r="SVE10" s="1202"/>
      <c r="SVF10" s="1202"/>
      <c r="SVG10" s="1202"/>
      <c r="SVH10" s="1202"/>
      <c r="SVI10" s="1202"/>
      <c r="SVJ10" s="1202"/>
      <c r="SVK10" s="1202"/>
      <c r="SVL10" s="1202"/>
      <c r="SVM10" s="1202"/>
      <c r="SVN10" s="1202"/>
      <c r="SVO10" s="1202"/>
      <c r="SVP10" s="1202"/>
      <c r="SVQ10" s="1202"/>
      <c r="SVR10" s="1202"/>
      <c r="SVS10" s="1202"/>
      <c r="SVT10" s="1202"/>
      <c r="SVU10" s="1202"/>
      <c r="SVV10" s="1202"/>
      <c r="SVW10" s="1202"/>
      <c r="SVX10" s="1202"/>
      <c r="SVY10" s="1202"/>
      <c r="SVZ10" s="1202"/>
      <c r="SWA10" s="1202"/>
      <c r="SWB10" s="1202"/>
      <c r="SWC10" s="1202"/>
      <c r="SWD10" s="1202"/>
      <c r="SWE10" s="1202"/>
      <c r="SWF10" s="1202"/>
      <c r="SWG10" s="1202"/>
      <c r="SWH10" s="1202"/>
      <c r="SWI10" s="1202"/>
      <c r="SWJ10" s="1202"/>
      <c r="SWK10" s="1202"/>
      <c r="SWL10" s="1202"/>
      <c r="SWM10" s="1202"/>
      <c r="SWN10" s="1202"/>
      <c r="SWO10" s="1202"/>
      <c r="SWP10" s="1202"/>
      <c r="SWQ10" s="1202"/>
      <c r="SWR10" s="1202"/>
      <c r="SWS10" s="1202"/>
      <c r="SWT10" s="1202"/>
      <c r="SWU10" s="1202"/>
      <c r="SWV10" s="1202"/>
      <c r="SWW10" s="1202"/>
      <c r="SWX10" s="1202"/>
      <c r="SWY10" s="1202"/>
      <c r="SWZ10" s="1202"/>
      <c r="SXA10" s="1202"/>
      <c r="SXB10" s="1202"/>
      <c r="SXC10" s="1202"/>
      <c r="SXD10" s="1202"/>
      <c r="SXE10" s="1202"/>
      <c r="SXF10" s="1202"/>
      <c r="SXG10" s="1202"/>
      <c r="SXH10" s="1202"/>
      <c r="SXI10" s="1202"/>
      <c r="SXJ10" s="1202"/>
      <c r="SXK10" s="1202"/>
      <c r="SXL10" s="1202"/>
      <c r="SXM10" s="1202"/>
      <c r="SXN10" s="1202"/>
      <c r="SXO10" s="1202"/>
      <c r="SXP10" s="1202"/>
      <c r="SXQ10" s="1202"/>
      <c r="SXR10" s="1202"/>
      <c r="SXS10" s="1202"/>
      <c r="SXT10" s="1202"/>
      <c r="SXU10" s="1202"/>
      <c r="SXV10" s="1202"/>
      <c r="SXW10" s="1202"/>
      <c r="SXX10" s="1202"/>
      <c r="SXY10" s="1202"/>
      <c r="SXZ10" s="1202"/>
      <c r="SYA10" s="1202"/>
      <c r="SYB10" s="1202"/>
      <c r="SYC10" s="1202"/>
      <c r="SYD10" s="1202"/>
      <c r="SYE10" s="1202"/>
      <c r="SYF10" s="1202"/>
      <c r="SYG10" s="1202"/>
      <c r="SYH10" s="1202"/>
      <c r="SYI10" s="1202"/>
      <c r="SYJ10" s="1202"/>
      <c r="SYK10" s="1202"/>
      <c r="SYL10" s="1202"/>
      <c r="SYM10" s="1202"/>
      <c r="SYN10" s="1202"/>
      <c r="SYO10" s="1202"/>
      <c r="SYP10" s="1202"/>
      <c r="SYQ10" s="1202"/>
      <c r="SYR10" s="1202"/>
      <c r="SYS10" s="1202"/>
      <c r="SYT10" s="1202"/>
      <c r="SYU10" s="1202"/>
      <c r="SYV10" s="1202"/>
      <c r="SYW10" s="1202"/>
      <c r="SYX10" s="1202"/>
      <c r="SYY10" s="1202"/>
      <c r="SYZ10" s="1202"/>
      <c r="SZA10" s="1202"/>
      <c r="SZB10" s="1202"/>
      <c r="SZC10" s="1202"/>
      <c r="SZD10" s="1202"/>
      <c r="SZE10" s="1202"/>
      <c r="SZF10" s="1202"/>
      <c r="SZG10" s="1202"/>
      <c r="SZH10" s="1202"/>
      <c r="SZI10" s="1202"/>
      <c r="SZJ10" s="1202"/>
      <c r="SZK10" s="1202"/>
      <c r="SZL10" s="1202"/>
      <c r="SZM10" s="1202"/>
      <c r="SZN10" s="1202"/>
      <c r="SZO10" s="1202"/>
      <c r="SZP10" s="1202"/>
      <c r="SZQ10" s="1202"/>
      <c r="SZR10" s="1202"/>
      <c r="SZS10" s="1202"/>
      <c r="SZT10" s="1202"/>
      <c r="SZU10" s="1202"/>
      <c r="SZV10" s="1202"/>
      <c r="SZW10" s="1202"/>
      <c r="SZX10" s="1202"/>
      <c r="SZY10" s="1202"/>
      <c r="SZZ10" s="1202"/>
      <c r="TAA10" s="1202"/>
      <c r="TAB10" s="1202"/>
      <c r="TAC10" s="1202"/>
      <c r="TAD10" s="1202"/>
      <c r="TAE10" s="1202"/>
      <c r="TAF10" s="1202"/>
      <c r="TAG10" s="1202"/>
      <c r="TAH10" s="1202"/>
      <c r="TAI10" s="1202"/>
      <c r="TAJ10" s="1202"/>
      <c r="TAK10" s="1202"/>
      <c r="TAL10" s="1202"/>
      <c r="TAM10" s="1202"/>
      <c r="TAN10" s="1202"/>
      <c r="TAO10" s="1202"/>
      <c r="TAP10" s="1202"/>
      <c r="TAQ10" s="1202"/>
      <c r="TAR10" s="1202"/>
      <c r="TAS10" s="1202"/>
      <c r="TAT10" s="1202"/>
      <c r="TAU10" s="1202"/>
      <c r="TAV10" s="1202"/>
      <c r="TAW10" s="1202"/>
      <c r="TAX10" s="1202"/>
      <c r="TAY10" s="1202"/>
      <c r="TAZ10" s="1202"/>
      <c r="TBA10" s="1202"/>
      <c r="TBB10" s="1202"/>
      <c r="TBC10" s="1202"/>
      <c r="TBD10" s="1202"/>
      <c r="TBE10" s="1202"/>
      <c r="TBF10" s="1202"/>
      <c r="TBG10" s="1202"/>
      <c r="TBH10" s="1202"/>
      <c r="TBI10" s="1202"/>
      <c r="TBJ10" s="1202"/>
      <c r="TBK10" s="1202"/>
      <c r="TBL10" s="1202"/>
      <c r="TBM10" s="1202"/>
      <c r="TBN10" s="1202"/>
      <c r="TBO10" s="1202"/>
      <c r="TBP10" s="1202"/>
      <c r="TBQ10" s="1202"/>
      <c r="TBR10" s="1202"/>
      <c r="TBS10" s="1202"/>
      <c r="TBT10" s="1202"/>
      <c r="TBU10" s="1202"/>
      <c r="TBV10" s="1202"/>
      <c r="TBW10" s="1202"/>
      <c r="TBX10" s="1202"/>
      <c r="TBY10" s="1202"/>
      <c r="TBZ10" s="1202"/>
      <c r="TCA10" s="1202"/>
      <c r="TCB10" s="1202"/>
      <c r="TCC10" s="1202"/>
      <c r="TCD10" s="1202"/>
      <c r="TCE10" s="1202"/>
      <c r="TCF10" s="1202"/>
      <c r="TCG10" s="1202"/>
      <c r="TCH10" s="1202"/>
      <c r="TCI10" s="1202"/>
      <c r="TCJ10" s="1202"/>
      <c r="TCK10" s="1202"/>
      <c r="TCL10" s="1202"/>
      <c r="TCM10" s="1202"/>
      <c r="TCN10" s="1202"/>
      <c r="TCO10" s="1202"/>
      <c r="TCP10" s="1202"/>
      <c r="TCQ10" s="1202"/>
      <c r="TCR10" s="1202"/>
      <c r="TCS10" s="1202"/>
      <c r="TCT10" s="1202"/>
      <c r="TCU10" s="1202"/>
      <c r="TCV10" s="1202"/>
      <c r="TCW10" s="1202"/>
      <c r="TCX10" s="1202"/>
      <c r="TCY10" s="1202"/>
      <c r="TCZ10" s="1202"/>
      <c r="TDA10" s="1202"/>
      <c r="TDB10" s="1202"/>
      <c r="TDC10" s="1202"/>
      <c r="TDD10" s="1202"/>
      <c r="TDE10" s="1202"/>
      <c r="TDF10" s="1202"/>
      <c r="TDG10" s="1202"/>
      <c r="TDH10" s="1202"/>
      <c r="TDI10" s="1202"/>
      <c r="TDJ10" s="1202"/>
      <c r="TDK10" s="1202"/>
      <c r="TDL10" s="1202"/>
      <c r="TDM10" s="1202"/>
      <c r="TDN10" s="1202"/>
      <c r="TDO10" s="1202"/>
      <c r="TDP10" s="1202"/>
      <c r="TDQ10" s="1202"/>
      <c r="TDR10" s="1202"/>
      <c r="TDS10" s="1202"/>
      <c r="TDT10" s="1202"/>
      <c r="TDU10" s="1202"/>
      <c r="TDV10" s="1202"/>
      <c r="TDW10" s="1202"/>
      <c r="TDX10" s="1202"/>
      <c r="TDY10" s="1202"/>
      <c r="TDZ10" s="1202"/>
      <c r="TEA10" s="1202"/>
      <c r="TEB10" s="1202"/>
      <c r="TEC10" s="1202"/>
      <c r="TED10" s="1202"/>
      <c r="TEE10" s="1202"/>
      <c r="TEF10" s="1202"/>
      <c r="TEG10" s="1202"/>
      <c r="TEH10" s="1202"/>
      <c r="TEI10" s="1202"/>
      <c r="TEJ10" s="1202"/>
      <c r="TEK10" s="1202"/>
      <c r="TEL10" s="1202"/>
      <c r="TEM10" s="1202"/>
      <c r="TEN10" s="1202"/>
      <c r="TEO10" s="1202"/>
      <c r="TEP10" s="1202"/>
      <c r="TEQ10" s="1202"/>
      <c r="TER10" s="1202"/>
      <c r="TES10" s="1202"/>
      <c r="TET10" s="1202"/>
      <c r="TEU10" s="1202"/>
      <c r="TEV10" s="1202"/>
      <c r="TEW10" s="1202"/>
      <c r="TEX10" s="1202"/>
      <c r="TEY10" s="1202"/>
      <c r="TEZ10" s="1202"/>
      <c r="TFA10" s="1202"/>
      <c r="TFB10" s="1202"/>
      <c r="TFC10" s="1202"/>
      <c r="TFD10" s="1202"/>
      <c r="TFE10" s="1202"/>
      <c r="TFF10" s="1202"/>
      <c r="TFG10" s="1202"/>
      <c r="TFH10" s="1202"/>
      <c r="TFI10" s="1202"/>
      <c r="TFJ10" s="1202"/>
      <c r="TFK10" s="1202"/>
      <c r="TFL10" s="1202"/>
      <c r="TFM10" s="1202"/>
      <c r="TFN10" s="1202"/>
      <c r="TFO10" s="1202"/>
      <c r="TFP10" s="1202"/>
      <c r="TFQ10" s="1202"/>
      <c r="TFR10" s="1202"/>
      <c r="TFS10" s="1202"/>
      <c r="TFT10" s="1202"/>
      <c r="TFU10" s="1202"/>
      <c r="TFV10" s="1202"/>
      <c r="TFW10" s="1202"/>
      <c r="TFX10" s="1202"/>
      <c r="TFY10" s="1202"/>
      <c r="TFZ10" s="1202"/>
      <c r="TGA10" s="1202"/>
      <c r="TGB10" s="1202"/>
      <c r="TGC10" s="1202"/>
      <c r="TGD10" s="1202"/>
      <c r="TGE10" s="1202"/>
      <c r="TGF10" s="1202"/>
      <c r="TGG10" s="1202"/>
      <c r="TGH10" s="1202"/>
      <c r="TGI10" s="1202"/>
      <c r="TGJ10" s="1202"/>
      <c r="TGK10" s="1202"/>
      <c r="TGL10" s="1202"/>
      <c r="TGM10" s="1202"/>
      <c r="TGN10" s="1202"/>
      <c r="TGO10" s="1202"/>
      <c r="TGP10" s="1202"/>
      <c r="TGQ10" s="1202"/>
      <c r="TGR10" s="1202"/>
      <c r="TGS10" s="1202"/>
      <c r="TGT10" s="1202"/>
      <c r="TGU10" s="1202"/>
      <c r="TGV10" s="1202"/>
      <c r="TGW10" s="1202"/>
      <c r="TGX10" s="1202"/>
      <c r="TGY10" s="1202"/>
      <c r="TGZ10" s="1202"/>
      <c r="THA10" s="1202"/>
      <c r="THB10" s="1202"/>
      <c r="THC10" s="1202"/>
      <c r="THD10" s="1202"/>
      <c r="THE10" s="1202"/>
      <c r="THF10" s="1202"/>
      <c r="THG10" s="1202"/>
      <c r="THH10" s="1202"/>
      <c r="THI10" s="1202"/>
      <c r="THJ10" s="1202"/>
      <c r="THK10" s="1202"/>
      <c r="THL10" s="1202"/>
      <c r="THM10" s="1202"/>
      <c r="THN10" s="1202"/>
      <c r="THO10" s="1202"/>
      <c r="THP10" s="1202"/>
      <c r="THQ10" s="1202"/>
      <c r="THR10" s="1202"/>
      <c r="THS10" s="1202"/>
      <c r="THT10" s="1202"/>
      <c r="THU10" s="1202"/>
      <c r="THV10" s="1202"/>
      <c r="THW10" s="1202"/>
      <c r="THX10" s="1202"/>
      <c r="THY10" s="1202"/>
      <c r="THZ10" s="1202"/>
      <c r="TIA10" s="1202"/>
      <c r="TIB10" s="1202"/>
      <c r="TIC10" s="1202"/>
      <c r="TID10" s="1202"/>
      <c r="TIE10" s="1202"/>
      <c r="TIF10" s="1202"/>
      <c r="TIG10" s="1202"/>
      <c r="TIH10" s="1202"/>
      <c r="TII10" s="1202"/>
      <c r="TIJ10" s="1202"/>
      <c r="TIK10" s="1202"/>
      <c r="TIL10" s="1202"/>
      <c r="TIM10" s="1202"/>
      <c r="TIN10" s="1202"/>
      <c r="TIO10" s="1202"/>
      <c r="TIP10" s="1202"/>
      <c r="TIQ10" s="1202"/>
      <c r="TIR10" s="1202"/>
      <c r="TIS10" s="1202"/>
      <c r="TIT10" s="1202"/>
      <c r="TIU10" s="1202"/>
      <c r="TIV10" s="1202"/>
      <c r="TIW10" s="1202"/>
      <c r="TIX10" s="1202"/>
      <c r="TIY10" s="1202"/>
      <c r="TIZ10" s="1202"/>
      <c r="TJA10" s="1202"/>
      <c r="TJB10" s="1202"/>
      <c r="TJC10" s="1202"/>
      <c r="TJD10" s="1202"/>
      <c r="TJE10" s="1202"/>
      <c r="TJF10" s="1202"/>
      <c r="TJG10" s="1202"/>
      <c r="TJH10" s="1202"/>
      <c r="TJI10" s="1202"/>
      <c r="TJJ10" s="1202"/>
      <c r="TJK10" s="1202"/>
      <c r="TJL10" s="1202"/>
      <c r="TJM10" s="1202"/>
      <c r="TJN10" s="1202"/>
      <c r="TJO10" s="1202"/>
      <c r="TJP10" s="1202"/>
      <c r="TJQ10" s="1202"/>
      <c r="TJR10" s="1202"/>
      <c r="TJS10" s="1202"/>
      <c r="TJT10" s="1202"/>
      <c r="TJU10" s="1202"/>
      <c r="TJV10" s="1202"/>
      <c r="TJW10" s="1202"/>
      <c r="TJX10" s="1202"/>
      <c r="TJY10" s="1202"/>
      <c r="TJZ10" s="1202"/>
      <c r="TKA10" s="1202"/>
      <c r="TKB10" s="1202"/>
      <c r="TKC10" s="1202"/>
      <c r="TKD10" s="1202"/>
      <c r="TKE10" s="1202"/>
      <c r="TKF10" s="1202"/>
      <c r="TKG10" s="1202"/>
      <c r="TKH10" s="1202"/>
      <c r="TKI10" s="1202"/>
      <c r="TKJ10" s="1202"/>
      <c r="TKK10" s="1202"/>
      <c r="TKL10" s="1202"/>
      <c r="TKM10" s="1202"/>
      <c r="TKN10" s="1202"/>
      <c r="TKO10" s="1202"/>
      <c r="TKP10" s="1202"/>
      <c r="TKQ10" s="1202"/>
      <c r="TKR10" s="1202"/>
      <c r="TKS10" s="1202"/>
      <c r="TKT10" s="1202"/>
      <c r="TKU10" s="1202"/>
      <c r="TKV10" s="1202"/>
      <c r="TKW10" s="1202"/>
      <c r="TKX10" s="1202"/>
      <c r="TKY10" s="1202"/>
      <c r="TKZ10" s="1202"/>
      <c r="TLA10" s="1202"/>
      <c r="TLB10" s="1202"/>
      <c r="TLC10" s="1202"/>
      <c r="TLD10" s="1202"/>
      <c r="TLE10" s="1202"/>
      <c r="TLF10" s="1202"/>
      <c r="TLG10" s="1202"/>
      <c r="TLH10" s="1202"/>
      <c r="TLI10" s="1202"/>
      <c r="TLJ10" s="1202"/>
      <c r="TLK10" s="1202"/>
      <c r="TLL10" s="1202"/>
      <c r="TLM10" s="1202"/>
      <c r="TLN10" s="1202"/>
      <c r="TLO10" s="1202"/>
      <c r="TLP10" s="1202"/>
      <c r="TLQ10" s="1202"/>
      <c r="TLR10" s="1202"/>
      <c r="TLS10" s="1202"/>
      <c r="TLT10" s="1202"/>
      <c r="TLU10" s="1202"/>
      <c r="TLV10" s="1202"/>
      <c r="TLW10" s="1202"/>
      <c r="TLX10" s="1202"/>
      <c r="TLY10" s="1202"/>
      <c r="TLZ10" s="1202"/>
      <c r="TMA10" s="1202"/>
      <c r="TMB10" s="1202"/>
      <c r="TMC10" s="1202"/>
      <c r="TMD10" s="1202"/>
      <c r="TME10" s="1202"/>
      <c r="TMF10" s="1202"/>
      <c r="TMG10" s="1202"/>
      <c r="TMH10" s="1202"/>
      <c r="TMI10" s="1202"/>
      <c r="TMJ10" s="1202"/>
      <c r="TMK10" s="1202"/>
      <c r="TML10" s="1202"/>
      <c r="TMM10" s="1202"/>
      <c r="TMN10" s="1202"/>
      <c r="TMO10" s="1202"/>
      <c r="TMP10" s="1202"/>
      <c r="TMQ10" s="1202"/>
      <c r="TMR10" s="1202"/>
      <c r="TMS10" s="1202"/>
      <c r="TMT10" s="1202"/>
      <c r="TMU10" s="1202"/>
      <c r="TMV10" s="1202"/>
      <c r="TMW10" s="1202"/>
      <c r="TMX10" s="1202"/>
      <c r="TMY10" s="1202"/>
      <c r="TMZ10" s="1202"/>
      <c r="TNA10" s="1202"/>
      <c r="TNB10" s="1202"/>
      <c r="TNC10" s="1202"/>
      <c r="TND10" s="1202"/>
      <c r="TNE10" s="1202"/>
      <c r="TNF10" s="1202"/>
      <c r="TNG10" s="1202"/>
      <c r="TNH10" s="1202"/>
      <c r="TNI10" s="1202"/>
      <c r="TNJ10" s="1202"/>
      <c r="TNK10" s="1202"/>
      <c r="TNL10" s="1202"/>
      <c r="TNM10" s="1202"/>
      <c r="TNN10" s="1202"/>
      <c r="TNO10" s="1202"/>
      <c r="TNP10" s="1202"/>
      <c r="TNQ10" s="1202"/>
      <c r="TNR10" s="1202"/>
      <c r="TNS10" s="1202"/>
      <c r="TNT10" s="1202"/>
      <c r="TNU10" s="1202"/>
      <c r="TNV10" s="1202"/>
      <c r="TNW10" s="1202"/>
      <c r="TNX10" s="1202"/>
      <c r="TNY10" s="1202"/>
      <c r="TNZ10" s="1202"/>
      <c r="TOA10" s="1202"/>
      <c r="TOB10" s="1202"/>
      <c r="TOC10" s="1202"/>
      <c r="TOD10" s="1202"/>
      <c r="TOE10" s="1202"/>
      <c r="TOF10" s="1202"/>
      <c r="TOG10" s="1202"/>
      <c r="TOH10" s="1202"/>
      <c r="TOI10" s="1202"/>
      <c r="TOJ10" s="1202"/>
      <c r="TOK10" s="1202"/>
      <c r="TOL10" s="1202"/>
      <c r="TOM10" s="1202"/>
      <c r="TON10" s="1202"/>
      <c r="TOO10" s="1202"/>
      <c r="TOP10" s="1202"/>
      <c r="TOQ10" s="1202"/>
      <c r="TOR10" s="1202"/>
      <c r="TOS10" s="1202"/>
      <c r="TOT10" s="1202"/>
      <c r="TOU10" s="1202"/>
      <c r="TOV10" s="1202"/>
      <c r="TOW10" s="1202"/>
      <c r="TOX10" s="1202"/>
      <c r="TOY10" s="1202"/>
      <c r="TOZ10" s="1202"/>
      <c r="TPA10" s="1202"/>
      <c r="TPB10" s="1202"/>
      <c r="TPC10" s="1202"/>
      <c r="TPD10" s="1202"/>
      <c r="TPE10" s="1202"/>
      <c r="TPF10" s="1202"/>
      <c r="TPG10" s="1202"/>
      <c r="TPH10" s="1202"/>
      <c r="TPI10" s="1202"/>
      <c r="TPJ10" s="1202"/>
      <c r="TPK10" s="1202"/>
      <c r="TPL10" s="1202"/>
      <c r="TPM10" s="1202"/>
      <c r="TPN10" s="1202"/>
      <c r="TPO10" s="1202"/>
      <c r="TPP10" s="1202"/>
      <c r="TPQ10" s="1202"/>
      <c r="TPR10" s="1202"/>
      <c r="TPS10" s="1202"/>
      <c r="TPT10" s="1202"/>
      <c r="TPU10" s="1202"/>
      <c r="TPV10" s="1202"/>
      <c r="TPW10" s="1202"/>
      <c r="TPX10" s="1202"/>
      <c r="TPY10" s="1202"/>
      <c r="TPZ10" s="1202"/>
      <c r="TQA10" s="1202"/>
      <c r="TQB10" s="1202"/>
      <c r="TQC10" s="1202"/>
      <c r="TQD10" s="1202"/>
      <c r="TQE10" s="1202"/>
      <c r="TQF10" s="1202"/>
      <c r="TQG10" s="1202"/>
      <c r="TQH10" s="1202"/>
      <c r="TQI10" s="1202"/>
      <c r="TQJ10" s="1202"/>
      <c r="TQK10" s="1202"/>
      <c r="TQL10" s="1202"/>
      <c r="TQM10" s="1202"/>
      <c r="TQN10" s="1202"/>
      <c r="TQO10" s="1202"/>
      <c r="TQP10" s="1202"/>
      <c r="TQQ10" s="1202"/>
      <c r="TQR10" s="1202"/>
      <c r="TQS10" s="1202"/>
      <c r="TQT10" s="1202"/>
      <c r="TQU10" s="1202"/>
      <c r="TQV10" s="1202"/>
      <c r="TQW10" s="1202"/>
      <c r="TQX10" s="1202"/>
      <c r="TQY10" s="1202"/>
      <c r="TQZ10" s="1202"/>
      <c r="TRA10" s="1202"/>
      <c r="TRB10" s="1202"/>
      <c r="TRC10" s="1202"/>
      <c r="TRD10" s="1202"/>
      <c r="TRE10" s="1202"/>
      <c r="TRF10" s="1202"/>
      <c r="TRG10" s="1202"/>
      <c r="TRH10" s="1202"/>
      <c r="TRI10" s="1202"/>
      <c r="TRJ10" s="1202"/>
      <c r="TRK10" s="1202"/>
      <c r="TRL10" s="1202"/>
      <c r="TRM10" s="1202"/>
      <c r="TRN10" s="1202"/>
      <c r="TRO10" s="1202"/>
      <c r="TRP10" s="1202"/>
      <c r="TRQ10" s="1202"/>
      <c r="TRR10" s="1202"/>
      <c r="TRS10" s="1202"/>
      <c r="TRT10" s="1202"/>
      <c r="TRU10" s="1202"/>
      <c r="TRV10" s="1202"/>
      <c r="TRW10" s="1202"/>
      <c r="TRX10" s="1202"/>
      <c r="TRY10" s="1202"/>
      <c r="TRZ10" s="1202"/>
      <c r="TSA10" s="1202"/>
      <c r="TSB10" s="1202"/>
      <c r="TSC10" s="1202"/>
      <c r="TSD10" s="1202"/>
      <c r="TSE10" s="1202"/>
      <c r="TSF10" s="1202"/>
      <c r="TSG10" s="1202"/>
      <c r="TSH10" s="1202"/>
      <c r="TSI10" s="1202"/>
      <c r="TSJ10" s="1202"/>
      <c r="TSK10" s="1202"/>
      <c r="TSL10" s="1202"/>
      <c r="TSM10" s="1202"/>
      <c r="TSN10" s="1202"/>
      <c r="TSO10" s="1202"/>
      <c r="TSP10" s="1202"/>
      <c r="TSQ10" s="1202"/>
      <c r="TSR10" s="1202"/>
      <c r="TSS10" s="1202"/>
      <c r="TST10" s="1202"/>
      <c r="TSU10" s="1202"/>
      <c r="TSV10" s="1202"/>
      <c r="TSW10" s="1202"/>
      <c r="TSX10" s="1202"/>
      <c r="TSY10" s="1202"/>
      <c r="TSZ10" s="1202"/>
      <c r="TTA10" s="1202"/>
      <c r="TTB10" s="1202"/>
      <c r="TTC10" s="1202"/>
      <c r="TTD10" s="1202"/>
      <c r="TTE10" s="1202"/>
      <c r="TTF10" s="1202"/>
      <c r="TTG10" s="1202"/>
      <c r="TTH10" s="1202"/>
      <c r="TTI10" s="1202"/>
      <c r="TTJ10" s="1202"/>
      <c r="TTK10" s="1202"/>
      <c r="TTL10" s="1202"/>
      <c r="TTM10" s="1202"/>
      <c r="TTN10" s="1202"/>
      <c r="TTO10" s="1202"/>
      <c r="TTP10" s="1202"/>
      <c r="TTQ10" s="1202"/>
      <c r="TTR10" s="1202"/>
      <c r="TTS10" s="1202"/>
      <c r="TTT10" s="1202"/>
      <c r="TTU10" s="1202"/>
      <c r="TTV10" s="1202"/>
      <c r="TTW10" s="1202"/>
      <c r="TTX10" s="1202"/>
      <c r="TTY10" s="1202"/>
      <c r="TTZ10" s="1202"/>
      <c r="TUA10" s="1202"/>
      <c r="TUB10" s="1202"/>
      <c r="TUC10" s="1202"/>
      <c r="TUD10" s="1202"/>
      <c r="TUE10" s="1202"/>
      <c r="TUF10" s="1202"/>
      <c r="TUG10" s="1202"/>
      <c r="TUH10" s="1202"/>
      <c r="TUI10" s="1202"/>
      <c r="TUJ10" s="1202"/>
      <c r="TUK10" s="1202"/>
      <c r="TUL10" s="1202"/>
      <c r="TUM10" s="1202"/>
      <c r="TUN10" s="1202"/>
      <c r="TUO10" s="1202"/>
      <c r="TUP10" s="1202"/>
      <c r="TUQ10" s="1202"/>
      <c r="TUR10" s="1202"/>
      <c r="TUS10" s="1202"/>
      <c r="TUT10" s="1202"/>
      <c r="TUU10" s="1202"/>
      <c r="TUV10" s="1202"/>
      <c r="TUW10" s="1202"/>
      <c r="TUX10" s="1202"/>
      <c r="TUY10" s="1202"/>
      <c r="TUZ10" s="1202"/>
      <c r="TVA10" s="1202"/>
      <c r="TVB10" s="1202"/>
      <c r="TVC10" s="1202"/>
      <c r="TVD10" s="1202"/>
      <c r="TVE10" s="1202"/>
      <c r="TVF10" s="1202"/>
      <c r="TVG10" s="1202"/>
      <c r="TVH10" s="1202"/>
      <c r="TVI10" s="1202"/>
      <c r="TVJ10" s="1202"/>
      <c r="TVK10" s="1202"/>
      <c r="TVL10" s="1202"/>
      <c r="TVM10" s="1202"/>
      <c r="TVN10" s="1202"/>
      <c r="TVO10" s="1202"/>
      <c r="TVP10" s="1202"/>
      <c r="TVQ10" s="1202"/>
      <c r="TVR10" s="1202"/>
      <c r="TVS10" s="1202"/>
      <c r="TVT10" s="1202"/>
      <c r="TVU10" s="1202"/>
      <c r="TVV10" s="1202"/>
      <c r="TVW10" s="1202"/>
      <c r="TVX10" s="1202"/>
      <c r="TVY10" s="1202"/>
      <c r="TVZ10" s="1202"/>
      <c r="TWA10" s="1202"/>
      <c r="TWB10" s="1202"/>
      <c r="TWC10" s="1202"/>
      <c r="TWD10" s="1202"/>
      <c r="TWE10" s="1202"/>
      <c r="TWF10" s="1202"/>
      <c r="TWG10" s="1202"/>
      <c r="TWH10" s="1202"/>
      <c r="TWI10" s="1202"/>
      <c r="TWJ10" s="1202"/>
      <c r="TWK10" s="1202"/>
      <c r="TWL10" s="1202"/>
      <c r="TWM10" s="1202"/>
      <c r="TWN10" s="1202"/>
      <c r="TWO10" s="1202"/>
      <c r="TWP10" s="1202"/>
      <c r="TWQ10" s="1202"/>
      <c r="TWR10" s="1202"/>
      <c r="TWS10" s="1202"/>
      <c r="TWT10" s="1202"/>
      <c r="TWU10" s="1202"/>
      <c r="TWV10" s="1202"/>
      <c r="TWW10" s="1202"/>
      <c r="TWX10" s="1202"/>
      <c r="TWY10" s="1202"/>
      <c r="TWZ10" s="1202"/>
      <c r="TXA10" s="1202"/>
      <c r="TXB10" s="1202"/>
      <c r="TXC10" s="1202"/>
      <c r="TXD10" s="1202"/>
      <c r="TXE10" s="1202"/>
      <c r="TXF10" s="1202"/>
      <c r="TXG10" s="1202"/>
      <c r="TXH10" s="1202"/>
      <c r="TXI10" s="1202"/>
      <c r="TXJ10" s="1202"/>
      <c r="TXK10" s="1202"/>
      <c r="TXL10" s="1202"/>
      <c r="TXM10" s="1202"/>
      <c r="TXN10" s="1202"/>
      <c r="TXO10" s="1202"/>
      <c r="TXP10" s="1202"/>
      <c r="TXQ10" s="1202"/>
      <c r="TXR10" s="1202"/>
      <c r="TXS10" s="1202"/>
      <c r="TXT10" s="1202"/>
      <c r="TXU10" s="1202"/>
      <c r="TXV10" s="1202"/>
      <c r="TXW10" s="1202"/>
      <c r="TXX10" s="1202"/>
      <c r="TXY10" s="1202"/>
      <c r="TXZ10" s="1202"/>
      <c r="TYA10" s="1202"/>
      <c r="TYB10" s="1202"/>
      <c r="TYC10" s="1202"/>
      <c r="TYD10" s="1202"/>
      <c r="TYE10" s="1202"/>
      <c r="TYF10" s="1202"/>
      <c r="TYG10" s="1202"/>
      <c r="TYH10" s="1202"/>
      <c r="TYI10" s="1202"/>
      <c r="TYJ10" s="1202"/>
      <c r="TYK10" s="1202"/>
      <c r="TYL10" s="1202"/>
      <c r="TYM10" s="1202"/>
      <c r="TYN10" s="1202"/>
      <c r="TYO10" s="1202"/>
      <c r="TYP10" s="1202"/>
      <c r="TYQ10" s="1202"/>
      <c r="TYR10" s="1202"/>
      <c r="TYS10" s="1202"/>
      <c r="TYT10" s="1202"/>
      <c r="TYU10" s="1202"/>
      <c r="TYV10" s="1202"/>
      <c r="TYW10" s="1202"/>
      <c r="TYX10" s="1202"/>
      <c r="TYY10" s="1202"/>
      <c r="TYZ10" s="1202"/>
      <c r="TZA10" s="1202"/>
      <c r="TZB10" s="1202"/>
      <c r="TZC10" s="1202"/>
      <c r="TZD10" s="1202"/>
      <c r="TZE10" s="1202"/>
      <c r="TZF10" s="1202"/>
      <c r="TZG10" s="1202"/>
      <c r="TZH10" s="1202"/>
      <c r="TZI10" s="1202"/>
      <c r="TZJ10" s="1202"/>
      <c r="TZK10" s="1202"/>
      <c r="TZL10" s="1202"/>
      <c r="TZM10" s="1202"/>
      <c r="TZN10" s="1202"/>
      <c r="TZO10" s="1202"/>
      <c r="TZP10" s="1202"/>
      <c r="TZQ10" s="1202"/>
      <c r="TZR10" s="1202"/>
      <c r="TZS10" s="1202"/>
      <c r="TZT10" s="1202"/>
      <c r="TZU10" s="1202"/>
      <c r="TZV10" s="1202"/>
      <c r="TZW10" s="1202"/>
      <c r="TZX10" s="1202"/>
      <c r="TZY10" s="1202"/>
      <c r="TZZ10" s="1202"/>
      <c r="UAA10" s="1202"/>
      <c r="UAB10" s="1202"/>
      <c r="UAC10" s="1202"/>
      <c r="UAD10" s="1202"/>
      <c r="UAE10" s="1202"/>
      <c r="UAF10" s="1202"/>
      <c r="UAG10" s="1202"/>
      <c r="UAH10" s="1202"/>
      <c r="UAI10" s="1202"/>
      <c r="UAJ10" s="1202"/>
      <c r="UAK10" s="1202"/>
      <c r="UAL10" s="1202"/>
      <c r="UAM10" s="1202"/>
      <c r="UAN10" s="1202"/>
      <c r="UAO10" s="1202"/>
      <c r="UAP10" s="1202"/>
      <c r="UAQ10" s="1202"/>
      <c r="UAR10" s="1202"/>
      <c r="UAS10" s="1202"/>
      <c r="UAT10" s="1202"/>
      <c r="UAU10" s="1202"/>
      <c r="UAV10" s="1202"/>
      <c r="UAW10" s="1202"/>
      <c r="UAX10" s="1202"/>
      <c r="UAY10" s="1202"/>
      <c r="UAZ10" s="1202"/>
      <c r="UBA10" s="1202"/>
      <c r="UBB10" s="1202"/>
      <c r="UBC10" s="1202"/>
      <c r="UBD10" s="1202"/>
      <c r="UBE10" s="1202"/>
      <c r="UBF10" s="1202"/>
      <c r="UBG10" s="1202"/>
      <c r="UBH10" s="1202"/>
      <c r="UBI10" s="1202"/>
      <c r="UBJ10" s="1202"/>
      <c r="UBK10" s="1202"/>
      <c r="UBL10" s="1202"/>
      <c r="UBM10" s="1202"/>
      <c r="UBN10" s="1202"/>
      <c r="UBO10" s="1202"/>
      <c r="UBP10" s="1202"/>
      <c r="UBQ10" s="1202"/>
      <c r="UBR10" s="1202"/>
      <c r="UBS10" s="1202"/>
      <c r="UBT10" s="1202"/>
      <c r="UBU10" s="1202"/>
      <c r="UBV10" s="1202"/>
      <c r="UBW10" s="1202"/>
      <c r="UBX10" s="1202"/>
      <c r="UBY10" s="1202"/>
      <c r="UBZ10" s="1202"/>
      <c r="UCA10" s="1202"/>
      <c r="UCB10" s="1202"/>
      <c r="UCC10" s="1202"/>
      <c r="UCD10" s="1202"/>
      <c r="UCE10" s="1202"/>
      <c r="UCF10" s="1202"/>
      <c r="UCG10" s="1202"/>
      <c r="UCH10" s="1202"/>
      <c r="UCI10" s="1202"/>
      <c r="UCJ10" s="1202"/>
      <c r="UCK10" s="1202"/>
      <c r="UCL10" s="1202"/>
      <c r="UCM10" s="1202"/>
      <c r="UCN10" s="1202"/>
      <c r="UCO10" s="1202"/>
      <c r="UCP10" s="1202"/>
      <c r="UCQ10" s="1202"/>
      <c r="UCR10" s="1202"/>
      <c r="UCS10" s="1202"/>
      <c r="UCT10" s="1202"/>
      <c r="UCU10" s="1202"/>
      <c r="UCV10" s="1202"/>
      <c r="UCW10" s="1202"/>
      <c r="UCX10" s="1202"/>
      <c r="UCY10" s="1202"/>
      <c r="UCZ10" s="1202"/>
      <c r="UDA10" s="1202"/>
      <c r="UDB10" s="1202"/>
      <c r="UDC10" s="1202"/>
      <c r="UDD10" s="1202"/>
      <c r="UDE10" s="1202"/>
      <c r="UDF10" s="1202"/>
      <c r="UDG10" s="1202"/>
      <c r="UDH10" s="1202"/>
      <c r="UDI10" s="1202"/>
      <c r="UDJ10" s="1202"/>
      <c r="UDK10" s="1202"/>
      <c r="UDL10" s="1202"/>
      <c r="UDM10" s="1202"/>
      <c r="UDN10" s="1202"/>
      <c r="UDO10" s="1202"/>
      <c r="UDP10" s="1202"/>
      <c r="UDQ10" s="1202"/>
      <c r="UDR10" s="1202"/>
      <c r="UDS10" s="1202"/>
      <c r="UDT10" s="1202"/>
      <c r="UDU10" s="1202"/>
      <c r="UDV10" s="1202"/>
      <c r="UDW10" s="1202"/>
      <c r="UDX10" s="1202"/>
      <c r="UDY10" s="1202"/>
      <c r="UDZ10" s="1202"/>
      <c r="UEA10" s="1202"/>
      <c r="UEB10" s="1202"/>
      <c r="UEC10" s="1202"/>
      <c r="UED10" s="1202"/>
      <c r="UEE10" s="1202"/>
      <c r="UEF10" s="1202"/>
      <c r="UEG10" s="1202"/>
      <c r="UEH10" s="1202"/>
      <c r="UEI10" s="1202"/>
      <c r="UEJ10" s="1202"/>
      <c r="UEK10" s="1202"/>
      <c r="UEL10" s="1202"/>
      <c r="UEM10" s="1202"/>
      <c r="UEN10" s="1202"/>
      <c r="UEO10" s="1202"/>
      <c r="UEP10" s="1202"/>
      <c r="UEQ10" s="1202"/>
      <c r="UER10" s="1202"/>
      <c r="UES10" s="1202"/>
      <c r="UET10" s="1202"/>
      <c r="UEU10" s="1202"/>
      <c r="UEV10" s="1202"/>
      <c r="UEW10" s="1202"/>
      <c r="UEX10" s="1202"/>
      <c r="UEY10" s="1202"/>
      <c r="UEZ10" s="1202"/>
      <c r="UFA10" s="1202"/>
      <c r="UFB10" s="1202"/>
      <c r="UFC10" s="1202"/>
      <c r="UFD10" s="1202"/>
      <c r="UFE10" s="1202"/>
      <c r="UFF10" s="1202"/>
      <c r="UFG10" s="1202"/>
      <c r="UFH10" s="1202"/>
      <c r="UFI10" s="1202"/>
      <c r="UFJ10" s="1202"/>
      <c r="UFK10" s="1202"/>
      <c r="UFL10" s="1202"/>
      <c r="UFM10" s="1202"/>
      <c r="UFN10" s="1202"/>
      <c r="UFO10" s="1202"/>
      <c r="UFP10" s="1202"/>
      <c r="UFQ10" s="1202"/>
      <c r="UFR10" s="1202"/>
      <c r="UFS10" s="1202"/>
      <c r="UFT10" s="1202"/>
      <c r="UFU10" s="1202"/>
      <c r="UFV10" s="1202"/>
      <c r="UFW10" s="1202"/>
      <c r="UFX10" s="1202"/>
      <c r="UFY10" s="1202"/>
      <c r="UFZ10" s="1202"/>
      <c r="UGA10" s="1202"/>
      <c r="UGB10" s="1202"/>
      <c r="UGC10" s="1202"/>
      <c r="UGD10" s="1202"/>
      <c r="UGE10" s="1202"/>
      <c r="UGF10" s="1202"/>
      <c r="UGG10" s="1202"/>
      <c r="UGH10" s="1202"/>
      <c r="UGI10" s="1202"/>
      <c r="UGJ10" s="1202"/>
      <c r="UGK10" s="1202"/>
      <c r="UGL10" s="1202"/>
      <c r="UGM10" s="1202"/>
      <c r="UGN10" s="1202"/>
      <c r="UGO10" s="1202"/>
      <c r="UGP10" s="1202"/>
      <c r="UGQ10" s="1202"/>
      <c r="UGR10" s="1202"/>
      <c r="UGS10" s="1202"/>
      <c r="UGT10" s="1202"/>
      <c r="UGU10" s="1202"/>
      <c r="UGV10" s="1202"/>
      <c r="UGW10" s="1202"/>
      <c r="UGX10" s="1202"/>
      <c r="UGY10" s="1202"/>
      <c r="UGZ10" s="1202"/>
      <c r="UHA10" s="1202"/>
      <c r="UHB10" s="1202"/>
      <c r="UHC10" s="1202"/>
      <c r="UHD10" s="1202"/>
      <c r="UHE10" s="1202"/>
      <c r="UHF10" s="1202"/>
      <c r="UHG10" s="1202"/>
      <c r="UHH10" s="1202"/>
      <c r="UHI10" s="1202"/>
      <c r="UHJ10" s="1202"/>
      <c r="UHK10" s="1202"/>
      <c r="UHL10" s="1202"/>
      <c r="UHM10" s="1202"/>
      <c r="UHN10" s="1202"/>
      <c r="UHO10" s="1202"/>
      <c r="UHP10" s="1202"/>
      <c r="UHQ10" s="1202"/>
      <c r="UHR10" s="1202"/>
      <c r="UHS10" s="1202"/>
      <c r="UHT10" s="1202"/>
      <c r="UHU10" s="1202"/>
      <c r="UHV10" s="1202"/>
      <c r="UHW10" s="1202"/>
      <c r="UHX10" s="1202"/>
      <c r="UHY10" s="1202"/>
      <c r="UHZ10" s="1202"/>
      <c r="UIA10" s="1202"/>
      <c r="UIB10" s="1202"/>
      <c r="UIC10" s="1202"/>
      <c r="UID10" s="1202"/>
      <c r="UIE10" s="1202"/>
      <c r="UIF10" s="1202"/>
      <c r="UIG10" s="1202"/>
      <c r="UIH10" s="1202"/>
      <c r="UII10" s="1202"/>
      <c r="UIJ10" s="1202"/>
      <c r="UIK10" s="1202"/>
      <c r="UIL10" s="1202"/>
      <c r="UIM10" s="1202"/>
      <c r="UIN10" s="1202"/>
      <c r="UIO10" s="1202"/>
      <c r="UIP10" s="1202"/>
      <c r="UIQ10" s="1202"/>
      <c r="UIR10" s="1202"/>
      <c r="UIS10" s="1202"/>
      <c r="UIT10" s="1202"/>
      <c r="UIU10" s="1202"/>
      <c r="UIV10" s="1202"/>
      <c r="UIW10" s="1202"/>
      <c r="UIX10" s="1202"/>
      <c r="UIY10" s="1202"/>
      <c r="UIZ10" s="1202"/>
      <c r="UJA10" s="1202"/>
      <c r="UJB10" s="1202"/>
      <c r="UJC10" s="1202"/>
      <c r="UJD10" s="1202"/>
      <c r="UJE10" s="1202"/>
      <c r="UJF10" s="1202"/>
      <c r="UJG10" s="1202"/>
      <c r="UJH10" s="1202"/>
      <c r="UJI10" s="1202"/>
      <c r="UJJ10" s="1202"/>
      <c r="UJK10" s="1202"/>
      <c r="UJL10" s="1202"/>
      <c r="UJM10" s="1202"/>
      <c r="UJN10" s="1202"/>
      <c r="UJO10" s="1202"/>
      <c r="UJP10" s="1202"/>
      <c r="UJQ10" s="1202"/>
      <c r="UJR10" s="1202"/>
      <c r="UJS10" s="1202"/>
      <c r="UJT10" s="1202"/>
      <c r="UJU10" s="1202"/>
      <c r="UJV10" s="1202"/>
      <c r="UJW10" s="1202"/>
      <c r="UJX10" s="1202"/>
      <c r="UJY10" s="1202"/>
      <c r="UJZ10" s="1202"/>
      <c r="UKA10" s="1202"/>
      <c r="UKB10" s="1202"/>
      <c r="UKC10" s="1202"/>
      <c r="UKD10" s="1202"/>
      <c r="UKE10" s="1202"/>
      <c r="UKF10" s="1202"/>
      <c r="UKG10" s="1202"/>
      <c r="UKH10" s="1202"/>
      <c r="UKI10" s="1202"/>
      <c r="UKJ10" s="1202"/>
      <c r="UKK10" s="1202"/>
      <c r="UKL10" s="1202"/>
      <c r="UKM10" s="1202"/>
      <c r="UKN10" s="1202"/>
      <c r="UKO10" s="1202"/>
      <c r="UKP10" s="1202"/>
      <c r="UKQ10" s="1202"/>
      <c r="UKR10" s="1202"/>
      <c r="UKS10" s="1202"/>
      <c r="UKT10" s="1202"/>
      <c r="UKU10" s="1202"/>
      <c r="UKV10" s="1202"/>
      <c r="UKW10" s="1202"/>
      <c r="UKX10" s="1202"/>
      <c r="UKY10" s="1202"/>
      <c r="UKZ10" s="1202"/>
      <c r="ULA10" s="1202"/>
      <c r="ULB10" s="1202"/>
      <c r="ULC10" s="1202"/>
      <c r="ULD10" s="1202"/>
      <c r="ULE10" s="1202"/>
      <c r="ULF10" s="1202"/>
      <c r="ULG10" s="1202"/>
      <c r="ULH10" s="1202"/>
      <c r="ULI10" s="1202"/>
      <c r="ULJ10" s="1202"/>
      <c r="ULK10" s="1202"/>
      <c r="ULL10" s="1202"/>
      <c r="ULM10" s="1202"/>
      <c r="ULN10" s="1202"/>
      <c r="ULO10" s="1202"/>
      <c r="ULP10" s="1202"/>
      <c r="ULQ10" s="1202"/>
      <c r="ULR10" s="1202"/>
      <c r="ULS10" s="1202"/>
      <c r="ULT10" s="1202"/>
      <c r="ULU10" s="1202"/>
      <c r="ULV10" s="1202"/>
      <c r="ULW10" s="1202"/>
      <c r="ULX10" s="1202"/>
      <c r="ULY10" s="1202"/>
      <c r="ULZ10" s="1202"/>
      <c r="UMA10" s="1202"/>
      <c r="UMB10" s="1202"/>
      <c r="UMC10" s="1202"/>
      <c r="UMD10" s="1202"/>
      <c r="UME10" s="1202"/>
      <c r="UMF10" s="1202"/>
      <c r="UMG10" s="1202"/>
      <c r="UMH10" s="1202"/>
      <c r="UMI10" s="1202"/>
      <c r="UMJ10" s="1202"/>
      <c r="UMK10" s="1202"/>
      <c r="UML10" s="1202"/>
      <c r="UMM10" s="1202"/>
      <c r="UMN10" s="1202"/>
      <c r="UMO10" s="1202"/>
      <c r="UMP10" s="1202"/>
      <c r="UMQ10" s="1202"/>
      <c r="UMR10" s="1202"/>
      <c r="UMS10" s="1202"/>
      <c r="UMT10" s="1202"/>
      <c r="UMU10" s="1202"/>
      <c r="UMV10" s="1202"/>
      <c r="UMW10" s="1202"/>
      <c r="UMX10" s="1202"/>
      <c r="UMY10" s="1202"/>
      <c r="UMZ10" s="1202"/>
      <c r="UNA10" s="1202"/>
      <c r="UNB10" s="1202"/>
      <c r="UNC10" s="1202"/>
      <c r="UND10" s="1202"/>
      <c r="UNE10" s="1202"/>
      <c r="UNF10" s="1202"/>
      <c r="UNG10" s="1202"/>
      <c r="UNH10" s="1202"/>
      <c r="UNI10" s="1202"/>
      <c r="UNJ10" s="1202"/>
      <c r="UNK10" s="1202"/>
      <c r="UNL10" s="1202"/>
      <c r="UNM10" s="1202"/>
      <c r="UNN10" s="1202"/>
      <c r="UNO10" s="1202"/>
      <c r="UNP10" s="1202"/>
      <c r="UNQ10" s="1202"/>
      <c r="UNR10" s="1202"/>
      <c r="UNS10" s="1202"/>
      <c r="UNT10" s="1202"/>
      <c r="UNU10" s="1202"/>
      <c r="UNV10" s="1202"/>
      <c r="UNW10" s="1202"/>
      <c r="UNX10" s="1202"/>
      <c r="UNY10" s="1202"/>
      <c r="UNZ10" s="1202"/>
      <c r="UOA10" s="1202"/>
      <c r="UOB10" s="1202"/>
      <c r="UOC10" s="1202"/>
      <c r="UOD10" s="1202"/>
      <c r="UOE10" s="1202"/>
      <c r="UOF10" s="1202"/>
      <c r="UOG10" s="1202"/>
      <c r="UOH10" s="1202"/>
      <c r="UOI10" s="1202"/>
      <c r="UOJ10" s="1202"/>
      <c r="UOK10" s="1202"/>
      <c r="UOL10" s="1202"/>
      <c r="UOM10" s="1202"/>
      <c r="UON10" s="1202"/>
      <c r="UOO10" s="1202"/>
      <c r="UOP10" s="1202"/>
      <c r="UOQ10" s="1202"/>
      <c r="UOR10" s="1202"/>
      <c r="UOS10" s="1202"/>
      <c r="UOT10" s="1202"/>
      <c r="UOU10" s="1202"/>
      <c r="UOV10" s="1202"/>
      <c r="UOW10" s="1202"/>
      <c r="UOX10" s="1202"/>
      <c r="UOY10" s="1202"/>
      <c r="UOZ10" s="1202"/>
      <c r="UPA10" s="1202"/>
      <c r="UPB10" s="1202"/>
      <c r="UPC10" s="1202"/>
      <c r="UPD10" s="1202"/>
      <c r="UPE10" s="1202"/>
      <c r="UPF10" s="1202"/>
      <c r="UPG10" s="1202"/>
      <c r="UPH10" s="1202"/>
      <c r="UPI10" s="1202"/>
      <c r="UPJ10" s="1202"/>
      <c r="UPK10" s="1202"/>
      <c r="UPL10" s="1202"/>
      <c r="UPM10" s="1202"/>
      <c r="UPN10" s="1202"/>
      <c r="UPO10" s="1202"/>
      <c r="UPP10" s="1202"/>
      <c r="UPQ10" s="1202"/>
      <c r="UPR10" s="1202"/>
      <c r="UPS10" s="1202"/>
      <c r="UPT10" s="1202"/>
      <c r="UPU10" s="1202"/>
      <c r="UPV10" s="1202"/>
      <c r="UPW10" s="1202"/>
      <c r="UPX10" s="1202"/>
      <c r="UPY10" s="1202"/>
      <c r="UPZ10" s="1202"/>
      <c r="UQA10" s="1202"/>
      <c r="UQB10" s="1202"/>
      <c r="UQC10" s="1202"/>
      <c r="UQD10" s="1202"/>
      <c r="UQE10" s="1202"/>
      <c r="UQF10" s="1202"/>
      <c r="UQG10" s="1202"/>
      <c r="UQH10" s="1202"/>
      <c r="UQI10" s="1202"/>
      <c r="UQJ10" s="1202"/>
      <c r="UQK10" s="1202"/>
      <c r="UQL10" s="1202"/>
      <c r="UQM10" s="1202"/>
      <c r="UQN10" s="1202"/>
      <c r="UQO10" s="1202"/>
      <c r="UQP10" s="1202"/>
      <c r="UQQ10" s="1202"/>
      <c r="UQR10" s="1202"/>
      <c r="UQS10" s="1202"/>
      <c r="UQT10" s="1202"/>
      <c r="UQU10" s="1202"/>
      <c r="UQV10" s="1202"/>
      <c r="UQW10" s="1202"/>
      <c r="UQX10" s="1202"/>
      <c r="UQY10" s="1202"/>
      <c r="UQZ10" s="1202"/>
      <c r="URA10" s="1202"/>
      <c r="URB10" s="1202"/>
      <c r="URC10" s="1202"/>
      <c r="URD10" s="1202"/>
      <c r="URE10" s="1202"/>
      <c r="URF10" s="1202"/>
      <c r="URG10" s="1202"/>
      <c r="URH10" s="1202"/>
      <c r="URI10" s="1202"/>
      <c r="URJ10" s="1202"/>
      <c r="URK10" s="1202"/>
      <c r="URL10" s="1202"/>
      <c r="URM10" s="1202"/>
      <c r="URN10" s="1202"/>
      <c r="URO10" s="1202"/>
      <c r="URP10" s="1202"/>
      <c r="URQ10" s="1202"/>
      <c r="URR10" s="1202"/>
      <c r="URS10" s="1202"/>
      <c r="URT10" s="1202"/>
      <c r="URU10" s="1202"/>
      <c r="URV10" s="1202"/>
      <c r="URW10" s="1202"/>
      <c r="URX10" s="1202"/>
      <c r="URY10" s="1202"/>
      <c r="URZ10" s="1202"/>
      <c r="USA10" s="1202"/>
      <c r="USB10" s="1202"/>
      <c r="USC10" s="1202"/>
      <c r="USD10" s="1202"/>
      <c r="USE10" s="1202"/>
      <c r="USF10" s="1202"/>
      <c r="USG10" s="1202"/>
      <c r="USH10" s="1202"/>
      <c r="USI10" s="1202"/>
      <c r="USJ10" s="1202"/>
      <c r="USK10" s="1202"/>
      <c r="USL10" s="1202"/>
      <c r="USM10" s="1202"/>
      <c r="USN10" s="1202"/>
      <c r="USO10" s="1202"/>
      <c r="USP10" s="1202"/>
      <c r="USQ10" s="1202"/>
      <c r="USR10" s="1202"/>
      <c r="USS10" s="1202"/>
      <c r="UST10" s="1202"/>
      <c r="USU10" s="1202"/>
      <c r="USV10" s="1202"/>
      <c r="USW10" s="1202"/>
      <c r="USX10" s="1202"/>
      <c r="USY10" s="1202"/>
      <c r="USZ10" s="1202"/>
      <c r="UTA10" s="1202"/>
      <c r="UTB10" s="1202"/>
      <c r="UTC10" s="1202"/>
      <c r="UTD10" s="1202"/>
      <c r="UTE10" s="1202"/>
      <c r="UTF10" s="1202"/>
      <c r="UTG10" s="1202"/>
      <c r="UTH10" s="1202"/>
      <c r="UTI10" s="1202"/>
      <c r="UTJ10" s="1202"/>
      <c r="UTK10" s="1202"/>
      <c r="UTL10" s="1202"/>
      <c r="UTM10" s="1202"/>
      <c r="UTN10" s="1202"/>
      <c r="UTO10" s="1202"/>
      <c r="UTP10" s="1202"/>
      <c r="UTQ10" s="1202"/>
      <c r="UTR10" s="1202"/>
      <c r="UTS10" s="1202"/>
      <c r="UTT10" s="1202"/>
      <c r="UTU10" s="1202"/>
      <c r="UTV10" s="1202"/>
      <c r="UTW10" s="1202"/>
      <c r="UTX10" s="1202"/>
      <c r="UTY10" s="1202"/>
      <c r="UTZ10" s="1202"/>
      <c r="UUA10" s="1202"/>
      <c r="UUB10" s="1202"/>
      <c r="UUC10" s="1202"/>
      <c r="UUD10" s="1202"/>
      <c r="UUE10" s="1202"/>
      <c r="UUF10" s="1202"/>
      <c r="UUG10" s="1202"/>
      <c r="UUH10" s="1202"/>
      <c r="UUI10" s="1202"/>
      <c r="UUJ10" s="1202"/>
      <c r="UUK10" s="1202"/>
      <c r="UUL10" s="1202"/>
      <c r="UUM10" s="1202"/>
      <c r="UUN10" s="1202"/>
      <c r="UUO10" s="1202"/>
      <c r="UUP10" s="1202"/>
      <c r="UUQ10" s="1202"/>
      <c r="UUR10" s="1202"/>
      <c r="UUS10" s="1202"/>
      <c r="UUT10" s="1202"/>
      <c r="UUU10" s="1202"/>
      <c r="UUV10" s="1202"/>
      <c r="UUW10" s="1202"/>
      <c r="UUX10" s="1202"/>
      <c r="UUY10" s="1202"/>
      <c r="UUZ10" s="1202"/>
      <c r="UVA10" s="1202"/>
      <c r="UVB10" s="1202"/>
      <c r="UVC10" s="1202"/>
      <c r="UVD10" s="1202"/>
      <c r="UVE10" s="1202"/>
      <c r="UVF10" s="1202"/>
      <c r="UVG10" s="1202"/>
      <c r="UVH10" s="1202"/>
      <c r="UVI10" s="1202"/>
      <c r="UVJ10" s="1202"/>
      <c r="UVK10" s="1202"/>
      <c r="UVL10" s="1202"/>
      <c r="UVM10" s="1202"/>
      <c r="UVN10" s="1202"/>
      <c r="UVO10" s="1202"/>
      <c r="UVP10" s="1202"/>
      <c r="UVQ10" s="1202"/>
      <c r="UVR10" s="1202"/>
      <c r="UVS10" s="1202"/>
      <c r="UVT10" s="1202"/>
      <c r="UVU10" s="1202"/>
      <c r="UVV10" s="1202"/>
      <c r="UVW10" s="1202"/>
      <c r="UVX10" s="1202"/>
      <c r="UVY10" s="1202"/>
      <c r="UVZ10" s="1202"/>
      <c r="UWA10" s="1202"/>
      <c r="UWB10" s="1202"/>
      <c r="UWC10" s="1202"/>
      <c r="UWD10" s="1202"/>
      <c r="UWE10" s="1202"/>
      <c r="UWF10" s="1202"/>
      <c r="UWG10" s="1202"/>
      <c r="UWH10" s="1202"/>
      <c r="UWI10" s="1202"/>
      <c r="UWJ10" s="1202"/>
      <c r="UWK10" s="1202"/>
      <c r="UWL10" s="1202"/>
      <c r="UWM10" s="1202"/>
      <c r="UWN10" s="1202"/>
      <c r="UWO10" s="1202"/>
      <c r="UWP10" s="1202"/>
      <c r="UWQ10" s="1202"/>
      <c r="UWR10" s="1202"/>
      <c r="UWS10" s="1202"/>
      <c r="UWT10" s="1202"/>
      <c r="UWU10" s="1202"/>
      <c r="UWV10" s="1202"/>
      <c r="UWW10" s="1202"/>
      <c r="UWX10" s="1202"/>
      <c r="UWY10" s="1202"/>
      <c r="UWZ10" s="1202"/>
      <c r="UXA10" s="1202"/>
      <c r="UXB10" s="1202"/>
      <c r="UXC10" s="1202"/>
      <c r="UXD10" s="1202"/>
      <c r="UXE10" s="1202"/>
      <c r="UXF10" s="1202"/>
      <c r="UXG10" s="1202"/>
      <c r="UXH10" s="1202"/>
      <c r="UXI10" s="1202"/>
      <c r="UXJ10" s="1202"/>
      <c r="UXK10" s="1202"/>
      <c r="UXL10" s="1202"/>
      <c r="UXM10" s="1202"/>
      <c r="UXN10" s="1202"/>
      <c r="UXO10" s="1202"/>
      <c r="UXP10" s="1202"/>
      <c r="UXQ10" s="1202"/>
      <c r="UXR10" s="1202"/>
      <c r="UXS10" s="1202"/>
      <c r="UXT10" s="1202"/>
      <c r="UXU10" s="1202"/>
      <c r="UXV10" s="1202"/>
      <c r="UXW10" s="1202"/>
      <c r="UXX10" s="1202"/>
      <c r="UXY10" s="1202"/>
      <c r="UXZ10" s="1202"/>
      <c r="UYA10" s="1202"/>
      <c r="UYB10" s="1202"/>
      <c r="UYC10" s="1202"/>
      <c r="UYD10" s="1202"/>
      <c r="UYE10" s="1202"/>
      <c r="UYF10" s="1202"/>
      <c r="UYG10" s="1202"/>
      <c r="UYH10" s="1202"/>
      <c r="UYI10" s="1202"/>
      <c r="UYJ10" s="1202"/>
      <c r="UYK10" s="1202"/>
      <c r="UYL10" s="1202"/>
      <c r="UYM10" s="1202"/>
      <c r="UYN10" s="1202"/>
      <c r="UYO10" s="1202"/>
      <c r="UYP10" s="1202"/>
      <c r="UYQ10" s="1202"/>
      <c r="UYR10" s="1202"/>
      <c r="UYS10" s="1202"/>
      <c r="UYT10" s="1202"/>
      <c r="UYU10" s="1202"/>
      <c r="UYV10" s="1202"/>
      <c r="UYW10" s="1202"/>
      <c r="UYX10" s="1202"/>
      <c r="UYY10" s="1202"/>
      <c r="UYZ10" s="1202"/>
      <c r="UZA10" s="1202"/>
      <c r="UZB10" s="1202"/>
      <c r="UZC10" s="1202"/>
      <c r="UZD10" s="1202"/>
      <c r="UZE10" s="1202"/>
      <c r="UZF10" s="1202"/>
      <c r="UZG10" s="1202"/>
      <c r="UZH10" s="1202"/>
      <c r="UZI10" s="1202"/>
      <c r="UZJ10" s="1202"/>
      <c r="UZK10" s="1202"/>
      <c r="UZL10" s="1202"/>
      <c r="UZM10" s="1202"/>
      <c r="UZN10" s="1202"/>
      <c r="UZO10" s="1202"/>
      <c r="UZP10" s="1202"/>
      <c r="UZQ10" s="1202"/>
      <c r="UZR10" s="1202"/>
      <c r="UZS10" s="1202"/>
      <c r="UZT10" s="1202"/>
      <c r="UZU10" s="1202"/>
      <c r="UZV10" s="1202"/>
      <c r="UZW10" s="1202"/>
      <c r="UZX10" s="1202"/>
      <c r="UZY10" s="1202"/>
      <c r="UZZ10" s="1202"/>
      <c r="VAA10" s="1202"/>
      <c r="VAB10" s="1202"/>
      <c r="VAC10" s="1202"/>
      <c r="VAD10" s="1202"/>
      <c r="VAE10" s="1202"/>
      <c r="VAF10" s="1202"/>
      <c r="VAG10" s="1202"/>
      <c r="VAH10" s="1202"/>
      <c r="VAI10" s="1202"/>
      <c r="VAJ10" s="1202"/>
      <c r="VAK10" s="1202"/>
      <c r="VAL10" s="1202"/>
      <c r="VAM10" s="1202"/>
      <c r="VAN10" s="1202"/>
      <c r="VAO10" s="1202"/>
      <c r="VAP10" s="1202"/>
      <c r="VAQ10" s="1202"/>
      <c r="VAR10" s="1202"/>
      <c r="VAS10" s="1202"/>
      <c r="VAT10" s="1202"/>
      <c r="VAU10" s="1202"/>
      <c r="VAV10" s="1202"/>
      <c r="VAW10" s="1202"/>
      <c r="VAX10" s="1202"/>
      <c r="VAY10" s="1202"/>
      <c r="VAZ10" s="1202"/>
      <c r="VBA10" s="1202"/>
      <c r="VBB10" s="1202"/>
      <c r="VBC10" s="1202"/>
      <c r="VBD10" s="1202"/>
      <c r="VBE10" s="1202"/>
      <c r="VBF10" s="1202"/>
      <c r="VBG10" s="1202"/>
      <c r="VBH10" s="1202"/>
      <c r="VBI10" s="1202"/>
      <c r="VBJ10" s="1202"/>
      <c r="VBK10" s="1202"/>
      <c r="VBL10" s="1202"/>
      <c r="VBM10" s="1202"/>
      <c r="VBN10" s="1202"/>
      <c r="VBO10" s="1202"/>
      <c r="VBP10" s="1202"/>
      <c r="VBQ10" s="1202"/>
      <c r="VBR10" s="1202"/>
      <c r="VBS10" s="1202"/>
      <c r="VBT10" s="1202"/>
      <c r="VBU10" s="1202"/>
      <c r="VBV10" s="1202"/>
      <c r="VBW10" s="1202"/>
      <c r="VBX10" s="1202"/>
      <c r="VBY10" s="1202"/>
      <c r="VBZ10" s="1202"/>
      <c r="VCA10" s="1202"/>
      <c r="VCB10" s="1202"/>
      <c r="VCC10" s="1202"/>
      <c r="VCD10" s="1202"/>
      <c r="VCE10" s="1202"/>
      <c r="VCF10" s="1202"/>
      <c r="VCG10" s="1202"/>
      <c r="VCH10" s="1202"/>
      <c r="VCI10" s="1202"/>
      <c r="VCJ10" s="1202"/>
      <c r="VCK10" s="1202"/>
      <c r="VCL10" s="1202"/>
      <c r="VCM10" s="1202"/>
      <c r="VCN10" s="1202"/>
      <c r="VCO10" s="1202"/>
      <c r="VCP10" s="1202"/>
      <c r="VCQ10" s="1202"/>
      <c r="VCR10" s="1202"/>
      <c r="VCS10" s="1202"/>
      <c r="VCT10" s="1202"/>
      <c r="VCU10" s="1202"/>
      <c r="VCV10" s="1202"/>
      <c r="VCW10" s="1202"/>
      <c r="VCX10" s="1202"/>
      <c r="VCY10" s="1202"/>
      <c r="VCZ10" s="1202"/>
      <c r="VDA10" s="1202"/>
      <c r="VDB10" s="1202"/>
      <c r="VDC10" s="1202"/>
      <c r="VDD10" s="1202"/>
      <c r="VDE10" s="1202"/>
      <c r="VDF10" s="1202"/>
      <c r="VDG10" s="1202"/>
      <c r="VDH10" s="1202"/>
      <c r="VDI10" s="1202"/>
      <c r="VDJ10" s="1202"/>
      <c r="VDK10" s="1202"/>
      <c r="VDL10" s="1202"/>
      <c r="VDM10" s="1202"/>
      <c r="VDN10" s="1202"/>
      <c r="VDO10" s="1202"/>
      <c r="VDP10" s="1202"/>
      <c r="VDQ10" s="1202"/>
      <c r="VDR10" s="1202"/>
      <c r="VDS10" s="1202"/>
      <c r="VDT10" s="1202"/>
      <c r="VDU10" s="1202"/>
      <c r="VDV10" s="1202"/>
      <c r="VDW10" s="1202"/>
      <c r="VDX10" s="1202"/>
      <c r="VDY10" s="1202"/>
      <c r="VDZ10" s="1202"/>
      <c r="VEA10" s="1202"/>
      <c r="VEB10" s="1202"/>
      <c r="VEC10" s="1202"/>
      <c r="VED10" s="1202"/>
      <c r="VEE10" s="1202"/>
      <c r="VEF10" s="1202"/>
      <c r="VEG10" s="1202"/>
      <c r="VEH10" s="1202"/>
      <c r="VEI10" s="1202"/>
      <c r="VEJ10" s="1202"/>
      <c r="VEK10" s="1202"/>
      <c r="VEL10" s="1202"/>
      <c r="VEM10" s="1202"/>
      <c r="VEN10" s="1202"/>
      <c r="VEO10" s="1202"/>
      <c r="VEP10" s="1202"/>
      <c r="VEQ10" s="1202"/>
      <c r="VER10" s="1202"/>
      <c r="VES10" s="1202"/>
      <c r="VET10" s="1202"/>
      <c r="VEU10" s="1202"/>
      <c r="VEV10" s="1202"/>
      <c r="VEW10" s="1202"/>
      <c r="VEX10" s="1202"/>
      <c r="VEY10" s="1202"/>
      <c r="VEZ10" s="1202"/>
      <c r="VFA10" s="1202"/>
      <c r="VFB10" s="1202"/>
      <c r="VFC10" s="1202"/>
      <c r="VFD10" s="1202"/>
      <c r="VFE10" s="1202"/>
      <c r="VFF10" s="1202"/>
      <c r="VFG10" s="1202"/>
      <c r="VFH10" s="1202"/>
      <c r="VFI10" s="1202"/>
      <c r="VFJ10" s="1202"/>
      <c r="VFK10" s="1202"/>
      <c r="VFL10" s="1202"/>
      <c r="VFM10" s="1202"/>
      <c r="VFN10" s="1202"/>
      <c r="VFO10" s="1202"/>
      <c r="VFP10" s="1202"/>
      <c r="VFQ10" s="1202"/>
      <c r="VFR10" s="1202"/>
      <c r="VFS10" s="1202"/>
      <c r="VFT10" s="1202"/>
      <c r="VFU10" s="1202"/>
      <c r="VFV10" s="1202"/>
      <c r="VFW10" s="1202"/>
      <c r="VFX10" s="1202"/>
      <c r="VFY10" s="1202"/>
      <c r="VFZ10" s="1202"/>
      <c r="VGA10" s="1202"/>
      <c r="VGB10" s="1202"/>
      <c r="VGC10" s="1202"/>
      <c r="VGD10" s="1202"/>
      <c r="VGE10" s="1202"/>
      <c r="VGF10" s="1202"/>
      <c r="VGG10" s="1202"/>
      <c r="VGH10" s="1202"/>
      <c r="VGI10" s="1202"/>
      <c r="VGJ10" s="1202"/>
      <c r="VGK10" s="1202"/>
      <c r="VGL10" s="1202"/>
      <c r="VGM10" s="1202"/>
      <c r="VGN10" s="1202"/>
      <c r="VGO10" s="1202"/>
      <c r="VGP10" s="1202"/>
      <c r="VGQ10" s="1202"/>
      <c r="VGR10" s="1202"/>
      <c r="VGS10" s="1202"/>
      <c r="VGT10" s="1202"/>
      <c r="VGU10" s="1202"/>
      <c r="VGV10" s="1202"/>
      <c r="VGW10" s="1202"/>
      <c r="VGX10" s="1202"/>
      <c r="VGY10" s="1202"/>
      <c r="VGZ10" s="1202"/>
      <c r="VHA10" s="1202"/>
      <c r="VHB10" s="1202"/>
      <c r="VHC10" s="1202"/>
      <c r="VHD10" s="1202"/>
      <c r="VHE10" s="1202"/>
      <c r="VHF10" s="1202"/>
      <c r="VHG10" s="1202"/>
      <c r="VHH10" s="1202"/>
      <c r="VHI10" s="1202"/>
      <c r="VHJ10" s="1202"/>
      <c r="VHK10" s="1202"/>
      <c r="VHL10" s="1202"/>
      <c r="VHM10" s="1202"/>
      <c r="VHN10" s="1202"/>
      <c r="VHO10" s="1202"/>
      <c r="VHP10" s="1202"/>
      <c r="VHQ10" s="1202"/>
      <c r="VHR10" s="1202"/>
      <c r="VHS10" s="1202"/>
      <c r="VHT10" s="1202"/>
      <c r="VHU10" s="1202"/>
      <c r="VHV10" s="1202"/>
      <c r="VHW10" s="1202"/>
      <c r="VHX10" s="1202"/>
      <c r="VHY10" s="1202"/>
      <c r="VHZ10" s="1202"/>
      <c r="VIA10" s="1202"/>
      <c r="VIB10" s="1202"/>
      <c r="VIC10" s="1202"/>
      <c r="VID10" s="1202"/>
      <c r="VIE10" s="1202"/>
      <c r="VIF10" s="1202"/>
      <c r="VIG10" s="1202"/>
      <c r="VIH10" s="1202"/>
      <c r="VII10" s="1202"/>
      <c r="VIJ10" s="1202"/>
      <c r="VIK10" s="1202"/>
      <c r="VIL10" s="1202"/>
      <c r="VIM10" s="1202"/>
      <c r="VIN10" s="1202"/>
      <c r="VIO10" s="1202"/>
      <c r="VIP10" s="1202"/>
      <c r="VIQ10" s="1202"/>
      <c r="VIR10" s="1202"/>
      <c r="VIS10" s="1202"/>
      <c r="VIT10" s="1202"/>
      <c r="VIU10" s="1202"/>
      <c r="VIV10" s="1202"/>
      <c r="VIW10" s="1202"/>
      <c r="VIX10" s="1202"/>
      <c r="VIY10" s="1202"/>
      <c r="VIZ10" s="1202"/>
      <c r="VJA10" s="1202"/>
      <c r="VJB10" s="1202"/>
      <c r="VJC10" s="1202"/>
      <c r="VJD10" s="1202"/>
      <c r="VJE10" s="1202"/>
      <c r="VJF10" s="1202"/>
      <c r="VJG10" s="1202"/>
      <c r="VJH10" s="1202"/>
      <c r="VJI10" s="1202"/>
      <c r="VJJ10" s="1202"/>
      <c r="VJK10" s="1202"/>
      <c r="VJL10" s="1202"/>
      <c r="VJM10" s="1202"/>
      <c r="VJN10" s="1202"/>
      <c r="VJO10" s="1202"/>
      <c r="VJP10" s="1202"/>
      <c r="VJQ10" s="1202"/>
      <c r="VJR10" s="1202"/>
      <c r="VJS10" s="1202"/>
      <c r="VJT10" s="1202"/>
      <c r="VJU10" s="1202"/>
      <c r="VJV10" s="1202"/>
      <c r="VJW10" s="1202"/>
      <c r="VJX10" s="1202"/>
      <c r="VJY10" s="1202"/>
      <c r="VJZ10" s="1202"/>
      <c r="VKA10" s="1202"/>
      <c r="VKB10" s="1202"/>
      <c r="VKC10" s="1202"/>
      <c r="VKD10" s="1202"/>
      <c r="VKE10" s="1202"/>
      <c r="VKF10" s="1202"/>
      <c r="VKG10" s="1202"/>
      <c r="VKH10" s="1202"/>
      <c r="VKI10" s="1202"/>
      <c r="VKJ10" s="1202"/>
      <c r="VKK10" s="1202"/>
      <c r="VKL10" s="1202"/>
      <c r="VKM10" s="1202"/>
      <c r="VKN10" s="1202"/>
      <c r="VKO10" s="1202"/>
      <c r="VKP10" s="1202"/>
      <c r="VKQ10" s="1202"/>
      <c r="VKR10" s="1202"/>
      <c r="VKS10" s="1202"/>
      <c r="VKT10" s="1202"/>
      <c r="VKU10" s="1202"/>
      <c r="VKV10" s="1202"/>
      <c r="VKW10" s="1202"/>
      <c r="VKX10" s="1202"/>
      <c r="VKY10" s="1202"/>
      <c r="VKZ10" s="1202"/>
      <c r="VLA10" s="1202"/>
      <c r="VLB10" s="1202"/>
      <c r="VLC10" s="1202"/>
      <c r="VLD10" s="1202"/>
      <c r="VLE10" s="1202"/>
      <c r="VLF10" s="1202"/>
      <c r="VLG10" s="1202"/>
      <c r="VLH10" s="1202"/>
      <c r="VLI10" s="1202"/>
      <c r="VLJ10" s="1202"/>
      <c r="VLK10" s="1202"/>
      <c r="VLL10" s="1202"/>
      <c r="VLM10" s="1202"/>
      <c r="VLN10" s="1202"/>
      <c r="VLO10" s="1202"/>
      <c r="VLP10" s="1202"/>
      <c r="VLQ10" s="1202"/>
      <c r="VLR10" s="1202"/>
      <c r="VLS10" s="1202"/>
      <c r="VLT10" s="1202"/>
      <c r="VLU10" s="1202"/>
      <c r="VLV10" s="1202"/>
      <c r="VLW10" s="1202"/>
      <c r="VLX10" s="1202"/>
      <c r="VLY10" s="1202"/>
      <c r="VLZ10" s="1202"/>
      <c r="VMA10" s="1202"/>
      <c r="VMB10" s="1202"/>
      <c r="VMC10" s="1202"/>
      <c r="VMD10" s="1202"/>
      <c r="VME10" s="1202"/>
      <c r="VMF10" s="1202"/>
      <c r="VMG10" s="1202"/>
      <c r="VMH10" s="1202"/>
      <c r="VMI10" s="1202"/>
      <c r="VMJ10" s="1202"/>
      <c r="VMK10" s="1202"/>
      <c r="VML10" s="1202"/>
      <c r="VMM10" s="1202"/>
      <c r="VMN10" s="1202"/>
      <c r="VMO10" s="1202"/>
      <c r="VMP10" s="1202"/>
      <c r="VMQ10" s="1202"/>
      <c r="VMR10" s="1202"/>
      <c r="VMS10" s="1202"/>
      <c r="VMT10" s="1202"/>
      <c r="VMU10" s="1202"/>
      <c r="VMV10" s="1202"/>
      <c r="VMW10" s="1202"/>
      <c r="VMX10" s="1202"/>
      <c r="VMY10" s="1202"/>
      <c r="VMZ10" s="1202"/>
      <c r="VNA10" s="1202"/>
      <c r="VNB10" s="1202"/>
      <c r="VNC10" s="1202"/>
      <c r="VND10" s="1202"/>
      <c r="VNE10" s="1202"/>
      <c r="VNF10" s="1202"/>
      <c r="VNG10" s="1202"/>
      <c r="VNH10" s="1202"/>
      <c r="VNI10" s="1202"/>
      <c r="VNJ10" s="1202"/>
      <c r="VNK10" s="1202"/>
      <c r="VNL10" s="1202"/>
      <c r="VNM10" s="1202"/>
      <c r="VNN10" s="1202"/>
      <c r="VNO10" s="1202"/>
      <c r="VNP10" s="1202"/>
      <c r="VNQ10" s="1202"/>
      <c r="VNR10" s="1202"/>
      <c r="VNS10" s="1202"/>
      <c r="VNT10" s="1202"/>
      <c r="VNU10" s="1202"/>
      <c r="VNV10" s="1202"/>
      <c r="VNW10" s="1202"/>
      <c r="VNX10" s="1202"/>
      <c r="VNY10" s="1202"/>
      <c r="VNZ10" s="1202"/>
      <c r="VOA10" s="1202"/>
      <c r="VOB10" s="1202"/>
      <c r="VOC10" s="1202"/>
      <c r="VOD10" s="1202"/>
      <c r="VOE10" s="1202"/>
      <c r="VOF10" s="1202"/>
      <c r="VOG10" s="1202"/>
      <c r="VOH10" s="1202"/>
      <c r="VOI10" s="1202"/>
      <c r="VOJ10" s="1202"/>
      <c r="VOK10" s="1202"/>
      <c r="VOL10" s="1202"/>
      <c r="VOM10" s="1202"/>
      <c r="VON10" s="1202"/>
      <c r="VOO10" s="1202"/>
      <c r="VOP10" s="1202"/>
      <c r="VOQ10" s="1202"/>
      <c r="VOR10" s="1202"/>
      <c r="VOS10" s="1202"/>
      <c r="VOT10" s="1202"/>
      <c r="VOU10" s="1202"/>
      <c r="VOV10" s="1202"/>
      <c r="VOW10" s="1202"/>
      <c r="VOX10" s="1202"/>
      <c r="VOY10" s="1202"/>
      <c r="VOZ10" s="1202"/>
      <c r="VPA10" s="1202"/>
      <c r="VPB10" s="1202"/>
      <c r="VPC10" s="1202"/>
      <c r="VPD10" s="1202"/>
      <c r="VPE10" s="1202"/>
      <c r="VPF10" s="1202"/>
      <c r="VPG10" s="1202"/>
      <c r="VPH10" s="1202"/>
      <c r="VPI10" s="1202"/>
      <c r="VPJ10" s="1202"/>
      <c r="VPK10" s="1202"/>
      <c r="VPL10" s="1202"/>
      <c r="VPM10" s="1202"/>
      <c r="VPN10" s="1202"/>
      <c r="VPO10" s="1202"/>
      <c r="VPP10" s="1202"/>
      <c r="VPQ10" s="1202"/>
      <c r="VPR10" s="1202"/>
      <c r="VPS10" s="1202"/>
      <c r="VPT10" s="1202"/>
      <c r="VPU10" s="1202"/>
      <c r="VPV10" s="1202"/>
      <c r="VPW10" s="1202"/>
      <c r="VPX10" s="1202"/>
      <c r="VPY10" s="1202"/>
      <c r="VPZ10" s="1202"/>
      <c r="VQA10" s="1202"/>
      <c r="VQB10" s="1202"/>
      <c r="VQC10" s="1202"/>
      <c r="VQD10" s="1202"/>
      <c r="VQE10" s="1202"/>
      <c r="VQF10" s="1202"/>
      <c r="VQG10" s="1202"/>
      <c r="VQH10" s="1202"/>
      <c r="VQI10" s="1202"/>
      <c r="VQJ10" s="1202"/>
      <c r="VQK10" s="1202"/>
      <c r="VQL10" s="1202"/>
      <c r="VQM10" s="1202"/>
      <c r="VQN10" s="1202"/>
      <c r="VQO10" s="1202"/>
      <c r="VQP10" s="1202"/>
      <c r="VQQ10" s="1202"/>
      <c r="VQR10" s="1202"/>
      <c r="VQS10" s="1202"/>
      <c r="VQT10" s="1202"/>
      <c r="VQU10" s="1202"/>
      <c r="VQV10" s="1202"/>
      <c r="VQW10" s="1202"/>
      <c r="VQX10" s="1202"/>
      <c r="VQY10" s="1202"/>
      <c r="VQZ10" s="1202"/>
      <c r="VRA10" s="1202"/>
      <c r="VRB10" s="1202"/>
      <c r="VRC10" s="1202"/>
      <c r="VRD10" s="1202"/>
      <c r="VRE10" s="1202"/>
      <c r="VRF10" s="1202"/>
      <c r="VRG10" s="1202"/>
      <c r="VRH10" s="1202"/>
      <c r="VRI10" s="1202"/>
      <c r="VRJ10" s="1202"/>
      <c r="VRK10" s="1202"/>
      <c r="VRL10" s="1202"/>
      <c r="VRM10" s="1202"/>
      <c r="VRN10" s="1202"/>
      <c r="VRO10" s="1202"/>
      <c r="VRP10" s="1202"/>
      <c r="VRQ10" s="1202"/>
      <c r="VRR10" s="1202"/>
      <c r="VRS10" s="1202"/>
      <c r="VRT10" s="1202"/>
      <c r="VRU10" s="1202"/>
      <c r="VRV10" s="1202"/>
      <c r="VRW10" s="1202"/>
      <c r="VRX10" s="1202"/>
      <c r="VRY10" s="1202"/>
      <c r="VRZ10" s="1202"/>
      <c r="VSA10" s="1202"/>
      <c r="VSB10" s="1202"/>
      <c r="VSC10" s="1202"/>
      <c r="VSD10" s="1202"/>
      <c r="VSE10" s="1202"/>
      <c r="VSF10" s="1202"/>
      <c r="VSG10" s="1202"/>
      <c r="VSH10" s="1202"/>
      <c r="VSI10" s="1202"/>
      <c r="VSJ10" s="1202"/>
      <c r="VSK10" s="1202"/>
      <c r="VSL10" s="1202"/>
      <c r="VSM10" s="1202"/>
      <c r="VSN10" s="1202"/>
      <c r="VSO10" s="1202"/>
      <c r="VSP10" s="1202"/>
      <c r="VSQ10" s="1202"/>
      <c r="VSR10" s="1202"/>
      <c r="VSS10" s="1202"/>
      <c r="VST10" s="1202"/>
      <c r="VSU10" s="1202"/>
      <c r="VSV10" s="1202"/>
      <c r="VSW10" s="1202"/>
      <c r="VSX10" s="1202"/>
      <c r="VSY10" s="1202"/>
      <c r="VSZ10" s="1202"/>
      <c r="VTA10" s="1202"/>
      <c r="VTB10" s="1202"/>
      <c r="VTC10" s="1202"/>
      <c r="VTD10" s="1202"/>
      <c r="VTE10" s="1202"/>
      <c r="VTF10" s="1202"/>
      <c r="VTG10" s="1202"/>
      <c r="VTH10" s="1202"/>
      <c r="VTI10" s="1202"/>
      <c r="VTJ10" s="1202"/>
      <c r="VTK10" s="1202"/>
      <c r="VTL10" s="1202"/>
      <c r="VTM10" s="1202"/>
      <c r="VTN10" s="1202"/>
      <c r="VTO10" s="1202"/>
      <c r="VTP10" s="1202"/>
      <c r="VTQ10" s="1202"/>
      <c r="VTR10" s="1202"/>
      <c r="VTS10" s="1202"/>
      <c r="VTT10" s="1202"/>
      <c r="VTU10" s="1202"/>
      <c r="VTV10" s="1202"/>
      <c r="VTW10" s="1202"/>
      <c r="VTX10" s="1202"/>
      <c r="VTY10" s="1202"/>
      <c r="VTZ10" s="1202"/>
      <c r="VUA10" s="1202"/>
      <c r="VUB10" s="1202"/>
      <c r="VUC10" s="1202"/>
      <c r="VUD10" s="1202"/>
      <c r="VUE10" s="1202"/>
      <c r="VUF10" s="1202"/>
      <c r="VUG10" s="1202"/>
      <c r="VUH10" s="1202"/>
      <c r="VUI10" s="1202"/>
      <c r="VUJ10" s="1202"/>
      <c r="VUK10" s="1202"/>
      <c r="VUL10" s="1202"/>
      <c r="VUM10" s="1202"/>
      <c r="VUN10" s="1202"/>
      <c r="VUO10" s="1202"/>
      <c r="VUP10" s="1202"/>
      <c r="VUQ10" s="1202"/>
      <c r="VUR10" s="1202"/>
      <c r="VUS10" s="1202"/>
      <c r="VUT10" s="1202"/>
      <c r="VUU10" s="1202"/>
      <c r="VUV10" s="1202"/>
      <c r="VUW10" s="1202"/>
      <c r="VUX10" s="1202"/>
      <c r="VUY10" s="1202"/>
      <c r="VUZ10" s="1202"/>
      <c r="VVA10" s="1202"/>
      <c r="VVB10" s="1202"/>
      <c r="VVC10" s="1202"/>
      <c r="VVD10" s="1202"/>
      <c r="VVE10" s="1202"/>
      <c r="VVF10" s="1202"/>
      <c r="VVG10" s="1202"/>
      <c r="VVH10" s="1202"/>
      <c r="VVI10" s="1202"/>
      <c r="VVJ10" s="1202"/>
      <c r="VVK10" s="1202"/>
      <c r="VVL10" s="1202"/>
      <c r="VVM10" s="1202"/>
      <c r="VVN10" s="1202"/>
      <c r="VVO10" s="1202"/>
      <c r="VVP10" s="1202"/>
      <c r="VVQ10" s="1202"/>
      <c r="VVR10" s="1202"/>
      <c r="VVS10" s="1202"/>
      <c r="VVT10" s="1202"/>
      <c r="VVU10" s="1202"/>
      <c r="VVV10" s="1202"/>
      <c r="VVW10" s="1202"/>
      <c r="VVX10" s="1202"/>
      <c r="VVY10" s="1202"/>
      <c r="VVZ10" s="1202"/>
      <c r="VWA10" s="1202"/>
      <c r="VWB10" s="1202"/>
      <c r="VWC10" s="1202"/>
      <c r="VWD10" s="1202"/>
      <c r="VWE10" s="1202"/>
      <c r="VWF10" s="1202"/>
      <c r="VWG10" s="1202"/>
      <c r="VWH10" s="1202"/>
      <c r="VWI10" s="1202"/>
      <c r="VWJ10" s="1202"/>
      <c r="VWK10" s="1202"/>
      <c r="VWL10" s="1202"/>
      <c r="VWM10" s="1202"/>
      <c r="VWN10" s="1202"/>
      <c r="VWO10" s="1202"/>
      <c r="VWP10" s="1202"/>
      <c r="VWQ10" s="1202"/>
      <c r="VWR10" s="1202"/>
      <c r="VWS10" s="1202"/>
      <c r="VWT10" s="1202"/>
      <c r="VWU10" s="1202"/>
      <c r="VWV10" s="1202"/>
      <c r="VWW10" s="1202"/>
      <c r="VWX10" s="1202"/>
      <c r="VWY10" s="1202"/>
      <c r="VWZ10" s="1202"/>
      <c r="VXA10" s="1202"/>
      <c r="VXB10" s="1202"/>
      <c r="VXC10" s="1202"/>
      <c r="VXD10" s="1202"/>
      <c r="VXE10" s="1202"/>
      <c r="VXF10" s="1202"/>
      <c r="VXG10" s="1202"/>
      <c r="VXH10" s="1202"/>
      <c r="VXI10" s="1202"/>
      <c r="VXJ10" s="1202"/>
      <c r="VXK10" s="1202"/>
      <c r="VXL10" s="1202"/>
      <c r="VXM10" s="1202"/>
      <c r="VXN10" s="1202"/>
      <c r="VXO10" s="1202"/>
      <c r="VXP10" s="1202"/>
      <c r="VXQ10" s="1202"/>
      <c r="VXR10" s="1202"/>
      <c r="VXS10" s="1202"/>
      <c r="VXT10" s="1202"/>
      <c r="VXU10" s="1202"/>
      <c r="VXV10" s="1202"/>
      <c r="VXW10" s="1202"/>
      <c r="VXX10" s="1202"/>
      <c r="VXY10" s="1202"/>
      <c r="VXZ10" s="1202"/>
      <c r="VYA10" s="1202"/>
      <c r="VYB10" s="1202"/>
      <c r="VYC10" s="1202"/>
      <c r="VYD10" s="1202"/>
      <c r="VYE10" s="1202"/>
      <c r="VYF10" s="1202"/>
      <c r="VYG10" s="1202"/>
      <c r="VYH10" s="1202"/>
      <c r="VYI10" s="1202"/>
      <c r="VYJ10" s="1202"/>
      <c r="VYK10" s="1202"/>
      <c r="VYL10" s="1202"/>
      <c r="VYM10" s="1202"/>
      <c r="VYN10" s="1202"/>
      <c r="VYO10" s="1202"/>
      <c r="VYP10" s="1202"/>
      <c r="VYQ10" s="1202"/>
      <c r="VYR10" s="1202"/>
      <c r="VYS10" s="1202"/>
      <c r="VYT10" s="1202"/>
      <c r="VYU10" s="1202"/>
      <c r="VYV10" s="1202"/>
      <c r="VYW10" s="1202"/>
      <c r="VYX10" s="1202"/>
      <c r="VYY10" s="1202"/>
      <c r="VYZ10" s="1202"/>
      <c r="VZA10" s="1202"/>
      <c r="VZB10" s="1202"/>
      <c r="VZC10" s="1202"/>
      <c r="VZD10" s="1202"/>
      <c r="VZE10" s="1202"/>
      <c r="VZF10" s="1202"/>
      <c r="VZG10" s="1202"/>
      <c r="VZH10" s="1202"/>
      <c r="VZI10" s="1202"/>
      <c r="VZJ10" s="1202"/>
      <c r="VZK10" s="1202"/>
      <c r="VZL10" s="1202"/>
      <c r="VZM10" s="1202"/>
      <c r="VZN10" s="1202"/>
      <c r="VZO10" s="1202"/>
      <c r="VZP10" s="1202"/>
      <c r="VZQ10" s="1202"/>
      <c r="VZR10" s="1202"/>
      <c r="VZS10" s="1202"/>
      <c r="VZT10" s="1202"/>
      <c r="VZU10" s="1202"/>
      <c r="VZV10" s="1202"/>
      <c r="VZW10" s="1202"/>
      <c r="VZX10" s="1202"/>
      <c r="VZY10" s="1202"/>
      <c r="VZZ10" s="1202"/>
      <c r="WAA10" s="1202"/>
      <c r="WAB10" s="1202"/>
      <c r="WAC10" s="1202"/>
      <c r="WAD10" s="1202"/>
      <c r="WAE10" s="1202"/>
      <c r="WAF10" s="1202"/>
      <c r="WAG10" s="1202"/>
      <c r="WAH10" s="1202"/>
      <c r="WAI10" s="1202"/>
      <c r="WAJ10" s="1202"/>
      <c r="WAK10" s="1202"/>
      <c r="WAL10" s="1202"/>
      <c r="WAM10" s="1202"/>
      <c r="WAN10" s="1202"/>
      <c r="WAO10" s="1202"/>
      <c r="WAP10" s="1202"/>
      <c r="WAQ10" s="1202"/>
      <c r="WAR10" s="1202"/>
      <c r="WAS10" s="1202"/>
      <c r="WAT10" s="1202"/>
      <c r="WAU10" s="1202"/>
      <c r="WAV10" s="1202"/>
      <c r="WAW10" s="1202"/>
      <c r="WAX10" s="1202"/>
      <c r="WAY10" s="1202"/>
      <c r="WAZ10" s="1202"/>
      <c r="WBA10" s="1202"/>
      <c r="WBB10" s="1202"/>
      <c r="WBC10" s="1202"/>
      <c r="WBD10" s="1202"/>
      <c r="WBE10" s="1202"/>
      <c r="WBF10" s="1202"/>
      <c r="WBG10" s="1202"/>
      <c r="WBH10" s="1202"/>
      <c r="WBI10" s="1202"/>
      <c r="WBJ10" s="1202"/>
      <c r="WBK10" s="1202"/>
      <c r="WBL10" s="1202"/>
      <c r="WBM10" s="1202"/>
      <c r="WBN10" s="1202"/>
      <c r="WBO10" s="1202"/>
      <c r="WBP10" s="1202"/>
      <c r="WBQ10" s="1202"/>
      <c r="WBR10" s="1202"/>
      <c r="WBS10" s="1202"/>
      <c r="WBT10" s="1202"/>
      <c r="WBU10" s="1202"/>
      <c r="WBV10" s="1202"/>
      <c r="WBW10" s="1202"/>
      <c r="WBX10" s="1202"/>
      <c r="WBY10" s="1202"/>
      <c r="WBZ10" s="1202"/>
      <c r="WCA10" s="1202"/>
      <c r="WCB10" s="1202"/>
      <c r="WCC10" s="1202"/>
      <c r="WCD10" s="1202"/>
      <c r="WCE10" s="1202"/>
      <c r="WCF10" s="1202"/>
      <c r="WCG10" s="1202"/>
      <c r="WCH10" s="1202"/>
      <c r="WCI10" s="1202"/>
      <c r="WCJ10" s="1202"/>
      <c r="WCK10" s="1202"/>
      <c r="WCL10" s="1202"/>
      <c r="WCM10" s="1202"/>
      <c r="WCN10" s="1202"/>
      <c r="WCO10" s="1202"/>
      <c r="WCP10" s="1202"/>
      <c r="WCQ10" s="1202"/>
      <c r="WCR10" s="1202"/>
      <c r="WCS10" s="1202"/>
      <c r="WCT10" s="1202"/>
      <c r="WCU10" s="1202"/>
      <c r="WCV10" s="1202"/>
      <c r="WCW10" s="1202"/>
      <c r="WCX10" s="1202"/>
      <c r="WCY10" s="1202"/>
      <c r="WCZ10" s="1202"/>
      <c r="WDA10" s="1202"/>
      <c r="WDB10" s="1202"/>
      <c r="WDC10" s="1202"/>
      <c r="WDD10" s="1202"/>
      <c r="WDE10" s="1202"/>
      <c r="WDF10" s="1202"/>
      <c r="WDG10" s="1202"/>
      <c r="WDH10" s="1202"/>
      <c r="WDI10" s="1202"/>
      <c r="WDJ10" s="1202"/>
      <c r="WDK10" s="1202"/>
      <c r="WDL10" s="1202"/>
      <c r="WDM10" s="1202"/>
      <c r="WDN10" s="1202"/>
      <c r="WDO10" s="1202"/>
      <c r="WDP10" s="1202"/>
      <c r="WDQ10" s="1202"/>
      <c r="WDR10" s="1202"/>
      <c r="WDS10" s="1202"/>
      <c r="WDT10" s="1202"/>
      <c r="WDU10" s="1202"/>
      <c r="WDV10" s="1202"/>
      <c r="WDW10" s="1202"/>
      <c r="WDX10" s="1202"/>
      <c r="WDY10" s="1202"/>
      <c r="WDZ10" s="1202"/>
      <c r="WEA10" s="1202"/>
      <c r="WEB10" s="1202"/>
      <c r="WEC10" s="1202"/>
      <c r="WED10" s="1202"/>
      <c r="WEE10" s="1202"/>
      <c r="WEF10" s="1202"/>
      <c r="WEG10" s="1202"/>
      <c r="WEH10" s="1202"/>
      <c r="WEI10" s="1202"/>
      <c r="WEJ10" s="1202"/>
      <c r="WEK10" s="1202"/>
      <c r="WEL10" s="1202"/>
      <c r="WEM10" s="1202"/>
      <c r="WEN10" s="1202"/>
      <c r="WEO10" s="1202"/>
      <c r="WEP10" s="1202"/>
      <c r="WEQ10" s="1202"/>
      <c r="WER10" s="1202"/>
      <c r="WES10" s="1202"/>
      <c r="WET10" s="1202"/>
      <c r="WEU10" s="1202"/>
      <c r="WEV10" s="1202"/>
      <c r="WEW10" s="1202"/>
      <c r="WEX10" s="1202"/>
      <c r="WEY10" s="1202"/>
      <c r="WEZ10" s="1202"/>
      <c r="WFA10" s="1202"/>
      <c r="WFB10" s="1202"/>
      <c r="WFC10" s="1202"/>
      <c r="WFD10" s="1202"/>
      <c r="WFE10" s="1202"/>
      <c r="WFF10" s="1202"/>
      <c r="WFG10" s="1202"/>
      <c r="WFH10" s="1202"/>
      <c r="WFI10" s="1202"/>
      <c r="WFJ10" s="1202"/>
      <c r="WFK10" s="1202"/>
      <c r="WFL10" s="1202"/>
      <c r="WFM10" s="1202"/>
      <c r="WFN10" s="1202"/>
      <c r="WFO10" s="1202"/>
      <c r="WFP10" s="1202"/>
      <c r="WFQ10" s="1202"/>
      <c r="WFR10" s="1202"/>
      <c r="WFS10" s="1202"/>
      <c r="WFT10" s="1202"/>
      <c r="WFU10" s="1202"/>
      <c r="WFV10" s="1202"/>
      <c r="WFW10" s="1202"/>
      <c r="WFX10" s="1202"/>
      <c r="WFY10" s="1202"/>
      <c r="WFZ10" s="1202"/>
      <c r="WGA10" s="1202"/>
      <c r="WGB10" s="1202"/>
      <c r="WGC10" s="1202"/>
      <c r="WGD10" s="1202"/>
      <c r="WGE10" s="1202"/>
      <c r="WGF10" s="1202"/>
      <c r="WGG10" s="1202"/>
      <c r="WGH10" s="1202"/>
      <c r="WGI10" s="1202"/>
      <c r="WGJ10" s="1202"/>
      <c r="WGK10" s="1202"/>
      <c r="WGL10" s="1202"/>
      <c r="WGM10" s="1202"/>
      <c r="WGN10" s="1202"/>
      <c r="WGO10" s="1202"/>
      <c r="WGP10" s="1202"/>
      <c r="WGQ10" s="1202"/>
      <c r="WGR10" s="1202"/>
      <c r="WGS10" s="1202"/>
      <c r="WGT10" s="1202"/>
      <c r="WGU10" s="1202"/>
      <c r="WGV10" s="1202"/>
      <c r="WGW10" s="1202"/>
      <c r="WGX10" s="1202"/>
      <c r="WGY10" s="1202"/>
      <c r="WGZ10" s="1202"/>
      <c r="WHA10" s="1202"/>
      <c r="WHB10" s="1202"/>
      <c r="WHC10" s="1202"/>
      <c r="WHD10" s="1202"/>
      <c r="WHE10" s="1202"/>
      <c r="WHF10" s="1202"/>
      <c r="WHG10" s="1202"/>
      <c r="WHH10" s="1202"/>
      <c r="WHI10" s="1202"/>
      <c r="WHJ10" s="1202"/>
      <c r="WHK10" s="1202"/>
      <c r="WHL10" s="1202"/>
      <c r="WHM10" s="1202"/>
      <c r="WHN10" s="1202"/>
      <c r="WHO10" s="1202"/>
      <c r="WHP10" s="1202"/>
      <c r="WHQ10" s="1202"/>
      <c r="WHR10" s="1202"/>
      <c r="WHS10" s="1202"/>
      <c r="WHT10" s="1202"/>
      <c r="WHU10" s="1202"/>
      <c r="WHV10" s="1202"/>
      <c r="WHW10" s="1202"/>
      <c r="WHX10" s="1202"/>
      <c r="WHY10" s="1202"/>
      <c r="WHZ10" s="1202"/>
      <c r="WIA10" s="1202"/>
      <c r="WIB10" s="1202"/>
      <c r="WIC10" s="1202"/>
      <c r="WID10" s="1202"/>
      <c r="WIE10" s="1202"/>
      <c r="WIF10" s="1202"/>
      <c r="WIG10" s="1202"/>
      <c r="WIH10" s="1202"/>
      <c r="WII10" s="1202"/>
      <c r="WIJ10" s="1202"/>
      <c r="WIK10" s="1202"/>
      <c r="WIL10" s="1202"/>
      <c r="WIM10" s="1202"/>
      <c r="WIN10" s="1202"/>
      <c r="WIO10" s="1202"/>
      <c r="WIP10" s="1202"/>
      <c r="WIQ10" s="1202"/>
      <c r="WIR10" s="1202"/>
      <c r="WIS10" s="1202"/>
      <c r="WIT10" s="1202"/>
      <c r="WIU10" s="1202"/>
      <c r="WIV10" s="1202"/>
      <c r="WIW10" s="1202"/>
      <c r="WIX10" s="1202"/>
      <c r="WIY10" s="1202"/>
      <c r="WIZ10" s="1202"/>
      <c r="WJA10" s="1202"/>
      <c r="WJB10" s="1202"/>
      <c r="WJC10" s="1202"/>
      <c r="WJD10" s="1202"/>
      <c r="WJE10" s="1202"/>
      <c r="WJF10" s="1202"/>
      <c r="WJG10" s="1202"/>
      <c r="WJH10" s="1202"/>
      <c r="WJI10" s="1202"/>
      <c r="WJJ10" s="1202"/>
      <c r="WJK10" s="1202"/>
      <c r="WJL10" s="1202"/>
      <c r="WJM10" s="1202"/>
      <c r="WJN10" s="1202"/>
      <c r="WJO10" s="1202"/>
      <c r="WJP10" s="1202"/>
      <c r="WJQ10" s="1202"/>
      <c r="WJR10" s="1202"/>
      <c r="WJS10" s="1202"/>
      <c r="WJT10" s="1202"/>
      <c r="WJU10" s="1202"/>
      <c r="WJV10" s="1202"/>
      <c r="WJW10" s="1202"/>
      <c r="WJX10" s="1202"/>
      <c r="WJY10" s="1202"/>
      <c r="WJZ10" s="1202"/>
      <c r="WKA10" s="1202"/>
      <c r="WKB10" s="1202"/>
      <c r="WKC10" s="1202"/>
      <c r="WKD10" s="1202"/>
      <c r="WKE10" s="1202"/>
      <c r="WKF10" s="1202"/>
      <c r="WKG10" s="1202"/>
      <c r="WKH10" s="1202"/>
      <c r="WKI10" s="1202"/>
      <c r="WKJ10" s="1202"/>
      <c r="WKK10" s="1202"/>
      <c r="WKL10" s="1202"/>
      <c r="WKM10" s="1202"/>
      <c r="WKN10" s="1202"/>
      <c r="WKO10" s="1202"/>
      <c r="WKP10" s="1202"/>
      <c r="WKQ10" s="1202"/>
      <c r="WKR10" s="1202"/>
      <c r="WKS10" s="1202"/>
      <c r="WKT10" s="1202"/>
      <c r="WKU10" s="1202"/>
      <c r="WKV10" s="1202"/>
      <c r="WKW10" s="1202"/>
      <c r="WKX10" s="1202"/>
      <c r="WKY10" s="1202"/>
      <c r="WKZ10" s="1202"/>
      <c r="WLA10" s="1202"/>
      <c r="WLB10" s="1202"/>
      <c r="WLC10" s="1202"/>
      <c r="WLD10" s="1202"/>
      <c r="WLE10" s="1202"/>
      <c r="WLF10" s="1202"/>
      <c r="WLG10" s="1202"/>
      <c r="WLH10" s="1202"/>
      <c r="WLI10" s="1202"/>
      <c r="WLJ10" s="1202"/>
      <c r="WLK10" s="1202"/>
      <c r="WLL10" s="1202"/>
      <c r="WLM10" s="1202"/>
      <c r="WLN10" s="1202"/>
      <c r="WLO10" s="1202"/>
      <c r="WLP10" s="1202"/>
      <c r="WLQ10" s="1202"/>
      <c r="WLR10" s="1202"/>
      <c r="WLS10" s="1202"/>
      <c r="WLT10" s="1202"/>
      <c r="WLU10" s="1202"/>
      <c r="WLV10" s="1202"/>
      <c r="WLW10" s="1202"/>
      <c r="WLX10" s="1202"/>
      <c r="WLY10" s="1202"/>
      <c r="WLZ10" s="1202"/>
      <c r="WMA10" s="1202"/>
      <c r="WMB10" s="1202"/>
      <c r="WMC10" s="1202"/>
      <c r="WMD10" s="1202"/>
      <c r="WME10" s="1202"/>
      <c r="WMF10" s="1202"/>
      <c r="WMG10" s="1202"/>
      <c r="WMH10" s="1202"/>
      <c r="WMI10" s="1202"/>
      <c r="WMJ10" s="1202"/>
      <c r="WMK10" s="1202"/>
      <c r="WML10" s="1202"/>
      <c r="WMM10" s="1202"/>
      <c r="WMN10" s="1202"/>
      <c r="WMO10" s="1202"/>
      <c r="WMP10" s="1202"/>
      <c r="WMQ10" s="1202"/>
      <c r="WMR10" s="1202"/>
      <c r="WMS10" s="1202"/>
      <c r="WMT10" s="1202"/>
      <c r="WMU10" s="1202"/>
      <c r="WMV10" s="1202"/>
      <c r="WMW10" s="1202"/>
      <c r="WMX10" s="1202"/>
      <c r="WMY10" s="1202"/>
      <c r="WMZ10" s="1202"/>
      <c r="WNA10" s="1202"/>
      <c r="WNB10" s="1202"/>
      <c r="WNC10" s="1202"/>
      <c r="WND10" s="1202"/>
      <c r="WNE10" s="1202"/>
      <c r="WNF10" s="1202"/>
      <c r="WNG10" s="1202"/>
      <c r="WNH10" s="1202"/>
      <c r="WNI10" s="1202"/>
      <c r="WNJ10" s="1202"/>
      <c r="WNK10" s="1202"/>
      <c r="WNL10" s="1202"/>
      <c r="WNM10" s="1202"/>
      <c r="WNN10" s="1202"/>
      <c r="WNO10" s="1202"/>
      <c r="WNP10" s="1202"/>
      <c r="WNQ10" s="1202"/>
      <c r="WNR10" s="1202"/>
      <c r="WNS10" s="1202"/>
      <c r="WNT10" s="1202"/>
      <c r="WNU10" s="1202"/>
      <c r="WNV10" s="1202"/>
      <c r="WNW10" s="1202"/>
      <c r="WNX10" s="1202"/>
      <c r="WNY10" s="1202"/>
      <c r="WNZ10" s="1202"/>
      <c r="WOA10" s="1202"/>
      <c r="WOB10" s="1202"/>
      <c r="WOC10" s="1202"/>
      <c r="WOD10" s="1202"/>
      <c r="WOE10" s="1202"/>
      <c r="WOF10" s="1202"/>
      <c r="WOG10" s="1202"/>
      <c r="WOH10" s="1202"/>
      <c r="WOI10" s="1202"/>
      <c r="WOJ10" s="1202"/>
      <c r="WOK10" s="1202"/>
      <c r="WOL10" s="1202"/>
      <c r="WOM10" s="1202"/>
      <c r="WON10" s="1202"/>
      <c r="WOO10" s="1202"/>
      <c r="WOP10" s="1202"/>
      <c r="WOQ10" s="1202"/>
      <c r="WOR10" s="1202"/>
      <c r="WOS10" s="1202"/>
      <c r="WOT10" s="1202"/>
      <c r="WOU10" s="1202"/>
      <c r="WOV10" s="1202"/>
      <c r="WOW10" s="1202"/>
      <c r="WOX10" s="1202"/>
      <c r="WOY10" s="1202"/>
      <c r="WOZ10" s="1202"/>
      <c r="WPA10" s="1202"/>
      <c r="WPB10" s="1202"/>
      <c r="WPC10" s="1202"/>
      <c r="WPD10" s="1202"/>
      <c r="WPE10" s="1202"/>
      <c r="WPF10" s="1202"/>
      <c r="WPG10" s="1202"/>
      <c r="WPH10" s="1202"/>
      <c r="WPI10" s="1202"/>
      <c r="WPJ10" s="1202"/>
      <c r="WPK10" s="1202"/>
      <c r="WPL10" s="1202"/>
      <c r="WPM10" s="1202"/>
      <c r="WPN10" s="1202"/>
      <c r="WPO10" s="1202"/>
      <c r="WPP10" s="1202"/>
      <c r="WPQ10" s="1202"/>
      <c r="WPR10" s="1202"/>
      <c r="WPS10" s="1202"/>
      <c r="WPT10" s="1202"/>
      <c r="WPU10" s="1202"/>
      <c r="WPV10" s="1202"/>
      <c r="WPW10" s="1202"/>
      <c r="WPX10" s="1202"/>
      <c r="WPY10" s="1202"/>
      <c r="WPZ10" s="1202"/>
      <c r="WQA10" s="1202"/>
      <c r="WQB10" s="1202"/>
      <c r="WQC10" s="1202"/>
      <c r="WQD10" s="1202"/>
      <c r="WQE10" s="1202"/>
      <c r="WQF10" s="1202"/>
      <c r="WQG10" s="1202"/>
      <c r="WQH10" s="1202"/>
      <c r="WQI10" s="1202"/>
      <c r="WQJ10" s="1202"/>
      <c r="WQK10" s="1202"/>
      <c r="WQL10" s="1202"/>
      <c r="WQM10" s="1202"/>
      <c r="WQN10" s="1202"/>
      <c r="WQO10" s="1202"/>
      <c r="WQP10" s="1202"/>
      <c r="WQQ10" s="1202"/>
      <c r="WQR10" s="1202"/>
      <c r="WQS10" s="1202"/>
      <c r="WQT10" s="1202"/>
      <c r="WQU10" s="1202"/>
      <c r="WQV10" s="1202"/>
      <c r="WQW10" s="1202"/>
      <c r="WQX10" s="1202"/>
      <c r="WQY10" s="1202"/>
      <c r="WQZ10" s="1202"/>
      <c r="WRA10" s="1202"/>
      <c r="WRB10" s="1202"/>
      <c r="WRC10" s="1202"/>
      <c r="WRD10" s="1202"/>
      <c r="WRE10" s="1202"/>
      <c r="WRF10" s="1202"/>
      <c r="WRG10" s="1202"/>
      <c r="WRH10" s="1202"/>
      <c r="WRI10" s="1202"/>
      <c r="WRJ10" s="1202"/>
      <c r="WRK10" s="1202"/>
      <c r="WRL10" s="1202"/>
      <c r="WRM10" s="1202"/>
      <c r="WRN10" s="1202"/>
      <c r="WRO10" s="1202"/>
      <c r="WRP10" s="1202"/>
      <c r="WRQ10" s="1202"/>
      <c r="WRR10" s="1202"/>
      <c r="WRS10" s="1202"/>
      <c r="WRT10" s="1202"/>
      <c r="WRU10" s="1202"/>
      <c r="WRV10" s="1202"/>
      <c r="WRW10" s="1202"/>
      <c r="WRX10" s="1202"/>
      <c r="WRY10" s="1202"/>
      <c r="WRZ10" s="1202"/>
      <c r="WSA10" s="1202"/>
      <c r="WSB10" s="1202"/>
      <c r="WSC10" s="1202"/>
      <c r="WSD10" s="1202"/>
      <c r="WSE10" s="1202"/>
      <c r="WSF10" s="1202"/>
      <c r="WSG10" s="1202"/>
      <c r="WSH10" s="1202"/>
      <c r="WSI10" s="1202"/>
      <c r="WSJ10" s="1202"/>
      <c r="WSK10" s="1202"/>
      <c r="WSL10" s="1202"/>
      <c r="WSM10" s="1202"/>
      <c r="WSN10" s="1202"/>
      <c r="WSO10" s="1202"/>
      <c r="WSP10" s="1202"/>
      <c r="WSQ10" s="1202"/>
      <c r="WSR10" s="1202"/>
      <c r="WSS10" s="1202"/>
      <c r="WST10" s="1202"/>
      <c r="WSU10" s="1202"/>
      <c r="WSV10" s="1202"/>
      <c r="WSW10" s="1202"/>
      <c r="WSX10" s="1202"/>
      <c r="WSY10" s="1202"/>
      <c r="WSZ10" s="1202"/>
      <c r="WTA10" s="1202"/>
      <c r="WTB10" s="1202"/>
      <c r="WTC10" s="1202"/>
      <c r="WTD10" s="1202"/>
      <c r="WTE10" s="1202"/>
      <c r="WTF10" s="1202"/>
      <c r="WTG10" s="1202"/>
      <c r="WTH10" s="1202"/>
      <c r="WTI10" s="1202"/>
      <c r="WTJ10" s="1202"/>
      <c r="WTK10" s="1202"/>
      <c r="WTL10" s="1202"/>
      <c r="WTM10" s="1202"/>
      <c r="WTN10" s="1202"/>
      <c r="WTO10" s="1202"/>
      <c r="WTP10" s="1202"/>
      <c r="WTQ10" s="1202"/>
      <c r="WTR10" s="1202"/>
      <c r="WTS10" s="1202"/>
      <c r="WTT10" s="1202"/>
      <c r="WTU10" s="1202"/>
      <c r="WTV10" s="1202"/>
      <c r="WTW10" s="1202"/>
      <c r="WTX10" s="1202"/>
      <c r="WTY10" s="1202"/>
      <c r="WTZ10" s="1202"/>
      <c r="WUA10" s="1202"/>
      <c r="WUB10" s="1202"/>
      <c r="WUC10" s="1202"/>
      <c r="WUD10" s="1202"/>
      <c r="WUE10" s="1202"/>
      <c r="WUF10" s="1202"/>
      <c r="WUG10" s="1202"/>
      <c r="WUH10" s="1202"/>
      <c r="WUI10" s="1202"/>
      <c r="WUJ10" s="1202"/>
      <c r="WUK10" s="1202"/>
      <c r="WUL10" s="1202"/>
      <c r="WUM10" s="1202"/>
      <c r="WUN10" s="1202"/>
      <c r="WUO10" s="1202"/>
      <c r="WUP10" s="1202"/>
      <c r="WUQ10" s="1202"/>
      <c r="WUR10" s="1202"/>
      <c r="WUS10" s="1202"/>
      <c r="WUT10" s="1202"/>
      <c r="WUU10" s="1202"/>
      <c r="WUV10" s="1202"/>
      <c r="WUW10" s="1202"/>
      <c r="WUX10" s="1202"/>
      <c r="WUY10" s="1202"/>
      <c r="WUZ10" s="1202"/>
      <c r="WVA10" s="1202"/>
      <c r="WVB10" s="1202"/>
      <c r="WVC10" s="1202"/>
      <c r="WVD10" s="1202"/>
      <c r="WVE10" s="1202"/>
      <c r="WVF10" s="1202"/>
      <c r="WVG10" s="1202"/>
      <c r="WVH10" s="1202"/>
      <c r="WVI10" s="1202"/>
      <c r="WVJ10" s="1202"/>
      <c r="WVK10" s="1202"/>
      <c r="WVL10" s="1202"/>
      <c r="WVM10" s="1202"/>
      <c r="WVN10" s="1202"/>
      <c r="WVO10" s="1202"/>
      <c r="WVP10" s="1202"/>
      <c r="WVQ10" s="1202"/>
      <c r="WVR10" s="1202"/>
      <c r="WVS10" s="1202"/>
      <c r="WVT10" s="1202"/>
      <c r="WVU10" s="1202"/>
      <c r="WVV10" s="1202"/>
      <c r="WVW10" s="1202"/>
      <c r="WVX10" s="1202"/>
      <c r="WVY10" s="1202"/>
      <c r="WVZ10" s="1202"/>
      <c r="WWA10" s="1202"/>
      <c r="WWB10" s="1202"/>
      <c r="WWC10" s="1202"/>
      <c r="WWD10" s="1202"/>
      <c r="WWE10" s="1202"/>
      <c r="WWF10" s="1202"/>
      <c r="WWG10" s="1202"/>
      <c r="WWH10" s="1202"/>
      <c r="WWI10" s="1202"/>
      <c r="WWJ10" s="1202"/>
      <c r="WWK10" s="1202"/>
      <c r="WWL10" s="1202"/>
      <c r="WWM10" s="1202"/>
      <c r="WWN10" s="1202"/>
      <c r="WWO10" s="1202"/>
      <c r="WWP10" s="1202"/>
      <c r="WWQ10" s="1202"/>
      <c r="WWR10" s="1202"/>
      <c r="WWS10" s="1202"/>
      <c r="WWT10" s="1202"/>
      <c r="WWU10" s="1202"/>
      <c r="WWV10" s="1202"/>
      <c r="WWW10" s="1202"/>
      <c r="WWX10" s="1202"/>
      <c r="WWY10" s="1202"/>
      <c r="WWZ10" s="1202"/>
      <c r="WXA10" s="1202"/>
      <c r="WXB10" s="1202"/>
      <c r="WXC10" s="1202"/>
      <c r="WXD10" s="1202"/>
      <c r="WXE10" s="1202"/>
      <c r="WXF10" s="1202"/>
      <c r="WXG10" s="1202"/>
      <c r="WXH10" s="1202"/>
      <c r="WXI10" s="1202"/>
      <c r="WXJ10" s="1202"/>
      <c r="WXK10" s="1202"/>
      <c r="WXL10" s="1202"/>
      <c r="WXM10" s="1202"/>
      <c r="WXN10" s="1202"/>
      <c r="WXO10" s="1202"/>
      <c r="WXP10" s="1202"/>
      <c r="WXQ10" s="1202"/>
      <c r="WXR10" s="1202"/>
      <c r="WXS10" s="1202"/>
      <c r="WXT10" s="1202"/>
      <c r="WXU10" s="1202"/>
      <c r="WXV10" s="1202"/>
      <c r="WXW10" s="1202"/>
      <c r="WXX10" s="1202"/>
      <c r="WXY10" s="1202"/>
      <c r="WXZ10" s="1202"/>
      <c r="WYA10" s="1202"/>
      <c r="WYB10" s="1202"/>
      <c r="WYC10" s="1202"/>
      <c r="WYD10" s="1202"/>
      <c r="WYE10" s="1202"/>
      <c r="WYF10" s="1202"/>
      <c r="WYG10" s="1202"/>
      <c r="WYH10" s="1202"/>
      <c r="WYI10" s="1202"/>
      <c r="WYJ10" s="1202"/>
      <c r="WYK10" s="1202"/>
      <c r="WYL10" s="1202"/>
      <c r="WYM10" s="1202"/>
      <c r="WYN10" s="1202"/>
      <c r="WYO10" s="1202"/>
      <c r="WYP10" s="1202"/>
      <c r="WYQ10" s="1202"/>
      <c r="WYR10" s="1202"/>
      <c r="WYS10" s="1202"/>
      <c r="WYT10" s="1202"/>
      <c r="WYU10" s="1202"/>
      <c r="WYV10" s="1202"/>
      <c r="WYW10" s="1202"/>
      <c r="WYX10" s="1202"/>
      <c r="WYY10" s="1202"/>
      <c r="WYZ10" s="1202"/>
      <c r="WZA10" s="1202"/>
      <c r="WZB10" s="1202"/>
      <c r="WZC10" s="1202"/>
      <c r="WZD10" s="1202"/>
      <c r="WZE10" s="1202"/>
      <c r="WZF10" s="1202"/>
      <c r="WZG10" s="1202"/>
      <c r="WZH10" s="1202"/>
      <c r="WZI10" s="1202"/>
      <c r="WZJ10" s="1202"/>
      <c r="WZK10" s="1202"/>
      <c r="WZL10" s="1202"/>
      <c r="WZM10" s="1202"/>
      <c r="WZN10" s="1202"/>
      <c r="WZO10" s="1202"/>
      <c r="WZP10" s="1202"/>
      <c r="WZQ10" s="1202"/>
      <c r="WZR10" s="1202"/>
      <c r="WZS10" s="1202"/>
      <c r="WZT10" s="1202"/>
      <c r="WZU10" s="1202"/>
      <c r="WZV10" s="1202"/>
      <c r="WZW10" s="1202"/>
      <c r="WZX10" s="1202"/>
      <c r="WZY10" s="1202"/>
      <c r="WZZ10" s="1202"/>
      <c r="XAA10" s="1202"/>
      <c r="XAB10" s="1202"/>
      <c r="XAC10" s="1202"/>
      <c r="XAD10" s="1202"/>
      <c r="XAE10" s="1202"/>
      <c r="XAF10" s="1202"/>
      <c r="XAG10" s="1202"/>
      <c r="XAH10" s="1202"/>
      <c r="XAI10" s="1202"/>
      <c r="XAJ10" s="1202"/>
      <c r="XAK10" s="1202"/>
      <c r="XAL10" s="1202"/>
      <c r="XAM10" s="1202"/>
      <c r="XAN10" s="1202"/>
      <c r="XAO10" s="1202"/>
      <c r="XAP10" s="1202"/>
      <c r="XAQ10" s="1202"/>
      <c r="XAR10" s="1202"/>
      <c r="XAS10" s="1202"/>
      <c r="XAT10" s="1202"/>
      <c r="XAU10" s="1202"/>
      <c r="XAV10" s="1202"/>
      <c r="XAW10" s="1202"/>
      <c r="XAX10" s="1202"/>
      <c r="XAY10" s="1202"/>
      <c r="XAZ10" s="1202"/>
      <c r="XBA10" s="1202"/>
      <c r="XBB10" s="1202"/>
      <c r="XBC10" s="1202"/>
      <c r="XBD10" s="1202"/>
      <c r="XBE10" s="1202"/>
      <c r="XBF10" s="1202"/>
      <c r="XBG10" s="1202"/>
      <c r="XBH10" s="1202"/>
      <c r="XBI10" s="1202"/>
      <c r="XBJ10" s="1202"/>
      <c r="XBK10" s="1202"/>
      <c r="XBL10" s="1202"/>
      <c r="XBM10" s="1202"/>
      <c r="XBN10" s="1202"/>
      <c r="XBO10" s="1202"/>
      <c r="XBP10" s="1202"/>
      <c r="XBQ10" s="1202"/>
      <c r="XBR10" s="1202"/>
      <c r="XBS10" s="1202"/>
      <c r="XBT10" s="1202"/>
      <c r="XBU10" s="1202"/>
      <c r="XBV10" s="1202"/>
      <c r="XBW10" s="1202"/>
      <c r="XBX10" s="1202"/>
      <c r="XBY10" s="1202"/>
      <c r="XBZ10" s="1202"/>
      <c r="XCA10" s="1202"/>
      <c r="XCB10" s="1202"/>
      <c r="XCC10" s="1202"/>
      <c r="XCD10" s="1202"/>
      <c r="XCE10" s="1202"/>
      <c r="XCF10" s="1202"/>
      <c r="XCG10" s="1202"/>
      <c r="XCH10" s="1202"/>
      <c r="XCI10" s="1202"/>
      <c r="XCJ10" s="1202"/>
      <c r="XCK10" s="1202"/>
      <c r="XCL10" s="1202"/>
      <c r="XCM10" s="1202"/>
      <c r="XCN10" s="1202"/>
      <c r="XCO10" s="1202"/>
      <c r="XCP10" s="1202"/>
      <c r="XCQ10" s="1202"/>
      <c r="XCR10" s="1202"/>
      <c r="XCS10" s="1202"/>
      <c r="XCT10" s="1202"/>
      <c r="XCU10" s="1202"/>
      <c r="XCV10" s="1202"/>
      <c r="XCW10" s="1202"/>
      <c r="XCX10" s="1202"/>
      <c r="XCY10" s="1202"/>
      <c r="XCZ10" s="1202"/>
      <c r="XDA10" s="1202"/>
      <c r="XDB10" s="1202"/>
      <c r="XDC10" s="1202"/>
      <c r="XDD10" s="1202"/>
      <c r="XDE10" s="1202"/>
      <c r="XDF10" s="1202"/>
      <c r="XDG10" s="1202"/>
      <c r="XDH10" s="1202"/>
      <c r="XDI10" s="1202"/>
      <c r="XDJ10" s="1202"/>
      <c r="XDK10" s="1202"/>
      <c r="XDL10" s="1202"/>
      <c r="XDM10" s="1202"/>
      <c r="XDN10" s="1202"/>
      <c r="XDO10" s="1202"/>
      <c r="XDP10" s="1202"/>
      <c r="XDQ10" s="1202"/>
      <c r="XDR10" s="1202"/>
      <c r="XDS10" s="1202"/>
      <c r="XDT10" s="1202"/>
      <c r="XDU10" s="1202"/>
      <c r="XDV10" s="1202"/>
      <c r="XDW10" s="1202"/>
      <c r="XDX10" s="1202"/>
      <c r="XDY10" s="1202"/>
      <c r="XDZ10" s="1202"/>
      <c r="XEA10" s="1202"/>
      <c r="XEB10" s="1202"/>
      <c r="XEC10" s="1202"/>
      <c r="XED10" s="1202"/>
      <c r="XEE10" s="1202"/>
      <c r="XEF10" s="1202"/>
      <c r="XEG10" s="1202"/>
      <c r="XEH10" s="1202"/>
      <c r="XEI10" s="1202"/>
      <c r="XEJ10" s="1202"/>
      <c r="XEK10" s="1202"/>
      <c r="XEL10" s="1202"/>
      <c r="XEM10" s="1202"/>
      <c r="XEN10" s="1202"/>
      <c r="XEO10" s="1202"/>
      <c r="XEP10" s="1202"/>
      <c r="XEQ10" s="1202"/>
      <c r="XER10" s="1202"/>
      <c r="XES10" s="1202"/>
      <c r="XET10" s="1202"/>
      <c r="XEU10" s="1202"/>
      <c r="XEV10" s="1202"/>
      <c r="XEW10" s="1202"/>
      <c r="XEX10" s="1202"/>
      <c r="XEY10" s="1202"/>
      <c r="XEZ10" s="1202"/>
      <c r="XFA10" s="1202"/>
      <c r="XFB10" s="1202"/>
    </row>
    <row r="11" spans="1:16382" s="1246" customFormat="1" ht="39" customHeight="1" x14ac:dyDescent="0.2">
      <c r="A11" s="1409"/>
      <c r="B11" s="1409"/>
      <c r="C11" s="1409"/>
      <c r="D11" s="1409"/>
      <c r="E11" s="1233">
        <v>21101</v>
      </c>
      <c r="F11" s="1234" t="s">
        <v>13</v>
      </c>
      <c r="G11" s="1235"/>
      <c r="H11" s="1236"/>
      <c r="I11" s="1235"/>
      <c r="J11" s="1235"/>
      <c r="K11" s="1237"/>
      <c r="L11" s="1324"/>
      <c r="M11" s="1238"/>
      <c r="N11" s="1238"/>
      <c r="O11" s="1238"/>
      <c r="P11" s="1239"/>
      <c r="Q11" s="1239"/>
      <c r="R11" s="1239"/>
      <c r="S11" s="1240"/>
      <c r="T11" s="1240"/>
      <c r="U11" s="1240"/>
      <c r="V11" s="1240"/>
      <c r="W11" s="1241"/>
      <c r="X11" s="1240"/>
      <c r="Y11" s="1240"/>
      <c r="Z11" s="1240"/>
      <c r="AA11" s="1240"/>
      <c r="AB11" s="1240"/>
      <c r="AC11" s="1240"/>
      <c r="AD11" s="1240"/>
      <c r="AE11" s="1240"/>
      <c r="AF11" s="1242"/>
      <c r="AG11" s="1243"/>
      <c r="AH11" s="1243"/>
      <c r="AI11" s="1243"/>
      <c r="AJ11" s="1243"/>
      <c r="AK11" s="1243"/>
      <c r="AL11" s="1244"/>
      <c r="AM11" s="1245"/>
      <c r="AN11" s="1202"/>
      <c r="AO11" s="1202"/>
      <c r="AP11" s="1202"/>
      <c r="AQ11" s="1202"/>
      <c r="AR11" s="1202"/>
      <c r="AS11" s="1202"/>
      <c r="AT11" s="1202"/>
      <c r="AU11" s="1202"/>
      <c r="AV11" s="1202"/>
      <c r="AW11" s="1202"/>
      <c r="AX11" s="1202"/>
      <c r="AY11" s="1202"/>
      <c r="AZ11" s="1202"/>
      <c r="BA11" s="1202"/>
      <c r="BB11" s="1202"/>
      <c r="BC11" s="1202"/>
      <c r="BD11" s="1202"/>
      <c r="BE11" s="1202"/>
      <c r="BF11" s="1202"/>
      <c r="BG11" s="1202"/>
      <c r="BH11" s="1202"/>
      <c r="BI11" s="1202"/>
      <c r="BJ11" s="1202"/>
      <c r="BK11" s="1202"/>
      <c r="BL11" s="1202"/>
      <c r="BM11" s="1202"/>
      <c r="BN11" s="1202"/>
      <c r="BO11" s="1202"/>
      <c r="BP11" s="1202"/>
      <c r="BQ11" s="1202"/>
      <c r="BR11" s="1202"/>
      <c r="BS11" s="1202"/>
      <c r="BT11" s="1202"/>
      <c r="BU11" s="1202"/>
      <c r="BV11" s="1202"/>
      <c r="BW11" s="1202"/>
      <c r="BX11" s="1202"/>
      <c r="BY11" s="1202"/>
      <c r="BZ11" s="1202"/>
      <c r="CA11" s="1202"/>
      <c r="CB11" s="1202"/>
      <c r="CC11" s="1202"/>
      <c r="CD11" s="1202"/>
      <c r="CE11" s="1202"/>
      <c r="CF11" s="1202"/>
      <c r="CG11" s="1202"/>
      <c r="CH11" s="1202"/>
      <c r="CI11" s="1202"/>
      <c r="CJ11" s="1202"/>
      <c r="CK11" s="1202"/>
      <c r="CL11" s="1202"/>
      <c r="CM11" s="1202"/>
      <c r="CN11" s="1202"/>
      <c r="CO11" s="1202"/>
      <c r="CP11" s="1202"/>
      <c r="CQ11" s="1202"/>
      <c r="CR11" s="1202"/>
      <c r="CS11" s="1202"/>
      <c r="CT11" s="1202"/>
      <c r="CU11" s="1202"/>
      <c r="CV11" s="1202"/>
      <c r="CW11" s="1202"/>
      <c r="CX11" s="1202"/>
      <c r="CY11" s="1202"/>
      <c r="CZ11" s="1202"/>
      <c r="DA11" s="1202"/>
      <c r="DB11" s="1202"/>
      <c r="DC11" s="1202"/>
      <c r="DD11" s="1202"/>
      <c r="DE11" s="1202"/>
      <c r="DF11" s="1202"/>
      <c r="DG11" s="1202"/>
      <c r="DH11" s="1202"/>
      <c r="DI11" s="1202"/>
      <c r="DJ11" s="1202"/>
      <c r="DK11" s="1202"/>
      <c r="DL11" s="1202"/>
      <c r="DM11" s="1202"/>
      <c r="DN11" s="1202"/>
      <c r="DO11" s="1202"/>
      <c r="DP11" s="1202"/>
      <c r="DQ11" s="1202"/>
      <c r="DR11" s="1202"/>
      <c r="DS11" s="1202"/>
      <c r="DT11" s="1202"/>
      <c r="DU11" s="1202"/>
      <c r="DV11" s="1202"/>
      <c r="DW11" s="1202"/>
      <c r="DX11" s="1202"/>
      <c r="DY11" s="1202"/>
      <c r="DZ11" s="1202"/>
      <c r="EA11" s="1202"/>
      <c r="EB11" s="1202"/>
      <c r="EC11" s="1202"/>
      <c r="ED11" s="1202"/>
      <c r="EE11" s="1202"/>
      <c r="EF11" s="1202"/>
      <c r="EG11" s="1202"/>
      <c r="EH11" s="1202"/>
      <c r="EI11" s="1202"/>
      <c r="EJ11" s="1202"/>
      <c r="EK11" s="1202"/>
      <c r="EL11" s="1202"/>
      <c r="EM11" s="1202"/>
      <c r="EN11" s="1202"/>
      <c r="EO11" s="1202"/>
      <c r="EP11" s="1202"/>
      <c r="EQ11" s="1202"/>
      <c r="ER11" s="1202"/>
      <c r="ES11" s="1202"/>
      <c r="ET11" s="1202"/>
      <c r="EU11" s="1202"/>
      <c r="EV11" s="1202"/>
      <c r="EW11" s="1202"/>
      <c r="EX11" s="1202"/>
      <c r="EY11" s="1202"/>
      <c r="EZ11" s="1202"/>
      <c r="FA11" s="1202"/>
      <c r="FB11" s="1202"/>
      <c r="FC11" s="1202"/>
      <c r="FD11" s="1202"/>
      <c r="FE11" s="1202"/>
      <c r="FF11" s="1202"/>
      <c r="FG11" s="1202"/>
      <c r="FH11" s="1202"/>
      <c r="FI11" s="1202"/>
      <c r="FJ11" s="1202"/>
      <c r="FK11" s="1202"/>
      <c r="FL11" s="1202"/>
      <c r="FM11" s="1202"/>
      <c r="FN11" s="1202"/>
      <c r="FO11" s="1202"/>
      <c r="FP11" s="1202"/>
      <c r="FQ11" s="1202"/>
      <c r="FR11" s="1202"/>
      <c r="FS11" s="1202"/>
      <c r="FT11" s="1202"/>
      <c r="FU11" s="1202"/>
      <c r="FV11" s="1202"/>
      <c r="FW11" s="1202"/>
      <c r="FX11" s="1202"/>
      <c r="FY11" s="1202"/>
      <c r="FZ11" s="1202"/>
      <c r="GA11" s="1202"/>
      <c r="GB11" s="1202"/>
      <c r="GC11" s="1202"/>
      <c r="GD11" s="1202"/>
      <c r="GE11" s="1202"/>
      <c r="GF11" s="1202"/>
      <c r="GG11" s="1202"/>
      <c r="GH11" s="1202"/>
      <c r="GI11" s="1202"/>
      <c r="GJ11" s="1202"/>
      <c r="GK11" s="1202"/>
      <c r="GL11" s="1202"/>
      <c r="GM11" s="1202"/>
      <c r="GN11" s="1202"/>
      <c r="GO11" s="1202"/>
      <c r="GP11" s="1202"/>
      <c r="GQ11" s="1202"/>
      <c r="GR11" s="1202"/>
      <c r="GS11" s="1202"/>
      <c r="GT11" s="1202"/>
      <c r="GU11" s="1202"/>
      <c r="GV11" s="1202"/>
      <c r="GW11" s="1202"/>
      <c r="GX11" s="1202"/>
      <c r="GY11" s="1202"/>
      <c r="GZ11" s="1202"/>
      <c r="HA11" s="1202"/>
      <c r="HB11" s="1202"/>
      <c r="HC11" s="1202"/>
      <c r="HD11" s="1202"/>
      <c r="HE11" s="1202"/>
      <c r="HF11" s="1202"/>
      <c r="HG11" s="1202"/>
      <c r="HH11" s="1202"/>
      <c r="HI11" s="1202"/>
      <c r="HJ11" s="1202"/>
      <c r="HK11" s="1202"/>
      <c r="HL11" s="1202"/>
      <c r="HM11" s="1202"/>
      <c r="HN11" s="1202"/>
      <c r="HO11" s="1202"/>
      <c r="HP11" s="1202"/>
      <c r="HQ11" s="1202"/>
      <c r="HR11" s="1202"/>
      <c r="HS11" s="1202"/>
      <c r="HT11" s="1202"/>
      <c r="HU11" s="1202"/>
      <c r="HV11" s="1202"/>
      <c r="HW11" s="1202"/>
      <c r="HX11" s="1202"/>
      <c r="HY11" s="1202"/>
      <c r="HZ11" s="1202"/>
      <c r="IA11" s="1202"/>
      <c r="IB11" s="1202"/>
      <c r="IC11" s="1202"/>
      <c r="ID11" s="1202"/>
      <c r="IE11" s="1202"/>
      <c r="IF11" s="1202"/>
      <c r="IG11" s="1202"/>
      <c r="IH11" s="1202"/>
      <c r="II11" s="1202"/>
      <c r="IJ11" s="1202"/>
      <c r="IK11" s="1202"/>
      <c r="IL11" s="1202"/>
      <c r="IM11" s="1202"/>
      <c r="IN11" s="1202"/>
      <c r="IO11" s="1202"/>
      <c r="IP11" s="1202"/>
      <c r="IQ11" s="1202"/>
      <c r="IR11" s="1202"/>
      <c r="IS11" s="1202"/>
      <c r="IT11" s="1202"/>
      <c r="IU11" s="1202"/>
      <c r="IV11" s="1202"/>
      <c r="IW11" s="1202"/>
      <c r="IX11" s="1202"/>
      <c r="IY11" s="1202"/>
      <c r="IZ11" s="1202"/>
      <c r="JA11" s="1202"/>
      <c r="JB11" s="1202"/>
      <c r="JC11" s="1202"/>
      <c r="JD11" s="1202"/>
      <c r="JE11" s="1202"/>
      <c r="JF11" s="1202"/>
      <c r="JG11" s="1202"/>
      <c r="JH11" s="1202"/>
      <c r="JI11" s="1202"/>
      <c r="JJ11" s="1202"/>
      <c r="JK11" s="1202"/>
      <c r="JL11" s="1202"/>
      <c r="JM11" s="1202"/>
      <c r="JN11" s="1202"/>
      <c r="JO11" s="1202"/>
      <c r="JP11" s="1202"/>
      <c r="JQ11" s="1202"/>
      <c r="JR11" s="1202"/>
      <c r="JS11" s="1202"/>
      <c r="JT11" s="1202"/>
      <c r="JU11" s="1202"/>
      <c r="JV11" s="1202"/>
      <c r="JW11" s="1202"/>
      <c r="JX11" s="1202"/>
      <c r="JY11" s="1202"/>
      <c r="JZ11" s="1202"/>
      <c r="KA11" s="1202"/>
      <c r="KB11" s="1202"/>
      <c r="KC11" s="1202"/>
      <c r="KD11" s="1202"/>
      <c r="KE11" s="1202"/>
      <c r="KF11" s="1202"/>
      <c r="KG11" s="1202"/>
      <c r="KH11" s="1202"/>
      <c r="KI11" s="1202"/>
      <c r="KJ11" s="1202"/>
      <c r="KK11" s="1202"/>
      <c r="KL11" s="1202"/>
      <c r="KM11" s="1202"/>
      <c r="KN11" s="1202"/>
      <c r="KO11" s="1202"/>
      <c r="KP11" s="1202"/>
      <c r="KQ11" s="1202"/>
      <c r="KR11" s="1202"/>
      <c r="KS11" s="1202"/>
      <c r="KT11" s="1202"/>
      <c r="KU11" s="1202"/>
      <c r="KV11" s="1202"/>
      <c r="KW11" s="1202"/>
      <c r="KX11" s="1202"/>
      <c r="KY11" s="1202"/>
      <c r="KZ11" s="1202"/>
      <c r="LA11" s="1202"/>
      <c r="LB11" s="1202"/>
      <c r="LC11" s="1202"/>
      <c r="LD11" s="1202"/>
      <c r="LE11" s="1202"/>
      <c r="LF11" s="1202"/>
      <c r="LG11" s="1202"/>
      <c r="LH11" s="1202"/>
      <c r="LI11" s="1202"/>
      <c r="LJ11" s="1202"/>
      <c r="LK11" s="1202"/>
      <c r="LL11" s="1202"/>
      <c r="LM11" s="1202"/>
      <c r="LN11" s="1202"/>
      <c r="LO11" s="1202"/>
      <c r="LP11" s="1202"/>
      <c r="LQ11" s="1202"/>
      <c r="LR11" s="1202"/>
      <c r="LS11" s="1202"/>
      <c r="LT11" s="1202"/>
      <c r="LU11" s="1202"/>
      <c r="LV11" s="1202"/>
      <c r="LW11" s="1202"/>
      <c r="LX11" s="1202"/>
      <c r="LY11" s="1202"/>
      <c r="LZ11" s="1202"/>
      <c r="MA11" s="1202"/>
      <c r="MB11" s="1202"/>
      <c r="MC11" s="1202"/>
      <c r="MD11" s="1202"/>
      <c r="ME11" s="1202"/>
      <c r="MF11" s="1202"/>
      <c r="MG11" s="1202"/>
      <c r="MH11" s="1202"/>
      <c r="MI11" s="1202"/>
      <c r="MJ11" s="1202"/>
      <c r="MK11" s="1202"/>
      <c r="ML11" s="1202"/>
      <c r="MM11" s="1202"/>
      <c r="MN11" s="1202"/>
      <c r="MO11" s="1202"/>
      <c r="MP11" s="1202"/>
      <c r="MQ11" s="1202"/>
      <c r="MR11" s="1202"/>
      <c r="MS11" s="1202"/>
      <c r="MT11" s="1202"/>
      <c r="MU11" s="1202"/>
      <c r="MV11" s="1202"/>
      <c r="MW11" s="1202"/>
      <c r="MX11" s="1202"/>
      <c r="MY11" s="1202"/>
      <c r="MZ11" s="1202"/>
      <c r="NA11" s="1202"/>
      <c r="NB11" s="1202"/>
      <c r="NC11" s="1202"/>
      <c r="ND11" s="1202"/>
      <c r="NE11" s="1202"/>
      <c r="NF11" s="1202"/>
      <c r="NG11" s="1202"/>
      <c r="NH11" s="1202"/>
      <c r="NI11" s="1202"/>
      <c r="NJ11" s="1202"/>
      <c r="NK11" s="1202"/>
      <c r="NL11" s="1202"/>
      <c r="NM11" s="1202"/>
      <c r="NN11" s="1202"/>
      <c r="NO11" s="1202"/>
      <c r="NP11" s="1202"/>
      <c r="NQ11" s="1202"/>
      <c r="NR11" s="1202"/>
      <c r="NS11" s="1202"/>
      <c r="NT11" s="1202"/>
      <c r="NU11" s="1202"/>
      <c r="NV11" s="1202"/>
      <c r="NW11" s="1202"/>
      <c r="NX11" s="1202"/>
      <c r="NY11" s="1202"/>
      <c r="NZ11" s="1202"/>
      <c r="OA11" s="1202"/>
      <c r="OB11" s="1202"/>
      <c r="OC11" s="1202"/>
      <c r="OD11" s="1202"/>
      <c r="OE11" s="1202"/>
      <c r="OF11" s="1202"/>
      <c r="OG11" s="1202"/>
      <c r="OH11" s="1202"/>
      <c r="OI11" s="1202"/>
      <c r="OJ11" s="1202"/>
      <c r="OK11" s="1202"/>
      <c r="OL11" s="1202"/>
      <c r="OM11" s="1202"/>
      <c r="ON11" s="1202"/>
      <c r="OO11" s="1202"/>
      <c r="OP11" s="1202"/>
      <c r="OQ11" s="1202"/>
      <c r="OR11" s="1202"/>
      <c r="OS11" s="1202"/>
      <c r="OT11" s="1202"/>
      <c r="OU11" s="1202"/>
      <c r="OV11" s="1202"/>
      <c r="OW11" s="1202"/>
      <c r="OX11" s="1202"/>
      <c r="OY11" s="1202"/>
      <c r="OZ11" s="1202"/>
      <c r="PA11" s="1202"/>
      <c r="PB11" s="1202"/>
      <c r="PC11" s="1202"/>
      <c r="PD11" s="1202"/>
      <c r="PE11" s="1202"/>
      <c r="PF11" s="1202"/>
      <c r="PG11" s="1202"/>
      <c r="PH11" s="1202"/>
      <c r="PI11" s="1202"/>
      <c r="PJ11" s="1202"/>
      <c r="PK11" s="1202"/>
      <c r="PL11" s="1202"/>
      <c r="PM11" s="1202"/>
      <c r="PN11" s="1202"/>
      <c r="PO11" s="1202"/>
      <c r="PP11" s="1202"/>
      <c r="PQ11" s="1202"/>
      <c r="PR11" s="1202"/>
      <c r="PS11" s="1202"/>
      <c r="PT11" s="1202"/>
      <c r="PU11" s="1202"/>
      <c r="PV11" s="1202"/>
      <c r="PW11" s="1202"/>
      <c r="PX11" s="1202"/>
      <c r="PY11" s="1202"/>
      <c r="PZ11" s="1202"/>
      <c r="QA11" s="1202"/>
      <c r="QB11" s="1202"/>
      <c r="QC11" s="1202"/>
      <c r="QD11" s="1202"/>
      <c r="QE11" s="1202"/>
      <c r="QF11" s="1202"/>
      <c r="QG11" s="1202"/>
      <c r="QH11" s="1202"/>
      <c r="QI11" s="1202"/>
      <c r="QJ11" s="1202"/>
      <c r="QK11" s="1202"/>
      <c r="QL11" s="1202"/>
      <c r="QM11" s="1202"/>
      <c r="QN11" s="1202"/>
      <c r="QO11" s="1202"/>
      <c r="QP11" s="1202"/>
      <c r="QQ11" s="1202"/>
      <c r="QR11" s="1202"/>
      <c r="QS11" s="1202"/>
      <c r="QT11" s="1202"/>
      <c r="QU11" s="1202"/>
      <c r="QV11" s="1202"/>
      <c r="QW11" s="1202"/>
      <c r="QX11" s="1202"/>
      <c r="QY11" s="1202"/>
      <c r="QZ11" s="1202"/>
      <c r="RA11" s="1202"/>
      <c r="RB11" s="1202"/>
      <c r="RC11" s="1202"/>
      <c r="RD11" s="1202"/>
      <c r="RE11" s="1202"/>
      <c r="RF11" s="1202"/>
      <c r="RG11" s="1202"/>
      <c r="RH11" s="1202"/>
      <c r="RI11" s="1202"/>
      <c r="RJ11" s="1202"/>
      <c r="RK11" s="1202"/>
      <c r="RL11" s="1202"/>
      <c r="RM11" s="1202"/>
      <c r="RN11" s="1202"/>
      <c r="RO11" s="1202"/>
      <c r="RP11" s="1202"/>
      <c r="RQ11" s="1202"/>
      <c r="RR11" s="1202"/>
      <c r="RS11" s="1202"/>
      <c r="RT11" s="1202"/>
      <c r="RU11" s="1202"/>
      <c r="RV11" s="1202"/>
      <c r="RW11" s="1202"/>
      <c r="RX11" s="1202"/>
      <c r="RY11" s="1202"/>
      <c r="RZ11" s="1202"/>
      <c r="SA11" s="1202"/>
      <c r="SB11" s="1202"/>
      <c r="SC11" s="1202"/>
      <c r="SD11" s="1202"/>
      <c r="SE11" s="1202"/>
      <c r="SF11" s="1202"/>
      <c r="SG11" s="1202"/>
      <c r="SH11" s="1202"/>
      <c r="SI11" s="1202"/>
      <c r="SJ11" s="1202"/>
      <c r="SK11" s="1202"/>
      <c r="SL11" s="1202"/>
      <c r="SM11" s="1202"/>
      <c r="SN11" s="1202"/>
      <c r="SO11" s="1202"/>
      <c r="SP11" s="1202"/>
      <c r="SQ11" s="1202"/>
      <c r="SR11" s="1202"/>
      <c r="SS11" s="1202"/>
      <c r="ST11" s="1202"/>
      <c r="SU11" s="1202"/>
      <c r="SV11" s="1202"/>
      <c r="SW11" s="1202"/>
      <c r="SX11" s="1202"/>
      <c r="SY11" s="1202"/>
      <c r="SZ11" s="1202"/>
      <c r="TA11" s="1202"/>
      <c r="TB11" s="1202"/>
      <c r="TC11" s="1202"/>
      <c r="TD11" s="1202"/>
      <c r="TE11" s="1202"/>
      <c r="TF11" s="1202"/>
      <c r="TG11" s="1202"/>
      <c r="TH11" s="1202"/>
      <c r="TI11" s="1202"/>
      <c r="TJ11" s="1202"/>
      <c r="TK11" s="1202"/>
      <c r="TL11" s="1202"/>
      <c r="TM11" s="1202"/>
      <c r="TN11" s="1202"/>
      <c r="TO11" s="1202"/>
      <c r="TP11" s="1202"/>
      <c r="TQ11" s="1202"/>
      <c r="TR11" s="1202"/>
      <c r="TS11" s="1202"/>
      <c r="TT11" s="1202"/>
      <c r="TU11" s="1202"/>
      <c r="TV11" s="1202"/>
      <c r="TW11" s="1202"/>
      <c r="TX11" s="1202"/>
      <c r="TY11" s="1202"/>
      <c r="TZ11" s="1202"/>
      <c r="UA11" s="1202"/>
      <c r="UB11" s="1202"/>
      <c r="UC11" s="1202"/>
      <c r="UD11" s="1202"/>
      <c r="UE11" s="1202"/>
      <c r="UF11" s="1202"/>
      <c r="UG11" s="1202"/>
      <c r="UH11" s="1202"/>
      <c r="UI11" s="1202"/>
      <c r="UJ11" s="1202"/>
      <c r="UK11" s="1202"/>
      <c r="UL11" s="1202"/>
      <c r="UM11" s="1202"/>
      <c r="UN11" s="1202"/>
      <c r="UO11" s="1202"/>
      <c r="UP11" s="1202"/>
      <c r="UQ11" s="1202"/>
      <c r="UR11" s="1202"/>
      <c r="US11" s="1202"/>
      <c r="UT11" s="1202"/>
      <c r="UU11" s="1202"/>
      <c r="UV11" s="1202"/>
      <c r="UW11" s="1202"/>
      <c r="UX11" s="1202"/>
      <c r="UY11" s="1202"/>
      <c r="UZ11" s="1202"/>
      <c r="VA11" s="1202"/>
      <c r="VB11" s="1202"/>
      <c r="VC11" s="1202"/>
      <c r="VD11" s="1202"/>
      <c r="VE11" s="1202"/>
      <c r="VF11" s="1202"/>
      <c r="VG11" s="1202"/>
      <c r="VH11" s="1202"/>
      <c r="VI11" s="1202"/>
      <c r="VJ11" s="1202"/>
      <c r="VK11" s="1202"/>
      <c r="VL11" s="1202"/>
      <c r="VM11" s="1202"/>
      <c r="VN11" s="1202"/>
      <c r="VO11" s="1202"/>
      <c r="VP11" s="1202"/>
      <c r="VQ11" s="1202"/>
      <c r="VR11" s="1202"/>
      <c r="VS11" s="1202"/>
      <c r="VT11" s="1202"/>
      <c r="VU11" s="1202"/>
      <c r="VV11" s="1202"/>
      <c r="VW11" s="1202"/>
      <c r="VX11" s="1202"/>
      <c r="VY11" s="1202"/>
      <c r="VZ11" s="1202"/>
      <c r="WA11" s="1202"/>
      <c r="WB11" s="1202"/>
      <c r="WC11" s="1202"/>
      <c r="WD11" s="1202"/>
      <c r="WE11" s="1202"/>
      <c r="WF11" s="1202"/>
      <c r="WG11" s="1202"/>
      <c r="WH11" s="1202"/>
      <c r="WI11" s="1202"/>
      <c r="WJ11" s="1202"/>
      <c r="WK11" s="1202"/>
      <c r="WL11" s="1202"/>
      <c r="WM11" s="1202"/>
      <c r="WN11" s="1202"/>
      <c r="WO11" s="1202"/>
      <c r="WP11" s="1202"/>
      <c r="WQ11" s="1202"/>
      <c r="WR11" s="1202"/>
      <c r="WS11" s="1202"/>
      <c r="WT11" s="1202"/>
      <c r="WU11" s="1202"/>
      <c r="WV11" s="1202"/>
      <c r="WW11" s="1202"/>
      <c r="WX11" s="1202"/>
      <c r="WY11" s="1202"/>
      <c r="WZ11" s="1202"/>
      <c r="XA11" s="1202"/>
      <c r="XB11" s="1202"/>
      <c r="XC11" s="1202"/>
      <c r="XD11" s="1202"/>
      <c r="XE11" s="1202"/>
      <c r="XF11" s="1202"/>
      <c r="XG11" s="1202"/>
      <c r="XH11" s="1202"/>
      <c r="XI11" s="1202"/>
      <c r="XJ11" s="1202"/>
      <c r="XK11" s="1202"/>
      <c r="XL11" s="1202"/>
      <c r="XM11" s="1202"/>
      <c r="XN11" s="1202"/>
      <c r="XO11" s="1202"/>
      <c r="XP11" s="1202"/>
      <c r="XQ11" s="1202"/>
      <c r="XR11" s="1202"/>
      <c r="XS11" s="1202"/>
      <c r="XT11" s="1202"/>
      <c r="XU11" s="1202"/>
      <c r="XV11" s="1202"/>
      <c r="XW11" s="1202"/>
      <c r="XX11" s="1202"/>
      <c r="XY11" s="1202"/>
      <c r="XZ11" s="1202"/>
      <c r="YA11" s="1202"/>
      <c r="YB11" s="1202"/>
      <c r="YC11" s="1202"/>
      <c r="YD11" s="1202"/>
      <c r="YE11" s="1202"/>
      <c r="YF11" s="1202"/>
      <c r="YG11" s="1202"/>
      <c r="YH11" s="1202"/>
      <c r="YI11" s="1202"/>
      <c r="YJ11" s="1202"/>
      <c r="YK11" s="1202"/>
      <c r="YL11" s="1202"/>
      <c r="YM11" s="1202"/>
      <c r="YN11" s="1202"/>
      <c r="YO11" s="1202"/>
      <c r="YP11" s="1202"/>
      <c r="YQ11" s="1202"/>
      <c r="YR11" s="1202"/>
      <c r="YS11" s="1202"/>
      <c r="YT11" s="1202"/>
      <c r="YU11" s="1202"/>
      <c r="YV11" s="1202"/>
      <c r="YW11" s="1202"/>
      <c r="YX11" s="1202"/>
      <c r="YY11" s="1202"/>
      <c r="YZ11" s="1202"/>
      <c r="ZA11" s="1202"/>
      <c r="ZB11" s="1202"/>
      <c r="ZC11" s="1202"/>
      <c r="ZD11" s="1202"/>
      <c r="ZE11" s="1202"/>
      <c r="ZF11" s="1202"/>
      <c r="ZG11" s="1202"/>
      <c r="ZH11" s="1202"/>
      <c r="ZI11" s="1202"/>
      <c r="ZJ11" s="1202"/>
      <c r="ZK11" s="1202"/>
      <c r="ZL11" s="1202"/>
      <c r="ZM11" s="1202"/>
      <c r="ZN11" s="1202"/>
      <c r="ZO11" s="1202"/>
      <c r="ZP11" s="1202"/>
      <c r="ZQ11" s="1202"/>
      <c r="ZR11" s="1202"/>
      <c r="ZS11" s="1202"/>
      <c r="ZT11" s="1202"/>
      <c r="ZU11" s="1202"/>
      <c r="ZV11" s="1202"/>
      <c r="ZW11" s="1202"/>
      <c r="ZX11" s="1202"/>
      <c r="ZY11" s="1202"/>
      <c r="ZZ11" s="1202"/>
      <c r="AAA11" s="1202"/>
      <c r="AAB11" s="1202"/>
      <c r="AAC11" s="1202"/>
      <c r="AAD11" s="1202"/>
      <c r="AAE11" s="1202"/>
      <c r="AAF11" s="1202"/>
      <c r="AAG11" s="1202"/>
      <c r="AAH11" s="1202"/>
      <c r="AAI11" s="1202"/>
      <c r="AAJ11" s="1202"/>
      <c r="AAK11" s="1202"/>
      <c r="AAL11" s="1202"/>
      <c r="AAM11" s="1202"/>
      <c r="AAN11" s="1202"/>
      <c r="AAO11" s="1202"/>
      <c r="AAP11" s="1202"/>
      <c r="AAQ11" s="1202"/>
      <c r="AAR11" s="1202"/>
      <c r="AAS11" s="1202"/>
      <c r="AAT11" s="1202"/>
      <c r="AAU11" s="1202"/>
      <c r="AAV11" s="1202"/>
      <c r="AAW11" s="1202"/>
      <c r="AAX11" s="1202"/>
      <c r="AAY11" s="1202"/>
      <c r="AAZ11" s="1202"/>
      <c r="ABA11" s="1202"/>
      <c r="ABB11" s="1202"/>
      <c r="ABC11" s="1202"/>
      <c r="ABD11" s="1202"/>
      <c r="ABE11" s="1202"/>
      <c r="ABF11" s="1202"/>
      <c r="ABG11" s="1202"/>
      <c r="ABH11" s="1202"/>
      <c r="ABI11" s="1202"/>
      <c r="ABJ11" s="1202"/>
      <c r="ABK11" s="1202"/>
      <c r="ABL11" s="1202"/>
      <c r="ABM11" s="1202"/>
      <c r="ABN11" s="1202"/>
      <c r="ABO11" s="1202"/>
      <c r="ABP11" s="1202"/>
      <c r="ABQ11" s="1202"/>
      <c r="ABR11" s="1202"/>
      <c r="ABS11" s="1202"/>
      <c r="ABT11" s="1202"/>
      <c r="ABU11" s="1202"/>
      <c r="ABV11" s="1202"/>
      <c r="ABW11" s="1202"/>
      <c r="ABX11" s="1202"/>
      <c r="ABY11" s="1202"/>
      <c r="ABZ11" s="1202"/>
      <c r="ACA11" s="1202"/>
      <c r="ACB11" s="1202"/>
      <c r="ACC11" s="1202"/>
      <c r="ACD11" s="1202"/>
      <c r="ACE11" s="1202"/>
      <c r="ACF11" s="1202"/>
      <c r="ACG11" s="1202"/>
      <c r="ACH11" s="1202"/>
      <c r="ACI11" s="1202"/>
      <c r="ACJ11" s="1202"/>
      <c r="ACK11" s="1202"/>
      <c r="ACL11" s="1202"/>
      <c r="ACM11" s="1202"/>
      <c r="ACN11" s="1202"/>
      <c r="ACO11" s="1202"/>
      <c r="ACP11" s="1202"/>
      <c r="ACQ11" s="1202"/>
      <c r="ACR11" s="1202"/>
      <c r="ACS11" s="1202"/>
      <c r="ACT11" s="1202"/>
      <c r="ACU11" s="1202"/>
      <c r="ACV11" s="1202"/>
      <c r="ACW11" s="1202"/>
      <c r="ACX11" s="1202"/>
      <c r="ACY11" s="1202"/>
      <c r="ACZ11" s="1202"/>
      <c r="ADA11" s="1202"/>
      <c r="ADB11" s="1202"/>
      <c r="ADC11" s="1202"/>
      <c r="ADD11" s="1202"/>
      <c r="ADE11" s="1202"/>
      <c r="ADF11" s="1202"/>
      <c r="ADG11" s="1202"/>
      <c r="ADH11" s="1202"/>
      <c r="ADI11" s="1202"/>
      <c r="ADJ11" s="1202"/>
      <c r="ADK11" s="1202"/>
      <c r="ADL11" s="1202"/>
      <c r="ADM11" s="1202"/>
      <c r="ADN11" s="1202"/>
      <c r="ADO11" s="1202"/>
      <c r="ADP11" s="1202"/>
      <c r="ADQ11" s="1202"/>
      <c r="ADR11" s="1202"/>
      <c r="ADS11" s="1202"/>
      <c r="ADT11" s="1202"/>
      <c r="ADU11" s="1202"/>
      <c r="ADV11" s="1202"/>
      <c r="ADW11" s="1202"/>
      <c r="ADX11" s="1202"/>
      <c r="ADY11" s="1202"/>
      <c r="ADZ11" s="1202"/>
      <c r="AEA11" s="1202"/>
      <c r="AEB11" s="1202"/>
      <c r="AEC11" s="1202"/>
      <c r="AED11" s="1202"/>
      <c r="AEE11" s="1202"/>
      <c r="AEF11" s="1202"/>
      <c r="AEG11" s="1202"/>
      <c r="AEH11" s="1202"/>
      <c r="AEI11" s="1202"/>
      <c r="AEJ11" s="1202"/>
      <c r="AEK11" s="1202"/>
      <c r="AEL11" s="1202"/>
      <c r="AEM11" s="1202"/>
      <c r="AEN11" s="1202"/>
      <c r="AEO11" s="1202"/>
      <c r="AEP11" s="1202"/>
      <c r="AEQ11" s="1202"/>
      <c r="AER11" s="1202"/>
      <c r="AES11" s="1202"/>
      <c r="AET11" s="1202"/>
      <c r="AEU11" s="1202"/>
      <c r="AEV11" s="1202"/>
      <c r="AEW11" s="1202"/>
      <c r="AEX11" s="1202"/>
      <c r="AEY11" s="1202"/>
      <c r="AEZ11" s="1202"/>
      <c r="AFA11" s="1202"/>
      <c r="AFB11" s="1202"/>
      <c r="AFC11" s="1202"/>
      <c r="AFD11" s="1202"/>
      <c r="AFE11" s="1202"/>
      <c r="AFF11" s="1202"/>
      <c r="AFG11" s="1202"/>
      <c r="AFH11" s="1202"/>
      <c r="AFI11" s="1202"/>
      <c r="AFJ11" s="1202"/>
      <c r="AFK11" s="1202"/>
      <c r="AFL11" s="1202"/>
      <c r="AFM11" s="1202"/>
      <c r="AFN11" s="1202"/>
      <c r="AFO11" s="1202"/>
      <c r="AFP11" s="1202"/>
      <c r="AFQ11" s="1202"/>
      <c r="AFR11" s="1202"/>
      <c r="AFS11" s="1202"/>
      <c r="AFT11" s="1202"/>
      <c r="AFU11" s="1202"/>
      <c r="AFV11" s="1202"/>
      <c r="AFW11" s="1202"/>
      <c r="AFX11" s="1202"/>
      <c r="AFY11" s="1202"/>
      <c r="AFZ11" s="1202"/>
      <c r="AGA11" s="1202"/>
      <c r="AGB11" s="1202"/>
      <c r="AGC11" s="1202"/>
      <c r="AGD11" s="1202"/>
      <c r="AGE11" s="1202"/>
      <c r="AGF11" s="1202"/>
      <c r="AGG11" s="1202"/>
      <c r="AGH11" s="1202"/>
      <c r="AGI11" s="1202"/>
      <c r="AGJ11" s="1202"/>
      <c r="AGK11" s="1202"/>
      <c r="AGL11" s="1202"/>
      <c r="AGM11" s="1202"/>
      <c r="AGN11" s="1202"/>
      <c r="AGO11" s="1202"/>
      <c r="AGP11" s="1202"/>
      <c r="AGQ11" s="1202"/>
      <c r="AGR11" s="1202"/>
      <c r="AGS11" s="1202"/>
      <c r="AGT11" s="1202"/>
      <c r="AGU11" s="1202"/>
      <c r="AGV11" s="1202"/>
      <c r="AGW11" s="1202"/>
      <c r="AGX11" s="1202"/>
      <c r="AGY11" s="1202"/>
      <c r="AGZ11" s="1202"/>
      <c r="AHA11" s="1202"/>
      <c r="AHB11" s="1202"/>
      <c r="AHC11" s="1202"/>
      <c r="AHD11" s="1202"/>
      <c r="AHE11" s="1202"/>
      <c r="AHF11" s="1202"/>
      <c r="AHG11" s="1202"/>
      <c r="AHH11" s="1202"/>
      <c r="AHI11" s="1202"/>
      <c r="AHJ11" s="1202"/>
      <c r="AHK11" s="1202"/>
      <c r="AHL11" s="1202"/>
      <c r="AHM11" s="1202"/>
      <c r="AHN11" s="1202"/>
      <c r="AHO11" s="1202"/>
      <c r="AHP11" s="1202"/>
      <c r="AHQ11" s="1202"/>
      <c r="AHR11" s="1202"/>
      <c r="AHS11" s="1202"/>
      <c r="AHT11" s="1202"/>
      <c r="AHU11" s="1202"/>
      <c r="AHV11" s="1202"/>
      <c r="AHW11" s="1202"/>
      <c r="AHX11" s="1202"/>
      <c r="AHY11" s="1202"/>
      <c r="AHZ11" s="1202"/>
      <c r="AIA11" s="1202"/>
      <c r="AIB11" s="1202"/>
      <c r="AIC11" s="1202"/>
      <c r="AID11" s="1202"/>
      <c r="AIE11" s="1202"/>
      <c r="AIF11" s="1202"/>
      <c r="AIG11" s="1202"/>
      <c r="AIH11" s="1202"/>
      <c r="AII11" s="1202"/>
      <c r="AIJ11" s="1202"/>
      <c r="AIK11" s="1202"/>
      <c r="AIL11" s="1202"/>
      <c r="AIM11" s="1202"/>
      <c r="AIN11" s="1202"/>
      <c r="AIO11" s="1202"/>
      <c r="AIP11" s="1202"/>
      <c r="AIQ11" s="1202"/>
      <c r="AIR11" s="1202"/>
      <c r="AIS11" s="1202"/>
      <c r="AIT11" s="1202"/>
      <c r="AIU11" s="1202"/>
      <c r="AIV11" s="1202"/>
      <c r="AIW11" s="1202"/>
      <c r="AIX11" s="1202"/>
      <c r="AIY11" s="1202"/>
      <c r="AIZ11" s="1202"/>
      <c r="AJA11" s="1202"/>
      <c r="AJB11" s="1202"/>
      <c r="AJC11" s="1202"/>
      <c r="AJD11" s="1202"/>
      <c r="AJE11" s="1202"/>
      <c r="AJF11" s="1202"/>
      <c r="AJG11" s="1202"/>
      <c r="AJH11" s="1202"/>
      <c r="AJI11" s="1202"/>
      <c r="AJJ11" s="1202"/>
      <c r="AJK11" s="1202"/>
      <c r="AJL11" s="1202"/>
      <c r="AJM11" s="1202"/>
      <c r="AJN11" s="1202"/>
      <c r="AJO11" s="1202"/>
      <c r="AJP11" s="1202"/>
      <c r="AJQ11" s="1202"/>
      <c r="AJR11" s="1202"/>
      <c r="AJS11" s="1202"/>
      <c r="AJT11" s="1202"/>
      <c r="AJU11" s="1202"/>
      <c r="AJV11" s="1202"/>
      <c r="AJW11" s="1202"/>
      <c r="AJX11" s="1202"/>
      <c r="AJY11" s="1202"/>
      <c r="AJZ11" s="1202"/>
      <c r="AKA11" s="1202"/>
      <c r="AKB11" s="1202"/>
      <c r="AKC11" s="1202"/>
      <c r="AKD11" s="1202"/>
      <c r="AKE11" s="1202"/>
      <c r="AKF11" s="1202"/>
      <c r="AKG11" s="1202"/>
      <c r="AKH11" s="1202"/>
      <c r="AKI11" s="1202"/>
      <c r="AKJ11" s="1202"/>
      <c r="AKK11" s="1202"/>
      <c r="AKL11" s="1202"/>
      <c r="AKM11" s="1202"/>
      <c r="AKN11" s="1202"/>
      <c r="AKO11" s="1202"/>
      <c r="AKP11" s="1202"/>
      <c r="AKQ11" s="1202"/>
      <c r="AKR11" s="1202"/>
      <c r="AKS11" s="1202"/>
      <c r="AKT11" s="1202"/>
      <c r="AKU11" s="1202"/>
      <c r="AKV11" s="1202"/>
      <c r="AKW11" s="1202"/>
      <c r="AKX11" s="1202"/>
      <c r="AKY11" s="1202"/>
      <c r="AKZ11" s="1202"/>
      <c r="ALA11" s="1202"/>
      <c r="ALB11" s="1202"/>
      <c r="ALC11" s="1202"/>
      <c r="ALD11" s="1202"/>
      <c r="ALE11" s="1202"/>
      <c r="ALF11" s="1202"/>
      <c r="ALG11" s="1202"/>
      <c r="ALH11" s="1202"/>
      <c r="ALI11" s="1202"/>
      <c r="ALJ11" s="1202"/>
      <c r="ALK11" s="1202"/>
      <c r="ALL11" s="1202"/>
      <c r="ALM11" s="1202"/>
      <c r="ALN11" s="1202"/>
      <c r="ALO11" s="1202"/>
      <c r="ALP11" s="1202"/>
      <c r="ALQ11" s="1202"/>
      <c r="ALR11" s="1202"/>
      <c r="ALS11" s="1202"/>
      <c r="ALT11" s="1202"/>
      <c r="ALU11" s="1202"/>
      <c r="ALV11" s="1202"/>
      <c r="ALW11" s="1202"/>
      <c r="ALX11" s="1202"/>
      <c r="ALY11" s="1202"/>
      <c r="ALZ11" s="1202"/>
      <c r="AMA11" s="1202"/>
      <c r="AMB11" s="1202"/>
      <c r="AMC11" s="1202"/>
      <c r="AMD11" s="1202"/>
      <c r="AME11" s="1202"/>
      <c r="AMF11" s="1202"/>
      <c r="AMG11" s="1202"/>
      <c r="AMH11" s="1202"/>
      <c r="AMI11" s="1202"/>
      <c r="AMJ11" s="1202"/>
      <c r="AMK11" s="1202"/>
      <c r="AML11" s="1202"/>
      <c r="AMM11" s="1202"/>
      <c r="AMN11" s="1202"/>
      <c r="AMO11" s="1202"/>
      <c r="AMP11" s="1202"/>
      <c r="AMQ11" s="1202"/>
      <c r="AMR11" s="1202"/>
      <c r="AMS11" s="1202"/>
      <c r="AMT11" s="1202"/>
      <c r="AMU11" s="1202"/>
      <c r="AMV11" s="1202"/>
      <c r="AMW11" s="1202"/>
      <c r="AMX11" s="1202"/>
      <c r="AMY11" s="1202"/>
      <c r="AMZ11" s="1202"/>
      <c r="ANA11" s="1202"/>
      <c r="ANB11" s="1202"/>
      <c r="ANC11" s="1202"/>
      <c r="AND11" s="1202"/>
      <c r="ANE11" s="1202"/>
      <c r="ANF11" s="1202"/>
      <c r="ANG11" s="1202"/>
      <c r="ANH11" s="1202"/>
      <c r="ANI11" s="1202"/>
      <c r="ANJ11" s="1202"/>
      <c r="ANK11" s="1202"/>
      <c r="ANL11" s="1202"/>
      <c r="ANM11" s="1202"/>
      <c r="ANN11" s="1202"/>
      <c r="ANO11" s="1202"/>
      <c r="ANP11" s="1202"/>
      <c r="ANQ11" s="1202"/>
      <c r="ANR11" s="1202"/>
      <c r="ANS11" s="1202"/>
      <c r="ANT11" s="1202"/>
      <c r="ANU11" s="1202"/>
      <c r="ANV11" s="1202"/>
      <c r="ANW11" s="1202"/>
      <c r="ANX11" s="1202"/>
      <c r="ANY11" s="1202"/>
      <c r="ANZ11" s="1202"/>
      <c r="AOA11" s="1202"/>
      <c r="AOB11" s="1202"/>
      <c r="AOC11" s="1202"/>
      <c r="AOD11" s="1202"/>
      <c r="AOE11" s="1202"/>
      <c r="AOF11" s="1202"/>
      <c r="AOG11" s="1202"/>
      <c r="AOH11" s="1202"/>
      <c r="AOI11" s="1202"/>
      <c r="AOJ11" s="1202"/>
      <c r="AOK11" s="1202"/>
      <c r="AOL11" s="1202"/>
      <c r="AOM11" s="1202"/>
      <c r="AON11" s="1202"/>
      <c r="AOO11" s="1202"/>
      <c r="AOP11" s="1202"/>
      <c r="AOQ11" s="1202"/>
      <c r="AOR11" s="1202"/>
      <c r="AOS11" s="1202"/>
      <c r="AOT11" s="1202"/>
      <c r="AOU11" s="1202"/>
      <c r="AOV11" s="1202"/>
      <c r="AOW11" s="1202"/>
      <c r="AOX11" s="1202"/>
      <c r="AOY11" s="1202"/>
      <c r="AOZ11" s="1202"/>
      <c r="APA11" s="1202"/>
      <c r="APB11" s="1202"/>
      <c r="APC11" s="1202"/>
      <c r="APD11" s="1202"/>
      <c r="APE11" s="1202"/>
      <c r="APF11" s="1202"/>
      <c r="APG11" s="1202"/>
      <c r="APH11" s="1202"/>
      <c r="API11" s="1202"/>
      <c r="APJ11" s="1202"/>
      <c r="APK11" s="1202"/>
      <c r="APL11" s="1202"/>
      <c r="APM11" s="1202"/>
      <c r="APN11" s="1202"/>
      <c r="APO11" s="1202"/>
      <c r="APP11" s="1202"/>
      <c r="APQ11" s="1202"/>
      <c r="APR11" s="1202"/>
      <c r="APS11" s="1202"/>
      <c r="APT11" s="1202"/>
      <c r="APU11" s="1202"/>
      <c r="APV11" s="1202"/>
      <c r="APW11" s="1202"/>
      <c r="APX11" s="1202"/>
      <c r="APY11" s="1202"/>
      <c r="APZ11" s="1202"/>
      <c r="AQA11" s="1202"/>
      <c r="AQB11" s="1202"/>
      <c r="AQC11" s="1202"/>
      <c r="AQD11" s="1202"/>
      <c r="AQE11" s="1202"/>
      <c r="AQF11" s="1202"/>
      <c r="AQG11" s="1202"/>
      <c r="AQH11" s="1202"/>
      <c r="AQI11" s="1202"/>
      <c r="AQJ11" s="1202"/>
      <c r="AQK11" s="1202"/>
      <c r="AQL11" s="1202"/>
      <c r="AQM11" s="1202"/>
      <c r="AQN11" s="1202"/>
      <c r="AQO11" s="1202"/>
      <c r="AQP11" s="1202"/>
      <c r="AQQ11" s="1202"/>
      <c r="AQR11" s="1202"/>
      <c r="AQS11" s="1202"/>
      <c r="AQT11" s="1202"/>
      <c r="AQU11" s="1202"/>
      <c r="AQV11" s="1202"/>
      <c r="AQW11" s="1202"/>
      <c r="AQX11" s="1202"/>
      <c r="AQY11" s="1202"/>
      <c r="AQZ11" s="1202"/>
      <c r="ARA11" s="1202"/>
      <c r="ARB11" s="1202"/>
      <c r="ARC11" s="1202"/>
      <c r="ARD11" s="1202"/>
      <c r="ARE11" s="1202"/>
      <c r="ARF11" s="1202"/>
      <c r="ARG11" s="1202"/>
      <c r="ARH11" s="1202"/>
      <c r="ARI11" s="1202"/>
      <c r="ARJ11" s="1202"/>
      <c r="ARK11" s="1202"/>
      <c r="ARL11" s="1202"/>
      <c r="ARM11" s="1202"/>
      <c r="ARN11" s="1202"/>
      <c r="ARO11" s="1202"/>
      <c r="ARP11" s="1202"/>
      <c r="ARQ11" s="1202"/>
      <c r="ARR11" s="1202"/>
      <c r="ARS11" s="1202"/>
      <c r="ART11" s="1202"/>
      <c r="ARU11" s="1202"/>
      <c r="ARV11" s="1202"/>
      <c r="ARW11" s="1202"/>
      <c r="ARX11" s="1202"/>
      <c r="ARY11" s="1202"/>
      <c r="ARZ11" s="1202"/>
      <c r="ASA11" s="1202"/>
      <c r="ASB11" s="1202"/>
      <c r="ASC11" s="1202"/>
      <c r="ASD11" s="1202"/>
      <c r="ASE11" s="1202"/>
      <c r="ASF11" s="1202"/>
      <c r="ASG11" s="1202"/>
      <c r="ASH11" s="1202"/>
      <c r="ASI11" s="1202"/>
      <c r="ASJ11" s="1202"/>
      <c r="ASK11" s="1202"/>
      <c r="ASL11" s="1202"/>
      <c r="ASM11" s="1202"/>
      <c r="ASN11" s="1202"/>
      <c r="ASO11" s="1202"/>
      <c r="ASP11" s="1202"/>
      <c r="ASQ11" s="1202"/>
      <c r="ASR11" s="1202"/>
      <c r="ASS11" s="1202"/>
      <c r="AST11" s="1202"/>
      <c r="ASU11" s="1202"/>
      <c r="ASV11" s="1202"/>
      <c r="ASW11" s="1202"/>
      <c r="ASX11" s="1202"/>
      <c r="ASY11" s="1202"/>
      <c r="ASZ11" s="1202"/>
      <c r="ATA11" s="1202"/>
      <c r="ATB11" s="1202"/>
      <c r="ATC11" s="1202"/>
      <c r="ATD11" s="1202"/>
      <c r="ATE11" s="1202"/>
      <c r="ATF11" s="1202"/>
      <c r="ATG11" s="1202"/>
      <c r="ATH11" s="1202"/>
      <c r="ATI11" s="1202"/>
      <c r="ATJ11" s="1202"/>
      <c r="ATK11" s="1202"/>
      <c r="ATL11" s="1202"/>
      <c r="ATM11" s="1202"/>
      <c r="ATN11" s="1202"/>
      <c r="ATO11" s="1202"/>
      <c r="ATP11" s="1202"/>
      <c r="ATQ11" s="1202"/>
      <c r="ATR11" s="1202"/>
      <c r="ATS11" s="1202"/>
      <c r="ATT11" s="1202"/>
      <c r="ATU11" s="1202"/>
      <c r="ATV11" s="1202"/>
      <c r="ATW11" s="1202"/>
      <c r="ATX11" s="1202"/>
      <c r="ATY11" s="1202"/>
      <c r="ATZ11" s="1202"/>
      <c r="AUA11" s="1202"/>
      <c r="AUB11" s="1202"/>
      <c r="AUC11" s="1202"/>
      <c r="AUD11" s="1202"/>
      <c r="AUE11" s="1202"/>
      <c r="AUF11" s="1202"/>
      <c r="AUG11" s="1202"/>
      <c r="AUH11" s="1202"/>
      <c r="AUI11" s="1202"/>
      <c r="AUJ11" s="1202"/>
      <c r="AUK11" s="1202"/>
      <c r="AUL11" s="1202"/>
      <c r="AUM11" s="1202"/>
      <c r="AUN11" s="1202"/>
      <c r="AUO11" s="1202"/>
      <c r="AUP11" s="1202"/>
      <c r="AUQ11" s="1202"/>
      <c r="AUR11" s="1202"/>
      <c r="AUS11" s="1202"/>
      <c r="AUT11" s="1202"/>
      <c r="AUU11" s="1202"/>
      <c r="AUV11" s="1202"/>
      <c r="AUW11" s="1202"/>
      <c r="AUX11" s="1202"/>
      <c r="AUY11" s="1202"/>
      <c r="AUZ11" s="1202"/>
      <c r="AVA11" s="1202"/>
      <c r="AVB11" s="1202"/>
      <c r="AVC11" s="1202"/>
      <c r="AVD11" s="1202"/>
      <c r="AVE11" s="1202"/>
      <c r="AVF11" s="1202"/>
      <c r="AVG11" s="1202"/>
      <c r="AVH11" s="1202"/>
      <c r="AVI11" s="1202"/>
      <c r="AVJ11" s="1202"/>
      <c r="AVK11" s="1202"/>
      <c r="AVL11" s="1202"/>
      <c r="AVM11" s="1202"/>
      <c r="AVN11" s="1202"/>
      <c r="AVO11" s="1202"/>
      <c r="AVP11" s="1202"/>
      <c r="AVQ11" s="1202"/>
      <c r="AVR11" s="1202"/>
      <c r="AVS11" s="1202"/>
      <c r="AVT11" s="1202"/>
      <c r="AVU11" s="1202"/>
      <c r="AVV11" s="1202"/>
      <c r="AVW11" s="1202"/>
      <c r="AVX11" s="1202"/>
      <c r="AVY11" s="1202"/>
      <c r="AVZ11" s="1202"/>
      <c r="AWA11" s="1202"/>
      <c r="AWB11" s="1202"/>
      <c r="AWC11" s="1202"/>
      <c r="AWD11" s="1202"/>
      <c r="AWE11" s="1202"/>
      <c r="AWF11" s="1202"/>
      <c r="AWG11" s="1202"/>
      <c r="AWH11" s="1202"/>
      <c r="AWI11" s="1202"/>
      <c r="AWJ11" s="1202"/>
      <c r="AWK11" s="1202"/>
      <c r="AWL11" s="1202"/>
      <c r="AWM11" s="1202"/>
      <c r="AWN11" s="1202"/>
      <c r="AWO11" s="1202"/>
      <c r="AWP11" s="1202"/>
      <c r="AWQ11" s="1202"/>
      <c r="AWR11" s="1202"/>
      <c r="AWS11" s="1202"/>
      <c r="AWT11" s="1202"/>
      <c r="AWU11" s="1202"/>
      <c r="AWV11" s="1202"/>
      <c r="AWW11" s="1202"/>
      <c r="AWX11" s="1202"/>
      <c r="AWY11" s="1202"/>
      <c r="AWZ11" s="1202"/>
      <c r="AXA11" s="1202"/>
      <c r="AXB11" s="1202"/>
      <c r="AXC11" s="1202"/>
      <c r="AXD11" s="1202"/>
      <c r="AXE11" s="1202"/>
      <c r="AXF11" s="1202"/>
      <c r="AXG11" s="1202"/>
      <c r="AXH11" s="1202"/>
      <c r="AXI11" s="1202"/>
      <c r="AXJ11" s="1202"/>
      <c r="AXK11" s="1202"/>
      <c r="AXL11" s="1202"/>
      <c r="AXM11" s="1202"/>
      <c r="AXN11" s="1202"/>
      <c r="AXO11" s="1202"/>
      <c r="AXP11" s="1202"/>
      <c r="AXQ11" s="1202"/>
      <c r="AXR11" s="1202"/>
      <c r="AXS11" s="1202"/>
      <c r="AXT11" s="1202"/>
      <c r="AXU11" s="1202"/>
      <c r="AXV11" s="1202"/>
      <c r="AXW11" s="1202"/>
      <c r="AXX11" s="1202"/>
      <c r="AXY11" s="1202"/>
      <c r="AXZ11" s="1202"/>
      <c r="AYA11" s="1202"/>
      <c r="AYB11" s="1202"/>
      <c r="AYC11" s="1202"/>
      <c r="AYD11" s="1202"/>
      <c r="AYE11" s="1202"/>
      <c r="AYF11" s="1202"/>
      <c r="AYG11" s="1202"/>
      <c r="AYH11" s="1202"/>
      <c r="AYI11" s="1202"/>
      <c r="AYJ11" s="1202"/>
      <c r="AYK11" s="1202"/>
      <c r="AYL11" s="1202"/>
      <c r="AYM11" s="1202"/>
      <c r="AYN11" s="1202"/>
      <c r="AYO11" s="1202"/>
      <c r="AYP11" s="1202"/>
      <c r="AYQ11" s="1202"/>
      <c r="AYR11" s="1202"/>
      <c r="AYS11" s="1202"/>
      <c r="AYT11" s="1202"/>
      <c r="AYU11" s="1202"/>
      <c r="AYV11" s="1202"/>
      <c r="AYW11" s="1202"/>
      <c r="AYX11" s="1202"/>
      <c r="AYY11" s="1202"/>
      <c r="AYZ11" s="1202"/>
      <c r="AZA11" s="1202"/>
      <c r="AZB11" s="1202"/>
      <c r="AZC11" s="1202"/>
      <c r="AZD11" s="1202"/>
      <c r="AZE11" s="1202"/>
      <c r="AZF11" s="1202"/>
      <c r="AZG11" s="1202"/>
      <c r="AZH11" s="1202"/>
      <c r="AZI11" s="1202"/>
      <c r="AZJ11" s="1202"/>
      <c r="AZK11" s="1202"/>
      <c r="AZL11" s="1202"/>
      <c r="AZM11" s="1202"/>
      <c r="AZN11" s="1202"/>
      <c r="AZO11" s="1202"/>
      <c r="AZP11" s="1202"/>
      <c r="AZQ11" s="1202"/>
      <c r="AZR11" s="1202"/>
      <c r="AZS11" s="1202"/>
      <c r="AZT11" s="1202"/>
      <c r="AZU11" s="1202"/>
      <c r="AZV11" s="1202"/>
      <c r="AZW11" s="1202"/>
      <c r="AZX11" s="1202"/>
      <c r="AZY11" s="1202"/>
      <c r="AZZ11" s="1202"/>
      <c r="BAA11" s="1202"/>
      <c r="BAB11" s="1202"/>
      <c r="BAC11" s="1202"/>
      <c r="BAD11" s="1202"/>
      <c r="BAE11" s="1202"/>
      <c r="BAF11" s="1202"/>
      <c r="BAG11" s="1202"/>
      <c r="BAH11" s="1202"/>
      <c r="BAI11" s="1202"/>
      <c r="BAJ11" s="1202"/>
      <c r="BAK11" s="1202"/>
      <c r="BAL11" s="1202"/>
      <c r="BAM11" s="1202"/>
      <c r="BAN11" s="1202"/>
      <c r="BAO11" s="1202"/>
      <c r="BAP11" s="1202"/>
      <c r="BAQ11" s="1202"/>
      <c r="BAR11" s="1202"/>
      <c r="BAS11" s="1202"/>
      <c r="BAT11" s="1202"/>
      <c r="BAU11" s="1202"/>
      <c r="BAV11" s="1202"/>
      <c r="BAW11" s="1202"/>
      <c r="BAX11" s="1202"/>
      <c r="BAY11" s="1202"/>
      <c r="BAZ11" s="1202"/>
      <c r="BBA11" s="1202"/>
      <c r="BBB11" s="1202"/>
      <c r="BBC11" s="1202"/>
      <c r="BBD11" s="1202"/>
      <c r="BBE11" s="1202"/>
      <c r="BBF11" s="1202"/>
      <c r="BBG11" s="1202"/>
      <c r="BBH11" s="1202"/>
      <c r="BBI11" s="1202"/>
      <c r="BBJ11" s="1202"/>
      <c r="BBK11" s="1202"/>
      <c r="BBL11" s="1202"/>
      <c r="BBM11" s="1202"/>
      <c r="BBN11" s="1202"/>
      <c r="BBO11" s="1202"/>
      <c r="BBP11" s="1202"/>
      <c r="BBQ11" s="1202"/>
      <c r="BBR11" s="1202"/>
      <c r="BBS11" s="1202"/>
      <c r="BBT11" s="1202"/>
      <c r="BBU11" s="1202"/>
      <c r="BBV11" s="1202"/>
      <c r="BBW11" s="1202"/>
      <c r="BBX11" s="1202"/>
      <c r="BBY11" s="1202"/>
      <c r="BBZ11" s="1202"/>
      <c r="BCA11" s="1202"/>
      <c r="BCB11" s="1202"/>
      <c r="BCC11" s="1202"/>
      <c r="BCD11" s="1202"/>
      <c r="BCE11" s="1202"/>
      <c r="BCF11" s="1202"/>
      <c r="BCG11" s="1202"/>
      <c r="BCH11" s="1202"/>
      <c r="BCI11" s="1202"/>
      <c r="BCJ11" s="1202"/>
      <c r="BCK11" s="1202"/>
      <c r="BCL11" s="1202"/>
      <c r="BCM11" s="1202"/>
      <c r="BCN11" s="1202"/>
      <c r="BCO11" s="1202"/>
      <c r="BCP11" s="1202"/>
      <c r="BCQ11" s="1202"/>
      <c r="BCR11" s="1202"/>
      <c r="BCS11" s="1202"/>
      <c r="BCT11" s="1202"/>
      <c r="BCU11" s="1202"/>
      <c r="BCV11" s="1202"/>
      <c r="BCW11" s="1202"/>
      <c r="BCX11" s="1202"/>
      <c r="BCY11" s="1202"/>
      <c r="BCZ11" s="1202"/>
      <c r="BDA11" s="1202"/>
      <c r="BDB11" s="1202"/>
      <c r="BDC11" s="1202"/>
      <c r="BDD11" s="1202"/>
      <c r="BDE11" s="1202"/>
      <c r="BDF11" s="1202"/>
      <c r="BDG11" s="1202"/>
      <c r="BDH11" s="1202"/>
      <c r="BDI11" s="1202"/>
      <c r="BDJ11" s="1202"/>
      <c r="BDK11" s="1202"/>
      <c r="BDL11" s="1202"/>
      <c r="BDM11" s="1202"/>
      <c r="BDN11" s="1202"/>
      <c r="BDO11" s="1202"/>
      <c r="BDP11" s="1202"/>
      <c r="BDQ11" s="1202"/>
      <c r="BDR11" s="1202"/>
      <c r="BDS11" s="1202"/>
      <c r="BDT11" s="1202"/>
      <c r="BDU11" s="1202"/>
      <c r="BDV11" s="1202"/>
      <c r="BDW11" s="1202"/>
      <c r="BDX11" s="1202"/>
      <c r="BDY11" s="1202"/>
      <c r="BDZ11" s="1202"/>
      <c r="BEA11" s="1202"/>
      <c r="BEB11" s="1202"/>
      <c r="BEC11" s="1202"/>
      <c r="BED11" s="1202"/>
      <c r="BEE11" s="1202"/>
      <c r="BEF11" s="1202"/>
      <c r="BEG11" s="1202"/>
      <c r="BEH11" s="1202"/>
      <c r="BEI11" s="1202"/>
      <c r="BEJ11" s="1202"/>
      <c r="BEK11" s="1202"/>
      <c r="BEL11" s="1202"/>
      <c r="BEM11" s="1202"/>
      <c r="BEN11" s="1202"/>
      <c r="BEO11" s="1202"/>
      <c r="BEP11" s="1202"/>
      <c r="BEQ11" s="1202"/>
      <c r="BER11" s="1202"/>
      <c r="BES11" s="1202"/>
      <c r="BET11" s="1202"/>
      <c r="BEU11" s="1202"/>
      <c r="BEV11" s="1202"/>
      <c r="BEW11" s="1202"/>
      <c r="BEX11" s="1202"/>
      <c r="BEY11" s="1202"/>
      <c r="BEZ11" s="1202"/>
      <c r="BFA11" s="1202"/>
      <c r="BFB11" s="1202"/>
      <c r="BFC11" s="1202"/>
      <c r="BFD11" s="1202"/>
      <c r="BFE11" s="1202"/>
      <c r="BFF11" s="1202"/>
      <c r="BFG11" s="1202"/>
      <c r="BFH11" s="1202"/>
      <c r="BFI11" s="1202"/>
      <c r="BFJ11" s="1202"/>
      <c r="BFK11" s="1202"/>
      <c r="BFL11" s="1202"/>
      <c r="BFM11" s="1202"/>
      <c r="BFN11" s="1202"/>
      <c r="BFO11" s="1202"/>
      <c r="BFP11" s="1202"/>
      <c r="BFQ11" s="1202"/>
      <c r="BFR11" s="1202"/>
      <c r="BFS11" s="1202"/>
      <c r="BFT11" s="1202"/>
      <c r="BFU11" s="1202"/>
      <c r="BFV11" s="1202"/>
      <c r="BFW11" s="1202"/>
      <c r="BFX11" s="1202"/>
      <c r="BFY11" s="1202"/>
      <c r="BFZ11" s="1202"/>
      <c r="BGA11" s="1202"/>
      <c r="BGB11" s="1202"/>
      <c r="BGC11" s="1202"/>
      <c r="BGD11" s="1202"/>
      <c r="BGE11" s="1202"/>
      <c r="BGF11" s="1202"/>
      <c r="BGG11" s="1202"/>
      <c r="BGH11" s="1202"/>
      <c r="BGI11" s="1202"/>
      <c r="BGJ11" s="1202"/>
      <c r="BGK11" s="1202"/>
      <c r="BGL11" s="1202"/>
      <c r="BGM11" s="1202"/>
      <c r="BGN11" s="1202"/>
      <c r="BGO11" s="1202"/>
      <c r="BGP11" s="1202"/>
      <c r="BGQ11" s="1202"/>
      <c r="BGR11" s="1202"/>
      <c r="BGS11" s="1202"/>
      <c r="BGT11" s="1202"/>
      <c r="BGU11" s="1202"/>
      <c r="BGV11" s="1202"/>
      <c r="BGW11" s="1202"/>
      <c r="BGX11" s="1202"/>
      <c r="BGY11" s="1202"/>
      <c r="BGZ11" s="1202"/>
      <c r="BHA11" s="1202"/>
      <c r="BHB11" s="1202"/>
      <c r="BHC11" s="1202"/>
      <c r="BHD11" s="1202"/>
      <c r="BHE11" s="1202"/>
      <c r="BHF11" s="1202"/>
      <c r="BHG11" s="1202"/>
      <c r="BHH11" s="1202"/>
      <c r="BHI11" s="1202"/>
      <c r="BHJ11" s="1202"/>
      <c r="BHK11" s="1202"/>
      <c r="BHL11" s="1202"/>
      <c r="BHM11" s="1202"/>
      <c r="BHN11" s="1202"/>
      <c r="BHO11" s="1202"/>
      <c r="BHP11" s="1202"/>
      <c r="BHQ11" s="1202"/>
      <c r="BHR11" s="1202"/>
      <c r="BHS11" s="1202"/>
      <c r="BHT11" s="1202"/>
      <c r="BHU11" s="1202"/>
      <c r="BHV11" s="1202"/>
      <c r="BHW11" s="1202"/>
      <c r="BHX11" s="1202"/>
      <c r="BHY11" s="1202"/>
      <c r="BHZ11" s="1202"/>
      <c r="BIA11" s="1202"/>
      <c r="BIB11" s="1202"/>
      <c r="BIC11" s="1202"/>
      <c r="BID11" s="1202"/>
      <c r="BIE11" s="1202"/>
      <c r="BIF11" s="1202"/>
      <c r="BIG11" s="1202"/>
      <c r="BIH11" s="1202"/>
      <c r="BII11" s="1202"/>
      <c r="BIJ11" s="1202"/>
      <c r="BIK11" s="1202"/>
      <c r="BIL11" s="1202"/>
      <c r="BIM11" s="1202"/>
      <c r="BIN11" s="1202"/>
      <c r="BIO11" s="1202"/>
      <c r="BIP11" s="1202"/>
      <c r="BIQ11" s="1202"/>
      <c r="BIR11" s="1202"/>
      <c r="BIS11" s="1202"/>
      <c r="BIT11" s="1202"/>
      <c r="BIU11" s="1202"/>
      <c r="BIV11" s="1202"/>
      <c r="BIW11" s="1202"/>
      <c r="BIX11" s="1202"/>
      <c r="BIY11" s="1202"/>
      <c r="BIZ11" s="1202"/>
      <c r="BJA11" s="1202"/>
      <c r="BJB11" s="1202"/>
      <c r="BJC11" s="1202"/>
      <c r="BJD11" s="1202"/>
      <c r="BJE11" s="1202"/>
      <c r="BJF11" s="1202"/>
      <c r="BJG11" s="1202"/>
      <c r="BJH11" s="1202"/>
      <c r="BJI11" s="1202"/>
      <c r="BJJ11" s="1202"/>
      <c r="BJK11" s="1202"/>
      <c r="BJL11" s="1202"/>
      <c r="BJM11" s="1202"/>
      <c r="BJN11" s="1202"/>
      <c r="BJO11" s="1202"/>
      <c r="BJP11" s="1202"/>
      <c r="BJQ11" s="1202"/>
      <c r="BJR11" s="1202"/>
      <c r="BJS11" s="1202"/>
      <c r="BJT11" s="1202"/>
      <c r="BJU11" s="1202"/>
      <c r="BJV11" s="1202"/>
      <c r="BJW11" s="1202"/>
      <c r="BJX11" s="1202"/>
      <c r="BJY11" s="1202"/>
      <c r="BJZ11" s="1202"/>
      <c r="BKA11" s="1202"/>
      <c r="BKB11" s="1202"/>
      <c r="BKC11" s="1202"/>
      <c r="BKD11" s="1202"/>
      <c r="BKE11" s="1202"/>
      <c r="BKF11" s="1202"/>
      <c r="BKG11" s="1202"/>
      <c r="BKH11" s="1202"/>
      <c r="BKI11" s="1202"/>
      <c r="BKJ11" s="1202"/>
      <c r="BKK11" s="1202"/>
      <c r="BKL11" s="1202"/>
      <c r="BKM11" s="1202"/>
      <c r="BKN11" s="1202"/>
      <c r="BKO11" s="1202"/>
      <c r="BKP11" s="1202"/>
      <c r="BKQ11" s="1202"/>
      <c r="BKR11" s="1202"/>
      <c r="BKS11" s="1202"/>
      <c r="BKT11" s="1202"/>
      <c r="BKU11" s="1202"/>
      <c r="BKV11" s="1202"/>
      <c r="BKW11" s="1202"/>
      <c r="BKX11" s="1202"/>
      <c r="BKY11" s="1202"/>
      <c r="BKZ11" s="1202"/>
      <c r="BLA11" s="1202"/>
      <c r="BLB11" s="1202"/>
      <c r="BLC11" s="1202"/>
      <c r="BLD11" s="1202"/>
      <c r="BLE11" s="1202"/>
      <c r="BLF11" s="1202"/>
      <c r="BLG11" s="1202"/>
      <c r="BLH11" s="1202"/>
      <c r="BLI11" s="1202"/>
      <c r="BLJ11" s="1202"/>
      <c r="BLK11" s="1202"/>
      <c r="BLL11" s="1202"/>
      <c r="BLM11" s="1202"/>
      <c r="BLN11" s="1202"/>
      <c r="BLO11" s="1202"/>
      <c r="BLP11" s="1202"/>
      <c r="BLQ11" s="1202"/>
      <c r="BLR11" s="1202"/>
      <c r="BLS11" s="1202"/>
      <c r="BLT11" s="1202"/>
      <c r="BLU11" s="1202"/>
      <c r="BLV11" s="1202"/>
      <c r="BLW11" s="1202"/>
      <c r="BLX11" s="1202"/>
      <c r="BLY11" s="1202"/>
      <c r="BLZ11" s="1202"/>
      <c r="BMA11" s="1202"/>
      <c r="BMB11" s="1202"/>
      <c r="BMC11" s="1202"/>
      <c r="BMD11" s="1202"/>
      <c r="BME11" s="1202"/>
      <c r="BMF11" s="1202"/>
      <c r="BMG11" s="1202"/>
      <c r="BMH11" s="1202"/>
      <c r="BMI11" s="1202"/>
      <c r="BMJ11" s="1202"/>
      <c r="BMK11" s="1202"/>
      <c r="BML11" s="1202"/>
      <c r="BMM11" s="1202"/>
      <c r="BMN11" s="1202"/>
      <c r="BMO11" s="1202"/>
      <c r="BMP11" s="1202"/>
      <c r="BMQ11" s="1202"/>
      <c r="BMR11" s="1202"/>
      <c r="BMS11" s="1202"/>
      <c r="BMT11" s="1202"/>
      <c r="BMU11" s="1202"/>
      <c r="BMV11" s="1202"/>
      <c r="BMW11" s="1202"/>
      <c r="BMX11" s="1202"/>
      <c r="BMY11" s="1202"/>
      <c r="BMZ11" s="1202"/>
      <c r="BNA11" s="1202"/>
      <c r="BNB11" s="1202"/>
      <c r="BNC11" s="1202"/>
      <c r="BND11" s="1202"/>
      <c r="BNE11" s="1202"/>
      <c r="BNF11" s="1202"/>
      <c r="BNG11" s="1202"/>
      <c r="BNH11" s="1202"/>
      <c r="BNI11" s="1202"/>
      <c r="BNJ11" s="1202"/>
      <c r="BNK11" s="1202"/>
      <c r="BNL11" s="1202"/>
      <c r="BNM11" s="1202"/>
      <c r="BNN11" s="1202"/>
      <c r="BNO11" s="1202"/>
      <c r="BNP11" s="1202"/>
      <c r="BNQ11" s="1202"/>
      <c r="BNR11" s="1202"/>
      <c r="BNS11" s="1202"/>
      <c r="BNT11" s="1202"/>
      <c r="BNU11" s="1202"/>
      <c r="BNV11" s="1202"/>
      <c r="BNW11" s="1202"/>
      <c r="BNX11" s="1202"/>
      <c r="BNY11" s="1202"/>
      <c r="BNZ11" s="1202"/>
      <c r="BOA11" s="1202"/>
      <c r="BOB11" s="1202"/>
      <c r="BOC11" s="1202"/>
      <c r="BOD11" s="1202"/>
      <c r="BOE11" s="1202"/>
      <c r="BOF11" s="1202"/>
      <c r="BOG11" s="1202"/>
      <c r="BOH11" s="1202"/>
      <c r="BOI11" s="1202"/>
      <c r="BOJ11" s="1202"/>
      <c r="BOK11" s="1202"/>
      <c r="BOL11" s="1202"/>
      <c r="BOM11" s="1202"/>
      <c r="BON11" s="1202"/>
      <c r="BOO11" s="1202"/>
      <c r="BOP11" s="1202"/>
      <c r="BOQ11" s="1202"/>
      <c r="BOR11" s="1202"/>
      <c r="BOS11" s="1202"/>
      <c r="BOT11" s="1202"/>
      <c r="BOU11" s="1202"/>
      <c r="BOV11" s="1202"/>
      <c r="BOW11" s="1202"/>
      <c r="BOX11" s="1202"/>
      <c r="BOY11" s="1202"/>
      <c r="BOZ11" s="1202"/>
      <c r="BPA11" s="1202"/>
      <c r="BPB11" s="1202"/>
      <c r="BPC11" s="1202"/>
      <c r="BPD11" s="1202"/>
      <c r="BPE11" s="1202"/>
      <c r="BPF11" s="1202"/>
      <c r="BPG11" s="1202"/>
      <c r="BPH11" s="1202"/>
      <c r="BPI11" s="1202"/>
      <c r="BPJ11" s="1202"/>
      <c r="BPK11" s="1202"/>
      <c r="BPL11" s="1202"/>
      <c r="BPM11" s="1202"/>
      <c r="BPN11" s="1202"/>
      <c r="BPO11" s="1202"/>
      <c r="BPP11" s="1202"/>
      <c r="BPQ11" s="1202"/>
      <c r="BPR11" s="1202"/>
      <c r="BPS11" s="1202"/>
      <c r="BPT11" s="1202"/>
      <c r="BPU11" s="1202"/>
      <c r="BPV11" s="1202"/>
      <c r="BPW11" s="1202"/>
      <c r="BPX11" s="1202"/>
      <c r="BPY11" s="1202"/>
      <c r="BPZ11" s="1202"/>
      <c r="BQA11" s="1202"/>
      <c r="BQB11" s="1202"/>
      <c r="BQC11" s="1202"/>
      <c r="BQD11" s="1202"/>
      <c r="BQE11" s="1202"/>
      <c r="BQF11" s="1202"/>
      <c r="BQG11" s="1202"/>
      <c r="BQH11" s="1202"/>
      <c r="BQI11" s="1202"/>
      <c r="BQJ11" s="1202"/>
      <c r="BQK11" s="1202"/>
      <c r="BQL11" s="1202"/>
      <c r="BQM11" s="1202"/>
      <c r="BQN11" s="1202"/>
      <c r="BQO11" s="1202"/>
      <c r="BQP11" s="1202"/>
      <c r="BQQ11" s="1202"/>
      <c r="BQR11" s="1202"/>
      <c r="BQS11" s="1202"/>
      <c r="BQT11" s="1202"/>
      <c r="BQU11" s="1202"/>
      <c r="BQV11" s="1202"/>
      <c r="BQW11" s="1202"/>
      <c r="BQX11" s="1202"/>
      <c r="BQY11" s="1202"/>
      <c r="BQZ11" s="1202"/>
      <c r="BRA11" s="1202"/>
      <c r="BRB11" s="1202"/>
      <c r="BRC11" s="1202"/>
      <c r="BRD11" s="1202"/>
      <c r="BRE11" s="1202"/>
      <c r="BRF11" s="1202"/>
      <c r="BRG11" s="1202"/>
      <c r="BRH11" s="1202"/>
      <c r="BRI11" s="1202"/>
      <c r="BRJ11" s="1202"/>
      <c r="BRK11" s="1202"/>
      <c r="BRL11" s="1202"/>
      <c r="BRM11" s="1202"/>
      <c r="BRN11" s="1202"/>
      <c r="BRO11" s="1202"/>
      <c r="BRP11" s="1202"/>
      <c r="BRQ11" s="1202"/>
      <c r="BRR11" s="1202"/>
      <c r="BRS11" s="1202"/>
      <c r="BRT11" s="1202"/>
      <c r="BRU11" s="1202"/>
      <c r="BRV11" s="1202"/>
      <c r="BRW11" s="1202"/>
      <c r="BRX11" s="1202"/>
      <c r="BRY11" s="1202"/>
      <c r="BRZ11" s="1202"/>
      <c r="BSA11" s="1202"/>
      <c r="BSB11" s="1202"/>
      <c r="BSC11" s="1202"/>
      <c r="BSD11" s="1202"/>
      <c r="BSE11" s="1202"/>
      <c r="BSF11" s="1202"/>
      <c r="BSG11" s="1202"/>
      <c r="BSH11" s="1202"/>
      <c r="BSI11" s="1202"/>
      <c r="BSJ11" s="1202"/>
      <c r="BSK11" s="1202"/>
      <c r="BSL11" s="1202"/>
      <c r="BSM11" s="1202"/>
      <c r="BSN11" s="1202"/>
      <c r="BSO11" s="1202"/>
      <c r="BSP11" s="1202"/>
      <c r="BSQ11" s="1202"/>
      <c r="BSR11" s="1202"/>
      <c r="BSS11" s="1202"/>
      <c r="BST11" s="1202"/>
      <c r="BSU11" s="1202"/>
      <c r="BSV11" s="1202"/>
      <c r="BSW11" s="1202"/>
      <c r="BSX11" s="1202"/>
      <c r="BSY11" s="1202"/>
      <c r="BSZ11" s="1202"/>
      <c r="BTA11" s="1202"/>
      <c r="BTB11" s="1202"/>
      <c r="BTC11" s="1202"/>
      <c r="BTD11" s="1202"/>
      <c r="BTE11" s="1202"/>
      <c r="BTF11" s="1202"/>
      <c r="BTG11" s="1202"/>
      <c r="BTH11" s="1202"/>
      <c r="BTI11" s="1202"/>
      <c r="BTJ11" s="1202"/>
      <c r="BTK11" s="1202"/>
      <c r="BTL11" s="1202"/>
      <c r="BTM11" s="1202"/>
      <c r="BTN11" s="1202"/>
      <c r="BTO11" s="1202"/>
      <c r="BTP11" s="1202"/>
      <c r="BTQ11" s="1202"/>
      <c r="BTR11" s="1202"/>
      <c r="BTS11" s="1202"/>
      <c r="BTT11" s="1202"/>
      <c r="BTU11" s="1202"/>
      <c r="BTV11" s="1202"/>
      <c r="BTW11" s="1202"/>
      <c r="BTX11" s="1202"/>
      <c r="BTY11" s="1202"/>
      <c r="BTZ11" s="1202"/>
      <c r="BUA11" s="1202"/>
      <c r="BUB11" s="1202"/>
      <c r="BUC11" s="1202"/>
      <c r="BUD11" s="1202"/>
      <c r="BUE11" s="1202"/>
      <c r="BUF11" s="1202"/>
      <c r="BUG11" s="1202"/>
      <c r="BUH11" s="1202"/>
      <c r="BUI11" s="1202"/>
      <c r="BUJ11" s="1202"/>
      <c r="BUK11" s="1202"/>
      <c r="BUL11" s="1202"/>
      <c r="BUM11" s="1202"/>
      <c r="BUN11" s="1202"/>
      <c r="BUO11" s="1202"/>
      <c r="BUP11" s="1202"/>
      <c r="BUQ11" s="1202"/>
      <c r="BUR11" s="1202"/>
      <c r="BUS11" s="1202"/>
      <c r="BUT11" s="1202"/>
      <c r="BUU11" s="1202"/>
      <c r="BUV11" s="1202"/>
      <c r="BUW11" s="1202"/>
      <c r="BUX11" s="1202"/>
      <c r="BUY11" s="1202"/>
      <c r="BUZ11" s="1202"/>
      <c r="BVA11" s="1202"/>
      <c r="BVB11" s="1202"/>
      <c r="BVC11" s="1202"/>
      <c r="BVD11" s="1202"/>
      <c r="BVE11" s="1202"/>
      <c r="BVF11" s="1202"/>
      <c r="BVG11" s="1202"/>
      <c r="BVH11" s="1202"/>
      <c r="BVI11" s="1202"/>
      <c r="BVJ11" s="1202"/>
      <c r="BVK11" s="1202"/>
      <c r="BVL11" s="1202"/>
      <c r="BVM11" s="1202"/>
      <c r="BVN11" s="1202"/>
      <c r="BVO11" s="1202"/>
      <c r="BVP11" s="1202"/>
      <c r="BVQ11" s="1202"/>
      <c r="BVR11" s="1202"/>
      <c r="BVS11" s="1202"/>
      <c r="BVT11" s="1202"/>
      <c r="BVU11" s="1202"/>
      <c r="BVV11" s="1202"/>
      <c r="BVW11" s="1202"/>
      <c r="BVX11" s="1202"/>
      <c r="BVY11" s="1202"/>
      <c r="BVZ11" s="1202"/>
      <c r="BWA11" s="1202"/>
      <c r="BWB11" s="1202"/>
      <c r="BWC11" s="1202"/>
      <c r="BWD11" s="1202"/>
      <c r="BWE11" s="1202"/>
      <c r="BWF11" s="1202"/>
      <c r="BWG11" s="1202"/>
      <c r="BWH11" s="1202"/>
      <c r="BWI11" s="1202"/>
      <c r="BWJ11" s="1202"/>
      <c r="BWK11" s="1202"/>
      <c r="BWL11" s="1202"/>
      <c r="BWM11" s="1202"/>
      <c r="BWN11" s="1202"/>
      <c r="BWO11" s="1202"/>
      <c r="BWP11" s="1202"/>
      <c r="BWQ11" s="1202"/>
      <c r="BWR11" s="1202"/>
      <c r="BWS11" s="1202"/>
      <c r="BWT11" s="1202"/>
      <c r="BWU11" s="1202"/>
      <c r="BWV11" s="1202"/>
      <c r="BWW11" s="1202"/>
      <c r="BWX11" s="1202"/>
      <c r="BWY11" s="1202"/>
      <c r="BWZ11" s="1202"/>
      <c r="BXA11" s="1202"/>
      <c r="BXB11" s="1202"/>
      <c r="BXC11" s="1202"/>
      <c r="BXD11" s="1202"/>
      <c r="BXE11" s="1202"/>
      <c r="BXF11" s="1202"/>
      <c r="BXG11" s="1202"/>
      <c r="BXH11" s="1202"/>
      <c r="BXI11" s="1202"/>
      <c r="BXJ11" s="1202"/>
      <c r="BXK11" s="1202"/>
      <c r="BXL11" s="1202"/>
      <c r="BXM11" s="1202"/>
      <c r="BXN11" s="1202"/>
      <c r="BXO11" s="1202"/>
      <c r="BXP11" s="1202"/>
      <c r="BXQ11" s="1202"/>
      <c r="BXR11" s="1202"/>
      <c r="BXS11" s="1202"/>
      <c r="BXT11" s="1202"/>
      <c r="BXU11" s="1202"/>
      <c r="BXV11" s="1202"/>
      <c r="BXW11" s="1202"/>
      <c r="BXX11" s="1202"/>
      <c r="BXY11" s="1202"/>
      <c r="BXZ11" s="1202"/>
      <c r="BYA11" s="1202"/>
      <c r="BYB11" s="1202"/>
      <c r="BYC11" s="1202"/>
      <c r="BYD11" s="1202"/>
      <c r="BYE11" s="1202"/>
      <c r="BYF11" s="1202"/>
      <c r="BYG11" s="1202"/>
      <c r="BYH11" s="1202"/>
      <c r="BYI11" s="1202"/>
      <c r="BYJ11" s="1202"/>
      <c r="BYK11" s="1202"/>
      <c r="BYL11" s="1202"/>
      <c r="BYM11" s="1202"/>
      <c r="BYN11" s="1202"/>
      <c r="BYO11" s="1202"/>
      <c r="BYP11" s="1202"/>
      <c r="BYQ11" s="1202"/>
      <c r="BYR11" s="1202"/>
      <c r="BYS11" s="1202"/>
      <c r="BYT11" s="1202"/>
      <c r="BYU11" s="1202"/>
      <c r="BYV11" s="1202"/>
      <c r="BYW11" s="1202"/>
      <c r="BYX11" s="1202"/>
      <c r="BYY11" s="1202"/>
      <c r="BYZ11" s="1202"/>
      <c r="BZA11" s="1202"/>
      <c r="BZB11" s="1202"/>
      <c r="BZC11" s="1202"/>
      <c r="BZD11" s="1202"/>
      <c r="BZE11" s="1202"/>
      <c r="BZF11" s="1202"/>
      <c r="BZG11" s="1202"/>
      <c r="BZH11" s="1202"/>
      <c r="BZI11" s="1202"/>
      <c r="BZJ11" s="1202"/>
      <c r="BZK11" s="1202"/>
      <c r="BZL11" s="1202"/>
      <c r="BZM11" s="1202"/>
      <c r="BZN11" s="1202"/>
      <c r="BZO11" s="1202"/>
      <c r="BZP11" s="1202"/>
      <c r="BZQ11" s="1202"/>
      <c r="BZR11" s="1202"/>
      <c r="BZS11" s="1202"/>
      <c r="BZT11" s="1202"/>
      <c r="BZU11" s="1202"/>
      <c r="BZV11" s="1202"/>
      <c r="BZW11" s="1202"/>
      <c r="BZX11" s="1202"/>
      <c r="BZY11" s="1202"/>
      <c r="BZZ11" s="1202"/>
      <c r="CAA11" s="1202"/>
      <c r="CAB11" s="1202"/>
      <c r="CAC11" s="1202"/>
      <c r="CAD11" s="1202"/>
      <c r="CAE11" s="1202"/>
      <c r="CAF11" s="1202"/>
      <c r="CAG11" s="1202"/>
      <c r="CAH11" s="1202"/>
      <c r="CAI11" s="1202"/>
      <c r="CAJ11" s="1202"/>
      <c r="CAK11" s="1202"/>
      <c r="CAL11" s="1202"/>
      <c r="CAM11" s="1202"/>
      <c r="CAN11" s="1202"/>
      <c r="CAO11" s="1202"/>
      <c r="CAP11" s="1202"/>
      <c r="CAQ11" s="1202"/>
      <c r="CAR11" s="1202"/>
      <c r="CAS11" s="1202"/>
      <c r="CAT11" s="1202"/>
      <c r="CAU11" s="1202"/>
      <c r="CAV11" s="1202"/>
      <c r="CAW11" s="1202"/>
      <c r="CAX11" s="1202"/>
      <c r="CAY11" s="1202"/>
      <c r="CAZ11" s="1202"/>
      <c r="CBA11" s="1202"/>
      <c r="CBB11" s="1202"/>
      <c r="CBC11" s="1202"/>
      <c r="CBD11" s="1202"/>
      <c r="CBE11" s="1202"/>
      <c r="CBF11" s="1202"/>
      <c r="CBG11" s="1202"/>
      <c r="CBH11" s="1202"/>
      <c r="CBI11" s="1202"/>
      <c r="CBJ11" s="1202"/>
      <c r="CBK11" s="1202"/>
      <c r="CBL11" s="1202"/>
      <c r="CBM11" s="1202"/>
      <c r="CBN11" s="1202"/>
      <c r="CBO11" s="1202"/>
      <c r="CBP11" s="1202"/>
      <c r="CBQ11" s="1202"/>
      <c r="CBR11" s="1202"/>
      <c r="CBS11" s="1202"/>
      <c r="CBT11" s="1202"/>
      <c r="CBU11" s="1202"/>
      <c r="CBV11" s="1202"/>
      <c r="CBW11" s="1202"/>
      <c r="CBX11" s="1202"/>
      <c r="CBY11" s="1202"/>
      <c r="CBZ11" s="1202"/>
      <c r="CCA11" s="1202"/>
      <c r="CCB11" s="1202"/>
      <c r="CCC11" s="1202"/>
      <c r="CCD11" s="1202"/>
      <c r="CCE11" s="1202"/>
      <c r="CCF11" s="1202"/>
      <c r="CCG11" s="1202"/>
      <c r="CCH11" s="1202"/>
      <c r="CCI11" s="1202"/>
      <c r="CCJ11" s="1202"/>
      <c r="CCK11" s="1202"/>
      <c r="CCL11" s="1202"/>
      <c r="CCM11" s="1202"/>
      <c r="CCN11" s="1202"/>
      <c r="CCO11" s="1202"/>
      <c r="CCP11" s="1202"/>
      <c r="CCQ11" s="1202"/>
      <c r="CCR11" s="1202"/>
      <c r="CCS11" s="1202"/>
      <c r="CCT11" s="1202"/>
      <c r="CCU11" s="1202"/>
      <c r="CCV11" s="1202"/>
      <c r="CCW11" s="1202"/>
      <c r="CCX11" s="1202"/>
      <c r="CCY11" s="1202"/>
      <c r="CCZ11" s="1202"/>
      <c r="CDA11" s="1202"/>
      <c r="CDB11" s="1202"/>
      <c r="CDC11" s="1202"/>
      <c r="CDD11" s="1202"/>
      <c r="CDE11" s="1202"/>
      <c r="CDF11" s="1202"/>
      <c r="CDG11" s="1202"/>
      <c r="CDH11" s="1202"/>
      <c r="CDI11" s="1202"/>
      <c r="CDJ11" s="1202"/>
      <c r="CDK11" s="1202"/>
      <c r="CDL11" s="1202"/>
      <c r="CDM11" s="1202"/>
      <c r="CDN11" s="1202"/>
      <c r="CDO11" s="1202"/>
      <c r="CDP11" s="1202"/>
      <c r="CDQ11" s="1202"/>
      <c r="CDR11" s="1202"/>
      <c r="CDS11" s="1202"/>
      <c r="CDT11" s="1202"/>
      <c r="CDU11" s="1202"/>
      <c r="CDV11" s="1202"/>
      <c r="CDW11" s="1202"/>
      <c r="CDX11" s="1202"/>
      <c r="CDY11" s="1202"/>
      <c r="CDZ11" s="1202"/>
      <c r="CEA11" s="1202"/>
      <c r="CEB11" s="1202"/>
      <c r="CEC11" s="1202"/>
      <c r="CED11" s="1202"/>
      <c r="CEE11" s="1202"/>
      <c r="CEF11" s="1202"/>
      <c r="CEG11" s="1202"/>
      <c r="CEH11" s="1202"/>
      <c r="CEI11" s="1202"/>
      <c r="CEJ11" s="1202"/>
      <c r="CEK11" s="1202"/>
      <c r="CEL11" s="1202"/>
      <c r="CEM11" s="1202"/>
      <c r="CEN11" s="1202"/>
      <c r="CEO11" s="1202"/>
      <c r="CEP11" s="1202"/>
      <c r="CEQ11" s="1202"/>
      <c r="CER11" s="1202"/>
      <c r="CES11" s="1202"/>
      <c r="CET11" s="1202"/>
      <c r="CEU11" s="1202"/>
      <c r="CEV11" s="1202"/>
      <c r="CEW11" s="1202"/>
      <c r="CEX11" s="1202"/>
      <c r="CEY11" s="1202"/>
      <c r="CEZ11" s="1202"/>
      <c r="CFA11" s="1202"/>
      <c r="CFB11" s="1202"/>
      <c r="CFC11" s="1202"/>
      <c r="CFD11" s="1202"/>
      <c r="CFE11" s="1202"/>
      <c r="CFF11" s="1202"/>
      <c r="CFG11" s="1202"/>
      <c r="CFH11" s="1202"/>
      <c r="CFI11" s="1202"/>
      <c r="CFJ11" s="1202"/>
      <c r="CFK11" s="1202"/>
      <c r="CFL11" s="1202"/>
      <c r="CFM11" s="1202"/>
      <c r="CFN11" s="1202"/>
      <c r="CFO11" s="1202"/>
      <c r="CFP11" s="1202"/>
      <c r="CFQ11" s="1202"/>
      <c r="CFR11" s="1202"/>
      <c r="CFS11" s="1202"/>
      <c r="CFT11" s="1202"/>
      <c r="CFU11" s="1202"/>
      <c r="CFV11" s="1202"/>
      <c r="CFW11" s="1202"/>
      <c r="CFX11" s="1202"/>
      <c r="CFY11" s="1202"/>
      <c r="CFZ11" s="1202"/>
      <c r="CGA11" s="1202"/>
      <c r="CGB11" s="1202"/>
      <c r="CGC11" s="1202"/>
      <c r="CGD11" s="1202"/>
      <c r="CGE11" s="1202"/>
      <c r="CGF11" s="1202"/>
      <c r="CGG11" s="1202"/>
      <c r="CGH11" s="1202"/>
      <c r="CGI11" s="1202"/>
      <c r="CGJ11" s="1202"/>
      <c r="CGK11" s="1202"/>
      <c r="CGL11" s="1202"/>
      <c r="CGM11" s="1202"/>
      <c r="CGN11" s="1202"/>
      <c r="CGO11" s="1202"/>
      <c r="CGP11" s="1202"/>
      <c r="CGQ11" s="1202"/>
      <c r="CGR11" s="1202"/>
      <c r="CGS11" s="1202"/>
      <c r="CGT11" s="1202"/>
      <c r="CGU11" s="1202"/>
      <c r="CGV11" s="1202"/>
      <c r="CGW11" s="1202"/>
      <c r="CGX11" s="1202"/>
      <c r="CGY11" s="1202"/>
      <c r="CGZ11" s="1202"/>
      <c r="CHA11" s="1202"/>
      <c r="CHB11" s="1202"/>
      <c r="CHC11" s="1202"/>
      <c r="CHD11" s="1202"/>
      <c r="CHE11" s="1202"/>
      <c r="CHF11" s="1202"/>
      <c r="CHG11" s="1202"/>
      <c r="CHH11" s="1202"/>
      <c r="CHI11" s="1202"/>
      <c r="CHJ11" s="1202"/>
      <c r="CHK11" s="1202"/>
      <c r="CHL11" s="1202"/>
      <c r="CHM11" s="1202"/>
      <c r="CHN11" s="1202"/>
      <c r="CHO11" s="1202"/>
      <c r="CHP11" s="1202"/>
      <c r="CHQ11" s="1202"/>
      <c r="CHR11" s="1202"/>
      <c r="CHS11" s="1202"/>
      <c r="CHT11" s="1202"/>
      <c r="CHU11" s="1202"/>
      <c r="CHV11" s="1202"/>
      <c r="CHW11" s="1202"/>
      <c r="CHX11" s="1202"/>
      <c r="CHY11" s="1202"/>
      <c r="CHZ11" s="1202"/>
      <c r="CIA11" s="1202"/>
      <c r="CIB11" s="1202"/>
      <c r="CIC11" s="1202"/>
      <c r="CID11" s="1202"/>
      <c r="CIE11" s="1202"/>
      <c r="CIF11" s="1202"/>
      <c r="CIG11" s="1202"/>
      <c r="CIH11" s="1202"/>
      <c r="CII11" s="1202"/>
      <c r="CIJ11" s="1202"/>
      <c r="CIK11" s="1202"/>
      <c r="CIL11" s="1202"/>
      <c r="CIM11" s="1202"/>
      <c r="CIN11" s="1202"/>
      <c r="CIO11" s="1202"/>
      <c r="CIP11" s="1202"/>
      <c r="CIQ11" s="1202"/>
      <c r="CIR11" s="1202"/>
      <c r="CIS11" s="1202"/>
      <c r="CIT11" s="1202"/>
      <c r="CIU11" s="1202"/>
      <c r="CIV11" s="1202"/>
      <c r="CIW11" s="1202"/>
      <c r="CIX11" s="1202"/>
      <c r="CIY11" s="1202"/>
      <c r="CIZ11" s="1202"/>
      <c r="CJA11" s="1202"/>
      <c r="CJB11" s="1202"/>
      <c r="CJC11" s="1202"/>
      <c r="CJD11" s="1202"/>
      <c r="CJE11" s="1202"/>
      <c r="CJF11" s="1202"/>
      <c r="CJG11" s="1202"/>
      <c r="CJH11" s="1202"/>
      <c r="CJI11" s="1202"/>
      <c r="CJJ11" s="1202"/>
      <c r="CJK11" s="1202"/>
      <c r="CJL11" s="1202"/>
      <c r="CJM11" s="1202"/>
      <c r="CJN11" s="1202"/>
      <c r="CJO11" s="1202"/>
      <c r="CJP11" s="1202"/>
      <c r="CJQ11" s="1202"/>
      <c r="CJR11" s="1202"/>
      <c r="CJS11" s="1202"/>
      <c r="CJT11" s="1202"/>
      <c r="CJU11" s="1202"/>
      <c r="CJV11" s="1202"/>
      <c r="CJW11" s="1202"/>
      <c r="CJX11" s="1202"/>
      <c r="CJY11" s="1202"/>
      <c r="CJZ11" s="1202"/>
      <c r="CKA11" s="1202"/>
      <c r="CKB11" s="1202"/>
      <c r="CKC11" s="1202"/>
      <c r="CKD11" s="1202"/>
      <c r="CKE11" s="1202"/>
      <c r="CKF11" s="1202"/>
      <c r="CKG11" s="1202"/>
      <c r="CKH11" s="1202"/>
      <c r="CKI11" s="1202"/>
      <c r="CKJ11" s="1202"/>
      <c r="CKK11" s="1202"/>
      <c r="CKL11" s="1202"/>
      <c r="CKM11" s="1202"/>
      <c r="CKN11" s="1202"/>
      <c r="CKO11" s="1202"/>
      <c r="CKP11" s="1202"/>
      <c r="CKQ11" s="1202"/>
      <c r="CKR11" s="1202"/>
      <c r="CKS11" s="1202"/>
      <c r="CKT11" s="1202"/>
      <c r="CKU11" s="1202"/>
      <c r="CKV11" s="1202"/>
      <c r="CKW11" s="1202"/>
      <c r="CKX11" s="1202"/>
      <c r="CKY11" s="1202"/>
      <c r="CKZ11" s="1202"/>
      <c r="CLA11" s="1202"/>
      <c r="CLB11" s="1202"/>
      <c r="CLC11" s="1202"/>
      <c r="CLD11" s="1202"/>
      <c r="CLE11" s="1202"/>
      <c r="CLF11" s="1202"/>
      <c r="CLG11" s="1202"/>
      <c r="CLH11" s="1202"/>
      <c r="CLI11" s="1202"/>
      <c r="CLJ11" s="1202"/>
      <c r="CLK11" s="1202"/>
      <c r="CLL11" s="1202"/>
      <c r="CLM11" s="1202"/>
      <c r="CLN11" s="1202"/>
      <c r="CLO11" s="1202"/>
      <c r="CLP11" s="1202"/>
      <c r="CLQ11" s="1202"/>
      <c r="CLR11" s="1202"/>
      <c r="CLS11" s="1202"/>
      <c r="CLT11" s="1202"/>
      <c r="CLU11" s="1202"/>
      <c r="CLV11" s="1202"/>
      <c r="CLW11" s="1202"/>
      <c r="CLX11" s="1202"/>
      <c r="CLY11" s="1202"/>
      <c r="CLZ11" s="1202"/>
      <c r="CMA11" s="1202"/>
      <c r="CMB11" s="1202"/>
      <c r="CMC11" s="1202"/>
      <c r="CMD11" s="1202"/>
      <c r="CME11" s="1202"/>
      <c r="CMF11" s="1202"/>
      <c r="CMG11" s="1202"/>
      <c r="CMH11" s="1202"/>
      <c r="CMI11" s="1202"/>
      <c r="CMJ11" s="1202"/>
      <c r="CMK11" s="1202"/>
      <c r="CML11" s="1202"/>
      <c r="CMM11" s="1202"/>
      <c r="CMN11" s="1202"/>
      <c r="CMO11" s="1202"/>
      <c r="CMP11" s="1202"/>
      <c r="CMQ11" s="1202"/>
      <c r="CMR11" s="1202"/>
      <c r="CMS11" s="1202"/>
      <c r="CMT11" s="1202"/>
      <c r="CMU11" s="1202"/>
      <c r="CMV11" s="1202"/>
      <c r="CMW11" s="1202"/>
      <c r="CMX11" s="1202"/>
      <c r="CMY11" s="1202"/>
      <c r="CMZ11" s="1202"/>
      <c r="CNA11" s="1202"/>
      <c r="CNB11" s="1202"/>
      <c r="CNC11" s="1202"/>
      <c r="CND11" s="1202"/>
      <c r="CNE11" s="1202"/>
      <c r="CNF11" s="1202"/>
      <c r="CNG11" s="1202"/>
      <c r="CNH11" s="1202"/>
      <c r="CNI11" s="1202"/>
      <c r="CNJ11" s="1202"/>
      <c r="CNK11" s="1202"/>
      <c r="CNL11" s="1202"/>
      <c r="CNM11" s="1202"/>
      <c r="CNN11" s="1202"/>
      <c r="CNO11" s="1202"/>
      <c r="CNP11" s="1202"/>
      <c r="CNQ11" s="1202"/>
      <c r="CNR11" s="1202"/>
      <c r="CNS11" s="1202"/>
      <c r="CNT11" s="1202"/>
      <c r="CNU11" s="1202"/>
      <c r="CNV11" s="1202"/>
      <c r="CNW11" s="1202"/>
      <c r="CNX11" s="1202"/>
      <c r="CNY11" s="1202"/>
      <c r="CNZ11" s="1202"/>
      <c r="COA11" s="1202"/>
      <c r="COB11" s="1202"/>
      <c r="COC11" s="1202"/>
      <c r="COD11" s="1202"/>
      <c r="COE11" s="1202"/>
      <c r="COF11" s="1202"/>
      <c r="COG11" s="1202"/>
      <c r="COH11" s="1202"/>
      <c r="COI11" s="1202"/>
      <c r="COJ11" s="1202"/>
      <c r="COK11" s="1202"/>
      <c r="COL11" s="1202"/>
      <c r="COM11" s="1202"/>
      <c r="CON11" s="1202"/>
      <c r="COO11" s="1202"/>
      <c r="COP11" s="1202"/>
      <c r="COQ11" s="1202"/>
      <c r="COR11" s="1202"/>
      <c r="COS11" s="1202"/>
      <c r="COT11" s="1202"/>
      <c r="COU11" s="1202"/>
      <c r="COV11" s="1202"/>
      <c r="COW11" s="1202"/>
      <c r="COX11" s="1202"/>
      <c r="COY11" s="1202"/>
      <c r="COZ11" s="1202"/>
      <c r="CPA11" s="1202"/>
      <c r="CPB11" s="1202"/>
      <c r="CPC11" s="1202"/>
      <c r="CPD11" s="1202"/>
      <c r="CPE11" s="1202"/>
      <c r="CPF11" s="1202"/>
      <c r="CPG11" s="1202"/>
      <c r="CPH11" s="1202"/>
      <c r="CPI11" s="1202"/>
      <c r="CPJ11" s="1202"/>
      <c r="CPK11" s="1202"/>
      <c r="CPL11" s="1202"/>
      <c r="CPM11" s="1202"/>
      <c r="CPN11" s="1202"/>
      <c r="CPO11" s="1202"/>
      <c r="CPP11" s="1202"/>
      <c r="CPQ11" s="1202"/>
      <c r="CPR11" s="1202"/>
      <c r="CPS11" s="1202"/>
      <c r="CPT11" s="1202"/>
      <c r="CPU11" s="1202"/>
      <c r="CPV11" s="1202"/>
      <c r="CPW11" s="1202"/>
      <c r="CPX11" s="1202"/>
      <c r="CPY11" s="1202"/>
      <c r="CPZ11" s="1202"/>
      <c r="CQA11" s="1202"/>
      <c r="CQB11" s="1202"/>
      <c r="CQC11" s="1202"/>
      <c r="CQD11" s="1202"/>
      <c r="CQE11" s="1202"/>
      <c r="CQF11" s="1202"/>
      <c r="CQG11" s="1202"/>
      <c r="CQH11" s="1202"/>
      <c r="CQI11" s="1202"/>
      <c r="CQJ11" s="1202"/>
      <c r="CQK11" s="1202"/>
      <c r="CQL11" s="1202"/>
      <c r="CQM11" s="1202"/>
      <c r="CQN11" s="1202"/>
      <c r="CQO11" s="1202"/>
      <c r="CQP11" s="1202"/>
      <c r="CQQ11" s="1202"/>
      <c r="CQR11" s="1202"/>
      <c r="CQS11" s="1202"/>
      <c r="CQT11" s="1202"/>
      <c r="CQU11" s="1202"/>
      <c r="CQV11" s="1202"/>
      <c r="CQW11" s="1202"/>
      <c r="CQX11" s="1202"/>
      <c r="CQY11" s="1202"/>
      <c r="CQZ11" s="1202"/>
      <c r="CRA11" s="1202"/>
      <c r="CRB11" s="1202"/>
      <c r="CRC11" s="1202"/>
      <c r="CRD11" s="1202"/>
      <c r="CRE11" s="1202"/>
      <c r="CRF11" s="1202"/>
      <c r="CRG11" s="1202"/>
      <c r="CRH11" s="1202"/>
      <c r="CRI11" s="1202"/>
      <c r="CRJ11" s="1202"/>
      <c r="CRK11" s="1202"/>
      <c r="CRL11" s="1202"/>
      <c r="CRM11" s="1202"/>
      <c r="CRN11" s="1202"/>
      <c r="CRO11" s="1202"/>
      <c r="CRP11" s="1202"/>
      <c r="CRQ11" s="1202"/>
      <c r="CRR11" s="1202"/>
      <c r="CRS11" s="1202"/>
      <c r="CRT11" s="1202"/>
      <c r="CRU11" s="1202"/>
      <c r="CRV11" s="1202"/>
      <c r="CRW11" s="1202"/>
      <c r="CRX11" s="1202"/>
      <c r="CRY11" s="1202"/>
      <c r="CRZ11" s="1202"/>
      <c r="CSA11" s="1202"/>
      <c r="CSB11" s="1202"/>
      <c r="CSC11" s="1202"/>
      <c r="CSD11" s="1202"/>
      <c r="CSE11" s="1202"/>
      <c r="CSF11" s="1202"/>
      <c r="CSG11" s="1202"/>
      <c r="CSH11" s="1202"/>
      <c r="CSI11" s="1202"/>
      <c r="CSJ11" s="1202"/>
      <c r="CSK11" s="1202"/>
      <c r="CSL11" s="1202"/>
      <c r="CSM11" s="1202"/>
      <c r="CSN11" s="1202"/>
      <c r="CSO11" s="1202"/>
      <c r="CSP11" s="1202"/>
      <c r="CSQ11" s="1202"/>
      <c r="CSR11" s="1202"/>
      <c r="CSS11" s="1202"/>
      <c r="CST11" s="1202"/>
      <c r="CSU11" s="1202"/>
      <c r="CSV11" s="1202"/>
      <c r="CSW11" s="1202"/>
      <c r="CSX11" s="1202"/>
      <c r="CSY11" s="1202"/>
      <c r="CSZ11" s="1202"/>
      <c r="CTA11" s="1202"/>
      <c r="CTB11" s="1202"/>
      <c r="CTC11" s="1202"/>
      <c r="CTD11" s="1202"/>
      <c r="CTE11" s="1202"/>
      <c r="CTF11" s="1202"/>
      <c r="CTG11" s="1202"/>
      <c r="CTH11" s="1202"/>
      <c r="CTI11" s="1202"/>
      <c r="CTJ11" s="1202"/>
      <c r="CTK11" s="1202"/>
      <c r="CTL11" s="1202"/>
      <c r="CTM11" s="1202"/>
      <c r="CTN11" s="1202"/>
      <c r="CTO11" s="1202"/>
      <c r="CTP11" s="1202"/>
      <c r="CTQ11" s="1202"/>
      <c r="CTR11" s="1202"/>
      <c r="CTS11" s="1202"/>
      <c r="CTT11" s="1202"/>
      <c r="CTU11" s="1202"/>
      <c r="CTV11" s="1202"/>
      <c r="CTW11" s="1202"/>
      <c r="CTX11" s="1202"/>
      <c r="CTY11" s="1202"/>
      <c r="CTZ11" s="1202"/>
      <c r="CUA11" s="1202"/>
      <c r="CUB11" s="1202"/>
      <c r="CUC11" s="1202"/>
      <c r="CUD11" s="1202"/>
      <c r="CUE11" s="1202"/>
      <c r="CUF11" s="1202"/>
      <c r="CUG11" s="1202"/>
      <c r="CUH11" s="1202"/>
      <c r="CUI11" s="1202"/>
      <c r="CUJ11" s="1202"/>
      <c r="CUK11" s="1202"/>
      <c r="CUL11" s="1202"/>
      <c r="CUM11" s="1202"/>
      <c r="CUN11" s="1202"/>
      <c r="CUO11" s="1202"/>
      <c r="CUP11" s="1202"/>
      <c r="CUQ11" s="1202"/>
      <c r="CUR11" s="1202"/>
      <c r="CUS11" s="1202"/>
      <c r="CUT11" s="1202"/>
      <c r="CUU11" s="1202"/>
      <c r="CUV11" s="1202"/>
      <c r="CUW11" s="1202"/>
      <c r="CUX11" s="1202"/>
      <c r="CUY11" s="1202"/>
      <c r="CUZ11" s="1202"/>
      <c r="CVA11" s="1202"/>
      <c r="CVB11" s="1202"/>
      <c r="CVC11" s="1202"/>
      <c r="CVD11" s="1202"/>
      <c r="CVE11" s="1202"/>
      <c r="CVF11" s="1202"/>
      <c r="CVG11" s="1202"/>
      <c r="CVH11" s="1202"/>
      <c r="CVI11" s="1202"/>
      <c r="CVJ11" s="1202"/>
      <c r="CVK11" s="1202"/>
      <c r="CVL11" s="1202"/>
      <c r="CVM11" s="1202"/>
      <c r="CVN11" s="1202"/>
      <c r="CVO11" s="1202"/>
      <c r="CVP11" s="1202"/>
      <c r="CVQ11" s="1202"/>
      <c r="CVR11" s="1202"/>
      <c r="CVS11" s="1202"/>
      <c r="CVT11" s="1202"/>
      <c r="CVU11" s="1202"/>
      <c r="CVV11" s="1202"/>
      <c r="CVW11" s="1202"/>
      <c r="CVX11" s="1202"/>
      <c r="CVY11" s="1202"/>
      <c r="CVZ11" s="1202"/>
      <c r="CWA11" s="1202"/>
      <c r="CWB11" s="1202"/>
      <c r="CWC11" s="1202"/>
      <c r="CWD11" s="1202"/>
      <c r="CWE11" s="1202"/>
      <c r="CWF11" s="1202"/>
      <c r="CWG11" s="1202"/>
      <c r="CWH11" s="1202"/>
      <c r="CWI11" s="1202"/>
      <c r="CWJ11" s="1202"/>
      <c r="CWK11" s="1202"/>
      <c r="CWL11" s="1202"/>
      <c r="CWM11" s="1202"/>
      <c r="CWN11" s="1202"/>
      <c r="CWO11" s="1202"/>
      <c r="CWP11" s="1202"/>
      <c r="CWQ11" s="1202"/>
      <c r="CWR11" s="1202"/>
      <c r="CWS11" s="1202"/>
      <c r="CWT11" s="1202"/>
      <c r="CWU11" s="1202"/>
      <c r="CWV11" s="1202"/>
      <c r="CWW11" s="1202"/>
      <c r="CWX11" s="1202"/>
      <c r="CWY11" s="1202"/>
      <c r="CWZ11" s="1202"/>
      <c r="CXA11" s="1202"/>
      <c r="CXB11" s="1202"/>
      <c r="CXC11" s="1202"/>
      <c r="CXD11" s="1202"/>
      <c r="CXE11" s="1202"/>
      <c r="CXF11" s="1202"/>
      <c r="CXG11" s="1202"/>
      <c r="CXH11" s="1202"/>
      <c r="CXI11" s="1202"/>
      <c r="CXJ11" s="1202"/>
      <c r="CXK11" s="1202"/>
      <c r="CXL11" s="1202"/>
      <c r="CXM11" s="1202"/>
      <c r="CXN11" s="1202"/>
      <c r="CXO11" s="1202"/>
      <c r="CXP11" s="1202"/>
      <c r="CXQ11" s="1202"/>
      <c r="CXR11" s="1202"/>
      <c r="CXS11" s="1202"/>
      <c r="CXT11" s="1202"/>
      <c r="CXU11" s="1202"/>
      <c r="CXV11" s="1202"/>
      <c r="CXW11" s="1202"/>
      <c r="CXX11" s="1202"/>
      <c r="CXY11" s="1202"/>
      <c r="CXZ11" s="1202"/>
      <c r="CYA11" s="1202"/>
      <c r="CYB11" s="1202"/>
      <c r="CYC11" s="1202"/>
      <c r="CYD11" s="1202"/>
      <c r="CYE11" s="1202"/>
      <c r="CYF11" s="1202"/>
      <c r="CYG11" s="1202"/>
      <c r="CYH11" s="1202"/>
      <c r="CYI11" s="1202"/>
      <c r="CYJ11" s="1202"/>
      <c r="CYK11" s="1202"/>
      <c r="CYL11" s="1202"/>
      <c r="CYM11" s="1202"/>
      <c r="CYN11" s="1202"/>
      <c r="CYO11" s="1202"/>
      <c r="CYP11" s="1202"/>
      <c r="CYQ11" s="1202"/>
      <c r="CYR11" s="1202"/>
      <c r="CYS11" s="1202"/>
      <c r="CYT11" s="1202"/>
      <c r="CYU11" s="1202"/>
      <c r="CYV11" s="1202"/>
      <c r="CYW11" s="1202"/>
      <c r="CYX11" s="1202"/>
      <c r="CYY11" s="1202"/>
      <c r="CYZ11" s="1202"/>
      <c r="CZA11" s="1202"/>
      <c r="CZB11" s="1202"/>
      <c r="CZC11" s="1202"/>
      <c r="CZD11" s="1202"/>
      <c r="CZE11" s="1202"/>
      <c r="CZF11" s="1202"/>
      <c r="CZG11" s="1202"/>
      <c r="CZH11" s="1202"/>
      <c r="CZI11" s="1202"/>
      <c r="CZJ11" s="1202"/>
      <c r="CZK11" s="1202"/>
      <c r="CZL11" s="1202"/>
      <c r="CZM11" s="1202"/>
      <c r="CZN11" s="1202"/>
      <c r="CZO11" s="1202"/>
      <c r="CZP11" s="1202"/>
      <c r="CZQ11" s="1202"/>
      <c r="CZR11" s="1202"/>
      <c r="CZS11" s="1202"/>
      <c r="CZT11" s="1202"/>
      <c r="CZU11" s="1202"/>
      <c r="CZV11" s="1202"/>
      <c r="CZW11" s="1202"/>
      <c r="CZX11" s="1202"/>
      <c r="CZY11" s="1202"/>
      <c r="CZZ11" s="1202"/>
      <c r="DAA11" s="1202"/>
      <c r="DAB11" s="1202"/>
      <c r="DAC11" s="1202"/>
      <c r="DAD11" s="1202"/>
      <c r="DAE11" s="1202"/>
      <c r="DAF11" s="1202"/>
      <c r="DAG11" s="1202"/>
      <c r="DAH11" s="1202"/>
      <c r="DAI11" s="1202"/>
      <c r="DAJ11" s="1202"/>
      <c r="DAK11" s="1202"/>
      <c r="DAL11" s="1202"/>
      <c r="DAM11" s="1202"/>
      <c r="DAN11" s="1202"/>
      <c r="DAO11" s="1202"/>
      <c r="DAP11" s="1202"/>
      <c r="DAQ11" s="1202"/>
      <c r="DAR11" s="1202"/>
      <c r="DAS11" s="1202"/>
      <c r="DAT11" s="1202"/>
      <c r="DAU11" s="1202"/>
      <c r="DAV11" s="1202"/>
      <c r="DAW11" s="1202"/>
      <c r="DAX11" s="1202"/>
      <c r="DAY11" s="1202"/>
      <c r="DAZ11" s="1202"/>
      <c r="DBA11" s="1202"/>
      <c r="DBB11" s="1202"/>
      <c r="DBC11" s="1202"/>
      <c r="DBD11" s="1202"/>
      <c r="DBE11" s="1202"/>
      <c r="DBF11" s="1202"/>
      <c r="DBG11" s="1202"/>
      <c r="DBH11" s="1202"/>
      <c r="DBI11" s="1202"/>
      <c r="DBJ11" s="1202"/>
      <c r="DBK11" s="1202"/>
      <c r="DBL11" s="1202"/>
      <c r="DBM11" s="1202"/>
      <c r="DBN11" s="1202"/>
      <c r="DBO11" s="1202"/>
      <c r="DBP11" s="1202"/>
      <c r="DBQ11" s="1202"/>
      <c r="DBR11" s="1202"/>
      <c r="DBS11" s="1202"/>
      <c r="DBT11" s="1202"/>
      <c r="DBU11" s="1202"/>
      <c r="DBV11" s="1202"/>
      <c r="DBW11" s="1202"/>
      <c r="DBX11" s="1202"/>
      <c r="DBY11" s="1202"/>
      <c r="DBZ11" s="1202"/>
      <c r="DCA11" s="1202"/>
      <c r="DCB11" s="1202"/>
      <c r="DCC11" s="1202"/>
      <c r="DCD11" s="1202"/>
      <c r="DCE11" s="1202"/>
      <c r="DCF11" s="1202"/>
      <c r="DCG11" s="1202"/>
      <c r="DCH11" s="1202"/>
      <c r="DCI11" s="1202"/>
      <c r="DCJ11" s="1202"/>
      <c r="DCK11" s="1202"/>
      <c r="DCL11" s="1202"/>
      <c r="DCM11" s="1202"/>
      <c r="DCN11" s="1202"/>
      <c r="DCO11" s="1202"/>
      <c r="DCP11" s="1202"/>
      <c r="DCQ11" s="1202"/>
      <c r="DCR11" s="1202"/>
      <c r="DCS11" s="1202"/>
      <c r="DCT11" s="1202"/>
      <c r="DCU11" s="1202"/>
      <c r="DCV11" s="1202"/>
      <c r="DCW11" s="1202"/>
      <c r="DCX11" s="1202"/>
      <c r="DCY11" s="1202"/>
      <c r="DCZ11" s="1202"/>
      <c r="DDA11" s="1202"/>
      <c r="DDB11" s="1202"/>
      <c r="DDC11" s="1202"/>
      <c r="DDD11" s="1202"/>
      <c r="DDE11" s="1202"/>
      <c r="DDF11" s="1202"/>
      <c r="DDG11" s="1202"/>
      <c r="DDH11" s="1202"/>
      <c r="DDI11" s="1202"/>
      <c r="DDJ11" s="1202"/>
      <c r="DDK11" s="1202"/>
      <c r="DDL11" s="1202"/>
      <c r="DDM11" s="1202"/>
      <c r="DDN11" s="1202"/>
      <c r="DDO11" s="1202"/>
      <c r="DDP11" s="1202"/>
      <c r="DDQ11" s="1202"/>
      <c r="DDR11" s="1202"/>
      <c r="DDS11" s="1202"/>
      <c r="DDT11" s="1202"/>
      <c r="DDU11" s="1202"/>
      <c r="DDV11" s="1202"/>
      <c r="DDW11" s="1202"/>
      <c r="DDX11" s="1202"/>
      <c r="DDY11" s="1202"/>
      <c r="DDZ11" s="1202"/>
      <c r="DEA11" s="1202"/>
      <c r="DEB11" s="1202"/>
      <c r="DEC11" s="1202"/>
      <c r="DED11" s="1202"/>
      <c r="DEE11" s="1202"/>
      <c r="DEF11" s="1202"/>
      <c r="DEG11" s="1202"/>
      <c r="DEH11" s="1202"/>
      <c r="DEI11" s="1202"/>
      <c r="DEJ11" s="1202"/>
      <c r="DEK11" s="1202"/>
      <c r="DEL11" s="1202"/>
      <c r="DEM11" s="1202"/>
      <c r="DEN11" s="1202"/>
      <c r="DEO11" s="1202"/>
      <c r="DEP11" s="1202"/>
      <c r="DEQ11" s="1202"/>
      <c r="DER11" s="1202"/>
      <c r="DES11" s="1202"/>
      <c r="DET11" s="1202"/>
      <c r="DEU11" s="1202"/>
      <c r="DEV11" s="1202"/>
      <c r="DEW11" s="1202"/>
      <c r="DEX11" s="1202"/>
      <c r="DEY11" s="1202"/>
      <c r="DEZ11" s="1202"/>
      <c r="DFA11" s="1202"/>
      <c r="DFB11" s="1202"/>
      <c r="DFC11" s="1202"/>
      <c r="DFD11" s="1202"/>
      <c r="DFE11" s="1202"/>
      <c r="DFF11" s="1202"/>
      <c r="DFG11" s="1202"/>
      <c r="DFH11" s="1202"/>
      <c r="DFI11" s="1202"/>
      <c r="DFJ11" s="1202"/>
      <c r="DFK11" s="1202"/>
      <c r="DFL11" s="1202"/>
      <c r="DFM11" s="1202"/>
      <c r="DFN11" s="1202"/>
      <c r="DFO11" s="1202"/>
      <c r="DFP11" s="1202"/>
      <c r="DFQ11" s="1202"/>
      <c r="DFR11" s="1202"/>
      <c r="DFS11" s="1202"/>
      <c r="DFT11" s="1202"/>
      <c r="DFU11" s="1202"/>
      <c r="DFV11" s="1202"/>
      <c r="DFW11" s="1202"/>
      <c r="DFX11" s="1202"/>
      <c r="DFY11" s="1202"/>
      <c r="DFZ11" s="1202"/>
      <c r="DGA11" s="1202"/>
      <c r="DGB11" s="1202"/>
      <c r="DGC11" s="1202"/>
      <c r="DGD11" s="1202"/>
      <c r="DGE11" s="1202"/>
      <c r="DGF11" s="1202"/>
      <c r="DGG11" s="1202"/>
      <c r="DGH11" s="1202"/>
      <c r="DGI11" s="1202"/>
      <c r="DGJ11" s="1202"/>
      <c r="DGK11" s="1202"/>
      <c r="DGL11" s="1202"/>
      <c r="DGM11" s="1202"/>
      <c r="DGN11" s="1202"/>
      <c r="DGO11" s="1202"/>
      <c r="DGP11" s="1202"/>
      <c r="DGQ11" s="1202"/>
      <c r="DGR11" s="1202"/>
      <c r="DGS11" s="1202"/>
      <c r="DGT11" s="1202"/>
      <c r="DGU11" s="1202"/>
      <c r="DGV11" s="1202"/>
      <c r="DGW11" s="1202"/>
      <c r="DGX11" s="1202"/>
      <c r="DGY11" s="1202"/>
      <c r="DGZ11" s="1202"/>
      <c r="DHA11" s="1202"/>
      <c r="DHB11" s="1202"/>
      <c r="DHC11" s="1202"/>
      <c r="DHD11" s="1202"/>
      <c r="DHE11" s="1202"/>
      <c r="DHF11" s="1202"/>
      <c r="DHG11" s="1202"/>
      <c r="DHH11" s="1202"/>
      <c r="DHI11" s="1202"/>
      <c r="DHJ11" s="1202"/>
      <c r="DHK11" s="1202"/>
      <c r="DHL11" s="1202"/>
      <c r="DHM11" s="1202"/>
      <c r="DHN11" s="1202"/>
      <c r="DHO11" s="1202"/>
      <c r="DHP11" s="1202"/>
      <c r="DHQ11" s="1202"/>
      <c r="DHR11" s="1202"/>
      <c r="DHS11" s="1202"/>
      <c r="DHT11" s="1202"/>
      <c r="DHU11" s="1202"/>
      <c r="DHV11" s="1202"/>
      <c r="DHW11" s="1202"/>
      <c r="DHX11" s="1202"/>
      <c r="DHY11" s="1202"/>
      <c r="DHZ11" s="1202"/>
      <c r="DIA11" s="1202"/>
      <c r="DIB11" s="1202"/>
      <c r="DIC11" s="1202"/>
      <c r="DID11" s="1202"/>
      <c r="DIE11" s="1202"/>
      <c r="DIF11" s="1202"/>
      <c r="DIG11" s="1202"/>
      <c r="DIH11" s="1202"/>
      <c r="DII11" s="1202"/>
      <c r="DIJ11" s="1202"/>
      <c r="DIK11" s="1202"/>
      <c r="DIL11" s="1202"/>
      <c r="DIM11" s="1202"/>
      <c r="DIN11" s="1202"/>
      <c r="DIO11" s="1202"/>
      <c r="DIP11" s="1202"/>
      <c r="DIQ11" s="1202"/>
      <c r="DIR11" s="1202"/>
      <c r="DIS11" s="1202"/>
      <c r="DIT11" s="1202"/>
      <c r="DIU11" s="1202"/>
      <c r="DIV11" s="1202"/>
      <c r="DIW11" s="1202"/>
      <c r="DIX11" s="1202"/>
      <c r="DIY11" s="1202"/>
      <c r="DIZ11" s="1202"/>
      <c r="DJA11" s="1202"/>
      <c r="DJB11" s="1202"/>
      <c r="DJC11" s="1202"/>
      <c r="DJD11" s="1202"/>
      <c r="DJE11" s="1202"/>
      <c r="DJF11" s="1202"/>
      <c r="DJG11" s="1202"/>
      <c r="DJH11" s="1202"/>
      <c r="DJI11" s="1202"/>
      <c r="DJJ11" s="1202"/>
      <c r="DJK11" s="1202"/>
      <c r="DJL11" s="1202"/>
      <c r="DJM11" s="1202"/>
      <c r="DJN11" s="1202"/>
      <c r="DJO11" s="1202"/>
      <c r="DJP11" s="1202"/>
      <c r="DJQ11" s="1202"/>
      <c r="DJR11" s="1202"/>
      <c r="DJS11" s="1202"/>
      <c r="DJT11" s="1202"/>
      <c r="DJU11" s="1202"/>
      <c r="DJV11" s="1202"/>
      <c r="DJW11" s="1202"/>
      <c r="DJX11" s="1202"/>
      <c r="DJY11" s="1202"/>
      <c r="DJZ11" s="1202"/>
      <c r="DKA11" s="1202"/>
      <c r="DKB11" s="1202"/>
      <c r="DKC11" s="1202"/>
      <c r="DKD11" s="1202"/>
      <c r="DKE11" s="1202"/>
      <c r="DKF11" s="1202"/>
      <c r="DKG11" s="1202"/>
      <c r="DKH11" s="1202"/>
      <c r="DKI11" s="1202"/>
      <c r="DKJ11" s="1202"/>
      <c r="DKK11" s="1202"/>
      <c r="DKL11" s="1202"/>
      <c r="DKM11" s="1202"/>
      <c r="DKN11" s="1202"/>
      <c r="DKO11" s="1202"/>
      <c r="DKP11" s="1202"/>
      <c r="DKQ11" s="1202"/>
      <c r="DKR11" s="1202"/>
      <c r="DKS11" s="1202"/>
      <c r="DKT11" s="1202"/>
      <c r="DKU11" s="1202"/>
      <c r="DKV11" s="1202"/>
      <c r="DKW11" s="1202"/>
      <c r="DKX11" s="1202"/>
      <c r="DKY11" s="1202"/>
      <c r="DKZ11" s="1202"/>
      <c r="DLA11" s="1202"/>
      <c r="DLB11" s="1202"/>
      <c r="DLC11" s="1202"/>
      <c r="DLD11" s="1202"/>
      <c r="DLE11" s="1202"/>
      <c r="DLF11" s="1202"/>
      <c r="DLG11" s="1202"/>
      <c r="DLH11" s="1202"/>
      <c r="DLI11" s="1202"/>
      <c r="DLJ11" s="1202"/>
      <c r="DLK11" s="1202"/>
      <c r="DLL11" s="1202"/>
      <c r="DLM11" s="1202"/>
      <c r="DLN11" s="1202"/>
      <c r="DLO11" s="1202"/>
      <c r="DLP11" s="1202"/>
      <c r="DLQ11" s="1202"/>
      <c r="DLR11" s="1202"/>
      <c r="DLS11" s="1202"/>
      <c r="DLT11" s="1202"/>
      <c r="DLU11" s="1202"/>
      <c r="DLV11" s="1202"/>
      <c r="DLW11" s="1202"/>
      <c r="DLX11" s="1202"/>
      <c r="DLY11" s="1202"/>
      <c r="DLZ11" s="1202"/>
      <c r="DMA11" s="1202"/>
      <c r="DMB11" s="1202"/>
      <c r="DMC11" s="1202"/>
      <c r="DMD11" s="1202"/>
      <c r="DME11" s="1202"/>
      <c r="DMF11" s="1202"/>
      <c r="DMG11" s="1202"/>
      <c r="DMH11" s="1202"/>
      <c r="DMI11" s="1202"/>
      <c r="DMJ11" s="1202"/>
      <c r="DMK11" s="1202"/>
      <c r="DML11" s="1202"/>
      <c r="DMM11" s="1202"/>
      <c r="DMN11" s="1202"/>
      <c r="DMO11" s="1202"/>
      <c r="DMP11" s="1202"/>
      <c r="DMQ11" s="1202"/>
      <c r="DMR11" s="1202"/>
      <c r="DMS11" s="1202"/>
      <c r="DMT11" s="1202"/>
      <c r="DMU11" s="1202"/>
      <c r="DMV11" s="1202"/>
      <c r="DMW11" s="1202"/>
      <c r="DMX11" s="1202"/>
      <c r="DMY11" s="1202"/>
      <c r="DMZ11" s="1202"/>
      <c r="DNA11" s="1202"/>
      <c r="DNB11" s="1202"/>
      <c r="DNC11" s="1202"/>
      <c r="DND11" s="1202"/>
      <c r="DNE11" s="1202"/>
      <c r="DNF11" s="1202"/>
      <c r="DNG11" s="1202"/>
      <c r="DNH11" s="1202"/>
      <c r="DNI11" s="1202"/>
      <c r="DNJ11" s="1202"/>
      <c r="DNK11" s="1202"/>
      <c r="DNL11" s="1202"/>
      <c r="DNM11" s="1202"/>
      <c r="DNN11" s="1202"/>
      <c r="DNO11" s="1202"/>
      <c r="DNP11" s="1202"/>
      <c r="DNQ11" s="1202"/>
      <c r="DNR11" s="1202"/>
      <c r="DNS11" s="1202"/>
      <c r="DNT11" s="1202"/>
      <c r="DNU11" s="1202"/>
      <c r="DNV11" s="1202"/>
      <c r="DNW11" s="1202"/>
      <c r="DNX11" s="1202"/>
      <c r="DNY11" s="1202"/>
      <c r="DNZ11" s="1202"/>
      <c r="DOA11" s="1202"/>
      <c r="DOB11" s="1202"/>
      <c r="DOC11" s="1202"/>
      <c r="DOD11" s="1202"/>
      <c r="DOE11" s="1202"/>
      <c r="DOF11" s="1202"/>
      <c r="DOG11" s="1202"/>
      <c r="DOH11" s="1202"/>
      <c r="DOI11" s="1202"/>
      <c r="DOJ11" s="1202"/>
      <c r="DOK11" s="1202"/>
      <c r="DOL11" s="1202"/>
      <c r="DOM11" s="1202"/>
      <c r="DON11" s="1202"/>
      <c r="DOO11" s="1202"/>
      <c r="DOP11" s="1202"/>
      <c r="DOQ11" s="1202"/>
      <c r="DOR11" s="1202"/>
      <c r="DOS11" s="1202"/>
      <c r="DOT11" s="1202"/>
      <c r="DOU11" s="1202"/>
      <c r="DOV11" s="1202"/>
      <c r="DOW11" s="1202"/>
      <c r="DOX11" s="1202"/>
      <c r="DOY11" s="1202"/>
      <c r="DOZ11" s="1202"/>
      <c r="DPA11" s="1202"/>
      <c r="DPB11" s="1202"/>
      <c r="DPC11" s="1202"/>
      <c r="DPD11" s="1202"/>
      <c r="DPE11" s="1202"/>
      <c r="DPF11" s="1202"/>
      <c r="DPG11" s="1202"/>
      <c r="DPH11" s="1202"/>
      <c r="DPI11" s="1202"/>
      <c r="DPJ11" s="1202"/>
      <c r="DPK11" s="1202"/>
      <c r="DPL11" s="1202"/>
      <c r="DPM11" s="1202"/>
      <c r="DPN11" s="1202"/>
      <c r="DPO11" s="1202"/>
      <c r="DPP11" s="1202"/>
      <c r="DPQ11" s="1202"/>
      <c r="DPR11" s="1202"/>
      <c r="DPS11" s="1202"/>
      <c r="DPT11" s="1202"/>
      <c r="DPU11" s="1202"/>
      <c r="DPV11" s="1202"/>
      <c r="DPW11" s="1202"/>
      <c r="DPX11" s="1202"/>
      <c r="DPY11" s="1202"/>
      <c r="DPZ11" s="1202"/>
      <c r="DQA11" s="1202"/>
      <c r="DQB11" s="1202"/>
      <c r="DQC11" s="1202"/>
      <c r="DQD11" s="1202"/>
      <c r="DQE11" s="1202"/>
      <c r="DQF11" s="1202"/>
      <c r="DQG11" s="1202"/>
      <c r="DQH11" s="1202"/>
      <c r="DQI11" s="1202"/>
      <c r="DQJ11" s="1202"/>
      <c r="DQK11" s="1202"/>
      <c r="DQL11" s="1202"/>
      <c r="DQM11" s="1202"/>
      <c r="DQN11" s="1202"/>
      <c r="DQO11" s="1202"/>
      <c r="DQP11" s="1202"/>
      <c r="DQQ11" s="1202"/>
      <c r="DQR11" s="1202"/>
      <c r="DQS11" s="1202"/>
      <c r="DQT11" s="1202"/>
      <c r="DQU11" s="1202"/>
      <c r="DQV11" s="1202"/>
      <c r="DQW11" s="1202"/>
      <c r="DQX11" s="1202"/>
      <c r="DQY11" s="1202"/>
      <c r="DQZ11" s="1202"/>
      <c r="DRA11" s="1202"/>
      <c r="DRB11" s="1202"/>
      <c r="DRC11" s="1202"/>
      <c r="DRD11" s="1202"/>
      <c r="DRE11" s="1202"/>
      <c r="DRF11" s="1202"/>
      <c r="DRG11" s="1202"/>
      <c r="DRH11" s="1202"/>
      <c r="DRI11" s="1202"/>
      <c r="DRJ11" s="1202"/>
      <c r="DRK11" s="1202"/>
      <c r="DRL11" s="1202"/>
      <c r="DRM11" s="1202"/>
      <c r="DRN11" s="1202"/>
      <c r="DRO11" s="1202"/>
      <c r="DRP11" s="1202"/>
      <c r="DRQ11" s="1202"/>
      <c r="DRR11" s="1202"/>
      <c r="DRS11" s="1202"/>
      <c r="DRT11" s="1202"/>
      <c r="DRU11" s="1202"/>
      <c r="DRV11" s="1202"/>
      <c r="DRW11" s="1202"/>
      <c r="DRX11" s="1202"/>
      <c r="DRY11" s="1202"/>
      <c r="DRZ11" s="1202"/>
      <c r="DSA11" s="1202"/>
      <c r="DSB11" s="1202"/>
      <c r="DSC11" s="1202"/>
      <c r="DSD11" s="1202"/>
      <c r="DSE11" s="1202"/>
      <c r="DSF11" s="1202"/>
      <c r="DSG11" s="1202"/>
      <c r="DSH11" s="1202"/>
      <c r="DSI11" s="1202"/>
      <c r="DSJ11" s="1202"/>
      <c r="DSK11" s="1202"/>
      <c r="DSL11" s="1202"/>
      <c r="DSM11" s="1202"/>
      <c r="DSN11" s="1202"/>
      <c r="DSO11" s="1202"/>
      <c r="DSP11" s="1202"/>
      <c r="DSQ11" s="1202"/>
      <c r="DSR11" s="1202"/>
      <c r="DSS11" s="1202"/>
      <c r="DST11" s="1202"/>
      <c r="DSU11" s="1202"/>
      <c r="DSV11" s="1202"/>
      <c r="DSW11" s="1202"/>
      <c r="DSX11" s="1202"/>
      <c r="DSY11" s="1202"/>
      <c r="DSZ11" s="1202"/>
      <c r="DTA11" s="1202"/>
      <c r="DTB11" s="1202"/>
      <c r="DTC11" s="1202"/>
      <c r="DTD11" s="1202"/>
      <c r="DTE11" s="1202"/>
      <c r="DTF11" s="1202"/>
      <c r="DTG11" s="1202"/>
      <c r="DTH11" s="1202"/>
      <c r="DTI11" s="1202"/>
      <c r="DTJ11" s="1202"/>
      <c r="DTK11" s="1202"/>
      <c r="DTL11" s="1202"/>
      <c r="DTM11" s="1202"/>
      <c r="DTN11" s="1202"/>
      <c r="DTO11" s="1202"/>
      <c r="DTP11" s="1202"/>
      <c r="DTQ11" s="1202"/>
      <c r="DTR11" s="1202"/>
      <c r="DTS11" s="1202"/>
      <c r="DTT11" s="1202"/>
      <c r="DTU11" s="1202"/>
      <c r="DTV11" s="1202"/>
      <c r="DTW11" s="1202"/>
      <c r="DTX11" s="1202"/>
      <c r="DTY11" s="1202"/>
      <c r="DTZ11" s="1202"/>
      <c r="DUA11" s="1202"/>
      <c r="DUB11" s="1202"/>
      <c r="DUC11" s="1202"/>
      <c r="DUD11" s="1202"/>
      <c r="DUE11" s="1202"/>
      <c r="DUF11" s="1202"/>
      <c r="DUG11" s="1202"/>
      <c r="DUH11" s="1202"/>
      <c r="DUI11" s="1202"/>
      <c r="DUJ11" s="1202"/>
      <c r="DUK11" s="1202"/>
      <c r="DUL11" s="1202"/>
      <c r="DUM11" s="1202"/>
      <c r="DUN11" s="1202"/>
      <c r="DUO11" s="1202"/>
      <c r="DUP11" s="1202"/>
      <c r="DUQ11" s="1202"/>
      <c r="DUR11" s="1202"/>
      <c r="DUS11" s="1202"/>
      <c r="DUT11" s="1202"/>
      <c r="DUU11" s="1202"/>
      <c r="DUV11" s="1202"/>
      <c r="DUW11" s="1202"/>
      <c r="DUX11" s="1202"/>
      <c r="DUY11" s="1202"/>
      <c r="DUZ11" s="1202"/>
      <c r="DVA11" s="1202"/>
      <c r="DVB11" s="1202"/>
      <c r="DVC11" s="1202"/>
      <c r="DVD11" s="1202"/>
      <c r="DVE11" s="1202"/>
      <c r="DVF11" s="1202"/>
      <c r="DVG11" s="1202"/>
      <c r="DVH11" s="1202"/>
      <c r="DVI11" s="1202"/>
      <c r="DVJ11" s="1202"/>
      <c r="DVK11" s="1202"/>
      <c r="DVL11" s="1202"/>
      <c r="DVM11" s="1202"/>
      <c r="DVN11" s="1202"/>
      <c r="DVO11" s="1202"/>
      <c r="DVP11" s="1202"/>
      <c r="DVQ11" s="1202"/>
      <c r="DVR11" s="1202"/>
      <c r="DVS11" s="1202"/>
      <c r="DVT11" s="1202"/>
      <c r="DVU11" s="1202"/>
      <c r="DVV11" s="1202"/>
      <c r="DVW11" s="1202"/>
      <c r="DVX11" s="1202"/>
      <c r="DVY11" s="1202"/>
      <c r="DVZ11" s="1202"/>
      <c r="DWA11" s="1202"/>
      <c r="DWB11" s="1202"/>
      <c r="DWC11" s="1202"/>
      <c r="DWD11" s="1202"/>
      <c r="DWE11" s="1202"/>
      <c r="DWF11" s="1202"/>
      <c r="DWG11" s="1202"/>
      <c r="DWH11" s="1202"/>
      <c r="DWI11" s="1202"/>
      <c r="DWJ11" s="1202"/>
      <c r="DWK11" s="1202"/>
      <c r="DWL11" s="1202"/>
      <c r="DWM11" s="1202"/>
      <c r="DWN11" s="1202"/>
      <c r="DWO11" s="1202"/>
      <c r="DWP11" s="1202"/>
      <c r="DWQ11" s="1202"/>
      <c r="DWR11" s="1202"/>
      <c r="DWS11" s="1202"/>
      <c r="DWT11" s="1202"/>
      <c r="DWU11" s="1202"/>
      <c r="DWV11" s="1202"/>
      <c r="DWW11" s="1202"/>
      <c r="DWX11" s="1202"/>
      <c r="DWY11" s="1202"/>
      <c r="DWZ11" s="1202"/>
      <c r="DXA11" s="1202"/>
      <c r="DXB11" s="1202"/>
      <c r="DXC11" s="1202"/>
      <c r="DXD11" s="1202"/>
      <c r="DXE11" s="1202"/>
      <c r="DXF11" s="1202"/>
      <c r="DXG11" s="1202"/>
      <c r="DXH11" s="1202"/>
      <c r="DXI11" s="1202"/>
      <c r="DXJ11" s="1202"/>
      <c r="DXK11" s="1202"/>
      <c r="DXL11" s="1202"/>
      <c r="DXM11" s="1202"/>
      <c r="DXN11" s="1202"/>
      <c r="DXO11" s="1202"/>
      <c r="DXP11" s="1202"/>
      <c r="DXQ11" s="1202"/>
      <c r="DXR11" s="1202"/>
      <c r="DXS11" s="1202"/>
      <c r="DXT11" s="1202"/>
      <c r="DXU11" s="1202"/>
      <c r="DXV11" s="1202"/>
      <c r="DXW11" s="1202"/>
      <c r="DXX11" s="1202"/>
      <c r="DXY11" s="1202"/>
      <c r="DXZ11" s="1202"/>
      <c r="DYA11" s="1202"/>
      <c r="DYB11" s="1202"/>
      <c r="DYC11" s="1202"/>
      <c r="DYD11" s="1202"/>
      <c r="DYE11" s="1202"/>
      <c r="DYF11" s="1202"/>
      <c r="DYG11" s="1202"/>
      <c r="DYH11" s="1202"/>
      <c r="DYI11" s="1202"/>
      <c r="DYJ11" s="1202"/>
      <c r="DYK11" s="1202"/>
      <c r="DYL11" s="1202"/>
      <c r="DYM11" s="1202"/>
      <c r="DYN11" s="1202"/>
      <c r="DYO11" s="1202"/>
      <c r="DYP11" s="1202"/>
      <c r="DYQ11" s="1202"/>
      <c r="DYR11" s="1202"/>
      <c r="DYS11" s="1202"/>
      <c r="DYT11" s="1202"/>
      <c r="DYU11" s="1202"/>
      <c r="DYV11" s="1202"/>
      <c r="DYW11" s="1202"/>
      <c r="DYX11" s="1202"/>
      <c r="DYY11" s="1202"/>
      <c r="DYZ11" s="1202"/>
      <c r="DZA11" s="1202"/>
      <c r="DZB11" s="1202"/>
      <c r="DZC11" s="1202"/>
      <c r="DZD11" s="1202"/>
      <c r="DZE11" s="1202"/>
      <c r="DZF11" s="1202"/>
      <c r="DZG11" s="1202"/>
      <c r="DZH11" s="1202"/>
      <c r="DZI11" s="1202"/>
      <c r="DZJ11" s="1202"/>
      <c r="DZK11" s="1202"/>
      <c r="DZL11" s="1202"/>
      <c r="DZM11" s="1202"/>
      <c r="DZN11" s="1202"/>
      <c r="DZO11" s="1202"/>
      <c r="DZP11" s="1202"/>
      <c r="DZQ11" s="1202"/>
      <c r="DZR11" s="1202"/>
      <c r="DZS11" s="1202"/>
      <c r="DZT11" s="1202"/>
      <c r="DZU11" s="1202"/>
      <c r="DZV11" s="1202"/>
      <c r="DZW11" s="1202"/>
      <c r="DZX11" s="1202"/>
      <c r="DZY11" s="1202"/>
      <c r="DZZ11" s="1202"/>
      <c r="EAA11" s="1202"/>
      <c r="EAB11" s="1202"/>
      <c r="EAC11" s="1202"/>
      <c r="EAD11" s="1202"/>
      <c r="EAE11" s="1202"/>
      <c r="EAF11" s="1202"/>
      <c r="EAG11" s="1202"/>
      <c r="EAH11" s="1202"/>
      <c r="EAI11" s="1202"/>
      <c r="EAJ11" s="1202"/>
      <c r="EAK11" s="1202"/>
      <c r="EAL11" s="1202"/>
      <c r="EAM11" s="1202"/>
      <c r="EAN11" s="1202"/>
      <c r="EAO11" s="1202"/>
      <c r="EAP11" s="1202"/>
      <c r="EAQ11" s="1202"/>
      <c r="EAR11" s="1202"/>
      <c r="EAS11" s="1202"/>
      <c r="EAT11" s="1202"/>
      <c r="EAU11" s="1202"/>
      <c r="EAV11" s="1202"/>
      <c r="EAW11" s="1202"/>
      <c r="EAX11" s="1202"/>
      <c r="EAY11" s="1202"/>
      <c r="EAZ11" s="1202"/>
      <c r="EBA11" s="1202"/>
      <c r="EBB11" s="1202"/>
      <c r="EBC11" s="1202"/>
      <c r="EBD11" s="1202"/>
      <c r="EBE11" s="1202"/>
      <c r="EBF11" s="1202"/>
      <c r="EBG11" s="1202"/>
      <c r="EBH11" s="1202"/>
      <c r="EBI11" s="1202"/>
      <c r="EBJ11" s="1202"/>
      <c r="EBK11" s="1202"/>
      <c r="EBL11" s="1202"/>
      <c r="EBM11" s="1202"/>
      <c r="EBN11" s="1202"/>
      <c r="EBO11" s="1202"/>
      <c r="EBP11" s="1202"/>
      <c r="EBQ11" s="1202"/>
      <c r="EBR11" s="1202"/>
      <c r="EBS11" s="1202"/>
      <c r="EBT11" s="1202"/>
      <c r="EBU11" s="1202"/>
      <c r="EBV11" s="1202"/>
      <c r="EBW11" s="1202"/>
      <c r="EBX11" s="1202"/>
      <c r="EBY11" s="1202"/>
      <c r="EBZ11" s="1202"/>
      <c r="ECA11" s="1202"/>
      <c r="ECB11" s="1202"/>
      <c r="ECC11" s="1202"/>
      <c r="ECD11" s="1202"/>
      <c r="ECE11" s="1202"/>
      <c r="ECF11" s="1202"/>
      <c r="ECG11" s="1202"/>
      <c r="ECH11" s="1202"/>
      <c r="ECI11" s="1202"/>
      <c r="ECJ11" s="1202"/>
      <c r="ECK11" s="1202"/>
      <c r="ECL11" s="1202"/>
      <c r="ECM11" s="1202"/>
      <c r="ECN11" s="1202"/>
      <c r="ECO11" s="1202"/>
      <c r="ECP11" s="1202"/>
      <c r="ECQ11" s="1202"/>
      <c r="ECR11" s="1202"/>
      <c r="ECS11" s="1202"/>
      <c r="ECT11" s="1202"/>
      <c r="ECU11" s="1202"/>
      <c r="ECV11" s="1202"/>
      <c r="ECW11" s="1202"/>
      <c r="ECX11" s="1202"/>
      <c r="ECY11" s="1202"/>
      <c r="ECZ11" s="1202"/>
      <c r="EDA11" s="1202"/>
      <c r="EDB11" s="1202"/>
      <c r="EDC11" s="1202"/>
      <c r="EDD11" s="1202"/>
      <c r="EDE11" s="1202"/>
      <c r="EDF11" s="1202"/>
      <c r="EDG11" s="1202"/>
      <c r="EDH11" s="1202"/>
      <c r="EDI11" s="1202"/>
      <c r="EDJ11" s="1202"/>
      <c r="EDK11" s="1202"/>
      <c r="EDL11" s="1202"/>
      <c r="EDM11" s="1202"/>
      <c r="EDN11" s="1202"/>
      <c r="EDO11" s="1202"/>
      <c r="EDP11" s="1202"/>
      <c r="EDQ11" s="1202"/>
      <c r="EDR11" s="1202"/>
      <c r="EDS11" s="1202"/>
      <c r="EDT11" s="1202"/>
      <c r="EDU11" s="1202"/>
      <c r="EDV11" s="1202"/>
      <c r="EDW11" s="1202"/>
      <c r="EDX11" s="1202"/>
      <c r="EDY11" s="1202"/>
      <c r="EDZ11" s="1202"/>
      <c r="EEA11" s="1202"/>
      <c r="EEB11" s="1202"/>
      <c r="EEC11" s="1202"/>
      <c r="EED11" s="1202"/>
      <c r="EEE11" s="1202"/>
      <c r="EEF11" s="1202"/>
      <c r="EEG11" s="1202"/>
      <c r="EEH11" s="1202"/>
      <c r="EEI11" s="1202"/>
      <c r="EEJ11" s="1202"/>
      <c r="EEK11" s="1202"/>
      <c r="EEL11" s="1202"/>
      <c r="EEM11" s="1202"/>
      <c r="EEN11" s="1202"/>
      <c r="EEO11" s="1202"/>
      <c r="EEP11" s="1202"/>
      <c r="EEQ11" s="1202"/>
      <c r="EER11" s="1202"/>
      <c r="EES11" s="1202"/>
      <c r="EET11" s="1202"/>
      <c r="EEU11" s="1202"/>
      <c r="EEV11" s="1202"/>
      <c r="EEW11" s="1202"/>
      <c r="EEX11" s="1202"/>
      <c r="EEY11" s="1202"/>
      <c r="EEZ11" s="1202"/>
      <c r="EFA11" s="1202"/>
      <c r="EFB11" s="1202"/>
      <c r="EFC11" s="1202"/>
      <c r="EFD11" s="1202"/>
      <c r="EFE11" s="1202"/>
      <c r="EFF11" s="1202"/>
      <c r="EFG11" s="1202"/>
      <c r="EFH11" s="1202"/>
      <c r="EFI11" s="1202"/>
      <c r="EFJ11" s="1202"/>
      <c r="EFK11" s="1202"/>
      <c r="EFL11" s="1202"/>
      <c r="EFM11" s="1202"/>
      <c r="EFN11" s="1202"/>
      <c r="EFO11" s="1202"/>
      <c r="EFP11" s="1202"/>
      <c r="EFQ11" s="1202"/>
      <c r="EFR11" s="1202"/>
      <c r="EFS11" s="1202"/>
      <c r="EFT11" s="1202"/>
      <c r="EFU11" s="1202"/>
      <c r="EFV11" s="1202"/>
      <c r="EFW11" s="1202"/>
      <c r="EFX11" s="1202"/>
      <c r="EFY11" s="1202"/>
      <c r="EFZ11" s="1202"/>
      <c r="EGA11" s="1202"/>
      <c r="EGB11" s="1202"/>
      <c r="EGC11" s="1202"/>
      <c r="EGD11" s="1202"/>
      <c r="EGE11" s="1202"/>
      <c r="EGF11" s="1202"/>
      <c r="EGG11" s="1202"/>
      <c r="EGH11" s="1202"/>
      <c r="EGI11" s="1202"/>
      <c r="EGJ11" s="1202"/>
      <c r="EGK11" s="1202"/>
      <c r="EGL11" s="1202"/>
      <c r="EGM11" s="1202"/>
      <c r="EGN11" s="1202"/>
      <c r="EGO11" s="1202"/>
      <c r="EGP11" s="1202"/>
      <c r="EGQ11" s="1202"/>
      <c r="EGR11" s="1202"/>
      <c r="EGS11" s="1202"/>
      <c r="EGT11" s="1202"/>
      <c r="EGU11" s="1202"/>
      <c r="EGV11" s="1202"/>
      <c r="EGW11" s="1202"/>
      <c r="EGX11" s="1202"/>
      <c r="EGY11" s="1202"/>
      <c r="EGZ11" s="1202"/>
      <c r="EHA11" s="1202"/>
      <c r="EHB11" s="1202"/>
      <c r="EHC11" s="1202"/>
      <c r="EHD11" s="1202"/>
      <c r="EHE11" s="1202"/>
      <c r="EHF11" s="1202"/>
      <c r="EHG11" s="1202"/>
      <c r="EHH11" s="1202"/>
      <c r="EHI11" s="1202"/>
      <c r="EHJ11" s="1202"/>
      <c r="EHK11" s="1202"/>
      <c r="EHL11" s="1202"/>
      <c r="EHM11" s="1202"/>
      <c r="EHN11" s="1202"/>
      <c r="EHO11" s="1202"/>
      <c r="EHP11" s="1202"/>
      <c r="EHQ11" s="1202"/>
      <c r="EHR11" s="1202"/>
      <c r="EHS11" s="1202"/>
      <c r="EHT11" s="1202"/>
      <c r="EHU11" s="1202"/>
      <c r="EHV11" s="1202"/>
      <c r="EHW11" s="1202"/>
      <c r="EHX11" s="1202"/>
      <c r="EHY11" s="1202"/>
      <c r="EHZ11" s="1202"/>
      <c r="EIA11" s="1202"/>
      <c r="EIB11" s="1202"/>
      <c r="EIC11" s="1202"/>
      <c r="EID11" s="1202"/>
      <c r="EIE11" s="1202"/>
      <c r="EIF11" s="1202"/>
      <c r="EIG11" s="1202"/>
      <c r="EIH11" s="1202"/>
      <c r="EII11" s="1202"/>
      <c r="EIJ11" s="1202"/>
      <c r="EIK11" s="1202"/>
      <c r="EIL11" s="1202"/>
      <c r="EIM11" s="1202"/>
      <c r="EIN11" s="1202"/>
      <c r="EIO11" s="1202"/>
      <c r="EIP11" s="1202"/>
      <c r="EIQ11" s="1202"/>
      <c r="EIR11" s="1202"/>
      <c r="EIS11" s="1202"/>
      <c r="EIT11" s="1202"/>
      <c r="EIU11" s="1202"/>
      <c r="EIV11" s="1202"/>
      <c r="EIW11" s="1202"/>
      <c r="EIX11" s="1202"/>
      <c r="EIY11" s="1202"/>
      <c r="EIZ11" s="1202"/>
      <c r="EJA11" s="1202"/>
      <c r="EJB11" s="1202"/>
      <c r="EJC11" s="1202"/>
      <c r="EJD11" s="1202"/>
      <c r="EJE11" s="1202"/>
      <c r="EJF11" s="1202"/>
      <c r="EJG11" s="1202"/>
      <c r="EJH11" s="1202"/>
      <c r="EJI11" s="1202"/>
      <c r="EJJ11" s="1202"/>
      <c r="EJK11" s="1202"/>
      <c r="EJL11" s="1202"/>
      <c r="EJM11" s="1202"/>
      <c r="EJN11" s="1202"/>
      <c r="EJO11" s="1202"/>
      <c r="EJP11" s="1202"/>
      <c r="EJQ11" s="1202"/>
      <c r="EJR11" s="1202"/>
      <c r="EJS11" s="1202"/>
      <c r="EJT11" s="1202"/>
      <c r="EJU11" s="1202"/>
      <c r="EJV11" s="1202"/>
      <c r="EJW11" s="1202"/>
      <c r="EJX11" s="1202"/>
      <c r="EJY11" s="1202"/>
      <c r="EJZ11" s="1202"/>
      <c r="EKA11" s="1202"/>
      <c r="EKB11" s="1202"/>
      <c r="EKC11" s="1202"/>
      <c r="EKD11" s="1202"/>
      <c r="EKE11" s="1202"/>
      <c r="EKF11" s="1202"/>
      <c r="EKG11" s="1202"/>
      <c r="EKH11" s="1202"/>
      <c r="EKI11" s="1202"/>
      <c r="EKJ11" s="1202"/>
      <c r="EKK11" s="1202"/>
      <c r="EKL11" s="1202"/>
      <c r="EKM11" s="1202"/>
      <c r="EKN11" s="1202"/>
      <c r="EKO11" s="1202"/>
      <c r="EKP11" s="1202"/>
      <c r="EKQ11" s="1202"/>
      <c r="EKR11" s="1202"/>
      <c r="EKS11" s="1202"/>
      <c r="EKT11" s="1202"/>
      <c r="EKU11" s="1202"/>
      <c r="EKV11" s="1202"/>
      <c r="EKW11" s="1202"/>
      <c r="EKX11" s="1202"/>
      <c r="EKY11" s="1202"/>
      <c r="EKZ11" s="1202"/>
      <c r="ELA11" s="1202"/>
      <c r="ELB11" s="1202"/>
      <c r="ELC11" s="1202"/>
      <c r="ELD11" s="1202"/>
      <c r="ELE11" s="1202"/>
      <c r="ELF11" s="1202"/>
      <c r="ELG11" s="1202"/>
      <c r="ELH11" s="1202"/>
      <c r="ELI11" s="1202"/>
      <c r="ELJ11" s="1202"/>
      <c r="ELK11" s="1202"/>
      <c r="ELL11" s="1202"/>
      <c r="ELM11" s="1202"/>
      <c r="ELN11" s="1202"/>
      <c r="ELO11" s="1202"/>
      <c r="ELP11" s="1202"/>
      <c r="ELQ11" s="1202"/>
      <c r="ELR11" s="1202"/>
      <c r="ELS11" s="1202"/>
      <c r="ELT11" s="1202"/>
      <c r="ELU11" s="1202"/>
      <c r="ELV11" s="1202"/>
      <c r="ELW11" s="1202"/>
      <c r="ELX11" s="1202"/>
      <c r="ELY11" s="1202"/>
      <c r="ELZ11" s="1202"/>
      <c r="EMA11" s="1202"/>
      <c r="EMB11" s="1202"/>
      <c r="EMC11" s="1202"/>
      <c r="EMD11" s="1202"/>
      <c r="EME11" s="1202"/>
      <c r="EMF11" s="1202"/>
      <c r="EMG11" s="1202"/>
      <c r="EMH11" s="1202"/>
      <c r="EMI11" s="1202"/>
      <c r="EMJ11" s="1202"/>
      <c r="EMK11" s="1202"/>
      <c r="EML11" s="1202"/>
      <c r="EMM11" s="1202"/>
      <c r="EMN11" s="1202"/>
      <c r="EMO11" s="1202"/>
      <c r="EMP11" s="1202"/>
      <c r="EMQ11" s="1202"/>
      <c r="EMR11" s="1202"/>
      <c r="EMS11" s="1202"/>
      <c r="EMT11" s="1202"/>
      <c r="EMU11" s="1202"/>
      <c r="EMV11" s="1202"/>
      <c r="EMW11" s="1202"/>
      <c r="EMX11" s="1202"/>
      <c r="EMY11" s="1202"/>
      <c r="EMZ11" s="1202"/>
      <c r="ENA11" s="1202"/>
      <c r="ENB11" s="1202"/>
      <c r="ENC11" s="1202"/>
      <c r="END11" s="1202"/>
      <c r="ENE11" s="1202"/>
      <c r="ENF11" s="1202"/>
      <c r="ENG11" s="1202"/>
      <c r="ENH11" s="1202"/>
      <c r="ENI11" s="1202"/>
      <c r="ENJ11" s="1202"/>
      <c r="ENK11" s="1202"/>
      <c r="ENL11" s="1202"/>
      <c r="ENM11" s="1202"/>
      <c r="ENN11" s="1202"/>
      <c r="ENO11" s="1202"/>
      <c r="ENP11" s="1202"/>
      <c r="ENQ11" s="1202"/>
      <c r="ENR11" s="1202"/>
      <c r="ENS11" s="1202"/>
      <c r="ENT11" s="1202"/>
      <c r="ENU11" s="1202"/>
      <c r="ENV11" s="1202"/>
      <c r="ENW11" s="1202"/>
      <c r="ENX11" s="1202"/>
      <c r="ENY11" s="1202"/>
      <c r="ENZ11" s="1202"/>
      <c r="EOA11" s="1202"/>
      <c r="EOB11" s="1202"/>
      <c r="EOC11" s="1202"/>
      <c r="EOD11" s="1202"/>
      <c r="EOE11" s="1202"/>
      <c r="EOF11" s="1202"/>
      <c r="EOG11" s="1202"/>
      <c r="EOH11" s="1202"/>
      <c r="EOI11" s="1202"/>
      <c r="EOJ11" s="1202"/>
      <c r="EOK11" s="1202"/>
      <c r="EOL11" s="1202"/>
      <c r="EOM11" s="1202"/>
      <c r="EON11" s="1202"/>
      <c r="EOO11" s="1202"/>
      <c r="EOP11" s="1202"/>
      <c r="EOQ11" s="1202"/>
      <c r="EOR11" s="1202"/>
      <c r="EOS11" s="1202"/>
      <c r="EOT11" s="1202"/>
      <c r="EOU11" s="1202"/>
      <c r="EOV11" s="1202"/>
      <c r="EOW11" s="1202"/>
      <c r="EOX11" s="1202"/>
      <c r="EOY11" s="1202"/>
      <c r="EOZ11" s="1202"/>
      <c r="EPA11" s="1202"/>
      <c r="EPB11" s="1202"/>
      <c r="EPC11" s="1202"/>
      <c r="EPD11" s="1202"/>
      <c r="EPE11" s="1202"/>
      <c r="EPF11" s="1202"/>
      <c r="EPG11" s="1202"/>
      <c r="EPH11" s="1202"/>
      <c r="EPI11" s="1202"/>
      <c r="EPJ11" s="1202"/>
      <c r="EPK11" s="1202"/>
      <c r="EPL11" s="1202"/>
      <c r="EPM11" s="1202"/>
      <c r="EPN11" s="1202"/>
      <c r="EPO11" s="1202"/>
      <c r="EPP11" s="1202"/>
      <c r="EPQ11" s="1202"/>
      <c r="EPR11" s="1202"/>
      <c r="EPS11" s="1202"/>
      <c r="EPT11" s="1202"/>
      <c r="EPU11" s="1202"/>
      <c r="EPV11" s="1202"/>
      <c r="EPW11" s="1202"/>
      <c r="EPX11" s="1202"/>
      <c r="EPY11" s="1202"/>
      <c r="EPZ11" s="1202"/>
      <c r="EQA11" s="1202"/>
      <c r="EQB11" s="1202"/>
      <c r="EQC11" s="1202"/>
      <c r="EQD11" s="1202"/>
      <c r="EQE11" s="1202"/>
      <c r="EQF11" s="1202"/>
      <c r="EQG11" s="1202"/>
      <c r="EQH11" s="1202"/>
      <c r="EQI11" s="1202"/>
      <c r="EQJ11" s="1202"/>
      <c r="EQK11" s="1202"/>
      <c r="EQL11" s="1202"/>
      <c r="EQM11" s="1202"/>
      <c r="EQN11" s="1202"/>
      <c r="EQO11" s="1202"/>
      <c r="EQP11" s="1202"/>
      <c r="EQQ11" s="1202"/>
      <c r="EQR11" s="1202"/>
      <c r="EQS11" s="1202"/>
      <c r="EQT11" s="1202"/>
      <c r="EQU11" s="1202"/>
      <c r="EQV11" s="1202"/>
      <c r="EQW11" s="1202"/>
      <c r="EQX11" s="1202"/>
      <c r="EQY11" s="1202"/>
      <c r="EQZ11" s="1202"/>
      <c r="ERA11" s="1202"/>
      <c r="ERB11" s="1202"/>
      <c r="ERC11" s="1202"/>
      <c r="ERD11" s="1202"/>
      <c r="ERE11" s="1202"/>
      <c r="ERF11" s="1202"/>
      <c r="ERG11" s="1202"/>
      <c r="ERH11" s="1202"/>
      <c r="ERI11" s="1202"/>
      <c r="ERJ11" s="1202"/>
      <c r="ERK11" s="1202"/>
      <c r="ERL11" s="1202"/>
      <c r="ERM11" s="1202"/>
      <c r="ERN11" s="1202"/>
      <c r="ERO11" s="1202"/>
      <c r="ERP11" s="1202"/>
      <c r="ERQ11" s="1202"/>
      <c r="ERR11" s="1202"/>
      <c r="ERS11" s="1202"/>
      <c r="ERT11" s="1202"/>
      <c r="ERU11" s="1202"/>
      <c r="ERV11" s="1202"/>
      <c r="ERW11" s="1202"/>
      <c r="ERX11" s="1202"/>
      <c r="ERY11" s="1202"/>
      <c r="ERZ11" s="1202"/>
      <c r="ESA11" s="1202"/>
      <c r="ESB11" s="1202"/>
      <c r="ESC11" s="1202"/>
      <c r="ESD11" s="1202"/>
      <c r="ESE11" s="1202"/>
      <c r="ESF11" s="1202"/>
      <c r="ESG11" s="1202"/>
      <c r="ESH11" s="1202"/>
      <c r="ESI11" s="1202"/>
      <c r="ESJ11" s="1202"/>
      <c r="ESK11" s="1202"/>
      <c r="ESL11" s="1202"/>
      <c r="ESM11" s="1202"/>
      <c r="ESN11" s="1202"/>
      <c r="ESO11" s="1202"/>
      <c r="ESP11" s="1202"/>
      <c r="ESQ11" s="1202"/>
      <c r="ESR11" s="1202"/>
      <c r="ESS11" s="1202"/>
      <c r="EST11" s="1202"/>
      <c r="ESU11" s="1202"/>
      <c r="ESV11" s="1202"/>
      <c r="ESW11" s="1202"/>
      <c r="ESX11" s="1202"/>
      <c r="ESY11" s="1202"/>
      <c r="ESZ11" s="1202"/>
      <c r="ETA11" s="1202"/>
      <c r="ETB11" s="1202"/>
      <c r="ETC11" s="1202"/>
      <c r="ETD11" s="1202"/>
      <c r="ETE11" s="1202"/>
      <c r="ETF11" s="1202"/>
      <c r="ETG11" s="1202"/>
      <c r="ETH11" s="1202"/>
      <c r="ETI11" s="1202"/>
      <c r="ETJ11" s="1202"/>
      <c r="ETK11" s="1202"/>
      <c r="ETL11" s="1202"/>
      <c r="ETM11" s="1202"/>
      <c r="ETN11" s="1202"/>
      <c r="ETO11" s="1202"/>
      <c r="ETP11" s="1202"/>
      <c r="ETQ11" s="1202"/>
      <c r="ETR11" s="1202"/>
      <c r="ETS11" s="1202"/>
      <c r="ETT11" s="1202"/>
      <c r="ETU11" s="1202"/>
      <c r="ETV11" s="1202"/>
      <c r="ETW11" s="1202"/>
      <c r="ETX11" s="1202"/>
      <c r="ETY11" s="1202"/>
      <c r="ETZ11" s="1202"/>
      <c r="EUA11" s="1202"/>
      <c r="EUB11" s="1202"/>
      <c r="EUC11" s="1202"/>
      <c r="EUD11" s="1202"/>
      <c r="EUE11" s="1202"/>
      <c r="EUF11" s="1202"/>
      <c r="EUG11" s="1202"/>
      <c r="EUH11" s="1202"/>
      <c r="EUI11" s="1202"/>
      <c r="EUJ11" s="1202"/>
      <c r="EUK11" s="1202"/>
      <c r="EUL11" s="1202"/>
      <c r="EUM11" s="1202"/>
      <c r="EUN11" s="1202"/>
      <c r="EUO11" s="1202"/>
      <c r="EUP11" s="1202"/>
      <c r="EUQ11" s="1202"/>
      <c r="EUR11" s="1202"/>
      <c r="EUS11" s="1202"/>
      <c r="EUT11" s="1202"/>
      <c r="EUU11" s="1202"/>
      <c r="EUV11" s="1202"/>
      <c r="EUW11" s="1202"/>
      <c r="EUX11" s="1202"/>
      <c r="EUY11" s="1202"/>
      <c r="EUZ11" s="1202"/>
      <c r="EVA11" s="1202"/>
      <c r="EVB11" s="1202"/>
      <c r="EVC11" s="1202"/>
      <c r="EVD11" s="1202"/>
      <c r="EVE11" s="1202"/>
      <c r="EVF11" s="1202"/>
      <c r="EVG11" s="1202"/>
      <c r="EVH11" s="1202"/>
      <c r="EVI11" s="1202"/>
      <c r="EVJ11" s="1202"/>
      <c r="EVK11" s="1202"/>
      <c r="EVL11" s="1202"/>
      <c r="EVM11" s="1202"/>
      <c r="EVN11" s="1202"/>
      <c r="EVO11" s="1202"/>
      <c r="EVP11" s="1202"/>
      <c r="EVQ11" s="1202"/>
      <c r="EVR11" s="1202"/>
      <c r="EVS11" s="1202"/>
      <c r="EVT11" s="1202"/>
      <c r="EVU11" s="1202"/>
      <c r="EVV11" s="1202"/>
      <c r="EVW11" s="1202"/>
      <c r="EVX11" s="1202"/>
      <c r="EVY11" s="1202"/>
      <c r="EVZ11" s="1202"/>
      <c r="EWA11" s="1202"/>
      <c r="EWB11" s="1202"/>
      <c r="EWC11" s="1202"/>
      <c r="EWD11" s="1202"/>
      <c r="EWE11" s="1202"/>
      <c r="EWF11" s="1202"/>
      <c r="EWG11" s="1202"/>
      <c r="EWH11" s="1202"/>
      <c r="EWI11" s="1202"/>
      <c r="EWJ11" s="1202"/>
      <c r="EWK11" s="1202"/>
      <c r="EWL11" s="1202"/>
      <c r="EWM11" s="1202"/>
      <c r="EWN11" s="1202"/>
      <c r="EWO11" s="1202"/>
      <c r="EWP11" s="1202"/>
      <c r="EWQ11" s="1202"/>
      <c r="EWR11" s="1202"/>
      <c r="EWS11" s="1202"/>
      <c r="EWT11" s="1202"/>
      <c r="EWU11" s="1202"/>
      <c r="EWV11" s="1202"/>
      <c r="EWW11" s="1202"/>
      <c r="EWX11" s="1202"/>
      <c r="EWY11" s="1202"/>
      <c r="EWZ11" s="1202"/>
      <c r="EXA11" s="1202"/>
      <c r="EXB11" s="1202"/>
      <c r="EXC11" s="1202"/>
      <c r="EXD11" s="1202"/>
      <c r="EXE11" s="1202"/>
      <c r="EXF11" s="1202"/>
      <c r="EXG11" s="1202"/>
      <c r="EXH11" s="1202"/>
      <c r="EXI11" s="1202"/>
      <c r="EXJ11" s="1202"/>
      <c r="EXK11" s="1202"/>
      <c r="EXL11" s="1202"/>
      <c r="EXM11" s="1202"/>
      <c r="EXN11" s="1202"/>
      <c r="EXO11" s="1202"/>
      <c r="EXP11" s="1202"/>
      <c r="EXQ11" s="1202"/>
      <c r="EXR11" s="1202"/>
      <c r="EXS11" s="1202"/>
      <c r="EXT11" s="1202"/>
      <c r="EXU11" s="1202"/>
      <c r="EXV11" s="1202"/>
      <c r="EXW11" s="1202"/>
      <c r="EXX11" s="1202"/>
      <c r="EXY11" s="1202"/>
      <c r="EXZ11" s="1202"/>
      <c r="EYA11" s="1202"/>
      <c r="EYB11" s="1202"/>
      <c r="EYC11" s="1202"/>
      <c r="EYD11" s="1202"/>
      <c r="EYE11" s="1202"/>
      <c r="EYF11" s="1202"/>
      <c r="EYG11" s="1202"/>
      <c r="EYH11" s="1202"/>
      <c r="EYI11" s="1202"/>
      <c r="EYJ11" s="1202"/>
      <c r="EYK11" s="1202"/>
      <c r="EYL11" s="1202"/>
      <c r="EYM11" s="1202"/>
      <c r="EYN11" s="1202"/>
      <c r="EYO11" s="1202"/>
      <c r="EYP11" s="1202"/>
      <c r="EYQ11" s="1202"/>
      <c r="EYR11" s="1202"/>
      <c r="EYS11" s="1202"/>
      <c r="EYT11" s="1202"/>
      <c r="EYU11" s="1202"/>
      <c r="EYV11" s="1202"/>
      <c r="EYW11" s="1202"/>
      <c r="EYX11" s="1202"/>
      <c r="EYY11" s="1202"/>
      <c r="EYZ11" s="1202"/>
      <c r="EZA11" s="1202"/>
      <c r="EZB11" s="1202"/>
      <c r="EZC11" s="1202"/>
      <c r="EZD11" s="1202"/>
      <c r="EZE11" s="1202"/>
      <c r="EZF11" s="1202"/>
      <c r="EZG11" s="1202"/>
      <c r="EZH11" s="1202"/>
      <c r="EZI11" s="1202"/>
      <c r="EZJ11" s="1202"/>
      <c r="EZK11" s="1202"/>
      <c r="EZL11" s="1202"/>
      <c r="EZM11" s="1202"/>
      <c r="EZN11" s="1202"/>
      <c r="EZO11" s="1202"/>
      <c r="EZP11" s="1202"/>
      <c r="EZQ11" s="1202"/>
      <c r="EZR11" s="1202"/>
      <c r="EZS11" s="1202"/>
      <c r="EZT11" s="1202"/>
      <c r="EZU11" s="1202"/>
      <c r="EZV11" s="1202"/>
      <c r="EZW11" s="1202"/>
      <c r="EZX11" s="1202"/>
      <c r="EZY11" s="1202"/>
      <c r="EZZ11" s="1202"/>
      <c r="FAA11" s="1202"/>
      <c r="FAB11" s="1202"/>
      <c r="FAC11" s="1202"/>
      <c r="FAD11" s="1202"/>
      <c r="FAE11" s="1202"/>
      <c r="FAF11" s="1202"/>
      <c r="FAG11" s="1202"/>
      <c r="FAH11" s="1202"/>
      <c r="FAI11" s="1202"/>
      <c r="FAJ11" s="1202"/>
      <c r="FAK11" s="1202"/>
      <c r="FAL11" s="1202"/>
      <c r="FAM11" s="1202"/>
      <c r="FAN11" s="1202"/>
      <c r="FAO11" s="1202"/>
      <c r="FAP11" s="1202"/>
      <c r="FAQ11" s="1202"/>
      <c r="FAR11" s="1202"/>
      <c r="FAS11" s="1202"/>
      <c r="FAT11" s="1202"/>
      <c r="FAU11" s="1202"/>
      <c r="FAV11" s="1202"/>
      <c r="FAW11" s="1202"/>
      <c r="FAX11" s="1202"/>
      <c r="FAY11" s="1202"/>
      <c r="FAZ11" s="1202"/>
      <c r="FBA11" s="1202"/>
      <c r="FBB11" s="1202"/>
      <c r="FBC11" s="1202"/>
      <c r="FBD11" s="1202"/>
      <c r="FBE11" s="1202"/>
      <c r="FBF11" s="1202"/>
      <c r="FBG11" s="1202"/>
      <c r="FBH11" s="1202"/>
      <c r="FBI11" s="1202"/>
      <c r="FBJ11" s="1202"/>
      <c r="FBK11" s="1202"/>
      <c r="FBL11" s="1202"/>
      <c r="FBM11" s="1202"/>
      <c r="FBN11" s="1202"/>
      <c r="FBO11" s="1202"/>
      <c r="FBP11" s="1202"/>
      <c r="FBQ11" s="1202"/>
      <c r="FBR11" s="1202"/>
      <c r="FBS11" s="1202"/>
      <c r="FBT11" s="1202"/>
      <c r="FBU11" s="1202"/>
      <c r="FBV11" s="1202"/>
      <c r="FBW11" s="1202"/>
      <c r="FBX11" s="1202"/>
      <c r="FBY11" s="1202"/>
      <c r="FBZ11" s="1202"/>
      <c r="FCA11" s="1202"/>
      <c r="FCB11" s="1202"/>
      <c r="FCC11" s="1202"/>
      <c r="FCD11" s="1202"/>
      <c r="FCE11" s="1202"/>
      <c r="FCF11" s="1202"/>
      <c r="FCG11" s="1202"/>
      <c r="FCH11" s="1202"/>
      <c r="FCI11" s="1202"/>
      <c r="FCJ11" s="1202"/>
      <c r="FCK11" s="1202"/>
      <c r="FCL11" s="1202"/>
      <c r="FCM11" s="1202"/>
      <c r="FCN11" s="1202"/>
      <c r="FCO11" s="1202"/>
      <c r="FCP11" s="1202"/>
      <c r="FCQ11" s="1202"/>
      <c r="FCR11" s="1202"/>
      <c r="FCS11" s="1202"/>
      <c r="FCT11" s="1202"/>
      <c r="FCU11" s="1202"/>
      <c r="FCV11" s="1202"/>
      <c r="FCW11" s="1202"/>
      <c r="FCX11" s="1202"/>
      <c r="FCY11" s="1202"/>
      <c r="FCZ11" s="1202"/>
      <c r="FDA11" s="1202"/>
      <c r="FDB11" s="1202"/>
      <c r="FDC11" s="1202"/>
      <c r="FDD11" s="1202"/>
      <c r="FDE11" s="1202"/>
      <c r="FDF11" s="1202"/>
      <c r="FDG11" s="1202"/>
      <c r="FDH11" s="1202"/>
      <c r="FDI11" s="1202"/>
      <c r="FDJ11" s="1202"/>
      <c r="FDK11" s="1202"/>
      <c r="FDL11" s="1202"/>
      <c r="FDM11" s="1202"/>
      <c r="FDN11" s="1202"/>
      <c r="FDO11" s="1202"/>
      <c r="FDP11" s="1202"/>
      <c r="FDQ11" s="1202"/>
      <c r="FDR11" s="1202"/>
      <c r="FDS11" s="1202"/>
      <c r="FDT11" s="1202"/>
      <c r="FDU11" s="1202"/>
      <c r="FDV11" s="1202"/>
      <c r="FDW11" s="1202"/>
      <c r="FDX11" s="1202"/>
      <c r="FDY11" s="1202"/>
      <c r="FDZ11" s="1202"/>
      <c r="FEA11" s="1202"/>
      <c r="FEB11" s="1202"/>
      <c r="FEC11" s="1202"/>
      <c r="FED11" s="1202"/>
      <c r="FEE11" s="1202"/>
      <c r="FEF11" s="1202"/>
      <c r="FEG11" s="1202"/>
      <c r="FEH11" s="1202"/>
      <c r="FEI11" s="1202"/>
      <c r="FEJ11" s="1202"/>
      <c r="FEK11" s="1202"/>
      <c r="FEL11" s="1202"/>
      <c r="FEM11" s="1202"/>
      <c r="FEN11" s="1202"/>
      <c r="FEO11" s="1202"/>
      <c r="FEP11" s="1202"/>
      <c r="FEQ11" s="1202"/>
      <c r="FER11" s="1202"/>
      <c r="FES11" s="1202"/>
      <c r="FET11" s="1202"/>
      <c r="FEU11" s="1202"/>
      <c r="FEV11" s="1202"/>
      <c r="FEW11" s="1202"/>
      <c r="FEX11" s="1202"/>
      <c r="FEY11" s="1202"/>
      <c r="FEZ11" s="1202"/>
      <c r="FFA11" s="1202"/>
      <c r="FFB11" s="1202"/>
      <c r="FFC11" s="1202"/>
      <c r="FFD11" s="1202"/>
      <c r="FFE11" s="1202"/>
      <c r="FFF11" s="1202"/>
      <c r="FFG11" s="1202"/>
      <c r="FFH11" s="1202"/>
      <c r="FFI11" s="1202"/>
      <c r="FFJ11" s="1202"/>
      <c r="FFK11" s="1202"/>
      <c r="FFL11" s="1202"/>
      <c r="FFM11" s="1202"/>
      <c r="FFN11" s="1202"/>
      <c r="FFO11" s="1202"/>
      <c r="FFP11" s="1202"/>
      <c r="FFQ11" s="1202"/>
      <c r="FFR11" s="1202"/>
      <c r="FFS11" s="1202"/>
      <c r="FFT11" s="1202"/>
      <c r="FFU11" s="1202"/>
      <c r="FFV11" s="1202"/>
      <c r="FFW11" s="1202"/>
      <c r="FFX11" s="1202"/>
      <c r="FFY11" s="1202"/>
      <c r="FFZ11" s="1202"/>
      <c r="FGA11" s="1202"/>
      <c r="FGB11" s="1202"/>
      <c r="FGC11" s="1202"/>
      <c r="FGD11" s="1202"/>
      <c r="FGE11" s="1202"/>
      <c r="FGF11" s="1202"/>
      <c r="FGG11" s="1202"/>
      <c r="FGH11" s="1202"/>
      <c r="FGI11" s="1202"/>
      <c r="FGJ11" s="1202"/>
      <c r="FGK11" s="1202"/>
      <c r="FGL11" s="1202"/>
      <c r="FGM11" s="1202"/>
      <c r="FGN11" s="1202"/>
      <c r="FGO11" s="1202"/>
      <c r="FGP11" s="1202"/>
      <c r="FGQ11" s="1202"/>
      <c r="FGR11" s="1202"/>
      <c r="FGS11" s="1202"/>
      <c r="FGT11" s="1202"/>
      <c r="FGU11" s="1202"/>
      <c r="FGV11" s="1202"/>
      <c r="FGW11" s="1202"/>
      <c r="FGX11" s="1202"/>
      <c r="FGY11" s="1202"/>
      <c r="FGZ11" s="1202"/>
      <c r="FHA11" s="1202"/>
      <c r="FHB11" s="1202"/>
      <c r="FHC11" s="1202"/>
      <c r="FHD11" s="1202"/>
      <c r="FHE11" s="1202"/>
      <c r="FHF11" s="1202"/>
      <c r="FHG11" s="1202"/>
      <c r="FHH11" s="1202"/>
      <c r="FHI11" s="1202"/>
      <c r="FHJ11" s="1202"/>
      <c r="FHK11" s="1202"/>
      <c r="FHL11" s="1202"/>
      <c r="FHM11" s="1202"/>
      <c r="FHN11" s="1202"/>
      <c r="FHO11" s="1202"/>
      <c r="FHP11" s="1202"/>
      <c r="FHQ11" s="1202"/>
      <c r="FHR11" s="1202"/>
      <c r="FHS11" s="1202"/>
      <c r="FHT11" s="1202"/>
      <c r="FHU11" s="1202"/>
      <c r="FHV11" s="1202"/>
      <c r="FHW11" s="1202"/>
      <c r="FHX11" s="1202"/>
      <c r="FHY11" s="1202"/>
      <c r="FHZ11" s="1202"/>
      <c r="FIA11" s="1202"/>
      <c r="FIB11" s="1202"/>
      <c r="FIC11" s="1202"/>
      <c r="FID11" s="1202"/>
      <c r="FIE11" s="1202"/>
      <c r="FIF11" s="1202"/>
      <c r="FIG11" s="1202"/>
      <c r="FIH11" s="1202"/>
      <c r="FII11" s="1202"/>
      <c r="FIJ11" s="1202"/>
      <c r="FIK11" s="1202"/>
      <c r="FIL11" s="1202"/>
      <c r="FIM11" s="1202"/>
      <c r="FIN11" s="1202"/>
      <c r="FIO11" s="1202"/>
      <c r="FIP11" s="1202"/>
      <c r="FIQ11" s="1202"/>
      <c r="FIR11" s="1202"/>
      <c r="FIS11" s="1202"/>
      <c r="FIT11" s="1202"/>
      <c r="FIU11" s="1202"/>
      <c r="FIV11" s="1202"/>
      <c r="FIW11" s="1202"/>
      <c r="FIX11" s="1202"/>
      <c r="FIY11" s="1202"/>
      <c r="FIZ11" s="1202"/>
      <c r="FJA11" s="1202"/>
      <c r="FJB11" s="1202"/>
      <c r="FJC11" s="1202"/>
      <c r="FJD11" s="1202"/>
      <c r="FJE11" s="1202"/>
      <c r="FJF11" s="1202"/>
      <c r="FJG11" s="1202"/>
      <c r="FJH11" s="1202"/>
      <c r="FJI11" s="1202"/>
      <c r="FJJ11" s="1202"/>
      <c r="FJK11" s="1202"/>
      <c r="FJL11" s="1202"/>
      <c r="FJM11" s="1202"/>
      <c r="FJN11" s="1202"/>
      <c r="FJO11" s="1202"/>
      <c r="FJP11" s="1202"/>
      <c r="FJQ11" s="1202"/>
      <c r="FJR11" s="1202"/>
      <c r="FJS11" s="1202"/>
      <c r="FJT11" s="1202"/>
      <c r="FJU11" s="1202"/>
      <c r="FJV11" s="1202"/>
      <c r="FJW11" s="1202"/>
      <c r="FJX11" s="1202"/>
      <c r="FJY11" s="1202"/>
      <c r="FJZ11" s="1202"/>
      <c r="FKA11" s="1202"/>
      <c r="FKB11" s="1202"/>
      <c r="FKC11" s="1202"/>
      <c r="FKD11" s="1202"/>
      <c r="FKE11" s="1202"/>
      <c r="FKF11" s="1202"/>
      <c r="FKG11" s="1202"/>
      <c r="FKH11" s="1202"/>
      <c r="FKI11" s="1202"/>
      <c r="FKJ11" s="1202"/>
      <c r="FKK11" s="1202"/>
      <c r="FKL11" s="1202"/>
      <c r="FKM11" s="1202"/>
      <c r="FKN11" s="1202"/>
      <c r="FKO11" s="1202"/>
      <c r="FKP11" s="1202"/>
      <c r="FKQ11" s="1202"/>
      <c r="FKR11" s="1202"/>
      <c r="FKS11" s="1202"/>
      <c r="FKT11" s="1202"/>
      <c r="FKU11" s="1202"/>
      <c r="FKV11" s="1202"/>
      <c r="FKW11" s="1202"/>
      <c r="FKX11" s="1202"/>
      <c r="FKY11" s="1202"/>
      <c r="FKZ11" s="1202"/>
      <c r="FLA11" s="1202"/>
      <c r="FLB11" s="1202"/>
      <c r="FLC11" s="1202"/>
      <c r="FLD11" s="1202"/>
      <c r="FLE11" s="1202"/>
      <c r="FLF11" s="1202"/>
      <c r="FLG11" s="1202"/>
      <c r="FLH11" s="1202"/>
      <c r="FLI11" s="1202"/>
      <c r="FLJ11" s="1202"/>
      <c r="FLK11" s="1202"/>
      <c r="FLL11" s="1202"/>
      <c r="FLM11" s="1202"/>
      <c r="FLN11" s="1202"/>
      <c r="FLO11" s="1202"/>
      <c r="FLP11" s="1202"/>
      <c r="FLQ11" s="1202"/>
      <c r="FLR11" s="1202"/>
      <c r="FLS11" s="1202"/>
      <c r="FLT11" s="1202"/>
      <c r="FLU11" s="1202"/>
      <c r="FLV11" s="1202"/>
      <c r="FLW11" s="1202"/>
      <c r="FLX11" s="1202"/>
      <c r="FLY11" s="1202"/>
      <c r="FLZ11" s="1202"/>
      <c r="FMA11" s="1202"/>
      <c r="FMB11" s="1202"/>
      <c r="FMC11" s="1202"/>
      <c r="FMD11" s="1202"/>
      <c r="FME11" s="1202"/>
      <c r="FMF11" s="1202"/>
      <c r="FMG11" s="1202"/>
      <c r="FMH11" s="1202"/>
      <c r="FMI11" s="1202"/>
      <c r="FMJ11" s="1202"/>
      <c r="FMK11" s="1202"/>
      <c r="FML11" s="1202"/>
      <c r="FMM11" s="1202"/>
      <c r="FMN11" s="1202"/>
      <c r="FMO11" s="1202"/>
      <c r="FMP11" s="1202"/>
      <c r="FMQ11" s="1202"/>
      <c r="FMR11" s="1202"/>
      <c r="FMS11" s="1202"/>
      <c r="FMT11" s="1202"/>
      <c r="FMU11" s="1202"/>
      <c r="FMV11" s="1202"/>
      <c r="FMW11" s="1202"/>
      <c r="FMX11" s="1202"/>
      <c r="FMY11" s="1202"/>
      <c r="FMZ11" s="1202"/>
      <c r="FNA11" s="1202"/>
      <c r="FNB11" s="1202"/>
      <c r="FNC11" s="1202"/>
      <c r="FND11" s="1202"/>
      <c r="FNE11" s="1202"/>
      <c r="FNF11" s="1202"/>
      <c r="FNG11" s="1202"/>
      <c r="FNH11" s="1202"/>
      <c r="FNI11" s="1202"/>
      <c r="FNJ11" s="1202"/>
      <c r="FNK11" s="1202"/>
      <c r="FNL11" s="1202"/>
      <c r="FNM11" s="1202"/>
      <c r="FNN11" s="1202"/>
      <c r="FNO11" s="1202"/>
      <c r="FNP11" s="1202"/>
      <c r="FNQ11" s="1202"/>
      <c r="FNR11" s="1202"/>
      <c r="FNS11" s="1202"/>
      <c r="FNT11" s="1202"/>
      <c r="FNU11" s="1202"/>
      <c r="FNV11" s="1202"/>
      <c r="FNW11" s="1202"/>
      <c r="FNX11" s="1202"/>
      <c r="FNY11" s="1202"/>
      <c r="FNZ11" s="1202"/>
      <c r="FOA11" s="1202"/>
      <c r="FOB11" s="1202"/>
      <c r="FOC11" s="1202"/>
      <c r="FOD11" s="1202"/>
      <c r="FOE11" s="1202"/>
      <c r="FOF11" s="1202"/>
      <c r="FOG11" s="1202"/>
      <c r="FOH11" s="1202"/>
      <c r="FOI11" s="1202"/>
      <c r="FOJ11" s="1202"/>
      <c r="FOK11" s="1202"/>
      <c r="FOL11" s="1202"/>
      <c r="FOM11" s="1202"/>
      <c r="FON11" s="1202"/>
      <c r="FOO11" s="1202"/>
      <c r="FOP11" s="1202"/>
      <c r="FOQ11" s="1202"/>
      <c r="FOR11" s="1202"/>
      <c r="FOS11" s="1202"/>
      <c r="FOT11" s="1202"/>
      <c r="FOU11" s="1202"/>
      <c r="FOV11" s="1202"/>
      <c r="FOW11" s="1202"/>
      <c r="FOX11" s="1202"/>
      <c r="FOY11" s="1202"/>
      <c r="FOZ11" s="1202"/>
      <c r="FPA11" s="1202"/>
      <c r="FPB11" s="1202"/>
      <c r="FPC11" s="1202"/>
      <c r="FPD11" s="1202"/>
      <c r="FPE11" s="1202"/>
      <c r="FPF11" s="1202"/>
      <c r="FPG11" s="1202"/>
      <c r="FPH11" s="1202"/>
      <c r="FPI11" s="1202"/>
      <c r="FPJ11" s="1202"/>
      <c r="FPK11" s="1202"/>
      <c r="FPL11" s="1202"/>
      <c r="FPM11" s="1202"/>
      <c r="FPN11" s="1202"/>
      <c r="FPO11" s="1202"/>
      <c r="FPP11" s="1202"/>
      <c r="FPQ11" s="1202"/>
      <c r="FPR11" s="1202"/>
      <c r="FPS11" s="1202"/>
      <c r="FPT11" s="1202"/>
      <c r="FPU11" s="1202"/>
      <c r="FPV11" s="1202"/>
      <c r="FPW11" s="1202"/>
      <c r="FPX11" s="1202"/>
      <c r="FPY11" s="1202"/>
      <c r="FPZ11" s="1202"/>
      <c r="FQA11" s="1202"/>
      <c r="FQB11" s="1202"/>
      <c r="FQC11" s="1202"/>
      <c r="FQD11" s="1202"/>
      <c r="FQE11" s="1202"/>
      <c r="FQF11" s="1202"/>
      <c r="FQG11" s="1202"/>
      <c r="FQH11" s="1202"/>
      <c r="FQI11" s="1202"/>
      <c r="FQJ11" s="1202"/>
      <c r="FQK11" s="1202"/>
      <c r="FQL11" s="1202"/>
      <c r="FQM11" s="1202"/>
      <c r="FQN11" s="1202"/>
      <c r="FQO11" s="1202"/>
      <c r="FQP11" s="1202"/>
      <c r="FQQ11" s="1202"/>
      <c r="FQR11" s="1202"/>
      <c r="FQS11" s="1202"/>
      <c r="FQT11" s="1202"/>
      <c r="FQU11" s="1202"/>
      <c r="FQV11" s="1202"/>
      <c r="FQW11" s="1202"/>
      <c r="FQX11" s="1202"/>
      <c r="FQY11" s="1202"/>
      <c r="FQZ11" s="1202"/>
      <c r="FRA11" s="1202"/>
      <c r="FRB11" s="1202"/>
      <c r="FRC11" s="1202"/>
      <c r="FRD11" s="1202"/>
      <c r="FRE11" s="1202"/>
      <c r="FRF11" s="1202"/>
      <c r="FRG11" s="1202"/>
      <c r="FRH11" s="1202"/>
      <c r="FRI11" s="1202"/>
      <c r="FRJ11" s="1202"/>
      <c r="FRK11" s="1202"/>
      <c r="FRL11" s="1202"/>
      <c r="FRM11" s="1202"/>
      <c r="FRN11" s="1202"/>
      <c r="FRO11" s="1202"/>
      <c r="FRP11" s="1202"/>
      <c r="FRQ11" s="1202"/>
      <c r="FRR11" s="1202"/>
      <c r="FRS11" s="1202"/>
      <c r="FRT11" s="1202"/>
      <c r="FRU11" s="1202"/>
      <c r="FRV11" s="1202"/>
      <c r="FRW11" s="1202"/>
      <c r="FRX11" s="1202"/>
      <c r="FRY11" s="1202"/>
      <c r="FRZ11" s="1202"/>
      <c r="FSA11" s="1202"/>
      <c r="FSB11" s="1202"/>
      <c r="FSC11" s="1202"/>
      <c r="FSD11" s="1202"/>
      <c r="FSE11" s="1202"/>
      <c r="FSF11" s="1202"/>
      <c r="FSG11" s="1202"/>
      <c r="FSH11" s="1202"/>
      <c r="FSI11" s="1202"/>
      <c r="FSJ11" s="1202"/>
      <c r="FSK11" s="1202"/>
      <c r="FSL11" s="1202"/>
      <c r="FSM11" s="1202"/>
      <c r="FSN11" s="1202"/>
      <c r="FSO11" s="1202"/>
      <c r="FSP11" s="1202"/>
      <c r="FSQ11" s="1202"/>
      <c r="FSR11" s="1202"/>
      <c r="FSS11" s="1202"/>
      <c r="FST11" s="1202"/>
      <c r="FSU11" s="1202"/>
      <c r="FSV11" s="1202"/>
      <c r="FSW11" s="1202"/>
      <c r="FSX11" s="1202"/>
      <c r="FSY11" s="1202"/>
      <c r="FSZ11" s="1202"/>
      <c r="FTA11" s="1202"/>
      <c r="FTB11" s="1202"/>
      <c r="FTC11" s="1202"/>
      <c r="FTD11" s="1202"/>
      <c r="FTE11" s="1202"/>
      <c r="FTF11" s="1202"/>
      <c r="FTG11" s="1202"/>
      <c r="FTH11" s="1202"/>
      <c r="FTI11" s="1202"/>
      <c r="FTJ11" s="1202"/>
      <c r="FTK11" s="1202"/>
      <c r="FTL11" s="1202"/>
      <c r="FTM11" s="1202"/>
      <c r="FTN11" s="1202"/>
      <c r="FTO11" s="1202"/>
      <c r="FTP11" s="1202"/>
      <c r="FTQ11" s="1202"/>
      <c r="FTR11" s="1202"/>
      <c r="FTS11" s="1202"/>
      <c r="FTT11" s="1202"/>
      <c r="FTU11" s="1202"/>
      <c r="FTV11" s="1202"/>
      <c r="FTW11" s="1202"/>
      <c r="FTX11" s="1202"/>
      <c r="FTY11" s="1202"/>
      <c r="FTZ11" s="1202"/>
      <c r="FUA11" s="1202"/>
      <c r="FUB11" s="1202"/>
      <c r="FUC11" s="1202"/>
      <c r="FUD11" s="1202"/>
      <c r="FUE11" s="1202"/>
      <c r="FUF11" s="1202"/>
      <c r="FUG11" s="1202"/>
      <c r="FUH11" s="1202"/>
      <c r="FUI11" s="1202"/>
      <c r="FUJ11" s="1202"/>
      <c r="FUK11" s="1202"/>
      <c r="FUL11" s="1202"/>
      <c r="FUM11" s="1202"/>
      <c r="FUN11" s="1202"/>
      <c r="FUO11" s="1202"/>
      <c r="FUP11" s="1202"/>
      <c r="FUQ11" s="1202"/>
      <c r="FUR11" s="1202"/>
      <c r="FUS11" s="1202"/>
      <c r="FUT11" s="1202"/>
      <c r="FUU11" s="1202"/>
      <c r="FUV11" s="1202"/>
      <c r="FUW11" s="1202"/>
      <c r="FUX11" s="1202"/>
      <c r="FUY11" s="1202"/>
      <c r="FUZ11" s="1202"/>
      <c r="FVA11" s="1202"/>
      <c r="FVB11" s="1202"/>
      <c r="FVC11" s="1202"/>
      <c r="FVD11" s="1202"/>
      <c r="FVE11" s="1202"/>
      <c r="FVF11" s="1202"/>
      <c r="FVG11" s="1202"/>
      <c r="FVH11" s="1202"/>
      <c r="FVI11" s="1202"/>
      <c r="FVJ11" s="1202"/>
      <c r="FVK11" s="1202"/>
      <c r="FVL11" s="1202"/>
      <c r="FVM11" s="1202"/>
      <c r="FVN11" s="1202"/>
      <c r="FVO11" s="1202"/>
      <c r="FVP11" s="1202"/>
      <c r="FVQ11" s="1202"/>
      <c r="FVR11" s="1202"/>
      <c r="FVS11" s="1202"/>
      <c r="FVT11" s="1202"/>
      <c r="FVU11" s="1202"/>
      <c r="FVV11" s="1202"/>
      <c r="FVW11" s="1202"/>
      <c r="FVX11" s="1202"/>
      <c r="FVY11" s="1202"/>
      <c r="FVZ11" s="1202"/>
      <c r="FWA11" s="1202"/>
      <c r="FWB11" s="1202"/>
      <c r="FWC11" s="1202"/>
      <c r="FWD11" s="1202"/>
      <c r="FWE11" s="1202"/>
      <c r="FWF11" s="1202"/>
      <c r="FWG11" s="1202"/>
      <c r="FWH11" s="1202"/>
      <c r="FWI11" s="1202"/>
      <c r="FWJ11" s="1202"/>
      <c r="FWK11" s="1202"/>
      <c r="FWL11" s="1202"/>
      <c r="FWM11" s="1202"/>
      <c r="FWN11" s="1202"/>
      <c r="FWO11" s="1202"/>
      <c r="FWP11" s="1202"/>
      <c r="FWQ11" s="1202"/>
      <c r="FWR11" s="1202"/>
      <c r="FWS11" s="1202"/>
      <c r="FWT11" s="1202"/>
      <c r="FWU11" s="1202"/>
      <c r="FWV11" s="1202"/>
      <c r="FWW11" s="1202"/>
      <c r="FWX11" s="1202"/>
      <c r="FWY11" s="1202"/>
      <c r="FWZ11" s="1202"/>
      <c r="FXA11" s="1202"/>
      <c r="FXB11" s="1202"/>
      <c r="FXC11" s="1202"/>
      <c r="FXD11" s="1202"/>
      <c r="FXE11" s="1202"/>
      <c r="FXF11" s="1202"/>
      <c r="FXG11" s="1202"/>
      <c r="FXH11" s="1202"/>
      <c r="FXI11" s="1202"/>
      <c r="FXJ11" s="1202"/>
      <c r="FXK11" s="1202"/>
      <c r="FXL11" s="1202"/>
      <c r="FXM11" s="1202"/>
      <c r="FXN11" s="1202"/>
      <c r="FXO11" s="1202"/>
      <c r="FXP11" s="1202"/>
      <c r="FXQ11" s="1202"/>
      <c r="FXR11" s="1202"/>
      <c r="FXS11" s="1202"/>
      <c r="FXT11" s="1202"/>
      <c r="FXU11" s="1202"/>
      <c r="FXV11" s="1202"/>
      <c r="FXW11" s="1202"/>
      <c r="FXX11" s="1202"/>
      <c r="FXY11" s="1202"/>
      <c r="FXZ11" s="1202"/>
      <c r="FYA11" s="1202"/>
      <c r="FYB11" s="1202"/>
      <c r="FYC11" s="1202"/>
      <c r="FYD11" s="1202"/>
      <c r="FYE11" s="1202"/>
      <c r="FYF11" s="1202"/>
      <c r="FYG11" s="1202"/>
      <c r="FYH11" s="1202"/>
      <c r="FYI11" s="1202"/>
      <c r="FYJ11" s="1202"/>
      <c r="FYK11" s="1202"/>
      <c r="FYL11" s="1202"/>
      <c r="FYM11" s="1202"/>
      <c r="FYN11" s="1202"/>
      <c r="FYO11" s="1202"/>
      <c r="FYP11" s="1202"/>
      <c r="FYQ11" s="1202"/>
      <c r="FYR11" s="1202"/>
      <c r="FYS11" s="1202"/>
      <c r="FYT11" s="1202"/>
      <c r="FYU11" s="1202"/>
      <c r="FYV11" s="1202"/>
      <c r="FYW11" s="1202"/>
      <c r="FYX11" s="1202"/>
      <c r="FYY11" s="1202"/>
      <c r="FYZ11" s="1202"/>
      <c r="FZA11" s="1202"/>
      <c r="FZB11" s="1202"/>
      <c r="FZC11" s="1202"/>
      <c r="FZD11" s="1202"/>
      <c r="FZE11" s="1202"/>
      <c r="FZF11" s="1202"/>
      <c r="FZG11" s="1202"/>
      <c r="FZH11" s="1202"/>
      <c r="FZI11" s="1202"/>
      <c r="FZJ11" s="1202"/>
      <c r="FZK11" s="1202"/>
      <c r="FZL11" s="1202"/>
      <c r="FZM11" s="1202"/>
      <c r="FZN11" s="1202"/>
      <c r="FZO11" s="1202"/>
      <c r="FZP11" s="1202"/>
      <c r="FZQ11" s="1202"/>
      <c r="FZR11" s="1202"/>
      <c r="FZS11" s="1202"/>
      <c r="FZT11" s="1202"/>
      <c r="FZU11" s="1202"/>
      <c r="FZV11" s="1202"/>
      <c r="FZW11" s="1202"/>
      <c r="FZX11" s="1202"/>
      <c r="FZY11" s="1202"/>
      <c r="FZZ11" s="1202"/>
      <c r="GAA11" s="1202"/>
      <c r="GAB11" s="1202"/>
      <c r="GAC11" s="1202"/>
      <c r="GAD11" s="1202"/>
      <c r="GAE11" s="1202"/>
      <c r="GAF11" s="1202"/>
      <c r="GAG11" s="1202"/>
      <c r="GAH11" s="1202"/>
      <c r="GAI11" s="1202"/>
      <c r="GAJ11" s="1202"/>
      <c r="GAK11" s="1202"/>
      <c r="GAL11" s="1202"/>
      <c r="GAM11" s="1202"/>
      <c r="GAN11" s="1202"/>
      <c r="GAO11" s="1202"/>
      <c r="GAP11" s="1202"/>
      <c r="GAQ11" s="1202"/>
      <c r="GAR11" s="1202"/>
      <c r="GAS11" s="1202"/>
      <c r="GAT11" s="1202"/>
      <c r="GAU11" s="1202"/>
      <c r="GAV11" s="1202"/>
      <c r="GAW11" s="1202"/>
      <c r="GAX11" s="1202"/>
      <c r="GAY11" s="1202"/>
      <c r="GAZ11" s="1202"/>
      <c r="GBA11" s="1202"/>
      <c r="GBB11" s="1202"/>
      <c r="GBC11" s="1202"/>
      <c r="GBD11" s="1202"/>
      <c r="GBE11" s="1202"/>
      <c r="GBF11" s="1202"/>
      <c r="GBG11" s="1202"/>
      <c r="GBH11" s="1202"/>
      <c r="GBI11" s="1202"/>
      <c r="GBJ11" s="1202"/>
      <c r="GBK11" s="1202"/>
      <c r="GBL11" s="1202"/>
      <c r="GBM11" s="1202"/>
      <c r="GBN11" s="1202"/>
      <c r="GBO11" s="1202"/>
      <c r="GBP11" s="1202"/>
      <c r="GBQ11" s="1202"/>
      <c r="GBR11" s="1202"/>
      <c r="GBS11" s="1202"/>
      <c r="GBT11" s="1202"/>
      <c r="GBU11" s="1202"/>
      <c r="GBV11" s="1202"/>
      <c r="GBW11" s="1202"/>
      <c r="GBX11" s="1202"/>
      <c r="GBY11" s="1202"/>
      <c r="GBZ11" s="1202"/>
      <c r="GCA11" s="1202"/>
      <c r="GCB11" s="1202"/>
      <c r="GCC11" s="1202"/>
      <c r="GCD11" s="1202"/>
      <c r="GCE11" s="1202"/>
      <c r="GCF11" s="1202"/>
      <c r="GCG11" s="1202"/>
      <c r="GCH11" s="1202"/>
      <c r="GCI11" s="1202"/>
      <c r="GCJ11" s="1202"/>
      <c r="GCK11" s="1202"/>
      <c r="GCL11" s="1202"/>
      <c r="GCM11" s="1202"/>
      <c r="GCN11" s="1202"/>
      <c r="GCO11" s="1202"/>
      <c r="GCP11" s="1202"/>
      <c r="GCQ11" s="1202"/>
      <c r="GCR11" s="1202"/>
      <c r="GCS11" s="1202"/>
      <c r="GCT11" s="1202"/>
      <c r="GCU11" s="1202"/>
      <c r="GCV11" s="1202"/>
      <c r="GCW11" s="1202"/>
      <c r="GCX11" s="1202"/>
      <c r="GCY11" s="1202"/>
      <c r="GCZ11" s="1202"/>
      <c r="GDA11" s="1202"/>
      <c r="GDB11" s="1202"/>
      <c r="GDC11" s="1202"/>
      <c r="GDD11" s="1202"/>
      <c r="GDE11" s="1202"/>
      <c r="GDF11" s="1202"/>
      <c r="GDG11" s="1202"/>
      <c r="GDH11" s="1202"/>
      <c r="GDI11" s="1202"/>
      <c r="GDJ11" s="1202"/>
      <c r="GDK11" s="1202"/>
      <c r="GDL11" s="1202"/>
      <c r="GDM11" s="1202"/>
      <c r="GDN11" s="1202"/>
      <c r="GDO11" s="1202"/>
      <c r="GDP11" s="1202"/>
      <c r="GDQ11" s="1202"/>
      <c r="GDR11" s="1202"/>
      <c r="GDS11" s="1202"/>
      <c r="GDT11" s="1202"/>
      <c r="GDU11" s="1202"/>
      <c r="GDV11" s="1202"/>
      <c r="GDW11" s="1202"/>
      <c r="GDX11" s="1202"/>
      <c r="GDY11" s="1202"/>
      <c r="GDZ11" s="1202"/>
      <c r="GEA11" s="1202"/>
      <c r="GEB11" s="1202"/>
      <c r="GEC11" s="1202"/>
      <c r="GED11" s="1202"/>
      <c r="GEE11" s="1202"/>
      <c r="GEF11" s="1202"/>
      <c r="GEG11" s="1202"/>
      <c r="GEH11" s="1202"/>
      <c r="GEI11" s="1202"/>
      <c r="GEJ11" s="1202"/>
      <c r="GEK11" s="1202"/>
      <c r="GEL11" s="1202"/>
      <c r="GEM11" s="1202"/>
      <c r="GEN11" s="1202"/>
      <c r="GEO11" s="1202"/>
      <c r="GEP11" s="1202"/>
      <c r="GEQ11" s="1202"/>
      <c r="GER11" s="1202"/>
      <c r="GES11" s="1202"/>
      <c r="GET11" s="1202"/>
      <c r="GEU11" s="1202"/>
      <c r="GEV11" s="1202"/>
      <c r="GEW11" s="1202"/>
      <c r="GEX11" s="1202"/>
      <c r="GEY11" s="1202"/>
      <c r="GEZ11" s="1202"/>
      <c r="GFA11" s="1202"/>
      <c r="GFB11" s="1202"/>
      <c r="GFC11" s="1202"/>
      <c r="GFD11" s="1202"/>
      <c r="GFE11" s="1202"/>
      <c r="GFF11" s="1202"/>
      <c r="GFG11" s="1202"/>
      <c r="GFH11" s="1202"/>
      <c r="GFI11" s="1202"/>
      <c r="GFJ11" s="1202"/>
      <c r="GFK11" s="1202"/>
      <c r="GFL11" s="1202"/>
      <c r="GFM11" s="1202"/>
      <c r="GFN11" s="1202"/>
      <c r="GFO11" s="1202"/>
      <c r="GFP11" s="1202"/>
      <c r="GFQ11" s="1202"/>
      <c r="GFR11" s="1202"/>
      <c r="GFS11" s="1202"/>
      <c r="GFT11" s="1202"/>
      <c r="GFU11" s="1202"/>
      <c r="GFV11" s="1202"/>
      <c r="GFW11" s="1202"/>
      <c r="GFX11" s="1202"/>
      <c r="GFY11" s="1202"/>
      <c r="GFZ11" s="1202"/>
      <c r="GGA11" s="1202"/>
      <c r="GGB11" s="1202"/>
      <c r="GGC11" s="1202"/>
      <c r="GGD11" s="1202"/>
      <c r="GGE11" s="1202"/>
      <c r="GGF11" s="1202"/>
      <c r="GGG11" s="1202"/>
      <c r="GGH11" s="1202"/>
      <c r="GGI11" s="1202"/>
      <c r="GGJ11" s="1202"/>
      <c r="GGK11" s="1202"/>
      <c r="GGL11" s="1202"/>
      <c r="GGM11" s="1202"/>
      <c r="GGN11" s="1202"/>
      <c r="GGO11" s="1202"/>
      <c r="GGP11" s="1202"/>
      <c r="GGQ11" s="1202"/>
      <c r="GGR11" s="1202"/>
      <c r="GGS11" s="1202"/>
      <c r="GGT11" s="1202"/>
      <c r="GGU11" s="1202"/>
      <c r="GGV11" s="1202"/>
      <c r="GGW11" s="1202"/>
      <c r="GGX11" s="1202"/>
      <c r="GGY11" s="1202"/>
      <c r="GGZ11" s="1202"/>
      <c r="GHA11" s="1202"/>
      <c r="GHB11" s="1202"/>
      <c r="GHC11" s="1202"/>
      <c r="GHD11" s="1202"/>
      <c r="GHE11" s="1202"/>
      <c r="GHF11" s="1202"/>
      <c r="GHG11" s="1202"/>
      <c r="GHH11" s="1202"/>
      <c r="GHI11" s="1202"/>
      <c r="GHJ11" s="1202"/>
      <c r="GHK11" s="1202"/>
      <c r="GHL11" s="1202"/>
      <c r="GHM11" s="1202"/>
      <c r="GHN11" s="1202"/>
      <c r="GHO11" s="1202"/>
      <c r="GHP11" s="1202"/>
      <c r="GHQ11" s="1202"/>
      <c r="GHR11" s="1202"/>
      <c r="GHS11" s="1202"/>
      <c r="GHT11" s="1202"/>
      <c r="GHU11" s="1202"/>
      <c r="GHV11" s="1202"/>
      <c r="GHW11" s="1202"/>
      <c r="GHX11" s="1202"/>
      <c r="GHY11" s="1202"/>
      <c r="GHZ11" s="1202"/>
      <c r="GIA11" s="1202"/>
      <c r="GIB11" s="1202"/>
      <c r="GIC11" s="1202"/>
      <c r="GID11" s="1202"/>
      <c r="GIE11" s="1202"/>
      <c r="GIF11" s="1202"/>
      <c r="GIG11" s="1202"/>
      <c r="GIH11" s="1202"/>
      <c r="GII11" s="1202"/>
      <c r="GIJ11" s="1202"/>
      <c r="GIK11" s="1202"/>
      <c r="GIL11" s="1202"/>
      <c r="GIM11" s="1202"/>
      <c r="GIN11" s="1202"/>
      <c r="GIO11" s="1202"/>
      <c r="GIP11" s="1202"/>
      <c r="GIQ11" s="1202"/>
      <c r="GIR11" s="1202"/>
      <c r="GIS11" s="1202"/>
      <c r="GIT11" s="1202"/>
      <c r="GIU11" s="1202"/>
      <c r="GIV11" s="1202"/>
      <c r="GIW11" s="1202"/>
      <c r="GIX11" s="1202"/>
      <c r="GIY11" s="1202"/>
      <c r="GIZ11" s="1202"/>
      <c r="GJA11" s="1202"/>
      <c r="GJB11" s="1202"/>
      <c r="GJC11" s="1202"/>
      <c r="GJD11" s="1202"/>
      <c r="GJE11" s="1202"/>
      <c r="GJF11" s="1202"/>
      <c r="GJG11" s="1202"/>
      <c r="GJH11" s="1202"/>
      <c r="GJI11" s="1202"/>
      <c r="GJJ11" s="1202"/>
      <c r="GJK11" s="1202"/>
      <c r="GJL11" s="1202"/>
      <c r="GJM11" s="1202"/>
      <c r="GJN11" s="1202"/>
      <c r="GJO11" s="1202"/>
      <c r="GJP11" s="1202"/>
      <c r="GJQ11" s="1202"/>
      <c r="GJR11" s="1202"/>
      <c r="GJS11" s="1202"/>
      <c r="GJT11" s="1202"/>
      <c r="GJU11" s="1202"/>
      <c r="GJV11" s="1202"/>
      <c r="GJW11" s="1202"/>
      <c r="GJX11" s="1202"/>
      <c r="GJY11" s="1202"/>
      <c r="GJZ11" s="1202"/>
      <c r="GKA11" s="1202"/>
      <c r="GKB11" s="1202"/>
      <c r="GKC11" s="1202"/>
      <c r="GKD11" s="1202"/>
      <c r="GKE11" s="1202"/>
      <c r="GKF11" s="1202"/>
      <c r="GKG11" s="1202"/>
      <c r="GKH11" s="1202"/>
      <c r="GKI11" s="1202"/>
      <c r="GKJ11" s="1202"/>
      <c r="GKK11" s="1202"/>
      <c r="GKL11" s="1202"/>
      <c r="GKM11" s="1202"/>
      <c r="GKN11" s="1202"/>
      <c r="GKO11" s="1202"/>
      <c r="GKP11" s="1202"/>
      <c r="GKQ11" s="1202"/>
      <c r="GKR11" s="1202"/>
      <c r="GKS11" s="1202"/>
      <c r="GKT11" s="1202"/>
      <c r="GKU11" s="1202"/>
      <c r="GKV11" s="1202"/>
      <c r="GKW11" s="1202"/>
      <c r="GKX11" s="1202"/>
      <c r="GKY11" s="1202"/>
      <c r="GKZ11" s="1202"/>
      <c r="GLA11" s="1202"/>
      <c r="GLB11" s="1202"/>
      <c r="GLC11" s="1202"/>
      <c r="GLD11" s="1202"/>
      <c r="GLE11" s="1202"/>
      <c r="GLF11" s="1202"/>
      <c r="GLG11" s="1202"/>
      <c r="GLH11" s="1202"/>
      <c r="GLI11" s="1202"/>
      <c r="GLJ11" s="1202"/>
      <c r="GLK11" s="1202"/>
      <c r="GLL11" s="1202"/>
      <c r="GLM11" s="1202"/>
      <c r="GLN11" s="1202"/>
      <c r="GLO11" s="1202"/>
      <c r="GLP11" s="1202"/>
      <c r="GLQ11" s="1202"/>
      <c r="GLR11" s="1202"/>
      <c r="GLS11" s="1202"/>
      <c r="GLT11" s="1202"/>
      <c r="GLU11" s="1202"/>
      <c r="GLV11" s="1202"/>
      <c r="GLW11" s="1202"/>
      <c r="GLX11" s="1202"/>
      <c r="GLY11" s="1202"/>
      <c r="GLZ11" s="1202"/>
      <c r="GMA11" s="1202"/>
      <c r="GMB11" s="1202"/>
      <c r="GMC11" s="1202"/>
      <c r="GMD11" s="1202"/>
      <c r="GME11" s="1202"/>
      <c r="GMF11" s="1202"/>
      <c r="GMG11" s="1202"/>
      <c r="GMH11" s="1202"/>
      <c r="GMI11" s="1202"/>
      <c r="GMJ11" s="1202"/>
      <c r="GMK11" s="1202"/>
      <c r="GML11" s="1202"/>
      <c r="GMM11" s="1202"/>
      <c r="GMN11" s="1202"/>
      <c r="GMO11" s="1202"/>
      <c r="GMP11" s="1202"/>
      <c r="GMQ11" s="1202"/>
      <c r="GMR11" s="1202"/>
      <c r="GMS11" s="1202"/>
      <c r="GMT11" s="1202"/>
      <c r="GMU11" s="1202"/>
      <c r="GMV11" s="1202"/>
      <c r="GMW11" s="1202"/>
      <c r="GMX11" s="1202"/>
      <c r="GMY11" s="1202"/>
      <c r="GMZ11" s="1202"/>
      <c r="GNA11" s="1202"/>
      <c r="GNB11" s="1202"/>
      <c r="GNC11" s="1202"/>
      <c r="GND11" s="1202"/>
      <c r="GNE11" s="1202"/>
      <c r="GNF11" s="1202"/>
      <c r="GNG11" s="1202"/>
      <c r="GNH11" s="1202"/>
      <c r="GNI11" s="1202"/>
      <c r="GNJ11" s="1202"/>
      <c r="GNK11" s="1202"/>
      <c r="GNL11" s="1202"/>
      <c r="GNM11" s="1202"/>
      <c r="GNN11" s="1202"/>
      <c r="GNO11" s="1202"/>
      <c r="GNP11" s="1202"/>
      <c r="GNQ11" s="1202"/>
      <c r="GNR11" s="1202"/>
      <c r="GNS11" s="1202"/>
      <c r="GNT11" s="1202"/>
      <c r="GNU11" s="1202"/>
      <c r="GNV11" s="1202"/>
      <c r="GNW11" s="1202"/>
      <c r="GNX11" s="1202"/>
      <c r="GNY11" s="1202"/>
      <c r="GNZ11" s="1202"/>
      <c r="GOA11" s="1202"/>
      <c r="GOB11" s="1202"/>
      <c r="GOC11" s="1202"/>
      <c r="GOD11" s="1202"/>
      <c r="GOE11" s="1202"/>
      <c r="GOF11" s="1202"/>
      <c r="GOG11" s="1202"/>
      <c r="GOH11" s="1202"/>
      <c r="GOI11" s="1202"/>
      <c r="GOJ11" s="1202"/>
      <c r="GOK11" s="1202"/>
      <c r="GOL11" s="1202"/>
      <c r="GOM11" s="1202"/>
      <c r="GON11" s="1202"/>
      <c r="GOO11" s="1202"/>
      <c r="GOP11" s="1202"/>
      <c r="GOQ11" s="1202"/>
      <c r="GOR11" s="1202"/>
      <c r="GOS11" s="1202"/>
      <c r="GOT11" s="1202"/>
      <c r="GOU11" s="1202"/>
      <c r="GOV11" s="1202"/>
      <c r="GOW11" s="1202"/>
      <c r="GOX11" s="1202"/>
      <c r="GOY11" s="1202"/>
      <c r="GOZ11" s="1202"/>
      <c r="GPA11" s="1202"/>
      <c r="GPB11" s="1202"/>
      <c r="GPC11" s="1202"/>
      <c r="GPD11" s="1202"/>
      <c r="GPE11" s="1202"/>
      <c r="GPF11" s="1202"/>
      <c r="GPG11" s="1202"/>
      <c r="GPH11" s="1202"/>
      <c r="GPI11" s="1202"/>
      <c r="GPJ11" s="1202"/>
      <c r="GPK11" s="1202"/>
      <c r="GPL11" s="1202"/>
      <c r="GPM11" s="1202"/>
      <c r="GPN11" s="1202"/>
      <c r="GPO11" s="1202"/>
      <c r="GPP11" s="1202"/>
      <c r="GPQ11" s="1202"/>
      <c r="GPR11" s="1202"/>
      <c r="GPS11" s="1202"/>
      <c r="GPT11" s="1202"/>
      <c r="GPU11" s="1202"/>
      <c r="GPV11" s="1202"/>
      <c r="GPW11" s="1202"/>
      <c r="GPX11" s="1202"/>
      <c r="GPY11" s="1202"/>
      <c r="GPZ11" s="1202"/>
      <c r="GQA11" s="1202"/>
      <c r="GQB11" s="1202"/>
      <c r="GQC11" s="1202"/>
      <c r="GQD11" s="1202"/>
      <c r="GQE11" s="1202"/>
      <c r="GQF11" s="1202"/>
      <c r="GQG11" s="1202"/>
      <c r="GQH11" s="1202"/>
      <c r="GQI11" s="1202"/>
      <c r="GQJ11" s="1202"/>
      <c r="GQK11" s="1202"/>
      <c r="GQL11" s="1202"/>
      <c r="GQM11" s="1202"/>
      <c r="GQN11" s="1202"/>
      <c r="GQO11" s="1202"/>
      <c r="GQP11" s="1202"/>
      <c r="GQQ11" s="1202"/>
      <c r="GQR11" s="1202"/>
      <c r="GQS11" s="1202"/>
      <c r="GQT11" s="1202"/>
      <c r="GQU11" s="1202"/>
      <c r="GQV11" s="1202"/>
      <c r="GQW11" s="1202"/>
      <c r="GQX11" s="1202"/>
      <c r="GQY11" s="1202"/>
      <c r="GQZ11" s="1202"/>
      <c r="GRA11" s="1202"/>
      <c r="GRB11" s="1202"/>
      <c r="GRC11" s="1202"/>
      <c r="GRD11" s="1202"/>
      <c r="GRE11" s="1202"/>
      <c r="GRF11" s="1202"/>
      <c r="GRG11" s="1202"/>
      <c r="GRH11" s="1202"/>
      <c r="GRI11" s="1202"/>
      <c r="GRJ11" s="1202"/>
      <c r="GRK11" s="1202"/>
      <c r="GRL11" s="1202"/>
      <c r="GRM11" s="1202"/>
      <c r="GRN11" s="1202"/>
      <c r="GRO11" s="1202"/>
      <c r="GRP11" s="1202"/>
      <c r="GRQ11" s="1202"/>
      <c r="GRR11" s="1202"/>
      <c r="GRS11" s="1202"/>
      <c r="GRT11" s="1202"/>
      <c r="GRU11" s="1202"/>
      <c r="GRV11" s="1202"/>
      <c r="GRW11" s="1202"/>
      <c r="GRX11" s="1202"/>
      <c r="GRY11" s="1202"/>
      <c r="GRZ11" s="1202"/>
      <c r="GSA11" s="1202"/>
      <c r="GSB11" s="1202"/>
      <c r="GSC11" s="1202"/>
      <c r="GSD11" s="1202"/>
      <c r="GSE11" s="1202"/>
      <c r="GSF11" s="1202"/>
      <c r="GSG11" s="1202"/>
      <c r="GSH11" s="1202"/>
      <c r="GSI11" s="1202"/>
      <c r="GSJ11" s="1202"/>
      <c r="GSK11" s="1202"/>
      <c r="GSL11" s="1202"/>
      <c r="GSM11" s="1202"/>
      <c r="GSN11" s="1202"/>
      <c r="GSO11" s="1202"/>
      <c r="GSP11" s="1202"/>
      <c r="GSQ11" s="1202"/>
      <c r="GSR11" s="1202"/>
      <c r="GSS11" s="1202"/>
      <c r="GST11" s="1202"/>
      <c r="GSU11" s="1202"/>
      <c r="GSV11" s="1202"/>
      <c r="GSW11" s="1202"/>
      <c r="GSX11" s="1202"/>
      <c r="GSY11" s="1202"/>
      <c r="GSZ11" s="1202"/>
      <c r="GTA11" s="1202"/>
      <c r="GTB11" s="1202"/>
      <c r="GTC11" s="1202"/>
      <c r="GTD11" s="1202"/>
      <c r="GTE11" s="1202"/>
      <c r="GTF11" s="1202"/>
      <c r="GTG11" s="1202"/>
      <c r="GTH11" s="1202"/>
      <c r="GTI11" s="1202"/>
      <c r="GTJ11" s="1202"/>
      <c r="GTK11" s="1202"/>
      <c r="GTL11" s="1202"/>
      <c r="GTM11" s="1202"/>
      <c r="GTN11" s="1202"/>
      <c r="GTO11" s="1202"/>
      <c r="GTP11" s="1202"/>
      <c r="GTQ11" s="1202"/>
      <c r="GTR11" s="1202"/>
      <c r="GTS11" s="1202"/>
      <c r="GTT11" s="1202"/>
      <c r="GTU11" s="1202"/>
      <c r="GTV11" s="1202"/>
      <c r="GTW11" s="1202"/>
      <c r="GTX11" s="1202"/>
      <c r="GTY11" s="1202"/>
      <c r="GTZ11" s="1202"/>
      <c r="GUA11" s="1202"/>
      <c r="GUB11" s="1202"/>
      <c r="GUC11" s="1202"/>
      <c r="GUD11" s="1202"/>
      <c r="GUE11" s="1202"/>
      <c r="GUF11" s="1202"/>
      <c r="GUG11" s="1202"/>
      <c r="GUH11" s="1202"/>
      <c r="GUI11" s="1202"/>
      <c r="GUJ11" s="1202"/>
      <c r="GUK11" s="1202"/>
      <c r="GUL11" s="1202"/>
      <c r="GUM11" s="1202"/>
      <c r="GUN11" s="1202"/>
      <c r="GUO11" s="1202"/>
      <c r="GUP11" s="1202"/>
      <c r="GUQ11" s="1202"/>
      <c r="GUR11" s="1202"/>
      <c r="GUS11" s="1202"/>
      <c r="GUT11" s="1202"/>
      <c r="GUU11" s="1202"/>
      <c r="GUV11" s="1202"/>
      <c r="GUW11" s="1202"/>
      <c r="GUX11" s="1202"/>
      <c r="GUY11" s="1202"/>
      <c r="GUZ11" s="1202"/>
      <c r="GVA11" s="1202"/>
      <c r="GVB11" s="1202"/>
      <c r="GVC11" s="1202"/>
      <c r="GVD11" s="1202"/>
      <c r="GVE11" s="1202"/>
      <c r="GVF11" s="1202"/>
      <c r="GVG11" s="1202"/>
      <c r="GVH11" s="1202"/>
      <c r="GVI11" s="1202"/>
      <c r="GVJ11" s="1202"/>
      <c r="GVK11" s="1202"/>
      <c r="GVL11" s="1202"/>
      <c r="GVM11" s="1202"/>
      <c r="GVN11" s="1202"/>
      <c r="GVO11" s="1202"/>
      <c r="GVP11" s="1202"/>
      <c r="GVQ11" s="1202"/>
      <c r="GVR11" s="1202"/>
      <c r="GVS11" s="1202"/>
      <c r="GVT11" s="1202"/>
      <c r="GVU11" s="1202"/>
      <c r="GVV11" s="1202"/>
      <c r="GVW11" s="1202"/>
      <c r="GVX11" s="1202"/>
      <c r="GVY11" s="1202"/>
      <c r="GVZ11" s="1202"/>
      <c r="GWA11" s="1202"/>
      <c r="GWB11" s="1202"/>
      <c r="GWC11" s="1202"/>
      <c r="GWD11" s="1202"/>
      <c r="GWE11" s="1202"/>
      <c r="GWF11" s="1202"/>
      <c r="GWG11" s="1202"/>
      <c r="GWH11" s="1202"/>
      <c r="GWI11" s="1202"/>
      <c r="GWJ11" s="1202"/>
      <c r="GWK11" s="1202"/>
      <c r="GWL11" s="1202"/>
      <c r="GWM11" s="1202"/>
      <c r="GWN11" s="1202"/>
      <c r="GWO11" s="1202"/>
      <c r="GWP11" s="1202"/>
      <c r="GWQ11" s="1202"/>
      <c r="GWR11" s="1202"/>
      <c r="GWS11" s="1202"/>
      <c r="GWT11" s="1202"/>
      <c r="GWU11" s="1202"/>
      <c r="GWV11" s="1202"/>
      <c r="GWW11" s="1202"/>
      <c r="GWX11" s="1202"/>
      <c r="GWY11" s="1202"/>
      <c r="GWZ11" s="1202"/>
      <c r="GXA11" s="1202"/>
      <c r="GXB11" s="1202"/>
      <c r="GXC11" s="1202"/>
      <c r="GXD11" s="1202"/>
      <c r="GXE11" s="1202"/>
      <c r="GXF11" s="1202"/>
      <c r="GXG11" s="1202"/>
      <c r="GXH11" s="1202"/>
      <c r="GXI11" s="1202"/>
      <c r="GXJ11" s="1202"/>
      <c r="GXK11" s="1202"/>
      <c r="GXL11" s="1202"/>
      <c r="GXM11" s="1202"/>
      <c r="GXN11" s="1202"/>
      <c r="GXO11" s="1202"/>
      <c r="GXP11" s="1202"/>
      <c r="GXQ11" s="1202"/>
      <c r="GXR11" s="1202"/>
      <c r="GXS11" s="1202"/>
      <c r="GXT11" s="1202"/>
      <c r="GXU11" s="1202"/>
      <c r="GXV11" s="1202"/>
      <c r="GXW11" s="1202"/>
      <c r="GXX11" s="1202"/>
      <c r="GXY11" s="1202"/>
      <c r="GXZ11" s="1202"/>
      <c r="GYA11" s="1202"/>
      <c r="GYB11" s="1202"/>
      <c r="GYC11" s="1202"/>
      <c r="GYD11" s="1202"/>
      <c r="GYE11" s="1202"/>
      <c r="GYF11" s="1202"/>
      <c r="GYG11" s="1202"/>
      <c r="GYH11" s="1202"/>
      <c r="GYI11" s="1202"/>
      <c r="GYJ11" s="1202"/>
      <c r="GYK11" s="1202"/>
      <c r="GYL11" s="1202"/>
      <c r="GYM11" s="1202"/>
      <c r="GYN11" s="1202"/>
      <c r="GYO11" s="1202"/>
      <c r="GYP11" s="1202"/>
      <c r="GYQ11" s="1202"/>
      <c r="GYR11" s="1202"/>
      <c r="GYS11" s="1202"/>
      <c r="GYT11" s="1202"/>
      <c r="GYU11" s="1202"/>
      <c r="GYV11" s="1202"/>
      <c r="GYW11" s="1202"/>
      <c r="GYX11" s="1202"/>
      <c r="GYY11" s="1202"/>
      <c r="GYZ11" s="1202"/>
      <c r="GZA11" s="1202"/>
      <c r="GZB11" s="1202"/>
      <c r="GZC11" s="1202"/>
      <c r="GZD11" s="1202"/>
      <c r="GZE11" s="1202"/>
      <c r="GZF11" s="1202"/>
      <c r="GZG11" s="1202"/>
      <c r="GZH11" s="1202"/>
      <c r="GZI11" s="1202"/>
      <c r="GZJ11" s="1202"/>
      <c r="GZK11" s="1202"/>
      <c r="GZL11" s="1202"/>
      <c r="GZM11" s="1202"/>
      <c r="GZN11" s="1202"/>
      <c r="GZO11" s="1202"/>
      <c r="GZP11" s="1202"/>
      <c r="GZQ11" s="1202"/>
      <c r="GZR11" s="1202"/>
      <c r="GZS11" s="1202"/>
      <c r="GZT11" s="1202"/>
      <c r="GZU11" s="1202"/>
      <c r="GZV11" s="1202"/>
      <c r="GZW11" s="1202"/>
      <c r="GZX11" s="1202"/>
      <c r="GZY11" s="1202"/>
      <c r="GZZ11" s="1202"/>
      <c r="HAA11" s="1202"/>
      <c r="HAB11" s="1202"/>
      <c r="HAC11" s="1202"/>
      <c r="HAD11" s="1202"/>
      <c r="HAE11" s="1202"/>
      <c r="HAF11" s="1202"/>
      <c r="HAG11" s="1202"/>
      <c r="HAH11" s="1202"/>
      <c r="HAI11" s="1202"/>
      <c r="HAJ11" s="1202"/>
      <c r="HAK11" s="1202"/>
      <c r="HAL11" s="1202"/>
      <c r="HAM11" s="1202"/>
      <c r="HAN11" s="1202"/>
      <c r="HAO11" s="1202"/>
      <c r="HAP11" s="1202"/>
      <c r="HAQ11" s="1202"/>
      <c r="HAR11" s="1202"/>
      <c r="HAS11" s="1202"/>
      <c r="HAT11" s="1202"/>
      <c r="HAU11" s="1202"/>
      <c r="HAV11" s="1202"/>
      <c r="HAW11" s="1202"/>
      <c r="HAX11" s="1202"/>
      <c r="HAY11" s="1202"/>
      <c r="HAZ11" s="1202"/>
      <c r="HBA11" s="1202"/>
      <c r="HBB11" s="1202"/>
      <c r="HBC11" s="1202"/>
      <c r="HBD11" s="1202"/>
      <c r="HBE11" s="1202"/>
      <c r="HBF11" s="1202"/>
      <c r="HBG11" s="1202"/>
      <c r="HBH11" s="1202"/>
      <c r="HBI11" s="1202"/>
      <c r="HBJ11" s="1202"/>
      <c r="HBK11" s="1202"/>
      <c r="HBL11" s="1202"/>
      <c r="HBM11" s="1202"/>
      <c r="HBN11" s="1202"/>
      <c r="HBO11" s="1202"/>
      <c r="HBP11" s="1202"/>
      <c r="HBQ11" s="1202"/>
      <c r="HBR11" s="1202"/>
      <c r="HBS11" s="1202"/>
      <c r="HBT11" s="1202"/>
      <c r="HBU11" s="1202"/>
      <c r="HBV11" s="1202"/>
      <c r="HBW11" s="1202"/>
      <c r="HBX11" s="1202"/>
      <c r="HBY11" s="1202"/>
      <c r="HBZ11" s="1202"/>
      <c r="HCA11" s="1202"/>
      <c r="HCB11" s="1202"/>
      <c r="HCC11" s="1202"/>
      <c r="HCD11" s="1202"/>
      <c r="HCE11" s="1202"/>
      <c r="HCF11" s="1202"/>
      <c r="HCG11" s="1202"/>
      <c r="HCH11" s="1202"/>
      <c r="HCI11" s="1202"/>
      <c r="HCJ11" s="1202"/>
      <c r="HCK11" s="1202"/>
      <c r="HCL11" s="1202"/>
      <c r="HCM11" s="1202"/>
      <c r="HCN11" s="1202"/>
      <c r="HCO11" s="1202"/>
      <c r="HCP11" s="1202"/>
      <c r="HCQ11" s="1202"/>
      <c r="HCR11" s="1202"/>
      <c r="HCS11" s="1202"/>
      <c r="HCT11" s="1202"/>
      <c r="HCU11" s="1202"/>
      <c r="HCV11" s="1202"/>
      <c r="HCW11" s="1202"/>
      <c r="HCX11" s="1202"/>
      <c r="HCY11" s="1202"/>
      <c r="HCZ11" s="1202"/>
      <c r="HDA11" s="1202"/>
      <c r="HDB11" s="1202"/>
      <c r="HDC11" s="1202"/>
      <c r="HDD11" s="1202"/>
      <c r="HDE11" s="1202"/>
      <c r="HDF11" s="1202"/>
      <c r="HDG11" s="1202"/>
      <c r="HDH11" s="1202"/>
      <c r="HDI11" s="1202"/>
      <c r="HDJ11" s="1202"/>
      <c r="HDK11" s="1202"/>
      <c r="HDL11" s="1202"/>
      <c r="HDM11" s="1202"/>
      <c r="HDN11" s="1202"/>
      <c r="HDO11" s="1202"/>
      <c r="HDP11" s="1202"/>
      <c r="HDQ11" s="1202"/>
      <c r="HDR11" s="1202"/>
      <c r="HDS11" s="1202"/>
      <c r="HDT11" s="1202"/>
      <c r="HDU11" s="1202"/>
      <c r="HDV11" s="1202"/>
      <c r="HDW11" s="1202"/>
      <c r="HDX11" s="1202"/>
      <c r="HDY11" s="1202"/>
      <c r="HDZ11" s="1202"/>
      <c r="HEA11" s="1202"/>
      <c r="HEB11" s="1202"/>
      <c r="HEC11" s="1202"/>
      <c r="HED11" s="1202"/>
      <c r="HEE11" s="1202"/>
      <c r="HEF11" s="1202"/>
      <c r="HEG11" s="1202"/>
      <c r="HEH11" s="1202"/>
      <c r="HEI11" s="1202"/>
      <c r="HEJ11" s="1202"/>
      <c r="HEK11" s="1202"/>
      <c r="HEL11" s="1202"/>
      <c r="HEM11" s="1202"/>
      <c r="HEN11" s="1202"/>
      <c r="HEO11" s="1202"/>
      <c r="HEP11" s="1202"/>
      <c r="HEQ11" s="1202"/>
      <c r="HER11" s="1202"/>
      <c r="HES11" s="1202"/>
      <c r="HET11" s="1202"/>
      <c r="HEU11" s="1202"/>
      <c r="HEV11" s="1202"/>
      <c r="HEW11" s="1202"/>
      <c r="HEX11" s="1202"/>
      <c r="HEY11" s="1202"/>
      <c r="HEZ11" s="1202"/>
      <c r="HFA11" s="1202"/>
      <c r="HFB11" s="1202"/>
      <c r="HFC11" s="1202"/>
      <c r="HFD11" s="1202"/>
      <c r="HFE11" s="1202"/>
      <c r="HFF11" s="1202"/>
      <c r="HFG11" s="1202"/>
      <c r="HFH11" s="1202"/>
      <c r="HFI11" s="1202"/>
      <c r="HFJ11" s="1202"/>
      <c r="HFK11" s="1202"/>
      <c r="HFL11" s="1202"/>
      <c r="HFM11" s="1202"/>
      <c r="HFN11" s="1202"/>
      <c r="HFO11" s="1202"/>
      <c r="HFP11" s="1202"/>
      <c r="HFQ11" s="1202"/>
      <c r="HFR11" s="1202"/>
      <c r="HFS11" s="1202"/>
      <c r="HFT11" s="1202"/>
      <c r="HFU11" s="1202"/>
      <c r="HFV11" s="1202"/>
      <c r="HFW11" s="1202"/>
      <c r="HFX11" s="1202"/>
      <c r="HFY11" s="1202"/>
      <c r="HFZ11" s="1202"/>
      <c r="HGA11" s="1202"/>
      <c r="HGB11" s="1202"/>
      <c r="HGC11" s="1202"/>
      <c r="HGD11" s="1202"/>
      <c r="HGE11" s="1202"/>
      <c r="HGF11" s="1202"/>
      <c r="HGG11" s="1202"/>
      <c r="HGH11" s="1202"/>
      <c r="HGI11" s="1202"/>
      <c r="HGJ11" s="1202"/>
      <c r="HGK11" s="1202"/>
      <c r="HGL11" s="1202"/>
      <c r="HGM11" s="1202"/>
      <c r="HGN11" s="1202"/>
      <c r="HGO11" s="1202"/>
      <c r="HGP11" s="1202"/>
      <c r="HGQ11" s="1202"/>
      <c r="HGR11" s="1202"/>
      <c r="HGS11" s="1202"/>
      <c r="HGT11" s="1202"/>
      <c r="HGU11" s="1202"/>
      <c r="HGV11" s="1202"/>
      <c r="HGW11" s="1202"/>
      <c r="HGX11" s="1202"/>
      <c r="HGY11" s="1202"/>
      <c r="HGZ11" s="1202"/>
      <c r="HHA11" s="1202"/>
      <c r="HHB11" s="1202"/>
      <c r="HHC11" s="1202"/>
      <c r="HHD11" s="1202"/>
      <c r="HHE11" s="1202"/>
      <c r="HHF11" s="1202"/>
      <c r="HHG11" s="1202"/>
      <c r="HHH11" s="1202"/>
      <c r="HHI11" s="1202"/>
      <c r="HHJ11" s="1202"/>
      <c r="HHK11" s="1202"/>
      <c r="HHL11" s="1202"/>
      <c r="HHM11" s="1202"/>
      <c r="HHN11" s="1202"/>
      <c r="HHO11" s="1202"/>
      <c r="HHP11" s="1202"/>
      <c r="HHQ11" s="1202"/>
      <c r="HHR11" s="1202"/>
      <c r="HHS11" s="1202"/>
      <c r="HHT11" s="1202"/>
      <c r="HHU11" s="1202"/>
      <c r="HHV11" s="1202"/>
      <c r="HHW11" s="1202"/>
      <c r="HHX11" s="1202"/>
      <c r="HHY11" s="1202"/>
      <c r="HHZ11" s="1202"/>
      <c r="HIA11" s="1202"/>
      <c r="HIB11" s="1202"/>
      <c r="HIC11" s="1202"/>
      <c r="HID11" s="1202"/>
      <c r="HIE11" s="1202"/>
      <c r="HIF11" s="1202"/>
      <c r="HIG11" s="1202"/>
      <c r="HIH11" s="1202"/>
      <c r="HII11" s="1202"/>
      <c r="HIJ11" s="1202"/>
      <c r="HIK11" s="1202"/>
      <c r="HIL11" s="1202"/>
      <c r="HIM11" s="1202"/>
      <c r="HIN11" s="1202"/>
      <c r="HIO11" s="1202"/>
      <c r="HIP11" s="1202"/>
      <c r="HIQ11" s="1202"/>
      <c r="HIR11" s="1202"/>
      <c r="HIS11" s="1202"/>
      <c r="HIT11" s="1202"/>
      <c r="HIU11" s="1202"/>
      <c r="HIV11" s="1202"/>
      <c r="HIW11" s="1202"/>
      <c r="HIX11" s="1202"/>
      <c r="HIY11" s="1202"/>
      <c r="HIZ11" s="1202"/>
      <c r="HJA11" s="1202"/>
      <c r="HJB11" s="1202"/>
      <c r="HJC11" s="1202"/>
      <c r="HJD11" s="1202"/>
      <c r="HJE11" s="1202"/>
      <c r="HJF11" s="1202"/>
      <c r="HJG11" s="1202"/>
      <c r="HJH11" s="1202"/>
      <c r="HJI11" s="1202"/>
      <c r="HJJ11" s="1202"/>
      <c r="HJK11" s="1202"/>
      <c r="HJL11" s="1202"/>
      <c r="HJM11" s="1202"/>
      <c r="HJN11" s="1202"/>
      <c r="HJO11" s="1202"/>
      <c r="HJP11" s="1202"/>
      <c r="HJQ11" s="1202"/>
      <c r="HJR11" s="1202"/>
      <c r="HJS11" s="1202"/>
      <c r="HJT11" s="1202"/>
      <c r="HJU11" s="1202"/>
      <c r="HJV11" s="1202"/>
      <c r="HJW11" s="1202"/>
      <c r="HJX11" s="1202"/>
      <c r="HJY11" s="1202"/>
      <c r="HJZ11" s="1202"/>
      <c r="HKA11" s="1202"/>
      <c r="HKB11" s="1202"/>
      <c r="HKC11" s="1202"/>
      <c r="HKD11" s="1202"/>
      <c r="HKE11" s="1202"/>
      <c r="HKF11" s="1202"/>
      <c r="HKG11" s="1202"/>
      <c r="HKH11" s="1202"/>
      <c r="HKI11" s="1202"/>
      <c r="HKJ11" s="1202"/>
      <c r="HKK11" s="1202"/>
      <c r="HKL11" s="1202"/>
      <c r="HKM11" s="1202"/>
      <c r="HKN11" s="1202"/>
      <c r="HKO11" s="1202"/>
      <c r="HKP11" s="1202"/>
      <c r="HKQ11" s="1202"/>
      <c r="HKR11" s="1202"/>
      <c r="HKS11" s="1202"/>
      <c r="HKT11" s="1202"/>
      <c r="HKU11" s="1202"/>
      <c r="HKV11" s="1202"/>
      <c r="HKW11" s="1202"/>
      <c r="HKX11" s="1202"/>
      <c r="HKY11" s="1202"/>
      <c r="HKZ11" s="1202"/>
      <c r="HLA11" s="1202"/>
      <c r="HLB11" s="1202"/>
      <c r="HLC11" s="1202"/>
      <c r="HLD11" s="1202"/>
      <c r="HLE11" s="1202"/>
      <c r="HLF11" s="1202"/>
      <c r="HLG11" s="1202"/>
      <c r="HLH11" s="1202"/>
      <c r="HLI11" s="1202"/>
      <c r="HLJ11" s="1202"/>
      <c r="HLK11" s="1202"/>
      <c r="HLL11" s="1202"/>
      <c r="HLM11" s="1202"/>
      <c r="HLN11" s="1202"/>
      <c r="HLO11" s="1202"/>
      <c r="HLP11" s="1202"/>
      <c r="HLQ11" s="1202"/>
      <c r="HLR11" s="1202"/>
      <c r="HLS11" s="1202"/>
      <c r="HLT11" s="1202"/>
      <c r="HLU11" s="1202"/>
      <c r="HLV11" s="1202"/>
      <c r="HLW11" s="1202"/>
      <c r="HLX11" s="1202"/>
      <c r="HLY11" s="1202"/>
      <c r="HLZ11" s="1202"/>
      <c r="HMA11" s="1202"/>
      <c r="HMB11" s="1202"/>
      <c r="HMC11" s="1202"/>
      <c r="HMD11" s="1202"/>
      <c r="HME11" s="1202"/>
      <c r="HMF11" s="1202"/>
      <c r="HMG11" s="1202"/>
      <c r="HMH11" s="1202"/>
      <c r="HMI11" s="1202"/>
      <c r="HMJ11" s="1202"/>
      <c r="HMK11" s="1202"/>
      <c r="HML11" s="1202"/>
      <c r="HMM11" s="1202"/>
      <c r="HMN11" s="1202"/>
      <c r="HMO11" s="1202"/>
      <c r="HMP11" s="1202"/>
      <c r="HMQ11" s="1202"/>
      <c r="HMR11" s="1202"/>
      <c r="HMS11" s="1202"/>
      <c r="HMT11" s="1202"/>
      <c r="HMU11" s="1202"/>
      <c r="HMV11" s="1202"/>
      <c r="HMW11" s="1202"/>
      <c r="HMX11" s="1202"/>
      <c r="HMY11" s="1202"/>
      <c r="HMZ11" s="1202"/>
      <c r="HNA11" s="1202"/>
      <c r="HNB11" s="1202"/>
      <c r="HNC11" s="1202"/>
      <c r="HND11" s="1202"/>
      <c r="HNE11" s="1202"/>
      <c r="HNF11" s="1202"/>
      <c r="HNG11" s="1202"/>
      <c r="HNH11" s="1202"/>
      <c r="HNI11" s="1202"/>
      <c r="HNJ11" s="1202"/>
      <c r="HNK11" s="1202"/>
      <c r="HNL11" s="1202"/>
      <c r="HNM11" s="1202"/>
      <c r="HNN11" s="1202"/>
      <c r="HNO11" s="1202"/>
      <c r="HNP11" s="1202"/>
      <c r="HNQ11" s="1202"/>
      <c r="HNR11" s="1202"/>
      <c r="HNS11" s="1202"/>
      <c r="HNT11" s="1202"/>
      <c r="HNU11" s="1202"/>
      <c r="HNV11" s="1202"/>
      <c r="HNW11" s="1202"/>
      <c r="HNX11" s="1202"/>
      <c r="HNY11" s="1202"/>
      <c r="HNZ11" s="1202"/>
      <c r="HOA11" s="1202"/>
      <c r="HOB11" s="1202"/>
      <c r="HOC11" s="1202"/>
      <c r="HOD11" s="1202"/>
      <c r="HOE11" s="1202"/>
      <c r="HOF11" s="1202"/>
      <c r="HOG11" s="1202"/>
      <c r="HOH11" s="1202"/>
      <c r="HOI11" s="1202"/>
      <c r="HOJ11" s="1202"/>
      <c r="HOK11" s="1202"/>
      <c r="HOL11" s="1202"/>
      <c r="HOM11" s="1202"/>
      <c r="HON11" s="1202"/>
      <c r="HOO11" s="1202"/>
      <c r="HOP11" s="1202"/>
      <c r="HOQ11" s="1202"/>
      <c r="HOR11" s="1202"/>
      <c r="HOS11" s="1202"/>
      <c r="HOT11" s="1202"/>
      <c r="HOU11" s="1202"/>
      <c r="HOV11" s="1202"/>
      <c r="HOW11" s="1202"/>
      <c r="HOX11" s="1202"/>
      <c r="HOY11" s="1202"/>
      <c r="HOZ11" s="1202"/>
      <c r="HPA11" s="1202"/>
      <c r="HPB11" s="1202"/>
      <c r="HPC11" s="1202"/>
      <c r="HPD11" s="1202"/>
      <c r="HPE11" s="1202"/>
      <c r="HPF11" s="1202"/>
      <c r="HPG11" s="1202"/>
      <c r="HPH11" s="1202"/>
      <c r="HPI11" s="1202"/>
      <c r="HPJ11" s="1202"/>
      <c r="HPK11" s="1202"/>
      <c r="HPL11" s="1202"/>
      <c r="HPM11" s="1202"/>
      <c r="HPN11" s="1202"/>
      <c r="HPO11" s="1202"/>
      <c r="HPP11" s="1202"/>
      <c r="HPQ11" s="1202"/>
      <c r="HPR11" s="1202"/>
      <c r="HPS11" s="1202"/>
      <c r="HPT11" s="1202"/>
      <c r="HPU11" s="1202"/>
      <c r="HPV11" s="1202"/>
      <c r="HPW11" s="1202"/>
      <c r="HPX11" s="1202"/>
      <c r="HPY11" s="1202"/>
      <c r="HPZ11" s="1202"/>
      <c r="HQA11" s="1202"/>
      <c r="HQB11" s="1202"/>
      <c r="HQC11" s="1202"/>
      <c r="HQD11" s="1202"/>
      <c r="HQE11" s="1202"/>
      <c r="HQF11" s="1202"/>
      <c r="HQG11" s="1202"/>
      <c r="HQH11" s="1202"/>
      <c r="HQI11" s="1202"/>
      <c r="HQJ11" s="1202"/>
      <c r="HQK11" s="1202"/>
      <c r="HQL11" s="1202"/>
      <c r="HQM11" s="1202"/>
      <c r="HQN11" s="1202"/>
      <c r="HQO11" s="1202"/>
      <c r="HQP11" s="1202"/>
      <c r="HQQ11" s="1202"/>
      <c r="HQR11" s="1202"/>
      <c r="HQS11" s="1202"/>
      <c r="HQT11" s="1202"/>
      <c r="HQU11" s="1202"/>
      <c r="HQV11" s="1202"/>
      <c r="HQW11" s="1202"/>
      <c r="HQX11" s="1202"/>
      <c r="HQY11" s="1202"/>
      <c r="HQZ11" s="1202"/>
      <c r="HRA11" s="1202"/>
      <c r="HRB11" s="1202"/>
      <c r="HRC11" s="1202"/>
      <c r="HRD11" s="1202"/>
      <c r="HRE11" s="1202"/>
      <c r="HRF11" s="1202"/>
      <c r="HRG11" s="1202"/>
      <c r="HRH11" s="1202"/>
      <c r="HRI11" s="1202"/>
      <c r="HRJ11" s="1202"/>
      <c r="HRK11" s="1202"/>
      <c r="HRL11" s="1202"/>
      <c r="HRM11" s="1202"/>
      <c r="HRN11" s="1202"/>
      <c r="HRO11" s="1202"/>
      <c r="HRP11" s="1202"/>
      <c r="HRQ11" s="1202"/>
      <c r="HRR11" s="1202"/>
      <c r="HRS11" s="1202"/>
      <c r="HRT11" s="1202"/>
      <c r="HRU11" s="1202"/>
      <c r="HRV11" s="1202"/>
      <c r="HRW11" s="1202"/>
      <c r="HRX11" s="1202"/>
      <c r="HRY11" s="1202"/>
      <c r="HRZ11" s="1202"/>
      <c r="HSA11" s="1202"/>
      <c r="HSB11" s="1202"/>
      <c r="HSC11" s="1202"/>
      <c r="HSD11" s="1202"/>
      <c r="HSE11" s="1202"/>
      <c r="HSF11" s="1202"/>
      <c r="HSG11" s="1202"/>
      <c r="HSH11" s="1202"/>
      <c r="HSI11" s="1202"/>
      <c r="HSJ11" s="1202"/>
      <c r="HSK11" s="1202"/>
      <c r="HSL11" s="1202"/>
      <c r="HSM11" s="1202"/>
      <c r="HSN11" s="1202"/>
      <c r="HSO11" s="1202"/>
      <c r="HSP11" s="1202"/>
      <c r="HSQ11" s="1202"/>
      <c r="HSR11" s="1202"/>
      <c r="HSS11" s="1202"/>
      <c r="HST11" s="1202"/>
      <c r="HSU11" s="1202"/>
      <c r="HSV11" s="1202"/>
      <c r="HSW11" s="1202"/>
      <c r="HSX11" s="1202"/>
      <c r="HSY11" s="1202"/>
      <c r="HSZ11" s="1202"/>
      <c r="HTA11" s="1202"/>
      <c r="HTB11" s="1202"/>
      <c r="HTC11" s="1202"/>
      <c r="HTD11" s="1202"/>
      <c r="HTE11" s="1202"/>
      <c r="HTF11" s="1202"/>
      <c r="HTG11" s="1202"/>
      <c r="HTH11" s="1202"/>
      <c r="HTI11" s="1202"/>
      <c r="HTJ11" s="1202"/>
      <c r="HTK11" s="1202"/>
      <c r="HTL11" s="1202"/>
      <c r="HTM11" s="1202"/>
      <c r="HTN11" s="1202"/>
      <c r="HTO11" s="1202"/>
      <c r="HTP11" s="1202"/>
      <c r="HTQ11" s="1202"/>
      <c r="HTR11" s="1202"/>
      <c r="HTS11" s="1202"/>
      <c r="HTT11" s="1202"/>
      <c r="HTU11" s="1202"/>
      <c r="HTV11" s="1202"/>
      <c r="HTW11" s="1202"/>
      <c r="HTX11" s="1202"/>
      <c r="HTY11" s="1202"/>
      <c r="HTZ11" s="1202"/>
      <c r="HUA11" s="1202"/>
      <c r="HUB11" s="1202"/>
      <c r="HUC11" s="1202"/>
      <c r="HUD11" s="1202"/>
      <c r="HUE11" s="1202"/>
      <c r="HUF11" s="1202"/>
      <c r="HUG11" s="1202"/>
      <c r="HUH11" s="1202"/>
      <c r="HUI11" s="1202"/>
      <c r="HUJ11" s="1202"/>
      <c r="HUK11" s="1202"/>
      <c r="HUL11" s="1202"/>
      <c r="HUM11" s="1202"/>
      <c r="HUN11" s="1202"/>
      <c r="HUO11" s="1202"/>
      <c r="HUP11" s="1202"/>
      <c r="HUQ11" s="1202"/>
      <c r="HUR11" s="1202"/>
      <c r="HUS11" s="1202"/>
      <c r="HUT11" s="1202"/>
      <c r="HUU11" s="1202"/>
      <c r="HUV11" s="1202"/>
      <c r="HUW11" s="1202"/>
      <c r="HUX11" s="1202"/>
      <c r="HUY11" s="1202"/>
      <c r="HUZ11" s="1202"/>
      <c r="HVA11" s="1202"/>
      <c r="HVB11" s="1202"/>
      <c r="HVC11" s="1202"/>
      <c r="HVD11" s="1202"/>
      <c r="HVE11" s="1202"/>
      <c r="HVF11" s="1202"/>
      <c r="HVG11" s="1202"/>
      <c r="HVH11" s="1202"/>
      <c r="HVI11" s="1202"/>
      <c r="HVJ11" s="1202"/>
      <c r="HVK11" s="1202"/>
      <c r="HVL11" s="1202"/>
      <c r="HVM11" s="1202"/>
      <c r="HVN11" s="1202"/>
      <c r="HVO11" s="1202"/>
      <c r="HVP11" s="1202"/>
      <c r="HVQ11" s="1202"/>
      <c r="HVR11" s="1202"/>
      <c r="HVS11" s="1202"/>
      <c r="HVT11" s="1202"/>
      <c r="HVU11" s="1202"/>
      <c r="HVV11" s="1202"/>
      <c r="HVW11" s="1202"/>
      <c r="HVX11" s="1202"/>
      <c r="HVY11" s="1202"/>
      <c r="HVZ11" s="1202"/>
      <c r="HWA11" s="1202"/>
      <c r="HWB11" s="1202"/>
      <c r="HWC11" s="1202"/>
      <c r="HWD11" s="1202"/>
      <c r="HWE11" s="1202"/>
      <c r="HWF11" s="1202"/>
      <c r="HWG11" s="1202"/>
      <c r="HWH11" s="1202"/>
      <c r="HWI11" s="1202"/>
      <c r="HWJ11" s="1202"/>
      <c r="HWK11" s="1202"/>
      <c r="HWL11" s="1202"/>
      <c r="HWM11" s="1202"/>
      <c r="HWN11" s="1202"/>
      <c r="HWO11" s="1202"/>
      <c r="HWP11" s="1202"/>
      <c r="HWQ11" s="1202"/>
      <c r="HWR11" s="1202"/>
      <c r="HWS11" s="1202"/>
      <c r="HWT11" s="1202"/>
      <c r="HWU11" s="1202"/>
      <c r="HWV11" s="1202"/>
      <c r="HWW11" s="1202"/>
      <c r="HWX11" s="1202"/>
      <c r="HWY11" s="1202"/>
      <c r="HWZ11" s="1202"/>
      <c r="HXA11" s="1202"/>
      <c r="HXB11" s="1202"/>
      <c r="HXC11" s="1202"/>
      <c r="HXD11" s="1202"/>
      <c r="HXE11" s="1202"/>
      <c r="HXF11" s="1202"/>
      <c r="HXG11" s="1202"/>
      <c r="HXH11" s="1202"/>
      <c r="HXI11" s="1202"/>
      <c r="HXJ11" s="1202"/>
      <c r="HXK11" s="1202"/>
      <c r="HXL11" s="1202"/>
      <c r="HXM11" s="1202"/>
      <c r="HXN11" s="1202"/>
      <c r="HXO11" s="1202"/>
      <c r="HXP11" s="1202"/>
      <c r="HXQ11" s="1202"/>
      <c r="HXR11" s="1202"/>
      <c r="HXS11" s="1202"/>
      <c r="HXT11" s="1202"/>
      <c r="HXU11" s="1202"/>
      <c r="HXV11" s="1202"/>
      <c r="HXW11" s="1202"/>
      <c r="HXX11" s="1202"/>
      <c r="HXY11" s="1202"/>
      <c r="HXZ11" s="1202"/>
      <c r="HYA11" s="1202"/>
      <c r="HYB11" s="1202"/>
      <c r="HYC11" s="1202"/>
      <c r="HYD11" s="1202"/>
      <c r="HYE11" s="1202"/>
      <c r="HYF11" s="1202"/>
      <c r="HYG11" s="1202"/>
      <c r="HYH11" s="1202"/>
      <c r="HYI11" s="1202"/>
      <c r="HYJ11" s="1202"/>
      <c r="HYK11" s="1202"/>
      <c r="HYL11" s="1202"/>
      <c r="HYM11" s="1202"/>
      <c r="HYN11" s="1202"/>
      <c r="HYO11" s="1202"/>
      <c r="HYP11" s="1202"/>
      <c r="HYQ11" s="1202"/>
      <c r="HYR11" s="1202"/>
      <c r="HYS11" s="1202"/>
      <c r="HYT11" s="1202"/>
      <c r="HYU11" s="1202"/>
      <c r="HYV11" s="1202"/>
      <c r="HYW11" s="1202"/>
      <c r="HYX11" s="1202"/>
      <c r="HYY11" s="1202"/>
      <c r="HYZ11" s="1202"/>
      <c r="HZA11" s="1202"/>
      <c r="HZB11" s="1202"/>
      <c r="HZC11" s="1202"/>
      <c r="HZD11" s="1202"/>
      <c r="HZE11" s="1202"/>
      <c r="HZF11" s="1202"/>
      <c r="HZG11" s="1202"/>
      <c r="HZH11" s="1202"/>
      <c r="HZI11" s="1202"/>
      <c r="HZJ11" s="1202"/>
      <c r="HZK11" s="1202"/>
      <c r="HZL11" s="1202"/>
      <c r="HZM11" s="1202"/>
      <c r="HZN11" s="1202"/>
      <c r="HZO11" s="1202"/>
      <c r="HZP11" s="1202"/>
      <c r="HZQ11" s="1202"/>
      <c r="HZR11" s="1202"/>
      <c r="HZS11" s="1202"/>
      <c r="HZT11" s="1202"/>
      <c r="HZU11" s="1202"/>
      <c r="HZV11" s="1202"/>
      <c r="HZW11" s="1202"/>
      <c r="HZX11" s="1202"/>
      <c r="HZY11" s="1202"/>
      <c r="HZZ11" s="1202"/>
      <c r="IAA11" s="1202"/>
      <c r="IAB11" s="1202"/>
      <c r="IAC11" s="1202"/>
      <c r="IAD11" s="1202"/>
      <c r="IAE11" s="1202"/>
      <c r="IAF11" s="1202"/>
      <c r="IAG11" s="1202"/>
      <c r="IAH11" s="1202"/>
      <c r="IAI11" s="1202"/>
      <c r="IAJ11" s="1202"/>
      <c r="IAK11" s="1202"/>
      <c r="IAL11" s="1202"/>
      <c r="IAM11" s="1202"/>
      <c r="IAN11" s="1202"/>
      <c r="IAO11" s="1202"/>
      <c r="IAP11" s="1202"/>
      <c r="IAQ11" s="1202"/>
      <c r="IAR11" s="1202"/>
      <c r="IAS11" s="1202"/>
      <c r="IAT11" s="1202"/>
      <c r="IAU11" s="1202"/>
      <c r="IAV11" s="1202"/>
      <c r="IAW11" s="1202"/>
      <c r="IAX11" s="1202"/>
      <c r="IAY11" s="1202"/>
      <c r="IAZ11" s="1202"/>
      <c r="IBA11" s="1202"/>
      <c r="IBB11" s="1202"/>
      <c r="IBC11" s="1202"/>
      <c r="IBD11" s="1202"/>
      <c r="IBE11" s="1202"/>
      <c r="IBF11" s="1202"/>
      <c r="IBG11" s="1202"/>
      <c r="IBH11" s="1202"/>
      <c r="IBI11" s="1202"/>
      <c r="IBJ11" s="1202"/>
      <c r="IBK11" s="1202"/>
      <c r="IBL11" s="1202"/>
      <c r="IBM11" s="1202"/>
      <c r="IBN11" s="1202"/>
      <c r="IBO11" s="1202"/>
      <c r="IBP11" s="1202"/>
      <c r="IBQ11" s="1202"/>
      <c r="IBR11" s="1202"/>
      <c r="IBS11" s="1202"/>
      <c r="IBT11" s="1202"/>
      <c r="IBU11" s="1202"/>
      <c r="IBV11" s="1202"/>
      <c r="IBW11" s="1202"/>
      <c r="IBX11" s="1202"/>
      <c r="IBY11" s="1202"/>
      <c r="IBZ11" s="1202"/>
      <c r="ICA11" s="1202"/>
      <c r="ICB11" s="1202"/>
      <c r="ICC11" s="1202"/>
      <c r="ICD11" s="1202"/>
      <c r="ICE11" s="1202"/>
      <c r="ICF11" s="1202"/>
      <c r="ICG11" s="1202"/>
      <c r="ICH11" s="1202"/>
      <c r="ICI11" s="1202"/>
      <c r="ICJ11" s="1202"/>
      <c r="ICK11" s="1202"/>
      <c r="ICL11" s="1202"/>
      <c r="ICM11" s="1202"/>
      <c r="ICN11" s="1202"/>
      <c r="ICO11" s="1202"/>
      <c r="ICP11" s="1202"/>
      <c r="ICQ11" s="1202"/>
      <c r="ICR11" s="1202"/>
      <c r="ICS11" s="1202"/>
      <c r="ICT11" s="1202"/>
      <c r="ICU11" s="1202"/>
      <c r="ICV11" s="1202"/>
      <c r="ICW11" s="1202"/>
      <c r="ICX11" s="1202"/>
      <c r="ICY11" s="1202"/>
      <c r="ICZ11" s="1202"/>
      <c r="IDA11" s="1202"/>
      <c r="IDB11" s="1202"/>
      <c r="IDC11" s="1202"/>
      <c r="IDD11" s="1202"/>
      <c r="IDE11" s="1202"/>
      <c r="IDF11" s="1202"/>
      <c r="IDG11" s="1202"/>
      <c r="IDH11" s="1202"/>
      <c r="IDI11" s="1202"/>
      <c r="IDJ11" s="1202"/>
      <c r="IDK11" s="1202"/>
      <c r="IDL11" s="1202"/>
      <c r="IDM11" s="1202"/>
      <c r="IDN11" s="1202"/>
      <c r="IDO11" s="1202"/>
      <c r="IDP11" s="1202"/>
      <c r="IDQ11" s="1202"/>
      <c r="IDR11" s="1202"/>
      <c r="IDS11" s="1202"/>
      <c r="IDT11" s="1202"/>
      <c r="IDU11" s="1202"/>
      <c r="IDV11" s="1202"/>
      <c r="IDW11" s="1202"/>
      <c r="IDX11" s="1202"/>
      <c r="IDY11" s="1202"/>
      <c r="IDZ11" s="1202"/>
      <c r="IEA11" s="1202"/>
      <c r="IEB11" s="1202"/>
      <c r="IEC11" s="1202"/>
      <c r="IED11" s="1202"/>
      <c r="IEE11" s="1202"/>
      <c r="IEF11" s="1202"/>
      <c r="IEG11" s="1202"/>
      <c r="IEH11" s="1202"/>
      <c r="IEI11" s="1202"/>
      <c r="IEJ11" s="1202"/>
      <c r="IEK11" s="1202"/>
      <c r="IEL11" s="1202"/>
      <c r="IEM11" s="1202"/>
      <c r="IEN11" s="1202"/>
      <c r="IEO11" s="1202"/>
      <c r="IEP11" s="1202"/>
      <c r="IEQ11" s="1202"/>
      <c r="IER11" s="1202"/>
      <c r="IES11" s="1202"/>
      <c r="IET11" s="1202"/>
      <c r="IEU11" s="1202"/>
      <c r="IEV11" s="1202"/>
      <c r="IEW11" s="1202"/>
      <c r="IEX11" s="1202"/>
      <c r="IEY11" s="1202"/>
      <c r="IEZ11" s="1202"/>
      <c r="IFA11" s="1202"/>
      <c r="IFB11" s="1202"/>
      <c r="IFC11" s="1202"/>
      <c r="IFD11" s="1202"/>
      <c r="IFE11" s="1202"/>
      <c r="IFF11" s="1202"/>
      <c r="IFG11" s="1202"/>
      <c r="IFH11" s="1202"/>
      <c r="IFI11" s="1202"/>
      <c r="IFJ11" s="1202"/>
      <c r="IFK11" s="1202"/>
      <c r="IFL11" s="1202"/>
      <c r="IFM11" s="1202"/>
      <c r="IFN11" s="1202"/>
      <c r="IFO11" s="1202"/>
      <c r="IFP11" s="1202"/>
      <c r="IFQ11" s="1202"/>
      <c r="IFR11" s="1202"/>
      <c r="IFS11" s="1202"/>
      <c r="IFT11" s="1202"/>
      <c r="IFU11" s="1202"/>
      <c r="IFV11" s="1202"/>
      <c r="IFW11" s="1202"/>
      <c r="IFX11" s="1202"/>
      <c r="IFY11" s="1202"/>
      <c r="IFZ11" s="1202"/>
      <c r="IGA11" s="1202"/>
      <c r="IGB11" s="1202"/>
      <c r="IGC11" s="1202"/>
      <c r="IGD11" s="1202"/>
      <c r="IGE11" s="1202"/>
      <c r="IGF11" s="1202"/>
      <c r="IGG11" s="1202"/>
      <c r="IGH11" s="1202"/>
      <c r="IGI11" s="1202"/>
      <c r="IGJ11" s="1202"/>
      <c r="IGK11" s="1202"/>
      <c r="IGL11" s="1202"/>
      <c r="IGM11" s="1202"/>
      <c r="IGN11" s="1202"/>
      <c r="IGO11" s="1202"/>
      <c r="IGP11" s="1202"/>
      <c r="IGQ11" s="1202"/>
      <c r="IGR11" s="1202"/>
      <c r="IGS11" s="1202"/>
      <c r="IGT11" s="1202"/>
      <c r="IGU11" s="1202"/>
      <c r="IGV11" s="1202"/>
      <c r="IGW11" s="1202"/>
      <c r="IGX11" s="1202"/>
      <c r="IGY11" s="1202"/>
      <c r="IGZ11" s="1202"/>
      <c r="IHA11" s="1202"/>
      <c r="IHB11" s="1202"/>
      <c r="IHC11" s="1202"/>
      <c r="IHD11" s="1202"/>
      <c r="IHE11" s="1202"/>
      <c r="IHF11" s="1202"/>
      <c r="IHG11" s="1202"/>
      <c r="IHH11" s="1202"/>
      <c r="IHI11" s="1202"/>
      <c r="IHJ11" s="1202"/>
      <c r="IHK11" s="1202"/>
      <c r="IHL11" s="1202"/>
      <c r="IHM11" s="1202"/>
      <c r="IHN11" s="1202"/>
      <c r="IHO11" s="1202"/>
      <c r="IHP11" s="1202"/>
      <c r="IHQ11" s="1202"/>
      <c r="IHR11" s="1202"/>
      <c r="IHS11" s="1202"/>
      <c r="IHT11" s="1202"/>
      <c r="IHU11" s="1202"/>
      <c r="IHV11" s="1202"/>
      <c r="IHW11" s="1202"/>
      <c r="IHX11" s="1202"/>
      <c r="IHY11" s="1202"/>
      <c r="IHZ11" s="1202"/>
      <c r="IIA11" s="1202"/>
      <c r="IIB11" s="1202"/>
      <c r="IIC11" s="1202"/>
      <c r="IID11" s="1202"/>
      <c r="IIE11" s="1202"/>
      <c r="IIF11" s="1202"/>
      <c r="IIG11" s="1202"/>
      <c r="IIH11" s="1202"/>
      <c r="III11" s="1202"/>
      <c r="IIJ11" s="1202"/>
      <c r="IIK11" s="1202"/>
      <c r="IIL11" s="1202"/>
      <c r="IIM11" s="1202"/>
      <c r="IIN11" s="1202"/>
      <c r="IIO11" s="1202"/>
      <c r="IIP11" s="1202"/>
      <c r="IIQ11" s="1202"/>
      <c r="IIR11" s="1202"/>
      <c r="IIS11" s="1202"/>
      <c r="IIT11" s="1202"/>
      <c r="IIU11" s="1202"/>
      <c r="IIV11" s="1202"/>
      <c r="IIW11" s="1202"/>
      <c r="IIX11" s="1202"/>
      <c r="IIY11" s="1202"/>
      <c r="IIZ11" s="1202"/>
      <c r="IJA11" s="1202"/>
      <c r="IJB11" s="1202"/>
      <c r="IJC11" s="1202"/>
      <c r="IJD11" s="1202"/>
      <c r="IJE11" s="1202"/>
      <c r="IJF11" s="1202"/>
      <c r="IJG11" s="1202"/>
      <c r="IJH11" s="1202"/>
      <c r="IJI11" s="1202"/>
      <c r="IJJ11" s="1202"/>
      <c r="IJK11" s="1202"/>
      <c r="IJL11" s="1202"/>
      <c r="IJM11" s="1202"/>
      <c r="IJN11" s="1202"/>
      <c r="IJO11" s="1202"/>
      <c r="IJP11" s="1202"/>
      <c r="IJQ11" s="1202"/>
      <c r="IJR11" s="1202"/>
      <c r="IJS11" s="1202"/>
      <c r="IJT11" s="1202"/>
      <c r="IJU11" s="1202"/>
      <c r="IJV11" s="1202"/>
      <c r="IJW11" s="1202"/>
      <c r="IJX11" s="1202"/>
      <c r="IJY11" s="1202"/>
      <c r="IJZ11" s="1202"/>
      <c r="IKA11" s="1202"/>
      <c r="IKB11" s="1202"/>
      <c r="IKC11" s="1202"/>
      <c r="IKD11" s="1202"/>
      <c r="IKE11" s="1202"/>
      <c r="IKF11" s="1202"/>
      <c r="IKG11" s="1202"/>
      <c r="IKH11" s="1202"/>
      <c r="IKI11" s="1202"/>
      <c r="IKJ11" s="1202"/>
      <c r="IKK11" s="1202"/>
      <c r="IKL11" s="1202"/>
      <c r="IKM11" s="1202"/>
      <c r="IKN11" s="1202"/>
      <c r="IKO11" s="1202"/>
      <c r="IKP11" s="1202"/>
      <c r="IKQ11" s="1202"/>
      <c r="IKR11" s="1202"/>
      <c r="IKS11" s="1202"/>
      <c r="IKT11" s="1202"/>
      <c r="IKU11" s="1202"/>
      <c r="IKV11" s="1202"/>
      <c r="IKW11" s="1202"/>
      <c r="IKX11" s="1202"/>
      <c r="IKY11" s="1202"/>
      <c r="IKZ11" s="1202"/>
      <c r="ILA11" s="1202"/>
      <c r="ILB11" s="1202"/>
      <c r="ILC11" s="1202"/>
      <c r="ILD11" s="1202"/>
      <c r="ILE11" s="1202"/>
      <c r="ILF11" s="1202"/>
      <c r="ILG11" s="1202"/>
      <c r="ILH11" s="1202"/>
      <c r="ILI11" s="1202"/>
      <c r="ILJ11" s="1202"/>
      <c r="ILK11" s="1202"/>
      <c r="ILL11" s="1202"/>
      <c r="ILM11" s="1202"/>
      <c r="ILN11" s="1202"/>
      <c r="ILO11" s="1202"/>
      <c r="ILP11" s="1202"/>
      <c r="ILQ11" s="1202"/>
      <c r="ILR11" s="1202"/>
      <c r="ILS11" s="1202"/>
      <c r="ILT11" s="1202"/>
      <c r="ILU11" s="1202"/>
      <c r="ILV11" s="1202"/>
      <c r="ILW11" s="1202"/>
      <c r="ILX11" s="1202"/>
      <c r="ILY11" s="1202"/>
      <c r="ILZ11" s="1202"/>
      <c r="IMA11" s="1202"/>
      <c r="IMB11" s="1202"/>
      <c r="IMC11" s="1202"/>
      <c r="IMD11" s="1202"/>
      <c r="IME11" s="1202"/>
      <c r="IMF11" s="1202"/>
      <c r="IMG11" s="1202"/>
      <c r="IMH11" s="1202"/>
      <c r="IMI11" s="1202"/>
      <c r="IMJ11" s="1202"/>
      <c r="IMK11" s="1202"/>
      <c r="IML11" s="1202"/>
      <c r="IMM11" s="1202"/>
      <c r="IMN11" s="1202"/>
      <c r="IMO11" s="1202"/>
      <c r="IMP11" s="1202"/>
      <c r="IMQ11" s="1202"/>
      <c r="IMR11" s="1202"/>
      <c r="IMS11" s="1202"/>
      <c r="IMT11" s="1202"/>
      <c r="IMU11" s="1202"/>
      <c r="IMV11" s="1202"/>
      <c r="IMW11" s="1202"/>
      <c r="IMX11" s="1202"/>
      <c r="IMY11" s="1202"/>
      <c r="IMZ11" s="1202"/>
      <c r="INA11" s="1202"/>
      <c r="INB11" s="1202"/>
      <c r="INC11" s="1202"/>
      <c r="IND11" s="1202"/>
      <c r="INE11" s="1202"/>
      <c r="INF11" s="1202"/>
      <c r="ING11" s="1202"/>
      <c r="INH11" s="1202"/>
      <c r="INI11" s="1202"/>
      <c r="INJ11" s="1202"/>
      <c r="INK11" s="1202"/>
      <c r="INL11" s="1202"/>
      <c r="INM11" s="1202"/>
      <c r="INN11" s="1202"/>
      <c r="INO11" s="1202"/>
      <c r="INP11" s="1202"/>
      <c r="INQ11" s="1202"/>
      <c r="INR11" s="1202"/>
      <c r="INS11" s="1202"/>
      <c r="INT11" s="1202"/>
      <c r="INU11" s="1202"/>
      <c r="INV11" s="1202"/>
      <c r="INW11" s="1202"/>
      <c r="INX11" s="1202"/>
      <c r="INY11" s="1202"/>
      <c r="INZ11" s="1202"/>
      <c r="IOA11" s="1202"/>
      <c r="IOB11" s="1202"/>
      <c r="IOC11" s="1202"/>
      <c r="IOD11" s="1202"/>
      <c r="IOE11" s="1202"/>
      <c r="IOF11" s="1202"/>
      <c r="IOG11" s="1202"/>
      <c r="IOH11" s="1202"/>
      <c r="IOI11" s="1202"/>
      <c r="IOJ11" s="1202"/>
      <c r="IOK11" s="1202"/>
      <c r="IOL11" s="1202"/>
      <c r="IOM11" s="1202"/>
      <c r="ION11" s="1202"/>
      <c r="IOO11" s="1202"/>
      <c r="IOP11" s="1202"/>
      <c r="IOQ11" s="1202"/>
      <c r="IOR11" s="1202"/>
      <c r="IOS11" s="1202"/>
      <c r="IOT11" s="1202"/>
      <c r="IOU11" s="1202"/>
      <c r="IOV11" s="1202"/>
      <c r="IOW11" s="1202"/>
      <c r="IOX11" s="1202"/>
      <c r="IOY11" s="1202"/>
      <c r="IOZ11" s="1202"/>
      <c r="IPA11" s="1202"/>
      <c r="IPB11" s="1202"/>
      <c r="IPC11" s="1202"/>
      <c r="IPD11" s="1202"/>
      <c r="IPE11" s="1202"/>
      <c r="IPF11" s="1202"/>
      <c r="IPG11" s="1202"/>
      <c r="IPH11" s="1202"/>
      <c r="IPI11" s="1202"/>
      <c r="IPJ11" s="1202"/>
      <c r="IPK11" s="1202"/>
      <c r="IPL11" s="1202"/>
      <c r="IPM11" s="1202"/>
      <c r="IPN11" s="1202"/>
      <c r="IPO11" s="1202"/>
      <c r="IPP11" s="1202"/>
      <c r="IPQ11" s="1202"/>
      <c r="IPR11" s="1202"/>
      <c r="IPS11" s="1202"/>
      <c r="IPT11" s="1202"/>
      <c r="IPU11" s="1202"/>
      <c r="IPV11" s="1202"/>
      <c r="IPW11" s="1202"/>
      <c r="IPX11" s="1202"/>
      <c r="IPY11" s="1202"/>
      <c r="IPZ11" s="1202"/>
      <c r="IQA11" s="1202"/>
      <c r="IQB11" s="1202"/>
      <c r="IQC11" s="1202"/>
      <c r="IQD11" s="1202"/>
      <c r="IQE11" s="1202"/>
      <c r="IQF11" s="1202"/>
      <c r="IQG11" s="1202"/>
      <c r="IQH11" s="1202"/>
      <c r="IQI11" s="1202"/>
      <c r="IQJ11" s="1202"/>
      <c r="IQK11" s="1202"/>
      <c r="IQL11" s="1202"/>
      <c r="IQM11" s="1202"/>
      <c r="IQN11" s="1202"/>
      <c r="IQO11" s="1202"/>
      <c r="IQP11" s="1202"/>
      <c r="IQQ11" s="1202"/>
      <c r="IQR11" s="1202"/>
      <c r="IQS11" s="1202"/>
      <c r="IQT11" s="1202"/>
      <c r="IQU11" s="1202"/>
      <c r="IQV11" s="1202"/>
      <c r="IQW11" s="1202"/>
      <c r="IQX11" s="1202"/>
      <c r="IQY11" s="1202"/>
      <c r="IQZ11" s="1202"/>
      <c r="IRA11" s="1202"/>
      <c r="IRB11" s="1202"/>
      <c r="IRC11" s="1202"/>
      <c r="IRD11" s="1202"/>
      <c r="IRE11" s="1202"/>
      <c r="IRF11" s="1202"/>
      <c r="IRG11" s="1202"/>
      <c r="IRH11" s="1202"/>
      <c r="IRI11" s="1202"/>
      <c r="IRJ11" s="1202"/>
      <c r="IRK11" s="1202"/>
      <c r="IRL11" s="1202"/>
      <c r="IRM11" s="1202"/>
      <c r="IRN11" s="1202"/>
      <c r="IRO11" s="1202"/>
      <c r="IRP11" s="1202"/>
      <c r="IRQ11" s="1202"/>
      <c r="IRR11" s="1202"/>
      <c r="IRS11" s="1202"/>
      <c r="IRT11" s="1202"/>
      <c r="IRU11" s="1202"/>
      <c r="IRV11" s="1202"/>
      <c r="IRW11" s="1202"/>
      <c r="IRX11" s="1202"/>
      <c r="IRY11" s="1202"/>
      <c r="IRZ11" s="1202"/>
      <c r="ISA11" s="1202"/>
      <c r="ISB11" s="1202"/>
      <c r="ISC11" s="1202"/>
      <c r="ISD11" s="1202"/>
      <c r="ISE11" s="1202"/>
      <c r="ISF11" s="1202"/>
      <c r="ISG11" s="1202"/>
      <c r="ISH11" s="1202"/>
      <c r="ISI11" s="1202"/>
      <c r="ISJ11" s="1202"/>
      <c r="ISK11" s="1202"/>
      <c r="ISL11" s="1202"/>
      <c r="ISM11" s="1202"/>
      <c r="ISN11" s="1202"/>
      <c r="ISO11" s="1202"/>
      <c r="ISP11" s="1202"/>
      <c r="ISQ11" s="1202"/>
      <c r="ISR11" s="1202"/>
      <c r="ISS11" s="1202"/>
      <c r="IST11" s="1202"/>
      <c r="ISU11" s="1202"/>
      <c r="ISV11" s="1202"/>
      <c r="ISW11" s="1202"/>
      <c r="ISX11" s="1202"/>
      <c r="ISY11" s="1202"/>
      <c r="ISZ11" s="1202"/>
      <c r="ITA11" s="1202"/>
      <c r="ITB11" s="1202"/>
      <c r="ITC11" s="1202"/>
      <c r="ITD11" s="1202"/>
      <c r="ITE11" s="1202"/>
      <c r="ITF11" s="1202"/>
      <c r="ITG11" s="1202"/>
      <c r="ITH11" s="1202"/>
      <c r="ITI11" s="1202"/>
      <c r="ITJ11" s="1202"/>
      <c r="ITK11" s="1202"/>
      <c r="ITL11" s="1202"/>
      <c r="ITM11" s="1202"/>
      <c r="ITN11" s="1202"/>
      <c r="ITO11" s="1202"/>
      <c r="ITP11" s="1202"/>
      <c r="ITQ11" s="1202"/>
      <c r="ITR11" s="1202"/>
      <c r="ITS11" s="1202"/>
      <c r="ITT11" s="1202"/>
      <c r="ITU11" s="1202"/>
      <c r="ITV11" s="1202"/>
      <c r="ITW11" s="1202"/>
      <c r="ITX11" s="1202"/>
      <c r="ITY11" s="1202"/>
      <c r="ITZ11" s="1202"/>
      <c r="IUA11" s="1202"/>
      <c r="IUB11" s="1202"/>
      <c r="IUC11" s="1202"/>
      <c r="IUD11" s="1202"/>
      <c r="IUE11" s="1202"/>
      <c r="IUF11" s="1202"/>
      <c r="IUG11" s="1202"/>
      <c r="IUH11" s="1202"/>
      <c r="IUI11" s="1202"/>
      <c r="IUJ11" s="1202"/>
      <c r="IUK11" s="1202"/>
      <c r="IUL11" s="1202"/>
      <c r="IUM11" s="1202"/>
      <c r="IUN11" s="1202"/>
      <c r="IUO11" s="1202"/>
      <c r="IUP11" s="1202"/>
      <c r="IUQ11" s="1202"/>
      <c r="IUR11" s="1202"/>
      <c r="IUS11" s="1202"/>
      <c r="IUT11" s="1202"/>
      <c r="IUU11" s="1202"/>
      <c r="IUV11" s="1202"/>
      <c r="IUW11" s="1202"/>
      <c r="IUX11" s="1202"/>
      <c r="IUY11" s="1202"/>
      <c r="IUZ11" s="1202"/>
      <c r="IVA11" s="1202"/>
      <c r="IVB11" s="1202"/>
      <c r="IVC11" s="1202"/>
      <c r="IVD11" s="1202"/>
      <c r="IVE11" s="1202"/>
      <c r="IVF11" s="1202"/>
      <c r="IVG11" s="1202"/>
      <c r="IVH11" s="1202"/>
      <c r="IVI11" s="1202"/>
      <c r="IVJ11" s="1202"/>
      <c r="IVK11" s="1202"/>
      <c r="IVL11" s="1202"/>
      <c r="IVM11" s="1202"/>
      <c r="IVN11" s="1202"/>
      <c r="IVO11" s="1202"/>
      <c r="IVP11" s="1202"/>
      <c r="IVQ11" s="1202"/>
      <c r="IVR11" s="1202"/>
      <c r="IVS11" s="1202"/>
      <c r="IVT11" s="1202"/>
      <c r="IVU11" s="1202"/>
      <c r="IVV11" s="1202"/>
      <c r="IVW11" s="1202"/>
      <c r="IVX11" s="1202"/>
      <c r="IVY11" s="1202"/>
      <c r="IVZ11" s="1202"/>
      <c r="IWA11" s="1202"/>
      <c r="IWB11" s="1202"/>
      <c r="IWC11" s="1202"/>
      <c r="IWD11" s="1202"/>
      <c r="IWE11" s="1202"/>
      <c r="IWF11" s="1202"/>
      <c r="IWG11" s="1202"/>
      <c r="IWH11" s="1202"/>
      <c r="IWI11" s="1202"/>
      <c r="IWJ11" s="1202"/>
      <c r="IWK11" s="1202"/>
      <c r="IWL11" s="1202"/>
      <c r="IWM11" s="1202"/>
      <c r="IWN11" s="1202"/>
      <c r="IWO11" s="1202"/>
      <c r="IWP11" s="1202"/>
      <c r="IWQ11" s="1202"/>
      <c r="IWR11" s="1202"/>
      <c r="IWS11" s="1202"/>
      <c r="IWT11" s="1202"/>
      <c r="IWU11" s="1202"/>
      <c r="IWV11" s="1202"/>
      <c r="IWW11" s="1202"/>
      <c r="IWX11" s="1202"/>
      <c r="IWY11" s="1202"/>
      <c r="IWZ11" s="1202"/>
      <c r="IXA11" s="1202"/>
      <c r="IXB11" s="1202"/>
      <c r="IXC11" s="1202"/>
      <c r="IXD11" s="1202"/>
      <c r="IXE11" s="1202"/>
      <c r="IXF11" s="1202"/>
      <c r="IXG11" s="1202"/>
      <c r="IXH11" s="1202"/>
      <c r="IXI11" s="1202"/>
      <c r="IXJ11" s="1202"/>
      <c r="IXK11" s="1202"/>
      <c r="IXL11" s="1202"/>
      <c r="IXM11" s="1202"/>
      <c r="IXN11" s="1202"/>
      <c r="IXO11" s="1202"/>
      <c r="IXP11" s="1202"/>
      <c r="IXQ11" s="1202"/>
      <c r="IXR11" s="1202"/>
      <c r="IXS11" s="1202"/>
      <c r="IXT11" s="1202"/>
      <c r="IXU11" s="1202"/>
      <c r="IXV11" s="1202"/>
      <c r="IXW11" s="1202"/>
      <c r="IXX11" s="1202"/>
      <c r="IXY11" s="1202"/>
      <c r="IXZ11" s="1202"/>
      <c r="IYA11" s="1202"/>
      <c r="IYB11" s="1202"/>
      <c r="IYC11" s="1202"/>
      <c r="IYD11" s="1202"/>
      <c r="IYE11" s="1202"/>
      <c r="IYF11" s="1202"/>
      <c r="IYG11" s="1202"/>
      <c r="IYH11" s="1202"/>
      <c r="IYI11" s="1202"/>
      <c r="IYJ11" s="1202"/>
      <c r="IYK11" s="1202"/>
      <c r="IYL11" s="1202"/>
      <c r="IYM11" s="1202"/>
      <c r="IYN11" s="1202"/>
      <c r="IYO11" s="1202"/>
      <c r="IYP11" s="1202"/>
      <c r="IYQ11" s="1202"/>
      <c r="IYR11" s="1202"/>
      <c r="IYS11" s="1202"/>
      <c r="IYT11" s="1202"/>
      <c r="IYU11" s="1202"/>
      <c r="IYV11" s="1202"/>
      <c r="IYW11" s="1202"/>
      <c r="IYX11" s="1202"/>
      <c r="IYY11" s="1202"/>
      <c r="IYZ11" s="1202"/>
      <c r="IZA11" s="1202"/>
      <c r="IZB11" s="1202"/>
      <c r="IZC11" s="1202"/>
      <c r="IZD11" s="1202"/>
      <c r="IZE11" s="1202"/>
      <c r="IZF11" s="1202"/>
      <c r="IZG11" s="1202"/>
      <c r="IZH11" s="1202"/>
      <c r="IZI11" s="1202"/>
      <c r="IZJ11" s="1202"/>
      <c r="IZK11" s="1202"/>
      <c r="IZL11" s="1202"/>
      <c r="IZM11" s="1202"/>
      <c r="IZN11" s="1202"/>
      <c r="IZO11" s="1202"/>
      <c r="IZP11" s="1202"/>
      <c r="IZQ11" s="1202"/>
      <c r="IZR11" s="1202"/>
      <c r="IZS11" s="1202"/>
      <c r="IZT11" s="1202"/>
      <c r="IZU11" s="1202"/>
      <c r="IZV11" s="1202"/>
      <c r="IZW11" s="1202"/>
      <c r="IZX11" s="1202"/>
      <c r="IZY11" s="1202"/>
      <c r="IZZ11" s="1202"/>
      <c r="JAA11" s="1202"/>
      <c r="JAB11" s="1202"/>
      <c r="JAC11" s="1202"/>
      <c r="JAD11" s="1202"/>
      <c r="JAE11" s="1202"/>
      <c r="JAF11" s="1202"/>
      <c r="JAG11" s="1202"/>
      <c r="JAH11" s="1202"/>
      <c r="JAI11" s="1202"/>
      <c r="JAJ11" s="1202"/>
      <c r="JAK11" s="1202"/>
      <c r="JAL11" s="1202"/>
      <c r="JAM11" s="1202"/>
      <c r="JAN11" s="1202"/>
      <c r="JAO11" s="1202"/>
      <c r="JAP11" s="1202"/>
      <c r="JAQ11" s="1202"/>
      <c r="JAR11" s="1202"/>
      <c r="JAS11" s="1202"/>
      <c r="JAT11" s="1202"/>
      <c r="JAU11" s="1202"/>
      <c r="JAV11" s="1202"/>
      <c r="JAW11" s="1202"/>
      <c r="JAX11" s="1202"/>
      <c r="JAY11" s="1202"/>
      <c r="JAZ11" s="1202"/>
      <c r="JBA11" s="1202"/>
      <c r="JBB11" s="1202"/>
      <c r="JBC11" s="1202"/>
      <c r="JBD11" s="1202"/>
      <c r="JBE11" s="1202"/>
      <c r="JBF11" s="1202"/>
      <c r="JBG11" s="1202"/>
      <c r="JBH11" s="1202"/>
      <c r="JBI11" s="1202"/>
      <c r="JBJ11" s="1202"/>
      <c r="JBK11" s="1202"/>
      <c r="JBL11" s="1202"/>
      <c r="JBM11" s="1202"/>
      <c r="JBN11" s="1202"/>
      <c r="JBO11" s="1202"/>
      <c r="JBP11" s="1202"/>
      <c r="JBQ11" s="1202"/>
      <c r="JBR11" s="1202"/>
      <c r="JBS11" s="1202"/>
      <c r="JBT11" s="1202"/>
      <c r="JBU11" s="1202"/>
      <c r="JBV11" s="1202"/>
      <c r="JBW11" s="1202"/>
      <c r="JBX11" s="1202"/>
      <c r="JBY11" s="1202"/>
      <c r="JBZ11" s="1202"/>
      <c r="JCA11" s="1202"/>
      <c r="JCB11" s="1202"/>
      <c r="JCC11" s="1202"/>
      <c r="JCD11" s="1202"/>
      <c r="JCE11" s="1202"/>
      <c r="JCF11" s="1202"/>
      <c r="JCG11" s="1202"/>
      <c r="JCH11" s="1202"/>
      <c r="JCI11" s="1202"/>
      <c r="JCJ11" s="1202"/>
      <c r="JCK11" s="1202"/>
      <c r="JCL11" s="1202"/>
      <c r="JCM11" s="1202"/>
      <c r="JCN11" s="1202"/>
      <c r="JCO11" s="1202"/>
      <c r="JCP11" s="1202"/>
      <c r="JCQ11" s="1202"/>
      <c r="JCR11" s="1202"/>
      <c r="JCS11" s="1202"/>
      <c r="JCT11" s="1202"/>
      <c r="JCU11" s="1202"/>
      <c r="JCV11" s="1202"/>
      <c r="JCW11" s="1202"/>
      <c r="JCX11" s="1202"/>
      <c r="JCY11" s="1202"/>
      <c r="JCZ11" s="1202"/>
      <c r="JDA11" s="1202"/>
      <c r="JDB11" s="1202"/>
      <c r="JDC11" s="1202"/>
      <c r="JDD11" s="1202"/>
      <c r="JDE11" s="1202"/>
      <c r="JDF11" s="1202"/>
      <c r="JDG11" s="1202"/>
      <c r="JDH11" s="1202"/>
      <c r="JDI11" s="1202"/>
      <c r="JDJ11" s="1202"/>
      <c r="JDK11" s="1202"/>
      <c r="JDL11" s="1202"/>
      <c r="JDM11" s="1202"/>
      <c r="JDN11" s="1202"/>
      <c r="JDO11" s="1202"/>
      <c r="JDP11" s="1202"/>
      <c r="JDQ11" s="1202"/>
      <c r="JDR11" s="1202"/>
      <c r="JDS11" s="1202"/>
      <c r="JDT11" s="1202"/>
      <c r="JDU11" s="1202"/>
      <c r="JDV11" s="1202"/>
      <c r="JDW11" s="1202"/>
      <c r="JDX11" s="1202"/>
      <c r="JDY11" s="1202"/>
      <c r="JDZ11" s="1202"/>
      <c r="JEA11" s="1202"/>
      <c r="JEB11" s="1202"/>
      <c r="JEC11" s="1202"/>
      <c r="JED11" s="1202"/>
      <c r="JEE11" s="1202"/>
      <c r="JEF11" s="1202"/>
      <c r="JEG11" s="1202"/>
      <c r="JEH11" s="1202"/>
      <c r="JEI11" s="1202"/>
      <c r="JEJ11" s="1202"/>
      <c r="JEK11" s="1202"/>
      <c r="JEL11" s="1202"/>
      <c r="JEM11" s="1202"/>
      <c r="JEN11" s="1202"/>
      <c r="JEO11" s="1202"/>
      <c r="JEP11" s="1202"/>
      <c r="JEQ11" s="1202"/>
      <c r="JER11" s="1202"/>
      <c r="JES11" s="1202"/>
      <c r="JET11" s="1202"/>
      <c r="JEU11" s="1202"/>
      <c r="JEV11" s="1202"/>
      <c r="JEW11" s="1202"/>
      <c r="JEX11" s="1202"/>
      <c r="JEY11" s="1202"/>
      <c r="JEZ11" s="1202"/>
      <c r="JFA11" s="1202"/>
      <c r="JFB11" s="1202"/>
      <c r="JFC11" s="1202"/>
      <c r="JFD11" s="1202"/>
      <c r="JFE11" s="1202"/>
      <c r="JFF11" s="1202"/>
      <c r="JFG11" s="1202"/>
      <c r="JFH11" s="1202"/>
      <c r="JFI11" s="1202"/>
      <c r="JFJ11" s="1202"/>
      <c r="JFK11" s="1202"/>
      <c r="JFL11" s="1202"/>
      <c r="JFM11" s="1202"/>
      <c r="JFN11" s="1202"/>
      <c r="JFO11" s="1202"/>
      <c r="JFP11" s="1202"/>
      <c r="JFQ11" s="1202"/>
      <c r="JFR11" s="1202"/>
      <c r="JFS11" s="1202"/>
      <c r="JFT11" s="1202"/>
      <c r="JFU11" s="1202"/>
      <c r="JFV11" s="1202"/>
      <c r="JFW11" s="1202"/>
      <c r="JFX11" s="1202"/>
      <c r="JFY11" s="1202"/>
      <c r="JFZ11" s="1202"/>
      <c r="JGA11" s="1202"/>
      <c r="JGB11" s="1202"/>
      <c r="JGC11" s="1202"/>
      <c r="JGD11" s="1202"/>
      <c r="JGE11" s="1202"/>
      <c r="JGF11" s="1202"/>
      <c r="JGG11" s="1202"/>
      <c r="JGH11" s="1202"/>
      <c r="JGI11" s="1202"/>
      <c r="JGJ11" s="1202"/>
      <c r="JGK11" s="1202"/>
      <c r="JGL11" s="1202"/>
      <c r="JGM11" s="1202"/>
      <c r="JGN11" s="1202"/>
      <c r="JGO11" s="1202"/>
      <c r="JGP11" s="1202"/>
      <c r="JGQ11" s="1202"/>
      <c r="JGR11" s="1202"/>
      <c r="JGS11" s="1202"/>
      <c r="JGT11" s="1202"/>
      <c r="JGU11" s="1202"/>
      <c r="JGV11" s="1202"/>
      <c r="JGW11" s="1202"/>
      <c r="JGX11" s="1202"/>
      <c r="JGY11" s="1202"/>
      <c r="JGZ11" s="1202"/>
      <c r="JHA11" s="1202"/>
      <c r="JHB11" s="1202"/>
      <c r="JHC11" s="1202"/>
      <c r="JHD11" s="1202"/>
      <c r="JHE11" s="1202"/>
      <c r="JHF11" s="1202"/>
      <c r="JHG11" s="1202"/>
      <c r="JHH11" s="1202"/>
      <c r="JHI11" s="1202"/>
      <c r="JHJ11" s="1202"/>
      <c r="JHK11" s="1202"/>
      <c r="JHL11" s="1202"/>
      <c r="JHM11" s="1202"/>
      <c r="JHN11" s="1202"/>
      <c r="JHO11" s="1202"/>
      <c r="JHP11" s="1202"/>
      <c r="JHQ11" s="1202"/>
      <c r="JHR11" s="1202"/>
      <c r="JHS11" s="1202"/>
      <c r="JHT11" s="1202"/>
      <c r="JHU11" s="1202"/>
      <c r="JHV11" s="1202"/>
      <c r="JHW11" s="1202"/>
      <c r="JHX11" s="1202"/>
      <c r="JHY11" s="1202"/>
      <c r="JHZ11" s="1202"/>
      <c r="JIA11" s="1202"/>
      <c r="JIB11" s="1202"/>
      <c r="JIC11" s="1202"/>
      <c r="JID11" s="1202"/>
      <c r="JIE11" s="1202"/>
      <c r="JIF11" s="1202"/>
      <c r="JIG11" s="1202"/>
      <c r="JIH11" s="1202"/>
      <c r="JII11" s="1202"/>
      <c r="JIJ11" s="1202"/>
      <c r="JIK11" s="1202"/>
      <c r="JIL11" s="1202"/>
      <c r="JIM11" s="1202"/>
      <c r="JIN11" s="1202"/>
      <c r="JIO11" s="1202"/>
      <c r="JIP11" s="1202"/>
      <c r="JIQ11" s="1202"/>
      <c r="JIR11" s="1202"/>
      <c r="JIS11" s="1202"/>
      <c r="JIT11" s="1202"/>
      <c r="JIU11" s="1202"/>
      <c r="JIV11" s="1202"/>
      <c r="JIW11" s="1202"/>
      <c r="JIX11" s="1202"/>
      <c r="JIY11" s="1202"/>
      <c r="JIZ11" s="1202"/>
      <c r="JJA11" s="1202"/>
      <c r="JJB11" s="1202"/>
      <c r="JJC11" s="1202"/>
      <c r="JJD11" s="1202"/>
      <c r="JJE11" s="1202"/>
      <c r="JJF11" s="1202"/>
      <c r="JJG11" s="1202"/>
      <c r="JJH11" s="1202"/>
      <c r="JJI11" s="1202"/>
      <c r="JJJ11" s="1202"/>
      <c r="JJK11" s="1202"/>
      <c r="JJL11" s="1202"/>
      <c r="JJM11" s="1202"/>
      <c r="JJN11" s="1202"/>
      <c r="JJO11" s="1202"/>
      <c r="JJP11" s="1202"/>
      <c r="JJQ11" s="1202"/>
      <c r="JJR11" s="1202"/>
      <c r="JJS11" s="1202"/>
      <c r="JJT11" s="1202"/>
      <c r="JJU11" s="1202"/>
      <c r="JJV11" s="1202"/>
      <c r="JJW11" s="1202"/>
      <c r="JJX11" s="1202"/>
      <c r="JJY11" s="1202"/>
      <c r="JJZ11" s="1202"/>
      <c r="JKA11" s="1202"/>
      <c r="JKB11" s="1202"/>
      <c r="JKC11" s="1202"/>
      <c r="JKD11" s="1202"/>
      <c r="JKE11" s="1202"/>
      <c r="JKF11" s="1202"/>
      <c r="JKG11" s="1202"/>
      <c r="JKH11" s="1202"/>
      <c r="JKI11" s="1202"/>
      <c r="JKJ11" s="1202"/>
      <c r="JKK11" s="1202"/>
      <c r="JKL11" s="1202"/>
      <c r="JKM11" s="1202"/>
      <c r="JKN11" s="1202"/>
      <c r="JKO11" s="1202"/>
      <c r="JKP11" s="1202"/>
      <c r="JKQ11" s="1202"/>
      <c r="JKR11" s="1202"/>
      <c r="JKS11" s="1202"/>
      <c r="JKT11" s="1202"/>
      <c r="JKU11" s="1202"/>
      <c r="JKV11" s="1202"/>
      <c r="JKW11" s="1202"/>
      <c r="JKX11" s="1202"/>
      <c r="JKY11" s="1202"/>
      <c r="JKZ11" s="1202"/>
      <c r="JLA11" s="1202"/>
      <c r="JLB11" s="1202"/>
      <c r="JLC11" s="1202"/>
      <c r="JLD11" s="1202"/>
      <c r="JLE11" s="1202"/>
      <c r="JLF11" s="1202"/>
      <c r="JLG11" s="1202"/>
      <c r="JLH11" s="1202"/>
      <c r="JLI11" s="1202"/>
      <c r="JLJ11" s="1202"/>
      <c r="JLK11" s="1202"/>
      <c r="JLL11" s="1202"/>
      <c r="JLM11" s="1202"/>
      <c r="JLN11" s="1202"/>
      <c r="JLO11" s="1202"/>
      <c r="JLP11" s="1202"/>
      <c r="JLQ11" s="1202"/>
      <c r="JLR11" s="1202"/>
      <c r="JLS11" s="1202"/>
      <c r="JLT11" s="1202"/>
      <c r="JLU11" s="1202"/>
      <c r="JLV11" s="1202"/>
      <c r="JLW11" s="1202"/>
      <c r="JLX11" s="1202"/>
      <c r="JLY11" s="1202"/>
      <c r="JLZ11" s="1202"/>
      <c r="JMA11" s="1202"/>
      <c r="JMB11" s="1202"/>
      <c r="JMC11" s="1202"/>
      <c r="JMD11" s="1202"/>
      <c r="JME11" s="1202"/>
      <c r="JMF11" s="1202"/>
      <c r="JMG11" s="1202"/>
      <c r="JMH11" s="1202"/>
      <c r="JMI11" s="1202"/>
      <c r="JMJ11" s="1202"/>
      <c r="JMK11" s="1202"/>
      <c r="JML11" s="1202"/>
      <c r="JMM11" s="1202"/>
      <c r="JMN11" s="1202"/>
      <c r="JMO11" s="1202"/>
      <c r="JMP11" s="1202"/>
      <c r="JMQ11" s="1202"/>
      <c r="JMR11" s="1202"/>
      <c r="JMS11" s="1202"/>
      <c r="JMT11" s="1202"/>
      <c r="JMU11" s="1202"/>
      <c r="JMV11" s="1202"/>
      <c r="JMW11" s="1202"/>
      <c r="JMX11" s="1202"/>
      <c r="JMY11" s="1202"/>
      <c r="JMZ11" s="1202"/>
      <c r="JNA11" s="1202"/>
      <c r="JNB11" s="1202"/>
      <c r="JNC11" s="1202"/>
      <c r="JND11" s="1202"/>
      <c r="JNE11" s="1202"/>
      <c r="JNF11" s="1202"/>
      <c r="JNG11" s="1202"/>
      <c r="JNH11" s="1202"/>
      <c r="JNI11" s="1202"/>
      <c r="JNJ11" s="1202"/>
      <c r="JNK11" s="1202"/>
      <c r="JNL11" s="1202"/>
      <c r="JNM11" s="1202"/>
      <c r="JNN11" s="1202"/>
      <c r="JNO11" s="1202"/>
      <c r="JNP11" s="1202"/>
      <c r="JNQ11" s="1202"/>
      <c r="JNR11" s="1202"/>
      <c r="JNS11" s="1202"/>
      <c r="JNT11" s="1202"/>
      <c r="JNU11" s="1202"/>
      <c r="JNV11" s="1202"/>
      <c r="JNW11" s="1202"/>
      <c r="JNX11" s="1202"/>
      <c r="JNY11" s="1202"/>
      <c r="JNZ11" s="1202"/>
      <c r="JOA11" s="1202"/>
      <c r="JOB11" s="1202"/>
      <c r="JOC11" s="1202"/>
      <c r="JOD11" s="1202"/>
      <c r="JOE11" s="1202"/>
      <c r="JOF11" s="1202"/>
      <c r="JOG11" s="1202"/>
      <c r="JOH11" s="1202"/>
      <c r="JOI11" s="1202"/>
      <c r="JOJ11" s="1202"/>
      <c r="JOK11" s="1202"/>
      <c r="JOL11" s="1202"/>
      <c r="JOM11" s="1202"/>
      <c r="JON11" s="1202"/>
      <c r="JOO11" s="1202"/>
      <c r="JOP11" s="1202"/>
      <c r="JOQ11" s="1202"/>
      <c r="JOR11" s="1202"/>
      <c r="JOS11" s="1202"/>
      <c r="JOT11" s="1202"/>
      <c r="JOU11" s="1202"/>
      <c r="JOV11" s="1202"/>
      <c r="JOW11" s="1202"/>
      <c r="JOX11" s="1202"/>
      <c r="JOY11" s="1202"/>
      <c r="JOZ11" s="1202"/>
      <c r="JPA11" s="1202"/>
      <c r="JPB11" s="1202"/>
      <c r="JPC11" s="1202"/>
      <c r="JPD11" s="1202"/>
      <c r="JPE11" s="1202"/>
      <c r="JPF11" s="1202"/>
      <c r="JPG11" s="1202"/>
      <c r="JPH11" s="1202"/>
      <c r="JPI11" s="1202"/>
      <c r="JPJ11" s="1202"/>
      <c r="JPK11" s="1202"/>
      <c r="JPL11" s="1202"/>
      <c r="JPM11" s="1202"/>
      <c r="JPN11" s="1202"/>
      <c r="JPO11" s="1202"/>
      <c r="JPP11" s="1202"/>
      <c r="JPQ11" s="1202"/>
      <c r="JPR11" s="1202"/>
      <c r="JPS11" s="1202"/>
      <c r="JPT11" s="1202"/>
      <c r="JPU11" s="1202"/>
      <c r="JPV11" s="1202"/>
      <c r="JPW11" s="1202"/>
      <c r="JPX11" s="1202"/>
      <c r="JPY11" s="1202"/>
      <c r="JPZ11" s="1202"/>
      <c r="JQA11" s="1202"/>
      <c r="JQB11" s="1202"/>
      <c r="JQC11" s="1202"/>
      <c r="JQD11" s="1202"/>
      <c r="JQE11" s="1202"/>
      <c r="JQF11" s="1202"/>
      <c r="JQG11" s="1202"/>
      <c r="JQH11" s="1202"/>
      <c r="JQI11" s="1202"/>
      <c r="JQJ11" s="1202"/>
      <c r="JQK11" s="1202"/>
      <c r="JQL11" s="1202"/>
      <c r="JQM11" s="1202"/>
      <c r="JQN11" s="1202"/>
      <c r="JQO11" s="1202"/>
      <c r="JQP11" s="1202"/>
      <c r="JQQ11" s="1202"/>
      <c r="JQR11" s="1202"/>
      <c r="JQS11" s="1202"/>
      <c r="JQT11" s="1202"/>
      <c r="JQU11" s="1202"/>
      <c r="JQV11" s="1202"/>
      <c r="JQW11" s="1202"/>
      <c r="JQX11" s="1202"/>
      <c r="JQY11" s="1202"/>
      <c r="JQZ11" s="1202"/>
      <c r="JRA11" s="1202"/>
      <c r="JRB11" s="1202"/>
      <c r="JRC11" s="1202"/>
      <c r="JRD11" s="1202"/>
      <c r="JRE11" s="1202"/>
      <c r="JRF11" s="1202"/>
      <c r="JRG11" s="1202"/>
      <c r="JRH11" s="1202"/>
      <c r="JRI11" s="1202"/>
      <c r="JRJ11" s="1202"/>
      <c r="JRK11" s="1202"/>
      <c r="JRL11" s="1202"/>
      <c r="JRM11" s="1202"/>
      <c r="JRN11" s="1202"/>
      <c r="JRO11" s="1202"/>
      <c r="JRP11" s="1202"/>
      <c r="JRQ11" s="1202"/>
      <c r="JRR11" s="1202"/>
      <c r="JRS11" s="1202"/>
      <c r="JRT11" s="1202"/>
      <c r="JRU11" s="1202"/>
      <c r="JRV11" s="1202"/>
      <c r="JRW11" s="1202"/>
      <c r="JRX11" s="1202"/>
      <c r="JRY11" s="1202"/>
      <c r="JRZ11" s="1202"/>
      <c r="JSA11" s="1202"/>
      <c r="JSB11" s="1202"/>
      <c r="JSC11" s="1202"/>
      <c r="JSD11" s="1202"/>
      <c r="JSE11" s="1202"/>
      <c r="JSF11" s="1202"/>
      <c r="JSG11" s="1202"/>
      <c r="JSH11" s="1202"/>
      <c r="JSI11" s="1202"/>
      <c r="JSJ11" s="1202"/>
      <c r="JSK11" s="1202"/>
      <c r="JSL11" s="1202"/>
      <c r="JSM11" s="1202"/>
      <c r="JSN11" s="1202"/>
      <c r="JSO11" s="1202"/>
      <c r="JSP11" s="1202"/>
      <c r="JSQ11" s="1202"/>
      <c r="JSR11" s="1202"/>
      <c r="JSS11" s="1202"/>
      <c r="JST11" s="1202"/>
      <c r="JSU11" s="1202"/>
      <c r="JSV11" s="1202"/>
      <c r="JSW11" s="1202"/>
      <c r="JSX11" s="1202"/>
      <c r="JSY11" s="1202"/>
      <c r="JSZ11" s="1202"/>
      <c r="JTA11" s="1202"/>
      <c r="JTB11" s="1202"/>
      <c r="JTC11" s="1202"/>
      <c r="JTD11" s="1202"/>
      <c r="JTE11" s="1202"/>
      <c r="JTF11" s="1202"/>
      <c r="JTG11" s="1202"/>
      <c r="JTH11" s="1202"/>
      <c r="JTI11" s="1202"/>
      <c r="JTJ11" s="1202"/>
      <c r="JTK11" s="1202"/>
      <c r="JTL11" s="1202"/>
      <c r="JTM11" s="1202"/>
      <c r="JTN11" s="1202"/>
      <c r="JTO11" s="1202"/>
      <c r="JTP11" s="1202"/>
      <c r="JTQ11" s="1202"/>
      <c r="JTR11" s="1202"/>
      <c r="JTS11" s="1202"/>
      <c r="JTT11" s="1202"/>
      <c r="JTU11" s="1202"/>
      <c r="JTV11" s="1202"/>
      <c r="JTW11" s="1202"/>
      <c r="JTX11" s="1202"/>
      <c r="JTY11" s="1202"/>
      <c r="JTZ11" s="1202"/>
      <c r="JUA11" s="1202"/>
      <c r="JUB11" s="1202"/>
      <c r="JUC11" s="1202"/>
      <c r="JUD11" s="1202"/>
      <c r="JUE11" s="1202"/>
      <c r="JUF11" s="1202"/>
      <c r="JUG11" s="1202"/>
      <c r="JUH11" s="1202"/>
      <c r="JUI11" s="1202"/>
      <c r="JUJ11" s="1202"/>
      <c r="JUK11" s="1202"/>
      <c r="JUL11" s="1202"/>
      <c r="JUM11" s="1202"/>
      <c r="JUN11" s="1202"/>
      <c r="JUO11" s="1202"/>
      <c r="JUP11" s="1202"/>
      <c r="JUQ11" s="1202"/>
      <c r="JUR11" s="1202"/>
      <c r="JUS11" s="1202"/>
      <c r="JUT11" s="1202"/>
      <c r="JUU11" s="1202"/>
      <c r="JUV11" s="1202"/>
      <c r="JUW11" s="1202"/>
      <c r="JUX11" s="1202"/>
      <c r="JUY11" s="1202"/>
      <c r="JUZ11" s="1202"/>
      <c r="JVA11" s="1202"/>
      <c r="JVB11" s="1202"/>
      <c r="JVC11" s="1202"/>
      <c r="JVD11" s="1202"/>
      <c r="JVE11" s="1202"/>
      <c r="JVF11" s="1202"/>
      <c r="JVG11" s="1202"/>
      <c r="JVH11" s="1202"/>
      <c r="JVI11" s="1202"/>
      <c r="JVJ11" s="1202"/>
      <c r="JVK11" s="1202"/>
      <c r="JVL11" s="1202"/>
      <c r="JVM11" s="1202"/>
      <c r="JVN11" s="1202"/>
      <c r="JVO11" s="1202"/>
      <c r="JVP11" s="1202"/>
      <c r="JVQ11" s="1202"/>
      <c r="JVR11" s="1202"/>
      <c r="JVS11" s="1202"/>
      <c r="JVT11" s="1202"/>
      <c r="JVU11" s="1202"/>
      <c r="JVV11" s="1202"/>
      <c r="JVW11" s="1202"/>
      <c r="JVX11" s="1202"/>
      <c r="JVY11" s="1202"/>
      <c r="JVZ11" s="1202"/>
      <c r="JWA11" s="1202"/>
      <c r="JWB11" s="1202"/>
      <c r="JWC11" s="1202"/>
      <c r="JWD11" s="1202"/>
      <c r="JWE11" s="1202"/>
      <c r="JWF11" s="1202"/>
      <c r="JWG11" s="1202"/>
      <c r="JWH11" s="1202"/>
      <c r="JWI11" s="1202"/>
      <c r="JWJ11" s="1202"/>
      <c r="JWK11" s="1202"/>
      <c r="JWL11" s="1202"/>
      <c r="JWM11" s="1202"/>
      <c r="JWN11" s="1202"/>
      <c r="JWO11" s="1202"/>
      <c r="JWP11" s="1202"/>
      <c r="JWQ11" s="1202"/>
      <c r="JWR11" s="1202"/>
      <c r="JWS11" s="1202"/>
      <c r="JWT11" s="1202"/>
      <c r="JWU11" s="1202"/>
      <c r="JWV11" s="1202"/>
      <c r="JWW11" s="1202"/>
      <c r="JWX11" s="1202"/>
      <c r="JWY11" s="1202"/>
      <c r="JWZ11" s="1202"/>
      <c r="JXA11" s="1202"/>
      <c r="JXB11" s="1202"/>
      <c r="JXC11" s="1202"/>
      <c r="JXD11" s="1202"/>
      <c r="JXE11" s="1202"/>
      <c r="JXF11" s="1202"/>
      <c r="JXG11" s="1202"/>
      <c r="JXH11" s="1202"/>
      <c r="JXI11" s="1202"/>
      <c r="JXJ11" s="1202"/>
      <c r="JXK11" s="1202"/>
      <c r="JXL11" s="1202"/>
      <c r="JXM11" s="1202"/>
      <c r="JXN11" s="1202"/>
      <c r="JXO11" s="1202"/>
      <c r="JXP11" s="1202"/>
      <c r="JXQ11" s="1202"/>
      <c r="JXR11" s="1202"/>
      <c r="JXS11" s="1202"/>
      <c r="JXT11" s="1202"/>
      <c r="JXU11" s="1202"/>
      <c r="JXV11" s="1202"/>
      <c r="JXW11" s="1202"/>
      <c r="JXX11" s="1202"/>
      <c r="JXY11" s="1202"/>
      <c r="JXZ11" s="1202"/>
      <c r="JYA11" s="1202"/>
      <c r="JYB11" s="1202"/>
      <c r="JYC11" s="1202"/>
      <c r="JYD11" s="1202"/>
      <c r="JYE11" s="1202"/>
      <c r="JYF11" s="1202"/>
      <c r="JYG11" s="1202"/>
      <c r="JYH11" s="1202"/>
      <c r="JYI11" s="1202"/>
      <c r="JYJ11" s="1202"/>
      <c r="JYK11" s="1202"/>
      <c r="JYL11" s="1202"/>
      <c r="JYM11" s="1202"/>
      <c r="JYN11" s="1202"/>
      <c r="JYO11" s="1202"/>
      <c r="JYP11" s="1202"/>
      <c r="JYQ11" s="1202"/>
      <c r="JYR11" s="1202"/>
      <c r="JYS11" s="1202"/>
      <c r="JYT11" s="1202"/>
      <c r="JYU11" s="1202"/>
      <c r="JYV11" s="1202"/>
      <c r="JYW11" s="1202"/>
      <c r="JYX11" s="1202"/>
      <c r="JYY11" s="1202"/>
      <c r="JYZ11" s="1202"/>
      <c r="JZA11" s="1202"/>
      <c r="JZB11" s="1202"/>
      <c r="JZC11" s="1202"/>
      <c r="JZD11" s="1202"/>
      <c r="JZE11" s="1202"/>
      <c r="JZF11" s="1202"/>
      <c r="JZG11" s="1202"/>
      <c r="JZH11" s="1202"/>
      <c r="JZI11" s="1202"/>
      <c r="JZJ11" s="1202"/>
      <c r="JZK11" s="1202"/>
      <c r="JZL11" s="1202"/>
      <c r="JZM11" s="1202"/>
      <c r="JZN11" s="1202"/>
      <c r="JZO11" s="1202"/>
      <c r="JZP11" s="1202"/>
      <c r="JZQ11" s="1202"/>
      <c r="JZR11" s="1202"/>
      <c r="JZS11" s="1202"/>
      <c r="JZT11" s="1202"/>
      <c r="JZU11" s="1202"/>
      <c r="JZV11" s="1202"/>
      <c r="JZW11" s="1202"/>
      <c r="JZX11" s="1202"/>
      <c r="JZY11" s="1202"/>
      <c r="JZZ11" s="1202"/>
      <c r="KAA11" s="1202"/>
      <c r="KAB11" s="1202"/>
      <c r="KAC11" s="1202"/>
      <c r="KAD11" s="1202"/>
      <c r="KAE11" s="1202"/>
      <c r="KAF11" s="1202"/>
      <c r="KAG11" s="1202"/>
      <c r="KAH11" s="1202"/>
      <c r="KAI11" s="1202"/>
      <c r="KAJ11" s="1202"/>
      <c r="KAK11" s="1202"/>
      <c r="KAL11" s="1202"/>
      <c r="KAM11" s="1202"/>
      <c r="KAN11" s="1202"/>
      <c r="KAO11" s="1202"/>
      <c r="KAP11" s="1202"/>
      <c r="KAQ11" s="1202"/>
      <c r="KAR11" s="1202"/>
      <c r="KAS11" s="1202"/>
      <c r="KAT11" s="1202"/>
      <c r="KAU11" s="1202"/>
      <c r="KAV11" s="1202"/>
      <c r="KAW11" s="1202"/>
      <c r="KAX11" s="1202"/>
      <c r="KAY11" s="1202"/>
      <c r="KAZ11" s="1202"/>
      <c r="KBA11" s="1202"/>
      <c r="KBB11" s="1202"/>
      <c r="KBC11" s="1202"/>
      <c r="KBD11" s="1202"/>
      <c r="KBE11" s="1202"/>
      <c r="KBF11" s="1202"/>
      <c r="KBG11" s="1202"/>
      <c r="KBH11" s="1202"/>
      <c r="KBI11" s="1202"/>
      <c r="KBJ11" s="1202"/>
      <c r="KBK11" s="1202"/>
      <c r="KBL11" s="1202"/>
      <c r="KBM11" s="1202"/>
      <c r="KBN11" s="1202"/>
      <c r="KBO11" s="1202"/>
      <c r="KBP11" s="1202"/>
      <c r="KBQ11" s="1202"/>
      <c r="KBR11" s="1202"/>
      <c r="KBS11" s="1202"/>
      <c r="KBT11" s="1202"/>
      <c r="KBU11" s="1202"/>
      <c r="KBV11" s="1202"/>
      <c r="KBW11" s="1202"/>
      <c r="KBX11" s="1202"/>
      <c r="KBY11" s="1202"/>
      <c r="KBZ11" s="1202"/>
      <c r="KCA11" s="1202"/>
      <c r="KCB11" s="1202"/>
      <c r="KCC11" s="1202"/>
      <c r="KCD11" s="1202"/>
      <c r="KCE11" s="1202"/>
      <c r="KCF11" s="1202"/>
      <c r="KCG11" s="1202"/>
      <c r="KCH11" s="1202"/>
      <c r="KCI11" s="1202"/>
      <c r="KCJ11" s="1202"/>
      <c r="KCK11" s="1202"/>
      <c r="KCL11" s="1202"/>
      <c r="KCM11" s="1202"/>
      <c r="KCN11" s="1202"/>
      <c r="KCO11" s="1202"/>
      <c r="KCP11" s="1202"/>
      <c r="KCQ11" s="1202"/>
      <c r="KCR11" s="1202"/>
      <c r="KCS11" s="1202"/>
      <c r="KCT11" s="1202"/>
      <c r="KCU11" s="1202"/>
      <c r="KCV11" s="1202"/>
      <c r="KCW11" s="1202"/>
      <c r="KCX11" s="1202"/>
      <c r="KCY11" s="1202"/>
      <c r="KCZ11" s="1202"/>
      <c r="KDA11" s="1202"/>
      <c r="KDB11" s="1202"/>
      <c r="KDC11" s="1202"/>
      <c r="KDD11" s="1202"/>
      <c r="KDE11" s="1202"/>
      <c r="KDF11" s="1202"/>
      <c r="KDG11" s="1202"/>
      <c r="KDH11" s="1202"/>
      <c r="KDI11" s="1202"/>
      <c r="KDJ11" s="1202"/>
      <c r="KDK11" s="1202"/>
      <c r="KDL11" s="1202"/>
      <c r="KDM11" s="1202"/>
      <c r="KDN11" s="1202"/>
      <c r="KDO11" s="1202"/>
      <c r="KDP11" s="1202"/>
      <c r="KDQ11" s="1202"/>
      <c r="KDR11" s="1202"/>
      <c r="KDS11" s="1202"/>
      <c r="KDT11" s="1202"/>
      <c r="KDU11" s="1202"/>
      <c r="KDV11" s="1202"/>
      <c r="KDW11" s="1202"/>
      <c r="KDX11" s="1202"/>
      <c r="KDY11" s="1202"/>
      <c r="KDZ11" s="1202"/>
      <c r="KEA11" s="1202"/>
      <c r="KEB11" s="1202"/>
      <c r="KEC11" s="1202"/>
      <c r="KED11" s="1202"/>
      <c r="KEE11" s="1202"/>
      <c r="KEF11" s="1202"/>
      <c r="KEG11" s="1202"/>
      <c r="KEH11" s="1202"/>
      <c r="KEI11" s="1202"/>
      <c r="KEJ11" s="1202"/>
      <c r="KEK11" s="1202"/>
      <c r="KEL11" s="1202"/>
      <c r="KEM11" s="1202"/>
      <c r="KEN11" s="1202"/>
      <c r="KEO11" s="1202"/>
      <c r="KEP11" s="1202"/>
      <c r="KEQ11" s="1202"/>
      <c r="KER11" s="1202"/>
      <c r="KES11" s="1202"/>
      <c r="KET11" s="1202"/>
      <c r="KEU11" s="1202"/>
      <c r="KEV11" s="1202"/>
      <c r="KEW11" s="1202"/>
      <c r="KEX11" s="1202"/>
      <c r="KEY11" s="1202"/>
      <c r="KEZ11" s="1202"/>
      <c r="KFA11" s="1202"/>
      <c r="KFB11" s="1202"/>
      <c r="KFC11" s="1202"/>
      <c r="KFD11" s="1202"/>
      <c r="KFE11" s="1202"/>
      <c r="KFF11" s="1202"/>
      <c r="KFG11" s="1202"/>
      <c r="KFH11" s="1202"/>
      <c r="KFI11" s="1202"/>
      <c r="KFJ11" s="1202"/>
      <c r="KFK11" s="1202"/>
      <c r="KFL11" s="1202"/>
      <c r="KFM11" s="1202"/>
      <c r="KFN11" s="1202"/>
      <c r="KFO11" s="1202"/>
      <c r="KFP11" s="1202"/>
      <c r="KFQ11" s="1202"/>
      <c r="KFR11" s="1202"/>
      <c r="KFS11" s="1202"/>
      <c r="KFT11" s="1202"/>
      <c r="KFU11" s="1202"/>
      <c r="KFV11" s="1202"/>
      <c r="KFW11" s="1202"/>
      <c r="KFX11" s="1202"/>
      <c r="KFY11" s="1202"/>
      <c r="KFZ11" s="1202"/>
      <c r="KGA11" s="1202"/>
      <c r="KGB11" s="1202"/>
      <c r="KGC11" s="1202"/>
      <c r="KGD11" s="1202"/>
      <c r="KGE11" s="1202"/>
      <c r="KGF11" s="1202"/>
      <c r="KGG11" s="1202"/>
      <c r="KGH11" s="1202"/>
      <c r="KGI11" s="1202"/>
      <c r="KGJ11" s="1202"/>
      <c r="KGK11" s="1202"/>
      <c r="KGL11" s="1202"/>
      <c r="KGM11" s="1202"/>
      <c r="KGN11" s="1202"/>
      <c r="KGO11" s="1202"/>
      <c r="KGP11" s="1202"/>
      <c r="KGQ11" s="1202"/>
      <c r="KGR11" s="1202"/>
      <c r="KGS11" s="1202"/>
      <c r="KGT11" s="1202"/>
      <c r="KGU11" s="1202"/>
      <c r="KGV11" s="1202"/>
      <c r="KGW11" s="1202"/>
      <c r="KGX11" s="1202"/>
      <c r="KGY11" s="1202"/>
      <c r="KGZ11" s="1202"/>
      <c r="KHA11" s="1202"/>
      <c r="KHB11" s="1202"/>
      <c r="KHC11" s="1202"/>
      <c r="KHD11" s="1202"/>
      <c r="KHE11" s="1202"/>
      <c r="KHF11" s="1202"/>
      <c r="KHG11" s="1202"/>
      <c r="KHH11" s="1202"/>
      <c r="KHI11" s="1202"/>
      <c r="KHJ11" s="1202"/>
      <c r="KHK11" s="1202"/>
      <c r="KHL11" s="1202"/>
      <c r="KHM11" s="1202"/>
      <c r="KHN11" s="1202"/>
      <c r="KHO11" s="1202"/>
      <c r="KHP11" s="1202"/>
      <c r="KHQ11" s="1202"/>
      <c r="KHR11" s="1202"/>
      <c r="KHS11" s="1202"/>
      <c r="KHT11" s="1202"/>
      <c r="KHU11" s="1202"/>
      <c r="KHV11" s="1202"/>
      <c r="KHW11" s="1202"/>
      <c r="KHX11" s="1202"/>
      <c r="KHY11" s="1202"/>
      <c r="KHZ11" s="1202"/>
      <c r="KIA11" s="1202"/>
      <c r="KIB11" s="1202"/>
      <c r="KIC11" s="1202"/>
      <c r="KID11" s="1202"/>
      <c r="KIE11" s="1202"/>
      <c r="KIF11" s="1202"/>
      <c r="KIG11" s="1202"/>
      <c r="KIH11" s="1202"/>
      <c r="KII11" s="1202"/>
      <c r="KIJ11" s="1202"/>
      <c r="KIK11" s="1202"/>
      <c r="KIL11" s="1202"/>
      <c r="KIM11" s="1202"/>
      <c r="KIN11" s="1202"/>
      <c r="KIO11" s="1202"/>
      <c r="KIP11" s="1202"/>
      <c r="KIQ11" s="1202"/>
      <c r="KIR11" s="1202"/>
      <c r="KIS11" s="1202"/>
      <c r="KIT11" s="1202"/>
      <c r="KIU11" s="1202"/>
      <c r="KIV11" s="1202"/>
      <c r="KIW11" s="1202"/>
      <c r="KIX11" s="1202"/>
      <c r="KIY11" s="1202"/>
      <c r="KIZ11" s="1202"/>
      <c r="KJA11" s="1202"/>
      <c r="KJB11" s="1202"/>
      <c r="KJC11" s="1202"/>
      <c r="KJD11" s="1202"/>
      <c r="KJE11" s="1202"/>
      <c r="KJF11" s="1202"/>
      <c r="KJG11" s="1202"/>
      <c r="KJH11" s="1202"/>
      <c r="KJI11" s="1202"/>
      <c r="KJJ11" s="1202"/>
      <c r="KJK11" s="1202"/>
      <c r="KJL11" s="1202"/>
      <c r="KJM11" s="1202"/>
      <c r="KJN11" s="1202"/>
      <c r="KJO11" s="1202"/>
      <c r="KJP11" s="1202"/>
      <c r="KJQ11" s="1202"/>
      <c r="KJR11" s="1202"/>
      <c r="KJS11" s="1202"/>
      <c r="KJT11" s="1202"/>
      <c r="KJU11" s="1202"/>
      <c r="KJV11" s="1202"/>
      <c r="KJW11" s="1202"/>
      <c r="KJX11" s="1202"/>
      <c r="KJY11" s="1202"/>
      <c r="KJZ11" s="1202"/>
      <c r="KKA11" s="1202"/>
      <c r="KKB11" s="1202"/>
      <c r="KKC11" s="1202"/>
      <c r="KKD11" s="1202"/>
      <c r="KKE11" s="1202"/>
      <c r="KKF11" s="1202"/>
      <c r="KKG11" s="1202"/>
      <c r="KKH11" s="1202"/>
      <c r="KKI11" s="1202"/>
      <c r="KKJ11" s="1202"/>
      <c r="KKK11" s="1202"/>
      <c r="KKL11" s="1202"/>
      <c r="KKM11" s="1202"/>
      <c r="KKN11" s="1202"/>
      <c r="KKO11" s="1202"/>
      <c r="KKP11" s="1202"/>
      <c r="KKQ11" s="1202"/>
      <c r="KKR11" s="1202"/>
      <c r="KKS11" s="1202"/>
      <c r="KKT11" s="1202"/>
      <c r="KKU11" s="1202"/>
      <c r="KKV11" s="1202"/>
      <c r="KKW11" s="1202"/>
      <c r="KKX11" s="1202"/>
      <c r="KKY11" s="1202"/>
      <c r="KKZ11" s="1202"/>
      <c r="KLA11" s="1202"/>
      <c r="KLB11" s="1202"/>
      <c r="KLC11" s="1202"/>
      <c r="KLD11" s="1202"/>
      <c r="KLE11" s="1202"/>
      <c r="KLF11" s="1202"/>
      <c r="KLG11" s="1202"/>
      <c r="KLH11" s="1202"/>
      <c r="KLI11" s="1202"/>
      <c r="KLJ11" s="1202"/>
      <c r="KLK11" s="1202"/>
      <c r="KLL11" s="1202"/>
      <c r="KLM11" s="1202"/>
      <c r="KLN11" s="1202"/>
      <c r="KLO11" s="1202"/>
      <c r="KLP11" s="1202"/>
      <c r="KLQ11" s="1202"/>
      <c r="KLR11" s="1202"/>
      <c r="KLS11" s="1202"/>
      <c r="KLT11" s="1202"/>
      <c r="KLU11" s="1202"/>
      <c r="KLV11" s="1202"/>
      <c r="KLW11" s="1202"/>
      <c r="KLX11" s="1202"/>
      <c r="KLY11" s="1202"/>
      <c r="KLZ11" s="1202"/>
      <c r="KMA11" s="1202"/>
      <c r="KMB11" s="1202"/>
      <c r="KMC11" s="1202"/>
      <c r="KMD11" s="1202"/>
      <c r="KME11" s="1202"/>
      <c r="KMF11" s="1202"/>
      <c r="KMG11" s="1202"/>
      <c r="KMH11" s="1202"/>
      <c r="KMI11" s="1202"/>
      <c r="KMJ11" s="1202"/>
      <c r="KMK11" s="1202"/>
      <c r="KML11" s="1202"/>
      <c r="KMM11" s="1202"/>
      <c r="KMN11" s="1202"/>
      <c r="KMO11" s="1202"/>
      <c r="KMP11" s="1202"/>
      <c r="KMQ11" s="1202"/>
      <c r="KMR11" s="1202"/>
      <c r="KMS11" s="1202"/>
      <c r="KMT11" s="1202"/>
      <c r="KMU11" s="1202"/>
      <c r="KMV11" s="1202"/>
      <c r="KMW11" s="1202"/>
      <c r="KMX11" s="1202"/>
      <c r="KMY11" s="1202"/>
      <c r="KMZ11" s="1202"/>
      <c r="KNA11" s="1202"/>
      <c r="KNB11" s="1202"/>
      <c r="KNC11" s="1202"/>
      <c r="KND11" s="1202"/>
      <c r="KNE11" s="1202"/>
      <c r="KNF11" s="1202"/>
      <c r="KNG11" s="1202"/>
      <c r="KNH11" s="1202"/>
      <c r="KNI11" s="1202"/>
      <c r="KNJ11" s="1202"/>
      <c r="KNK11" s="1202"/>
      <c r="KNL11" s="1202"/>
      <c r="KNM11" s="1202"/>
      <c r="KNN11" s="1202"/>
      <c r="KNO11" s="1202"/>
      <c r="KNP11" s="1202"/>
      <c r="KNQ11" s="1202"/>
      <c r="KNR11" s="1202"/>
      <c r="KNS11" s="1202"/>
      <c r="KNT11" s="1202"/>
      <c r="KNU11" s="1202"/>
      <c r="KNV11" s="1202"/>
      <c r="KNW11" s="1202"/>
      <c r="KNX11" s="1202"/>
      <c r="KNY11" s="1202"/>
      <c r="KNZ11" s="1202"/>
      <c r="KOA11" s="1202"/>
      <c r="KOB11" s="1202"/>
      <c r="KOC11" s="1202"/>
      <c r="KOD11" s="1202"/>
      <c r="KOE11" s="1202"/>
      <c r="KOF11" s="1202"/>
      <c r="KOG11" s="1202"/>
      <c r="KOH11" s="1202"/>
      <c r="KOI11" s="1202"/>
      <c r="KOJ11" s="1202"/>
      <c r="KOK11" s="1202"/>
      <c r="KOL11" s="1202"/>
      <c r="KOM11" s="1202"/>
      <c r="KON11" s="1202"/>
      <c r="KOO11" s="1202"/>
      <c r="KOP11" s="1202"/>
      <c r="KOQ11" s="1202"/>
      <c r="KOR11" s="1202"/>
      <c r="KOS11" s="1202"/>
      <c r="KOT11" s="1202"/>
      <c r="KOU11" s="1202"/>
      <c r="KOV11" s="1202"/>
      <c r="KOW11" s="1202"/>
      <c r="KOX11" s="1202"/>
      <c r="KOY11" s="1202"/>
      <c r="KOZ11" s="1202"/>
      <c r="KPA11" s="1202"/>
      <c r="KPB11" s="1202"/>
      <c r="KPC11" s="1202"/>
      <c r="KPD11" s="1202"/>
      <c r="KPE11" s="1202"/>
      <c r="KPF11" s="1202"/>
      <c r="KPG11" s="1202"/>
      <c r="KPH11" s="1202"/>
      <c r="KPI11" s="1202"/>
      <c r="KPJ11" s="1202"/>
      <c r="KPK11" s="1202"/>
      <c r="KPL11" s="1202"/>
      <c r="KPM11" s="1202"/>
      <c r="KPN11" s="1202"/>
      <c r="KPO11" s="1202"/>
      <c r="KPP11" s="1202"/>
      <c r="KPQ11" s="1202"/>
      <c r="KPR11" s="1202"/>
      <c r="KPS11" s="1202"/>
      <c r="KPT11" s="1202"/>
      <c r="KPU11" s="1202"/>
      <c r="KPV11" s="1202"/>
      <c r="KPW11" s="1202"/>
      <c r="KPX11" s="1202"/>
      <c r="KPY11" s="1202"/>
      <c r="KPZ11" s="1202"/>
      <c r="KQA11" s="1202"/>
      <c r="KQB11" s="1202"/>
      <c r="KQC11" s="1202"/>
      <c r="KQD11" s="1202"/>
      <c r="KQE11" s="1202"/>
      <c r="KQF11" s="1202"/>
      <c r="KQG11" s="1202"/>
      <c r="KQH11" s="1202"/>
      <c r="KQI11" s="1202"/>
      <c r="KQJ11" s="1202"/>
      <c r="KQK11" s="1202"/>
      <c r="KQL11" s="1202"/>
      <c r="KQM11" s="1202"/>
      <c r="KQN11" s="1202"/>
      <c r="KQO11" s="1202"/>
      <c r="KQP11" s="1202"/>
      <c r="KQQ11" s="1202"/>
      <c r="KQR11" s="1202"/>
      <c r="KQS11" s="1202"/>
      <c r="KQT11" s="1202"/>
      <c r="KQU11" s="1202"/>
      <c r="KQV11" s="1202"/>
      <c r="KQW11" s="1202"/>
      <c r="KQX11" s="1202"/>
      <c r="KQY11" s="1202"/>
      <c r="KQZ11" s="1202"/>
      <c r="KRA11" s="1202"/>
      <c r="KRB11" s="1202"/>
      <c r="KRC11" s="1202"/>
      <c r="KRD11" s="1202"/>
      <c r="KRE11" s="1202"/>
      <c r="KRF11" s="1202"/>
      <c r="KRG11" s="1202"/>
      <c r="KRH11" s="1202"/>
      <c r="KRI11" s="1202"/>
      <c r="KRJ11" s="1202"/>
      <c r="KRK11" s="1202"/>
      <c r="KRL11" s="1202"/>
      <c r="KRM11" s="1202"/>
      <c r="KRN11" s="1202"/>
      <c r="KRO11" s="1202"/>
      <c r="KRP11" s="1202"/>
      <c r="KRQ11" s="1202"/>
      <c r="KRR11" s="1202"/>
      <c r="KRS11" s="1202"/>
      <c r="KRT11" s="1202"/>
      <c r="KRU11" s="1202"/>
      <c r="KRV11" s="1202"/>
      <c r="KRW11" s="1202"/>
      <c r="KRX11" s="1202"/>
      <c r="KRY11" s="1202"/>
      <c r="KRZ11" s="1202"/>
      <c r="KSA11" s="1202"/>
      <c r="KSB11" s="1202"/>
      <c r="KSC11" s="1202"/>
      <c r="KSD11" s="1202"/>
      <c r="KSE11" s="1202"/>
      <c r="KSF11" s="1202"/>
      <c r="KSG11" s="1202"/>
      <c r="KSH11" s="1202"/>
      <c r="KSI11" s="1202"/>
      <c r="KSJ11" s="1202"/>
      <c r="KSK11" s="1202"/>
      <c r="KSL11" s="1202"/>
      <c r="KSM11" s="1202"/>
      <c r="KSN11" s="1202"/>
      <c r="KSO11" s="1202"/>
      <c r="KSP11" s="1202"/>
      <c r="KSQ11" s="1202"/>
      <c r="KSR11" s="1202"/>
      <c r="KSS11" s="1202"/>
      <c r="KST11" s="1202"/>
      <c r="KSU11" s="1202"/>
      <c r="KSV11" s="1202"/>
      <c r="KSW11" s="1202"/>
      <c r="KSX11" s="1202"/>
      <c r="KSY11" s="1202"/>
      <c r="KSZ11" s="1202"/>
      <c r="KTA11" s="1202"/>
      <c r="KTB11" s="1202"/>
      <c r="KTC11" s="1202"/>
      <c r="KTD11" s="1202"/>
      <c r="KTE11" s="1202"/>
      <c r="KTF11" s="1202"/>
      <c r="KTG11" s="1202"/>
      <c r="KTH11" s="1202"/>
      <c r="KTI11" s="1202"/>
      <c r="KTJ11" s="1202"/>
      <c r="KTK11" s="1202"/>
      <c r="KTL11" s="1202"/>
      <c r="KTM11" s="1202"/>
      <c r="KTN11" s="1202"/>
      <c r="KTO11" s="1202"/>
      <c r="KTP11" s="1202"/>
      <c r="KTQ11" s="1202"/>
      <c r="KTR11" s="1202"/>
      <c r="KTS11" s="1202"/>
      <c r="KTT11" s="1202"/>
      <c r="KTU11" s="1202"/>
      <c r="KTV11" s="1202"/>
      <c r="KTW11" s="1202"/>
      <c r="KTX11" s="1202"/>
      <c r="KTY11" s="1202"/>
      <c r="KTZ11" s="1202"/>
      <c r="KUA11" s="1202"/>
      <c r="KUB11" s="1202"/>
      <c r="KUC11" s="1202"/>
      <c r="KUD11" s="1202"/>
      <c r="KUE11" s="1202"/>
      <c r="KUF11" s="1202"/>
      <c r="KUG11" s="1202"/>
      <c r="KUH11" s="1202"/>
      <c r="KUI11" s="1202"/>
      <c r="KUJ11" s="1202"/>
      <c r="KUK11" s="1202"/>
      <c r="KUL11" s="1202"/>
      <c r="KUM11" s="1202"/>
      <c r="KUN11" s="1202"/>
      <c r="KUO11" s="1202"/>
      <c r="KUP11" s="1202"/>
      <c r="KUQ11" s="1202"/>
      <c r="KUR11" s="1202"/>
      <c r="KUS11" s="1202"/>
      <c r="KUT11" s="1202"/>
      <c r="KUU11" s="1202"/>
      <c r="KUV11" s="1202"/>
      <c r="KUW11" s="1202"/>
      <c r="KUX11" s="1202"/>
      <c r="KUY11" s="1202"/>
      <c r="KUZ11" s="1202"/>
      <c r="KVA11" s="1202"/>
      <c r="KVB11" s="1202"/>
      <c r="KVC11" s="1202"/>
      <c r="KVD11" s="1202"/>
      <c r="KVE11" s="1202"/>
      <c r="KVF11" s="1202"/>
      <c r="KVG11" s="1202"/>
      <c r="KVH11" s="1202"/>
      <c r="KVI11" s="1202"/>
      <c r="KVJ11" s="1202"/>
      <c r="KVK11" s="1202"/>
      <c r="KVL11" s="1202"/>
      <c r="KVM11" s="1202"/>
      <c r="KVN11" s="1202"/>
      <c r="KVO11" s="1202"/>
      <c r="KVP11" s="1202"/>
      <c r="KVQ11" s="1202"/>
      <c r="KVR11" s="1202"/>
      <c r="KVS11" s="1202"/>
      <c r="KVT11" s="1202"/>
      <c r="KVU11" s="1202"/>
      <c r="KVV11" s="1202"/>
      <c r="KVW11" s="1202"/>
      <c r="KVX11" s="1202"/>
      <c r="KVY11" s="1202"/>
      <c r="KVZ11" s="1202"/>
      <c r="KWA11" s="1202"/>
      <c r="KWB11" s="1202"/>
      <c r="KWC11" s="1202"/>
      <c r="KWD11" s="1202"/>
      <c r="KWE11" s="1202"/>
      <c r="KWF11" s="1202"/>
      <c r="KWG11" s="1202"/>
      <c r="KWH11" s="1202"/>
      <c r="KWI11" s="1202"/>
      <c r="KWJ11" s="1202"/>
      <c r="KWK11" s="1202"/>
      <c r="KWL11" s="1202"/>
      <c r="KWM11" s="1202"/>
      <c r="KWN11" s="1202"/>
      <c r="KWO11" s="1202"/>
      <c r="KWP11" s="1202"/>
      <c r="KWQ11" s="1202"/>
      <c r="KWR11" s="1202"/>
      <c r="KWS11" s="1202"/>
      <c r="KWT11" s="1202"/>
      <c r="KWU11" s="1202"/>
      <c r="KWV11" s="1202"/>
      <c r="KWW11" s="1202"/>
      <c r="KWX11" s="1202"/>
      <c r="KWY11" s="1202"/>
      <c r="KWZ11" s="1202"/>
      <c r="KXA11" s="1202"/>
      <c r="KXB11" s="1202"/>
      <c r="KXC11" s="1202"/>
      <c r="KXD11" s="1202"/>
      <c r="KXE11" s="1202"/>
      <c r="KXF11" s="1202"/>
      <c r="KXG11" s="1202"/>
      <c r="KXH11" s="1202"/>
      <c r="KXI11" s="1202"/>
      <c r="KXJ11" s="1202"/>
      <c r="KXK11" s="1202"/>
      <c r="KXL11" s="1202"/>
      <c r="KXM11" s="1202"/>
      <c r="KXN11" s="1202"/>
      <c r="KXO11" s="1202"/>
      <c r="KXP11" s="1202"/>
      <c r="KXQ11" s="1202"/>
      <c r="KXR11" s="1202"/>
      <c r="KXS11" s="1202"/>
      <c r="KXT11" s="1202"/>
      <c r="KXU11" s="1202"/>
      <c r="KXV11" s="1202"/>
      <c r="KXW11" s="1202"/>
      <c r="KXX11" s="1202"/>
      <c r="KXY11" s="1202"/>
      <c r="KXZ11" s="1202"/>
      <c r="KYA11" s="1202"/>
      <c r="KYB11" s="1202"/>
      <c r="KYC11" s="1202"/>
      <c r="KYD11" s="1202"/>
      <c r="KYE11" s="1202"/>
      <c r="KYF11" s="1202"/>
      <c r="KYG11" s="1202"/>
      <c r="KYH11" s="1202"/>
      <c r="KYI11" s="1202"/>
      <c r="KYJ11" s="1202"/>
      <c r="KYK11" s="1202"/>
      <c r="KYL11" s="1202"/>
      <c r="KYM11" s="1202"/>
      <c r="KYN11" s="1202"/>
      <c r="KYO11" s="1202"/>
      <c r="KYP11" s="1202"/>
      <c r="KYQ11" s="1202"/>
      <c r="KYR11" s="1202"/>
      <c r="KYS11" s="1202"/>
      <c r="KYT11" s="1202"/>
      <c r="KYU11" s="1202"/>
      <c r="KYV11" s="1202"/>
      <c r="KYW11" s="1202"/>
      <c r="KYX11" s="1202"/>
      <c r="KYY11" s="1202"/>
      <c r="KYZ11" s="1202"/>
      <c r="KZA11" s="1202"/>
      <c r="KZB11" s="1202"/>
      <c r="KZC11" s="1202"/>
      <c r="KZD11" s="1202"/>
      <c r="KZE11" s="1202"/>
      <c r="KZF11" s="1202"/>
      <c r="KZG11" s="1202"/>
      <c r="KZH11" s="1202"/>
      <c r="KZI11" s="1202"/>
      <c r="KZJ11" s="1202"/>
      <c r="KZK11" s="1202"/>
      <c r="KZL11" s="1202"/>
      <c r="KZM11" s="1202"/>
      <c r="KZN11" s="1202"/>
      <c r="KZO11" s="1202"/>
      <c r="KZP11" s="1202"/>
      <c r="KZQ11" s="1202"/>
      <c r="KZR11" s="1202"/>
      <c r="KZS11" s="1202"/>
      <c r="KZT11" s="1202"/>
      <c r="KZU11" s="1202"/>
      <c r="KZV11" s="1202"/>
      <c r="KZW11" s="1202"/>
      <c r="KZX11" s="1202"/>
      <c r="KZY11" s="1202"/>
      <c r="KZZ11" s="1202"/>
      <c r="LAA11" s="1202"/>
      <c r="LAB11" s="1202"/>
      <c r="LAC11" s="1202"/>
      <c r="LAD11" s="1202"/>
      <c r="LAE11" s="1202"/>
      <c r="LAF11" s="1202"/>
      <c r="LAG11" s="1202"/>
      <c r="LAH11" s="1202"/>
      <c r="LAI11" s="1202"/>
      <c r="LAJ11" s="1202"/>
      <c r="LAK11" s="1202"/>
      <c r="LAL11" s="1202"/>
      <c r="LAM11" s="1202"/>
      <c r="LAN11" s="1202"/>
      <c r="LAO11" s="1202"/>
      <c r="LAP11" s="1202"/>
      <c r="LAQ11" s="1202"/>
      <c r="LAR11" s="1202"/>
      <c r="LAS11" s="1202"/>
      <c r="LAT11" s="1202"/>
      <c r="LAU11" s="1202"/>
      <c r="LAV11" s="1202"/>
      <c r="LAW11" s="1202"/>
      <c r="LAX11" s="1202"/>
      <c r="LAY11" s="1202"/>
      <c r="LAZ11" s="1202"/>
      <c r="LBA11" s="1202"/>
      <c r="LBB11" s="1202"/>
      <c r="LBC11" s="1202"/>
      <c r="LBD11" s="1202"/>
      <c r="LBE11" s="1202"/>
      <c r="LBF11" s="1202"/>
      <c r="LBG11" s="1202"/>
      <c r="LBH11" s="1202"/>
      <c r="LBI11" s="1202"/>
      <c r="LBJ11" s="1202"/>
      <c r="LBK11" s="1202"/>
      <c r="LBL11" s="1202"/>
      <c r="LBM11" s="1202"/>
      <c r="LBN11" s="1202"/>
      <c r="LBO11" s="1202"/>
      <c r="LBP11" s="1202"/>
      <c r="LBQ11" s="1202"/>
      <c r="LBR11" s="1202"/>
      <c r="LBS11" s="1202"/>
      <c r="LBT11" s="1202"/>
      <c r="LBU11" s="1202"/>
      <c r="LBV11" s="1202"/>
      <c r="LBW11" s="1202"/>
      <c r="LBX11" s="1202"/>
      <c r="LBY11" s="1202"/>
      <c r="LBZ11" s="1202"/>
      <c r="LCA11" s="1202"/>
      <c r="LCB11" s="1202"/>
      <c r="LCC11" s="1202"/>
      <c r="LCD11" s="1202"/>
      <c r="LCE11" s="1202"/>
      <c r="LCF11" s="1202"/>
      <c r="LCG11" s="1202"/>
      <c r="LCH11" s="1202"/>
      <c r="LCI11" s="1202"/>
      <c r="LCJ11" s="1202"/>
      <c r="LCK11" s="1202"/>
      <c r="LCL11" s="1202"/>
      <c r="LCM11" s="1202"/>
      <c r="LCN11" s="1202"/>
      <c r="LCO11" s="1202"/>
      <c r="LCP11" s="1202"/>
      <c r="LCQ11" s="1202"/>
      <c r="LCR11" s="1202"/>
      <c r="LCS11" s="1202"/>
      <c r="LCT11" s="1202"/>
      <c r="LCU11" s="1202"/>
      <c r="LCV11" s="1202"/>
      <c r="LCW11" s="1202"/>
      <c r="LCX11" s="1202"/>
      <c r="LCY11" s="1202"/>
      <c r="LCZ11" s="1202"/>
      <c r="LDA11" s="1202"/>
      <c r="LDB11" s="1202"/>
      <c r="LDC11" s="1202"/>
      <c r="LDD11" s="1202"/>
      <c r="LDE11" s="1202"/>
      <c r="LDF11" s="1202"/>
      <c r="LDG11" s="1202"/>
      <c r="LDH11" s="1202"/>
      <c r="LDI11" s="1202"/>
      <c r="LDJ11" s="1202"/>
      <c r="LDK11" s="1202"/>
      <c r="LDL11" s="1202"/>
      <c r="LDM11" s="1202"/>
      <c r="LDN11" s="1202"/>
      <c r="LDO11" s="1202"/>
      <c r="LDP11" s="1202"/>
      <c r="LDQ11" s="1202"/>
      <c r="LDR11" s="1202"/>
      <c r="LDS11" s="1202"/>
      <c r="LDT11" s="1202"/>
      <c r="LDU11" s="1202"/>
      <c r="LDV11" s="1202"/>
      <c r="LDW11" s="1202"/>
      <c r="LDX11" s="1202"/>
      <c r="LDY11" s="1202"/>
      <c r="LDZ11" s="1202"/>
      <c r="LEA11" s="1202"/>
      <c r="LEB11" s="1202"/>
      <c r="LEC11" s="1202"/>
      <c r="LED11" s="1202"/>
      <c r="LEE11" s="1202"/>
      <c r="LEF11" s="1202"/>
      <c r="LEG11" s="1202"/>
      <c r="LEH11" s="1202"/>
      <c r="LEI11" s="1202"/>
      <c r="LEJ11" s="1202"/>
      <c r="LEK11" s="1202"/>
      <c r="LEL11" s="1202"/>
      <c r="LEM11" s="1202"/>
      <c r="LEN11" s="1202"/>
      <c r="LEO11" s="1202"/>
      <c r="LEP11" s="1202"/>
      <c r="LEQ11" s="1202"/>
      <c r="LER11" s="1202"/>
      <c r="LES11" s="1202"/>
      <c r="LET11" s="1202"/>
      <c r="LEU11" s="1202"/>
      <c r="LEV11" s="1202"/>
      <c r="LEW11" s="1202"/>
      <c r="LEX11" s="1202"/>
      <c r="LEY11" s="1202"/>
      <c r="LEZ11" s="1202"/>
      <c r="LFA11" s="1202"/>
      <c r="LFB11" s="1202"/>
      <c r="LFC11" s="1202"/>
      <c r="LFD11" s="1202"/>
      <c r="LFE11" s="1202"/>
      <c r="LFF11" s="1202"/>
      <c r="LFG11" s="1202"/>
      <c r="LFH11" s="1202"/>
      <c r="LFI11" s="1202"/>
      <c r="LFJ11" s="1202"/>
      <c r="LFK11" s="1202"/>
      <c r="LFL11" s="1202"/>
      <c r="LFM11" s="1202"/>
      <c r="LFN11" s="1202"/>
      <c r="LFO11" s="1202"/>
      <c r="LFP11" s="1202"/>
      <c r="LFQ11" s="1202"/>
      <c r="LFR11" s="1202"/>
      <c r="LFS11" s="1202"/>
      <c r="LFT11" s="1202"/>
      <c r="LFU11" s="1202"/>
      <c r="LFV11" s="1202"/>
      <c r="LFW11" s="1202"/>
      <c r="LFX11" s="1202"/>
      <c r="LFY11" s="1202"/>
      <c r="LFZ11" s="1202"/>
      <c r="LGA11" s="1202"/>
      <c r="LGB11" s="1202"/>
      <c r="LGC11" s="1202"/>
      <c r="LGD11" s="1202"/>
      <c r="LGE11" s="1202"/>
      <c r="LGF11" s="1202"/>
      <c r="LGG11" s="1202"/>
      <c r="LGH11" s="1202"/>
      <c r="LGI11" s="1202"/>
      <c r="LGJ11" s="1202"/>
      <c r="LGK11" s="1202"/>
      <c r="LGL11" s="1202"/>
      <c r="LGM11" s="1202"/>
      <c r="LGN11" s="1202"/>
      <c r="LGO11" s="1202"/>
      <c r="LGP11" s="1202"/>
      <c r="LGQ11" s="1202"/>
      <c r="LGR11" s="1202"/>
      <c r="LGS11" s="1202"/>
      <c r="LGT11" s="1202"/>
      <c r="LGU11" s="1202"/>
      <c r="LGV11" s="1202"/>
      <c r="LGW11" s="1202"/>
      <c r="LGX11" s="1202"/>
      <c r="LGY11" s="1202"/>
      <c r="LGZ11" s="1202"/>
      <c r="LHA11" s="1202"/>
      <c r="LHB11" s="1202"/>
      <c r="LHC11" s="1202"/>
      <c r="LHD11" s="1202"/>
      <c r="LHE11" s="1202"/>
      <c r="LHF11" s="1202"/>
      <c r="LHG11" s="1202"/>
      <c r="LHH11" s="1202"/>
      <c r="LHI11" s="1202"/>
      <c r="LHJ11" s="1202"/>
      <c r="LHK11" s="1202"/>
      <c r="LHL11" s="1202"/>
      <c r="LHM11" s="1202"/>
      <c r="LHN11" s="1202"/>
      <c r="LHO11" s="1202"/>
      <c r="LHP11" s="1202"/>
      <c r="LHQ11" s="1202"/>
      <c r="LHR11" s="1202"/>
      <c r="LHS11" s="1202"/>
      <c r="LHT11" s="1202"/>
      <c r="LHU11" s="1202"/>
      <c r="LHV11" s="1202"/>
      <c r="LHW11" s="1202"/>
      <c r="LHX11" s="1202"/>
      <c r="LHY11" s="1202"/>
      <c r="LHZ11" s="1202"/>
      <c r="LIA11" s="1202"/>
      <c r="LIB11" s="1202"/>
      <c r="LIC11" s="1202"/>
      <c r="LID11" s="1202"/>
      <c r="LIE11" s="1202"/>
      <c r="LIF11" s="1202"/>
      <c r="LIG11" s="1202"/>
      <c r="LIH11" s="1202"/>
      <c r="LII11" s="1202"/>
      <c r="LIJ11" s="1202"/>
      <c r="LIK11" s="1202"/>
      <c r="LIL11" s="1202"/>
      <c r="LIM11" s="1202"/>
      <c r="LIN11" s="1202"/>
      <c r="LIO11" s="1202"/>
      <c r="LIP11" s="1202"/>
      <c r="LIQ11" s="1202"/>
      <c r="LIR11" s="1202"/>
      <c r="LIS11" s="1202"/>
      <c r="LIT11" s="1202"/>
      <c r="LIU11" s="1202"/>
      <c r="LIV11" s="1202"/>
      <c r="LIW11" s="1202"/>
      <c r="LIX11" s="1202"/>
      <c r="LIY11" s="1202"/>
      <c r="LIZ11" s="1202"/>
      <c r="LJA11" s="1202"/>
      <c r="LJB11" s="1202"/>
      <c r="LJC11" s="1202"/>
      <c r="LJD11" s="1202"/>
      <c r="LJE11" s="1202"/>
      <c r="LJF11" s="1202"/>
      <c r="LJG11" s="1202"/>
      <c r="LJH11" s="1202"/>
      <c r="LJI11" s="1202"/>
      <c r="LJJ11" s="1202"/>
      <c r="LJK11" s="1202"/>
      <c r="LJL11" s="1202"/>
      <c r="LJM11" s="1202"/>
      <c r="LJN11" s="1202"/>
      <c r="LJO11" s="1202"/>
      <c r="LJP11" s="1202"/>
      <c r="LJQ11" s="1202"/>
      <c r="LJR11" s="1202"/>
      <c r="LJS11" s="1202"/>
      <c r="LJT11" s="1202"/>
      <c r="LJU11" s="1202"/>
      <c r="LJV11" s="1202"/>
      <c r="LJW11" s="1202"/>
      <c r="LJX11" s="1202"/>
      <c r="LJY11" s="1202"/>
      <c r="LJZ11" s="1202"/>
      <c r="LKA11" s="1202"/>
      <c r="LKB11" s="1202"/>
      <c r="LKC11" s="1202"/>
      <c r="LKD11" s="1202"/>
      <c r="LKE11" s="1202"/>
      <c r="LKF11" s="1202"/>
      <c r="LKG11" s="1202"/>
      <c r="LKH11" s="1202"/>
      <c r="LKI11" s="1202"/>
      <c r="LKJ11" s="1202"/>
      <c r="LKK11" s="1202"/>
      <c r="LKL11" s="1202"/>
      <c r="LKM11" s="1202"/>
      <c r="LKN11" s="1202"/>
      <c r="LKO11" s="1202"/>
      <c r="LKP11" s="1202"/>
      <c r="LKQ11" s="1202"/>
      <c r="LKR11" s="1202"/>
      <c r="LKS11" s="1202"/>
      <c r="LKT11" s="1202"/>
      <c r="LKU11" s="1202"/>
      <c r="LKV11" s="1202"/>
      <c r="LKW11" s="1202"/>
      <c r="LKX11" s="1202"/>
      <c r="LKY11" s="1202"/>
      <c r="LKZ11" s="1202"/>
      <c r="LLA11" s="1202"/>
      <c r="LLB11" s="1202"/>
      <c r="LLC11" s="1202"/>
      <c r="LLD11" s="1202"/>
      <c r="LLE11" s="1202"/>
      <c r="LLF11" s="1202"/>
      <c r="LLG11" s="1202"/>
      <c r="LLH11" s="1202"/>
      <c r="LLI11" s="1202"/>
      <c r="LLJ11" s="1202"/>
      <c r="LLK11" s="1202"/>
      <c r="LLL11" s="1202"/>
      <c r="LLM11" s="1202"/>
      <c r="LLN11" s="1202"/>
      <c r="LLO11" s="1202"/>
      <c r="LLP11" s="1202"/>
      <c r="LLQ11" s="1202"/>
      <c r="LLR11" s="1202"/>
      <c r="LLS11" s="1202"/>
      <c r="LLT11" s="1202"/>
      <c r="LLU11" s="1202"/>
      <c r="LLV11" s="1202"/>
      <c r="LLW11" s="1202"/>
      <c r="LLX11" s="1202"/>
      <c r="LLY11" s="1202"/>
      <c r="LLZ11" s="1202"/>
      <c r="LMA11" s="1202"/>
      <c r="LMB11" s="1202"/>
      <c r="LMC11" s="1202"/>
      <c r="LMD11" s="1202"/>
      <c r="LME11" s="1202"/>
      <c r="LMF11" s="1202"/>
      <c r="LMG11" s="1202"/>
      <c r="LMH11" s="1202"/>
      <c r="LMI11" s="1202"/>
      <c r="LMJ11" s="1202"/>
      <c r="LMK11" s="1202"/>
      <c r="LML11" s="1202"/>
      <c r="LMM11" s="1202"/>
      <c r="LMN11" s="1202"/>
      <c r="LMO11" s="1202"/>
      <c r="LMP11" s="1202"/>
      <c r="LMQ11" s="1202"/>
      <c r="LMR11" s="1202"/>
      <c r="LMS11" s="1202"/>
      <c r="LMT11" s="1202"/>
      <c r="LMU11" s="1202"/>
      <c r="LMV11" s="1202"/>
      <c r="LMW11" s="1202"/>
      <c r="LMX11" s="1202"/>
      <c r="LMY11" s="1202"/>
      <c r="LMZ11" s="1202"/>
      <c r="LNA11" s="1202"/>
      <c r="LNB11" s="1202"/>
      <c r="LNC11" s="1202"/>
      <c r="LND11" s="1202"/>
      <c r="LNE11" s="1202"/>
      <c r="LNF11" s="1202"/>
      <c r="LNG11" s="1202"/>
      <c r="LNH11" s="1202"/>
      <c r="LNI11" s="1202"/>
      <c r="LNJ11" s="1202"/>
      <c r="LNK11" s="1202"/>
      <c r="LNL11" s="1202"/>
      <c r="LNM11" s="1202"/>
      <c r="LNN11" s="1202"/>
      <c r="LNO11" s="1202"/>
      <c r="LNP11" s="1202"/>
      <c r="LNQ11" s="1202"/>
      <c r="LNR11" s="1202"/>
      <c r="LNS11" s="1202"/>
      <c r="LNT11" s="1202"/>
      <c r="LNU11" s="1202"/>
      <c r="LNV11" s="1202"/>
      <c r="LNW11" s="1202"/>
      <c r="LNX11" s="1202"/>
      <c r="LNY11" s="1202"/>
      <c r="LNZ11" s="1202"/>
      <c r="LOA11" s="1202"/>
      <c r="LOB11" s="1202"/>
      <c r="LOC11" s="1202"/>
      <c r="LOD11" s="1202"/>
      <c r="LOE11" s="1202"/>
      <c r="LOF11" s="1202"/>
      <c r="LOG11" s="1202"/>
      <c r="LOH11" s="1202"/>
      <c r="LOI11" s="1202"/>
      <c r="LOJ11" s="1202"/>
      <c r="LOK11" s="1202"/>
      <c r="LOL11" s="1202"/>
      <c r="LOM11" s="1202"/>
      <c r="LON11" s="1202"/>
      <c r="LOO11" s="1202"/>
      <c r="LOP11" s="1202"/>
      <c r="LOQ11" s="1202"/>
      <c r="LOR11" s="1202"/>
      <c r="LOS11" s="1202"/>
      <c r="LOT11" s="1202"/>
      <c r="LOU11" s="1202"/>
      <c r="LOV11" s="1202"/>
      <c r="LOW11" s="1202"/>
      <c r="LOX11" s="1202"/>
      <c r="LOY11" s="1202"/>
      <c r="LOZ11" s="1202"/>
      <c r="LPA11" s="1202"/>
      <c r="LPB11" s="1202"/>
      <c r="LPC11" s="1202"/>
      <c r="LPD11" s="1202"/>
      <c r="LPE11" s="1202"/>
      <c r="LPF11" s="1202"/>
      <c r="LPG11" s="1202"/>
      <c r="LPH11" s="1202"/>
      <c r="LPI11" s="1202"/>
      <c r="LPJ11" s="1202"/>
      <c r="LPK11" s="1202"/>
      <c r="LPL11" s="1202"/>
      <c r="LPM11" s="1202"/>
      <c r="LPN11" s="1202"/>
      <c r="LPO11" s="1202"/>
      <c r="LPP11" s="1202"/>
      <c r="LPQ11" s="1202"/>
      <c r="LPR11" s="1202"/>
      <c r="LPS11" s="1202"/>
      <c r="LPT11" s="1202"/>
      <c r="LPU11" s="1202"/>
      <c r="LPV11" s="1202"/>
      <c r="LPW11" s="1202"/>
      <c r="LPX11" s="1202"/>
      <c r="LPY11" s="1202"/>
      <c r="LPZ11" s="1202"/>
      <c r="LQA11" s="1202"/>
      <c r="LQB11" s="1202"/>
      <c r="LQC11" s="1202"/>
      <c r="LQD11" s="1202"/>
      <c r="LQE11" s="1202"/>
      <c r="LQF11" s="1202"/>
      <c r="LQG11" s="1202"/>
      <c r="LQH11" s="1202"/>
      <c r="LQI11" s="1202"/>
      <c r="LQJ11" s="1202"/>
      <c r="LQK11" s="1202"/>
      <c r="LQL11" s="1202"/>
      <c r="LQM11" s="1202"/>
      <c r="LQN11" s="1202"/>
      <c r="LQO11" s="1202"/>
      <c r="LQP11" s="1202"/>
      <c r="LQQ11" s="1202"/>
      <c r="LQR11" s="1202"/>
      <c r="LQS11" s="1202"/>
      <c r="LQT11" s="1202"/>
      <c r="LQU11" s="1202"/>
      <c r="LQV11" s="1202"/>
      <c r="LQW11" s="1202"/>
      <c r="LQX11" s="1202"/>
      <c r="LQY11" s="1202"/>
      <c r="LQZ11" s="1202"/>
      <c r="LRA11" s="1202"/>
      <c r="LRB11" s="1202"/>
      <c r="LRC11" s="1202"/>
      <c r="LRD11" s="1202"/>
      <c r="LRE11" s="1202"/>
      <c r="LRF11" s="1202"/>
      <c r="LRG11" s="1202"/>
      <c r="LRH11" s="1202"/>
      <c r="LRI11" s="1202"/>
      <c r="LRJ11" s="1202"/>
      <c r="LRK11" s="1202"/>
      <c r="LRL11" s="1202"/>
      <c r="LRM11" s="1202"/>
      <c r="LRN11" s="1202"/>
      <c r="LRO11" s="1202"/>
      <c r="LRP11" s="1202"/>
      <c r="LRQ11" s="1202"/>
      <c r="LRR11" s="1202"/>
      <c r="LRS11" s="1202"/>
      <c r="LRT11" s="1202"/>
      <c r="LRU11" s="1202"/>
      <c r="LRV11" s="1202"/>
      <c r="LRW11" s="1202"/>
      <c r="LRX11" s="1202"/>
      <c r="LRY11" s="1202"/>
      <c r="LRZ11" s="1202"/>
      <c r="LSA11" s="1202"/>
      <c r="LSB11" s="1202"/>
      <c r="LSC11" s="1202"/>
      <c r="LSD11" s="1202"/>
      <c r="LSE11" s="1202"/>
      <c r="LSF11" s="1202"/>
      <c r="LSG11" s="1202"/>
      <c r="LSH11" s="1202"/>
      <c r="LSI11" s="1202"/>
      <c r="LSJ11" s="1202"/>
      <c r="LSK11" s="1202"/>
      <c r="LSL11" s="1202"/>
      <c r="LSM11" s="1202"/>
      <c r="LSN11" s="1202"/>
      <c r="LSO11" s="1202"/>
      <c r="LSP11" s="1202"/>
      <c r="LSQ11" s="1202"/>
      <c r="LSR11" s="1202"/>
      <c r="LSS11" s="1202"/>
      <c r="LST11" s="1202"/>
      <c r="LSU11" s="1202"/>
      <c r="LSV11" s="1202"/>
      <c r="LSW11" s="1202"/>
      <c r="LSX11" s="1202"/>
      <c r="LSY11" s="1202"/>
      <c r="LSZ11" s="1202"/>
      <c r="LTA11" s="1202"/>
      <c r="LTB11" s="1202"/>
      <c r="LTC11" s="1202"/>
      <c r="LTD11" s="1202"/>
      <c r="LTE11" s="1202"/>
      <c r="LTF11" s="1202"/>
      <c r="LTG11" s="1202"/>
      <c r="LTH11" s="1202"/>
      <c r="LTI11" s="1202"/>
      <c r="LTJ11" s="1202"/>
      <c r="LTK11" s="1202"/>
      <c r="LTL11" s="1202"/>
      <c r="LTM11" s="1202"/>
      <c r="LTN11" s="1202"/>
      <c r="LTO11" s="1202"/>
      <c r="LTP11" s="1202"/>
      <c r="LTQ11" s="1202"/>
      <c r="LTR11" s="1202"/>
      <c r="LTS11" s="1202"/>
      <c r="LTT11" s="1202"/>
      <c r="LTU11" s="1202"/>
      <c r="LTV11" s="1202"/>
      <c r="LTW11" s="1202"/>
      <c r="LTX11" s="1202"/>
      <c r="LTY11" s="1202"/>
      <c r="LTZ11" s="1202"/>
      <c r="LUA11" s="1202"/>
      <c r="LUB11" s="1202"/>
      <c r="LUC11" s="1202"/>
      <c r="LUD11" s="1202"/>
      <c r="LUE11" s="1202"/>
      <c r="LUF11" s="1202"/>
      <c r="LUG11" s="1202"/>
      <c r="LUH11" s="1202"/>
      <c r="LUI11" s="1202"/>
      <c r="LUJ11" s="1202"/>
      <c r="LUK11" s="1202"/>
      <c r="LUL11" s="1202"/>
      <c r="LUM11" s="1202"/>
      <c r="LUN11" s="1202"/>
      <c r="LUO11" s="1202"/>
      <c r="LUP11" s="1202"/>
      <c r="LUQ11" s="1202"/>
      <c r="LUR11" s="1202"/>
      <c r="LUS11" s="1202"/>
      <c r="LUT11" s="1202"/>
      <c r="LUU11" s="1202"/>
      <c r="LUV11" s="1202"/>
      <c r="LUW11" s="1202"/>
      <c r="LUX11" s="1202"/>
      <c r="LUY11" s="1202"/>
      <c r="LUZ11" s="1202"/>
      <c r="LVA11" s="1202"/>
      <c r="LVB11" s="1202"/>
      <c r="LVC11" s="1202"/>
      <c r="LVD11" s="1202"/>
      <c r="LVE11" s="1202"/>
      <c r="LVF11" s="1202"/>
      <c r="LVG11" s="1202"/>
      <c r="LVH11" s="1202"/>
      <c r="LVI11" s="1202"/>
      <c r="LVJ11" s="1202"/>
      <c r="LVK11" s="1202"/>
      <c r="LVL11" s="1202"/>
      <c r="LVM11" s="1202"/>
      <c r="LVN11" s="1202"/>
      <c r="LVO11" s="1202"/>
      <c r="LVP11" s="1202"/>
      <c r="LVQ11" s="1202"/>
      <c r="LVR11" s="1202"/>
      <c r="LVS11" s="1202"/>
      <c r="LVT11" s="1202"/>
      <c r="LVU11" s="1202"/>
      <c r="LVV11" s="1202"/>
      <c r="LVW11" s="1202"/>
      <c r="LVX11" s="1202"/>
      <c r="LVY11" s="1202"/>
      <c r="LVZ11" s="1202"/>
      <c r="LWA11" s="1202"/>
      <c r="LWB11" s="1202"/>
      <c r="LWC11" s="1202"/>
      <c r="LWD11" s="1202"/>
      <c r="LWE11" s="1202"/>
      <c r="LWF11" s="1202"/>
      <c r="LWG11" s="1202"/>
      <c r="LWH11" s="1202"/>
      <c r="LWI11" s="1202"/>
      <c r="LWJ11" s="1202"/>
      <c r="LWK11" s="1202"/>
      <c r="LWL11" s="1202"/>
      <c r="LWM11" s="1202"/>
      <c r="LWN11" s="1202"/>
      <c r="LWO11" s="1202"/>
      <c r="LWP11" s="1202"/>
      <c r="LWQ11" s="1202"/>
      <c r="LWR11" s="1202"/>
      <c r="LWS11" s="1202"/>
      <c r="LWT11" s="1202"/>
      <c r="LWU11" s="1202"/>
      <c r="LWV11" s="1202"/>
      <c r="LWW11" s="1202"/>
      <c r="LWX11" s="1202"/>
      <c r="LWY11" s="1202"/>
      <c r="LWZ11" s="1202"/>
      <c r="LXA11" s="1202"/>
      <c r="LXB11" s="1202"/>
      <c r="LXC11" s="1202"/>
      <c r="LXD11" s="1202"/>
      <c r="LXE11" s="1202"/>
      <c r="LXF11" s="1202"/>
      <c r="LXG11" s="1202"/>
      <c r="LXH11" s="1202"/>
      <c r="LXI11" s="1202"/>
      <c r="LXJ11" s="1202"/>
      <c r="LXK11" s="1202"/>
      <c r="LXL11" s="1202"/>
      <c r="LXM11" s="1202"/>
      <c r="LXN11" s="1202"/>
      <c r="LXO11" s="1202"/>
      <c r="LXP11" s="1202"/>
      <c r="LXQ11" s="1202"/>
      <c r="LXR11" s="1202"/>
      <c r="LXS11" s="1202"/>
      <c r="LXT11" s="1202"/>
      <c r="LXU11" s="1202"/>
      <c r="LXV11" s="1202"/>
      <c r="LXW11" s="1202"/>
      <c r="LXX11" s="1202"/>
      <c r="LXY11" s="1202"/>
      <c r="LXZ11" s="1202"/>
      <c r="LYA11" s="1202"/>
      <c r="LYB11" s="1202"/>
      <c r="LYC11" s="1202"/>
      <c r="LYD11" s="1202"/>
      <c r="LYE11" s="1202"/>
      <c r="LYF11" s="1202"/>
      <c r="LYG11" s="1202"/>
      <c r="LYH11" s="1202"/>
      <c r="LYI11" s="1202"/>
      <c r="LYJ11" s="1202"/>
      <c r="LYK11" s="1202"/>
      <c r="LYL11" s="1202"/>
      <c r="LYM11" s="1202"/>
      <c r="LYN11" s="1202"/>
      <c r="LYO11" s="1202"/>
      <c r="LYP11" s="1202"/>
      <c r="LYQ11" s="1202"/>
      <c r="LYR11" s="1202"/>
      <c r="LYS11" s="1202"/>
      <c r="LYT11" s="1202"/>
      <c r="LYU11" s="1202"/>
      <c r="LYV11" s="1202"/>
      <c r="LYW11" s="1202"/>
      <c r="LYX11" s="1202"/>
      <c r="LYY11" s="1202"/>
      <c r="LYZ11" s="1202"/>
      <c r="LZA11" s="1202"/>
      <c r="LZB11" s="1202"/>
      <c r="LZC11" s="1202"/>
      <c r="LZD11" s="1202"/>
      <c r="LZE11" s="1202"/>
      <c r="LZF11" s="1202"/>
      <c r="LZG11" s="1202"/>
      <c r="LZH11" s="1202"/>
      <c r="LZI11" s="1202"/>
      <c r="LZJ11" s="1202"/>
      <c r="LZK11" s="1202"/>
      <c r="LZL11" s="1202"/>
      <c r="LZM11" s="1202"/>
      <c r="LZN11" s="1202"/>
      <c r="LZO11" s="1202"/>
      <c r="LZP11" s="1202"/>
      <c r="LZQ11" s="1202"/>
      <c r="LZR11" s="1202"/>
      <c r="LZS11" s="1202"/>
      <c r="LZT11" s="1202"/>
      <c r="LZU11" s="1202"/>
      <c r="LZV11" s="1202"/>
      <c r="LZW11" s="1202"/>
      <c r="LZX11" s="1202"/>
      <c r="LZY11" s="1202"/>
      <c r="LZZ11" s="1202"/>
      <c r="MAA11" s="1202"/>
      <c r="MAB11" s="1202"/>
      <c r="MAC11" s="1202"/>
      <c r="MAD11" s="1202"/>
      <c r="MAE11" s="1202"/>
      <c r="MAF11" s="1202"/>
      <c r="MAG11" s="1202"/>
      <c r="MAH11" s="1202"/>
      <c r="MAI11" s="1202"/>
      <c r="MAJ11" s="1202"/>
      <c r="MAK11" s="1202"/>
      <c r="MAL11" s="1202"/>
      <c r="MAM11" s="1202"/>
      <c r="MAN11" s="1202"/>
      <c r="MAO11" s="1202"/>
      <c r="MAP11" s="1202"/>
      <c r="MAQ11" s="1202"/>
      <c r="MAR11" s="1202"/>
      <c r="MAS11" s="1202"/>
      <c r="MAT11" s="1202"/>
      <c r="MAU11" s="1202"/>
      <c r="MAV11" s="1202"/>
      <c r="MAW11" s="1202"/>
      <c r="MAX11" s="1202"/>
      <c r="MAY11" s="1202"/>
      <c r="MAZ11" s="1202"/>
      <c r="MBA11" s="1202"/>
      <c r="MBB11" s="1202"/>
      <c r="MBC11" s="1202"/>
      <c r="MBD11" s="1202"/>
      <c r="MBE11" s="1202"/>
      <c r="MBF11" s="1202"/>
      <c r="MBG11" s="1202"/>
      <c r="MBH11" s="1202"/>
      <c r="MBI11" s="1202"/>
      <c r="MBJ11" s="1202"/>
      <c r="MBK11" s="1202"/>
      <c r="MBL11" s="1202"/>
      <c r="MBM11" s="1202"/>
      <c r="MBN11" s="1202"/>
      <c r="MBO11" s="1202"/>
      <c r="MBP11" s="1202"/>
      <c r="MBQ11" s="1202"/>
      <c r="MBR11" s="1202"/>
      <c r="MBS11" s="1202"/>
      <c r="MBT11" s="1202"/>
      <c r="MBU11" s="1202"/>
      <c r="MBV11" s="1202"/>
      <c r="MBW11" s="1202"/>
      <c r="MBX11" s="1202"/>
      <c r="MBY11" s="1202"/>
      <c r="MBZ11" s="1202"/>
      <c r="MCA11" s="1202"/>
      <c r="MCB11" s="1202"/>
      <c r="MCC11" s="1202"/>
      <c r="MCD11" s="1202"/>
      <c r="MCE11" s="1202"/>
      <c r="MCF11" s="1202"/>
      <c r="MCG11" s="1202"/>
      <c r="MCH11" s="1202"/>
      <c r="MCI11" s="1202"/>
      <c r="MCJ11" s="1202"/>
      <c r="MCK11" s="1202"/>
      <c r="MCL11" s="1202"/>
      <c r="MCM11" s="1202"/>
      <c r="MCN11" s="1202"/>
      <c r="MCO11" s="1202"/>
      <c r="MCP11" s="1202"/>
      <c r="MCQ11" s="1202"/>
      <c r="MCR11" s="1202"/>
      <c r="MCS11" s="1202"/>
      <c r="MCT11" s="1202"/>
      <c r="MCU11" s="1202"/>
      <c r="MCV11" s="1202"/>
      <c r="MCW11" s="1202"/>
      <c r="MCX11" s="1202"/>
      <c r="MCY11" s="1202"/>
      <c r="MCZ11" s="1202"/>
      <c r="MDA11" s="1202"/>
      <c r="MDB11" s="1202"/>
      <c r="MDC11" s="1202"/>
      <c r="MDD11" s="1202"/>
      <c r="MDE11" s="1202"/>
      <c r="MDF11" s="1202"/>
      <c r="MDG11" s="1202"/>
      <c r="MDH11" s="1202"/>
      <c r="MDI11" s="1202"/>
      <c r="MDJ11" s="1202"/>
      <c r="MDK11" s="1202"/>
      <c r="MDL11" s="1202"/>
      <c r="MDM11" s="1202"/>
      <c r="MDN11" s="1202"/>
      <c r="MDO11" s="1202"/>
      <c r="MDP11" s="1202"/>
      <c r="MDQ11" s="1202"/>
      <c r="MDR11" s="1202"/>
      <c r="MDS11" s="1202"/>
      <c r="MDT11" s="1202"/>
      <c r="MDU11" s="1202"/>
      <c r="MDV11" s="1202"/>
      <c r="MDW11" s="1202"/>
      <c r="MDX11" s="1202"/>
      <c r="MDY11" s="1202"/>
      <c r="MDZ11" s="1202"/>
      <c r="MEA11" s="1202"/>
      <c r="MEB11" s="1202"/>
      <c r="MEC11" s="1202"/>
      <c r="MED11" s="1202"/>
      <c r="MEE11" s="1202"/>
      <c r="MEF11" s="1202"/>
      <c r="MEG11" s="1202"/>
      <c r="MEH11" s="1202"/>
      <c r="MEI11" s="1202"/>
      <c r="MEJ11" s="1202"/>
      <c r="MEK11" s="1202"/>
      <c r="MEL11" s="1202"/>
      <c r="MEM11" s="1202"/>
      <c r="MEN11" s="1202"/>
      <c r="MEO11" s="1202"/>
      <c r="MEP11" s="1202"/>
      <c r="MEQ11" s="1202"/>
      <c r="MER11" s="1202"/>
      <c r="MES11" s="1202"/>
      <c r="MET11" s="1202"/>
      <c r="MEU11" s="1202"/>
      <c r="MEV11" s="1202"/>
      <c r="MEW11" s="1202"/>
      <c r="MEX11" s="1202"/>
      <c r="MEY11" s="1202"/>
      <c r="MEZ11" s="1202"/>
      <c r="MFA11" s="1202"/>
      <c r="MFB11" s="1202"/>
      <c r="MFC11" s="1202"/>
      <c r="MFD11" s="1202"/>
      <c r="MFE11" s="1202"/>
      <c r="MFF11" s="1202"/>
      <c r="MFG11" s="1202"/>
      <c r="MFH11" s="1202"/>
      <c r="MFI11" s="1202"/>
      <c r="MFJ11" s="1202"/>
      <c r="MFK11" s="1202"/>
      <c r="MFL11" s="1202"/>
      <c r="MFM11" s="1202"/>
      <c r="MFN11" s="1202"/>
      <c r="MFO11" s="1202"/>
      <c r="MFP11" s="1202"/>
      <c r="MFQ11" s="1202"/>
      <c r="MFR11" s="1202"/>
      <c r="MFS11" s="1202"/>
      <c r="MFT11" s="1202"/>
      <c r="MFU11" s="1202"/>
      <c r="MFV11" s="1202"/>
      <c r="MFW11" s="1202"/>
      <c r="MFX11" s="1202"/>
      <c r="MFY11" s="1202"/>
      <c r="MFZ11" s="1202"/>
      <c r="MGA11" s="1202"/>
      <c r="MGB11" s="1202"/>
      <c r="MGC11" s="1202"/>
      <c r="MGD11" s="1202"/>
      <c r="MGE11" s="1202"/>
      <c r="MGF11" s="1202"/>
      <c r="MGG11" s="1202"/>
      <c r="MGH11" s="1202"/>
      <c r="MGI11" s="1202"/>
      <c r="MGJ11" s="1202"/>
      <c r="MGK11" s="1202"/>
      <c r="MGL11" s="1202"/>
      <c r="MGM11" s="1202"/>
      <c r="MGN11" s="1202"/>
      <c r="MGO11" s="1202"/>
      <c r="MGP11" s="1202"/>
      <c r="MGQ11" s="1202"/>
      <c r="MGR11" s="1202"/>
      <c r="MGS11" s="1202"/>
      <c r="MGT11" s="1202"/>
      <c r="MGU11" s="1202"/>
      <c r="MGV11" s="1202"/>
      <c r="MGW11" s="1202"/>
      <c r="MGX11" s="1202"/>
      <c r="MGY11" s="1202"/>
      <c r="MGZ11" s="1202"/>
      <c r="MHA11" s="1202"/>
      <c r="MHB11" s="1202"/>
      <c r="MHC11" s="1202"/>
      <c r="MHD11" s="1202"/>
      <c r="MHE11" s="1202"/>
      <c r="MHF11" s="1202"/>
      <c r="MHG11" s="1202"/>
      <c r="MHH11" s="1202"/>
      <c r="MHI11" s="1202"/>
      <c r="MHJ11" s="1202"/>
      <c r="MHK11" s="1202"/>
      <c r="MHL11" s="1202"/>
      <c r="MHM11" s="1202"/>
      <c r="MHN11" s="1202"/>
      <c r="MHO11" s="1202"/>
      <c r="MHP11" s="1202"/>
      <c r="MHQ11" s="1202"/>
      <c r="MHR11" s="1202"/>
      <c r="MHS11" s="1202"/>
      <c r="MHT11" s="1202"/>
      <c r="MHU11" s="1202"/>
      <c r="MHV11" s="1202"/>
      <c r="MHW11" s="1202"/>
      <c r="MHX11" s="1202"/>
      <c r="MHY11" s="1202"/>
      <c r="MHZ11" s="1202"/>
      <c r="MIA11" s="1202"/>
      <c r="MIB11" s="1202"/>
      <c r="MIC11" s="1202"/>
      <c r="MID11" s="1202"/>
      <c r="MIE11" s="1202"/>
      <c r="MIF11" s="1202"/>
      <c r="MIG11" s="1202"/>
      <c r="MIH11" s="1202"/>
      <c r="MII11" s="1202"/>
      <c r="MIJ11" s="1202"/>
      <c r="MIK11" s="1202"/>
      <c r="MIL11" s="1202"/>
      <c r="MIM11" s="1202"/>
      <c r="MIN11" s="1202"/>
      <c r="MIO11" s="1202"/>
      <c r="MIP11" s="1202"/>
      <c r="MIQ11" s="1202"/>
      <c r="MIR11" s="1202"/>
      <c r="MIS11" s="1202"/>
      <c r="MIT11" s="1202"/>
      <c r="MIU11" s="1202"/>
      <c r="MIV11" s="1202"/>
      <c r="MIW11" s="1202"/>
      <c r="MIX11" s="1202"/>
      <c r="MIY11" s="1202"/>
      <c r="MIZ11" s="1202"/>
      <c r="MJA11" s="1202"/>
      <c r="MJB11" s="1202"/>
      <c r="MJC11" s="1202"/>
      <c r="MJD11" s="1202"/>
      <c r="MJE11" s="1202"/>
      <c r="MJF11" s="1202"/>
      <c r="MJG11" s="1202"/>
      <c r="MJH11" s="1202"/>
      <c r="MJI11" s="1202"/>
      <c r="MJJ11" s="1202"/>
      <c r="MJK11" s="1202"/>
      <c r="MJL11" s="1202"/>
      <c r="MJM11" s="1202"/>
      <c r="MJN11" s="1202"/>
      <c r="MJO11" s="1202"/>
      <c r="MJP11" s="1202"/>
      <c r="MJQ11" s="1202"/>
      <c r="MJR11" s="1202"/>
      <c r="MJS11" s="1202"/>
      <c r="MJT11" s="1202"/>
      <c r="MJU11" s="1202"/>
      <c r="MJV11" s="1202"/>
      <c r="MJW11" s="1202"/>
      <c r="MJX11" s="1202"/>
      <c r="MJY11" s="1202"/>
      <c r="MJZ11" s="1202"/>
      <c r="MKA11" s="1202"/>
      <c r="MKB11" s="1202"/>
      <c r="MKC11" s="1202"/>
      <c r="MKD11" s="1202"/>
      <c r="MKE11" s="1202"/>
      <c r="MKF11" s="1202"/>
      <c r="MKG11" s="1202"/>
      <c r="MKH11" s="1202"/>
      <c r="MKI11" s="1202"/>
      <c r="MKJ11" s="1202"/>
      <c r="MKK11" s="1202"/>
      <c r="MKL11" s="1202"/>
      <c r="MKM11" s="1202"/>
      <c r="MKN11" s="1202"/>
      <c r="MKO11" s="1202"/>
      <c r="MKP11" s="1202"/>
      <c r="MKQ11" s="1202"/>
      <c r="MKR11" s="1202"/>
      <c r="MKS11" s="1202"/>
      <c r="MKT11" s="1202"/>
      <c r="MKU11" s="1202"/>
      <c r="MKV11" s="1202"/>
      <c r="MKW11" s="1202"/>
      <c r="MKX11" s="1202"/>
      <c r="MKY11" s="1202"/>
      <c r="MKZ11" s="1202"/>
      <c r="MLA11" s="1202"/>
      <c r="MLB11" s="1202"/>
      <c r="MLC11" s="1202"/>
      <c r="MLD11" s="1202"/>
      <c r="MLE11" s="1202"/>
      <c r="MLF11" s="1202"/>
      <c r="MLG11" s="1202"/>
      <c r="MLH11" s="1202"/>
      <c r="MLI11" s="1202"/>
      <c r="MLJ11" s="1202"/>
      <c r="MLK11" s="1202"/>
      <c r="MLL11" s="1202"/>
      <c r="MLM11" s="1202"/>
      <c r="MLN11" s="1202"/>
      <c r="MLO11" s="1202"/>
      <c r="MLP11" s="1202"/>
      <c r="MLQ11" s="1202"/>
      <c r="MLR11" s="1202"/>
      <c r="MLS11" s="1202"/>
      <c r="MLT11" s="1202"/>
      <c r="MLU11" s="1202"/>
      <c r="MLV11" s="1202"/>
      <c r="MLW11" s="1202"/>
      <c r="MLX11" s="1202"/>
      <c r="MLY11" s="1202"/>
      <c r="MLZ11" s="1202"/>
      <c r="MMA11" s="1202"/>
      <c r="MMB11" s="1202"/>
      <c r="MMC11" s="1202"/>
      <c r="MMD11" s="1202"/>
      <c r="MME11" s="1202"/>
      <c r="MMF11" s="1202"/>
      <c r="MMG11" s="1202"/>
      <c r="MMH11" s="1202"/>
      <c r="MMI11" s="1202"/>
      <c r="MMJ11" s="1202"/>
      <c r="MMK11" s="1202"/>
      <c r="MML11" s="1202"/>
      <c r="MMM11" s="1202"/>
      <c r="MMN11" s="1202"/>
      <c r="MMO11" s="1202"/>
      <c r="MMP11" s="1202"/>
      <c r="MMQ11" s="1202"/>
      <c r="MMR11" s="1202"/>
      <c r="MMS11" s="1202"/>
      <c r="MMT11" s="1202"/>
      <c r="MMU11" s="1202"/>
      <c r="MMV11" s="1202"/>
      <c r="MMW11" s="1202"/>
      <c r="MMX11" s="1202"/>
      <c r="MMY11" s="1202"/>
      <c r="MMZ11" s="1202"/>
      <c r="MNA11" s="1202"/>
      <c r="MNB11" s="1202"/>
      <c r="MNC11" s="1202"/>
      <c r="MND11" s="1202"/>
      <c r="MNE11" s="1202"/>
      <c r="MNF11" s="1202"/>
      <c r="MNG11" s="1202"/>
      <c r="MNH11" s="1202"/>
      <c r="MNI11" s="1202"/>
      <c r="MNJ11" s="1202"/>
      <c r="MNK11" s="1202"/>
      <c r="MNL11" s="1202"/>
      <c r="MNM11" s="1202"/>
      <c r="MNN11" s="1202"/>
      <c r="MNO11" s="1202"/>
      <c r="MNP11" s="1202"/>
      <c r="MNQ11" s="1202"/>
      <c r="MNR11" s="1202"/>
      <c r="MNS11" s="1202"/>
      <c r="MNT11" s="1202"/>
      <c r="MNU11" s="1202"/>
      <c r="MNV11" s="1202"/>
      <c r="MNW11" s="1202"/>
      <c r="MNX11" s="1202"/>
      <c r="MNY11" s="1202"/>
      <c r="MNZ11" s="1202"/>
      <c r="MOA11" s="1202"/>
      <c r="MOB11" s="1202"/>
      <c r="MOC11" s="1202"/>
      <c r="MOD11" s="1202"/>
      <c r="MOE11" s="1202"/>
      <c r="MOF11" s="1202"/>
      <c r="MOG11" s="1202"/>
      <c r="MOH11" s="1202"/>
      <c r="MOI11" s="1202"/>
      <c r="MOJ11" s="1202"/>
      <c r="MOK11" s="1202"/>
      <c r="MOL11" s="1202"/>
      <c r="MOM11" s="1202"/>
      <c r="MON11" s="1202"/>
      <c r="MOO11" s="1202"/>
      <c r="MOP11" s="1202"/>
      <c r="MOQ11" s="1202"/>
      <c r="MOR11" s="1202"/>
      <c r="MOS11" s="1202"/>
      <c r="MOT11" s="1202"/>
      <c r="MOU11" s="1202"/>
      <c r="MOV11" s="1202"/>
      <c r="MOW11" s="1202"/>
      <c r="MOX11" s="1202"/>
      <c r="MOY11" s="1202"/>
      <c r="MOZ11" s="1202"/>
      <c r="MPA11" s="1202"/>
      <c r="MPB11" s="1202"/>
      <c r="MPC11" s="1202"/>
      <c r="MPD11" s="1202"/>
      <c r="MPE11" s="1202"/>
      <c r="MPF11" s="1202"/>
      <c r="MPG11" s="1202"/>
      <c r="MPH11" s="1202"/>
      <c r="MPI11" s="1202"/>
      <c r="MPJ11" s="1202"/>
      <c r="MPK11" s="1202"/>
      <c r="MPL11" s="1202"/>
      <c r="MPM11" s="1202"/>
      <c r="MPN11" s="1202"/>
      <c r="MPO11" s="1202"/>
      <c r="MPP11" s="1202"/>
      <c r="MPQ11" s="1202"/>
      <c r="MPR11" s="1202"/>
      <c r="MPS11" s="1202"/>
      <c r="MPT11" s="1202"/>
      <c r="MPU11" s="1202"/>
      <c r="MPV11" s="1202"/>
      <c r="MPW11" s="1202"/>
      <c r="MPX11" s="1202"/>
      <c r="MPY11" s="1202"/>
      <c r="MPZ11" s="1202"/>
      <c r="MQA11" s="1202"/>
      <c r="MQB11" s="1202"/>
      <c r="MQC11" s="1202"/>
      <c r="MQD11" s="1202"/>
      <c r="MQE11" s="1202"/>
      <c r="MQF11" s="1202"/>
      <c r="MQG11" s="1202"/>
      <c r="MQH11" s="1202"/>
      <c r="MQI11" s="1202"/>
      <c r="MQJ11" s="1202"/>
      <c r="MQK11" s="1202"/>
      <c r="MQL11" s="1202"/>
      <c r="MQM11" s="1202"/>
      <c r="MQN11" s="1202"/>
      <c r="MQO11" s="1202"/>
      <c r="MQP11" s="1202"/>
      <c r="MQQ11" s="1202"/>
      <c r="MQR11" s="1202"/>
      <c r="MQS11" s="1202"/>
      <c r="MQT11" s="1202"/>
      <c r="MQU11" s="1202"/>
      <c r="MQV11" s="1202"/>
      <c r="MQW11" s="1202"/>
      <c r="MQX11" s="1202"/>
      <c r="MQY11" s="1202"/>
      <c r="MQZ11" s="1202"/>
      <c r="MRA11" s="1202"/>
      <c r="MRB11" s="1202"/>
      <c r="MRC11" s="1202"/>
      <c r="MRD11" s="1202"/>
      <c r="MRE11" s="1202"/>
      <c r="MRF11" s="1202"/>
      <c r="MRG11" s="1202"/>
      <c r="MRH11" s="1202"/>
      <c r="MRI11" s="1202"/>
      <c r="MRJ11" s="1202"/>
      <c r="MRK11" s="1202"/>
      <c r="MRL11" s="1202"/>
      <c r="MRM11" s="1202"/>
      <c r="MRN11" s="1202"/>
      <c r="MRO11" s="1202"/>
      <c r="MRP11" s="1202"/>
      <c r="MRQ11" s="1202"/>
      <c r="MRR11" s="1202"/>
      <c r="MRS11" s="1202"/>
      <c r="MRT11" s="1202"/>
      <c r="MRU11" s="1202"/>
      <c r="MRV11" s="1202"/>
      <c r="MRW11" s="1202"/>
      <c r="MRX11" s="1202"/>
      <c r="MRY11" s="1202"/>
      <c r="MRZ11" s="1202"/>
      <c r="MSA11" s="1202"/>
      <c r="MSB11" s="1202"/>
      <c r="MSC11" s="1202"/>
      <c r="MSD11" s="1202"/>
      <c r="MSE11" s="1202"/>
      <c r="MSF11" s="1202"/>
      <c r="MSG11" s="1202"/>
      <c r="MSH11" s="1202"/>
      <c r="MSI11" s="1202"/>
      <c r="MSJ11" s="1202"/>
      <c r="MSK11" s="1202"/>
      <c r="MSL11" s="1202"/>
      <c r="MSM11" s="1202"/>
      <c r="MSN11" s="1202"/>
      <c r="MSO11" s="1202"/>
      <c r="MSP11" s="1202"/>
      <c r="MSQ11" s="1202"/>
      <c r="MSR11" s="1202"/>
      <c r="MSS11" s="1202"/>
      <c r="MST11" s="1202"/>
      <c r="MSU11" s="1202"/>
      <c r="MSV11" s="1202"/>
      <c r="MSW11" s="1202"/>
      <c r="MSX11" s="1202"/>
      <c r="MSY11" s="1202"/>
      <c r="MSZ11" s="1202"/>
      <c r="MTA11" s="1202"/>
      <c r="MTB11" s="1202"/>
      <c r="MTC11" s="1202"/>
      <c r="MTD11" s="1202"/>
      <c r="MTE11" s="1202"/>
      <c r="MTF11" s="1202"/>
      <c r="MTG11" s="1202"/>
      <c r="MTH11" s="1202"/>
      <c r="MTI11" s="1202"/>
      <c r="MTJ11" s="1202"/>
      <c r="MTK11" s="1202"/>
      <c r="MTL11" s="1202"/>
      <c r="MTM11" s="1202"/>
      <c r="MTN11" s="1202"/>
      <c r="MTO11" s="1202"/>
      <c r="MTP11" s="1202"/>
      <c r="MTQ11" s="1202"/>
      <c r="MTR11" s="1202"/>
      <c r="MTS11" s="1202"/>
      <c r="MTT11" s="1202"/>
      <c r="MTU11" s="1202"/>
      <c r="MTV11" s="1202"/>
      <c r="MTW11" s="1202"/>
      <c r="MTX11" s="1202"/>
      <c r="MTY11" s="1202"/>
      <c r="MTZ11" s="1202"/>
      <c r="MUA11" s="1202"/>
      <c r="MUB11" s="1202"/>
      <c r="MUC11" s="1202"/>
      <c r="MUD11" s="1202"/>
      <c r="MUE11" s="1202"/>
      <c r="MUF11" s="1202"/>
      <c r="MUG11" s="1202"/>
      <c r="MUH11" s="1202"/>
      <c r="MUI11" s="1202"/>
      <c r="MUJ11" s="1202"/>
      <c r="MUK11" s="1202"/>
      <c r="MUL11" s="1202"/>
      <c r="MUM11" s="1202"/>
      <c r="MUN11" s="1202"/>
      <c r="MUO11" s="1202"/>
      <c r="MUP11" s="1202"/>
      <c r="MUQ11" s="1202"/>
      <c r="MUR11" s="1202"/>
      <c r="MUS11" s="1202"/>
      <c r="MUT11" s="1202"/>
      <c r="MUU11" s="1202"/>
      <c r="MUV11" s="1202"/>
      <c r="MUW11" s="1202"/>
      <c r="MUX11" s="1202"/>
      <c r="MUY11" s="1202"/>
      <c r="MUZ11" s="1202"/>
      <c r="MVA11" s="1202"/>
      <c r="MVB11" s="1202"/>
      <c r="MVC11" s="1202"/>
      <c r="MVD11" s="1202"/>
      <c r="MVE11" s="1202"/>
      <c r="MVF11" s="1202"/>
      <c r="MVG11" s="1202"/>
      <c r="MVH11" s="1202"/>
      <c r="MVI11" s="1202"/>
      <c r="MVJ11" s="1202"/>
      <c r="MVK11" s="1202"/>
      <c r="MVL11" s="1202"/>
      <c r="MVM11" s="1202"/>
      <c r="MVN11" s="1202"/>
      <c r="MVO11" s="1202"/>
      <c r="MVP11" s="1202"/>
      <c r="MVQ11" s="1202"/>
      <c r="MVR11" s="1202"/>
      <c r="MVS11" s="1202"/>
      <c r="MVT11" s="1202"/>
      <c r="MVU11" s="1202"/>
      <c r="MVV11" s="1202"/>
      <c r="MVW11" s="1202"/>
      <c r="MVX11" s="1202"/>
      <c r="MVY11" s="1202"/>
      <c r="MVZ11" s="1202"/>
      <c r="MWA11" s="1202"/>
      <c r="MWB11" s="1202"/>
      <c r="MWC11" s="1202"/>
      <c r="MWD11" s="1202"/>
      <c r="MWE11" s="1202"/>
      <c r="MWF11" s="1202"/>
      <c r="MWG11" s="1202"/>
      <c r="MWH11" s="1202"/>
      <c r="MWI11" s="1202"/>
      <c r="MWJ11" s="1202"/>
      <c r="MWK11" s="1202"/>
      <c r="MWL11" s="1202"/>
      <c r="MWM11" s="1202"/>
      <c r="MWN11" s="1202"/>
      <c r="MWO11" s="1202"/>
      <c r="MWP11" s="1202"/>
      <c r="MWQ11" s="1202"/>
      <c r="MWR11" s="1202"/>
      <c r="MWS11" s="1202"/>
      <c r="MWT11" s="1202"/>
      <c r="MWU11" s="1202"/>
      <c r="MWV11" s="1202"/>
      <c r="MWW11" s="1202"/>
      <c r="MWX11" s="1202"/>
      <c r="MWY11" s="1202"/>
      <c r="MWZ11" s="1202"/>
      <c r="MXA11" s="1202"/>
      <c r="MXB11" s="1202"/>
      <c r="MXC11" s="1202"/>
      <c r="MXD11" s="1202"/>
      <c r="MXE11" s="1202"/>
      <c r="MXF11" s="1202"/>
      <c r="MXG11" s="1202"/>
      <c r="MXH11" s="1202"/>
      <c r="MXI11" s="1202"/>
      <c r="MXJ11" s="1202"/>
      <c r="MXK11" s="1202"/>
      <c r="MXL11" s="1202"/>
      <c r="MXM11" s="1202"/>
      <c r="MXN11" s="1202"/>
      <c r="MXO11" s="1202"/>
      <c r="MXP11" s="1202"/>
      <c r="MXQ11" s="1202"/>
      <c r="MXR11" s="1202"/>
      <c r="MXS11" s="1202"/>
      <c r="MXT11" s="1202"/>
      <c r="MXU11" s="1202"/>
      <c r="MXV11" s="1202"/>
      <c r="MXW11" s="1202"/>
      <c r="MXX11" s="1202"/>
      <c r="MXY11" s="1202"/>
      <c r="MXZ11" s="1202"/>
      <c r="MYA11" s="1202"/>
      <c r="MYB11" s="1202"/>
      <c r="MYC11" s="1202"/>
      <c r="MYD11" s="1202"/>
      <c r="MYE11" s="1202"/>
      <c r="MYF11" s="1202"/>
      <c r="MYG11" s="1202"/>
      <c r="MYH11" s="1202"/>
      <c r="MYI11" s="1202"/>
      <c r="MYJ11" s="1202"/>
      <c r="MYK11" s="1202"/>
      <c r="MYL11" s="1202"/>
      <c r="MYM11" s="1202"/>
      <c r="MYN11" s="1202"/>
      <c r="MYO11" s="1202"/>
      <c r="MYP11" s="1202"/>
      <c r="MYQ11" s="1202"/>
      <c r="MYR11" s="1202"/>
      <c r="MYS11" s="1202"/>
      <c r="MYT11" s="1202"/>
      <c r="MYU11" s="1202"/>
      <c r="MYV11" s="1202"/>
      <c r="MYW11" s="1202"/>
      <c r="MYX11" s="1202"/>
      <c r="MYY11" s="1202"/>
      <c r="MYZ11" s="1202"/>
      <c r="MZA11" s="1202"/>
      <c r="MZB11" s="1202"/>
      <c r="MZC11" s="1202"/>
      <c r="MZD11" s="1202"/>
      <c r="MZE11" s="1202"/>
      <c r="MZF11" s="1202"/>
      <c r="MZG11" s="1202"/>
      <c r="MZH11" s="1202"/>
      <c r="MZI11" s="1202"/>
      <c r="MZJ11" s="1202"/>
      <c r="MZK11" s="1202"/>
      <c r="MZL11" s="1202"/>
      <c r="MZM11" s="1202"/>
      <c r="MZN11" s="1202"/>
      <c r="MZO11" s="1202"/>
      <c r="MZP11" s="1202"/>
      <c r="MZQ11" s="1202"/>
      <c r="MZR11" s="1202"/>
      <c r="MZS11" s="1202"/>
      <c r="MZT11" s="1202"/>
      <c r="MZU11" s="1202"/>
      <c r="MZV11" s="1202"/>
      <c r="MZW11" s="1202"/>
      <c r="MZX11" s="1202"/>
      <c r="MZY11" s="1202"/>
      <c r="MZZ11" s="1202"/>
      <c r="NAA11" s="1202"/>
      <c r="NAB11" s="1202"/>
      <c r="NAC11" s="1202"/>
      <c r="NAD11" s="1202"/>
      <c r="NAE11" s="1202"/>
      <c r="NAF11" s="1202"/>
      <c r="NAG11" s="1202"/>
      <c r="NAH11" s="1202"/>
      <c r="NAI11" s="1202"/>
      <c r="NAJ11" s="1202"/>
      <c r="NAK11" s="1202"/>
      <c r="NAL11" s="1202"/>
      <c r="NAM11" s="1202"/>
      <c r="NAN11" s="1202"/>
      <c r="NAO11" s="1202"/>
      <c r="NAP11" s="1202"/>
      <c r="NAQ11" s="1202"/>
      <c r="NAR11" s="1202"/>
      <c r="NAS11" s="1202"/>
      <c r="NAT11" s="1202"/>
      <c r="NAU11" s="1202"/>
      <c r="NAV11" s="1202"/>
      <c r="NAW11" s="1202"/>
      <c r="NAX11" s="1202"/>
      <c r="NAY11" s="1202"/>
      <c r="NAZ11" s="1202"/>
      <c r="NBA11" s="1202"/>
      <c r="NBB11" s="1202"/>
      <c r="NBC11" s="1202"/>
      <c r="NBD11" s="1202"/>
      <c r="NBE11" s="1202"/>
      <c r="NBF11" s="1202"/>
      <c r="NBG11" s="1202"/>
      <c r="NBH11" s="1202"/>
      <c r="NBI11" s="1202"/>
      <c r="NBJ11" s="1202"/>
      <c r="NBK11" s="1202"/>
      <c r="NBL11" s="1202"/>
      <c r="NBM11" s="1202"/>
      <c r="NBN11" s="1202"/>
      <c r="NBO11" s="1202"/>
      <c r="NBP11" s="1202"/>
      <c r="NBQ11" s="1202"/>
      <c r="NBR11" s="1202"/>
      <c r="NBS11" s="1202"/>
      <c r="NBT11" s="1202"/>
      <c r="NBU11" s="1202"/>
      <c r="NBV11" s="1202"/>
      <c r="NBW11" s="1202"/>
      <c r="NBX11" s="1202"/>
      <c r="NBY11" s="1202"/>
      <c r="NBZ11" s="1202"/>
      <c r="NCA11" s="1202"/>
      <c r="NCB11" s="1202"/>
      <c r="NCC11" s="1202"/>
      <c r="NCD11" s="1202"/>
      <c r="NCE11" s="1202"/>
      <c r="NCF11" s="1202"/>
      <c r="NCG11" s="1202"/>
      <c r="NCH11" s="1202"/>
      <c r="NCI11" s="1202"/>
      <c r="NCJ11" s="1202"/>
      <c r="NCK11" s="1202"/>
      <c r="NCL11" s="1202"/>
      <c r="NCM11" s="1202"/>
      <c r="NCN11" s="1202"/>
      <c r="NCO11" s="1202"/>
      <c r="NCP11" s="1202"/>
      <c r="NCQ11" s="1202"/>
      <c r="NCR11" s="1202"/>
      <c r="NCS11" s="1202"/>
      <c r="NCT11" s="1202"/>
      <c r="NCU11" s="1202"/>
      <c r="NCV11" s="1202"/>
      <c r="NCW11" s="1202"/>
      <c r="NCX11" s="1202"/>
      <c r="NCY11" s="1202"/>
      <c r="NCZ11" s="1202"/>
      <c r="NDA11" s="1202"/>
      <c r="NDB11" s="1202"/>
      <c r="NDC11" s="1202"/>
      <c r="NDD11" s="1202"/>
      <c r="NDE11" s="1202"/>
      <c r="NDF11" s="1202"/>
      <c r="NDG11" s="1202"/>
      <c r="NDH11" s="1202"/>
      <c r="NDI11" s="1202"/>
      <c r="NDJ11" s="1202"/>
      <c r="NDK11" s="1202"/>
      <c r="NDL11" s="1202"/>
      <c r="NDM11" s="1202"/>
      <c r="NDN11" s="1202"/>
      <c r="NDO11" s="1202"/>
      <c r="NDP11" s="1202"/>
      <c r="NDQ11" s="1202"/>
      <c r="NDR11" s="1202"/>
      <c r="NDS11" s="1202"/>
      <c r="NDT11" s="1202"/>
      <c r="NDU11" s="1202"/>
      <c r="NDV11" s="1202"/>
      <c r="NDW11" s="1202"/>
      <c r="NDX11" s="1202"/>
      <c r="NDY11" s="1202"/>
      <c r="NDZ11" s="1202"/>
      <c r="NEA11" s="1202"/>
      <c r="NEB11" s="1202"/>
      <c r="NEC11" s="1202"/>
      <c r="NED11" s="1202"/>
      <c r="NEE11" s="1202"/>
      <c r="NEF11" s="1202"/>
      <c r="NEG11" s="1202"/>
      <c r="NEH11" s="1202"/>
      <c r="NEI11" s="1202"/>
      <c r="NEJ11" s="1202"/>
      <c r="NEK11" s="1202"/>
      <c r="NEL11" s="1202"/>
      <c r="NEM11" s="1202"/>
      <c r="NEN11" s="1202"/>
      <c r="NEO11" s="1202"/>
      <c r="NEP11" s="1202"/>
      <c r="NEQ11" s="1202"/>
      <c r="NER11" s="1202"/>
      <c r="NES11" s="1202"/>
      <c r="NET11" s="1202"/>
      <c r="NEU11" s="1202"/>
      <c r="NEV11" s="1202"/>
      <c r="NEW11" s="1202"/>
      <c r="NEX11" s="1202"/>
      <c r="NEY11" s="1202"/>
      <c r="NEZ11" s="1202"/>
      <c r="NFA11" s="1202"/>
      <c r="NFB11" s="1202"/>
      <c r="NFC11" s="1202"/>
      <c r="NFD11" s="1202"/>
      <c r="NFE11" s="1202"/>
      <c r="NFF11" s="1202"/>
      <c r="NFG11" s="1202"/>
      <c r="NFH11" s="1202"/>
      <c r="NFI11" s="1202"/>
      <c r="NFJ11" s="1202"/>
      <c r="NFK11" s="1202"/>
      <c r="NFL11" s="1202"/>
      <c r="NFM11" s="1202"/>
      <c r="NFN11" s="1202"/>
      <c r="NFO11" s="1202"/>
      <c r="NFP11" s="1202"/>
      <c r="NFQ11" s="1202"/>
      <c r="NFR11" s="1202"/>
      <c r="NFS11" s="1202"/>
      <c r="NFT11" s="1202"/>
      <c r="NFU11" s="1202"/>
      <c r="NFV11" s="1202"/>
      <c r="NFW11" s="1202"/>
      <c r="NFX11" s="1202"/>
      <c r="NFY11" s="1202"/>
      <c r="NFZ11" s="1202"/>
      <c r="NGA11" s="1202"/>
      <c r="NGB11" s="1202"/>
      <c r="NGC11" s="1202"/>
      <c r="NGD11" s="1202"/>
      <c r="NGE11" s="1202"/>
      <c r="NGF11" s="1202"/>
      <c r="NGG11" s="1202"/>
      <c r="NGH11" s="1202"/>
      <c r="NGI11" s="1202"/>
      <c r="NGJ11" s="1202"/>
      <c r="NGK11" s="1202"/>
      <c r="NGL11" s="1202"/>
      <c r="NGM11" s="1202"/>
      <c r="NGN11" s="1202"/>
      <c r="NGO11" s="1202"/>
      <c r="NGP11" s="1202"/>
      <c r="NGQ11" s="1202"/>
      <c r="NGR11" s="1202"/>
      <c r="NGS11" s="1202"/>
      <c r="NGT11" s="1202"/>
      <c r="NGU11" s="1202"/>
      <c r="NGV11" s="1202"/>
      <c r="NGW11" s="1202"/>
      <c r="NGX11" s="1202"/>
      <c r="NGY11" s="1202"/>
      <c r="NGZ11" s="1202"/>
      <c r="NHA11" s="1202"/>
      <c r="NHB11" s="1202"/>
      <c r="NHC11" s="1202"/>
      <c r="NHD11" s="1202"/>
      <c r="NHE11" s="1202"/>
      <c r="NHF11" s="1202"/>
      <c r="NHG11" s="1202"/>
      <c r="NHH11" s="1202"/>
      <c r="NHI11" s="1202"/>
      <c r="NHJ11" s="1202"/>
      <c r="NHK11" s="1202"/>
      <c r="NHL11" s="1202"/>
      <c r="NHM11" s="1202"/>
      <c r="NHN11" s="1202"/>
      <c r="NHO11" s="1202"/>
      <c r="NHP11" s="1202"/>
      <c r="NHQ11" s="1202"/>
      <c r="NHR11" s="1202"/>
      <c r="NHS11" s="1202"/>
      <c r="NHT11" s="1202"/>
      <c r="NHU11" s="1202"/>
      <c r="NHV11" s="1202"/>
      <c r="NHW11" s="1202"/>
      <c r="NHX11" s="1202"/>
      <c r="NHY11" s="1202"/>
      <c r="NHZ11" s="1202"/>
      <c r="NIA11" s="1202"/>
      <c r="NIB11" s="1202"/>
      <c r="NIC11" s="1202"/>
      <c r="NID11" s="1202"/>
      <c r="NIE11" s="1202"/>
      <c r="NIF11" s="1202"/>
      <c r="NIG11" s="1202"/>
      <c r="NIH11" s="1202"/>
      <c r="NII11" s="1202"/>
      <c r="NIJ11" s="1202"/>
      <c r="NIK11" s="1202"/>
      <c r="NIL11" s="1202"/>
      <c r="NIM11" s="1202"/>
      <c r="NIN11" s="1202"/>
      <c r="NIO11" s="1202"/>
      <c r="NIP11" s="1202"/>
      <c r="NIQ11" s="1202"/>
      <c r="NIR11" s="1202"/>
      <c r="NIS11" s="1202"/>
      <c r="NIT11" s="1202"/>
      <c r="NIU11" s="1202"/>
      <c r="NIV11" s="1202"/>
      <c r="NIW11" s="1202"/>
      <c r="NIX11" s="1202"/>
      <c r="NIY11" s="1202"/>
      <c r="NIZ11" s="1202"/>
      <c r="NJA11" s="1202"/>
      <c r="NJB11" s="1202"/>
      <c r="NJC11" s="1202"/>
      <c r="NJD11" s="1202"/>
      <c r="NJE11" s="1202"/>
      <c r="NJF11" s="1202"/>
      <c r="NJG11" s="1202"/>
      <c r="NJH11" s="1202"/>
      <c r="NJI11" s="1202"/>
      <c r="NJJ11" s="1202"/>
      <c r="NJK11" s="1202"/>
      <c r="NJL11" s="1202"/>
      <c r="NJM11" s="1202"/>
      <c r="NJN11" s="1202"/>
      <c r="NJO11" s="1202"/>
      <c r="NJP11" s="1202"/>
      <c r="NJQ11" s="1202"/>
      <c r="NJR11" s="1202"/>
      <c r="NJS11" s="1202"/>
      <c r="NJT11" s="1202"/>
      <c r="NJU11" s="1202"/>
      <c r="NJV11" s="1202"/>
      <c r="NJW11" s="1202"/>
      <c r="NJX11" s="1202"/>
      <c r="NJY11" s="1202"/>
      <c r="NJZ11" s="1202"/>
      <c r="NKA11" s="1202"/>
      <c r="NKB11" s="1202"/>
      <c r="NKC11" s="1202"/>
      <c r="NKD11" s="1202"/>
      <c r="NKE11" s="1202"/>
      <c r="NKF11" s="1202"/>
      <c r="NKG11" s="1202"/>
      <c r="NKH11" s="1202"/>
      <c r="NKI11" s="1202"/>
      <c r="NKJ11" s="1202"/>
      <c r="NKK11" s="1202"/>
      <c r="NKL11" s="1202"/>
      <c r="NKM11" s="1202"/>
      <c r="NKN11" s="1202"/>
      <c r="NKO11" s="1202"/>
      <c r="NKP11" s="1202"/>
      <c r="NKQ11" s="1202"/>
      <c r="NKR11" s="1202"/>
      <c r="NKS11" s="1202"/>
      <c r="NKT11" s="1202"/>
      <c r="NKU11" s="1202"/>
      <c r="NKV11" s="1202"/>
      <c r="NKW11" s="1202"/>
      <c r="NKX11" s="1202"/>
      <c r="NKY11" s="1202"/>
      <c r="NKZ11" s="1202"/>
      <c r="NLA11" s="1202"/>
      <c r="NLB11" s="1202"/>
      <c r="NLC11" s="1202"/>
      <c r="NLD11" s="1202"/>
      <c r="NLE11" s="1202"/>
      <c r="NLF11" s="1202"/>
      <c r="NLG11" s="1202"/>
      <c r="NLH11" s="1202"/>
      <c r="NLI11" s="1202"/>
      <c r="NLJ11" s="1202"/>
      <c r="NLK11" s="1202"/>
      <c r="NLL11" s="1202"/>
      <c r="NLM11" s="1202"/>
      <c r="NLN11" s="1202"/>
      <c r="NLO11" s="1202"/>
      <c r="NLP11" s="1202"/>
      <c r="NLQ11" s="1202"/>
      <c r="NLR11" s="1202"/>
      <c r="NLS11" s="1202"/>
      <c r="NLT11" s="1202"/>
      <c r="NLU11" s="1202"/>
      <c r="NLV11" s="1202"/>
      <c r="NLW11" s="1202"/>
      <c r="NLX11" s="1202"/>
      <c r="NLY11" s="1202"/>
      <c r="NLZ11" s="1202"/>
      <c r="NMA11" s="1202"/>
      <c r="NMB11" s="1202"/>
      <c r="NMC11" s="1202"/>
      <c r="NMD11" s="1202"/>
      <c r="NME11" s="1202"/>
      <c r="NMF11" s="1202"/>
      <c r="NMG11" s="1202"/>
      <c r="NMH11" s="1202"/>
      <c r="NMI11" s="1202"/>
      <c r="NMJ11" s="1202"/>
      <c r="NMK11" s="1202"/>
      <c r="NML11" s="1202"/>
      <c r="NMM11" s="1202"/>
      <c r="NMN11" s="1202"/>
      <c r="NMO11" s="1202"/>
      <c r="NMP11" s="1202"/>
      <c r="NMQ11" s="1202"/>
      <c r="NMR11" s="1202"/>
      <c r="NMS11" s="1202"/>
      <c r="NMT11" s="1202"/>
      <c r="NMU11" s="1202"/>
      <c r="NMV11" s="1202"/>
      <c r="NMW11" s="1202"/>
      <c r="NMX11" s="1202"/>
      <c r="NMY11" s="1202"/>
      <c r="NMZ11" s="1202"/>
      <c r="NNA11" s="1202"/>
      <c r="NNB11" s="1202"/>
      <c r="NNC11" s="1202"/>
      <c r="NND11" s="1202"/>
      <c r="NNE11" s="1202"/>
      <c r="NNF11" s="1202"/>
      <c r="NNG11" s="1202"/>
      <c r="NNH11" s="1202"/>
      <c r="NNI11" s="1202"/>
      <c r="NNJ11" s="1202"/>
      <c r="NNK11" s="1202"/>
      <c r="NNL11" s="1202"/>
      <c r="NNM11" s="1202"/>
      <c r="NNN11" s="1202"/>
      <c r="NNO11" s="1202"/>
      <c r="NNP11" s="1202"/>
      <c r="NNQ11" s="1202"/>
      <c r="NNR11" s="1202"/>
      <c r="NNS11" s="1202"/>
      <c r="NNT11" s="1202"/>
      <c r="NNU11" s="1202"/>
      <c r="NNV11" s="1202"/>
      <c r="NNW11" s="1202"/>
      <c r="NNX11" s="1202"/>
      <c r="NNY11" s="1202"/>
      <c r="NNZ11" s="1202"/>
      <c r="NOA11" s="1202"/>
      <c r="NOB11" s="1202"/>
      <c r="NOC11" s="1202"/>
      <c r="NOD11" s="1202"/>
      <c r="NOE11" s="1202"/>
      <c r="NOF11" s="1202"/>
      <c r="NOG11" s="1202"/>
      <c r="NOH11" s="1202"/>
      <c r="NOI11" s="1202"/>
      <c r="NOJ11" s="1202"/>
      <c r="NOK11" s="1202"/>
      <c r="NOL11" s="1202"/>
      <c r="NOM11" s="1202"/>
      <c r="NON11" s="1202"/>
      <c r="NOO11" s="1202"/>
      <c r="NOP11" s="1202"/>
      <c r="NOQ11" s="1202"/>
      <c r="NOR11" s="1202"/>
      <c r="NOS11" s="1202"/>
      <c r="NOT11" s="1202"/>
      <c r="NOU11" s="1202"/>
      <c r="NOV11" s="1202"/>
      <c r="NOW11" s="1202"/>
      <c r="NOX11" s="1202"/>
      <c r="NOY11" s="1202"/>
      <c r="NOZ11" s="1202"/>
      <c r="NPA11" s="1202"/>
      <c r="NPB11" s="1202"/>
      <c r="NPC11" s="1202"/>
      <c r="NPD11" s="1202"/>
      <c r="NPE11" s="1202"/>
      <c r="NPF11" s="1202"/>
      <c r="NPG11" s="1202"/>
      <c r="NPH11" s="1202"/>
      <c r="NPI11" s="1202"/>
      <c r="NPJ11" s="1202"/>
      <c r="NPK11" s="1202"/>
      <c r="NPL11" s="1202"/>
      <c r="NPM11" s="1202"/>
      <c r="NPN11" s="1202"/>
      <c r="NPO11" s="1202"/>
      <c r="NPP11" s="1202"/>
      <c r="NPQ11" s="1202"/>
      <c r="NPR11" s="1202"/>
      <c r="NPS11" s="1202"/>
      <c r="NPT11" s="1202"/>
      <c r="NPU11" s="1202"/>
      <c r="NPV11" s="1202"/>
      <c r="NPW11" s="1202"/>
      <c r="NPX11" s="1202"/>
      <c r="NPY11" s="1202"/>
      <c r="NPZ11" s="1202"/>
      <c r="NQA11" s="1202"/>
      <c r="NQB11" s="1202"/>
      <c r="NQC11" s="1202"/>
      <c r="NQD11" s="1202"/>
      <c r="NQE11" s="1202"/>
      <c r="NQF11" s="1202"/>
      <c r="NQG11" s="1202"/>
      <c r="NQH11" s="1202"/>
      <c r="NQI11" s="1202"/>
      <c r="NQJ11" s="1202"/>
      <c r="NQK11" s="1202"/>
      <c r="NQL11" s="1202"/>
      <c r="NQM11" s="1202"/>
      <c r="NQN11" s="1202"/>
      <c r="NQO11" s="1202"/>
      <c r="NQP11" s="1202"/>
      <c r="NQQ11" s="1202"/>
      <c r="NQR11" s="1202"/>
      <c r="NQS11" s="1202"/>
      <c r="NQT11" s="1202"/>
      <c r="NQU11" s="1202"/>
      <c r="NQV11" s="1202"/>
      <c r="NQW11" s="1202"/>
      <c r="NQX11" s="1202"/>
      <c r="NQY11" s="1202"/>
      <c r="NQZ11" s="1202"/>
      <c r="NRA11" s="1202"/>
      <c r="NRB11" s="1202"/>
      <c r="NRC11" s="1202"/>
      <c r="NRD11" s="1202"/>
      <c r="NRE11" s="1202"/>
      <c r="NRF11" s="1202"/>
      <c r="NRG11" s="1202"/>
      <c r="NRH11" s="1202"/>
      <c r="NRI11" s="1202"/>
      <c r="NRJ11" s="1202"/>
      <c r="NRK11" s="1202"/>
      <c r="NRL11" s="1202"/>
      <c r="NRM11" s="1202"/>
      <c r="NRN11" s="1202"/>
      <c r="NRO11" s="1202"/>
      <c r="NRP11" s="1202"/>
      <c r="NRQ11" s="1202"/>
      <c r="NRR11" s="1202"/>
      <c r="NRS11" s="1202"/>
      <c r="NRT11" s="1202"/>
      <c r="NRU11" s="1202"/>
      <c r="NRV11" s="1202"/>
      <c r="NRW11" s="1202"/>
      <c r="NRX11" s="1202"/>
      <c r="NRY11" s="1202"/>
      <c r="NRZ11" s="1202"/>
      <c r="NSA11" s="1202"/>
      <c r="NSB11" s="1202"/>
      <c r="NSC11" s="1202"/>
      <c r="NSD11" s="1202"/>
      <c r="NSE11" s="1202"/>
      <c r="NSF11" s="1202"/>
      <c r="NSG11" s="1202"/>
      <c r="NSH11" s="1202"/>
      <c r="NSI11" s="1202"/>
      <c r="NSJ11" s="1202"/>
      <c r="NSK11" s="1202"/>
      <c r="NSL11" s="1202"/>
      <c r="NSM11" s="1202"/>
      <c r="NSN11" s="1202"/>
      <c r="NSO11" s="1202"/>
      <c r="NSP11" s="1202"/>
      <c r="NSQ11" s="1202"/>
      <c r="NSR11" s="1202"/>
      <c r="NSS11" s="1202"/>
      <c r="NST11" s="1202"/>
      <c r="NSU11" s="1202"/>
      <c r="NSV11" s="1202"/>
      <c r="NSW11" s="1202"/>
      <c r="NSX11" s="1202"/>
      <c r="NSY11" s="1202"/>
      <c r="NSZ11" s="1202"/>
      <c r="NTA11" s="1202"/>
      <c r="NTB11" s="1202"/>
      <c r="NTC11" s="1202"/>
      <c r="NTD11" s="1202"/>
      <c r="NTE11" s="1202"/>
      <c r="NTF11" s="1202"/>
      <c r="NTG11" s="1202"/>
      <c r="NTH11" s="1202"/>
      <c r="NTI11" s="1202"/>
      <c r="NTJ11" s="1202"/>
      <c r="NTK11" s="1202"/>
      <c r="NTL11" s="1202"/>
      <c r="NTM11" s="1202"/>
      <c r="NTN11" s="1202"/>
      <c r="NTO11" s="1202"/>
      <c r="NTP11" s="1202"/>
      <c r="NTQ11" s="1202"/>
      <c r="NTR11" s="1202"/>
      <c r="NTS11" s="1202"/>
      <c r="NTT11" s="1202"/>
      <c r="NTU11" s="1202"/>
      <c r="NTV11" s="1202"/>
      <c r="NTW11" s="1202"/>
      <c r="NTX11" s="1202"/>
      <c r="NTY11" s="1202"/>
      <c r="NTZ11" s="1202"/>
      <c r="NUA11" s="1202"/>
      <c r="NUB11" s="1202"/>
      <c r="NUC11" s="1202"/>
      <c r="NUD11" s="1202"/>
      <c r="NUE11" s="1202"/>
      <c r="NUF11" s="1202"/>
      <c r="NUG11" s="1202"/>
      <c r="NUH11" s="1202"/>
      <c r="NUI11" s="1202"/>
      <c r="NUJ11" s="1202"/>
      <c r="NUK11" s="1202"/>
      <c r="NUL11" s="1202"/>
      <c r="NUM11" s="1202"/>
      <c r="NUN11" s="1202"/>
      <c r="NUO11" s="1202"/>
      <c r="NUP11" s="1202"/>
      <c r="NUQ11" s="1202"/>
      <c r="NUR11" s="1202"/>
      <c r="NUS11" s="1202"/>
      <c r="NUT11" s="1202"/>
      <c r="NUU11" s="1202"/>
      <c r="NUV11" s="1202"/>
      <c r="NUW11" s="1202"/>
      <c r="NUX11" s="1202"/>
      <c r="NUY11" s="1202"/>
      <c r="NUZ11" s="1202"/>
      <c r="NVA11" s="1202"/>
      <c r="NVB11" s="1202"/>
      <c r="NVC11" s="1202"/>
      <c r="NVD11" s="1202"/>
      <c r="NVE11" s="1202"/>
      <c r="NVF11" s="1202"/>
      <c r="NVG11" s="1202"/>
      <c r="NVH11" s="1202"/>
      <c r="NVI11" s="1202"/>
      <c r="NVJ11" s="1202"/>
      <c r="NVK11" s="1202"/>
      <c r="NVL11" s="1202"/>
      <c r="NVM11" s="1202"/>
      <c r="NVN11" s="1202"/>
      <c r="NVO11" s="1202"/>
      <c r="NVP11" s="1202"/>
      <c r="NVQ11" s="1202"/>
      <c r="NVR11" s="1202"/>
      <c r="NVS11" s="1202"/>
      <c r="NVT11" s="1202"/>
      <c r="NVU11" s="1202"/>
      <c r="NVV11" s="1202"/>
      <c r="NVW11" s="1202"/>
      <c r="NVX11" s="1202"/>
      <c r="NVY11" s="1202"/>
      <c r="NVZ11" s="1202"/>
      <c r="NWA11" s="1202"/>
      <c r="NWB11" s="1202"/>
      <c r="NWC11" s="1202"/>
      <c r="NWD11" s="1202"/>
      <c r="NWE11" s="1202"/>
      <c r="NWF11" s="1202"/>
      <c r="NWG11" s="1202"/>
      <c r="NWH11" s="1202"/>
      <c r="NWI11" s="1202"/>
      <c r="NWJ11" s="1202"/>
      <c r="NWK11" s="1202"/>
      <c r="NWL11" s="1202"/>
      <c r="NWM11" s="1202"/>
      <c r="NWN11" s="1202"/>
      <c r="NWO11" s="1202"/>
      <c r="NWP11" s="1202"/>
      <c r="NWQ11" s="1202"/>
      <c r="NWR11" s="1202"/>
      <c r="NWS11" s="1202"/>
      <c r="NWT11" s="1202"/>
      <c r="NWU11" s="1202"/>
      <c r="NWV11" s="1202"/>
      <c r="NWW11" s="1202"/>
      <c r="NWX11" s="1202"/>
      <c r="NWY11" s="1202"/>
      <c r="NWZ11" s="1202"/>
      <c r="NXA11" s="1202"/>
      <c r="NXB11" s="1202"/>
      <c r="NXC11" s="1202"/>
      <c r="NXD11" s="1202"/>
      <c r="NXE11" s="1202"/>
      <c r="NXF11" s="1202"/>
      <c r="NXG11" s="1202"/>
      <c r="NXH11" s="1202"/>
      <c r="NXI11" s="1202"/>
      <c r="NXJ11" s="1202"/>
      <c r="NXK11" s="1202"/>
      <c r="NXL11" s="1202"/>
      <c r="NXM11" s="1202"/>
      <c r="NXN11" s="1202"/>
      <c r="NXO11" s="1202"/>
      <c r="NXP11" s="1202"/>
      <c r="NXQ11" s="1202"/>
      <c r="NXR11" s="1202"/>
      <c r="NXS11" s="1202"/>
      <c r="NXT11" s="1202"/>
      <c r="NXU11" s="1202"/>
      <c r="NXV11" s="1202"/>
      <c r="NXW11" s="1202"/>
      <c r="NXX11" s="1202"/>
      <c r="NXY11" s="1202"/>
      <c r="NXZ11" s="1202"/>
      <c r="NYA11" s="1202"/>
      <c r="NYB11" s="1202"/>
      <c r="NYC11" s="1202"/>
      <c r="NYD11" s="1202"/>
      <c r="NYE11" s="1202"/>
      <c r="NYF11" s="1202"/>
      <c r="NYG11" s="1202"/>
      <c r="NYH11" s="1202"/>
      <c r="NYI11" s="1202"/>
      <c r="NYJ11" s="1202"/>
      <c r="NYK11" s="1202"/>
      <c r="NYL11" s="1202"/>
      <c r="NYM11" s="1202"/>
      <c r="NYN11" s="1202"/>
      <c r="NYO11" s="1202"/>
      <c r="NYP11" s="1202"/>
      <c r="NYQ11" s="1202"/>
      <c r="NYR11" s="1202"/>
      <c r="NYS11" s="1202"/>
      <c r="NYT11" s="1202"/>
      <c r="NYU11" s="1202"/>
      <c r="NYV11" s="1202"/>
      <c r="NYW11" s="1202"/>
      <c r="NYX11" s="1202"/>
      <c r="NYY11" s="1202"/>
      <c r="NYZ11" s="1202"/>
      <c r="NZA11" s="1202"/>
      <c r="NZB11" s="1202"/>
      <c r="NZC11" s="1202"/>
      <c r="NZD11" s="1202"/>
      <c r="NZE11" s="1202"/>
      <c r="NZF11" s="1202"/>
      <c r="NZG11" s="1202"/>
      <c r="NZH11" s="1202"/>
      <c r="NZI11" s="1202"/>
      <c r="NZJ11" s="1202"/>
      <c r="NZK11" s="1202"/>
      <c r="NZL11" s="1202"/>
      <c r="NZM11" s="1202"/>
      <c r="NZN11" s="1202"/>
      <c r="NZO11" s="1202"/>
      <c r="NZP11" s="1202"/>
      <c r="NZQ11" s="1202"/>
      <c r="NZR11" s="1202"/>
      <c r="NZS11" s="1202"/>
      <c r="NZT11" s="1202"/>
      <c r="NZU11" s="1202"/>
      <c r="NZV11" s="1202"/>
      <c r="NZW11" s="1202"/>
      <c r="NZX11" s="1202"/>
      <c r="NZY11" s="1202"/>
      <c r="NZZ11" s="1202"/>
      <c r="OAA11" s="1202"/>
      <c r="OAB11" s="1202"/>
      <c r="OAC11" s="1202"/>
      <c r="OAD11" s="1202"/>
      <c r="OAE11" s="1202"/>
      <c r="OAF11" s="1202"/>
      <c r="OAG11" s="1202"/>
      <c r="OAH11" s="1202"/>
      <c r="OAI11" s="1202"/>
      <c r="OAJ11" s="1202"/>
      <c r="OAK11" s="1202"/>
      <c r="OAL11" s="1202"/>
      <c r="OAM11" s="1202"/>
      <c r="OAN11" s="1202"/>
      <c r="OAO11" s="1202"/>
      <c r="OAP11" s="1202"/>
      <c r="OAQ11" s="1202"/>
      <c r="OAR11" s="1202"/>
      <c r="OAS11" s="1202"/>
      <c r="OAT11" s="1202"/>
      <c r="OAU11" s="1202"/>
      <c r="OAV11" s="1202"/>
      <c r="OAW11" s="1202"/>
      <c r="OAX11" s="1202"/>
      <c r="OAY11" s="1202"/>
      <c r="OAZ11" s="1202"/>
      <c r="OBA11" s="1202"/>
      <c r="OBB11" s="1202"/>
      <c r="OBC11" s="1202"/>
      <c r="OBD11" s="1202"/>
      <c r="OBE11" s="1202"/>
      <c r="OBF11" s="1202"/>
      <c r="OBG11" s="1202"/>
      <c r="OBH11" s="1202"/>
      <c r="OBI11" s="1202"/>
      <c r="OBJ11" s="1202"/>
      <c r="OBK11" s="1202"/>
      <c r="OBL11" s="1202"/>
      <c r="OBM11" s="1202"/>
      <c r="OBN11" s="1202"/>
      <c r="OBO11" s="1202"/>
      <c r="OBP11" s="1202"/>
      <c r="OBQ11" s="1202"/>
      <c r="OBR11" s="1202"/>
      <c r="OBS11" s="1202"/>
      <c r="OBT11" s="1202"/>
      <c r="OBU11" s="1202"/>
      <c r="OBV11" s="1202"/>
      <c r="OBW11" s="1202"/>
      <c r="OBX11" s="1202"/>
      <c r="OBY11" s="1202"/>
      <c r="OBZ11" s="1202"/>
      <c r="OCA11" s="1202"/>
      <c r="OCB11" s="1202"/>
      <c r="OCC11" s="1202"/>
      <c r="OCD11" s="1202"/>
      <c r="OCE11" s="1202"/>
      <c r="OCF11" s="1202"/>
      <c r="OCG11" s="1202"/>
      <c r="OCH11" s="1202"/>
      <c r="OCI11" s="1202"/>
      <c r="OCJ11" s="1202"/>
      <c r="OCK11" s="1202"/>
      <c r="OCL11" s="1202"/>
      <c r="OCM11" s="1202"/>
      <c r="OCN11" s="1202"/>
      <c r="OCO11" s="1202"/>
      <c r="OCP11" s="1202"/>
      <c r="OCQ11" s="1202"/>
      <c r="OCR11" s="1202"/>
      <c r="OCS11" s="1202"/>
      <c r="OCT11" s="1202"/>
      <c r="OCU11" s="1202"/>
      <c r="OCV11" s="1202"/>
      <c r="OCW11" s="1202"/>
      <c r="OCX11" s="1202"/>
      <c r="OCY11" s="1202"/>
      <c r="OCZ11" s="1202"/>
      <c r="ODA11" s="1202"/>
      <c r="ODB11" s="1202"/>
      <c r="ODC11" s="1202"/>
      <c r="ODD11" s="1202"/>
      <c r="ODE11" s="1202"/>
      <c r="ODF11" s="1202"/>
      <c r="ODG11" s="1202"/>
      <c r="ODH11" s="1202"/>
      <c r="ODI11" s="1202"/>
      <c r="ODJ11" s="1202"/>
      <c r="ODK11" s="1202"/>
      <c r="ODL11" s="1202"/>
      <c r="ODM11" s="1202"/>
      <c r="ODN11" s="1202"/>
      <c r="ODO11" s="1202"/>
      <c r="ODP11" s="1202"/>
      <c r="ODQ11" s="1202"/>
      <c r="ODR11" s="1202"/>
      <c r="ODS11" s="1202"/>
      <c r="ODT11" s="1202"/>
      <c r="ODU11" s="1202"/>
      <c r="ODV11" s="1202"/>
      <c r="ODW11" s="1202"/>
      <c r="ODX11" s="1202"/>
      <c r="ODY11" s="1202"/>
      <c r="ODZ11" s="1202"/>
      <c r="OEA11" s="1202"/>
      <c r="OEB11" s="1202"/>
      <c r="OEC11" s="1202"/>
      <c r="OED11" s="1202"/>
      <c r="OEE11" s="1202"/>
      <c r="OEF11" s="1202"/>
      <c r="OEG11" s="1202"/>
      <c r="OEH11" s="1202"/>
      <c r="OEI11" s="1202"/>
      <c r="OEJ11" s="1202"/>
      <c r="OEK11" s="1202"/>
      <c r="OEL11" s="1202"/>
      <c r="OEM11" s="1202"/>
      <c r="OEN11" s="1202"/>
      <c r="OEO11" s="1202"/>
      <c r="OEP11" s="1202"/>
      <c r="OEQ11" s="1202"/>
      <c r="OER11" s="1202"/>
      <c r="OES11" s="1202"/>
      <c r="OET11" s="1202"/>
      <c r="OEU11" s="1202"/>
      <c r="OEV11" s="1202"/>
      <c r="OEW11" s="1202"/>
      <c r="OEX11" s="1202"/>
      <c r="OEY11" s="1202"/>
      <c r="OEZ11" s="1202"/>
      <c r="OFA11" s="1202"/>
      <c r="OFB11" s="1202"/>
      <c r="OFC11" s="1202"/>
      <c r="OFD11" s="1202"/>
      <c r="OFE11" s="1202"/>
      <c r="OFF11" s="1202"/>
      <c r="OFG11" s="1202"/>
      <c r="OFH11" s="1202"/>
      <c r="OFI11" s="1202"/>
      <c r="OFJ11" s="1202"/>
      <c r="OFK11" s="1202"/>
      <c r="OFL11" s="1202"/>
      <c r="OFM11" s="1202"/>
      <c r="OFN11" s="1202"/>
      <c r="OFO11" s="1202"/>
      <c r="OFP11" s="1202"/>
      <c r="OFQ11" s="1202"/>
      <c r="OFR11" s="1202"/>
      <c r="OFS11" s="1202"/>
      <c r="OFT11" s="1202"/>
      <c r="OFU11" s="1202"/>
      <c r="OFV11" s="1202"/>
      <c r="OFW11" s="1202"/>
      <c r="OFX11" s="1202"/>
      <c r="OFY11" s="1202"/>
      <c r="OFZ11" s="1202"/>
      <c r="OGA11" s="1202"/>
      <c r="OGB11" s="1202"/>
      <c r="OGC11" s="1202"/>
      <c r="OGD11" s="1202"/>
      <c r="OGE11" s="1202"/>
      <c r="OGF11" s="1202"/>
      <c r="OGG11" s="1202"/>
      <c r="OGH11" s="1202"/>
      <c r="OGI11" s="1202"/>
      <c r="OGJ11" s="1202"/>
      <c r="OGK11" s="1202"/>
      <c r="OGL11" s="1202"/>
      <c r="OGM11" s="1202"/>
      <c r="OGN11" s="1202"/>
      <c r="OGO11" s="1202"/>
      <c r="OGP11" s="1202"/>
      <c r="OGQ11" s="1202"/>
      <c r="OGR11" s="1202"/>
      <c r="OGS11" s="1202"/>
      <c r="OGT11" s="1202"/>
      <c r="OGU11" s="1202"/>
      <c r="OGV11" s="1202"/>
      <c r="OGW11" s="1202"/>
      <c r="OGX11" s="1202"/>
      <c r="OGY11" s="1202"/>
      <c r="OGZ11" s="1202"/>
      <c r="OHA11" s="1202"/>
      <c r="OHB11" s="1202"/>
      <c r="OHC11" s="1202"/>
      <c r="OHD11" s="1202"/>
      <c r="OHE11" s="1202"/>
      <c r="OHF11" s="1202"/>
      <c r="OHG11" s="1202"/>
      <c r="OHH11" s="1202"/>
      <c r="OHI11" s="1202"/>
      <c r="OHJ11" s="1202"/>
      <c r="OHK11" s="1202"/>
      <c r="OHL11" s="1202"/>
      <c r="OHM11" s="1202"/>
      <c r="OHN11" s="1202"/>
      <c r="OHO11" s="1202"/>
      <c r="OHP11" s="1202"/>
      <c r="OHQ11" s="1202"/>
      <c r="OHR11" s="1202"/>
      <c r="OHS11" s="1202"/>
      <c r="OHT11" s="1202"/>
      <c r="OHU11" s="1202"/>
      <c r="OHV11" s="1202"/>
      <c r="OHW11" s="1202"/>
      <c r="OHX11" s="1202"/>
      <c r="OHY11" s="1202"/>
      <c r="OHZ11" s="1202"/>
      <c r="OIA11" s="1202"/>
      <c r="OIB11" s="1202"/>
      <c r="OIC11" s="1202"/>
      <c r="OID11" s="1202"/>
      <c r="OIE11" s="1202"/>
      <c r="OIF11" s="1202"/>
      <c r="OIG11" s="1202"/>
      <c r="OIH11" s="1202"/>
      <c r="OII11" s="1202"/>
      <c r="OIJ11" s="1202"/>
      <c r="OIK11" s="1202"/>
      <c r="OIL11" s="1202"/>
      <c r="OIM11" s="1202"/>
      <c r="OIN11" s="1202"/>
      <c r="OIO11" s="1202"/>
      <c r="OIP11" s="1202"/>
      <c r="OIQ11" s="1202"/>
      <c r="OIR11" s="1202"/>
      <c r="OIS11" s="1202"/>
      <c r="OIT11" s="1202"/>
      <c r="OIU11" s="1202"/>
      <c r="OIV11" s="1202"/>
      <c r="OIW11" s="1202"/>
      <c r="OIX11" s="1202"/>
      <c r="OIY11" s="1202"/>
      <c r="OIZ11" s="1202"/>
      <c r="OJA11" s="1202"/>
      <c r="OJB11" s="1202"/>
      <c r="OJC11" s="1202"/>
      <c r="OJD11" s="1202"/>
      <c r="OJE11" s="1202"/>
      <c r="OJF11" s="1202"/>
      <c r="OJG11" s="1202"/>
      <c r="OJH11" s="1202"/>
      <c r="OJI11" s="1202"/>
      <c r="OJJ11" s="1202"/>
      <c r="OJK11" s="1202"/>
      <c r="OJL11" s="1202"/>
      <c r="OJM11" s="1202"/>
      <c r="OJN11" s="1202"/>
      <c r="OJO11" s="1202"/>
      <c r="OJP11" s="1202"/>
      <c r="OJQ11" s="1202"/>
      <c r="OJR11" s="1202"/>
      <c r="OJS11" s="1202"/>
      <c r="OJT11" s="1202"/>
      <c r="OJU11" s="1202"/>
      <c r="OJV11" s="1202"/>
      <c r="OJW11" s="1202"/>
      <c r="OJX11" s="1202"/>
      <c r="OJY11" s="1202"/>
      <c r="OJZ11" s="1202"/>
      <c r="OKA11" s="1202"/>
      <c r="OKB11" s="1202"/>
      <c r="OKC11" s="1202"/>
      <c r="OKD11" s="1202"/>
      <c r="OKE11" s="1202"/>
      <c r="OKF11" s="1202"/>
      <c r="OKG11" s="1202"/>
      <c r="OKH11" s="1202"/>
      <c r="OKI11" s="1202"/>
      <c r="OKJ11" s="1202"/>
      <c r="OKK11" s="1202"/>
      <c r="OKL11" s="1202"/>
      <c r="OKM11" s="1202"/>
      <c r="OKN11" s="1202"/>
      <c r="OKO11" s="1202"/>
      <c r="OKP11" s="1202"/>
      <c r="OKQ11" s="1202"/>
      <c r="OKR11" s="1202"/>
      <c r="OKS11" s="1202"/>
      <c r="OKT11" s="1202"/>
      <c r="OKU11" s="1202"/>
      <c r="OKV11" s="1202"/>
      <c r="OKW11" s="1202"/>
      <c r="OKX11" s="1202"/>
      <c r="OKY11" s="1202"/>
      <c r="OKZ11" s="1202"/>
      <c r="OLA11" s="1202"/>
      <c r="OLB11" s="1202"/>
      <c r="OLC11" s="1202"/>
      <c r="OLD11" s="1202"/>
      <c r="OLE11" s="1202"/>
      <c r="OLF11" s="1202"/>
      <c r="OLG11" s="1202"/>
      <c r="OLH11" s="1202"/>
      <c r="OLI11" s="1202"/>
      <c r="OLJ11" s="1202"/>
      <c r="OLK11" s="1202"/>
      <c r="OLL11" s="1202"/>
      <c r="OLM11" s="1202"/>
      <c r="OLN11" s="1202"/>
      <c r="OLO11" s="1202"/>
      <c r="OLP11" s="1202"/>
      <c r="OLQ11" s="1202"/>
      <c r="OLR11" s="1202"/>
      <c r="OLS11" s="1202"/>
      <c r="OLT11" s="1202"/>
      <c r="OLU11" s="1202"/>
      <c r="OLV11" s="1202"/>
      <c r="OLW11" s="1202"/>
      <c r="OLX11" s="1202"/>
      <c r="OLY11" s="1202"/>
      <c r="OLZ11" s="1202"/>
      <c r="OMA11" s="1202"/>
      <c r="OMB11" s="1202"/>
      <c r="OMC11" s="1202"/>
      <c r="OMD11" s="1202"/>
      <c r="OME11" s="1202"/>
      <c r="OMF11" s="1202"/>
      <c r="OMG11" s="1202"/>
      <c r="OMH11" s="1202"/>
      <c r="OMI11" s="1202"/>
      <c r="OMJ11" s="1202"/>
      <c r="OMK11" s="1202"/>
      <c r="OML11" s="1202"/>
      <c r="OMM11" s="1202"/>
      <c r="OMN11" s="1202"/>
      <c r="OMO11" s="1202"/>
      <c r="OMP11" s="1202"/>
      <c r="OMQ11" s="1202"/>
      <c r="OMR11" s="1202"/>
      <c r="OMS11" s="1202"/>
      <c r="OMT11" s="1202"/>
      <c r="OMU11" s="1202"/>
      <c r="OMV11" s="1202"/>
      <c r="OMW11" s="1202"/>
      <c r="OMX11" s="1202"/>
      <c r="OMY11" s="1202"/>
      <c r="OMZ11" s="1202"/>
      <c r="ONA11" s="1202"/>
      <c r="ONB11" s="1202"/>
      <c r="ONC11" s="1202"/>
      <c r="OND11" s="1202"/>
      <c r="ONE11" s="1202"/>
      <c r="ONF11" s="1202"/>
      <c r="ONG11" s="1202"/>
      <c r="ONH11" s="1202"/>
      <c r="ONI11" s="1202"/>
      <c r="ONJ11" s="1202"/>
      <c r="ONK11" s="1202"/>
      <c r="ONL11" s="1202"/>
      <c r="ONM11" s="1202"/>
      <c r="ONN11" s="1202"/>
      <c r="ONO11" s="1202"/>
      <c r="ONP11" s="1202"/>
      <c r="ONQ11" s="1202"/>
      <c r="ONR11" s="1202"/>
      <c r="ONS11" s="1202"/>
      <c r="ONT11" s="1202"/>
      <c r="ONU11" s="1202"/>
      <c r="ONV11" s="1202"/>
      <c r="ONW11" s="1202"/>
      <c r="ONX11" s="1202"/>
      <c r="ONY11" s="1202"/>
      <c r="ONZ11" s="1202"/>
      <c r="OOA11" s="1202"/>
      <c r="OOB11" s="1202"/>
      <c r="OOC11" s="1202"/>
      <c r="OOD11" s="1202"/>
      <c r="OOE11" s="1202"/>
      <c r="OOF11" s="1202"/>
      <c r="OOG11" s="1202"/>
      <c r="OOH11" s="1202"/>
      <c r="OOI11" s="1202"/>
      <c r="OOJ11" s="1202"/>
      <c r="OOK11" s="1202"/>
      <c r="OOL11" s="1202"/>
      <c r="OOM11" s="1202"/>
      <c r="OON11" s="1202"/>
      <c r="OOO11" s="1202"/>
      <c r="OOP11" s="1202"/>
      <c r="OOQ11" s="1202"/>
      <c r="OOR11" s="1202"/>
      <c r="OOS11" s="1202"/>
      <c r="OOT11" s="1202"/>
      <c r="OOU11" s="1202"/>
      <c r="OOV11" s="1202"/>
      <c r="OOW11" s="1202"/>
      <c r="OOX11" s="1202"/>
      <c r="OOY11" s="1202"/>
      <c r="OOZ11" s="1202"/>
      <c r="OPA11" s="1202"/>
      <c r="OPB11" s="1202"/>
      <c r="OPC11" s="1202"/>
      <c r="OPD11" s="1202"/>
      <c r="OPE11" s="1202"/>
      <c r="OPF11" s="1202"/>
      <c r="OPG11" s="1202"/>
      <c r="OPH11" s="1202"/>
      <c r="OPI11" s="1202"/>
      <c r="OPJ11" s="1202"/>
      <c r="OPK11" s="1202"/>
      <c r="OPL11" s="1202"/>
      <c r="OPM11" s="1202"/>
      <c r="OPN11" s="1202"/>
      <c r="OPO11" s="1202"/>
      <c r="OPP11" s="1202"/>
      <c r="OPQ11" s="1202"/>
      <c r="OPR11" s="1202"/>
      <c r="OPS11" s="1202"/>
      <c r="OPT11" s="1202"/>
      <c r="OPU11" s="1202"/>
      <c r="OPV11" s="1202"/>
      <c r="OPW11" s="1202"/>
      <c r="OPX11" s="1202"/>
      <c r="OPY11" s="1202"/>
      <c r="OPZ11" s="1202"/>
      <c r="OQA11" s="1202"/>
      <c r="OQB11" s="1202"/>
      <c r="OQC11" s="1202"/>
      <c r="OQD11" s="1202"/>
      <c r="OQE11" s="1202"/>
      <c r="OQF11" s="1202"/>
      <c r="OQG11" s="1202"/>
      <c r="OQH11" s="1202"/>
      <c r="OQI11" s="1202"/>
      <c r="OQJ11" s="1202"/>
      <c r="OQK11" s="1202"/>
      <c r="OQL11" s="1202"/>
      <c r="OQM11" s="1202"/>
      <c r="OQN11" s="1202"/>
      <c r="OQO11" s="1202"/>
      <c r="OQP11" s="1202"/>
      <c r="OQQ11" s="1202"/>
      <c r="OQR11" s="1202"/>
      <c r="OQS11" s="1202"/>
      <c r="OQT11" s="1202"/>
      <c r="OQU11" s="1202"/>
      <c r="OQV11" s="1202"/>
      <c r="OQW11" s="1202"/>
      <c r="OQX11" s="1202"/>
      <c r="OQY11" s="1202"/>
      <c r="OQZ11" s="1202"/>
      <c r="ORA11" s="1202"/>
      <c r="ORB11" s="1202"/>
      <c r="ORC11" s="1202"/>
      <c r="ORD11" s="1202"/>
      <c r="ORE11" s="1202"/>
      <c r="ORF11" s="1202"/>
      <c r="ORG11" s="1202"/>
      <c r="ORH11" s="1202"/>
      <c r="ORI11" s="1202"/>
      <c r="ORJ11" s="1202"/>
      <c r="ORK11" s="1202"/>
      <c r="ORL11" s="1202"/>
      <c r="ORM11" s="1202"/>
      <c r="ORN11" s="1202"/>
      <c r="ORO11" s="1202"/>
      <c r="ORP11" s="1202"/>
      <c r="ORQ11" s="1202"/>
      <c r="ORR11" s="1202"/>
      <c r="ORS11" s="1202"/>
      <c r="ORT11" s="1202"/>
      <c r="ORU11" s="1202"/>
      <c r="ORV11" s="1202"/>
      <c r="ORW11" s="1202"/>
      <c r="ORX11" s="1202"/>
      <c r="ORY11" s="1202"/>
      <c r="ORZ11" s="1202"/>
      <c r="OSA11" s="1202"/>
      <c r="OSB11" s="1202"/>
      <c r="OSC11" s="1202"/>
      <c r="OSD11" s="1202"/>
      <c r="OSE11" s="1202"/>
      <c r="OSF11" s="1202"/>
      <c r="OSG11" s="1202"/>
      <c r="OSH11" s="1202"/>
      <c r="OSI11" s="1202"/>
      <c r="OSJ11" s="1202"/>
      <c r="OSK11" s="1202"/>
      <c r="OSL11" s="1202"/>
      <c r="OSM11" s="1202"/>
      <c r="OSN11" s="1202"/>
      <c r="OSO11" s="1202"/>
      <c r="OSP11" s="1202"/>
      <c r="OSQ11" s="1202"/>
      <c r="OSR11" s="1202"/>
      <c r="OSS11" s="1202"/>
      <c r="OST11" s="1202"/>
      <c r="OSU11" s="1202"/>
      <c r="OSV11" s="1202"/>
      <c r="OSW11" s="1202"/>
      <c r="OSX11" s="1202"/>
      <c r="OSY11" s="1202"/>
      <c r="OSZ11" s="1202"/>
      <c r="OTA11" s="1202"/>
      <c r="OTB11" s="1202"/>
      <c r="OTC11" s="1202"/>
      <c r="OTD11" s="1202"/>
      <c r="OTE11" s="1202"/>
      <c r="OTF11" s="1202"/>
      <c r="OTG11" s="1202"/>
      <c r="OTH11" s="1202"/>
      <c r="OTI11" s="1202"/>
      <c r="OTJ11" s="1202"/>
      <c r="OTK11" s="1202"/>
      <c r="OTL11" s="1202"/>
      <c r="OTM11" s="1202"/>
      <c r="OTN11" s="1202"/>
      <c r="OTO11" s="1202"/>
      <c r="OTP11" s="1202"/>
      <c r="OTQ11" s="1202"/>
      <c r="OTR11" s="1202"/>
      <c r="OTS11" s="1202"/>
      <c r="OTT11" s="1202"/>
      <c r="OTU11" s="1202"/>
      <c r="OTV11" s="1202"/>
      <c r="OTW11" s="1202"/>
      <c r="OTX11" s="1202"/>
      <c r="OTY11" s="1202"/>
      <c r="OTZ11" s="1202"/>
      <c r="OUA11" s="1202"/>
      <c r="OUB11" s="1202"/>
      <c r="OUC11" s="1202"/>
      <c r="OUD11" s="1202"/>
      <c r="OUE11" s="1202"/>
      <c r="OUF11" s="1202"/>
      <c r="OUG11" s="1202"/>
      <c r="OUH11" s="1202"/>
      <c r="OUI11" s="1202"/>
      <c r="OUJ11" s="1202"/>
      <c r="OUK11" s="1202"/>
      <c r="OUL11" s="1202"/>
      <c r="OUM11" s="1202"/>
      <c r="OUN11" s="1202"/>
      <c r="OUO11" s="1202"/>
      <c r="OUP11" s="1202"/>
      <c r="OUQ11" s="1202"/>
      <c r="OUR11" s="1202"/>
      <c r="OUS11" s="1202"/>
      <c r="OUT11" s="1202"/>
      <c r="OUU11" s="1202"/>
      <c r="OUV11" s="1202"/>
      <c r="OUW11" s="1202"/>
      <c r="OUX11" s="1202"/>
      <c r="OUY11" s="1202"/>
      <c r="OUZ11" s="1202"/>
      <c r="OVA11" s="1202"/>
      <c r="OVB11" s="1202"/>
      <c r="OVC11" s="1202"/>
      <c r="OVD11" s="1202"/>
      <c r="OVE11" s="1202"/>
      <c r="OVF11" s="1202"/>
      <c r="OVG11" s="1202"/>
      <c r="OVH11" s="1202"/>
      <c r="OVI11" s="1202"/>
      <c r="OVJ11" s="1202"/>
      <c r="OVK11" s="1202"/>
      <c r="OVL11" s="1202"/>
      <c r="OVM11" s="1202"/>
      <c r="OVN11" s="1202"/>
      <c r="OVO11" s="1202"/>
      <c r="OVP11" s="1202"/>
      <c r="OVQ11" s="1202"/>
      <c r="OVR11" s="1202"/>
      <c r="OVS11" s="1202"/>
      <c r="OVT11" s="1202"/>
      <c r="OVU11" s="1202"/>
      <c r="OVV11" s="1202"/>
      <c r="OVW11" s="1202"/>
      <c r="OVX11" s="1202"/>
      <c r="OVY11" s="1202"/>
      <c r="OVZ11" s="1202"/>
      <c r="OWA11" s="1202"/>
      <c r="OWB11" s="1202"/>
      <c r="OWC11" s="1202"/>
      <c r="OWD11" s="1202"/>
      <c r="OWE11" s="1202"/>
      <c r="OWF11" s="1202"/>
      <c r="OWG11" s="1202"/>
      <c r="OWH11" s="1202"/>
      <c r="OWI11" s="1202"/>
      <c r="OWJ11" s="1202"/>
      <c r="OWK11" s="1202"/>
      <c r="OWL11" s="1202"/>
      <c r="OWM11" s="1202"/>
      <c r="OWN11" s="1202"/>
      <c r="OWO11" s="1202"/>
      <c r="OWP11" s="1202"/>
      <c r="OWQ11" s="1202"/>
      <c r="OWR11" s="1202"/>
      <c r="OWS11" s="1202"/>
      <c r="OWT11" s="1202"/>
      <c r="OWU11" s="1202"/>
      <c r="OWV11" s="1202"/>
      <c r="OWW11" s="1202"/>
      <c r="OWX11" s="1202"/>
      <c r="OWY11" s="1202"/>
      <c r="OWZ11" s="1202"/>
      <c r="OXA11" s="1202"/>
      <c r="OXB11" s="1202"/>
      <c r="OXC11" s="1202"/>
      <c r="OXD11" s="1202"/>
      <c r="OXE11" s="1202"/>
      <c r="OXF11" s="1202"/>
      <c r="OXG11" s="1202"/>
      <c r="OXH11" s="1202"/>
      <c r="OXI11" s="1202"/>
      <c r="OXJ11" s="1202"/>
      <c r="OXK11" s="1202"/>
      <c r="OXL11" s="1202"/>
      <c r="OXM11" s="1202"/>
      <c r="OXN11" s="1202"/>
      <c r="OXO11" s="1202"/>
      <c r="OXP11" s="1202"/>
      <c r="OXQ11" s="1202"/>
      <c r="OXR11" s="1202"/>
      <c r="OXS11" s="1202"/>
      <c r="OXT11" s="1202"/>
      <c r="OXU11" s="1202"/>
      <c r="OXV11" s="1202"/>
      <c r="OXW11" s="1202"/>
      <c r="OXX11" s="1202"/>
      <c r="OXY11" s="1202"/>
      <c r="OXZ11" s="1202"/>
      <c r="OYA11" s="1202"/>
      <c r="OYB11" s="1202"/>
      <c r="OYC11" s="1202"/>
      <c r="OYD11" s="1202"/>
      <c r="OYE11" s="1202"/>
      <c r="OYF11" s="1202"/>
      <c r="OYG11" s="1202"/>
      <c r="OYH11" s="1202"/>
      <c r="OYI11" s="1202"/>
      <c r="OYJ11" s="1202"/>
      <c r="OYK11" s="1202"/>
      <c r="OYL11" s="1202"/>
      <c r="OYM11" s="1202"/>
      <c r="OYN11" s="1202"/>
      <c r="OYO11" s="1202"/>
      <c r="OYP11" s="1202"/>
      <c r="OYQ11" s="1202"/>
      <c r="OYR11" s="1202"/>
      <c r="OYS11" s="1202"/>
      <c r="OYT11" s="1202"/>
      <c r="OYU11" s="1202"/>
      <c r="OYV11" s="1202"/>
      <c r="OYW11" s="1202"/>
      <c r="OYX11" s="1202"/>
      <c r="OYY11" s="1202"/>
      <c r="OYZ11" s="1202"/>
      <c r="OZA11" s="1202"/>
      <c r="OZB11" s="1202"/>
      <c r="OZC11" s="1202"/>
      <c r="OZD11" s="1202"/>
      <c r="OZE11" s="1202"/>
      <c r="OZF11" s="1202"/>
      <c r="OZG11" s="1202"/>
      <c r="OZH11" s="1202"/>
      <c r="OZI11" s="1202"/>
      <c r="OZJ11" s="1202"/>
      <c r="OZK11" s="1202"/>
      <c r="OZL11" s="1202"/>
      <c r="OZM11" s="1202"/>
      <c r="OZN11" s="1202"/>
      <c r="OZO11" s="1202"/>
      <c r="OZP11" s="1202"/>
      <c r="OZQ11" s="1202"/>
      <c r="OZR11" s="1202"/>
      <c r="OZS11" s="1202"/>
      <c r="OZT11" s="1202"/>
      <c r="OZU11" s="1202"/>
      <c r="OZV11" s="1202"/>
      <c r="OZW11" s="1202"/>
      <c r="OZX11" s="1202"/>
      <c r="OZY11" s="1202"/>
      <c r="OZZ11" s="1202"/>
      <c r="PAA11" s="1202"/>
      <c r="PAB11" s="1202"/>
      <c r="PAC11" s="1202"/>
      <c r="PAD11" s="1202"/>
      <c r="PAE11" s="1202"/>
      <c r="PAF11" s="1202"/>
      <c r="PAG11" s="1202"/>
      <c r="PAH11" s="1202"/>
      <c r="PAI11" s="1202"/>
      <c r="PAJ11" s="1202"/>
      <c r="PAK11" s="1202"/>
      <c r="PAL11" s="1202"/>
      <c r="PAM11" s="1202"/>
      <c r="PAN11" s="1202"/>
      <c r="PAO11" s="1202"/>
      <c r="PAP11" s="1202"/>
      <c r="PAQ11" s="1202"/>
      <c r="PAR11" s="1202"/>
      <c r="PAS11" s="1202"/>
      <c r="PAT11" s="1202"/>
      <c r="PAU11" s="1202"/>
      <c r="PAV11" s="1202"/>
      <c r="PAW11" s="1202"/>
      <c r="PAX11" s="1202"/>
      <c r="PAY11" s="1202"/>
      <c r="PAZ11" s="1202"/>
      <c r="PBA11" s="1202"/>
      <c r="PBB11" s="1202"/>
      <c r="PBC11" s="1202"/>
      <c r="PBD11" s="1202"/>
      <c r="PBE11" s="1202"/>
      <c r="PBF11" s="1202"/>
      <c r="PBG11" s="1202"/>
      <c r="PBH11" s="1202"/>
      <c r="PBI11" s="1202"/>
      <c r="PBJ11" s="1202"/>
      <c r="PBK11" s="1202"/>
      <c r="PBL11" s="1202"/>
      <c r="PBM11" s="1202"/>
      <c r="PBN11" s="1202"/>
      <c r="PBO11" s="1202"/>
      <c r="PBP11" s="1202"/>
      <c r="PBQ11" s="1202"/>
      <c r="PBR11" s="1202"/>
      <c r="PBS11" s="1202"/>
      <c r="PBT11" s="1202"/>
      <c r="PBU11" s="1202"/>
      <c r="PBV11" s="1202"/>
      <c r="PBW11" s="1202"/>
      <c r="PBX11" s="1202"/>
      <c r="PBY11" s="1202"/>
      <c r="PBZ11" s="1202"/>
      <c r="PCA11" s="1202"/>
      <c r="PCB11" s="1202"/>
      <c r="PCC11" s="1202"/>
      <c r="PCD11" s="1202"/>
      <c r="PCE11" s="1202"/>
      <c r="PCF11" s="1202"/>
      <c r="PCG11" s="1202"/>
      <c r="PCH11" s="1202"/>
      <c r="PCI11" s="1202"/>
      <c r="PCJ11" s="1202"/>
      <c r="PCK11" s="1202"/>
      <c r="PCL11" s="1202"/>
      <c r="PCM11" s="1202"/>
      <c r="PCN11" s="1202"/>
      <c r="PCO11" s="1202"/>
      <c r="PCP11" s="1202"/>
      <c r="PCQ11" s="1202"/>
      <c r="PCR11" s="1202"/>
      <c r="PCS11" s="1202"/>
      <c r="PCT11" s="1202"/>
      <c r="PCU11" s="1202"/>
      <c r="PCV11" s="1202"/>
      <c r="PCW11" s="1202"/>
      <c r="PCX11" s="1202"/>
      <c r="PCY11" s="1202"/>
      <c r="PCZ11" s="1202"/>
      <c r="PDA11" s="1202"/>
      <c r="PDB11" s="1202"/>
      <c r="PDC11" s="1202"/>
      <c r="PDD11" s="1202"/>
      <c r="PDE11" s="1202"/>
      <c r="PDF11" s="1202"/>
      <c r="PDG11" s="1202"/>
      <c r="PDH11" s="1202"/>
      <c r="PDI11" s="1202"/>
      <c r="PDJ11" s="1202"/>
      <c r="PDK11" s="1202"/>
      <c r="PDL11" s="1202"/>
      <c r="PDM11" s="1202"/>
      <c r="PDN11" s="1202"/>
      <c r="PDO11" s="1202"/>
      <c r="PDP11" s="1202"/>
      <c r="PDQ11" s="1202"/>
      <c r="PDR11" s="1202"/>
      <c r="PDS11" s="1202"/>
      <c r="PDT11" s="1202"/>
      <c r="PDU11" s="1202"/>
      <c r="PDV11" s="1202"/>
      <c r="PDW11" s="1202"/>
      <c r="PDX11" s="1202"/>
      <c r="PDY11" s="1202"/>
      <c r="PDZ11" s="1202"/>
      <c r="PEA11" s="1202"/>
      <c r="PEB11" s="1202"/>
      <c r="PEC11" s="1202"/>
      <c r="PED11" s="1202"/>
      <c r="PEE11" s="1202"/>
      <c r="PEF11" s="1202"/>
      <c r="PEG11" s="1202"/>
      <c r="PEH11" s="1202"/>
      <c r="PEI11" s="1202"/>
      <c r="PEJ11" s="1202"/>
      <c r="PEK11" s="1202"/>
      <c r="PEL11" s="1202"/>
      <c r="PEM11" s="1202"/>
      <c r="PEN11" s="1202"/>
      <c r="PEO11" s="1202"/>
      <c r="PEP11" s="1202"/>
      <c r="PEQ11" s="1202"/>
      <c r="PER11" s="1202"/>
      <c r="PES11" s="1202"/>
      <c r="PET11" s="1202"/>
      <c r="PEU11" s="1202"/>
      <c r="PEV11" s="1202"/>
      <c r="PEW11" s="1202"/>
      <c r="PEX11" s="1202"/>
      <c r="PEY11" s="1202"/>
      <c r="PEZ11" s="1202"/>
      <c r="PFA11" s="1202"/>
      <c r="PFB11" s="1202"/>
      <c r="PFC11" s="1202"/>
      <c r="PFD11" s="1202"/>
      <c r="PFE11" s="1202"/>
      <c r="PFF11" s="1202"/>
      <c r="PFG11" s="1202"/>
      <c r="PFH11" s="1202"/>
      <c r="PFI11" s="1202"/>
      <c r="PFJ11" s="1202"/>
      <c r="PFK11" s="1202"/>
      <c r="PFL11" s="1202"/>
      <c r="PFM11" s="1202"/>
      <c r="PFN11" s="1202"/>
      <c r="PFO11" s="1202"/>
      <c r="PFP11" s="1202"/>
      <c r="PFQ11" s="1202"/>
      <c r="PFR11" s="1202"/>
      <c r="PFS11" s="1202"/>
      <c r="PFT11" s="1202"/>
      <c r="PFU11" s="1202"/>
      <c r="PFV11" s="1202"/>
      <c r="PFW11" s="1202"/>
      <c r="PFX11" s="1202"/>
      <c r="PFY11" s="1202"/>
      <c r="PFZ11" s="1202"/>
      <c r="PGA11" s="1202"/>
      <c r="PGB11" s="1202"/>
      <c r="PGC11" s="1202"/>
      <c r="PGD11" s="1202"/>
      <c r="PGE11" s="1202"/>
      <c r="PGF11" s="1202"/>
      <c r="PGG11" s="1202"/>
      <c r="PGH11" s="1202"/>
      <c r="PGI11" s="1202"/>
      <c r="PGJ11" s="1202"/>
      <c r="PGK11" s="1202"/>
      <c r="PGL11" s="1202"/>
      <c r="PGM11" s="1202"/>
      <c r="PGN11" s="1202"/>
      <c r="PGO11" s="1202"/>
      <c r="PGP11" s="1202"/>
      <c r="PGQ11" s="1202"/>
      <c r="PGR11" s="1202"/>
      <c r="PGS11" s="1202"/>
      <c r="PGT11" s="1202"/>
      <c r="PGU11" s="1202"/>
      <c r="PGV11" s="1202"/>
      <c r="PGW11" s="1202"/>
      <c r="PGX11" s="1202"/>
      <c r="PGY11" s="1202"/>
      <c r="PGZ11" s="1202"/>
      <c r="PHA11" s="1202"/>
      <c r="PHB11" s="1202"/>
      <c r="PHC11" s="1202"/>
      <c r="PHD11" s="1202"/>
      <c r="PHE11" s="1202"/>
      <c r="PHF11" s="1202"/>
      <c r="PHG11" s="1202"/>
      <c r="PHH11" s="1202"/>
      <c r="PHI11" s="1202"/>
      <c r="PHJ11" s="1202"/>
      <c r="PHK11" s="1202"/>
      <c r="PHL11" s="1202"/>
      <c r="PHM11" s="1202"/>
      <c r="PHN11" s="1202"/>
      <c r="PHO11" s="1202"/>
      <c r="PHP11" s="1202"/>
      <c r="PHQ11" s="1202"/>
      <c r="PHR11" s="1202"/>
      <c r="PHS11" s="1202"/>
      <c r="PHT11" s="1202"/>
      <c r="PHU11" s="1202"/>
      <c r="PHV11" s="1202"/>
      <c r="PHW11" s="1202"/>
      <c r="PHX11" s="1202"/>
      <c r="PHY11" s="1202"/>
      <c r="PHZ11" s="1202"/>
      <c r="PIA11" s="1202"/>
      <c r="PIB11" s="1202"/>
      <c r="PIC11" s="1202"/>
      <c r="PID11" s="1202"/>
      <c r="PIE11" s="1202"/>
      <c r="PIF11" s="1202"/>
      <c r="PIG11" s="1202"/>
      <c r="PIH11" s="1202"/>
      <c r="PII11" s="1202"/>
      <c r="PIJ11" s="1202"/>
      <c r="PIK11" s="1202"/>
      <c r="PIL11" s="1202"/>
      <c r="PIM11" s="1202"/>
      <c r="PIN11" s="1202"/>
      <c r="PIO11" s="1202"/>
      <c r="PIP11" s="1202"/>
      <c r="PIQ11" s="1202"/>
      <c r="PIR11" s="1202"/>
      <c r="PIS11" s="1202"/>
      <c r="PIT11" s="1202"/>
      <c r="PIU11" s="1202"/>
      <c r="PIV11" s="1202"/>
      <c r="PIW11" s="1202"/>
      <c r="PIX11" s="1202"/>
      <c r="PIY11" s="1202"/>
      <c r="PIZ11" s="1202"/>
      <c r="PJA11" s="1202"/>
      <c r="PJB11" s="1202"/>
      <c r="PJC11" s="1202"/>
      <c r="PJD11" s="1202"/>
      <c r="PJE11" s="1202"/>
      <c r="PJF11" s="1202"/>
      <c r="PJG11" s="1202"/>
      <c r="PJH11" s="1202"/>
      <c r="PJI11" s="1202"/>
      <c r="PJJ11" s="1202"/>
      <c r="PJK11" s="1202"/>
      <c r="PJL11" s="1202"/>
      <c r="PJM11" s="1202"/>
      <c r="PJN11" s="1202"/>
      <c r="PJO11" s="1202"/>
      <c r="PJP11" s="1202"/>
      <c r="PJQ11" s="1202"/>
      <c r="PJR11" s="1202"/>
      <c r="PJS11" s="1202"/>
      <c r="PJT11" s="1202"/>
      <c r="PJU11" s="1202"/>
      <c r="PJV11" s="1202"/>
      <c r="PJW11" s="1202"/>
      <c r="PJX11" s="1202"/>
      <c r="PJY11" s="1202"/>
      <c r="PJZ11" s="1202"/>
      <c r="PKA11" s="1202"/>
      <c r="PKB11" s="1202"/>
      <c r="PKC11" s="1202"/>
      <c r="PKD11" s="1202"/>
      <c r="PKE11" s="1202"/>
      <c r="PKF11" s="1202"/>
      <c r="PKG11" s="1202"/>
      <c r="PKH11" s="1202"/>
      <c r="PKI11" s="1202"/>
      <c r="PKJ11" s="1202"/>
      <c r="PKK11" s="1202"/>
      <c r="PKL11" s="1202"/>
      <c r="PKM11" s="1202"/>
      <c r="PKN11" s="1202"/>
      <c r="PKO11" s="1202"/>
      <c r="PKP11" s="1202"/>
      <c r="PKQ11" s="1202"/>
      <c r="PKR11" s="1202"/>
      <c r="PKS11" s="1202"/>
      <c r="PKT11" s="1202"/>
      <c r="PKU11" s="1202"/>
      <c r="PKV11" s="1202"/>
      <c r="PKW11" s="1202"/>
      <c r="PKX11" s="1202"/>
      <c r="PKY11" s="1202"/>
      <c r="PKZ11" s="1202"/>
      <c r="PLA11" s="1202"/>
      <c r="PLB11" s="1202"/>
      <c r="PLC11" s="1202"/>
      <c r="PLD11" s="1202"/>
      <c r="PLE11" s="1202"/>
      <c r="PLF11" s="1202"/>
      <c r="PLG11" s="1202"/>
      <c r="PLH11" s="1202"/>
      <c r="PLI11" s="1202"/>
      <c r="PLJ11" s="1202"/>
      <c r="PLK11" s="1202"/>
      <c r="PLL11" s="1202"/>
      <c r="PLM11" s="1202"/>
      <c r="PLN11" s="1202"/>
      <c r="PLO11" s="1202"/>
      <c r="PLP11" s="1202"/>
      <c r="PLQ11" s="1202"/>
      <c r="PLR11" s="1202"/>
      <c r="PLS11" s="1202"/>
      <c r="PLT11" s="1202"/>
      <c r="PLU11" s="1202"/>
      <c r="PLV11" s="1202"/>
      <c r="PLW11" s="1202"/>
      <c r="PLX11" s="1202"/>
      <c r="PLY11" s="1202"/>
      <c r="PLZ11" s="1202"/>
      <c r="PMA11" s="1202"/>
      <c r="PMB11" s="1202"/>
      <c r="PMC11" s="1202"/>
      <c r="PMD11" s="1202"/>
      <c r="PME11" s="1202"/>
      <c r="PMF11" s="1202"/>
      <c r="PMG11" s="1202"/>
      <c r="PMH11" s="1202"/>
      <c r="PMI11" s="1202"/>
      <c r="PMJ11" s="1202"/>
      <c r="PMK11" s="1202"/>
      <c r="PML11" s="1202"/>
      <c r="PMM11" s="1202"/>
      <c r="PMN11" s="1202"/>
      <c r="PMO11" s="1202"/>
      <c r="PMP11" s="1202"/>
      <c r="PMQ11" s="1202"/>
      <c r="PMR11" s="1202"/>
      <c r="PMS11" s="1202"/>
      <c r="PMT11" s="1202"/>
      <c r="PMU11" s="1202"/>
      <c r="PMV11" s="1202"/>
      <c r="PMW11" s="1202"/>
      <c r="PMX11" s="1202"/>
      <c r="PMY11" s="1202"/>
      <c r="PMZ11" s="1202"/>
      <c r="PNA11" s="1202"/>
      <c r="PNB11" s="1202"/>
      <c r="PNC11" s="1202"/>
      <c r="PND11" s="1202"/>
      <c r="PNE11" s="1202"/>
      <c r="PNF11" s="1202"/>
      <c r="PNG11" s="1202"/>
      <c r="PNH11" s="1202"/>
      <c r="PNI11" s="1202"/>
      <c r="PNJ11" s="1202"/>
      <c r="PNK11" s="1202"/>
      <c r="PNL11" s="1202"/>
      <c r="PNM11" s="1202"/>
      <c r="PNN11" s="1202"/>
      <c r="PNO11" s="1202"/>
      <c r="PNP11" s="1202"/>
      <c r="PNQ11" s="1202"/>
      <c r="PNR11" s="1202"/>
      <c r="PNS11" s="1202"/>
      <c r="PNT11" s="1202"/>
      <c r="PNU11" s="1202"/>
      <c r="PNV11" s="1202"/>
      <c r="PNW11" s="1202"/>
      <c r="PNX11" s="1202"/>
      <c r="PNY11" s="1202"/>
      <c r="PNZ11" s="1202"/>
      <c r="POA11" s="1202"/>
      <c r="POB11" s="1202"/>
      <c r="POC11" s="1202"/>
      <c r="POD11" s="1202"/>
      <c r="POE11" s="1202"/>
      <c r="POF11" s="1202"/>
      <c r="POG11" s="1202"/>
      <c r="POH11" s="1202"/>
      <c r="POI11" s="1202"/>
      <c r="POJ11" s="1202"/>
      <c r="POK11" s="1202"/>
      <c r="POL11" s="1202"/>
      <c r="POM11" s="1202"/>
      <c r="PON11" s="1202"/>
      <c r="POO11" s="1202"/>
      <c r="POP11" s="1202"/>
      <c r="POQ11" s="1202"/>
      <c r="POR11" s="1202"/>
      <c r="POS11" s="1202"/>
      <c r="POT11" s="1202"/>
      <c r="POU11" s="1202"/>
      <c r="POV11" s="1202"/>
      <c r="POW11" s="1202"/>
      <c r="POX11" s="1202"/>
      <c r="POY11" s="1202"/>
      <c r="POZ11" s="1202"/>
      <c r="PPA11" s="1202"/>
      <c r="PPB11" s="1202"/>
      <c r="PPC11" s="1202"/>
      <c r="PPD11" s="1202"/>
      <c r="PPE11" s="1202"/>
      <c r="PPF11" s="1202"/>
      <c r="PPG11" s="1202"/>
      <c r="PPH11" s="1202"/>
      <c r="PPI11" s="1202"/>
      <c r="PPJ11" s="1202"/>
      <c r="PPK11" s="1202"/>
      <c r="PPL11" s="1202"/>
      <c r="PPM11" s="1202"/>
      <c r="PPN11" s="1202"/>
      <c r="PPO11" s="1202"/>
      <c r="PPP11" s="1202"/>
      <c r="PPQ11" s="1202"/>
      <c r="PPR11" s="1202"/>
      <c r="PPS11" s="1202"/>
      <c r="PPT11" s="1202"/>
      <c r="PPU11" s="1202"/>
      <c r="PPV11" s="1202"/>
      <c r="PPW11" s="1202"/>
      <c r="PPX11" s="1202"/>
      <c r="PPY11" s="1202"/>
      <c r="PPZ11" s="1202"/>
      <c r="PQA11" s="1202"/>
      <c r="PQB11" s="1202"/>
      <c r="PQC11" s="1202"/>
      <c r="PQD11" s="1202"/>
      <c r="PQE11" s="1202"/>
      <c r="PQF11" s="1202"/>
      <c r="PQG11" s="1202"/>
      <c r="PQH11" s="1202"/>
      <c r="PQI11" s="1202"/>
      <c r="PQJ11" s="1202"/>
      <c r="PQK11" s="1202"/>
      <c r="PQL11" s="1202"/>
      <c r="PQM11" s="1202"/>
      <c r="PQN11" s="1202"/>
      <c r="PQO11" s="1202"/>
      <c r="PQP11" s="1202"/>
      <c r="PQQ11" s="1202"/>
      <c r="PQR11" s="1202"/>
      <c r="PQS11" s="1202"/>
      <c r="PQT11" s="1202"/>
      <c r="PQU11" s="1202"/>
      <c r="PQV11" s="1202"/>
      <c r="PQW11" s="1202"/>
      <c r="PQX11" s="1202"/>
      <c r="PQY11" s="1202"/>
      <c r="PQZ11" s="1202"/>
      <c r="PRA11" s="1202"/>
      <c r="PRB11" s="1202"/>
      <c r="PRC11" s="1202"/>
      <c r="PRD11" s="1202"/>
      <c r="PRE11" s="1202"/>
      <c r="PRF11" s="1202"/>
      <c r="PRG11" s="1202"/>
      <c r="PRH11" s="1202"/>
      <c r="PRI11" s="1202"/>
      <c r="PRJ11" s="1202"/>
      <c r="PRK11" s="1202"/>
      <c r="PRL11" s="1202"/>
      <c r="PRM11" s="1202"/>
      <c r="PRN11" s="1202"/>
      <c r="PRO11" s="1202"/>
      <c r="PRP11" s="1202"/>
      <c r="PRQ11" s="1202"/>
      <c r="PRR11" s="1202"/>
      <c r="PRS11" s="1202"/>
      <c r="PRT11" s="1202"/>
      <c r="PRU11" s="1202"/>
      <c r="PRV11" s="1202"/>
      <c r="PRW11" s="1202"/>
      <c r="PRX11" s="1202"/>
      <c r="PRY11" s="1202"/>
      <c r="PRZ11" s="1202"/>
      <c r="PSA11" s="1202"/>
      <c r="PSB11" s="1202"/>
      <c r="PSC11" s="1202"/>
      <c r="PSD11" s="1202"/>
      <c r="PSE11" s="1202"/>
      <c r="PSF11" s="1202"/>
      <c r="PSG11" s="1202"/>
      <c r="PSH11" s="1202"/>
      <c r="PSI11" s="1202"/>
      <c r="PSJ11" s="1202"/>
      <c r="PSK11" s="1202"/>
      <c r="PSL11" s="1202"/>
      <c r="PSM11" s="1202"/>
      <c r="PSN11" s="1202"/>
      <c r="PSO11" s="1202"/>
      <c r="PSP11" s="1202"/>
      <c r="PSQ11" s="1202"/>
      <c r="PSR11" s="1202"/>
      <c r="PSS11" s="1202"/>
      <c r="PST11" s="1202"/>
      <c r="PSU11" s="1202"/>
      <c r="PSV11" s="1202"/>
      <c r="PSW11" s="1202"/>
      <c r="PSX11" s="1202"/>
      <c r="PSY11" s="1202"/>
      <c r="PSZ11" s="1202"/>
      <c r="PTA11" s="1202"/>
      <c r="PTB11" s="1202"/>
      <c r="PTC11" s="1202"/>
      <c r="PTD11" s="1202"/>
      <c r="PTE11" s="1202"/>
      <c r="PTF11" s="1202"/>
      <c r="PTG11" s="1202"/>
      <c r="PTH11" s="1202"/>
      <c r="PTI11" s="1202"/>
      <c r="PTJ11" s="1202"/>
      <c r="PTK11" s="1202"/>
      <c r="PTL11" s="1202"/>
      <c r="PTM11" s="1202"/>
      <c r="PTN11" s="1202"/>
      <c r="PTO11" s="1202"/>
      <c r="PTP11" s="1202"/>
      <c r="PTQ11" s="1202"/>
      <c r="PTR11" s="1202"/>
      <c r="PTS11" s="1202"/>
      <c r="PTT11" s="1202"/>
      <c r="PTU11" s="1202"/>
      <c r="PTV11" s="1202"/>
      <c r="PTW11" s="1202"/>
      <c r="PTX11" s="1202"/>
      <c r="PTY11" s="1202"/>
      <c r="PTZ11" s="1202"/>
      <c r="PUA11" s="1202"/>
      <c r="PUB11" s="1202"/>
      <c r="PUC11" s="1202"/>
      <c r="PUD11" s="1202"/>
      <c r="PUE11" s="1202"/>
      <c r="PUF11" s="1202"/>
      <c r="PUG11" s="1202"/>
      <c r="PUH11" s="1202"/>
      <c r="PUI11" s="1202"/>
      <c r="PUJ11" s="1202"/>
      <c r="PUK11" s="1202"/>
      <c r="PUL11" s="1202"/>
      <c r="PUM11" s="1202"/>
      <c r="PUN11" s="1202"/>
      <c r="PUO11" s="1202"/>
      <c r="PUP11" s="1202"/>
      <c r="PUQ11" s="1202"/>
      <c r="PUR11" s="1202"/>
      <c r="PUS11" s="1202"/>
      <c r="PUT11" s="1202"/>
      <c r="PUU11" s="1202"/>
      <c r="PUV11" s="1202"/>
      <c r="PUW11" s="1202"/>
      <c r="PUX11" s="1202"/>
      <c r="PUY11" s="1202"/>
      <c r="PUZ11" s="1202"/>
      <c r="PVA11" s="1202"/>
      <c r="PVB11" s="1202"/>
      <c r="PVC11" s="1202"/>
      <c r="PVD11" s="1202"/>
      <c r="PVE11" s="1202"/>
      <c r="PVF11" s="1202"/>
      <c r="PVG11" s="1202"/>
      <c r="PVH11" s="1202"/>
      <c r="PVI11" s="1202"/>
      <c r="PVJ11" s="1202"/>
      <c r="PVK11" s="1202"/>
      <c r="PVL11" s="1202"/>
      <c r="PVM11" s="1202"/>
      <c r="PVN11" s="1202"/>
      <c r="PVO11" s="1202"/>
      <c r="PVP11" s="1202"/>
      <c r="PVQ11" s="1202"/>
      <c r="PVR11" s="1202"/>
      <c r="PVS11" s="1202"/>
      <c r="PVT11" s="1202"/>
      <c r="PVU11" s="1202"/>
      <c r="PVV11" s="1202"/>
      <c r="PVW11" s="1202"/>
      <c r="PVX11" s="1202"/>
      <c r="PVY11" s="1202"/>
      <c r="PVZ11" s="1202"/>
      <c r="PWA11" s="1202"/>
      <c r="PWB11" s="1202"/>
      <c r="PWC11" s="1202"/>
      <c r="PWD11" s="1202"/>
      <c r="PWE11" s="1202"/>
      <c r="PWF11" s="1202"/>
      <c r="PWG11" s="1202"/>
      <c r="PWH11" s="1202"/>
      <c r="PWI11" s="1202"/>
      <c r="PWJ11" s="1202"/>
      <c r="PWK11" s="1202"/>
      <c r="PWL11" s="1202"/>
      <c r="PWM11" s="1202"/>
      <c r="PWN11" s="1202"/>
      <c r="PWO11" s="1202"/>
      <c r="PWP11" s="1202"/>
      <c r="PWQ11" s="1202"/>
      <c r="PWR11" s="1202"/>
      <c r="PWS11" s="1202"/>
      <c r="PWT11" s="1202"/>
      <c r="PWU11" s="1202"/>
      <c r="PWV11" s="1202"/>
      <c r="PWW11" s="1202"/>
      <c r="PWX11" s="1202"/>
      <c r="PWY11" s="1202"/>
      <c r="PWZ11" s="1202"/>
      <c r="PXA11" s="1202"/>
      <c r="PXB11" s="1202"/>
      <c r="PXC11" s="1202"/>
      <c r="PXD11" s="1202"/>
      <c r="PXE11" s="1202"/>
      <c r="PXF11" s="1202"/>
      <c r="PXG11" s="1202"/>
      <c r="PXH11" s="1202"/>
      <c r="PXI11" s="1202"/>
      <c r="PXJ11" s="1202"/>
      <c r="PXK11" s="1202"/>
      <c r="PXL11" s="1202"/>
      <c r="PXM11" s="1202"/>
      <c r="PXN11" s="1202"/>
      <c r="PXO11" s="1202"/>
      <c r="PXP11" s="1202"/>
      <c r="PXQ11" s="1202"/>
      <c r="PXR11" s="1202"/>
      <c r="PXS11" s="1202"/>
      <c r="PXT11" s="1202"/>
      <c r="PXU11" s="1202"/>
      <c r="PXV11" s="1202"/>
      <c r="PXW11" s="1202"/>
      <c r="PXX11" s="1202"/>
      <c r="PXY11" s="1202"/>
      <c r="PXZ11" s="1202"/>
      <c r="PYA11" s="1202"/>
      <c r="PYB11" s="1202"/>
      <c r="PYC11" s="1202"/>
      <c r="PYD11" s="1202"/>
      <c r="PYE11" s="1202"/>
      <c r="PYF11" s="1202"/>
      <c r="PYG11" s="1202"/>
      <c r="PYH11" s="1202"/>
      <c r="PYI11" s="1202"/>
      <c r="PYJ11" s="1202"/>
      <c r="PYK11" s="1202"/>
      <c r="PYL11" s="1202"/>
      <c r="PYM11" s="1202"/>
      <c r="PYN11" s="1202"/>
      <c r="PYO11" s="1202"/>
      <c r="PYP11" s="1202"/>
      <c r="PYQ11" s="1202"/>
      <c r="PYR11" s="1202"/>
      <c r="PYS11" s="1202"/>
      <c r="PYT11" s="1202"/>
      <c r="PYU11" s="1202"/>
      <c r="PYV11" s="1202"/>
      <c r="PYW11" s="1202"/>
      <c r="PYX11" s="1202"/>
      <c r="PYY11" s="1202"/>
      <c r="PYZ11" s="1202"/>
      <c r="PZA11" s="1202"/>
      <c r="PZB11" s="1202"/>
      <c r="PZC11" s="1202"/>
      <c r="PZD11" s="1202"/>
      <c r="PZE11" s="1202"/>
      <c r="PZF11" s="1202"/>
      <c r="PZG11" s="1202"/>
      <c r="PZH11" s="1202"/>
      <c r="PZI11" s="1202"/>
      <c r="PZJ11" s="1202"/>
      <c r="PZK11" s="1202"/>
      <c r="PZL11" s="1202"/>
      <c r="PZM11" s="1202"/>
      <c r="PZN11" s="1202"/>
      <c r="PZO11" s="1202"/>
      <c r="PZP11" s="1202"/>
      <c r="PZQ11" s="1202"/>
      <c r="PZR11" s="1202"/>
      <c r="PZS11" s="1202"/>
      <c r="PZT11" s="1202"/>
      <c r="PZU11" s="1202"/>
      <c r="PZV11" s="1202"/>
      <c r="PZW11" s="1202"/>
      <c r="PZX11" s="1202"/>
      <c r="PZY11" s="1202"/>
      <c r="PZZ11" s="1202"/>
      <c r="QAA11" s="1202"/>
      <c r="QAB11" s="1202"/>
      <c r="QAC11" s="1202"/>
      <c r="QAD11" s="1202"/>
      <c r="QAE11" s="1202"/>
      <c r="QAF11" s="1202"/>
      <c r="QAG11" s="1202"/>
      <c r="QAH11" s="1202"/>
      <c r="QAI11" s="1202"/>
      <c r="QAJ11" s="1202"/>
      <c r="QAK11" s="1202"/>
      <c r="QAL11" s="1202"/>
      <c r="QAM11" s="1202"/>
      <c r="QAN11" s="1202"/>
      <c r="QAO11" s="1202"/>
      <c r="QAP11" s="1202"/>
      <c r="QAQ11" s="1202"/>
      <c r="QAR11" s="1202"/>
      <c r="QAS11" s="1202"/>
      <c r="QAT11" s="1202"/>
      <c r="QAU11" s="1202"/>
      <c r="QAV11" s="1202"/>
      <c r="QAW11" s="1202"/>
      <c r="QAX11" s="1202"/>
      <c r="QAY11" s="1202"/>
      <c r="QAZ11" s="1202"/>
      <c r="QBA11" s="1202"/>
      <c r="QBB11" s="1202"/>
      <c r="QBC11" s="1202"/>
      <c r="QBD11" s="1202"/>
      <c r="QBE11" s="1202"/>
      <c r="QBF11" s="1202"/>
      <c r="QBG11" s="1202"/>
      <c r="QBH11" s="1202"/>
      <c r="QBI11" s="1202"/>
      <c r="QBJ11" s="1202"/>
      <c r="QBK11" s="1202"/>
      <c r="QBL11" s="1202"/>
      <c r="QBM11" s="1202"/>
      <c r="QBN11" s="1202"/>
      <c r="QBO11" s="1202"/>
      <c r="QBP11" s="1202"/>
      <c r="QBQ11" s="1202"/>
      <c r="QBR11" s="1202"/>
      <c r="QBS11" s="1202"/>
      <c r="QBT11" s="1202"/>
      <c r="QBU11" s="1202"/>
      <c r="QBV11" s="1202"/>
      <c r="QBW11" s="1202"/>
      <c r="QBX11" s="1202"/>
      <c r="QBY11" s="1202"/>
      <c r="QBZ11" s="1202"/>
      <c r="QCA11" s="1202"/>
      <c r="QCB11" s="1202"/>
      <c r="QCC11" s="1202"/>
      <c r="QCD11" s="1202"/>
      <c r="QCE11" s="1202"/>
      <c r="QCF11" s="1202"/>
      <c r="QCG11" s="1202"/>
      <c r="QCH11" s="1202"/>
      <c r="QCI11" s="1202"/>
      <c r="QCJ11" s="1202"/>
      <c r="QCK11" s="1202"/>
      <c r="QCL11" s="1202"/>
      <c r="QCM11" s="1202"/>
      <c r="QCN11" s="1202"/>
      <c r="QCO11" s="1202"/>
      <c r="QCP11" s="1202"/>
      <c r="QCQ11" s="1202"/>
      <c r="QCR11" s="1202"/>
      <c r="QCS11" s="1202"/>
      <c r="QCT11" s="1202"/>
      <c r="QCU11" s="1202"/>
      <c r="QCV11" s="1202"/>
      <c r="QCW11" s="1202"/>
      <c r="QCX11" s="1202"/>
      <c r="QCY11" s="1202"/>
      <c r="QCZ11" s="1202"/>
      <c r="QDA11" s="1202"/>
      <c r="QDB11" s="1202"/>
      <c r="QDC11" s="1202"/>
      <c r="QDD11" s="1202"/>
      <c r="QDE11" s="1202"/>
      <c r="QDF11" s="1202"/>
      <c r="QDG11" s="1202"/>
      <c r="QDH11" s="1202"/>
      <c r="QDI11" s="1202"/>
      <c r="QDJ11" s="1202"/>
      <c r="QDK11" s="1202"/>
      <c r="QDL11" s="1202"/>
      <c r="QDM11" s="1202"/>
      <c r="QDN11" s="1202"/>
      <c r="QDO11" s="1202"/>
      <c r="QDP11" s="1202"/>
      <c r="QDQ11" s="1202"/>
      <c r="QDR11" s="1202"/>
      <c r="QDS11" s="1202"/>
      <c r="QDT11" s="1202"/>
      <c r="QDU11" s="1202"/>
      <c r="QDV11" s="1202"/>
      <c r="QDW11" s="1202"/>
      <c r="QDX11" s="1202"/>
      <c r="QDY11" s="1202"/>
      <c r="QDZ11" s="1202"/>
      <c r="QEA11" s="1202"/>
      <c r="QEB11" s="1202"/>
      <c r="QEC11" s="1202"/>
      <c r="QED11" s="1202"/>
      <c r="QEE11" s="1202"/>
      <c r="QEF11" s="1202"/>
      <c r="QEG11" s="1202"/>
      <c r="QEH11" s="1202"/>
      <c r="QEI11" s="1202"/>
      <c r="QEJ11" s="1202"/>
      <c r="QEK11" s="1202"/>
      <c r="QEL11" s="1202"/>
      <c r="QEM11" s="1202"/>
      <c r="QEN11" s="1202"/>
      <c r="QEO11" s="1202"/>
      <c r="QEP11" s="1202"/>
      <c r="QEQ11" s="1202"/>
      <c r="QER11" s="1202"/>
      <c r="QES11" s="1202"/>
      <c r="QET11" s="1202"/>
      <c r="QEU11" s="1202"/>
      <c r="QEV11" s="1202"/>
      <c r="QEW11" s="1202"/>
      <c r="QEX11" s="1202"/>
      <c r="QEY11" s="1202"/>
      <c r="QEZ11" s="1202"/>
      <c r="QFA11" s="1202"/>
      <c r="QFB11" s="1202"/>
      <c r="QFC11" s="1202"/>
      <c r="QFD11" s="1202"/>
      <c r="QFE11" s="1202"/>
      <c r="QFF11" s="1202"/>
      <c r="QFG11" s="1202"/>
      <c r="QFH11" s="1202"/>
      <c r="QFI11" s="1202"/>
      <c r="QFJ11" s="1202"/>
      <c r="QFK11" s="1202"/>
      <c r="QFL11" s="1202"/>
      <c r="QFM11" s="1202"/>
      <c r="QFN11" s="1202"/>
      <c r="QFO11" s="1202"/>
      <c r="QFP11" s="1202"/>
      <c r="QFQ11" s="1202"/>
      <c r="QFR11" s="1202"/>
      <c r="QFS11" s="1202"/>
      <c r="QFT11" s="1202"/>
      <c r="QFU11" s="1202"/>
      <c r="QFV11" s="1202"/>
      <c r="QFW11" s="1202"/>
      <c r="QFX11" s="1202"/>
      <c r="QFY11" s="1202"/>
      <c r="QFZ11" s="1202"/>
      <c r="QGA11" s="1202"/>
      <c r="QGB11" s="1202"/>
      <c r="QGC11" s="1202"/>
      <c r="QGD11" s="1202"/>
      <c r="QGE11" s="1202"/>
      <c r="QGF11" s="1202"/>
      <c r="QGG11" s="1202"/>
      <c r="QGH11" s="1202"/>
      <c r="QGI11" s="1202"/>
      <c r="QGJ11" s="1202"/>
      <c r="QGK11" s="1202"/>
      <c r="QGL11" s="1202"/>
      <c r="QGM11" s="1202"/>
      <c r="QGN11" s="1202"/>
      <c r="QGO11" s="1202"/>
      <c r="QGP11" s="1202"/>
      <c r="QGQ11" s="1202"/>
      <c r="QGR11" s="1202"/>
      <c r="QGS11" s="1202"/>
      <c r="QGT11" s="1202"/>
      <c r="QGU11" s="1202"/>
      <c r="QGV11" s="1202"/>
      <c r="QGW11" s="1202"/>
      <c r="QGX11" s="1202"/>
      <c r="QGY11" s="1202"/>
      <c r="QGZ11" s="1202"/>
      <c r="QHA11" s="1202"/>
      <c r="QHB11" s="1202"/>
      <c r="QHC11" s="1202"/>
      <c r="QHD11" s="1202"/>
      <c r="QHE11" s="1202"/>
      <c r="QHF11" s="1202"/>
      <c r="QHG11" s="1202"/>
      <c r="QHH11" s="1202"/>
      <c r="QHI11" s="1202"/>
      <c r="QHJ11" s="1202"/>
      <c r="QHK11" s="1202"/>
      <c r="QHL11" s="1202"/>
      <c r="QHM11" s="1202"/>
      <c r="QHN11" s="1202"/>
      <c r="QHO11" s="1202"/>
      <c r="QHP11" s="1202"/>
      <c r="QHQ11" s="1202"/>
      <c r="QHR11" s="1202"/>
      <c r="QHS11" s="1202"/>
      <c r="QHT11" s="1202"/>
      <c r="QHU11" s="1202"/>
      <c r="QHV11" s="1202"/>
      <c r="QHW11" s="1202"/>
      <c r="QHX11" s="1202"/>
      <c r="QHY11" s="1202"/>
      <c r="QHZ11" s="1202"/>
      <c r="QIA11" s="1202"/>
      <c r="QIB11" s="1202"/>
      <c r="QIC11" s="1202"/>
      <c r="QID11" s="1202"/>
      <c r="QIE11" s="1202"/>
      <c r="QIF11" s="1202"/>
      <c r="QIG11" s="1202"/>
      <c r="QIH11" s="1202"/>
      <c r="QII11" s="1202"/>
      <c r="QIJ11" s="1202"/>
      <c r="QIK11" s="1202"/>
      <c r="QIL11" s="1202"/>
      <c r="QIM11" s="1202"/>
      <c r="QIN11" s="1202"/>
      <c r="QIO11" s="1202"/>
      <c r="QIP11" s="1202"/>
      <c r="QIQ11" s="1202"/>
      <c r="QIR11" s="1202"/>
      <c r="QIS11" s="1202"/>
      <c r="QIT11" s="1202"/>
      <c r="QIU11" s="1202"/>
      <c r="QIV11" s="1202"/>
      <c r="QIW11" s="1202"/>
      <c r="QIX11" s="1202"/>
      <c r="QIY11" s="1202"/>
      <c r="QIZ11" s="1202"/>
      <c r="QJA11" s="1202"/>
      <c r="QJB11" s="1202"/>
      <c r="QJC11" s="1202"/>
      <c r="QJD11" s="1202"/>
      <c r="QJE11" s="1202"/>
      <c r="QJF11" s="1202"/>
      <c r="QJG11" s="1202"/>
      <c r="QJH11" s="1202"/>
      <c r="QJI11" s="1202"/>
      <c r="QJJ11" s="1202"/>
      <c r="QJK11" s="1202"/>
      <c r="QJL11" s="1202"/>
      <c r="QJM11" s="1202"/>
      <c r="QJN11" s="1202"/>
      <c r="QJO11" s="1202"/>
      <c r="QJP11" s="1202"/>
      <c r="QJQ11" s="1202"/>
      <c r="QJR11" s="1202"/>
      <c r="QJS11" s="1202"/>
      <c r="QJT11" s="1202"/>
      <c r="QJU11" s="1202"/>
      <c r="QJV11" s="1202"/>
      <c r="QJW11" s="1202"/>
      <c r="QJX11" s="1202"/>
      <c r="QJY11" s="1202"/>
      <c r="QJZ11" s="1202"/>
      <c r="QKA11" s="1202"/>
      <c r="QKB11" s="1202"/>
      <c r="QKC11" s="1202"/>
      <c r="QKD11" s="1202"/>
      <c r="QKE11" s="1202"/>
      <c r="QKF11" s="1202"/>
      <c r="QKG11" s="1202"/>
      <c r="QKH11" s="1202"/>
      <c r="QKI11" s="1202"/>
      <c r="QKJ11" s="1202"/>
      <c r="QKK11" s="1202"/>
      <c r="QKL11" s="1202"/>
      <c r="QKM11" s="1202"/>
      <c r="QKN11" s="1202"/>
      <c r="QKO11" s="1202"/>
      <c r="QKP11" s="1202"/>
      <c r="QKQ11" s="1202"/>
      <c r="QKR11" s="1202"/>
      <c r="QKS11" s="1202"/>
      <c r="QKT11" s="1202"/>
      <c r="QKU11" s="1202"/>
      <c r="QKV11" s="1202"/>
      <c r="QKW11" s="1202"/>
      <c r="QKX11" s="1202"/>
      <c r="QKY11" s="1202"/>
      <c r="QKZ11" s="1202"/>
      <c r="QLA11" s="1202"/>
      <c r="QLB11" s="1202"/>
      <c r="QLC11" s="1202"/>
      <c r="QLD11" s="1202"/>
      <c r="QLE11" s="1202"/>
      <c r="QLF11" s="1202"/>
      <c r="QLG11" s="1202"/>
      <c r="QLH11" s="1202"/>
      <c r="QLI11" s="1202"/>
      <c r="QLJ11" s="1202"/>
      <c r="QLK11" s="1202"/>
      <c r="QLL11" s="1202"/>
      <c r="QLM11" s="1202"/>
      <c r="QLN11" s="1202"/>
      <c r="QLO11" s="1202"/>
      <c r="QLP11" s="1202"/>
      <c r="QLQ11" s="1202"/>
      <c r="QLR11" s="1202"/>
      <c r="QLS11" s="1202"/>
      <c r="QLT11" s="1202"/>
      <c r="QLU11" s="1202"/>
      <c r="QLV11" s="1202"/>
      <c r="QLW11" s="1202"/>
      <c r="QLX11" s="1202"/>
      <c r="QLY11" s="1202"/>
      <c r="QLZ11" s="1202"/>
      <c r="QMA11" s="1202"/>
      <c r="QMB11" s="1202"/>
      <c r="QMC11" s="1202"/>
      <c r="QMD11" s="1202"/>
      <c r="QME11" s="1202"/>
      <c r="QMF11" s="1202"/>
      <c r="QMG11" s="1202"/>
      <c r="QMH11" s="1202"/>
      <c r="QMI11" s="1202"/>
      <c r="QMJ11" s="1202"/>
      <c r="QMK11" s="1202"/>
      <c r="QML11" s="1202"/>
      <c r="QMM11" s="1202"/>
      <c r="QMN11" s="1202"/>
      <c r="QMO11" s="1202"/>
      <c r="QMP11" s="1202"/>
      <c r="QMQ11" s="1202"/>
      <c r="QMR11" s="1202"/>
      <c r="QMS11" s="1202"/>
      <c r="QMT11" s="1202"/>
      <c r="QMU11" s="1202"/>
      <c r="QMV11" s="1202"/>
      <c r="QMW11" s="1202"/>
      <c r="QMX11" s="1202"/>
      <c r="QMY11" s="1202"/>
      <c r="QMZ11" s="1202"/>
      <c r="QNA11" s="1202"/>
      <c r="QNB11" s="1202"/>
      <c r="QNC11" s="1202"/>
      <c r="QND11" s="1202"/>
      <c r="QNE11" s="1202"/>
      <c r="QNF11" s="1202"/>
      <c r="QNG11" s="1202"/>
      <c r="QNH11" s="1202"/>
      <c r="QNI11" s="1202"/>
      <c r="QNJ11" s="1202"/>
      <c r="QNK11" s="1202"/>
      <c r="QNL11" s="1202"/>
      <c r="QNM11" s="1202"/>
      <c r="QNN11" s="1202"/>
      <c r="QNO11" s="1202"/>
      <c r="QNP11" s="1202"/>
      <c r="QNQ11" s="1202"/>
      <c r="QNR11" s="1202"/>
      <c r="QNS11" s="1202"/>
      <c r="QNT11" s="1202"/>
      <c r="QNU11" s="1202"/>
      <c r="QNV11" s="1202"/>
      <c r="QNW11" s="1202"/>
      <c r="QNX11" s="1202"/>
      <c r="QNY11" s="1202"/>
      <c r="QNZ11" s="1202"/>
      <c r="QOA11" s="1202"/>
      <c r="QOB11" s="1202"/>
      <c r="QOC11" s="1202"/>
      <c r="QOD11" s="1202"/>
      <c r="QOE11" s="1202"/>
      <c r="QOF11" s="1202"/>
      <c r="QOG11" s="1202"/>
      <c r="QOH11" s="1202"/>
      <c r="QOI11" s="1202"/>
      <c r="QOJ11" s="1202"/>
      <c r="QOK11" s="1202"/>
      <c r="QOL11" s="1202"/>
      <c r="QOM11" s="1202"/>
      <c r="QON11" s="1202"/>
      <c r="QOO11" s="1202"/>
      <c r="QOP11" s="1202"/>
      <c r="QOQ11" s="1202"/>
      <c r="QOR11" s="1202"/>
      <c r="QOS11" s="1202"/>
      <c r="QOT11" s="1202"/>
      <c r="QOU11" s="1202"/>
      <c r="QOV11" s="1202"/>
      <c r="QOW11" s="1202"/>
      <c r="QOX11" s="1202"/>
      <c r="QOY11" s="1202"/>
      <c r="QOZ11" s="1202"/>
      <c r="QPA11" s="1202"/>
      <c r="QPB11" s="1202"/>
      <c r="QPC11" s="1202"/>
      <c r="QPD11" s="1202"/>
      <c r="QPE11" s="1202"/>
      <c r="QPF11" s="1202"/>
      <c r="QPG11" s="1202"/>
      <c r="QPH11" s="1202"/>
      <c r="QPI11" s="1202"/>
      <c r="QPJ11" s="1202"/>
      <c r="QPK11" s="1202"/>
      <c r="QPL11" s="1202"/>
      <c r="QPM11" s="1202"/>
      <c r="QPN11" s="1202"/>
      <c r="QPO11" s="1202"/>
      <c r="QPP11" s="1202"/>
      <c r="QPQ11" s="1202"/>
      <c r="QPR11" s="1202"/>
      <c r="QPS11" s="1202"/>
      <c r="QPT11" s="1202"/>
      <c r="QPU11" s="1202"/>
      <c r="QPV11" s="1202"/>
      <c r="QPW11" s="1202"/>
      <c r="QPX11" s="1202"/>
      <c r="QPY11" s="1202"/>
      <c r="QPZ11" s="1202"/>
      <c r="QQA11" s="1202"/>
      <c r="QQB11" s="1202"/>
      <c r="QQC11" s="1202"/>
      <c r="QQD11" s="1202"/>
      <c r="QQE11" s="1202"/>
      <c r="QQF11" s="1202"/>
      <c r="QQG11" s="1202"/>
      <c r="QQH11" s="1202"/>
      <c r="QQI11" s="1202"/>
      <c r="QQJ11" s="1202"/>
      <c r="QQK11" s="1202"/>
      <c r="QQL11" s="1202"/>
      <c r="QQM11" s="1202"/>
      <c r="QQN11" s="1202"/>
      <c r="QQO11" s="1202"/>
      <c r="QQP11" s="1202"/>
      <c r="QQQ11" s="1202"/>
      <c r="QQR11" s="1202"/>
      <c r="QQS11" s="1202"/>
      <c r="QQT11" s="1202"/>
      <c r="QQU11" s="1202"/>
      <c r="QQV11" s="1202"/>
      <c r="QQW11" s="1202"/>
      <c r="QQX11" s="1202"/>
      <c r="QQY11" s="1202"/>
      <c r="QQZ11" s="1202"/>
      <c r="QRA11" s="1202"/>
      <c r="QRB11" s="1202"/>
      <c r="QRC11" s="1202"/>
      <c r="QRD11" s="1202"/>
      <c r="QRE11" s="1202"/>
      <c r="QRF11" s="1202"/>
      <c r="QRG11" s="1202"/>
      <c r="QRH11" s="1202"/>
      <c r="QRI11" s="1202"/>
      <c r="QRJ11" s="1202"/>
      <c r="QRK11" s="1202"/>
      <c r="QRL11" s="1202"/>
      <c r="QRM11" s="1202"/>
      <c r="QRN11" s="1202"/>
      <c r="QRO11" s="1202"/>
      <c r="QRP11" s="1202"/>
      <c r="QRQ11" s="1202"/>
      <c r="QRR11" s="1202"/>
      <c r="QRS11" s="1202"/>
      <c r="QRT11" s="1202"/>
      <c r="QRU11" s="1202"/>
      <c r="QRV11" s="1202"/>
      <c r="QRW11" s="1202"/>
      <c r="QRX11" s="1202"/>
      <c r="QRY11" s="1202"/>
      <c r="QRZ11" s="1202"/>
      <c r="QSA11" s="1202"/>
      <c r="QSB11" s="1202"/>
      <c r="QSC11" s="1202"/>
      <c r="QSD11" s="1202"/>
      <c r="QSE11" s="1202"/>
      <c r="QSF11" s="1202"/>
      <c r="QSG11" s="1202"/>
      <c r="QSH11" s="1202"/>
      <c r="QSI11" s="1202"/>
      <c r="QSJ11" s="1202"/>
      <c r="QSK11" s="1202"/>
      <c r="QSL11" s="1202"/>
      <c r="QSM11" s="1202"/>
      <c r="QSN11" s="1202"/>
      <c r="QSO11" s="1202"/>
      <c r="QSP11" s="1202"/>
      <c r="QSQ11" s="1202"/>
      <c r="QSR11" s="1202"/>
      <c r="QSS11" s="1202"/>
      <c r="QST11" s="1202"/>
      <c r="QSU11" s="1202"/>
      <c r="QSV11" s="1202"/>
      <c r="QSW11" s="1202"/>
      <c r="QSX11" s="1202"/>
      <c r="QSY11" s="1202"/>
      <c r="QSZ11" s="1202"/>
      <c r="QTA11" s="1202"/>
      <c r="QTB11" s="1202"/>
      <c r="QTC11" s="1202"/>
      <c r="QTD11" s="1202"/>
      <c r="QTE11" s="1202"/>
      <c r="QTF11" s="1202"/>
      <c r="QTG11" s="1202"/>
      <c r="QTH11" s="1202"/>
      <c r="QTI11" s="1202"/>
      <c r="QTJ11" s="1202"/>
      <c r="QTK11" s="1202"/>
      <c r="QTL11" s="1202"/>
      <c r="QTM11" s="1202"/>
      <c r="QTN11" s="1202"/>
      <c r="QTO11" s="1202"/>
      <c r="QTP11" s="1202"/>
      <c r="QTQ11" s="1202"/>
      <c r="QTR11" s="1202"/>
      <c r="QTS11" s="1202"/>
      <c r="QTT11" s="1202"/>
      <c r="QTU11" s="1202"/>
      <c r="QTV11" s="1202"/>
      <c r="QTW11" s="1202"/>
      <c r="QTX11" s="1202"/>
      <c r="QTY11" s="1202"/>
      <c r="QTZ11" s="1202"/>
      <c r="QUA11" s="1202"/>
      <c r="QUB11" s="1202"/>
      <c r="QUC11" s="1202"/>
      <c r="QUD11" s="1202"/>
      <c r="QUE11" s="1202"/>
      <c r="QUF11" s="1202"/>
      <c r="QUG11" s="1202"/>
      <c r="QUH11" s="1202"/>
      <c r="QUI11" s="1202"/>
      <c r="QUJ11" s="1202"/>
      <c r="QUK11" s="1202"/>
      <c r="QUL11" s="1202"/>
      <c r="QUM11" s="1202"/>
      <c r="QUN11" s="1202"/>
      <c r="QUO11" s="1202"/>
      <c r="QUP11" s="1202"/>
      <c r="QUQ11" s="1202"/>
      <c r="QUR11" s="1202"/>
      <c r="QUS11" s="1202"/>
      <c r="QUT11" s="1202"/>
      <c r="QUU11" s="1202"/>
      <c r="QUV11" s="1202"/>
      <c r="QUW11" s="1202"/>
      <c r="QUX11" s="1202"/>
      <c r="QUY11" s="1202"/>
      <c r="QUZ11" s="1202"/>
      <c r="QVA11" s="1202"/>
      <c r="QVB11" s="1202"/>
      <c r="QVC11" s="1202"/>
      <c r="QVD11" s="1202"/>
      <c r="QVE11" s="1202"/>
      <c r="QVF11" s="1202"/>
      <c r="QVG11" s="1202"/>
      <c r="QVH11" s="1202"/>
      <c r="QVI11" s="1202"/>
      <c r="QVJ11" s="1202"/>
      <c r="QVK11" s="1202"/>
      <c r="QVL11" s="1202"/>
      <c r="QVM11" s="1202"/>
      <c r="QVN11" s="1202"/>
      <c r="QVO11" s="1202"/>
      <c r="QVP11" s="1202"/>
      <c r="QVQ11" s="1202"/>
      <c r="QVR11" s="1202"/>
      <c r="QVS11" s="1202"/>
      <c r="QVT11" s="1202"/>
      <c r="QVU11" s="1202"/>
      <c r="QVV11" s="1202"/>
      <c r="QVW11" s="1202"/>
      <c r="QVX11" s="1202"/>
      <c r="QVY11" s="1202"/>
      <c r="QVZ11" s="1202"/>
      <c r="QWA11" s="1202"/>
      <c r="QWB11" s="1202"/>
      <c r="QWC11" s="1202"/>
      <c r="QWD11" s="1202"/>
      <c r="QWE11" s="1202"/>
      <c r="QWF11" s="1202"/>
      <c r="QWG11" s="1202"/>
      <c r="QWH11" s="1202"/>
      <c r="QWI11" s="1202"/>
      <c r="QWJ11" s="1202"/>
      <c r="QWK11" s="1202"/>
      <c r="QWL11" s="1202"/>
      <c r="QWM11" s="1202"/>
      <c r="QWN11" s="1202"/>
      <c r="QWO11" s="1202"/>
      <c r="QWP11" s="1202"/>
      <c r="QWQ11" s="1202"/>
      <c r="QWR11" s="1202"/>
      <c r="QWS11" s="1202"/>
      <c r="QWT11" s="1202"/>
      <c r="QWU11" s="1202"/>
      <c r="QWV11" s="1202"/>
      <c r="QWW11" s="1202"/>
      <c r="QWX11" s="1202"/>
      <c r="QWY11" s="1202"/>
      <c r="QWZ11" s="1202"/>
      <c r="QXA11" s="1202"/>
      <c r="QXB11" s="1202"/>
      <c r="QXC11" s="1202"/>
      <c r="QXD11" s="1202"/>
      <c r="QXE11" s="1202"/>
      <c r="QXF11" s="1202"/>
      <c r="QXG11" s="1202"/>
      <c r="QXH11" s="1202"/>
      <c r="QXI11" s="1202"/>
      <c r="QXJ11" s="1202"/>
      <c r="QXK11" s="1202"/>
      <c r="QXL11" s="1202"/>
      <c r="QXM11" s="1202"/>
      <c r="QXN11" s="1202"/>
      <c r="QXO11" s="1202"/>
      <c r="QXP11" s="1202"/>
      <c r="QXQ11" s="1202"/>
      <c r="QXR11" s="1202"/>
      <c r="QXS11" s="1202"/>
      <c r="QXT11" s="1202"/>
      <c r="QXU11" s="1202"/>
      <c r="QXV11" s="1202"/>
      <c r="QXW11" s="1202"/>
      <c r="QXX11" s="1202"/>
      <c r="QXY11" s="1202"/>
      <c r="QXZ11" s="1202"/>
      <c r="QYA11" s="1202"/>
      <c r="QYB11" s="1202"/>
      <c r="QYC11" s="1202"/>
      <c r="QYD11" s="1202"/>
      <c r="QYE11" s="1202"/>
      <c r="QYF11" s="1202"/>
      <c r="QYG11" s="1202"/>
      <c r="QYH11" s="1202"/>
      <c r="QYI11" s="1202"/>
      <c r="QYJ11" s="1202"/>
      <c r="QYK11" s="1202"/>
      <c r="QYL11" s="1202"/>
      <c r="QYM11" s="1202"/>
      <c r="QYN11" s="1202"/>
      <c r="QYO11" s="1202"/>
      <c r="QYP11" s="1202"/>
      <c r="QYQ11" s="1202"/>
      <c r="QYR11" s="1202"/>
      <c r="QYS11" s="1202"/>
      <c r="QYT11" s="1202"/>
      <c r="QYU11" s="1202"/>
      <c r="QYV11" s="1202"/>
      <c r="QYW11" s="1202"/>
      <c r="QYX11" s="1202"/>
      <c r="QYY11" s="1202"/>
      <c r="QYZ11" s="1202"/>
      <c r="QZA11" s="1202"/>
      <c r="QZB11" s="1202"/>
      <c r="QZC11" s="1202"/>
      <c r="QZD11" s="1202"/>
      <c r="QZE11" s="1202"/>
      <c r="QZF11" s="1202"/>
      <c r="QZG11" s="1202"/>
      <c r="QZH11" s="1202"/>
      <c r="QZI11" s="1202"/>
      <c r="QZJ11" s="1202"/>
      <c r="QZK11" s="1202"/>
      <c r="QZL11" s="1202"/>
      <c r="QZM11" s="1202"/>
      <c r="QZN11" s="1202"/>
      <c r="QZO11" s="1202"/>
      <c r="QZP11" s="1202"/>
      <c r="QZQ11" s="1202"/>
      <c r="QZR11" s="1202"/>
      <c r="QZS11" s="1202"/>
      <c r="QZT11" s="1202"/>
      <c r="QZU11" s="1202"/>
      <c r="QZV11" s="1202"/>
      <c r="QZW11" s="1202"/>
      <c r="QZX11" s="1202"/>
      <c r="QZY11" s="1202"/>
      <c r="QZZ11" s="1202"/>
      <c r="RAA11" s="1202"/>
      <c r="RAB11" s="1202"/>
      <c r="RAC11" s="1202"/>
      <c r="RAD11" s="1202"/>
      <c r="RAE11" s="1202"/>
      <c r="RAF11" s="1202"/>
      <c r="RAG11" s="1202"/>
      <c r="RAH11" s="1202"/>
      <c r="RAI11" s="1202"/>
      <c r="RAJ11" s="1202"/>
      <c r="RAK11" s="1202"/>
      <c r="RAL11" s="1202"/>
      <c r="RAM11" s="1202"/>
      <c r="RAN11" s="1202"/>
      <c r="RAO11" s="1202"/>
      <c r="RAP11" s="1202"/>
      <c r="RAQ11" s="1202"/>
      <c r="RAR11" s="1202"/>
      <c r="RAS11" s="1202"/>
      <c r="RAT11" s="1202"/>
      <c r="RAU11" s="1202"/>
      <c r="RAV11" s="1202"/>
      <c r="RAW11" s="1202"/>
      <c r="RAX11" s="1202"/>
      <c r="RAY11" s="1202"/>
      <c r="RAZ11" s="1202"/>
      <c r="RBA11" s="1202"/>
      <c r="RBB11" s="1202"/>
      <c r="RBC11" s="1202"/>
      <c r="RBD11" s="1202"/>
      <c r="RBE11" s="1202"/>
      <c r="RBF11" s="1202"/>
      <c r="RBG11" s="1202"/>
      <c r="RBH11" s="1202"/>
      <c r="RBI11" s="1202"/>
      <c r="RBJ11" s="1202"/>
      <c r="RBK11" s="1202"/>
      <c r="RBL11" s="1202"/>
      <c r="RBM11" s="1202"/>
      <c r="RBN11" s="1202"/>
      <c r="RBO11" s="1202"/>
      <c r="RBP11" s="1202"/>
      <c r="RBQ11" s="1202"/>
      <c r="RBR11" s="1202"/>
      <c r="RBS11" s="1202"/>
      <c r="RBT11" s="1202"/>
      <c r="RBU11" s="1202"/>
      <c r="RBV11" s="1202"/>
      <c r="RBW11" s="1202"/>
      <c r="RBX11" s="1202"/>
      <c r="RBY11" s="1202"/>
      <c r="RBZ11" s="1202"/>
      <c r="RCA11" s="1202"/>
      <c r="RCB11" s="1202"/>
      <c r="RCC11" s="1202"/>
      <c r="RCD11" s="1202"/>
      <c r="RCE11" s="1202"/>
      <c r="RCF11" s="1202"/>
      <c r="RCG11" s="1202"/>
      <c r="RCH11" s="1202"/>
      <c r="RCI11" s="1202"/>
      <c r="RCJ11" s="1202"/>
      <c r="RCK11" s="1202"/>
      <c r="RCL11" s="1202"/>
      <c r="RCM11" s="1202"/>
      <c r="RCN11" s="1202"/>
      <c r="RCO11" s="1202"/>
      <c r="RCP11" s="1202"/>
      <c r="RCQ11" s="1202"/>
      <c r="RCR11" s="1202"/>
      <c r="RCS11" s="1202"/>
      <c r="RCT11" s="1202"/>
      <c r="RCU11" s="1202"/>
      <c r="RCV11" s="1202"/>
      <c r="RCW11" s="1202"/>
      <c r="RCX11" s="1202"/>
      <c r="RCY11" s="1202"/>
      <c r="RCZ11" s="1202"/>
      <c r="RDA11" s="1202"/>
      <c r="RDB11" s="1202"/>
      <c r="RDC11" s="1202"/>
      <c r="RDD11" s="1202"/>
      <c r="RDE11" s="1202"/>
      <c r="RDF11" s="1202"/>
      <c r="RDG11" s="1202"/>
      <c r="RDH11" s="1202"/>
      <c r="RDI11" s="1202"/>
      <c r="RDJ11" s="1202"/>
      <c r="RDK11" s="1202"/>
      <c r="RDL11" s="1202"/>
      <c r="RDM11" s="1202"/>
      <c r="RDN11" s="1202"/>
      <c r="RDO11" s="1202"/>
      <c r="RDP11" s="1202"/>
      <c r="RDQ11" s="1202"/>
      <c r="RDR11" s="1202"/>
      <c r="RDS11" s="1202"/>
      <c r="RDT11" s="1202"/>
      <c r="RDU11" s="1202"/>
      <c r="RDV11" s="1202"/>
      <c r="RDW11" s="1202"/>
      <c r="RDX11" s="1202"/>
      <c r="RDY11" s="1202"/>
      <c r="RDZ11" s="1202"/>
      <c r="REA11" s="1202"/>
      <c r="REB11" s="1202"/>
      <c r="REC11" s="1202"/>
      <c r="RED11" s="1202"/>
      <c r="REE11" s="1202"/>
      <c r="REF11" s="1202"/>
      <c r="REG11" s="1202"/>
      <c r="REH11" s="1202"/>
      <c r="REI11" s="1202"/>
      <c r="REJ11" s="1202"/>
      <c r="REK11" s="1202"/>
      <c r="REL11" s="1202"/>
      <c r="REM11" s="1202"/>
      <c r="REN11" s="1202"/>
      <c r="REO11" s="1202"/>
      <c r="REP11" s="1202"/>
      <c r="REQ11" s="1202"/>
      <c r="RER11" s="1202"/>
      <c r="RES11" s="1202"/>
      <c r="RET11" s="1202"/>
      <c r="REU11" s="1202"/>
      <c r="REV11" s="1202"/>
      <c r="REW11" s="1202"/>
      <c r="REX11" s="1202"/>
      <c r="REY11" s="1202"/>
      <c r="REZ11" s="1202"/>
      <c r="RFA11" s="1202"/>
      <c r="RFB11" s="1202"/>
      <c r="RFC11" s="1202"/>
      <c r="RFD11" s="1202"/>
      <c r="RFE11" s="1202"/>
      <c r="RFF11" s="1202"/>
      <c r="RFG11" s="1202"/>
      <c r="RFH11" s="1202"/>
      <c r="RFI11" s="1202"/>
      <c r="RFJ11" s="1202"/>
      <c r="RFK11" s="1202"/>
      <c r="RFL11" s="1202"/>
      <c r="RFM11" s="1202"/>
      <c r="RFN11" s="1202"/>
      <c r="RFO11" s="1202"/>
      <c r="RFP11" s="1202"/>
      <c r="RFQ11" s="1202"/>
      <c r="RFR11" s="1202"/>
      <c r="RFS11" s="1202"/>
      <c r="RFT11" s="1202"/>
      <c r="RFU11" s="1202"/>
      <c r="RFV11" s="1202"/>
      <c r="RFW11" s="1202"/>
      <c r="RFX11" s="1202"/>
      <c r="RFY11" s="1202"/>
      <c r="RFZ11" s="1202"/>
      <c r="RGA11" s="1202"/>
      <c r="RGB11" s="1202"/>
      <c r="RGC11" s="1202"/>
      <c r="RGD11" s="1202"/>
      <c r="RGE11" s="1202"/>
      <c r="RGF11" s="1202"/>
      <c r="RGG11" s="1202"/>
      <c r="RGH11" s="1202"/>
      <c r="RGI11" s="1202"/>
      <c r="RGJ11" s="1202"/>
      <c r="RGK11" s="1202"/>
      <c r="RGL11" s="1202"/>
      <c r="RGM11" s="1202"/>
      <c r="RGN11" s="1202"/>
      <c r="RGO11" s="1202"/>
      <c r="RGP11" s="1202"/>
      <c r="RGQ11" s="1202"/>
      <c r="RGR11" s="1202"/>
      <c r="RGS11" s="1202"/>
      <c r="RGT11" s="1202"/>
      <c r="RGU11" s="1202"/>
      <c r="RGV11" s="1202"/>
      <c r="RGW11" s="1202"/>
      <c r="RGX11" s="1202"/>
      <c r="RGY11" s="1202"/>
      <c r="RGZ11" s="1202"/>
      <c r="RHA11" s="1202"/>
      <c r="RHB11" s="1202"/>
      <c r="RHC11" s="1202"/>
      <c r="RHD11" s="1202"/>
      <c r="RHE11" s="1202"/>
      <c r="RHF11" s="1202"/>
      <c r="RHG11" s="1202"/>
      <c r="RHH11" s="1202"/>
      <c r="RHI11" s="1202"/>
      <c r="RHJ11" s="1202"/>
      <c r="RHK11" s="1202"/>
      <c r="RHL11" s="1202"/>
      <c r="RHM11" s="1202"/>
      <c r="RHN11" s="1202"/>
      <c r="RHO11" s="1202"/>
      <c r="RHP11" s="1202"/>
      <c r="RHQ11" s="1202"/>
      <c r="RHR11" s="1202"/>
      <c r="RHS11" s="1202"/>
      <c r="RHT11" s="1202"/>
      <c r="RHU11" s="1202"/>
      <c r="RHV11" s="1202"/>
      <c r="RHW11" s="1202"/>
      <c r="RHX11" s="1202"/>
      <c r="RHY11" s="1202"/>
      <c r="RHZ11" s="1202"/>
      <c r="RIA11" s="1202"/>
      <c r="RIB11" s="1202"/>
      <c r="RIC11" s="1202"/>
      <c r="RID11" s="1202"/>
      <c r="RIE11" s="1202"/>
      <c r="RIF11" s="1202"/>
      <c r="RIG11" s="1202"/>
      <c r="RIH11" s="1202"/>
      <c r="RII11" s="1202"/>
      <c r="RIJ11" s="1202"/>
      <c r="RIK11" s="1202"/>
      <c r="RIL11" s="1202"/>
      <c r="RIM11" s="1202"/>
      <c r="RIN11" s="1202"/>
      <c r="RIO11" s="1202"/>
      <c r="RIP11" s="1202"/>
      <c r="RIQ11" s="1202"/>
      <c r="RIR11" s="1202"/>
      <c r="RIS11" s="1202"/>
      <c r="RIT11" s="1202"/>
      <c r="RIU11" s="1202"/>
      <c r="RIV11" s="1202"/>
      <c r="RIW11" s="1202"/>
      <c r="RIX11" s="1202"/>
      <c r="RIY11" s="1202"/>
      <c r="RIZ11" s="1202"/>
      <c r="RJA11" s="1202"/>
      <c r="RJB11" s="1202"/>
      <c r="RJC11" s="1202"/>
      <c r="RJD11" s="1202"/>
      <c r="RJE11" s="1202"/>
      <c r="RJF11" s="1202"/>
      <c r="RJG11" s="1202"/>
      <c r="RJH11" s="1202"/>
      <c r="RJI11" s="1202"/>
      <c r="RJJ11" s="1202"/>
      <c r="RJK11" s="1202"/>
      <c r="RJL11" s="1202"/>
      <c r="RJM11" s="1202"/>
      <c r="RJN11" s="1202"/>
      <c r="RJO11" s="1202"/>
      <c r="RJP11" s="1202"/>
      <c r="RJQ11" s="1202"/>
      <c r="RJR11" s="1202"/>
      <c r="RJS11" s="1202"/>
      <c r="RJT11" s="1202"/>
      <c r="RJU11" s="1202"/>
      <c r="RJV11" s="1202"/>
      <c r="RJW11" s="1202"/>
      <c r="RJX11" s="1202"/>
      <c r="RJY11" s="1202"/>
      <c r="RJZ11" s="1202"/>
      <c r="RKA11" s="1202"/>
      <c r="RKB11" s="1202"/>
      <c r="RKC11" s="1202"/>
      <c r="RKD11" s="1202"/>
      <c r="RKE11" s="1202"/>
      <c r="RKF11" s="1202"/>
      <c r="RKG11" s="1202"/>
      <c r="RKH11" s="1202"/>
      <c r="RKI11" s="1202"/>
      <c r="RKJ11" s="1202"/>
      <c r="RKK11" s="1202"/>
      <c r="RKL11" s="1202"/>
      <c r="RKM11" s="1202"/>
      <c r="RKN11" s="1202"/>
      <c r="RKO11" s="1202"/>
      <c r="RKP11" s="1202"/>
      <c r="RKQ11" s="1202"/>
      <c r="RKR11" s="1202"/>
      <c r="RKS11" s="1202"/>
      <c r="RKT11" s="1202"/>
      <c r="RKU11" s="1202"/>
      <c r="RKV11" s="1202"/>
      <c r="RKW11" s="1202"/>
      <c r="RKX11" s="1202"/>
      <c r="RKY11" s="1202"/>
      <c r="RKZ11" s="1202"/>
      <c r="RLA11" s="1202"/>
      <c r="RLB11" s="1202"/>
      <c r="RLC11" s="1202"/>
      <c r="RLD11" s="1202"/>
      <c r="RLE11" s="1202"/>
      <c r="RLF11" s="1202"/>
      <c r="RLG11" s="1202"/>
      <c r="RLH11" s="1202"/>
      <c r="RLI11" s="1202"/>
      <c r="RLJ11" s="1202"/>
      <c r="RLK11" s="1202"/>
      <c r="RLL11" s="1202"/>
      <c r="RLM11" s="1202"/>
      <c r="RLN11" s="1202"/>
      <c r="RLO11" s="1202"/>
      <c r="RLP11" s="1202"/>
      <c r="RLQ11" s="1202"/>
      <c r="RLR11" s="1202"/>
      <c r="RLS11" s="1202"/>
      <c r="RLT11" s="1202"/>
      <c r="RLU11" s="1202"/>
      <c r="RLV11" s="1202"/>
      <c r="RLW11" s="1202"/>
      <c r="RLX11" s="1202"/>
      <c r="RLY11" s="1202"/>
      <c r="RLZ11" s="1202"/>
      <c r="RMA11" s="1202"/>
      <c r="RMB11" s="1202"/>
      <c r="RMC11" s="1202"/>
      <c r="RMD11" s="1202"/>
      <c r="RME11" s="1202"/>
      <c r="RMF11" s="1202"/>
      <c r="RMG11" s="1202"/>
      <c r="RMH11" s="1202"/>
      <c r="RMI11" s="1202"/>
      <c r="RMJ11" s="1202"/>
      <c r="RMK11" s="1202"/>
      <c r="RML11" s="1202"/>
      <c r="RMM11" s="1202"/>
      <c r="RMN11" s="1202"/>
      <c r="RMO11" s="1202"/>
      <c r="RMP11" s="1202"/>
      <c r="RMQ11" s="1202"/>
      <c r="RMR11" s="1202"/>
      <c r="RMS11" s="1202"/>
      <c r="RMT11" s="1202"/>
      <c r="RMU11" s="1202"/>
      <c r="RMV11" s="1202"/>
      <c r="RMW11" s="1202"/>
      <c r="RMX11" s="1202"/>
      <c r="RMY11" s="1202"/>
      <c r="RMZ11" s="1202"/>
      <c r="RNA11" s="1202"/>
      <c r="RNB11" s="1202"/>
      <c r="RNC11" s="1202"/>
      <c r="RND11" s="1202"/>
      <c r="RNE11" s="1202"/>
      <c r="RNF11" s="1202"/>
      <c r="RNG11" s="1202"/>
      <c r="RNH11" s="1202"/>
      <c r="RNI11" s="1202"/>
      <c r="RNJ11" s="1202"/>
      <c r="RNK11" s="1202"/>
      <c r="RNL11" s="1202"/>
      <c r="RNM11" s="1202"/>
      <c r="RNN11" s="1202"/>
      <c r="RNO11" s="1202"/>
      <c r="RNP11" s="1202"/>
      <c r="RNQ11" s="1202"/>
      <c r="RNR11" s="1202"/>
      <c r="RNS11" s="1202"/>
      <c r="RNT11" s="1202"/>
      <c r="RNU11" s="1202"/>
      <c r="RNV11" s="1202"/>
      <c r="RNW11" s="1202"/>
      <c r="RNX11" s="1202"/>
      <c r="RNY11" s="1202"/>
      <c r="RNZ11" s="1202"/>
      <c r="ROA11" s="1202"/>
      <c r="ROB11" s="1202"/>
      <c r="ROC11" s="1202"/>
      <c r="ROD11" s="1202"/>
      <c r="ROE11" s="1202"/>
      <c r="ROF11" s="1202"/>
      <c r="ROG11" s="1202"/>
      <c r="ROH11" s="1202"/>
      <c r="ROI11" s="1202"/>
      <c r="ROJ11" s="1202"/>
      <c r="ROK11" s="1202"/>
      <c r="ROL11" s="1202"/>
      <c r="ROM11" s="1202"/>
      <c r="RON11" s="1202"/>
      <c r="ROO11" s="1202"/>
      <c r="ROP11" s="1202"/>
      <c r="ROQ11" s="1202"/>
      <c r="ROR11" s="1202"/>
      <c r="ROS11" s="1202"/>
      <c r="ROT11" s="1202"/>
      <c r="ROU11" s="1202"/>
      <c r="ROV11" s="1202"/>
      <c r="ROW11" s="1202"/>
      <c r="ROX11" s="1202"/>
      <c r="ROY11" s="1202"/>
      <c r="ROZ11" s="1202"/>
      <c r="RPA11" s="1202"/>
      <c r="RPB11" s="1202"/>
      <c r="RPC11" s="1202"/>
      <c r="RPD11" s="1202"/>
      <c r="RPE11" s="1202"/>
      <c r="RPF11" s="1202"/>
      <c r="RPG11" s="1202"/>
      <c r="RPH11" s="1202"/>
      <c r="RPI11" s="1202"/>
      <c r="RPJ11" s="1202"/>
      <c r="RPK11" s="1202"/>
      <c r="RPL11" s="1202"/>
      <c r="RPM11" s="1202"/>
      <c r="RPN11" s="1202"/>
      <c r="RPO11" s="1202"/>
      <c r="RPP11" s="1202"/>
      <c r="RPQ11" s="1202"/>
      <c r="RPR11" s="1202"/>
      <c r="RPS11" s="1202"/>
      <c r="RPT11" s="1202"/>
      <c r="RPU11" s="1202"/>
      <c r="RPV11" s="1202"/>
      <c r="RPW11" s="1202"/>
      <c r="RPX11" s="1202"/>
      <c r="RPY11" s="1202"/>
      <c r="RPZ11" s="1202"/>
      <c r="RQA11" s="1202"/>
      <c r="RQB11" s="1202"/>
      <c r="RQC11" s="1202"/>
      <c r="RQD11" s="1202"/>
      <c r="RQE11" s="1202"/>
      <c r="RQF11" s="1202"/>
      <c r="RQG11" s="1202"/>
      <c r="RQH11" s="1202"/>
      <c r="RQI11" s="1202"/>
      <c r="RQJ11" s="1202"/>
      <c r="RQK11" s="1202"/>
      <c r="RQL11" s="1202"/>
      <c r="RQM11" s="1202"/>
      <c r="RQN11" s="1202"/>
      <c r="RQO11" s="1202"/>
      <c r="RQP11" s="1202"/>
      <c r="RQQ11" s="1202"/>
      <c r="RQR11" s="1202"/>
      <c r="RQS11" s="1202"/>
      <c r="RQT11" s="1202"/>
      <c r="RQU11" s="1202"/>
      <c r="RQV11" s="1202"/>
      <c r="RQW11" s="1202"/>
      <c r="RQX11" s="1202"/>
      <c r="RQY11" s="1202"/>
      <c r="RQZ11" s="1202"/>
      <c r="RRA11" s="1202"/>
      <c r="RRB11" s="1202"/>
      <c r="RRC11" s="1202"/>
      <c r="RRD11" s="1202"/>
      <c r="RRE11" s="1202"/>
      <c r="RRF11" s="1202"/>
      <c r="RRG11" s="1202"/>
      <c r="RRH11" s="1202"/>
      <c r="RRI11" s="1202"/>
      <c r="RRJ11" s="1202"/>
      <c r="RRK11" s="1202"/>
      <c r="RRL11" s="1202"/>
      <c r="RRM11" s="1202"/>
      <c r="RRN11" s="1202"/>
      <c r="RRO11" s="1202"/>
      <c r="RRP11" s="1202"/>
      <c r="RRQ11" s="1202"/>
      <c r="RRR11" s="1202"/>
      <c r="RRS11" s="1202"/>
      <c r="RRT11" s="1202"/>
      <c r="RRU11" s="1202"/>
      <c r="RRV11" s="1202"/>
      <c r="RRW11" s="1202"/>
      <c r="RRX11" s="1202"/>
      <c r="RRY11" s="1202"/>
      <c r="RRZ11" s="1202"/>
      <c r="RSA11" s="1202"/>
      <c r="RSB11" s="1202"/>
      <c r="RSC11" s="1202"/>
      <c r="RSD11" s="1202"/>
      <c r="RSE11" s="1202"/>
      <c r="RSF11" s="1202"/>
      <c r="RSG11" s="1202"/>
      <c r="RSH11" s="1202"/>
      <c r="RSI11" s="1202"/>
      <c r="RSJ11" s="1202"/>
      <c r="RSK11" s="1202"/>
      <c r="RSL11" s="1202"/>
      <c r="RSM11" s="1202"/>
      <c r="RSN11" s="1202"/>
      <c r="RSO11" s="1202"/>
      <c r="RSP11" s="1202"/>
      <c r="RSQ11" s="1202"/>
      <c r="RSR11" s="1202"/>
      <c r="RSS11" s="1202"/>
      <c r="RST11" s="1202"/>
      <c r="RSU11" s="1202"/>
      <c r="RSV11" s="1202"/>
      <c r="RSW11" s="1202"/>
      <c r="RSX11" s="1202"/>
      <c r="RSY11" s="1202"/>
      <c r="RSZ11" s="1202"/>
      <c r="RTA11" s="1202"/>
      <c r="RTB11" s="1202"/>
      <c r="RTC11" s="1202"/>
      <c r="RTD11" s="1202"/>
      <c r="RTE11" s="1202"/>
      <c r="RTF11" s="1202"/>
      <c r="RTG11" s="1202"/>
      <c r="RTH11" s="1202"/>
      <c r="RTI11" s="1202"/>
      <c r="RTJ11" s="1202"/>
      <c r="RTK11" s="1202"/>
      <c r="RTL11" s="1202"/>
      <c r="RTM11" s="1202"/>
      <c r="RTN11" s="1202"/>
      <c r="RTO11" s="1202"/>
      <c r="RTP11" s="1202"/>
      <c r="RTQ11" s="1202"/>
      <c r="RTR11" s="1202"/>
      <c r="RTS11" s="1202"/>
      <c r="RTT11" s="1202"/>
      <c r="RTU11" s="1202"/>
      <c r="RTV11" s="1202"/>
      <c r="RTW11" s="1202"/>
      <c r="RTX11" s="1202"/>
      <c r="RTY11" s="1202"/>
      <c r="RTZ11" s="1202"/>
      <c r="RUA11" s="1202"/>
      <c r="RUB11" s="1202"/>
      <c r="RUC11" s="1202"/>
      <c r="RUD11" s="1202"/>
      <c r="RUE11" s="1202"/>
      <c r="RUF11" s="1202"/>
      <c r="RUG11" s="1202"/>
      <c r="RUH11" s="1202"/>
      <c r="RUI11" s="1202"/>
      <c r="RUJ11" s="1202"/>
      <c r="RUK11" s="1202"/>
      <c r="RUL11" s="1202"/>
      <c r="RUM11" s="1202"/>
      <c r="RUN11" s="1202"/>
      <c r="RUO11" s="1202"/>
      <c r="RUP11" s="1202"/>
      <c r="RUQ11" s="1202"/>
      <c r="RUR11" s="1202"/>
      <c r="RUS11" s="1202"/>
      <c r="RUT11" s="1202"/>
      <c r="RUU11" s="1202"/>
      <c r="RUV11" s="1202"/>
      <c r="RUW11" s="1202"/>
      <c r="RUX11" s="1202"/>
      <c r="RUY11" s="1202"/>
      <c r="RUZ11" s="1202"/>
      <c r="RVA11" s="1202"/>
      <c r="RVB11" s="1202"/>
      <c r="RVC11" s="1202"/>
      <c r="RVD11" s="1202"/>
      <c r="RVE11" s="1202"/>
      <c r="RVF11" s="1202"/>
      <c r="RVG11" s="1202"/>
      <c r="RVH11" s="1202"/>
      <c r="RVI11" s="1202"/>
      <c r="RVJ11" s="1202"/>
      <c r="RVK11" s="1202"/>
      <c r="RVL11" s="1202"/>
      <c r="RVM11" s="1202"/>
      <c r="RVN11" s="1202"/>
      <c r="RVO11" s="1202"/>
      <c r="RVP11" s="1202"/>
      <c r="RVQ11" s="1202"/>
      <c r="RVR11" s="1202"/>
      <c r="RVS11" s="1202"/>
      <c r="RVT11" s="1202"/>
      <c r="RVU11" s="1202"/>
      <c r="RVV11" s="1202"/>
      <c r="RVW11" s="1202"/>
      <c r="RVX11" s="1202"/>
      <c r="RVY11" s="1202"/>
      <c r="RVZ11" s="1202"/>
      <c r="RWA11" s="1202"/>
      <c r="RWB11" s="1202"/>
      <c r="RWC11" s="1202"/>
      <c r="RWD11" s="1202"/>
      <c r="RWE11" s="1202"/>
      <c r="RWF11" s="1202"/>
      <c r="RWG11" s="1202"/>
      <c r="RWH11" s="1202"/>
      <c r="RWI11" s="1202"/>
      <c r="RWJ11" s="1202"/>
      <c r="RWK11" s="1202"/>
      <c r="RWL11" s="1202"/>
      <c r="RWM11" s="1202"/>
      <c r="RWN11" s="1202"/>
      <c r="RWO11" s="1202"/>
      <c r="RWP11" s="1202"/>
      <c r="RWQ11" s="1202"/>
      <c r="RWR11" s="1202"/>
      <c r="RWS11" s="1202"/>
      <c r="RWT11" s="1202"/>
      <c r="RWU11" s="1202"/>
      <c r="RWV11" s="1202"/>
      <c r="RWW11" s="1202"/>
      <c r="RWX11" s="1202"/>
      <c r="RWY11" s="1202"/>
      <c r="RWZ11" s="1202"/>
      <c r="RXA11" s="1202"/>
      <c r="RXB11" s="1202"/>
      <c r="RXC11" s="1202"/>
      <c r="RXD11" s="1202"/>
      <c r="RXE11" s="1202"/>
      <c r="RXF11" s="1202"/>
      <c r="RXG11" s="1202"/>
      <c r="RXH11" s="1202"/>
      <c r="RXI11" s="1202"/>
      <c r="RXJ11" s="1202"/>
      <c r="RXK11" s="1202"/>
      <c r="RXL11" s="1202"/>
      <c r="RXM11" s="1202"/>
      <c r="RXN11" s="1202"/>
      <c r="RXO11" s="1202"/>
      <c r="RXP11" s="1202"/>
      <c r="RXQ11" s="1202"/>
      <c r="RXR11" s="1202"/>
      <c r="RXS11" s="1202"/>
      <c r="RXT11" s="1202"/>
      <c r="RXU11" s="1202"/>
      <c r="RXV11" s="1202"/>
      <c r="RXW11" s="1202"/>
      <c r="RXX11" s="1202"/>
      <c r="RXY11" s="1202"/>
      <c r="RXZ11" s="1202"/>
      <c r="RYA11" s="1202"/>
      <c r="RYB11" s="1202"/>
      <c r="RYC11" s="1202"/>
      <c r="RYD11" s="1202"/>
      <c r="RYE11" s="1202"/>
      <c r="RYF11" s="1202"/>
      <c r="RYG11" s="1202"/>
      <c r="RYH11" s="1202"/>
      <c r="RYI11" s="1202"/>
      <c r="RYJ11" s="1202"/>
      <c r="RYK11" s="1202"/>
      <c r="RYL11" s="1202"/>
      <c r="RYM11" s="1202"/>
      <c r="RYN11" s="1202"/>
      <c r="RYO11" s="1202"/>
      <c r="RYP11" s="1202"/>
      <c r="RYQ11" s="1202"/>
      <c r="RYR11" s="1202"/>
      <c r="RYS11" s="1202"/>
      <c r="RYT11" s="1202"/>
      <c r="RYU11" s="1202"/>
      <c r="RYV11" s="1202"/>
      <c r="RYW11" s="1202"/>
      <c r="RYX11" s="1202"/>
      <c r="RYY11" s="1202"/>
      <c r="RYZ11" s="1202"/>
      <c r="RZA11" s="1202"/>
      <c r="RZB11" s="1202"/>
      <c r="RZC11" s="1202"/>
      <c r="RZD11" s="1202"/>
      <c r="RZE11" s="1202"/>
      <c r="RZF11" s="1202"/>
      <c r="RZG11" s="1202"/>
      <c r="RZH11" s="1202"/>
      <c r="RZI11" s="1202"/>
      <c r="RZJ11" s="1202"/>
      <c r="RZK11" s="1202"/>
      <c r="RZL11" s="1202"/>
      <c r="RZM11" s="1202"/>
      <c r="RZN11" s="1202"/>
      <c r="RZO11" s="1202"/>
      <c r="RZP11" s="1202"/>
      <c r="RZQ11" s="1202"/>
      <c r="RZR11" s="1202"/>
      <c r="RZS11" s="1202"/>
      <c r="RZT11" s="1202"/>
      <c r="RZU11" s="1202"/>
      <c r="RZV11" s="1202"/>
      <c r="RZW11" s="1202"/>
      <c r="RZX11" s="1202"/>
      <c r="RZY11" s="1202"/>
      <c r="RZZ11" s="1202"/>
      <c r="SAA11" s="1202"/>
      <c r="SAB11" s="1202"/>
      <c r="SAC11" s="1202"/>
      <c r="SAD11" s="1202"/>
      <c r="SAE11" s="1202"/>
      <c r="SAF11" s="1202"/>
      <c r="SAG11" s="1202"/>
      <c r="SAH11" s="1202"/>
      <c r="SAI11" s="1202"/>
      <c r="SAJ11" s="1202"/>
      <c r="SAK11" s="1202"/>
      <c r="SAL11" s="1202"/>
      <c r="SAM11" s="1202"/>
      <c r="SAN11" s="1202"/>
      <c r="SAO11" s="1202"/>
      <c r="SAP11" s="1202"/>
      <c r="SAQ11" s="1202"/>
      <c r="SAR11" s="1202"/>
      <c r="SAS11" s="1202"/>
      <c r="SAT11" s="1202"/>
      <c r="SAU11" s="1202"/>
      <c r="SAV11" s="1202"/>
      <c r="SAW11" s="1202"/>
      <c r="SAX11" s="1202"/>
      <c r="SAY11" s="1202"/>
      <c r="SAZ11" s="1202"/>
      <c r="SBA11" s="1202"/>
      <c r="SBB11" s="1202"/>
      <c r="SBC11" s="1202"/>
      <c r="SBD11" s="1202"/>
      <c r="SBE11" s="1202"/>
      <c r="SBF11" s="1202"/>
      <c r="SBG11" s="1202"/>
      <c r="SBH11" s="1202"/>
      <c r="SBI11" s="1202"/>
      <c r="SBJ11" s="1202"/>
      <c r="SBK11" s="1202"/>
      <c r="SBL11" s="1202"/>
      <c r="SBM11" s="1202"/>
      <c r="SBN11" s="1202"/>
      <c r="SBO11" s="1202"/>
      <c r="SBP11" s="1202"/>
      <c r="SBQ11" s="1202"/>
      <c r="SBR11" s="1202"/>
      <c r="SBS11" s="1202"/>
      <c r="SBT11" s="1202"/>
      <c r="SBU11" s="1202"/>
      <c r="SBV11" s="1202"/>
      <c r="SBW11" s="1202"/>
      <c r="SBX11" s="1202"/>
      <c r="SBY11" s="1202"/>
      <c r="SBZ11" s="1202"/>
      <c r="SCA11" s="1202"/>
      <c r="SCB11" s="1202"/>
      <c r="SCC11" s="1202"/>
      <c r="SCD11" s="1202"/>
      <c r="SCE11" s="1202"/>
      <c r="SCF11" s="1202"/>
      <c r="SCG11" s="1202"/>
      <c r="SCH11" s="1202"/>
      <c r="SCI11" s="1202"/>
      <c r="SCJ11" s="1202"/>
      <c r="SCK11" s="1202"/>
      <c r="SCL11" s="1202"/>
      <c r="SCM11" s="1202"/>
      <c r="SCN11" s="1202"/>
      <c r="SCO11" s="1202"/>
      <c r="SCP11" s="1202"/>
      <c r="SCQ11" s="1202"/>
      <c r="SCR11" s="1202"/>
      <c r="SCS11" s="1202"/>
      <c r="SCT11" s="1202"/>
      <c r="SCU11" s="1202"/>
      <c r="SCV11" s="1202"/>
      <c r="SCW11" s="1202"/>
      <c r="SCX11" s="1202"/>
      <c r="SCY11" s="1202"/>
      <c r="SCZ11" s="1202"/>
      <c r="SDA11" s="1202"/>
      <c r="SDB11" s="1202"/>
      <c r="SDC11" s="1202"/>
      <c r="SDD11" s="1202"/>
      <c r="SDE11" s="1202"/>
      <c r="SDF11" s="1202"/>
      <c r="SDG11" s="1202"/>
      <c r="SDH11" s="1202"/>
      <c r="SDI11" s="1202"/>
      <c r="SDJ11" s="1202"/>
      <c r="SDK11" s="1202"/>
      <c r="SDL11" s="1202"/>
      <c r="SDM11" s="1202"/>
      <c r="SDN11" s="1202"/>
      <c r="SDO11" s="1202"/>
      <c r="SDP11" s="1202"/>
      <c r="SDQ11" s="1202"/>
      <c r="SDR11" s="1202"/>
      <c r="SDS11" s="1202"/>
      <c r="SDT11" s="1202"/>
      <c r="SDU11" s="1202"/>
      <c r="SDV11" s="1202"/>
      <c r="SDW11" s="1202"/>
      <c r="SDX11" s="1202"/>
      <c r="SDY11" s="1202"/>
      <c r="SDZ11" s="1202"/>
      <c r="SEA11" s="1202"/>
      <c r="SEB11" s="1202"/>
      <c r="SEC11" s="1202"/>
      <c r="SED11" s="1202"/>
      <c r="SEE11" s="1202"/>
      <c r="SEF11" s="1202"/>
      <c r="SEG11" s="1202"/>
      <c r="SEH11" s="1202"/>
      <c r="SEI11" s="1202"/>
      <c r="SEJ11" s="1202"/>
      <c r="SEK11" s="1202"/>
      <c r="SEL11" s="1202"/>
      <c r="SEM11" s="1202"/>
      <c r="SEN11" s="1202"/>
      <c r="SEO11" s="1202"/>
      <c r="SEP11" s="1202"/>
      <c r="SEQ11" s="1202"/>
      <c r="SER11" s="1202"/>
      <c r="SES11" s="1202"/>
      <c r="SET11" s="1202"/>
      <c r="SEU11" s="1202"/>
      <c r="SEV11" s="1202"/>
      <c r="SEW11" s="1202"/>
      <c r="SEX11" s="1202"/>
      <c r="SEY11" s="1202"/>
      <c r="SEZ11" s="1202"/>
      <c r="SFA11" s="1202"/>
      <c r="SFB11" s="1202"/>
      <c r="SFC11" s="1202"/>
      <c r="SFD11" s="1202"/>
      <c r="SFE11" s="1202"/>
      <c r="SFF11" s="1202"/>
      <c r="SFG11" s="1202"/>
      <c r="SFH11" s="1202"/>
      <c r="SFI11" s="1202"/>
      <c r="SFJ11" s="1202"/>
      <c r="SFK11" s="1202"/>
      <c r="SFL11" s="1202"/>
      <c r="SFM11" s="1202"/>
      <c r="SFN11" s="1202"/>
      <c r="SFO11" s="1202"/>
      <c r="SFP11" s="1202"/>
      <c r="SFQ11" s="1202"/>
      <c r="SFR11" s="1202"/>
      <c r="SFS11" s="1202"/>
      <c r="SFT11" s="1202"/>
      <c r="SFU11" s="1202"/>
      <c r="SFV11" s="1202"/>
      <c r="SFW11" s="1202"/>
      <c r="SFX11" s="1202"/>
      <c r="SFY11" s="1202"/>
      <c r="SFZ11" s="1202"/>
      <c r="SGA11" s="1202"/>
      <c r="SGB11" s="1202"/>
      <c r="SGC11" s="1202"/>
      <c r="SGD11" s="1202"/>
      <c r="SGE11" s="1202"/>
      <c r="SGF11" s="1202"/>
      <c r="SGG11" s="1202"/>
      <c r="SGH11" s="1202"/>
      <c r="SGI11" s="1202"/>
      <c r="SGJ11" s="1202"/>
      <c r="SGK11" s="1202"/>
      <c r="SGL11" s="1202"/>
      <c r="SGM11" s="1202"/>
      <c r="SGN11" s="1202"/>
      <c r="SGO11" s="1202"/>
      <c r="SGP11" s="1202"/>
      <c r="SGQ11" s="1202"/>
      <c r="SGR11" s="1202"/>
      <c r="SGS11" s="1202"/>
      <c r="SGT11" s="1202"/>
      <c r="SGU11" s="1202"/>
      <c r="SGV11" s="1202"/>
      <c r="SGW11" s="1202"/>
      <c r="SGX11" s="1202"/>
      <c r="SGY11" s="1202"/>
      <c r="SGZ11" s="1202"/>
      <c r="SHA11" s="1202"/>
      <c r="SHB11" s="1202"/>
      <c r="SHC11" s="1202"/>
      <c r="SHD11" s="1202"/>
      <c r="SHE11" s="1202"/>
      <c r="SHF11" s="1202"/>
      <c r="SHG11" s="1202"/>
      <c r="SHH11" s="1202"/>
      <c r="SHI11" s="1202"/>
      <c r="SHJ11" s="1202"/>
      <c r="SHK11" s="1202"/>
      <c r="SHL11" s="1202"/>
      <c r="SHM11" s="1202"/>
      <c r="SHN11" s="1202"/>
      <c r="SHO11" s="1202"/>
      <c r="SHP11" s="1202"/>
      <c r="SHQ11" s="1202"/>
      <c r="SHR11" s="1202"/>
      <c r="SHS11" s="1202"/>
      <c r="SHT11" s="1202"/>
      <c r="SHU11" s="1202"/>
      <c r="SHV11" s="1202"/>
      <c r="SHW11" s="1202"/>
      <c r="SHX11" s="1202"/>
      <c r="SHY11" s="1202"/>
      <c r="SHZ11" s="1202"/>
      <c r="SIA11" s="1202"/>
      <c r="SIB11" s="1202"/>
      <c r="SIC11" s="1202"/>
      <c r="SID11" s="1202"/>
      <c r="SIE11" s="1202"/>
      <c r="SIF11" s="1202"/>
      <c r="SIG11" s="1202"/>
      <c r="SIH11" s="1202"/>
      <c r="SII11" s="1202"/>
      <c r="SIJ11" s="1202"/>
      <c r="SIK11" s="1202"/>
      <c r="SIL11" s="1202"/>
      <c r="SIM11" s="1202"/>
      <c r="SIN11" s="1202"/>
      <c r="SIO11" s="1202"/>
      <c r="SIP11" s="1202"/>
      <c r="SIQ11" s="1202"/>
      <c r="SIR11" s="1202"/>
      <c r="SIS11" s="1202"/>
      <c r="SIT11" s="1202"/>
      <c r="SIU11" s="1202"/>
      <c r="SIV11" s="1202"/>
      <c r="SIW11" s="1202"/>
      <c r="SIX11" s="1202"/>
      <c r="SIY11" s="1202"/>
      <c r="SIZ11" s="1202"/>
      <c r="SJA11" s="1202"/>
      <c r="SJB11" s="1202"/>
      <c r="SJC11" s="1202"/>
      <c r="SJD11" s="1202"/>
      <c r="SJE11" s="1202"/>
      <c r="SJF11" s="1202"/>
      <c r="SJG11" s="1202"/>
      <c r="SJH11" s="1202"/>
      <c r="SJI11" s="1202"/>
      <c r="SJJ11" s="1202"/>
      <c r="SJK11" s="1202"/>
      <c r="SJL11" s="1202"/>
      <c r="SJM11" s="1202"/>
      <c r="SJN11" s="1202"/>
      <c r="SJO11" s="1202"/>
      <c r="SJP11" s="1202"/>
      <c r="SJQ11" s="1202"/>
      <c r="SJR11" s="1202"/>
      <c r="SJS11" s="1202"/>
      <c r="SJT11" s="1202"/>
      <c r="SJU11" s="1202"/>
      <c r="SJV11" s="1202"/>
      <c r="SJW11" s="1202"/>
      <c r="SJX11" s="1202"/>
      <c r="SJY11" s="1202"/>
      <c r="SJZ11" s="1202"/>
      <c r="SKA11" s="1202"/>
      <c r="SKB11" s="1202"/>
      <c r="SKC11" s="1202"/>
      <c r="SKD11" s="1202"/>
      <c r="SKE11" s="1202"/>
      <c r="SKF11" s="1202"/>
      <c r="SKG11" s="1202"/>
      <c r="SKH11" s="1202"/>
      <c r="SKI11" s="1202"/>
      <c r="SKJ11" s="1202"/>
      <c r="SKK11" s="1202"/>
      <c r="SKL11" s="1202"/>
      <c r="SKM11" s="1202"/>
      <c r="SKN11" s="1202"/>
      <c r="SKO11" s="1202"/>
      <c r="SKP11" s="1202"/>
      <c r="SKQ11" s="1202"/>
      <c r="SKR11" s="1202"/>
      <c r="SKS11" s="1202"/>
      <c r="SKT11" s="1202"/>
      <c r="SKU11" s="1202"/>
      <c r="SKV11" s="1202"/>
      <c r="SKW11" s="1202"/>
      <c r="SKX11" s="1202"/>
      <c r="SKY11" s="1202"/>
      <c r="SKZ11" s="1202"/>
      <c r="SLA11" s="1202"/>
      <c r="SLB11" s="1202"/>
      <c r="SLC11" s="1202"/>
      <c r="SLD11" s="1202"/>
      <c r="SLE11" s="1202"/>
      <c r="SLF11" s="1202"/>
      <c r="SLG11" s="1202"/>
      <c r="SLH11" s="1202"/>
      <c r="SLI11" s="1202"/>
      <c r="SLJ11" s="1202"/>
      <c r="SLK11" s="1202"/>
      <c r="SLL11" s="1202"/>
      <c r="SLM11" s="1202"/>
      <c r="SLN11" s="1202"/>
      <c r="SLO11" s="1202"/>
      <c r="SLP11" s="1202"/>
      <c r="SLQ11" s="1202"/>
      <c r="SLR11" s="1202"/>
      <c r="SLS11" s="1202"/>
      <c r="SLT11" s="1202"/>
      <c r="SLU11" s="1202"/>
      <c r="SLV11" s="1202"/>
      <c r="SLW11" s="1202"/>
      <c r="SLX11" s="1202"/>
      <c r="SLY11" s="1202"/>
      <c r="SLZ11" s="1202"/>
      <c r="SMA11" s="1202"/>
      <c r="SMB11" s="1202"/>
      <c r="SMC11" s="1202"/>
      <c r="SMD11" s="1202"/>
      <c r="SME11" s="1202"/>
      <c r="SMF11" s="1202"/>
      <c r="SMG11" s="1202"/>
      <c r="SMH11" s="1202"/>
      <c r="SMI11" s="1202"/>
      <c r="SMJ11" s="1202"/>
      <c r="SMK11" s="1202"/>
      <c r="SML11" s="1202"/>
      <c r="SMM11" s="1202"/>
      <c r="SMN11" s="1202"/>
      <c r="SMO11" s="1202"/>
      <c r="SMP11" s="1202"/>
      <c r="SMQ11" s="1202"/>
      <c r="SMR11" s="1202"/>
      <c r="SMS11" s="1202"/>
      <c r="SMT11" s="1202"/>
      <c r="SMU11" s="1202"/>
      <c r="SMV11" s="1202"/>
      <c r="SMW11" s="1202"/>
      <c r="SMX11" s="1202"/>
      <c r="SMY11" s="1202"/>
      <c r="SMZ11" s="1202"/>
      <c r="SNA11" s="1202"/>
      <c r="SNB11" s="1202"/>
      <c r="SNC11" s="1202"/>
      <c r="SND11" s="1202"/>
      <c r="SNE11" s="1202"/>
      <c r="SNF11" s="1202"/>
      <c r="SNG11" s="1202"/>
      <c r="SNH11" s="1202"/>
      <c r="SNI11" s="1202"/>
      <c r="SNJ11" s="1202"/>
      <c r="SNK11" s="1202"/>
      <c r="SNL11" s="1202"/>
      <c r="SNM11" s="1202"/>
      <c r="SNN11" s="1202"/>
      <c r="SNO11" s="1202"/>
      <c r="SNP11" s="1202"/>
      <c r="SNQ11" s="1202"/>
      <c r="SNR11" s="1202"/>
      <c r="SNS11" s="1202"/>
      <c r="SNT11" s="1202"/>
      <c r="SNU11" s="1202"/>
      <c r="SNV11" s="1202"/>
      <c r="SNW11" s="1202"/>
      <c r="SNX11" s="1202"/>
      <c r="SNY11" s="1202"/>
      <c r="SNZ11" s="1202"/>
      <c r="SOA11" s="1202"/>
      <c r="SOB11" s="1202"/>
      <c r="SOC11" s="1202"/>
      <c r="SOD11" s="1202"/>
      <c r="SOE11" s="1202"/>
      <c r="SOF11" s="1202"/>
      <c r="SOG11" s="1202"/>
      <c r="SOH11" s="1202"/>
      <c r="SOI11" s="1202"/>
      <c r="SOJ11" s="1202"/>
      <c r="SOK11" s="1202"/>
      <c r="SOL11" s="1202"/>
      <c r="SOM11" s="1202"/>
      <c r="SON11" s="1202"/>
      <c r="SOO11" s="1202"/>
      <c r="SOP11" s="1202"/>
      <c r="SOQ11" s="1202"/>
      <c r="SOR11" s="1202"/>
      <c r="SOS11" s="1202"/>
      <c r="SOT11" s="1202"/>
      <c r="SOU11" s="1202"/>
      <c r="SOV11" s="1202"/>
      <c r="SOW11" s="1202"/>
      <c r="SOX11" s="1202"/>
      <c r="SOY11" s="1202"/>
      <c r="SOZ11" s="1202"/>
      <c r="SPA11" s="1202"/>
      <c r="SPB11" s="1202"/>
      <c r="SPC11" s="1202"/>
      <c r="SPD11" s="1202"/>
      <c r="SPE11" s="1202"/>
      <c r="SPF11" s="1202"/>
      <c r="SPG11" s="1202"/>
      <c r="SPH11" s="1202"/>
      <c r="SPI11" s="1202"/>
      <c r="SPJ11" s="1202"/>
      <c r="SPK11" s="1202"/>
      <c r="SPL11" s="1202"/>
      <c r="SPM11" s="1202"/>
      <c r="SPN11" s="1202"/>
      <c r="SPO11" s="1202"/>
      <c r="SPP11" s="1202"/>
      <c r="SPQ11" s="1202"/>
      <c r="SPR11" s="1202"/>
      <c r="SPS11" s="1202"/>
      <c r="SPT11" s="1202"/>
      <c r="SPU11" s="1202"/>
      <c r="SPV11" s="1202"/>
      <c r="SPW11" s="1202"/>
      <c r="SPX11" s="1202"/>
      <c r="SPY11" s="1202"/>
      <c r="SPZ11" s="1202"/>
      <c r="SQA11" s="1202"/>
      <c r="SQB11" s="1202"/>
      <c r="SQC11" s="1202"/>
      <c r="SQD11" s="1202"/>
      <c r="SQE11" s="1202"/>
      <c r="SQF11" s="1202"/>
      <c r="SQG11" s="1202"/>
      <c r="SQH11" s="1202"/>
      <c r="SQI11" s="1202"/>
      <c r="SQJ11" s="1202"/>
      <c r="SQK11" s="1202"/>
      <c r="SQL11" s="1202"/>
      <c r="SQM11" s="1202"/>
      <c r="SQN11" s="1202"/>
      <c r="SQO11" s="1202"/>
      <c r="SQP11" s="1202"/>
      <c r="SQQ11" s="1202"/>
      <c r="SQR11" s="1202"/>
      <c r="SQS11" s="1202"/>
      <c r="SQT11" s="1202"/>
      <c r="SQU11" s="1202"/>
      <c r="SQV11" s="1202"/>
      <c r="SQW11" s="1202"/>
      <c r="SQX11" s="1202"/>
      <c r="SQY11" s="1202"/>
      <c r="SQZ11" s="1202"/>
      <c r="SRA11" s="1202"/>
      <c r="SRB11" s="1202"/>
      <c r="SRC11" s="1202"/>
      <c r="SRD11" s="1202"/>
      <c r="SRE11" s="1202"/>
      <c r="SRF11" s="1202"/>
      <c r="SRG11" s="1202"/>
      <c r="SRH11" s="1202"/>
      <c r="SRI11" s="1202"/>
      <c r="SRJ11" s="1202"/>
      <c r="SRK11" s="1202"/>
      <c r="SRL11" s="1202"/>
      <c r="SRM11" s="1202"/>
      <c r="SRN11" s="1202"/>
      <c r="SRO11" s="1202"/>
      <c r="SRP11" s="1202"/>
      <c r="SRQ11" s="1202"/>
      <c r="SRR11" s="1202"/>
      <c r="SRS11" s="1202"/>
      <c r="SRT11" s="1202"/>
      <c r="SRU11" s="1202"/>
      <c r="SRV11" s="1202"/>
      <c r="SRW11" s="1202"/>
      <c r="SRX11" s="1202"/>
      <c r="SRY11" s="1202"/>
      <c r="SRZ11" s="1202"/>
      <c r="SSA11" s="1202"/>
      <c r="SSB11" s="1202"/>
      <c r="SSC11" s="1202"/>
      <c r="SSD11" s="1202"/>
      <c r="SSE11" s="1202"/>
      <c r="SSF11" s="1202"/>
      <c r="SSG11" s="1202"/>
      <c r="SSH11" s="1202"/>
      <c r="SSI11" s="1202"/>
      <c r="SSJ11" s="1202"/>
      <c r="SSK11" s="1202"/>
      <c r="SSL11" s="1202"/>
      <c r="SSM11" s="1202"/>
      <c r="SSN11" s="1202"/>
      <c r="SSO11" s="1202"/>
      <c r="SSP11" s="1202"/>
      <c r="SSQ11" s="1202"/>
      <c r="SSR11" s="1202"/>
      <c r="SSS11" s="1202"/>
      <c r="SST11" s="1202"/>
      <c r="SSU11" s="1202"/>
      <c r="SSV11" s="1202"/>
      <c r="SSW11" s="1202"/>
      <c r="SSX11" s="1202"/>
      <c r="SSY11" s="1202"/>
      <c r="SSZ11" s="1202"/>
      <c r="STA11" s="1202"/>
      <c r="STB11" s="1202"/>
      <c r="STC11" s="1202"/>
      <c r="STD11" s="1202"/>
      <c r="STE11" s="1202"/>
      <c r="STF11" s="1202"/>
      <c r="STG11" s="1202"/>
      <c r="STH11" s="1202"/>
      <c r="STI11" s="1202"/>
      <c r="STJ11" s="1202"/>
      <c r="STK11" s="1202"/>
      <c r="STL11" s="1202"/>
      <c r="STM11" s="1202"/>
      <c r="STN11" s="1202"/>
      <c r="STO11" s="1202"/>
      <c r="STP11" s="1202"/>
      <c r="STQ11" s="1202"/>
      <c r="STR11" s="1202"/>
      <c r="STS11" s="1202"/>
      <c r="STT11" s="1202"/>
      <c r="STU11" s="1202"/>
      <c r="STV11" s="1202"/>
      <c r="STW11" s="1202"/>
      <c r="STX11" s="1202"/>
      <c r="STY11" s="1202"/>
      <c r="STZ11" s="1202"/>
      <c r="SUA11" s="1202"/>
      <c r="SUB11" s="1202"/>
      <c r="SUC11" s="1202"/>
      <c r="SUD11" s="1202"/>
      <c r="SUE11" s="1202"/>
      <c r="SUF11" s="1202"/>
      <c r="SUG11" s="1202"/>
      <c r="SUH11" s="1202"/>
      <c r="SUI11" s="1202"/>
      <c r="SUJ11" s="1202"/>
      <c r="SUK11" s="1202"/>
      <c r="SUL11" s="1202"/>
      <c r="SUM11" s="1202"/>
      <c r="SUN11" s="1202"/>
      <c r="SUO11" s="1202"/>
      <c r="SUP11" s="1202"/>
      <c r="SUQ11" s="1202"/>
      <c r="SUR11" s="1202"/>
      <c r="SUS11" s="1202"/>
      <c r="SUT11" s="1202"/>
      <c r="SUU11" s="1202"/>
      <c r="SUV11" s="1202"/>
      <c r="SUW11" s="1202"/>
      <c r="SUX11" s="1202"/>
      <c r="SUY11" s="1202"/>
      <c r="SUZ11" s="1202"/>
      <c r="SVA11" s="1202"/>
      <c r="SVB11" s="1202"/>
      <c r="SVC11" s="1202"/>
      <c r="SVD11" s="1202"/>
      <c r="SVE11" s="1202"/>
      <c r="SVF11" s="1202"/>
      <c r="SVG11" s="1202"/>
      <c r="SVH11" s="1202"/>
      <c r="SVI11" s="1202"/>
      <c r="SVJ11" s="1202"/>
      <c r="SVK11" s="1202"/>
      <c r="SVL11" s="1202"/>
      <c r="SVM11" s="1202"/>
      <c r="SVN11" s="1202"/>
      <c r="SVO11" s="1202"/>
      <c r="SVP11" s="1202"/>
      <c r="SVQ11" s="1202"/>
      <c r="SVR11" s="1202"/>
      <c r="SVS11" s="1202"/>
      <c r="SVT11" s="1202"/>
      <c r="SVU11" s="1202"/>
      <c r="SVV11" s="1202"/>
      <c r="SVW11" s="1202"/>
      <c r="SVX11" s="1202"/>
      <c r="SVY11" s="1202"/>
      <c r="SVZ11" s="1202"/>
      <c r="SWA11" s="1202"/>
      <c r="SWB11" s="1202"/>
      <c r="SWC11" s="1202"/>
      <c r="SWD11" s="1202"/>
      <c r="SWE11" s="1202"/>
      <c r="SWF11" s="1202"/>
      <c r="SWG11" s="1202"/>
      <c r="SWH11" s="1202"/>
      <c r="SWI11" s="1202"/>
      <c r="SWJ11" s="1202"/>
      <c r="SWK11" s="1202"/>
      <c r="SWL11" s="1202"/>
      <c r="SWM11" s="1202"/>
      <c r="SWN11" s="1202"/>
      <c r="SWO11" s="1202"/>
      <c r="SWP11" s="1202"/>
      <c r="SWQ11" s="1202"/>
      <c r="SWR11" s="1202"/>
      <c r="SWS11" s="1202"/>
      <c r="SWT11" s="1202"/>
      <c r="SWU11" s="1202"/>
      <c r="SWV11" s="1202"/>
      <c r="SWW11" s="1202"/>
      <c r="SWX11" s="1202"/>
      <c r="SWY11" s="1202"/>
      <c r="SWZ11" s="1202"/>
      <c r="SXA11" s="1202"/>
      <c r="SXB11" s="1202"/>
      <c r="SXC11" s="1202"/>
      <c r="SXD11" s="1202"/>
      <c r="SXE11" s="1202"/>
      <c r="SXF11" s="1202"/>
      <c r="SXG11" s="1202"/>
      <c r="SXH11" s="1202"/>
      <c r="SXI11" s="1202"/>
      <c r="SXJ11" s="1202"/>
      <c r="SXK11" s="1202"/>
      <c r="SXL11" s="1202"/>
      <c r="SXM11" s="1202"/>
      <c r="SXN11" s="1202"/>
      <c r="SXO11" s="1202"/>
      <c r="SXP11" s="1202"/>
      <c r="SXQ11" s="1202"/>
      <c r="SXR11" s="1202"/>
      <c r="SXS11" s="1202"/>
      <c r="SXT11" s="1202"/>
      <c r="SXU11" s="1202"/>
      <c r="SXV11" s="1202"/>
      <c r="SXW11" s="1202"/>
      <c r="SXX11" s="1202"/>
      <c r="SXY11" s="1202"/>
      <c r="SXZ11" s="1202"/>
      <c r="SYA11" s="1202"/>
      <c r="SYB11" s="1202"/>
      <c r="SYC11" s="1202"/>
      <c r="SYD11" s="1202"/>
      <c r="SYE11" s="1202"/>
      <c r="SYF11" s="1202"/>
      <c r="SYG11" s="1202"/>
      <c r="SYH11" s="1202"/>
      <c r="SYI11" s="1202"/>
      <c r="SYJ11" s="1202"/>
      <c r="SYK11" s="1202"/>
      <c r="SYL11" s="1202"/>
      <c r="SYM11" s="1202"/>
      <c r="SYN11" s="1202"/>
      <c r="SYO11" s="1202"/>
      <c r="SYP11" s="1202"/>
      <c r="SYQ11" s="1202"/>
      <c r="SYR11" s="1202"/>
      <c r="SYS11" s="1202"/>
      <c r="SYT11" s="1202"/>
      <c r="SYU11" s="1202"/>
      <c r="SYV11" s="1202"/>
      <c r="SYW11" s="1202"/>
      <c r="SYX11" s="1202"/>
      <c r="SYY11" s="1202"/>
      <c r="SYZ11" s="1202"/>
      <c r="SZA11" s="1202"/>
      <c r="SZB11" s="1202"/>
      <c r="SZC11" s="1202"/>
      <c r="SZD11" s="1202"/>
      <c r="SZE11" s="1202"/>
      <c r="SZF11" s="1202"/>
      <c r="SZG11" s="1202"/>
      <c r="SZH11" s="1202"/>
      <c r="SZI11" s="1202"/>
      <c r="SZJ11" s="1202"/>
      <c r="SZK11" s="1202"/>
      <c r="SZL11" s="1202"/>
      <c r="SZM11" s="1202"/>
      <c r="SZN11" s="1202"/>
      <c r="SZO11" s="1202"/>
      <c r="SZP11" s="1202"/>
      <c r="SZQ11" s="1202"/>
      <c r="SZR11" s="1202"/>
      <c r="SZS11" s="1202"/>
      <c r="SZT11" s="1202"/>
      <c r="SZU11" s="1202"/>
      <c r="SZV11" s="1202"/>
      <c r="SZW11" s="1202"/>
      <c r="SZX11" s="1202"/>
      <c r="SZY11" s="1202"/>
      <c r="SZZ11" s="1202"/>
      <c r="TAA11" s="1202"/>
      <c r="TAB11" s="1202"/>
      <c r="TAC11" s="1202"/>
      <c r="TAD11" s="1202"/>
      <c r="TAE11" s="1202"/>
      <c r="TAF11" s="1202"/>
      <c r="TAG11" s="1202"/>
      <c r="TAH11" s="1202"/>
      <c r="TAI11" s="1202"/>
      <c r="TAJ11" s="1202"/>
      <c r="TAK11" s="1202"/>
      <c r="TAL11" s="1202"/>
      <c r="TAM11" s="1202"/>
      <c r="TAN11" s="1202"/>
      <c r="TAO11" s="1202"/>
      <c r="TAP11" s="1202"/>
      <c r="TAQ11" s="1202"/>
      <c r="TAR11" s="1202"/>
      <c r="TAS11" s="1202"/>
      <c r="TAT11" s="1202"/>
      <c r="TAU11" s="1202"/>
      <c r="TAV11" s="1202"/>
      <c r="TAW11" s="1202"/>
      <c r="TAX11" s="1202"/>
      <c r="TAY11" s="1202"/>
      <c r="TAZ11" s="1202"/>
      <c r="TBA11" s="1202"/>
      <c r="TBB11" s="1202"/>
      <c r="TBC11" s="1202"/>
      <c r="TBD11" s="1202"/>
      <c r="TBE11" s="1202"/>
      <c r="TBF11" s="1202"/>
      <c r="TBG11" s="1202"/>
      <c r="TBH11" s="1202"/>
      <c r="TBI11" s="1202"/>
      <c r="TBJ11" s="1202"/>
      <c r="TBK11" s="1202"/>
      <c r="TBL11" s="1202"/>
      <c r="TBM11" s="1202"/>
      <c r="TBN11" s="1202"/>
      <c r="TBO11" s="1202"/>
      <c r="TBP11" s="1202"/>
      <c r="TBQ11" s="1202"/>
      <c r="TBR11" s="1202"/>
      <c r="TBS11" s="1202"/>
      <c r="TBT11" s="1202"/>
      <c r="TBU11" s="1202"/>
      <c r="TBV11" s="1202"/>
      <c r="TBW11" s="1202"/>
      <c r="TBX11" s="1202"/>
      <c r="TBY11" s="1202"/>
      <c r="TBZ11" s="1202"/>
      <c r="TCA11" s="1202"/>
      <c r="TCB11" s="1202"/>
      <c r="TCC11" s="1202"/>
      <c r="TCD11" s="1202"/>
      <c r="TCE11" s="1202"/>
      <c r="TCF11" s="1202"/>
      <c r="TCG11" s="1202"/>
      <c r="TCH11" s="1202"/>
      <c r="TCI11" s="1202"/>
      <c r="TCJ11" s="1202"/>
      <c r="TCK11" s="1202"/>
      <c r="TCL11" s="1202"/>
      <c r="TCM11" s="1202"/>
      <c r="TCN11" s="1202"/>
      <c r="TCO11" s="1202"/>
      <c r="TCP11" s="1202"/>
      <c r="TCQ11" s="1202"/>
      <c r="TCR11" s="1202"/>
      <c r="TCS11" s="1202"/>
      <c r="TCT11" s="1202"/>
      <c r="TCU11" s="1202"/>
      <c r="TCV11" s="1202"/>
      <c r="TCW11" s="1202"/>
      <c r="TCX11" s="1202"/>
      <c r="TCY11" s="1202"/>
      <c r="TCZ11" s="1202"/>
      <c r="TDA11" s="1202"/>
      <c r="TDB11" s="1202"/>
      <c r="TDC11" s="1202"/>
      <c r="TDD11" s="1202"/>
      <c r="TDE11" s="1202"/>
      <c r="TDF11" s="1202"/>
      <c r="TDG11" s="1202"/>
      <c r="TDH11" s="1202"/>
      <c r="TDI11" s="1202"/>
      <c r="TDJ11" s="1202"/>
      <c r="TDK11" s="1202"/>
      <c r="TDL11" s="1202"/>
      <c r="TDM11" s="1202"/>
      <c r="TDN11" s="1202"/>
      <c r="TDO11" s="1202"/>
      <c r="TDP11" s="1202"/>
      <c r="TDQ11" s="1202"/>
      <c r="TDR11" s="1202"/>
      <c r="TDS11" s="1202"/>
      <c r="TDT11" s="1202"/>
      <c r="TDU11" s="1202"/>
      <c r="TDV11" s="1202"/>
      <c r="TDW11" s="1202"/>
      <c r="TDX11" s="1202"/>
      <c r="TDY11" s="1202"/>
      <c r="TDZ11" s="1202"/>
      <c r="TEA11" s="1202"/>
      <c r="TEB11" s="1202"/>
      <c r="TEC11" s="1202"/>
      <c r="TED11" s="1202"/>
      <c r="TEE11" s="1202"/>
      <c r="TEF11" s="1202"/>
      <c r="TEG11" s="1202"/>
      <c r="TEH11" s="1202"/>
      <c r="TEI11" s="1202"/>
      <c r="TEJ11" s="1202"/>
      <c r="TEK11" s="1202"/>
      <c r="TEL11" s="1202"/>
      <c r="TEM11" s="1202"/>
      <c r="TEN11" s="1202"/>
      <c r="TEO11" s="1202"/>
      <c r="TEP11" s="1202"/>
      <c r="TEQ11" s="1202"/>
      <c r="TER11" s="1202"/>
      <c r="TES11" s="1202"/>
      <c r="TET11" s="1202"/>
      <c r="TEU11" s="1202"/>
      <c r="TEV11" s="1202"/>
      <c r="TEW11" s="1202"/>
      <c r="TEX11" s="1202"/>
      <c r="TEY11" s="1202"/>
      <c r="TEZ11" s="1202"/>
      <c r="TFA11" s="1202"/>
      <c r="TFB11" s="1202"/>
      <c r="TFC11" s="1202"/>
      <c r="TFD11" s="1202"/>
      <c r="TFE11" s="1202"/>
      <c r="TFF11" s="1202"/>
      <c r="TFG11" s="1202"/>
      <c r="TFH11" s="1202"/>
      <c r="TFI11" s="1202"/>
      <c r="TFJ11" s="1202"/>
      <c r="TFK11" s="1202"/>
      <c r="TFL11" s="1202"/>
      <c r="TFM11" s="1202"/>
      <c r="TFN11" s="1202"/>
      <c r="TFO11" s="1202"/>
      <c r="TFP11" s="1202"/>
      <c r="TFQ11" s="1202"/>
      <c r="TFR11" s="1202"/>
      <c r="TFS11" s="1202"/>
      <c r="TFT11" s="1202"/>
      <c r="TFU11" s="1202"/>
      <c r="TFV11" s="1202"/>
      <c r="TFW11" s="1202"/>
      <c r="TFX11" s="1202"/>
      <c r="TFY11" s="1202"/>
      <c r="TFZ11" s="1202"/>
      <c r="TGA11" s="1202"/>
      <c r="TGB11" s="1202"/>
      <c r="TGC11" s="1202"/>
      <c r="TGD11" s="1202"/>
      <c r="TGE11" s="1202"/>
      <c r="TGF11" s="1202"/>
      <c r="TGG11" s="1202"/>
      <c r="TGH11" s="1202"/>
      <c r="TGI11" s="1202"/>
      <c r="TGJ11" s="1202"/>
      <c r="TGK11" s="1202"/>
      <c r="TGL11" s="1202"/>
      <c r="TGM11" s="1202"/>
      <c r="TGN11" s="1202"/>
      <c r="TGO11" s="1202"/>
      <c r="TGP11" s="1202"/>
      <c r="TGQ11" s="1202"/>
      <c r="TGR11" s="1202"/>
      <c r="TGS11" s="1202"/>
      <c r="TGT11" s="1202"/>
      <c r="TGU11" s="1202"/>
      <c r="TGV11" s="1202"/>
      <c r="TGW11" s="1202"/>
      <c r="TGX11" s="1202"/>
      <c r="TGY11" s="1202"/>
      <c r="TGZ11" s="1202"/>
      <c r="THA11" s="1202"/>
      <c r="THB11" s="1202"/>
      <c r="THC11" s="1202"/>
      <c r="THD11" s="1202"/>
      <c r="THE11" s="1202"/>
      <c r="THF11" s="1202"/>
      <c r="THG11" s="1202"/>
      <c r="THH11" s="1202"/>
      <c r="THI11" s="1202"/>
      <c r="THJ11" s="1202"/>
      <c r="THK11" s="1202"/>
      <c r="THL11" s="1202"/>
      <c r="THM11" s="1202"/>
      <c r="THN11" s="1202"/>
      <c r="THO11" s="1202"/>
      <c r="THP11" s="1202"/>
      <c r="THQ11" s="1202"/>
      <c r="THR11" s="1202"/>
      <c r="THS11" s="1202"/>
      <c r="THT11" s="1202"/>
      <c r="THU11" s="1202"/>
      <c r="THV11" s="1202"/>
      <c r="THW11" s="1202"/>
      <c r="THX11" s="1202"/>
      <c r="THY11" s="1202"/>
      <c r="THZ11" s="1202"/>
      <c r="TIA11" s="1202"/>
      <c r="TIB11" s="1202"/>
      <c r="TIC11" s="1202"/>
      <c r="TID11" s="1202"/>
      <c r="TIE11" s="1202"/>
      <c r="TIF11" s="1202"/>
      <c r="TIG11" s="1202"/>
      <c r="TIH11" s="1202"/>
      <c r="TII11" s="1202"/>
      <c r="TIJ11" s="1202"/>
      <c r="TIK11" s="1202"/>
      <c r="TIL11" s="1202"/>
      <c r="TIM11" s="1202"/>
      <c r="TIN11" s="1202"/>
      <c r="TIO11" s="1202"/>
      <c r="TIP11" s="1202"/>
      <c r="TIQ11" s="1202"/>
      <c r="TIR11" s="1202"/>
      <c r="TIS11" s="1202"/>
      <c r="TIT11" s="1202"/>
      <c r="TIU11" s="1202"/>
      <c r="TIV11" s="1202"/>
      <c r="TIW11" s="1202"/>
      <c r="TIX11" s="1202"/>
      <c r="TIY11" s="1202"/>
      <c r="TIZ11" s="1202"/>
      <c r="TJA11" s="1202"/>
      <c r="TJB11" s="1202"/>
      <c r="TJC11" s="1202"/>
      <c r="TJD11" s="1202"/>
      <c r="TJE11" s="1202"/>
      <c r="TJF11" s="1202"/>
      <c r="TJG11" s="1202"/>
      <c r="TJH11" s="1202"/>
      <c r="TJI11" s="1202"/>
      <c r="TJJ11" s="1202"/>
      <c r="TJK11" s="1202"/>
      <c r="TJL11" s="1202"/>
      <c r="TJM11" s="1202"/>
      <c r="TJN11" s="1202"/>
      <c r="TJO11" s="1202"/>
      <c r="TJP11" s="1202"/>
      <c r="TJQ11" s="1202"/>
      <c r="TJR11" s="1202"/>
      <c r="TJS11" s="1202"/>
      <c r="TJT11" s="1202"/>
      <c r="TJU11" s="1202"/>
      <c r="TJV11" s="1202"/>
      <c r="TJW11" s="1202"/>
      <c r="TJX11" s="1202"/>
      <c r="TJY11" s="1202"/>
      <c r="TJZ11" s="1202"/>
      <c r="TKA11" s="1202"/>
      <c r="TKB11" s="1202"/>
      <c r="TKC11" s="1202"/>
      <c r="TKD11" s="1202"/>
      <c r="TKE11" s="1202"/>
      <c r="TKF11" s="1202"/>
      <c r="TKG11" s="1202"/>
      <c r="TKH11" s="1202"/>
      <c r="TKI11" s="1202"/>
      <c r="TKJ11" s="1202"/>
      <c r="TKK11" s="1202"/>
      <c r="TKL11" s="1202"/>
      <c r="TKM11" s="1202"/>
      <c r="TKN11" s="1202"/>
      <c r="TKO11" s="1202"/>
      <c r="TKP11" s="1202"/>
      <c r="TKQ11" s="1202"/>
      <c r="TKR11" s="1202"/>
      <c r="TKS11" s="1202"/>
      <c r="TKT11" s="1202"/>
      <c r="TKU11" s="1202"/>
      <c r="TKV11" s="1202"/>
      <c r="TKW11" s="1202"/>
      <c r="TKX11" s="1202"/>
      <c r="TKY11" s="1202"/>
      <c r="TKZ11" s="1202"/>
      <c r="TLA11" s="1202"/>
      <c r="TLB11" s="1202"/>
      <c r="TLC11" s="1202"/>
      <c r="TLD11" s="1202"/>
      <c r="TLE11" s="1202"/>
      <c r="TLF11" s="1202"/>
      <c r="TLG11" s="1202"/>
      <c r="TLH11" s="1202"/>
      <c r="TLI11" s="1202"/>
      <c r="TLJ11" s="1202"/>
      <c r="TLK11" s="1202"/>
      <c r="TLL11" s="1202"/>
      <c r="TLM11" s="1202"/>
      <c r="TLN11" s="1202"/>
      <c r="TLO11" s="1202"/>
      <c r="TLP11" s="1202"/>
      <c r="TLQ11" s="1202"/>
      <c r="TLR11" s="1202"/>
      <c r="TLS11" s="1202"/>
      <c r="TLT11" s="1202"/>
      <c r="TLU11" s="1202"/>
      <c r="TLV11" s="1202"/>
      <c r="TLW11" s="1202"/>
      <c r="TLX11" s="1202"/>
      <c r="TLY11" s="1202"/>
      <c r="TLZ11" s="1202"/>
      <c r="TMA11" s="1202"/>
      <c r="TMB11" s="1202"/>
      <c r="TMC11" s="1202"/>
      <c r="TMD11" s="1202"/>
      <c r="TME11" s="1202"/>
      <c r="TMF11" s="1202"/>
      <c r="TMG11" s="1202"/>
      <c r="TMH11" s="1202"/>
      <c r="TMI11" s="1202"/>
      <c r="TMJ11" s="1202"/>
      <c r="TMK11" s="1202"/>
      <c r="TML11" s="1202"/>
      <c r="TMM11" s="1202"/>
      <c r="TMN11" s="1202"/>
      <c r="TMO11" s="1202"/>
      <c r="TMP11" s="1202"/>
      <c r="TMQ11" s="1202"/>
      <c r="TMR11" s="1202"/>
      <c r="TMS11" s="1202"/>
      <c r="TMT11" s="1202"/>
      <c r="TMU11" s="1202"/>
      <c r="TMV11" s="1202"/>
      <c r="TMW11" s="1202"/>
      <c r="TMX11" s="1202"/>
      <c r="TMY11" s="1202"/>
      <c r="TMZ11" s="1202"/>
      <c r="TNA11" s="1202"/>
      <c r="TNB11" s="1202"/>
      <c r="TNC11" s="1202"/>
      <c r="TND11" s="1202"/>
      <c r="TNE11" s="1202"/>
      <c r="TNF11" s="1202"/>
      <c r="TNG11" s="1202"/>
      <c r="TNH11" s="1202"/>
      <c r="TNI11" s="1202"/>
      <c r="TNJ11" s="1202"/>
      <c r="TNK11" s="1202"/>
      <c r="TNL11" s="1202"/>
      <c r="TNM11" s="1202"/>
      <c r="TNN11" s="1202"/>
      <c r="TNO11" s="1202"/>
      <c r="TNP11" s="1202"/>
      <c r="TNQ11" s="1202"/>
      <c r="TNR11" s="1202"/>
      <c r="TNS11" s="1202"/>
      <c r="TNT11" s="1202"/>
      <c r="TNU11" s="1202"/>
      <c r="TNV11" s="1202"/>
      <c r="TNW11" s="1202"/>
      <c r="TNX11" s="1202"/>
      <c r="TNY11" s="1202"/>
      <c r="TNZ11" s="1202"/>
      <c r="TOA11" s="1202"/>
      <c r="TOB11" s="1202"/>
      <c r="TOC11" s="1202"/>
      <c r="TOD11" s="1202"/>
      <c r="TOE11" s="1202"/>
      <c r="TOF11" s="1202"/>
      <c r="TOG11" s="1202"/>
      <c r="TOH11" s="1202"/>
      <c r="TOI11" s="1202"/>
      <c r="TOJ11" s="1202"/>
      <c r="TOK11" s="1202"/>
      <c r="TOL11" s="1202"/>
      <c r="TOM11" s="1202"/>
      <c r="TON11" s="1202"/>
      <c r="TOO11" s="1202"/>
      <c r="TOP11" s="1202"/>
      <c r="TOQ11" s="1202"/>
      <c r="TOR11" s="1202"/>
      <c r="TOS11" s="1202"/>
      <c r="TOT11" s="1202"/>
      <c r="TOU11" s="1202"/>
      <c r="TOV11" s="1202"/>
      <c r="TOW11" s="1202"/>
      <c r="TOX11" s="1202"/>
      <c r="TOY11" s="1202"/>
      <c r="TOZ11" s="1202"/>
      <c r="TPA11" s="1202"/>
      <c r="TPB11" s="1202"/>
      <c r="TPC11" s="1202"/>
      <c r="TPD11" s="1202"/>
      <c r="TPE11" s="1202"/>
      <c r="TPF11" s="1202"/>
      <c r="TPG11" s="1202"/>
      <c r="TPH11" s="1202"/>
      <c r="TPI11" s="1202"/>
      <c r="TPJ11" s="1202"/>
      <c r="TPK11" s="1202"/>
      <c r="TPL11" s="1202"/>
      <c r="TPM11" s="1202"/>
      <c r="TPN11" s="1202"/>
      <c r="TPO11" s="1202"/>
      <c r="TPP11" s="1202"/>
      <c r="TPQ11" s="1202"/>
      <c r="TPR11" s="1202"/>
      <c r="TPS11" s="1202"/>
      <c r="TPT11" s="1202"/>
      <c r="TPU11" s="1202"/>
      <c r="TPV11" s="1202"/>
      <c r="TPW11" s="1202"/>
      <c r="TPX11" s="1202"/>
      <c r="TPY11" s="1202"/>
      <c r="TPZ11" s="1202"/>
      <c r="TQA11" s="1202"/>
      <c r="TQB11" s="1202"/>
      <c r="TQC11" s="1202"/>
      <c r="TQD11" s="1202"/>
      <c r="TQE11" s="1202"/>
      <c r="TQF11" s="1202"/>
      <c r="TQG11" s="1202"/>
      <c r="TQH11" s="1202"/>
      <c r="TQI11" s="1202"/>
      <c r="TQJ11" s="1202"/>
      <c r="TQK11" s="1202"/>
      <c r="TQL11" s="1202"/>
      <c r="TQM11" s="1202"/>
      <c r="TQN11" s="1202"/>
      <c r="TQO11" s="1202"/>
      <c r="TQP11" s="1202"/>
      <c r="TQQ11" s="1202"/>
      <c r="TQR11" s="1202"/>
      <c r="TQS11" s="1202"/>
      <c r="TQT11" s="1202"/>
      <c r="TQU11" s="1202"/>
      <c r="TQV11" s="1202"/>
      <c r="TQW11" s="1202"/>
      <c r="TQX11" s="1202"/>
      <c r="TQY11" s="1202"/>
      <c r="TQZ11" s="1202"/>
      <c r="TRA11" s="1202"/>
      <c r="TRB11" s="1202"/>
      <c r="TRC11" s="1202"/>
      <c r="TRD11" s="1202"/>
      <c r="TRE11" s="1202"/>
      <c r="TRF11" s="1202"/>
      <c r="TRG11" s="1202"/>
      <c r="TRH11" s="1202"/>
      <c r="TRI11" s="1202"/>
      <c r="TRJ11" s="1202"/>
      <c r="TRK11" s="1202"/>
      <c r="TRL11" s="1202"/>
      <c r="TRM11" s="1202"/>
      <c r="TRN11" s="1202"/>
      <c r="TRO11" s="1202"/>
      <c r="TRP11" s="1202"/>
      <c r="TRQ11" s="1202"/>
      <c r="TRR11" s="1202"/>
      <c r="TRS11" s="1202"/>
      <c r="TRT11" s="1202"/>
      <c r="TRU11" s="1202"/>
      <c r="TRV11" s="1202"/>
      <c r="TRW11" s="1202"/>
      <c r="TRX11" s="1202"/>
      <c r="TRY11" s="1202"/>
      <c r="TRZ11" s="1202"/>
      <c r="TSA11" s="1202"/>
      <c r="TSB11" s="1202"/>
      <c r="TSC11" s="1202"/>
      <c r="TSD11" s="1202"/>
      <c r="TSE11" s="1202"/>
      <c r="TSF11" s="1202"/>
      <c r="TSG11" s="1202"/>
      <c r="TSH11" s="1202"/>
      <c r="TSI11" s="1202"/>
      <c r="TSJ11" s="1202"/>
      <c r="TSK11" s="1202"/>
      <c r="TSL11" s="1202"/>
      <c r="TSM11" s="1202"/>
      <c r="TSN11" s="1202"/>
      <c r="TSO11" s="1202"/>
      <c r="TSP11" s="1202"/>
      <c r="TSQ11" s="1202"/>
      <c r="TSR11" s="1202"/>
      <c r="TSS11" s="1202"/>
      <c r="TST11" s="1202"/>
      <c r="TSU11" s="1202"/>
      <c r="TSV11" s="1202"/>
      <c r="TSW11" s="1202"/>
      <c r="TSX11" s="1202"/>
      <c r="TSY11" s="1202"/>
      <c r="TSZ11" s="1202"/>
      <c r="TTA11" s="1202"/>
      <c r="TTB11" s="1202"/>
      <c r="TTC11" s="1202"/>
      <c r="TTD11" s="1202"/>
      <c r="TTE11" s="1202"/>
      <c r="TTF11" s="1202"/>
      <c r="TTG11" s="1202"/>
      <c r="TTH11" s="1202"/>
      <c r="TTI11" s="1202"/>
      <c r="TTJ11" s="1202"/>
      <c r="TTK11" s="1202"/>
      <c r="TTL11" s="1202"/>
      <c r="TTM11" s="1202"/>
      <c r="TTN11" s="1202"/>
      <c r="TTO11" s="1202"/>
      <c r="TTP11" s="1202"/>
      <c r="TTQ11" s="1202"/>
      <c r="TTR11" s="1202"/>
      <c r="TTS11" s="1202"/>
      <c r="TTT11" s="1202"/>
      <c r="TTU11" s="1202"/>
      <c r="TTV11" s="1202"/>
      <c r="TTW11" s="1202"/>
      <c r="TTX11" s="1202"/>
      <c r="TTY11" s="1202"/>
      <c r="TTZ11" s="1202"/>
      <c r="TUA11" s="1202"/>
      <c r="TUB11" s="1202"/>
      <c r="TUC11" s="1202"/>
      <c r="TUD11" s="1202"/>
      <c r="TUE11" s="1202"/>
      <c r="TUF11" s="1202"/>
      <c r="TUG11" s="1202"/>
      <c r="TUH11" s="1202"/>
      <c r="TUI11" s="1202"/>
      <c r="TUJ11" s="1202"/>
      <c r="TUK11" s="1202"/>
      <c r="TUL11" s="1202"/>
      <c r="TUM11" s="1202"/>
      <c r="TUN11" s="1202"/>
      <c r="TUO11" s="1202"/>
      <c r="TUP11" s="1202"/>
      <c r="TUQ11" s="1202"/>
      <c r="TUR11" s="1202"/>
      <c r="TUS11" s="1202"/>
      <c r="TUT11" s="1202"/>
      <c r="TUU11" s="1202"/>
      <c r="TUV11" s="1202"/>
      <c r="TUW11" s="1202"/>
      <c r="TUX11" s="1202"/>
      <c r="TUY11" s="1202"/>
      <c r="TUZ11" s="1202"/>
      <c r="TVA11" s="1202"/>
      <c r="TVB11" s="1202"/>
      <c r="TVC11" s="1202"/>
      <c r="TVD11" s="1202"/>
      <c r="TVE11" s="1202"/>
      <c r="TVF11" s="1202"/>
      <c r="TVG11" s="1202"/>
      <c r="TVH11" s="1202"/>
      <c r="TVI11" s="1202"/>
      <c r="TVJ11" s="1202"/>
      <c r="TVK11" s="1202"/>
      <c r="TVL11" s="1202"/>
      <c r="TVM11" s="1202"/>
      <c r="TVN11" s="1202"/>
      <c r="TVO11" s="1202"/>
      <c r="TVP11" s="1202"/>
      <c r="TVQ11" s="1202"/>
      <c r="TVR11" s="1202"/>
      <c r="TVS11" s="1202"/>
      <c r="TVT11" s="1202"/>
      <c r="TVU11" s="1202"/>
      <c r="TVV11" s="1202"/>
      <c r="TVW11" s="1202"/>
      <c r="TVX11" s="1202"/>
      <c r="TVY11" s="1202"/>
      <c r="TVZ11" s="1202"/>
      <c r="TWA11" s="1202"/>
      <c r="TWB11" s="1202"/>
      <c r="TWC11" s="1202"/>
      <c r="TWD11" s="1202"/>
      <c r="TWE11" s="1202"/>
      <c r="TWF11" s="1202"/>
      <c r="TWG11" s="1202"/>
      <c r="TWH11" s="1202"/>
      <c r="TWI11" s="1202"/>
      <c r="TWJ11" s="1202"/>
      <c r="TWK11" s="1202"/>
      <c r="TWL11" s="1202"/>
      <c r="TWM11" s="1202"/>
      <c r="TWN11" s="1202"/>
      <c r="TWO11" s="1202"/>
      <c r="TWP11" s="1202"/>
      <c r="TWQ11" s="1202"/>
      <c r="TWR11" s="1202"/>
      <c r="TWS11" s="1202"/>
      <c r="TWT11" s="1202"/>
      <c r="TWU11" s="1202"/>
      <c r="TWV11" s="1202"/>
      <c r="TWW11" s="1202"/>
      <c r="TWX11" s="1202"/>
      <c r="TWY11" s="1202"/>
      <c r="TWZ11" s="1202"/>
      <c r="TXA11" s="1202"/>
      <c r="TXB11" s="1202"/>
      <c r="TXC11" s="1202"/>
      <c r="TXD11" s="1202"/>
      <c r="TXE11" s="1202"/>
      <c r="TXF11" s="1202"/>
      <c r="TXG11" s="1202"/>
      <c r="TXH11" s="1202"/>
      <c r="TXI11" s="1202"/>
      <c r="TXJ11" s="1202"/>
      <c r="TXK11" s="1202"/>
      <c r="TXL11" s="1202"/>
      <c r="TXM11" s="1202"/>
      <c r="TXN11" s="1202"/>
      <c r="TXO11" s="1202"/>
      <c r="TXP11" s="1202"/>
      <c r="TXQ11" s="1202"/>
      <c r="TXR11" s="1202"/>
      <c r="TXS11" s="1202"/>
      <c r="TXT11" s="1202"/>
      <c r="TXU11" s="1202"/>
      <c r="TXV11" s="1202"/>
      <c r="TXW11" s="1202"/>
      <c r="TXX11" s="1202"/>
      <c r="TXY11" s="1202"/>
      <c r="TXZ11" s="1202"/>
      <c r="TYA11" s="1202"/>
      <c r="TYB11" s="1202"/>
      <c r="TYC11" s="1202"/>
      <c r="TYD11" s="1202"/>
      <c r="TYE11" s="1202"/>
      <c r="TYF11" s="1202"/>
      <c r="TYG11" s="1202"/>
      <c r="TYH11" s="1202"/>
      <c r="TYI11" s="1202"/>
      <c r="TYJ11" s="1202"/>
      <c r="TYK11" s="1202"/>
      <c r="TYL11" s="1202"/>
      <c r="TYM11" s="1202"/>
      <c r="TYN11" s="1202"/>
      <c r="TYO11" s="1202"/>
      <c r="TYP11" s="1202"/>
      <c r="TYQ11" s="1202"/>
      <c r="TYR11" s="1202"/>
      <c r="TYS11" s="1202"/>
      <c r="TYT11" s="1202"/>
      <c r="TYU11" s="1202"/>
      <c r="TYV11" s="1202"/>
      <c r="TYW11" s="1202"/>
      <c r="TYX11" s="1202"/>
      <c r="TYY11" s="1202"/>
      <c r="TYZ11" s="1202"/>
      <c r="TZA11" s="1202"/>
      <c r="TZB11" s="1202"/>
      <c r="TZC11" s="1202"/>
      <c r="TZD11" s="1202"/>
      <c r="TZE11" s="1202"/>
      <c r="TZF11" s="1202"/>
      <c r="TZG11" s="1202"/>
      <c r="TZH11" s="1202"/>
      <c r="TZI11" s="1202"/>
      <c r="TZJ11" s="1202"/>
      <c r="TZK11" s="1202"/>
      <c r="TZL11" s="1202"/>
      <c r="TZM11" s="1202"/>
      <c r="TZN11" s="1202"/>
      <c r="TZO11" s="1202"/>
      <c r="TZP11" s="1202"/>
      <c r="TZQ11" s="1202"/>
      <c r="TZR11" s="1202"/>
      <c r="TZS11" s="1202"/>
      <c r="TZT11" s="1202"/>
      <c r="TZU11" s="1202"/>
      <c r="TZV11" s="1202"/>
      <c r="TZW11" s="1202"/>
      <c r="TZX11" s="1202"/>
      <c r="TZY11" s="1202"/>
      <c r="TZZ11" s="1202"/>
      <c r="UAA11" s="1202"/>
      <c r="UAB11" s="1202"/>
      <c r="UAC11" s="1202"/>
      <c r="UAD11" s="1202"/>
      <c r="UAE11" s="1202"/>
      <c r="UAF11" s="1202"/>
      <c r="UAG11" s="1202"/>
      <c r="UAH11" s="1202"/>
      <c r="UAI11" s="1202"/>
      <c r="UAJ11" s="1202"/>
      <c r="UAK11" s="1202"/>
      <c r="UAL11" s="1202"/>
      <c r="UAM11" s="1202"/>
      <c r="UAN11" s="1202"/>
      <c r="UAO11" s="1202"/>
      <c r="UAP11" s="1202"/>
      <c r="UAQ11" s="1202"/>
      <c r="UAR11" s="1202"/>
      <c r="UAS11" s="1202"/>
      <c r="UAT11" s="1202"/>
      <c r="UAU11" s="1202"/>
      <c r="UAV11" s="1202"/>
      <c r="UAW11" s="1202"/>
      <c r="UAX11" s="1202"/>
      <c r="UAY11" s="1202"/>
      <c r="UAZ11" s="1202"/>
      <c r="UBA11" s="1202"/>
      <c r="UBB11" s="1202"/>
      <c r="UBC11" s="1202"/>
      <c r="UBD11" s="1202"/>
      <c r="UBE11" s="1202"/>
      <c r="UBF11" s="1202"/>
      <c r="UBG11" s="1202"/>
      <c r="UBH11" s="1202"/>
      <c r="UBI11" s="1202"/>
      <c r="UBJ11" s="1202"/>
      <c r="UBK11" s="1202"/>
      <c r="UBL11" s="1202"/>
      <c r="UBM11" s="1202"/>
      <c r="UBN11" s="1202"/>
      <c r="UBO11" s="1202"/>
      <c r="UBP11" s="1202"/>
      <c r="UBQ11" s="1202"/>
      <c r="UBR11" s="1202"/>
      <c r="UBS11" s="1202"/>
      <c r="UBT11" s="1202"/>
      <c r="UBU11" s="1202"/>
      <c r="UBV11" s="1202"/>
      <c r="UBW11" s="1202"/>
      <c r="UBX11" s="1202"/>
      <c r="UBY11" s="1202"/>
      <c r="UBZ11" s="1202"/>
      <c r="UCA11" s="1202"/>
      <c r="UCB11" s="1202"/>
      <c r="UCC11" s="1202"/>
      <c r="UCD11" s="1202"/>
      <c r="UCE11" s="1202"/>
      <c r="UCF11" s="1202"/>
      <c r="UCG11" s="1202"/>
      <c r="UCH11" s="1202"/>
      <c r="UCI11" s="1202"/>
      <c r="UCJ11" s="1202"/>
      <c r="UCK11" s="1202"/>
      <c r="UCL11" s="1202"/>
      <c r="UCM11" s="1202"/>
      <c r="UCN11" s="1202"/>
      <c r="UCO11" s="1202"/>
      <c r="UCP11" s="1202"/>
      <c r="UCQ11" s="1202"/>
      <c r="UCR11" s="1202"/>
      <c r="UCS11" s="1202"/>
      <c r="UCT11" s="1202"/>
      <c r="UCU11" s="1202"/>
      <c r="UCV11" s="1202"/>
      <c r="UCW11" s="1202"/>
      <c r="UCX11" s="1202"/>
      <c r="UCY11" s="1202"/>
      <c r="UCZ11" s="1202"/>
      <c r="UDA11" s="1202"/>
      <c r="UDB11" s="1202"/>
      <c r="UDC11" s="1202"/>
      <c r="UDD11" s="1202"/>
      <c r="UDE11" s="1202"/>
      <c r="UDF11" s="1202"/>
      <c r="UDG11" s="1202"/>
      <c r="UDH11" s="1202"/>
      <c r="UDI11" s="1202"/>
      <c r="UDJ11" s="1202"/>
      <c r="UDK11" s="1202"/>
      <c r="UDL11" s="1202"/>
      <c r="UDM11" s="1202"/>
      <c r="UDN11" s="1202"/>
      <c r="UDO11" s="1202"/>
      <c r="UDP11" s="1202"/>
      <c r="UDQ11" s="1202"/>
      <c r="UDR11" s="1202"/>
      <c r="UDS11" s="1202"/>
      <c r="UDT11" s="1202"/>
      <c r="UDU11" s="1202"/>
      <c r="UDV11" s="1202"/>
      <c r="UDW11" s="1202"/>
      <c r="UDX11" s="1202"/>
      <c r="UDY11" s="1202"/>
      <c r="UDZ11" s="1202"/>
      <c r="UEA11" s="1202"/>
      <c r="UEB11" s="1202"/>
      <c r="UEC11" s="1202"/>
      <c r="UED11" s="1202"/>
      <c r="UEE11" s="1202"/>
      <c r="UEF11" s="1202"/>
      <c r="UEG11" s="1202"/>
      <c r="UEH11" s="1202"/>
      <c r="UEI11" s="1202"/>
      <c r="UEJ11" s="1202"/>
      <c r="UEK11" s="1202"/>
      <c r="UEL11" s="1202"/>
      <c r="UEM11" s="1202"/>
      <c r="UEN11" s="1202"/>
      <c r="UEO11" s="1202"/>
      <c r="UEP11" s="1202"/>
      <c r="UEQ11" s="1202"/>
      <c r="UER11" s="1202"/>
      <c r="UES11" s="1202"/>
      <c r="UET11" s="1202"/>
      <c r="UEU11" s="1202"/>
      <c r="UEV11" s="1202"/>
      <c r="UEW11" s="1202"/>
      <c r="UEX11" s="1202"/>
      <c r="UEY11" s="1202"/>
      <c r="UEZ11" s="1202"/>
      <c r="UFA11" s="1202"/>
      <c r="UFB11" s="1202"/>
      <c r="UFC11" s="1202"/>
      <c r="UFD11" s="1202"/>
      <c r="UFE11" s="1202"/>
      <c r="UFF11" s="1202"/>
      <c r="UFG11" s="1202"/>
      <c r="UFH11" s="1202"/>
      <c r="UFI11" s="1202"/>
      <c r="UFJ11" s="1202"/>
      <c r="UFK11" s="1202"/>
      <c r="UFL11" s="1202"/>
      <c r="UFM11" s="1202"/>
      <c r="UFN11" s="1202"/>
      <c r="UFO11" s="1202"/>
      <c r="UFP11" s="1202"/>
      <c r="UFQ11" s="1202"/>
      <c r="UFR11" s="1202"/>
      <c r="UFS11" s="1202"/>
      <c r="UFT11" s="1202"/>
      <c r="UFU11" s="1202"/>
      <c r="UFV11" s="1202"/>
      <c r="UFW11" s="1202"/>
      <c r="UFX11" s="1202"/>
      <c r="UFY11" s="1202"/>
      <c r="UFZ11" s="1202"/>
      <c r="UGA11" s="1202"/>
      <c r="UGB11" s="1202"/>
      <c r="UGC11" s="1202"/>
      <c r="UGD11" s="1202"/>
      <c r="UGE11" s="1202"/>
      <c r="UGF11" s="1202"/>
      <c r="UGG11" s="1202"/>
      <c r="UGH11" s="1202"/>
      <c r="UGI11" s="1202"/>
      <c r="UGJ11" s="1202"/>
      <c r="UGK11" s="1202"/>
      <c r="UGL11" s="1202"/>
      <c r="UGM11" s="1202"/>
      <c r="UGN11" s="1202"/>
      <c r="UGO11" s="1202"/>
      <c r="UGP11" s="1202"/>
      <c r="UGQ11" s="1202"/>
      <c r="UGR11" s="1202"/>
      <c r="UGS11" s="1202"/>
      <c r="UGT11" s="1202"/>
      <c r="UGU11" s="1202"/>
      <c r="UGV11" s="1202"/>
      <c r="UGW11" s="1202"/>
      <c r="UGX11" s="1202"/>
      <c r="UGY11" s="1202"/>
      <c r="UGZ11" s="1202"/>
      <c r="UHA11" s="1202"/>
      <c r="UHB11" s="1202"/>
      <c r="UHC11" s="1202"/>
      <c r="UHD11" s="1202"/>
      <c r="UHE11" s="1202"/>
      <c r="UHF11" s="1202"/>
      <c r="UHG11" s="1202"/>
      <c r="UHH11" s="1202"/>
      <c r="UHI11" s="1202"/>
      <c r="UHJ11" s="1202"/>
      <c r="UHK11" s="1202"/>
      <c r="UHL11" s="1202"/>
      <c r="UHM11" s="1202"/>
      <c r="UHN11" s="1202"/>
      <c r="UHO11" s="1202"/>
      <c r="UHP11" s="1202"/>
      <c r="UHQ11" s="1202"/>
      <c r="UHR11" s="1202"/>
      <c r="UHS11" s="1202"/>
      <c r="UHT11" s="1202"/>
      <c r="UHU11" s="1202"/>
      <c r="UHV11" s="1202"/>
      <c r="UHW11" s="1202"/>
      <c r="UHX11" s="1202"/>
      <c r="UHY11" s="1202"/>
      <c r="UHZ11" s="1202"/>
      <c r="UIA11" s="1202"/>
      <c r="UIB11" s="1202"/>
      <c r="UIC11" s="1202"/>
      <c r="UID11" s="1202"/>
      <c r="UIE11" s="1202"/>
      <c r="UIF11" s="1202"/>
      <c r="UIG11" s="1202"/>
      <c r="UIH11" s="1202"/>
      <c r="UII11" s="1202"/>
      <c r="UIJ11" s="1202"/>
      <c r="UIK11" s="1202"/>
      <c r="UIL11" s="1202"/>
      <c r="UIM11" s="1202"/>
      <c r="UIN11" s="1202"/>
      <c r="UIO11" s="1202"/>
      <c r="UIP11" s="1202"/>
      <c r="UIQ11" s="1202"/>
      <c r="UIR11" s="1202"/>
      <c r="UIS11" s="1202"/>
      <c r="UIT11" s="1202"/>
      <c r="UIU11" s="1202"/>
      <c r="UIV11" s="1202"/>
      <c r="UIW11" s="1202"/>
      <c r="UIX11" s="1202"/>
      <c r="UIY11" s="1202"/>
      <c r="UIZ11" s="1202"/>
      <c r="UJA11" s="1202"/>
      <c r="UJB11" s="1202"/>
      <c r="UJC11" s="1202"/>
      <c r="UJD11" s="1202"/>
      <c r="UJE11" s="1202"/>
      <c r="UJF11" s="1202"/>
      <c r="UJG11" s="1202"/>
      <c r="UJH11" s="1202"/>
      <c r="UJI11" s="1202"/>
      <c r="UJJ11" s="1202"/>
      <c r="UJK11" s="1202"/>
      <c r="UJL11" s="1202"/>
      <c r="UJM11" s="1202"/>
      <c r="UJN11" s="1202"/>
      <c r="UJO11" s="1202"/>
      <c r="UJP11" s="1202"/>
      <c r="UJQ11" s="1202"/>
      <c r="UJR11" s="1202"/>
      <c r="UJS11" s="1202"/>
      <c r="UJT11" s="1202"/>
      <c r="UJU11" s="1202"/>
      <c r="UJV11" s="1202"/>
      <c r="UJW11" s="1202"/>
      <c r="UJX11" s="1202"/>
      <c r="UJY11" s="1202"/>
      <c r="UJZ11" s="1202"/>
      <c r="UKA11" s="1202"/>
      <c r="UKB11" s="1202"/>
      <c r="UKC11" s="1202"/>
      <c r="UKD11" s="1202"/>
      <c r="UKE11" s="1202"/>
      <c r="UKF11" s="1202"/>
      <c r="UKG11" s="1202"/>
      <c r="UKH11" s="1202"/>
      <c r="UKI11" s="1202"/>
      <c r="UKJ11" s="1202"/>
      <c r="UKK11" s="1202"/>
      <c r="UKL11" s="1202"/>
      <c r="UKM11" s="1202"/>
      <c r="UKN11" s="1202"/>
      <c r="UKO11" s="1202"/>
      <c r="UKP11" s="1202"/>
      <c r="UKQ11" s="1202"/>
      <c r="UKR11" s="1202"/>
      <c r="UKS11" s="1202"/>
      <c r="UKT11" s="1202"/>
      <c r="UKU11" s="1202"/>
      <c r="UKV11" s="1202"/>
      <c r="UKW11" s="1202"/>
      <c r="UKX11" s="1202"/>
      <c r="UKY11" s="1202"/>
      <c r="UKZ11" s="1202"/>
      <c r="ULA11" s="1202"/>
      <c r="ULB11" s="1202"/>
      <c r="ULC11" s="1202"/>
      <c r="ULD11" s="1202"/>
      <c r="ULE11" s="1202"/>
      <c r="ULF11" s="1202"/>
      <c r="ULG11" s="1202"/>
      <c r="ULH11" s="1202"/>
      <c r="ULI11" s="1202"/>
      <c r="ULJ11" s="1202"/>
      <c r="ULK11" s="1202"/>
      <c r="ULL11" s="1202"/>
      <c r="ULM11" s="1202"/>
      <c r="ULN11" s="1202"/>
      <c r="ULO11" s="1202"/>
      <c r="ULP11" s="1202"/>
      <c r="ULQ11" s="1202"/>
      <c r="ULR11" s="1202"/>
      <c r="ULS11" s="1202"/>
      <c r="ULT11" s="1202"/>
      <c r="ULU11" s="1202"/>
      <c r="ULV11" s="1202"/>
      <c r="ULW11" s="1202"/>
      <c r="ULX11" s="1202"/>
      <c r="ULY11" s="1202"/>
      <c r="ULZ11" s="1202"/>
      <c r="UMA11" s="1202"/>
      <c r="UMB11" s="1202"/>
      <c r="UMC11" s="1202"/>
      <c r="UMD11" s="1202"/>
      <c r="UME11" s="1202"/>
      <c r="UMF11" s="1202"/>
      <c r="UMG11" s="1202"/>
      <c r="UMH11" s="1202"/>
      <c r="UMI11" s="1202"/>
      <c r="UMJ11" s="1202"/>
      <c r="UMK11" s="1202"/>
      <c r="UML11" s="1202"/>
      <c r="UMM11" s="1202"/>
      <c r="UMN11" s="1202"/>
      <c r="UMO11" s="1202"/>
      <c r="UMP11" s="1202"/>
      <c r="UMQ11" s="1202"/>
      <c r="UMR11" s="1202"/>
      <c r="UMS11" s="1202"/>
      <c r="UMT11" s="1202"/>
      <c r="UMU11" s="1202"/>
      <c r="UMV11" s="1202"/>
      <c r="UMW11" s="1202"/>
      <c r="UMX11" s="1202"/>
      <c r="UMY11" s="1202"/>
      <c r="UMZ11" s="1202"/>
      <c r="UNA11" s="1202"/>
      <c r="UNB11" s="1202"/>
      <c r="UNC11" s="1202"/>
      <c r="UND11" s="1202"/>
      <c r="UNE11" s="1202"/>
      <c r="UNF11" s="1202"/>
      <c r="UNG11" s="1202"/>
      <c r="UNH11" s="1202"/>
      <c r="UNI11" s="1202"/>
      <c r="UNJ11" s="1202"/>
      <c r="UNK11" s="1202"/>
      <c r="UNL11" s="1202"/>
      <c r="UNM11" s="1202"/>
      <c r="UNN11" s="1202"/>
      <c r="UNO11" s="1202"/>
      <c r="UNP11" s="1202"/>
      <c r="UNQ11" s="1202"/>
      <c r="UNR11" s="1202"/>
      <c r="UNS11" s="1202"/>
      <c r="UNT11" s="1202"/>
      <c r="UNU11" s="1202"/>
      <c r="UNV11" s="1202"/>
      <c r="UNW11" s="1202"/>
      <c r="UNX11" s="1202"/>
      <c r="UNY11" s="1202"/>
      <c r="UNZ11" s="1202"/>
      <c r="UOA11" s="1202"/>
      <c r="UOB11" s="1202"/>
      <c r="UOC11" s="1202"/>
      <c r="UOD11" s="1202"/>
      <c r="UOE11" s="1202"/>
      <c r="UOF11" s="1202"/>
      <c r="UOG11" s="1202"/>
      <c r="UOH11" s="1202"/>
      <c r="UOI11" s="1202"/>
      <c r="UOJ11" s="1202"/>
      <c r="UOK11" s="1202"/>
      <c r="UOL11" s="1202"/>
      <c r="UOM11" s="1202"/>
      <c r="UON11" s="1202"/>
      <c r="UOO11" s="1202"/>
      <c r="UOP11" s="1202"/>
      <c r="UOQ11" s="1202"/>
      <c r="UOR11" s="1202"/>
      <c r="UOS11" s="1202"/>
      <c r="UOT11" s="1202"/>
      <c r="UOU11" s="1202"/>
      <c r="UOV11" s="1202"/>
      <c r="UOW11" s="1202"/>
      <c r="UOX11" s="1202"/>
      <c r="UOY11" s="1202"/>
      <c r="UOZ11" s="1202"/>
      <c r="UPA11" s="1202"/>
      <c r="UPB11" s="1202"/>
      <c r="UPC11" s="1202"/>
      <c r="UPD11" s="1202"/>
      <c r="UPE11" s="1202"/>
      <c r="UPF11" s="1202"/>
      <c r="UPG11" s="1202"/>
      <c r="UPH11" s="1202"/>
      <c r="UPI11" s="1202"/>
      <c r="UPJ11" s="1202"/>
      <c r="UPK11" s="1202"/>
      <c r="UPL11" s="1202"/>
      <c r="UPM11" s="1202"/>
      <c r="UPN11" s="1202"/>
      <c r="UPO11" s="1202"/>
      <c r="UPP11" s="1202"/>
      <c r="UPQ11" s="1202"/>
      <c r="UPR11" s="1202"/>
      <c r="UPS11" s="1202"/>
      <c r="UPT11" s="1202"/>
      <c r="UPU11" s="1202"/>
      <c r="UPV11" s="1202"/>
      <c r="UPW11" s="1202"/>
      <c r="UPX11" s="1202"/>
      <c r="UPY11" s="1202"/>
      <c r="UPZ11" s="1202"/>
      <c r="UQA11" s="1202"/>
      <c r="UQB11" s="1202"/>
      <c r="UQC11" s="1202"/>
      <c r="UQD11" s="1202"/>
      <c r="UQE11" s="1202"/>
      <c r="UQF11" s="1202"/>
      <c r="UQG11" s="1202"/>
      <c r="UQH11" s="1202"/>
      <c r="UQI11" s="1202"/>
      <c r="UQJ11" s="1202"/>
      <c r="UQK11" s="1202"/>
      <c r="UQL11" s="1202"/>
      <c r="UQM11" s="1202"/>
      <c r="UQN11" s="1202"/>
      <c r="UQO11" s="1202"/>
      <c r="UQP11" s="1202"/>
      <c r="UQQ11" s="1202"/>
      <c r="UQR11" s="1202"/>
      <c r="UQS11" s="1202"/>
      <c r="UQT11" s="1202"/>
      <c r="UQU11" s="1202"/>
      <c r="UQV11" s="1202"/>
      <c r="UQW11" s="1202"/>
      <c r="UQX11" s="1202"/>
      <c r="UQY11" s="1202"/>
      <c r="UQZ11" s="1202"/>
      <c r="URA11" s="1202"/>
      <c r="URB11" s="1202"/>
      <c r="URC11" s="1202"/>
      <c r="URD11" s="1202"/>
      <c r="URE11" s="1202"/>
      <c r="URF11" s="1202"/>
      <c r="URG11" s="1202"/>
      <c r="URH11" s="1202"/>
      <c r="URI11" s="1202"/>
      <c r="URJ11" s="1202"/>
      <c r="URK11" s="1202"/>
      <c r="URL11" s="1202"/>
      <c r="URM11" s="1202"/>
      <c r="URN11" s="1202"/>
      <c r="URO11" s="1202"/>
      <c r="URP11" s="1202"/>
      <c r="URQ11" s="1202"/>
      <c r="URR11" s="1202"/>
      <c r="URS11" s="1202"/>
      <c r="URT11" s="1202"/>
      <c r="URU11" s="1202"/>
      <c r="URV11" s="1202"/>
      <c r="URW11" s="1202"/>
      <c r="URX11" s="1202"/>
      <c r="URY11" s="1202"/>
      <c r="URZ11" s="1202"/>
      <c r="USA11" s="1202"/>
      <c r="USB11" s="1202"/>
      <c r="USC11" s="1202"/>
      <c r="USD11" s="1202"/>
      <c r="USE11" s="1202"/>
      <c r="USF11" s="1202"/>
      <c r="USG11" s="1202"/>
      <c r="USH11" s="1202"/>
      <c r="USI11" s="1202"/>
      <c r="USJ11" s="1202"/>
      <c r="USK11" s="1202"/>
      <c r="USL11" s="1202"/>
      <c r="USM11" s="1202"/>
      <c r="USN11" s="1202"/>
      <c r="USO11" s="1202"/>
      <c r="USP11" s="1202"/>
      <c r="USQ11" s="1202"/>
      <c r="USR11" s="1202"/>
      <c r="USS11" s="1202"/>
      <c r="UST11" s="1202"/>
      <c r="USU11" s="1202"/>
      <c r="USV11" s="1202"/>
      <c r="USW11" s="1202"/>
      <c r="USX11" s="1202"/>
      <c r="USY11" s="1202"/>
      <c r="USZ11" s="1202"/>
      <c r="UTA11" s="1202"/>
      <c r="UTB11" s="1202"/>
      <c r="UTC11" s="1202"/>
      <c r="UTD11" s="1202"/>
      <c r="UTE11" s="1202"/>
      <c r="UTF11" s="1202"/>
      <c r="UTG11" s="1202"/>
      <c r="UTH11" s="1202"/>
      <c r="UTI11" s="1202"/>
      <c r="UTJ11" s="1202"/>
      <c r="UTK11" s="1202"/>
      <c r="UTL11" s="1202"/>
      <c r="UTM11" s="1202"/>
      <c r="UTN11" s="1202"/>
      <c r="UTO11" s="1202"/>
      <c r="UTP11" s="1202"/>
      <c r="UTQ11" s="1202"/>
      <c r="UTR11" s="1202"/>
      <c r="UTS11" s="1202"/>
      <c r="UTT11" s="1202"/>
      <c r="UTU11" s="1202"/>
      <c r="UTV11" s="1202"/>
      <c r="UTW11" s="1202"/>
      <c r="UTX11" s="1202"/>
      <c r="UTY11" s="1202"/>
      <c r="UTZ11" s="1202"/>
      <c r="UUA11" s="1202"/>
      <c r="UUB11" s="1202"/>
      <c r="UUC11" s="1202"/>
      <c r="UUD11" s="1202"/>
      <c r="UUE11" s="1202"/>
      <c r="UUF11" s="1202"/>
      <c r="UUG11" s="1202"/>
      <c r="UUH11" s="1202"/>
      <c r="UUI11" s="1202"/>
      <c r="UUJ11" s="1202"/>
      <c r="UUK11" s="1202"/>
      <c r="UUL11" s="1202"/>
      <c r="UUM11" s="1202"/>
      <c r="UUN11" s="1202"/>
      <c r="UUO11" s="1202"/>
      <c r="UUP11" s="1202"/>
      <c r="UUQ11" s="1202"/>
      <c r="UUR11" s="1202"/>
      <c r="UUS11" s="1202"/>
      <c r="UUT11" s="1202"/>
      <c r="UUU11" s="1202"/>
      <c r="UUV11" s="1202"/>
      <c r="UUW11" s="1202"/>
      <c r="UUX11" s="1202"/>
      <c r="UUY11" s="1202"/>
      <c r="UUZ11" s="1202"/>
      <c r="UVA11" s="1202"/>
      <c r="UVB11" s="1202"/>
      <c r="UVC11" s="1202"/>
      <c r="UVD11" s="1202"/>
      <c r="UVE11" s="1202"/>
      <c r="UVF11" s="1202"/>
      <c r="UVG11" s="1202"/>
      <c r="UVH11" s="1202"/>
      <c r="UVI11" s="1202"/>
      <c r="UVJ11" s="1202"/>
      <c r="UVK11" s="1202"/>
      <c r="UVL11" s="1202"/>
      <c r="UVM11" s="1202"/>
      <c r="UVN11" s="1202"/>
      <c r="UVO11" s="1202"/>
      <c r="UVP11" s="1202"/>
      <c r="UVQ11" s="1202"/>
      <c r="UVR11" s="1202"/>
      <c r="UVS11" s="1202"/>
      <c r="UVT11" s="1202"/>
      <c r="UVU11" s="1202"/>
      <c r="UVV11" s="1202"/>
      <c r="UVW11" s="1202"/>
      <c r="UVX11" s="1202"/>
      <c r="UVY11" s="1202"/>
      <c r="UVZ11" s="1202"/>
      <c r="UWA11" s="1202"/>
      <c r="UWB11" s="1202"/>
      <c r="UWC11" s="1202"/>
      <c r="UWD11" s="1202"/>
      <c r="UWE11" s="1202"/>
      <c r="UWF11" s="1202"/>
      <c r="UWG11" s="1202"/>
      <c r="UWH11" s="1202"/>
      <c r="UWI11" s="1202"/>
      <c r="UWJ11" s="1202"/>
      <c r="UWK11" s="1202"/>
      <c r="UWL11" s="1202"/>
      <c r="UWM11" s="1202"/>
      <c r="UWN11" s="1202"/>
      <c r="UWO11" s="1202"/>
      <c r="UWP11" s="1202"/>
      <c r="UWQ11" s="1202"/>
      <c r="UWR11" s="1202"/>
      <c r="UWS11" s="1202"/>
      <c r="UWT11" s="1202"/>
      <c r="UWU11" s="1202"/>
      <c r="UWV11" s="1202"/>
      <c r="UWW11" s="1202"/>
      <c r="UWX11" s="1202"/>
      <c r="UWY11" s="1202"/>
      <c r="UWZ11" s="1202"/>
      <c r="UXA11" s="1202"/>
      <c r="UXB11" s="1202"/>
      <c r="UXC11" s="1202"/>
      <c r="UXD11" s="1202"/>
      <c r="UXE11" s="1202"/>
      <c r="UXF11" s="1202"/>
      <c r="UXG11" s="1202"/>
      <c r="UXH11" s="1202"/>
      <c r="UXI11" s="1202"/>
      <c r="UXJ11" s="1202"/>
      <c r="UXK11" s="1202"/>
      <c r="UXL11" s="1202"/>
      <c r="UXM11" s="1202"/>
      <c r="UXN11" s="1202"/>
      <c r="UXO11" s="1202"/>
      <c r="UXP11" s="1202"/>
      <c r="UXQ11" s="1202"/>
      <c r="UXR11" s="1202"/>
      <c r="UXS11" s="1202"/>
      <c r="UXT11" s="1202"/>
      <c r="UXU11" s="1202"/>
      <c r="UXV11" s="1202"/>
      <c r="UXW11" s="1202"/>
      <c r="UXX11" s="1202"/>
      <c r="UXY11" s="1202"/>
      <c r="UXZ11" s="1202"/>
      <c r="UYA11" s="1202"/>
      <c r="UYB11" s="1202"/>
      <c r="UYC11" s="1202"/>
      <c r="UYD11" s="1202"/>
      <c r="UYE11" s="1202"/>
      <c r="UYF11" s="1202"/>
      <c r="UYG11" s="1202"/>
      <c r="UYH11" s="1202"/>
      <c r="UYI11" s="1202"/>
      <c r="UYJ11" s="1202"/>
      <c r="UYK11" s="1202"/>
      <c r="UYL11" s="1202"/>
      <c r="UYM11" s="1202"/>
      <c r="UYN11" s="1202"/>
      <c r="UYO11" s="1202"/>
      <c r="UYP11" s="1202"/>
      <c r="UYQ11" s="1202"/>
      <c r="UYR11" s="1202"/>
      <c r="UYS11" s="1202"/>
      <c r="UYT11" s="1202"/>
      <c r="UYU11" s="1202"/>
      <c r="UYV11" s="1202"/>
      <c r="UYW11" s="1202"/>
      <c r="UYX11" s="1202"/>
      <c r="UYY11" s="1202"/>
      <c r="UYZ11" s="1202"/>
      <c r="UZA11" s="1202"/>
      <c r="UZB11" s="1202"/>
      <c r="UZC11" s="1202"/>
      <c r="UZD11" s="1202"/>
      <c r="UZE11" s="1202"/>
      <c r="UZF11" s="1202"/>
      <c r="UZG11" s="1202"/>
      <c r="UZH11" s="1202"/>
      <c r="UZI11" s="1202"/>
      <c r="UZJ11" s="1202"/>
      <c r="UZK11" s="1202"/>
      <c r="UZL11" s="1202"/>
      <c r="UZM11" s="1202"/>
      <c r="UZN11" s="1202"/>
      <c r="UZO11" s="1202"/>
      <c r="UZP11" s="1202"/>
      <c r="UZQ11" s="1202"/>
      <c r="UZR11" s="1202"/>
      <c r="UZS11" s="1202"/>
      <c r="UZT11" s="1202"/>
      <c r="UZU11" s="1202"/>
      <c r="UZV11" s="1202"/>
      <c r="UZW11" s="1202"/>
      <c r="UZX11" s="1202"/>
      <c r="UZY11" s="1202"/>
      <c r="UZZ11" s="1202"/>
      <c r="VAA11" s="1202"/>
      <c r="VAB11" s="1202"/>
      <c r="VAC11" s="1202"/>
      <c r="VAD11" s="1202"/>
      <c r="VAE11" s="1202"/>
      <c r="VAF11" s="1202"/>
      <c r="VAG11" s="1202"/>
      <c r="VAH11" s="1202"/>
      <c r="VAI11" s="1202"/>
      <c r="VAJ11" s="1202"/>
      <c r="VAK11" s="1202"/>
      <c r="VAL11" s="1202"/>
      <c r="VAM11" s="1202"/>
      <c r="VAN11" s="1202"/>
      <c r="VAO11" s="1202"/>
      <c r="VAP11" s="1202"/>
      <c r="VAQ11" s="1202"/>
      <c r="VAR11" s="1202"/>
      <c r="VAS11" s="1202"/>
      <c r="VAT11" s="1202"/>
      <c r="VAU11" s="1202"/>
      <c r="VAV11" s="1202"/>
      <c r="VAW11" s="1202"/>
      <c r="VAX11" s="1202"/>
      <c r="VAY11" s="1202"/>
      <c r="VAZ11" s="1202"/>
      <c r="VBA11" s="1202"/>
      <c r="VBB11" s="1202"/>
      <c r="VBC11" s="1202"/>
      <c r="VBD11" s="1202"/>
      <c r="VBE11" s="1202"/>
      <c r="VBF11" s="1202"/>
      <c r="VBG11" s="1202"/>
      <c r="VBH11" s="1202"/>
      <c r="VBI11" s="1202"/>
      <c r="VBJ11" s="1202"/>
      <c r="VBK11" s="1202"/>
      <c r="VBL11" s="1202"/>
      <c r="VBM11" s="1202"/>
      <c r="VBN11" s="1202"/>
      <c r="VBO11" s="1202"/>
      <c r="VBP11" s="1202"/>
      <c r="VBQ11" s="1202"/>
      <c r="VBR11" s="1202"/>
      <c r="VBS11" s="1202"/>
      <c r="VBT11" s="1202"/>
      <c r="VBU11" s="1202"/>
      <c r="VBV11" s="1202"/>
      <c r="VBW11" s="1202"/>
      <c r="VBX11" s="1202"/>
      <c r="VBY11" s="1202"/>
      <c r="VBZ11" s="1202"/>
      <c r="VCA11" s="1202"/>
      <c r="VCB11" s="1202"/>
      <c r="VCC11" s="1202"/>
      <c r="VCD11" s="1202"/>
      <c r="VCE11" s="1202"/>
      <c r="VCF11" s="1202"/>
      <c r="VCG11" s="1202"/>
      <c r="VCH11" s="1202"/>
      <c r="VCI11" s="1202"/>
      <c r="VCJ11" s="1202"/>
      <c r="VCK11" s="1202"/>
      <c r="VCL11" s="1202"/>
      <c r="VCM11" s="1202"/>
      <c r="VCN11" s="1202"/>
      <c r="VCO11" s="1202"/>
      <c r="VCP11" s="1202"/>
      <c r="VCQ11" s="1202"/>
      <c r="VCR11" s="1202"/>
      <c r="VCS11" s="1202"/>
      <c r="VCT11" s="1202"/>
      <c r="VCU11" s="1202"/>
      <c r="VCV11" s="1202"/>
      <c r="VCW11" s="1202"/>
      <c r="VCX11" s="1202"/>
      <c r="VCY11" s="1202"/>
      <c r="VCZ11" s="1202"/>
      <c r="VDA11" s="1202"/>
      <c r="VDB11" s="1202"/>
      <c r="VDC11" s="1202"/>
      <c r="VDD11" s="1202"/>
      <c r="VDE11" s="1202"/>
      <c r="VDF11" s="1202"/>
      <c r="VDG11" s="1202"/>
      <c r="VDH11" s="1202"/>
      <c r="VDI11" s="1202"/>
      <c r="VDJ11" s="1202"/>
      <c r="VDK11" s="1202"/>
      <c r="VDL11" s="1202"/>
      <c r="VDM11" s="1202"/>
      <c r="VDN11" s="1202"/>
      <c r="VDO11" s="1202"/>
      <c r="VDP11" s="1202"/>
      <c r="VDQ11" s="1202"/>
      <c r="VDR11" s="1202"/>
      <c r="VDS11" s="1202"/>
      <c r="VDT11" s="1202"/>
      <c r="VDU11" s="1202"/>
      <c r="VDV11" s="1202"/>
      <c r="VDW11" s="1202"/>
      <c r="VDX11" s="1202"/>
      <c r="VDY11" s="1202"/>
      <c r="VDZ11" s="1202"/>
      <c r="VEA11" s="1202"/>
      <c r="VEB11" s="1202"/>
      <c r="VEC11" s="1202"/>
      <c r="VED11" s="1202"/>
      <c r="VEE11" s="1202"/>
      <c r="VEF11" s="1202"/>
      <c r="VEG11" s="1202"/>
      <c r="VEH11" s="1202"/>
      <c r="VEI11" s="1202"/>
      <c r="VEJ11" s="1202"/>
      <c r="VEK11" s="1202"/>
      <c r="VEL11" s="1202"/>
      <c r="VEM11" s="1202"/>
      <c r="VEN11" s="1202"/>
      <c r="VEO11" s="1202"/>
      <c r="VEP11" s="1202"/>
      <c r="VEQ11" s="1202"/>
      <c r="VER11" s="1202"/>
      <c r="VES11" s="1202"/>
      <c r="VET11" s="1202"/>
      <c r="VEU11" s="1202"/>
      <c r="VEV11" s="1202"/>
      <c r="VEW11" s="1202"/>
      <c r="VEX11" s="1202"/>
      <c r="VEY11" s="1202"/>
      <c r="VEZ11" s="1202"/>
      <c r="VFA11" s="1202"/>
      <c r="VFB11" s="1202"/>
      <c r="VFC11" s="1202"/>
      <c r="VFD11" s="1202"/>
      <c r="VFE11" s="1202"/>
      <c r="VFF11" s="1202"/>
      <c r="VFG11" s="1202"/>
      <c r="VFH11" s="1202"/>
      <c r="VFI11" s="1202"/>
      <c r="VFJ11" s="1202"/>
      <c r="VFK11" s="1202"/>
      <c r="VFL11" s="1202"/>
      <c r="VFM11" s="1202"/>
      <c r="VFN11" s="1202"/>
      <c r="VFO11" s="1202"/>
      <c r="VFP11" s="1202"/>
      <c r="VFQ11" s="1202"/>
      <c r="VFR11" s="1202"/>
      <c r="VFS11" s="1202"/>
      <c r="VFT11" s="1202"/>
      <c r="VFU11" s="1202"/>
      <c r="VFV11" s="1202"/>
      <c r="VFW11" s="1202"/>
      <c r="VFX11" s="1202"/>
      <c r="VFY11" s="1202"/>
      <c r="VFZ11" s="1202"/>
      <c r="VGA11" s="1202"/>
      <c r="VGB11" s="1202"/>
      <c r="VGC11" s="1202"/>
      <c r="VGD11" s="1202"/>
      <c r="VGE11" s="1202"/>
      <c r="VGF11" s="1202"/>
      <c r="VGG11" s="1202"/>
      <c r="VGH11" s="1202"/>
      <c r="VGI11" s="1202"/>
      <c r="VGJ11" s="1202"/>
      <c r="VGK11" s="1202"/>
      <c r="VGL11" s="1202"/>
      <c r="VGM11" s="1202"/>
      <c r="VGN11" s="1202"/>
      <c r="VGO11" s="1202"/>
      <c r="VGP11" s="1202"/>
      <c r="VGQ11" s="1202"/>
      <c r="VGR11" s="1202"/>
      <c r="VGS11" s="1202"/>
      <c r="VGT11" s="1202"/>
      <c r="VGU11" s="1202"/>
      <c r="VGV11" s="1202"/>
      <c r="VGW11" s="1202"/>
      <c r="VGX11" s="1202"/>
      <c r="VGY11" s="1202"/>
      <c r="VGZ11" s="1202"/>
      <c r="VHA11" s="1202"/>
      <c r="VHB11" s="1202"/>
      <c r="VHC11" s="1202"/>
      <c r="VHD11" s="1202"/>
      <c r="VHE11" s="1202"/>
      <c r="VHF11" s="1202"/>
      <c r="VHG11" s="1202"/>
      <c r="VHH11" s="1202"/>
      <c r="VHI11" s="1202"/>
      <c r="VHJ11" s="1202"/>
      <c r="VHK11" s="1202"/>
      <c r="VHL11" s="1202"/>
      <c r="VHM11" s="1202"/>
      <c r="VHN11" s="1202"/>
      <c r="VHO11" s="1202"/>
      <c r="VHP11" s="1202"/>
      <c r="VHQ11" s="1202"/>
      <c r="VHR11" s="1202"/>
      <c r="VHS11" s="1202"/>
      <c r="VHT11" s="1202"/>
      <c r="VHU11" s="1202"/>
      <c r="VHV11" s="1202"/>
      <c r="VHW11" s="1202"/>
      <c r="VHX11" s="1202"/>
      <c r="VHY11" s="1202"/>
      <c r="VHZ11" s="1202"/>
      <c r="VIA11" s="1202"/>
      <c r="VIB11" s="1202"/>
      <c r="VIC11" s="1202"/>
      <c r="VID11" s="1202"/>
      <c r="VIE11" s="1202"/>
      <c r="VIF11" s="1202"/>
      <c r="VIG11" s="1202"/>
      <c r="VIH11" s="1202"/>
      <c r="VII11" s="1202"/>
      <c r="VIJ11" s="1202"/>
      <c r="VIK11" s="1202"/>
      <c r="VIL11" s="1202"/>
      <c r="VIM11" s="1202"/>
      <c r="VIN11" s="1202"/>
      <c r="VIO11" s="1202"/>
      <c r="VIP11" s="1202"/>
      <c r="VIQ11" s="1202"/>
      <c r="VIR11" s="1202"/>
      <c r="VIS11" s="1202"/>
      <c r="VIT11" s="1202"/>
      <c r="VIU11" s="1202"/>
      <c r="VIV11" s="1202"/>
      <c r="VIW11" s="1202"/>
      <c r="VIX11" s="1202"/>
      <c r="VIY11" s="1202"/>
      <c r="VIZ11" s="1202"/>
      <c r="VJA11" s="1202"/>
      <c r="VJB11" s="1202"/>
      <c r="VJC11" s="1202"/>
      <c r="VJD11" s="1202"/>
      <c r="VJE11" s="1202"/>
      <c r="VJF11" s="1202"/>
      <c r="VJG11" s="1202"/>
      <c r="VJH11" s="1202"/>
      <c r="VJI11" s="1202"/>
      <c r="VJJ11" s="1202"/>
      <c r="VJK11" s="1202"/>
      <c r="VJL11" s="1202"/>
      <c r="VJM11" s="1202"/>
      <c r="VJN11" s="1202"/>
      <c r="VJO11" s="1202"/>
      <c r="VJP11" s="1202"/>
      <c r="VJQ11" s="1202"/>
      <c r="VJR11" s="1202"/>
      <c r="VJS11" s="1202"/>
      <c r="VJT11" s="1202"/>
      <c r="VJU11" s="1202"/>
      <c r="VJV11" s="1202"/>
      <c r="VJW11" s="1202"/>
      <c r="VJX11" s="1202"/>
      <c r="VJY11" s="1202"/>
      <c r="VJZ11" s="1202"/>
      <c r="VKA11" s="1202"/>
      <c r="VKB11" s="1202"/>
      <c r="VKC11" s="1202"/>
      <c r="VKD11" s="1202"/>
      <c r="VKE11" s="1202"/>
      <c r="VKF11" s="1202"/>
      <c r="VKG11" s="1202"/>
      <c r="VKH11" s="1202"/>
      <c r="VKI11" s="1202"/>
      <c r="VKJ11" s="1202"/>
      <c r="VKK11" s="1202"/>
      <c r="VKL11" s="1202"/>
      <c r="VKM11" s="1202"/>
      <c r="VKN11" s="1202"/>
      <c r="VKO11" s="1202"/>
      <c r="VKP11" s="1202"/>
      <c r="VKQ11" s="1202"/>
      <c r="VKR11" s="1202"/>
      <c r="VKS11" s="1202"/>
      <c r="VKT11" s="1202"/>
      <c r="VKU11" s="1202"/>
      <c r="VKV11" s="1202"/>
      <c r="VKW11" s="1202"/>
      <c r="VKX11" s="1202"/>
      <c r="VKY11" s="1202"/>
      <c r="VKZ11" s="1202"/>
      <c r="VLA11" s="1202"/>
      <c r="VLB11" s="1202"/>
      <c r="VLC11" s="1202"/>
      <c r="VLD11" s="1202"/>
      <c r="VLE11" s="1202"/>
      <c r="VLF11" s="1202"/>
      <c r="VLG11" s="1202"/>
      <c r="VLH11" s="1202"/>
      <c r="VLI11" s="1202"/>
      <c r="VLJ11" s="1202"/>
      <c r="VLK11" s="1202"/>
      <c r="VLL11" s="1202"/>
      <c r="VLM11" s="1202"/>
      <c r="VLN11" s="1202"/>
      <c r="VLO11" s="1202"/>
      <c r="VLP11" s="1202"/>
      <c r="VLQ11" s="1202"/>
      <c r="VLR11" s="1202"/>
      <c r="VLS11" s="1202"/>
      <c r="VLT11" s="1202"/>
      <c r="VLU11" s="1202"/>
      <c r="VLV11" s="1202"/>
      <c r="VLW11" s="1202"/>
      <c r="VLX11" s="1202"/>
      <c r="VLY11" s="1202"/>
      <c r="VLZ11" s="1202"/>
      <c r="VMA11" s="1202"/>
      <c r="VMB11" s="1202"/>
      <c r="VMC11" s="1202"/>
      <c r="VMD11" s="1202"/>
      <c r="VME11" s="1202"/>
      <c r="VMF11" s="1202"/>
      <c r="VMG11" s="1202"/>
      <c r="VMH11" s="1202"/>
      <c r="VMI11" s="1202"/>
      <c r="VMJ11" s="1202"/>
      <c r="VMK11" s="1202"/>
      <c r="VML11" s="1202"/>
      <c r="VMM11" s="1202"/>
      <c r="VMN11" s="1202"/>
      <c r="VMO11" s="1202"/>
      <c r="VMP11" s="1202"/>
      <c r="VMQ11" s="1202"/>
      <c r="VMR11" s="1202"/>
      <c r="VMS11" s="1202"/>
      <c r="VMT11" s="1202"/>
      <c r="VMU11" s="1202"/>
      <c r="VMV11" s="1202"/>
      <c r="VMW11" s="1202"/>
      <c r="VMX11" s="1202"/>
      <c r="VMY11" s="1202"/>
      <c r="VMZ11" s="1202"/>
      <c r="VNA11" s="1202"/>
      <c r="VNB11" s="1202"/>
      <c r="VNC11" s="1202"/>
      <c r="VND11" s="1202"/>
      <c r="VNE11" s="1202"/>
      <c r="VNF11" s="1202"/>
      <c r="VNG11" s="1202"/>
      <c r="VNH11" s="1202"/>
      <c r="VNI11" s="1202"/>
      <c r="VNJ11" s="1202"/>
      <c r="VNK11" s="1202"/>
      <c r="VNL11" s="1202"/>
      <c r="VNM11" s="1202"/>
      <c r="VNN11" s="1202"/>
      <c r="VNO11" s="1202"/>
      <c r="VNP11" s="1202"/>
      <c r="VNQ11" s="1202"/>
      <c r="VNR11" s="1202"/>
      <c r="VNS11" s="1202"/>
      <c r="VNT11" s="1202"/>
      <c r="VNU11" s="1202"/>
      <c r="VNV11" s="1202"/>
      <c r="VNW11" s="1202"/>
      <c r="VNX11" s="1202"/>
      <c r="VNY11" s="1202"/>
      <c r="VNZ11" s="1202"/>
      <c r="VOA11" s="1202"/>
      <c r="VOB11" s="1202"/>
      <c r="VOC11" s="1202"/>
      <c r="VOD11" s="1202"/>
      <c r="VOE11" s="1202"/>
      <c r="VOF11" s="1202"/>
      <c r="VOG11" s="1202"/>
      <c r="VOH11" s="1202"/>
      <c r="VOI11" s="1202"/>
      <c r="VOJ11" s="1202"/>
      <c r="VOK11" s="1202"/>
      <c r="VOL11" s="1202"/>
      <c r="VOM11" s="1202"/>
      <c r="VON11" s="1202"/>
      <c r="VOO11" s="1202"/>
      <c r="VOP11" s="1202"/>
      <c r="VOQ11" s="1202"/>
      <c r="VOR11" s="1202"/>
      <c r="VOS11" s="1202"/>
      <c r="VOT11" s="1202"/>
      <c r="VOU11" s="1202"/>
      <c r="VOV11" s="1202"/>
      <c r="VOW11" s="1202"/>
      <c r="VOX11" s="1202"/>
      <c r="VOY11" s="1202"/>
      <c r="VOZ11" s="1202"/>
      <c r="VPA11" s="1202"/>
      <c r="VPB11" s="1202"/>
      <c r="VPC11" s="1202"/>
      <c r="VPD11" s="1202"/>
      <c r="VPE11" s="1202"/>
      <c r="VPF11" s="1202"/>
      <c r="VPG11" s="1202"/>
      <c r="VPH11" s="1202"/>
      <c r="VPI11" s="1202"/>
      <c r="VPJ11" s="1202"/>
      <c r="VPK11" s="1202"/>
      <c r="VPL11" s="1202"/>
      <c r="VPM11" s="1202"/>
      <c r="VPN11" s="1202"/>
      <c r="VPO11" s="1202"/>
      <c r="VPP11" s="1202"/>
      <c r="VPQ11" s="1202"/>
      <c r="VPR11" s="1202"/>
      <c r="VPS11" s="1202"/>
      <c r="VPT11" s="1202"/>
      <c r="VPU11" s="1202"/>
      <c r="VPV11" s="1202"/>
      <c r="VPW11" s="1202"/>
      <c r="VPX11" s="1202"/>
      <c r="VPY11" s="1202"/>
      <c r="VPZ11" s="1202"/>
      <c r="VQA11" s="1202"/>
      <c r="VQB11" s="1202"/>
      <c r="VQC11" s="1202"/>
      <c r="VQD11" s="1202"/>
      <c r="VQE11" s="1202"/>
      <c r="VQF11" s="1202"/>
      <c r="VQG11" s="1202"/>
      <c r="VQH11" s="1202"/>
      <c r="VQI11" s="1202"/>
      <c r="VQJ11" s="1202"/>
      <c r="VQK11" s="1202"/>
      <c r="VQL11" s="1202"/>
      <c r="VQM11" s="1202"/>
      <c r="VQN11" s="1202"/>
      <c r="VQO11" s="1202"/>
      <c r="VQP11" s="1202"/>
      <c r="VQQ11" s="1202"/>
      <c r="VQR11" s="1202"/>
      <c r="VQS11" s="1202"/>
      <c r="VQT11" s="1202"/>
      <c r="VQU11" s="1202"/>
      <c r="VQV11" s="1202"/>
      <c r="VQW11" s="1202"/>
      <c r="VQX11" s="1202"/>
      <c r="VQY11" s="1202"/>
      <c r="VQZ11" s="1202"/>
      <c r="VRA11" s="1202"/>
      <c r="VRB11" s="1202"/>
      <c r="VRC11" s="1202"/>
      <c r="VRD11" s="1202"/>
      <c r="VRE11" s="1202"/>
      <c r="VRF11" s="1202"/>
      <c r="VRG11" s="1202"/>
      <c r="VRH11" s="1202"/>
      <c r="VRI11" s="1202"/>
      <c r="VRJ11" s="1202"/>
      <c r="VRK11" s="1202"/>
      <c r="VRL11" s="1202"/>
      <c r="VRM11" s="1202"/>
      <c r="VRN11" s="1202"/>
      <c r="VRO11" s="1202"/>
      <c r="VRP11" s="1202"/>
      <c r="VRQ11" s="1202"/>
      <c r="VRR11" s="1202"/>
      <c r="VRS11" s="1202"/>
      <c r="VRT11" s="1202"/>
      <c r="VRU11" s="1202"/>
      <c r="VRV11" s="1202"/>
      <c r="VRW11" s="1202"/>
      <c r="VRX11" s="1202"/>
      <c r="VRY11" s="1202"/>
      <c r="VRZ11" s="1202"/>
      <c r="VSA11" s="1202"/>
      <c r="VSB11" s="1202"/>
      <c r="VSC11" s="1202"/>
      <c r="VSD11" s="1202"/>
      <c r="VSE11" s="1202"/>
      <c r="VSF11" s="1202"/>
      <c r="VSG11" s="1202"/>
      <c r="VSH11" s="1202"/>
      <c r="VSI11" s="1202"/>
      <c r="VSJ11" s="1202"/>
      <c r="VSK11" s="1202"/>
      <c r="VSL11" s="1202"/>
      <c r="VSM11" s="1202"/>
      <c r="VSN11" s="1202"/>
      <c r="VSO11" s="1202"/>
      <c r="VSP11" s="1202"/>
      <c r="VSQ11" s="1202"/>
      <c r="VSR11" s="1202"/>
      <c r="VSS11" s="1202"/>
      <c r="VST11" s="1202"/>
      <c r="VSU11" s="1202"/>
      <c r="VSV11" s="1202"/>
      <c r="VSW11" s="1202"/>
      <c r="VSX11" s="1202"/>
      <c r="VSY11" s="1202"/>
      <c r="VSZ11" s="1202"/>
      <c r="VTA11" s="1202"/>
      <c r="VTB11" s="1202"/>
      <c r="VTC11" s="1202"/>
      <c r="VTD11" s="1202"/>
      <c r="VTE11" s="1202"/>
      <c r="VTF11" s="1202"/>
      <c r="VTG11" s="1202"/>
      <c r="VTH11" s="1202"/>
      <c r="VTI11" s="1202"/>
      <c r="VTJ11" s="1202"/>
      <c r="VTK11" s="1202"/>
      <c r="VTL11" s="1202"/>
      <c r="VTM11" s="1202"/>
      <c r="VTN11" s="1202"/>
      <c r="VTO11" s="1202"/>
      <c r="VTP11" s="1202"/>
      <c r="VTQ11" s="1202"/>
      <c r="VTR11" s="1202"/>
      <c r="VTS11" s="1202"/>
      <c r="VTT11" s="1202"/>
      <c r="VTU11" s="1202"/>
      <c r="VTV11" s="1202"/>
      <c r="VTW11" s="1202"/>
      <c r="VTX11" s="1202"/>
      <c r="VTY11" s="1202"/>
      <c r="VTZ11" s="1202"/>
      <c r="VUA11" s="1202"/>
      <c r="VUB11" s="1202"/>
      <c r="VUC11" s="1202"/>
      <c r="VUD11" s="1202"/>
      <c r="VUE11" s="1202"/>
      <c r="VUF11" s="1202"/>
      <c r="VUG11" s="1202"/>
      <c r="VUH11" s="1202"/>
      <c r="VUI11" s="1202"/>
      <c r="VUJ11" s="1202"/>
      <c r="VUK11" s="1202"/>
      <c r="VUL11" s="1202"/>
      <c r="VUM11" s="1202"/>
      <c r="VUN11" s="1202"/>
      <c r="VUO11" s="1202"/>
      <c r="VUP11" s="1202"/>
      <c r="VUQ11" s="1202"/>
      <c r="VUR11" s="1202"/>
      <c r="VUS11" s="1202"/>
      <c r="VUT11" s="1202"/>
      <c r="VUU11" s="1202"/>
      <c r="VUV11" s="1202"/>
      <c r="VUW11" s="1202"/>
      <c r="VUX11" s="1202"/>
      <c r="VUY11" s="1202"/>
      <c r="VUZ11" s="1202"/>
      <c r="VVA11" s="1202"/>
      <c r="VVB11" s="1202"/>
      <c r="VVC11" s="1202"/>
      <c r="VVD11" s="1202"/>
      <c r="VVE11" s="1202"/>
      <c r="VVF11" s="1202"/>
      <c r="VVG11" s="1202"/>
      <c r="VVH11" s="1202"/>
      <c r="VVI11" s="1202"/>
      <c r="VVJ11" s="1202"/>
      <c r="VVK11" s="1202"/>
      <c r="VVL11" s="1202"/>
      <c r="VVM11" s="1202"/>
      <c r="VVN11" s="1202"/>
      <c r="VVO11" s="1202"/>
      <c r="VVP11" s="1202"/>
      <c r="VVQ11" s="1202"/>
      <c r="VVR11" s="1202"/>
      <c r="VVS11" s="1202"/>
      <c r="VVT11" s="1202"/>
      <c r="VVU11" s="1202"/>
      <c r="VVV11" s="1202"/>
      <c r="VVW11" s="1202"/>
      <c r="VVX11" s="1202"/>
      <c r="VVY11" s="1202"/>
      <c r="VVZ11" s="1202"/>
      <c r="VWA11" s="1202"/>
      <c r="VWB11" s="1202"/>
      <c r="VWC11" s="1202"/>
      <c r="VWD11" s="1202"/>
      <c r="VWE11" s="1202"/>
      <c r="VWF11" s="1202"/>
      <c r="VWG11" s="1202"/>
      <c r="VWH11" s="1202"/>
      <c r="VWI11" s="1202"/>
      <c r="VWJ11" s="1202"/>
      <c r="VWK11" s="1202"/>
      <c r="VWL11" s="1202"/>
      <c r="VWM11" s="1202"/>
      <c r="VWN11" s="1202"/>
      <c r="VWO11" s="1202"/>
      <c r="VWP11" s="1202"/>
      <c r="VWQ11" s="1202"/>
      <c r="VWR11" s="1202"/>
      <c r="VWS11" s="1202"/>
      <c r="VWT11" s="1202"/>
      <c r="VWU11" s="1202"/>
      <c r="VWV11" s="1202"/>
      <c r="VWW11" s="1202"/>
      <c r="VWX11" s="1202"/>
      <c r="VWY11" s="1202"/>
      <c r="VWZ11" s="1202"/>
      <c r="VXA11" s="1202"/>
      <c r="VXB11" s="1202"/>
      <c r="VXC11" s="1202"/>
      <c r="VXD11" s="1202"/>
      <c r="VXE11" s="1202"/>
      <c r="VXF11" s="1202"/>
      <c r="VXG11" s="1202"/>
      <c r="VXH11" s="1202"/>
      <c r="VXI11" s="1202"/>
      <c r="VXJ11" s="1202"/>
      <c r="VXK11" s="1202"/>
      <c r="VXL11" s="1202"/>
      <c r="VXM11" s="1202"/>
      <c r="VXN11" s="1202"/>
      <c r="VXO11" s="1202"/>
      <c r="VXP11" s="1202"/>
      <c r="VXQ11" s="1202"/>
      <c r="VXR11" s="1202"/>
      <c r="VXS11" s="1202"/>
      <c r="VXT11" s="1202"/>
      <c r="VXU11" s="1202"/>
      <c r="VXV11" s="1202"/>
      <c r="VXW11" s="1202"/>
      <c r="VXX11" s="1202"/>
      <c r="VXY11" s="1202"/>
      <c r="VXZ11" s="1202"/>
      <c r="VYA11" s="1202"/>
      <c r="VYB11" s="1202"/>
      <c r="VYC11" s="1202"/>
      <c r="VYD11" s="1202"/>
      <c r="VYE11" s="1202"/>
      <c r="VYF11" s="1202"/>
      <c r="VYG11" s="1202"/>
      <c r="VYH11" s="1202"/>
      <c r="VYI11" s="1202"/>
      <c r="VYJ11" s="1202"/>
      <c r="VYK11" s="1202"/>
      <c r="VYL11" s="1202"/>
      <c r="VYM11" s="1202"/>
      <c r="VYN11" s="1202"/>
      <c r="VYO11" s="1202"/>
      <c r="VYP11" s="1202"/>
      <c r="VYQ11" s="1202"/>
      <c r="VYR11" s="1202"/>
      <c r="VYS11" s="1202"/>
      <c r="VYT11" s="1202"/>
      <c r="VYU11" s="1202"/>
      <c r="VYV11" s="1202"/>
      <c r="VYW11" s="1202"/>
      <c r="VYX11" s="1202"/>
      <c r="VYY11" s="1202"/>
      <c r="VYZ11" s="1202"/>
      <c r="VZA11" s="1202"/>
      <c r="VZB11" s="1202"/>
      <c r="VZC11" s="1202"/>
      <c r="VZD11" s="1202"/>
      <c r="VZE11" s="1202"/>
      <c r="VZF11" s="1202"/>
      <c r="VZG11" s="1202"/>
      <c r="VZH11" s="1202"/>
      <c r="VZI11" s="1202"/>
      <c r="VZJ11" s="1202"/>
      <c r="VZK11" s="1202"/>
      <c r="VZL11" s="1202"/>
      <c r="VZM11" s="1202"/>
      <c r="VZN11" s="1202"/>
      <c r="VZO11" s="1202"/>
      <c r="VZP11" s="1202"/>
      <c r="VZQ11" s="1202"/>
      <c r="VZR11" s="1202"/>
      <c r="VZS11" s="1202"/>
      <c r="VZT11" s="1202"/>
      <c r="VZU11" s="1202"/>
      <c r="VZV11" s="1202"/>
      <c r="VZW11" s="1202"/>
      <c r="VZX11" s="1202"/>
      <c r="VZY11" s="1202"/>
      <c r="VZZ11" s="1202"/>
      <c r="WAA11" s="1202"/>
      <c r="WAB11" s="1202"/>
      <c r="WAC11" s="1202"/>
      <c r="WAD11" s="1202"/>
      <c r="WAE11" s="1202"/>
      <c r="WAF11" s="1202"/>
      <c r="WAG11" s="1202"/>
      <c r="WAH11" s="1202"/>
      <c r="WAI11" s="1202"/>
      <c r="WAJ11" s="1202"/>
      <c r="WAK11" s="1202"/>
      <c r="WAL11" s="1202"/>
      <c r="WAM11" s="1202"/>
      <c r="WAN11" s="1202"/>
      <c r="WAO11" s="1202"/>
      <c r="WAP11" s="1202"/>
      <c r="WAQ11" s="1202"/>
      <c r="WAR11" s="1202"/>
      <c r="WAS11" s="1202"/>
      <c r="WAT11" s="1202"/>
      <c r="WAU11" s="1202"/>
      <c r="WAV11" s="1202"/>
      <c r="WAW11" s="1202"/>
      <c r="WAX11" s="1202"/>
      <c r="WAY11" s="1202"/>
      <c r="WAZ11" s="1202"/>
      <c r="WBA11" s="1202"/>
      <c r="WBB11" s="1202"/>
      <c r="WBC11" s="1202"/>
      <c r="WBD11" s="1202"/>
      <c r="WBE11" s="1202"/>
      <c r="WBF11" s="1202"/>
      <c r="WBG11" s="1202"/>
      <c r="WBH11" s="1202"/>
      <c r="WBI11" s="1202"/>
      <c r="WBJ11" s="1202"/>
      <c r="WBK11" s="1202"/>
      <c r="WBL11" s="1202"/>
      <c r="WBM11" s="1202"/>
      <c r="WBN11" s="1202"/>
      <c r="WBO11" s="1202"/>
      <c r="WBP11" s="1202"/>
      <c r="WBQ11" s="1202"/>
      <c r="WBR11" s="1202"/>
      <c r="WBS11" s="1202"/>
      <c r="WBT11" s="1202"/>
      <c r="WBU11" s="1202"/>
      <c r="WBV11" s="1202"/>
      <c r="WBW11" s="1202"/>
      <c r="WBX11" s="1202"/>
      <c r="WBY11" s="1202"/>
      <c r="WBZ11" s="1202"/>
      <c r="WCA11" s="1202"/>
      <c r="WCB11" s="1202"/>
      <c r="WCC11" s="1202"/>
      <c r="WCD11" s="1202"/>
      <c r="WCE11" s="1202"/>
      <c r="WCF11" s="1202"/>
      <c r="WCG11" s="1202"/>
      <c r="WCH11" s="1202"/>
      <c r="WCI11" s="1202"/>
      <c r="WCJ11" s="1202"/>
      <c r="WCK11" s="1202"/>
      <c r="WCL11" s="1202"/>
      <c r="WCM11" s="1202"/>
      <c r="WCN11" s="1202"/>
      <c r="WCO11" s="1202"/>
      <c r="WCP11" s="1202"/>
      <c r="WCQ11" s="1202"/>
      <c r="WCR11" s="1202"/>
      <c r="WCS11" s="1202"/>
      <c r="WCT11" s="1202"/>
      <c r="WCU11" s="1202"/>
      <c r="WCV11" s="1202"/>
      <c r="WCW11" s="1202"/>
      <c r="WCX11" s="1202"/>
      <c r="WCY11" s="1202"/>
      <c r="WCZ11" s="1202"/>
      <c r="WDA11" s="1202"/>
      <c r="WDB11" s="1202"/>
      <c r="WDC11" s="1202"/>
      <c r="WDD11" s="1202"/>
      <c r="WDE11" s="1202"/>
      <c r="WDF11" s="1202"/>
      <c r="WDG11" s="1202"/>
      <c r="WDH11" s="1202"/>
      <c r="WDI11" s="1202"/>
      <c r="WDJ11" s="1202"/>
      <c r="WDK11" s="1202"/>
      <c r="WDL11" s="1202"/>
      <c r="WDM11" s="1202"/>
      <c r="WDN11" s="1202"/>
      <c r="WDO11" s="1202"/>
      <c r="WDP11" s="1202"/>
      <c r="WDQ11" s="1202"/>
      <c r="WDR11" s="1202"/>
      <c r="WDS11" s="1202"/>
      <c r="WDT11" s="1202"/>
      <c r="WDU11" s="1202"/>
      <c r="WDV11" s="1202"/>
      <c r="WDW11" s="1202"/>
      <c r="WDX11" s="1202"/>
      <c r="WDY11" s="1202"/>
      <c r="WDZ11" s="1202"/>
      <c r="WEA11" s="1202"/>
      <c r="WEB11" s="1202"/>
      <c r="WEC11" s="1202"/>
      <c r="WED11" s="1202"/>
      <c r="WEE11" s="1202"/>
      <c r="WEF11" s="1202"/>
      <c r="WEG11" s="1202"/>
      <c r="WEH11" s="1202"/>
      <c r="WEI11" s="1202"/>
      <c r="WEJ11" s="1202"/>
      <c r="WEK11" s="1202"/>
      <c r="WEL11" s="1202"/>
      <c r="WEM11" s="1202"/>
      <c r="WEN11" s="1202"/>
      <c r="WEO11" s="1202"/>
      <c r="WEP11" s="1202"/>
      <c r="WEQ11" s="1202"/>
      <c r="WER11" s="1202"/>
      <c r="WES11" s="1202"/>
      <c r="WET11" s="1202"/>
      <c r="WEU11" s="1202"/>
      <c r="WEV11" s="1202"/>
      <c r="WEW11" s="1202"/>
      <c r="WEX11" s="1202"/>
      <c r="WEY11" s="1202"/>
      <c r="WEZ11" s="1202"/>
      <c r="WFA11" s="1202"/>
      <c r="WFB11" s="1202"/>
      <c r="WFC11" s="1202"/>
      <c r="WFD11" s="1202"/>
      <c r="WFE11" s="1202"/>
      <c r="WFF11" s="1202"/>
      <c r="WFG11" s="1202"/>
      <c r="WFH11" s="1202"/>
      <c r="WFI11" s="1202"/>
      <c r="WFJ11" s="1202"/>
      <c r="WFK11" s="1202"/>
      <c r="WFL11" s="1202"/>
      <c r="WFM11" s="1202"/>
      <c r="WFN11" s="1202"/>
      <c r="WFO11" s="1202"/>
      <c r="WFP11" s="1202"/>
      <c r="WFQ11" s="1202"/>
      <c r="WFR11" s="1202"/>
      <c r="WFS11" s="1202"/>
      <c r="WFT11" s="1202"/>
      <c r="WFU11" s="1202"/>
      <c r="WFV11" s="1202"/>
      <c r="WFW11" s="1202"/>
      <c r="WFX11" s="1202"/>
      <c r="WFY11" s="1202"/>
      <c r="WFZ11" s="1202"/>
      <c r="WGA11" s="1202"/>
      <c r="WGB11" s="1202"/>
      <c r="WGC11" s="1202"/>
      <c r="WGD11" s="1202"/>
      <c r="WGE11" s="1202"/>
      <c r="WGF11" s="1202"/>
      <c r="WGG11" s="1202"/>
      <c r="WGH11" s="1202"/>
      <c r="WGI11" s="1202"/>
      <c r="WGJ11" s="1202"/>
      <c r="WGK11" s="1202"/>
      <c r="WGL11" s="1202"/>
      <c r="WGM11" s="1202"/>
      <c r="WGN11" s="1202"/>
      <c r="WGO11" s="1202"/>
      <c r="WGP11" s="1202"/>
      <c r="WGQ11" s="1202"/>
      <c r="WGR11" s="1202"/>
      <c r="WGS11" s="1202"/>
      <c r="WGT11" s="1202"/>
      <c r="WGU11" s="1202"/>
      <c r="WGV11" s="1202"/>
      <c r="WGW11" s="1202"/>
      <c r="WGX11" s="1202"/>
      <c r="WGY11" s="1202"/>
      <c r="WGZ11" s="1202"/>
      <c r="WHA11" s="1202"/>
      <c r="WHB11" s="1202"/>
      <c r="WHC11" s="1202"/>
      <c r="WHD11" s="1202"/>
      <c r="WHE11" s="1202"/>
      <c r="WHF11" s="1202"/>
      <c r="WHG11" s="1202"/>
      <c r="WHH11" s="1202"/>
      <c r="WHI11" s="1202"/>
      <c r="WHJ11" s="1202"/>
      <c r="WHK11" s="1202"/>
      <c r="WHL11" s="1202"/>
      <c r="WHM11" s="1202"/>
      <c r="WHN11" s="1202"/>
      <c r="WHO11" s="1202"/>
      <c r="WHP11" s="1202"/>
      <c r="WHQ11" s="1202"/>
      <c r="WHR11" s="1202"/>
      <c r="WHS11" s="1202"/>
      <c r="WHT11" s="1202"/>
      <c r="WHU11" s="1202"/>
      <c r="WHV11" s="1202"/>
      <c r="WHW11" s="1202"/>
      <c r="WHX11" s="1202"/>
      <c r="WHY11" s="1202"/>
      <c r="WHZ11" s="1202"/>
      <c r="WIA11" s="1202"/>
      <c r="WIB11" s="1202"/>
      <c r="WIC11" s="1202"/>
      <c r="WID11" s="1202"/>
      <c r="WIE11" s="1202"/>
      <c r="WIF11" s="1202"/>
      <c r="WIG11" s="1202"/>
      <c r="WIH11" s="1202"/>
      <c r="WII11" s="1202"/>
      <c r="WIJ11" s="1202"/>
      <c r="WIK11" s="1202"/>
      <c r="WIL11" s="1202"/>
      <c r="WIM11" s="1202"/>
      <c r="WIN11" s="1202"/>
      <c r="WIO11" s="1202"/>
      <c r="WIP11" s="1202"/>
      <c r="WIQ11" s="1202"/>
      <c r="WIR11" s="1202"/>
      <c r="WIS11" s="1202"/>
      <c r="WIT11" s="1202"/>
      <c r="WIU11" s="1202"/>
      <c r="WIV11" s="1202"/>
      <c r="WIW11" s="1202"/>
      <c r="WIX11" s="1202"/>
      <c r="WIY11" s="1202"/>
      <c r="WIZ11" s="1202"/>
      <c r="WJA11" s="1202"/>
      <c r="WJB11" s="1202"/>
      <c r="WJC11" s="1202"/>
      <c r="WJD11" s="1202"/>
      <c r="WJE11" s="1202"/>
      <c r="WJF11" s="1202"/>
      <c r="WJG11" s="1202"/>
      <c r="WJH11" s="1202"/>
      <c r="WJI11" s="1202"/>
      <c r="WJJ11" s="1202"/>
      <c r="WJK11" s="1202"/>
      <c r="WJL11" s="1202"/>
      <c r="WJM11" s="1202"/>
      <c r="WJN11" s="1202"/>
      <c r="WJO11" s="1202"/>
      <c r="WJP11" s="1202"/>
      <c r="WJQ11" s="1202"/>
      <c r="WJR11" s="1202"/>
      <c r="WJS11" s="1202"/>
      <c r="WJT11" s="1202"/>
      <c r="WJU11" s="1202"/>
      <c r="WJV11" s="1202"/>
      <c r="WJW11" s="1202"/>
      <c r="WJX11" s="1202"/>
      <c r="WJY11" s="1202"/>
      <c r="WJZ11" s="1202"/>
      <c r="WKA11" s="1202"/>
      <c r="WKB11" s="1202"/>
      <c r="WKC11" s="1202"/>
      <c r="WKD11" s="1202"/>
      <c r="WKE11" s="1202"/>
      <c r="WKF11" s="1202"/>
      <c r="WKG11" s="1202"/>
      <c r="WKH11" s="1202"/>
      <c r="WKI11" s="1202"/>
      <c r="WKJ11" s="1202"/>
      <c r="WKK11" s="1202"/>
      <c r="WKL11" s="1202"/>
      <c r="WKM11" s="1202"/>
      <c r="WKN11" s="1202"/>
      <c r="WKO11" s="1202"/>
      <c r="WKP11" s="1202"/>
      <c r="WKQ11" s="1202"/>
      <c r="WKR11" s="1202"/>
      <c r="WKS11" s="1202"/>
      <c r="WKT11" s="1202"/>
      <c r="WKU11" s="1202"/>
      <c r="WKV11" s="1202"/>
      <c r="WKW11" s="1202"/>
      <c r="WKX11" s="1202"/>
      <c r="WKY11" s="1202"/>
      <c r="WKZ11" s="1202"/>
      <c r="WLA11" s="1202"/>
      <c r="WLB11" s="1202"/>
      <c r="WLC11" s="1202"/>
      <c r="WLD11" s="1202"/>
      <c r="WLE11" s="1202"/>
      <c r="WLF11" s="1202"/>
      <c r="WLG11" s="1202"/>
      <c r="WLH11" s="1202"/>
      <c r="WLI11" s="1202"/>
      <c r="WLJ11" s="1202"/>
      <c r="WLK11" s="1202"/>
      <c r="WLL11" s="1202"/>
      <c r="WLM11" s="1202"/>
      <c r="WLN11" s="1202"/>
      <c r="WLO11" s="1202"/>
      <c r="WLP11" s="1202"/>
      <c r="WLQ11" s="1202"/>
      <c r="WLR11" s="1202"/>
      <c r="WLS11" s="1202"/>
      <c r="WLT11" s="1202"/>
      <c r="WLU11" s="1202"/>
      <c r="WLV11" s="1202"/>
      <c r="WLW11" s="1202"/>
      <c r="WLX11" s="1202"/>
      <c r="WLY11" s="1202"/>
      <c r="WLZ11" s="1202"/>
      <c r="WMA11" s="1202"/>
      <c r="WMB11" s="1202"/>
      <c r="WMC11" s="1202"/>
      <c r="WMD11" s="1202"/>
      <c r="WME11" s="1202"/>
      <c r="WMF11" s="1202"/>
      <c r="WMG11" s="1202"/>
      <c r="WMH11" s="1202"/>
      <c r="WMI11" s="1202"/>
      <c r="WMJ11" s="1202"/>
      <c r="WMK11" s="1202"/>
      <c r="WML11" s="1202"/>
      <c r="WMM11" s="1202"/>
      <c r="WMN11" s="1202"/>
      <c r="WMO11" s="1202"/>
      <c r="WMP11" s="1202"/>
      <c r="WMQ11" s="1202"/>
      <c r="WMR11" s="1202"/>
      <c r="WMS11" s="1202"/>
      <c r="WMT11" s="1202"/>
      <c r="WMU11" s="1202"/>
      <c r="WMV11" s="1202"/>
      <c r="WMW11" s="1202"/>
      <c r="WMX11" s="1202"/>
      <c r="WMY11" s="1202"/>
      <c r="WMZ11" s="1202"/>
      <c r="WNA11" s="1202"/>
      <c r="WNB11" s="1202"/>
      <c r="WNC11" s="1202"/>
      <c r="WND11" s="1202"/>
      <c r="WNE11" s="1202"/>
      <c r="WNF11" s="1202"/>
      <c r="WNG11" s="1202"/>
      <c r="WNH11" s="1202"/>
      <c r="WNI11" s="1202"/>
      <c r="WNJ11" s="1202"/>
      <c r="WNK11" s="1202"/>
      <c r="WNL11" s="1202"/>
      <c r="WNM11" s="1202"/>
      <c r="WNN11" s="1202"/>
      <c r="WNO11" s="1202"/>
      <c r="WNP11" s="1202"/>
      <c r="WNQ11" s="1202"/>
      <c r="WNR11" s="1202"/>
      <c r="WNS11" s="1202"/>
      <c r="WNT11" s="1202"/>
      <c r="WNU11" s="1202"/>
      <c r="WNV11" s="1202"/>
      <c r="WNW11" s="1202"/>
      <c r="WNX11" s="1202"/>
      <c r="WNY11" s="1202"/>
      <c r="WNZ11" s="1202"/>
      <c r="WOA11" s="1202"/>
      <c r="WOB11" s="1202"/>
      <c r="WOC11" s="1202"/>
      <c r="WOD11" s="1202"/>
      <c r="WOE11" s="1202"/>
      <c r="WOF11" s="1202"/>
      <c r="WOG11" s="1202"/>
      <c r="WOH11" s="1202"/>
      <c r="WOI11" s="1202"/>
      <c r="WOJ11" s="1202"/>
      <c r="WOK11" s="1202"/>
      <c r="WOL11" s="1202"/>
      <c r="WOM11" s="1202"/>
      <c r="WON11" s="1202"/>
      <c r="WOO11" s="1202"/>
      <c r="WOP11" s="1202"/>
      <c r="WOQ11" s="1202"/>
      <c r="WOR11" s="1202"/>
      <c r="WOS11" s="1202"/>
      <c r="WOT11" s="1202"/>
      <c r="WOU11" s="1202"/>
      <c r="WOV11" s="1202"/>
      <c r="WOW11" s="1202"/>
      <c r="WOX11" s="1202"/>
      <c r="WOY11" s="1202"/>
      <c r="WOZ11" s="1202"/>
      <c r="WPA11" s="1202"/>
      <c r="WPB11" s="1202"/>
      <c r="WPC11" s="1202"/>
      <c r="WPD11" s="1202"/>
      <c r="WPE11" s="1202"/>
      <c r="WPF11" s="1202"/>
      <c r="WPG11" s="1202"/>
      <c r="WPH11" s="1202"/>
      <c r="WPI11" s="1202"/>
      <c r="WPJ11" s="1202"/>
      <c r="WPK11" s="1202"/>
      <c r="WPL11" s="1202"/>
      <c r="WPM11" s="1202"/>
      <c r="WPN11" s="1202"/>
      <c r="WPO11" s="1202"/>
      <c r="WPP11" s="1202"/>
      <c r="WPQ11" s="1202"/>
      <c r="WPR11" s="1202"/>
      <c r="WPS11" s="1202"/>
      <c r="WPT11" s="1202"/>
      <c r="WPU11" s="1202"/>
      <c r="WPV11" s="1202"/>
      <c r="WPW11" s="1202"/>
      <c r="WPX11" s="1202"/>
      <c r="WPY11" s="1202"/>
      <c r="WPZ11" s="1202"/>
      <c r="WQA11" s="1202"/>
      <c r="WQB11" s="1202"/>
      <c r="WQC11" s="1202"/>
      <c r="WQD11" s="1202"/>
      <c r="WQE11" s="1202"/>
      <c r="WQF11" s="1202"/>
      <c r="WQG11" s="1202"/>
      <c r="WQH11" s="1202"/>
      <c r="WQI11" s="1202"/>
      <c r="WQJ11" s="1202"/>
      <c r="WQK11" s="1202"/>
      <c r="WQL11" s="1202"/>
      <c r="WQM11" s="1202"/>
      <c r="WQN11" s="1202"/>
      <c r="WQO11" s="1202"/>
      <c r="WQP11" s="1202"/>
      <c r="WQQ11" s="1202"/>
      <c r="WQR11" s="1202"/>
      <c r="WQS11" s="1202"/>
      <c r="WQT11" s="1202"/>
      <c r="WQU11" s="1202"/>
      <c r="WQV11" s="1202"/>
      <c r="WQW11" s="1202"/>
      <c r="WQX11" s="1202"/>
      <c r="WQY11" s="1202"/>
      <c r="WQZ11" s="1202"/>
      <c r="WRA11" s="1202"/>
      <c r="WRB11" s="1202"/>
      <c r="WRC11" s="1202"/>
      <c r="WRD11" s="1202"/>
      <c r="WRE11" s="1202"/>
      <c r="WRF11" s="1202"/>
      <c r="WRG11" s="1202"/>
      <c r="WRH11" s="1202"/>
      <c r="WRI11" s="1202"/>
      <c r="WRJ11" s="1202"/>
      <c r="WRK11" s="1202"/>
      <c r="WRL11" s="1202"/>
      <c r="WRM11" s="1202"/>
      <c r="WRN11" s="1202"/>
      <c r="WRO11" s="1202"/>
      <c r="WRP11" s="1202"/>
      <c r="WRQ11" s="1202"/>
      <c r="WRR11" s="1202"/>
      <c r="WRS11" s="1202"/>
      <c r="WRT11" s="1202"/>
      <c r="WRU11" s="1202"/>
      <c r="WRV11" s="1202"/>
      <c r="WRW11" s="1202"/>
      <c r="WRX11" s="1202"/>
      <c r="WRY11" s="1202"/>
      <c r="WRZ11" s="1202"/>
      <c r="WSA11" s="1202"/>
      <c r="WSB11" s="1202"/>
      <c r="WSC11" s="1202"/>
      <c r="WSD11" s="1202"/>
      <c r="WSE11" s="1202"/>
      <c r="WSF11" s="1202"/>
      <c r="WSG11" s="1202"/>
      <c r="WSH11" s="1202"/>
      <c r="WSI11" s="1202"/>
      <c r="WSJ11" s="1202"/>
      <c r="WSK11" s="1202"/>
      <c r="WSL11" s="1202"/>
      <c r="WSM11" s="1202"/>
      <c r="WSN11" s="1202"/>
      <c r="WSO11" s="1202"/>
      <c r="WSP11" s="1202"/>
      <c r="WSQ11" s="1202"/>
      <c r="WSR11" s="1202"/>
      <c r="WSS11" s="1202"/>
      <c r="WST11" s="1202"/>
      <c r="WSU11" s="1202"/>
      <c r="WSV11" s="1202"/>
      <c r="WSW11" s="1202"/>
      <c r="WSX11" s="1202"/>
      <c r="WSY11" s="1202"/>
      <c r="WSZ11" s="1202"/>
      <c r="WTA11" s="1202"/>
      <c r="WTB11" s="1202"/>
      <c r="WTC11" s="1202"/>
      <c r="WTD11" s="1202"/>
      <c r="WTE11" s="1202"/>
      <c r="WTF11" s="1202"/>
      <c r="WTG11" s="1202"/>
      <c r="WTH11" s="1202"/>
      <c r="WTI11" s="1202"/>
      <c r="WTJ11" s="1202"/>
      <c r="WTK11" s="1202"/>
      <c r="WTL11" s="1202"/>
      <c r="WTM11" s="1202"/>
      <c r="WTN11" s="1202"/>
      <c r="WTO11" s="1202"/>
      <c r="WTP11" s="1202"/>
      <c r="WTQ11" s="1202"/>
      <c r="WTR11" s="1202"/>
      <c r="WTS11" s="1202"/>
      <c r="WTT11" s="1202"/>
      <c r="WTU11" s="1202"/>
      <c r="WTV11" s="1202"/>
      <c r="WTW11" s="1202"/>
      <c r="WTX11" s="1202"/>
      <c r="WTY11" s="1202"/>
      <c r="WTZ11" s="1202"/>
      <c r="WUA11" s="1202"/>
      <c r="WUB11" s="1202"/>
      <c r="WUC11" s="1202"/>
      <c r="WUD11" s="1202"/>
      <c r="WUE11" s="1202"/>
      <c r="WUF11" s="1202"/>
      <c r="WUG11" s="1202"/>
      <c r="WUH11" s="1202"/>
      <c r="WUI11" s="1202"/>
      <c r="WUJ11" s="1202"/>
      <c r="WUK11" s="1202"/>
      <c r="WUL11" s="1202"/>
      <c r="WUM11" s="1202"/>
      <c r="WUN11" s="1202"/>
      <c r="WUO11" s="1202"/>
      <c r="WUP11" s="1202"/>
      <c r="WUQ11" s="1202"/>
      <c r="WUR11" s="1202"/>
      <c r="WUS11" s="1202"/>
      <c r="WUT11" s="1202"/>
      <c r="WUU11" s="1202"/>
      <c r="WUV11" s="1202"/>
      <c r="WUW11" s="1202"/>
      <c r="WUX11" s="1202"/>
      <c r="WUY11" s="1202"/>
      <c r="WUZ11" s="1202"/>
      <c r="WVA11" s="1202"/>
      <c r="WVB11" s="1202"/>
      <c r="WVC11" s="1202"/>
      <c r="WVD11" s="1202"/>
      <c r="WVE11" s="1202"/>
      <c r="WVF11" s="1202"/>
      <c r="WVG11" s="1202"/>
      <c r="WVH11" s="1202"/>
      <c r="WVI11" s="1202"/>
      <c r="WVJ11" s="1202"/>
      <c r="WVK11" s="1202"/>
      <c r="WVL11" s="1202"/>
      <c r="WVM11" s="1202"/>
      <c r="WVN11" s="1202"/>
      <c r="WVO11" s="1202"/>
      <c r="WVP11" s="1202"/>
      <c r="WVQ11" s="1202"/>
      <c r="WVR11" s="1202"/>
      <c r="WVS11" s="1202"/>
      <c r="WVT11" s="1202"/>
      <c r="WVU11" s="1202"/>
      <c r="WVV11" s="1202"/>
      <c r="WVW11" s="1202"/>
      <c r="WVX11" s="1202"/>
      <c r="WVY11" s="1202"/>
      <c r="WVZ11" s="1202"/>
      <c r="WWA11" s="1202"/>
      <c r="WWB11" s="1202"/>
      <c r="WWC11" s="1202"/>
      <c r="WWD11" s="1202"/>
      <c r="WWE11" s="1202"/>
      <c r="WWF11" s="1202"/>
      <c r="WWG11" s="1202"/>
      <c r="WWH11" s="1202"/>
      <c r="WWI11" s="1202"/>
      <c r="WWJ11" s="1202"/>
      <c r="WWK11" s="1202"/>
      <c r="WWL11" s="1202"/>
      <c r="WWM11" s="1202"/>
      <c r="WWN11" s="1202"/>
      <c r="WWO11" s="1202"/>
      <c r="WWP11" s="1202"/>
      <c r="WWQ11" s="1202"/>
      <c r="WWR11" s="1202"/>
      <c r="WWS11" s="1202"/>
      <c r="WWT11" s="1202"/>
      <c r="WWU11" s="1202"/>
      <c r="WWV11" s="1202"/>
      <c r="WWW11" s="1202"/>
      <c r="WWX11" s="1202"/>
      <c r="WWY11" s="1202"/>
      <c r="WWZ11" s="1202"/>
      <c r="WXA11" s="1202"/>
      <c r="WXB11" s="1202"/>
      <c r="WXC11" s="1202"/>
      <c r="WXD11" s="1202"/>
      <c r="WXE11" s="1202"/>
      <c r="WXF11" s="1202"/>
      <c r="WXG11" s="1202"/>
      <c r="WXH11" s="1202"/>
      <c r="WXI11" s="1202"/>
      <c r="WXJ11" s="1202"/>
      <c r="WXK11" s="1202"/>
      <c r="WXL11" s="1202"/>
      <c r="WXM11" s="1202"/>
      <c r="WXN11" s="1202"/>
      <c r="WXO11" s="1202"/>
      <c r="WXP11" s="1202"/>
      <c r="WXQ11" s="1202"/>
      <c r="WXR11" s="1202"/>
      <c r="WXS11" s="1202"/>
      <c r="WXT11" s="1202"/>
      <c r="WXU11" s="1202"/>
      <c r="WXV11" s="1202"/>
      <c r="WXW11" s="1202"/>
      <c r="WXX11" s="1202"/>
      <c r="WXY11" s="1202"/>
      <c r="WXZ11" s="1202"/>
      <c r="WYA11" s="1202"/>
      <c r="WYB11" s="1202"/>
      <c r="WYC11" s="1202"/>
      <c r="WYD11" s="1202"/>
      <c r="WYE11" s="1202"/>
      <c r="WYF11" s="1202"/>
      <c r="WYG11" s="1202"/>
      <c r="WYH11" s="1202"/>
      <c r="WYI11" s="1202"/>
      <c r="WYJ11" s="1202"/>
      <c r="WYK11" s="1202"/>
      <c r="WYL11" s="1202"/>
      <c r="WYM11" s="1202"/>
      <c r="WYN11" s="1202"/>
      <c r="WYO11" s="1202"/>
      <c r="WYP11" s="1202"/>
      <c r="WYQ11" s="1202"/>
      <c r="WYR11" s="1202"/>
      <c r="WYS11" s="1202"/>
      <c r="WYT11" s="1202"/>
      <c r="WYU11" s="1202"/>
      <c r="WYV11" s="1202"/>
      <c r="WYW11" s="1202"/>
      <c r="WYX11" s="1202"/>
      <c r="WYY11" s="1202"/>
      <c r="WYZ11" s="1202"/>
      <c r="WZA11" s="1202"/>
      <c r="WZB11" s="1202"/>
      <c r="WZC11" s="1202"/>
      <c r="WZD11" s="1202"/>
      <c r="WZE11" s="1202"/>
      <c r="WZF11" s="1202"/>
      <c r="WZG11" s="1202"/>
      <c r="WZH11" s="1202"/>
      <c r="WZI11" s="1202"/>
      <c r="WZJ11" s="1202"/>
      <c r="WZK11" s="1202"/>
      <c r="WZL11" s="1202"/>
      <c r="WZM11" s="1202"/>
      <c r="WZN11" s="1202"/>
      <c r="WZO11" s="1202"/>
      <c r="WZP11" s="1202"/>
      <c r="WZQ11" s="1202"/>
      <c r="WZR11" s="1202"/>
      <c r="WZS11" s="1202"/>
      <c r="WZT11" s="1202"/>
      <c r="WZU11" s="1202"/>
      <c r="WZV11" s="1202"/>
      <c r="WZW11" s="1202"/>
      <c r="WZX11" s="1202"/>
      <c r="WZY11" s="1202"/>
      <c r="WZZ11" s="1202"/>
      <c r="XAA11" s="1202"/>
      <c r="XAB11" s="1202"/>
      <c r="XAC11" s="1202"/>
      <c r="XAD11" s="1202"/>
      <c r="XAE11" s="1202"/>
      <c r="XAF11" s="1202"/>
      <c r="XAG11" s="1202"/>
      <c r="XAH11" s="1202"/>
      <c r="XAI11" s="1202"/>
      <c r="XAJ11" s="1202"/>
      <c r="XAK11" s="1202"/>
      <c r="XAL11" s="1202"/>
      <c r="XAM11" s="1202"/>
      <c r="XAN11" s="1202"/>
      <c r="XAO11" s="1202"/>
      <c r="XAP11" s="1202"/>
      <c r="XAQ11" s="1202"/>
      <c r="XAR11" s="1202"/>
      <c r="XAS11" s="1202"/>
      <c r="XAT11" s="1202"/>
      <c r="XAU11" s="1202"/>
      <c r="XAV11" s="1202"/>
      <c r="XAW11" s="1202"/>
      <c r="XAX11" s="1202"/>
      <c r="XAY11" s="1202"/>
      <c r="XAZ11" s="1202"/>
      <c r="XBA11" s="1202"/>
      <c r="XBB11" s="1202"/>
      <c r="XBC11" s="1202"/>
      <c r="XBD11" s="1202"/>
      <c r="XBE11" s="1202"/>
      <c r="XBF11" s="1202"/>
      <c r="XBG11" s="1202"/>
      <c r="XBH11" s="1202"/>
      <c r="XBI11" s="1202"/>
      <c r="XBJ11" s="1202"/>
      <c r="XBK11" s="1202"/>
      <c r="XBL11" s="1202"/>
      <c r="XBM11" s="1202"/>
      <c r="XBN11" s="1202"/>
      <c r="XBO11" s="1202"/>
      <c r="XBP11" s="1202"/>
      <c r="XBQ11" s="1202"/>
      <c r="XBR11" s="1202"/>
      <c r="XBS11" s="1202"/>
      <c r="XBT11" s="1202"/>
      <c r="XBU11" s="1202"/>
      <c r="XBV11" s="1202"/>
      <c r="XBW11" s="1202"/>
      <c r="XBX11" s="1202"/>
      <c r="XBY11" s="1202"/>
      <c r="XBZ11" s="1202"/>
      <c r="XCA11" s="1202"/>
      <c r="XCB11" s="1202"/>
      <c r="XCC11" s="1202"/>
      <c r="XCD11" s="1202"/>
      <c r="XCE11" s="1202"/>
      <c r="XCF11" s="1202"/>
      <c r="XCG11" s="1202"/>
      <c r="XCH11" s="1202"/>
      <c r="XCI11" s="1202"/>
      <c r="XCJ11" s="1202"/>
      <c r="XCK11" s="1202"/>
      <c r="XCL11" s="1202"/>
      <c r="XCM11" s="1202"/>
      <c r="XCN11" s="1202"/>
      <c r="XCO11" s="1202"/>
      <c r="XCP11" s="1202"/>
      <c r="XCQ11" s="1202"/>
      <c r="XCR11" s="1202"/>
      <c r="XCS11" s="1202"/>
      <c r="XCT11" s="1202"/>
      <c r="XCU11" s="1202"/>
      <c r="XCV11" s="1202"/>
      <c r="XCW11" s="1202"/>
      <c r="XCX11" s="1202"/>
      <c r="XCY11" s="1202"/>
      <c r="XCZ11" s="1202"/>
      <c r="XDA11" s="1202"/>
      <c r="XDB11" s="1202"/>
      <c r="XDC11" s="1202"/>
      <c r="XDD11" s="1202"/>
      <c r="XDE11" s="1202"/>
      <c r="XDF11" s="1202"/>
      <c r="XDG11" s="1202"/>
      <c r="XDH11" s="1202"/>
      <c r="XDI11" s="1202"/>
      <c r="XDJ11" s="1202"/>
      <c r="XDK11" s="1202"/>
      <c r="XDL11" s="1202"/>
      <c r="XDM11" s="1202"/>
      <c r="XDN11" s="1202"/>
      <c r="XDO11" s="1202"/>
      <c r="XDP11" s="1202"/>
      <c r="XDQ11" s="1202"/>
      <c r="XDR11" s="1202"/>
      <c r="XDS11" s="1202"/>
      <c r="XDT11" s="1202"/>
      <c r="XDU11" s="1202"/>
      <c r="XDV11" s="1202"/>
      <c r="XDW11" s="1202"/>
      <c r="XDX11" s="1202"/>
      <c r="XDY11" s="1202"/>
      <c r="XDZ11" s="1202"/>
      <c r="XEA11" s="1202"/>
      <c r="XEB11" s="1202"/>
      <c r="XEC11" s="1202"/>
      <c r="XED11" s="1202"/>
      <c r="XEE11" s="1202"/>
      <c r="XEF11" s="1202"/>
      <c r="XEG11" s="1202"/>
      <c r="XEH11" s="1202"/>
      <c r="XEI11" s="1202"/>
      <c r="XEJ11" s="1202"/>
      <c r="XEK11" s="1202"/>
      <c r="XEL11" s="1202"/>
      <c r="XEM11" s="1202"/>
      <c r="XEN11" s="1202"/>
      <c r="XEO11" s="1202"/>
      <c r="XEP11" s="1202"/>
      <c r="XEQ11" s="1202"/>
      <c r="XER11" s="1202"/>
      <c r="XES11" s="1202"/>
      <c r="XET11" s="1202"/>
      <c r="XEU11" s="1202"/>
      <c r="XEV11" s="1202"/>
      <c r="XEW11" s="1202"/>
      <c r="XEX11" s="1202"/>
      <c r="XEY11" s="1202"/>
      <c r="XEZ11" s="1202"/>
      <c r="XFA11" s="1202"/>
      <c r="XFB11" s="1202"/>
    </row>
    <row r="12" spans="1:16382" ht="37.5" customHeight="1" x14ac:dyDescent="0.25">
      <c r="A12" s="1409"/>
      <c r="B12" s="1409"/>
      <c r="C12" s="1409"/>
      <c r="D12" s="1409"/>
      <c r="E12" s="1247"/>
      <c r="F12" s="1248" t="s">
        <v>1794</v>
      </c>
      <c r="G12" s="111"/>
      <c r="H12" s="1249">
        <v>2</v>
      </c>
      <c r="I12" s="111" t="s">
        <v>1721</v>
      </c>
      <c r="J12" s="1321" t="s">
        <v>5608</v>
      </c>
      <c r="K12" s="162" t="s">
        <v>5610</v>
      </c>
      <c r="L12" s="162" t="s">
        <v>5609</v>
      </c>
      <c r="M12" s="111">
        <v>3694.8450000000003</v>
      </c>
      <c r="N12" s="111">
        <v>7389.6900000000005</v>
      </c>
      <c r="O12" s="111"/>
      <c r="P12" s="111"/>
      <c r="Q12" s="111"/>
      <c r="R12" s="111"/>
      <c r="S12" s="1249">
        <v>0</v>
      </c>
      <c r="T12" s="1250">
        <v>2463.23</v>
      </c>
      <c r="U12" s="1250"/>
      <c r="V12" s="1250"/>
      <c r="W12" s="1251">
        <v>0</v>
      </c>
      <c r="X12" s="1250">
        <v>2463.23</v>
      </c>
      <c r="Y12" s="1250"/>
      <c r="Z12" s="1250"/>
      <c r="AA12" s="1250"/>
      <c r="AB12" s="1250"/>
      <c r="AC12" s="1250"/>
      <c r="AD12" s="1250"/>
      <c r="AE12" s="1249">
        <v>0</v>
      </c>
      <c r="AF12" s="1250">
        <v>2463.23</v>
      </c>
      <c r="AG12" s="111"/>
      <c r="AH12" s="111"/>
      <c r="AI12" s="111"/>
      <c r="AJ12" s="111"/>
      <c r="AK12" s="111"/>
      <c r="AL12" s="111"/>
      <c r="AM12" s="111">
        <v>7389.6900000000005</v>
      </c>
    </row>
    <row r="13" spans="1:16382" ht="15" customHeight="1" x14ac:dyDescent="0.25">
      <c r="A13" s="1409"/>
      <c r="B13" s="1409"/>
      <c r="C13" s="1409"/>
      <c r="D13" s="1409"/>
      <c r="E13" s="1247"/>
      <c r="F13" s="1248" t="s">
        <v>4365</v>
      </c>
      <c r="G13" s="111"/>
      <c r="H13" s="1249">
        <v>1</v>
      </c>
      <c r="I13" s="111" t="s">
        <v>1721</v>
      </c>
      <c r="J13" s="1321" t="s">
        <v>5608</v>
      </c>
      <c r="K13" s="162" t="s">
        <v>5610</v>
      </c>
      <c r="L13" s="162" t="s">
        <v>5609</v>
      </c>
      <c r="M13" s="111">
        <v>4988</v>
      </c>
      <c r="N13" s="111">
        <v>4988</v>
      </c>
      <c r="O13" s="111"/>
      <c r="P13" s="111"/>
      <c r="Q13" s="111"/>
      <c r="R13" s="111"/>
      <c r="S13" s="1249">
        <v>0</v>
      </c>
      <c r="T13" s="1250">
        <v>1662.6666666666667</v>
      </c>
      <c r="U13" s="1250"/>
      <c r="V13" s="1250"/>
      <c r="W13" s="1251">
        <v>0</v>
      </c>
      <c r="X13" s="1250">
        <v>1662.6666666666667</v>
      </c>
      <c r="Y13" s="1250"/>
      <c r="Z13" s="1250"/>
      <c r="AA13" s="1250"/>
      <c r="AB13" s="1250"/>
      <c r="AC13" s="1250"/>
      <c r="AD13" s="1250"/>
      <c r="AE13" s="1249">
        <v>0</v>
      </c>
      <c r="AF13" s="1250">
        <v>1662.6666666666667</v>
      </c>
      <c r="AG13" s="111"/>
      <c r="AH13" s="111"/>
      <c r="AI13" s="111"/>
      <c r="AJ13" s="111"/>
      <c r="AK13" s="111"/>
      <c r="AL13" s="111"/>
      <c r="AM13" s="111">
        <v>4988</v>
      </c>
    </row>
    <row r="14" spans="1:16382" ht="15" customHeight="1" x14ac:dyDescent="0.25">
      <c r="A14" s="1409"/>
      <c r="B14" s="1409"/>
      <c r="C14" s="1409"/>
      <c r="D14" s="1409"/>
      <c r="E14" s="1247"/>
      <c r="F14" s="1248" t="s">
        <v>4366</v>
      </c>
      <c r="G14" s="111"/>
      <c r="H14" s="1249">
        <v>1</v>
      </c>
      <c r="I14" s="111" t="s">
        <v>1721</v>
      </c>
      <c r="J14" s="1321" t="s">
        <v>5608</v>
      </c>
      <c r="K14" s="162" t="s">
        <v>5610</v>
      </c>
      <c r="L14" s="162" t="s">
        <v>5609</v>
      </c>
      <c r="M14" s="111">
        <v>356.11999999999995</v>
      </c>
      <c r="N14" s="111">
        <v>356.11999999999995</v>
      </c>
      <c r="O14" s="111"/>
      <c r="P14" s="111"/>
      <c r="Q14" s="111"/>
      <c r="R14" s="111"/>
      <c r="S14" s="1249">
        <v>0</v>
      </c>
      <c r="T14" s="1250">
        <v>118.70666666666665</v>
      </c>
      <c r="U14" s="1250"/>
      <c r="V14" s="1250"/>
      <c r="W14" s="1251">
        <v>0</v>
      </c>
      <c r="X14" s="1250">
        <v>118.70666666666665</v>
      </c>
      <c r="Y14" s="1250"/>
      <c r="Z14" s="1250"/>
      <c r="AA14" s="1250"/>
      <c r="AB14" s="1250"/>
      <c r="AC14" s="1250"/>
      <c r="AD14" s="1250"/>
      <c r="AE14" s="1249">
        <v>0</v>
      </c>
      <c r="AF14" s="1250">
        <v>118.70666666666665</v>
      </c>
      <c r="AG14" s="111"/>
      <c r="AH14" s="111"/>
      <c r="AI14" s="111"/>
      <c r="AJ14" s="111"/>
      <c r="AK14" s="111"/>
      <c r="AL14" s="111"/>
      <c r="AM14" s="111">
        <v>356.11999999999995</v>
      </c>
    </row>
    <row r="15" spans="1:16382" ht="15" customHeight="1" x14ac:dyDescent="0.25">
      <c r="A15" s="1409"/>
      <c r="B15" s="1409"/>
      <c r="C15" s="1409"/>
      <c r="D15" s="1409"/>
      <c r="E15" s="1247"/>
      <c r="F15" s="1248" t="s">
        <v>4367</v>
      </c>
      <c r="G15" s="111"/>
      <c r="H15" s="1249">
        <v>1</v>
      </c>
      <c r="I15" s="111" t="s">
        <v>1997</v>
      </c>
      <c r="J15" s="1321" t="s">
        <v>5608</v>
      </c>
      <c r="K15" s="162" t="s">
        <v>5610</v>
      </c>
      <c r="L15" s="162" t="s">
        <v>5609</v>
      </c>
      <c r="M15" s="111">
        <v>1531.1999999999998</v>
      </c>
      <c r="N15" s="111">
        <v>1531.1999999999998</v>
      </c>
      <c r="O15" s="111"/>
      <c r="P15" s="111"/>
      <c r="Q15" s="111"/>
      <c r="R15" s="111"/>
      <c r="S15" s="1249">
        <v>0</v>
      </c>
      <c r="T15" s="1250">
        <v>510.39999999999992</v>
      </c>
      <c r="U15" s="1250"/>
      <c r="V15" s="1250"/>
      <c r="W15" s="1251">
        <v>0</v>
      </c>
      <c r="X15" s="1250">
        <v>510.39999999999992</v>
      </c>
      <c r="Y15" s="1250"/>
      <c r="Z15" s="1250"/>
      <c r="AA15" s="1250"/>
      <c r="AB15" s="1250"/>
      <c r="AC15" s="1250"/>
      <c r="AD15" s="1250"/>
      <c r="AE15" s="1249">
        <v>0</v>
      </c>
      <c r="AF15" s="1250">
        <v>510.39999999999992</v>
      </c>
      <c r="AG15" s="111"/>
      <c r="AH15" s="111"/>
      <c r="AI15" s="111"/>
      <c r="AJ15" s="111"/>
      <c r="AK15" s="111"/>
      <c r="AL15" s="111"/>
      <c r="AM15" s="111">
        <v>1531.1999999999998</v>
      </c>
    </row>
    <row r="16" spans="1:16382" ht="15" customHeight="1" x14ac:dyDescent="0.25">
      <c r="A16" s="1409"/>
      <c r="B16" s="1409"/>
      <c r="C16" s="1409"/>
      <c r="D16" s="1409"/>
      <c r="E16" s="1247"/>
      <c r="F16" s="1248" t="s">
        <v>4368</v>
      </c>
      <c r="G16" s="111"/>
      <c r="H16" s="1249">
        <v>10</v>
      </c>
      <c r="I16" s="111" t="s">
        <v>1725</v>
      </c>
      <c r="J16" s="1321" t="s">
        <v>5608</v>
      </c>
      <c r="K16" s="162" t="s">
        <v>5610</v>
      </c>
      <c r="L16" s="162" t="s">
        <v>5609</v>
      </c>
      <c r="M16" s="111">
        <v>803.88</v>
      </c>
      <c r="N16" s="111">
        <v>8038.8</v>
      </c>
      <c r="O16" s="111"/>
      <c r="P16" s="111"/>
      <c r="Q16" s="111"/>
      <c r="R16" s="111"/>
      <c r="S16" s="1249">
        <v>0</v>
      </c>
      <c r="T16" s="1250">
        <v>2679.6</v>
      </c>
      <c r="U16" s="1250"/>
      <c r="V16" s="1250"/>
      <c r="W16" s="1251">
        <v>0</v>
      </c>
      <c r="X16" s="1250">
        <v>2679.6</v>
      </c>
      <c r="Y16" s="1250"/>
      <c r="Z16" s="1250"/>
      <c r="AA16" s="1250"/>
      <c r="AB16" s="1250"/>
      <c r="AC16" s="1250"/>
      <c r="AD16" s="1250"/>
      <c r="AE16" s="1249">
        <v>0</v>
      </c>
      <c r="AF16" s="1250">
        <v>2679.6</v>
      </c>
      <c r="AG16" s="111"/>
      <c r="AH16" s="111"/>
      <c r="AI16" s="111"/>
      <c r="AJ16" s="111"/>
      <c r="AK16" s="111"/>
      <c r="AL16" s="111"/>
      <c r="AM16" s="111">
        <v>8038.8</v>
      </c>
    </row>
    <row r="17" spans="1:39" ht="15" customHeight="1" x14ac:dyDescent="0.25">
      <c r="A17" s="1409"/>
      <c r="B17" s="1409"/>
      <c r="C17" s="1409"/>
      <c r="D17" s="1409"/>
      <c r="E17" s="1247"/>
      <c r="F17" s="1248" t="s">
        <v>4369</v>
      </c>
      <c r="G17" s="111"/>
      <c r="H17" s="1249">
        <v>10</v>
      </c>
      <c r="I17" s="111" t="s">
        <v>2196</v>
      </c>
      <c r="J17" s="1321" t="s">
        <v>5608</v>
      </c>
      <c r="K17" s="162" t="s">
        <v>5610</v>
      </c>
      <c r="L17" s="162" t="s">
        <v>5609</v>
      </c>
      <c r="M17" s="111">
        <v>741.2399999999999</v>
      </c>
      <c r="N17" s="111">
        <v>7412.3999999999987</v>
      </c>
      <c r="O17" s="111"/>
      <c r="P17" s="111"/>
      <c r="Q17" s="111"/>
      <c r="R17" s="111"/>
      <c r="S17" s="1249">
        <v>0</v>
      </c>
      <c r="T17" s="1250">
        <v>2470.7999999999997</v>
      </c>
      <c r="U17" s="1250"/>
      <c r="V17" s="1250"/>
      <c r="W17" s="1251">
        <v>0</v>
      </c>
      <c r="X17" s="1250">
        <v>2470.7999999999997</v>
      </c>
      <c r="Y17" s="1250"/>
      <c r="Z17" s="1250"/>
      <c r="AA17" s="1250"/>
      <c r="AB17" s="1250"/>
      <c r="AC17" s="1250"/>
      <c r="AD17" s="1250"/>
      <c r="AE17" s="1249">
        <v>0</v>
      </c>
      <c r="AF17" s="1250">
        <v>2470.7999999999997</v>
      </c>
      <c r="AG17" s="111"/>
      <c r="AH17" s="111"/>
      <c r="AI17" s="111"/>
      <c r="AJ17" s="111"/>
      <c r="AK17" s="111"/>
      <c r="AL17" s="111"/>
      <c r="AM17" s="111">
        <v>7412.3999999999987</v>
      </c>
    </row>
    <row r="18" spans="1:39" ht="15" customHeight="1" x14ac:dyDescent="0.25">
      <c r="A18" s="1409"/>
      <c r="B18" s="1409"/>
      <c r="C18" s="1409"/>
      <c r="D18" s="1409"/>
      <c r="E18" s="1247"/>
      <c r="F18" s="1248" t="s">
        <v>4370</v>
      </c>
      <c r="G18" s="111"/>
      <c r="H18" s="1249">
        <v>10</v>
      </c>
      <c r="I18" s="111" t="s">
        <v>1725</v>
      </c>
      <c r="J18" s="1321" t="s">
        <v>5608</v>
      </c>
      <c r="K18" s="162" t="s">
        <v>5610</v>
      </c>
      <c r="L18" s="162" t="s">
        <v>5609</v>
      </c>
      <c r="M18" s="111">
        <v>371.2</v>
      </c>
      <c r="N18" s="111">
        <v>3712</v>
      </c>
      <c r="O18" s="111"/>
      <c r="P18" s="111"/>
      <c r="Q18" s="111"/>
      <c r="R18" s="111"/>
      <c r="S18" s="1249">
        <v>0</v>
      </c>
      <c r="T18" s="1250">
        <v>1237.3333333333333</v>
      </c>
      <c r="U18" s="1250"/>
      <c r="V18" s="1250"/>
      <c r="W18" s="1251">
        <v>0</v>
      </c>
      <c r="X18" s="1250">
        <v>1237.3333333333333</v>
      </c>
      <c r="Y18" s="1250"/>
      <c r="Z18" s="1250"/>
      <c r="AA18" s="1250"/>
      <c r="AB18" s="1250"/>
      <c r="AC18" s="1250"/>
      <c r="AD18" s="1250"/>
      <c r="AE18" s="1249">
        <v>0</v>
      </c>
      <c r="AF18" s="1250">
        <v>1237.3333333333333</v>
      </c>
      <c r="AG18" s="111"/>
      <c r="AH18" s="111"/>
      <c r="AI18" s="111"/>
      <c r="AJ18" s="111"/>
      <c r="AK18" s="111"/>
      <c r="AL18" s="111"/>
      <c r="AM18" s="111">
        <v>3712</v>
      </c>
    </row>
    <row r="19" spans="1:39" ht="15" customHeight="1" x14ac:dyDescent="0.25">
      <c r="A19" s="1409"/>
      <c r="B19" s="1409"/>
      <c r="C19" s="1409"/>
      <c r="D19" s="1409"/>
      <c r="E19" s="1247"/>
      <c r="F19" s="1248" t="s">
        <v>4371</v>
      </c>
      <c r="G19" s="111"/>
      <c r="H19" s="1249">
        <v>10</v>
      </c>
      <c r="I19" s="111" t="s">
        <v>1734</v>
      </c>
      <c r="J19" s="1321" t="s">
        <v>5608</v>
      </c>
      <c r="K19" s="162" t="s">
        <v>5610</v>
      </c>
      <c r="L19" s="162" t="s">
        <v>5609</v>
      </c>
      <c r="M19" s="111">
        <v>368.88</v>
      </c>
      <c r="N19" s="111">
        <v>3688.8</v>
      </c>
      <c r="O19" s="111"/>
      <c r="P19" s="111"/>
      <c r="Q19" s="111"/>
      <c r="R19" s="111"/>
      <c r="S19" s="1249">
        <v>0</v>
      </c>
      <c r="T19" s="1250">
        <v>1229.6000000000001</v>
      </c>
      <c r="U19" s="1250"/>
      <c r="V19" s="1250"/>
      <c r="W19" s="1251">
        <v>0</v>
      </c>
      <c r="X19" s="1250">
        <v>1229.6000000000001</v>
      </c>
      <c r="Y19" s="1250"/>
      <c r="Z19" s="1250"/>
      <c r="AA19" s="1250"/>
      <c r="AB19" s="1250"/>
      <c r="AC19" s="1250"/>
      <c r="AD19" s="1250"/>
      <c r="AE19" s="1249">
        <v>0</v>
      </c>
      <c r="AF19" s="1250">
        <v>1229.6000000000001</v>
      </c>
      <c r="AG19" s="111"/>
      <c r="AH19" s="111"/>
      <c r="AI19" s="111"/>
      <c r="AJ19" s="111"/>
      <c r="AK19" s="111"/>
      <c r="AL19" s="111"/>
      <c r="AM19" s="111">
        <v>3688.8</v>
      </c>
    </row>
    <row r="20" spans="1:39" ht="15" customHeight="1" x14ac:dyDescent="0.25">
      <c r="A20" s="1409"/>
      <c r="B20" s="1409"/>
      <c r="C20" s="1409"/>
      <c r="D20" s="1409"/>
      <c r="E20" s="1247"/>
      <c r="F20" s="1248" t="s">
        <v>4372</v>
      </c>
      <c r="G20" s="111"/>
      <c r="H20" s="1249">
        <v>5</v>
      </c>
      <c r="I20" s="111" t="s">
        <v>1734</v>
      </c>
      <c r="J20" s="1321" t="s">
        <v>5608</v>
      </c>
      <c r="K20" s="162" t="s">
        <v>5610</v>
      </c>
      <c r="L20" s="162" t="s">
        <v>5609</v>
      </c>
      <c r="M20" s="111">
        <v>242.43999999999997</v>
      </c>
      <c r="N20" s="111">
        <v>1212.1999999999998</v>
      </c>
      <c r="O20" s="111"/>
      <c r="P20" s="111"/>
      <c r="Q20" s="111"/>
      <c r="R20" s="111"/>
      <c r="S20" s="1249">
        <v>0</v>
      </c>
      <c r="T20" s="1250">
        <v>404.06666666666661</v>
      </c>
      <c r="U20" s="1250"/>
      <c r="V20" s="1250"/>
      <c r="W20" s="1251">
        <v>0</v>
      </c>
      <c r="X20" s="1250">
        <v>404.06666666666661</v>
      </c>
      <c r="Y20" s="1250"/>
      <c r="Z20" s="1250"/>
      <c r="AA20" s="1250"/>
      <c r="AB20" s="1250"/>
      <c r="AC20" s="1250"/>
      <c r="AD20" s="1250"/>
      <c r="AE20" s="1249">
        <v>0</v>
      </c>
      <c r="AF20" s="1250">
        <v>404.06666666666661</v>
      </c>
      <c r="AG20" s="111"/>
      <c r="AH20" s="111"/>
      <c r="AI20" s="111"/>
      <c r="AJ20" s="111"/>
      <c r="AK20" s="111"/>
      <c r="AL20" s="111"/>
      <c r="AM20" s="111">
        <v>1212.1999999999998</v>
      </c>
    </row>
    <row r="21" spans="1:39" ht="15" customHeight="1" x14ac:dyDescent="0.25">
      <c r="A21" s="1409"/>
      <c r="B21" s="1409"/>
      <c r="C21" s="1409"/>
      <c r="D21" s="1409"/>
      <c r="E21" s="1247"/>
      <c r="F21" s="1248" t="s">
        <v>4373</v>
      </c>
      <c r="G21" s="111"/>
      <c r="H21" s="1249">
        <v>1</v>
      </c>
      <c r="I21" s="111" t="s">
        <v>1721</v>
      </c>
      <c r="J21" s="1321" t="s">
        <v>5608</v>
      </c>
      <c r="K21" s="162" t="s">
        <v>5610</v>
      </c>
      <c r="L21" s="162" t="s">
        <v>5609</v>
      </c>
      <c r="M21" s="111">
        <v>1071.56</v>
      </c>
      <c r="N21" s="111">
        <v>1071.56</v>
      </c>
      <c r="O21" s="111"/>
      <c r="P21" s="111"/>
      <c r="Q21" s="111"/>
      <c r="R21" s="111"/>
      <c r="S21" s="1249">
        <v>1</v>
      </c>
      <c r="T21" s="1250">
        <v>357.18666666666667</v>
      </c>
      <c r="U21" s="1250"/>
      <c r="V21" s="1250"/>
      <c r="W21" s="1251">
        <v>0</v>
      </c>
      <c r="X21" s="1250">
        <v>357.18666666666667</v>
      </c>
      <c r="Y21" s="1250"/>
      <c r="Z21" s="1250"/>
      <c r="AA21" s="1250"/>
      <c r="AB21" s="1250"/>
      <c r="AC21" s="1250"/>
      <c r="AD21" s="1250"/>
      <c r="AE21" s="1249">
        <v>0</v>
      </c>
      <c r="AF21" s="1250">
        <v>357.18666666666667</v>
      </c>
      <c r="AG21" s="111"/>
      <c r="AH21" s="111"/>
      <c r="AI21" s="111"/>
      <c r="AJ21" s="111"/>
      <c r="AK21" s="111"/>
      <c r="AL21" s="111"/>
      <c r="AM21" s="111">
        <v>1071.56</v>
      </c>
    </row>
    <row r="22" spans="1:39" ht="15" customHeight="1" x14ac:dyDescent="0.25">
      <c r="A22" s="1409"/>
      <c r="B22" s="1409"/>
      <c r="C22" s="1409"/>
      <c r="D22" s="1409"/>
      <c r="E22" s="1252"/>
      <c r="F22" s="1248" t="s">
        <v>4374</v>
      </c>
      <c r="G22" s="111"/>
      <c r="H22" s="1249">
        <v>2</v>
      </c>
      <c r="I22" s="111" t="s">
        <v>1721</v>
      </c>
      <c r="J22" s="1321" t="s">
        <v>5608</v>
      </c>
      <c r="K22" s="162" t="s">
        <v>5610</v>
      </c>
      <c r="L22" s="162" t="s">
        <v>5609</v>
      </c>
      <c r="M22" s="111">
        <v>819.72</v>
      </c>
      <c r="N22" s="111">
        <v>1639.44</v>
      </c>
      <c r="O22" s="111"/>
      <c r="P22" s="111"/>
      <c r="Q22" s="111"/>
      <c r="R22" s="111"/>
      <c r="S22" s="1249">
        <v>1</v>
      </c>
      <c r="T22" s="1250">
        <v>546.48</v>
      </c>
      <c r="U22" s="1250"/>
      <c r="V22" s="1250"/>
      <c r="W22" s="1251">
        <v>0</v>
      </c>
      <c r="X22" s="1250">
        <v>546.48</v>
      </c>
      <c r="Y22" s="1250"/>
      <c r="Z22" s="1250"/>
      <c r="AA22" s="1250"/>
      <c r="AB22" s="1250"/>
      <c r="AC22" s="1250"/>
      <c r="AD22" s="1250"/>
      <c r="AE22" s="1249">
        <v>0</v>
      </c>
      <c r="AF22" s="1250">
        <v>546.48</v>
      </c>
      <c r="AG22" s="111"/>
      <c r="AH22" s="111"/>
      <c r="AI22" s="111"/>
      <c r="AJ22" s="111"/>
      <c r="AK22" s="111"/>
      <c r="AL22" s="111"/>
      <c r="AM22" s="111">
        <v>1639.44</v>
      </c>
    </row>
    <row r="23" spans="1:39" ht="15" customHeight="1" x14ac:dyDescent="0.25">
      <c r="A23" s="1409"/>
      <c r="B23" s="1409"/>
      <c r="C23" s="1409"/>
      <c r="D23" s="1409"/>
      <c r="E23" s="1253">
        <v>21102</v>
      </c>
      <c r="F23" s="1314" t="s">
        <v>14</v>
      </c>
      <c r="G23" s="1254"/>
      <c r="H23" s="1255"/>
      <c r="I23" s="1254"/>
      <c r="J23" s="1254"/>
      <c r="K23" s="1254"/>
      <c r="L23" s="1325"/>
      <c r="M23" s="1254"/>
      <c r="N23" s="1254"/>
      <c r="O23" s="1254"/>
      <c r="P23" s="1254"/>
      <c r="Q23" s="1254"/>
      <c r="R23" s="1254"/>
      <c r="S23" s="1255"/>
      <c r="T23" s="1256"/>
      <c r="U23" s="1256"/>
      <c r="V23" s="1256"/>
      <c r="W23" s="1257"/>
      <c r="X23" s="1256"/>
      <c r="Y23" s="1256"/>
      <c r="Z23" s="1256"/>
      <c r="AA23" s="1256"/>
      <c r="AB23" s="1256"/>
      <c r="AC23" s="1256"/>
      <c r="AD23" s="1256"/>
      <c r="AE23" s="1255"/>
      <c r="AF23" s="1256"/>
      <c r="AG23" s="1254"/>
      <c r="AH23" s="1254"/>
      <c r="AI23" s="1254"/>
      <c r="AJ23" s="1254"/>
      <c r="AK23" s="1254"/>
      <c r="AL23" s="1254"/>
      <c r="AM23" s="1254"/>
    </row>
    <row r="24" spans="1:39" ht="15" customHeight="1" x14ac:dyDescent="0.25">
      <c r="A24" s="1409"/>
      <c r="B24" s="1409"/>
      <c r="C24" s="1409"/>
      <c r="D24" s="1409"/>
      <c r="E24" s="1247"/>
      <c r="F24" s="1248" t="s">
        <v>15</v>
      </c>
      <c r="G24" s="111"/>
      <c r="H24" s="1249">
        <v>6</v>
      </c>
      <c r="I24" s="111" t="s">
        <v>1721</v>
      </c>
      <c r="J24" s="1321" t="s">
        <v>5608</v>
      </c>
      <c r="K24" s="162" t="s">
        <v>5610</v>
      </c>
      <c r="L24" s="162" t="s">
        <v>5609</v>
      </c>
      <c r="M24" s="111">
        <v>236.42666666666665</v>
      </c>
      <c r="N24" s="111">
        <v>1418.56</v>
      </c>
      <c r="O24" s="111"/>
      <c r="P24" s="111"/>
      <c r="Q24" s="111"/>
      <c r="R24" s="111"/>
      <c r="S24" s="1249">
        <v>2</v>
      </c>
      <c r="T24" s="1250">
        <v>472.8533333333333</v>
      </c>
      <c r="U24" s="1250"/>
      <c r="V24" s="1250"/>
      <c r="W24" s="1251">
        <v>2</v>
      </c>
      <c r="X24" s="1250">
        <v>472.8533333333333</v>
      </c>
      <c r="Y24" s="1250"/>
      <c r="Z24" s="1250"/>
      <c r="AA24" s="1250"/>
      <c r="AB24" s="1250"/>
      <c r="AC24" s="1250"/>
      <c r="AD24" s="1250"/>
      <c r="AE24" s="1249">
        <v>2</v>
      </c>
      <c r="AF24" s="1250">
        <v>472.8533333333333</v>
      </c>
      <c r="AG24" s="111"/>
      <c r="AH24" s="111"/>
      <c r="AI24" s="111"/>
      <c r="AJ24" s="111"/>
      <c r="AK24" s="111"/>
      <c r="AL24" s="111"/>
      <c r="AM24" s="111">
        <v>1418.56</v>
      </c>
    </row>
    <row r="25" spans="1:39" ht="15" customHeight="1" x14ac:dyDescent="0.25">
      <c r="A25" s="1409"/>
      <c r="B25" s="1409"/>
      <c r="C25" s="1409"/>
      <c r="D25" s="1409"/>
      <c r="E25" s="1247"/>
      <c r="F25" s="1248" t="s">
        <v>2492</v>
      </c>
      <c r="G25" s="111"/>
      <c r="H25" s="1249">
        <v>1</v>
      </c>
      <c r="I25" s="111" t="s">
        <v>1721</v>
      </c>
      <c r="J25" s="1321" t="s">
        <v>5608</v>
      </c>
      <c r="K25" s="162" t="s">
        <v>5610</v>
      </c>
      <c r="L25" s="162" t="s">
        <v>5609</v>
      </c>
      <c r="M25" s="111">
        <v>268.73</v>
      </c>
      <c r="N25" s="111">
        <v>268.73</v>
      </c>
      <c r="O25" s="111"/>
      <c r="P25" s="111"/>
      <c r="Q25" s="111"/>
      <c r="R25" s="111"/>
      <c r="S25" s="1249">
        <v>1</v>
      </c>
      <c r="T25" s="1250">
        <v>89.576666666666668</v>
      </c>
      <c r="U25" s="1250"/>
      <c r="V25" s="1250"/>
      <c r="W25" s="1251">
        <v>0</v>
      </c>
      <c r="X25" s="1250">
        <v>89.576666666666668</v>
      </c>
      <c r="Y25" s="1250"/>
      <c r="Z25" s="1250"/>
      <c r="AA25" s="1250"/>
      <c r="AB25" s="1250"/>
      <c r="AC25" s="1250"/>
      <c r="AD25" s="1250"/>
      <c r="AE25" s="1249">
        <v>0</v>
      </c>
      <c r="AF25" s="1250">
        <v>89.576666666666668</v>
      </c>
      <c r="AG25" s="111"/>
      <c r="AH25" s="111"/>
      <c r="AI25" s="111"/>
      <c r="AJ25" s="111"/>
      <c r="AK25" s="111"/>
      <c r="AL25" s="111"/>
      <c r="AM25" s="111">
        <v>268.73</v>
      </c>
    </row>
    <row r="26" spans="1:39" ht="15" customHeight="1" x14ac:dyDescent="0.25">
      <c r="A26" s="1409"/>
      <c r="B26" s="1409"/>
      <c r="C26" s="1409"/>
      <c r="D26" s="1409"/>
      <c r="E26" s="1247"/>
      <c r="F26" s="1248" t="s">
        <v>16</v>
      </c>
      <c r="G26" s="111"/>
      <c r="H26" s="1249">
        <v>6</v>
      </c>
      <c r="I26" s="111" t="s">
        <v>1721</v>
      </c>
      <c r="J26" s="1321" t="s">
        <v>5608</v>
      </c>
      <c r="K26" s="162" t="s">
        <v>5610</v>
      </c>
      <c r="L26" s="162" t="s">
        <v>5609</v>
      </c>
      <c r="M26" s="111">
        <v>268.72560000000004</v>
      </c>
      <c r="N26" s="111">
        <v>1612.3536000000004</v>
      </c>
      <c r="O26" s="111"/>
      <c r="P26" s="111"/>
      <c r="Q26" s="111"/>
      <c r="R26" s="111"/>
      <c r="S26" s="1249">
        <v>2</v>
      </c>
      <c r="T26" s="1250">
        <v>537.45120000000009</v>
      </c>
      <c r="U26" s="1250"/>
      <c r="V26" s="1250"/>
      <c r="W26" s="1251">
        <v>2</v>
      </c>
      <c r="X26" s="1250">
        <v>537.45120000000009</v>
      </c>
      <c r="Y26" s="1250"/>
      <c r="Z26" s="1250"/>
      <c r="AA26" s="1250"/>
      <c r="AB26" s="1250"/>
      <c r="AC26" s="1250"/>
      <c r="AD26" s="1250"/>
      <c r="AE26" s="1249">
        <v>2</v>
      </c>
      <c r="AF26" s="1250">
        <v>537.45120000000009</v>
      </c>
      <c r="AG26" s="111"/>
      <c r="AH26" s="111"/>
      <c r="AI26" s="111"/>
      <c r="AJ26" s="111"/>
      <c r="AK26" s="111"/>
      <c r="AL26" s="111"/>
      <c r="AM26" s="111">
        <v>1612.3536000000004</v>
      </c>
    </row>
    <row r="27" spans="1:39" ht="15" customHeight="1" x14ac:dyDescent="0.25">
      <c r="A27" s="1409"/>
      <c r="B27" s="1409"/>
      <c r="C27" s="1409"/>
      <c r="D27" s="1409"/>
      <c r="E27" s="1247"/>
      <c r="F27" s="1248" t="s">
        <v>2206</v>
      </c>
      <c r="G27" s="111"/>
      <c r="H27" s="1249">
        <v>19</v>
      </c>
      <c r="I27" s="111" t="s">
        <v>1827</v>
      </c>
      <c r="J27" s="1321" t="s">
        <v>5608</v>
      </c>
      <c r="K27" s="162" t="s">
        <v>5610</v>
      </c>
      <c r="L27" s="162" t="s">
        <v>5609</v>
      </c>
      <c r="M27" s="111">
        <v>116.23452631578948</v>
      </c>
      <c r="N27" s="111">
        <v>2208.4560000000001</v>
      </c>
      <c r="O27" s="111"/>
      <c r="P27" s="111"/>
      <c r="Q27" s="111"/>
      <c r="R27" s="111"/>
      <c r="S27" s="1249">
        <v>9</v>
      </c>
      <c r="T27" s="1250">
        <v>736.15200000000004</v>
      </c>
      <c r="U27" s="1250"/>
      <c r="V27" s="1250"/>
      <c r="W27" s="1251">
        <v>5</v>
      </c>
      <c r="X27" s="1250">
        <v>736.15200000000004</v>
      </c>
      <c r="Y27" s="1250"/>
      <c r="Z27" s="1250"/>
      <c r="AA27" s="1250"/>
      <c r="AB27" s="1250"/>
      <c r="AC27" s="1250"/>
      <c r="AD27" s="1250"/>
      <c r="AE27" s="1249">
        <v>5</v>
      </c>
      <c r="AF27" s="1250">
        <v>736.15200000000004</v>
      </c>
      <c r="AG27" s="111"/>
      <c r="AH27" s="111"/>
      <c r="AI27" s="111"/>
      <c r="AJ27" s="111"/>
      <c r="AK27" s="111"/>
      <c r="AL27" s="111"/>
      <c r="AM27" s="111">
        <v>2208.4560000000001</v>
      </c>
    </row>
    <row r="28" spans="1:39" ht="15" customHeight="1" x14ac:dyDescent="0.25">
      <c r="A28" s="1409"/>
      <c r="B28" s="1409"/>
      <c r="C28" s="1409"/>
      <c r="D28" s="1409"/>
      <c r="E28" s="1247"/>
      <c r="F28" s="1248" t="s">
        <v>2489</v>
      </c>
      <c r="G28" s="111"/>
      <c r="H28" s="1249">
        <v>10</v>
      </c>
      <c r="I28" s="111" t="s">
        <v>1721</v>
      </c>
      <c r="J28" s="1321" t="s">
        <v>5608</v>
      </c>
      <c r="K28" s="162" t="s">
        <v>5610</v>
      </c>
      <c r="L28" s="162" t="s">
        <v>5609</v>
      </c>
      <c r="M28" s="111">
        <v>6.6100000000000012</v>
      </c>
      <c r="N28" s="111">
        <v>66.100000000000009</v>
      </c>
      <c r="O28" s="111"/>
      <c r="P28" s="111"/>
      <c r="Q28" s="111"/>
      <c r="R28" s="111"/>
      <c r="S28" s="1249">
        <v>4</v>
      </c>
      <c r="T28" s="1250">
        <v>22.033333333333335</v>
      </c>
      <c r="U28" s="1250"/>
      <c r="V28" s="1250"/>
      <c r="W28" s="1251">
        <v>4</v>
      </c>
      <c r="X28" s="1250">
        <v>22.033333333333335</v>
      </c>
      <c r="Y28" s="1250"/>
      <c r="Z28" s="1250"/>
      <c r="AA28" s="1250"/>
      <c r="AB28" s="1250"/>
      <c r="AC28" s="1250"/>
      <c r="AD28" s="1250"/>
      <c r="AE28" s="1249">
        <v>2</v>
      </c>
      <c r="AF28" s="1250">
        <v>22.033333333333335</v>
      </c>
      <c r="AG28" s="111"/>
      <c r="AH28" s="111"/>
      <c r="AI28" s="111"/>
      <c r="AJ28" s="111"/>
      <c r="AK28" s="111"/>
      <c r="AL28" s="111"/>
      <c r="AM28" s="111">
        <v>66.100000000000009</v>
      </c>
    </row>
    <row r="29" spans="1:39" ht="15" customHeight="1" x14ac:dyDescent="0.25">
      <c r="A29" s="1409"/>
      <c r="B29" s="1409"/>
      <c r="C29" s="1409"/>
      <c r="D29" s="1409"/>
      <c r="E29" s="1247"/>
      <c r="F29" s="1248" t="s">
        <v>4375</v>
      </c>
      <c r="G29" s="111"/>
      <c r="H29" s="1249">
        <v>4</v>
      </c>
      <c r="I29" s="111" t="s">
        <v>1721</v>
      </c>
      <c r="J29" s="1321" t="s">
        <v>5608</v>
      </c>
      <c r="K29" s="162" t="s">
        <v>5610</v>
      </c>
      <c r="L29" s="162" t="s">
        <v>5609</v>
      </c>
      <c r="M29" s="111">
        <v>61.39</v>
      </c>
      <c r="N29" s="111">
        <v>245.56</v>
      </c>
      <c r="O29" s="111"/>
      <c r="P29" s="111"/>
      <c r="Q29" s="111"/>
      <c r="R29" s="111"/>
      <c r="S29" s="1249">
        <v>2</v>
      </c>
      <c r="T29" s="1250">
        <v>81.853333333333339</v>
      </c>
      <c r="U29" s="1250"/>
      <c r="V29" s="1250"/>
      <c r="W29" s="1251">
        <v>1</v>
      </c>
      <c r="X29" s="1250">
        <v>81.853333333333339</v>
      </c>
      <c r="Y29" s="1250"/>
      <c r="Z29" s="1250"/>
      <c r="AA29" s="1250"/>
      <c r="AB29" s="1250"/>
      <c r="AC29" s="1250"/>
      <c r="AD29" s="1250"/>
      <c r="AE29" s="1249">
        <v>1</v>
      </c>
      <c r="AF29" s="1250">
        <v>81.853333333333339</v>
      </c>
      <c r="AG29" s="111"/>
      <c r="AH29" s="111"/>
      <c r="AI29" s="111"/>
      <c r="AJ29" s="111"/>
      <c r="AK29" s="111"/>
      <c r="AL29" s="111"/>
      <c r="AM29" s="111">
        <v>245.56</v>
      </c>
    </row>
    <row r="30" spans="1:39" ht="15" customHeight="1" x14ac:dyDescent="0.25">
      <c r="A30" s="1409"/>
      <c r="B30" s="1409"/>
      <c r="C30" s="1409"/>
      <c r="D30" s="1409"/>
      <c r="E30" s="1252"/>
      <c r="F30" s="1248" t="s">
        <v>2853</v>
      </c>
      <c r="G30" s="111"/>
      <c r="H30" s="1249">
        <v>200</v>
      </c>
      <c r="I30" s="111" t="s">
        <v>1722</v>
      </c>
      <c r="J30" s="1321" t="s">
        <v>5608</v>
      </c>
      <c r="K30" s="162" t="s">
        <v>5610</v>
      </c>
      <c r="L30" s="162" t="s">
        <v>5609</v>
      </c>
      <c r="M30" s="111">
        <v>25.171999999999997</v>
      </c>
      <c r="N30" s="111">
        <v>5034.3999999999996</v>
      </c>
      <c r="O30" s="111"/>
      <c r="P30" s="111"/>
      <c r="Q30" s="111"/>
      <c r="R30" s="111"/>
      <c r="S30" s="1249">
        <v>100</v>
      </c>
      <c r="T30" s="1250">
        <v>1678.1333333333332</v>
      </c>
      <c r="U30" s="1250"/>
      <c r="V30" s="1250"/>
      <c r="W30" s="1251">
        <v>50</v>
      </c>
      <c r="X30" s="1250">
        <v>1678.1333333333332</v>
      </c>
      <c r="Y30" s="1250"/>
      <c r="Z30" s="1250"/>
      <c r="AA30" s="1250"/>
      <c r="AB30" s="1250"/>
      <c r="AC30" s="1250"/>
      <c r="AD30" s="1250"/>
      <c r="AE30" s="1249">
        <v>50</v>
      </c>
      <c r="AF30" s="1250">
        <v>1678.1333333333332</v>
      </c>
      <c r="AG30" s="111"/>
      <c r="AH30" s="111"/>
      <c r="AI30" s="111"/>
      <c r="AJ30" s="111"/>
      <c r="AK30" s="111"/>
      <c r="AL30" s="111"/>
      <c r="AM30" s="111">
        <v>5034.3999999999996</v>
      </c>
    </row>
    <row r="31" spans="1:39" ht="15" customHeight="1" x14ac:dyDescent="0.25">
      <c r="A31" s="1409"/>
      <c r="B31" s="1409"/>
      <c r="C31" s="1409"/>
      <c r="D31" s="1409"/>
      <c r="E31" s="1252"/>
      <c r="F31" s="1248" t="s">
        <v>2854</v>
      </c>
      <c r="G31" s="111"/>
      <c r="H31" s="1249">
        <v>200</v>
      </c>
      <c r="I31" s="111" t="s">
        <v>1722</v>
      </c>
      <c r="J31" s="1321" t="s">
        <v>5608</v>
      </c>
      <c r="K31" s="162" t="s">
        <v>5610</v>
      </c>
      <c r="L31" s="162" t="s">
        <v>5609</v>
      </c>
      <c r="M31" s="111">
        <v>25.171999999999997</v>
      </c>
      <c r="N31" s="111">
        <v>5034.3999999999996</v>
      </c>
      <c r="O31" s="111"/>
      <c r="P31" s="111"/>
      <c r="Q31" s="111"/>
      <c r="R31" s="111"/>
      <c r="S31" s="1249">
        <v>100</v>
      </c>
      <c r="T31" s="1250">
        <v>1678.1333333333332</v>
      </c>
      <c r="U31" s="1250"/>
      <c r="V31" s="1250"/>
      <c r="W31" s="1251">
        <v>50</v>
      </c>
      <c r="X31" s="1250">
        <v>1678.1333333333332</v>
      </c>
      <c r="Y31" s="1250"/>
      <c r="Z31" s="1250"/>
      <c r="AA31" s="1250"/>
      <c r="AB31" s="1250"/>
      <c r="AC31" s="1250"/>
      <c r="AD31" s="1250"/>
      <c r="AE31" s="1249">
        <v>50</v>
      </c>
      <c r="AF31" s="1250">
        <v>1678.1333333333332</v>
      </c>
      <c r="AG31" s="111"/>
      <c r="AH31" s="111"/>
      <c r="AI31" s="111"/>
      <c r="AJ31" s="111"/>
      <c r="AK31" s="111"/>
      <c r="AL31" s="111"/>
      <c r="AM31" s="111">
        <v>5034.3999999999996</v>
      </c>
    </row>
    <row r="32" spans="1:39" ht="15" customHeight="1" x14ac:dyDescent="0.25">
      <c r="A32" s="1409"/>
      <c r="B32" s="1409"/>
      <c r="C32" s="1409"/>
      <c r="D32" s="1409"/>
      <c r="E32" s="1252"/>
      <c r="F32" s="1248" t="s">
        <v>20</v>
      </c>
      <c r="G32" s="111"/>
      <c r="H32" s="1249">
        <v>148</v>
      </c>
      <c r="I32" s="111" t="s">
        <v>1722</v>
      </c>
      <c r="J32" s="1321" t="s">
        <v>5608</v>
      </c>
      <c r="K32" s="162" t="s">
        <v>5610</v>
      </c>
      <c r="L32" s="162" t="s">
        <v>5609</v>
      </c>
      <c r="M32" s="111">
        <v>42.264571297297294</v>
      </c>
      <c r="N32" s="111">
        <v>6255.1565519999995</v>
      </c>
      <c r="O32" s="111"/>
      <c r="P32" s="111"/>
      <c r="Q32" s="111"/>
      <c r="R32" s="111"/>
      <c r="S32" s="1249">
        <v>50</v>
      </c>
      <c r="T32" s="1250">
        <v>2085.0521839999997</v>
      </c>
      <c r="U32" s="1250"/>
      <c r="V32" s="1250"/>
      <c r="W32" s="1251">
        <v>50</v>
      </c>
      <c r="X32" s="1250">
        <v>2085.0521839999997</v>
      </c>
      <c r="Y32" s="1250"/>
      <c r="Z32" s="1250"/>
      <c r="AA32" s="1250"/>
      <c r="AB32" s="1250"/>
      <c r="AC32" s="1250"/>
      <c r="AD32" s="1250"/>
      <c r="AE32" s="1249">
        <v>48</v>
      </c>
      <c r="AF32" s="1250">
        <v>2085.0521839999997</v>
      </c>
      <c r="AG32" s="111"/>
      <c r="AH32" s="111"/>
      <c r="AI32" s="111"/>
      <c r="AJ32" s="111"/>
      <c r="AK32" s="111"/>
      <c r="AL32" s="111"/>
      <c r="AM32" s="111">
        <v>6255.1565519999995</v>
      </c>
    </row>
    <row r="33" spans="1:39" ht="15" customHeight="1" x14ac:dyDescent="0.25">
      <c r="A33" s="1409"/>
      <c r="B33" s="1409"/>
      <c r="C33" s="1409"/>
      <c r="D33" s="1409"/>
      <c r="E33" s="1252"/>
      <c r="F33" s="1248" t="s">
        <v>21</v>
      </c>
      <c r="G33" s="111"/>
      <c r="H33" s="1249">
        <v>84</v>
      </c>
      <c r="I33" s="111" t="s">
        <v>1722</v>
      </c>
      <c r="J33" s="1321" t="s">
        <v>5608</v>
      </c>
      <c r="K33" s="162" t="s">
        <v>5610</v>
      </c>
      <c r="L33" s="162" t="s">
        <v>5609</v>
      </c>
      <c r="M33" s="111">
        <v>43.130994952380952</v>
      </c>
      <c r="N33" s="111">
        <v>3623.0035760000001</v>
      </c>
      <c r="O33" s="111"/>
      <c r="P33" s="111"/>
      <c r="Q33" s="111"/>
      <c r="R33" s="111"/>
      <c r="S33" s="1249">
        <v>40</v>
      </c>
      <c r="T33" s="1250">
        <v>1207.6678586666667</v>
      </c>
      <c r="U33" s="1250"/>
      <c r="V33" s="1250"/>
      <c r="W33" s="1251">
        <v>34</v>
      </c>
      <c r="X33" s="1250">
        <v>1207.6678586666667</v>
      </c>
      <c r="Y33" s="1250"/>
      <c r="Z33" s="1250"/>
      <c r="AA33" s="1250"/>
      <c r="AB33" s="1250"/>
      <c r="AC33" s="1250"/>
      <c r="AD33" s="1250"/>
      <c r="AE33" s="1249">
        <v>10</v>
      </c>
      <c r="AF33" s="1250">
        <v>1207.6678586666667</v>
      </c>
      <c r="AG33" s="111"/>
      <c r="AH33" s="111"/>
      <c r="AI33" s="111"/>
      <c r="AJ33" s="111"/>
      <c r="AK33" s="111"/>
      <c r="AL33" s="111"/>
      <c r="AM33" s="111">
        <v>3623.0035760000001</v>
      </c>
    </row>
    <row r="34" spans="1:39" ht="15" customHeight="1" x14ac:dyDescent="0.25">
      <c r="A34" s="1409"/>
      <c r="B34" s="1409"/>
      <c r="C34" s="1409"/>
      <c r="D34" s="1409"/>
      <c r="E34" s="1252"/>
      <c r="F34" s="1248" t="s">
        <v>2857</v>
      </c>
      <c r="G34" s="111"/>
      <c r="H34" s="1249">
        <v>55</v>
      </c>
      <c r="I34" s="111" t="s">
        <v>1722</v>
      </c>
      <c r="J34" s="1321" t="s">
        <v>5608</v>
      </c>
      <c r="K34" s="162" t="s">
        <v>5610</v>
      </c>
      <c r="L34" s="162" t="s">
        <v>5609</v>
      </c>
      <c r="M34" s="111">
        <v>42.59</v>
      </c>
      <c r="N34" s="111">
        <v>2342.4500000000003</v>
      </c>
      <c r="O34" s="111"/>
      <c r="P34" s="111"/>
      <c r="Q34" s="111"/>
      <c r="R34" s="111"/>
      <c r="S34" s="1249">
        <v>25</v>
      </c>
      <c r="T34" s="1250">
        <v>780.81666666666672</v>
      </c>
      <c r="U34" s="1250"/>
      <c r="V34" s="1250"/>
      <c r="W34" s="1251">
        <v>20</v>
      </c>
      <c r="X34" s="1250">
        <v>780.81666666666672</v>
      </c>
      <c r="Y34" s="1250"/>
      <c r="Z34" s="1250"/>
      <c r="AA34" s="1250"/>
      <c r="AB34" s="1250"/>
      <c r="AC34" s="1250"/>
      <c r="AD34" s="1250"/>
      <c r="AE34" s="1249">
        <v>10</v>
      </c>
      <c r="AF34" s="1250">
        <v>780.81666666666672</v>
      </c>
      <c r="AG34" s="111"/>
      <c r="AH34" s="111"/>
      <c r="AI34" s="111"/>
      <c r="AJ34" s="111"/>
      <c r="AK34" s="111"/>
      <c r="AL34" s="111"/>
      <c r="AM34" s="111">
        <v>2342.4500000000003</v>
      </c>
    </row>
    <row r="35" spans="1:39" ht="15" customHeight="1" x14ac:dyDescent="0.25">
      <c r="A35" s="1409"/>
      <c r="B35" s="1409"/>
      <c r="C35" s="1409"/>
      <c r="D35" s="1409"/>
      <c r="E35" s="1252"/>
      <c r="F35" s="1248" t="s">
        <v>22</v>
      </c>
      <c r="G35" s="111"/>
      <c r="H35" s="1249">
        <v>12</v>
      </c>
      <c r="I35" s="111" t="s">
        <v>1722</v>
      </c>
      <c r="J35" s="1321" t="s">
        <v>5608</v>
      </c>
      <c r="K35" s="162" t="s">
        <v>5610</v>
      </c>
      <c r="L35" s="162" t="s">
        <v>5609</v>
      </c>
      <c r="M35" s="111">
        <v>54.65</v>
      </c>
      <c r="N35" s="111">
        <v>655.8</v>
      </c>
      <c r="O35" s="111"/>
      <c r="P35" s="111"/>
      <c r="Q35" s="111"/>
      <c r="R35" s="111"/>
      <c r="S35" s="1249">
        <v>5</v>
      </c>
      <c r="T35" s="1250">
        <v>218.6</v>
      </c>
      <c r="U35" s="1250"/>
      <c r="V35" s="1250"/>
      <c r="W35" s="1251">
        <v>5</v>
      </c>
      <c r="X35" s="1250">
        <v>218.6</v>
      </c>
      <c r="Y35" s="1250"/>
      <c r="Z35" s="1250"/>
      <c r="AA35" s="1250"/>
      <c r="AB35" s="1250"/>
      <c r="AC35" s="1250"/>
      <c r="AD35" s="1250"/>
      <c r="AE35" s="1249">
        <v>2</v>
      </c>
      <c r="AF35" s="1250">
        <v>218.6</v>
      </c>
      <c r="AG35" s="111"/>
      <c r="AH35" s="111"/>
      <c r="AI35" s="111"/>
      <c r="AJ35" s="111"/>
      <c r="AK35" s="111"/>
      <c r="AL35" s="111"/>
      <c r="AM35" s="111">
        <v>655.8</v>
      </c>
    </row>
    <row r="36" spans="1:39" ht="15" customHeight="1" x14ac:dyDescent="0.25">
      <c r="A36" s="1409"/>
      <c r="B36" s="1409"/>
      <c r="C36" s="1409"/>
      <c r="D36" s="1409"/>
      <c r="E36" s="1252"/>
      <c r="F36" s="1248" t="s">
        <v>23</v>
      </c>
      <c r="G36" s="111"/>
      <c r="H36" s="1249">
        <v>67</v>
      </c>
      <c r="I36" s="111" t="s">
        <v>1721</v>
      </c>
      <c r="J36" s="1321" t="s">
        <v>5608</v>
      </c>
      <c r="K36" s="162" t="s">
        <v>5610</v>
      </c>
      <c r="L36" s="162" t="s">
        <v>5609</v>
      </c>
      <c r="M36" s="111">
        <v>5.6311305074626867</v>
      </c>
      <c r="N36" s="111">
        <v>377.28574400000002</v>
      </c>
      <c r="O36" s="111"/>
      <c r="P36" s="111"/>
      <c r="Q36" s="111"/>
      <c r="R36" s="111"/>
      <c r="S36" s="1249">
        <v>37</v>
      </c>
      <c r="T36" s="1250">
        <v>125.76191466666667</v>
      </c>
      <c r="U36" s="1250"/>
      <c r="V36" s="1250"/>
      <c r="W36" s="1251">
        <v>20</v>
      </c>
      <c r="X36" s="1250">
        <v>125.76191466666667</v>
      </c>
      <c r="Y36" s="1250"/>
      <c r="Z36" s="1250"/>
      <c r="AA36" s="1250"/>
      <c r="AB36" s="1250"/>
      <c r="AC36" s="1250"/>
      <c r="AD36" s="1250"/>
      <c r="AE36" s="1249">
        <v>10</v>
      </c>
      <c r="AF36" s="1250">
        <v>125.76191466666667</v>
      </c>
      <c r="AG36" s="111"/>
      <c r="AH36" s="111"/>
      <c r="AI36" s="111"/>
      <c r="AJ36" s="111"/>
      <c r="AK36" s="111"/>
      <c r="AL36" s="111"/>
      <c r="AM36" s="111">
        <v>377.28574400000002</v>
      </c>
    </row>
    <row r="37" spans="1:39" ht="15" customHeight="1" x14ac:dyDescent="0.25">
      <c r="A37" s="1409"/>
      <c r="B37" s="1409"/>
      <c r="C37" s="1409"/>
      <c r="D37" s="1409"/>
      <c r="E37" s="1252"/>
      <c r="F37" s="1248" t="s">
        <v>24</v>
      </c>
      <c r="G37" s="111"/>
      <c r="H37" s="1249">
        <v>39</v>
      </c>
      <c r="I37" s="111" t="s">
        <v>1721</v>
      </c>
      <c r="J37" s="1321" t="s">
        <v>5608</v>
      </c>
      <c r="K37" s="162" t="s">
        <v>5610</v>
      </c>
      <c r="L37" s="162" t="s">
        <v>5609</v>
      </c>
      <c r="M37" s="111">
        <v>12.352576410256409</v>
      </c>
      <c r="N37" s="111">
        <v>481.75047999999998</v>
      </c>
      <c r="O37" s="111"/>
      <c r="P37" s="111"/>
      <c r="Q37" s="111"/>
      <c r="R37" s="111"/>
      <c r="S37" s="1249">
        <v>15</v>
      </c>
      <c r="T37" s="1250">
        <v>160.58349333333334</v>
      </c>
      <c r="U37" s="1250"/>
      <c r="V37" s="1250"/>
      <c r="W37" s="1251">
        <v>14</v>
      </c>
      <c r="X37" s="1250">
        <v>160.58349333333334</v>
      </c>
      <c r="Y37" s="1250"/>
      <c r="Z37" s="1250"/>
      <c r="AA37" s="1250"/>
      <c r="AB37" s="1250"/>
      <c r="AC37" s="1250"/>
      <c r="AD37" s="1250"/>
      <c r="AE37" s="1249">
        <v>10</v>
      </c>
      <c r="AF37" s="1250">
        <v>160.58349333333334</v>
      </c>
      <c r="AG37" s="111"/>
      <c r="AH37" s="111"/>
      <c r="AI37" s="111"/>
      <c r="AJ37" s="111"/>
      <c r="AK37" s="111"/>
      <c r="AL37" s="111"/>
      <c r="AM37" s="111">
        <v>481.75047999999998</v>
      </c>
    </row>
    <row r="38" spans="1:39" ht="15" customHeight="1" x14ac:dyDescent="0.25">
      <c r="A38" s="1409"/>
      <c r="B38" s="1409"/>
      <c r="C38" s="1409"/>
      <c r="D38" s="1409"/>
      <c r="E38" s="1252"/>
      <c r="F38" s="1248" t="s">
        <v>4376</v>
      </c>
      <c r="G38" s="111"/>
      <c r="H38" s="1249">
        <v>8</v>
      </c>
      <c r="I38" s="111" t="s">
        <v>1721</v>
      </c>
      <c r="J38" s="1321" t="s">
        <v>5608</v>
      </c>
      <c r="K38" s="162" t="s">
        <v>5610</v>
      </c>
      <c r="L38" s="162" t="s">
        <v>5609</v>
      </c>
      <c r="M38" s="111">
        <v>500</v>
      </c>
      <c r="N38" s="111">
        <v>4000</v>
      </c>
      <c r="O38" s="111"/>
      <c r="P38" s="111"/>
      <c r="Q38" s="111"/>
      <c r="R38" s="111"/>
      <c r="S38" s="1249">
        <v>4</v>
      </c>
      <c r="T38" s="1250">
        <v>1333.3333333333333</v>
      </c>
      <c r="U38" s="1250"/>
      <c r="V38" s="1250"/>
      <c r="W38" s="1251">
        <v>2</v>
      </c>
      <c r="X38" s="1250">
        <v>1333.3333333333333</v>
      </c>
      <c r="Y38" s="1250"/>
      <c r="Z38" s="1250"/>
      <c r="AA38" s="1250"/>
      <c r="AB38" s="1250"/>
      <c r="AC38" s="1250"/>
      <c r="AD38" s="1250"/>
      <c r="AE38" s="1249">
        <v>2</v>
      </c>
      <c r="AF38" s="1250">
        <v>1333.3333333333333</v>
      </c>
      <c r="AG38" s="111"/>
      <c r="AH38" s="111"/>
      <c r="AI38" s="111"/>
      <c r="AJ38" s="111"/>
      <c r="AK38" s="111"/>
      <c r="AL38" s="111"/>
      <c r="AM38" s="111">
        <v>4000</v>
      </c>
    </row>
    <row r="39" spans="1:39" ht="15" customHeight="1" x14ac:dyDescent="0.25">
      <c r="A39" s="1409"/>
      <c r="B39" s="1409"/>
      <c r="C39" s="1409"/>
      <c r="D39" s="1409"/>
      <c r="E39" s="1252"/>
      <c r="F39" s="1248" t="s">
        <v>4377</v>
      </c>
      <c r="G39" s="111"/>
      <c r="H39" s="1249">
        <v>7</v>
      </c>
      <c r="I39" s="111" t="s">
        <v>1721</v>
      </c>
      <c r="J39" s="1321" t="s">
        <v>5608</v>
      </c>
      <c r="K39" s="162" t="s">
        <v>5610</v>
      </c>
      <c r="L39" s="162" t="s">
        <v>5609</v>
      </c>
      <c r="M39" s="111">
        <v>250</v>
      </c>
      <c r="N39" s="111">
        <v>1750</v>
      </c>
      <c r="O39" s="111"/>
      <c r="P39" s="111"/>
      <c r="Q39" s="111"/>
      <c r="R39" s="111"/>
      <c r="S39" s="1249">
        <v>3</v>
      </c>
      <c r="T39" s="1250">
        <v>583.33333333333337</v>
      </c>
      <c r="U39" s="1250"/>
      <c r="V39" s="1250"/>
      <c r="W39" s="1251">
        <v>2</v>
      </c>
      <c r="X39" s="1250">
        <v>583.33333333333337</v>
      </c>
      <c r="Y39" s="1250"/>
      <c r="Z39" s="1250"/>
      <c r="AA39" s="1250"/>
      <c r="AB39" s="1250"/>
      <c r="AC39" s="1250"/>
      <c r="AD39" s="1250"/>
      <c r="AE39" s="1249">
        <v>2</v>
      </c>
      <c r="AF39" s="1250">
        <v>583.33333333333337</v>
      </c>
      <c r="AG39" s="111"/>
      <c r="AH39" s="111"/>
      <c r="AI39" s="111"/>
      <c r="AJ39" s="111"/>
      <c r="AK39" s="111"/>
      <c r="AL39" s="111"/>
      <c r="AM39" s="111">
        <v>1750</v>
      </c>
    </row>
    <row r="40" spans="1:39" ht="15" customHeight="1" x14ac:dyDescent="0.25">
      <c r="A40" s="1409"/>
      <c r="B40" s="1409"/>
      <c r="C40" s="1409"/>
      <c r="D40" s="1409"/>
      <c r="E40" s="1252"/>
      <c r="F40" s="1248" t="s">
        <v>2851</v>
      </c>
      <c r="G40" s="111"/>
      <c r="H40" s="1249">
        <v>1</v>
      </c>
      <c r="I40" s="111" t="s">
        <v>4378</v>
      </c>
      <c r="J40" s="1321" t="s">
        <v>5608</v>
      </c>
      <c r="K40" s="162" t="s">
        <v>5610</v>
      </c>
      <c r="L40" s="162" t="s">
        <v>5609</v>
      </c>
      <c r="M40" s="111">
        <v>28.002399999999998</v>
      </c>
      <c r="N40" s="111">
        <v>28.002399999999998</v>
      </c>
      <c r="O40" s="111"/>
      <c r="P40" s="111"/>
      <c r="Q40" s="111"/>
      <c r="R40" s="111"/>
      <c r="S40" s="1249">
        <v>1</v>
      </c>
      <c r="T40" s="1250">
        <v>9.3341333333333321</v>
      </c>
      <c r="U40" s="1250"/>
      <c r="V40" s="1250"/>
      <c r="W40" s="1251">
        <v>0</v>
      </c>
      <c r="X40" s="1250">
        <v>9.3341333333333321</v>
      </c>
      <c r="Y40" s="1250"/>
      <c r="Z40" s="1250"/>
      <c r="AA40" s="1250"/>
      <c r="AB40" s="1250"/>
      <c r="AC40" s="1250"/>
      <c r="AD40" s="1250"/>
      <c r="AE40" s="1249">
        <v>0</v>
      </c>
      <c r="AF40" s="1250">
        <v>9.3341333333333321</v>
      </c>
      <c r="AG40" s="111"/>
      <c r="AH40" s="111"/>
      <c r="AI40" s="111"/>
      <c r="AJ40" s="111"/>
      <c r="AK40" s="111"/>
      <c r="AL40" s="111"/>
      <c r="AM40" s="111">
        <v>28.002399999999998</v>
      </c>
    </row>
    <row r="41" spans="1:39" ht="15" customHeight="1" x14ac:dyDescent="0.25">
      <c r="A41" s="1409"/>
      <c r="B41" s="1409"/>
      <c r="C41" s="1409"/>
      <c r="D41" s="1409"/>
      <c r="E41" s="1252"/>
      <c r="F41" s="1248" t="s">
        <v>25</v>
      </c>
      <c r="G41" s="111"/>
      <c r="H41" s="1249">
        <v>67</v>
      </c>
      <c r="I41" s="111" t="s">
        <v>1722</v>
      </c>
      <c r="J41" s="1321" t="s">
        <v>5608</v>
      </c>
      <c r="K41" s="162" t="s">
        <v>5610</v>
      </c>
      <c r="L41" s="162" t="s">
        <v>5609</v>
      </c>
      <c r="M41" s="111">
        <v>36.098452537313435</v>
      </c>
      <c r="N41" s="111">
        <v>2418.5963200000001</v>
      </c>
      <c r="O41" s="111"/>
      <c r="P41" s="111"/>
      <c r="Q41" s="111"/>
      <c r="R41" s="111"/>
      <c r="S41" s="1249">
        <v>37</v>
      </c>
      <c r="T41" s="1250">
        <v>806.19877333333341</v>
      </c>
      <c r="U41" s="1250"/>
      <c r="V41" s="1250"/>
      <c r="W41" s="1251">
        <v>20</v>
      </c>
      <c r="X41" s="1250">
        <v>806.19877333333341</v>
      </c>
      <c r="Y41" s="1250"/>
      <c r="Z41" s="1250"/>
      <c r="AA41" s="1250"/>
      <c r="AB41" s="1250"/>
      <c r="AC41" s="1250"/>
      <c r="AD41" s="1250"/>
      <c r="AE41" s="1249">
        <v>10</v>
      </c>
      <c r="AF41" s="1250">
        <v>806.19877333333341</v>
      </c>
      <c r="AG41" s="111"/>
      <c r="AH41" s="111"/>
      <c r="AI41" s="111"/>
      <c r="AJ41" s="111"/>
      <c r="AK41" s="111"/>
      <c r="AL41" s="111"/>
      <c r="AM41" s="111">
        <v>2418.5963200000001</v>
      </c>
    </row>
    <row r="42" spans="1:39" ht="15" customHeight="1" x14ac:dyDescent="0.25">
      <c r="A42" s="1409"/>
      <c r="B42" s="1409"/>
      <c r="C42" s="1409"/>
      <c r="D42" s="1409"/>
      <c r="E42" s="1252"/>
      <c r="F42" s="1248" t="s">
        <v>2478</v>
      </c>
      <c r="G42" s="111"/>
      <c r="H42" s="1249">
        <v>3</v>
      </c>
      <c r="I42" s="111" t="s">
        <v>1722</v>
      </c>
      <c r="J42" s="1321" t="s">
        <v>5608</v>
      </c>
      <c r="K42" s="162" t="s">
        <v>5610</v>
      </c>
      <c r="L42" s="162" t="s">
        <v>5609</v>
      </c>
      <c r="M42" s="111">
        <v>45.48</v>
      </c>
      <c r="N42" s="111">
        <v>136.44</v>
      </c>
      <c r="O42" s="111"/>
      <c r="P42" s="111"/>
      <c r="Q42" s="111"/>
      <c r="R42" s="111"/>
      <c r="S42" s="1249">
        <v>2</v>
      </c>
      <c r="T42" s="1250">
        <v>45.48</v>
      </c>
      <c r="U42" s="1250"/>
      <c r="V42" s="1250"/>
      <c r="W42" s="1251">
        <v>1</v>
      </c>
      <c r="X42" s="1250">
        <v>45.48</v>
      </c>
      <c r="Y42" s="1250"/>
      <c r="Z42" s="1250"/>
      <c r="AA42" s="1250"/>
      <c r="AB42" s="1250"/>
      <c r="AC42" s="1250"/>
      <c r="AD42" s="1250"/>
      <c r="AE42" s="1249">
        <v>0</v>
      </c>
      <c r="AF42" s="1250">
        <v>45.48</v>
      </c>
      <c r="AG42" s="111"/>
      <c r="AH42" s="111"/>
      <c r="AI42" s="111"/>
      <c r="AJ42" s="111"/>
      <c r="AK42" s="111"/>
      <c r="AL42" s="111"/>
      <c r="AM42" s="111">
        <v>136.44</v>
      </c>
    </row>
    <row r="43" spans="1:39" ht="15" customHeight="1" x14ac:dyDescent="0.25">
      <c r="A43" s="1409"/>
      <c r="B43" s="1409"/>
      <c r="C43" s="1409"/>
      <c r="D43" s="1409"/>
      <c r="E43" s="1252"/>
      <c r="F43" s="1248" t="s">
        <v>27</v>
      </c>
      <c r="G43" s="111"/>
      <c r="H43" s="1249">
        <v>14</v>
      </c>
      <c r="I43" s="111" t="s">
        <v>1722</v>
      </c>
      <c r="J43" s="1321" t="s">
        <v>5608</v>
      </c>
      <c r="K43" s="162" t="s">
        <v>5610</v>
      </c>
      <c r="L43" s="162" t="s">
        <v>5609</v>
      </c>
      <c r="M43" s="111">
        <v>37.269257142857143</v>
      </c>
      <c r="N43" s="111">
        <v>521.76959999999997</v>
      </c>
      <c r="O43" s="111"/>
      <c r="P43" s="111"/>
      <c r="Q43" s="111"/>
      <c r="R43" s="111"/>
      <c r="S43" s="1249">
        <v>5</v>
      </c>
      <c r="T43" s="1250">
        <v>173.92319999999998</v>
      </c>
      <c r="U43" s="1250"/>
      <c r="V43" s="1250"/>
      <c r="W43" s="1251">
        <v>5</v>
      </c>
      <c r="X43" s="1250">
        <v>173.92319999999998</v>
      </c>
      <c r="Y43" s="1250"/>
      <c r="Z43" s="1250"/>
      <c r="AA43" s="1250"/>
      <c r="AB43" s="1250"/>
      <c r="AC43" s="1250"/>
      <c r="AD43" s="1250"/>
      <c r="AE43" s="1249">
        <v>4</v>
      </c>
      <c r="AF43" s="1250">
        <v>173.92319999999998</v>
      </c>
      <c r="AG43" s="111"/>
      <c r="AH43" s="111"/>
      <c r="AI43" s="111"/>
      <c r="AJ43" s="111"/>
      <c r="AK43" s="111"/>
      <c r="AL43" s="111"/>
      <c r="AM43" s="111">
        <v>521.76959999999997</v>
      </c>
    </row>
    <row r="44" spans="1:39" ht="15" customHeight="1" x14ac:dyDescent="0.25">
      <c r="A44" s="1409"/>
      <c r="B44" s="1409"/>
      <c r="C44" s="1409"/>
      <c r="D44" s="1409"/>
      <c r="E44" s="1252"/>
      <c r="F44" s="1248" t="s">
        <v>28</v>
      </c>
      <c r="G44" s="111"/>
      <c r="H44" s="1249">
        <v>13</v>
      </c>
      <c r="I44" s="111" t="s">
        <v>1721</v>
      </c>
      <c r="J44" s="1321" t="s">
        <v>5608</v>
      </c>
      <c r="K44" s="162" t="s">
        <v>5610</v>
      </c>
      <c r="L44" s="162" t="s">
        <v>5609</v>
      </c>
      <c r="M44" s="111">
        <v>105.77036923076922</v>
      </c>
      <c r="N44" s="111">
        <v>1375.0147999999999</v>
      </c>
      <c r="O44" s="111"/>
      <c r="P44" s="111"/>
      <c r="Q44" s="111"/>
      <c r="R44" s="111"/>
      <c r="S44" s="1249">
        <v>5</v>
      </c>
      <c r="T44" s="1250">
        <v>458.33826666666664</v>
      </c>
      <c r="U44" s="1250"/>
      <c r="V44" s="1250"/>
      <c r="W44" s="1251">
        <v>5</v>
      </c>
      <c r="X44" s="1250">
        <v>458.33826666666664</v>
      </c>
      <c r="Y44" s="1250"/>
      <c r="Z44" s="1250"/>
      <c r="AA44" s="1250"/>
      <c r="AB44" s="1250"/>
      <c r="AC44" s="1250"/>
      <c r="AD44" s="1250"/>
      <c r="AE44" s="1249">
        <v>3</v>
      </c>
      <c r="AF44" s="1250">
        <v>458.33826666666664</v>
      </c>
      <c r="AG44" s="111"/>
      <c r="AH44" s="111"/>
      <c r="AI44" s="111"/>
      <c r="AJ44" s="111"/>
      <c r="AK44" s="111"/>
      <c r="AL44" s="111"/>
      <c r="AM44" s="111">
        <v>1375.0147999999999</v>
      </c>
    </row>
    <row r="45" spans="1:39" ht="15" customHeight="1" x14ac:dyDescent="0.25">
      <c r="A45" s="1409"/>
      <c r="B45" s="1409"/>
      <c r="C45" s="1409"/>
      <c r="D45" s="1409"/>
      <c r="E45" s="1252"/>
      <c r="F45" s="1248" t="s">
        <v>2654</v>
      </c>
      <c r="G45" s="111"/>
      <c r="H45" s="1249">
        <v>1</v>
      </c>
      <c r="I45" s="111" t="s">
        <v>4379</v>
      </c>
      <c r="J45" s="1321" t="s">
        <v>5608</v>
      </c>
      <c r="K45" s="162" t="s">
        <v>5610</v>
      </c>
      <c r="L45" s="162" t="s">
        <v>5609</v>
      </c>
      <c r="M45" s="111">
        <v>11.98</v>
      </c>
      <c r="N45" s="111">
        <v>11.98</v>
      </c>
      <c r="O45" s="111"/>
      <c r="P45" s="111"/>
      <c r="Q45" s="111"/>
      <c r="R45" s="111"/>
      <c r="S45" s="1249">
        <v>1</v>
      </c>
      <c r="T45" s="1250">
        <v>3.9933333333333336</v>
      </c>
      <c r="U45" s="1250"/>
      <c r="V45" s="1250"/>
      <c r="W45" s="1251">
        <v>0</v>
      </c>
      <c r="X45" s="1250">
        <v>3.9933333333333336</v>
      </c>
      <c r="Y45" s="1250"/>
      <c r="Z45" s="1250"/>
      <c r="AA45" s="1250"/>
      <c r="AB45" s="1250"/>
      <c r="AC45" s="1250"/>
      <c r="AD45" s="1250"/>
      <c r="AE45" s="1249">
        <v>0</v>
      </c>
      <c r="AF45" s="1250">
        <v>3.9933333333333336</v>
      </c>
      <c r="AG45" s="111"/>
      <c r="AH45" s="111"/>
      <c r="AI45" s="111"/>
      <c r="AJ45" s="111"/>
      <c r="AK45" s="111"/>
      <c r="AL45" s="111"/>
      <c r="AM45" s="111">
        <v>11.98</v>
      </c>
    </row>
    <row r="46" spans="1:39" ht="15" customHeight="1" x14ac:dyDescent="0.25">
      <c r="A46" s="1409"/>
      <c r="B46" s="1409"/>
      <c r="C46" s="1409"/>
      <c r="D46" s="1409"/>
      <c r="E46" s="1252"/>
      <c r="F46" s="1248" t="s">
        <v>2861</v>
      </c>
      <c r="G46" s="111"/>
      <c r="H46" s="1249">
        <v>5</v>
      </c>
      <c r="I46" s="111" t="s">
        <v>1721</v>
      </c>
      <c r="J46" s="1321" t="s">
        <v>5608</v>
      </c>
      <c r="K46" s="162" t="s">
        <v>5610</v>
      </c>
      <c r="L46" s="162" t="s">
        <v>5609</v>
      </c>
      <c r="M46" s="111">
        <v>285.00503999999995</v>
      </c>
      <c r="N46" s="111">
        <v>1425.0251999999998</v>
      </c>
      <c r="O46" s="111"/>
      <c r="P46" s="111"/>
      <c r="Q46" s="111"/>
      <c r="R46" s="111"/>
      <c r="S46" s="1249">
        <v>2</v>
      </c>
      <c r="T46" s="1250">
        <v>475.00839999999994</v>
      </c>
      <c r="U46" s="1250"/>
      <c r="V46" s="1250"/>
      <c r="W46" s="1251">
        <v>2</v>
      </c>
      <c r="X46" s="1250">
        <v>475.00839999999994</v>
      </c>
      <c r="Y46" s="1250"/>
      <c r="Z46" s="1250"/>
      <c r="AA46" s="1250"/>
      <c r="AB46" s="1250"/>
      <c r="AC46" s="1250"/>
      <c r="AD46" s="1250"/>
      <c r="AE46" s="1249">
        <v>1</v>
      </c>
      <c r="AF46" s="1250">
        <v>475.00839999999994</v>
      </c>
      <c r="AG46" s="111"/>
      <c r="AH46" s="111"/>
      <c r="AI46" s="111"/>
      <c r="AJ46" s="111"/>
      <c r="AK46" s="111"/>
      <c r="AL46" s="111"/>
      <c r="AM46" s="111">
        <v>1425.0251999999998</v>
      </c>
    </row>
    <row r="47" spans="1:39" ht="15" customHeight="1" x14ac:dyDescent="0.25">
      <c r="A47" s="1409"/>
      <c r="B47" s="1409"/>
      <c r="C47" s="1409"/>
      <c r="D47" s="1409"/>
      <c r="E47" s="1252"/>
      <c r="F47" s="1248" t="s">
        <v>2862</v>
      </c>
      <c r="G47" s="111"/>
      <c r="H47" s="1249">
        <v>5</v>
      </c>
      <c r="I47" s="111" t="s">
        <v>1721</v>
      </c>
      <c r="J47" s="1321" t="s">
        <v>5608</v>
      </c>
      <c r="K47" s="162" t="s">
        <v>5610</v>
      </c>
      <c r="L47" s="162" t="s">
        <v>5609</v>
      </c>
      <c r="M47" s="111">
        <v>186.27</v>
      </c>
      <c r="N47" s="111">
        <v>931.35</v>
      </c>
      <c r="O47" s="111"/>
      <c r="P47" s="111"/>
      <c r="Q47" s="111"/>
      <c r="R47" s="111"/>
      <c r="S47" s="1249">
        <v>2</v>
      </c>
      <c r="T47" s="1250">
        <v>310.45</v>
      </c>
      <c r="U47" s="1250"/>
      <c r="V47" s="1250"/>
      <c r="W47" s="1251">
        <v>2</v>
      </c>
      <c r="X47" s="1250">
        <v>310.45</v>
      </c>
      <c r="Y47" s="1250"/>
      <c r="Z47" s="1250"/>
      <c r="AA47" s="1250"/>
      <c r="AB47" s="1250"/>
      <c r="AC47" s="1250"/>
      <c r="AD47" s="1250"/>
      <c r="AE47" s="1249">
        <v>1</v>
      </c>
      <c r="AF47" s="1250">
        <v>310.45</v>
      </c>
      <c r="AG47" s="111"/>
      <c r="AH47" s="111"/>
      <c r="AI47" s="111"/>
      <c r="AJ47" s="111"/>
      <c r="AK47" s="111"/>
      <c r="AL47" s="111"/>
      <c r="AM47" s="111">
        <v>931.35</v>
      </c>
    </row>
    <row r="48" spans="1:39" ht="15" customHeight="1" x14ac:dyDescent="0.25">
      <c r="A48" s="1409"/>
      <c r="B48" s="1409"/>
      <c r="C48" s="1409"/>
      <c r="D48" s="1409"/>
      <c r="E48" s="1252"/>
      <c r="F48" s="1248" t="s">
        <v>2863</v>
      </c>
      <c r="G48" s="111"/>
      <c r="H48" s="1249">
        <v>5</v>
      </c>
      <c r="I48" s="111" t="s">
        <v>1721</v>
      </c>
      <c r="J48" s="1321" t="s">
        <v>5608</v>
      </c>
      <c r="K48" s="162" t="s">
        <v>5610</v>
      </c>
      <c r="L48" s="162" t="s">
        <v>5609</v>
      </c>
      <c r="M48" s="111">
        <v>437.98</v>
      </c>
      <c r="N48" s="111">
        <v>2189.9</v>
      </c>
      <c r="O48" s="111"/>
      <c r="P48" s="111"/>
      <c r="Q48" s="111"/>
      <c r="R48" s="111"/>
      <c r="S48" s="1249">
        <v>2</v>
      </c>
      <c r="T48" s="1250">
        <v>729.9666666666667</v>
      </c>
      <c r="U48" s="1250"/>
      <c r="V48" s="1250"/>
      <c r="W48" s="1251">
        <v>2</v>
      </c>
      <c r="X48" s="1250">
        <v>729.9666666666667</v>
      </c>
      <c r="Y48" s="1250"/>
      <c r="Z48" s="1250"/>
      <c r="AA48" s="1250"/>
      <c r="AB48" s="1250"/>
      <c r="AC48" s="1250"/>
      <c r="AD48" s="1250"/>
      <c r="AE48" s="1249">
        <v>1</v>
      </c>
      <c r="AF48" s="1250">
        <v>729.9666666666667</v>
      </c>
      <c r="AG48" s="111"/>
      <c r="AH48" s="111"/>
      <c r="AI48" s="111"/>
      <c r="AJ48" s="111"/>
      <c r="AK48" s="111"/>
      <c r="AL48" s="111"/>
      <c r="AM48" s="111">
        <v>2189.9</v>
      </c>
    </row>
    <row r="49" spans="1:39" ht="15" customHeight="1" x14ac:dyDescent="0.25">
      <c r="A49" s="1409"/>
      <c r="B49" s="1409"/>
      <c r="C49" s="1409"/>
      <c r="D49" s="1409"/>
      <c r="E49" s="1252"/>
      <c r="F49" s="1248" t="s">
        <v>2864</v>
      </c>
      <c r="G49" s="111"/>
      <c r="H49" s="1249">
        <v>5</v>
      </c>
      <c r="I49" s="111" t="s">
        <v>1721</v>
      </c>
      <c r="J49" s="1321" t="s">
        <v>5608</v>
      </c>
      <c r="K49" s="162" t="s">
        <v>5610</v>
      </c>
      <c r="L49" s="162" t="s">
        <v>5609</v>
      </c>
      <c r="M49" s="111">
        <v>113.8</v>
      </c>
      <c r="N49" s="111">
        <v>569</v>
      </c>
      <c r="O49" s="111"/>
      <c r="P49" s="111"/>
      <c r="Q49" s="111"/>
      <c r="R49" s="111"/>
      <c r="S49" s="1249">
        <v>2</v>
      </c>
      <c r="T49" s="1250">
        <v>189.66666666666666</v>
      </c>
      <c r="U49" s="1250"/>
      <c r="V49" s="1250"/>
      <c r="W49" s="1251">
        <v>2</v>
      </c>
      <c r="X49" s="1250">
        <v>189.66666666666666</v>
      </c>
      <c r="Y49" s="1250"/>
      <c r="Z49" s="1250"/>
      <c r="AA49" s="1250"/>
      <c r="AB49" s="1250"/>
      <c r="AC49" s="1250"/>
      <c r="AD49" s="1250"/>
      <c r="AE49" s="1249">
        <v>1</v>
      </c>
      <c r="AF49" s="1250">
        <v>189.66666666666666</v>
      </c>
      <c r="AG49" s="111"/>
      <c r="AH49" s="111"/>
      <c r="AI49" s="111"/>
      <c r="AJ49" s="111"/>
      <c r="AK49" s="111"/>
      <c r="AL49" s="111"/>
      <c r="AM49" s="111">
        <v>569</v>
      </c>
    </row>
    <row r="50" spans="1:39" ht="15" customHeight="1" x14ac:dyDescent="0.25">
      <c r="A50" s="1409"/>
      <c r="B50" s="1409"/>
      <c r="C50" s="1409"/>
      <c r="D50" s="1409"/>
      <c r="E50" s="1252"/>
      <c r="F50" s="1248" t="s">
        <v>4380</v>
      </c>
      <c r="G50" s="111"/>
      <c r="H50" s="1249">
        <v>10</v>
      </c>
      <c r="I50" s="111" t="s">
        <v>1721</v>
      </c>
      <c r="J50" s="1321" t="s">
        <v>5608</v>
      </c>
      <c r="K50" s="162" t="s">
        <v>5610</v>
      </c>
      <c r="L50" s="162" t="s">
        <v>5609</v>
      </c>
      <c r="M50" s="111">
        <v>242.11000000000004</v>
      </c>
      <c r="N50" s="111">
        <v>2421.1000000000004</v>
      </c>
      <c r="O50" s="111"/>
      <c r="P50" s="111"/>
      <c r="Q50" s="111"/>
      <c r="R50" s="111"/>
      <c r="S50" s="1249">
        <v>4</v>
      </c>
      <c r="T50" s="1250">
        <v>807.03333333333342</v>
      </c>
      <c r="U50" s="1250"/>
      <c r="V50" s="1250"/>
      <c r="W50" s="1251">
        <v>4</v>
      </c>
      <c r="X50" s="1250">
        <v>807.03333333333342</v>
      </c>
      <c r="Y50" s="1250"/>
      <c r="Z50" s="1250"/>
      <c r="AA50" s="1250"/>
      <c r="AB50" s="1250"/>
      <c r="AC50" s="1250"/>
      <c r="AD50" s="1250"/>
      <c r="AE50" s="1249">
        <v>2</v>
      </c>
      <c r="AF50" s="1250">
        <v>807.03333333333342</v>
      </c>
      <c r="AG50" s="111"/>
      <c r="AH50" s="111"/>
      <c r="AI50" s="111"/>
      <c r="AJ50" s="111"/>
      <c r="AK50" s="111"/>
      <c r="AL50" s="111"/>
      <c r="AM50" s="111">
        <v>2421.1000000000004</v>
      </c>
    </row>
    <row r="51" spans="1:39" ht="15" customHeight="1" x14ac:dyDescent="0.25">
      <c r="A51" s="1409"/>
      <c r="B51" s="1409"/>
      <c r="C51" s="1409"/>
      <c r="D51" s="1409"/>
      <c r="E51" s="1252"/>
      <c r="F51" s="1248" t="s">
        <v>2480</v>
      </c>
      <c r="G51" s="111"/>
      <c r="H51" s="1249">
        <v>14</v>
      </c>
      <c r="I51" s="111" t="s">
        <v>1721</v>
      </c>
      <c r="J51" s="1321" t="s">
        <v>5608</v>
      </c>
      <c r="K51" s="162" t="s">
        <v>5610</v>
      </c>
      <c r="L51" s="162" t="s">
        <v>5609</v>
      </c>
      <c r="M51" s="111">
        <v>23.84</v>
      </c>
      <c r="N51" s="111">
        <v>333.76</v>
      </c>
      <c r="O51" s="111"/>
      <c r="P51" s="111"/>
      <c r="Q51" s="111"/>
      <c r="R51" s="111"/>
      <c r="S51" s="1249">
        <v>5</v>
      </c>
      <c r="T51" s="1250">
        <v>111.25333333333333</v>
      </c>
      <c r="U51" s="1250"/>
      <c r="V51" s="1250"/>
      <c r="W51" s="1251">
        <v>5</v>
      </c>
      <c r="X51" s="1250">
        <v>111.25333333333333</v>
      </c>
      <c r="Y51" s="1250"/>
      <c r="Z51" s="1250"/>
      <c r="AA51" s="1250"/>
      <c r="AB51" s="1250"/>
      <c r="AC51" s="1250"/>
      <c r="AD51" s="1250"/>
      <c r="AE51" s="1249">
        <v>4</v>
      </c>
      <c r="AF51" s="1250">
        <v>111.25333333333333</v>
      </c>
      <c r="AG51" s="111"/>
      <c r="AH51" s="111"/>
      <c r="AI51" s="111"/>
      <c r="AJ51" s="111"/>
      <c r="AK51" s="111"/>
      <c r="AL51" s="111"/>
      <c r="AM51" s="111">
        <v>333.76</v>
      </c>
    </row>
    <row r="52" spans="1:39" ht="15" customHeight="1" x14ac:dyDescent="0.25">
      <c r="A52" s="1409"/>
      <c r="B52" s="1409"/>
      <c r="C52" s="1409"/>
      <c r="D52" s="1409"/>
      <c r="E52" s="1252"/>
      <c r="F52" s="1248" t="s">
        <v>30</v>
      </c>
      <c r="G52" s="111"/>
      <c r="H52" s="1249">
        <v>61</v>
      </c>
      <c r="I52" s="111" t="s">
        <v>1721</v>
      </c>
      <c r="J52" s="1321" t="s">
        <v>5608</v>
      </c>
      <c r="K52" s="162" t="s">
        <v>5610</v>
      </c>
      <c r="L52" s="162" t="s">
        <v>5609</v>
      </c>
      <c r="M52" s="111">
        <v>25.994942950819674</v>
      </c>
      <c r="N52" s="111">
        <v>1585.6915200000001</v>
      </c>
      <c r="O52" s="111"/>
      <c r="P52" s="111"/>
      <c r="Q52" s="111"/>
      <c r="R52" s="111"/>
      <c r="S52" s="1249">
        <v>31</v>
      </c>
      <c r="T52" s="1250">
        <v>528.56384000000003</v>
      </c>
      <c r="U52" s="1250"/>
      <c r="V52" s="1250"/>
      <c r="W52" s="1251">
        <v>20</v>
      </c>
      <c r="X52" s="1250">
        <v>528.56384000000003</v>
      </c>
      <c r="Y52" s="1250"/>
      <c r="Z52" s="1250"/>
      <c r="AA52" s="1250"/>
      <c r="AB52" s="1250"/>
      <c r="AC52" s="1250"/>
      <c r="AD52" s="1250"/>
      <c r="AE52" s="1249">
        <v>10</v>
      </c>
      <c r="AF52" s="1250">
        <v>528.56384000000003</v>
      </c>
      <c r="AG52" s="111"/>
      <c r="AH52" s="111"/>
      <c r="AI52" s="111"/>
      <c r="AJ52" s="111"/>
      <c r="AK52" s="111"/>
      <c r="AL52" s="111"/>
      <c r="AM52" s="111">
        <v>1585.6915200000001</v>
      </c>
    </row>
    <row r="53" spans="1:39" ht="15" customHeight="1" x14ac:dyDescent="0.25">
      <c r="A53" s="1409"/>
      <c r="B53" s="1409"/>
      <c r="C53" s="1409"/>
      <c r="D53" s="1409"/>
      <c r="E53" s="1252"/>
      <c r="F53" s="1248" t="s">
        <v>31</v>
      </c>
      <c r="G53" s="111"/>
      <c r="H53" s="1249">
        <v>385</v>
      </c>
      <c r="I53" s="111" t="s">
        <v>1721</v>
      </c>
      <c r="J53" s="1321" t="s">
        <v>5608</v>
      </c>
      <c r="K53" s="162" t="s">
        <v>5610</v>
      </c>
      <c r="L53" s="162" t="s">
        <v>5609</v>
      </c>
      <c r="M53" s="111">
        <v>23.469772051948052</v>
      </c>
      <c r="N53" s="111">
        <v>9035.8622400000004</v>
      </c>
      <c r="O53" s="111"/>
      <c r="P53" s="111"/>
      <c r="Q53" s="111"/>
      <c r="R53" s="111"/>
      <c r="S53" s="1249">
        <v>185</v>
      </c>
      <c r="T53" s="1250">
        <v>3011.95408</v>
      </c>
      <c r="U53" s="1250"/>
      <c r="V53" s="1250"/>
      <c r="W53" s="1251">
        <v>100</v>
      </c>
      <c r="X53" s="1250">
        <v>3011.95408</v>
      </c>
      <c r="Y53" s="1250"/>
      <c r="Z53" s="1250"/>
      <c r="AA53" s="1250"/>
      <c r="AB53" s="1250"/>
      <c r="AC53" s="1250"/>
      <c r="AD53" s="1250"/>
      <c r="AE53" s="1249">
        <v>100</v>
      </c>
      <c r="AF53" s="1250">
        <v>3011.95408</v>
      </c>
      <c r="AG53" s="111"/>
      <c r="AH53" s="111"/>
      <c r="AI53" s="111"/>
      <c r="AJ53" s="111"/>
      <c r="AK53" s="111"/>
      <c r="AL53" s="111"/>
      <c r="AM53" s="111">
        <v>9035.8622400000004</v>
      </c>
    </row>
    <row r="54" spans="1:39" ht="15" customHeight="1" x14ac:dyDescent="0.25">
      <c r="A54" s="1409"/>
      <c r="B54" s="1409"/>
      <c r="C54" s="1409"/>
      <c r="D54" s="1409"/>
      <c r="E54" s="1252"/>
      <c r="F54" s="1248" t="s">
        <v>1967</v>
      </c>
      <c r="G54" s="111"/>
      <c r="H54" s="1249">
        <v>22</v>
      </c>
      <c r="I54" s="111" t="s">
        <v>1721</v>
      </c>
      <c r="J54" s="1321" t="s">
        <v>5608</v>
      </c>
      <c r="K54" s="162" t="s">
        <v>5610</v>
      </c>
      <c r="L54" s="162" t="s">
        <v>5609</v>
      </c>
      <c r="M54" s="111">
        <v>23.84</v>
      </c>
      <c r="N54" s="111">
        <v>524.48</v>
      </c>
      <c r="O54" s="111"/>
      <c r="P54" s="111"/>
      <c r="Q54" s="111"/>
      <c r="R54" s="111"/>
      <c r="S54" s="1249">
        <v>12</v>
      </c>
      <c r="T54" s="1250">
        <v>174.82666666666668</v>
      </c>
      <c r="U54" s="1250"/>
      <c r="V54" s="1250"/>
      <c r="W54" s="1251">
        <v>5</v>
      </c>
      <c r="X54" s="1250">
        <v>174.82666666666668</v>
      </c>
      <c r="Y54" s="1250"/>
      <c r="Z54" s="1250"/>
      <c r="AA54" s="1250"/>
      <c r="AB54" s="1250"/>
      <c r="AC54" s="1250"/>
      <c r="AD54" s="1250"/>
      <c r="AE54" s="1249">
        <v>5</v>
      </c>
      <c r="AF54" s="1250">
        <v>174.82666666666668</v>
      </c>
      <c r="AG54" s="111"/>
      <c r="AH54" s="111"/>
      <c r="AI54" s="111"/>
      <c r="AJ54" s="111"/>
      <c r="AK54" s="111"/>
      <c r="AL54" s="111"/>
      <c r="AM54" s="111">
        <v>524.48</v>
      </c>
    </row>
    <row r="55" spans="1:39" ht="15" customHeight="1" x14ac:dyDescent="0.25">
      <c r="A55" s="1409"/>
      <c r="B55" s="1409"/>
      <c r="C55" s="1409"/>
      <c r="D55" s="1409"/>
      <c r="E55" s="1252"/>
      <c r="F55" s="1248" t="s">
        <v>32</v>
      </c>
      <c r="G55" s="111"/>
      <c r="H55" s="1249">
        <v>220</v>
      </c>
      <c r="I55" s="111" t="s">
        <v>1725</v>
      </c>
      <c r="J55" s="1321" t="s">
        <v>5608</v>
      </c>
      <c r="K55" s="162" t="s">
        <v>5610</v>
      </c>
      <c r="L55" s="162" t="s">
        <v>5609</v>
      </c>
      <c r="M55" s="111">
        <v>24.097209672727271</v>
      </c>
      <c r="N55" s="111">
        <v>5301.3861279999992</v>
      </c>
      <c r="O55" s="111"/>
      <c r="P55" s="111"/>
      <c r="Q55" s="111"/>
      <c r="R55" s="111"/>
      <c r="S55" s="1249">
        <v>100</v>
      </c>
      <c r="T55" s="1250">
        <v>1767.1287093333331</v>
      </c>
      <c r="U55" s="1250"/>
      <c r="V55" s="1250"/>
      <c r="W55" s="1251">
        <v>70</v>
      </c>
      <c r="X55" s="1250">
        <v>1767.1287093333331</v>
      </c>
      <c r="Y55" s="1250"/>
      <c r="Z55" s="1250"/>
      <c r="AA55" s="1250"/>
      <c r="AB55" s="1250"/>
      <c r="AC55" s="1250"/>
      <c r="AD55" s="1250"/>
      <c r="AE55" s="1249">
        <v>50</v>
      </c>
      <c r="AF55" s="1250">
        <v>1767.1287093333331</v>
      </c>
      <c r="AG55" s="111"/>
      <c r="AH55" s="111"/>
      <c r="AI55" s="111"/>
      <c r="AJ55" s="111"/>
      <c r="AK55" s="111"/>
      <c r="AL55" s="111"/>
      <c r="AM55" s="111">
        <v>5301.3861279999992</v>
      </c>
    </row>
    <row r="56" spans="1:39" ht="15" customHeight="1" x14ac:dyDescent="0.25">
      <c r="A56" s="1409"/>
      <c r="B56" s="1409"/>
      <c r="C56" s="1409"/>
      <c r="D56" s="1409"/>
      <c r="E56" s="1252"/>
      <c r="F56" s="1248" t="s">
        <v>33</v>
      </c>
      <c r="G56" s="111"/>
      <c r="H56" s="1249">
        <v>12</v>
      </c>
      <c r="I56" s="111" t="s">
        <v>1721</v>
      </c>
      <c r="J56" s="1321" t="s">
        <v>5608</v>
      </c>
      <c r="K56" s="162" t="s">
        <v>5610</v>
      </c>
      <c r="L56" s="162" t="s">
        <v>5609</v>
      </c>
      <c r="M56" s="111">
        <v>77.341066666666663</v>
      </c>
      <c r="N56" s="111">
        <v>928.0927999999999</v>
      </c>
      <c r="O56" s="111"/>
      <c r="P56" s="111"/>
      <c r="Q56" s="111"/>
      <c r="R56" s="111"/>
      <c r="S56" s="1249">
        <v>5</v>
      </c>
      <c r="T56" s="1250">
        <v>309.36426666666665</v>
      </c>
      <c r="U56" s="1250"/>
      <c r="V56" s="1250"/>
      <c r="W56" s="1251">
        <v>5</v>
      </c>
      <c r="X56" s="1250">
        <v>309.36426666666665</v>
      </c>
      <c r="Y56" s="1250"/>
      <c r="Z56" s="1250"/>
      <c r="AA56" s="1250"/>
      <c r="AB56" s="1250"/>
      <c r="AC56" s="1250"/>
      <c r="AD56" s="1250"/>
      <c r="AE56" s="1249">
        <v>2</v>
      </c>
      <c r="AF56" s="1250">
        <v>309.36426666666665</v>
      </c>
      <c r="AG56" s="111"/>
      <c r="AH56" s="111"/>
      <c r="AI56" s="111"/>
      <c r="AJ56" s="111"/>
      <c r="AK56" s="111"/>
      <c r="AL56" s="111"/>
      <c r="AM56" s="111">
        <v>928.0927999999999</v>
      </c>
    </row>
    <row r="57" spans="1:39" ht="15" customHeight="1" x14ac:dyDescent="0.25">
      <c r="A57" s="1409"/>
      <c r="B57" s="1409"/>
      <c r="C57" s="1409"/>
      <c r="D57" s="1409"/>
      <c r="E57" s="1252"/>
      <c r="F57" s="1248" t="s">
        <v>34</v>
      </c>
      <c r="G57" s="111"/>
      <c r="H57" s="1249">
        <v>148</v>
      </c>
      <c r="I57" s="111" t="s">
        <v>1721</v>
      </c>
      <c r="J57" s="1321" t="s">
        <v>5608</v>
      </c>
      <c r="K57" s="162" t="s">
        <v>5610</v>
      </c>
      <c r="L57" s="162" t="s">
        <v>5609</v>
      </c>
      <c r="M57" s="111">
        <v>15.499776172972975</v>
      </c>
      <c r="N57" s="111">
        <v>2293.9668736000003</v>
      </c>
      <c r="O57" s="111"/>
      <c r="P57" s="111"/>
      <c r="Q57" s="111"/>
      <c r="R57" s="111"/>
      <c r="S57" s="1249">
        <v>50</v>
      </c>
      <c r="T57" s="1250">
        <v>764.65562453333348</v>
      </c>
      <c r="U57" s="1250"/>
      <c r="V57" s="1250"/>
      <c r="W57" s="1251">
        <v>50</v>
      </c>
      <c r="X57" s="1250">
        <v>764.65562453333348</v>
      </c>
      <c r="Y57" s="1250"/>
      <c r="Z57" s="1250"/>
      <c r="AA57" s="1250"/>
      <c r="AB57" s="1250"/>
      <c r="AC57" s="1250"/>
      <c r="AD57" s="1250"/>
      <c r="AE57" s="1249">
        <v>48</v>
      </c>
      <c r="AF57" s="1250">
        <v>764.65562453333348</v>
      </c>
      <c r="AG57" s="111"/>
      <c r="AH57" s="111"/>
      <c r="AI57" s="111"/>
      <c r="AJ57" s="111"/>
      <c r="AK57" s="111"/>
      <c r="AL57" s="111"/>
      <c r="AM57" s="111">
        <v>2293.9668736000003</v>
      </c>
    </row>
    <row r="58" spans="1:39" ht="15" customHeight="1" x14ac:dyDescent="0.25">
      <c r="A58" s="1409"/>
      <c r="B58" s="1409"/>
      <c r="C58" s="1409"/>
      <c r="D58" s="1409"/>
      <c r="E58" s="1252"/>
      <c r="F58" s="1248" t="s">
        <v>35</v>
      </c>
      <c r="G58" s="111"/>
      <c r="H58" s="1249">
        <v>307</v>
      </c>
      <c r="I58" s="111" t="s">
        <v>1721</v>
      </c>
      <c r="J58" s="1321" t="s">
        <v>5608</v>
      </c>
      <c r="K58" s="162" t="s">
        <v>5610</v>
      </c>
      <c r="L58" s="162" t="s">
        <v>5609</v>
      </c>
      <c r="M58" s="111">
        <v>30.229150123778503</v>
      </c>
      <c r="N58" s="111">
        <v>9280.3490880000008</v>
      </c>
      <c r="O58" s="111"/>
      <c r="P58" s="111"/>
      <c r="Q58" s="111"/>
      <c r="R58" s="111"/>
      <c r="S58" s="1249">
        <v>107</v>
      </c>
      <c r="T58" s="1250">
        <v>3093.4496960000001</v>
      </c>
      <c r="U58" s="1250"/>
      <c r="V58" s="1250"/>
      <c r="W58" s="1251">
        <v>100</v>
      </c>
      <c r="X58" s="1250">
        <v>3093.4496960000001</v>
      </c>
      <c r="Y58" s="1250"/>
      <c r="Z58" s="1250"/>
      <c r="AA58" s="1250"/>
      <c r="AB58" s="1250"/>
      <c r="AC58" s="1250"/>
      <c r="AD58" s="1250"/>
      <c r="AE58" s="1249">
        <v>100</v>
      </c>
      <c r="AF58" s="1250">
        <v>3093.4496960000001</v>
      </c>
      <c r="AG58" s="111"/>
      <c r="AH58" s="111"/>
      <c r="AI58" s="111"/>
      <c r="AJ58" s="111"/>
      <c r="AK58" s="111"/>
      <c r="AL58" s="111"/>
      <c r="AM58" s="111">
        <v>9280.3490880000008</v>
      </c>
    </row>
    <row r="59" spans="1:39" ht="15" customHeight="1" x14ac:dyDescent="0.25">
      <c r="A59" s="1409"/>
      <c r="B59" s="1409"/>
      <c r="C59" s="1409"/>
      <c r="D59" s="1409"/>
      <c r="E59" s="1252"/>
      <c r="F59" s="1248" t="s">
        <v>2481</v>
      </c>
      <c r="G59" s="111"/>
      <c r="H59" s="1249">
        <v>8</v>
      </c>
      <c r="I59" s="111" t="s">
        <v>1721</v>
      </c>
      <c r="J59" s="1321" t="s">
        <v>5608</v>
      </c>
      <c r="K59" s="162" t="s">
        <v>5610</v>
      </c>
      <c r="L59" s="162" t="s">
        <v>5609</v>
      </c>
      <c r="M59" s="111">
        <v>54.8</v>
      </c>
      <c r="N59" s="111">
        <v>438.4</v>
      </c>
      <c r="O59" s="111"/>
      <c r="P59" s="111"/>
      <c r="Q59" s="111"/>
      <c r="R59" s="111"/>
      <c r="S59" s="1249">
        <v>4</v>
      </c>
      <c r="T59" s="1250">
        <v>146.13333333333333</v>
      </c>
      <c r="U59" s="1250"/>
      <c r="V59" s="1250"/>
      <c r="W59" s="1251">
        <v>2</v>
      </c>
      <c r="X59" s="1250">
        <v>146.13333333333333</v>
      </c>
      <c r="Y59" s="1250"/>
      <c r="Z59" s="1250"/>
      <c r="AA59" s="1250"/>
      <c r="AB59" s="1250"/>
      <c r="AC59" s="1250"/>
      <c r="AD59" s="1250"/>
      <c r="AE59" s="1249">
        <v>2</v>
      </c>
      <c r="AF59" s="1250">
        <v>146.13333333333333</v>
      </c>
      <c r="AG59" s="111"/>
      <c r="AH59" s="111"/>
      <c r="AI59" s="111"/>
      <c r="AJ59" s="111"/>
      <c r="AK59" s="111"/>
      <c r="AL59" s="111"/>
      <c r="AM59" s="111">
        <v>438.4</v>
      </c>
    </row>
    <row r="60" spans="1:39" ht="15" customHeight="1" x14ac:dyDescent="0.25">
      <c r="A60" s="1409"/>
      <c r="B60" s="1409"/>
      <c r="C60" s="1409"/>
      <c r="D60" s="1409"/>
      <c r="E60" s="1252"/>
      <c r="F60" s="1248" t="s">
        <v>1268</v>
      </c>
      <c r="G60" s="111"/>
      <c r="H60" s="1249">
        <v>1</v>
      </c>
      <c r="I60" s="111" t="s">
        <v>1721</v>
      </c>
      <c r="J60" s="1321" t="s">
        <v>5608</v>
      </c>
      <c r="K60" s="162" t="s">
        <v>5610</v>
      </c>
      <c r="L60" s="162" t="s">
        <v>5609</v>
      </c>
      <c r="M60" s="111">
        <v>62.01</v>
      </c>
      <c r="N60" s="111">
        <v>62.01</v>
      </c>
      <c r="O60" s="111"/>
      <c r="P60" s="111"/>
      <c r="Q60" s="111"/>
      <c r="R60" s="111"/>
      <c r="S60" s="1249">
        <v>1</v>
      </c>
      <c r="T60" s="1250">
        <v>20.669999999999998</v>
      </c>
      <c r="U60" s="1250"/>
      <c r="V60" s="1250"/>
      <c r="W60" s="1251">
        <v>0</v>
      </c>
      <c r="X60" s="1250">
        <v>20.669999999999998</v>
      </c>
      <c r="Y60" s="1250"/>
      <c r="Z60" s="1250"/>
      <c r="AA60" s="1250"/>
      <c r="AB60" s="1250"/>
      <c r="AC60" s="1250"/>
      <c r="AD60" s="1250"/>
      <c r="AE60" s="1249">
        <v>0</v>
      </c>
      <c r="AF60" s="1250">
        <v>20.669999999999998</v>
      </c>
      <c r="AG60" s="111"/>
      <c r="AH60" s="111"/>
      <c r="AI60" s="111"/>
      <c r="AJ60" s="111"/>
      <c r="AK60" s="111"/>
      <c r="AL60" s="111"/>
      <c r="AM60" s="111">
        <v>62.01</v>
      </c>
    </row>
    <row r="61" spans="1:39" ht="15" customHeight="1" x14ac:dyDescent="0.25">
      <c r="A61" s="1409"/>
      <c r="B61" s="1409"/>
      <c r="C61" s="1409"/>
      <c r="D61" s="1409"/>
      <c r="E61" s="1252"/>
      <c r="F61" s="1248" t="s">
        <v>2866</v>
      </c>
      <c r="G61" s="111"/>
      <c r="H61" s="1249">
        <v>12</v>
      </c>
      <c r="I61" s="111" t="s">
        <v>1721</v>
      </c>
      <c r="J61" s="1321" t="s">
        <v>5608</v>
      </c>
      <c r="K61" s="162" t="s">
        <v>5610</v>
      </c>
      <c r="L61" s="162" t="s">
        <v>5609</v>
      </c>
      <c r="M61" s="111">
        <v>17.399999999999999</v>
      </c>
      <c r="N61" s="111">
        <v>208.79999999999998</v>
      </c>
      <c r="O61" s="111"/>
      <c r="P61" s="111"/>
      <c r="Q61" s="111"/>
      <c r="R61" s="111"/>
      <c r="S61" s="1249">
        <v>5</v>
      </c>
      <c r="T61" s="1250">
        <v>69.599999999999994</v>
      </c>
      <c r="U61" s="1250"/>
      <c r="V61" s="1250"/>
      <c r="W61" s="1251">
        <v>5</v>
      </c>
      <c r="X61" s="1250">
        <v>69.599999999999994</v>
      </c>
      <c r="Y61" s="1250"/>
      <c r="Z61" s="1250"/>
      <c r="AA61" s="1250"/>
      <c r="AB61" s="1250"/>
      <c r="AC61" s="1250"/>
      <c r="AD61" s="1250"/>
      <c r="AE61" s="1249">
        <v>2</v>
      </c>
      <c r="AF61" s="1250">
        <v>69.599999999999994</v>
      </c>
      <c r="AG61" s="111"/>
      <c r="AH61" s="111"/>
      <c r="AI61" s="111"/>
      <c r="AJ61" s="111"/>
      <c r="AK61" s="111"/>
      <c r="AL61" s="111"/>
      <c r="AM61" s="111">
        <v>208.79999999999998</v>
      </c>
    </row>
    <row r="62" spans="1:39" ht="15" customHeight="1" x14ac:dyDescent="0.25">
      <c r="A62" s="1409"/>
      <c r="B62" s="1409"/>
      <c r="C62" s="1409"/>
      <c r="D62" s="1409"/>
      <c r="E62" s="1252"/>
      <c r="F62" s="1248" t="s">
        <v>2867</v>
      </c>
      <c r="G62" s="111"/>
      <c r="H62" s="1249">
        <v>12</v>
      </c>
      <c r="I62" s="111" t="s">
        <v>1721</v>
      </c>
      <c r="J62" s="1321" t="s">
        <v>5608</v>
      </c>
      <c r="K62" s="162" t="s">
        <v>5610</v>
      </c>
      <c r="L62" s="162" t="s">
        <v>5609</v>
      </c>
      <c r="M62" s="111">
        <v>155</v>
      </c>
      <c r="N62" s="111">
        <v>1860</v>
      </c>
      <c r="O62" s="111"/>
      <c r="P62" s="111"/>
      <c r="Q62" s="111"/>
      <c r="R62" s="111"/>
      <c r="S62" s="1249">
        <v>5</v>
      </c>
      <c r="T62" s="1250">
        <v>620</v>
      </c>
      <c r="U62" s="1250"/>
      <c r="V62" s="1250"/>
      <c r="W62" s="1251">
        <v>5</v>
      </c>
      <c r="X62" s="1250">
        <v>620</v>
      </c>
      <c r="Y62" s="1250"/>
      <c r="Z62" s="1250"/>
      <c r="AA62" s="1250"/>
      <c r="AB62" s="1250"/>
      <c r="AC62" s="1250"/>
      <c r="AD62" s="1250"/>
      <c r="AE62" s="1249">
        <v>2</v>
      </c>
      <c r="AF62" s="1250">
        <v>620</v>
      </c>
      <c r="AG62" s="111"/>
      <c r="AH62" s="111"/>
      <c r="AI62" s="111"/>
      <c r="AJ62" s="111"/>
      <c r="AK62" s="111"/>
      <c r="AL62" s="111"/>
      <c r="AM62" s="111">
        <v>1860</v>
      </c>
    </row>
    <row r="63" spans="1:39" ht="15" customHeight="1" x14ac:dyDescent="0.25">
      <c r="A63" s="1409"/>
      <c r="B63" s="1409"/>
      <c r="C63" s="1409"/>
      <c r="D63" s="1409"/>
      <c r="E63" s="1252"/>
      <c r="F63" s="1248" t="s">
        <v>3507</v>
      </c>
      <c r="G63" s="111"/>
      <c r="H63" s="1249">
        <v>14</v>
      </c>
      <c r="I63" s="111" t="s">
        <v>1721</v>
      </c>
      <c r="J63" s="1321" t="s">
        <v>5608</v>
      </c>
      <c r="K63" s="162" t="s">
        <v>5610</v>
      </c>
      <c r="L63" s="162" t="s">
        <v>5609</v>
      </c>
      <c r="M63" s="111">
        <v>38.589731428571433</v>
      </c>
      <c r="N63" s="111">
        <v>540.25624000000005</v>
      </c>
      <c r="O63" s="111"/>
      <c r="P63" s="111"/>
      <c r="Q63" s="111"/>
      <c r="R63" s="111"/>
      <c r="S63" s="1249">
        <v>5</v>
      </c>
      <c r="T63" s="1250">
        <v>180.08541333333335</v>
      </c>
      <c r="U63" s="1250"/>
      <c r="V63" s="1250"/>
      <c r="W63" s="1251">
        <v>5</v>
      </c>
      <c r="X63" s="1250">
        <v>180.08541333333335</v>
      </c>
      <c r="Y63" s="1250"/>
      <c r="Z63" s="1250"/>
      <c r="AA63" s="1250"/>
      <c r="AB63" s="1250"/>
      <c r="AC63" s="1250"/>
      <c r="AD63" s="1250"/>
      <c r="AE63" s="1249">
        <v>4</v>
      </c>
      <c r="AF63" s="1250">
        <v>180.08541333333335</v>
      </c>
      <c r="AG63" s="111"/>
      <c r="AH63" s="111"/>
      <c r="AI63" s="111"/>
      <c r="AJ63" s="111"/>
      <c r="AK63" s="111"/>
      <c r="AL63" s="111"/>
      <c r="AM63" s="111">
        <v>540.25624000000005</v>
      </c>
    </row>
    <row r="64" spans="1:39" ht="15" customHeight="1" x14ac:dyDescent="0.25">
      <c r="A64" s="1409"/>
      <c r="B64" s="1409"/>
      <c r="C64" s="1409"/>
      <c r="D64" s="1409"/>
      <c r="E64" s="1252"/>
      <c r="F64" s="1248" t="s">
        <v>37</v>
      </c>
      <c r="G64" s="111"/>
      <c r="H64" s="1249">
        <v>15</v>
      </c>
      <c r="I64" s="111" t="s">
        <v>1721</v>
      </c>
      <c r="J64" s="1321" t="s">
        <v>5608</v>
      </c>
      <c r="K64" s="162" t="s">
        <v>5610</v>
      </c>
      <c r="L64" s="162" t="s">
        <v>5609</v>
      </c>
      <c r="M64" s="111">
        <v>74.93816533333333</v>
      </c>
      <c r="N64" s="111">
        <v>1124.07248</v>
      </c>
      <c r="O64" s="111"/>
      <c r="P64" s="111"/>
      <c r="Q64" s="111"/>
      <c r="R64" s="111"/>
      <c r="S64" s="1249">
        <v>5</v>
      </c>
      <c r="T64" s="1250">
        <v>374.69082666666668</v>
      </c>
      <c r="U64" s="1250"/>
      <c r="V64" s="1250"/>
      <c r="W64" s="1251">
        <v>5</v>
      </c>
      <c r="X64" s="1250">
        <v>374.69082666666668</v>
      </c>
      <c r="Y64" s="1250"/>
      <c r="Z64" s="1250"/>
      <c r="AA64" s="1250"/>
      <c r="AB64" s="1250"/>
      <c r="AC64" s="1250"/>
      <c r="AD64" s="1250"/>
      <c r="AE64" s="1249">
        <v>5</v>
      </c>
      <c r="AF64" s="1250">
        <v>374.69082666666668</v>
      </c>
      <c r="AG64" s="111"/>
      <c r="AH64" s="111"/>
      <c r="AI64" s="111"/>
      <c r="AJ64" s="111"/>
      <c r="AK64" s="111"/>
      <c r="AL64" s="111"/>
      <c r="AM64" s="111">
        <v>1124.07248</v>
      </c>
    </row>
    <row r="65" spans="1:39" ht="15" customHeight="1" x14ac:dyDescent="0.25">
      <c r="A65" s="1409"/>
      <c r="B65" s="1409"/>
      <c r="C65" s="1409"/>
      <c r="D65" s="1409"/>
      <c r="E65" s="1252"/>
      <c r="F65" s="1248" t="s">
        <v>2135</v>
      </c>
      <c r="G65" s="111"/>
      <c r="H65" s="1249">
        <v>4</v>
      </c>
      <c r="I65" s="111" t="s">
        <v>1721</v>
      </c>
      <c r="J65" s="1321" t="s">
        <v>5608</v>
      </c>
      <c r="K65" s="162" t="s">
        <v>5610</v>
      </c>
      <c r="L65" s="162" t="s">
        <v>5609</v>
      </c>
      <c r="M65" s="111">
        <v>150.21072000000004</v>
      </c>
      <c r="N65" s="111">
        <v>600.84288000000015</v>
      </c>
      <c r="O65" s="111"/>
      <c r="P65" s="111"/>
      <c r="Q65" s="111"/>
      <c r="R65" s="111"/>
      <c r="S65" s="1249">
        <v>2</v>
      </c>
      <c r="T65" s="1250">
        <v>200.28096000000005</v>
      </c>
      <c r="U65" s="1250"/>
      <c r="V65" s="1250"/>
      <c r="W65" s="1251">
        <v>1</v>
      </c>
      <c r="X65" s="1250">
        <v>200.28096000000005</v>
      </c>
      <c r="Y65" s="1250"/>
      <c r="Z65" s="1250"/>
      <c r="AA65" s="1250"/>
      <c r="AB65" s="1250"/>
      <c r="AC65" s="1250"/>
      <c r="AD65" s="1250"/>
      <c r="AE65" s="1249">
        <v>1</v>
      </c>
      <c r="AF65" s="1250">
        <v>200.28096000000005</v>
      </c>
      <c r="AG65" s="111"/>
      <c r="AH65" s="111"/>
      <c r="AI65" s="111"/>
      <c r="AJ65" s="111"/>
      <c r="AK65" s="111"/>
      <c r="AL65" s="111"/>
      <c r="AM65" s="111">
        <v>600.84288000000015</v>
      </c>
    </row>
    <row r="66" spans="1:39" ht="15" customHeight="1" x14ac:dyDescent="0.25">
      <c r="A66" s="1409"/>
      <c r="B66" s="1409"/>
      <c r="C66" s="1409"/>
      <c r="D66" s="1409"/>
      <c r="E66" s="1252"/>
      <c r="F66" s="1248" t="s">
        <v>4381</v>
      </c>
      <c r="G66" s="111"/>
      <c r="H66" s="1249">
        <v>2</v>
      </c>
      <c r="I66" s="111" t="s">
        <v>1721</v>
      </c>
      <c r="J66" s="1321" t="s">
        <v>5608</v>
      </c>
      <c r="K66" s="162" t="s">
        <v>5610</v>
      </c>
      <c r="L66" s="162" t="s">
        <v>5609</v>
      </c>
      <c r="M66" s="111">
        <v>559.15200000000004</v>
      </c>
      <c r="N66" s="111">
        <v>1118.3040000000001</v>
      </c>
      <c r="O66" s="111"/>
      <c r="P66" s="111"/>
      <c r="Q66" s="111"/>
      <c r="R66" s="111"/>
      <c r="S66" s="1249">
        <v>1</v>
      </c>
      <c r="T66" s="1250">
        <v>372.76800000000003</v>
      </c>
      <c r="U66" s="1250"/>
      <c r="V66" s="1250"/>
      <c r="W66" s="1251">
        <v>1</v>
      </c>
      <c r="X66" s="1250">
        <v>372.76800000000003</v>
      </c>
      <c r="Y66" s="1250"/>
      <c r="Z66" s="1250"/>
      <c r="AA66" s="1250"/>
      <c r="AB66" s="1250"/>
      <c r="AC66" s="1250"/>
      <c r="AD66" s="1250"/>
      <c r="AE66" s="1249">
        <v>0</v>
      </c>
      <c r="AF66" s="1250">
        <v>372.76800000000003</v>
      </c>
      <c r="AG66" s="111"/>
      <c r="AH66" s="111"/>
      <c r="AI66" s="111"/>
      <c r="AJ66" s="111"/>
      <c r="AK66" s="111"/>
      <c r="AL66" s="111"/>
      <c r="AM66" s="111">
        <v>1118.3040000000001</v>
      </c>
    </row>
    <row r="67" spans="1:39" ht="15" customHeight="1" x14ac:dyDescent="0.25">
      <c r="A67" s="1409"/>
      <c r="B67" s="1409"/>
      <c r="C67" s="1409"/>
      <c r="D67" s="1409"/>
      <c r="E67" s="1252"/>
      <c r="F67" s="1248" t="s">
        <v>3506</v>
      </c>
      <c r="G67" s="111"/>
      <c r="H67" s="1249">
        <v>17</v>
      </c>
      <c r="I67" s="111" t="s">
        <v>1721</v>
      </c>
      <c r="J67" s="1321" t="s">
        <v>5608</v>
      </c>
      <c r="K67" s="162" t="s">
        <v>5610</v>
      </c>
      <c r="L67" s="162" t="s">
        <v>5609</v>
      </c>
      <c r="M67" s="111">
        <v>12.794127058823529</v>
      </c>
      <c r="N67" s="111">
        <v>217.50015999999999</v>
      </c>
      <c r="O67" s="111"/>
      <c r="P67" s="111"/>
      <c r="Q67" s="111"/>
      <c r="R67" s="111"/>
      <c r="S67" s="1249">
        <v>7</v>
      </c>
      <c r="T67" s="1250">
        <v>72.500053333333327</v>
      </c>
      <c r="U67" s="1250"/>
      <c r="V67" s="1250"/>
      <c r="W67" s="1251">
        <v>5</v>
      </c>
      <c r="X67" s="1250">
        <v>72.500053333333327</v>
      </c>
      <c r="Y67" s="1250"/>
      <c r="Z67" s="1250"/>
      <c r="AA67" s="1250"/>
      <c r="AB67" s="1250"/>
      <c r="AC67" s="1250"/>
      <c r="AD67" s="1250"/>
      <c r="AE67" s="1249">
        <v>5</v>
      </c>
      <c r="AF67" s="1250">
        <v>72.500053333333327</v>
      </c>
      <c r="AG67" s="111"/>
      <c r="AH67" s="111"/>
      <c r="AI67" s="111"/>
      <c r="AJ67" s="111"/>
      <c r="AK67" s="111"/>
      <c r="AL67" s="111"/>
      <c r="AM67" s="111">
        <v>217.50015999999999</v>
      </c>
    </row>
    <row r="68" spans="1:39" ht="15" customHeight="1" x14ac:dyDescent="0.25">
      <c r="A68" s="1409"/>
      <c r="B68" s="1409"/>
      <c r="C68" s="1409"/>
      <c r="D68" s="1409"/>
      <c r="E68" s="1252"/>
      <c r="F68" s="1248" t="s">
        <v>2868</v>
      </c>
      <c r="G68" s="111"/>
      <c r="H68" s="1249">
        <v>60</v>
      </c>
      <c r="I68" s="111" t="s">
        <v>1721</v>
      </c>
      <c r="J68" s="1321" t="s">
        <v>5608</v>
      </c>
      <c r="K68" s="162" t="s">
        <v>5610</v>
      </c>
      <c r="L68" s="162" t="s">
        <v>5609</v>
      </c>
      <c r="M68" s="111">
        <v>14.999766666666664</v>
      </c>
      <c r="N68" s="111">
        <v>899.98599999999988</v>
      </c>
      <c r="O68" s="111"/>
      <c r="P68" s="111"/>
      <c r="Q68" s="111"/>
      <c r="R68" s="111"/>
      <c r="S68" s="1249">
        <v>30</v>
      </c>
      <c r="T68" s="1250">
        <v>299.99533333333329</v>
      </c>
      <c r="U68" s="1250"/>
      <c r="V68" s="1250"/>
      <c r="W68" s="1251">
        <v>20</v>
      </c>
      <c r="X68" s="1250">
        <v>299.99533333333329</v>
      </c>
      <c r="Y68" s="1250"/>
      <c r="Z68" s="1250"/>
      <c r="AA68" s="1250"/>
      <c r="AB68" s="1250"/>
      <c r="AC68" s="1250"/>
      <c r="AD68" s="1250"/>
      <c r="AE68" s="1249">
        <v>10</v>
      </c>
      <c r="AF68" s="1250">
        <v>299.99533333333329</v>
      </c>
      <c r="AG68" s="111"/>
      <c r="AH68" s="111"/>
      <c r="AI68" s="111"/>
      <c r="AJ68" s="111"/>
      <c r="AK68" s="111"/>
      <c r="AL68" s="111"/>
      <c r="AM68" s="111">
        <v>899.98599999999988</v>
      </c>
    </row>
    <row r="69" spans="1:39" ht="15" customHeight="1" x14ac:dyDescent="0.25">
      <c r="A69" s="1409"/>
      <c r="B69" s="1409"/>
      <c r="C69" s="1409"/>
      <c r="D69" s="1409"/>
      <c r="E69" s="1252"/>
      <c r="F69" s="1248" t="s">
        <v>40</v>
      </c>
      <c r="G69" s="111"/>
      <c r="H69" s="1249">
        <v>121</v>
      </c>
      <c r="I69" s="111" t="s">
        <v>1721</v>
      </c>
      <c r="J69" s="1321" t="s">
        <v>5608</v>
      </c>
      <c r="K69" s="162" t="s">
        <v>5610</v>
      </c>
      <c r="L69" s="162" t="s">
        <v>5609</v>
      </c>
      <c r="M69" s="111">
        <v>17.118540165289254</v>
      </c>
      <c r="N69" s="111">
        <v>2071.3433599999998</v>
      </c>
      <c r="O69" s="111"/>
      <c r="P69" s="111"/>
      <c r="Q69" s="111"/>
      <c r="R69" s="111"/>
      <c r="S69" s="1249">
        <v>41</v>
      </c>
      <c r="T69" s="1250">
        <v>690.44778666666662</v>
      </c>
      <c r="U69" s="1250"/>
      <c r="V69" s="1250"/>
      <c r="W69" s="1251">
        <v>40</v>
      </c>
      <c r="X69" s="1250">
        <v>690.44778666666662</v>
      </c>
      <c r="Y69" s="1250"/>
      <c r="Z69" s="1250"/>
      <c r="AA69" s="1250"/>
      <c r="AB69" s="1250"/>
      <c r="AC69" s="1250"/>
      <c r="AD69" s="1250"/>
      <c r="AE69" s="1249">
        <v>40</v>
      </c>
      <c r="AF69" s="1250">
        <v>690.44778666666662</v>
      </c>
      <c r="AG69" s="111"/>
      <c r="AH69" s="111"/>
      <c r="AI69" s="111"/>
      <c r="AJ69" s="111"/>
      <c r="AK69" s="111"/>
      <c r="AL69" s="111"/>
      <c r="AM69" s="111">
        <v>2071.3433599999998</v>
      </c>
    </row>
    <row r="70" spans="1:39" ht="15" customHeight="1" x14ac:dyDescent="0.25">
      <c r="A70" s="1409"/>
      <c r="B70" s="1409"/>
      <c r="C70" s="1409"/>
      <c r="D70" s="1409"/>
      <c r="E70" s="1252"/>
      <c r="F70" s="1248" t="s">
        <v>4382</v>
      </c>
      <c r="G70" s="111"/>
      <c r="H70" s="1249">
        <v>14</v>
      </c>
      <c r="I70" s="111" t="s">
        <v>1721</v>
      </c>
      <c r="J70" s="1321" t="s">
        <v>5608</v>
      </c>
      <c r="K70" s="162" t="s">
        <v>5610</v>
      </c>
      <c r="L70" s="162" t="s">
        <v>5609</v>
      </c>
      <c r="M70" s="111">
        <v>42.5</v>
      </c>
      <c r="N70" s="111">
        <v>595</v>
      </c>
      <c r="O70" s="111"/>
      <c r="P70" s="111"/>
      <c r="Q70" s="111"/>
      <c r="R70" s="111"/>
      <c r="S70" s="1249">
        <v>5</v>
      </c>
      <c r="T70" s="1250">
        <v>198.33333333333334</v>
      </c>
      <c r="U70" s="1250"/>
      <c r="V70" s="1250"/>
      <c r="W70" s="1251">
        <v>5</v>
      </c>
      <c r="X70" s="1250">
        <v>198.33333333333334</v>
      </c>
      <c r="Y70" s="1250"/>
      <c r="Z70" s="1250"/>
      <c r="AA70" s="1250"/>
      <c r="AB70" s="1250"/>
      <c r="AC70" s="1250"/>
      <c r="AD70" s="1250"/>
      <c r="AE70" s="1249">
        <v>4</v>
      </c>
      <c r="AF70" s="1250">
        <v>198.33333333333334</v>
      </c>
      <c r="AG70" s="111"/>
      <c r="AH70" s="111"/>
      <c r="AI70" s="111"/>
      <c r="AJ70" s="111"/>
      <c r="AK70" s="111"/>
      <c r="AL70" s="111"/>
      <c r="AM70" s="111">
        <v>595</v>
      </c>
    </row>
    <row r="71" spans="1:39" ht="15" customHeight="1" x14ac:dyDescent="0.25">
      <c r="A71" s="1409"/>
      <c r="B71" s="1409"/>
      <c r="C71" s="1409"/>
      <c r="D71" s="1409"/>
      <c r="E71" s="1252"/>
      <c r="F71" s="1248" t="s">
        <v>42</v>
      </c>
      <c r="G71" s="111"/>
      <c r="H71" s="1249">
        <v>40</v>
      </c>
      <c r="I71" s="111" t="s">
        <v>1721</v>
      </c>
      <c r="J71" s="1321" t="s">
        <v>5608</v>
      </c>
      <c r="K71" s="162" t="s">
        <v>5610</v>
      </c>
      <c r="L71" s="162" t="s">
        <v>5609</v>
      </c>
      <c r="M71" s="111">
        <v>51.697491999999997</v>
      </c>
      <c r="N71" s="111">
        <v>2067.89968</v>
      </c>
      <c r="O71" s="111"/>
      <c r="P71" s="111"/>
      <c r="Q71" s="111"/>
      <c r="R71" s="111"/>
      <c r="S71" s="1249">
        <v>15</v>
      </c>
      <c r="T71" s="1250">
        <v>689.29989333333333</v>
      </c>
      <c r="U71" s="1250"/>
      <c r="V71" s="1250"/>
      <c r="W71" s="1251">
        <v>15</v>
      </c>
      <c r="X71" s="1250">
        <v>689.29989333333333</v>
      </c>
      <c r="Y71" s="1250"/>
      <c r="Z71" s="1250"/>
      <c r="AA71" s="1250"/>
      <c r="AB71" s="1250"/>
      <c r="AC71" s="1250"/>
      <c r="AD71" s="1250"/>
      <c r="AE71" s="1249">
        <v>10</v>
      </c>
      <c r="AF71" s="1250">
        <v>689.29989333333333</v>
      </c>
      <c r="AG71" s="111"/>
      <c r="AH71" s="111"/>
      <c r="AI71" s="111"/>
      <c r="AJ71" s="111"/>
      <c r="AK71" s="111"/>
      <c r="AL71" s="111"/>
      <c r="AM71" s="111">
        <v>2067.89968</v>
      </c>
    </row>
    <row r="72" spans="1:39" ht="15" customHeight="1" x14ac:dyDescent="0.25">
      <c r="A72" s="1409"/>
      <c r="B72" s="1409"/>
      <c r="C72" s="1409"/>
      <c r="D72" s="1409"/>
      <c r="E72" s="1252"/>
      <c r="F72" s="1248" t="s">
        <v>43</v>
      </c>
      <c r="G72" s="111"/>
      <c r="H72" s="1249">
        <v>88</v>
      </c>
      <c r="I72" s="111" t="s">
        <v>1721</v>
      </c>
      <c r="J72" s="1321" t="s">
        <v>5608</v>
      </c>
      <c r="K72" s="162" t="s">
        <v>5610</v>
      </c>
      <c r="L72" s="162" t="s">
        <v>5609</v>
      </c>
      <c r="M72" s="111">
        <v>28.726175090909091</v>
      </c>
      <c r="N72" s="111">
        <v>2527.9034080000001</v>
      </c>
      <c r="O72" s="111"/>
      <c r="P72" s="111"/>
      <c r="Q72" s="111"/>
      <c r="R72" s="111"/>
      <c r="S72" s="1249">
        <v>40</v>
      </c>
      <c r="T72" s="1250">
        <v>842.63446933333341</v>
      </c>
      <c r="U72" s="1250"/>
      <c r="V72" s="1250"/>
      <c r="W72" s="1251">
        <v>38</v>
      </c>
      <c r="X72" s="1250">
        <v>842.63446933333341</v>
      </c>
      <c r="Y72" s="1250"/>
      <c r="Z72" s="1250"/>
      <c r="AA72" s="1250"/>
      <c r="AB72" s="1250"/>
      <c r="AC72" s="1250"/>
      <c r="AD72" s="1250"/>
      <c r="AE72" s="1249">
        <v>10</v>
      </c>
      <c r="AF72" s="1250">
        <v>842.63446933333341</v>
      </c>
      <c r="AG72" s="111"/>
      <c r="AH72" s="111"/>
      <c r="AI72" s="111"/>
      <c r="AJ72" s="111"/>
      <c r="AK72" s="111"/>
      <c r="AL72" s="111"/>
      <c r="AM72" s="111">
        <v>2527.9034080000001</v>
      </c>
    </row>
    <row r="73" spans="1:39" ht="15" customHeight="1" x14ac:dyDescent="0.25">
      <c r="A73" s="1409"/>
      <c r="B73" s="1409"/>
      <c r="C73" s="1409"/>
      <c r="D73" s="1409"/>
      <c r="E73" s="1252"/>
      <c r="F73" s="1248" t="s">
        <v>2536</v>
      </c>
      <c r="G73" s="111"/>
      <c r="H73" s="1249">
        <v>1</v>
      </c>
      <c r="I73" s="111" t="s">
        <v>1721</v>
      </c>
      <c r="J73" s="1321" t="s">
        <v>5608</v>
      </c>
      <c r="K73" s="162" t="s">
        <v>5610</v>
      </c>
      <c r="L73" s="162" t="s">
        <v>5609</v>
      </c>
      <c r="M73" s="111">
        <v>378.97</v>
      </c>
      <c r="N73" s="111">
        <v>378.97</v>
      </c>
      <c r="O73" s="111"/>
      <c r="P73" s="111"/>
      <c r="Q73" s="111"/>
      <c r="R73" s="111"/>
      <c r="S73" s="1249">
        <v>1</v>
      </c>
      <c r="T73" s="1250">
        <v>126.32333333333334</v>
      </c>
      <c r="U73" s="1250"/>
      <c r="V73" s="1250"/>
      <c r="W73" s="1251">
        <v>0</v>
      </c>
      <c r="X73" s="1250">
        <v>126.32333333333334</v>
      </c>
      <c r="Y73" s="1250"/>
      <c r="Z73" s="1250"/>
      <c r="AA73" s="1250"/>
      <c r="AB73" s="1250"/>
      <c r="AC73" s="1250"/>
      <c r="AD73" s="1250"/>
      <c r="AE73" s="1249">
        <v>0</v>
      </c>
      <c r="AF73" s="1250">
        <v>126.32333333333334</v>
      </c>
      <c r="AG73" s="111"/>
      <c r="AH73" s="111"/>
      <c r="AI73" s="111"/>
      <c r="AJ73" s="111"/>
      <c r="AK73" s="111"/>
      <c r="AL73" s="111"/>
      <c r="AM73" s="111">
        <v>378.97</v>
      </c>
    </row>
    <row r="74" spans="1:39" ht="15" customHeight="1" x14ac:dyDescent="0.25">
      <c r="A74" s="1409"/>
      <c r="B74" s="1409"/>
      <c r="C74" s="1409"/>
      <c r="D74" s="1409"/>
      <c r="E74" s="1252"/>
      <c r="F74" s="1248" t="s">
        <v>44</v>
      </c>
      <c r="G74" s="111"/>
      <c r="H74" s="1249">
        <v>78</v>
      </c>
      <c r="I74" s="111" t="s">
        <v>1721</v>
      </c>
      <c r="J74" s="1321" t="s">
        <v>5608</v>
      </c>
      <c r="K74" s="162" t="s">
        <v>5610</v>
      </c>
      <c r="L74" s="162" t="s">
        <v>5609</v>
      </c>
      <c r="M74" s="111">
        <v>12.027485333333333</v>
      </c>
      <c r="N74" s="111">
        <v>938.14385599999991</v>
      </c>
      <c r="O74" s="111"/>
      <c r="P74" s="111"/>
      <c r="Q74" s="111"/>
      <c r="R74" s="111"/>
      <c r="S74" s="1249">
        <v>38</v>
      </c>
      <c r="T74" s="1250">
        <v>312.71461866666669</v>
      </c>
      <c r="U74" s="1250"/>
      <c r="V74" s="1250"/>
      <c r="W74" s="1251">
        <v>30</v>
      </c>
      <c r="X74" s="1250">
        <v>312.71461866666669</v>
      </c>
      <c r="Y74" s="1250"/>
      <c r="Z74" s="1250"/>
      <c r="AA74" s="1250"/>
      <c r="AB74" s="1250"/>
      <c r="AC74" s="1250"/>
      <c r="AD74" s="1250"/>
      <c r="AE74" s="1249">
        <v>10</v>
      </c>
      <c r="AF74" s="1250">
        <v>312.71461866666669</v>
      </c>
      <c r="AG74" s="111"/>
      <c r="AH74" s="111"/>
      <c r="AI74" s="111"/>
      <c r="AJ74" s="111"/>
      <c r="AK74" s="111"/>
      <c r="AL74" s="111"/>
      <c r="AM74" s="111">
        <v>938.14385600000003</v>
      </c>
    </row>
    <row r="75" spans="1:39" ht="15" customHeight="1" x14ac:dyDescent="0.25">
      <c r="A75" s="1409"/>
      <c r="B75" s="1409"/>
      <c r="C75" s="1409"/>
      <c r="D75" s="1409"/>
      <c r="E75" s="1252"/>
      <c r="F75" s="1248" t="s">
        <v>45</v>
      </c>
      <c r="G75" s="111"/>
      <c r="H75" s="1249">
        <v>303</v>
      </c>
      <c r="I75" s="111" t="s">
        <v>1722</v>
      </c>
      <c r="J75" s="1321" t="s">
        <v>5608</v>
      </c>
      <c r="K75" s="162" t="s">
        <v>5610</v>
      </c>
      <c r="L75" s="162" t="s">
        <v>5609</v>
      </c>
      <c r="M75" s="111">
        <v>17.052327128712871</v>
      </c>
      <c r="N75" s="111">
        <v>5166.8551200000002</v>
      </c>
      <c r="O75" s="111"/>
      <c r="P75" s="111"/>
      <c r="Q75" s="111"/>
      <c r="R75" s="111"/>
      <c r="S75" s="1249">
        <v>103</v>
      </c>
      <c r="T75" s="1250">
        <v>1722.28504</v>
      </c>
      <c r="U75" s="1250"/>
      <c r="V75" s="1250"/>
      <c r="W75" s="1251">
        <v>100</v>
      </c>
      <c r="X75" s="1250">
        <v>1722.28504</v>
      </c>
      <c r="Y75" s="1250"/>
      <c r="Z75" s="1250"/>
      <c r="AA75" s="1250"/>
      <c r="AB75" s="1250"/>
      <c r="AC75" s="1250"/>
      <c r="AD75" s="1250"/>
      <c r="AE75" s="1249">
        <v>100</v>
      </c>
      <c r="AF75" s="1250">
        <v>1722.28504</v>
      </c>
      <c r="AG75" s="111"/>
      <c r="AH75" s="111"/>
      <c r="AI75" s="111"/>
      <c r="AJ75" s="111"/>
      <c r="AK75" s="111"/>
      <c r="AL75" s="111"/>
      <c r="AM75" s="111">
        <v>5166.8551200000002</v>
      </c>
    </row>
    <row r="76" spans="1:39" ht="15" customHeight="1" x14ac:dyDescent="0.25">
      <c r="A76" s="1409"/>
      <c r="B76" s="1409"/>
      <c r="C76" s="1409"/>
      <c r="D76" s="1409"/>
      <c r="E76" s="1252"/>
      <c r="F76" s="1248" t="s">
        <v>46</v>
      </c>
      <c r="G76" s="111"/>
      <c r="H76" s="1249">
        <v>74</v>
      </c>
      <c r="I76" s="111" t="s">
        <v>1722</v>
      </c>
      <c r="J76" s="1321" t="s">
        <v>5608</v>
      </c>
      <c r="K76" s="162" t="s">
        <v>5610</v>
      </c>
      <c r="L76" s="162" t="s">
        <v>5609</v>
      </c>
      <c r="M76" s="111">
        <v>15.714473513513516</v>
      </c>
      <c r="N76" s="111">
        <v>1162.8710400000002</v>
      </c>
      <c r="O76" s="111"/>
      <c r="P76" s="111"/>
      <c r="Q76" s="111"/>
      <c r="R76" s="111"/>
      <c r="S76" s="1249">
        <v>34</v>
      </c>
      <c r="T76" s="1250">
        <v>387.62368000000009</v>
      </c>
      <c r="U76" s="1250"/>
      <c r="V76" s="1250"/>
      <c r="W76" s="1251">
        <v>30</v>
      </c>
      <c r="X76" s="1250">
        <v>387.62368000000009</v>
      </c>
      <c r="Y76" s="1250"/>
      <c r="Z76" s="1250"/>
      <c r="AA76" s="1250"/>
      <c r="AB76" s="1250"/>
      <c r="AC76" s="1250"/>
      <c r="AD76" s="1250"/>
      <c r="AE76" s="1249">
        <v>10</v>
      </c>
      <c r="AF76" s="1250">
        <v>387.62368000000009</v>
      </c>
      <c r="AG76" s="111"/>
      <c r="AH76" s="111"/>
      <c r="AI76" s="111"/>
      <c r="AJ76" s="111"/>
      <c r="AK76" s="111"/>
      <c r="AL76" s="111"/>
      <c r="AM76" s="111">
        <v>1162.8710400000002</v>
      </c>
    </row>
    <row r="77" spans="1:39" ht="15" customHeight="1" x14ac:dyDescent="0.25">
      <c r="A77" s="1409"/>
      <c r="B77" s="1409"/>
      <c r="C77" s="1409"/>
      <c r="D77" s="1409"/>
      <c r="E77" s="1252"/>
      <c r="F77" s="1248" t="s">
        <v>4383</v>
      </c>
      <c r="G77" s="111"/>
      <c r="H77" s="1249">
        <v>3</v>
      </c>
      <c r="I77" s="111" t="s">
        <v>1722</v>
      </c>
      <c r="J77" s="1321" t="s">
        <v>5608</v>
      </c>
      <c r="K77" s="162" t="s">
        <v>5610</v>
      </c>
      <c r="L77" s="162" t="s">
        <v>5609</v>
      </c>
      <c r="M77" s="111">
        <v>40.5</v>
      </c>
      <c r="N77" s="111">
        <v>121.5</v>
      </c>
      <c r="O77" s="111"/>
      <c r="P77" s="111"/>
      <c r="Q77" s="111"/>
      <c r="R77" s="111"/>
      <c r="S77" s="1249">
        <v>2</v>
      </c>
      <c r="T77" s="1250">
        <v>40.5</v>
      </c>
      <c r="U77" s="1250"/>
      <c r="V77" s="1250"/>
      <c r="W77" s="1251">
        <v>1</v>
      </c>
      <c r="X77" s="1250">
        <v>40.5</v>
      </c>
      <c r="Y77" s="1250"/>
      <c r="Z77" s="1250"/>
      <c r="AA77" s="1250"/>
      <c r="AB77" s="1250"/>
      <c r="AC77" s="1250"/>
      <c r="AD77" s="1250"/>
      <c r="AE77" s="1249">
        <v>0</v>
      </c>
      <c r="AF77" s="1250">
        <v>40.5</v>
      </c>
      <c r="AG77" s="111"/>
      <c r="AH77" s="111"/>
      <c r="AI77" s="111"/>
      <c r="AJ77" s="111"/>
      <c r="AK77" s="111"/>
      <c r="AL77" s="111"/>
      <c r="AM77" s="111">
        <v>121.5</v>
      </c>
    </row>
    <row r="78" spans="1:39" ht="15" customHeight="1" x14ac:dyDescent="0.25">
      <c r="A78" s="1409"/>
      <c r="B78" s="1409"/>
      <c r="C78" s="1409"/>
      <c r="D78" s="1409"/>
      <c r="E78" s="1252"/>
      <c r="F78" s="1248" t="s">
        <v>4384</v>
      </c>
      <c r="G78" s="111"/>
      <c r="H78" s="1249">
        <v>3</v>
      </c>
      <c r="I78" s="111" t="s">
        <v>1722</v>
      </c>
      <c r="J78" s="1321" t="s">
        <v>5608</v>
      </c>
      <c r="K78" s="162" t="s">
        <v>5610</v>
      </c>
      <c r="L78" s="162" t="s">
        <v>5609</v>
      </c>
      <c r="M78" s="111">
        <v>50.79</v>
      </c>
      <c r="N78" s="111">
        <v>152.37</v>
      </c>
      <c r="O78" s="111"/>
      <c r="P78" s="111"/>
      <c r="Q78" s="111"/>
      <c r="R78" s="111"/>
      <c r="S78" s="1249">
        <v>2</v>
      </c>
      <c r="T78" s="1250">
        <v>50.79</v>
      </c>
      <c r="U78" s="1250"/>
      <c r="V78" s="1250"/>
      <c r="W78" s="1251">
        <v>1</v>
      </c>
      <c r="X78" s="1250">
        <v>50.79</v>
      </c>
      <c r="Y78" s="1250"/>
      <c r="Z78" s="1250"/>
      <c r="AA78" s="1250"/>
      <c r="AB78" s="1250"/>
      <c r="AC78" s="1250"/>
      <c r="AD78" s="1250"/>
      <c r="AE78" s="1249">
        <v>0</v>
      </c>
      <c r="AF78" s="1250">
        <v>50.79</v>
      </c>
      <c r="AG78" s="111"/>
      <c r="AH78" s="111"/>
      <c r="AI78" s="111"/>
      <c r="AJ78" s="111"/>
      <c r="AK78" s="111"/>
      <c r="AL78" s="111"/>
      <c r="AM78" s="111">
        <v>152.37</v>
      </c>
    </row>
    <row r="79" spans="1:39" ht="15" customHeight="1" x14ac:dyDescent="0.25">
      <c r="A79" s="1409"/>
      <c r="B79" s="1409"/>
      <c r="C79" s="1409"/>
      <c r="D79" s="1409"/>
      <c r="E79" s="1252"/>
      <c r="F79" s="1248" t="s">
        <v>47</v>
      </c>
      <c r="G79" s="111"/>
      <c r="H79" s="1249">
        <v>62</v>
      </c>
      <c r="I79" s="111" t="s">
        <v>1722</v>
      </c>
      <c r="J79" s="1321" t="s">
        <v>5608</v>
      </c>
      <c r="K79" s="162" t="s">
        <v>5610</v>
      </c>
      <c r="L79" s="162" t="s">
        <v>5609</v>
      </c>
      <c r="M79" s="111">
        <v>84.335541935483889</v>
      </c>
      <c r="N79" s="111">
        <v>5228.8036000000011</v>
      </c>
      <c r="O79" s="111"/>
      <c r="P79" s="111"/>
      <c r="Q79" s="111"/>
      <c r="R79" s="111"/>
      <c r="S79" s="1249">
        <v>32</v>
      </c>
      <c r="T79" s="1250">
        <v>1742.9345333333338</v>
      </c>
      <c r="U79" s="1250"/>
      <c r="V79" s="1250"/>
      <c r="W79" s="1251">
        <v>20</v>
      </c>
      <c r="X79" s="1250">
        <v>1742.9345333333338</v>
      </c>
      <c r="Y79" s="1250"/>
      <c r="Z79" s="1250"/>
      <c r="AA79" s="1250"/>
      <c r="AB79" s="1250"/>
      <c r="AC79" s="1250"/>
      <c r="AD79" s="1250"/>
      <c r="AE79" s="1249">
        <v>10</v>
      </c>
      <c r="AF79" s="1250">
        <v>1742.9345333333338</v>
      </c>
      <c r="AG79" s="111"/>
      <c r="AH79" s="111"/>
      <c r="AI79" s="111"/>
      <c r="AJ79" s="111"/>
      <c r="AK79" s="111"/>
      <c r="AL79" s="111"/>
      <c r="AM79" s="111">
        <v>5228.8036000000011</v>
      </c>
    </row>
    <row r="80" spans="1:39" ht="15" customHeight="1" x14ac:dyDescent="0.25">
      <c r="A80" s="1409"/>
      <c r="B80" s="1409"/>
      <c r="C80" s="1409"/>
      <c r="D80" s="1409"/>
      <c r="E80" s="1252"/>
      <c r="F80" s="1248" t="s">
        <v>48</v>
      </c>
      <c r="G80" s="111"/>
      <c r="H80" s="1249">
        <v>41</v>
      </c>
      <c r="I80" s="111" t="s">
        <v>1722</v>
      </c>
      <c r="J80" s="1321" t="s">
        <v>5608</v>
      </c>
      <c r="K80" s="162" t="s">
        <v>5610</v>
      </c>
      <c r="L80" s="162" t="s">
        <v>5609</v>
      </c>
      <c r="M80" s="111">
        <v>30.682097560975606</v>
      </c>
      <c r="N80" s="111">
        <v>1257.9659999999999</v>
      </c>
      <c r="O80" s="111"/>
      <c r="P80" s="111"/>
      <c r="Q80" s="111"/>
      <c r="R80" s="111"/>
      <c r="S80" s="1249">
        <v>16</v>
      </c>
      <c r="T80" s="1250">
        <v>419.32199999999995</v>
      </c>
      <c r="U80" s="1250"/>
      <c r="V80" s="1250"/>
      <c r="W80" s="1251">
        <v>15</v>
      </c>
      <c r="X80" s="1250">
        <v>419.32199999999995</v>
      </c>
      <c r="Y80" s="1250"/>
      <c r="Z80" s="1250"/>
      <c r="AA80" s="1250"/>
      <c r="AB80" s="1250"/>
      <c r="AC80" s="1250"/>
      <c r="AD80" s="1250"/>
      <c r="AE80" s="1249">
        <v>10</v>
      </c>
      <c r="AF80" s="1250">
        <v>419.32199999999995</v>
      </c>
      <c r="AG80" s="111"/>
      <c r="AH80" s="111"/>
      <c r="AI80" s="111"/>
      <c r="AJ80" s="111"/>
      <c r="AK80" s="111"/>
      <c r="AL80" s="111"/>
      <c r="AM80" s="111">
        <v>1257.9659999999999</v>
      </c>
    </row>
    <row r="81" spans="1:39" ht="15" customHeight="1" x14ac:dyDescent="0.25">
      <c r="A81" s="1409"/>
      <c r="B81" s="1409"/>
      <c r="C81" s="1409"/>
      <c r="D81" s="1409"/>
      <c r="E81" s="1252"/>
      <c r="F81" s="1248" t="s">
        <v>49</v>
      </c>
      <c r="G81" s="111"/>
      <c r="H81" s="1249">
        <v>1</v>
      </c>
      <c r="I81" s="111" t="s">
        <v>1722</v>
      </c>
      <c r="J81" s="1321" t="s">
        <v>5608</v>
      </c>
      <c r="K81" s="162" t="s">
        <v>5610</v>
      </c>
      <c r="L81" s="162" t="s">
        <v>5609</v>
      </c>
      <c r="M81" s="111">
        <v>17.82</v>
      </c>
      <c r="N81" s="111">
        <v>17.82</v>
      </c>
      <c r="O81" s="111"/>
      <c r="P81" s="111"/>
      <c r="Q81" s="111"/>
      <c r="R81" s="111"/>
      <c r="S81" s="1249">
        <v>1</v>
      </c>
      <c r="T81" s="1250">
        <v>5.94</v>
      </c>
      <c r="U81" s="1250"/>
      <c r="V81" s="1250"/>
      <c r="W81" s="1251">
        <v>0</v>
      </c>
      <c r="X81" s="1250">
        <v>5.94</v>
      </c>
      <c r="Y81" s="1250"/>
      <c r="Z81" s="1250"/>
      <c r="AA81" s="1250"/>
      <c r="AB81" s="1250"/>
      <c r="AC81" s="1250"/>
      <c r="AD81" s="1250"/>
      <c r="AE81" s="1249">
        <v>0</v>
      </c>
      <c r="AF81" s="1250">
        <v>5.94</v>
      </c>
      <c r="AG81" s="111"/>
      <c r="AH81" s="111"/>
      <c r="AI81" s="111"/>
      <c r="AJ81" s="111"/>
      <c r="AK81" s="111"/>
      <c r="AL81" s="111"/>
      <c r="AM81" s="111">
        <v>17.82</v>
      </c>
    </row>
    <row r="82" spans="1:39" ht="15" customHeight="1" x14ac:dyDescent="0.25">
      <c r="A82" s="1409"/>
      <c r="B82" s="1409"/>
      <c r="C82" s="1409"/>
      <c r="D82" s="1409"/>
      <c r="E82" s="1252"/>
      <c r="F82" s="1248" t="s">
        <v>50</v>
      </c>
      <c r="G82" s="111"/>
      <c r="H82" s="1249">
        <v>6</v>
      </c>
      <c r="I82" s="111" t="s">
        <v>1722</v>
      </c>
      <c r="J82" s="1321" t="s">
        <v>5608</v>
      </c>
      <c r="K82" s="162" t="s">
        <v>5610</v>
      </c>
      <c r="L82" s="162" t="s">
        <v>5609</v>
      </c>
      <c r="M82" s="111">
        <v>35.64</v>
      </c>
      <c r="N82" s="111">
        <v>213.84</v>
      </c>
      <c r="O82" s="111"/>
      <c r="P82" s="111"/>
      <c r="Q82" s="111"/>
      <c r="R82" s="111"/>
      <c r="S82" s="1249">
        <v>2</v>
      </c>
      <c r="T82" s="1250">
        <v>71.28</v>
      </c>
      <c r="U82" s="1250"/>
      <c r="V82" s="1250"/>
      <c r="W82" s="1251">
        <v>2</v>
      </c>
      <c r="X82" s="1250">
        <v>71.28</v>
      </c>
      <c r="Y82" s="1250"/>
      <c r="Z82" s="1250"/>
      <c r="AA82" s="1250"/>
      <c r="AB82" s="1250"/>
      <c r="AC82" s="1250"/>
      <c r="AD82" s="1250"/>
      <c r="AE82" s="1249">
        <v>2</v>
      </c>
      <c r="AF82" s="1250">
        <v>71.28</v>
      </c>
      <c r="AG82" s="111"/>
      <c r="AH82" s="111"/>
      <c r="AI82" s="111"/>
      <c r="AJ82" s="111"/>
      <c r="AK82" s="111"/>
      <c r="AL82" s="111"/>
      <c r="AM82" s="111">
        <v>213.84</v>
      </c>
    </row>
    <row r="83" spans="1:39" ht="15" customHeight="1" x14ac:dyDescent="0.25">
      <c r="A83" s="1409"/>
      <c r="B83" s="1409"/>
      <c r="C83" s="1409"/>
      <c r="D83" s="1409"/>
      <c r="E83" s="1252"/>
      <c r="F83" s="1248" t="s">
        <v>2484</v>
      </c>
      <c r="G83" s="111"/>
      <c r="H83" s="1249">
        <v>3</v>
      </c>
      <c r="I83" s="111" t="s">
        <v>1722</v>
      </c>
      <c r="J83" s="1321" t="s">
        <v>5608</v>
      </c>
      <c r="K83" s="162" t="s">
        <v>5610</v>
      </c>
      <c r="L83" s="162" t="s">
        <v>5609</v>
      </c>
      <c r="M83" s="111">
        <v>49.70000000000001</v>
      </c>
      <c r="N83" s="111">
        <v>149.10000000000002</v>
      </c>
      <c r="O83" s="111"/>
      <c r="P83" s="111"/>
      <c r="Q83" s="111"/>
      <c r="R83" s="111"/>
      <c r="S83" s="1249">
        <v>2</v>
      </c>
      <c r="T83" s="1250">
        <v>49.70000000000001</v>
      </c>
      <c r="U83" s="1250"/>
      <c r="V83" s="1250"/>
      <c r="W83" s="1251">
        <v>1</v>
      </c>
      <c r="X83" s="1250">
        <v>49.70000000000001</v>
      </c>
      <c r="Y83" s="1250"/>
      <c r="Z83" s="1250"/>
      <c r="AA83" s="1250"/>
      <c r="AB83" s="1250"/>
      <c r="AC83" s="1250"/>
      <c r="AD83" s="1250"/>
      <c r="AE83" s="1249">
        <v>0</v>
      </c>
      <c r="AF83" s="1250">
        <v>49.70000000000001</v>
      </c>
      <c r="AG83" s="111"/>
      <c r="AH83" s="111"/>
      <c r="AI83" s="111"/>
      <c r="AJ83" s="111"/>
      <c r="AK83" s="111"/>
      <c r="AL83" s="111"/>
      <c r="AM83" s="111">
        <v>149.10000000000002</v>
      </c>
    </row>
    <row r="84" spans="1:39" ht="15" customHeight="1" x14ac:dyDescent="0.25">
      <c r="A84" s="1409"/>
      <c r="B84" s="1409"/>
      <c r="C84" s="1409"/>
      <c r="D84" s="1409"/>
      <c r="E84" s="1252"/>
      <c r="F84" s="1248" t="s">
        <v>51</v>
      </c>
      <c r="G84" s="111"/>
      <c r="H84" s="1249">
        <v>17</v>
      </c>
      <c r="I84" s="111" t="s">
        <v>1721</v>
      </c>
      <c r="J84" s="1321" t="s">
        <v>5608</v>
      </c>
      <c r="K84" s="162" t="s">
        <v>5610</v>
      </c>
      <c r="L84" s="162" t="s">
        <v>5609</v>
      </c>
      <c r="M84" s="111">
        <v>198.76404705882351</v>
      </c>
      <c r="N84" s="111">
        <v>3378.9887999999996</v>
      </c>
      <c r="O84" s="111"/>
      <c r="P84" s="111"/>
      <c r="Q84" s="111"/>
      <c r="R84" s="111"/>
      <c r="S84" s="1249">
        <v>7</v>
      </c>
      <c r="T84" s="1250">
        <v>1126.3295999999998</v>
      </c>
      <c r="U84" s="1250"/>
      <c r="V84" s="1250"/>
      <c r="W84" s="1251">
        <v>5</v>
      </c>
      <c r="X84" s="1250">
        <v>1126.3295999999998</v>
      </c>
      <c r="Y84" s="1250"/>
      <c r="Z84" s="1250"/>
      <c r="AA84" s="1250"/>
      <c r="AB84" s="1250"/>
      <c r="AC84" s="1250"/>
      <c r="AD84" s="1250"/>
      <c r="AE84" s="1249">
        <v>5</v>
      </c>
      <c r="AF84" s="1250">
        <v>1126.3295999999998</v>
      </c>
      <c r="AG84" s="111"/>
      <c r="AH84" s="111"/>
      <c r="AI84" s="111"/>
      <c r="AJ84" s="111"/>
      <c r="AK84" s="111"/>
      <c r="AL84" s="111"/>
      <c r="AM84" s="111">
        <v>3378.9887999999996</v>
      </c>
    </row>
    <row r="85" spans="1:39" ht="15" customHeight="1" x14ac:dyDescent="0.25">
      <c r="A85" s="1409"/>
      <c r="B85" s="1409"/>
      <c r="C85" s="1409"/>
      <c r="D85" s="1409"/>
      <c r="E85" s="1252"/>
      <c r="F85" s="1248" t="s">
        <v>1071</v>
      </c>
      <c r="G85" s="111"/>
      <c r="H85" s="1249">
        <v>25</v>
      </c>
      <c r="I85" s="111" t="s">
        <v>1725</v>
      </c>
      <c r="J85" s="1321" t="s">
        <v>5608</v>
      </c>
      <c r="K85" s="162" t="s">
        <v>5610</v>
      </c>
      <c r="L85" s="162" t="s">
        <v>5609</v>
      </c>
      <c r="M85" s="111">
        <v>66.202000000000012</v>
      </c>
      <c r="N85" s="111">
        <v>1655.0500000000004</v>
      </c>
      <c r="O85" s="111"/>
      <c r="P85" s="111"/>
      <c r="Q85" s="111"/>
      <c r="R85" s="111"/>
      <c r="S85" s="1249">
        <v>10</v>
      </c>
      <c r="T85" s="1250">
        <v>551.68333333333339</v>
      </c>
      <c r="U85" s="1250"/>
      <c r="V85" s="1250"/>
      <c r="W85" s="1251">
        <v>10</v>
      </c>
      <c r="X85" s="1250">
        <v>551.68333333333339</v>
      </c>
      <c r="Y85" s="1250"/>
      <c r="Z85" s="1250"/>
      <c r="AA85" s="1250"/>
      <c r="AB85" s="1250"/>
      <c r="AC85" s="1250"/>
      <c r="AD85" s="1250"/>
      <c r="AE85" s="1249">
        <v>5</v>
      </c>
      <c r="AF85" s="1250">
        <v>551.68333333333339</v>
      </c>
      <c r="AG85" s="111"/>
      <c r="AH85" s="111"/>
      <c r="AI85" s="111"/>
      <c r="AJ85" s="111"/>
      <c r="AK85" s="111"/>
      <c r="AL85" s="111"/>
      <c r="AM85" s="111">
        <v>1655.0500000000002</v>
      </c>
    </row>
    <row r="86" spans="1:39" ht="15" customHeight="1" x14ac:dyDescent="0.25">
      <c r="A86" s="1409"/>
      <c r="B86" s="1409"/>
      <c r="C86" s="1409"/>
      <c r="D86" s="1409"/>
      <c r="E86" s="1252"/>
      <c r="F86" s="1248" t="s">
        <v>41</v>
      </c>
      <c r="G86" s="111"/>
      <c r="H86" s="1249">
        <v>37</v>
      </c>
      <c r="I86" s="111" t="s">
        <v>1725</v>
      </c>
      <c r="J86" s="1321" t="s">
        <v>5608</v>
      </c>
      <c r="K86" s="162" t="s">
        <v>5610</v>
      </c>
      <c r="L86" s="162" t="s">
        <v>5609</v>
      </c>
      <c r="M86" s="111">
        <v>41.476315675675679</v>
      </c>
      <c r="N86" s="111">
        <v>1534.6236800000001</v>
      </c>
      <c r="O86" s="111"/>
      <c r="P86" s="111"/>
      <c r="Q86" s="111"/>
      <c r="R86" s="111"/>
      <c r="S86" s="1249">
        <v>15</v>
      </c>
      <c r="T86" s="1250">
        <v>511.54122666666672</v>
      </c>
      <c r="U86" s="1250"/>
      <c r="V86" s="1250"/>
      <c r="W86" s="1251">
        <v>12</v>
      </c>
      <c r="X86" s="1250">
        <v>511.54122666666672</v>
      </c>
      <c r="Y86" s="1250"/>
      <c r="Z86" s="1250"/>
      <c r="AA86" s="1250"/>
      <c r="AB86" s="1250"/>
      <c r="AC86" s="1250"/>
      <c r="AD86" s="1250"/>
      <c r="AE86" s="1249">
        <v>10</v>
      </c>
      <c r="AF86" s="1250">
        <v>511.54122666666672</v>
      </c>
      <c r="AG86" s="111"/>
      <c r="AH86" s="111"/>
      <c r="AI86" s="111"/>
      <c r="AJ86" s="111"/>
      <c r="AK86" s="111"/>
      <c r="AL86" s="111"/>
      <c r="AM86" s="111">
        <v>1534.6236800000001</v>
      </c>
    </row>
    <row r="87" spans="1:39" ht="15" customHeight="1" x14ac:dyDescent="0.25">
      <c r="A87" s="1409"/>
      <c r="B87" s="1409"/>
      <c r="C87" s="1409"/>
      <c r="D87" s="1409"/>
      <c r="E87" s="1252"/>
      <c r="F87" s="1248" t="s">
        <v>52</v>
      </c>
      <c r="G87" s="111"/>
      <c r="H87" s="1249">
        <v>32</v>
      </c>
      <c r="I87" s="111" t="s">
        <v>1725</v>
      </c>
      <c r="J87" s="1321" t="s">
        <v>5608</v>
      </c>
      <c r="K87" s="162" t="s">
        <v>5610</v>
      </c>
      <c r="L87" s="162" t="s">
        <v>5609</v>
      </c>
      <c r="M87" s="111">
        <v>13.006248999999999</v>
      </c>
      <c r="N87" s="111">
        <v>416.19996799999996</v>
      </c>
      <c r="O87" s="111"/>
      <c r="P87" s="111"/>
      <c r="Q87" s="111"/>
      <c r="R87" s="111"/>
      <c r="S87" s="1249">
        <v>12</v>
      </c>
      <c r="T87" s="1250">
        <v>138.73332266666665</v>
      </c>
      <c r="U87" s="1250"/>
      <c r="V87" s="1250"/>
      <c r="W87" s="1251">
        <v>10</v>
      </c>
      <c r="X87" s="1250">
        <v>138.73332266666665</v>
      </c>
      <c r="Y87" s="1250"/>
      <c r="Z87" s="1250"/>
      <c r="AA87" s="1250"/>
      <c r="AB87" s="1250"/>
      <c r="AC87" s="1250"/>
      <c r="AD87" s="1250"/>
      <c r="AE87" s="1249">
        <v>10</v>
      </c>
      <c r="AF87" s="1250">
        <v>138.73332266666665</v>
      </c>
      <c r="AG87" s="111"/>
      <c r="AH87" s="111"/>
      <c r="AI87" s="111"/>
      <c r="AJ87" s="111"/>
      <c r="AK87" s="111"/>
      <c r="AL87" s="111"/>
      <c r="AM87" s="111">
        <v>416.19996799999996</v>
      </c>
    </row>
    <row r="88" spans="1:39" ht="15" customHeight="1" x14ac:dyDescent="0.25">
      <c r="A88" s="1409"/>
      <c r="B88" s="1409"/>
      <c r="C88" s="1409"/>
      <c r="D88" s="1409"/>
      <c r="E88" s="1252"/>
      <c r="F88" s="1248" t="s">
        <v>53</v>
      </c>
      <c r="G88" s="111"/>
      <c r="H88" s="1249">
        <v>6</v>
      </c>
      <c r="I88" s="111" t="s">
        <v>1721</v>
      </c>
      <c r="J88" s="1321" t="s">
        <v>5608</v>
      </c>
      <c r="K88" s="162" t="s">
        <v>5610</v>
      </c>
      <c r="L88" s="162" t="s">
        <v>5609</v>
      </c>
      <c r="M88" s="111">
        <v>251.03573333333335</v>
      </c>
      <c r="N88" s="111">
        <v>1506.2144000000001</v>
      </c>
      <c r="O88" s="111"/>
      <c r="P88" s="111"/>
      <c r="Q88" s="111"/>
      <c r="R88" s="111"/>
      <c r="S88" s="1249">
        <v>2</v>
      </c>
      <c r="T88" s="1250">
        <v>502.07146666666671</v>
      </c>
      <c r="U88" s="1250"/>
      <c r="V88" s="1250"/>
      <c r="W88" s="1251">
        <v>2</v>
      </c>
      <c r="X88" s="1250">
        <v>502.07146666666671</v>
      </c>
      <c r="Y88" s="1250"/>
      <c r="Z88" s="1250"/>
      <c r="AA88" s="1250"/>
      <c r="AB88" s="1250"/>
      <c r="AC88" s="1250"/>
      <c r="AD88" s="1250"/>
      <c r="AE88" s="1249">
        <v>2</v>
      </c>
      <c r="AF88" s="1250">
        <v>502.07146666666671</v>
      </c>
      <c r="AG88" s="111"/>
      <c r="AH88" s="111"/>
      <c r="AI88" s="111"/>
      <c r="AJ88" s="111"/>
      <c r="AK88" s="111"/>
      <c r="AL88" s="111"/>
      <c r="AM88" s="111">
        <v>1506.2144000000001</v>
      </c>
    </row>
    <row r="89" spans="1:39" ht="15" customHeight="1" x14ac:dyDescent="0.25">
      <c r="A89" s="1409"/>
      <c r="B89" s="1409"/>
      <c r="C89" s="1409"/>
      <c r="D89" s="1409"/>
      <c r="E89" s="1252"/>
      <c r="F89" s="1248" t="s">
        <v>2497</v>
      </c>
      <c r="G89" s="111"/>
      <c r="H89" s="1249">
        <v>152</v>
      </c>
      <c r="I89" s="111" t="s">
        <v>1721</v>
      </c>
      <c r="J89" s="1321" t="s">
        <v>5608</v>
      </c>
      <c r="K89" s="162" t="s">
        <v>5610</v>
      </c>
      <c r="L89" s="162" t="s">
        <v>5609</v>
      </c>
      <c r="M89" s="111">
        <v>21.450957789473687</v>
      </c>
      <c r="N89" s="111">
        <v>3260.5455840000004</v>
      </c>
      <c r="O89" s="111"/>
      <c r="P89" s="111"/>
      <c r="Q89" s="111"/>
      <c r="R89" s="111"/>
      <c r="S89" s="1249">
        <v>52</v>
      </c>
      <c r="T89" s="1250">
        <v>1086.8485280000002</v>
      </c>
      <c r="U89" s="1250"/>
      <c r="V89" s="1250"/>
      <c r="W89" s="1251">
        <v>50</v>
      </c>
      <c r="X89" s="1250">
        <v>1086.8485280000002</v>
      </c>
      <c r="Y89" s="1250"/>
      <c r="Z89" s="1250"/>
      <c r="AA89" s="1250"/>
      <c r="AB89" s="1250"/>
      <c r="AC89" s="1250"/>
      <c r="AD89" s="1250"/>
      <c r="AE89" s="1249">
        <v>50</v>
      </c>
      <c r="AF89" s="1250">
        <v>1086.8485280000002</v>
      </c>
      <c r="AG89" s="111"/>
      <c r="AH89" s="111"/>
      <c r="AI89" s="111"/>
      <c r="AJ89" s="111"/>
      <c r="AK89" s="111"/>
      <c r="AL89" s="111"/>
      <c r="AM89" s="111">
        <v>3260.5455840000004</v>
      </c>
    </row>
    <row r="90" spans="1:39" ht="15" customHeight="1" x14ac:dyDescent="0.25">
      <c r="A90" s="1409"/>
      <c r="B90" s="1409"/>
      <c r="C90" s="1409"/>
      <c r="D90" s="1409"/>
      <c r="E90" s="1252"/>
      <c r="F90" s="1248" t="s">
        <v>1902</v>
      </c>
      <c r="G90" s="111"/>
      <c r="H90" s="1249">
        <v>5</v>
      </c>
      <c r="I90" s="111" t="s">
        <v>1721</v>
      </c>
      <c r="J90" s="1321" t="s">
        <v>5608</v>
      </c>
      <c r="K90" s="162" t="s">
        <v>5610</v>
      </c>
      <c r="L90" s="162" t="s">
        <v>5609</v>
      </c>
      <c r="M90" s="111">
        <v>96.47</v>
      </c>
      <c r="N90" s="111">
        <v>482.35</v>
      </c>
      <c r="O90" s="111"/>
      <c r="P90" s="111"/>
      <c r="Q90" s="111"/>
      <c r="R90" s="111"/>
      <c r="S90" s="1249">
        <v>2</v>
      </c>
      <c r="T90" s="1250">
        <v>160.78333333333333</v>
      </c>
      <c r="U90" s="1250"/>
      <c r="V90" s="1250"/>
      <c r="W90" s="1251">
        <v>2</v>
      </c>
      <c r="X90" s="1250">
        <v>160.78333333333333</v>
      </c>
      <c r="Y90" s="1250"/>
      <c r="Z90" s="1250"/>
      <c r="AA90" s="1250"/>
      <c r="AB90" s="1250"/>
      <c r="AC90" s="1250"/>
      <c r="AD90" s="1250"/>
      <c r="AE90" s="1249">
        <v>1</v>
      </c>
      <c r="AF90" s="1250">
        <v>160.78333333333333</v>
      </c>
      <c r="AG90" s="111"/>
      <c r="AH90" s="111"/>
      <c r="AI90" s="111"/>
      <c r="AJ90" s="111"/>
      <c r="AK90" s="111"/>
      <c r="AL90" s="111"/>
      <c r="AM90" s="111">
        <v>482.35</v>
      </c>
    </row>
    <row r="91" spans="1:39" ht="15" customHeight="1" x14ac:dyDescent="0.25">
      <c r="A91" s="1409"/>
      <c r="B91" s="1409"/>
      <c r="C91" s="1409"/>
      <c r="D91" s="1409"/>
      <c r="E91" s="1252"/>
      <c r="F91" s="1248" t="s">
        <v>55</v>
      </c>
      <c r="G91" s="111"/>
      <c r="H91" s="1249">
        <v>62</v>
      </c>
      <c r="I91" s="111" t="s">
        <v>1721</v>
      </c>
      <c r="J91" s="1321" t="s">
        <v>5608</v>
      </c>
      <c r="K91" s="162" t="s">
        <v>5610</v>
      </c>
      <c r="L91" s="162" t="s">
        <v>5609</v>
      </c>
      <c r="M91" s="111">
        <v>59.624825806451604</v>
      </c>
      <c r="N91" s="111">
        <v>3696.7391999999995</v>
      </c>
      <c r="O91" s="111"/>
      <c r="P91" s="111"/>
      <c r="Q91" s="111"/>
      <c r="R91" s="111"/>
      <c r="S91" s="1249">
        <v>32</v>
      </c>
      <c r="T91" s="1250">
        <v>1232.2463999999998</v>
      </c>
      <c r="U91" s="1250"/>
      <c r="V91" s="1250"/>
      <c r="W91" s="1251">
        <v>20</v>
      </c>
      <c r="X91" s="1250">
        <v>1232.2463999999998</v>
      </c>
      <c r="Y91" s="1250"/>
      <c r="Z91" s="1250"/>
      <c r="AA91" s="1250"/>
      <c r="AB91" s="1250"/>
      <c r="AC91" s="1250"/>
      <c r="AD91" s="1250"/>
      <c r="AE91" s="1249">
        <v>10</v>
      </c>
      <c r="AF91" s="1250">
        <v>1232.2463999999998</v>
      </c>
      <c r="AG91" s="111"/>
      <c r="AH91" s="111"/>
      <c r="AI91" s="111"/>
      <c r="AJ91" s="111"/>
      <c r="AK91" s="111"/>
      <c r="AL91" s="111"/>
      <c r="AM91" s="111">
        <v>3696.7391999999995</v>
      </c>
    </row>
    <row r="92" spans="1:39" ht="15" customHeight="1" x14ac:dyDescent="0.25">
      <c r="A92" s="1409"/>
      <c r="B92" s="1409"/>
      <c r="C92" s="1409"/>
      <c r="D92" s="1409"/>
      <c r="E92" s="1252"/>
      <c r="F92" s="1248" t="s">
        <v>4385</v>
      </c>
      <c r="G92" s="111"/>
      <c r="H92" s="1249">
        <v>125</v>
      </c>
      <c r="I92" s="111" t="s">
        <v>1722</v>
      </c>
      <c r="J92" s="1321" t="s">
        <v>5608</v>
      </c>
      <c r="K92" s="162" t="s">
        <v>5610</v>
      </c>
      <c r="L92" s="162" t="s">
        <v>5609</v>
      </c>
      <c r="M92" s="111">
        <v>25.46</v>
      </c>
      <c r="N92" s="111">
        <v>3182.5</v>
      </c>
      <c r="O92" s="111"/>
      <c r="P92" s="111"/>
      <c r="Q92" s="111"/>
      <c r="R92" s="111"/>
      <c r="S92" s="1249">
        <v>50</v>
      </c>
      <c r="T92" s="1250">
        <v>1060.8333333333333</v>
      </c>
      <c r="U92" s="1250"/>
      <c r="V92" s="1250"/>
      <c r="W92" s="1251">
        <v>50</v>
      </c>
      <c r="X92" s="1250">
        <v>1060.8333333333333</v>
      </c>
      <c r="Y92" s="1250"/>
      <c r="Z92" s="1250"/>
      <c r="AA92" s="1250"/>
      <c r="AB92" s="1250"/>
      <c r="AC92" s="1250"/>
      <c r="AD92" s="1250"/>
      <c r="AE92" s="1249">
        <v>25</v>
      </c>
      <c r="AF92" s="1250">
        <v>1060.8333333333333</v>
      </c>
      <c r="AG92" s="111"/>
      <c r="AH92" s="111"/>
      <c r="AI92" s="111"/>
      <c r="AJ92" s="111"/>
      <c r="AK92" s="111"/>
      <c r="AL92" s="111"/>
      <c r="AM92" s="111">
        <v>3182.5</v>
      </c>
    </row>
    <row r="93" spans="1:39" ht="15" customHeight="1" x14ac:dyDescent="0.25">
      <c r="A93" s="1409"/>
      <c r="B93" s="1409"/>
      <c r="C93" s="1409"/>
      <c r="D93" s="1409"/>
      <c r="E93" s="1252"/>
      <c r="F93" s="1248" t="s">
        <v>56</v>
      </c>
      <c r="G93" s="111"/>
      <c r="H93" s="1249">
        <v>54</v>
      </c>
      <c r="I93" s="111" t="s">
        <v>1721</v>
      </c>
      <c r="J93" s="1321" t="s">
        <v>5608</v>
      </c>
      <c r="K93" s="162" t="s">
        <v>5610</v>
      </c>
      <c r="L93" s="162" t="s">
        <v>5609</v>
      </c>
      <c r="M93" s="111">
        <v>39.330589629629635</v>
      </c>
      <c r="N93" s="111">
        <v>2123.8518400000003</v>
      </c>
      <c r="O93" s="111"/>
      <c r="P93" s="111"/>
      <c r="Q93" s="111"/>
      <c r="R93" s="111"/>
      <c r="S93" s="1249">
        <v>24</v>
      </c>
      <c r="T93" s="1250">
        <v>707.95061333333342</v>
      </c>
      <c r="U93" s="1250"/>
      <c r="V93" s="1250"/>
      <c r="W93" s="1251">
        <v>20</v>
      </c>
      <c r="X93" s="1250">
        <v>707.95061333333342</v>
      </c>
      <c r="Y93" s="1250"/>
      <c r="Z93" s="1250"/>
      <c r="AA93" s="1250"/>
      <c r="AB93" s="1250"/>
      <c r="AC93" s="1250"/>
      <c r="AD93" s="1250"/>
      <c r="AE93" s="1249">
        <v>10</v>
      </c>
      <c r="AF93" s="1250">
        <v>707.95061333333342</v>
      </c>
      <c r="AG93" s="111"/>
      <c r="AH93" s="111"/>
      <c r="AI93" s="111"/>
      <c r="AJ93" s="111"/>
      <c r="AK93" s="111"/>
      <c r="AL93" s="111"/>
      <c r="AM93" s="111">
        <v>2123.8518400000003</v>
      </c>
    </row>
    <row r="94" spans="1:39" ht="15" customHeight="1" x14ac:dyDescent="0.25">
      <c r="A94" s="1409"/>
      <c r="B94" s="1409"/>
      <c r="C94" s="1409"/>
      <c r="D94" s="1409"/>
      <c r="E94" s="1252"/>
      <c r="F94" s="1248" t="s">
        <v>221</v>
      </c>
      <c r="G94" s="111"/>
      <c r="H94" s="1249">
        <v>4</v>
      </c>
      <c r="I94" s="111" t="s">
        <v>1722</v>
      </c>
      <c r="J94" s="1321" t="s">
        <v>5608</v>
      </c>
      <c r="K94" s="162" t="s">
        <v>5610</v>
      </c>
      <c r="L94" s="162" t="s">
        <v>5609</v>
      </c>
      <c r="M94" s="111">
        <v>53.480940000000004</v>
      </c>
      <c r="N94" s="111">
        <v>213.92376000000002</v>
      </c>
      <c r="O94" s="111"/>
      <c r="P94" s="111"/>
      <c r="Q94" s="111"/>
      <c r="R94" s="111"/>
      <c r="S94" s="1249">
        <v>2</v>
      </c>
      <c r="T94" s="1250">
        <v>71.30792000000001</v>
      </c>
      <c r="U94" s="1250"/>
      <c r="V94" s="1250"/>
      <c r="W94" s="1251">
        <v>1</v>
      </c>
      <c r="X94" s="1250">
        <v>71.30792000000001</v>
      </c>
      <c r="Y94" s="1250"/>
      <c r="Z94" s="1250"/>
      <c r="AA94" s="1250"/>
      <c r="AB94" s="1250"/>
      <c r="AC94" s="1250"/>
      <c r="AD94" s="1250"/>
      <c r="AE94" s="1249">
        <v>1</v>
      </c>
      <c r="AF94" s="1250">
        <v>71.30792000000001</v>
      </c>
      <c r="AG94" s="111"/>
      <c r="AH94" s="111"/>
      <c r="AI94" s="111"/>
      <c r="AJ94" s="111"/>
      <c r="AK94" s="111"/>
      <c r="AL94" s="111"/>
      <c r="AM94" s="111">
        <v>213.92376000000002</v>
      </c>
    </row>
    <row r="95" spans="1:39" ht="15" customHeight="1" x14ac:dyDescent="0.25">
      <c r="A95" s="1409"/>
      <c r="B95" s="1409"/>
      <c r="C95" s="1409"/>
      <c r="D95" s="1409"/>
      <c r="E95" s="1252"/>
      <c r="F95" s="1248" t="s">
        <v>2479</v>
      </c>
      <c r="G95" s="111"/>
      <c r="H95" s="1249">
        <v>4</v>
      </c>
      <c r="I95" s="111" t="s">
        <v>1722</v>
      </c>
      <c r="J95" s="1321" t="s">
        <v>5608</v>
      </c>
      <c r="K95" s="162" t="s">
        <v>5610</v>
      </c>
      <c r="L95" s="162" t="s">
        <v>5609</v>
      </c>
      <c r="M95" s="111">
        <v>31.28</v>
      </c>
      <c r="N95" s="111">
        <v>125.12</v>
      </c>
      <c r="O95" s="111"/>
      <c r="P95" s="111"/>
      <c r="Q95" s="111"/>
      <c r="R95" s="111"/>
      <c r="S95" s="1249">
        <v>2</v>
      </c>
      <c r="T95" s="1250">
        <v>41.706666666666671</v>
      </c>
      <c r="U95" s="1250"/>
      <c r="V95" s="1250"/>
      <c r="W95" s="1251">
        <v>1</v>
      </c>
      <c r="X95" s="1250">
        <v>41.706666666666671</v>
      </c>
      <c r="Y95" s="1250"/>
      <c r="Z95" s="1250"/>
      <c r="AA95" s="1250"/>
      <c r="AB95" s="1250"/>
      <c r="AC95" s="1250"/>
      <c r="AD95" s="1250"/>
      <c r="AE95" s="1249">
        <v>1</v>
      </c>
      <c r="AF95" s="1250">
        <v>41.706666666666671</v>
      </c>
      <c r="AG95" s="111"/>
      <c r="AH95" s="111"/>
      <c r="AI95" s="111"/>
      <c r="AJ95" s="111"/>
      <c r="AK95" s="111"/>
      <c r="AL95" s="111"/>
      <c r="AM95" s="111">
        <v>125.12</v>
      </c>
    </row>
    <row r="96" spans="1:39" ht="15" customHeight="1" x14ac:dyDescent="0.25">
      <c r="A96" s="1409"/>
      <c r="B96" s="1409"/>
      <c r="C96" s="1409"/>
      <c r="D96" s="1409"/>
      <c r="E96" s="1252"/>
      <c r="F96" s="1248" t="s">
        <v>57</v>
      </c>
      <c r="G96" s="111"/>
      <c r="H96" s="1249">
        <v>47</v>
      </c>
      <c r="I96" s="111" t="s">
        <v>1722</v>
      </c>
      <c r="J96" s="1321" t="s">
        <v>5608</v>
      </c>
      <c r="K96" s="162" t="s">
        <v>5610</v>
      </c>
      <c r="L96" s="162" t="s">
        <v>5609</v>
      </c>
      <c r="M96" s="111">
        <v>24.467322553191494</v>
      </c>
      <c r="N96" s="111">
        <v>1149.9641600000002</v>
      </c>
      <c r="O96" s="111"/>
      <c r="P96" s="111"/>
      <c r="Q96" s="111"/>
      <c r="R96" s="111"/>
      <c r="S96" s="1249">
        <v>17</v>
      </c>
      <c r="T96" s="1250">
        <v>383.32138666666674</v>
      </c>
      <c r="U96" s="1250"/>
      <c r="V96" s="1250"/>
      <c r="W96" s="1251">
        <v>15</v>
      </c>
      <c r="X96" s="1250">
        <v>383.32138666666674</v>
      </c>
      <c r="Y96" s="1250"/>
      <c r="Z96" s="1250"/>
      <c r="AA96" s="1250"/>
      <c r="AB96" s="1250"/>
      <c r="AC96" s="1250"/>
      <c r="AD96" s="1250"/>
      <c r="AE96" s="1249">
        <v>15</v>
      </c>
      <c r="AF96" s="1250">
        <v>383.32138666666674</v>
      </c>
      <c r="AG96" s="111"/>
      <c r="AH96" s="111"/>
      <c r="AI96" s="111"/>
      <c r="AJ96" s="111"/>
      <c r="AK96" s="111"/>
      <c r="AL96" s="111"/>
      <c r="AM96" s="111">
        <v>1149.9641600000002</v>
      </c>
    </row>
    <row r="97" spans="1:39" ht="15" customHeight="1" x14ac:dyDescent="0.25">
      <c r="A97" s="1409"/>
      <c r="B97" s="1409"/>
      <c r="C97" s="1409"/>
      <c r="D97" s="1409"/>
      <c r="E97" s="1252"/>
      <c r="F97" s="1248" t="s">
        <v>2869</v>
      </c>
      <c r="G97" s="111"/>
      <c r="H97" s="1249">
        <v>1</v>
      </c>
      <c r="I97" s="111" t="s">
        <v>1725</v>
      </c>
      <c r="J97" s="1321" t="s">
        <v>5608</v>
      </c>
      <c r="K97" s="162" t="s">
        <v>5610</v>
      </c>
      <c r="L97" s="162" t="s">
        <v>5609</v>
      </c>
      <c r="M97" s="111">
        <v>103</v>
      </c>
      <c r="N97" s="111">
        <v>103</v>
      </c>
      <c r="O97" s="111"/>
      <c r="P97" s="111"/>
      <c r="Q97" s="111"/>
      <c r="R97" s="111"/>
      <c r="S97" s="1249">
        <v>1</v>
      </c>
      <c r="T97" s="1250">
        <v>34.333333333333336</v>
      </c>
      <c r="U97" s="1250"/>
      <c r="V97" s="1250"/>
      <c r="W97" s="1251">
        <v>0</v>
      </c>
      <c r="X97" s="1250">
        <v>34.333333333333336</v>
      </c>
      <c r="Y97" s="1250"/>
      <c r="Z97" s="1250"/>
      <c r="AA97" s="1250"/>
      <c r="AB97" s="1250"/>
      <c r="AC97" s="1250"/>
      <c r="AD97" s="1250"/>
      <c r="AE97" s="1249">
        <v>0</v>
      </c>
      <c r="AF97" s="1250">
        <v>34.333333333333336</v>
      </c>
      <c r="AG97" s="111"/>
      <c r="AH97" s="111"/>
      <c r="AI97" s="111"/>
      <c r="AJ97" s="111"/>
      <c r="AK97" s="111"/>
      <c r="AL97" s="111"/>
      <c r="AM97" s="111">
        <v>103</v>
      </c>
    </row>
    <row r="98" spans="1:39" ht="15" customHeight="1" x14ac:dyDescent="0.25">
      <c r="A98" s="1409"/>
      <c r="B98" s="1409"/>
      <c r="C98" s="1409"/>
      <c r="D98" s="1409"/>
      <c r="E98" s="1252"/>
      <c r="F98" s="1248" t="s">
        <v>58</v>
      </c>
      <c r="G98" s="111"/>
      <c r="H98" s="1249">
        <v>64</v>
      </c>
      <c r="I98" s="111" t="s">
        <v>1721</v>
      </c>
      <c r="J98" s="1321" t="s">
        <v>5608</v>
      </c>
      <c r="K98" s="162" t="s">
        <v>5610</v>
      </c>
      <c r="L98" s="162" t="s">
        <v>5609</v>
      </c>
      <c r="M98" s="111">
        <v>25</v>
      </c>
      <c r="N98" s="111">
        <v>1600</v>
      </c>
      <c r="O98" s="111"/>
      <c r="P98" s="111"/>
      <c r="Q98" s="111"/>
      <c r="R98" s="111"/>
      <c r="S98" s="1249">
        <v>34</v>
      </c>
      <c r="T98" s="1250">
        <v>533.33333333333337</v>
      </c>
      <c r="U98" s="1250"/>
      <c r="V98" s="1250"/>
      <c r="W98" s="1251">
        <v>20</v>
      </c>
      <c r="X98" s="1250">
        <v>533.33333333333337</v>
      </c>
      <c r="Y98" s="1250"/>
      <c r="Z98" s="1250"/>
      <c r="AA98" s="1250"/>
      <c r="AB98" s="1250"/>
      <c r="AC98" s="1250"/>
      <c r="AD98" s="1250"/>
      <c r="AE98" s="1249">
        <v>10</v>
      </c>
      <c r="AF98" s="1250">
        <v>533.33333333333337</v>
      </c>
      <c r="AG98" s="111"/>
      <c r="AH98" s="111"/>
      <c r="AI98" s="111"/>
      <c r="AJ98" s="111"/>
      <c r="AK98" s="111"/>
      <c r="AL98" s="111"/>
      <c r="AM98" s="111">
        <v>1600</v>
      </c>
    </row>
    <row r="99" spans="1:39" ht="15" customHeight="1" x14ac:dyDescent="0.25">
      <c r="A99" s="1409"/>
      <c r="B99" s="1409"/>
      <c r="C99" s="1409"/>
      <c r="D99" s="1409"/>
      <c r="E99" s="1252"/>
      <c r="F99" s="1248" t="s">
        <v>2875</v>
      </c>
      <c r="G99" s="111"/>
      <c r="H99" s="1249">
        <v>40</v>
      </c>
      <c r="I99" s="111" t="s">
        <v>1725</v>
      </c>
      <c r="J99" s="1321" t="s">
        <v>5608</v>
      </c>
      <c r="K99" s="162" t="s">
        <v>5610</v>
      </c>
      <c r="L99" s="162" t="s">
        <v>5609</v>
      </c>
      <c r="M99" s="111">
        <v>29.7</v>
      </c>
      <c r="N99" s="111">
        <v>1188</v>
      </c>
      <c r="O99" s="111"/>
      <c r="P99" s="111"/>
      <c r="Q99" s="111"/>
      <c r="R99" s="111"/>
      <c r="S99" s="1249">
        <v>15</v>
      </c>
      <c r="T99" s="1250">
        <v>396</v>
      </c>
      <c r="U99" s="1250"/>
      <c r="V99" s="1250"/>
      <c r="W99" s="1251">
        <v>15</v>
      </c>
      <c r="X99" s="1250">
        <v>396</v>
      </c>
      <c r="Y99" s="1250"/>
      <c r="Z99" s="1250"/>
      <c r="AA99" s="1250"/>
      <c r="AB99" s="1250"/>
      <c r="AC99" s="1250"/>
      <c r="AD99" s="1250"/>
      <c r="AE99" s="1249">
        <v>10</v>
      </c>
      <c r="AF99" s="1250">
        <v>396</v>
      </c>
      <c r="AG99" s="111"/>
      <c r="AH99" s="111"/>
      <c r="AI99" s="111"/>
      <c r="AJ99" s="111"/>
      <c r="AK99" s="111"/>
      <c r="AL99" s="111"/>
      <c r="AM99" s="111">
        <v>1188</v>
      </c>
    </row>
    <row r="100" spans="1:39" ht="15" customHeight="1" x14ac:dyDescent="0.25">
      <c r="A100" s="1409"/>
      <c r="B100" s="1409"/>
      <c r="C100" s="1409"/>
      <c r="D100" s="1409"/>
      <c r="E100" s="1252"/>
      <c r="F100" s="1248" t="s">
        <v>59</v>
      </c>
      <c r="G100" s="111"/>
      <c r="H100" s="1249">
        <v>40</v>
      </c>
      <c r="I100" s="111" t="s">
        <v>1721</v>
      </c>
      <c r="J100" s="1321" t="s">
        <v>5608</v>
      </c>
      <c r="K100" s="162" t="s">
        <v>5610</v>
      </c>
      <c r="L100" s="162" t="s">
        <v>5609</v>
      </c>
      <c r="M100" s="111">
        <v>68.561650000000014</v>
      </c>
      <c r="N100" s="111">
        <v>2742.4660000000003</v>
      </c>
      <c r="O100" s="111"/>
      <c r="P100" s="111"/>
      <c r="Q100" s="111"/>
      <c r="R100" s="111"/>
      <c r="S100" s="1249">
        <v>15</v>
      </c>
      <c r="T100" s="1250">
        <v>914.15533333333349</v>
      </c>
      <c r="U100" s="1250"/>
      <c r="V100" s="1250"/>
      <c r="W100" s="1251">
        <v>15</v>
      </c>
      <c r="X100" s="1250">
        <v>914.15533333333349</v>
      </c>
      <c r="Y100" s="1250"/>
      <c r="Z100" s="1250"/>
      <c r="AA100" s="1250"/>
      <c r="AB100" s="1250"/>
      <c r="AC100" s="1250"/>
      <c r="AD100" s="1250"/>
      <c r="AE100" s="1249">
        <v>10</v>
      </c>
      <c r="AF100" s="1250">
        <v>914.15533333333349</v>
      </c>
      <c r="AG100" s="111"/>
      <c r="AH100" s="111"/>
      <c r="AI100" s="111"/>
      <c r="AJ100" s="111"/>
      <c r="AK100" s="111"/>
      <c r="AL100" s="111"/>
      <c r="AM100" s="111">
        <v>2742.4660000000003</v>
      </c>
    </row>
    <row r="101" spans="1:39" ht="15" customHeight="1" x14ac:dyDescent="0.25">
      <c r="A101" s="1409"/>
      <c r="B101" s="1409"/>
      <c r="C101" s="1409"/>
      <c r="D101" s="1409"/>
      <c r="E101" s="1252"/>
      <c r="F101" s="1248" t="s">
        <v>60</v>
      </c>
      <c r="G101" s="111"/>
      <c r="H101" s="1249">
        <v>33</v>
      </c>
      <c r="I101" s="111" t="s">
        <v>1721</v>
      </c>
      <c r="J101" s="1321" t="s">
        <v>5608</v>
      </c>
      <c r="K101" s="162" t="s">
        <v>5610</v>
      </c>
      <c r="L101" s="162" t="s">
        <v>5609</v>
      </c>
      <c r="M101" s="111">
        <v>7.7028218181818175</v>
      </c>
      <c r="N101" s="111">
        <v>254.19311999999996</v>
      </c>
      <c r="O101" s="111"/>
      <c r="P101" s="111"/>
      <c r="Q101" s="111"/>
      <c r="R101" s="111"/>
      <c r="S101" s="1249">
        <v>13</v>
      </c>
      <c r="T101" s="1250">
        <v>84.731039999999993</v>
      </c>
      <c r="U101" s="1250"/>
      <c r="V101" s="1250"/>
      <c r="W101" s="1251">
        <v>10</v>
      </c>
      <c r="X101" s="1250">
        <v>84.731039999999993</v>
      </c>
      <c r="Y101" s="1250"/>
      <c r="Z101" s="1250"/>
      <c r="AA101" s="1250"/>
      <c r="AB101" s="1250"/>
      <c r="AC101" s="1250"/>
      <c r="AD101" s="1250"/>
      <c r="AE101" s="1249">
        <v>10</v>
      </c>
      <c r="AF101" s="1250">
        <v>84.731039999999993</v>
      </c>
      <c r="AG101" s="111"/>
      <c r="AH101" s="111"/>
      <c r="AI101" s="111"/>
      <c r="AJ101" s="111"/>
      <c r="AK101" s="111"/>
      <c r="AL101" s="111"/>
      <c r="AM101" s="111">
        <v>254.19311999999999</v>
      </c>
    </row>
    <row r="102" spans="1:39" ht="15" customHeight="1" x14ac:dyDescent="0.25">
      <c r="A102" s="1409"/>
      <c r="B102" s="1409"/>
      <c r="C102" s="1409"/>
      <c r="D102" s="1409"/>
      <c r="E102" s="1258"/>
      <c r="F102" s="1248" t="s">
        <v>61</v>
      </c>
      <c r="G102" s="111"/>
      <c r="H102" s="1249">
        <v>611</v>
      </c>
      <c r="I102" s="111" t="s">
        <v>1725</v>
      </c>
      <c r="J102" s="1321" t="s">
        <v>5608</v>
      </c>
      <c r="K102" s="162" t="s">
        <v>5610</v>
      </c>
      <c r="L102" s="162" t="s">
        <v>5609</v>
      </c>
      <c r="M102" s="111">
        <v>34.765150921112927</v>
      </c>
      <c r="N102" s="111">
        <v>21241.507212799999</v>
      </c>
      <c r="O102" s="111"/>
      <c r="P102" s="111"/>
      <c r="Q102" s="111"/>
      <c r="R102" s="111"/>
      <c r="S102" s="1249">
        <v>300</v>
      </c>
      <c r="T102" s="1250">
        <v>7080.5024042666664</v>
      </c>
      <c r="U102" s="1250"/>
      <c r="V102" s="1250"/>
      <c r="W102" s="1251">
        <v>200</v>
      </c>
      <c r="X102" s="1250">
        <v>7080.5024042666664</v>
      </c>
      <c r="Y102" s="1250"/>
      <c r="Z102" s="1250"/>
      <c r="AA102" s="1250"/>
      <c r="AB102" s="1250"/>
      <c r="AC102" s="1250"/>
      <c r="AD102" s="1250"/>
      <c r="AE102" s="1249">
        <v>111</v>
      </c>
      <c r="AF102" s="1250">
        <v>7080.5024042666664</v>
      </c>
      <c r="AG102" s="111"/>
      <c r="AH102" s="111"/>
      <c r="AI102" s="111"/>
      <c r="AJ102" s="111"/>
      <c r="AK102" s="111"/>
      <c r="AL102" s="111"/>
      <c r="AM102" s="111">
        <v>21241.507212799999</v>
      </c>
    </row>
    <row r="103" spans="1:39" ht="15" customHeight="1" x14ac:dyDescent="0.25">
      <c r="A103" s="1409"/>
      <c r="B103" s="1409"/>
      <c r="C103" s="1409"/>
      <c r="D103" s="1409"/>
      <c r="E103" s="1258"/>
      <c r="F103" s="1248" t="s">
        <v>62</v>
      </c>
      <c r="G103" s="111"/>
      <c r="H103" s="1249">
        <v>74</v>
      </c>
      <c r="I103" s="111" t="s">
        <v>1721</v>
      </c>
      <c r="J103" s="1321" t="s">
        <v>5608</v>
      </c>
      <c r="K103" s="162" t="s">
        <v>5610</v>
      </c>
      <c r="L103" s="162" t="s">
        <v>5609</v>
      </c>
      <c r="M103" s="111">
        <v>21.126683243243246</v>
      </c>
      <c r="N103" s="111">
        <v>1563.3745600000002</v>
      </c>
      <c r="O103" s="111"/>
      <c r="P103" s="111"/>
      <c r="Q103" s="111"/>
      <c r="R103" s="111"/>
      <c r="S103" s="1249">
        <v>34</v>
      </c>
      <c r="T103" s="1250">
        <v>521.12485333333336</v>
      </c>
      <c r="U103" s="1250"/>
      <c r="V103" s="1250"/>
      <c r="W103" s="1251">
        <v>30</v>
      </c>
      <c r="X103" s="1250">
        <v>521.12485333333336</v>
      </c>
      <c r="Y103" s="1250"/>
      <c r="Z103" s="1250"/>
      <c r="AA103" s="1250"/>
      <c r="AB103" s="1250"/>
      <c r="AC103" s="1250"/>
      <c r="AD103" s="1250"/>
      <c r="AE103" s="1249">
        <v>10</v>
      </c>
      <c r="AF103" s="1250">
        <v>521.12485333333336</v>
      </c>
      <c r="AG103" s="111"/>
      <c r="AH103" s="111"/>
      <c r="AI103" s="111"/>
      <c r="AJ103" s="111"/>
      <c r="AK103" s="111"/>
      <c r="AL103" s="111"/>
      <c r="AM103" s="111">
        <v>1563.3745600000002</v>
      </c>
    </row>
    <row r="104" spans="1:39" ht="15" customHeight="1" x14ac:dyDescent="0.25">
      <c r="A104" s="1409"/>
      <c r="B104" s="1409"/>
      <c r="C104" s="1409"/>
      <c r="D104" s="1409"/>
      <c r="E104" s="1258"/>
      <c r="F104" s="1248" t="s">
        <v>2482</v>
      </c>
      <c r="G104" s="111"/>
      <c r="H104" s="1249">
        <v>2</v>
      </c>
      <c r="I104" s="111" t="s">
        <v>1873</v>
      </c>
      <c r="J104" s="1321" t="s">
        <v>5608</v>
      </c>
      <c r="K104" s="162" t="s">
        <v>5610</v>
      </c>
      <c r="L104" s="162" t="s">
        <v>5609</v>
      </c>
      <c r="M104" s="111">
        <v>24.12</v>
      </c>
      <c r="N104" s="111">
        <v>48.24</v>
      </c>
      <c r="O104" s="111"/>
      <c r="P104" s="111"/>
      <c r="Q104" s="111"/>
      <c r="R104" s="111"/>
      <c r="S104" s="1249">
        <v>1</v>
      </c>
      <c r="T104" s="1250">
        <v>16.080000000000002</v>
      </c>
      <c r="U104" s="1250"/>
      <c r="V104" s="1250"/>
      <c r="W104" s="1251">
        <v>1</v>
      </c>
      <c r="X104" s="1250">
        <v>16.080000000000002</v>
      </c>
      <c r="Y104" s="1250"/>
      <c r="Z104" s="1250"/>
      <c r="AA104" s="1250"/>
      <c r="AB104" s="1250"/>
      <c r="AC104" s="1250"/>
      <c r="AD104" s="1250"/>
      <c r="AE104" s="1249">
        <v>0</v>
      </c>
      <c r="AF104" s="1250">
        <v>16.080000000000002</v>
      </c>
      <c r="AG104" s="111"/>
      <c r="AH104" s="111"/>
      <c r="AI104" s="111"/>
      <c r="AJ104" s="111"/>
      <c r="AK104" s="111"/>
      <c r="AL104" s="111"/>
      <c r="AM104" s="111">
        <v>48.24</v>
      </c>
    </row>
    <row r="105" spans="1:39" ht="15" customHeight="1" x14ac:dyDescent="0.25">
      <c r="A105" s="1409"/>
      <c r="B105" s="1409"/>
      <c r="C105" s="1409"/>
      <c r="D105" s="1409"/>
      <c r="E105" s="1252"/>
      <c r="F105" s="1248" t="s">
        <v>63</v>
      </c>
      <c r="G105" s="111"/>
      <c r="H105" s="1249">
        <v>39</v>
      </c>
      <c r="I105" s="111" t="s">
        <v>1721</v>
      </c>
      <c r="J105" s="1321" t="s">
        <v>5608</v>
      </c>
      <c r="K105" s="162" t="s">
        <v>5610</v>
      </c>
      <c r="L105" s="162" t="s">
        <v>5609</v>
      </c>
      <c r="M105" s="111">
        <v>38.053087179487179</v>
      </c>
      <c r="N105" s="111">
        <v>1484.0704000000001</v>
      </c>
      <c r="O105" s="111"/>
      <c r="P105" s="111"/>
      <c r="Q105" s="111"/>
      <c r="R105" s="111"/>
      <c r="S105" s="1249">
        <v>15</v>
      </c>
      <c r="T105" s="1250">
        <v>494.69013333333334</v>
      </c>
      <c r="U105" s="1250"/>
      <c r="V105" s="1250"/>
      <c r="W105" s="1251">
        <v>14</v>
      </c>
      <c r="X105" s="1250">
        <v>494.69013333333334</v>
      </c>
      <c r="Y105" s="1250"/>
      <c r="Z105" s="1250"/>
      <c r="AA105" s="1250"/>
      <c r="AB105" s="1250"/>
      <c r="AC105" s="1250"/>
      <c r="AD105" s="1250"/>
      <c r="AE105" s="1249">
        <v>10</v>
      </c>
      <c r="AF105" s="1250">
        <v>494.69013333333334</v>
      </c>
      <c r="AG105" s="111"/>
      <c r="AH105" s="111"/>
      <c r="AI105" s="111"/>
      <c r="AJ105" s="111"/>
      <c r="AK105" s="111"/>
      <c r="AL105" s="111"/>
      <c r="AM105" s="111">
        <v>1484.0704000000001</v>
      </c>
    </row>
    <row r="106" spans="1:39" ht="15" customHeight="1" x14ac:dyDescent="0.25">
      <c r="A106" s="1409"/>
      <c r="B106" s="1409"/>
      <c r="C106" s="1409"/>
      <c r="D106" s="1409"/>
      <c r="E106" s="1252"/>
      <c r="F106" s="1248" t="s">
        <v>64</v>
      </c>
      <c r="G106" s="111"/>
      <c r="H106" s="1249">
        <v>1</v>
      </c>
      <c r="I106" s="111" t="s">
        <v>1721</v>
      </c>
      <c r="J106" s="1321" t="s">
        <v>5608</v>
      </c>
      <c r="K106" s="162" t="s">
        <v>5610</v>
      </c>
      <c r="L106" s="162" t="s">
        <v>5609</v>
      </c>
      <c r="M106" s="111">
        <v>15.68</v>
      </c>
      <c r="N106" s="111">
        <v>15.68</v>
      </c>
      <c r="O106" s="111"/>
      <c r="P106" s="111"/>
      <c r="Q106" s="111"/>
      <c r="R106" s="111"/>
      <c r="S106" s="1249">
        <v>1</v>
      </c>
      <c r="T106" s="1250">
        <v>5.2266666666666666</v>
      </c>
      <c r="U106" s="1250"/>
      <c r="V106" s="1250"/>
      <c r="W106" s="1251">
        <v>0</v>
      </c>
      <c r="X106" s="1250">
        <v>5.2266666666666666</v>
      </c>
      <c r="Y106" s="1250"/>
      <c r="Z106" s="1250"/>
      <c r="AA106" s="1250"/>
      <c r="AB106" s="1250"/>
      <c r="AC106" s="1250"/>
      <c r="AD106" s="1250"/>
      <c r="AE106" s="1249">
        <v>0</v>
      </c>
      <c r="AF106" s="1250">
        <v>5.2266666666666666</v>
      </c>
      <c r="AG106" s="111"/>
      <c r="AH106" s="111"/>
      <c r="AI106" s="111"/>
      <c r="AJ106" s="111"/>
      <c r="AK106" s="111"/>
      <c r="AL106" s="111"/>
      <c r="AM106" s="111">
        <v>15.68</v>
      </c>
    </row>
    <row r="107" spans="1:39" ht="15" customHeight="1" x14ac:dyDescent="0.25">
      <c r="A107" s="1409"/>
      <c r="B107" s="1409"/>
      <c r="C107" s="1409"/>
      <c r="D107" s="1409"/>
      <c r="E107" s="1252"/>
      <c r="F107" s="1248" t="s">
        <v>2498</v>
      </c>
      <c r="G107" s="111"/>
      <c r="H107" s="1249">
        <v>10</v>
      </c>
      <c r="I107" s="111" t="s">
        <v>1721</v>
      </c>
      <c r="J107" s="1321" t="s">
        <v>5608</v>
      </c>
      <c r="K107" s="162" t="s">
        <v>5610</v>
      </c>
      <c r="L107" s="162" t="s">
        <v>5609</v>
      </c>
      <c r="M107" s="111">
        <v>30.32</v>
      </c>
      <c r="N107" s="111">
        <v>303.2</v>
      </c>
      <c r="O107" s="111"/>
      <c r="P107" s="111"/>
      <c r="Q107" s="111"/>
      <c r="R107" s="111"/>
      <c r="S107" s="1249">
        <v>4</v>
      </c>
      <c r="T107" s="1250">
        <v>101.06666666666666</v>
      </c>
      <c r="U107" s="1250"/>
      <c r="V107" s="1250"/>
      <c r="W107" s="1251">
        <v>4</v>
      </c>
      <c r="X107" s="1250">
        <v>101.06666666666666</v>
      </c>
      <c r="Y107" s="1250"/>
      <c r="Z107" s="1250"/>
      <c r="AA107" s="1250"/>
      <c r="AB107" s="1250"/>
      <c r="AC107" s="1250"/>
      <c r="AD107" s="1250"/>
      <c r="AE107" s="1249">
        <v>2</v>
      </c>
      <c r="AF107" s="1250">
        <v>101.06666666666666</v>
      </c>
      <c r="AG107" s="111"/>
      <c r="AH107" s="111"/>
      <c r="AI107" s="111"/>
      <c r="AJ107" s="111"/>
      <c r="AK107" s="111"/>
      <c r="AL107" s="111"/>
      <c r="AM107" s="111">
        <v>303.2</v>
      </c>
    </row>
    <row r="108" spans="1:39" ht="15" customHeight="1" x14ac:dyDescent="0.25">
      <c r="A108" s="1409"/>
      <c r="B108" s="1409"/>
      <c r="C108" s="1409"/>
      <c r="D108" s="1409"/>
      <c r="E108" s="1252"/>
      <c r="F108" s="1248" t="s">
        <v>2499</v>
      </c>
      <c r="G108" s="111"/>
      <c r="H108" s="1249">
        <v>6</v>
      </c>
      <c r="I108" s="111" t="s">
        <v>1721</v>
      </c>
      <c r="J108" s="1321" t="s">
        <v>5608</v>
      </c>
      <c r="K108" s="162" t="s">
        <v>5610</v>
      </c>
      <c r="L108" s="162" t="s">
        <v>5609</v>
      </c>
      <c r="M108" s="111">
        <v>275.62</v>
      </c>
      <c r="N108" s="111">
        <v>1653.72</v>
      </c>
      <c r="O108" s="111"/>
      <c r="P108" s="111"/>
      <c r="Q108" s="111"/>
      <c r="R108" s="111"/>
      <c r="S108" s="1249">
        <v>2</v>
      </c>
      <c r="T108" s="1250">
        <v>551.24</v>
      </c>
      <c r="U108" s="1250"/>
      <c r="V108" s="1250"/>
      <c r="W108" s="1251">
        <v>2</v>
      </c>
      <c r="X108" s="1250">
        <v>551.24</v>
      </c>
      <c r="Y108" s="1250"/>
      <c r="Z108" s="1250"/>
      <c r="AA108" s="1250"/>
      <c r="AB108" s="1250"/>
      <c r="AC108" s="1250"/>
      <c r="AD108" s="1250"/>
      <c r="AE108" s="1249">
        <v>2</v>
      </c>
      <c r="AF108" s="1250">
        <v>551.24</v>
      </c>
      <c r="AG108" s="111"/>
      <c r="AH108" s="111"/>
      <c r="AI108" s="111"/>
      <c r="AJ108" s="111"/>
      <c r="AK108" s="111"/>
      <c r="AL108" s="111"/>
      <c r="AM108" s="111">
        <v>1653.72</v>
      </c>
    </row>
    <row r="109" spans="1:39" ht="15" customHeight="1" x14ac:dyDescent="0.25">
      <c r="A109" s="1409"/>
      <c r="B109" s="1409"/>
      <c r="C109" s="1409"/>
      <c r="D109" s="1409"/>
      <c r="E109" s="1252"/>
      <c r="F109" s="1248" t="s">
        <v>113</v>
      </c>
      <c r="G109" s="111"/>
      <c r="H109" s="1249">
        <v>3</v>
      </c>
      <c r="I109" s="111" t="s">
        <v>1721</v>
      </c>
      <c r="J109" s="1321" t="s">
        <v>5608</v>
      </c>
      <c r="K109" s="162" t="s">
        <v>5610</v>
      </c>
      <c r="L109" s="162" t="s">
        <v>5609</v>
      </c>
      <c r="M109" s="111">
        <v>243.15026666666665</v>
      </c>
      <c r="N109" s="111">
        <v>729.45079999999996</v>
      </c>
      <c r="O109" s="111"/>
      <c r="P109" s="111"/>
      <c r="Q109" s="111"/>
      <c r="R109" s="111"/>
      <c r="S109" s="1249">
        <v>2</v>
      </c>
      <c r="T109" s="1250">
        <v>243.15026666666665</v>
      </c>
      <c r="U109" s="1250"/>
      <c r="V109" s="1250"/>
      <c r="W109" s="1251">
        <v>1</v>
      </c>
      <c r="X109" s="1250">
        <v>243.15026666666665</v>
      </c>
      <c r="Y109" s="1250"/>
      <c r="Z109" s="1250"/>
      <c r="AA109" s="1250"/>
      <c r="AB109" s="1250"/>
      <c r="AC109" s="1250"/>
      <c r="AD109" s="1250"/>
      <c r="AE109" s="1249">
        <v>0</v>
      </c>
      <c r="AF109" s="1250">
        <v>243.15026666666665</v>
      </c>
      <c r="AG109" s="111"/>
      <c r="AH109" s="111"/>
      <c r="AI109" s="111"/>
      <c r="AJ109" s="111"/>
      <c r="AK109" s="111"/>
      <c r="AL109" s="111"/>
      <c r="AM109" s="111">
        <v>729.45079999999996</v>
      </c>
    </row>
    <row r="110" spans="1:39" ht="15" customHeight="1" x14ac:dyDescent="0.25">
      <c r="A110" s="1409"/>
      <c r="B110" s="1409"/>
      <c r="C110" s="1409"/>
      <c r="D110" s="1409"/>
      <c r="E110" s="1252"/>
      <c r="F110" s="1248" t="s">
        <v>65</v>
      </c>
      <c r="G110" s="111"/>
      <c r="H110" s="1249">
        <v>18</v>
      </c>
      <c r="I110" s="111" t="s">
        <v>1721</v>
      </c>
      <c r="J110" s="1321" t="s">
        <v>5608</v>
      </c>
      <c r="K110" s="162" t="s">
        <v>5610</v>
      </c>
      <c r="L110" s="162" t="s">
        <v>5609</v>
      </c>
      <c r="M110" s="111">
        <v>68.900222222222226</v>
      </c>
      <c r="N110" s="111">
        <v>1240.2040000000002</v>
      </c>
      <c r="O110" s="111"/>
      <c r="P110" s="111"/>
      <c r="Q110" s="111"/>
      <c r="R110" s="111"/>
      <c r="S110" s="1249">
        <v>8</v>
      </c>
      <c r="T110" s="1250">
        <v>413.4013333333333</v>
      </c>
      <c r="U110" s="1250"/>
      <c r="V110" s="1250"/>
      <c r="W110" s="1251">
        <v>5</v>
      </c>
      <c r="X110" s="1250">
        <v>413.4013333333333</v>
      </c>
      <c r="Y110" s="1250"/>
      <c r="Z110" s="1250"/>
      <c r="AA110" s="1250"/>
      <c r="AB110" s="1250"/>
      <c r="AC110" s="1250"/>
      <c r="AD110" s="1250"/>
      <c r="AE110" s="1249">
        <v>5</v>
      </c>
      <c r="AF110" s="1250">
        <v>413.4013333333333</v>
      </c>
      <c r="AG110" s="111"/>
      <c r="AH110" s="111"/>
      <c r="AI110" s="111"/>
      <c r="AJ110" s="111"/>
      <c r="AK110" s="111"/>
      <c r="AL110" s="111"/>
      <c r="AM110" s="111">
        <v>1240.204</v>
      </c>
    </row>
    <row r="111" spans="1:39" ht="15" customHeight="1" x14ac:dyDescent="0.25">
      <c r="A111" s="1409"/>
      <c r="B111" s="1409"/>
      <c r="C111" s="1409"/>
      <c r="D111" s="1409"/>
      <c r="E111" s="1252"/>
      <c r="F111" s="1248" t="s">
        <v>2871</v>
      </c>
      <c r="G111" s="111"/>
      <c r="H111" s="1249">
        <v>24</v>
      </c>
      <c r="I111" s="111" t="s">
        <v>1721</v>
      </c>
      <c r="J111" s="1321" t="s">
        <v>5608</v>
      </c>
      <c r="K111" s="162" t="s">
        <v>5610</v>
      </c>
      <c r="L111" s="162" t="s">
        <v>5609</v>
      </c>
      <c r="M111" s="111">
        <v>18.998479999999997</v>
      </c>
      <c r="N111" s="111">
        <v>455.9635199999999</v>
      </c>
      <c r="O111" s="111"/>
      <c r="P111" s="111"/>
      <c r="Q111" s="111"/>
      <c r="R111" s="111"/>
      <c r="S111" s="1249">
        <v>14</v>
      </c>
      <c r="T111" s="1250">
        <v>151.98783999999998</v>
      </c>
      <c r="U111" s="1250"/>
      <c r="V111" s="1250"/>
      <c r="W111" s="1251">
        <v>5</v>
      </c>
      <c r="X111" s="1250">
        <v>151.98783999999998</v>
      </c>
      <c r="Y111" s="1250"/>
      <c r="Z111" s="1250"/>
      <c r="AA111" s="1250"/>
      <c r="AB111" s="1250"/>
      <c r="AC111" s="1250"/>
      <c r="AD111" s="1250"/>
      <c r="AE111" s="1249">
        <v>5</v>
      </c>
      <c r="AF111" s="1250">
        <v>151.98783999999998</v>
      </c>
      <c r="AG111" s="111"/>
      <c r="AH111" s="111"/>
      <c r="AI111" s="111"/>
      <c r="AJ111" s="111"/>
      <c r="AK111" s="111"/>
      <c r="AL111" s="111"/>
      <c r="AM111" s="111">
        <v>455.9635199999999</v>
      </c>
    </row>
    <row r="112" spans="1:39" ht="15" customHeight="1" x14ac:dyDescent="0.25">
      <c r="A112" s="1409"/>
      <c r="B112" s="1409"/>
      <c r="C112" s="1409"/>
      <c r="D112" s="1409"/>
      <c r="E112" s="1252"/>
      <c r="F112" s="1248" t="s">
        <v>2872</v>
      </c>
      <c r="G112" s="111"/>
      <c r="H112" s="1249">
        <v>24</v>
      </c>
      <c r="I112" s="111" t="s">
        <v>1721</v>
      </c>
      <c r="J112" s="1321" t="s">
        <v>5608</v>
      </c>
      <c r="K112" s="162" t="s">
        <v>5610</v>
      </c>
      <c r="L112" s="162" t="s">
        <v>5609</v>
      </c>
      <c r="M112" s="111">
        <v>68.900000000000006</v>
      </c>
      <c r="N112" s="111">
        <v>1653.6000000000001</v>
      </c>
      <c r="O112" s="111"/>
      <c r="P112" s="111"/>
      <c r="Q112" s="111"/>
      <c r="R112" s="111"/>
      <c r="S112" s="1249">
        <v>14</v>
      </c>
      <c r="T112" s="1250">
        <v>551.20000000000005</v>
      </c>
      <c r="U112" s="1250"/>
      <c r="V112" s="1250"/>
      <c r="W112" s="1251">
        <v>5</v>
      </c>
      <c r="X112" s="1250">
        <v>551.20000000000005</v>
      </c>
      <c r="Y112" s="1250"/>
      <c r="Z112" s="1250"/>
      <c r="AA112" s="1250"/>
      <c r="AB112" s="1250"/>
      <c r="AC112" s="1250"/>
      <c r="AD112" s="1250"/>
      <c r="AE112" s="1249">
        <v>5</v>
      </c>
      <c r="AF112" s="1250">
        <v>551.20000000000005</v>
      </c>
      <c r="AG112" s="111"/>
      <c r="AH112" s="111"/>
      <c r="AI112" s="111"/>
      <c r="AJ112" s="111"/>
      <c r="AK112" s="111"/>
      <c r="AL112" s="111"/>
      <c r="AM112" s="111">
        <v>1653.6000000000001</v>
      </c>
    </row>
    <row r="113" spans="1:39" ht="15" customHeight="1" x14ac:dyDescent="0.25">
      <c r="A113" s="1409"/>
      <c r="B113" s="1409"/>
      <c r="C113" s="1409"/>
      <c r="D113" s="1409"/>
      <c r="E113" s="1252"/>
      <c r="F113" s="1248" t="s">
        <v>2873</v>
      </c>
      <c r="G113" s="111"/>
      <c r="H113" s="1249">
        <v>24</v>
      </c>
      <c r="I113" s="111" t="s">
        <v>1721</v>
      </c>
      <c r="J113" s="1321" t="s">
        <v>5608</v>
      </c>
      <c r="K113" s="162" t="s">
        <v>5610</v>
      </c>
      <c r="L113" s="162" t="s">
        <v>5609</v>
      </c>
      <c r="M113" s="111">
        <v>14.14</v>
      </c>
      <c r="N113" s="111">
        <v>339.36</v>
      </c>
      <c r="O113" s="111"/>
      <c r="P113" s="111"/>
      <c r="Q113" s="111"/>
      <c r="R113" s="111"/>
      <c r="S113" s="1249">
        <v>14</v>
      </c>
      <c r="T113" s="1250">
        <v>113.12</v>
      </c>
      <c r="U113" s="1250"/>
      <c r="V113" s="1250"/>
      <c r="W113" s="1251">
        <v>5</v>
      </c>
      <c r="X113" s="1250">
        <v>113.12</v>
      </c>
      <c r="Y113" s="1250"/>
      <c r="Z113" s="1250"/>
      <c r="AA113" s="1250"/>
      <c r="AB113" s="1250"/>
      <c r="AC113" s="1250"/>
      <c r="AD113" s="1250"/>
      <c r="AE113" s="1249">
        <v>5</v>
      </c>
      <c r="AF113" s="1250">
        <v>113.12</v>
      </c>
      <c r="AG113" s="111"/>
      <c r="AH113" s="111"/>
      <c r="AI113" s="111"/>
      <c r="AJ113" s="111"/>
      <c r="AK113" s="111"/>
      <c r="AL113" s="111"/>
      <c r="AM113" s="111">
        <v>339.36</v>
      </c>
    </row>
    <row r="114" spans="1:39" ht="15" customHeight="1" x14ac:dyDescent="0.25">
      <c r="A114" s="1409"/>
      <c r="B114" s="1409"/>
      <c r="C114" s="1409"/>
      <c r="D114" s="1409"/>
      <c r="E114" s="1252"/>
      <c r="F114" s="1248" t="s">
        <v>2870</v>
      </c>
      <c r="G114" s="111"/>
      <c r="H114" s="1249">
        <v>24</v>
      </c>
      <c r="I114" s="111" t="s">
        <v>1721</v>
      </c>
      <c r="J114" s="1321" t="s">
        <v>5608</v>
      </c>
      <c r="K114" s="162" t="s">
        <v>5610</v>
      </c>
      <c r="L114" s="162" t="s">
        <v>5609</v>
      </c>
      <c r="M114" s="111">
        <v>42.999266666666664</v>
      </c>
      <c r="N114" s="111">
        <v>1031.9823999999999</v>
      </c>
      <c r="O114" s="111"/>
      <c r="P114" s="111"/>
      <c r="Q114" s="111"/>
      <c r="R114" s="111"/>
      <c r="S114" s="1249">
        <v>14</v>
      </c>
      <c r="T114" s="1250">
        <v>343.99413333333331</v>
      </c>
      <c r="U114" s="1250"/>
      <c r="V114" s="1250"/>
      <c r="W114" s="1251">
        <v>5</v>
      </c>
      <c r="X114" s="1250">
        <v>343.99413333333331</v>
      </c>
      <c r="Y114" s="1250"/>
      <c r="Z114" s="1250"/>
      <c r="AA114" s="1250"/>
      <c r="AB114" s="1250"/>
      <c r="AC114" s="1250"/>
      <c r="AD114" s="1250"/>
      <c r="AE114" s="1249">
        <v>5</v>
      </c>
      <c r="AF114" s="1250">
        <v>343.99413333333331</v>
      </c>
      <c r="AG114" s="111"/>
      <c r="AH114" s="111"/>
      <c r="AI114" s="111"/>
      <c r="AJ114" s="111"/>
      <c r="AK114" s="111"/>
      <c r="AL114" s="111"/>
      <c r="AM114" s="111">
        <v>1031.9823999999999</v>
      </c>
    </row>
    <row r="115" spans="1:39" ht="15" customHeight="1" x14ac:dyDescent="0.25">
      <c r="A115" s="1409"/>
      <c r="B115" s="1409"/>
      <c r="C115" s="1409"/>
      <c r="D115" s="1409"/>
      <c r="E115" s="1252"/>
      <c r="F115" s="1248" t="s">
        <v>66</v>
      </c>
      <c r="G115" s="111"/>
      <c r="H115" s="1249">
        <v>33</v>
      </c>
      <c r="I115" s="111" t="s">
        <v>1721</v>
      </c>
      <c r="J115" s="1321" t="s">
        <v>5608</v>
      </c>
      <c r="K115" s="162" t="s">
        <v>5610</v>
      </c>
      <c r="L115" s="162" t="s">
        <v>5609</v>
      </c>
      <c r="M115" s="111">
        <v>43.107044848484847</v>
      </c>
      <c r="N115" s="111">
        <v>1422.5324799999999</v>
      </c>
      <c r="O115" s="111"/>
      <c r="P115" s="111"/>
      <c r="Q115" s="111"/>
      <c r="R115" s="111"/>
      <c r="S115" s="1249">
        <v>13</v>
      </c>
      <c r="T115" s="1250">
        <v>474.1774933333333</v>
      </c>
      <c r="U115" s="1250"/>
      <c r="V115" s="1250"/>
      <c r="W115" s="1251">
        <v>10</v>
      </c>
      <c r="X115" s="1250">
        <v>474.1774933333333</v>
      </c>
      <c r="Y115" s="1250"/>
      <c r="Z115" s="1250"/>
      <c r="AA115" s="1250"/>
      <c r="AB115" s="1250"/>
      <c r="AC115" s="1250"/>
      <c r="AD115" s="1250"/>
      <c r="AE115" s="1249">
        <v>10</v>
      </c>
      <c r="AF115" s="1250">
        <v>474.1774933333333</v>
      </c>
      <c r="AG115" s="111"/>
      <c r="AH115" s="111"/>
      <c r="AI115" s="111"/>
      <c r="AJ115" s="111"/>
      <c r="AK115" s="111"/>
      <c r="AL115" s="111"/>
      <c r="AM115" s="111">
        <v>1422.5324799999999</v>
      </c>
    </row>
    <row r="116" spans="1:39" ht="15" customHeight="1" x14ac:dyDescent="0.25">
      <c r="A116" s="1409"/>
      <c r="B116" s="1409"/>
      <c r="C116" s="1409"/>
      <c r="D116" s="1409"/>
      <c r="E116" s="1252"/>
      <c r="F116" s="1248" t="s">
        <v>67</v>
      </c>
      <c r="G116" s="111"/>
      <c r="H116" s="1249">
        <v>14</v>
      </c>
      <c r="I116" s="111" t="s">
        <v>1721</v>
      </c>
      <c r="J116" s="1321" t="s">
        <v>5608</v>
      </c>
      <c r="K116" s="162" t="s">
        <v>5610</v>
      </c>
      <c r="L116" s="162" t="s">
        <v>5609</v>
      </c>
      <c r="M116" s="111">
        <v>69.557657142857153</v>
      </c>
      <c r="N116" s="111">
        <v>973.80720000000019</v>
      </c>
      <c r="O116" s="111"/>
      <c r="P116" s="111"/>
      <c r="Q116" s="111"/>
      <c r="R116" s="111"/>
      <c r="S116" s="1249">
        <v>5</v>
      </c>
      <c r="T116" s="1250">
        <v>324.60240000000005</v>
      </c>
      <c r="U116" s="1250"/>
      <c r="V116" s="1250"/>
      <c r="W116" s="1251">
        <v>5</v>
      </c>
      <c r="X116" s="1250">
        <v>324.60240000000005</v>
      </c>
      <c r="Y116" s="1250"/>
      <c r="Z116" s="1250"/>
      <c r="AA116" s="1250"/>
      <c r="AB116" s="1250"/>
      <c r="AC116" s="1250"/>
      <c r="AD116" s="1250"/>
      <c r="AE116" s="1249">
        <v>4</v>
      </c>
      <c r="AF116" s="1250">
        <v>324.60240000000005</v>
      </c>
      <c r="AG116" s="111"/>
      <c r="AH116" s="111"/>
      <c r="AI116" s="111"/>
      <c r="AJ116" s="111"/>
      <c r="AK116" s="111"/>
      <c r="AL116" s="111"/>
      <c r="AM116" s="111">
        <v>973.80720000000008</v>
      </c>
    </row>
    <row r="117" spans="1:39" ht="15" customHeight="1" x14ac:dyDescent="0.25">
      <c r="A117" s="1409"/>
      <c r="B117" s="1409"/>
      <c r="C117" s="1409"/>
      <c r="D117" s="1409"/>
      <c r="E117" s="1252"/>
      <c r="F117" s="1248" t="s">
        <v>68</v>
      </c>
      <c r="G117" s="111"/>
      <c r="H117" s="1249">
        <v>8</v>
      </c>
      <c r="I117" s="111" t="s">
        <v>1721</v>
      </c>
      <c r="J117" s="1321" t="s">
        <v>5608</v>
      </c>
      <c r="K117" s="162" t="s">
        <v>5610</v>
      </c>
      <c r="L117" s="162" t="s">
        <v>5609</v>
      </c>
      <c r="M117" s="111">
        <v>17.337149999999998</v>
      </c>
      <c r="N117" s="111">
        <v>138.69719999999998</v>
      </c>
      <c r="O117" s="111"/>
      <c r="P117" s="111"/>
      <c r="Q117" s="111"/>
      <c r="R117" s="111"/>
      <c r="S117" s="1249">
        <v>4</v>
      </c>
      <c r="T117" s="1250">
        <v>46.232399999999991</v>
      </c>
      <c r="U117" s="1250"/>
      <c r="V117" s="1250"/>
      <c r="W117" s="1251">
        <v>2</v>
      </c>
      <c r="X117" s="1250">
        <v>46.232399999999991</v>
      </c>
      <c r="Y117" s="1250"/>
      <c r="Z117" s="1250"/>
      <c r="AA117" s="1250"/>
      <c r="AB117" s="1250"/>
      <c r="AC117" s="1250"/>
      <c r="AD117" s="1250"/>
      <c r="AE117" s="1249">
        <v>2</v>
      </c>
      <c r="AF117" s="1250">
        <v>46.232399999999991</v>
      </c>
      <c r="AG117" s="111"/>
      <c r="AH117" s="111"/>
      <c r="AI117" s="111"/>
      <c r="AJ117" s="111"/>
      <c r="AK117" s="111"/>
      <c r="AL117" s="111"/>
      <c r="AM117" s="111">
        <v>138.69719999999998</v>
      </c>
    </row>
    <row r="118" spans="1:39" ht="15" customHeight="1" x14ac:dyDescent="0.25">
      <c r="A118" s="1409"/>
      <c r="B118" s="1409"/>
      <c r="C118" s="1409"/>
      <c r="D118" s="1409"/>
      <c r="E118" s="1252"/>
      <c r="F118" s="1248" t="s">
        <v>69</v>
      </c>
      <c r="G118" s="111"/>
      <c r="H118" s="1249">
        <v>3</v>
      </c>
      <c r="I118" s="111" t="s">
        <v>1721</v>
      </c>
      <c r="J118" s="1321" t="s">
        <v>5608</v>
      </c>
      <c r="K118" s="162" t="s">
        <v>5610</v>
      </c>
      <c r="L118" s="162" t="s">
        <v>5609</v>
      </c>
      <c r="M118" s="111">
        <v>14.0824</v>
      </c>
      <c r="N118" s="111">
        <v>42.247199999999999</v>
      </c>
      <c r="O118" s="111"/>
      <c r="P118" s="111"/>
      <c r="Q118" s="111"/>
      <c r="R118" s="111"/>
      <c r="S118" s="1249">
        <v>2</v>
      </c>
      <c r="T118" s="1250">
        <v>14.0824</v>
      </c>
      <c r="U118" s="1250"/>
      <c r="V118" s="1250"/>
      <c r="W118" s="1251">
        <v>1</v>
      </c>
      <c r="X118" s="1250">
        <v>14.0824</v>
      </c>
      <c r="Y118" s="1250"/>
      <c r="Z118" s="1250"/>
      <c r="AA118" s="1250"/>
      <c r="AB118" s="1250"/>
      <c r="AC118" s="1250"/>
      <c r="AD118" s="1250"/>
      <c r="AE118" s="1249">
        <v>0</v>
      </c>
      <c r="AF118" s="1250">
        <v>14.0824</v>
      </c>
      <c r="AG118" s="111"/>
      <c r="AH118" s="111"/>
      <c r="AI118" s="111"/>
      <c r="AJ118" s="111"/>
      <c r="AK118" s="111"/>
      <c r="AL118" s="111"/>
      <c r="AM118" s="111">
        <v>42.247199999999999</v>
      </c>
    </row>
    <row r="119" spans="1:39" ht="15" customHeight="1" x14ac:dyDescent="0.25">
      <c r="A119" s="1409"/>
      <c r="B119" s="1409"/>
      <c r="C119" s="1409"/>
      <c r="D119" s="1409"/>
      <c r="E119" s="1252"/>
      <c r="F119" s="1248" t="s">
        <v>2493</v>
      </c>
      <c r="G119" s="111"/>
      <c r="H119" s="1249">
        <v>8</v>
      </c>
      <c r="I119" s="111" t="s">
        <v>1721</v>
      </c>
      <c r="J119" s="1321" t="s">
        <v>5608</v>
      </c>
      <c r="K119" s="162" t="s">
        <v>5610</v>
      </c>
      <c r="L119" s="162" t="s">
        <v>5609</v>
      </c>
      <c r="M119" s="111">
        <v>16.54</v>
      </c>
      <c r="N119" s="111">
        <v>132.32</v>
      </c>
      <c r="O119" s="111"/>
      <c r="P119" s="111"/>
      <c r="Q119" s="111"/>
      <c r="R119" s="111"/>
      <c r="S119" s="1249">
        <v>4</v>
      </c>
      <c r="T119" s="1250">
        <v>44.106666666666662</v>
      </c>
      <c r="U119" s="1250"/>
      <c r="V119" s="1250"/>
      <c r="W119" s="1251">
        <v>2</v>
      </c>
      <c r="X119" s="1250">
        <v>44.106666666666662</v>
      </c>
      <c r="Y119" s="1250"/>
      <c r="Z119" s="1250"/>
      <c r="AA119" s="1250"/>
      <c r="AB119" s="1250"/>
      <c r="AC119" s="1250"/>
      <c r="AD119" s="1250"/>
      <c r="AE119" s="1249">
        <v>2</v>
      </c>
      <c r="AF119" s="1250">
        <v>44.106666666666662</v>
      </c>
      <c r="AG119" s="111"/>
      <c r="AH119" s="111"/>
      <c r="AI119" s="111"/>
      <c r="AJ119" s="111"/>
      <c r="AK119" s="111"/>
      <c r="AL119" s="111"/>
      <c r="AM119" s="111">
        <v>132.32</v>
      </c>
    </row>
    <row r="120" spans="1:39" ht="15" customHeight="1" x14ac:dyDescent="0.25">
      <c r="A120" s="1409"/>
      <c r="B120" s="1409"/>
      <c r="C120" s="1409"/>
      <c r="D120" s="1409"/>
      <c r="E120" s="1252"/>
      <c r="F120" s="1248" t="s">
        <v>2877</v>
      </c>
      <c r="G120" s="111"/>
      <c r="H120" s="1249">
        <v>6</v>
      </c>
      <c r="I120" s="111" t="s">
        <v>1721</v>
      </c>
      <c r="J120" s="1321" t="s">
        <v>5608</v>
      </c>
      <c r="K120" s="162" t="s">
        <v>5610</v>
      </c>
      <c r="L120" s="162" t="s">
        <v>5609</v>
      </c>
      <c r="M120" s="111">
        <v>29</v>
      </c>
      <c r="N120" s="111">
        <v>174</v>
      </c>
      <c r="O120" s="111"/>
      <c r="P120" s="111"/>
      <c r="Q120" s="111"/>
      <c r="R120" s="111"/>
      <c r="S120" s="1249">
        <v>2</v>
      </c>
      <c r="T120" s="1250">
        <v>58</v>
      </c>
      <c r="U120" s="1250"/>
      <c r="V120" s="1250"/>
      <c r="W120" s="1251">
        <v>2</v>
      </c>
      <c r="X120" s="1250">
        <v>58</v>
      </c>
      <c r="Y120" s="1250"/>
      <c r="Z120" s="1250"/>
      <c r="AA120" s="1250"/>
      <c r="AB120" s="1250"/>
      <c r="AC120" s="1250"/>
      <c r="AD120" s="1250"/>
      <c r="AE120" s="1249">
        <v>2</v>
      </c>
      <c r="AF120" s="1250">
        <v>58</v>
      </c>
      <c r="AG120" s="111"/>
      <c r="AH120" s="111"/>
      <c r="AI120" s="111"/>
      <c r="AJ120" s="111"/>
      <c r="AK120" s="111"/>
      <c r="AL120" s="111"/>
      <c r="AM120" s="111">
        <v>174</v>
      </c>
    </row>
    <row r="121" spans="1:39" ht="15" customHeight="1" x14ac:dyDescent="0.25">
      <c r="A121" s="1409"/>
      <c r="B121" s="1409"/>
      <c r="C121" s="1409"/>
      <c r="D121" s="1409"/>
      <c r="E121" s="1252"/>
      <c r="F121" s="1248" t="s">
        <v>2142</v>
      </c>
      <c r="G121" s="111"/>
      <c r="H121" s="1249">
        <v>6</v>
      </c>
      <c r="I121" s="111" t="s">
        <v>1721</v>
      </c>
      <c r="J121" s="1321" t="s">
        <v>5608</v>
      </c>
      <c r="K121" s="162" t="s">
        <v>5610</v>
      </c>
      <c r="L121" s="162" t="s">
        <v>5609</v>
      </c>
      <c r="M121" s="111">
        <v>71.274297600000011</v>
      </c>
      <c r="N121" s="111">
        <v>427.64578560000007</v>
      </c>
      <c r="O121" s="111"/>
      <c r="P121" s="111"/>
      <c r="Q121" s="111"/>
      <c r="R121" s="111"/>
      <c r="S121" s="1249">
        <v>2</v>
      </c>
      <c r="T121" s="1250">
        <v>142.54859520000002</v>
      </c>
      <c r="U121" s="1250"/>
      <c r="V121" s="1250"/>
      <c r="W121" s="1251">
        <v>2</v>
      </c>
      <c r="X121" s="1250">
        <v>142.54859520000002</v>
      </c>
      <c r="Y121" s="1250"/>
      <c r="Z121" s="1250"/>
      <c r="AA121" s="1250"/>
      <c r="AB121" s="1250"/>
      <c r="AC121" s="1250"/>
      <c r="AD121" s="1250"/>
      <c r="AE121" s="1249">
        <v>2</v>
      </c>
      <c r="AF121" s="1250">
        <v>142.54859520000002</v>
      </c>
      <c r="AG121" s="111"/>
      <c r="AH121" s="111"/>
      <c r="AI121" s="111"/>
      <c r="AJ121" s="111"/>
      <c r="AK121" s="111"/>
      <c r="AL121" s="111"/>
      <c r="AM121" s="111">
        <v>427.64578560000007</v>
      </c>
    </row>
    <row r="122" spans="1:39" ht="15" customHeight="1" x14ac:dyDescent="0.25">
      <c r="A122" s="1409"/>
      <c r="B122" s="1409"/>
      <c r="C122" s="1409"/>
      <c r="D122" s="1409"/>
      <c r="E122" s="1252"/>
      <c r="F122" s="1248" t="s">
        <v>4386</v>
      </c>
      <c r="G122" s="111"/>
      <c r="H122" s="1249">
        <v>4</v>
      </c>
      <c r="I122" s="111" t="s">
        <v>1721</v>
      </c>
      <c r="J122" s="1321" t="s">
        <v>5608</v>
      </c>
      <c r="K122" s="162" t="s">
        <v>5610</v>
      </c>
      <c r="L122" s="162" t="s">
        <v>5609</v>
      </c>
      <c r="M122" s="111">
        <v>304.55568</v>
      </c>
      <c r="N122" s="111">
        <v>1218.22272</v>
      </c>
      <c r="O122" s="111"/>
      <c r="P122" s="111"/>
      <c r="Q122" s="111"/>
      <c r="R122" s="111"/>
      <c r="S122" s="1249">
        <v>2</v>
      </c>
      <c r="T122" s="1250">
        <v>406.07423999999997</v>
      </c>
      <c r="U122" s="1250"/>
      <c r="V122" s="1250"/>
      <c r="W122" s="1251">
        <v>1</v>
      </c>
      <c r="X122" s="1250">
        <v>406.07423999999997</v>
      </c>
      <c r="Y122" s="1250"/>
      <c r="Z122" s="1250"/>
      <c r="AA122" s="1250"/>
      <c r="AB122" s="1250"/>
      <c r="AC122" s="1250"/>
      <c r="AD122" s="1250"/>
      <c r="AE122" s="1249">
        <v>1</v>
      </c>
      <c r="AF122" s="1250">
        <v>406.07423999999997</v>
      </c>
      <c r="AG122" s="111"/>
      <c r="AH122" s="111"/>
      <c r="AI122" s="111"/>
      <c r="AJ122" s="111"/>
      <c r="AK122" s="111"/>
      <c r="AL122" s="111"/>
      <c r="AM122" s="111">
        <v>1218.22272</v>
      </c>
    </row>
    <row r="123" spans="1:39" ht="15" customHeight="1" x14ac:dyDescent="0.25">
      <c r="A123" s="1409"/>
      <c r="B123" s="1409"/>
      <c r="C123" s="1409"/>
      <c r="D123" s="1409"/>
      <c r="E123" s="1252"/>
      <c r="F123" s="1248" t="s">
        <v>70</v>
      </c>
      <c r="G123" s="111"/>
      <c r="H123" s="1249">
        <v>91</v>
      </c>
      <c r="I123" s="111" t="s">
        <v>1721</v>
      </c>
      <c r="J123" s="1321" t="s">
        <v>5608</v>
      </c>
      <c r="K123" s="162" t="s">
        <v>5610</v>
      </c>
      <c r="L123" s="162" t="s">
        <v>5609</v>
      </c>
      <c r="M123" s="111">
        <v>14.348916043956047</v>
      </c>
      <c r="N123" s="111">
        <v>1305.7513600000002</v>
      </c>
      <c r="O123" s="111"/>
      <c r="P123" s="111"/>
      <c r="Q123" s="111"/>
      <c r="R123" s="111"/>
      <c r="S123" s="1249">
        <v>40</v>
      </c>
      <c r="T123" s="1250">
        <v>435.25045333333338</v>
      </c>
      <c r="U123" s="1250"/>
      <c r="V123" s="1250"/>
      <c r="W123" s="1251">
        <v>40</v>
      </c>
      <c r="X123" s="1250">
        <v>435.25045333333338</v>
      </c>
      <c r="Y123" s="1250"/>
      <c r="Z123" s="1250"/>
      <c r="AA123" s="1250"/>
      <c r="AB123" s="1250"/>
      <c r="AC123" s="1250"/>
      <c r="AD123" s="1250"/>
      <c r="AE123" s="1249">
        <v>11</v>
      </c>
      <c r="AF123" s="1250">
        <v>435.25045333333338</v>
      </c>
      <c r="AG123" s="111"/>
      <c r="AH123" s="111"/>
      <c r="AI123" s="111"/>
      <c r="AJ123" s="111"/>
      <c r="AK123" s="111"/>
      <c r="AL123" s="111"/>
      <c r="AM123" s="111">
        <v>1305.7513600000002</v>
      </c>
    </row>
    <row r="124" spans="1:39" ht="15" customHeight="1" x14ac:dyDescent="0.25">
      <c r="A124" s="1409"/>
      <c r="B124" s="1409"/>
      <c r="C124" s="1409"/>
      <c r="D124" s="1409"/>
      <c r="E124" s="1252"/>
      <c r="F124" s="1248" t="s">
        <v>71</v>
      </c>
      <c r="G124" s="111"/>
      <c r="H124" s="1249">
        <v>31</v>
      </c>
      <c r="I124" s="111" t="s">
        <v>1721</v>
      </c>
      <c r="J124" s="1321" t="s">
        <v>5608</v>
      </c>
      <c r="K124" s="162" t="s">
        <v>5610</v>
      </c>
      <c r="L124" s="162" t="s">
        <v>5609</v>
      </c>
      <c r="M124" s="111">
        <v>152.39690322580643</v>
      </c>
      <c r="N124" s="111">
        <v>4724.3039999999992</v>
      </c>
      <c r="O124" s="111"/>
      <c r="P124" s="111"/>
      <c r="Q124" s="111"/>
      <c r="R124" s="111"/>
      <c r="S124" s="1249">
        <v>11</v>
      </c>
      <c r="T124" s="1250">
        <v>1574.7679999999998</v>
      </c>
      <c r="U124" s="1250"/>
      <c r="V124" s="1250"/>
      <c r="W124" s="1251">
        <v>10</v>
      </c>
      <c r="X124" s="1250">
        <v>1574.7679999999998</v>
      </c>
      <c r="Y124" s="1250"/>
      <c r="Z124" s="1250"/>
      <c r="AA124" s="1250"/>
      <c r="AB124" s="1250"/>
      <c r="AC124" s="1250"/>
      <c r="AD124" s="1250"/>
      <c r="AE124" s="1249">
        <v>10</v>
      </c>
      <c r="AF124" s="1250">
        <v>1574.7679999999998</v>
      </c>
      <c r="AG124" s="111"/>
      <c r="AH124" s="111"/>
      <c r="AI124" s="111"/>
      <c r="AJ124" s="111"/>
      <c r="AK124" s="111"/>
      <c r="AL124" s="111"/>
      <c r="AM124" s="111">
        <v>4724.3039999999992</v>
      </c>
    </row>
    <row r="125" spans="1:39" ht="15" customHeight="1" x14ac:dyDescent="0.25">
      <c r="A125" s="1409"/>
      <c r="B125" s="1409"/>
      <c r="C125" s="1409"/>
      <c r="D125" s="1409"/>
      <c r="E125" s="1252"/>
      <c r="F125" s="1248" t="s">
        <v>1849</v>
      </c>
      <c r="G125" s="111"/>
      <c r="H125" s="1249">
        <v>186</v>
      </c>
      <c r="I125" s="111" t="s">
        <v>1721</v>
      </c>
      <c r="J125" s="1321" t="s">
        <v>5608</v>
      </c>
      <c r="K125" s="162" t="s">
        <v>5610</v>
      </c>
      <c r="L125" s="162" t="s">
        <v>5609</v>
      </c>
      <c r="M125" s="111">
        <v>12.553260301075268</v>
      </c>
      <c r="N125" s="111">
        <v>2334.9064159999998</v>
      </c>
      <c r="O125" s="111"/>
      <c r="P125" s="111"/>
      <c r="Q125" s="111"/>
      <c r="R125" s="111"/>
      <c r="S125" s="1249">
        <v>86</v>
      </c>
      <c r="T125" s="1250">
        <v>778.30213866666656</v>
      </c>
      <c r="U125" s="1250"/>
      <c r="V125" s="1250"/>
      <c r="W125" s="1251">
        <v>50</v>
      </c>
      <c r="X125" s="1250">
        <v>778.30213866666656</v>
      </c>
      <c r="Y125" s="1250"/>
      <c r="Z125" s="1250"/>
      <c r="AA125" s="1250"/>
      <c r="AB125" s="1250"/>
      <c r="AC125" s="1250"/>
      <c r="AD125" s="1250"/>
      <c r="AE125" s="1249">
        <v>50</v>
      </c>
      <c r="AF125" s="1250">
        <v>778.30213866666656</v>
      </c>
      <c r="AG125" s="111"/>
      <c r="AH125" s="111"/>
      <c r="AI125" s="111"/>
      <c r="AJ125" s="111"/>
      <c r="AK125" s="111"/>
      <c r="AL125" s="111"/>
      <c r="AM125" s="111">
        <v>2334.9064159999998</v>
      </c>
    </row>
    <row r="126" spans="1:39" ht="15" customHeight="1" x14ac:dyDescent="0.25">
      <c r="A126" s="1409"/>
      <c r="B126" s="1409"/>
      <c r="C126" s="1409"/>
      <c r="D126" s="1409"/>
      <c r="E126" s="1252"/>
      <c r="F126" s="1248" t="s">
        <v>2487</v>
      </c>
      <c r="G126" s="111"/>
      <c r="H126" s="1249">
        <v>16</v>
      </c>
      <c r="I126" s="111" t="s">
        <v>1721</v>
      </c>
      <c r="J126" s="1321" t="s">
        <v>5608</v>
      </c>
      <c r="K126" s="162" t="s">
        <v>5610</v>
      </c>
      <c r="L126" s="162" t="s">
        <v>5609</v>
      </c>
      <c r="M126" s="111">
        <v>10.61</v>
      </c>
      <c r="N126" s="111">
        <v>169.76</v>
      </c>
      <c r="O126" s="111"/>
      <c r="P126" s="111"/>
      <c r="Q126" s="111"/>
      <c r="R126" s="111"/>
      <c r="S126" s="1249">
        <v>6</v>
      </c>
      <c r="T126" s="1250">
        <v>56.586666666666666</v>
      </c>
      <c r="U126" s="1250"/>
      <c r="V126" s="1250"/>
      <c r="W126" s="1251">
        <v>5</v>
      </c>
      <c r="X126" s="1250">
        <v>56.586666666666666</v>
      </c>
      <c r="Y126" s="1250"/>
      <c r="Z126" s="1250"/>
      <c r="AA126" s="1250"/>
      <c r="AB126" s="1250"/>
      <c r="AC126" s="1250"/>
      <c r="AD126" s="1250"/>
      <c r="AE126" s="1249">
        <v>5</v>
      </c>
      <c r="AF126" s="1250">
        <v>56.586666666666666</v>
      </c>
      <c r="AG126" s="111"/>
      <c r="AH126" s="111"/>
      <c r="AI126" s="111"/>
      <c r="AJ126" s="111"/>
      <c r="AK126" s="111"/>
      <c r="AL126" s="111"/>
      <c r="AM126" s="111">
        <v>169.76</v>
      </c>
    </row>
    <row r="127" spans="1:39" ht="15" customHeight="1" x14ac:dyDescent="0.25">
      <c r="A127" s="1409"/>
      <c r="B127" s="1409"/>
      <c r="C127" s="1409"/>
      <c r="D127" s="1409"/>
      <c r="E127" s="1252"/>
      <c r="F127" s="1248" t="s">
        <v>73</v>
      </c>
      <c r="G127" s="111"/>
      <c r="H127" s="1249">
        <v>94</v>
      </c>
      <c r="I127" s="111" t="s">
        <v>1721</v>
      </c>
      <c r="J127" s="1321" t="s">
        <v>5608</v>
      </c>
      <c r="K127" s="162" t="s">
        <v>5610</v>
      </c>
      <c r="L127" s="162" t="s">
        <v>5609</v>
      </c>
      <c r="M127" s="111">
        <v>30.158177021276593</v>
      </c>
      <c r="N127" s="111">
        <v>2834.8686399999997</v>
      </c>
      <c r="O127" s="111"/>
      <c r="P127" s="111"/>
      <c r="Q127" s="111"/>
      <c r="R127" s="111"/>
      <c r="S127" s="1249">
        <v>40</v>
      </c>
      <c r="T127" s="1250">
        <v>944.95621333333327</v>
      </c>
      <c r="U127" s="1250"/>
      <c r="V127" s="1250"/>
      <c r="W127" s="1251">
        <v>40</v>
      </c>
      <c r="X127" s="1250">
        <v>944.95621333333327</v>
      </c>
      <c r="Y127" s="1250"/>
      <c r="Z127" s="1250"/>
      <c r="AA127" s="1250"/>
      <c r="AB127" s="1250"/>
      <c r="AC127" s="1250"/>
      <c r="AD127" s="1250"/>
      <c r="AE127" s="1249">
        <v>14</v>
      </c>
      <c r="AF127" s="1250">
        <v>944.95621333333327</v>
      </c>
      <c r="AG127" s="111"/>
      <c r="AH127" s="111"/>
      <c r="AI127" s="111"/>
      <c r="AJ127" s="111"/>
      <c r="AK127" s="111"/>
      <c r="AL127" s="111"/>
      <c r="AM127" s="111">
        <v>2834.8686399999997</v>
      </c>
    </row>
    <row r="128" spans="1:39" ht="15" customHeight="1" x14ac:dyDescent="0.25">
      <c r="A128" s="1409"/>
      <c r="B128" s="1409"/>
      <c r="C128" s="1409"/>
      <c r="D128" s="1409"/>
      <c r="E128" s="1252"/>
      <c r="F128" s="1248" t="s">
        <v>2858</v>
      </c>
      <c r="G128" s="111"/>
      <c r="H128" s="1249">
        <v>24</v>
      </c>
      <c r="I128" s="111" t="s">
        <v>1725</v>
      </c>
      <c r="J128" s="1321" t="s">
        <v>5608</v>
      </c>
      <c r="K128" s="162" t="s">
        <v>5610</v>
      </c>
      <c r="L128" s="162" t="s">
        <v>5609</v>
      </c>
      <c r="M128" s="111">
        <v>117.61</v>
      </c>
      <c r="N128" s="111">
        <v>2822.64</v>
      </c>
      <c r="O128" s="111"/>
      <c r="P128" s="111"/>
      <c r="Q128" s="111"/>
      <c r="R128" s="111"/>
      <c r="S128" s="1249">
        <v>14</v>
      </c>
      <c r="T128" s="1250">
        <v>940.88</v>
      </c>
      <c r="U128" s="1250"/>
      <c r="V128" s="1250"/>
      <c r="W128" s="1251">
        <v>5</v>
      </c>
      <c r="X128" s="1250">
        <v>940.88</v>
      </c>
      <c r="Y128" s="1250"/>
      <c r="Z128" s="1250"/>
      <c r="AA128" s="1250"/>
      <c r="AB128" s="1250"/>
      <c r="AC128" s="1250"/>
      <c r="AD128" s="1250"/>
      <c r="AE128" s="1249">
        <v>5</v>
      </c>
      <c r="AF128" s="1250">
        <v>940.88</v>
      </c>
      <c r="AG128" s="111"/>
      <c r="AH128" s="111"/>
      <c r="AI128" s="111"/>
      <c r="AJ128" s="111"/>
      <c r="AK128" s="111"/>
      <c r="AL128" s="111"/>
      <c r="AM128" s="111">
        <v>2822.64</v>
      </c>
    </row>
    <row r="129" spans="1:39" ht="15" customHeight="1" x14ac:dyDescent="0.25">
      <c r="A129" s="1409"/>
      <c r="B129" s="1409"/>
      <c r="C129" s="1409"/>
      <c r="D129" s="1409"/>
      <c r="E129" s="1252"/>
      <c r="F129" s="1248" t="s">
        <v>2859</v>
      </c>
      <c r="G129" s="111"/>
      <c r="H129" s="1249">
        <v>24</v>
      </c>
      <c r="I129" s="111" t="s">
        <v>1725</v>
      </c>
      <c r="J129" s="1321" t="s">
        <v>5608</v>
      </c>
      <c r="K129" s="162" t="s">
        <v>5610</v>
      </c>
      <c r="L129" s="162" t="s">
        <v>5609</v>
      </c>
      <c r="M129" s="111">
        <v>117.61</v>
      </c>
      <c r="N129" s="111">
        <v>2822.64</v>
      </c>
      <c r="O129" s="111"/>
      <c r="P129" s="111"/>
      <c r="Q129" s="111"/>
      <c r="R129" s="111"/>
      <c r="S129" s="1249">
        <v>14</v>
      </c>
      <c r="T129" s="1250">
        <v>940.88</v>
      </c>
      <c r="U129" s="1250"/>
      <c r="V129" s="1250"/>
      <c r="W129" s="1251">
        <v>5</v>
      </c>
      <c r="X129" s="1250">
        <v>940.88</v>
      </c>
      <c r="Y129" s="1250"/>
      <c r="Z129" s="1250"/>
      <c r="AA129" s="1250"/>
      <c r="AB129" s="1250"/>
      <c r="AC129" s="1250"/>
      <c r="AD129" s="1250"/>
      <c r="AE129" s="1249">
        <v>5</v>
      </c>
      <c r="AF129" s="1250">
        <v>940.88</v>
      </c>
      <c r="AG129" s="111"/>
      <c r="AH129" s="111"/>
      <c r="AI129" s="111"/>
      <c r="AJ129" s="111"/>
      <c r="AK129" s="111"/>
      <c r="AL129" s="111"/>
      <c r="AM129" s="111">
        <v>2822.64</v>
      </c>
    </row>
    <row r="130" spans="1:39" ht="15" customHeight="1" x14ac:dyDescent="0.25">
      <c r="A130" s="1409"/>
      <c r="B130" s="1409"/>
      <c r="C130" s="1409"/>
      <c r="D130" s="1409"/>
      <c r="E130" s="1252"/>
      <c r="F130" s="1248" t="s">
        <v>2860</v>
      </c>
      <c r="G130" s="111"/>
      <c r="H130" s="1249">
        <v>24</v>
      </c>
      <c r="I130" s="111" t="s">
        <v>1725</v>
      </c>
      <c r="J130" s="1321" t="s">
        <v>5608</v>
      </c>
      <c r="K130" s="162" t="s">
        <v>5610</v>
      </c>
      <c r="L130" s="162" t="s">
        <v>5609</v>
      </c>
      <c r="M130" s="111">
        <v>117.61</v>
      </c>
      <c r="N130" s="111">
        <v>2822.64</v>
      </c>
      <c r="O130" s="111"/>
      <c r="P130" s="111"/>
      <c r="Q130" s="111"/>
      <c r="R130" s="111"/>
      <c r="S130" s="1249">
        <v>14</v>
      </c>
      <c r="T130" s="1250">
        <v>940.88</v>
      </c>
      <c r="U130" s="1250"/>
      <c r="V130" s="1250"/>
      <c r="W130" s="1251">
        <v>5</v>
      </c>
      <c r="X130" s="1250">
        <v>940.88</v>
      </c>
      <c r="Y130" s="1250"/>
      <c r="Z130" s="1250"/>
      <c r="AA130" s="1250"/>
      <c r="AB130" s="1250"/>
      <c r="AC130" s="1250"/>
      <c r="AD130" s="1250"/>
      <c r="AE130" s="1249">
        <v>5</v>
      </c>
      <c r="AF130" s="1250">
        <v>940.88</v>
      </c>
      <c r="AG130" s="111"/>
      <c r="AH130" s="111"/>
      <c r="AI130" s="111"/>
      <c r="AJ130" s="111"/>
      <c r="AK130" s="111"/>
      <c r="AL130" s="111"/>
      <c r="AM130" s="111">
        <v>2822.64</v>
      </c>
    </row>
    <row r="131" spans="1:39" ht="15" customHeight="1" x14ac:dyDescent="0.25">
      <c r="A131" s="1409"/>
      <c r="B131" s="1409"/>
      <c r="C131" s="1409"/>
      <c r="D131" s="1409"/>
      <c r="E131" s="1252"/>
      <c r="F131" s="1248" t="s">
        <v>1717</v>
      </c>
      <c r="G131" s="111"/>
      <c r="H131" s="1249">
        <v>18</v>
      </c>
      <c r="I131" s="111" t="s">
        <v>1725</v>
      </c>
      <c r="J131" s="1321" t="s">
        <v>5608</v>
      </c>
      <c r="K131" s="162" t="s">
        <v>5610</v>
      </c>
      <c r="L131" s="162" t="s">
        <v>5609</v>
      </c>
      <c r="M131" s="111">
        <v>126.90993333333333</v>
      </c>
      <c r="N131" s="111">
        <v>2284.3788</v>
      </c>
      <c r="O131" s="111"/>
      <c r="P131" s="111"/>
      <c r="Q131" s="111"/>
      <c r="R131" s="111"/>
      <c r="S131" s="1249">
        <v>8</v>
      </c>
      <c r="T131" s="1250">
        <v>761.45960000000002</v>
      </c>
      <c r="U131" s="1250"/>
      <c r="V131" s="1250"/>
      <c r="W131" s="1251">
        <v>5</v>
      </c>
      <c r="X131" s="1250">
        <v>761.45960000000002</v>
      </c>
      <c r="Y131" s="1250"/>
      <c r="Z131" s="1250"/>
      <c r="AA131" s="1250"/>
      <c r="AB131" s="1250"/>
      <c r="AC131" s="1250"/>
      <c r="AD131" s="1250"/>
      <c r="AE131" s="1249">
        <v>5</v>
      </c>
      <c r="AF131" s="1250">
        <v>761.45960000000002</v>
      </c>
      <c r="AG131" s="111"/>
      <c r="AH131" s="111"/>
      <c r="AI131" s="111"/>
      <c r="AJ131" s="111"/>
      <c r="AK131" s="111"/>
      <c r="AL131" s="111"/>
      <c r="AM131" s="111">
        <v>2284.3788</v>
      </c>
    </row>
    <row r="132" spans="1:39" ht="15" customHeight="1" x14ac:dyDescent="0.25">
      <c r="A132" s="1409"/>
      <c r="B132" s="1409"/>
      <c r="C132" s="1409"/>
      <c r="D132" s="1409"/>
      <c r="E132" s="1252"/>
      <c r="F132" s="1248" t="s">
        <v>74</v>
      </c>
      <c r="G132" s="111"/>
      <c r="H132" s="1249">
        <v>7</v>
      </c>
      <c r="I132" s="111" t="s">
        <v>1725</v>
      </c>
      <c r="J132" s="1321" t="s">
        <v>5608</v>
      </c>
      <c r="K132" s="162" t="s">
        <v>5610</v>
      </c>
      <c r="L132" s="162" t="s">
        <v>5609</v>
      </c>
      <c r="M132" s="111">
        <v>26.180502857142852</v>
      </c>
      <c r="N132" s="111">
        <v>183.26351999999997</v>
      </c>
      <c r="O132" s="111"/>
      <c r="P132" s="111"/>
      <c r="Q132" s="111"/>
      <c r="R132" s="111"/>
      <c r="S132" s="1249">
        <v>3</v>
      </c>
      <c r="T132" s="1250">
        <v>61.087839999999993</v>
      </c>
      <c r="U132" s="1250"/>
      <c r="V132" s="1250"/>
      <c r="W132" s="1251">
        <v>2</v>
      </c>
      <c r="X132" s="1250">
        <v>61.087839999999993</v>
      </c>
      <c r="Y132" s="1250"/>
      <c r="Z132" s="1250"/>
      <c r="AA132" s="1250"/>
      <c r="AB132" s="1250"/>
      <c r="AC132" s="1250"/>
      <c r="AD132" s="1250"/>
      <c r="AE132" s="1249">
        <v>2</v>
      </c>
      <c r="AF132" s="1250">
        <v>61.087839999999993</v>
      </c>
      <c r="AG132" s="111"/>
      <c r="AH132" s="111"/>
      <c r="AI132" s="111"/>
      <c r="AJ132" s="111"/>
      <c r="AK132" s="111"/>
      <c r="AL132" s="111"/>
      <c r="AM132" s="111">
        <v>183.26351999999997</v>
      </c>
    </row>
    <row r="133" spans="1:39" ht="15" customHeight="1" x14ac:dyDescent="0.25">
      <c r="A133" s="1409"/>
      <c r="B133" s="1409"/>
      <c r="C133" s="1409"/>
      <c r="D133" s="1409"/>
      <c r="E133" s="1252"/>
      <c r="F133" s="1248" t="s">
        <v>1894</v>
      </c>
      <c r="G133" s="111"/>
      <c r="H133" s="1249">
        <v>1</v>
      </c>
      <c r="I133" s="111" t="s">
        <v>1721</v>
      </c>
      <c r="J133" s="1321" t="s">
        <v>5608</v>
      </c>
      <c r="K133" s="162" t="s">
        <v>5610</v>
      </c>
      <c r="L133" s="162" t="s">
        <v>5609</v>
      </c>
      <c r="M133" s="111">
        <v>497.64</v>
      </c>
      <c r="N133" s="111">
        <v>497.64</v>
      </c>
      <c r="O133" s="111"/>
      <c r="P133" s="111"/>
      <c r="Q133" s="111"/>
      <c r="R133" s="111"/>
      <c r="S133" s="1249">
        <v>1</v>
      </c>
      <c r="T133" s="1250">
        <v>165.88</v>
      </c>
      <c r="U133" s="1250"/>
      <c r="V133" s="1250"/>
      <c r="W133" s="1251">
        <v>0</v>
      </c>
      <c r="X133" s="1250">
        <v>165.88</v>
      </c>
      <c r="Y133" s="1250"/>
      <c r="Z133" s="1250"/>
      <c r="AA133" s="1250"/>
      <c r="AB133" s="1250"/>
      <c r="AC133" s="1250"/>
      <c r="AD133" s="1250"/>
      <c r="AE133" s="1249">
        <v>0</v>
      </c>
      <c r="AF133" s="1250">
        <v>165.88</v>
      </c>
      <c r="AG133" s="111"/>
      <c r="AH133" s="111"/>
      <c r="AI133" s="111"/>
      <c r="AJ133" s="111"/>
      <c r="AK133" s="111"/>
      <c r="AL133" s="111"/>
      <c r="AM133" s="111">
        <v>497.64</v>
      </c>
    </row>
    <row r="134" spans="1:39" ht="15" customHeight="1" x14ac:dyDescent="0.25">
      <c r="A134" s="1409"/>
      <c r="B134" s="1409"/>
      <c r="C134" s="1409"/>
      <c r="D134" s="1409"/>
      <c r="E134" s="1252"/>
      <c r="F134" s="1248" t="s">
        <v>217</v>
      </c>
      <c r="G134" s="111"/>
      <c r="H134" s="1249">
        <v>18</v>
      </c>
      <c r="I134" s="111" t="s">
        <v>1721</v>
      </c>
      <c r="J134" s="1321" t="s">
        <v>5608</v>
      </c>
      <c r="K134" s="162" t="s">
        <v>5610</v>
      </c>
      <c r="L134" s="162" t="s">
        <v>5609</v>
      </c>
      <c r="M134" s="111">
        <v>28.568265511111107</v>
      </c>
      <c r="N134" s="111">
        <v>514.22877919999996</v>
      </c>
      <c r="O134" s="111"/>
      <c r="P134" s="111"/>
      <c r="Q134" s="111"/>
      <c r="R134" s="111"/>
      <c r="S134" s="1249">
        <v>8</v>
      </c>
      <c r="T134" s="1250">
        <v>171.40959306666664</v>
      </c>
      <c r="U134" s="1250"/>
      <c r="V134" s="1250"/>
      <c r="W134" s="1251">
        <v>5</v>
      </c>
      <c r="X134" s="1250">
        <v>171.40959306666664</v>
      </c>
      <c r="Y134" s="1250"/>
      <c r="Z134" s="1250"/>
      <c r="AA134" s="1250"/>
      <c r="AB134" s="1250"/>
      <c r="AC134" s="1250"/>
      <c r="AD134" s="1250"/>
      <c r="AE134" s="1249">
        <v>5</v>
      </c>
      <c r="AF134" s="1250">
        <v>171.40959306666664</v>
      </c>
      <c r="AG134" s="111"/>
      <c r="AH134" s="111"/>
      <c r="AI134" s="111"/>
      <c r="AJ134" s="111"/>
      <c r="AK134" s="111"/>
      <c r="AL134" s="111"/>
      <c r="AM134" s="111">
        <v>514.22877919999996</v>
      </c>
    </row>
    <row r="135" spans="1:39" ht="15" customHeight="1" x14ac:dyDescent="0.25">
      <c r="A135" s="1409"/>
      <c r="B135" s="1409"/>
      <c r="C135" s="1409"/>
      <c r="D135" s="1409"/>
      <c r="E135" s="1252"/>
      <c r="F135" s="1248" t="s">
        <v>2652</v>
      </c>
      <c r="G135" s="111"/>
      <c r="H135" s="1249">
        <v>66</v>
      </c>
      <c r="I135" s="111" t="s">
        <v>1721</v>
      </c>
      <c r="J135" s="1321" t="s">
        <v>5608</v>
      </c>
      <c r="K135" s="162" t="s">
        <v>5610</v>
      </c>
      <c r="L135" s="162" t="s">
        <v>5609</v>
      </c>
      <c r="M135" s="111">
        <v>11.09</v>
      </c>
      <c r="N135" s="111">
        <v>731.93999999999994</v>
      </c>
      <c r="O135" s="111"/>
      <c r="P135" s="111"/>
      <c r="Q135" s="111"/>
      <c r="R135" s="111"/>
      <c r="S135" s="1249">
        <v>36</v>
      </c>
      <c r="T135" s="1250">
        <v>243.98</v>
      </c>
      <c r="U135" s="1250"/>
      <c r="V135" s="1250"/>
      <c r="W135" s="1251">
        <v>20</v>
      </c>
      <c r="X135" s="1250">
        <v>243.98</v>
      </c>
      <c r="Y135" s="1250"/>
      <c r="Z135" s="1250"/>
      <c r="AA135" s="1250"/>
      <c r="AB135" s="1250"/>
      <c r="AC135" s="1250"/>
      <c r="AD135" s="1250"/>
      <c r="AE135" s="1249">
        <v>10</v>
      </c>
      <c r="AF135" s="1250">
        <v>243.98</v>
      </c>
      <c r="AG135" s="111"/>
      <c r="AH135" s="111"/>
      <c r="AI135" s="111"/>
      <c r="AJ135" s="111"/>
      <c r="AK135" s="111"/>
      <c r="AL135" s="111"/>
      <c r="AM135" s="111">
        <v>731.93999999999994</v>
      </c>
    </row>
    <row r="136" spans="1:39" ht="15" customHeight="1" x14ac:dyDescent="0.25">
      <c r="A136" s="1409"/>
      <c r="B136" s="1409"/>
      <c r="C136" s="1409"/>
      <c r="D136" s="1409"/>
      <c r="E136" s="1252"/>
      <c r="F136" s="1248" t="s">
        <v>2880</v>
      </c>
      <c r="G136" s="111"/>
      <c r="H136" s="1249">
        <v>6</v>
      </c>
      <c r="I136" s="111" t="s">
        <v>1721</v>
      </c>
      <c r="J136" s="1321" t="s">
        <v>5608</v>
      </c>
      <c r="K136" s="162" t="s">
        <v>5610</v>
      </c>
      <c r="L136" s="162" t="s">
        <v>5609</v>
      </c>
      <c r="M136" s="111">
        <v>42</v>
      </c>
      <c r="N136" s="111">
        <v>252</v>
      </c>
      <c r="O136" s="111"/>
      <c r="P136" s="111"/>
      <c r="Q136" s="111"/>
      <c r="R136" s="111"/>
      <c r="S136" s="1249">
        <v>2</v>
      </c>
      <c r="T136" s="1250">
        <v>84</v>
      </c>
      <c r="U136" s="1250"/>
      <c r="V136" s="1250"/>
      <c r="W136" s="1251">
        <v>2</v>
      </c>
      <c r="X136" s="1250">
        <v>84</v>
      </c>
      <c r="Y136" s="1250"/>
      <c r="Z136" s="1250"/>
      <c r="AA136" s="1250"/>
      <c r="AB136" s="1250"/>
      <c r="AC136" s="1250"/>
      <c r="AD136" s="1250"/>
      <c r="AE136" s="1249">
        <v>2</v>
      </c>
      <c r="AF136" s="1250">
        <v>84</v>
      </c>
      <c r="AG136" s="111"/>
      <c r="AH136" s="111"/>
      <c r="AI136" s="111"/>
      <c r="AJ136" s="111"/>
      <c r="AK136" s="111"/>
      <c r="AL136" s="111"/>
      <c r="AM136" s="111">
        <v>252</v>
      </c>
    </row>
    <row r="137" spans="1:39" ht="15" customHeight="1" x14ac:dyDescent="0.25">
      <c r="A137" s="1409"/>
      <c r="B137" s="1409"/>
      <c r="C137" s="1409"/>
      <c r="D137" s="1409"/>
      <c r="E137" s="1252"/>
      <c r="F137" s="1248" t="s">
        <v>4387</v>
      </c>
      <c r="G137" s="111"/>
      <c r="H137" s="1249">
        <v>1</v>
      </c>
      <c r="I137" s="111" t="s">
        <v>1721</v>
      </c>
      <c r="J137" s="1321" t="s">
        <v>5608</v>
      </c>
      <c r="K137" s="162" t="s">
        <v>5610</v>
      </c>
      <c r="L137" s="162" t="s">
        <v>5609</v>
      </c>
      <c r="M137" s="111">
        <v>206.02</v>
      </c>
      <c r="N137" s="111">
        <v>206.02</v>
      </c>
      <c r="O137" s="111"/>
      <c r="P137" s="111"/>
      <c r="Q137" s="111"/>
      <c r="R137" s="111"/>
      <c r="S137" s="1249">
        <v>1</v>
      </c>
      <c r="T137" s="1250">
        <v>68.673333333333332</v>
      </c>
      <c r="U137" s="1250"/>
      <c r="V137" s="1250"/>
      <c r="W137" s="1251">
        <v>0</v>
      </c>
      <c r="X137" s="1250">
        <v>68.673333333333332</v>
      </c>
      <c r="Y137" s="1250"/>
      <c r="Z137" s="1250"/>
      <c r="AA137" s="1250"/>
      <c r="AB137" s="1250"/>
      <c r="AC137" s="1250"/>
      <c r="AD137" s="1250"/>
      <c r="AE137" s="1249">
        <v>0</v>
      </c>
      <c r="AF137" s="1250">
        <v>68.673333333333332</v>
      </c>
      <c r="AG137" s="111"/>
      <c r="AH137" s="111"/>
      <c r="AI137" s="111"/>
      <c r="AJ137" s="111"/>
      <c r="AK137" s="111"/>
      <c r="AL137" s="111"/>
      <c r="AM137" s="111">
        <v>206.02</v>
      </c>
    </row>
    <row r="138" spans="1:39" ht="15" customHeight="1" x14ac:dyDescent="0.25">
      <c r="A138" s="1409"/>
      <c r="B138" s="1409"/>
      <c r="C138" s="1409"/>
      <c r="D138" s="1409"/>
      <c r="E138" s="1252"/>
      <c r="F138" s="1248" t="s">
        <v>75</v>
      </c>
      <c r="G138" s="111"/>
      <c r="H138" s="1249">
        <v>9</v>
      </c>
      <c r="I138" s="111" t="s">
        <v>1721</v>
      </c>
      <c r="J138" s="1321" t="s">
        <v>5608</v>
      </c>
      <c r="K138" s="162" t="s">
        <v>5610</v>
      </c>
      <c r="L138" s="162" t="s">
        <v>5609</v>
      </c>
      <c r="M138" s="111">
        <v>41.214595555555562</v>
      </c>
      <c r="N138" s="111">
        <v>370.93136000000004</v>
      </c>
      <c r="O138" s="111"/>
      <c r="P138" s="111"/>
      <c r="Q138" s="111"/>
      <c r="R138" s="111"/>
      <c r="S138" s="1249">
        <v>5</v>
      </c>
      <c r="T138" s="1250">
        <v>123.64378666666668</v>
      </c>
      <c r="U138" s="1250"/>
      <c r="V138" s="1250"/>
      <c r="W138" s="1251">
        <v>2</v>
      </c>
      <c r="X138" s="1250">
        <v>123.64378666666668</v>
      </c>
      <c r="Y138" s="1250"/>
      <c r="Z138" s="1250"/>
      <c r="AA138" s="1250"/>
      <c r="AB138" s="1250"/>
      <c r="AC138" s="1250"/>
      <c r="AD138" s="1250"/>
      <c r="AE138" s="1249">
        <v>2</v>
      </c>
      <c r="AF138" s="1250">
        <v>123.64378666666668</v>
      </c>
      <c r="AG138" s="111"/>
      <c r="AH138" s="111"/>
      <c r="AI138" s="111"/>
      <c r="AJ138" s="111"/>
      <c r="AK138" s="111"/>
      <c r="AL138" s="111"/>
      <c r="AM138" s="111">
        <v>370.93136000000004</v>
      </c>
    </row>
    <row r="139" spans="1:39" ht="15" customHeight="1" x14ac:dyDescent="0.25">
      <c r="A139" s="1409"/>
      <c r="B139" s="1409"/>
      <c r="C139" s="1409"/>
      <c r="D139" s="1409"/>
      <c r="E139" s="1252"/>
      <c r="F139" s="1248" t="s">
        <v>76</v>
      </c>
      <c r="G139" s="111"/>
      <c r="H139" s="1249">
        <v>21</v>
      </c>
      <c r="I139" s="111" t="s">
        <v>1721</v>
      </c>
      <c r="J139" s="1321" t="s">
        <v>5608</v>
      </c>
      <c r="K139" s="162" t="s">
        <v>5610</v>
      </c>
      <c r="L139" s="162" t="s">
        <v>5609</v>
      </c>
      <c r="M139" s="111">
        <v>96.160617142857149</v>
      </c>
      <c r="N139" s="111">
        <v>2019.3729600000001</v>
      </c>
      <c r="O139" s="111"/>
      <c r="P139" s="111"/>
      <c r="Q139" s="111"/>
      <c r="R139" s="111"/>
      <c r="S139" s="1249">
        <v>11</v>
      </c>
      <c r="T139" s="1250">
        <v>673.12432000000001</v>
      </c>
      <c r="U139" s="1250"/>
      <c r="V139" s="1250"/>
      <c r="W139" s="1251">
        <v>5</v>
      </c>
      <c r="X139" s="1250">
        <v>673.12432000000001</v>
      </c>
      <c r="Y139" s="1250"/>
      <c r="Z139" s="1250"/>
      <c r="AA139" s="1250"/>
      <c r="AB139" s="1250"/>
      <c r="AC139" s="1250"/>
      <c r="AD139" s="1250"/>
      <c r="AE139" s="1249">
        <v>5</v>
      </c>
      <c r="AF139" s="1250">
        <v>673.12432000000001</v>
      </c>
      <c r="AG139" s="111"/>
      <c r="AH139" s="111"/>
      <c r="AI139" s="111"/>
      <c r="AJ139" s="111"/>
      <c r="AK139" s="111"/>
      <c r="AL139" s="111"/>
      <c r="AM139" s="111">
        <v>2019.3729600000001</v>
      </c>
    </row>
    <row r="140" spans="1:39" ht="15" customHeight="1" x14ac:dyDescent="0.25">
      <c r="A140" s="1409"/>
      <c r="B140" s="1409"/>
      <c r="C140" s="1409"/>
      <c r="D140" s="1409"/>
      <c r="E140" s="1252"/>
      <c r="F140" s="1248" t="s">
        <v>77</v>
      </c>
      <c r="G140" s="111"/>
      <c r="H140" s="1249">
        <v>8</v>
      </c>
      <c r="I140" s="111" t="s">
        <v>1721</v>
      </c>
      <c r="J140" s="1321" t="s">
        <v>5608</v>
      </c>
      <c r="K140" s="162" t="s">
        <v>5610</v>
      </c>
      <c r="L140" s="162" t="s">
        <v>5609</v>
      </c>
      <c r="M140" s="111">
        <v>85.991644000000008</v>
      </c>
      <c r="N140" s="111">
        <v>687.93315200000006</v>
      </c>
      <c r="O140" s="111"/>
      <c r="P140" s="111"/>
      <c r="Q140" s="111"/>
      <c r="R140" s="111"/>
      <c r="S140" s="1249">
        <v>4</v>
      </c>
      <c r="T140" s="1250">
        <v>229.31105066666669</v>
      </c>
      <c r="U140" s="1250"/>
      <c r="V140" s="1250"/>
      <c r="W140" s="1251">
        <v>2</v>
      </c>
      <c r="X140" s="1250">
        <v>229.31105066666669</v>
      </c>
      <c r="Y140" s="1250"/>
      <c r="Z140" s="1250"/>
      <c r="AA140" s="1250"/>
      <c r="AB140" s="1250"/>
      <c r="AC140" s="1250"/>
      <c r="AD140" s="1250"/>
      <c r="AE140" s="1249">
        <v>2</v>
      </c>
      <c r="AF140" s="1250">
        <v>229.31105066666669</v>
      </c>
      <c r="AG140" s="111"/>
      <c r="AH140" s="111"/>
      <c r="AI140" s="111"/>
      <c r="AJ140" s="111"/>
      <c r="AK140" s="111"/>
      <c r="AL140" s="111"/>
      <c r="AM140" s="111">
        <v>687.93315200000006</v>
      </c>
    </row>
    <row r="141" spans="1:39" ht="15" customHeight="1" x14ac:dyDescent="0.25">
      <c r="A141" s="1409"/>
      <c r="B141" s="1409"/>
      <c r="C141" s="1409"/>
      <c r="D141" s="1409"/>
      <c r="E141" s="1252"/>
      <c r="F141" s="1248" t="s">
        <v>1703</v>
      </c>
      <c r="G141" s="111"/>
      <c r="H141" s="1249">
        <v>30</v>
      </c>
      <c r="I141" s="111" t="s">
        <v>1721</v>
      </c>
      <c r="J141" s="1321" t="s">
        <v>5608</v>
      </c>
      <c r="K141" s="162" t="s">
        <v>5610</v>
      </c>
      <c r="L141" s="162" t="s">
        <v>5609</v>
      </c>
      <c r="M141" s="111">
        <v>60.082000000000001</v>
      </c>
      <c r="N141" s="111">
        <v>1802.46</v>
      </c>
      <c r="O141" s="111"/>
      <c r="P141" s="111"/>
      <c r="Q141" s="111"/>
      <c r="R141" s="111"/>
      <c r="S141" s="1249">
        <v>10</v>
      </c>
      <c r="T141" s="1250">
        <v>600.82000000000005</v>
      </c>
      <c r="U141" s="1250"/>
      <c r="V141" s="1250"/>
      <c r="W141" s="1251">
        <v>10</v>
      </c>
      <c r="X141" s="1250">
        <v>600.82000000000005</v>
      </c>
      <c r="Y141" s="1250"/>
      <c r="Z141" s="1250"/>
      <c r="AA141" s="1250"/>
      <c r="AB141" s="1250"/>
      <c r="AC141" s="1250"/>
      <c r="AD141" s="1250"/>
      <c r="AE141" s="1249">
        <v>10</v>
      </c>
      <c r="AF141" s="1250">
        <v>600.82000000000005</v>
      </c>
      <c r="AG141" s="111"/>
      <c r="AH141" s="111"/>
      <c r="AI141" s="111"/>
      <c r="AJ141" s="111"/>
      <c r="AK141" s="111"/>
      <c r="AL141" s="111"/>
      <c r="AM141" s="111">
        <v>1802.46</v>
      </c>
    </row>
    <row r="142" spans="1:39" ht="15" customHeight="1" x14ac:dyDescent="0.25">
      <c r="A142" s="1409"/>
      <c r="B142" s="1409"/>
      <c r="C142" s="1409"/>
      <c r="D142" s="1409"/>
      <c r="E142" s="1252"/>
      <c r="F142" s="1248" t="s">
        <v>2474</v>
      </c>
      <c r="G142" s="111"/>
      <c r="H142" s="1249">
        <v>12</v>
      </c>
      <c r="I142" s="111" t="s">
        <v>1722</v>
      </c>
      <c r="J142" s="1321" t="s">
        <v>5608</v>
      </c>
      <c r="K142" s="162" t="s">
        <v>5610</v>
      </c>
      <c r="L142" s="162" t="s">
        <v>5609</v>
      </c>
      <c r="M142" s="111">
        <v>49.9</v>
      </c>
      <c r="N142" s="111">
        <v>598.79999999999995</v>
      </c>
      <c r="O142" s="111"/>
      <c r="P142" s="111"/>
      <c r="Q142" s="111"/>
      <c r="R142" s="111"/>
      <c r="S142" s="1249">
        <v>5</v>
      </c>
      <c r="T142" s="1250">
        <v>199.6</v>
      </c>
      <c r="U142" s="1250"/>
      <c r="V142" s="1250"/>
      <c r="W142" s="1251">
        <v>5</v>
      </c>
      <c r="X142" s="1250">
        <v>199.6</v>
      </c>
      <c r="Y142" s="1250"/>
      <c r="Z142" s="1250"/>
      <c r="AA142" s="1250"/>
      <c r="AB142" s="1250"/>
      <c r="AC142" s="1250"/>
      <c r="AD142" s="1250"/>
      <c r="AE142" s="1249">
        <v>2</v>
      </c>
      <c r="AF142" s="1250">
        <v>199.6</v>
      </c>
      <c r="AG142" s="111"/>
      <c r="AH142" s="111"/>
      <c r="AI142" s="111"/>
      <c r="AJ142" s="111"/>
      <c r="AK142" s="111"/>
      <c r="AL142" s="111"/>
      <c r="AM142" s="111">
        <v>598.79999999999995</v>
      </c>
    </row>
    <row r="143" spans="1:39" ht="15" customHeight="1" x14ac:dyDescent="0.25">
      <c r="A143" s="1409"/>
      <c r="B143" s="1409"/>
      <c r="C143" s="1409"/>
      <c r="D143" s="1409"/>
      <c r="E143" s="1252"/>
      <c r="F143" s="1248" t="s">
        <v>2475</v>
      </c>
      <c r="G143" s="111"/>
      <c r="H143" s="1249">
        <v>12</v>
      </c>
      <c r="I143" s="111" t="s">
        <v>1722</v>
      </c>
      <c r="J143" s="1321" t="s">
        <v>5608</v>
      </c>
      <c r="K143" s="162" t="s">
        <v>5610</v>
      </c>
      <c r="L143" s="162" t="s">
        <v>5609</v>
      </c>
      <c r="M143" s="111">
        <v>49.9</v>
      </c>
      <c r="N143" s="111">
        <v>598.79999999999995</v>
      </c>
      <c r="O143" s="111"/>
      <c r="P143" s="111"/>
      <c r="Q143" s="111"/>
      <c r="R143" s="111"/>
      <c r="S143" s="1249">
        <v>5</v>
      </c>
      <c r="T143" s="1250">
        <v>199.6</v>
      </c>
      <c r="U143" s="1250"/>
      <c r="V143" s="1250"/>
      <c r="W143" s="1251">
        <v>5</v>
      </c>
      <c r="X143" s="1250">
        <v>199.6</v>
      </c>
      <c r="Y143" s="1250"/>
      <c r="Z143" s="1250"/>
      <c r="AA143" s="1250"/>
      <c r="AB143" s="1250"/>
      <c r="AC143" s="1250"/>
      <c r="AD143" s="1250"/>
      <c r="AE143" s="1249">
        <v>2</v>
      </c>
      <c r="AF143" s="1250">
        <v>199.6</v>
      </c>
      <c r="AG143" s="111"/>
      <c r="AH143" s="111"/>
      <c r="AI143" s="111"/>
      <c r="AJ143" s="111"/>
      <c r="AK143" s="111"/>
      <c r="AL143" s="111"/>
      <c r="AM143" s="111">
        <v>598.79999999999995</v>
      </c>
    </row>
    <row r="144" spans="1:39" ht="15" customHeight="1" x14ac:dyDescent="0.25">
      <c r="A144" s="1409"/>
      <c r="B144" s="1409"/>
      <c r="C144" s="1409"/>
      <c r="D144" s="1409"/>
      <c r="E144" s="1252"/>
      <c r="F144" s="1248" t="s">
        <v>79</v>
      </c>
      <c r="G144" s="111"/>
      <c r="H144" s="1249">
        <v>5</v>
      </c>
      <c r="I144" s="111" t="s">
        <v>1722</v>
      </c>
      <c r="J144" s="1321" t="s">
        <v>5608</v>
      </c>
      <c r="K144" s="162" t="s">
        <v>5610</v>
      </c>
      <c r="L144" s="162" t="s">
        <v>5609</v>
      </c>
      <c r="M144" s="111">
        <v>49.610351999999999</v>
      </c>
      <c r="N144" s="111">
        <v>248.05176</v>
      </c>
      <c r="O144" s="111"/>
      <c r="P144" s="111"/>
      <c r="Q144" s="111"/>
      <c r="R144" s="111"/>
      <c r="S144" s="1249">
        <v>2</v>
      </c>
      <c r="T144" s="1250">
        <v>82.683920000000001</v>
      </c>
      <c r="U144" s="1250"/>
      <c r="V144" s="1250"/>
      <c r="W144" s="1251">
        <v>2</v>
      </c>
      <c r="X144" s="1250">
        <v>82.683920000000001</v>
      </c>
      <c r="Y144" s="1250"/>
      <c r="Z144" s="1250"/>
      <c r="AA144" s="1250"/>
      <c r="AB144" s="1250"/>
      <c r="AC144" s="1250"/>
      <c r="AD144" s="1250"/>
      <c r="AE144" s="1249">
        <v>1</v>
      </c>
      <c r="AF144" s="1250">
        <v>82.683920000000001</v>
      </c>
      <c r="AG144" s="111"/>
      <c r="AH144" s="111"/>
      <c r="AI144" s="111"/>
      <c r="AJ144" s="111"/>
      <c r="AK144" s="111"/>
      <c r="AL144" s="111"/>
      <c r="AM144" s="111">
        <v>248.05176</v>
      </c>
    </row>
    <row r="145" spans="1:39" ht="15" customHeight="1" x14ac:dyDescent="0.25">
      <c r="A145" s="1409"/>
      <c r="B145" s="1409"/>
      <c r="C145" s="1409"/>
      <c r="D145" s="1409"/>
      <c r="E145" s="1252"/>
      <c r="F145" s="1248" t="s">
        <v>1533</v>
      </c>
      <c r="G145" s="111"/>
      <c r="H145" s="1249">
        <v>4</v>
      </c>
      <c r="I145" s="111" t="s">
        <v>1721</v>
      </c>
      <c r="J145" s="1321" t="s">
        <v>5608</v>
      </c>
      <c r="K145" s="162" t="s">
        <v>5610</v>
      </c>
      <c r="L145" s="162" t="s">
        <v>5609</v>
      </c>
      <c r="M145" s="111">
        <v>234.27</v>
      </c>
      <c r="N145" s="111">
        <v>937.08</v>
      </c>
      <c r="O145" s="111"/>
      <c r="P145" s="111"/>
      <c r="Q145" s="111"/>
      <c r="R145" s="111"/>
      <c r="S145" s="1249">
        <v>2</v>
      </c>
      <c r="T145" s="1250">
        <v>312.36</v>
      </c>
      <c r="U145" s="1250"/>
      <c r="V145" s="1250"/>
      <c r="W145" s="1251">
        <v>1</v>
      </c>
      <c r="X145" s="1250">
        <v>312.36</v>
      </c>
      <c r="Y145" s="1250"/>
      <c r="Z145" s="1250"/>
      <c r="AA145" s="1250"/>
      <c r="AB145" s="1250"/>
      <c r="AC145" s="1250"/>
      <c r="AD145" s="1250"/>
      <c r="AE145" s="1249">
        <v>1</v>
      </c>
      <c r="AF145" s="1250">
        <v>312.36</v>
      </c>
      <c r="AG145" s="111"/>
      <c r="AH145" s="111"/>
      <c r="AI145" s="111"/>
      <c r="AJ145" s="111"/>
      <c r="AK145" s="111"/>
      <c r="AL145" s="111"/>
      <c r="AM145" s="111">
        <v>937.08</v>
      </c>
    </row>
    <row r="146" spans="1:39" ht="15" customHeight="1" x14ac:dyDescent="0.25">
      <c r="A146" s="1409"/>
      <c r="B146" s="1409"/>
      <c r="C146" s="1409"/>
      <c r="D146" s="1409"/>
      <c r="E146" s="1252"/>
      <c r="F146" s="1248" t="s">
        <v>1073</v>
      </c>
      <c r="G146" s="111"/>
      <c r="H146" s="1249">
        <v>5</v>
      </c>
      <c r="I146" s="111" t="s">
        <v>1721</v>
      </c>
      <c r="J146" s="1321" t="s">
        <v>5608</v>
      </c>
      <c r="K146" s="162" t="s">
        <v>5610</v>
      </c>
      <c r="L146" s="162" t="s">
        <v>5609</v>
      </c>
      <c r="M146" s="111">
        <v>4.75</v>
      </c>
      <c r="N146" s="111">
        <v>23.75</v>
      </c>
      <c r="O146" s="111"/>
      <c r="P146" s="111"/>
      <c r="Q146" s="111"/>
      <c r="R146" s="111"/>
      <c r="S146" s="1249">
        <v>2</v>
      </c>
      <c r="T146" s="1250">
        <v>7.916666666666667</v>
      </c>
      <c r="U146" s="1250"/>
      <c r="V146" s="1250"/>
      <c r="W146" s="1251">
        <v>2</v>
      </c>
      <c r="X146" s="1250">
        <v>7.916666666666667</v>
      </c>
      <c r="Y146" s="1250"/>
      <c r="Z146" s="1250"/>
      <c r="AA146" s="1250"/>
      <c r="AB146" s="1250"/>
      <c r="AC146" s="1250"/>
      <c r="AD146" s="1250"/>
      <c r="AE146" s="1249">
        <v>1</v>
      </c>
      <c r="AF146" s="1250">
        <v>7.916666666666667</v>
      </c>
      <c r="AG146" s="111"/>
      <c r="AH146" s="111"/>
      <c r="AI146" s="111"/>
      <c r="AJ146" s="111"/>
      <c r="AK146" s="111"/>
      <c r="AL146" s="111"/>
      <c r="AM146" s="111">
        <v>23.75</v>
      </c>
    </row>
    <row r="147" spans="1:39" ht="15" customHeight="1" x14ac:dyDescent="0.25">
      <c r="A147" s="1409"/>
      <c r="B147" s="1409"/>
      <c r="C147" s="1409"/>
      <c r="D147" s="1409"/>
      <c r="E147" s="1252"/>
      <c r="F147" s="1248" t="s">
        <v>80</v>
      </c>
      <c r="G147" s="111"/>
      <c r="H147" s="1249">
        <v>263</v>
      </c>
      <c r="I147" s="111" t="s">
        <v>1721</v>
      </c>
      <c r="J147" s="1321" t="s">
        <v>5608</v>
      </c>
      <c r="K147" s="162" t="s">
        <v>5610</v>
      </c>
      <c r="L147" s="162" t="s">
        <v>5609</v>
      </c>
      <c r="M147" s="111">
        <v>60.213374162737644</v>
      </c>
      <c r="N147" s="111">
        <v>15836.117404800001</v>
      </c>
      <c r="O147" s="111"/>
      <c r="P147" s="111"/>
      <c r="Q147" s="111"/>
      <c r="R147" s="111"/>
      <c r="S147" s="1249">
        <v>100</v>
      </c>
      <c r="T147" s="1250">
        <v>5278.7058016000001</v>
      </c>
      <c r="U147" s="1250"/>
      <c r="V147" s="1250"/>
      <c r="W147" s="1251">
        <v>83</v>
      </c>
      <c r="X147" s="1250">
        <v>5278.7058016000001</v>
      </c>
      <c r="Y147" s="1250"/>
      <c r="Z147" s="1250"/>
      <c r="AA147" s="1250"/>
      <c r="AB147" s="1250"/>
      <c r="AC147" s="1250"/>
      <c r="AD147" s="1250"/>
      <c r="AE147" s="1249">
        <v>80</v>
      </c>
      <c r="AF147" s="1250">
        <v>5278.7058016000001</v>
      </c>
      <c r="AG147" s="111"/>
      <c r="AH147" s="111"/>
      <c r="AI147" s="111"/>
      <c r="AJ147" s="111"/>
      <c r="AK147" s="111"/>
      <c r="AL147" s="111"/>
      <c r="AM147" s="111">
        <v>15836.117404800001</v>
      </c>
    </row>
    <row r="148" spans="1:39" ht="15" customHeight="1" x14ac:dyDescent="0.25">
      <c r="A148" s="1409"/>
      <c r="B148" s="1409"/>
      <c r="C148" s="1409"/>
      <c r="D148" s="1409"/>
      <c r="E148" s="1252"/>
      <c r="F148" s="1248" t="s">
        <v>81</v>
      </c>
      <c r="G148" s="111"/>
      <c r="H148" s="1249">
        <v>79</v>
      </c>
      <c r="I148" s="111" t="s">
        <v>1721</v>
      </c>
      <c r="J148" s="1321" t="s">
        <v>5608</v>
      </c>
      <c r="K148" s="162" t="s">
        <v>5610</v>
      </c>
      <c r="L148" s="162" t="s">
        <v>5609</v>
      </c>
      <c r="M148" s="111">
        <v>12.707191493670885</v>
      </c>
      <c r="N148" s="111">
        <v>1003.868128</v>
      </c>
      <c r="O148" s="111"/>
      <c r="P148" s="111"/>
      <c r="Q148" s="111"/>
      <c r="R148" s="111"/>
      <c r="S148" s="1249">
        <v>39</v>
      </c>
      <c r="T148" s="1250">
        <v>334.62270933333332</v>
      </c>
      <c r="U148" s="1250"/>
      <c r="V148" s="1250"/>
      <c r="W148" s="1251">
        <v>30</v>
      </c>
      <c r="X148" s="1250">
        <v>334.62270933333332</v>
      </c>
      <c r="Y148" s="1250"/>
      <c r="Z148" s="1250"/>
      <c r="AA148" s="1250"/>
      <c r="AB148" s="1250"/>
      <c r="AC148" s="1250"/>
      <c r="AD148" s="1250"/>
      <c r="AE148" s="1249">
        <v>10</v>
      </c>
      <c r="AF148" s="1250">
        <v>334.62270933333332</v>
      </c>
      <c r="AG148" s="111"/>
      <c r="AH148" s="111"/>
      <c r="AI148" s="111"/>
      <c r="AJ148" s="111"/>
      <c r="AK148" s="111"/>
      <c r="AL148" s="111"/>
      <c r="AM148" s="111">
        <v>1003.868128</v>
      </c>
    </row>
    <row r="149" spans="1:39" ht="15" customHeight="1" x14ac:dyDescent="0.25">
      <c r="A149" s="1409"/>
      <c r="B149" s="1409"/>
      <c r="C149" s="1409"/>
      <c r="D149" s="1409"/>
      <c r="E149" s="1252"/>
      <c r="F149" s="1248" t="s">
        <v>83</v>
      </c>
      <c r="G149" s="111"/>
      <c r="H149" s="1249">
        <v>8</v>
      </c>
      <c r="I149" s="111" t="s">
        <v>1721</v>
      </c>
      <c r="J149" s="1321" t="s">
        <v>5608</v>
      </c>
      <c r="K149" s="162" t="s">
        <v>5610</v>
      </c>
      <c r="L149" s="162" t="s">
        <v>5609</v>
      </c>
      <c r="M149" s="111">
        <v>289.85829999999999</v>
      </c>
      <c r="N149" s="111">
        <v>2318.8663999999999</v>
      </c>
      <c r="O149" s="111"/>
      <c r="P149" s="111"/>
      <c r="Q149" s="111"/>
      <c r="R149" s="111"/>
      <c r="S149" s="1249">
        <v>4</v>
      </c>
      <c r="T149" s="1250">
        <v>772.95546666666667</v>
      </c>
      <c r="U149" s="1250"/>
      <c r="V149" s="1250"/>
      <c r="W149" s="1251">
        <v>2</v>
      </c>
      <c r="X149" s="1250">
        <v>772.95546666666667</v>
      </c>
      <c r="Y149" s="1250"/>
      <c r="Z149" s="1250"/>
      <c r="AA149" s="1250"/>
      <c r="AB149" s="1250"/>
      <c r="AC149" s="1250"/>
      <c r="AD149" s="1250"/>
      <c r="AE149" s="1249">
        <v>2</v>
      </c>
      <c r="AF149" s="1250">
        <v>772.95546666666667</v>
      </c>
      <c r="AG149" s="111"/>
      <c r="AH149" s="111"/>
      <c r="AI149" s="111"/>
      <c r="AJ149" s="111"/>
      <c r="AK149" s="111"/>
      <c r="AL149" s="111"/>
      <c r="AM149" s="111">
        <v>2318.8663999999999</v>
      </c>
    </row>
    <row r="150" spans="1:39" ht="15" customHeight="1" x14ac:dyDescent="0.25">
      <c r="A150" s="1409"/>
      <c r="B150" s="1409"/>
      <c r="C150" s="1409"/>
      <c r="D150" s="1409"/>
      <c r="E150" s="1252"/>
      <c r="F150" s="1248" t="s">
        <v>4388</v>
      </c>
      <c r="G150" s="111"/>
      <c r="H150" s="1249">
        <v>1</v>
      </c>
      <c r="I150" s="111" t="s">
        <v>1721</v>
      </c>
      <c r="J150" s="1321" t="s">
        <v>5608</v>
      </c>
      <c r="K150" s="162" t="s">
        <v>5610</v>
      </c>
      <c r="L150" s="162" t="s">
        <v>5609</v>
      </c>
      <c r="M150" s="111">
        <v>284.04000000000002</v>
      </c>
      <c r="N150" s="111">
        <v>284.04000000000002</v>
      </c>
      <c r="O150" s="111"/>
      <c r="P150" s="111"/>
      <c r="Q150" s="111"/>
      <c r="R150" s="111"/>
      <c r="S150" s="1249">
        <v>1</v>
      </c>
      <c r="T150" s="1250">
        <v>94.68</v>
      </c>
      <c r="U150" s="1250"/>
      <c r="V150" s="1250"/>
      <c r="W150" s="1251">
        <v>0</v>
      </c>
      <c r="X150" s="1250">
        <v>94.68</v>
      </c>
      <c r="Y150" s="1250"/>
      <c r="Z150" s="1250"/>
      <c r="AA150" s="1250"/>
      <c r="AB150" s="1250"/>
      <c r="AC150" s="1250"/>
      <c r="AD150" s="1250"/>
      <c r="AE150" s="1249">
        <v>0</v>
      </c>
      <c r="AF150" s="1250">
        <v>94.68</v>
      </c>
      <c r="AG150" s="111"/>
      <c r="AH150" s="111"/>
      <c r="AI150" s="111"/>
      <c r="AJ150" s="111"/>
      <c r="AK150" s="111"/>
      <c r="AL150" s="111"/>
      <c r="AM150" s="111">
        <v>284.04000000000002</v>
      </c>
    </row>
    <row r="151" spans="1:39" ht="15" customHeight="1" x14ac:dyDescent="0.25">
      <c r="A151" s="1409"/>
      <c r="B151" s="1409"/>
      <c r="C151" s="1409"/>
      <c r="D151" s="1409"/>
      <c r="E151" s="1252"/>
      <c r="F151" s="1248" t="s">
        <v>2488</v>
      </c>
      <c r="G151" s="111"/>
      <c r="H151" s="1249">
        <v>5</v>
      </c>
      <c r="I151" s="111" t="s">
        <v>1725</v>
      </c>
      <c r="J151" s="1321" t="s">
        <v>5608</v>
      </c>
      <c r="K151" s="162" t="s">
        <v>5610</v>
      </c>
      <c r="L151" s="162" t="s">
        <v>5609</v>
      </c>
      <c r="M151" s="111">
        <v>15.16</v>
      </c>
      <c r="N151" s="111">
        <v>75.8</v>
      </c>
      <c r="O151" s="111"/>
      <c r="P151" s="111"/>
      <c r="Q151" s="111"/>
      <c r="R151" s="111"/>
      <c r="S151" s="1249">
        <v>2</v>
      </c>
      <c r="T151" s="1250">
        <v>25.266666666666666</v>
      </c>
      <c r="U151" s="1250"/>
      <c r="V151" s="1250"/>
      <c r="W151" s="1251">
        <v>2</v>
      </c>
      <c r="X151" s="1250">
        <v>25.266666666666666</v>
      </c>
      <c r="Y151" s="1250"/>
      <c r="Z151" s="1250"/>
      <c r="AA151" s="1250"/>
      <c r="AB151" s="1250"/>
      <c r="AC151" s="1250"/>
      <c r="AD151" s="1250"/>
      <c r="AE151" s="1249">
        <v>1</v>
      </c>
      <c r="AF151" s="1250">
        <v>25.266666666666666</v>
      </c>
      <c r="AG151" s="111"/>
      <c r="AH151" s="111"/>
      <c r="AI151" s="111"/>
      <c r="AJ151" s="111"/>
      <c r="AK151" s="111"/>
      <c r="AL151" s="111"/>
      <c r="AM151" s="111">
        <v>75.8</v>
      </c>
    </row>
    <row r="152" spans="1:39" ht="15" customHeight="1" x14ac:dyDescent="0.25">
      <c r="A152" s="1409"/>
      <c r="B152" s="1409"/>
      <c r="C152" s="1409"/>
      <c r="D152" s="1409"/>
      <c r="E152" s="1252"/>
      <c r="F152" s="1248" t="s">
        <v>4389</v>
      </c>
      <c r="G152" s="111"/>
      <c r="H152" s="1249">
        <v>22</v>
      </c>
      <c r="I152" s="111" t="s">
        <v>1721</v>
      </c>
      <c r="J152" s="1321" t="s">
        <v>5608</v>
      </c>
      <c r="K152" s="162" t="s">
        <v>5610</v>
      </c>
      <c r="L152" s="162" t="s">
        <v>5609</v>
      </c>
      <c r="M152" s="111">
        <v>24.35</v>
      </c>
      <c r="N152" s="111">
        <v>535.70000000000005</v>
      </c>
      <c r="O152" s="111"/>
      <c r="P152" s="111"/>
      <c r="Q152" s="111"/>
      <c r="R152" s="111"/>
      <c r="S152" s="1249">
        <v>12</v>
      </c>
      <c r="T152" s="1250">
        <v>178.56666666666669</v>
      </c>
      <c r="U152" s="1250"/>
      <c r="V152" s="1250"/>
      <c r="W152" s="1251">
        <v>5</v>
      </c>
      <c r="X152" s="1250">
        <v>178.56666666666669</v>
      </c>
      <c r="Y152" s="1250"/>
      <c r="Z152" s="1250"/>
      <c r="AA152" s="1250"/>
      <c r="AB152" s="1250"/>
      <c r="AC152" s="1250"/>
      <c r="AD152" s="1250"/>
      <c r="AE152" s="1249">
        <v>5</v>
      </c>
      <c r="AF152" s="1250">
        <v>178.56666666666669</v>
      </c>
      <c r="AG152" s="111"/>
      <c r="AH152" s="111"/>
      <c r="AI152" s="111"/>
      <c r="AJ152" s="111"/>
      <c r="AK152" s="111"/>
      <c r="AL152" s="111"/>
      <c r="AM152" s="111">
        <v>535.70000000000005</v>
      </c>
    </row>
    <row r="153" spans="1:39" ht="15" customHeight="1" x14ac:dyDescent="0.25">
      <c r="A153" s="1409"/>
      <c r="B153" s="1409"/>
      <c r="C153" s="1409"/>
      <c r="D153" s="1409"/>
      <c r="E153" s="1252"/>
      <c r="F153" s="1248" t="s">
        <v>88</v>
      </c>
      <c r="G153" s="111"/>
      <c r="H153" s="1249">
        <v>5</v>
      </c>
      <c r="I153" s="111" t="s">
        <v>1721</v>
      </c>
      <c r="J153" s="1321" t="s">
        <v>5608</v>
      </c>
      <c r="K153" s="162" t="s">
        <v>5610</v>
      </c>
      <c r="L153" s="162" t="s">
        <v>5609</v>
      </c>
      <c r="M153" s="111">
        <v>8.8800000000000008</v>
      </c>
      <c r="N153" s="111">
        <v>44.400000000000006</v>
      </c>
      <c r="O153" s="111"/>
      <c r="P153" s="111"/>
      <c r="Q153" s="111"/>
      <c r="R153" s="111"/>
      <c r="S153" s="1249">
        <v>2</v>
      </c>
      <c r="T153" s="1250">
        <v>14.800000000000002</v>
      </c>
      <c r="U153" s="1250"/>
      <c r="V153" s="1250"/>
      <c r="W153" s="1251">
        <v>2</v>
      </c>
      <c r="X153" s="1250">
        <v>14.800000000000002</v>
      </c>
      <c r="Y153" s="1250"/>
      <c r="Z153" s="1250"/>
      <c r="AA153" s="1250"/>
      <c r="AB153" s="1250"/>
      <c r="AC153" s="1250"/>
      <c r="AD153" s="1250"/>
      <c r="AE153" s="1249">
        <v>1</v>
      </c>
      <c r="AF153" s="1250">
        <v>14.800000000000002</v>
      </c>
      <c r="AG153" s="111"/>
      <c r="AH153" s="111"/>
      <c r="AI153" s="111"/>
      <c r="AJ153" s="111"/>
      <c r="AK153" s="111"/>
      <c r="AL153" s="111"/>
      <c r="AM153" s="111">
        <v>44.400000000000006</v>
      </c>
    </row>
    <row r="154" spans="1:39" ht="15" customHeight="1" x14ac:dyDescent="0.25">
      <c r="A154" s="1409"/>
      <c r="B154" s="1409"/>
      <c r="C154" s="1409"/>
      <c r="D154" s="1409"/>
      <c r="E154" s="1252"/>
      <c r="F154" s="1248" t="s">
        <v>4390</v>
      </c>
      <c r="G154" s="111"/>
      <c r="H154" s="1249">
        <v>5</v>
      </c>
      <c r="I154" s="111" t="s">
        <v>1721</v>
      </c>
      <c r="J154" s="1321" t="s">
        <v>5608</v>
      </c>
      <c r="K154" s="162" t="s">
        <v>5610</v>
      </c>
      <c r="L154" s="162" t="s">
        <v>5609</v>
      </c>
      <c r="M154" s="111">
        <v>72.344304000000008</v>
      </c>
      <c r="N154" s="111">
        <v>361.72152000000006</v>
      </c>
      <c r="O154" s="111"/>
      <c r="P154" s="111"/>
      <c r="Q154" s="111"/>
      <c r="R154" s="111"/>
      <c r="S154" s="1249">
        <v>2</v>
      </c>
      <c r="T154" s="1250">
        <v>120.57384000000002</v>
      </c>
      <c r="U154" s="1250"/>
      <c r="V154" s="1250"/>
      <c r="W154" s="1251">
        <v>2</v>
      </c>
      <c r="X154" s="1250">
        <v>120.57384000000002</v>
      </c>
      <c r="Y154" s="1250"/>
      <c r="Z154" s="1250"/>
      <c r="AA154" s="1250"/>
      <c r="AB154" s="1250"/>
      <c r="AC154" s="1250"/>
      <c r="AD154" s="1250"/>
      <c r="AE154" s="1249">
        <v>1</v>
      </c>
      <c r="AF154" s="1250">
        <v>120.57384000000002</v>
      </c>
      <c r="AG154" s="111"/>
      <c r="AH154" s="111"/>
      <c r="AI154" s="111"/>
      <c r="AJ154" s="111"/>
      <c r="AK154" s="111"/>
      <c r="AL154" s="111"/>
      <c r="AM154" s="111">
        <v>361.72152000000006</v>
      </c>
    </row>
    <row r="155" spans="1:39" ht="15" customHeight="1" x14ac:dyDescent="0.25">
      <c r="A155" s="1409"/>
      <c r="B155" s="1409"/>
      <c r="C155" s="1409"/>
      <c r="D155" s="1409"/>
      <c r="E155" s="1252"/>
      <c r="F155" s="1248" t="s">
        <v>90</v>
      </c>
      <c r="G155" s="111"/>
      <c r="H155" s="1249">
        <v>3</v>
      </c>
      <c r="I155" s="111" t="s">
        <v>1721</v>
      </c>
      <c r="J155" s="1321" t="s">
        <v>5608</v>
      </c>
      <c r="K155" s="162" t="s">
        <v>5610</v>
      </c>
      <c r="L155" s="162" t="s">
        <v>5609</v>
      </c>
      <c r="M155" s="111">
        <v>11.979999999999999</v>
      </c>
      <c r="N155" s="111">
        <v>35.94</v>
      </c>
      <c r="O155" s="111"/>
      <c r="P155" s="111"/>
      <c r="Q155" s="111"/>
      <c r="R155" s="111"/>
      <c r="S155" s="1249">
        <v>2</v>
      </c>
      <c r="T155" s="1250">
        <v>11.979999999999999</v>
      </c>
      <c r="U155" s="1250"/>
      <c r="V155" s="1250"/>
      <c r="W155" s="1251">
        <v>1</v>
      </c>
      <c r="X155" s="1250">
        <v>11.979999999999999</v>
      </c>
      <c r="Y155" s="1250"/>
      <c r="Z155" s="1250"/>
      <c r="AA155" s="1250"/>
      <c r="AB155" s="1250"/>
      <c r="AC155" s="1250"/>
      <c r="AD155" s="1250"/>
      <c r="AE155" s="1249">
        <v>0</v>
      </c>
      <c r="AF155" s="1250">
        <v>11.979999999999999</v>
      </c>
      <c r="AG155" s="111"/>
      <c r="AH155" s="111"/>
      <c r="AI155" s="111"/>
      <c r="AJ155" s="111"/>
      <c r="AK155" s="111"/>
      <c r="AL155" s="111"/>
      <c r="AM155" s="111">
        <v>35.94</v>
      </c>
    </row>
    <row r="156" spans="1:39" ht="15" customHeight="1" x14ac:dyDescent="0.25">
      <c r="A156" s="1409"/>
      <c r="B156" s="1409"/>
      <c r="C156" s="1409"/>
      <c r="D156" s="1409"/>
      <c r="E156" s="1252"/>
      <c r="F156" s="1248" t="s">
        <v>91</v>
      </c>
      <c r="G156" s="111"/>
      <c r="H156" s="1249">
        <v>10</v>
      </c>
      <c r="I156" s="111" t="s">
        <v>1722</v>
      </c>
      <c r="J156" s="1321" t="s">
        <v>5608</v>
      </c>
      <c r="K156" s="162" t="s">
        <v>5610</v>
      </c>
      <c r="L156" s="162" t="s">
        <v>5609</v>
      </c>
      <c r="M156" s="111">
        <v>19.291719999999998</v>
      </c>
      <c r="N156" s="111">
        <v>192.91719999999998</v>
      </c>
      <c r="O156" s="111"/>
      <c r="P156" s="111"/>
      <c r="Q156" s="111"/>
      <c r="R156" s="111"/>
      <c r="S156" s="1249">
        <v>4</v>
      </c>
      <c r="T156" s="1250">
        <v>64.305733333333322</v>
      </c>
      <c r="U156" s="1250"/>
      <c r="V156" s="1250"/>
      <c r="W156" s="1251">
        <v>4</v>
      </c>
      <c r="X156" s="1250">
        <v>64.305733333333322</v>
      </c>
      <c r="Y156" s="1250"/>
      <c r="Z156" s="1250"/>
      <c r="AA156" s="1250"/>
      <c r="AB156" s="1250"/>
      <c r="AC156" s="1250"/>
      <c r="AD156" s="1250"/>
      <c r="AE156" s="1249">
        <v>2</v>
      </c>
      <c r="AF156" s="1250">
        <v>64.305733333333322</v>
      </c>
      <c r="AG156" s="111"/>
      <c r="AH156" s="111"/>
      <c r="AI156" s="111"/>
      <c r="AJ156" s="111"/>
      <c r="AK156" s="111"/>
      <c r="AL156" s="111"/>
      <c r="AM156" s="111">
        <v>192.91719999999998</v>
      </c>
    </row>
    <row r="157" spans="1:39" ht="15" customHeight="1" x14ac:dyDescent="0.25">
      <c r="A157" s="1409"/>
      <c r="B157" s="1409"/>
      <c r="C157" s="1409"/>
      <c r="D157" s="1409"/>
      <c r="E157" s="1252"/>
      <c r="F157" s="1248" t="s">
        <v>92</v>
      </c>
      <c r="G157" s="111"/>
      <c r="H157" s="1249">
        <v>9</v>
      </c>
      <c r="I157" s="111" t="s">
        <v>1722</v>
      </c>
      <c r="J157" s="1321" t="s">
        <v>5608</v>
      </c>
      <c r="K157" s="162" t="s">
        <v>5610</v>
      </c>
      <c r="L157" s="162" t="s">
        <v>5609</v>
      </c>
      <c r="M157" s="111">
        <v>39.499377777777774</v>
      </c>
      <c r="N157" s="111">
        <v>355.49439999999998</v>
      </c>
      <c r="O157" s="111"/>
      <c r="P157" s="111"/>
      <c r="Q157" s="111"/>
      <c r="R157" s="111"/>
      <c r="S157" s="1249">
        <v>5</v>
      </c>
      <c r="T157" s="1250">
        <v>118.49813333333333</v>
      </c>
      <c r="U157" s="1250"/>
      <c r="V157" s="1250"/>
      <c r="W157" s="1251">
        <v>2</v>
      </c>
      <c r="X157" s="1250">
        <v>118.49813333333333</v>
      </c>
      <c r="Y157" s="1250"/>
      <c r="Z157" s="1250"/>
      <c r="AA157" s="1250"/>
      <c r="AB157" s="1250"/>
      <c r="AC157" s="1250"/>
      <c r="AD157" s="1250"/>
      <c r="AE157" s="1249">
        <v>2</v>
      </c>
      <c r="AF157" s="1250">
        <v>118.49813333333333</v>
      </c>
      <c r="AG157" s="111"/>
      <c r="AH157" s="111"/>
      <c r="AI157" s="111"/>
      <c r="AJ157" s="111"/>
      <c r="AK157" s="111"/>
      <c r="AL157" s="111"/>
      <c r="AM157" s="111">
        <v>355.49439999999998</v>
      </c>
    </row>
    <row r="158" spans="1:39" ht="15" customHeight="1" x14ac:dyDescent="0.25">
      <c r="A158" s="1409"/>
      <c r="B158" s="1409"/>
      <c r="C158" s="1409"/>
      <c r="D158" s="1409"/>
      <c r="E158" s="1252"/>
      <c r="F158" s="1248" t="s">
        <v>93</v>
      </c>
      <c r="G158" s="111"/>
      <c r="H158" s="1249">
        <v>60</v>
      </c>
      <c r="I158" s="111" t="s">
        <v>1722</v>
      </c>
      <c r="J158" s="1321" t="s">
        <v>5608</v>
      </c>
      <c r="K158" s="162" t="s">
        <v>5610</v>
      </c>
      <c r="L158" s="162" t="s">
        <v>5609</v>
      </c>
      <c r="M158" s="111">
        <v>82.683770666666675</v>
      </c>
      <c r="N158" s="111">
        <v>4961.0262400000001</v>
      </c>
      <c r="O158" s="111"/>
      <c r="P158" s="111"/>
      <c r="Q158" s="111"/>
      <c r="R158" s="111"/>
      <c r="S158" s="1249">
        <v>30</v>
      </c>
      <c r="T158" s="1250">
        <v>1653.6754133333334</v>
      </c>
      <c r="U158" s="1250"/>
      <c r="V158" s="1250"/>
      <c r="W158" s="1251">
        <v>20</v>
      </c>
      <c r="X158" s="1250">
        <v>1653.6754133333334</v>
      </c>
      <c r="Y158" s="1250"/>
      <c r="Z158" s="1250"/>
      <c r="AA158" s="1250"/>
      <c r="AB158" s="1250"/>
      <c r="AC158" s="1250"/>
      <c r="AD158" s="1250"/>
      <c r="AE158" s="1249">
        <v>10</v>
      </c>
      <c r="AF158" s="1250">
        <v>1653.6754133333334</v>
      </c>
      <c r="AG158" s="111"/>
      <c r="AH158" s="111"/>
      <c r="AI158" s="111"/>
      <c r="AJ158" s="111"/>
      <c r="AK158" s="111"/>
      <c r="AL158" s="111"/>
      <c r="AM158" s="111">
        <v>4961.0262400000001</v>
      </c>
    </row>
    <row r="159" spans="1:39" ht="15" customHeight="1" x14ac:dyDescent="0.25">
      <c r="A159" s="1409"/>
      <c r="B159" s="1409"/>
      <c r="C159" s="1409"/>
      <c r="D159" s="1409"/>
      <c r="E159" s="1252"/>
      <c r="F159" s="1248" t="s">
        <v>2878</v>
      </c>
      <c r="G159" s="111"/>
      <c r="H159" s="1249">
        <v>25</v>
      </c>
      <c r="I159" s="111" t="s">
        <v>1722</v>
      </c>
      <c r="J159" s="1321" t="s">
        <v>5608</v>
      </c>
      <c r="K159" s="162" t="s">
        <v>5610</v>
      </c>
      <c r="L159" s="162" t="s">
        <v>5609</v>
      </c>
      <c r="M159" s="111">
        <v>7.25</v>
      </c>
      <c r="N159" s="111">
        <v>181.25</v>
      </c>
      <c r="O159" s="111"/>
      <c r="P159" s="111"/>
      <c r="Q159" s="111"/>
      <c r="R159" s="111"/>
      <c r="S159" s="1249">
        <v>10</v>
      </c>
      <c r="T159" s="1250">
        <v>60.416666666666664</v>
      </c>
      <c r="U159" s="1250"/>
      <c r="V159" s="1250"/>
      <c r="W159" s="1251">
        <v>10</v>
      </c>
      <c r="X159" s="1250">
        <v>60.416666666666664</v>
      </c>
      <c r="Y159" s="1250"/>
      <c r="Z159" s="1250"/>
      <c r="AA159" s="1250"/>
      <c r="AB159" s="1250"/>
      <c r="AC159" s="1250"/>
      <c r="AD159" s="1250"/>
      <c r="AE159" s="1249">
        <v>5</v>
      </c>
      <c r="AF159" s="1250">
        <v>60.416666666666664</v>
      </c>
      <c r="AG159" s="111"/>
      <c r="AH159" s="111"/>
      <c r="AI159" s="111"/>
      <c r="AJ159" s="111"/>
      <c r="AK159" s="111"/>
      <c r="AL159" s="111"/>
      <c r="AM159" s="111">
        <v>181.25</v>
      </c>
    </row>
    <row r="160" spans="1:39" ht="15" customHeight="1" x14ac:dyDescent="0.25">
      <c r="A160" s="1409"/>
      <c r="B160" s="1409"/>
      <c r="C160" s="1409"/>
      <c r="D160" s="1409"/>
      <c r="E160" s="1252"/>
      <c r="F160" s="1248" t="s">
        <v>94</v>
      </c>
      <c r="G160" s="111"/>
      <c r="H160" s="1249">
        <v>32</v>
      </c>
      <c r="I160" s="111" t="s">
        <v>1721</v>
      </c>
      <c r="J160" s="1321" t="s">
        <v>5608</v>
      </c>
      <c r="K160" s="162" t="s">
        <v>5610</v>
      </c>
      <c r="L160" s="162" t="s">
        <v>5609</v>
      </c>
      <c r="M160" s="111">
        <v>142.20392000000001</v>
      </c>
      <c r="N160" s="111">
        <v>4550.5254400000003</v>
      </c>
      <c r="O160" s="111"/>
      <c r="P160" s="111"/>
      <c r="Q160" s="111"/>
      <c r="R160" s="111"/>
      <c r="S160" s="1249">
        <v>12</v>
      </c>
      <c r="T160" s="1250">
        <v>1516.8418133333334</v>
      </c>
      <c r="U160" s="1250"/>
      <c r="V160" s="1250"/>
      <c r="W160" s="1251">
        <v>10</v>
      </c>
      <c r="X160" s="1250">
        <v>1516.8418133333334</v>
      </c>
      <c r="Y160" s="1250"/>
      <c r="Z160" s="1250"/>
      <c r="AA160" s="1250"/>
      <c r="AB160" s="1250"/>
      <c r="AC160" s="1250"/>
      <c r="AD160" s="1250"/>
      <c r="AE160" s="1249">
        <v>10</v>
      </c>
      <c r="AF160" s="1250">
        <v>1516.8418133333334</v>
      </c>
      <c r="AG160" s="111"/>
      <c r="AH160" s="111"/>
      <c r="AI160" s="111"/>
      <c r="AJ160" s="111"/>
      <c r="AK160" s="111"/>
      <c r="AL160" s="111"/>
      <c r="AM160" s="111">
        <v>4550.5254400000003</v>
      </c>
    </row>
    <row r="161" spans="1:39" ht="15" customHeight="1" x14ac:dyDescent="0.25">
      <c r="A161" s="1409"/>
      <c r="B161" s="1409"/>
      <c r="C161" s="1409"/>
      <c r="D161" s="1409"/>
      <c r="E161" s="1252"/>
      <c r="F161" s="1248" t="s">
        <v>1074</v>
      </c>
      <c r="G161" s="111"/>
      <c r="H161" s="1249">
        <v>6</v>
      </c>
      <c r="I161" s="111" t="s">
        <v>1721</v>
      </c>
      <c r="J161" s="1321" t="s">
        <v>5608</v>
      </c>
      <c r="K161" s="162" t="s">
        <v>5610</v>
      </c>
      <c r="L161" s="162" t="s">
        <v>5609</v>
      </c>
      <c r="M161" s="111">
        <v>113.00170666666668</v>
      </c>
      <c r="N161" s="111">
        <v>678.01024000000007</v>
      </c>
      <c r="O161" s="111"/>
      <c r="P161" s="111"/>
      <c r="Q161" s="111"/>
      <c r="R161" s="111"/>
      <c r="S161" s="1249">
        <v>2</v>
      </c>
      <c r="T161" s="1250">
        <v>226.00341333333336</v>
      </c>
      <c r="U161" s="1250"/>
      <c r="V161" s="1250"/>
      <c r="W161" s="1251">
        <v>2</v>
      </c>
      <c r="X161" s="1250">
        <v>226.00341333333336</v>
      </c>
      <c r="Y161" s="1250"/>
      <c r="Z161" s="1250"/>
      <c r="AA161" s="1250"/>
      <c r="AB161" s="1250"/>
      <c r="AC161" s="1250"/>
      <c r="AD161" s="1250"/>
      <c r="AE161" s="1249">
        <v>2</v>
      </c>
      <c r="AF161" s="1250">
        <v>226.00341333333336</v>
      </c>
      <c r="AG161" s="111"/>
      <c r="AH161" s="111"/>
      <c r="AI161" s="111"/>
      <c r="AJ161" s="111"/>
      <c r="AK161" s="111"/>
      <c r="AL161" s="111"/>
      <c r="AM161" s="111">
        <v>678.01024000000007</v>
      </c>
    </row>
    <row r="162" spans="1:39" ht="15" customHeight="1" x14ac:dyDescent="0.25">
      <c r="A162" s="1409"/>
      <c r="B162" s="1409"/>
      <c r="C162" s="1409"/>
      <c r="D162" s="1409"/>
      <c r="E162" s="1252"/>
      <c r="F162" s="1248" t="s">
        <v>95</v>
      </c>
      <c r="G162" s="111"/>
      <c r="H162" s="1249">
        <v>45</v>
      </c>
      <c r="I162" s="111" t="s">
        <v>1721</v>
      </c>
      <c r="J162" s="1321" t="s">
        <v>5608</v>
      </c>
      <c r="K162" s="162" t="s">
        <v>5610</v>
      </c>
      <c r="L162" s="162" t="s">
        <v>5609</v>
      </c>
      <c r="M162" s="111">
        <v>23.37801955555555</v>
      </c>
      <c r="N162" s="111">
        <v>1052.0108799999998</v>
      </c>
      <c r="O162" s="111"/>
      <c r="P162" s="111"/>
      <c r="Q162" s="111"/>
      <c r="R162" s="111"/>
      <c r="S162" s="1249">
        <v>15</v>
      </c>
      <c r="T162" s="1250">
        <v>350.67029333333329</v>
      </c>
      <c r="U162" s="1250"/>
      <c r="V162" s="1250"/>
      <c r="W162" s="1251">
        <v>15</v>
      </c>
      <c r="X162" s="1250">
        <v>350.67029333333329</v>
      </c>
      <c r="Y162" s="1250"/>
      <c r="Z162" s="1250"/>
      <c r="AA162" s="1250"/>
      <c r="AB162" s="1250"/>
      <c r="AC162" s="1250"/>
      <c r="AD162" s="1250"/>
      <c r="AE162" s="1249">
        <v>15</v>
      </c>
      <c r="AF162" s="1250">
        <v>350.67029333333329</v>
      </c>
      <c r="AG162" s="111"/>
      <c r="AH162" s="111"/>
      <c r="AI162" s="111"/>
      <c r="AJ162" s="111"/>
      <c r="AK162" s="111"/>
      <c r="AL162" s="111"/>
      <c r="AM162" s="111">
        <v>1052.0108799999998</v>
      </c>
    </row>
    <row r="163" spans="1:39" ht="15" customHeight="1" x14ac:dyDescent="0.25">
      <c r="A163" s="1409"/>
      <c r="B163" s="1409"/>
      <c r="C163" s="1409"/>
      <c r="D163" s="1409"/>
      <c r="E163" s="1252"/>
      <c r="F163" s="1248" t="s">
        <v>2477</v>
      </c>
      <c r="G163" s="111"/>
      <c r="H163" s="1249">
        <v>10</v>
      </c>
      <c r="I163" s="111" t="s">
        <v>1721</v>
      </c>
      <c r="J163" s="1321" t="s">
        <v>5608</v>
      </c>
      <c r="K163" s="162" t="s">
        <v>5610</v>
      </c>
      <c r="L163" s="162" t="s">
        <v>5609</v>
      </c>
      <c r="M163" s="111">
        <v>37.21</v>
      </c>
      <c r="N163" s="111">
        <v>372.1</v>
      </c>
      <c r="O163" s="111"/>
      <c r="P163" s="111"/>
      <c r="Q163" s="111"/>
      <c r="R163" s="111"/>
      <c r="S163" s="1249">
        <v>4</v>
      </c>
      <c r="T163" s="1250">
        <v>124.03333333333335</v>
      </c>
      <c r="U163" s="1250"/>
      <c r="V163" s="1250"/>
      <c r="W163" s="1251">
        <v>4</v>
      </c>
      <c r="X163" s="1250">
        <v>124.03333333333335</v>
      </c>
      <c r="Y163" s="1250"/>
      <c r="Z163" s="1250"/>
      <c r="AA163" s="1250"/>
      <c r="AB163" s="1250"/>
      <c r="AC163" s="1250"/>
      <c r="AD163" s="1250"/>
      <c r="AE163" s="1249">
        <v>2</v>
      </c>
      <c r="AF163" s="1250">
        <v>124.03333333333335</v>
      </c>
      <c r="AG163" s="111"/>
      <c r="AH163" s="111"/>
      <c r="AI163" s="111"/>
      <c r="AJ163" s="111"/>
      <c r="AK163" s="111"/>
      <c r="AL163" s="111"/>
      <c r="AM163" s="111">
        <v>372.1</v>
      </c>
    </row>
    <row r="164" spans="1:39" ht="15" customHeight="1" x14ac:dyDescent="0.25">
      <c r="A164" s="1409"/>
      <c r="B164" s="1409"/>
      <c r="C164" s="1409"/>
      <c r="D164" s="1409"/>
      <c r="E164" s="1252"/>
      <c r="F164" s="1248" t="s">
        <v>220</v>
      </c>
      <c r="G164" s="111"/>
      <c r="H164" s="1249">
        <v>24</v>
      </c>
      <c r="I164" s="111" t="s">
        <v>1721</v>
      </c>
      <c r="J164" s="1321" t="s">
        <v>5608</v>
      </c>
      <c r="K164" s="162" t="s">
        <v>5610</v>
      </c>
      <c r="L164" s="162" t="s">
        <v>5609</v>
      </c>
      <c r="M164" s="111">
        <v>12.12</v>
      </c>
      <c r="N164" s="111">
        <v>290.88</v>
      </c>
      <c r="O164" s="111"/>
      <c r="P164" s="111"/>
      <c r="Q164" s="111"/>
      <c r="R164" s="111"/>
      <c r="S164" s="1249">
        <v>14</v>
      </c>
      <c r="T164" s="1250">
        <v>96.96</v>
      </c>
      <c r="U164" s="1250"/>
      <c r="V164" s="1250"/>
      <c r="W164" s="1251">
        <v>5</v>
      </c>
      <c r="X164" s="1250">
        <v>96.96</v>
      </c>
      <c r="Y164" s="1250"/>
      <c r="Z164" s="1250"/>
      <c r="AA164" s="1250"/>
      <c r="AB164" s="1250"/>
      <c r="AC164" s="1250"/>
      <c r="AD164" s="1250"/>
      <c r="AE164" s="1249">
        <v>5</v>
      </c>
      <c r="AF164" s="1250">
        <v>96.96</v>
      </c>
      <c r="AG164" s="111"/>
      <c r="AH164" s="111"/>
      <c r="AI164" s="111"/>
      <c r="AJ164" s="111"/>
      <c r="AK164" s="111"/>
      <c r="AL164" s="111"/>
      <c r="AM164" s="111">
        <v>290.88</v>
      </c>
    </row>
    <row r="165" spans="1:39" ht="15" customHeight="1" x14ac:dyDescent="0.25">
      <c r="A165" s="1409"/>
      <c r="B165" s="1409"/>
      <c r="C165" s="1409"/>
      <c r="D165" s="1409"/>
      <c r="E165" s="1252"/>
      <c r="F165" s="1248" t="s">
        <v>97</v>
      </c>
      <c r="G165" s="111"/>
      <c r="H165" s="1249">
        <v>3</v>
      </c>
      <c r="I165" s="111" t="s">
        <v>1721</v>
      </c>
      <c r="J165" s="1321" t="s">
        <v>5608</v>
      </c>
      <c r="K165" s="162" t="s">
        <v>5610</v>
      </c>
      <c r="L165" s="162" t="s">
        <v>5609</v>
      </c>
      <c r="M165" s="111">
        <v>34.451333333333338</v>
      </c>
      <c r="N165" s="111">
        <v>103.35400000000001</v>
      </c>
      <c r="O165" s="111"/>
      <c r="P165" s="111"/>
      <c r="Q165" s="111"/>
      <c r="R165" s="111"/>
      <c r="S165" s="1249">
        <v>2</v>
      </c>
      <c r="T165" s="1250">
        <v>34.451333333333338</v>
      </c>
      <c r="U165" s="1250"/>
      <c r="V165" s="1250"/>
      <c r="W165" s="1251">
        <v>1</v>
      </c>
      <c r="X165" s="1250">
        <v>34.451333333333338</v>
      </c>
      <c r="Y165" s="1250"/>
      <c r="Z165" s="1250"/>
      <c r="AA165" s="1250"/>
      <c r="AB165" s="1250"/>
      <c r="AC165" s="1250"/>
      <c r="AD165" s="1250"/>
      <c r="AE165" s="1249">
        <v>0</v>
      </c>
      <c r="AF165" s="1250">
        <v>34.451333333333338</v>
      </c>
      <c r="AG165" s="111"/>
      <c r="AH165" s="111"/>
      <c r="AI165" s="111"/>
      <c r="AJ165" s="111"/>
      <c r="AK165" s="111"/>
      <c r="AL165" s="111"/>
      <c r="AM165" s="111">
        <v>103.35400000000001</v>
      </c>
    </row>
    <row r="166" spans="1:39" ht="15" customHeight="1" x14ac:dyDescent="0.25">
      <c r="A166" s="1409"/>
      <c r="B166" s="1409"/>
      <c r="C166" s="1409"/>
      <c r="D166" s="1409"/>
      <c r="E166" s="1252"/>
      <c r="F166" s="1248" t="s">
        <v>1846</v>
      </c>
      <c r="G166" s="111"/>
      <c r="H166" s="1249">
        <v>25</v>
      </c>
      <c r="I166" s="111" t="s">
        <v>1721</v>
      </c>
      <c r="J166" s="1321" t="s">
        <v>5608</v>
      </c>
      <c r="K166" s="162" t="s">
        <v>5610</v>
      </c>
      <c r="L166" s="162" t="s">
        <v>5609</v>
      </c>
      <c r="M166" s="111">
        <v>7.2229600000000005</v>
      </c>
      <c r="N166" s="111">
        <v>180.57400000000001</v>
      </c>
      <c r="O166" s="111"/>
      <c r="P166" s="111"/>
      <c r="Q166" s="111"/>
      <c r="R166" s="111"/>
      <c r="S166" s="1249">
        <v>10</v>
      </c>
      <c r="T166" s="1250">
        <v>60.19133333333334</v>
      </c>
      <c r="U166" s="1250"/>
      <c r="V166" s="1250"/>
      <c r="W166" s="1251">
        <v>10</v>
      </c>
      <c r="X166" s="1250">
        <v>60.19133333333334</v>
      </c>
      <c r="Y166" s="1250"/>
      <c r="Z166" s="1250"/>
      <c r="AA166" s="1250"/>
      <c r="AB166" s="1250"/>
      <c r="AC166" s="1250"/>
      <c r="AD166" s="1250"/>
      <c r="AE166" s="1249">
        <v>5</v>
      </c>
      <c r="AF166" s="1250">
        <v>60.19133333333334</v>
      </c>
      <c r="AG166" s="111"/>
      <c r="AH166" s="111"/>
      <c r="AI166" s="111"/>
      <c r="AJ166" s="111"/>
      <c r="AK166" s="111"/>
      <c r="AL166" s="111"/>
      <c r="AM166" s="111">
        <v>180.57400000000001</v>
      </c>
    </row>
    <row r="167" spans="1:39" ht="15" customHeight="1" x14ac:dyDescent="0.25">
      <c r="A167" s="1409"/>
      <c r="B167" s="1409"/>
      <c r="C167" s="1409"/>
      <c r="D167" s="1409"/>
      <c r="E167" s="1252"/>
      <c r="F167" s="1248" t="s">
        <v>98</v>
      </c>
      <c r="G167" s="111"/>
      <c r="H167" s="1249">
        <v>3</v>
      </c>
      <c r="I167" s="111" t="s">
        <v>1721</v>
      </c>
      <c r="J167" s="1321" t="s">
        <v>5608</v>
      </c>
      <c r="K167" s="162" t="s">
        <v>5610</v>
      </c>
      <c r="L167" s="162" t="s">
        <v>5609</v>
      </c>
      <c r="M167" s="111">
        <v>34.451333333333338</v>
      </c>
      <c r="N167" s="111">
        <v>103.35400000000001</v>
      </c>
      <c r="O167" s="111"/>
      <c r="P167" s="111"/>
      <c r="Q167" s="111"/>
      <c r="R167" s="111"/>
      <c r="S167" s="1249">
        <v>2</v>
      </c>
      <c r="T167" s="1250">
        <v>34.451333333333338</v>
      </c>
      <c r="U167" s="1250"/>
      <c r="V167" s="1250"/>
      <c r="W167" s="1251">
        <v>1</v>
      </c>
      <c r="X167" s="1250">
        <v>34.451333333333338</v>
      </c>
      <c r="Y167" s="1250"/>
      <c r="Z167" s="1250"/>
      <c r="AA167" s="1250"/>
      <c r="AB167" s="1250"/>
      <c r="AC167" s="1250"/>
      <c r="AD167" s="1250"/>
      <c r="AE167" s="1249">
        <v>0</v>
      </c>
      <c r="AF167" s="1250">
        <v>34.451333333333338</v>
      </c>
      <c r="AG167" s="111"/>
      <c r="AH167" s="111"/>
      <c r="AI167" s="111"/>
      <c r="AJ167" s="111"/>
      <c r="AK167" s="111"/>
      <c r="AL167" s="111"/>
      <c r="AM167" s="111">
        <v>103.35400000000001</v>
      </c>
    </row>
    <row r="168" spans="1:39" ht="15" customHeight="1" x14ac:dyDescent="0.25">
      <c r="A168" s="1409"/>
      <c r="B168" s="1409"/>
      <c r="C168" s="1409"/>
      <c r="D168" s="1409"/>
      <c r="E168" s="1252"/>
      <c r="F168" s="1248" t="s">
        <v>4391</v>
      </c>
      <c r="G168" s="111"/>
      <c r="H168" s="1249">
        <v>1</v>
      </c>
      <c r="I168" s="111" t="s">
        <v>1721</v>
      </c>
      <c r="J168" s="1321" t="s">
        <v>5608</v>
      </c>
      <c r="K168" s="162" t="s">
        <v>5610</v>
      </c>
      <c r="L168" s="162" t="s">
        <v>5609</v>
      </c>
      <c r="M168" s="111">
        <v>2041.6</v>
      </c>
      <c r="N168" s="111">
        <v>2041.6</v>
      </c>
      <c r="O168" s="111"/>
      <c r="P168" s="111"/>
      <c r="Q168" s="111"/>
      <c r="R168" s="111"/>
      <c r="S168" s="1249">
        <v>1</v>
      </c>
      <c r="T168" s="1250">
        <v>680.5333333333333</v>
      </c>
      <c r="U168" s="1250"/>
      <c r="V168" s="1250"/>
      <c r="W168" s="1251">
        <v>0</v>
      </c>
      <c r="X168" s="1250">
        <v>680.5333333333333</v>
      </c>
      <c r="Y168" s="1250"/>
      <c r="Z168" s="1250"/>
      <c r="AA168" s="1250"/>
      <c r="AB168" s="1250"/>
      <c r="AC168" s="1250"/>
      <c r="AD168" s="1250"/>
      <c r="AE168" s="1249">
        <v>0</v>
      </c>
      <c r="AF168" s="1250">
        <v>680.5333333333333</v>
      </c>
      <c r="AG168" s="111"/>
      <c r="AH168" s="111"/>
      <c r="AI168" s="111"/>
      <c r="AJ168" s="111"/>
      <c r="AK168" s="111"/>
      <c r="AL168" s="111"/>
      <c r="AM168" s="111">
        <v>2041.6</v>
      </c>
    </row>
    <row r="169" spans="1:39" ht="15" customHeight="1" x14ac:dyDescent="0.25">
      <c r="A169" s="1409"/>
      <c r="B169" s="1409"/>
      <c r="C169" s="1409"/>
      <c r="D169" s="1409"/>
      <c r="E169" s="1252"/>
      <c r="F169" s="1248"/>
      <c r="G169" s="111"/>
      <c r="H169" s="1249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249"/>
      <c r="T169" s="1250"/>
      <c r="U169" s="1250"/>
      <c r="V169" s="1250"/>
      <c r="W169" s="1251"/>
      <c r="X169" s="1250"/>
      <c r="Y169" s="1250"/>
      <c r="Z169" s="1250"/>
      <c r="AA169" s="1250"/>
      <c r="AB169" s="1250"/>
      <c r="AC169" s="1250"/>
      <c r="AD169" s="1250"/>
      <c r="AE169" s="1249"/>
      <c r="AF169" s="1250"/>
      <c r="AG169" s="111"/>
      <c r="AH169" s="111"/>
      <c r="AI169" s="111"/>
      <c r="AJ169" s="111"/>
      <c r="AK169" s="111"/>
      <c r="AL169" s="111"/>
      <c r="AM169" s="111"/>
    </row>
    <row r="170" spans="1:39" ht="15" customHeight="1" x14ac:dyDescent="0.25">
      <c r="A170" s="1409"/>
      <c r="B170" s="1409"/>
      <c r="C170" s="1409"/>
      <c r="D170" s="1409"/>
      <c r="E170" s="1233">
        <v>21104</v>
      </c>
      <c r="F170" s="1314" t="s">
        <v>100</v>
      </c>
      <c r="G170" s="1254"/>
      <c r="H170" s="1255"/>
      <c r="I170" s="1254"/>
      <c r="J170" s="1254"/>
      <c r="K170" s="1254"/>
      <c r="L170" s="1254"/>
      <c r="M170" s="1254"/>
      <c r="N170" s="1254"/>
      <c r="O170" s="1254"/>
      <c r="P170" s="1254"/>
      <c r="Q170" s="1254"/>
      <c r="R170" s="1254"/>
      <c r="S170" s="1255"/>
      <c r="T170" s="1256"/>
      <c r="U170" s="1256"/>
      <c r="V170" s="1256"/>
      <c r="W170" s="1257"/>
      <c r="X170" s="1256"/>
      <c r="Y170" s="1256"/>
      <c r="Z170" s="1256"/>
      <c r="AA170" s="1256"/>
      <c r="AB170" s="1256"/>
      <c r="AC170" s="1256"/>
      <c r="AD170" s="1256"/>
      <c r="AE170" s="1255"/>
      <c r="AF170" s="1256"/>
      <c r="AG170" s="1254"/>
      <c r="AH170" s="1254"/>
      <c r="AI170" s="1254"/>
      <c r="AJ170" s="1254"/>
      <c r="AK170" s="1254"/>
      <c r="AL170" s="1254"/>
      <c r="AM170" s="1254"/>
    </row>
    <row r="171" spans="1:39" ht="15" customHeight="1" x14ac:dyDescent="0.25">
      <c r="A171" s="1409"/>
      <c r="B171" s="1409"/>
      <c r="C171" s="1409"/>
      <c r="D171" s="1409"/>
      <c r="E171" s="1247"/>
      <c r="F171" s="1248" t="s">
        <v>4392</v>
      </c>
      <c r="G171" s="111"/>
      <c r="H171" s="1249">
        <v>3</v>
      </c>
      <c r="I171" s="111" t="s">
        <v>1721</v>
      </c>
      <c r="J171" s="1321" t="s">
        <v>5608</v>
      </c>
      <c r="K171" s="162" t="s">
        <v>5610</v>
      </c>
      <c r="L171" s="162" t="s">
        <v>5609</v>
      </c>
      <c r="M171" s="111">
        <v>690.2266666666668</v>
      </c>
      <c r="N171" s="111">
        <v>2070.6800000000003</v>
      </c>
      <c r="O171" s="111"/>
      <c r="P171" s="111"/>
      <c r="Q171" s="111"/>
      <c r="R171" s="111"/>
      <c r="S171" s="1249">
        <v>2</v>
      </c>
      <c r="T171" s="1250">
        <v>690.2266666666668</v>
      </c>
      <c r="U171" s="1250"/>
      <c r="V171" s="1250"/>
      <c r="W171" s="1251">
        <v>1</v>
      </c>
      <c r="X171" s="1250">
        <v>690.2266666666668</v>
      </c>
      <c r="Y171" s="1250"/>
      <c r="Z171" s="1250"/>
      <c r="AA171" s="1250"/>
      <c r="AB171" s="1250"/>
      <c r="AC171" s="1250"/>
      <c r="AD171" s="1250"/>
      <c r="AE171" s="1249">
        <v>0</v>
      </c>
      <c r="AF171" s="1250">
        <v>690.2266666666668</v>
      </c>
      <c r="AG171" s="111"/>
      <c r="AH171" s="111"/>
      <c r="AI171" s="111"/>
      <c r="AJ171" s="111"/>
      <c r="AK171" s="111"/>
      <c r="AL171" s="111"/>
      <c r="AM171" s="111">
        <v>2070.6800000000003</v>
      </c>
    </row>
    <row r="172" spans="1:39" ht="15" customHeight="1" x14ac:dyDescent="0.25">
      <c r="A172" s="1409"/>
      <c r="B172" s="1409"/>
      <c r="C172" s="1409"/>
      <c r="D172" s="1409"/>
      <c r="E172" s="1247"/>
      <c r="F172" s="1248" t="s">
        <v>4393</v>
      </c>
      <c r="G172" s="111"/>
      <c r="H172" s="1249">
        <v>1</v>
      </c>
      <c r="I172" s="111" t="s">
        <v>1721</v>
      </c>
      <c r="J172" s="1321" t="s">
        <v>5608</v>
      </c>
      <c r="K172" s="162" t="s">
        <v>5610</v>
      </c>
      <c r="L172" s="162" t="s">
        <v>5609</v>
      </c>
      <c r="M172" s="111">
        <v>250.87</v>
      </c>
      <c r="N172" s="111">
        <v>250.87</v>
      </c>
      <c r="O172" s="111"/>
      <c r="P172" s="111"/>
      <c r="Q172" s="111"/>
      <c r="R172" s="111"/>
      <c r="S172" s="1249">
        <v>1</v>
      </c>
      <c r="T172" s="1250">
        <v>83.623333333333335</v>
      </c>
      <c r="U172" s="1250"/>
      <c r="V172" s="1250"/>
      <c r="W172" s="1251">
        <v>0</v>
      </c>
      <c r="X172" s="1250">
        <v>83.623333333333335</v>
      </c>
      <c r="Y172" s="1250"/>
      <c r="Z172" s="1250"/>
      <c r="AA172" s="1250"/>
      <c r="AB172" s="1250"/>
      <c r="AC172" s="1250"/>
      <c r="AD172" s="1250"/>
      <c r="AE172" s="1249">
        <v>0</v>
      </c>
      <c r="AF172" s="1250">
        <v>83.623333333333335</v>
      </c>
      <c r="AG172" s="111"/>
      <c r="AH172" s="111"/>
      <c r="AI172" s="111"/>
      <c r="AJ172" s="111"/>
      <c r="AK172" s="111"/>
      <c r="AL172" s="111"/>
      <c r="AM172" s="111">
        <v>250.87</v>
      </c>
    </row>
    <row r="173" spans="1:39" ht="15" customHeight="1" x14ac:dyDescent="0.25">
      <c r="A173" s="1409"/>
      <c r="B173" s="1409"/>
      <c r="C173" s="1409"/>
      <c r="D173" s="1409"/>
      <c r="E173" s="1247"/>
      <c r="F173" s="1248"/>
      <c r="G173" s="111"/>
      <c r="H173" s="1249"/>
      <c r="I173" s="111"/>
      <c r="J173" s="1321" t="s">
        <v>5608</v>
      </c>
      <c r="K173" s="111"/>
      <c r="L173" s="1326"/>
      <c r="M173" s="111"/>
      <c r="N173" s="111"/>
      <c r="O173" s="111"/>
      <c r="P173" s="111"/>
      <c r="Q173" s="111"/>
      <c r="R173" s="111"/>
      <c r="S173" s="1249"/>
      <c r="T173" s="1250"/>
      <c r="U173" s="1250"/>
      <c r="V173" s="1250"/>
      <c r="W173" s="1251"/>
      <c r="X173" s="1250"/>
      <c r="Y173" s="1250"/>
      <c r="Z173" s="1250"/>
      <c r="AA173" s="1250"/>
      <c r="AB173" s="1250"/>
      <c r="AC173" s="1250"/>
      <c r="AD173" s="1250"/>
      <c r="AE173" s="1249"/>
      <c r="AF173" s="1250"/>
      <c r="AG173" s="111"/>
      <c r="AH173" s="111"/>
      <c r="AI173" s="111"/>
      <c r="AJ173" s="111"/>
      <c r="AK173" s="111"/>
      <c r="AL173" s="111"/>
      <c r="AM173" s="111"/>
    </row>
    <row r="174" spans="1:39" ht="15" customHeight="1" x14ac:dyDescent="0.25">
      <c r="A174" s="1409"/>
      <c r="B174" s="1409"/>
      <c r="C174" s="1409"/>
      <c r="D174" s="1409"/>
      <c r="E174" s="1233">
        <v>21105</v>
      </c>
      <c r="F174" s="1314" t="s">
        <v>101</v>
      </c>
      <c r="G174" s="1254"/>
      <c r="H174" s="1255"/>
      <c r="I174" s="1254"/>
      <c r="J174" s="1254"/>
      <c r="K174" s="1254"/>
      <c r="L174" s="1325"/>
      <c r="M174" s="1254"/>
      <c r="N174" s="1254"/>
      <c r="O174" s="1254"/>
      <c r="P174" s="1254"/>
      <c r="Q174" s="1254"/>
      <c r="R174" s="1254"/>
      <c r="S174" s="1255"/>
      <c r="T174" s="1256"/>
      <c r="U174" s="1256"/>
      <c r="V174" s="1256"/>
      <c r="W174" s="1257"/>
      <c r="X174" s="1256"/>
      <c r="Y174" s="1256"/>
      <c r="Z174" s="1256"/>
      <c r="AA174" s="1256"/>
      <c r="AB174" s="1256"/>
      <c r="AC174" s="1256"/>
      <c r="AD174" s="1256"/>
      <c r="AE174" s="1255"/>
      <c r="AF174" s="1256"/>
      <c r="AG174" s="1254"/>
      <c r="AH174" s="1254"/>
      <c r="AI174" s="1254"/>
      <c r="AJ174" s="1254"/>
      <c r="AK174" s="1254"/>
      <c r="AL174" s="1254"/>
      <c r="AM174" s="1254"/>
    </row>
    <row r="175" spans="1:39" ht="15" customHeight="1" x14ac:dyDescent="0.25">
      <c r="A175" s="1409"/>
      <c r="B175" s="1409"/>
      <c r="C175" s="1409"/>
      <c r="D175" s="1409"/>
      <c r="E175" s="1247"/>
      <c r="F175" s="1248" t="s">
        <v>4394</v>
      </c>
      <c r="G175" s="111"/>
      <c r="H175" s="1249">
        <v>4</v>
      </c>
      <c r="I175" s="111" t="s">
        <v>1721</v>
      </c>
      <c r="J175" s="1321" t="s">
        <v>5608</v>
      </c>
      <c r="K175" s="162" t="s">
        <v>5610</v>
      </c>
      <c r="L175" s="162" t="s">
        <v>5609</v>
      </c>
      <c r="M175" s="111">
        <v>325</v>
      </c>
      <c r="N175" s="111">
        <v>1300</v>
      </c>
      <c r="O175" s="111"/>
      <c r="P175" s="111"/>
      <c r="Q175" s="111"/>
      <c r="R175" s="111"/>
      <c r="S175" s="1249">
        <v>2</v>
      </c>
      <c r="T175" s="1250">
        <v>433.33333333333331</v>
      </c>
      <c r="U175" s="1250"/>
      <c r="V175" s="1250"/>
      <c r="W175" s="1251">
        <v>1</v>
      </c>
      <c r="X175" s="1250">
        <v>433.33333333333331</v>
      </c>
      <c r="Y175" s="1250"/>
      <c r="Z175" s="1250"/>
      <c r="AA175" s="1250"/>
      <c r="AB175" s="1250"/>
      <c r="AC175" s="1250"/>
      <c r="AD175" s="1250"/>
      <c r="AE175" s="1249">
        <v>1</v>
      </c>
      <c r="AF175" s="1250">
        <v>433.33333333333331</v>
      </c>
      <c r="AG175" s="111"/>
      <c r="AH175" s="111"/>
      <c r="AI175" s="111"/>
      <c r="AJ175" s="111"/>
      <c r="AK175" s="111"/>
      <c r="AL175" s="111"/>
      <c r="AM175" s="111">
        <v>1300</v>
      </c>
    </row>
    <row r="176" spans="1:39" ht="15" customHeight="1" x14ac:dyDescent="0.25">
      <c r="A176" s="1409"/>
      <c r="B176" s="1409"/>
      <c r="C176" s="1409"/>
      <c r="D176" s="1409"/>
      <c r="E176" s="1247"/>
      <c r="F176" s="1248" t="s">
        <v>4395</v>
      </c>
      <c r="G176" s="111"/>
      <c r="H176" s="1249">
        <v>2</v>
      </c>
      <c r="I176" s="111" t="s">
        <v>1721</v>
      </c>
      <c r="J176" s="1321" t="s">
        <v>5608</v>
      </c>
      <c r="K176" s="162" t="s">
        <v>5610</v>
      </c>
      <c r="L176" s="162" t="s">
        <v>5609</v>
      </c>
      <c r="M176" s="111">
        <v>635</v>
      </c>
      <c r="N176" s="111">
        <v>1270</v>
      </c>
      <c r="O176" s="111"/>
      <c r="P176" s="111"/>
      <c r="Q176" s="111"/>
      <c r="R176" s="111"/>
      <c r="S176" s="1249">
        <v>1</v>
      </c>
      <c r="T176" s="1250">
        <v>423.33333333333331</v>
      </c>
      <c r="U176" s="1250"/>
      <c r="V176" s="1250"/>
      <c r="W176" s="1251">
        <v>1</v>
      </c>
      <c r="X176" s="1250">
        <v>423.33333333333331</v>
      </c>
      <c r="Y176" s="1250"/>
      <c r="Z176" s="1250"/>
      <c r="AA176" s="1250"/>
      <c r="AB176" s="1250"/>
      <c r="AC176" s="1250"/>
      <c r="AD176" s="1250"/>
      <c r="AE176" s="1249">
        <v>0</v>
      </c>
      <c r="AF176" s="1250">
        <v>423.33333333333331</v>
      </c>
      <c r="AG176" s="111"/>
      <c r="AH176" s="111"/>
      <c r="AI176" s="111"/>
      <c r="AJ176" s="111"/>
      <c r="AK176" s="111"/>
      <c r="AL176" s="111"/>
      <c r="AM176" s="111">
        <v>1270</v>
      </c>
    </row>
    <row r="177" spans="1:39" ht="15" customHeight="1" x14ac:dyDescent="0.25">
      <c r="A177" s="1409"/>
      <c r="B177" s="1409"/>
      <c r="C177" s="1409"/>
      <c r="D177" s="1409"/>
      <c r="E177" s="1252"/>
      <c r="F177" s="1248"/>
      <c r="G177" s="111"/>
      <c r="H177" s="1249"/>
      <c r="I177" s="111"/>
      <c r="J177" s="111"/>
      <c r="K177" s="111"/>
      <c r="L177" s="1326"/>
      <c r="M177" s="111"/>
      <c r="N177" s="111"/>
      <c r="O177" s="111"/>
      <c r="P177" s="111"/>
      <c r="Q177" s="111"/>
      <c r="R177" s="111"/>
      <c r="S177" s="1249"/>
      <c r="T177" s="1250"/>
      <c r="U177" s="1250"/>
      <c r="V177" s="1250"/>
      <c r="W177" s="1251"/>
      <c r="X177" s="1250"/>
      <c r="Y177" s="1250"/>
      <c r="Z177" s="1250"/>
      <c r="AA177" s="1250"/>
      <c r="AB177" s="1250"/>
      <c r="AC177" s="1250"/>
      <c r="AD177" s="1250"/>
      <c r="AE177" s="1249"/>
      <c r="AF177" s="1250"/>
      <c r="AG177" s="111"/>
      <c r="AH177" s="111"/>
      <c r="AI177" s="111"/>
      <c r="AJ177" s="111"/>
      <c r="AK177" s="111"/>
      <c r="AL177" s="111"/>
      <c r="AM177" s="111"/>
    </row>
    <row r="178" spans="1:39" ht="15" customHeight="1" x14ac:dyDescent="0.25">
      <c r="A178" s="1409"/>
      <c r="B178" s="1409"/>
      <c r="C178" s="1409"/>
      <c r="D178" s="1409"/>
      <c r="E178" s="1233">
        <v>21106</v>
      </c>
      <c r="F178" s="1314" t="s">
        <v>102</v>
      </c>
      <c r="G178" s="1254"/>
      <c r="H178" s="1255"/>
      <c r="I178" s="1254"/>
      <c r="J178" s="1254"/>
      <c r="K178" s="1254"/>
      <c r="L178" s="1325"/>
      <c r="M178" s="1254"/>
      <c r="N178" s="1254"/>
      <c r="O178" s="1254"/>
      <c r="P178" s="1254"/>
      <c r="Q178" s="1254"/>
      <c r="R178" s="1254"/>
      <c r="S178" s="1255"/>
      <c r="T178" s="1256"/>
      <c r="U178" s="1256"/>
      <c r="V178" s="1256"/>
      <c r="W178" s="1257"/>
      <c r="X178" s="1256"/>
      <c r="Y178" s="1256"/>
      <c r="Z178" s="1256"/>
      <c r="AA178" s="1256"/>
      <c r="AB178" s="1256"/>
      <c r="AC178" s="1256"/>
      <c r="AD178" s="1256"/>
      <c r="AE178" s="1255"/>
      <c r="AF178" s="1256"/>
      <c r="AG178" s="1254"/>
      <c r="AH178" s="1254"/>
      <c r="AI178" s="1254"/>
      <c r="AJ178" s="1254"/>
      <c r="AK178" s="1254"/>
      <c r="AL178" s="1254"/>
      <c r="AM178" s="1254"/>
    </row>
    <row r="179" spans="1:39" ht="15" customHeight="1" x14ac:dyDescent="0.25">
      <c r="A179" s="1409"/>
      <c r="B179" s="1409"/>
      <c r="C179" s="1409"/>
      <c r="D179" s="1409"/>
      <c r="E179" s="1247"/>
      <c r="F179" s="1248" t="s">
        <v>2000</v>
      </c>
      <c r="G179" s="111"/>
      <c r="H179" s="1249">
        <v>5</v>
      </c>
      <c r="I179" s="111" t="s">
        <v>1725</v>
      </c>
      <c r="J179" s="1321" t="s">
        <v>5608</v>
      </c>
      <c r="K179" s="162" t="s">
        <v>5610</v>
      </c>
      <c r="L179" s="162" t="s">
        <v>5609</v>
      </c>
      <c r="M179" s="111">
        <v>133.48751999999999</v>
      </c>
      <c r="N179" s="111">
        <v>667.43759999999997</v>
      </c>
      <c r="O179" s="111"/>
      <c r="P179" s="111"/>
      <c r="Q179" s="111"/>
      <c r="R179" s="111"/>
      <c r="S179" s="1249">
        <v>2</v>
      </c>
      <c r="T179" s="1250">
        <v>222.47919999999999</v>
      </c>
      <c r="U179" s="1250"/>
      <c r="V179" s="1250"/>
      <c r="W179" s="1251">
        <v>2</v>
      </c>
      <c r="X179" s="1250">
        <v>222.47919999999999</v>
      </c>
      <c r="Y179" s="1250"/>
      <c r="Z179" s="1250"/>
      <c r="AA179" s="1250"/>
      <c r="AB179" s="1250"/>
      <c r="AC179" s="1250"/>
      <c r="AD179" s="1250"/>
      <c r="AE179" s="1249">
        <v>1</v>
      </c>
      <c r="AF179" s="1250">
        <v>222.47919999999999</v>
      </c>
      <c r="AG179" s="111"/>
      <c r="AH179" s="111"/>
      <c r="AI179" s="111"/>
      <c r="AJ179" s="111"/>
      <c r="AK179" s="111"/>
      <c r="AL179" s="111"/>
      <c r="AM179" s="111">
        <v>667.43759999999997</v>
      </c>
    </row>
    <row r="180" spans="1:39" ht="15" customHeight="1" x14ac:dyDescent="0.25">
      <c r="A180" s="1409"/>
      <c r="B180" s="1409"/>
      <c r="C180" s="1409"/>
      <c r="D180" s="1409"/>
      <c r="E180" s="1247"/>
      <c r="F180" s="1248" t="s">
        <v>4396</v>
      </c>
      <c r="G180" s="111"/>
      <c r="H180" s="1249">
        <v>13</v>
      </c>
      <c r="I180" s="111" t="s">
        <v>4397</v>
      </c>
      <c r="J180" s="1321" t="s">
        <v>5608</v>
      </c>
      <c r="K180" s="162" t="s">
        <v>5610</v>
      </c>
      <c r="L180" s="162" t="s">
        <v>5609</v>
      </c>
      <c r="M180" s="111">
        <v>12000</v>
      </c>
      <c r="N180" s="111">
        <v>156000</v>
      </c>
      <c r="O180" s="111"/>
      <c r="P180" s="111"/>
      <c r="Q180" s="111"/>
      <c r="R180" s="111"/>
      <c r="S180" s="1249">
        <v>5</v>
      </c>
      <c r="T180" s="1250">
        <v>52000</v>
      </c>
      <c r="U180" s="1250"/>
      <c r="V180" s="1250"/>
      <c r="W180" s="1251">
        <v>5</v>
      </c>
      <c r="X180" s="1250">
        <v>52000</v>
      </c>
      <c r="Y180" s="1250"/>
      <c r="Z180" s="1250"/>
      <c r="AA180" s="1250"/>
      <c r="AB180" s="1250"/>
      <c r="AC180" s="1250"/>
      <c r="AD180" s="1250"/>
      <c r="AE180" s="1249">
        <v>3</v>
      </c>
      <c r="AF180" s="1250">
        <v>52000</v>
      </c>
      <c r="AG180" s="111"/>
      <c r="AH180" s="111"/>
      <c r="AI180" s="111"/>
      <c r="AJ180" s="111"/>
      <c r="AK180" s="111"/>
      <c r="AL180" s="111"/>
      <c r="AM180" s="111">
        <v>156000</v>
      </c>
    </row>
    <row r="181" spans="1:39" ht="15" customHeight="1" x14ac:dyDescent="0.25">
      <c r="A181" s="1409"/>
      <c r="B181" s="1409"/>
      <c r="C181" s="1409"/>
      <c r="D181" s="1409"/>
      <c r="E181" s="1247"/>
      <c r="F181" s="1248" t="s">
        <v>2556</v>
      </c>
      <c r="G181" s="111"/>
      <c r="H181" s="1249">
        <v>100</v>
      </c>
      <c r="I181" s="111" t="s">
        <v>1721</v>
      </c>
      <c r="J181" s="1321" t="s">
        <v>5608</v>
      </c>
      <c r="K181" s="162" t="s">
        <v>5610</v>
      </c>
      <c r="L181" s="162" t="s">
        <v>5609</v>
      </c>
      <c r="M181" s="111">
        <v>1.02</v>
      </c>
      <c r="N181" s="111">
        <v>102</v>
      </c>
      <c r="O181" s="111"/>
      <c r="P181" s="111"/>
      <c r="Q181" s="111"/>
      <c r="R181" s="111"/>
      <c r="S181" s="1249">
        <v>40</v>
      </c>
      <c r="T181" s="1250">
        <v>34</v>
      </c>
      <c r="U181" s="1250"/>
      <c r="V181" s="1250"/>
      <c r="W181" s="1251">
        <v>40</v>
      </c>
      <c r="X181" s="1250">
        <v>34</v>
      </c>
      <c r="Y181" s="1250"/>
      <c r="Z181" s="1250"/>
      <c r="AA181" s="1250"/>
      <c r="AB181" s="1250"/>
      <c r="AC181" s="1250"/>
      <c r="AD181" s="1250"/>
      <c r="AE181" s="1249">
        <v>20</v>
      </c>
      <c r="AF181" s="1250">
        <v>34</v>
      </c>
      <c r="AG181" s="111"/>
      <c r="AH181" s="111"/>
      <c r="AI181" s="111"/>
      <c r="AJ181" s="111"/>
      <c r="AK181" s="111"/>
      <c r="AL181" s="111"/>
      <c r="AM181" s="111">
        <v>102</v>
      </c>
    </row>
    <row r="182" spans="1:39" ht="15" customHeight="1" x14ac:dyDescent="0.25">
      <c r="A182" s="1409"/>
      <c r="B182" s="1409"/>
      <c r="C182" s="1409"/>
      <c r="D182" s="1409"/>
      <c r="E182" s="1247"/>
      <c r="F182" s="1248" t="s">
        <v>2554</v>
      </c>
      <c r="G182" s="111"/>
      <c r="H182" s="1249">
        <v>100</v>
      </c>
      <c r="I182" s="111" t="s">
        <v>1721</v>
      </c>
      <c r="J182" s="1321" t="s">
        <v>5608</v>
      </c>
      <c r="K182" s="162" t="s">
        <v>5610</v>
      </c>
      <c r="L182" s="162" t="s">
        <v>5609</v>
      </c>
      <c r="M182" s="111">
        <v>9.11</v>
      </c>
      <c r="N182" s="111">
        <v>911</v>
      </c>
      <c r="O182" s="111"/>
      <c r="P182" s="111"/>
      <c r="Q182" s="111"/>
      <c r="R182" s="111"/>
      <c r="S182" s="1249">
        <v>40</v>
      </c>
      <c r="T182" s="1250">
        <v>303.66666666666669</v>
      </c>
      <c r="U182" s="1250"/>
      <c r="V182" s="1250"/>
      <c r="W182" s="1251">
        <v>40</v>
      </c>
      <c r="X182" s="1250">
        <v>303.66666666666669</v>
      </c>
      <c r="Y182" s="1250"/>
      <c r="Z182" s="1250"/>
      <c r="AA182" s="1250"/>
      <c r="AB182" s="1250"/>
      <c r="AC182" s="1250"/>
      <c r="AD182" s="1250"/>
      <c r="AE182" s="1249">
        <v>20</v>
      </c>
      <c r="AF182" s="1250">
        <v>303.66666666666669</v>
      </c>
      <c r="AG182" s="111"/>
      <c r="AH182" s="111"/>
      <c r="AI182" s="111"/>
      <c r="AJ182" s="111"/>
      <c r="AK182" s="111"/>
      <c r="AL182" s="111"/>
      <c r="AM182" s="111">
        <v>911</v>
      </c>
    </row>
    <row r="183" spans="1:39" ht="15" customHeight="1" x14ac:dyDescent="0.25">
      <c r="A183" s="1409"/>
      <c r="B183" s="1409"/>
      <c r="C183" s="1409"/>
      <c r="D183" s="1409"/>
      <c r="E183" s="1247"/>
      <c r="F183" s="1248" t="s">
        <v>2509</v>
      </c>
      <c r="G183" s="111"/>
      <c r="H183" s="1249">
        <v>10</v>
      </c>
      <c r="I183" s="111" t="s">
        <v>1721</v>
      </c>
      <c r="J183" s="1321" t="s">
        <v>5608</v>
      </c>
      <c r="K183" s="162" t="s">
        <v>5610</v>
      </c>
      <c r="L183" s="162" t="s">
        <v>5609</v>
      </c>
      <c r="M183" s="111">
        <v>46.17</v>
      </c>
      <c r="N183" s="111">
        <v>461.70000000000005</v>
      </c>
      <c r="O183" s="111"/>
      <c r="P183" s="111"/>
      <c r="Q183" s="111"/>
      <c r="R183" s="111"/>
      <c r="S183" s="1249">
        <v>4</v>
      </c>
      <c r="T183" s="1250">
        <v>153.9</v>
      </c>
      <c r="U183" s="1250"/>
      <c r="V183" s="1250"/>
      <c r="W183" s="1251">
        <v>4</v>
      </c>
      <c r="X183" s="1250">
        <v>153.9</v>
      </c>
      <c r="Y183" s="1250"/>
      <c r="Z183" s="1250"/>
      <c r="AA183" s="1250"/>
      <c r="AB183" s="1250"/>
      <c r="AC183" s="1250"/>
      <c r="AD183" s="1250"/>
      <c r="AE183" s="1249">
        <v>2</v>
      </c>
      <c r="AF183" s="1250">
        <v>153.9</v>
      </c>
      <c r="AG183" s="111"/>
      <c r="AH183" s="111"/>
      <c r="AI183" s="111"/>
      <c r="AJ183" s="111"/>
      <c r="AK183" s="111"/>
      <c r="AL183" s="111"/>
      <c r="AM183" s="111">
        <v>461.70000000000005</v>
      </c>
    </row>
    <row r="184" spans="1:39" ht="15" customHeight="1" x14ac:dyDescent="0.25">
      <c r="A184" s="1409"/>
      <c r="B184" s="1409"/>
      <c r="C184" s="1409"/>
      <c r="D184" s="1409"/>
      <c r="E184" s="1247"/>
      <c r="F184" s="1248" t="s">
        <v>103</v>
      </c>
      <c r="G184" s="111"/>
      <c r="H184" s="1249">
        <v>96</v>
      </c>
      <c r="I184" s="111" t="s">
        <v>1721</v>
      </c>
      <c r="J184" s="1321" t="s">
        <v>5608</v>
      </c>
      <c r="K184" s="162" t="s">
        <v>5610</v>
      </c>
      <c r="L184" s="162" t="s">
        <v>5609</v>
      </c>
      <c r="M184" s="111">
        <v>89.763120833333346</v>
      </c>
      <c r="N184" s="111">
        <v>8617.2596000000012</v>
      </c>
      <c r="O184" s="111"/>
      <c r="P184" s="111"/>
      <c r="Q184" s="111"/>
      <c r="R184" s="111"/>
      <c r="S184" s="1249">
        <v>40</v>
      </c>
      <c r="T184" s="1250">
        <v>2872.4198666666671</v>
      </c>
      <c r="U184" s="1250"/>
      <c r="V184" s="1250"/>
      <c r="W184" s="1251">
        <v>40</v>
      </c>
      <c r="X184" s="1250">
        <v>2872.4198666666671</v>
      </c>
      <c r="Y184" s="1250"/>
      <c r="Z184" s="1250"/>
      <c r="AA184" s="1250"/>
      <c r="AB184" s="1250"/>
      <c r="AC184" s="1250"/>
      <c r="AD184" s="1250"/>
      <c r="AE184" s="1249">
        <v>16</v>
      </c>
      <c r="AF184" s="1250">
        <v>2872.4198666666671</v>
      </c>
      <c r="AG184" s="111"/>
      <c r="AH184" s="111"/>
      <c r="AI184" s="111"/>
      <c r="AJ184" s="111"/>
      <c r="AK184" s="111"/>
      <c r="AL184" s="111"/>
      <c r="AM184" s="111">
        <v>8617.2596000000012</v>
      </c>
    </row>
    <row r="185" spans="1:39" ht="15" customHeight="1" x14ac:dyDescent="0.25">
      <c r="A185" s="1409"/>
      <c r="B185" s="1409"/>
      <c r="C185" s="1409"/>
      <c r="D185" s="1409"/>
      <c r="E185" s="1247"/>
      <c r="F185" s="1248" t="s">
        <v>104</v>
      </c>
      <c r="G185" s="111"/>
      <c r="H185" s="1249">
        <v>135</v>
      </c>
      <c r="I185" s="111" t="s">
        <v>1721</v>
      </c>
      <c r="J185" s="1321" t="s">
        <v>5608</v>
      </c>
      <c r="K185" s="162" t="s">
        <v>5610</v>
      </c>
      <c r="L185" s="162" t="s">
        <v>5609</v>
      </c>
      <c r="M185" s="111">
        <v>116.55084444444444</v>
      </c>
      <c r="N185" s="111">
        <v>15734.364</v>
      </c>
      <c r="O185" s="111"/>
      <c r="P185" s="111"/>
      <c r="Q185" s="111"/>
      <c r="R185" s="111"/>
      <c r="S185" s="1249">
        <v>50</v>
      </c>
      <c r="T185" s="1250">
        <v>5244.7879999999996</v>
      </c>
      <c r="U185" s="1250"/>
      <c r="V185" s="1250"/>
      <c r="W185" s="1251">
        <v>50</v>
      </c>
      <c r="X185" s="1250">
        <v>5244.7879999999996</v>
      </c>
      <c r="Y185" s="1250"/>
      <c r="Z185" s="1250"/>
      <c r="AA185" s="1250"/>
      <c r="AB185" s="1250"/>
      <c r="AC185" s="1250"/>
      <c r="AD185" s="1250"/>
      <c r="AE185" s="1249">
        <v>35</v>
      </c>
      <c r="AF185" s="1250">
        <v>5244.7879999999996</v>
      </c>
      <c r="AG185" s="111"/>
      <c r="AH185" s="111"/>
      <c r="AI185" s="111"/>
      <c r="AJ185" s="111"/>
      <c r="AK185" s="111"/>
      <c r="AL185" s="111"/>
      <c r="AM185" s="111">
        <v>15734.364</v>
      </c>
    </row>
    <row r="186" spans="1:39" ht="15" customHeight="1" x14ac:dyDescent="0.25">
      <c r="A186" s="1409"/>
      <c r="B186" s="1409"/>
      <c r="C186" s="1409"/>
      <c r="D186" s="1409"/>
      <c r="E186" s="1247"/>
      <c r="F186" s="1248" t="s">
        <v>4398</v>
      </c>
      <c r="G186" s="111"/>
      <c r="H186" s="1249">
        <v>2</v>
      </c>
      <c r="I186" s="111" t="s">
        <v>1721</v>
      </c>
      <c r="J186" s="1321" t="s">
        <v>5608</v>
      </c>
      <c r="K186" s="162" t="s">
        <v>5610</v>
      </c>
      <c r="L186" s="162" t="s">
        <v>5609</v>
      </c>
      <c r="M186" s="111">
        <v>53.98</v>
      </c>
      <c r="N186" s="111">
        <v>107.96</v>
      </c>
      <c r="O186" s="111"/>
      <c r="P186" s="111"/>
      <c r="Q186" s="111"/>
      <c r="R186" s="111"/>
      <c r="S186" s="1249">
        <v>1</v>
      </c>
      <c r="T186" s="1250">
        <v>35.986666666666665</v>
      </c>
      <c r="U186" s="1250"/>
      <c r="V186" s="1250"/>
      <c r="W186" s="1251">
        <v>1</v>
      </c>
      <c r="X186" s="1250">
        <v>35.986666666666665</v>
      </c>
      <c r="Y186" s="1250"/>
      <c r="Z186" s="1250"/>
      <c r="AA186" s="1250"/>
      <c r="AB186" s="1250"/>
      <c r="AC186" s="1250"/>
      <c r="AD186" s="1250"/>
      <c r="AE186" s="1249">
        <v>0</v>
      </c>
      <c r="AF186" s="1250">
        <v>35.986666666666665</v>
      </c>
      <c r="AG186" s="111"/>
      <c r="AH186" s="111"/>
      <c r="AI186" s="111"/>
      <c r="AJ186" s="111"/>
      <c r="AK186" s="111"/>
      <c r="AL186" s="111"/>
      <c r="AM186" s="111">
        <v>107.96</v>
      </c>
    </row>
    <row r="187" spans="1:39" ht="15" customHeight="1" x14ac:dyDescent="0.25">
      <c r="A187" s="1409"/>
      <c r="B187" s="1409"/>
      <c r="C187" s="1409"/>
      <c r="D187" s="1409"/>
      <c r="E187" s="1247"/>
      <c r="F187" s="1248" t="s">
        <v>105</v>
      </c>
      <c r="G187" s="111"/>
      <c r="H187" s="1249">
        <v>3</v>
      </c>
      <c r="I187" s="111" t="s">
        <v>1721</v>
      </c>
      <c r="J187" s="1321" t="s">
        <v>5608</v>
      </c>
      <c r="K187" s="162" t="s">
        <v>5610</v>
      </c>
      <c r="L187" s="162" t="s">
        <v>5609</v>
      </c>
      <c r="M187" s="111">
        <v>103.36</v>
      </c>
      <c r="N187" s="111">
        <v>310.08</v>
      </c>
      <c r="O187" s="111"/>
      <c r="P187" s="111"/>
      <c r="Q187" s="111"/>
      <c r="R187" s="111"/>
      <c r="S187" s="1249">
        <v>2</v>
      </c>
      <c r="T187" s="1250">
        <v>103.36</v>
      </c>
      <c r="U187" s="1250"/>
      <c r="V187" s="1250"/>
      <c r="W187" s="1251">
        <v>1</v>
      </c>
      <c r="X187" s="1250">
        <v>103.36</v>
      </c>
      <c r="Y187" s="1250"/>
      <c r="Z187" s="1250"/>
      <c r="AA187" s="1250"/>
      <c r="AB187" s="1250"/>
      <c r="AC187" s="1250"/>
      <c r="AD187" s="1250"/>
      <c r="AE187" s="1249">
        <v>0</v>
      </c>
      <c r="AF187" s="1250">
        <v>103.36</v>
      </c>
      <c r="AG187" s="111"/>
      <c r="AH187" s="111"/>
      <c r="AI187" s="111"/>
      <c r="AJ187" s="111"/>
      <c r="AK187" s="111"/>
      <c r="AL187" s="111"/>
      <c r="AM187" s="111">
        <v>310.08</v>
      </c>
    </row>
    <row r="188" spans="1:39" ht="15" customHeight="1" x14ac:dyDescent="0.25">
      <c r="A188" s="1409"/>
      <c r="B188" s="1409"/>
      <c r="C188" s="1409"/>
      <c r="D188" s="1409"/>
      <c r="E188" s="1247"/>
      <c r="F188" s="1248" t="s">
        <v>4399</v>
      </c>
      <c r="G188" s="111"/>
      <c r="H188" s="1249">
        <v>2</v>
      </c>
      <c r="I188" s="111" t="s">
        <v>1721</v>
      </c>
      <c r="J188" s="1321" t="s">
        <v>5608</v>
      </c>
      <c r="K188" s="162" t="s">
        <v>5610</v>
      </c>
      <c r="L188" s="162" t="s">
        <v>5609</v>
      </c>
      <c r="M188" s="111">
        <v>250</v>
      </c>
      <c r="N188" s="111">
        <v>500</v>
      </c>
      <c r="O188" s="111"/>
      <c r="P188" s="111"/>
      <c r="Q188" s="111"/>
      <c r="R188" s="111"/>
      <c r="S188" s="1249">
        <v>1</v>
      </c>
      <c r="T188" s="1250">
        <v>166.66666666666666</v>
      </c>
      <c r="U188" s="1250"/>
      <c r="V188" s="1250"/>
      <c r="W188" s="1251">
        <v>1</v>
      </c>
      <c r="X188" s="1250">
        <v>166.66666666666666</v>
      </c>
      <c r="Y188" s="1250"/>
      <c r="Z188" s="1250"/>
      <c r="AA188" s="1250"/>
      <c r="AB188" s="1250"/>
      <c r="AC188" s="1250"/>
      <c r="AD188" s="1250"/>
      <c r="AE188" s="1249">
        <v>0</v>
      </c>
      <c r="AF188" s="1250">
        <v>166.66666666666666</v>
      </c>
      <c r="AG188" s="111"/>
      <c r="AH188" s="111"/>
      <c r="AI188" s="111"/>
      <c r="AJ188" s="111"/>
      <c r="AK188" s="111"/>
      <c r="AL188" s="111"/>
      <c r="AM188" s="111">
        <v>500</v>
      </c>
    </row>
    <row r="189" spans="1:39" ht="15" customHeight="1" x14ac:dyDescent="0.25">
      <c r="A189" s="1409"/>
      <c r="B189" s="1409"/>
      <c r="C189" s="1409"/>
      <c r="D189" s="1409"/>
      <c r="E189" s="1247"/>
      <c r="F189" s="1248" t="s">
        <v>2864</v>
      </c>
      <c r="G189" s="111"/>
      <c r="H189" s="1249">
        <v>2</v>
      </c>
      <c r="I189" s="111" t="s">
        <v>1721</v>
      </c>
      <c r="J189" s="1321" t="s">
        <v>5608</v>
      </c>
      <c r="K189" s="162" t="s">
        <v>5610</v>
      </c>
      <c r="L189" s="162" t="s">
        <v>5609</v>
      </c>
      <c r="M189" s="111">
        <v>142.56</v>
      </c>
      <c r="N189" s="111">
        <v>285.12</v>
      </c>
      <c r="O189" s="111"/>
      <c r="P189" s="111"/>
      <c r="Q189" s="111"/>
      <c r="R189" s="111"/>
      <c r="S189" s="1249">
        <v>1</v>
      </c>
      <c r="T189" s="1250">
        <v>95.04</v>
      </c>
      <c r="U189" s="1250"/>
      <c r="V189" s="1250"/>
      <c r="W189" s="1251">
        <v>1</v>
      </c>
      <c r="X189" s="1250">
        <v>95.04</v>
      </c>
      <c r="Y189" s="1250"/>
      <c r="Z189" s="1250"/>
      <c r="AA189" s="1250"/>
      <c r="AB189" s="1250"/>
      <c r="AC189" s="1250"/>
      <c r="AD189" s="1250"/>
      <c r="AE189" s="1249">
        <v>0</v>
      </c>
      <c r="AF189" s="1250">
        <v>95.04</v>
      </c>
      <c r="AG189" s="111"/>
      <c r="AH189" s="111"/>
      <c r="AI189" s="111"/>
      <c r="AJ189" s="111"/>
      <c r="AK189" s="111"/>
      <c r="AL189" s="111"/>
      <c r="AM189" s="111">
        <v>285.12</v>
      </c>
    </row>
    <row r="190" spans="1:39" ht="15" customHeight="1" x14ac:dyDescent="0.25">
      <c r="A190" s="1409"/>
      <c r="B190" s="1409"/>
      <c r="C190" s="1409"/>
      <c r="D190" s="1409"/>
      <c r="E190" s="1247"/>
      <c r="F190" s="1248" t="s">
        <v>4400</v>
      </c>
      <c r="G190" s="111"/>
      <c r="H190" s="1249">
        <v>140</v>
      </c>
      <c r="I190" s="111" t="s">
        <v>1721</v>
      </c>
      <c r="J190" s="1321" t="s">
        <v>5608</v>
      </c>
      <c r="K190" s="162" t="s">
        <v>5610</v>
      </c>
      <c r="L190" s="162" t="s">
        <v>5609</v>
      </c>
      <c r="M190" s="111">
        <v>30.32</v>
      </c>
      <c r="N190" s="111">
        <v>4244.8</v>
      </c>
      <c r="O190" s="111"/>
      <c r="P190" s="111"/>
      <c r="Q190" s="111"/>
      <c r="R190" s="111"/>
      <c r="S190" s="1249">
        <v>50</v>
      </c>
      <c r="T190" s="1250">
        <v>1414.9333333333334</v>
      </c>
      <c r="U190" s="1250"/>
      <c r="V190" s="1250"/>
      <c r="W190" s="1251">
        <v>50</v>
      </c>
      <c r="X190" s="1250">
        <v>1414.9333333333334</v>
      </c>
      <c r="Y190" s="1250"/>
      <c r="Z190" s="1250"/>
      <c r="AA190" s="1250"/>
      <c r="AB190" s="1250"/>
      <c r="AC190" s="1250"/>
      <c r="AD190" s="1250"/>
      <c r="AE190" s="1249">
        <v>40</v>
      </c>
      <c r="AF190" s="1250">
        <v>1414.9333333333334</v>
      </c>
      <c r="AG190" s="111"/>
      <c r="AH190" s="111"/>
      <c r="AI190" s="111"/>
      <c r="AJ190" s="111"/>
      <c r="AK190" s="111"/>
      <c r="AL190" s="111"/>
      <c r="AM190" s="111">
        <v>4244.8</v>
      </c>
    </row>
    <row r="191" spans="1:39" ht="15" customHeight="1" x14ac:dyDescent="0.25">
      <c r="A191" s="1409"/>
      <c r="B191" s="1409"/>
      <c r="C191" s="1409"/>
      <c r="D191" s="1409"/>
      <c r="E191" s="1247"/>
      <c r="F191" s="1248" t="s">
        <v>2508</v>
      </c>
      <c r="G191" s="111"/>
      <c r="H191" s="1249">
        <v>2</v>
      </c>
      <c r="I191" s="111" t="s">
        <v>1725</v>
      </c>
      <c r="J191" s="1321" t="s">
        <v>5608</v>
      </c>
      <c r="K191" s="162" t="s">
        <v>5610</v>
      </c>
      <c r="L191" s="162" t="s">
        <v>5609</v>
      </c>
      <c r="M191" s="111">
        <v>31.01</v>
      </c>
      <c r="N191" s="111">
        <v>62.02</v>
      </c>
      <c r="O191" s="111"/>
      <c r="P191" s="111"/>
      <c r="Q191" s="111"/>
      <c r="R191" s="111"/>
      <c r="S191" s="1249">
        <v>1</v>
      </c>
      <c r="T191" s="1250">
        <v>20.673333333333336</v>
      </c>
      <c r="U191" s="1250"/>
      <c r="V191" s="1250"/>
      <c r="W191" s="1251">
        <v>1</v>
      </c>
      <c r="X191" s="1250">
        <v>20.673333333333336</v>
      </c>
      <c r="Y191" s="1250"/>
      <c r="Z191" s="1250"/>
      <c r="AA191" s="1250"/>
      <c r="AB191" s="1250"/>
      <c r="AC191" s="1250"/>
      <c r="AD191" s="1250"/>
      <c r="AE191" s="1249">
        <v>0</v>
      </c>
      <c r="AF191" s="1250">
        <v>20.673333333333336</v>
      </c>
      <c r="AG191" s="111"/>
      <c r="AH191" s="111"/>
      <c r="AI191" s="111"/>
      <c r="AJ191" s="111"/>
      <c r="AK191" s="111"/>
      <c r="AL191" s="111"/>
      <c r="AM191" s="111">
        <v>62.02</v>
      </c>
    </row>
    <row r="192" spans="1:39" ht="15" customHeight="1" x14ac:dyDescent="0.25">
      <c r="A192" s="1409"/>
      <c r="B192" s="1409"/>
      <c r="C192" s="1409"/>
      <c r="D192" s="1409"/>
      <c r="E192" s="1247"/>
      <c r="F192" s="1248" t="s">
        <v>2552</v>
      </c>
      <c r="G192" s="111"/>
      <c r="H192" s="1249">
        <v>10</v>
      </c>
      <c r="I192" s="111" t="s">
        <v>1725</v>
      </c>
      <c r="J192" s="1321" t="s">
        <v>5608</v>
      </c>
      <c r="K192" s="162" t="s">
        <v>5610</v>
      </c>
      <c r="L192" s="162" t="s">
        <v>5609</v>
      </c>
      <c r="M192" s="111">
        <v>31.01</v>
      </c>
      <c r="N192" s="111">
        <v>310.10000000000002</v>
      </c>
      <c r="O192" s="111"/>
      <c r="P192" s="111"/>
      <c r="Q192" s="111"/>
      <c r="R192" s="111"/>
      <c r="S192" s="1249">
        <v>4</v>
      </c>
      <c r="T192" s="1250">
        <v>103.36666666666667</v>
      </c>
      <c r="U192" s="1250"/>
      <c r="V192" s="1250"/>
      <c r="W192" s="1251">
        <v>4</v>
      </c>
      <c r="X192" s="1250">
        <v>103.36666666666667</v>
      </c>
      <c r="Y192" s="1250"/>
      <c r="Z192" s="1250"/>
      <c r="AA192" s="1250"/>
      <c r="AB192" s="1250"/>
      <c r="AC192" s="1250"/>
      <c r="AD192" s="1250"/>
      <c r="AE192" s="1249">
        <v>2</v>
      </c>
      <c r="AF192" s="1250">
        <v>103.36666666666667</v>
      </c>
      <c r="AG192" s="111"/>
      <c r="AH192" s="111"/>
      <c r="AI192" s="111"/>
      <c r="AJ192" s="111"/>
      <c r="AK192" s="111"/>
      <c r="AL192" s="111"/>
      <c r="AM192" s="111">
        <v>310.10000000000002</v>
      </c>
    </row>
    <row r="193" spans="1:39" ht="15" customHeight="1" x14ac:dyDescent="0.25">
      <c r="A193" s="1409"/>
      <c r="B193" s="1409"/>
      <c r="C193" s="1409"/>
      <c r="D193" s="1409"/>
      <c r="E193" s="1247"/>
      <c r="F193" s="1248" t="s">
        <v>2882</v>
      </c>
      <c r="G193" s="111"/>
      <c r="H193" s="1249">
        <v>1</v>
      </c>
      <c r="I193" s="111" t="s">
        <v>1725</v>
      </c>
      <c r="J193" s="1321" t="s">
        <v>5608</v>
      </c>
      <c r="K193" s="162" t="s">
        <v>5610</v>
      </c>
      <c r="L193" s="162" t="s">
        <v>5609</v>
      </c>
      <c r="M193" s="111">
        <v>410</v>
      </c>
      <c r="N193" s="111">
        <v>410</v>
      </c>
      <c r="O193" s="111"/>
      <c r="P193" s="111"/>
      <c r="Q193" s="111"/>
      <c r="R193" s="111"/>
      <c r="S193" s="1249">
        <v>1</v>
      </c>
      <c r="T193" s="1250">
        <v>136.66666666666666</v>
      </c>
      <c r="U193" s="1250"/>
      <c r="V193" s="1250"/>
      <c r="W193" s="1251">
        <v>0</v>
      </c>
      <c r="X193" s="1250">
        <v>136.66666666666666</v>
      </c>
      <c r="Y193" s="1250"/>
      <c r="Z193" s="1250"/>
      <c r="AA193" s="1250"/>
      <c r="AB193" s="1250"/>
      <c r="AC193" s="1250"/>
      <c r="AD193" s="1250"/>
      <c r="AE193" s="1249">
        <v>0</v>
      </c>
      <c r="AF193" s="1250">
        <v>136.66666666666666</v>
      </c>
      <c r="AG193" s="111"/>
      <c r="AH193" s="111"/>
      <c r="AI193" s="111"/>
      <c r="AJ193" s="111"/>
      <c r="AK193" s="111"/>
      <c r="AL193" s="111"/>
      <c r="AM193" s="111">
        <v>410</v>
      </c>
    </row>
    <row r="194" spans="1:39" ht="15" customHeight="1" x14ac:dyDescent="0.25">
      <c r="A194" s="1409"/>
      <c r="B194" s="1409"/>
      <c r="C194" s="1409"/>
      <c r="D194" s="1409"/>
      <c r="E194" s="1247"/>
      <c r="F194" s="1248" t="s">
        <v>2883</v>
      </c>
      <c r="G194" s="111"/>
      <c r="H194" s="1249">
        <v>1</v>
      </c>
      <c r="I194" s="111" t="s">
        <v>1725</v>
      </c>
      <c r="J194" s="1321" t="s">
        <v>5608</v>
      </c>
      <c r="K194" s="162" t="s">
        <v>5610</v>
      </c>
      <c r="L194" s="162" t="s">
        <v>5609</v>
      </c>
      <c r="M194" s="111">
        <v>470</v>
      </c>
      <c r="N194" s="111">
        <v>470</v>
      </c>
      <c r="O194" s="111"/>
      <c r="P194" s="111"/>
      <c r="Q194" s="111"/>
      <c r="R194" s="111"/>
      <c r="S194" s="1249">
        <v>1</v>
      </c>
      <c r="T194" s="1250">
        <v>156.66666666666666</v>
      </c>
      <c r="U194" s="1250"/>
      <c r="V194" s="1250"/>
      <c r="W194" s="1251">
        <v>0</v>
      </c>
      <c r="X194" s="1250">
        <v>156.66666666666666</v>
      </c>
      <c r="Y194" s="1250"/>
      <c r="Z194" s="1250"/>
      <c r="AA194" s="1250"/>
      <c r="AB194" s="1250"/>
      <c r="AC194" s="1250"/>
      <c r="AD194" s="1250"/>
      <c r="AE194" s="1249">
        <v>0</v>
      </c>
      <c r="AF194" s="1250">
        <v>156.66666666666666</v>
      </c>
      <c r="AG194" s="111"/>
      <c r="AH194" s="111"/>
      <c r="AI194" s="111"/>
      <c r="AJ194" s="111"/>
      <c r="AK194" s="111"/>
      <c r="AL194" s="111"/>
      <c r="AM194" s="111">
        <v>470</v>
      </c>
    </row>
    <row r="195" spans="1:39" ht="15" customHeight="1" x14ac:dyDescent="0.25">
      <c r="A195" s="1409"/>
      <c r="B195" s="1409"/>
      <c r="C195" s="1409"/>
      <c r="D195" s="1409"/>
      <c r="E195" s="1247"/>
      <c r="F195" s="1248" t="s">
        <v>1727</v>
      </c>
      <c r="G195" s="111"/>
      <c r="H195" s="1249">
        <v>18</v>
      </c>
      <c r="I195" s="111" t="s">
        <v>1725</v>
      </c>
      <c r="J195" s="1321" t="s">
        <v>5608</v>
      </c>
      <c r="K195" s="162" t="s">
        <v>5610</v>
      </c>
      <c r="L195" s="162" t="s">
        <v>5609</v>
      </c>
      <c r="M195" s="111">
        <v>199.4631022222222</v>
      </c>
      <c r="N195" s="111">
        <v>3590.3358399999997</v>
      </c>
      <c r="O195" s="111"/>
      <c r="P195" s="111"/>
      <c r="Q195" s="111"/>
      <c r="R195" s="111"/>
      <c r="S195" s="1249">
        <v>8</v>
      </c>
      <c r="T195" s="1250">
        <v>1196.7786133333332</v>
      </c>
      <c r="U195" s="1250"/>
      <c r="V195" s="1250"/>
      <c r="W195" s="1251">
        <v>5</v>
      </c>
      <c r="X195" s="1250">
        <v>1196.7786133333332</v>
      </c>
      <c r="Y195" s="1250"/>
      <c r="Z195" s="1250"/>
      <c r="AA195" s="1250"/>
      <c r="AB195" s="1250"/>
      <c r="AC195" s="1250"/>
      <c r="AD195" s="1250"/>
      <c r="AE195" s="1249">
        <v>5</v>
      </c>
      <c r="AF195" s="1250">
        <v>1196.7786133333332</v>
      </c>
      <c r="AG195" s="111"/>
      <c r="AH195" s="111"/>
      <c r="AI195" s="111"/>
      <c r="AJ195" s="111"/>
      <c r="AK195" s="111"/>
      <c r="AL195" s="111"/>
      <c r="AM195" s="111">
        <v>3590.3358399999997</v>
      </c>
    </row>
    <row r="196" spans="1:39" ht="15" customHeight="1" x14ac:dyDescent="0.25">
      <c r="A196" s="1409"/>
      <c r="B196" s="1409"/>
      <c r="C196" s="1409"/>
      <c r="D196" s="1409"/>
      <c r="E196" s="1247"/>
      <c r="F196" s="1248" t="s">
        <v>2001</v>
      </c>
      <c r="G196" s="111"/>
      <c r="H196" s="1249">
        <v>13</v>
      </c>
      <c r="I196" s="111" t="s">
        <v>1725</v>
      </c>
      <c r="J196" s="1321" t="s">
        <v>5608</v>
      </c>
      <c r="K196" s="162" t="s">
        <v>5610</v>
      </c>
      <c r="L196" s="162" t="s">
        <v>5609</v>
      </c>
      <c r="M196" s="111">
        <v>198.46655384615386</v>
      </c>
      <c r="N196" s="111">
        <v>2580.0652</v>
      </c>
      <c r="O196" s="111"/>
      <c r="P196" s="111"/>
      <c r="Q196" s="111"/>
      <c r="R196" s="111"/>
      <c r="S196" s="1249">
        <v>5</v>
      </c>
      <c r="T196" s="1250">
        <v>860.02173333333337</v>
      </c>
      <c r="U196" s="1250"/>
      <c r="V196" s="1250"/>
      <c r="W196" s="1251">
        <v>5</v>
      </c>
      <c r="X196" s="1250">
        <v>860.02173333333337</v>
      </c>
      <c r="Y196" s="1250"/>
      <c r="Z196" s="1250"/>
      <c r="AA196" s="1250"/>
      <c r="AB196" s="1250"/>
      <c r="AC196" s="1250"/>
      <c r="AD196" s="1250"/>
      <c r="AE196" s="1249">
        <v>3</v>
      </c>
      <c r="AF196" s="1250">
        <v>860.02173333333337</v>
      </c>
      <c r="AG196" s="111"/>
      <c r="AH196" s="111"/>
      <c r="AI196" s="111"/>
      <c r="AJ196" s="111"/>
      <c r="AK196" s="111"/>
      <c r="AL196" s="111"/>
      <c r="AM196" s="111">
        <v>2580.0652</v>
      </c>
    </row>
    <row r="197" spans="1:39" ht="15" customHeight="1" x14ac:dyDescent="0.25">
      <c r="A197" s="1409"/>
      <c r="B197" s="1409"/>
      <c r="C197" s="1409"/>
      <c r="D197" s="1409"/>
      <c r="E197" s="1247"/>
      <c r="F197" s="1248" t="s">
        <v>109</v>
      </c>
      <c r="G197" s="111"/>
      <c r="H197" s="1249">
        <v>42</v>
      </c>
      <c r="I197" s="111" t="s">
        <v>1725</v>
      </c>
      <c r="J197" s="1321" t="s">
        <v>5608</v>
      </c>
      <c r="K197" s="162" t="s">
        <v>5610</v>
      </c>
      <c r="L197" s="162" t="s">
        <v>5609</v>
      </c>
      <c r="M197" s="111">
        <v>199.57090095238095</v>
      </c>
      <c r="N197" s="111">
        <v>8381.9778399999996</v>
      </c>
      <c r="O197" s="111"/>
      <c r="P197" s="111"/>
      <c r="Q197" s="111"/>
      <c r="R197" s="111"/>
      <c r="S197" s="1249">
        <v>20</v>
      </c>
      <c r="T197" s="1250">
        <v>2793.9926133333333</v>
      </c>
      <c r="U197" s="1250"/>
      <c r="V197" s="1250"/>
      <c r="W197" s="1251">
        <v>12</v>
      </c>
      <c r="X197" s="1250">
        <v>2793.9926133333333</v>
      </c>
      <c r="Y197" s="1250"/>
      <c r="Z197" s="1250"/>
      <c r="AA197" s="1250"/>
      <c r="AB197" s="1250"/>
      <c r="AC197" s="1250"/>
      <c r="AD197" s="1250"/>
      <c r="AE197" s="1249">
        <v>10</v>
      </c>
      <c r="AF197" s="1250">
        <v>2793.9926133333333</v>
      </c>
      <c r="AG197" s="111"/>
      <c r="AH197" s="111"/>
      <c r="AI197" s="111"/>
      <c r="AJ197" s="111"/>
      <c r="AK197" s="111"/>
      <c r="AL197" s="111"/>
      <c r="AM197" s="111">
        <v>8381.9778399999996</v>
      </c>
    </row>
    <row r="198" spans="1:39" ht="15" customHeight="1" x14ac:dyDescent="0.25">
      <c r="A198" s="1409"/>
      <c r="B198" s="1409"/>
      <c r="C198" s="1409"/>
      <c r="D198" s="1409"/>
      <c r="E198" s="1247"/>
      <c r="F198" s="1248" t="s">
        <v>2884</v>
      </c>
      <c r="G198" s="111"/>
      <c r="H198" s="1249">
        <v>1</v>
      </c>
      <c r="I198" s="111" t="s">
        <v>1725</v>
      </c>
      <c r="J198" s="1321" t="s">
        <v>5608</v>
      </c>
      <c r="K198" s="162" t="s">
        <v>5610</v>
      </c>
      <c r="L198" s="162" t="s">
        <v>5609</v>
      </c>
      <c r="M198" s="111">
        <v>215</v>
      </c>
      <c r="N198" s="111">
        <v>215</v>
      </c>
      <c r="O198" s="111"/>
      <c r="P198" s="111"/>
      <c r="Q198" s="111"/>
      <c r="R198" s="111"/>
      <c r="S198" s="1249">
        <v>1</v>
      </c>
      <c r="T198" s="1250">
        <v>71.666666666666671</v>
      </c>
      <c r="U198" s="1250"/>
      <c r="V198" s="1250"/>
      <c r="W198" s="1251">
        <v>0</v>
      </c>
      <c r="X198" s="1250">
        <v>71.666666666666671</v>
      </c>
      <c r="Y198" s="1250"/>
      <c r="Z198" s="1250"/>
      <c r="AA198" s="1250"/>
      <c r="AB198" s="1250"/>
      <c r="AC198" s="1250"/>
      <c r="AD198" s="1250"/>
      <c r="AE198" s="1249">
        <v>0</v>
      </c>
      <c r="AF198" s="1250">
        <v>71.666666666666671</v>
      </c>
      <c r="AG198" s="111"/>
      <c r="AH198" s="111"/>
      <c r="AI198" s="111"/>
      <c r="AJ198" s="111"/>
      <c r="AK198" s="111"/>
      <c r="AL198" s="111"/>
      <c r="AM198" s="111">
        <v>215</v>
      </c>
    </row>
    <row r="199" spans="1:39" ht="15" customHeight="1" x14ac:dyDescent="0.25">
      <c r="A199" s="1409"/>
      <c r="B199" s="1409"/>
      <c r="C199" s="1409"/>
      <c r="D199" s="1409"/>
      <c r="E199" s="1247"/>
      <c r="F199" s="1248" t="s">
        <v>2885</v>
      </c>
      <c r="G199" s="111"/>
      <c r="H199" s="1249">
        <v>6</v>
      </c>
      <c r="I199" s="111" t="s">
        <v>1725</v>
      </c>
      <c r="J199" s="1321" t="s">
        <v>5608</v>
      </c>
      <c r="K199" s="162" t="s">
        <v>5610</v>
      </c>
      <c r="L199" s="162" t="s">
        <v>5609</v>
      </c>
      <c r="M199" s="111">
        <v>215</v>
      </c>
      <c r="N199" s="111">
        <v>1290</v>
      </c>
      <c r="O199" s="111"/>
      <c r="P199" s="111"/>
      <c r="Q199" s="111"/>
      <c r="R199" s="111"/>
      <c r="S199" s="1249">
        <v>2</v>
      </c>
      <c r="T199" s="1250">
        <v>430</v>
      </c>
      <c r="U199" s="1250"/>
      <c r="V199" s="1250"/>
      <c r="W199" s="1251">
        <v>2</v>
      </c>
      <c r="X199" s="1250">
        <v>430</v>
      </c>
      <c r="Y199" s="1250"/>
      <c r="Z199" s="1250"/>
      <c r="AA199" s="1250"/>
      <c r="AB199" s="1250"/>
      <c r="AC199" s="1250"/>
      <c r="AD199" s="1250"/>
      <c r="AE199" s="1249">
        <v>2</v>
      </c>
      <c r="AF199" s="1250">
        <v>430</v>
      </c>
      <c r="AG199" s="111"/>
      <c r="AH199" s="111"/>
      <c r="AI199" s="111"/>
      <c r="AJ199" s="111"/>
      <c r="AK199" s="111"/>
      <c r="AL199" s="111"/>
      <c r="AM199" s="111">
        <v>1290</v>
      </c>
    </row>
    <row r="200" spans="1:39" ht="15" customHeight="1" x14ac:dyDescent="0.25">
      <c r="A200" s="1409"/>
      <c r="B200" s="1409"/>
      <c r="C200" s="1409"/>
      <c r="D200" s="1409"/>
      <c r="E200" s="1247"/>
      <c r="F200" s="1248" t="s">
        <v>2636</v>
      </c>
      <c r="G200" s="111"/>
      <c r="H200" s="1249">
        <v>15</v>
      </c>
      <c r="I200" s="111" t="s">
        <v>1721</v>
      </c>
      <c r="J200" s="1321" t="s">
        <v>5608</v>
      </c>
      <c r="K200" s="162" t="s">
        <v>5610</v>
      </c>
      <c r="L200" s="162" t="s">
        <v>5609</v>
      </c>
      <c r="M200" s="111">
        <v>8.56</v>
      </c>
      <c r="N200" s="111">
        <v>128.4</v>
      </c>
      <c r="O200" s="111"/>
      <c r="P200" s="111"/>
      <c r="Q200" s="111"/>
      <c r="R200" s="111"/>
      <c r="S200" s="1249">
        <v>5</v>
      </c>
      <c r="T200" s="1250">
        <v>42.800000000000004</v>
      </c>
      <c r="U200" s="1250"/>
      <c r="V200" s="1250"/>
      <c r="W200" s="1251">
        <v>5</v>
      </c>
      <c r="X200" s="1250">
        <v>42.800000000000004</v>
      </c>
      <c r="Y200" s="1250"/>
      <c r="Z200" s="1250"/>
      <c r="AA200" s="1250"/>
      <c r="AB200" s="1250"/>
      <c r="AC200" s="1250"/>
      <c r="AD200" s="1250"/>
      <c r="AE200" s="1249">
        <v>5</v>
      </c>
      <c r="AF200" s="1250">
        <v>42.800000000000004</v>
      </c>
      <c r="AG200" s="111"/>
      <c r="AH200" s="111"/>
      <c r="AI200" s="111"/>
      <c r="AJ200" s="111"/>
      <c r="AK200" s="111"/>
      <c r="AL200" s="111"/>
      <c r="AM200" s="111">
        <v>128.4</v>
      </c>
    </row>
    <row r="201" spans="1:39" ht="15" customHeight="1" x14ac:dyDescent="0.25">
      <c r="A201" s="1409"/>
      <c r="B201" s="1409"/>
      <c r="C201" s="1409"/>
      <c r="D201" s="1409"/>
      <c r="E201" s="1247"/>
      <c r="F201" s="1248" t="s">
        <v>4314</v>
      </c>
      <c r="G201" s="111"/>
      <c r="H201" s="1249">
        <v>30</v>
      </c>
      <c r="I201" s="111" t="s">
        <v>1721</v>
      </c>
      <c r="J201" s="1321" t="s">
        <v>5608</v>
      </c>
      <c r="K201" s="162" t="s">
        <v>5610</v>
      </c>
      <c r="L201" s="162" t="s">
        <v>5609</v>
      </c>
      <c r="M201" s="111">
        <v>2.76</v>
      </c>
      <c r="N201" s="111">
        <v>82.8</v>
      </c>
      <c r="O201" s="111"/>
      <c r="P201" s="111"/>
      <c r="Q201" s="111"/>
      <c r="R201" s="111"/>
      <c r="S201" s="1249">
        <v>10</v>
      </c>
      <c r="T201" s="1250">
        <v>27.599999999999998</v>
      </c>
      <c r="U201" s="1250"/>
      <c r="V201" s="1250"/>
      <c r="W201" s="1251">
        <v>10</v>
      </c>
      <c r="X201" s="1250">
        <v>27.599999999999998</v>
      </c>
      <c r="Y201" s="1250"/>
      <c r="Z201" s="1250"/>
      <c r="AA201" s="1250"/>
      <c r="AB201" s="1250"/>
      <c r="AC201" s="1250"/>
      <c r="AD201" s="1250"/>
      <c r="AE201" s="1249">
        <v>10</v>
      </c>
      <c r="AF201" s="1250">
        <v>27.599999999999998</v>
      </c>
      <c r="AG201" s="111"/>
      <c r="AH201" s="111"/>
      <c r="AI201" s="111"/>
      <c r="AJ201" s="111"/>
      <c r="AK201" s="111"/>
      <c r="AL201" s="111"/>
      <c r="AM201" s="111">
        <v>82.8</v>
      </c>
    </row>
    <row r="202" spans="1:39" ht="15" customHeight="1" x14ac:dyDescent="0.25">
      <c r="A202" s="1409"/>
      <c r="B202" s="1409"/>
      <c r="C202" s="1409"/>
      <c r="D202" s="1409"/>
      <c r="E202" s="1247"/>
      <c r="F202" s="1248" t="s">
        <v>1769</v>
      </c>
      <c r="G202" s="111"/>
      <c r="H202" s="1249">
        <v>50</v>
      </c>
      <c r="I202" s="111" t="s">
        <v>1721</v>
      </c>
      <c r="J202" s="1321" t="s">
        <v>5608</v>
      </c>
      <c r="K202" s="162" t="s">
        <v>5610</v>
      </c>
      <c r="L202" s="162" t="s">
        <v>5609</v>
      </c>
      <c r="M202" s="111">
        <v>16.123536000000001</v>
      </c>
      <c r="N202" s="111">
        <v>806.17680000000007</v>
      </c>
      <c r="O202" s="111"/>
      <c r="P202" s="111"/>
      <c r="Q202" s="111"/>
      <c r="R202" s="111"/>
      <c r="S202" s="1249">
        <v>20</v>
      </c>
      <c r="T202" s="1250">
        <v>268.72560000000004</v>
      </c>
      <c r="U202" s="1250"/>
      <c r="V202" s="1250"/>
      <c r="W202" s="1251">
        <v>20</v>
      </c>
      <c r="X202" s="1250">
        <v>268.72560000000004</v>
      </c>
      <c r="Y202" s="1250"/>
      <c r="Z202" s="1250"/>
      <c r="AA202" s="1250"/>
      <c r="AB202" s="1250"/>
      <c r="AC202" s="1250"/>
      <c r="AD202" s="1250"/>
      <c r="AE202" s="1249">
        <v>10</v>
      </c>
      <c r="AF202" s="1250">
        <v>268.72560000000004</v>
      </c>
      <c r="AG202" s="111"/>
      <c r="AH202" s="111"/>
      <c r="AI202" s="111"/>
      <c r="AJ202" s="111"/>
      <c r="AK202" s="111"/>
      <c r="AL202" s="111"/>
      <c r="AM202" s="111">
        <v>806.17680000000007</v>
      </c>
    </row>
    <row r="203" spans="1:39" ht="15" customHeight="1" x14ac:dyDescent="0.25">
      <c r="A203" s="1409"/>
      <c r="B203" s="1409"/>
      <c r="C203" s="1409"/>
      <c r="D203" s="1409"/>
      <c r="E203" s="1247"/>
      <c r="F203" s="1248" t="s">
        <v>2500</v>
      </c>
      <c r="G203" s="111"/>
      <c r="H203" s="1249">
        <v>70</v>
      </c>
      <c r="I203" s="111" t="s">
        <v>1725</v>
      </c>
      <c r="J203" s="1321" t="s">
        <v>5608</v>
      </c>
      <c r="K203" s="162" t="s">
        <v>5610</v>
      </c>
      <c r="L203" s="162" t="s">
        <v>5609</v>
      </c>
      <c r="M203" s="111">
        <v>109.3</v>
      </c>
      <c r="N203" s="111">
        <v>7651</v>
      </c>
      <c r="O203" s="111"/>
      <c r="P203" s="111"/>
      <c r="Q203" s="111"/>
      <c r="R203" s="111"/>
      <c r="S203" s="1249">
        <v>30</v>
      </c>
      <c r="T203" s="1250">
        <v>2550.3333333333335</v>
      </c>
      <c r="U203" s="1250"/>
      <c r="V203" s="1250"/>
      <c r="W203" s="1251">
        <v>30</v>
      </c>
      <c r="X203" s="1250">
        <v>2550.3333333333335</v>
      </c>
      <c r="Y203" s="1250"/>
      <c r="Z203" s="1250"/>
      <c r="AA203" s="1250"/>
      <c r="AB203" s="1250"/>
      <c r="AC203" s="1250"/>
      <c r="AD203" s="1250"/>
      <c r="AE203" s="1249">
        <v>10</v>
      </c>
      <c r="AF203" s="1250">
        <v>2550.3333333333335</v>
      </c>
      <c r="AG203" s="111"/>
      <c r="AH203" s="111"/>
      <c r="AI203" s="111"/>
      <c r="AJ203" s="111"/>
      <c r="AK203" s="111"/>
      <c r="AL203" s="111"/>
      <c r="AM203" s="111">
        <v>7651</v>
      </c>
    </row>
    <row r="204" spans="1:39" ht="15" customHeight="1" x14ac:dyDescent="0.25">
      <c r="A204" s="1409"/>
      <c r="B204" s="1409"/>
      <c r="C204" s="1409"/>
      <c r="D204" s="1409"/>
      <c r="E204" s="1247"/>
      <c r="F204" s="1248" t="s">
        <v>2501</v>
      </c>
      <c r="G204" s="111"/>
      <c r="H204" s="1249">
        <v>50</v>
      </c>
      <c r="I204" s="111" t="s">
        <v>1725</v>
      </c>
      <c r="J204" s="1321" t="s">
        <v>5608</v>
      </c>
      <c r="K204" s="162" t="s">
        <v>5610</v>
      </c>
      <c r="L204" s="162" t="s">
        <v>5609</v>
      </c>
      <c r="M204" s="111">
        <v>171.71</v>
      </c>
      <c r="N204" s="111">
        <v>8585.5</v>
      </c>
      <c r="O204" s="111"/>
      <c r="P204" s="111"/>
      <c r="Q204" s="111"/>
      <c r="R204" s="111"/>
      <c r="S204" s="1249">
        <v>20</v>
      </c>
      <c r="T204" s="1250">
        <v>2861.8333333333335</v>
      </c>
      <c r="U204" s="1250"/>
      <c r="V204" s="1250"/>
      <c r="W204" s="1251">
        <v>20</v>
      </c>
      <c r="X204" s="1250">
        <v>2861.8333333333335</v>
      </c>
      <c r="Y204" s="1250"/>
      <c r="Z204" s="1250"/>
      <c r="AA204" s="1250"/>
      <c r="AB204" s="1250"/>
      <c r="AC204" s="1250"/>
      <c r="AD204" s="1250"/>
      <c r="AE204" s="1249">
        <v>10</v>
      </c>
      <c r="AF204" s="1250">
        <v>2861.8333333333335</v>
      </c>
      <c r="AG204" s="111"/>
      <c r="AH204" s="111"/>
      <c r="AI204" s="111"/>
      <c r="AJ204" s="111"/>
      <c r="AK204" s="111"/>
      <c r="AL204" s="111"/>
      <c r="AM204" s="111">
        <v>8585.5</v>
      </c>
    </row>
    <row r="205" spans="1:39" ht="15" customHeight="1" x14ac:dyDescent="0.25">
      <c r="A205" s="1409"/>
      <c r="B205" s="1409"/>
      <c r="C205" s="1409"/>
      <c r="D205" s="1409"/>
      <c r="E205" s="1247"/>
      <c r="F205" s="1248" t="s">
        <v>4401</v>
      </c>
      <c r="G205" s="111"/>
      <c r="H205" s="1249">
        <v>1000</v>
      </c>
      <c r="I205" s="111" t="s">
        <v>1725</v>
      </c>
      <c r="J205" s="1321" t="s">
        <v>5608</v>
      </c>
      <c r="K205" s="162" t="s">
        <v>5610</v>
      </c>
      <c r="L205" s="162" t="s">
        <v>5609</v>
      </c>
      <c r="M205" s="111">
        <v>1.6</v>
      </c>
      <c r="N205" s="111">
        <v>1600</v>
      </c>
      <c r="O205" s="111"/>
      <c r="P205" s="111"/>
      <c r="Q205" s="111"/>
      <c r="R205" s="111"/>
      <c r="S205" s="1249">
        <v>400</v>
      </c>
      <c r="T205" s="1250">
        <v>533.33333333333337</v>
      </c>
      <c r="U205" s="1250"/>
      <c r="V205" s="1250"/>
      <c r="W205" s="1251">
        <v>400</v>
      </c>
      <c r="X205" s="1250">
        <v>533.33333333333337</v>
      </c>
      <c r="Y205" s="1250"/>
      <c r="Z205" s="1250"/>
      <c r="AA205" s="1250"/>
      <c r="AB205" s="1250"/>
      <c r="AC205" s="1250"/>
      <c r="AD205" s="1250"/>
      <c r="AE205" s="1249">
        <v>200</v>
      </c>
      <c r="AF205" s="1250">
        <v>533.33333333333337</v>
      </c>
      <c r="AG205" s="111"/>
      <c r="AH205" s="111"/>
      <c r="AI205" s="111"/>
      <c r="AJ205" s="111"/>
      <c r="AK205" s="111"/>
      <c r="AL205" s="111"/>
      <c r="AM205" s="111">
        <v>1600</v>
      </c>
    </row>
    <row r="206" spans="1:39" ht="15" customHeight="1" x14ac:dyDescent="0.25">
      <c r="A206" s="1409"/>
      <c r="B206" s="1409"/>
      <c r="C206" s="1409"/>
      <c r="D206" s="1409"/>
      <c r="E206" s="1247"/>
      <c r="F206" s="1248" t="s">
        <v>2550</v>
      </c>
      <c r="G206" s="111"/>
      <c r="H206" s="1249">
        <v>6</v>
      </c>
      <c r="I206" s="111" t="s">
        <v>1725</v>
      </c>
      <c r="J206" s="1321" t="s">
        <v>5608</v>
      </c>
      <c r="K206" s="162" t="s">
        <v>5610</v>
      </c>
      <c r="L206" s="162" t="s">
        <v>5609</v>
      </c>
      <c r="M206" s="111">
        <v>413.42066666666665</v>
      </c>
      <c r="N206" s="111">
        <v>2480.5239999999999</v>
      </c>
      <c r="O206" s="111"/>
      <c r="P206" s="111"/>
      <c r="Q206" s="111"/>
      <c r="R206" s="111"/>
      <c r="S206" s="1249">
        <v>2</v>
      </c>
      <c r="T206" s="1250">
        <v>826.8413333333333</v>
      </c>
      <c r="U206" s="1250"/>
      <c r="V206" s="1250"/>
      <c r="W206" s="1251">
        <v>2</v>
      </c>
      <c r="X206" s="1250">
        <v>826.8413333333333</v>
      </c>
      <c r="Y206" s="1250"/>
      <c r="Z206" s="1250"/>
      <c r="AA206" s="1250"/>
      <c r="AB206" s="1250"/>
      <c r="AC206" s="1250"/>
      <c r="AD206" s="1250"/>
      <c r="AE206" s="1249">
        <v>2</v>
      </c>
      <c r="AF206" s="1250">
        <v>826.8413333333333</v>
      </c>
      <c r="AG206" s="111"/>
      <c r="AH206" s="111"/>
      <c r="AI206" s="111"/>
      <c r="AJ206" s="111"/>
      <c r="AK206" s="111"/>
      <c r="AL206" s="111"/>
      <c r="AM206" s="111">
        <v>2480.5239999999999</v>
      </c>
    </row>
    <row r="207" spans="1:39" ht="15" customHeight="1" x14ac:dyDescent="0.25">
      <c r="A207" s="1409"/>
      <c r="B207" s="1409"/>
      <c r="C207" s="1409"/>
      <c r="D207" s="1409"/>
      <c r="E207" s="1247"/>
      <c r="F207" s="1248" t="s">
        <v>2888</v>
      </c>
      <c r="G207" s="111"/>
      <c r="H207" s="1249">
        <v>1</v>
      </c>
      <c r="I207" s="111" t="s">
        <v>1725</v>
      </c>
      <c r="J207" s="1321" t="s">
        <v>5608</v>
      </c>
      <c r="K207" s="162" t="s">
        <v>5610</v>
      </c>
      <c r="L207" s="162" t="s">
        <v>5609</v>
      </c>
      <c r="M207" s="111">
        <v>52.84</v>
      </c>
      <c r="N207" s="111">
        <v>52.84</v>
      </c>
      <c r="O207" s="111"/>
      <c r="P207" s="111"/>
      <c r="Q207" s="111"/>
      <c r="R207" s="111"/>
      <c r="S207" s="1249">
        <v>1</v>
      </c>
      <c r="T207" s="1250">
        <v>17.613333333333333</v>
      </c>
      <c r="U207" s="1250"/>
      <c r="V207" s="1250"/>
      <c r="W207" s="1251">
        <v>0</v>
      </c>
      <c r="X207" s="1250">
        <v>17.613333333333333</v>
      </c>
      <c r="Y207" s="1250"/>
      <c r="Z207" s="1250"/>
      <c r="AA207" s="1250"/>
      <c r="AB207" s="1250"/>
      <c r="AC207" s="1250"/>
      <c r="AD207" s="1250"/>
      <c r="AE207" s="1249">
        <v>0</v>
      </c>
      <c r="AF207" s="1250">
        <v>17.613333333333333</v>
      </c>
      <c r="AG207" s="111"/>
      <c r="AH207" s="111"/>
      <c r="AI207" s="111"/>
      <c r="AJ207" s="111"/>
      <c r="AK207" s="111"/>
      <c r="AL207" s="111"/>
      <c r="AM207" s="111">
        <v>52.84</v>
      </c>
    </row>
    <row r="208" spans="1:39" ht="15" customHeight="1" x14ac:dyDescent="0.25">
      <c r="A208" s="1409"/>
      <c r="B208" s="1409"/>
      <c r="C208" s="1409"/>
      <c r="D208" s="1409"/>
      <c r="E208" s="1247"/>
      <c r="F208" s="1248" t="s">
        <v>2889</v>
      </c>
      <c r="G208" s="111"/>
      <c r="H208" s="1249">
        <v>1</v>
      </c>
      <c r="I208" s="111" t="s">
        <v>1725</v>
      </c>
      <c r="J208" s="1321" t="s">
        <v>5608</v>
      </c>
      <c r="K208" s="162" t="s">
        <v>5610</v>
      </c>
      <c r="L208" s="162" t="s">
        <v>5609</v>
      </c>
      <c r="M208" s="111">
        <v>52.84</v>
      </c>
      <c r="N208" s="111">
        <v>52.84</v>
      </c>
      <c r="O208" s="111"/>
      <c r="P208" s="111"/>
      <c r="Q208" s="111"/>
      <c r="R208" s="111"/>
      <c r="S208" s="1249">
        <v>1</v>
      </c>
      <c r="T208" s="1250">
        <v>17.613333333333333</v>
      </c>
      <c r="U208" s="1250"/>
      <c r="V208" s="1250"/>
      <c r="W208" s="1251">
        <v>0</v>
      </c>
      <c r="X208" s="1250">
        <v>17.613333333333333</v>
      </c>
      <c r="Y208" s="1250"/>
      <c r="Z208" s="1250"/>
      <c r="AA208" s="1250"/>
      <c r="AB208" s="1250"/>
      <c r="AC208" s="1250"/>
      <c r="AD208" s="1250"/>
      <c r="AE208" s="1249">
        <v>0</v>
      </c>
      <c r="AF208" s="1250">
        <v>17.613333333333333</v>
      </c>
      <c r="AG208" s="111"/>
      <c r="AH208" s="111"/>
      <c r="AI208" s="111"/>
      <c r="AJ208" s="111"/>
      <c r="AK208" s="111"/>
      <c r="AL208" s="111"/>
      <c r="AM208" s="111">
        <v>52.84</v>
      </c>
    </row>
    <row r="209" spans="1:39" ht="15" customHeight="1" x14ac:dyDescent="0.25">
      <c r="A209" s="1409"/>
      <c r="B209" s="1409"/>
      <c r="C209" s="1409"/>
      <c r="D209" s="1409"/>
      <c r="E209" s="1247"/>
      <c r="F209" s="1248" t="s">
        <v>2890</v>
      </c>
      <c r="G209" s="111"/>
      <c r="H209" s="1249">
        <v>1</v>
      </c>
      <c r="I209" s="111" t="s">
        <v>1725</v>
      </c>
      <c r="J209" s="1321" t="s">
        <v>5608</v>
      </c>
      <c r="K209" s="162" t="s">
        <v>5610</v>
      </c>
      <c r="L209" s="162" t="s">
        <v>5609</v>
      </c>
      <c r="M209" s="111">
        <v>52.84</v>
      </c>
      <c r="N209" s="111">
        <v>52.84</v>
      </c>
      <c r="O209" s="111"/>
      <c r="P209" s="111"/>
      <c r="Q209" s="111"/>
      <c r="R209" s="111"/>
      <c r="S209" s="1249">
        <v>1</v>
      </c>
      <c r="T209" s="1250">
        <v>17.613333333333333</v>
      </c>
      <c r="U209" s="1250"/>
      <c r="V209" s="1250"/>
      <c r="W209" s="1251">
        <v>0</v>
      </c>
      <c r="X209" s="1250">
        <v>17.613333333333333</v>
      </c>
      <c r="Y209" s="1250"/>
      <c r="Z209" s="1250"/>
      <c r="AA209" s="1250"/>
      <c r="AB209" s="1250"/>
      <c r="AC209" s="1250"/>
      <c r="AD209" s="1250"/>
      <c r="AE209" s="1249">
        <v>0</v>
      </c>
      <c r="AF209" s="1250">
        <v>17.613333333333333</v>
      </c>
      <c r="AG209" s="111"/>
      <c r="AH209" s="111"/>
      <c r="AI209" s="111"/>
      <c r="AJ209" s="111"/>
      <c r="AK209" s="111"/>
      <c r="AL209" s="111"/>
      <c r="AM209" s="111">
        <v>52.84</v>
      </c>
    </row>
    <row r="210" spans="1:39" ht="15" customHeight="1" x14ac:dyDescent="0.25">
      <c r="A210" s="1409"/>
      <c r="B210" s="1409"/>
      <c r="C210" s="1409"/>
      <c r="D210" s="1409"/>
      <c r="E210" s="1247"/>
      <c r="F210" s="1248" t="s">
        <v>110</v>
      </c>
      <c r="G210" s="111"/>
      <c r="H210" s="1249">
        <v>34</v>
      </c>
      <c r="I210" s="111" t="s">
        <v>1725</v>
      </c>
      <c r="J210" s="1321" t="s">
        <v>5608</v>
      </c>
      <c r="K210" s="162" t="s">
        <v>5610</v>
      </c>
      <c r="L210" s="162" t="s">
        <v>5609</v>
      </c>
      <c r="M210" s="111">
        <v>89.417011764705876</v>
      </c>
      <c r="N210" s="111">
        <v>3040.1783999999998</v>
      </c>
      <c r="O210" s="111"/>
      <c r="P210" s="111"/>
      <c r="Q210" s="111"/>
      <c r="R210" s="111"/>
      <c r="S210" s="1249">
        <v>14</v>
      </c>
      <c r="T210" s="1250">
        <v>1013.3928</v>
      </c>
      <c r="U210" s="1250"/>
      <c r="V210" s="1250"/>
      <c r="W210" s="1251">
        <v>10</v>
      </c>
      <c r="X210" s="1250">
        <v>1013.3928</v>
      </c>
      <c r="Y210" s="1250"/>
      <c r="Z210" s="1250"/>
      <c r="AA210" s="1250"/>
      <c r="AB210" s="1250"/>
      <c r="AC210" s="1250"/>
      <c r="AD210" s="1250"/>
      <c r="AE210" s="1249">
        <v>10</v>
      </c>
      <c r="AF210" s="1250">
        <v>1013.3928</v>
      </c>
      <c r="AG210" s="111"/>
      <c r="AH210" s="111"/>
      <c r="AI210" s="111"/>
      <c r="AJ210" s="111"/>
      <c r="AK210" s="111"/>
      <c r="AL210" s="111"/>
      <c r="AM210" s="111">
        <v>3040.1783999999998</v>
      </c>
    </row>
    <row r="211" spans="1:39" ht="15" customHeight="1" x14ac:dyDescent="0.25">
      <c r="A211" s="1409"/>
      <c r="B211" s="1409"/>
      <c r="C211" s="1409"/>
      <c r="D211" s="1409"/>
      <c r="E211" s="1247"/>
      <c r="F211" s="1248" t="s">
        <v>111</v>
      </c>
      <c r="G211" s="111"/>
      <c r="H211" s="1249">
        <v>42</v>
      </c>
      <c r="I211" s="111" t="s">
        <v>1725</v>
      </c>
      <c r="J211" s="1321" t="s">
        <v>5608</v>
      </c>
      <c r="K211" s="162" t="s">
        <v>5610</v>
      </c>
      <c r="L211" s="162" t="s">
        <v>5609</v>
      </c>
      <c r="M211" s="111">
        <v>126.12714285714289</v>
      </c>
      <c r="N211" s="111">
        <v>5297.3400000000011</v>
      </c>
      <c r="O211" s="111"/>
      <c r="P211" s="111"/>
      <c r="Q211" s="111"/>
      <c r="R211" s="111"/>
      <c r="S211" s="1249">
        <v>20</v>
      </c>
      <c r="T211" s="1250">
        <v>1765.7800000000004</v>
      </c>
      <c r="U211" s="1250"/>
      <c r="V211" s="1250"/>
      <c r="W211" s="1251">
        <v>12</v>
      </c>
      <c r="X211" s="1250">
        <v>1765.7800000000004</v>
      </c>
      <c r="Y211" s="1250"/>
      <c r="Z211" s="1250"/>
      <c r="AA211" s="1250"/>
      <c r="AB211" s="1250"/>
      <c r="AC211" s="1250"/>
      <c r="AD211" s="1250"/>
      <c r="AE211" s="1249">
        <v>10</v>
      </c>
      <c r="AF211" s="1250">
        <v>1765.7800000000004</v>
      </c>
      <c r="AG211" s="111"/>
      <c r="AH211" s="111"/>
      <c r="AI211" s="111"/>
      <c r="AJ211" s="111"/>
      <c r="AK211" s="111"/>
      <c r="AL211" s="111"/>
      <c r="AM211" s="111">
        <v>5297.3400000000011</v>
      </c>
    </row>
    <row r="212" spans="1:39" ht="15" customHeight="1" x14ac:dyDescent="0.25">
      <c r="A212" s="1409"/>
      <c r="B212" s="1409"/>
      <c r="C212" s="1409"/>
      <c r="D212" s="1409"/>
      <c r="E212" s="1247"/>
      <c r="F212" s="1248" t="s">
        <v>2891</v>
      </c>
      <c r="G212" s="111"/>
      <c r="H212" s="1249">
        <v>1</v>
      </c>
      <c r="I212" s="111" t="s">
        <v>1721</v>
      </c>
      <c r="J212" s="1321" t="s">
        <v>5608</v>
      </c>
      <c r="K212" s="162" t="s">
        <v>5610</v>
      </c>
      <c r="L212" s="162" t="s">
        <v>5609</v>
      </c>
      <c r="M212" s="111">
        <v>291</v>
      </c>
      <c r="N212" s="111">
        <v>291</v>
      </c>
      <c r="O212" s="111"/>
      <c r="P212" s="111"/>
      <c r="Q212" s="111"/>
      <c r="R212" s="111"/>
      <c r="S212" s="1249">
        <v>1</v>
      </c>
      <c r="T212" s="1250">
        <v>97</v>
      </c>
      <c r="U212" s="1250"/>
      <c r="V212" s="1250"/>
      <c r="W212" s="1251">
        <v>0</v>
      </c>
      <c r="X212" s="1250">
        <v>97</v>
      </c>
      <c r="Y212" s="1250"/>
      <c r="Z212" s="1250"/>
      <c r="AA212" s="1250"/>
      <c r="AB212" s="1250"/>
      <c r="AC212" s="1250"/>
      <c r="AD212" s="1250"/>
      <c r="AE212" s="1249">
        <v>0</v>
      </c>
      <c r="AF212" s="1250">
        <v>97</v>
      </c>
      <c r="AG212" s="111"/>
      <c r="AH212" s="111"/>
      <c r="AI212" s="111"/>
      <c r="AJ212" s="111"/>
      <c r="AK212" s="111"/>
      <c r="AL212" s="111"/>
      <c r="AM212" s="111">
        <v>291</v>
      </c>
    </row>
    <row r="213" spans="1:39" ht="15" customHeight="1" x14ac:dyDescent="0.25">
      <c r="A213" s="1409"/>
      <c r="B213" s="1409"/>
      <c r="C213" s="1409"/>
      <c r="D213" s="1409"/>
      <c r="E213" s="1247"/>
      <c r="F213" s="1248" t="s">
        <v>3545</v>
      </c>
      <c r="G213" s="111"/>
      <c r="H213" s="1249">
        <v>10</v>
      </c>
      <c r="I213" s="111" t="s">
        <v>1873</v>
      </c>
      <c r="J213" s="1321" t="s">
        <v>5608</v>
      </c>
      <c r="K213" s="162" t="s">
        <v>5610</v>
      </c>
      <c r="L213" s="162" t="s">
        <v>5609</v>
      </c>
      <c r="M213" s="111">
        <v>24.116399999999999</v>
      </c>
      <c r="N213" s="111">
        <v>241.16399999999999</v>
      </c>
      <c r="O213" s="111"/>
      <c r="P213" s="111"/>
      <c r="Q213" s="111"/>
      <c r="R213" s="111"/>
      <c r="S213" s="1249">
        <v>4</v>
      </c>
      <c r="T213" s="1250">
        <v>80.387999999999991</v>
      </c>
      <c r="U213" s="1250"/>
      <c r="V213" s="1250"/>
      <c r="W213" s="1251">
        <v>4</v>
      </c>
      <c r="X213" s="1250">
        <v>80.387999999999991</v>
      </c>
      <c r="Y213" s="1250"/>
      <c r="Z213" s="1250"/>
      <c r="AA213" s="1250"/>
      <c r="AB213" s="1250"/>
      <c r="AC213" s="1250"/>
      <c r="AD213" s="1250"/>
      <c r="AE213" s="1249">
        <v>2</v>
      </c>
      <c r="AF213" s="1250">
        <v>80.387999999999991</v>
      </c>
      <c r="AG213" s="111"/>
      <c r="AH213" s="111"/>
      <c r="AI213" s="111"/>
      <c r="AJ213" s="111"/>
      <c r="AK213" s="111"/>
      <c r="AL213" s="111"/>
      <c r="AM213" s="111">
        <v>241.16399999999999</v>
      </c>
    </row>
    <row r="214" spans="1:39" ht="15" customHeight="1" x14ac:dyDescent="0.25">
      <c r="A214" s="1409"/>
      <c r="B214" s="1409"/>
      <c r="C214" s="1409"/>
      <c r="D214" s="1409"/>
      <c r="E214" s="1247"/>
      <c r="F214" s="1248" t="s">
        <v>114</v>
      </c>
      <c r="G214" s="111"/>
      <c r="H214" s="1249">
        <v>6</v>
      </c>
      <c r="I214" s="111" t="s">
        <v>1873</v>
      </c>
      <c r="J214" s="1321" t="s">
        <v>5608</v>
      </c>
      <c r="K214" s="162" t="s">
        <v>5610</v>
      </c>
      <c r="L214" s="162" t="s">
        <v>5609</v>
      </c>
      <c r="M214" s="111">
        <v>16.657599999999999</v>
      </c>
      <c r="N214" s="111">
        <v>99.945599999999985</v>
      </c>
      <c r="O214" s="111"/>
      <c r="P214" s="111"/>
      <c r="Q214" s="111"/>
      <c r="R214" s="111"/>
      <c r="S214" s="1249">
        <v>2</v>
      </c>
      <c r="T214" s="1250">
        <v>33.315199999999997</v>
      </c>
      <c r="U214" s="1250"/>
      <c r="V214" s="1250"/>
      <c r="W214" s="1251">
        <v>2</v>
      </c>
      <c r="X214" s="1250">
        <v>33.315199999999997</v>
      </c>
      <c r="Y214" s="1250"/>
      <c r="Z214" s="1250"/>
      <c r="AA214" s="1250"/>
      <c r="AB214" s="1250"/>
      <c r="AC214" s="1250"/>
      <c r="AD214" s="1250"/>
      <c r="AE214" s="1249">
        <v>2</v>
      </c>
      <c r="AF214" s="1250">
        <v>33.315199999999997</v>
      </c>
      <c r="AG214" s="111"/>
      <c r="AH214" s="111"/>
      <c r="AI214" s="111"/>
      <c r="AJ214" s="111"/>
      <c r="AK214" s="111"/>
      <c r="AL214" s="111"/>
      <c r="AM214" s="111">
        <v>99.945599999999985</v>
      </c>
    </row>
    <row r="215" spans="1:39" ht="15" customHeight="1" x14ac:dyDescent="0.25">
      <c r="A215" s="1409"/>
      <c r="B215" s="1409"/>
      <c r="C215" s="1409"/>
      <c r="D215" s="1409"/>
      <c r="E215" s="1247"/>
      <c r="F215" s="1248" t="s">
        <v>115</v>
      </c>
      <c r="G215" s="111"/>
      <c r="H215" s="1249">
        <v>10</v>
      </c>
      <c r="I215" s="111" t="s">
        <v>1725</v>
      </c>
      <c r="J215" s="1321" t="s">
        <v>5608</v>
      </c>
      <c r="K215" s="162" t="s">
        <v>5610</v>
      </c>
      <c r="L215" s="162" t="s">
        <v>5609</v>
      </c>
      <c r="M215" s="111">
        <v>28.940000000000005</v>
      </c>
      <c r="N215" s="111">
        <v>289.40000000000003</v>
      </c>
      <c r="O215" s="111"/>
      <c r="P215" s="111"/>
      <c r="Q215" s="111"/>
      <c r="R215" s="111"/>
      <c r="S215" s="1249">
        <v>4</v>
      </c>
      <c r="T215" s="1250">
        <v>96.466666666666683</v>
      </c>
      <c r="U215" s="1250"/>
      <c r="V215" s="1250"/>
      <c r="W215" s="1251">
        <v>4</v>
      </c>
      <c r="X215" s="1250">
        <v>96.466666666666683</v>
      </c>
      <c r="Y215" s="1250"/>
      <c r="Z215" s="1250"/>
      <c r="AA215" s="1250"/>
      <c r="AB215" s="1250"/>
      <c r="AC215" s="1250"/>
      <c r="AD215" s="1250"/>
      <c r="AE215" s="1249">
        <v>2</v>
      </c>
      <c r="AF215" s="1250">
        <v>96.466666666666683</v>
      </c>
      <c r="AG215" s="111"/>
      <c r="AH215" s="111"/>
      <c r="AI215" s="111"/>
      <c r="AJ215" s="111"/>
      <c r="AK215" s="111"/>
      <c r="AL215" s="111"/>
      <c r="AM215" s="111">
        <v>289.40000000000003</v>
      </c>
    </row>
    <row r="216" spans="1:39" ht="15" customHeight="1" x14ac:dyDescent="0.25">
      <c r="A216" s="1409"/>
      <c r="B216" s="1409"/>
      <c r="C216" s="1409"/>
      <c r="D216" s="1409"/>
      <c r="E216" s="1247"/>
      <c r="F216" s="1248" t="s">
        <v>116</v>
      </c>
      <c r="G216" s="111"/>
      <c r="H216" s="1249">
        <v>82</v>
      </c>
      <c r="I216" s="111" t="s">
        <v>1725</v>
      </c>
      <c r="J216" s="1321" t="s">
        <v>5608</v>
      </c>
      <c r="K216" s="162" t="s">
        <v>5610</v>
      </c>
      <c r="L216" s="162" t="s">
        <v>5609</v>
      </c>
      <c r="M216" s="111">
        <v>49.208309268292687</v>
      </c>
      <c r="N216" s="111">
        <v>4035.0813600000006</v>
      </c>
      <c r="O216" s="111"/>
      <c r="P216" s="111"/>
      <c r="Q216" s="111"/>
      <c r="R216" s="111"/>
      <c r="S216" s="1249">
        <v>40</v>
      </c>
      <c r="T216" s="1250">
        <v>1345.02712</v>
      </c>
      <c r="U216" s="1250"/>
      <c r="V216" s="1250"/>
      <c r="W216" s="1251">
        <v>32</v>
      </c>
      <c r="X216" s="1250">
        <v>1345.02712</v>
      </c>
      <c r="Y216" s="1250"/>
      <c r="Z216" s="1250"/>
      <c r="AA216" s="1250"/>
      <c r="AB216" s="1250"/>
      <c r="AC216" s="1250"/>
      <c r="AD216" s="1250"/>
      <c r="AE216" s="1249">
        <v>10</v>
      </c>
      <c r="AF216" s="1250">
        <v>1345.02712</v>
      </c>
      <c r="AG216" s="111"/>
      <c r="AH216" s="111"/>
      <c r="AI216" s="111"/>
      <c r="AJ216" s="111"/>
      <c r="AK216" s="111"/>
      <c r="AL216" s="111"/>
      <c r="AM216" s="111">
        <v>4035.0813600000001</v>
      </c>
    </row>
    <row r="217" spans="1:39" ht="15" customHeight="1" x14ac:dyDescent="0.25">
      <c r="A217" s="1409"/>
      <c r="B217" s="1409"/>
      <c r="C217" s="1409"/>
      <c r="D217" s="1409"/>
      <c r="E217" s="1247"/>
      <c r="F217" s="1248" t="s">
        <v>2892</v>
      </c>
      <c r="G217" s="111"/>
      <c r="H217" s="1249">
        <v>1</v>
      </c>
      <c r="I217" s="111" t="s">
        <v>1725</v>
      </c>
      <c r="J217" s="1321" t="s">
        <v>5608</v>
      </c>
      <c r="K217" s="162" t="s">
        <v>5610</v>
      </c>
      <c r="L217" s="162" t="s">
        <v>5609</v>
      </c>
      <c r="M217" s="111">
        <v>25</v>
      </c>
      <c r="N217" s="111">
        <v>25</v>
      </c>
      <c r="O217" s="111"/>
      <c r="P217" s="111"/>
      <c r="Q217" s="111"/>
      <c r="R217" s="111"/>
      <c r="S217" s="1249">
        <v>1</v>
      </c>
      <c r="T217" s="1250">
        <v>8.3333333333333339</v>
      </c>
      <c r="U217" s="1250"/>
      <c r="V217" s="1250"/>
      <c r="W217" s="1251">
        <v>0</v>
      </c>
      <c r="X217" s="1250">
        <v>8.3333333333333339</v>
      </c>
      <c r="Y217" s="1250"/>
      <c r="Z217" s="1250"/>
      <c r="AA217" s="1250"/>
      <c r="AB217" s="1250"/>
      <c r="AC217" s="1250"/>
      <c r="AD217" s="1250"/>
      <c r="AE217" s="1249">
        <v>0</v>
      </c>
      <c r="AF217" s="1250">
        <v>8.3333333333333339</v>
      </c>
      <c r="AG217" s="111"/>
      <c r="AH217" s="111"/>
      <c r="AI217" s="111"/>
      <c r="AJ217" s="111"/>
      <c r="AK217" s="111"/>
      <c r="AL217" s="111"/>
      <c r="AM217" s="111">
        <v>25</v>
      </c>
    </row>
    <row r="218" spans="1:39" ht="15" customHeight="1" x14ac:dyDescent="0.25">
      <c r="A218" s="1409"/>
      <c r="B218" s="1409"/>
      <c r="C218" s="1409"/>
      <c r="D218" s="1409"/>
      <c r="E218" s="1247"/>
      <c r="F218" s="1248" t="s">
        <v>4402</v>
      </c>
      <c r="G218" s="111"/>
      <c r="H218" s="1249">
        <v>1</v>
      </c>
      <c r="I218" s="111" t="s">
        <v>4403</v>
      </c>
      <c r="J218" s="1321" t="s">
        <v>5608</v>
      </c>
      <c r="K218" s="162" t="s">
        <v>5610</v>
      </c>
      <c r="L218" s="162" t="s">
        <v>5609</v>
      </c>
      <c r="M218" s="111">
        <v>40.29</v>
      </c>
      <c r="N218" s="111">
        <v>40.29</v>
      </c>
      <c r="O218" s="111"/>
      <c r="P218" s="111"/>
      <c r="Q218" s="111"/>
      <c r="R218" s="111"/>
      <c r="S218" s="1249">
        <v>1</v>
      </c>
      <c r="T218" s="1250">
        <v>13.43</v>
      </c>
      <c r="U218" s="1250"/>
      <c r="V218" s="1250"/>
      <c r="W218" s="1251">
        <v>0</v>
      </c>
      <c r="X218" s="1250">
        <v>13.43</v>
      </c>
      <c r="Y218" s="1250"/>
      <c r="Z218" s="1250"/>
      <c r="AA218" s="1250"/>
      <c r="AB218" s="1250"/>
      <c r="AC218" s="1250"/>
      <c r="AD218" s="1250"/>
      <c r="AE218" s="1249">
        <v>0</v>
      </c>
      <c r="AF218" s="1250">
        <v>13.43</v>
      </c>
      <c r="AG218" s="111"/>
      <c r="AH218" s="111"/>
      <c r="AI218" s="111"/>
      <c r="AJ218" s="111"/>
      <c r="AK218" s="111"/>
      <c r="AL218" s="111"/>
      <c r="AM218" s="111">
        <v>40.29</v>
      </c>
    </row>
    <row r="219" spans="1:39" ht="15" customHeight="1" x14ac:dyDescent="0.25">
      <c r="A219" s="1409"/>
      <c r="B219" s="1409"/>
      <c r="C219" s="1409"/>
      <c r="D219" s="1409"/>
      <c r="E219" s="1247"/>
      <c r="F219" s="1248" t="s">
        <v>1138</v>
      </c>
      <c r="G219" s="111"/>
      <c r="H219" s="1249">
        <v>25400</v>
      </c>
      <c r="I219" s="111" t="s">
        <v>2238</v>
      </c>
      <c r="J219" s="1321" t="s">
        <v>5608</v>
      </c>
      <c r="K219" s="162" t="s">
        <v>5610</v>
      </c>
      <c r="L219" s="162" t="s">
        <v>5609</v>
      </c>
      <c r="M219" s="111">
        <v>4.5152042834645671</v>
      </c>
      <c r="N219" s="111">
        <v>114686.1888</v>
      </c>
      <c r="O219" s="111"/>
      <c r="P219" s="111"/>
      <c r="Q219" s="111"/>
      <c r="R219" s="111"/>
      <c r="S219" s="1249">
        <v>6350</v>
      </c>
      <c r="T219" s="1250">
        <v>38228.729599999999</v>
      </c>
      <c r="U219" s="1250"/>
      <c r="V219" s="1250"/>
      <c r="W219" s="1251">
        <v>6350</v>
      </c>
      <c r="X219" s="1250">
        <v>38228.729599999999</v>
      </c>
      <c r="Y219" s="1250"/>
      <c r="Z219" s="1250"/>
      <c r="AA219" s="1250"/>
      <c r="AB219" s="1250"/>
      <c r="AC219" s="1250"/>
      <c r="AD219" s="1250"/>
      <c r="AE219" s="1249">
        <v>12700</v>
      </c>
      <c r="AF219" s="1250">
        <v>38228.729599999999</v>
      </c>
      <c r="AG219" s="111"/>
      <c r="AH219" s="111"/>
      <c r="AI219" s="111"/>
      <c r="AJ219" s="111"/>
      <c r="AK219" s="111"/>
      <c r="AL219" s="111"/>
      <c r="AM219" s="111">
        <v>114686.1888</v>
      </c>
    </row>
    <row r="220" spans="1:39" ht="15" customHeight="1" x14ac:dyDescent="0.25">
      <c r="A220" s="1409"/>
      <c r="B220" s="1409"/>
      <c r="C220" s="1409"/>
      <c r="D220" s="1409"/>
      <c r="E220" s="1247"/>
      <c r="F220" s="1248" t="s">
        <v>2542</v>
      </c>
      <c r="G220" s="111"/>
      <c r="H220" s="1249">
        <v>100</v>
      </c>
      <c r="I220" s="111" t="s">
        <v>2238</v>
      </c>
      <c r="J220" s="1321" t="s">
        <v>5608</v>
      </c>
      <c r="K220" s="162" t="s">
        <v>5610</v>
      </c>
      <c r="L220" s="162" t="s">
        <v>5609</v>
      </c>
      <c r="M220" s="111">
        <v>4.67</v>
      </c>
      <c r="N220" s="111">
        <v>467</v>
      </c>
      <c r="O220" s="111"/>
      <c r="P220" s="111"/>
      <c r="Q220" s="111"/>
      <c r="R220" s="111"/>
      <c r="S220" s="1249">
        <v>40</v>
      </c>
      <c r="T220" s="1250">
        <v>155.66666666666666</v>
      </c>
      <c r="U220" s="1250"/>
      <c r="V220" s="1250"/>
      <c r="W220" s="1251">
        <v>40</v>
      </c>
      <c r="X220" s="1250">
        <v>155.66666666666666</v>
      </c>
      <c r="Y220" s="1250"/>
      <c r="Z220" s="1250"/>
      <c r="AA220" s="1250"/>
      <c r="AB220" s="1250"/>
      <c r="AC220" s="1250"/>
      <c r="AD220" s="1250"/>
      <c r="AE220" s="1249">
        <v>20</v>
      </c>
      <c r="AF220" s="1250">
        <v>155.66666666666666</v>
      </c>
      <c r="AG220" s="111"/>
      <c r="AH220" s="111"/>
      <c r="AI220" s="111"/>
      <c r="AJ220" s="111"/>
      <c r="AK220" s="111"/>
      <c r="AL220" s="111"/>
      <c r="AM220" s="111">
        <v>467</v>
      </c>
    </row>
    <row r="221" spans="1:39" ht="15" customHeight="1" x14ac:dyDescent="0.25">
      <c r="A221" s="1409"/>
      <c r="B221" s="1409"/>
      <c r="C221" s="1409"/>
      <c r="D221" s="1409"/>
      <c r="E221" s="1247"/>
      <c r="F221" s="1248" t="s">
        <v>2543</v>
      </c>
      <c r="G221" s="111"/>
      <c r="H221" s="1249">
        <v>100</v>
      </c>
      <c r="I221" s="111" t="s">
        <v>2238</v>
      </c>
      <c r="J221" s="1321" t="s">
        <v>5608</v>
      </c>
      <c r="K221" s="162" t="s">
        <v>5610</v>
      </c>
      <c r="L221" s="162" t="s">
        <v>5609</v>
      </c>
      <c r="M221" s="111">
        <v>4.67</v>
      </c>
      <c r="N221" s="111">
        <v>467</v>
      </c>
      <c r="O221" s="111"/>
      <c r="P221" s="111"/>
      <c r="Q221" s="111"/>
      <c r="R221" s="111"/>
      <c r="S221" s="1249">
        <v>40</v>
      </c>
      <c r="T221" s="1250">
        <v>155.66666666666666</v>
      </c>
      <c r="U221" s="1250"/>
      <c r="V221" s="1250"/>
      <c r="W221" s="1251">
        <v>40</v>
      </c>
      <c r="X221" s="1250">
        <v>155.66666666666666</v>
      </c>
      <c r="Y221" s="1250"/>
      <c r="Z221" s="1250"/>
      <c r="AA221" s="1250"/>
      <c r="AB221" s="1250"/>
      <c r="AC221" s="1250"/>
      <c r="AD221" s="1250"/>
      <c r="AE221" s="1249">
        <v>20</v>
      </c>
      <c r="AF221" s="1250">
        <v>155.66666666666666</v>
      </c>
      <c r="AG221" s="111"/>
      <c r="AH221" s="111"/>
      <c r="AI221" s="111"/>
      <c r="AJ221" s="111"/>
      <c r="AK221" s="111"/>
      <c r="AL221" s="111"/>
      <c r="AM221" s="111">
        <v>467</v>
      </c>
    </row>
    <row r="222" spans="1:39" ht="15" customHeight="1" x14ac:dyDescent="0.25">
      <c r="A222" s="1409"/>
      <c r="B222" s="1409"/>
      <c r="C222" s="1409"/>
      <c r="D222" s="1409"/>
      <c r="E222" s="1247"/>
      <c r="F222" s="1248" t="s">
        <v>2544</v>
      </c>
      <c r="G222" s="111"/>
      <c r="H222" s="1249">
        <v>500</v>
      </c>
      <c r="I222" s="111" t="s">
        <v>2238</v>
      </c>
      <c r="J222" s="1321" t="s">
        <v>5608</v>
      </c>
      <c r="K222" s="162" t="s">
        <v>5610</v>
      </c>
      <c r="L222" s="162" t="s">
        <v>5609</v>
      </c>
      <c r="M222" s="111">
        <v>4.6713529600000001</v>
      </c>
      <c r="N222" s="111">
        <v>2335.6764800000001</v>
      </c>
      <c r="O222" s="111"/>
      <c r="P222" s="111"/>
      <c r="Q222" s="111"/>
      <c r="R222" s="111"/>
      <c r="S222" s="1249">
        <v>200</v>
      </c>
      <c r="T222" s="1250">
        <v>778.55882666666673</v>
      </c>
      <c r="U222" s="1250"/>
      <c r="V222" s="1250"/>
      <c r="W222" s="1251">
        <v>200</v>
      </c>
      <c r="X222" s="1250">
        <v>778.55882666666673</v>
      </c>
      <c r="Y222" s="1250"/>
      <c r="Z222" s="1250"/>
      <c r="AA222" s="1250"/>
      <c r="AB222" s="1250"/>
      <c r="AC222" s="1250"/>
      <c r="AD222" s="1250"/>
      <c r="AE222" s="1249">
        <v>100</v>
      </c>
      <c r="AF222" s="1250">
        <v>778.55882666666673</v>
      </c>
      <c r="AG222" s="111"/>
      <c r="AH222" s="111"/>
      <c r="AI222" s="111"/>
      <c r="AJ222" s="111"/>
      <c r="AK222" s="111"/>
      <c r="AL222" s="111"/>
      <c r="AM222" s="111">
        <v>2335.6764800000001</v>
      </c>
    </row>
    <row r="223" spans="1:39" ht="15" customHeight="1" x14ac:dyDescent="0.25">
      <c r="A223" s="1409"/>
      <c r="B223" s="1409"/>
      <c r="C223" s="1409"/>
      <c r="D223" s="1409"/>
      <c r="E223" s="1247"/>
      <c r="F223" s="1248" t="s">
        <v>117</v>
      </c>
      <c r="G223" s="111"/>
      <c r="H223" s="1249">
        <v>604</v>
      </c>
      <c r="I223" s="111" t="s">
        <v>1725</v>
      </c>
      <c r="J223" s="1321" t="s">
        <v>5608</v>
      </c>
      <c r="K223" s="162" t="s">
        <v>5610</v>
      </c>
      <c r="L223" s="162" t="s">
        <v>5609</v>
      </c>
      <c r="M223" s="111">
        <v>6.3861490066225164</v>
      </c>
      <c r="N223" s="111">
        <v>3857.2339999999999</v>
      </c>
      <c r="O223" s="111"/>
      <c r="P223" s="111"/>
      <c r="Q223" s="111"/>
      <c r="R223" s="111"/>
      <c r="S223" s="1249">
        <v>300</v>
      </c>
      <c r="T223" s="1250">
        <v>1285.7446666666667</v>
      </c>
      <c r="U223" s="1250"/>
      <c r="V223" s="1250"/>
      <c r="W223" s="1251">
        <v>200</v>
      </c>
      <c r="X223" s="1250">
        <v>1285.7446666666667</v>
      </c>
      <c r="Y223" s="1250"/>
      <c r="Z223" s="1250"/>
      <c r="AA223" s="1250"/>
      <c r="AB223" s="1250"/>
      <c r="AC223" s="1250"/>
      <c r="AD223" s="1250"/>
      <c r="AE223" s="1249">
        <v>104</v>
      </c>
      <c r="AF223" s="1250">
        <v>1285.7446666666667</v>
      </c>
      <c r="AG223" s="111"/>
      <c r="AH223" s="111"/>
      <c r="AI223" s="111"/>
      <c r="AJ223" s="111"/>
      <c r="AK223" s="111"/>
      <c r="AL223" s="111"/>
      <c r="AM223" s="111">
        <v>3857.2339999999999</v>
      </c>
    </row>
    <row r="224" spans="1:39" ht="15" customHeight="1" x14ac:dyDescent="0.25">
      <c r="A224" s="1409"/>
      <c r="B224" s="1409"/>
      <c r="C224" s="1409"/>
      <c r="D224" s="1409"/>
      <c r="E224" s="1247"/>
      <c r="F224" s="1248" t="s">
        <v>269</v>
      </c>
      <c r="G224" s="111"/>
      <c r="H224" s="1249">
        <v>30</v>
      </c>
      <c r="I224" s="111" t="s">
        <v>1721</v>
      </c>
      <c r="J224" s="1321" t="s">
        <v>5608</v>
      </c>
      <c r="K224" s="162" t="s">
        <v>5610</v>
      </c>
      <c r="L224" s="162" t="s">
        <v>5609</v>
      </c>
      <c r="M224" s="111">
        <v>3.63</v>
      </c>
      <c r="N224" s="111">
        <v>108.89999999999999</v>
      </c>
      <c r="O224" s="111"/>
      <c r="P224" s="111"/>
      <c r="Q224" s="111"/>
      <c r="R224" s="111"/>
      <c r="S224" s="1249">
        <v>10</v>
      </c>
      <c r="T224" s="1250">
        <v>36.299999999999997</v>
      </c>
      <c r="U224" s="1250"/>
      <c r="V224" s="1250"/>
      <c r="W224" s="1251">
        <v>10</v>
      </c>
      <c r="X224" s="1250">
        <v>36.299999999999997</v>
      </c>
      <c r="Y224" s="1250"/>
      <c r="Z224" s="1250"/>
      <c r="AA224" s="1250"/>
      <c r="AB224" s="1250"/>
      <c r="AC224" s="1250"/>
      <c r="AD224" s="1250"/>
      <c r="AE224" s="1249">
        <v>10</v>
      </c>
      <c r="AF224" s="1250">
        <v>36.299999999999997</v>
      </c>
      <c r="AG224" s="111"/>
      <c r="AH224" s="111"/>
      <c r="AI224" s="111"/>
      <c r="AJ224" s="111"/>
      <c r="AK224" s="111"/>
      <c r="AL224" s="111"/>
      <c r="AM224" s="111">
        <v>108.89999999999999</v>
      </c>
    </row>
    <row r="225" spans="1:39" ht="15" customHeight="1" x14ac:dyDescent="0.25">
      <c r="A225" s="1409"/>
      <c r="B225" s="1409"/>
      <c r="C225" s="1409"/>
      <c r="D225" s="1409"/>
      <c r="E225" s="1247"/>
      <c r="F225" s="1248" t="s">
        <v>2226</v>
      </c>
      <c r="G225" s="111"/>
      <c r="H225" s="1249">
        <v>60</v>
      </c>
      <c r="I225" s="111" t="s">
        <v>1721</v>
      </c>
      <c r="J225" s="1321" t="s">
        <v>5608</v>
      </c>
      <c r="K225" s="162" t="s">
        <v>5610</v>
      </c>
      <c r="L225" s="162" t="s">
        <v>5609</v>
      </c>
      <c r="M225" s="111">
        <v>7.5243168000000002</v>
      </c>
      <c r="N225" s="111">
        <v>451.45900800000004</v>
      </c>
      <c r="O225" s="111"/>
      <c r="P225" s="111"/>
      <c r="Q225" s="111"/>
      <c r="R225" s="111"/>
      <c r="S225" s="1249">
        <v>30</v>
      </c>
      <c r="T225" s="1250">
        <v>150.48633600000002</v>
      </c>
      <c r="U225" s="1250"/>
      <c r="V225" s="1250"/>
      <c r="W225" s="1251">
        <v>20</v>
      </c>
      <c r="X225" s="1250">
        <v>150.48633600000002</v>
      </c>
      <c r="Y225" s="1250"/>
      <c r="Z225" s="1250"/>
      <c r="AA225" s="1250"/>
      <c r="AB225" s="1250"/>
      <c r="AC225" s="1250"/>
      <c r="AD225" s="1250"/>
      <c r="AE225" s="1249">
        <v>10</v>
      </c>
      <c r="AF225" s="1250">
        <v>150.48633600000002</v>
      </c>
      <c r="AG225" s="111"/>
      <c r="AH225" s="111"/>
      <c r="AI225" s="111"/>
      <c r="AJ225" s="111"/>
      <c r="AK225" s="111"/>
      <c r="AL225" s="111"/>
      <c r="AM225" s="111">
        <v>451.45900800000004</v>
      </c>
    </row>
    <row r="226" spans="1:39" ht="15" customHeight="1" x14ac:dyDescent="0.25">
      <c r="A226" s="1409"/>
      <c r="B226" s="1409"/>
      <c r="C226" s="1409"/>
      <c r="D226" s="1409"/>
      <c r="E226" s="1247"/>
      <c r="F226" s="1248" t="s">
        <v>118</v>
      </c>
      <c r="G226" s="111"/>
      <c r="H226" s="1249">
        <v>2</v>
      </c>
      <c r="I226" s="111" t="s">
        <v>1734</v>
      </c>
      <c r="J226" s="1321" t="s">
        <v>5608</v>
      </c>
      <c r="K226" s="162" t="s">
        <v>5610</v>
      </c>
      <c r="L226" s="162" t="s">
        <v>5609</v>
      </c>
      <c r="M226" s="111">
        <v>237.59</v>
      </c>
      <c r="N226" s="111">
        <v>475.18</v>
      </c>
      <c r="O226" s="111"/>
      <c r="P226" s="111"/>
      <c r="Q226" s="111"/>
      <c r="R226" s="111"/>
      <c r="S226" s="1249">
        <v>1</v>
      </c>
      <c r="T226" s="1250">
        <v>158.39333333333335</v>
      </c>
      <c r="U226" s="1250"/>
      <c r="V226" s="1250"/>
      <c r="W226" s="1251">
        <v>1</v>
      </c>
      <c r="X226" s="1250">
        <v>158.39333333333335</v>
      </c>
      <c r="Y226" s="1250"/>
      <c r="Z226" s="1250"/>
      <c r="AA226" s="1250"/>
      <c r="AB226" s="1250"/>
      <c r="AC226" s="1250"/>
      <c r="AD226" s="1250"/>
      <c r="AE226" s="1249">
        <v>0</v>
      </c>
      <c r="AF226" s="1250">
        <v>158.39333333333335</v>
      </c>
      <c r="AG226" s="111"/>
      <c r="AH226" s="111"/>
      <c r="AI226" s="111"/>
      <c r="AJ226" s="111"/>
      <c r="AK226" s="111"/>
      <c r="AL226" s="111"/>
      <c r="AM226" s="111">
        <v>475.18</v>
      </c>
    </row>
    <row r="227" spans="1:39" ht="15" customHeight="1" x14ac:dyDescent="0.25">
      <c r="A227" s="1409"/>
      <c r="B227" s="1409"/>
      <c r="C227" s="1409"/>
      <c r="D227" s="1409"/>
      <c r="E227" s="1247"/>
      <c r="F227" s="1248" t="s">
        <v>2230</v>
      </c>
      <c r="G227" s="111"/>
      <c r="H227" s="1249">
        <v>63</v>
      </c>
      <c r="I227" s="111" t="s">
        <v>1721</v>
      </c>
      <c r="J227" s="1321" t="s">
        <v>5608</v>
      </c>
      <c r="K227" s="162" t="s">
        <v>5610</v>
      </c>
      <c r="L227" s="162" t="s">
        <v>5609</v>
      </c>
      <c r="M227" s="111">
        <v>2.0330369523809524</v>
      </c>
      <c r="N227" s="111">
        <v>128.08132800000001</v>
      </c>
      <c r="O227" s="111"/>
      <c r="P227" s="111"/>
      <c r="Q227" s="111"/>
      <c r="R227" s="111"/>
      <c r="S227" s="1249">
        <v>33</v>
      </c>
      <c r="T227" s="1250">
        <v>42.693776000000007</v>
      </c>
      <c r="U227" s="1250"/>
      <c r="V227" s="1250"/>
      <c r="W227" s="1251">
        <v>20</v>
      </c>
      <c r="X227" s="1250">
        <v>42.693776000000007</v>
      </c>
      <c r="Y227" s="1250"/>
      <c r="Z227" s="1250"/>
      <c r="AA227" s="1250"/>
      <c r="AB227" s="1250"/>
      <c r="AC227" s="1250"/>
      <c r="AD227" s="1250"/>
      <c r="AE227" s="1249">
        <v>10</v>
      </c>
      <c r="AF227" s="1250">
        <v>42.693776000000007</v>
      </c>
      <c r="AG227" s="111"/>
      <c r="AH227" s="111"/>
      <c r="AI227" s="111"/>
      <c r="AJ227" s="111"/>
      <c r="AK227" s="111"/>
      <c r="AL227" s="111"/>
      <c r="AM227" s="111">
        <v>128.08132800000001</v>
      </c>
    </row>
    <row r="228" spans="1:39" ht="15" customHeight="1" x14ac:dyDescent="0.25">
      <c r="A228" s="1409"/>
      <c r="B228" s="1409"/>
      <c r="C228" s="1409"/>
      <c r="D228" s="1409"/>
      <c r="E228" s="1247"/>
      <c r="F228" s="1248" t="s">
        <v>2231</v>
      </c>
      <c r="G228" s="111"/>
      <c r="H228" s="1249">
        <v>20</v>
      </c>
      <c r="I228" s="111" t="s">
        <v>1721</v>
      </c>
      <c r="J228" s="1321" t="s">
        <v>5608</v>
      </c>
      <c r="K228" s="162" t="s">
        <v>5610</v>
      </c>
      <c r="L228" s="162" t="s">
        <v>5609</v>
      </c>
      <c r="M228" s="111">
        <v>4.6303488000000002</v>
      </c>
      <c r="N228" s="111">
        <v>92.606976000000003</v>
      </c>
      <c r="O228" s="111"/>
      <c r="P228" s="111"/>
      <c r="Q228" s="111"/>
      <c r="R228" s="111"/>
      <c r="S228" s="1249">
        <v>10</v>
      </c>
      <c r="T228" s="1250">
        <v>30.868992000000002</v>
      </c>
      <c r="U228" s="1250"/>
      <c r="V228" s="1250"/>
      <c r="W228" s="1251">
        <v>5</v>
      </c>
      <c r="X228" s="1250">
        <v>30.868992000000002</v>
      </c>
      <c r="Y228" s="1250"/>
      <c r="Z228" s="1250"/>
      <c r="AA228" s="1250"/>
      <c r="AB228" s="1250"/>
      <c r="AC228" s="1250"/>
      <c r="AD228" s="1250"/>
      <c r="AE228" s="1249">
        <v>5</v>
      </c>
      <c r="AF228" s="1250">
        <v>30.868992000000002</v>
      </c>
      <c r="AG228" s="111"/>
      <c r="AH228" s="111"/>
      <c r="AI228" s="111"/>
      <c r="AJ228" s="111"/>
      <c r="AK228" s="111"/>
      <c r="AL228" s="111"/>
      <c r="AM228" s="111">
        <v>92.606976000000003</v>
      </c>
    </row>
    <row r="229" spans="1:39" ht="15" customHeight="1" x14ac:dyDescent="0.25">
      <c r="A229" s="1409"/>
      <c r="B229" s="1409"/>
      <c r="C229" s="1409"/>
      <c r="D229" s="1409"/>
      <c r="E229" s="1247"/>
      <c r="F229" s="1248" t="s">
        <v>4404</v>
      </c>
      <c r="G229" s="111"/>
      <c r="H229" s="1249">
        <v>1</v>
      </c>
      <c r="I229" s="111" t="s">
        <v>1721</v>
      </c>
      <c r="J229" s="1321" t="s">
        <v>5608</v>
      </c>
      <c r="K229" s="162" t="s">
        <v>5610</v>
      </c>
      <c r="L229" s="162" t="s">
        <v>5609</v>
      </c>
      <c r="M229" s="111">
        <v>3.75</v>
      </c>
      <c r="N229" s="111">
        <v>3.75</v>
      </c>
      <c r="O229" s="111"/>
      <c r="P229" s="111"/>
      <c r="Q229" s="111"/>
      <c r="R229" s="111"/>
      <c r="S229" s="1249">
        <v>1</v>
      </c>
      <c r="T229" s="1250">
        <v>1.25</v>
      </c>
      <c r="U229" s="1250"/>
      <c r="V229" s="1250"/>
      <c r="W229" s="1251">
        <v>0</v>
      </c>
      <c r="X229" s="1250">
        <v>1.25</v>
      </c>
      <c r="Y229" s="1250"/>
      <c r="Z229" s="1250"/>
      <c r="AA229" s="1250"/>
      <c r="AB229" s="1250"/>
      <c r="AC229" s="1250"/>
      <c r="AD229" s="1250"/>
      <c r="AE229" s="1249">
        <v>0</v>
      </c>
      <c r="AF229" s="1250">
        <v>1.25</v>
      </c>
      <c r="AG229" s="111"/>
      <c r="AH229" s="111"/>
      <c r="AI229" s="111"/>
      <c r="AJ229" s="111"/>
      <c r="AK229" s="111"/>
      <c r="AL229" s="111"/>
      <c r="AM229" s="111">
        <v>3.75</v>
      </c>
    </row>
    <row r="230" spans="1:39" ht="15" customHeight="1" x14ac:dyDescent="0.25">
      <c r="A230" s="1409"/>
      <c r="B230" s="1409"/>
      <c r="C230" s="1409"/>
      <c r="D230" s="1409"/>
      <c r="E230" s="1247"/>
      <c r="F230" s="1248" t="s">
        <v>119</v>
      </c>
      <c r="G230" s="111"/>
      <c r="H230" s="1249">
        <v>707</v>
      </c>
      <c r="I230" s="111" t="s">
        <v>1725</v>
      </c>
      <c r="J230" s="1321" t="s">
        <v>5608</v>
      </c>
      <c r="K230" s="162" t="s">
        <v>5610</v>
      </c>
      <c r="L230" s="162" t="s">
        <v>5609</v>
      </c>
      <c r="M230" s="111">
        <v>105.55873174766619</v>
      </c>
      <c r="N230" s="111">
        <v>74630.023345599999</v>
      </c>
      <c r="O230" s="111"/>
      <c r="P230" s="111"/>
      <c r="Q230" s="111"/>
      <c r="R230" s="111"/>
      <c r="S230" s="1249">
        <v>300</v>
      </c>
      <c r="T230" s="1250">
        <v>24876.674448533333</v>
      </c>
      <c r="U230" s="1250"/>
      <c r="V230" s="1250"/>
      <c r="W230" s="1251">
        <v>300</v>
      </c>
      <c r="X230" s="1250">
        <v>24876.674448533333</v>
      </c>
      <c r="Y230" s="1250"/>
      <c r="Z230" s="1250"/>
      <c r="AA230" s="1250"/>
      <c r="AB230" s="1250"/>
      <c r="AC230" s="1250"/>
      <c r="AD230" s="1250"/>
      <c r="AE230" s="1249">
        <v>107</v>
      </c>
      <c r="AF230" s="1250">
        <v>24876.674448533333</v>
      </c>
      <c r="AG230" s="111"/>
      <c r="AH230" s="111"/>
      <c r="AI230" s="111"/>
      <c r="AJ230" s="111"/>
      <c r="AK230" s="111"/>
      <c r="AL230" s="111"/>
      <c r="AM230" s="111">
        <v>74630.023345599999</v>
      </c>
    </row>
    <row r="231" spans="1:39" ht="15" customHeight="1" x14ac:dyDescent="0.25">
      <c r="A231" s="1409"/>
      <c r="B231" s="1409"/>
      <c r="C231" s="1409"/>
      <c r="D231" s="1409"/>
      <c r="E231" s="1247"/>
      <c r="F231" s="1248" t="s">
        <v>120</v>
      </c>
      <c r="G231" s="111"/>
      <c r="H231" s="1249">
        <v>218</v>
      </c>
      <c r="I231" s="111" t="s">
        <v>1725</v>
      </c>
      <c r="J231" s="1321" t="s">
        <v>5608</v>
      </c>
      <c r="K231" s="162" t="s">
        <v>5610</v>
      </c>
      <c r="L231" s="162" t="s">
        <v>5609</v>
      </c>
      <c r="M231" s="111">
        <v>164.47366928440366</v>
      </c>
      <c r="N231" s="111">
        <v>35855.259903999999</v>
      </c>
      <c r="O231" s="111"/>
      <c r="P231" s="111"/>
      <c r="Q231" s="111"/>
      <c r="R231" s="111"/>
      <c r="S231" s="1249">
        <v>100</v>
      </c>
      <c r="T231" s="1250">
        <v>11951.753301333332</v>
      </c>
      <c r="U231" s="1250"/>
      <c r="V231" s="1250"/>
      <c r="W231" s="1251">
        <v>68</v>
      </c>
      <c r="X231" s="1250">
        <v>11951.753301333332</v>
      </c>
      <c r="Y231" s="1250"/>
      <c r="Z231" s="1250"/>
      <c r="AA231" s="1250"/>
      <c r="AB231" s="1250"/>
      <c r="AC231" s="1250"/>
      <c r="AD231" s="1250"/>
      <c r="AE231" s="1249">
        <v>50</v>
      </c>
      <c r="AF231" s="1250">
        <v>11951.753301333332</v>
      </c>
      <c r="AG231" s="111"/>
      <c r="AH231" s="111"/>
      <c r="AI231" s="111"/>
      <c r="AJ231" s="111"/>
      <c r="AK231" s="111"/>
      <c r="AL231" s="111"/>
      <c r="AM231" s="111">
        <v>35855.259903999999</v>
      </c>
    </row>
    <row r="232" spans="1:39" ht="15" customHeight="1" x14ac:dyDescent="0.25">
      <c r="A232" s="1409"/>
      <c r="B232" s="1409"/>
      <c r="C232" s="1409"/>
      <c r="D232" s="1409"/>
      <c r="E232" s="1247"/>
      <c r="F232" s="1248" t="s">
        <v>121</v>
      </c>
      <c r="G232" s="111"/>
      <c r="H232" s="1249">
        <v>92</v>
      </c>
      <c r="I232" s="111" t="s">
        <v>1749</v>
      </c>
      <c r="J232" s="1321" t="s">
        <v>5608</v>
      </c>
      <c r="K232" s="162" t="s">
        <v>5610</v>
      </c>
      <c r="L232" s="162" t="s">
        <v>5609</v>
      </c>
      <c r="M232" s="111">
        <v>21.931034782608695</v>
      </c>
      <c r="N232" s="111">
        <v>2017.6551999999999</v>
      </c>
      <c r="O232" s="111"/>
      <c r="P232" s="111"/>
      <c r="Q232" s="111"/>
      <c r="R232" s="111"/>
      <c r="S232" s="1249">
        <v>40</v>
      </c>
      <c r="T232" s="1250">
        <v>672.55173333333335</v>
      </c>
      <c r="U232" s="1250"/>
      <c r="V232" s="1250"/>
      <c r="W232" s="1251">
        <v>40</v>
      </c>
      <c r="X232" s="1250">
        <v>672.55173333333335</v>
      </c>
      <c r="Y232" s="1250"/>
      <c r="Z232" s="1250"/>
      <c r="AA232" s="1250"/>
      <c r="AB232" s="1250"/>
      <c r="AC232" s="1250"/>
      <c r="AD232" s="1250"/>
      <c r="AE232" s="1249">
        <v>12</v>
      </c>
      <c r="AF232" s="1250">
        <v>672.55173333333335</v>
      </c>
      <c r="AG232" s="111"/>
      <c r="AH232" s="111"/>
      <c r="AI232" s="111"/>
      <c r="AJ232" s="111"/>
      <c r="AK232" s="111"/>
      <c r="AL232" s="111"/>
      <c r="AM232" s="111">
        <v>2017.6551999999999</v>
      </c>
    </row>
    <row r="233" spans="1:39" ht="15" customHeight="1" x14ac:dyDescent="0.25">
      <c r="A233" s="1409"/>
      <c r="B233" s="1409"/>
      <c r="C233" s="1409"/>
      <c r="D233" s="1409"/>
      <c r="E233" s="1247"/>
      <c r="F233" s="1248" t="s">
        <v>1947</v>
      </c>
      <c r="G233" s="111"/>
      <c r="H233" s="1249">
        <v>120</v>
      </c>
      <c r="I233" s="111" t="s">
        <v>1725</v>
      </c>
      <c r="J233" s="1321" t="s">
        <v>5608</v>
      </c>
      <c r="K233" s="162" t="s">
        <v>5610</v>
      </c>
      <c r="L233" s="162" t="s">
        <v>5609</v>
      </c>
      <c r="M233" s="111">
        <v>74.370000000000019</v>
      </c>
      <c r="N233" s="111">
        <v>8924.4000000000015</v>
      </c>
      <c r="O233" s="111"/>
      <c r="P233" s="111"/>
      <c r="Q233" s="111"/>
      <c r="R233" s="111"/>
      <c r="S233" s="1249">
        <v>40</v>
      </c>
      <c r="T233" s="1250">
        <v>2974.8000000000006</v>
      </c>
      <c r="U233" s="1250"/>
      <c r="V233" s="1250"/>
      <c r="W233" s="1251">
        <v>40</v>
      </c>
      <c r="X233" s="1250">
        <v>2974.8000000000006</v>
      </c>
      <c r="Y233" s="1250"/>
      <c r="Z233" s="1250"/>
      <c r="AA233" s="1250"/>
      <c r="AB233" s="1250"/>
      <c r="AC233" s="1250"/>
      <c r="AD233" s="1250"/>
      <c r="AE233" s="1249">
        <v>40</v>
      </c>
      <c r="AF233" s="1250">
        <v>2974.8000000000006</v>
      </c>
      <c r="AG233" s="111"/>
      <c r="AH233" s="111"/>
      <c r="AI233" s="111"/>
      <c r="AJ233" s="111"/>
      <c r="AK233" s="111"/>
      <c r="AL233" s="111"/>
      <c r="AM233" s="111">
        <v>8924.4000000000015</v>
      </c>
    </row>
    <row r="234" spans="1:39" ht="15" customHeight="1" x14ac:dyDescent="0.25">
      <c r="A234" s="1409"/>
      <c r="B234" s="1409"/>
      <c r="C234" s="1409"/>
      <c r="D234" s="1409"/>
      <c r="E234" s="1247"/>
      <c r="F234" s="1248" t="s">
        <v>1768</v>
      </c>
      <c r="G234" s="111"/>
      <c r="H234" s="1249">
        <v>2</v>
      </c>
      <c r="I234" s="111" t="s">
        <v>1725</v>
      </c>
      <c r="J234" s="1321" t="s">
        <v>5608</v>
      </c>
      <c r="K234" s="162" t="s">
        <v>5610</v>
      </c>
      <c r="L234" s="162" t="s">
        <v>5609</v>
      </c>
      <c r="M234" s="111">
        <v>83.1952</v>
      </c>
      <c r="N234" s="111">
        <v>166.3904</v>
      </c>
      <c r="O234" s="111"/>
      <c r="P234" s="111"/>
      <c r="Q234" s="111"/>
      <c r="R234" s="111"/>
      <c r="S234" s="1249">
        <v>1</v>
      </c>
      <c r="T234" s="1250">
        <v>55.463466666666669</v>
      </c>
      <c r="U234" s="1250"/>
      <c r="V234" s="1250"/>
      <c r="W234" s="1251">
        <v>1</v>
      </c>
      <c r="X234" s="1250">
        <v>55.463466666666669</v>
      </c>
      <c r="Y234" s="1250"/>
      <c r="Z234" s="1250"/>
      <c r="AA234" s="1250"/>
      <c r="AB234" s="1250"/>
      <c r="AC234" s="1250"/>
      <c r="AD234" s="1250"/>
      <c r="AE234" s="1249">
        <v>0</v>
      </c>
      <c r="AF234" s="1250">
        <v>55.463466666666669</v>
      </c>
      <c r="AG234" s="111"/>
      <c r="AH234" s="111"/>
      <c r="AI234" s="111"/>
      <c r="AJ234" s="111"/>
      <c r="AK234" s="111"/>
      <c r="AL234" s="111"/>
      <c r="AM234" s="111">
        <v>166.3904</v>
      </c>
    </row>
    <row r="235" spans="1:39" ht="15" customHeight="1" x14ac:dyDescent="0.25">
      <c r="A235" s="1409"/>
      <c r="B235" s="1409"/>
      <c r="C235" s="1409"/>
      <c r="D235" s="1409"/>
      <c r="E235" s="1247"/>
      <c r="F235" s="1248" t="s">
        <v>2510</v>
      </c>
      <c r="G235" s="111"/>
      <c r="H235" s="1249">
        <v>2</v>
      </c>
      <c r="I235" s="111" t="s">
        <v>4405</v>
      </c>
      <c r="J235" s="1321" t="s">
        <v>5608</v>
      </c>
      <c r="K235" s="162" t="s">
        <v>5610</v>
      </c>
      <c r="L235" s="162" t="s">
        <v>5609</v>
      </c>
      <c r="M235" s="111">
        <v>111.62</v>
      </c>
      <c r="N235" s="111">
        <v>223.24</v>
      </c>
      <c r="O235" s="111"/>
      <c r="P235" s="111"/>
      <c r="Q235" s="111"/>
      <c r="R235" s="111"/>
      <c r="S235" s="1249">
        <v>1</v>
      </c>
      <c r="T235" s="1250">
        <v>74.413333333333341</v>
      </c>
      <c r="U235" s="1250"/>
      <c r="V235" s="1250"/>
      <c r="W235" s="1251">
        <v>1</v>
      </c>
      <c r="X235" s="1250">
        <v>74.413333333333341</v>
      </c>
      <c r="Y235" s="1250"/>
      <c r="Z235" s="1250"/>
      <c r="AA235" s="1250"/>
      <c r="AB235" s="1250"/>
      <c r="AC235" s="1250"/>
      <c r="AD235" s="1250"/>
      <c r="AE235" s="1249">
        <v>0</v>
      </c>
      <c r="AF235" s="1250">
        <v>74.413333333333341</v>
      </c>
      <c r="AG235" s="111"/>
      <c r="AH235" s="111"/>
      <c r="AI235" s="111"/>
      <c r="AJ235" s="111"/>
      <c r="AK235" s="111"/>
      <c r="AL235" s="111"/>
      <c r="AM235" s="111">
        <v>223.24</v>
      </c>
    </row>
    <row r="236" spans="1:39" ht="15" customHeight="1" x14ac:dyDescent="0.25">
      <c r="A236" s="1409"/>
      <c r="B236" s="1409"/>
      <c r="C236" s="1409"/>
      <c r="D236" s="1409"/>
      <c r="E236" s="1247"/>
      <c r="F236" s="1248" t="s">
        <v>123</v>
      </c>
      <c r="G236" s="111"/>
      <c r="H236" s="1249">
        <v>13</v>
      </c>
      <c r="I236" s="111" t="s">
        <v>1725</v>
      </c>
      <c r="J236" s="1321" t="s">
        <v>5608</v>
      </c>
      <c r="K236" s="162" t="s">
        <v>5610</v>
      </c>
      <c r="L236" s="162" t="s">
        <v>5609</v>
      </c>
      <c r="M236" s="111">
        <v>41.734264615384618</v>
      </c>
      <c r="N236" s="111">
        <v>542.54543999999999</v>
      </c>
      <c r="O236" s="111"/>
      <c r="P236" s="111"/>
      <c r="Q236" s="111"/>
      <c r="R236" s="111"/>
      <c r="S236" s="1249">
        <v>5</v>
      </c>
      <c r="T236" s="1250">
        <v>180.84848</v>
      </c>
      <c r="U236" s="1250"/>
      <c r="V236" s="1250"/>
      <c r="W236" s="1251">
        <v>5</v>
      </c>
      <c r="X236" s="1250">
        <v>180.84848</v>
      </c>
      <c r="Y236" s="1250"/>
      <c r="Z236" s="1250"/>
      <c r="AA236" s="1250"/>
      <c r="AB236" s="1250"/>
      <c r="AC236" s="1250"/>
      <c r="AD236" s="1250"/>
      <c r="AE236" s="1249">
        <v>3</v>
      </c>
      <c r="AF236" s="1250">
        <v>180.84848</v>
      </c>
      <c r="AG236" s="111"/>
      <c r="AH236" s="111"/>
      <c r="AI236" s="111"/>
      <c r="AJ236" s="111"/>
      <c r="AK236" s="111"/>
      <c r="AL236" s="111"/>
      <c r="AM236" s="111">
        <v>542.54543999999999</v>
      </c>
    </row>
    <row r="237" spans="1:39" ht="15" customHeight="1" x14ac:dyDescent="0.25">
      <c r="A237" s="1409"/>
      <c r="B237" s="1409"/>
      <c r="C237" s="1409"/>
      <c r="D237" s="1409"/>
      <c r="E237" s="1247"/>
      <c r="F237" s="1248" t="s">
        <v>2893</v>
      </c>
      <c r="G237" s="111"/>
      <c r="H237" s="1249">
        <v>1200</v>
      </c>
      <c r="I237" s="111" t="s">
        <v>2238</v>
      </c>
      <c r="J237" s="1321" t="s">
        <v>5608</v>
      </c>
      <c r="K237" s="162" t="s">
        <v>5610</v>
      </c>
      <c r="L237" s="162" t="s">
        <v>5609</v>
      </c>
      <c r="M237" s="111">
        <v>5.0999999999999996</v>
      </c>
      <c r="N237" s="111">
        <v>6120</v>
      </c>
      <c r="O237" s="111"/>
      <c r="P237" s="111"/>
      <c r="Q237" s="111"/>
      <c r="R237" s="111"/>
      <c r="S237" s="1249">
        <v>500</v>
      </c>
      <c r="T237" s="1250">
        <v>2040</v>
      </c>
      <c r="U237" s="1250"/>
      <c r="V237" s="1250"/>
      <c r="W237" s="1251">
        <v>500</v>
      </c>
      <c r="X237" s="1250">
        <v>2040</v>
      </c>
      <c r="Y237" s="1250"/>
      <c r="Z237" s="1250"/>
      <c r="AA237" s="1250"/>
      <c r="AB237" s="1250"/>
      <c r="AC237" s="1250"/>
      <c r="AD237" s="1250"/>
      <c r="AE237" s="1249">
        <v>200</v>
      </c>
      <c r="AF237" s="1250">
        <v>2040</v>
      </c>
      <c r="AG237" s="111"/>
      <c r="AH237" s="111"/>
      <c r="AI237" s="111"/>
      <c r="AJ237" s="111"/>
      <c r="AK237" s="111"/>
      <c r="AL237" s="111"/>
      <c r="AM237" s="111">
        <v>6120</v>
      </c>
    </row>
    <row r="238" spans="1:39" ht="15" customHeight="1" x14ac:dyDescent="0.25">
      <c r="A238" s="1409"/>
      <c r="B238" s="1409"/>
      <c r="C238" s="1409"/>
      <c r="D238" s="1409"/>
      <c r="E238" s="1247"/>
      <c r="F238" s="1248" t="s">
        <v>2894</v>
      </c>
      <c r="G238" s="111"/>
      <c r="H238" s="1249">
        <v>1200</v>
      </c>
      <c r="I238" s="111" t="s">
        <v>2238</v>
      </c>
      <c r="J238" s="1321" t="s">
        <v>5608</v>
      </c>
      <c r="K238" s="162" t="s">
        <v>5610</v>
      </c>
      <c r="L238" s="162" t="s">
        <v>5609</v>
      </c>
      <c r="M238" s="111">
        <v>5.0999999999999996</v>
      </c>
      <c r="N238" s="111">
        <v>6120</v>
      </c>
      <c r="O238" s="111"/>
      <c r="P238" s="111"/>
      <c r="Q238" s="111"/>
      <c r="R238" s="111"/>
      <c r="S238" s="1249">
        <v>500</v>
      </c>
      <c r="T238" s="1250">
        <v>2040</v>
      </c>
      <c r="U238" s="1250"/>
      <c r="V238" s="1250"/>
      <c r="W238" s="1251">
        <v>500</v>
      </c>
      <c r="X238" s="1250">
        <v>2040</v>
      </c>
      <c r="Y238" s="1250"/>
      <c r="Z238" s="1250"/>
      <c r="AA238" s="1250"/>
      <c r="AB238" s="1250"/>
      <c r="AC238" s="1250"/>
      <c r="AD238" s="1250"/>
      <c r="AE238" s="1249">
        <v>200</v>
      </c>
      <c r="AF238" s="1250">
        <v>2040</v>
      </c>
      <c r="AG238" s="111"/>
      <c r="AH238" s="111"/>
      <c r="AI238" s="111"/>
      <c r="AJ238" s="111"/>
      <c r="AK238" s="111"/>
      <c r="AL238" s="111"/>
      <c r="AM238" s="111">
        <v>6120</v>
      </c>
    </row>
    <row r="239" spans="1:39" ht="15" customHeight="1" x14ac:dyDescent="0.25">
      <c r="A239" s="1409"/>
      <c r="B239" s="1409"/>
      <c r="C239" s="1409"/>
      <c r="D239" s="1409"/>
      <c r="E239" s="1247"/>
      <c r="F239" s="1248" t="s">
        <v>248</v>
      </c>
      <c r="G239" s="111"/>
      <c r="H239" s="1249">
        <v>100</v>
      </c>
      <c r="I239" s="111" t="s">
        <v>2238</v>
      </c>
      <c r="J239" s="1321" t="s">
        <v>5608</v>
      </c>
      <c r="K239" s="162" t="s">
        <v>5610</v>
      </c>
      <c r="L239" s="162" t="s">
        <v>5609</v>
      </c>
      <c r="M239" s="111">
        <v>11.27</v>
      </c>
      <c r="N239" s="111">
        <v>1127</v>
      </c>
      <c r="O239" s="111"/>
      <c r="P239" s="111"/>
      <c r="Q239" s="111"/>
      <c r="R239" s="111"/>
      <c r="S239" s="1249">
        <v>40</v>
      </c>
      <c r="T239" s="1250">
        <v>375.66666666666669</v>
      </c>
      <c r="U239" s="1250"/>
      <c r="V239" s="1250"/>
      <c r="W239" s="1251">
        <v>40</v>
      </c>
      <c r="X239" s="1250">
        <v>375.66666666666669</v>
      </c>
      <c r="Y239" s="1250"/>
      <c r="Z239" s="1250"/>
      <c r="AA239" s="1250"/>
      <c r="AB239" s="1250"/>
      <c r="AC239" s="1250"/>
      <c r="AD239" s="1250"/>
      <c r="AE239" s="1249">
        <v>20</v>
      </c>
      <c r="AF239" s="1250">
        <v>375.66666666666669</v>
      </c>
      <c r="AG239" s="111"/>
      <c r="AH239" s="111"/>
      <c r="AI239" s="111"/>
      <c r="AJ239" s="111"/>
      <c r="AK239" s="111"/>
      <c r="AL239" s="111"/>
      <c r="AM239" s="111">
        <v>1127</v>
      </c>
    </row>
    <row r="240" spans="1:39" ht="15" customHeight="1" x14ac:dyDescent="0.25">
      <c r="A240" s="1409"/>
      <c r="B240" s="1409"/>
      <c r="C240" s="1409"/>
      <c r="D240" s="1409"/>
      <c r="E240" s="1247"/>
      <c r="F240" s="1248" t="s">
        <v>2546</v>
      </c>
      <c r="G240" s="111"/>
      <c r="H240" s="1249">
        <v>110</v>
      </c>
      <c r="I240" s="111" t="s">
        <v>2238</v>
      </c>
      <c r="J240" s="1321" t="s">
        <v>5608</v>
      </c>
      <c r="K240" s="162" t="s">
        <v>5610</v>
      </c>
      <c r="L240" s="162" t="s">
        <v>5609</v>
      </c>
      <c r="M240" s="111">
        <v>13.8</v>
      </c>
      <c r="N240" s="111">
        <v>1518</v>
      </c>
      <c r="O240" s="111"/>
      <c r="P240" s="111"/>
      <c r="Q240" s="111"/>
      <c r="R240" s="111"/>
      <c r="S240" s="1249">
        <v>40</v>
      </c>
      <c r="T240" s="1250">
        <v>506</v>
      </c>
      <c r="U240" s="1250"/>
      <c r="V240" s="1250"/>
      <c r="W240" s="1251">
        <v>40</v>
      </c>
      <c r="X240" s="1250">
        <v>506</v>
      </c>
      <c r="Y240" s="1250"/>
      <c r="Z240" s="1250"/>
      <c r="AA240" s="1250"/>
      <c r="AB240" s="1250"/>
      <c r="AC240" s="1250"/>
      <c r="AD240" s="1250"/>
      <c r="AE240" s="1249">
        <v>30</v>
      </c>
      <c r="AF240" s="1250">
        <v>506</v>
      </c>
      <c r="AG240" s="111"/>
      <c r="AH240" s="111"/>
      <c r="AI240" s="111"/>
      <c r="AJ240" s="111"/>
      <c r="AK240" s="111"/>
      <c r="AL240" s="111"/>
      <c r="AM240" s="111">
        <v>1518</v>
      </c>
    </row>
    <row r="241" spans="1:39" ht="15" customHeight="1" x14ac:dyDescent="0.25">
      <c r="A241" s="1409"/>
      <c r="B241" s="1409"/>
      <c r="C241" s="1409"/>
      <c r="D241" s="1409"/>
      <c r="E241" s="1247"/>
      <c r="F241" s="1248" t="s">
        <v>2547</v>
      </c>
      <c r="G241" s="111"/>
      <c r="H241" s="1249">
        <v>700</v>
      </c>
      <c r="I241" s="111" t="s">
        <v>2238</v>
      </c>
      <c r="J241" s="1321" t="s">
        <v>5608</v>
      </c>
      <c r="K241" s="162" t="s">
        <v>5610</v>
      </c>
      <c r="L241" s="162" t="s">
        <v>5609</v>
      </c>
      <c r="M241" s="111">
        <v>119.54714285714287</v>
      </c>
      <c r="N241" s="111">
        <v>83683.000000000015</v>
      </c>
      <c r="O241" s="111"/>
      <c r="P241" s="111"/>
      <c r="Q241" s="111"/>
      <c r="R241" s="111"/>
      <c r="S241" s="1249">
        <v>300</v>
      </c>
      <c r="T241" s="1250">
        <v>27894.333333333339</v>
      </c>
      <c r="U241" s="1250"/>
      <c r="V241" s="1250"/>
      <c r="W241" s="1251">
        <v>300</v>
      </c>
      <c r="X241" s="1250">
        <v>27894.333333333339</v>
      </c>
      <c r="Y241" s="1250"/>
      <c r="Z241" s="1250"/>
      <c r="AA241" s="1250"/>
      <c r="AB241" s="1250"/>
      <c r="AC241" s="1250"/>
      <c r="AD241" s="1250"/>
      <c r="AE241" s="1249">
        <v>100</v>
      </c>
      <c r="AF241" s="1250">
        <v>27894.333333333339</v>
      </c>
      <c r="AG241" s="111"/>
      <c r="AH241" s="111"/>
      <c r="AI241" s="111"/>
      <c r="AJ241" s="111"/>
      <c r="AK241" s="111"/>
      <c r="AL241" s="111"/>
      <c r="AM241" s="111">
        <v>83683.000000000015</v>
      </c>
    </row>
    <row r="242" spans="1:39" ht="15" customHeight="1" x14ac:dyDescent="0.25">
      <c r="A242" s="1409"/>
      <c r="B242" s="1409"/>
      <c r="C242" s="1409"/>
      <c r="D242" s="1409"/>
      <c r="E242" s="1247"/>
      <c r="F242" s="1248" t="s">
        <v>2548</v>
      </c>
      <c r="G242" s="111"/>
      <c r="H242" s="1249">
        <v>100</v>
      </c>
      <c r="I242" s="111" t="s">
        <v>2238</v>
      </c>
      <c r="J242" s="1321" t="s">
        <v>5608</v>
      </c>
      <c r="K242" s="162" t="s">
        <v>5610</v>
      </c>
      <c r="L242" s="162" t="s">
        <v>5609</v>
      </c>
      <c r="M242" s="111">
        <v>5.75</v>
      </c>
      <c r="N242" s="111">
        <v>575</v>
      </c>
      <c r="O242" s="111"/>
      <c r="P242" s="111"/>
      <c r="Q242" s="111"/>
      <c r="R242" s="111"/>
      <c r="S242" s="1249">
        <v>40</v>
      </c>
      <c r="T242" s="1250">
        <v>191.66666666666666</v>
      </c>
      <c r="U242" s="1250"/>
      <c r="V242" s="1250"/>
      <c r="W242" s="1251">
        <v>40</v>
      </c>
      <c r="X242" s="1250">
        <v>191.66666666666666</v>
      </c>
      <c r="Y242" s="1250"/>
      <c r="Z242" s="1250"/>
      <c r="AA242" s="1250"/>
      <c r="AB242" s="1250"/>
      <c r="AC242" s="1250"/>
      <c r="AD242" s="1250"/>
      <c r="AE242" s="1249">
        <v>20</v>
      </c>
      <c r="AF242" s="1250">
        <v>191.66666666666666</v>
      </c>
      <c r="AG242" s="111"/>
      <c r="AH242" s="111"/>
      <c r="AI242" s="111"/>
      <c r="AJ242" s="111"/>
      <c r="AK242" s="111"/>
      <c r="AL242" s="111"/>
      <c r="AM242" s="111">
        <v>575</v>
      </c>
    </row>
    <row r="243" spans="1:39" ht="15" customHeight="1" x14ac:dyDescent="0.25">
      <c r="A243" s="1409"/>
      <c r="B243" s="1409"/>
      <c r="C243" s="1409"/>
      <c r="D243" s="1409"/>
      <c r="E243" s="1247"/>
      <c r="F243" s="1248" t="s">
        <v>124</v>
      </c>
      <c r="G243" s="111"/>
      <c r="H243" s="1249">
        <v>20</v>
      </c>
      <c r="I243" s="111" t="s">
        <v>1725</v>
      </c>
      <c r="J243" s="1321" t="s">
        <v>5608</v>
      </c>
      <c r="K243" s="162" t="s">
        <v>5610</v>
      </c>
      <c r="L243" s="162" t="s">
        <v>5609</v>
      </c>
      <c r="M243" s="111">
        <v>3.2599999999999993</v>
      </c>
      <c r="N243" s="111">
        <v>65.199999999999989</v>
      </c>
      <c r="O243" s="111"/>
      <c r="P243" s="111"/>
      <c r="Q243" s="111"/>
      <c r="R243" s="111"/>
      <c r="S243" s="1249">
        <v>10</v>
      </c>
      <c r="T243" s="1250">
        <v>21.733333333333331</v>
      </c>
      <c r="U243" s="1250"/>
      <c r="V243" s="1250"/>
      <c r="W243" s="1251">
        <v>5</v>
      </c>
      <c r="X243" s="1250">
        <v>21.733333333333331</v>
      </c>
      <c r="Y243" s="1250"/>
      <c r="Z243" s="1250"/>
      <c r="AA243" s="1250"/>
      <c r="AB243" s="1250"/>
      <c r="AC243" s="1250"/>
      <c r="AD243" s="1250"/>
      <c r="AE243" s="1249">
        <v>5</v>
      </c>
      <c r="AF243" s="1250">
        <v>21.733333333333331</v>
      </c>
      <c r="AG243" s="111"/>
      <c r="AH243" s="111"/>
      <c r="AI243" s="111"/>
      <c r="AJ243" s="111"/>
      <c r="AK243" s="111"/>
      <c r="AL243" s="111"/>
      <c r="AM243" s="111">
        <v>65.199999999999989</v>
      </c>
    </row>
    <row r="244" spans="1:39" ht="15" customHeight="1" x14ac:dyDescent="0.25">
      <c r="A244" s="1409"/>
      <c r="B244" s="1409"/>
      <c r="C244" s="1409"/>
      <c r="D244" s="1409"/>
      <c r="E244" s="1252"/>
      <c r="F244" s="1248" t="s">
        <v>125</v>
      </c>
      <c r="G244" s="111"/>
      <c r="H244" s="1249">
        <v>151</v>
      </c>
      <c r="I244" s="111" t="s">
        <v>1721</v>
      </c>
      <c r="J244" s="1321" t="s">
        <v>5608</v>
      </c>
      <c r="K244" s="162" t="s">
        <v>5610</v>
      </c>
      <c r="L244" s="162" t="s">
        <v>5609</v>
      </c>
      <c r="M244" s="111">
        <v>42.207231258278149</v>
      </c>
      <c r="N244" s="111">
        <v>6373.2919200000006</v>
      </c>
      <c r="O244" s="111"/>
      <c r="P244" s="111"/>
      <c r="Q244" s="111"/>
      <c r="R244" s="111"/>
      <c r="S244" s="1249">
        <v>51</v>
      </c>
      <c r="T244" s="1250">
        <v>2124.43064</v>
      </c>
      <c r="U244" s="1250"/>
      <c r="V244" s="1250"/>
      <c r="W244" s="1251">
        <v>50</v>
      </c>
      <c r="X244" s="1250">
        <v>2124.43064</v>
      </c>
      <c r="Y244" s="1250"/>
      <c r="Z244" s="1250"/>
      <c r="AA244" s="1250"/>
      <c r="AB244" s="1250"/>
      <c r="AC244" s="1250"/>
      <c r="AD244" s="1250"/>
      <c r="AE244" s="1249">
        <v>50</v>
      </c>
      <c r="AF244" s="1250">
        <v>2124.43064</v>
      </c>
      <c r="AG244" s="111"/>
      <c r="AH244" s="111"/>
      <c r="AI244" s="111"/>
      <c r="AJ244" s="111"/>
      <c r="AK244" s="111"/>
      <c r="AL244" s="111"/>
      <c r="AM244" s="111">
        <v>6373.2919200000006</v>
      </c>
    </row>
    <row r="245" spans="1:39" ht="15" customHeight="1" x14ac:dyDescent="0.25">
      <c r="A245" s="1409"/>
      <c r="B245" s="1409"/>
      <c r="C245" s="1409"/>
      <c r="D245" s="1409"/>
      <c r="E245" s="1252"/>
      <c r="F245" s="1248" t="s">
        <v>126</v>
      </c>
      <c r="G245" s="111"/>
      <c r="H245" s="1249">
        <v>38</v>
      </c>
      <c r="I245" s="111" t="s">
        <v>1721</v>
      </c>
      <c r="J245" s="1321" t="s">
        <v>5608</v>
      </c>
      <c r="K245" s="162" t="s">
        <v>5610</v>
      </c>
      <c r="L245" s="162" t="s">
        <v>5609</v>
      </c>
      <c r="M245" s="111">
        <v>47.876267368421061</v>
      </c>
      <c r="N245" s="111">
        <v>1819.2981600000003</v>
      </c>
      <c r="O245" s="111"/>
      <c r="P245" s="111"/>
      <c r="Q245" s="111"/>
      <c r="R245" s="111"/>
      <c r="S245" s="1249">
        <v>18</v>
      </c>
      <c r="T245" s="1250">
        <v>606.43272000000013</v>
      </c>
      <c r="U245" s="1250"/>
      <c r="V245" s="1250"/>
      <c r="W245" s="1251">
        <v>10</v>
      </c>
      <c r="X245" s="1250">
        <v>606.43272000000013</v>
      </c>
      <c r="Y245" s="1250"/>
      <c r="Z245" s="1250"/>
      <c r="AA245" s="1250"/>
      <c r="AB245" s="1250"/>
      <c r="AC245" s="1250"/>
      <c r="AD245" s="1250"/>
      <c r="AE245" s="1249">
        <v>10</v>
      </c>
      <c r="AF245" s="1250">
        <v>606.43272000000013</v>
      </c>
      <c r="AG245" s="111"/>
      <c r="AH245" s="111"/>
      <c r="AI245" s="111"/>
      <c r="AJ245" s="111"/>
      <c r="AK245" s="111"/>
      <c r="AL245" s="111"/>
      <c r="AM245" s="111">
        <v>1819.2981600000003</v>
      </c>
    </row>
    <row r="246" spans="1:39" ht="15" customHeight="1" x14ac:dyDescent="0.25">
      <c r="A246" s="1409"/>
      <c r="B246" s="1409"/>
      <c r="C246" s="1409"/>
      <c r="D246" s="1409"/>
      <c r="E246" s="1252"/>
      <c r="F246" s="1248" t="s">
        <v>4406</v>
      </c>
      <c r="G246" s="111"/>
      <c r="H246" s="1249">
        <v>10</v>
      </c>
      <c r="I246" s="111" t="s">
        <v>1734</v>
      </c>
      <c r="J246" s="1321" t="s">
        <v>5608</v>
      </c>
      <c r="K246" s="162" t="s">
        <v>5610</v>
      </c>
      <c r="L246" s="162" t="s">
        <v>5609</v>
      </c>
      <c r="M246" s="111">
        <v>14.91</v>
      </c>
      <c r="N246" s="111">
        <v>149.1</v>
      </c>
      <c r="O246" s="111"/>
      <c r="P246" s="111"/>
      <c r="Q246" s="111"/>
      <c r="R246" s="111"/>
      <c r="S246" s="1249">
        <v>4</v>
      </c>
      <c r="T246" s="1250">
        <v>49.699999999999996</v>
      </c>
      <c r="U246" s="1250"/>
      <c r="V246" s="1250"/>
      <c r="W246" s="1251">
        <v>4</v>
      </c>
      <c r="X246" s="1250">
        <v>49.699999999999996</v>
      </c>
      <c r="Y246" s="1250"/>
      <c r="Z246" s="1250"/>
      <c r="AA246" s="1250"/>
      <c r="AB246" s="1250"/>
      <c r="AC246" s="1250"/>
      <c r="AD246" s="1250"/>
      <c r="AE246" s="1249">
        <v>2</v>
      </c>
      <c r="AF246" s="1250">
        <v>49.699999999999996</v>
      </c>
      <c r="AG246" s="111"/>
      <c r="AH246" s="111"/>
      <c r="AI246" s="111"/>
      <c r="AJ246" s="111"/>
      <c r="AK246" s="111"/>
      <c r="AL246" s="111"/>
      <c r="AM246" s="111">
        <v>149.1</v>
      </c>
    </row>
    <row r="247" spans="1:39" ht="15" customHeight="1" x14ac:dyDescent="0.25">
      <c r="A247" s="1409"/>
      <c r="B247" s="1409"/>
      <c r="C247" s="1409"/>
      <c r="D247" s="1409"/>
      <c r="E247" s="1252"/>
      <c r="F247" s="1248" t="s">
        <v>4407</v>
      </c>
      <c r="G247" s="111"/>
      <c r="H247" s="1249">
        <v>6</v>
      </c>
      <c r="I247" s="111" t="s">
        <v>1734</v>
      </c>
      <c r="J247" s="1321" t="s">
        <v>5608</v>
      </c>
      <c r="K247" s="162" t="s">
        <v>5610</v>
      </c>
      <c r="L247" s="162" t="s">
        <v>5609</v>
      </c>
      <c r="M247" s="111">
        <v>310.85809920000003</v>
      </c>
      <c r="N247" s="111">
        <v>1865.1485952000003</v>
      </c>
      <c r="O247" s="111"/>
      <c r="P247" s="111"/>
      <c r="Q247" s="111"/>
      <c r="R247" s="111"/>
      <c r="S247" s="1249">
        <v>2</v>
      </c>
      <c r="T247" s="1250">
        <v>621.71619840000005</v>
      </c>
      <c r="U247" s="1250"/>
      <c r="V247" s="1250"/>
      <c r="W247" s="1251">
        <v>2</v>
      </c>
      <c r="X247" s="1250">
        <v>621.71619840000005</v>
      </c>
      <c r="Y247" s="1250"/>
      <c r="Z247" s="1250"/>
      <c r="AA247" s="1250"/>
      <c r="AB247" s="1250"/>
      <c r="AC247" s="1250"/>
      <c r="AD247" s="1250"/>
      <c r="AE247" s="1249">
        <v>2</v>
      </c>
      <c r="AF247" s="1250">
        <v>621.71619840000005</v>
      </c>
      <c r="AG247" s="111"/>
      <c r="AH247" s="111"/>
      <c r="AI247" s="111"/>
      <c r="AJ247" s="111"/>
      <c r="AK247" s="111"/>
      <c r="AL247" s="111"/>
      <c r="AM247" s="111">
        <v>1865.1485952000003</v>
      </c>
    </row>
    <row r="248" spans="1:39" ht="15" customHeight="1" x14ac:dyDescent="0.25">
      <c r="A248" s="1409"/>
      <c r="B248" s="1409"/>
      <c r="C248" s="1409"/>
      <c r="D248" s="1409"/>
      <c r="E248" s="1252"/>
      <c r="F248" s="1248" t="s">
        <v>4408</v>
      </c>
      <c r="G248" s="111"/>
      <c r="H248" s="1249">
        <v>9</v>
      </c>
      <c r="I248" s="111" t="s">
        <v>1734</v>
      </c>
      <c r="J248" s="1321" t="s">
        <v>5608</v>
      </c>
      <c r="K248" s="162" t="s">
        <v>5610</v>
      </c>
      <c r="L248" s="162" t="s">
        <v>5609</v>
      </c>
      <c r="M248" s="111">
        <v>466.28714880000007</v>
      </c>
      <c r="N248" s="111">
        <v>4196.5843392000006</v>
      </c>
      <c r="O248" s="111"/>
      <c r="P248" s="111"/>
      <c r="Q248" s="111"/>
      <c r="R248" s="111"/>
      <c r="S248" s="1249">
        <v>5</v>
      </c>
      <c r="T248" s="1250">
        <v>1398.8614464000002</v>
      </c>
      <c r="U248" s="1250"/>
      <c r="V248" s="1250"/>
      <c r="W248" s="1251">
        <v>2</v>
      </c>
      <c r="X248" s="1250">
        <v>1398.8614464000002</v>
      </c>
      <c r="Y248" s="1250"/>
      <c r="Z248" s="1250"/>
      <c r="AA248" s="1250"/>
      <c r="AB248" s="1250"/>
      <c r="AC248" s="1250"/>
      <c r="AD248" s="1250"/>
      <c r="AE248" s="1249">
        <v>2</v>
      </c>
      <c r="AF248" s="1250">
        <v>1398.8614464000002</v>
      </c>
      <c r="AG248" s="111"/>
      <c r="AH248" s="111"/>
      <c r="AI248" s="111"/>
      <c r="AJ248" s="111"/>
      <c r="AK248" s="111"/>
      <c r="AL248" s="111"/>
      <c r="AM248" s="111">
        <v>4196.5843392000006</v>
      </c>
    </row>
    <row r="249" spans="1:39" ht="15" customHeight="1" x14ac:dyDescent="0.25">
      <c r="A249" s="1409"/>
      <c r="B249" s="1409"/>
      <c r="C249" s="1409"/>
      <c r="D249" s="1409"/>
      <c r="E249" s="1252"/>
      <c r="F249" s="1248" t="s">
        <v>128</v>
      </c>
      <c r="G249" s="111"/>
      <c r="H249" s="1249">
        <v>1</v>
      </c>
      <c r="I249" s="111" t="s">
        <v>1725</v>
      </c>
      <c r="J249" s="1321" t="s">
        <v>5608</v>
      </c>
      <c r="K249" s="162" t="s">
        <v>5610</v>
      </c>
      <c r="L249" s="162" t="s">
        <v>5609</v>
      </c>
      <c r="M249" s="111">
        <v>41.609199999999994</v>
      </c>
      <c r="N249" s="111">
        <v>41.609199999999994</v>
      </c>
      <c r="O249" s="111"/>
      <c r="P249" s="111"/>
      <c r="Q249" s="111"/>
      <c r="R249" s="111"/>
      <c r="S249" s="1249">
        <v>1</v>
      </c>
      <c r="T249" s="1250">
        <v>13.869733333333331</v>
      </c>
      <c r="U249" s="1250"/>
      <c r="V249" s="1250"/>
      <c r="W249" s="1251">
        <v>0</v>
      </c>
      <c r="X249" s="1250">
        <v>13.869733333333331</v>
      </c>
      <c r="Y249" s="1250"/>
      <c r="Z249" s="1250"/>
      <c r="AA249" s="1250"/>
      <c r="AB249" s="1250"/>
      <c r="AC249" s="1250"/>
      <c r="AD249" s="1250"/>
      <c r="AE249" s="1249">
        <v>0</v>
      </c>
      <c r="AF249" s="1250">
        <v>13.869733333333331</v>
      </c>
      <c r="AG249" s="111"/>
      <c r="AH249" s="111"/>
      <c r="AI249" s="111"/>
      <c r="AJ249" s="111"/>
      <c r="AK249" s="111"/>
      <c r="AL249" s="111"/>
      <c r="AM249" s="111">
        <v>41.609199999999994</v>
      </c>
    </row>
    <row r="250" spans="1:39" ht="15" customHeight="1" x14ac:dyDescent="0.25">
      <c r="A250" s="1409"/>
      <c r="B250" s="1409"/>
      <c r="C250" s="1409"/>
      <c r="D250" s="1409"/>
      <c r="E250" s="1252"/>
      <c r="F250" s="1248" t="s">
        <v>2507</v>
      </c>
      <c r="G250" s="111"/>
      <c r="H250" s="1249">
        <v>3</v>
      </c>
      <c r="I250" s="111" t="s">
        <v>1725</v>
      </c>
      <c r="J250" s="1321" t="s">
        <v>5608</v>
      </c>
      <c r="K250" s="162" t="s">
        <v>5610</v>
      </c>
      <c r="L250" s="162" t="s">
        <v>5609</v>
      </c>
      <c r="M250" s="111">
        <v>125.41000000000001</v>
      </c>
      <c r="N250" s="111">
        <v>376.23</v>
      </c>
      <c r="O250" s="111"/>
      <c r="P250" s="111"/>
      <c r="Q250" s="111"/>
      <c r="R250" s="111"/>
      <c r="S250" s="1249">
        <v>2</v>
      </c>
      <c r="T250" s="1250">
        <v>125.41000000000001</v>
      </c>
      <c r="U250" s="1250"/>
      <c r="V250" s="1250"/>
      <c r="W250" s="1251">
        <v>1</v>
      </c>
      <c r="X250" s="1250">
        <v>125.41000000000001</v>
      </c>
      <c r="Y250" s="1250"/>
      <c r="Z250" s="1250"/>
      <c r="AA250" s="1250"/>
      <c r="AB250" s="1250"/>
      <c r="AC250" s="1250"/>
      <c r="AD250" s="1250"/>
      <c r="AE250" s="1249">
        <v>0</v>
      </c>
      <c r="AF250" s="1250">
        <v>125.41000000000001</v>
      </c>
      <c r="AG250" s="111"/>
      <c r="AH250" s="111"/>
      <c r="AI250" s="111"/>
      <c r="AJ250" s="111"/>
      <c r="AK250" s="111"/>
      <c r="AL250" s="111"/>
      <c r="AM250" s="111">
        <v>376.23</v>
      </c>
    </row>
    <row r="251" spans="1:39" ht="15" customHeight="1" x14ac:dyDescent="0.25">
      <c r="A251" s="1409"/>
      <c r="B251" s="1409"/>
      <c r="C251" s="1409"/>
      <c r="D251" s="1409"/>
      <c r="E251" s="1247"/>
      <c r="F251" s="1248" t="s">
        <v>4409</v>
      </c>
      <c r="G251" s="111"/>
      <c r="H251" s="1249">
        <v>130</v>
      </c>
      <c r="I251" s="111" t="s">
        <v>1749</v>
      </c>
      <c r="J251" s="1321" t="s">
        <v>5608</v>
      </c>
      <c r="K251" s="162" t="s">
        <v>5610</v>
      </c>
      <c r="L251" s="162" t="s">
        <v>5609</v>
      </c>
      <c r="M251" s="111">
        <v>3.4455390769230769</v>
      </c>
      <c r="N251" s="111">
        <v>447.92007999999998</v>
      </c>
      <c r="O251" s="111"/>
      <c r="P251" s="111"/>
      <c r="Q251" s="111"/>
      <c r="R251" s="111"/>
      <c r="S251" s="1249">
        <v>50</v>
      </c>
      <c r="T251" s="1250">
        <v>149.30669333333333</v>
      </c>
      <c r="U251" s="1250"/>
      <c r="V251" s="1250"/>
      <c r="W251" s="1251">
        <v>50</v>
      </c>
      <c r="X251" s="1250">
        <v>149.30669333333333</v>
      </c>
      <c r="Y251" s="1250"/>
      <c r="Z251" s="1250"/>
      <c r="AA251" s="1250"/>
      <c r="AB251" s="1250"/>
      <c r="AC251" s="1250"/>
      <c r="AD251" s="1250"/>
      <c r="AE251" s="1249">
        <v>30</v>
      </c>
      <c r="AF251" s="1250">
        <v>149.30669333333333</v>
      </c>
      <c r="AG251" s="111"/>
      <c r="AH251" s="111"/>
      <c r="AI251" s="111"/>
      <c r="AJ251" s="111"/>
      <c r="AK251" s="111"/>
      <c r="AL251" s="111"/>
      <c r="AM251" s="111">
        <v>447.92007999999998</v>
      </c>
    </row>
    <row r="252" spans="1:39" ht="15" customHeight="1" x14ac:dyDescent="0.25">
      <c r="A252" s="1409"/>
      <c r="B252" s="1409"/>
      <c r="C252" s="1409"/>
      <c r="D252" s="1409"/>
      <c r="E252" s="1252"/>
      <c r="F252" s="1248" t="s">
        <v>4410</v>
      </c>
      <c r="G252" s="111"/>
      <c r="H252" s="1249">
        <v>28</v>
      </c>
      <c r="I252" s="111" t="s">
        <v>1725</v>
      </c>
      <c r="J252" s="1321" t="s">
        <v>5608</v>
      </c>
      <c r="K252" s="162" t="s">
        <v>5610</v>
      </c>
      <c r="L252" s="162" t="s">
        <v>5609</v>
      </c>
      <c r="M252" s="111">
        <v>196.69</v>
      </c>
      <c r="N252" s="111">
        <v>5507.32</v>
      </c>
      <c r="O252" s="111"/>
      <c r="P252" s="111"/>
      <c r="Q252" s="111"/>
      <c r="R252" s="111"/>
      <c r="S252" s="1249">
        <v>10</v>
      </c>
      <c r="T252" s="1250">
        <v>1835.7733333333333</v>
      </c>
      <c r="U252" s="1250"/>
      <c r="V252" s="1250"/>
      <c r="W252" s="1251">
        <v>10</v>
      </c>
      <c r="X252" s="1250">
        <v>1835.7733333333333</v>
      </c>
      <c r="Y252" s="1250"/>
      <c r="Z252" s="1250"/>
      <c r="AA252" s="1250"/>
      <c r="AB252" s="1250"/>
      <c r="AC252" s="1250"/>
      <c r="AD252" s="1250"/>
      <c r="AE252" s="1249">
        <v>8</v>
      </c>
      <c r="AF252" s="1250">
        <v>1835.7733333333333</v>
      </c>
      <c r="AG252" s="111"/>
      <c r="AH252" s="111"/>
      <c r="AI252" s="111"/>
      <c r="AJ252" s="111"/>
      <c r="AK252" s="111"/>
      <c r="AL252" s="111"/>
      <c r="AM252" s="111">
        <v>5507.32</v>
      </c>
    </row>
    <row r="253" spans="1:39" ht="15" customHeight="1" x14ac:dyDescent="0.25">
      <c r="A253" s="1409"/>
      <c r="B253" s="1409"/>
      <c r="C253" s="1409"/>
      <c r="D253" s="1409"/>
      <c r="E253" s="1252"/>
      <c r="F253" s="1248" t="s">
        <v>4411</v>
      </c>
      <c r="G253" s="111"/>
      <c r="H253" s="1249">
        <v>180</v>
      </c>
      <c r="I253" s="111" t="s">
        <v>1749</v>
      </c>
      <c r="J253" s="1321" t="s">
        <v>5608</v>
      </c>
      <c r="K253" s="162" t="s">
        <v>5610</v>
      </c>
      <c r="L253" s="162" t="s">
        <v>5609</v>
      </c>
      <c r="M253" s="111">
        <v>12.029264</v>
      </c>
      <c r="N253" s="111">
        <v>2165.2675199999999</v>
      </c>
      <c r="O253" s="111"/>
      <c r="P253" s="111"/>
      <c r="Q253" s="111"/>
      <c r="R253" s="111"/>
      <c r="S253" s="1249">
        <v>80</v>
      </c>
      <c r="T253" s="1250">
        <v>721.75583999999992</v>
      </c>
      <c r="U253" s="1250"/>
      <c r="V253" s="1250"/>
      <c r="W253" s="1251">
        <v>50</v>
      </c>
      <c r="X253" s="1250">
        <v>721.75583999999992</v>
      </c>
      <c r="Y253" s="1250"/>
      <c r="Z253" s="1250"/>
      <c r="AA253" s="1250"/>
      <c r="AB253" s="1250"/>
      <c r="AC253" s="1250"/>
      <c r="AD253" s="1250"/>
      <c r="AE253" s="1249">
        <v>50</v>
      </c>
      <c r="AF253" s="1250">
        <v>721.75583999999992</v>
      </c>
      <c r="AG253" s="111"/>
      <c r="AH253" s="111"/>
      <c r="AI253" s="111"/>
      <c r="AJ253" s="111"/>
      <c r="AK253" s="111"/>
      <c r="AL253" s="111"/>
      <c r="AM253" s="111">
        <v>2165.2675199999999</v>
      </c>
    </row>
    <row r="254" spans="1:39" ht="15" customHeight="1" x14ac:dyDescent="0.25">
      <c r="A254" s="1409"/>
      <c r="B254" s="1409"/>
      <c r="C254" s="1409"/>
      <c r="D254" s="1409"/>
      <c r="E254" s="1252"/>
      <c r="F254" s="1248" t="s">
        <v>132</v>
      </c>
      <c r="G254" s="111"/>
      <c r="H254" s="1249">
        <v>10</v>
      </c>
      <c r="I254" s="111" t="s">
        <v>1749</v>
      </c>
      <c r="J254" s="1321" t="s">
        <v>5608</v>
      </c>
      <c r="K254" s="162" t="s">
        <v>5610</v>
      </c>
      <c r="L254" s="162" t="s">
        <v>5609</v>
      </c>
      <c r="M254" s="111">
        <v>18.600000000000001</v>
      </c>
      <c r="N254" s="111">
        <v>186</v>
      </c>
      <c r="O254" s="111"/>
      <c r="P254" s="111"/>
      <c r="Q254" s="111"/>
      <c r="R254" s="111"/>
      <c r="S254" s="1249">
        <v>4</v>
      </c>
      <c r="T254" s="1250">
        <v>62</v>
      </c>
      <c r="U254" s="1250"/>
      <c r="V254" s="1250"/>
      <c r="W254" s="1251">
        <v>4</v>
      </c>
      <c r="X254" s="1250">
        <v>62</v>
      </c>
      <c r="Y254" s="1250"/>
      <c r="Z254" s="1250"/>
      <c r="AA254" s="1250"/>
      <c r="AB254" s="1250"/>
      <c r="AC254" s="1250"/>
      <c r="AD254" s="1250"/>
      <c r="AE254" s="1249">
        <v>2</v>
      </c>
      <c r="AF254" s="1250">
        <v>62</v>
      </c>
      <c r="AG254" s="111"/>
      <c r="AH254" s="111"/>
      <c r="AI254" s="111"/>
      <c r="AJ254" s="111"/>
      <c r="AK254" s="111"/>
      <c r="AL254" s="111"/>
      <c r="AM254" s="111">
        <v>186</v>
      </c>
    </row>
    <row r="255" spans="1:39" ht="15" customHeight="1" x14ac:dyDescent="0.25">
      <c r="A255" s="1409"/>
      <c r="B255" s="1409"/>
      <c r="C255" s="1409"/>
      <c r="D255" s="1409"/>
      <c r="E255" s="1252"/>
      <c r="F255" s="1248" t="s">
        <v>133</v>
      </c>
      <c r="G255" s="111"/>
      <c r="H255" s="1249">
        <v>1</v>
      </c>
      <c r="I255" s="111" t="s">
        <v>1725</v>
      </c>
      <c r="J255" s="1321" t="s">
        <v>5608</v>
      </c>
      <c r="K255" s="162" t="s">
        <v>5610</v>
      </c>
      <c r="L255" s="162" t="s">
        <v>5609</v>
      </c>
      <c r="M255" s="111">
        <v>75.349999999999994</v>
      </c>
      <c r="N255" s="111">
        <v>75.349999999999994</v>
      </c>
      <c r="O255" s="111"/>
      <c r="P255" s="111"/>
      <c r="Q255" s="111"/>
      <c r="R255" s="111"/>
      <c r="S255" s="1249">
        <v>1</v>
      </c>
      <c r="T255" s="1250">
        <v>25.116666666666664</v>
      </c>
      <c r="U255" s="1250"/>
      <c r="V255" s="1250"/>
      <c r="W255" s="1251">
        <v>0</v>
      </c>
      <c r="X255" s="1250">
        <v>25.116666666666664</v>
      </c>
      <c r="Y255" s="1250"/>
      <c r="Z255" s="1250"/>
      <c r="AA255" s="1250"/>
      <c r="AB255" s="1250"/>
      <c r="AC255" s="1250"/>
      <c r="AD255" s="1250"/>
      <c r="AE255" s="1249">
        <v>0</v>
      </c>
      <c r="AF255" s="1250">
        <v>25.116666666666664</v>
      </c>
      <c r="AG255" s="111"/>
      <c r="AH255" s="111"/>
      <c r="AI255" s="111"/>
      <c r="AJ255" s="111"/>
      <c r="AK255" s="111"/>
      <c r="AL255" s="111"/>
      <c r="AM255" s="111">
        <v>75.349999999999994</v>
      </c>
    </row>
    <row r="256" spans="1:39" ht="15" customHeight="1" x14ac:dyDescent="0.25">
      <c r="A256" s="1409"/>
      <c r="B256" s="1409"/>
      <c r="C256" s="1409"/>
      <c r="D256" s="1409"/>
      <c r="E256" s="1252"/>
      <c r="F256" s="1248" t="s">
        <v>2551</v>
      </c>
      <c r="G256" s="111"/>
      <c r="H256" s="1249">
        <v>1</v>
      </c>
      <c r="I256" s="111" t="s">
        <v>1725</v>
      </c>
      <c r="J256" s="1321" t="s">
        <v>5608</v>
      </c>
      <c r="K256" s="162" t="s">
        <v>5610</v>
      </c>
      <c r="L256" s="162" t="s">
        <v>5609</v>
      </c>
      <c r="M256" s="111">
        <v>125.41</v>
      </c>
      <c r="N256" s="111">
        <v>125.41</v>
      </c>
      <c r="O256" s="111"/>
      <c r="P256" s="111"/>
      <c r="Q256" s="111"/>
      <c r="R256" s="111"/>
      <c r="S256" s="1249">
        <v>1</v>
      </c>
      <c r="T256" s="1250">
        <v>41.803333333333335</v>
      </c>
      <c r="U256" s="1250"/>
      <c r="V256" s="1250"/>
      <c r="W256" s="1251">
        <v>0</v>
      </c>
      <c r="X256" s="1250">
        <v>41.803333333333335</v>
      </c>
      <c r="Y256" s="1250"/>
      <c r="Z256" s="1250"/>
      <c r="AA256" s="1250"/>
      <c r="AB256" s="1250"/>
      <c r="AC256" s="1250"/>
      <c r="AD256" s="1250"/>
      <c r="AE256" s="1249">
        <v>0</v>
      </c>
      <c r="AF256" s="1250">
        <v>41.803333333333335</v>
      </c>
      <c r="AG256" s="111"/>
      <c r="AH256" s="111"/>
      <c r="AI256" s="111"/>
      <c r="AJ256" s="111"/>
      <c r="AK256" s="111"/>
      <c r="AL256" s="111"/>
      <c r="AM256" s="111">
        <v>125.41</v>
      </c>
    </row>
    <row r="257" spans="1:39" ht="15" customHeight="1" x14ac:dyDescent="0.25">
      <c r="A257" s="1409"/>
      <c r="B257" s="1409"/>
      <c r="C257" s="1409"/>
      <c r="D257" s="1409"/>
      <c r="E257" s="1252"/>
      <c r="F257" s="1248" t="s">
        <v>135</v>
      </c>
      <c r="G257" s="111"/>
      <c r="H257" s="1249">
        <v>10</v>
      </c>
      <c r="I257" s="111" t="s">
        <v>1725</v>
      </c>
      <c r="J257" s="1321" t="s">
        <v>5608</v>
      </c>
      <c r="K257" s="162" t="s">
        <v>5610</v>
      </c>
      <c r="L257" s="162" t="s">
        <v>5609</v>
      </c>
      <c r="M257" s="111">
        <v>75.44</v>
      </c>
      <c r="N257" s="111">
        <v>754.4</v>
      </c>
      <c r="O257" s="111"/>
      <c r="P257" s="111"/>
      <c r="Q257" s="111"/>
      <c r="R257" s="111"/>
      <c r="S257" s="1249">
        <v>4</v>
      </c>
      <c r="T257" s="1250">
        <v>251.46666666666667</v>
      </c>
      <c r="U257" s="1250"/>
      <c r="V257" s="1250"/>
      <c r="W257" s="1251">
        <v>4</v>
      </c>
      <c r="X257" s="1250">
        <v>251.46666666666667</v>
      </c>
      <c r="Y257" s="1250"/>
      <c r="Z257" s="1250"/>
      <c r="AA257" s="1250"/>
      <c r="AB257" s="1250"/>
      <c r="AC257" s="1250"/>
      <c r="AD257" s="1250"/>
      <c r="AE257" s="1249">
        <v>2</v>
      </c>
      <c r="AF257" s="1250">
        <v>251.46666666666667</v>
      </c>
      <c r="AG257" s="111"/>
      <c r="AH257" s="111"/>
      <c r="AI257" s="111"/>
      <c r="AJ257" s="111"/>
      <c r="AK257" s="111"/>
      <c r="AL257" s="111"/>
      <c r="AM257" s="111">
        <v>754.4</v>
      </c>
    </row>
    <row r="258" spans="1:39" ht="15" customHeight="1" x14ac:dyDescent="0.25">
      <c r="A258" s="1409"/>
      <c r="B258" s="1409"/>
      <c r="C258" s="1409"/>
      <c r="D258" s="1409"/>
      <c r="E258" s="1252"/>
      <c r="F258" s="1248" t="s">
        <v>4412</v>
      </c>
      <c r="G258" s="111"/>
      <c r="H258" s="1249">
        <v>5</v>
      </c>
      <c r="I258" s="111" t="s">
        <v>1725</v>
      </c>
      <c r="J258" s="1321" t="s">
        <v>5608</v>
      </c>
      <c r="K258" s="162" t="s">
        <v>5610</v>
      </c>
      <c r="L258" s="162" t="s">
        <v>5609</v>
      </c>
      <c r="M258" s="111">
        <v>39.979999999999997</v>
      </c>
      <c r="N258" s="111">
        <v>199.89999999999998</v>
      </c>
      <c r="O258" s="111"/>
      <c r="P258" s="111"/>
      <c r="Q258" s="111"/>
      <c r="R258" s="111"/>
      <c r="S258" s="1249">
        <v>2</v>
      </c>
      <c r="T258" s="1250">
        <v>66.633333333333326</v>
      </c>
      <c r="U258" s="1250"/>
      <c r="V258" s="1250"/>
      <c r="W258" s="1251">
        <v>2</v>
      </c>
      <c r="X258" s="1250">
        <v>66.633333333333326</v>
      </c>
      <c r="Y258" s="1250"/>
      <c r="Z258" s="1250"/>
      <c r="AA258" s="1250"/>
      <c r="AB258" s="1250"/>
      <c r="AC258" s="1250"/>
      <c r="AD258" s="1250"/>
      <c r="AE258" s="1249">
        <v>1</v>
      </c>
      <c r="AF258" s="1250">
        <v>66.633333333333326</v>
      </c>
      <c r="AG258" s="111"/>
      <c r="AH258" s="111"/>
      <c r="AI258" s="111"/>
      <c r="AJ258" s="111"/>
      <c r="AK258" s="111"/>
      <c r="AL258" s="111"/>
      <c r="AM258" s="111">
        <v>199.89999999999998</v>
      </c>
    </row>
    <row r="259" spans="1:39" ht="15" customHeight="1" x14ac:dyDescent="0.25">
      <c r="A259" s="1409"/>
      <c r="B259" s="1409"/>
      <c r="C259" s="1409"/>
      <c r="D259" s="1409"/>
      <c r="E259" s="1252"/>
      <c r="F259" s="1248" t="s">
        <v>136</v>
      </c>
      <c r="G259" s="111"/>
      <c r="H259" s="1249">
        <v>2</v>
      </c>
      <c r="I259" s="111" t="s">
        <v>1725</v>
      </c>
      <c r="J259" s="1321" t="s">
        <v>5608</v>
      </c>
      <c r="K259" s="162" t="s">
        <v>5610</v>
      </c>
      <c r="L259" s="162" t="s">
        <v>5609</v>
      </c>
      <c r="M259" s="111">
        <v>99.22</v>
      </c>
      <c r="N259" s="111">
        <v>198.44</v>
      </c>
      <c r="O259" s="111"/>
      <c r="P259" s="111"/>
      <c r="Q259" s="111"/>
      <c r="R259" s="111"/>
      <c r="S259" s="1249">
        <v>1</v>
      </c>
      <c r="T259" s="1250">
        <v>66.146666666666661</v>
      </c>
      <c r="U259" s="1250"/>
      <c r="V259" s="1250"/>
      <c r="W259" s="1251">
        <v>1</v>
      </c>
      <c r="X259" s="1250">
        <v>66.146666666666661</v>
      </c>
      <c r="Y259" s="1250"/>
      <c r="Z259" s="1250"/>
      <c r="AA259" s="1250"/>
      <c r="AB259" s="1250"/>
      <c r="AC259" s="1250"/>
      <c r="AD259" s="1250"/>
      <c r="AE259" s="1249">
        <v>0</v>
      </c>
      <c r="AF259" s="1250">
        <v>66.146666666666661</v>
      </c>
      <c r="AG259" s="111"/>
      <c r="AH259" s="111"/>
      <c r="AI259" s="111"/>
      <c r="AJ259" s="111"/>
      <c r="AK259" s="111"/>
      <c r="AL259" s="111"/>
      <c r="AM259" s="111">
        <v>198.44</v>
      </c>
    </row>
    <row r="260" spans="1:39" ht="15" customHeight="1" x14ac:dyDescent="0.25">
      <c r="A260" s="1409"/>
      <c r="B260" s="1409"/>
      <c r="C260" s="1409"/>
      <c r="D260" s="1409"/>
      <c r="E260" s="1252"/>
      <c r="F260" s="1248" t="s">
        <v>4413</v>
      </c>
      <c r="G260" s="111"/>
      <c r="H260" s="1249">
        <v>200</v>
      </c>
      <c r="I260" s="111" t="s">
        <v>1721</v>
      </c>
      <c r="J260" s="1321" t="s">
        <v>5608</v>
      </c>
      <c r="K260" s="162" t="s">
        <v>5610</v>
      </c>
      <c r="L260" s="162" t="s">
        <v>5609</v>
      </c>
      <c r="M260" s="111">
        <v>154.39599999999999</v>
      </c>
      <c r="N260" s="111">
        <v>30879.199999999997</v>
      </c>
      <c r="O260" s="111"/>
      <c r="P260" s="111"/>
      <c r="Q260" s="111"/>
      <c r="R260" s="111"/>
      <c r="S260" s="1249">
        <v>100</v>
      </c>
      <c r="T260" s="1250">
        <v>10293.066666666666</v>
      </c>
      <c r="U260" s="1250"/>
      <c r="V260" s="1250"/>
      <c r="W260" s="1251">
        <v>50</v>
      </c>
      <c r="X260" s="1250">
        <v>10293.066666666666</v>
      </c>
      <c r="Y260" s="1250"/>
      <c r="Z260" s="1250"/>
      <c r="AA260" s="1250"/>
      <c r="AB260" s="1250"/>
      <c r="AC260" s="1250"/>
      <c r="AD260" s="1250"/>
      <c r="AE260" s="1249">
        <v>50</v>
      </c>
      <c r="AF260" s="1250">
        <v>10293.066666666666</v>
      </c>
      <c r="AG260" s="111"/>
      <c r="AH260" s="111"/>
      <c r="AI260" s="111"/>
      <c r="AJ260" s="111"/>
      <c r="AK260" s="111"/>
      <c r="AL260" s="111"/>
      <c r="AM260" s="111">
        <v>30879.199999999997</v>
      </c>
    </row>
    <row r="261" spans="1:39" ht="15" customHeight="1" x14ac:dyDescent="0.25">
      <c r="A261" s="1409"/>
      <c r="B261" s="1409"/>
      <c r="C261" s="1409"/>
      <c r="D261" s="1409"/>
      <c r="E261" s="1247"/>
      <c r="F261" s="1248"/>
      <c r="G261" s="111"/>
      <c r="H261" s="1249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249"/>
      <c r="T261" s="1250"/>
      <c r="U261" s="1250"/>
      <c r="V261" s="1250"/>
      <c r="W261" s="1251"/>
      <c r="X261" s="1250"/>
      <c r="Y261" s="1250"/>
      <c r="Z261" s="1250"/>
      <c r="AA261" s="1250"/>
      <c r="AB261" s="1250"/>
      <c r="AC261" s="1250"/>
      <c r="AD261" s="1250"/>
      <c r="AE261" s="1249"/>
      <c r="AF261" s="1250"/>
      <c r="AG261" s="111"/>
      <c r="AH261" s="111"/>
      <c r="AI261" s="111"/>
      <c r="AJ261" s="111"/>
      <c r="AK261" s="111"/>
      <c r="AL261" s="111"/>
      <c r="AM261" s="111"/>
    </row>
    <row r="262" spans="1:39" ht="15" customHeight="1" x14ac:dyDescent="0.25">
      <c r="A262" s="1409"/>
      <c r="B262" s="1409"/>
      <c r="C262" s="1409"/>
      <c r="D262" s="1409"/>
      <c r="E262" s="1218">
        <v>212</v>
      </c>
      <c r="F262" s="1259" t="s">
        <v>138</v>
      </c>
      <c r="G262" s="1260"/>
      <c r="H262" s="1260"/>
      <c r="I262" s="1260"/>
      <c r="J262" s="1260"/>
      <c r="K262" s="1260"/>
      <c r="L262" s="1260"/>
      <c r="M262" s="1260"/>
      <c r="N262" s="1260"/>
      <c r="O262" s="1260"/>
      <c r="P262" s="1260"/>
      <c r="Q262" s="1260"/>
      <c r="R262" s="1260"/>
      <c r="S262" s="1260"/>
      <c r="T262" s="1260"/>
      <c r="U262" s="1260"/>
      <c r="V262" s="1260"/>
      <c r="W262" s="1260"/>
      <c r="X262" s="1260"/>
      <c r="Y262" s="1260"/>
      <c r="Z262" s="1260"/>
      <c r="AA262" s="1260"/>
      <c r="AB262" s="1260"/>
      <c r="AC262" s="1260"/>
      <c r="AD262" s="1260"/>
      <c r="AE262" s="1260"/>
      <c r="AF262" s="1260"/>
      <c r="AG262" s="1260"/>
      <c r="AH262" s="1260"/>
      <c r="AI262" s="1260"/>
      <c r="AJ262" s="1260"/>
      <c r="AK262" s="1260"/>
      <c r="AL262" s="1260"/>
      <c r="AM262" s="1260"/>
    </row>
    <row r="263" spans="1:39" ht="15" customHeight="1" x14ac:dyDescent="0.25">
      <c r="A263" s="1409"/>
      <c r="B263" s="1409"/>
      <c r="C263" s="1409"/>
      <c r="D263" s="1409"/>
      <c r="E263" s="1247"/>
      <c r="F263" s="1248"/>
      <c r="G263" s="111"/>
      <c r="H263" s="1249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249"/>
      <c r="T263" s="1250"/>
      <c r="U263" s="1250"/>
      <c r="V263" s="1250"/>
      <c r="W263" s="1251"/>
      <c r="X263" s="1250"/>
      <c r="Y263" s="1250"/>
      <c r="Z263" s="1250"/>
      <c r="AA263" s="1250"/>
      <c r="AB263" s="1250"/>
      <c r="AC263" s="1250"/>
      <c r="AD263" s="1250"/>
      <c r="AE263" s="1249"/>
      <c r="AF263" s="1250"/>
      <c r="AG263" s="111"/>
      <c r="AH263" s="111"/>
      <c r="AI263" s="111"/>
      <c r="AJ263" s="111"/>
      <c r="AK263" s="111"/>
      <c r="AL263" s="111"/>
      <c r="AM263" s="111"/>
    </row>
    <row r="264" spans="1:39" ht="15" customHeight="1" x14ac:dyDescent="0.25">
      <c r="A264" s="1409"/>
      <c r="B264" s="1409"/>
      <c r="C264" s="1409"/>
      <c r="D264" s="1409"/>
      <c r="E264" s="1261">
        <v>21205</v>
      </c>
      <c r="F264" s="1262" t="s">
        <v>4414</v>
      </c>
      <c r="G264" s="1261"/>
      <c r="H264" s="1261"/>
      <c r="I264" s="1261"/>
      <c r="J264" s="1261"/>
      <c r="K264" s="1261"/>
      <c r="L264" s="1261"/>
      <c r="M264" s="1261"/>
      <c r="N264" s="1261"/>
      <c r="O264" s="1261"/>
      <c r="P264" s="1261"/>
      <c r="Q264" s="1261"/>
      <c r="R264" s="1261"/>
      <c r="S264" s="1261"/>
      <c r="T264" s="1261"/>
      <c r="U264" s="1261"/>
      <c r="V264" s="1261"/>
      <c r="W264" s="1261"/>
      <c r="X264" s="1261"/>
      <c r="Y264" s="1261"/>
      <c r="Z264" s="1261"/>
      <c r="AA264" s="1261"/>
      <c r="AB264" s="1261"/>
      <c r="AC264" s="1261"/>
      <c r="AD264" s="1261"/>
      <c r="AE264" s="1261"/>
      <c r="AF264" s="1261"/>
      <c r="AG264" s="1261"/>
      <c r="AH264" s="1261"/>
      <c r="AI264" s="1261"/>
      <c r="AJ264" s="1261"/>
      <c r="AK264" s="1261"/>
      <c r="AL264" s="1261"/>
      <c r="AM264" s="1261"/>
    </row>
    <row r="265" spans="1:39" ht="15" customHeight="1" x14ac:dyDescent="0.25">
      <c r="A265" s="1409"/>
      <c r="B265" s="1409"/>
      <c r="C265" s="1409"/>
      <c r="D265" s="1409"/>
      <c r="E265" s="1263"/>
      <c r="F265" s="1248" t="s">
        <v>4415</v>
      </c>
      <c r="G265" s="111"/>
      <c r="H265" s="1249">
        <v>1</v>
      </c>
      <c r="I265" s="111" t="s">
        <v>1873</v>
      </c>
      <c r="J265" s="1321" t="s">
        <v>5608</v>
      </c>
      <c r="K265" s="162" t="s">
        <v>5610</v>
      </c>
      <c r="L265" s="162" t="s">
        <v>5609</v>
      </c>
      <c r="M265" s="111">
        <v>24.188319999999997</v>
      </c>
      <c r="N265" s="111">
        <v>24.188319999999997</v>
      </c>
      <c r="O265" s="111"/>
      <c r="P265" s="111"/>
      <c r="Q265" s="111"/>
      <c r="R265" s="111"/>
      <c r="S265" s="1249">
        <v>1</v>
      </c>
      <c r="T265" s="1250">
        <v>8.0627733333333325</v>
      </c>
      <c r="U265" s="1250"/>
      <c r="V265" s="1250"/>
      <c r="W265" s="1251">
        <v>0</v>
      </c>
      <c r="X265" s="1250">
        <v>8.0627733333333325</v>
      </c>
      <c r="Y265" s="1250"/>
      <c r="Z265" s="1250"/>
      <c r="AA265" s="1250"/>
      <c r="AB265" s="1250"/>
      <c r="AC265" s="1250"/>
      <c r="AD265" s="1250"/>
      <c r="AE265" s="1249">
        <v>0</v>
      </c>
      <c r="AF265" s="1250">
        <v>8.0627733333333325</v>
      </c>
      <c r="AG265" s="111"/>
      <c r="AH265" s="111"/>
      <c r="AI265" s="111"/>
      <c r="AJ265" s="111"/>
      <c r="AK265" s="111"/>
      <c r="AL265" s="111"/>
      <c r="AM265" s="111">
        <v>24.188319999999997</v>
      </c>
    </row>
    <row r="266" spans="1:39" ht="15" customHeight="1" x14ac:dyDescent="0.25">
      <c r="A266" s="1409"/>
      <c r="B266" s="1409"/>
      <c r="C266" s="1409"/>
      <c r="D266" s="1409"/>
      <c r="E266" s="1263"/>
      <c r="F266" s="1248" t="s">
        <v>4416</v>
      </c>
      <c r="G266" s="111"/>
      <c r="H266" s="1249">
        <v>1</v>
      </c>
      <c r="I266" s="111" t="s">
        <v>1873</v>
      </c>
      <c r="J266" s="1321" t="s">
        <v>5608</v>
      </c>
      <c r="K266" s="162" t="s">
        <v>5610</v>
      </c>
      <c r="L266" s="162" t="s">
        <v>5609</v>
      </c>
      <c r="M266" s="111">
        <v>33.310559999999995</v>
      </c>
      <c r="N266" s="111">
        <v>33.310559999999995</v>
      </c>
      <c r="O266" s="111"/>
      <c r="P266" s="111"/>
      <c r="Q266" s="111"/>
      <c r="R266" s="111"/>
      <c r="S266" s="1249">
        <v>1</v>
      </c>
      <c r="T266" s="1250">
        <v>11.103519999999998</v>
      </c>
      <c r="U266" s="1250"/>
      <c r="V266" s="1250"/>
      <c r="W266" s="1251">
        <v>0</v>
      </c>
      <c r="X266" s="1250">
        <v>11.103519999999998</v>
      </c>
      <c r="Y266" s="1250"/>
      <c r="Z266" s="1250"/>
      <c r="AA266" s="1250"/>
      <c r="AB266" s="1250"/>
      <c r="AC266" s="1250"/>
      <c r="AD266" s="1250"/>
      <c r="AE266" s="1249">
        <v>0</v>
      </c>
      <c r="AF266" s="1250">
        <v>11.103519999999998</v>
      </c>
      <c r="AG266" s="111"/>
      <c r="AH266" s="111"/>
      <c r="AI266" s="111"/>
      <c r="AJ266" s="111"/>
      <c r="AK266" s="111"/>
      <c r="AL266" s="111"/>
      <c r="AM266" s="111">
        <v>33.310559999999995</v>
      </c>
    </row>
    <row r="267" spans="1:39" ht="15" customHeight="1" x14ac:dyDescent="0.25">
      <c r="A267" s="1409"/>
      <c r="B267" s="1409"/>
      <c r="C267" s="1409"/>
      <c r="D267" s="1409"/>
      <c r="E267" s="1263"/>
      <c r="F267" s="1248" t="s">
        <v>4417</v>
      </c>
      <c r="G267" s="111"/>
      <c r="H267" s="1249">
        <v>1</v>
      </c>
      <c r="I267" s="111" t="s">
        <v>1873</v>
      </c>
      <c r="J267" s="1321" t="s">
        <v>5608</v>
      </c>
      <c r="K267" s="162" t="s">
        <v>5610</v>
      </c>
      <c r="L267" s="162" t="s">
        <v>5609</v>
      </c>
      <c r="M267" s="111">
        <v>60.488199999999999</v>
      </c>
      <c r="N267" s="111">
        <v>60.488199999999999</v>
      </c>
      <c r="O267" s="111"/>
      <c r="P267" s="111"/>
      <c r="Q267" s="111"/>
      <c r="R267" s="111"/>
      <c r="S267" s="1249">
        <v>1</v>
      </c>
      <c r="T267" s="1250">
        <v>20.162733333333332</v>
      </c>
      <c r="U267" s="1250"/>
      <c r="V267" s="1250"/>
      <c r="W267" s="1251">
        <v>0</v>
      </c>
      <c r="X267" s="1250">
        <v>20.162733333333332</v>
      </c>
      <c r="Y267" s="1250"/>
      <c r="Z267" s="1250"/>
      <c r="AA267" s="1250"/>
      <c r="AB267" s="1250"/>
      <c r="AC267" s="1250"/>
      <c r="AD267" s="1250"/>
      <c r="AE267" s="1249">
        <v>0</v>
      </c>
      <c r="AF267" s="1250">
        <v>20.162733333333332</v>
      </c>
      <c r="AG267" s="111"/>
      <c r="AH267" s="111"/>
      <c r="AI267" s="111"/>
      <c r="AJ267" s="111"/>
      <c r="AK267" s="111"/>
      <c r="AL267" s="111"/>
      <c r="AM267" s="111">
        <v>60.488199999999999</v>
      </c>
    </row>
    <row r="268" spans="1:39" ht="15" customHeight="1" x14ac:dyDescent="0.25">
      <c r="A268" s="1409"/>
      <c r="B268" s="1409"/>
      <c r="C268" s="1409"/>
      <c r="D268" s="1409"/>
      <c r="E268" s="1263"/>
      <c r="F268" s="1248" t="s">
        <v>4418</v>
      </c>
      <c r="G268" s="111"/>
      <c r="H268" s="1249">
        <v>1</v>
      </c>
      <c r="I268" s="111" t="s">
        <v>1873</v>
      </c>
      <c r="J268" s="1321" t="s">
        <v>5608</v>
      </c>
      <c r="K268" s="162" t="s">
        <v>5610</v>
      </c>
      <c r="L268" s="162" t="s">
        <v>5609</v>
      </c>
      <c r="M268" s="111">
        <v>339.86</v>
      </c>
      <c r="N268" s="111">
        <v>339.86</v>
      </c>
      <c r="O268" s="111"/>
      <c r="P268" s="111"/>
      <c r="Q268" s="111"/>
      <c r="R268" s="111"/>
      <c r="S268" s="1249">
        <v>1</v>
      </c>
      <c r="T268" s="1250">
        <v>113.28666666666668</v>
      </c>
      <c r="U268" s="1250"/>
      <c r="V268" s="1250"/>
      <c r="W268" s="1251">
        <v>0</v>
      </c>
      <c r="X268" s="1250">
        <v>113.28666666666668</v>
      </c>
      <c r="Y268" s="1250"/>
      <c r="Z268" s="1250"/>
      <c r="AA268" s="1250"/>
      <c r="AB268" s="1250"/>
      <c r="AC268" s="1250"/>
      <c r="AD268" s="1250"/>
      <c r="AE268" s="1249">
        <v>0</v>
      </c>
      <c r="AF268" s="1250">
        <v>113.28666666666668</v>
      </c>
      <c r="AG268" s="111"/>
      <c r="AH268" s="111"/>
      <c r="AI268" s="111"/>
      <c r="AJ268" s="111"/>
      <c r="AK268" s="111"/>
      <c r="AL268" s="111"/>
      <c r="AM268" s="111">
        <v>339.86</v>
      </c>
    </row>
    <row r="269" spans="1:39" ht="15" customHeight="1" x14ac:dyDescent="0.25">
      <c r="A269" s="1409"/>
      <c r="B269" s="1409"/>
      <c r="C269" s="1409"/>
      <c r="D269" s="1409"/>
      <c r="E269" s="1263"/>
      <c r="F269" s="1248" t="s">
        <v>4419</v>
      </c>
      <c r="G269" s="111"/>
      <c r="H269" s="1249">
        <v>1</v>
      </c>
      <c r="I269" s="111" t="s">
        <v>1721</v>
      </c>
      <c r="J269" s="1321" t="s">
        <v>5608</v>
      </c>
      <c r="K269" s="162" t="s">
        <v>5610</v>
      </c>
      <c r="L269" s="162" t="s">
        <v>5609</v>
      </c>
      <c r="M269" s="111">
        <v>9.5350000000000001</v>
      </c>
      <c r="N269" s="111">
        <v>9.5350000000000001</v>
      </c>
      <c r="O269" s="111"/>
      <c r="P269" s="111"/>
      <c r="Q269" s="111"/>
      <c r="R269" s="111"/>
      <c r="S269" s="1249">
        <v>1</v>
      </c>
      <c r="T269" s="1250">
        <v>3.1783333333333332</v>
      </c>
      <c r="U269" s="1250"/>
      <c r="V269" s="1250"/>
      <c r="W269" s="1251">
        <v>0</v>
      </c>
      <c r="X269" s="1250">
        <v>3.1783333333333332</v>
      </c>
      <c r="Y269" s="1250"/>
      <c r="Z269" s="1250"/>
      <c r="AA269" s="1250"/>
      <c r="AB269" s="1250"/>
      <c r="AC269" s="1250"/>
      <c r="AD269" s="1250"/>
      <c r="AE269" s="1249">
        <v>0</v>
      </c>
      <c r="AF269" s="1250">
        <v>3.1783333333333332</v>
      </c>
      <c r="AG269" s="111"/>
      <c r="AH269" s="111"/>
      <c r="AI269" s="111"/>
      <c r="AJ269" s="111"/>
      <c r="AK269" s="111"/>
      <c r="AL269" s="111"/>
      <c r="AM269" s="111">
        <v>9.5350000000000001</v>
      </c>
    </row>
    <row r="270" spans="1:39" ht="15" customHeight="1" x14ac:dyDescent="0.25">
      <c r="A270" s="1409"/>
      <c r="B270" s="1409"/>
      <c r="C270" s="1409"/>
      <c r="D270" s="1409"/>
      <c r="E270" s="1263"/>
      <c r="F270" s="1248" t="s">
        <v>4420</v>
      </c>
      <c r="G270" s="111"/>
      <c r="H270" s="1249">
        <v>1</v>
      </c>
      <c r="I270" s="111" t="s">
        <v>1873</v>
      </c>
      <c r="J270" s="1321" t="s">
        <v>5608</v>
      </c>
      <c r="K270" s="162" t="s">
        <v>5610</v>
      </c>
      <c r="L270" s="162" t="s">
        <v>5609</v>
      </c>
      <c r="M270" s="111">
        <v>24.118000000000002</v>
      </c>
      <c r="N270" s="111">
        <v>24.118000000000002</v>
      </c>
      <c r="O270" s="111"/>
      <c r="P270" s="111"/>
      <c r="Q270" s="111"/>
      <c r="R270" s="111"/>
      <c r="S270" s="1249">
        <v>1</v>
      </c>
      <c r="T270" s="1250">
        <v>8.0393333333333334</v>
      </c>
      <c r="U270" s="1250"/>
      <c r="V270" s="1250"/>
      <c r="W270" s="1251">
        <v>0</v>
      </c>
      <c r="X270" s="1250">
        <v>8.0393333333333334</v>
      </c>
      <c r="Y270" s="1250"/>
      <c r="Z270" s="1250"/>
      <c r="AA270" s="1250"/>
      <c r="AB270" s="1250"/>
      <c r="AC270" s="1250"/>
      <c r="AD270" s="1250"/>
      <c r="AE270" s="1249">
        <v>0</v>
      </c>
      <c r="AF270" s="1250">
        <v>8.0393333333333334</v>
      </c>
      <c r="AG270" s="111"/>
      <c r="AH270" s="111"/>
      <c r="AI270" s="111"/>
      <c r="AJ270" s="111"/>
      <c r="AK270" s="111"/>
      <c r="AL270" s="111"/>
      <c r="AM270" s="111">
        <v>24.118000000000002</v>
      </c>
    </row>
    <row r="271" spans="1:39" ht="15" customHeight="1" x14ac:dyDescent="0.25">
      <c r="A271" s="1409"/>
      <c r="B271" s="1409"/>
      <c r="C271" s="1409"/>
      <c r="D271" s="1409"/>
      <c r="E271" s="1247"/>
      <c r="F271" s="1248"/>
      <c r="G271" s="111"/>
      <c r="H271" s="1249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249"/>
      <c r="T271" s="1250"/>
      <c r="U271" s="1250"/>
      <c r="V271" s="1250"/>
      <c r="W271" s="1251"/>
      <c r="X271" s="1250"/>
      <c r="Y271" s="1250"/>
      <c r="Z271" s="1250"/>
      <c r="AA271" s="1250"/>
      <c r="AB271" s="1250"/>
      <c r="AC271" s="1250"/>
      <c r="AD271" s="1250"/>
      <c r="AE271" s="1249"/>
      <c r="AF271" s="1250"/>
      <c r="AG271" s="111"/>
      <c r="AH271" s="111"/>
      <c r="AI271" s="111"/>
      <c r="AJ271" s="111"/>
      <c r="AK271" s="111"/>
      <c r="AL271" s="111"/>
      <c r="AM271" s="111"/>
    </row>
    <row r="272" spans="1:39" ht="15" customHeight="1" x14ac:dyDescent="0.25">
      <c r="A272" s="1409"/>
      <c r="B272" s="1409"/>
      <c r="C272" s="1409"/>
      <c r="D272" s="1409"/>
      <c r="E272" s="1264">
        <v>21401</v>
      </c>
      <c r="F272" s="1265" t="s">
        <v>146</v>
      </c>
      <c r="G272" s="1266"/>
      <c r="H272" s="1266"/>
      <c r="I272" s="1266"/>
      <c r="J272" s="1266"/>
      <c r="K272" s="1266"/>
      <c r="L272" s="1266"/>
      <c r="M272" s="1266"/>
      <c r="N272" s="1266"/>
      <c r="O272" s="1266"/>
      <c r="P272" s="1266"/>
      <c r="Q272" s="1266"/>
      <c r="R272" s="1266"/>
      <c r="S272" s="1266"/>
      <c r="T272" s="1266"/>
      <c r="U272" s="1266"/>
      <c r="V272" s="1266"/>
      <c r="W272" s="1266"/>
      <c r="X272" s="1266"/>
      <c r="Y272" s="1266"/>
      <c r="Z272" s="1266"/>
      <c r="AA272" s="1266"/>
      <c r="AB272" s="1266"/>
      <c r="AC272" s="1266"/>
      <c r="AD272" s="1266"/>
      <c r="AE272" s="1266"/>
      <c r="AF272" s="1266"/>
      <c r="AG272" s="1266"/>
      <c r="AH272" s="1266"/>
      <c r="AI272" s="1266"/>
      <c r="AJ272" s="1266"/>
      <c r="AK272" s="1266"/>
      <c r="AL272" s="1266"/>
      <c r="AM272" s="1266"/>
    </row>
    <row r="273" spans="1:39" ht="15" customHeight="1" x14ac:dyDescent="0.25">
      <c r="A273" s="1409"/>
      <c r="B273" s="1409"/>
      <c r="C273" s="1409"/>
      <c r="D273" s="1409"/>
      <c r="E273" s="1267"/>
      <c r="F273" s="1248" t="s">
        <v>4421</v>
      </c>
      <c r="G273" s="111"/>
      <c r="H273" s="1249">
        <v>37</v>
      </c>
      <c r="I273" s="111" t="s">
        <v>1721</v>
      </c>
      <c r="J273" s="1321" t="s">
        <v>5608</v>
      </c>
      <c r="K273" s="162" t="s">
        <v>5610</v>
      </c>
      <c r="L273" s="162" t="s">
        <v>5609</v>
      </c>
      <c r="M273" s="111">
        <v>120</v>
      </c>
      <c r="N273" s="111">
        <v>4440</v>
      </c>
      <c r="O273" s="111"/>
      <c r="P273" s="111"/>
      <c r="Q273" s="111"/>
      <c r="R273" s="111"/>
      <c r="S273" s="1249">
        <v>15</v>
      </c>
      <c r="T273" s="1250">
        <v>1480</v>
      </c>
      <c r="U273" s="1250"/>
      <c r="V273" s="1250"/>
      <c r="W273" s="1251">
        <v>12</v>
      </c>
      <c r="X273" s="1250">
        <v>1480</v>
      </c>
      <c r="Y273" s="1250"/>
      <c r="Z273" s="1250"/>
      <c r="AA273" s="1250"/>
      <c r="AB273" s="1250"/>
      <c r="AC273" s="1250"/>
      <c r="AD273" s="1250"/>
      <c r="AE273" s="1249">
        <v>10</v>
      </c>
      <c r="AF273" s="1250">
        <v>1480</v>
      </c>
      <c r="AG273" s="111"/>
      <c r="AH273" s="111"/>
      <c r="AI273" s="111"/>
      <c r="AJ273" s="111"/>
      <c r="AK273" s="111"/>
      <c r="AL273" s="111"/>
      <c r="AM273" s="111">
        <v>4440</v>
      </c>
    </row>
    <row r="274" spans="1:39" ht="15" customHeight="1" x14ac:dyDescent="0.25">
      <c r="A274" s="1409"/>
      <c r="B274" s="1409"/>
      <c r="C274" s="1409"/>
      <c r="D274" s="1409"/>
      <c r="E274" s="1267"/>
      <c r="F274" s="1248" t="s">
        <v>4422</v>
      </c>
      <c r="G274" s="111"/>
      <c r="H274" s="1249">
        <v>5</v>
      </c>
      <c r="I274" s="111" t="s">
        <v>1721</v>
      </c>
      <c r="J274" s="1321" t="s">
        <v>5608</v>
      </c>
      <c r="K274" s="162" t="s">
        <v>5610</v>
      </c>
      <c r="L274" s="162" t="s">
        <v>5609</v>
      </c>
      <c r="M274" s="111">
        <v>1273.2279999999998</v>
      </c>
      <c r="N274" s="111">
        <v>6366.1399999999994</v>
      </c>
      <c r="O274" s="111"/>
      <c r="P274" s="111"/>
      <c r="Q274" s="111"/>
      <c r="R274" s="111"/>
      <c r="S274" s="1249">
        <v>2</v>
      </c>
      <c r="T274" s="1250">
        <v>2122.0466666666666</v>
      </c>
      <c r="U274" s="1250"/>
      <c r="V274" s="1250"/>
      <c r="W274" s="1251">
        <v>2</v>
      </c>
      <c r="X274" s="1250">
        <v>2122.0466666666666</v>
      </c>
      <c r="Y274" s="1250"/>
      <c r="Z274" s="1250"/>
      <c r="AA274" s="1250"/>
      <c r="AB274" s="1250"/>
      <c r="AC274" s="1250"/>
      <c r="AD274" s="1250"/>
      <c r="AE274" s="1249">
        <v>1</v>
      </c>
      <c r="AF274" s="1250">
        <v>2122.0466666666666</v>
      </c>
      <c r="AG274" s="111"/>
      <c r="AH274" s="111"/>
      <c r="AI274" s="111"/>
      <c r="AJ274" s="111"/>
      <c r="AK274" s="111"/>
      <c r="AL274" s="111"/>
      <c r="AM274" s="111">
        <v>6366.1399999999994</v>
      </c>
    </row>
    <row r="275" spans="1:39" ht="15" customHeight="1" x14ac:dyDescent="0.25">
      <c r="A275" s="1409"/>
      <c r="B275" s="1409"/>
      <c r="C275" s="1409"/>
      <c r="D275" s="1409"/>
      <c r="E275" s="1267"/>
      <c r="F275" s="1248" t="s">
        <v>4423</v>
      </c>
      <c r="G275" s="111"/>
      <c r="H275" s="1249">
        <v>1</v>
      </c>
      <c r="I275" s="111" t="s">
        <v>1721</v>
      </c>
      <c r="J275" s="1321" t="s">
        <v>5608</v>
      </c>
      <c r="K275" s="162" t="s">
        <v>5610</v>
      </c>
      <c r="L275" s="162" t="s">
        <v>5609</v>
      </c>
      <c r="M275" s="111">
        <v>1164.6279360000001</v>
      </c>
      <c r="N275" s="111">
        <v>1164.6279360000001</v>
      </c>
      <c r="O275" s="111"/>
      <c r="P275" s="111"/>
      <c r="Q275" s="111"/>
      <c r="R275" s="111"/>
      <c r="S275" s="1249">
        <v>1</v>
      </c>
      <c r="T275" s="1250">
        <v>388.20931200000001</v>
      </c>
      <c r="U275" s="1250"/>
      <c r="V275" s="1250"/>
      <c r="W275" s="1251">
        <v>0</v>
      </c>
      <c r="X275" s="1250">
        <v>388.20931200000001</v>
      </c>
      <c r="Y275" s="1250"/>
      <c r="Z275" s="1250"/>
      <c r="AA275" s="1250"/>
      <c r="AB275" s="1250"/>
      <c r="AC275" s="1250"/>
      <c r="AD275" s="1250"/>
      <c r="AE275" s="1249">
        <v>0</v>
      </c>
      <c r="AF275" s="1250">
        <v>388.20931200000001</v>
      </c>
      <c r="AG275" s="111"/>
      <c r="AH275" s="111"/>
      <c r="AI275" s="111"/>
      <c r="AJ275" s="111"/>
      <c r="AK275" s="111"/>
      <c r="AL275" s="111"/>
      <c r="AM275" s="111">
        <v>1164.6279360000001</v>
      </c>
    </row>
    <row r="276" spans="1:39" ht="15" customHeight="1" x14ac:dyDescent="0.25">
      <c r="A276" s="1409"/>
      <c r="B276" s="1409"/>
      <c r="C276" s="1409"/>
      <c r="D276" s="1409"/>
      <c r="E276" s="1267"/>
      <c r="F276" s="1248" t="s">
        <v>4424</v>
      </c>
      <c r="G276" s="111"/>
      <c r="H276" s="1249">
        <v>10</v>
      </c>
      <c r="I276" s="111" t="s">
        <v>1721</v>
      </c>
      <c r="J276" s="1321" t="s">
        <v>5608</v>
      </c>
      <c r="K276" s="162" t="s">
        <v>5610</v>
      </c>
      <c r="L276" s="162" t="s">
        <v>5609</v>
      </c>
      <c r="M276" s="111">
        <v>260.70999999999998</v>
      </c>
      <c r="N276" s="111">
        <v>2607.1</v>
      </c>
      <c r="O276" s="111"/>
      <c r="P276" s="111"/>
      <c r="Q276" s="111"/>
      <c r="R276" s="111"/>
      <c r="S276" s="1249">
        <v>4</v>
      </c>
      <c r="T276" s="1250">
        <v>869.0333333333333</v>
      </c>
      <c r="U276" s="1250"/>
      <c r="V276" s="1250"/>
      <c r="W276" s="1251">
        <v>4</v>
      </c>
      <c r="X276" s="1250">
        <v>869.0333333333333</v>
      </c>
      <c r="Y276" s="1250"/>
      <c r="Z276" s="1250"/>
      <c r="AA276" s="1250"/>
      <c r="AB276" s="1250"/>
      <c r="AC276" s="1250"/>
      <c r="AD276" s="1250"/>
      <c r="AE276" s="1249">
        <v>2</v>
      </c>
      <c r="AF276" s="1250">
        <v>869.0333333333333</v>
      </c>
      <c r="AG276" s="111"/>
      <c r="AH276" s="111"/>
      <c r="AI276" s="111"/>
      <c r="AJ276" s="111"/>
      <c r="AK276" s="111"/>
      <c r="AL276" s="111"/>
      <c r="AM276" s="111">
        <v>2607.1</v>
      </c>
    </row>
    <row r="277" spans="1:39" ht="15" customHeight="1" x14ac:dyDescent="0.25">
      <c r="A277" s="1409"/>
      <c r="B277" s="1409"/>
      <c r="C277" s="1409"/>
      <c r="D277" s="1409"/>
      <c r="E277" s="1267"/>
      <c r="F277" s="1248" t="s">
        <v>2896</v>
      </c>
      <c r="G277" s="111"/>
      <c r="H277" s="1249">
        <v>20</v>
      </c>
      <c r="I277" s="111" t="s">
        <v>1721</v>
      </c>
      <c r="J277" s="1321" t="s">
        <v>5608</v>
      </c>
      <c r="K277" s="162" t="s">
        <v>5610</v>
      </c>
      <c r="L277" s="162" t="s">
        <v>5609</v>
      </c>
      <c r="M277" s="111">
        <v>1241.6500000000001</v>
      </c>
      <c r="N277" s="111">
        <v>24833</v>
      </c>
      <c r="O277" s="111"/>
      <c r="P277" s="111"/>
      <c r="Q277" s="111"/>
      <c r="R277" s="111"/>
      <c r="S277" s="1249">
        <v>10</v>
      </c>
      <c r="T277" s="1250">
        <v>8277.6666666666661</v>
      </c>
      <c r="U277" s="1250"/>
      <c r="V277" s="1250"/>
      <c r="W277" s="1251">
        <v>5</v>
      </c>
      <c r="X277" s="1250">
        <v>8277.6666666666661</v>
      </c>
      <c r="Y277" s="1250"/>
      <c r="Z277" s="1250"/>
      <c r="AA277" s="1250"/>
      <c r="AB277" s="1250"/>
      <c r="AC277" s="1250"/>
      <c r="AD277" s="1250"/>
      <c r="AE277" s="1249">
        <v>5</v>
      </c>
      <c r="AF277" s="1250">
        <v>8277.6666666666661</v>
      </c>
      <c r="AG277" s="111"/>
      <c r="AH277" s="111"/>
      <c r="AI277" s="111"/>
      <c r="AJ277" s="111"/>
      <c r="AK277" s="111"/>
      <c r="AL277" s="111"/>
      <c r="AM277" s="111">
        <v>24833</v>
      </c>
    </row>
    <row r="278" spans="1:39" ht="15" customHeight="1" x14ac:dyDescent="0.25">
      <c r="A278" s="1409"/>
      <c r="B278" s="1409"/>
      <c r="C278" s="1409"/>
      <c r="D278" s="1409"/>
      <c r="E278" s="1267"/>
      <c r="F278" s="1248" t="s">
        <v>4425</v>
      </c>
      <c r="G278" s="111"/>
      <c r="H278" s="1249">
        <v>1</v>
      </c>
      <c r="I278" s="111" t="s">
        <v>1721</v>
      </c>
      <c r="J278" s="1321" t="s">
        <v>5608</v>
      </c>
      <c r="K278" s="162" t="s">
        <v>5610</v>
      </c>
      <c r="L278" s="162" t="s">
        <v>5609</v>
      </c>
      <c r="M278" s="111">
        <v>300.44499999999999</v>
      </c>
      <c r="N278" s="111">
        <v>300.44499999999999</v>
      </c>
      <c r="O278" s="111"/>
      <c r="P278" s="111"/>
      <c r="Q278" s="111"/>
      <c r="R278" s="111"/>
      <c r="S278" s="1249">
        <v>1</v>
      </c>
      <c r="T278" s="1250">
        <v>100.14833333333333</v>
      </c>
      <c r="U278" s="1250"/>
      <c r="V278" s="1250"/>
      <c r="W278" s="1251">
        <v>0</v>
      </c>
      <c r="X278" s="1250">
        <v>100.14833333333333</v>
      </c>
      <c r="Y278" s="1250"/>
      <c r="Z278" s="1250"/>
      <c r="AA278" s="1250"/>
      <c r="AB278" s="1250"/>
      <c r="AC278" s="1250"/>
      <c r="AD278" s="1250"/>
      <c r="AE278" s="1249">
        <v>0</v>
      </c>
      <c r="AF278" s="1250">
        <v>100.14833333333333</v>
      </c>
      <c r="AG278" s="111"/>
      <c r="AH278" s="111"/>
      <c r="AI278" s="111"/>
      <c r="AJ278" s="111"/>
      <c r="AK278" s="111"/>
      <c r="AL278" s="111"/>
      <c r="AM278" s="111">
        <v>300.44499999999999</v>
      </c>
    </row>
    <row r="279" spans="1:39" ht="15" customHeight="1" x14ac:dyDescent="0.25">
      <c r="A279" s="1409"/>
      <c r="B279" s="1409"/>
      <c r="C279" s="1409"/>
      <c r="D279" s="1409"/>
      <c r="E279" s="1267"/>
      <c r="F279" s="1248" t="s">
        <v>4426</v>
      </c>
      <c r="G279" s="111"/>
      <c r="H279" s="1249">
        <v>1</v>
      </c>
      <c r="I279" s="111" t="s">
        <v>1721</v>
      </c>
      <c r="J279" s="1321" t="s">
        <v>5608</v>
      </c>
      <c r="K279" s="162" t="s">
        <v>5610</v>
      </c>
      <c r="L279" s="162" t="s">
        <v>5609</v>
      </c>
      <c r="M279" s="111">
        <v>950</v>
      </c>
      <c r="N279" s="111">
        <v>950</v>
      </c>
      <c r="O279" s="111"/>
      <c r="P279" s="111"/>
      <c r="Q279" s="111"/>
      <c r="R279" s="111"/>
      <c r="S279" s="1249">
        <v>1</v>
      </c>
      <c r="T279" s="1250">
        <v>316.66666666666669</v>
      </c>
      <c r="U279" s="1250"/>
      <c r="V279" s="1250"/>
      <c r="W279" s="1251">
        <v>0</v>
      </c>
      <c r="X279" s="1250">
        <v>316.66666666666669</v>
      </c>
      <c r="Y279" s="1250"/>
      <c r="Z279" s="1250"/>
      <c r="AA279" s="1250"/>
      <c r="AB279" s="1250"/>
      <c r="AC279" s="1250"/>
      <c r="AD279" s="1250"/>
      <c r="AE279" s="1249">
        <v>0</v>
      </c>
      <c r="AF279" s="1250">
        <v>316.66666666666669</v>
      </c>
      <c r="AG279" s="111"/>
      <c r="AH279" s="111"/>
      <c r="AI279" s="111"/>
      <c r="AJ279" s="111"/>
      <c r="AK279" s="111"/>
      <c r="AL279" s="111"/>
      <c r="AM279" s="111">
        <v>950</v>
      </c>
    </row>
    <row r="280" spans="1:39" ht="15" customHeight="1" x14ac:dyDescent="0.25">
      <c r="A280" s="1409"/>
      <c r="B280" s="1409"/>
      <c r="C280" s="1409"/>
      <c r="D280" s="1409"/>
      <c r="E280" s="1267"/>
      <c r="F280" s="1248" t="s">
        <v>4427</v>
      </c>
      <c r="G280" s="111"/>
      <c r="H280" s="1249">
        <v>1</v>
      </c>
      <c r="I280" s="111" t="s">
        <v>1721</v>
      </c>
      <c r="J280" s="1321" t="s">
        <v>5608</v>
      </c>
      <c r="K280" s="162" t="s">
        <v>5610</v>
      </c>
      <c r="L280" s="162" t="s">
        <v>5609</v>
      </c>
      <c r="M280" s="111">
        <v>595</v>
      </c>
      <c r="N280" s="111">
        <v>595</v>
      </c>
      <c r="O280" s="111"/>
      <c r="P280" s="111"/>
      <c r="Q280" s="111"/>
      <c r="R280" s="111"/>
      <c r="S280" s="1249">
        <v>1</v>
      </c>
      <c r="T280" s="1250">
        <v>198.33333333333334</v>
      </c>
      <c r="U280" s="1250"/>
      <c r="V280" s="1250"/>
      <c r="W280" s="1251">
        <v>0</v>
      </c>
      <c r="X280" s="1250">
        <v>198.33333333333334</v>
      </c>
      <c r="Y280" s="1250"/>
      <c r="Z280" s="1250"/>
      <c r="AA280" s="1250"/>
      <c r="AB280" s="1250"/>
      <c r="AC280" s="1250"/>
      <c r="AD280" s="1250"/>
      <c r="AE280" s="1249">
        <v>0</v>
      </c>
      <c r="AF280" s="1250">
        <v>198.33333333333334</v>
      </c>
      <c r="AG280" s="111"/>
      <c r="AH280" s="111"/>
      <c r="AI280" s="111"/>
      <c r="AJ280" s="111"/>
      <c r="AK280" s="111"/>
      <c r="AL280" s="111"/>
      <c r="AM280" s="111">
        <v>595</v>
      </c>
    </row>
    <row r="281" spans="1:39" ht="15" customHeight="1" x14ac:dyDescent="0.25">
      <c r="A281" s="1409"/>
      <c r="B281" s="1409"/>
      <c r="C281" s="1409"/>
      <c r="D281" s="1409"/>
      <c r="E281" s="1267"/>
      <c r="F281" s="1248" t="s">
        <v>4428</v>
      </c>
      <c r="G281" s="111"/>
      <c r="H281" s="1249">
        <v>1</v>
      </c>
      <c r="I281" s="111" t="s">
        <v>1721</v>
      </c>
      <c r="J281" s="1321" t="s">
        <v>5608</v>
      </c>
      <c r="K281" s="162" t="s">
        <v>5610</v>
      </c>
      <c r="L281" s="162" t="s">
        <v>5609</v>
      </c>
      <c r="M281" s="111">
        <v>595</v>
      </c>
      <c r="N281" s="111">
        <v>595</v>
      </c>
      <c r="O281" s="111"/>
      <c r="P281" s="111"/>
      <c r="Q281" s="111"/>
      <c r="R281" s="111"/>
      <c r="S281" s="1249">
        <v>1</v>
      </c>
      <c r="T281" s="1250">
        <v>198.33333333333334</v>
      </c>
      <c r="U281" s="1250"/>
      <c r="V281" s="1250"/>
      <c r="W281" s="1251">
        <v>0</v>
      </c>
      <c r="X281" s="1250">
        <v>198.33333333333334</v>
      </c>
      <c r="Y281" s="1250"/>
      <c r="Z281" s="1250"/>
      <c r="AA281" s="1250"/>
      <c r="AB281" s="1250"/>
      <c r="AC281" s="1250"/>
      <c r="AD281" s="1250"/>
      <c r="AE281" s="1249">
        <v>0</v>
      </c>
      <c r="AF281" s="1250">
        <v>198.33333333333334</v>
      </c>
      <c r="AG281" s="111"/>
      <c r="AH281" s="111"/>
      <c r="AI281" s="111"/>
      <c r="AJ281" s="111"/>
      <c r="AK281" s="111"/>
      <c r="AL281" s="111"/>
      <c r="AM281" s="111">
        <v>595</v>
      </c>
    </row>
    <row r="282" spans="1:39" ht="15" customHeight="1" x14ac:dyDescent="0.25">
      <c r="A282" s="1409"/>
      <c r="B282" s="1409"/>
      <c r="C282" s="1409"/>
      <c r="D282" s="1409"/>
      <c r="E282" s="1267"/>
      <c r="F282" s="1248" t="s">
        <v>4429</v>
      </c>
      <c r="G282" s="111"/>
      <c r="H282" s="1249">
        <v>1</v>
      </c>
      <c r="I282" s="111" t="s">
        <v>1721</v>
      </c>
      <c r="J282" s="1321" t="s">
        <v>5608</v>
      </c>
      <c r="K282" s="162" t="s">
        <v>5610</v>
      </c>
      <c r="L282" s="162" t="s">
        <v>5609</v>
      </c>
      <c r="M282" s="111">
        <v>595</v>
      </c>
      <c r="N282" s="111">
        <v>595</v>
      </c>
      <c r="O282" s="111"/>
      <c r="P282" s="111"/>
      <c r="Q282" s="111"/>
      <c r="R282" s="111"/>
      <c r="S282" s="1249">
        <v>1</v>
      </c>
      <c r="T282" s="1250">
        <v>198.33333333333334</v>
      </c>
      <c r="U282" s="1250"/>
      <c r="V282" s="1250"/>
      <c r="W282" s="1251">
        <v>0</v>
      </c>
      <c r="X282" s="1250">
        <v>198.33333333333334</v>
      </c>
      <c r="Y282" s="1250"/>
      <c r="Z282" s="1250"/>
      <c r="AA282" s="1250"/>
      <c r="AB282" s="1250"/>
      <c r="AC282" s="1250"/>
      <c r="AD282" s="1250"/>
      <c r="AE282" s="1249">
        <v>0</v>
      </c>
      <c r="AF282" s="1250">
        <v>198.33333333333334</v>
      </c>
      <c r="AG282" s="111"/>
      <c r="AH282" s="111"/>
      <c r="AI282" s="111"/>
      <c r="AJ282" s="111"/>
      <c r="AK282" s="111"/>
      <c r="AL282" s="111"/>
      <c r="AM282" s="111">
        <v>595</v>
      </c>
    </row>
    <row r="283" spans="1:39" ht="15" customHeight="1" x14ac:dyDescent="0.25">
      <c r="A283" s="1409"/>
      <c r="B283" s="1409"/>
      <c r="C283" s="1409"/>
      <c r="D283" s="1409"/>
      <c r="E283" s="1267"/>
      <c r="F283" s="1248" t="s">
        <v>3555</v>
      </c>
      <c r="G283" s="111"/>
      <c r="H283" s="1249">
        <v>6</v>
      </c>
      <c r="I283" s="111" t="s">
        <v>1721</v>
      </c>
      <c r="J283" s="1321" t="s">
        <v>5608</v>
      </c>
      <c r="K283" s="162" t="s">
        <v>5610</v>
      </c>
      <c r="L283" s="162" t="s">
        <v>5609</v>
      </c>
      <c r="M283" s="111">
        <v>1144.2110133333333</v>
      </c>
      <c r="N283" s="111">
        <v>6865.2660799999994</v>
      </c>
      <c r="O283" s="111"/>
      <c r="P283" s="111"/>
      <c r="Q283" s="111"/>
      <c r="R283" s="111"/>
      <c r="S283" s="1249">
        <v>2</v>
      </c>
      <c r="T283" s="1250">
        <v>2288.4220266666666</v>
      </c>
      <c r="U283" s="1250"/>
      <c r="V283" s="1250"/>
      <c r="W283" s="1251">
        <v>2</v>
      </c>
      <c r="X283" s="1250">
        <v>2288.4220266666666</v>
      </c>
      <c r="Y283" s="1250"/>
      <c r="Z283" s="1250"/>
      <c r="AA283" s="1250"/>
      <c r="AB283" s="1250"/>
      <c r="AC283" s="1250"/>
      <c r="AD283" s="1250"/>
      <c r="AE283" s="1249">
        <v>2</v>
      </c>
      <c r="AF283" s="1250">
        <v>2288.4220266666666</v>
      </c>
      <c r="AG283" s="111"/>
      <c r="AH283" s="111"/>
      <c r="AI283" s="111"/>
      <c r="AJ283" s="111"/>
      <c r="AK283" s="111"/>
      <c r="AL283" s="111"/>
      <c r="AM283" s="111">
        <v>6865.2660800000003</v>
      </c>
    </row>
    <row r="284" spans="1:39" ht="15" customHeight="1" x14ac:dyDescent="0.25">
      <c r="A284" s="1409"/>
      <c r="B284" s="1409"/>
      <c r="C284" s="1409"/>
      <c r="D284" s="1409"/>
      <c r="E284" s="1267"/>
      <c r="F284" s="1248" t="s">
        <v>2905</v>
      </c>
      <c r="G284" s="111"/>
      <c r="H284" s="1249">
        <v>1</v>
      </c>
      <c r="I284" s="111" t="s">
        <v>1721</v>
      </c>
      <c r="J284" s="1321" t="s">
        <v>5608</v>
      </c>
      <c r="K284" s="162" t="s">
        <v>5610</v>
      </c>
      <c r="L284" s="162" t="s">
        <v>5609</v>
      </c>
      <c r="M284" s="111">
        <v>265</v>
      </c>
      <c r="N284" s="111">
        <v>265</v>
      </c>
      <c r="O284" s="111"/>
      <c r="P284" s="111"/>
      <c r="Q284" s="111"/>
      <c r="R284" s="111"/>
      <c r="S284" s="1249">
        <v>1</v>
      </c>
      <c r="T284" s="1250">
        <v>88.333333333333329</v>
      </c>
      <c r="U284" s="1250"/>
      <c r="V284" s="1250"/>
      <c r="W284" s="1251">
        <v>0</v>
      </c>
      <c r="X284" s="1250">
        <v>88.333333333333329</v>
      </c>
      <c r="Y284" s="1250"/>
      <c r="Z284" s="1250"/>
      <c r="AA284" s="1250"/>
      <c r="AB284" s="1250"/>
      <c r="AC284" s="1250"/>
      <c r="AD284" s="1250"/>
      <c r="AE284" s="1249">
        <v>0</v>
      </c>
      <c r="AF284" s="1250">
        <v>88.333333333333329</v>
      </c>
      <c r="AG284" s="111"/>
      <c r="AH284" s="111"/>
      <c r="AI284" s="111"/>
      <c r="AJ284" s="111"/>
      <c r="AK284" s="111"/>
      <c r="AL284" s="111"/>
      <c r="AM284" s="111">
        <v>265</v>
      </c>
    </row>
    <row r="285" spans="1:39" ht="15" customHeight="1" x14ac:dyDescent="0.25">
      <c r="A285" s="1409"/>
      <c r="B285" s="1409"/>
      <c r="C285" s="1409"/>
      <c r="D285" s="1409"/>
      <c r="E285" s="1267"/>
      <c r="F285" s="1248" t="s">
        <v>2897</v>
      </c>
      <c r="G285" s="111"/>
      <c r="H285" s="1249">
        <v>1</v>
      </c>
      <c r="I285" s="111" t="s">
        <v>2811</v>
      </c>
      <c r="J285" s="1321" t="s">
        <v>5608</v>
      </c>
      <c r="K285" s="162" t="s">
        <v>5610</v>
      </c>
      <c r="L285" s="162" t="s">
        <v>5609</v>
      </c>
      <c r="M285" s="111">
        <v>3700</v>
      </c>
      <c r="N285" s="111">
        <v>3700</v>
      </c>
      <c r="O285" s="111"/>
      <c r="P285" s="111"/>
      <c r="Q285" s="111"/>
      <c r="R285" s="111"/>
      <c r="S285" s="1249">
        <v>1</v>
      </c>
      <c r="T285" s="1250">
        <v>1233.3333333333333</v>
      </c>
      <c r="U285" s="1250"/>
      <c r="V285" s="1250"/>
      <c r="W285" s="1251">
        <v>0</v>
      </c>
      <c r="X285" s="1250">
        <v>1233.3333333333333</v>
      </c>
      <c r="Y285" s="1250"/>
      <c r="Z285" s="1250"/>
      <c r="AA285" s="1250"/>
      <c r="AB285" s="1250"/>
      <c r="AC285" s="1250"/>
      <c r="AD285" s="1250"/>
      <c r="AE285" s="1249">
        <v>0</v>
      </c>
      <c r="AF285" s="1250">
        <v>1233.3333333333333</v>
      </c>
      <c r="AG285" s="111"/>
      <c r="AH285" s="111"/>
      <c r="AI285" s="111"/>
      <c r="AJ285" s="111"/>
      <c r="AK285" s="111"/>
      <c r="AL285" s="111"/>
      <c r="AM285" s="111">
        <v>3700</v>
      </c>
    </row>
    <row r="286" spans="1:39" ht="15" customHeight="1" x14ac:dyDescent="0.25">
      <c r="A286" s="1409"/>
      <c r="B286" s="1409"/>
      <c r="C286" s="1409"/>
      <c r="D286" s="1409"/>
      <c r="E286" s="1267"/>
      <c r="F286" s="1248" t="s">
        <v>4430</v>
      </c>
      <c r="G286" s="111"/>
      <c r="H286" s="1249">
        <v>11</v>
      </c>
      <c r="I286" s="111" t="s">
        <v>1721</v>
      </c>
      <c r="J286" s="1321" t="s">
        <v>5608</v>
      </c>
      <c r="K286" s="162" t="s">
        <v>5610</v>
      </c>
      <c r="L286" s="162" t="s">
        <v>5609</v>
      </c>
      <c r="M286" s="111">
        <v>1023.1237963636365</v>
      </c>
      <c r="N286" s="111">
        <v>11254.361760000002</v>
      </c>
      <c r="O286" s="111"/>
      <c r="P286" s="111"/>
      <c r="Q286" s="111"/>
      <c r="R286" s="111"/>
      <c r="S286" s="1249">
        <v>4</v>
      </c>
      <c r="T286" s="1250">
        <v>3751.4539200000004</v>
      </c>
      <c r="U286" s="1250"/>
      <c r="V286" s="1250"/>
      <c r="W286" s="1251">
        <v>4</v>
      </c>
      <c r="X286" s="1250">
        <v>3751.4539200000004</v>
      </c>
      <c r="Y286" s="1250"/>
      <c r="Z286" s="1250"/>
      <c r="AA286" s="1250"/>
      <c r="AB286" s="1250"/>
      <c r="AC286" s="1250"/>
      <c r="AD286" s="1250"/>
      <c r="AE286" s="1249">
        <v>3</v>
      </c>
      <c r="AF286" s="1250">
        <v>3751.4539200000004</v>
      </c>
      <c r="AG286" s="111"/>
      <c r="AH286" s="111"/>
      <c r="AI286" s="111"/>
      <c r="AJ286" s="111"/>
      <c r="AK286" s="111"/>
      <c r="AL286" s="111"/>
      <c r="AM286" s="111">
        <v>11254.361760000002</v>
      </c>
    </row>
    <row r="287" spans="1:39" ht="15" customHeight="1" x14ac:dyDescent="0.25">
      <c r="A287" s="1409"/>
      <c r="B287" s="1409"/>
      <c r="C287" s="1409"/>
      <c r="D287" s="1409"/>
      <c r="E287" s="1267"/>
      <c r="F287" s="1248" t="s">
        <v>4431</v>
      </c>
      <c r="G287" s="111"/>
      <c r="H287" s="1249">
        <v>1</v>
      </c>
      <c r="I287" s="111" t="s">
        <v>1721</v>
      </c>
      <c r="J287" s="1321" t="s">
        <v>5608</v>
      </c>
      <c r="K287" s="162" t="s">
        <v>5610</v>
      </c>
      <c r="L287" s="162" t="s">
        <v>5609</v>
      </c>
      <c r="M287" s="111">
        <v>1331.61</v>
      </c>
      <c r="N287" s="111">
        <v>1331.61</v>
      </c>
      <c r="O287" s="111"/>
      <c r="P287" s="111"/>
      <c r="Q287" s="111"/>
      <c r="R287" s="111"/>
      <c r="S287" s="1249">
        <v>1</v>
      </c>
      <c r="T287" s="1250">
        <v>443.86999999999995</v>
      </c>
      <c r="U287" s="1250"/>
      <c r="V287" s="1250"/>
      <c r="W287" s="1251">
        <v>0</v>
      </c>
      <c r="X287" s="1250">
        <v>443.86999999999995</v>
      </c>
      <c r="Y287" s="1250"/>
      <c r="Z287" s="1250"/>
      <c r="AA287" s="1250"/>
      <c r="AB287" s="1250"/>
      <c r="AC287" s="1250"/>
      <c r="AD287" s="1250"/>
      <c r="AE287" s="1249">
        <v>0</v>
      </c>
      <c r="AF287" s="1250">
        <v>443.86999999999995</v>
      </c>
      <c r="AG287" s="111"/>
      <c r="AH287" s="111"/>
      <c r="AI287" s="111"/>
      <c r="AJ287" s="111"/>
      <c r="AK287" s="111"/>
      <c r="AL287" s="111"/>
      <c r="AM287" s="111">
        <v>1331.61</v>
      </c>
    </row>
    <row r="288" spans="1:39" ht="15" customHeight="1" x14ac:dyDescent="0.25">
      <c r="A288" s="1409"/>
      <c r="B288" s="1409"/>
      <c r="C288" s="1409"/>
      <c r="D288" s="1409"/>
      <c r="E288" s="1267"/>
      <c r="F288" s="1248" t="s">
        <v>2899</v>
      </c>
      <c r="G288" s="111"/>
      <c r="H288" s="1249">
        <v>1</v>
      </c>
      <c r="I288" s="111" t="s">
        <v>1721</v>
      </c>
      <c r="J288" s="1321" t="s">
        <v>5608</v>
      </c>
      <c r="K288" s="162" t="s">
        <v>5610</v>
      </c>
      <c r="L288" s="162" t="s">
        <v>5609</v>
      </c>
      <c r="M288" s="111">
        <v>1458.3344999999999</v>
      </c>
      <c r="N288" s="111">
        <v>1458.3344999999999</v>
      </c>
      <c r="O288" s="111"/>
      <c r="P288" s="111"/>
      <c r="Q288" s="111"/>
      <c r="R288" s="111"/>
      <c r="S288" s="1249">
        <v>1</v>
      </c>
      <c r="T288" s="1250">
        <v>486.11149999999998</v>
      </c>
      <c r="U288" s="1250"/>
      <c r="V288" s="1250"/>
      <c r="W288" s="1251">
        <v>0</v>
      </c>
      <c r="X288" s="1250">
        <v>486.11149999999998</v>
      </c>
      <c r="Y288" s="1250"/>
      <c r="Z288" s="1250"/>
      <c r="AA288" s="1250"/>
      <c r="AB288" s="1250"/>
      <c r="AC288" s="1250"/>
      <c r="AD288" s="1250"/>
      <c r="AE288" s="1249">
        <v>0</v>
      </c>
      <c r="AF288" s="1250">
        <v>486.11149999999998</v>
      </c>
      <c r="AG288" s="111"/>
      <c r="AH288" s="111"/>
      <c r="AI288" s="111"/>
      <c r="AJ288" s="111"/>
      <c r="AK288" s="111"/>
      <c r="AL288" s="111"/>
      <c r="AM288" s="111">
        <v>1458.3344999999999</v>
      </c>
    </row>
    <row r="289" spans="1:39" ht="15" customHeight="1" x14ac:dyDescent="0.25">
      <c r="A289" s="1409"/>
      <c r="B289" s="1409"/>
      <c r="C289" s="1409"/>
      <c r="D289" s="1409"/>
      <c r="E289" s="1267"/>
      <c r="F289" s="1248" t="s">
        <v>2906</v>
      </c>
      <c r="G289" s="111"/>
      <c r="H289" s="1249">
        <v>1</v>
      </c>
      <c r="I289" s="111" t="s">
        <v>1721</v>
      </c>
      <c r="J289" s="1321" t="s">
        <v>5608</v>
      </c>
      <c r="K289" s="162" t="s">
        <v>5610</v>
      </c>
      <c r="L289" s="162" t="s">
        <v>5609</v>
      </c>
      <c r="M289" s="111">
        <v>330</v>
      </c>
      <c r="N289" s="111">
        <v>330</v>
      </c>
      <c r="O289" s="111"/>
      <c r="P289" s="111"/>
      <c r="Q289" s="111"/>
      <c r="R289" s="111"/>
      <c r="S289" s="1249">
        <v>1</v>
      </c>
      <c r="T289" s="1250">
        <v>110</v>
      </c>
      <c r="U289" s="1250"/>
      <c r="V289" s="1250"/>
      <c r="W289" s="1251">
        <v>0</v>
      </c>
      <c r="X289" s="1250">
        <v>110</v>
      </c>
      <c r="Y289" s="1250"/>
      <c r="Z289" s="1250"/>
      <c r="AA289" s="1250"/>
      <c r="AB289" s="1250"/>
      <c r="AC289" s="1250"/>
      <c r="AD289" s="1250"/>
      <c r="AE289" s="1249">
        <v>0</v>
      </c>
      <c r="AF289" s="1250">
        <v>110</v>
      </c>
      <c r="AG289" s="111"/>
      <c r="AH289" s="111"/>
      <c r="AI289" s="111"/>
      <c r="AJ289" s="111"/>
      <c r="AK289" s="111"/>
      <c r="AL289" s="111"/>
      <c r="AM289" s="111">
        <v>330</v>
      </c>
    </row>
    <row r="290" spans="1:39" ht="15" customHeight="1" x14ac:dyDescent="0.25">
      <c r="A290" s="1409"/>
      <c r="B290" s="1409"/>
      <c r="C290" s="1409"/>
      <c r="D290" s="1409"/>
      <c r="E290" s="1267"/>
      <c r="F290" s="1248" t="s">
        <v>4432</v>
      </c>
      <c r="G290" s="111"/>
      <c r="H290" s="1249">
        <v>12</v>
      </c>
      <c r="I290" s="111" t="s">
        <v>1721</v>
      </c>
      <c r="J290" s="1321" t="s">
        <v>5608</v>
      </c>
      <c r="K290" s="162" t="s">
        <v>5610</v>
      </c>
      <c r="L290" s="162" t="s">
        <v>5609</v>
      </c>
      <c r="M290" s="111">
        <v>800</v>
      </c>
      <c r="N290" s="111">
        <v>9600</v>
      </c>
      <c r="O290" s="111"/>
      <c r="P290" s="111"/>
      <c r="Q290" s="111"/>
      <c r="R290" s="111"/>
      <c r="S290" s="1249">
        <v>5</v>
      </c>
      <c r="T290" s="1250">
        <v>3200</v>
      </c>
      <c r="U290" s="1250"/>
      <c r="V290" s="1250"/>
      <c r="W290" s="1251">
        <v>5</v>
      </c>
      <c r="X290" s="1250">
        <v>3200</v>
      </c>
      <c r="Y290" s="1250"/>
      <c r="Z290" s="1250"/>
      <c r="AA290" s="1250"/>
      <c r="AB290" s="1250"/>
      <c r="AC290" s="1250"/>
      <c r="AD290" s="1250"/>
      <c r="AE290" s="1249">
        <v>2</v>
      </c>
      <c r="AF290" s="1250">
        <v>3200</v>
      </c>
      <c r="AG290" s="111"/>
      <c r="AH290" s="111"/>
      <c r="AI290" s="111"/>
      <c r="AJ290" s="111"/>
      <c r="AK290" s="111"/>
      <c r="AL290" s="111"/>
      <c r="AM290" s="111">
        <v>9600</v>
      </c>
    </row>
    <row r="291" spans="1:39" ht="15" customHeight="1" x14ac:dyDescent="0.25">
      <c r="A291" s="1409"/>
      <c r="B291" s="1409"/>
      <c r="C291" s="1409"/>
      <c r="D291" s="1409"/>
      <c r="E291" s="1267"/>
      <c r="F291" s="1248" t="s">
        <v>4433</v>
      </c>
      <c r="G291" s="111"/>
      <c r="H291" s="1249">
        <v>6</v>
      </c>
      <c r="I291" s="111" t="s">
        <v>1721</v>
      </c>
      <c r="J291" s="1321" t="s">
        <v>5608</v>
      </c>
      <c r="K291" s="162" t="s">
        <v>5610</v>
      </c>
      <c r="L291" s="162" t="s">
        <v>5609</v>
      </c>
      <c r="M291" s="111">
        <v>160</v>
      </c>
      <c r="N291" s="111">
        <v>960</v>
      </c>
      <c r="O291" s="111"/>
      <c r="P291" s="111"/>
      <c r="Q291" s="111"/>
      <c r="R291" s="111"/>
      <c r="S291" s="1249">
        <v>2</v>
      </c>
      <c r="T291" s="1250">
        <v>320</v>
      </c>
      <c r="U291" s="1250"/>
      <c r="V291" s="1250"/>
      <c r="W291" s="1251">
        <v>2</v>
      </c>
      <c r="X291" s="1250">
        <v>320</v>
      </c>
      <c r="Y291" s="1250"/>
      <c r="Z291" s="1250"/>
      <c r="AA291" s="1250"/>
      <c r="AB291" s="1250"/>
      <c r="AC291" s="1250"/>
      <c r="AD291" s="1250"/>
      <c r="AE291" s="1249">
        <v>2</v>
      </c>
      <c r="AF291" s="1250">
        <v>320</v>
      </c>
      <c r="AG291" s="111"/>
      <c r="AH291" s="111"/>
      <c r="AI291" s="111"/>
      <c r="AJ291" s="111"/>
      <c r="AK291" s="111"/>
      <c r="AL291" s="111"/>
      <c r="AM291" s="111">
        <v>960</v>
      </c>
    </row>
    <row r="292" spans="1:39" ht="15" customHeight="1" x14ac:dyDescent="0.25">
      <c r="A292" s="1409"/>
      <c r="B292" s="1409"/>
      <c r="C292" s="1409"/>
      <c r="D292" s="1409"/>
      <c r="E292" s="1267"/>
      <c r="F292" s="1248" t="s">
        <v>4434</v>
      </c>
      <c r="G292" s="111"/>
      <c r="H292" s="1249">
        <v>4</v>
      </c>
      <c r="I292" s="111" t="s">
        <v>1721</v>
      </c>
      <c r="J292" s="1321" t="s">
        <v>5608</v>
      </c>
      <c r="K292" s="162" t="s">
        <v>5610</v>
      </c>
      <c r="L292" s="162" t="s">
        <v>5609</v>
      </c>
      <c r="M292" s="111">
        <v>130</v>
      </c>
      <c r="N292" s="111">
        <v>520</v>
      </c>
      <c r="O292" s="111"/>
      <c r="P292" s="111"/>
      <c r="Q292" s="111"/>
      <c r="R292" s="111"/>
      <c r="S292" s="1249">
        <v>2</v>
      </c>
      <c r="T292" s="1250">
        <v>173.33333333333334</v>
      </c>
      <c r="U292" s="1250"/>
      <c r="V292" s="1250"/>
      <c r="W292" s="1251">
        <v>1</v>
      </c>
      <c r="X292" s="1250">
        <v>173.33333333333334</v>
      </c>
      <c r="Y292" s="1250"/>
      <c r="Z292" s="1250"/>
      <c r="AA292" s="1250"/>
      <c r="AB292" s="1250"/>
      <c r="AC292" s="1250"/>
      <c r="AD292" s="1250"/>
      <c r="AE292" s="1249">
        <v>1</v>
      </c>
      <c r="AF292" s="1250">
        <v>173.33333333333334</v>
      </c>
      <c r="AG292" s="111"/>
      <c r="AH292" s="111"/>
      <c r="AI292" s="111"/>
      <c r="AJ292" s="111"/>
      <c r="AK292" s="111"/>
      <c r="AL292" s="111"/>
      <c r="AM292" s="111">
        <v>520</v>
      </c>
    </row>
    <row r="293" spans="1:39" ht="15" customHeight="1" x14ac:dyDescent="0.25">
      <c r="A293" s="1409"/>
      <c r="B293" s="1409"/>
      <c r="C293" s="1409"/>
      <c r="D293" s="1409"/>
      <c r="E293" s="1267"/>
      <c r="F293" s="1248" t="s">
        <v>4435</v>
      </c>
      <c r="G293" s="111"/>
      <c r="H293" s="1249">
        <v>4</v>
      </c>
      <c r="I293" s="111" t="s">
        <v>1721</v>
      </c>
      <c r="J293" s="1321" t="s">
        <v>5608</v>
      </c>
      <c r="K293" s="162" t="s">
        <v>5610</v>
      </c>
      <c r="L293" s="162" t="s">
        <v>5609</v>
      </c>
      <c r="M293" s="111">
        <v>130</v>
      </c>
      <c r="N293" s="111">
        <v>520</v>
      </c>
      <c r="O293" s="111"/>
      <c r="P293" s="111"/>
      <c r="Q293" s="111"/>
      <c r="R293" s="111"/>
      <c r="S293" s="1249">
        <v>2</v>
      </c>
      <c r="T293" s="1250">
        <v>173.33333333333334</v>
      </c>
      <c r="U293" s="1250"/>
      <c r="V293" s="1250"/>
      <c r="W293" s="1251">
        <v>1</v>
      </c>
      <c r="X293" s="1250">
        <v>173.33333333333334</v>
      </c>
      <c r="Y293" s="1250"/>
      <c r="Z293" s="1250"/>
      <c r="AA293" s="1250"/>
      <c r="AB293" s="1250"/>
      <c r="AC293" s="1250"/>
      <c r="AD293" s="1250"/>
      <c r="AE293" s="1249">
        <v>1</v>
      </c>
      <c r="AF293" s="1250">
        <v>173.33333333333334</v>
      </c>
      <c r="AG293" s="111"/>
      <c r="AH293" s="111"/>
      <c r="AI293" s="111"/>
      <c r="AJ293" s="111"/>
      <c r="AK293" s="111"/>
      <c r="AL293" s="111"/>
      <c r="AM293" s="111">
        <v>520</v>
      </c>
    </row>
    <row r="294" spans="1:39" ht="15" customHeight="1" x14ac:dyDescent="0.25">
      <c r="A294" s="1409"/>
      <c r="B294" s="1409"/>
      <c r="C294" s="1409"/>
      <c r="D294" s="1409"/>
      <c r="E294" s="1267"/>
      <c r="F294" s="1248" t="s">
        <v>4436</v>
      </c>
      <c r="G294" s="111"/>
      <c r="H294" s="1249">
        <v>4</v>
      </c>
      <c r="I294" s="111" t="s">
        <v>1721</v>
      </c>
      <c r="J294" s="1321" t="s">
        <v>5608</v>
      </c>
      <c r="K294" s="162" t="s">
        <v>5610</v>
      </c>
      <c r="L294" s="162" t="s">
        <v>5609</v>
      </c>
      <c r="M294" s="111">
        <v>130</v>
      </c>
      <c r="N294" s="111">
        <v>520</v>
      </c>
      <c r="O294" s="111"/>
      <c r="P294" s="111"/>
      <c r="Q294" s="111"/>
      <c r="R294" s="111"/>
      <c r="S294" s="1249">
        <v>2</v>
      </c>
      <c r="T294" s="1250">
        <v>173.33333333333334</v>
      </c>
      <c r="U294" s="1250"/>
      <c r="V294" s="1250"/>
      <c r="W294" s="1251">
        <v>1</v>
      </c>
      <c r="X294" s="1250">
        <v>173.33333333333334</v>
      </c>
      <c r="Y294" s="1250"/>
      <c r="Z294" s="1250"/>
      <c r="AA294" s="1250"/>
      <c r="AB294" s="1250"/>
      <c r="AC294" s="1250"/>
      <c r="AD294" s="1250"/>
      <c r="AE294" s="1249">
        <v>1</v>
      </c>
      <c r="AF294" s="1250">
        <v>173.33333333333334</v>
      </c>
      <c r="AG294" s="111"/>
      <c r="AH294" s="111"/>
      <c r="AI294" s="111"/>
      <c r="AJ294" s="111"/>
      <c r="AK294" s="111"/>
      <c r="AL294" s="111"/>
      <c r="AM294" s="111">
        <v>520</v>
      </c>
    </row>
    <row r="295" spans="1:39" ht="15" customHeight="1" x14ac:dyDescent="0.25">
      <c r="A295" s="1409"/>
      <c r="B295" s="1409"/>
      <c r="C295" s="1409"/>
      <c r="D295" s="1409"/>
      <c r="E295" s="1267"/>
      <c r="F295" s="1248" t="s">
        <v>1855</v>
      </c>
      <c r="G295" s="111"/>
      <c r="H295" s="1249">
        <v>6</v>
      </c>
      <c r="I295" s="111" t="s">
        <v>1721</v>
      </c>
      <c r="J295" s="1321" t="s">
        <v>5608</v>
      </c>
      <c r="K295" s="162" t="s">
        <v>5610</v>
      </c>
      <c r="L295" s="162" t="s">
        <v>5609</v>
      </c>
      <c r="M295" s="111">
        <v>193.97</v>
      </c>
      <c r="N295" s="111">
        <v>1163.82</v>
      </c>
      <c r="O295" s="111"/>
      <c r="P295" s="111"/>
      <c r="Q295" s="111"/>
      <c r="R295" s="111"/>
      <c r="S295" s="1249">
        <v>2</v>
      </c>
      <c r="T295" s="1250">
        <v>387.94</v>
      </c>
      <c r="U295" s="1250"/>
      <c r="V295" s="1250"/>
      <c r="W295" s="1251">
        <v>2</v>
      </c>
      <c r="X295" s="1250">
        <v>387.94</v>
      </c>
      <c r="Y295" s="1250"/>
      <c r="Z295" s="1250"/>
      <c r="AA295" s="1250"/>
      <c r="AB295" s="1250"/>
      <c r="AC295" s="1250"/>
      <c r="AD295" s="1250"/>
      <c r="AE295" s="1249">
        <v>2</v>
      </c>
      <c r="AF295" s="1250">
        <v>387.94</v>
      </c>
      <c r="AG295" s="111"/>
      <c r="AH295" s="111"/>
      <c r="AI295" s="111"/>
      <c r="AJ295" s="111"/>
      <c r="AK295" s="111"/>
      <c r="AL295" s="111"/>
      <c r="AM295" s="111">
        <v>1163.82</v>
      </c>
    </row>
    <row r="296" spans="1:39" ht="15" customHeight="1" x14ac:dyDescent="0.25">
      <c r="A296" s="1409"/>
      <c r="B296" s="1409"/>
      <c r="C296" s="1409"/>
      <c r="D296" s="1409"/>
      <c r="E296" s="1247"/>
      <c r="F296" s="1248" t="s">
        <v>1420</v>
      </c>
      <c r="G296" s="111"/>
      <c r="H296" s="1249">
        <v>2</v>
      </c>
      <c r="I296" s="111" t="s">
        <v>1721</v>
      </c>
      <c r="J296" s="1321" t="s">
        <v>5608</v>
      </c>
      <c r="K296" s="162" t="s">
        <v>5610</v>
      </c>
      <c r="L296" s="162" t="s">
        <v>5609</v>
      </c>
      <c r="M296" s="111">
        <v>2552</v>
      </c>
      <c r="N296" s="111">
        <v>5104</v>
      </c>
      <c r="O296" s="111"/>
      <c r="P296" s="111"/>
      <c r="Q296" s="111"/>
      <c r="R296" s="111"/>
      <c r="S296" s="1249">
        <v>1</v>
      </c>
      <c r="T296" s="1250">
        <v>1701.3333333333333</v>
      </c>
      <c r="U296" s="1250"/>
      <c r="V296" s="1250"/>
      <c r="W296" s="1251">
        <v>1</v>
      </c>
      <c r="X296" s="1250">
        <v>1701.3333333333333</v>
      </c>
      <c r="Y296" s="1250"/>
      <c r="Z296" s="1250"/>
      <c r="AA296" s="1250"/>
      <c r="AB296" s="1250"/>
      <c r="AC296" s="1250"/>
      <c r="AD296" s="1250"/>
      <c r="AE296" s="1249">
        <v>0</v>
      </c>
      <c r="AF296" s="1250">
        <v>1701.3333333333333</v>
      </c>
      <c r="AG296" s="111"/>
      <c r="AH296" s="111"/>
      <c r="AI296" s="111"/>
      <c r="AJ296" s="111"/>
      <c r="AK296" s="111"/>
      <c r="AL296" s="111"/>
      <c r="AM296" s="111">
        <v>5104</v>
      </c>
    </row>
    <row r="297" spans="1:39" ht="15" customHeight="1" x14ac:dyDescent="0.25">
      <c r="A297" s="1409"/>
      <c r="B297" s="1409"/>
      <c r="C297" s="1409"/>
      <c r="D297" s="1409"/>
      <c r="E297" s="1247"/>
      <c r="F297" s="1248" t="s">
        <v>2898</v>
      </c>
      <c r="G297" s="111"/>
      <c r="H297" s="1249">
        <v>1</v>
      </c>
      <c r="I297" s="111" t="s">
        <v>1721</v>
      </c>
      <c r="J297" s="1321" t="s">
        <v>5608</v>
      </c>
      <c r="K297" s="162" t="s">
        <v>5610</v>
      </c>
      <c r="L297" s="162" t="s">
        <v>5609</v>
      </c>
      <c r="M297" s="111">
        <v>3650</v>
      </c>
      <c r="N297" s="111">
        <v>3650</v>
      </c>
      <c r="O297" s="111"/>
      <c r="P297" s="111"/>
      <c r="Q297" s="111"/>
      <c r="R297" s="111"/>
      <c r="S297" s="1249">
        <v>1</v>
      </c>
      <c r="T297" s="1250">
        <v>1216.6666666666667</v>
      </c>
      <c r="U297" s="1250"/>
      <c r="V297" s="1250"/>
      <c r="W297" s="1251">
        <v>0</v>
      </c>
      <c r="X297" s="1250">
        <v>1216.6666666666667</v>
      </c>
      <c r="Y297" s="1250"/>
      <c r="Z297" s="1250"/>
      <c r="AA297" s="1250"/>
      <c r="AB297" s="1250"/>
      <c r="AC297" s="1250"/>
      <c r="AD297" s="1250"/>
      <c r="AE297" s="1249">
        <v>0</v>
      </c>
      <c r="AF297" s="1250">
        <v>1216.6666666666667</v>
      </c>
      <c r="AG297" s="111"/>
      <c r="AH297" s="111"/>
      <c r="AI297" s="111"/>
      <c r="AJ297" s="111"/>
      <c r="AK297" s="111"/>
      <c r="AL297" s="111"/>
      <c r="AM297" s="111">
        <v>3650</v>
      </c>
    </row>
    <row r="298" spans="1:39" ht="15" customHeight="1" x14ac:dyDescent="0.25">
      <c r="A298" s="1409"/>
      <c r="B298" s="1409"/>
      <c r="C298" s="1409"/>
      <c r="D298" s="1409"/>
      <c r="E298" s="1247"/>
      <c r="F298" s="1248" t="s">
        <v>4437</v>
      </c>
      <c r="G298" s="111"/>
      <c r="H298" s="1249">
        <v>17</v>
      </c>
      <c r="I298" s="111" t="s">
        <v>1721</v>
      </c>
      <c r="J298" s="1321" t="s">
        <v>5608</v>
      </c>
      <c r="K298" s="162" t="s">
        <v>5610</v>
      </c>
      <c r="L298" s="162" t="s">
        <v>5609</v>
      </c>
      <c r="M298" s="111">
        <v>3895.7219135999999</v>
      </c>
      <c r="N298" s="111">
        <v>66227.272531199997</v>
      </c>
      <c r="O298" s="111"/>
      <c r="P298" s="111"/>
      <c r="Q298" s="111"/>
      <c r="R298" s="111"/>
      <c r="S298" s="1249">
        <v>7</v>
      </c>
      <c r="T298" s="1250">
        <v>22075.757510399999</v>
      </c>
      <c r="U298" s="1250"/>
      <c r="V298" s="1250"/>
      <c r="W298" s="1251">
        <v>5</v>
      </c>
      <c r="X298" s="1250">
        <v>22075.757510399999</v>
      </c>
      <c r="Y298" s="1250"/>
      <c r="Z298" s="1250"/>
      <c r="AA298" s="1250"/>
      <c r="AB298" s="1250"/>
      <c r="AC298" s="1250"/>
      <c r="AD298" s="1250"/>
      <c r="AE298" s="1249">
        <v>5</v>
      </c>
      <c r="AF298" s="1250">
        <v>22075.757510399999</v>
      </c>
      <c r="AG298" s="111"/>
      <c r="AH298" s="111"/>
      <c r="AI298" s="111"/>
      <c r="AJ298" s="111"/>
      <c r="AK298" s="111"/>
      <c r="AL298" s="111"/>
      <c r="AM298" s="111">
        <v>66227.272531199997</v>
      </c>
    </row>
    <row r="299" spans="1:39" ht="15" customHeight="1" x14ac:dyDescent="0.25">
      <c r="A299" s="1409"/>
      <c r="B299" s="1409"/>
      <c r="C299" s="1409"/>
      <c r="D299" s="1409"/>
      <c r="E299" s="1218">
        <v>215</v>
      </c>
      <c r="F299" s="1268" t="s">
        <v>150</v>
      </c>
      <c r="G299" s="1218"/>
      <c r="H299" s="1218"/>
      <c r="I299" s="1218"/>
      <c r="J299" s="1218"/>
      <c r="K299" s="1218"/>
      <c r="L299" s="1218"/>
      <c r="M299" s="1218"/>
      <c r="N299" s="1218"/>
      <c r="O299" s="1218"/>
      <c r="P299" s="1218"/>
      <c r="Q299" s="1218"/>
      <c r="R299" s="1218"/>
      <c r="S299" s="1218"/>
      <c r="T299" s="1218"/>
      <c r="U299" s="1218"/>
      <c r="V299" s="1218"/>
      <c r="W299" s="1218"/>
      <c r="X299" s="1218"/>
      <c r="Y299" s="1218"/>
      <c r="Z299" s="1218"/>
      <c r="AA299" s="1218"/>
      <c r="AB299" s="1218"/>
      <c r="AC299" s="1218"/>
      <c r="AD299" s="1218"/>
      <c r="AE299" s="1218"/>
      <c r="AF299" s="1218"/>
      <c r="AG299" s="1218"/>
      <c r="AH299" s="1218"/>
      <c r="AI299" s="1218"/>
      <c r="AJ299" s="1218"/>
      <c r="AK299" s="1218"/>
      <c r="AL299" s="1218"/>
      <c r="AM299" s="1218"/>
    </row>
    <row r="300" spans="1:39" ht="15" customHeight="1" x14ac:dyDescent="0.25">
      <c r="A300" s="1409"/>
      <c r="B300" s="1409"/>
      <c r="C300" s="1409"/>
      <c r="D300" s="1409"/>
      <c r="E300" s="1252"/>
      <c r="F300" s="1248"/>
      <c r="G300" s="111"/>
      <c r="H300" s="1249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249"/>
      <c r="T300" s="1250"/>
      <c r="U300" s="1250"/>
      <c r="V300" s="1250"/>
      <c r="W300" s="1251"/>
      <c r="X300" s="1250"/>
      <c r="Y300" s="1250"/>
      <c r="Z300" s="1250"/>
      <c r="AA300" s="1250"/>
      <c r="AB300" s="1250"/>
      <c r="AC300" s="1250"/>
      <c r="AD300" s="1250"/>
      <c r="AE300" s="1249"/>
      <c r="AF300" s="1250"/>
      <c r="AG300" s="111"/>
      <c r="AH300" s="111"/>
      <c r="AI300" s="111"/>
      <c r="AJ300" s="111"/>
      <c r="AK300" s="111"/>
      <c r="AL300" s="111"/>
      <c r="AM300" s="111"/>
    </row>
    <row r="301" spans="1:39" ht="15" customHeight="1" x14ac:dyDescent="0.25">
      <c r="A301" s="1409"/>
      <c r="B301" s="1409"/>
      <c r="C301" s="1409"/>
      <c r="D301" s="1409"/>
      <c r="E301" s="1233">
        <v>21504</v>
      </c>
      <c r="F301" s="1269" t="s">
        <v>156</v>
      </c>
      <c r="G301" s="1233"/>
      <c r="H301" s="1233"/>
      <c r="I301" s="1233"/>
      <c r="J301" s="1233"/>
      <c r="K301" s="1233"/>
      <c r="L301" s="1233"/>
      <c r="M301" s="1233"/>
      <c r="N301" s="1233"/>
      <c r="O301" s="1233"/>
      <c r="P301" s="1233"/>
      <c r="Q301" s="1233"/>
      <c r="R301" s="1233"/>
      <c r="S301" s="1233"/>
      <c r="T301" s="1233"/>
      <c r="U301" s="1233"/>
      <c r="V301" s="1233"/>
      <c r="W301" s="1233"/>
      <c r="X301" s="1233"/>
      <c r="Y301" s="1233"/>
      <c r="Z301" s="1233"/>
      <c r="AA301" s="1233"/>
      <c r="AB301" s="1233"/>
      <c r="AC301" s="1233"/>
      <c r="AD301" s="1233"/>
      <c r="AE301" s="1233"/>
      <c r="AF301" s="1233"/>
      <c r="AG301" s="1233"/>
      <c r="AH301" s="1233"/>
      <c r="AI301" s="1233"/>
      <c r="AJ301" s="1233"/>
      <c r="AK301" s="1233"/>
      <c r="AL301" s="1233"/>
      <c r="AM301" s="1233"/>
    </row>
    <row r="302" spans="1:39" ht="15" customHeight="1" x14ac:dyDescent="0.25">
      <c r="A302" s="1409"/>
      <c r="B302" s="1409"/>
      <c r="C302" s="1409"/>
      <c r="D302" s="1409"/>
      <c r="E302" s="1247"/>
      <c r="F302" s="1248" t="s">
        <v>4438</v>
      </c>
      <c r="G302" s="111"/>
      <c r="H302" s="1249">
        <v>4</v>
      </c>
      <c r="I302" s="111" t="s">
        <v>1721</v>
      </c>
      <c r="J302" s="1321" t="s">
        <v>5608</v>
      </c>
      <c r="K302" s="162" t="s">
        <v>5610</v>
      </c>
      <c r="L302" s="162" t="s">
        <v>5609</v>
      </c>
      <c r="M302" s="111">
        <v>172.26</v>
      </c>
      <c r="N302" s="111">
        <v>689.04</v>
      </c>
      <c r="O302" s="111"/>
      <c r="P302" s="111"/>
      <c r="Q302" s="111"/>
      <c r="R302" s="111"/>
      <c r="S302" s="1249">
        <v>2</v>
      </c>
      <c r="T302" s="1250">
        <v>229.67999999999998</v>
      </c>
      <c r="U302" s="1250"/>
      <c r="V302" s="1250"/>
      <c r="W302" s="1251">
        <v>1</v>
      </c>
      <c r="X302" s="1250">
        <v>229.67999999999998</v>
      </c>
      <c r="Y302" s="1250"/>
      <c r="Z302" s="1250"/>
      <c r="AA302" s="1250"/>
      <c r="AB302" s="1250"/>
      <c r="AC302" s="1250"/>
      <c r="AD302" s="1250"/>
      <c r="AE302" s="1249">
        <v>1</v>
      </c>
      <c r="AF302" s="1250">
        <v>229.67999999999998</v>
      </c>
      <c r="AG302" s="111"/>
      <c r="AH302" s="111"/>
      <c r="AI302" s="111"/>
      <c r="AJ302" s="111"/>
      <c r="AK302" s="111"/>
      <c r="AL302" s="111"/>
      <c r="AM302" s="111">
        <v>689.04</v>
      </c>
    </row>
    <row r="303" spans="1:39" ht="15" customHeight="1" x14ac:dyDescent="0.25">
      <c r="A303" s="1409"/>
      <c r="B303" s="1409"/>
      <c r="C303" s="1409"/>
      <c r="D303" s="1409"/>
      <c r="E303" s="1247"/>
      <c r="F303" s="1248"/>
      <c r="G303" s="111"/>
      <c r="H303" s="1249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249"/>
      <c r="T303" s="1250"/>
      <c r="U303" s="1250"/>
      <c r="V303" s="1250"/>
      <c r="W303" s="1251"/>
      <c r="X303" s="1250"/>
      <c r="Y303" s="1250"/>
      <c r="Z303" s="1250"/>
      <c r="AA303" s="1250"/>
      <c r="AB303" s="1250"/>
      <c r="AC303" s="1250"/>
      <c r="AD303" s="1250"/>
      <c r="AE303" s="1249"/>
      <c r="AF303" s="1250"/>
      <c r="AG303" s="111"/>
      <c r="AH303" s="111"/>
      <c r="AI303" s="111"/>
      <c r="AJ303" s="111"/>
      <c r="AK303" s="111"/>
      <c r="AL303" s="111"/>
      <c r="AM303" s="111"/>
    </row>
    <row r="304" spans="1:39" ht="15" customHeight="1" x14ac:dyDescent="0.25">
      <c r="A304" s="1409"/>
      <c r="B304" s="1409"/>
      <c r="C304" s="1409"/>
      <c r="D304" s="1409"/>
      <c r="E304" s="1261">
        <v>21505</v>
      </c>
      <c r="F304" s="1262" t="s">
        <v>156</v>
      </c>
      <c r="G304" s="1261"/>
      <c r="H304" s="1261"/>
      <c r="I304" s="1261"/>
      <c r="J304" s="1261"/>
      <c r="K304" s="1261"/>
      <c r="L304" s="1261"/>
      <c r="M304" s="1261"/>
      <c r="N304" s="1261"/>
      <c r="O304" s="1261"/>
      <c r="P304" s="1261"/>
      <c r="Q304" s="1261"/>
      <c r="R304" s="1261"/>
      <c r="S304" s="1261"/>
      <c r="T304" s="1261"/>
      <c r="U304" s="1261"/>
      <c r="V304" s="1261"/>
      <c r="W304" s="1261"/>
      <c r="X304" s="1261"/>
      <c r="Y304" s="1261"/>
      <c r="Z304" s="1261"/>
      <c r="AA304" s="1261"/>
      <c r="AB304" s="1261"/>
      <c r="AC304" s="1261"/>
      <c r="AD304" s="1261"/>
      <c r="AE304" s="1261"/>
      <c r="AF304" s="1261"/>
      <c r="AG304" s="1261"/>
      <c r="AH304" s="1261"/>
      <c r="AI304" s="1261"/>
      <c r="AJ304" s="1261"/>
      <c r="AK304" s="1261"/>
      <c r="AL304" s="1261"/>
      <c r="AM304" s="1261"/>
    </row>
    <row r="305" spans="1:39" ht="15" customHeight="1" x14ac:dyDescent="0.25">
      <c r="A305" s="1409"/>
      <c r="B305" s="1409"/>
      <c r="C305" s="1409"/>
      <c r="D305" s="1409"/>
      <c r="E305" s="1270"/>
      <c r="F305" s="1248" t="s">
        <v>4439</v>
      </c>
      <c r="G305" s="111"/>
      <c r="H305" s="1249">
        <v>1</v>
      </c>
      <c r="I305" s="111" t="s">
        <v>1721</v>
      </c>
      <c r="J305" s="1321" t="s">
        <v>5608</v>
      </c>
      <c r="K305" s="162" t="s">
        <v>5610</v>
      </c>
      <c r="L305" s="162" t="s">
        <v>5609</v>
      </c>
      <c r="M305" s="111">
        <v>1200</v>
      </c>
      <c r="N305" s="111">
        <v>1200</v>
      </c>
      <c r="O305" s="111"/>
      <c r="P305" s="111"/>
      <c r="Q305" s="111"/>
      <c r="R305" s="111"/>
      <c r="S305" s="1249">
        <v>1</v>
      </c>
      <c r="T305" s="1250">
        <v>400</v>
      </c>
      <c r="U305" s="1250"/>
      <c r="V305" s="1250"/>
      <c r="W305" s="1251">
        <v>0</v>
      </c>
      <c r="X305" s="1250">
        <v>400</v>
      </c>
      <c r="Y305" s="1250"/>
      <c r="Z305" s="1250"/>
      <c r="AA305" s="1250"/>
      <c r="AB305" s="1250"/>
      <c r="AC305" s="1250"/>
      <c r="AD305" s="1250"/>
      <c r="AE305" s="1249">
        <v>0</v>
      </c>
      <c r="AF305" s="1250">
        <v>400</v>
      </c>
      <c r="AG305" s="111"/>
      <c r="AH305" s="111"/>
      <c r="AI305" s="111"/>
      <c r="AJ305" s="111"/>
      <c r="AK305" s="111"/>
      <c r="AL305" s="111"/>
      <c r="AM305" s="111">
        <v>1200</v>
      </c>
    </row>
    <row r="306" spans="1:39" ht="15" customHeight="1" x14ac:dyDescent="0.25">
      <c r="A306" s="1409"/>
      <c r="B306" s="1409"/>
      <c r="C306" s="1409"/>
      <c r="D306" s="1409"/>
      <c r="E306" s="1247"/>
      <c r="F306" s="1248"/>
      <c r="G306" s="111"/>
      <c r="H306" s="1249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249"/>
      <c r="T306" s="1250"/>
      <c r="U306" s="1250"/>
      <c r="V306" s="1250"/>
      <c r="W306" s="1251"/>
      <c r="X306" s="1250"/>
      <c r="Y306" s="1250"/>
      <c r="Z306" s="1250"/>
      <c r="AA306" s="1250"/>
      <c r="AB306" s="1250"/>
      <c r="AC306" s="1250"/>
      <c r="AD306" s="1250"/>
      <c r="AE306" s="1249"/>
      <c r="AF306" s="1250"/>
      <c r="AG306" s="111"/>
      <c r="AH306" s="111"/>
      <c r="AI306" s="111"/>
      <c r="AJ306" s="111"/>
      <c r="AK306" s="111"/>
      <c r="AL306" s="111"/>
      <c r="AM306" s="111"/>
    </row>
    <row r="307" spans="1:39" ht="15" customHeight="1" x14ac:dyDescent="0.25">
      <c r="A307" s="1409"/>
      <c r="B307" s="1409"/>
      <c r="C307" s="1409"/>
      <c r="D307" s="1409"/>
      <c r="E307" s="1218">
        <v>216</v>
      </c>
      <c r="F307" s="1268" t="s">
        <v>157</v>
      </c>
      <c r="G307" s="1218"/>
      <c r="H307" s="1218"/>
      <c r="I307" s="1218"/>
      <c r="J307" s="1218"/>
      <c r="K307" s="1218"/>
      <c r="L307" s="1218"/>
      <c r="M307" s="1218"/>
      <c r="N307" s="1218"/>
      <c r="O307" s="1218"/>
      <c r="P307" s="1218"/>
      <c r="Q307" s="1218"/>
      <c r="R307" s="1218"/>
      <c r="S307" s="1218"/>
      <c r="T307" s="1218"/>
      <c r="U307" s="1218"/>
      <c r="V307" s="1218"/>
      <c r="W307" s="1218"/>
      <c r="X307" s="1218"/>
      <c r="Y307" s="1218"/>
      <c r="Z307" s="1218"/>
      <c r="AA307" s="1218"/>
      <c r="AB307" s="1218"/>
      <c r="AC307" s="1218"/>
      <c r="AD307" s="1218"/>
      <c r="AE307" s="1218"/>
      <c r="AF307" s="1218"/>
      <c r="AG307" s="1218"/>
      <c r="AH307" s="1218"/>
      <c r="AI307" s="1218"/>
      <c r="AJ307" s="1218"/>
      <c r="AK307" s="1218"/>
      <c r="AL307" s="1218"/>
      <c r="AM307" s="1218"/>
    </row>
    <row r="308" spans="1:39" ht="15" customHeight="1" x14ac:dyDescent="0.25">
      <c r="A308" s="1409"/>
      <c r="B308" s="1409"/>
      <c r="C308" s="1409"/>
      <c r="D308" s="1409"/>
      <c r="E308" s="1261">
        <v>21601</v>
      </c>
      <c r="F308" s="1262" t="s">
        <v>158</v>
      </c>
      <c r="G308" s="1261"/>
      <c r="H308" s="1261"/>
      <c r="I308" s="1261"/>
      <c r="J308" s="1261"/>
      <c r="K308" s="1261"/>
      <c r="L308" s="1261"/>
      <c r="M308" s="1261"/>
      <c r="N308" s="1261"/>
      <c r="O308" s="1261"/>
      <c r="P308" s="1261"/>
      <c r="Q308" s="1261"/>
      <c r="R308" s="1261"/>
      <c r="S308" s="1261"/>
      <c r="T308" s="1261"/>
      <c r="U308" s="1261"/>
      <c r="V308" s="1261"/>
      <c r="W308" s="1261"/>
      <c r="X308" s="1261"/>
      <c r="Y308" s="1261"/>
      <c r="Z308" s="1261"/>
      <c r="AA308" s="1261"/>
      <c r="AB308" s="1261"/>
      <c r="AC308" s="1261"/>
      <c r="AD308" s="1261"/>
      <c r="AE308" s="1261"/>
      <c r="AF308" s="1261"/>
      <c r="AG308" s="1261"/>
      <c r="AH308" s="1261"/>
      <c r="AI308" s="1261"/>
      <c r="AJ308" s="1261"/>
      <c r="AK308" s="1261"/>
      <c r="AL308" s="1261"/>
      <c r="AM308" s="1261"/>
    </row>
    <row r="309" spans="1:39" ht="15" customHeight="1" x14ac:dyDescent="0.25">
      <c r="A309" s="1409"/>
      <c r="B309" s="1409"/>
      <c r="C309" s="1409"/>
      <c r="D309" s="1409"/>
      <c r="E309" s="1247"/>
      <c r="F309" s="1248" t="s">
        <v>2909</v>
      </c>
      <c r="G309" s="111"/>
      <c r="H309" s="1249">
        <v>1</v>
      </c>
      <c r="I309" s="111" t="s">
        <v>1721</v>
      </c>
      <c r="J309" s="1321" t="s">
        <v>5608</v>
      </c>
      <c r="K309" s="162" t="s">
        <v>5610</v>
      </c>
      <c r="L309" s="162" t="s">
        <v>5609</v>
      </c>
      <c r="M309" s="111">
        <v>76</v>
      </c>
      <c r="N309" s="111">
        <v>76</v>
      </c>
      <c r="O309" s="111"/>
      <c r="P309" s="111"/>
      <c r="Q309" s="111"/>
      <c r="R309" s="111"/>
      <c r="S309" s="1249">
        <v>1</v>
      </c>
      <c r="T309" s="1250">
        <v>25.333333333333332</v>
      </c>
      <c r="U309" s="1250"/>
      <c r="V309" s="1250"/>
      <c r="W309" s="1251">
        <v>0</v>
      </c>
      <c r="X309" s="1250">
        <v>25.333333333333332</v>
      </c>
      <c r="Y309" s="1250"/>
      <c r="Z309" s="1250"/>
      <c r="AA309" s="1250"/>
      <c r="AB309" s="1250"/>
      <c r="AC309" s="1250"/>
      <c r="AD309" s="1250"/>
      <c r="AE309" s="1249">
        <v>0</v>
      </c>
      <c r="AF309" s="1250">
        <v>25.333333333333332</v>
      </c>
      <c r="AG309" s="111"/>
      <c r="AH309" s="111"/>
      <c r="AI309" s="111"/>
      <c r="AJ309" s="111"/>
      <c r="AK309" s="111"/>
      <c r="AL309" s="111"/>
      <c r="AM309" s="111">
        <v>76</v>
      </c>
    </row>
    <row r="310" spans="1:39" ht="15" customHeight="1" x14ac:dyDescent="0.25">
      <c r="A310" s="1409"/>
      <c r="B310" s="1409"/>
      <c r="C310" s="1409"/>
      <c r="D310" s="1409"/>
      <c r="E310" s="1247"/>
      <c r="F310" s="1248" t="s">
        <v>2910</v>
      </c>
      <c r="G310" s="111"/>
      <c r="H310" s="1249">
        <v>1</v>
      </c>
      <c r="I310" s="111" t="s">
        <v>1721</v>
      </c>
      <c r="J310" s="1321" t="s">
        <v>5608</v>
      </c>
      <c r="K310" s="162" t="s">
        <v>5610</v>
      </c>
      <c r="L310" s="162" t="s">
        <v>5609</v>
      </c>
      <c r="M310" s="111">
        <v>522</v>
      </c>
      <c r="N310" s="111">
        <v>522</v>
      </c>
      <c r="O310" s="111"/>
      <c r="P310" s="111"/>
      <c r="Q310" s="111"/>
      <c r="R310" s="111"/>
      <c r="S310" s="1249">
        <v>1</v>
      </c>
      <c r="T310" s="1250">
        <v>174</v>
      </c>
      <c r="U310" s="1250"/>
      <c r="V310" s="1250"/>
      <c r="W310" s="1251">
        <v>0</v>
      </c>
      <c r="X310" s="1250">
        <v>174</v>
      </c>
      <c r="Y310" s="1250"/>
      <c r="Z310" s="1250"/>
      <c r="AA310" s="1250"/>
      <c r="AB310" s="1250"/>
      <c r="AC310" s="1250"/>
      <c r="AD310" s="1250"/>
      <c r="AE310" s="1249">
        <v>0</v>
      </c>
      <c r="AF310" s="1250">
        <v>174</v>
      </c>
      <c r="AG310" s="111"/>
      <c r="AH310" s="111"/>
      <c r="AI310" s="111"/>
      <c r="AJ310" s="111"/>
      <c r="AK310" s="111"/>
      <c r="AL310" s="111"/>
      <c r="AM310" s="111">
        <v>522</v>
      </c>
    </row>
    <row r="311" spans="1:39" ht="15" customHeight="1" x14ac:dyDescent="0.25">
      <c r="A311" s="1409"/>
      <c r="B311" s="1409"/>
      <c r="C311" s="1409"/>
      <c r="D311" s="1409"/>
      <c r="E311" s="1247"/>
      <c r="F311" s="1248" t="s">
        <v>2911</v>
      </c>
      <c r="G311" s="111"/>
      <c r="H311" s="1249">
        <v>1</v>
      </c>
      <c r="I311" s="111" t="s">
        <v>1721</v>
      </c>
      <c r="J311" s="1321" t="s">
        <v>5608</v>
      </c>
      <c r="K311" s="162" t="s">
        <v>5610</v>
      </c>
      <c r="L311" s="162" t="s">
        <v>5609</v>
      </c>
      <c r="M311" s="111">
        <v>231.99999999999997</v>
      </c>
      <c r="N311" s="111">
        <v>231.99999999999997</v>
      </c>
      <c r="O311" s="111"/>
      <c r="P311" s="111"/>
      <c r="Q311" s="111"/>
      <c r="R311" s="111"/>
      <c r="S311" s="1249">
        <v>1</v>
      </c>
      <c r="T311" s="1250">
        <v>77.333333333333329</v>
      </c>
      <c r="U311" s="1250"/>
      <c r="V311" s="1250"/>
      <c r="W311" s="1251">
        <v>0</v>
      </c>
      <c r="X311" s="1250">
        <v>77.333333333333329</v>
      </c>
      <c r="Y311" s="1250"/>
      <c r="Z311" s="1250"/>
      <c r="AA311" s="1250"/>
      <c r="AB311" s="1250"/>
      <c r="AC311" s="1250"/>
      <c r="AD311" s="1250"/>
      <c r="AE311" s="1249">
        <v>0</v>
      </c>
      <c r="AF311" s="1250">
        <v>77.333333333333329</v>
      </c>
      <c r="AG311" s="111"/>
      <c r="AH311" s="111"/>
      <c r="AI311" s="111"/>
      <c r="AJ311" s="111"/>
      <c r="AK311" s="111"/>
      <c r="AL311" s="111"/>
      <c r="AM311" s="111">
        <v>231.99999999999997</v>
      </c>
    </row>
    <row r="312" spans="1:39" ht="15" customHeight="1" x14ac:dyDescent="0.25">
      <c r="A312" s="1409"/>
      <c r="B312" s="1409"/>
      <c r="C312" s="1409"/>
      <c r="D312" s="1409"/>
      <c r="E312" s="1247"/>
      <c r="F312" s="1248" t="s">
        <v>160</v>
      </c>
      <c r="G312" s="111"/>
      <c r="H312" s="1249">
        <v>92</v>
      </c>
      <c r="I312" s="111" t="s">
        <v>1721</v>
      </c>
      <c r="J312" s="1321" t="s">
        <v>5608</v>
      </c>
      <c r="K312" s="162" t="s">
        <v>5610</v>
      </c>
      <c r="L312" s="162" t="s">
        <v>5609</v>
      </c>
      <c r="M312" s="111">
        <v>54.07339130434783</v>
      </c>
      <c r="N312" s="111">
        <v>4974.7520000000004</v>
      </c>
      <c r="O312" s="111"/>
      <c r="P312" s="111"/>
      <c r="Q312" s="111"/>
      <c r="R312" s="111"/>
      <c r="S312" s="1249">
        <v>52</v>
      </c>
      <c r="T312" s="1250">
        <v>1658.2506666666668</v>
      </c>
      <c r="U312" s="1250"/>
      <c r="V312" s="1250"/>
      <c r="W312" s="1251">
        <v>20</v>
      </c>
      <c r="X312" s="1250">
        <v>1658.2506666666668</v>
      </c>
      <c r="Y312" s="1250"/>
      <c r="Z312" s="1250"/>
      <c r="AA312" s="1250"/>
      <c r="AB312" s="1250"/>
      <c r="AC312" s="1250"/>
      <c r="AD312" s="1250"/>
      <c r="AE312" s="1249">
        <v>20</v>
      </c>
      <c r="AF312" s="1250">
        <v>1658.2506666666668</v>
      </c>
      <c r="AG312" s="111"/>
      <c r="AH312" s="111"/>
      <c r="AI312" s="111"/>
      <c r="AJ312" s="111"/>
      <c r="AK312" s="111"/>
      <c r="AL312" s="111"/>
      <c r="AM312" s="111">
        <v>4974.7520000000004</v>
      </c>
    </row>
    <row r="313" spans="1:39" ht="15" customHeight="1" x14ac:dyDescent="0.25">
      <c r="A313" s="1409"/>
      <c r="B313" s="1409"/>
      <c r="C313" s="1409"/>
      <c r="D313" s="1409"/>
      <c r="E313" s="1247"/>
      <c r="F313" s="1248" t="s">
        <v>2622</v>
      </c>
      <c r="G313" s="111"/>
      <c r="H313" s="1249">
        <v>8</v>
      </c>
      <c r="I313" s="111" t="s">
        <v>1721</v>
      </c>
      <c r="J313" s="1321" t="s">
        <v>5608</v>
      </c>
      <c r="K313" s="162" t="s">
        <v>5610</v>
      </c>
      <c r="L313" s="162" t="s">
        <v>5609</v>
      </c>
      <c r="M313" s="111">
        <v>20.021599999999999</v>
      </c>
      <c r="N313" s="111">
        <v>160.1728</v>
      </c>
      <c r="O313" s="111"/>
      <c r="P313" s="111"/>
      <c r="Q313" s="111"/>
      <c r="R313" s="111"/>
      <c r="S313" s="1249">
        <v>4</v>
      </c>
      <c r="T313" s="1250">
        <v>53.390933333333329</v>
      </c>
      <c r="U313" s="1250"/>
      <c r="V313" s="1250"/>
      <c r="W313" s="1251">
        <v>2</v>
      </c>
      <c r="X313" s="1250">
        <v>53.390933333333329</v>
      </c>
      <c r="Y313" s="1250"/>
      <c r="Z313" s="1250"/>
      <c r="AA313" s="1250"/>
      <c r="AB313" s="1250"/>
      <c r="AC313" s="1250"/>
      <c r="AD313" s="1250"/>
      <c r="AE313" s="1249">
        <v>2</v>
      </c>
      <c r="AF313" s="1250">
        <v>53.390933333333329</v>
      </c>
      <c r="AG313" s="111"/>
      <c r="AH313" s="111"/>
      <c r="AI313" s="111"/>
      <c r="AJ313" s="111"/>
      <c r="AK313" s="111"/>
      <c r="AL313" s="111"/>
      <c r="AM313" s="111">
        <v>160.1728</v>
      </c>
    </row>
    <row r="314" spans="1:39" ht="15" customHeight="1" x14ac:dyDescent="0.25">
      <c r="A314" s="1409"/>
      <c r="B314" s="1409"/>
      <c r="C314" s="1409"/>
      <c r="D314" s="1409"/>
      <c r="E314" s="1247"/>
      <c r="F314" s="1248" t="s">
        <v>4440</v>
      </c>
      <c r="G314" s="111"/>
      <c r="H314" s="1249">
        <v>15</v>
      </c>
      <c r="I314" s="111" t="s">
        <v>1721</v>
      </c>
      <c r="J314" s="1321" t="s">
        <v>5608</v>
      </c>
      <c r="K314" s="162" t="s">
        <v>5610</v>
      </c>
      <c r="L314" s="162" t="s">
        <v>5609</v>
      </c>
      <c r="M314" s="111">
        <v>17.259999999999998</v>
      </c>
      <c r="N314" s="111">
        <v>258.89999999999998</v>
      </c>
      <c r="O314" s="111"/>
      <c r="P314" s="111"/>
      <c r="Q314" s="111"/>
      <c r="R314" s="111"/>
      <c r="S314" s="1249">
        <v>5</v>
      </c>
      <c r="T314" s="1250">
        <v>86.3</v>
      </c>
      <c r="U314" s="1250"/>
      <c r="V314" s="1250"/>
      <c r="W314" s="1251">
        <v>5</v>
      </c>
      <c r="X314" s="1250">
        <v>86.3</v>
      </c>
      <c r="Y314" s="1250"/>
      <c r="Z314" s="1250"/>
      <c r="AA314" s="1250"/>
      <c r="AB314" s="1250"/>
      <c r="AC314" s="1250"/>
      <c r="AD314" s="1250"/>
      <c r="AE314" s="1249">
        <v>5</v>
      </c>
      <c r="AF314" s="1250">
        <v>86.3</v>
      </c>
      <c r="AG314" s="111"/>
      <c r="AH314" s="111"/>
      <c r="AI314" s="111"/>
      <c r="AJ314" s="111"/>
      <c r="AK314" s="111"/>
      <c r="AL314" s="111"/>
      <c r="AM314" s="111">
        <v>258.89999999999998</v>
      </c>
    </row>
    <row r="315" spans="1:39" ht="15" customHeight="1" x14ac:dyDescent="0.25">
      <c r="A315" s="1409"/>
      <c r="B315" s="1409"/>
      <c r="C315" s="1409"/>
      <c r="D315" s="1409"/>
      <c r="E315" s="1247"/>
      <c r="F315" s="1248" t="s">
        <v>159</v>
      </c>
      <c r="G315" s="111"/>
      <c r="H315" s="1249">
        <v>19</v>
      </c>
      <c r="I315" s="111" t="s">
        <v>1721</v>
      </c>
      <c r="J315" s="1321" t="s">
        <v>5608</v>
      </c>
      <c r="K315" s="162" t="s">
        <v>5610</v>
      </c>
      <c r="L315" s="162" t="s">
        <v>5609</v>
      </c>
      <c r="M315" s="111">
        <v>41.882894989473684</v>
      </c>
      <c r="N315" s="111">
        <v>795.77500480000003</v>
      </c>
      <c r="O315" s="111"/>
      <c r="P315" s="111"/>
      <c r="Q315" s="111"/>
      <c r="R315" s="111"/>
      <c r="S315" s="1249">
        <v>10</v>
      </c>
      <c r="T315" s="1250">
        <v>265.25833493333334</v>
      </c>
      <c r="U315" s="1250"/>
      <c r="V315" s="1250"/>
      <c r="W315" s="1251">
        <v>5</v>
      </c>
      <c r="X315" s="1250">
        <v>265.25833493333334</v>
      </c>
      <c r="Y315" s="1250"/>
      <c r="Z315" s="1250"/>
      <c r="AA315" s="1250"/>
      <c r="AB315" s="1250"/>
      <c r="AC315" s="1250"/>
      <c r="AD315" s="1250"/>
      <c r="AE315" s="1249">
        <v>4</v>
      </c>
      <c r="AF315" s="1250">
        <v>265.25833493333334</v>
      </c>
      <c r="AG315" s="111"/>
      <c r="AH315" s="111"/>
      <c r="AI315" s="111"/>
      <c r="AJ315" s="111"/>
      <c r="AK315" s="111"/>
      <c r="AL315" s="111"/>
      <c r="AM315" s="111">
        <v>795.77500480000003</v>
      </c>
    </row>
    <row r="316" spans="1:39" ht="15" customHeight="1" x14ac:dyDescent="0.25">
      <c r="A316" s="1409"/>
      <c r="B316" s="1409"/>
      <c r="C316" s="1409"/>
      <c r="D316" s="1409"/>
      <c r="E316" s="1247"/>
      <c r="F316" s="1248" t="s">
        <v>2612</v>
      </c>
      <c r="G316" s="111"/>
      <c r="H316" s="1249">
        <v>20</v>
      </c>
      <c r="I316" s="111" t="s">
        <v>1721</v>
      </c>
      <c r="J316" s="1321" t="s">
        <v>5608</v>
      </c>
      <c r="K316" s="162" t="s">
        <v>5610</v>
      </c>
      <c r="L316" s="162" t="s">
        <v>5609</v>
      </c>
      <c r="M316" s="111">
        <v>65.621200000000002</v>
      </c>
      <c r="N316" s="111">
        <v>1312.424</v>
      </c>
      <c r="O316" s="111"/>
      <c r="P316" s="111"/>
      <c r="Q316" s="111"/>
      <c r="R316" s="111"/>
      <c r="S316" s="1249">
        <v>10</v>
      </c>
      <c r="T316" s="1250">
        <v>437.47466666666668</v>
      </c>
      <c r="U316" s="1250"/>
      <c r="V316" s="1250"/>
      <c r="W316" s="1251">
        <v>5</v>
      </c>
      <c r="X316" s="1250">
        <v>437.47466666666668</v>
      </c>
      <c r="Y316" s="1250"/>
      <c r="Z316" s="1250"/>
      <c r="AA316" s="1250"/>
      <c r="AB316" s="1250"/>
      <c r="AC316" s="1250"/>
      <c r="AD316" s="1250"/>
      <c r="AE316" s="1249">
        <v>5</v>
      </c>
      <c r="AF316" s="1250">
        <v>437.47466666666668</v>
      </c>
      <c r="AG316" s="111"/>
      <c r="AH316" s="111"/>
      <c r="AI316" s="111"/>
      <c r="AJ316" s="111"/>
      <c r="AK316" s="111"/>
      <c r="AL316" s="111"/>
      <c r="AM316" s="111">
        <v>1312.424</v>
      </c>
    </row>
    <row r="317" spans="1:39" ht="15" customHeight="1" x14ac:dyDescent="0.25">
      <c r="A317" s="1409"/>
      <c r="B317" s="1409"/>
      <c r="C317" s="1409"/>
      <c r="D317" s="1409"/>
      <c r="E317" s="1247"/>
      <c r="F317" s="1248" t="s">
        <v>2912</v>
      </c>
      <c r="G317" s="111"/>
      <c r="H317" s="1249">
        <v>1</v>
      </c>
      <c r="I317" s="111" t="s">
        <v>1721</v>
      </c>
      <c r="J317" s="1321" t="s">
        <v>5608</v>
      </c>
      <c r="K317" s="162" t="s">
        <v>5610</v>
      </c>
      <c r="L317" s="162" t="s">
        <v>5609</v>
      </c>
      <c r="M317" s="111">
        <v>46.955640000000002</v>
      </c>
      <c r="N317" s="111">
        <v>46.955640000000002</v>
      </c>
      <c r="O317" s="111"/>
      <c r="P317" s="111"/>
      <c r="Q317" s="111"/>
      <c r="R317" s="111"/>
      <c r="S317" s="1249">
        <v>1</v>
      </c>
      <c r="T317" s="1250">
        <v>15.65188</v>
      </c>
      <c r="U317" s="1250"/>
      <c r="V317" s="1250"/>
      <c r="W317" s="1251">
        <v>0</v>
      </c>
      <c r="X317" s="1250">
        <v>15.65188</v>
      </c>
      <c r="Y317" s="1250"/>
      <c r="Z317" s="1250"/>
      <c r="AA317" s="1250"/>
      <c r="AB317" s="1250"/>
      <c r="AC317" s="1250"/>
      <c r="AD317" s="1250"/>
      <c r="AE317" s="1249">
        <v>0</v>
      </c>
      <c r="AF317" s="1250">
        <v>15.65188</v>
      </c>
      <c r="AG317" s="111"/>
      <c r="AH317" s="111"/>
      <c r="AI317" s="111"/>
      <c r="AJ317" s="111"/>
      <c r="AK317" s="111"/>
      <c r="AL317" s="111"/>
      <c r="AM317" s="111">
        <v>46.955640000000002</v>
      </c>
    </row>
    <row r="318" spans="1:39" ht="15" customHeight="1" x14ac:dyDescent="0.25">
      <c r="A318" s="1409"/>
      <c r="B318" s="1409"/>
      <c r="C318" s="1409"/>
      <c r="D318" s="1409"/>
      <c r="E318" s="1247"/>
      <c r="F318" s="1248" t="s">
        <v>2913</v>
      </c>
      <c r="G318" s="111"/>
      <c r="H318" s="1249">
        <v>1</v>
      </c>
      <c r="I318" s="111" t="s">
        <v>1827</v>
      </c>
      <c r="J318" s="1321" t="s">
        <v>5608</v>
      </c>
      <c r="K318" s="162" t="s">
        <v>5610</v>
      </c>
      <c r="L318" s="162" t="s">
        <v>5609</v>
      </c>
      <c r="M318" s="111">
        <v>82.5</v>
      </c>
      <c r="N318" s="111">
        <v>82.5</v>
      </c>
      <c r="O318" s="111"/>
      <c r="P318" s="111"/>
      <c r="Q318" s="111"/>
      <c r="R318" s="111"/>
      <c r="S318" s="1249">
        <v>1</v>
      </c>
      <c r="T318" s="1250">
        <v>27.5</v>
      </c>
      <c r="U318" s="1250"/>
      <c r="V318" s="1250"/>
      <c r="W318" s="1251">
        <v>0</v>
      </c>
      <c r="X318" s="1250">
        <v>27.5</v>
      </c>
      <c r="Y318" s="1250"/>
      <c r="Z318" s="1250"/>
      <c r="AA318" s="1250"/>
      <c r="AB318" s="1250"/>
      <c r="AC318" s="1250"/>
      <c r="AD318" s="1250"/>
      <c r="AE318" s="1249">
        <v>0</v>
      </c>
      <c r="AF318" s="1250">
        <v>27.5</v>
      </c>
      <c r="AG318" s="111"/>
      <c r="AH318" s="111"/>
      <c r="AI318" s="111"/>
      <c r="AJ318" s="111"/>
      <c r="AK318" s="111"/>
      <c r="AL318" s="111"/>
      <c r="AM318" s="111">
        <v>82.5</v>
      </c>
    </row>
    <row r="319" spans="1:39" ht="15" customHeight="1" x14ac:dyDescent="0.25">
      <c r="A319" s="1409"/>
      <c r="B319" s="1409"/>
      <c r="C319" s="1409"/>
      <c r="D319" s="1409"/>
      <c r="E319" s="1247"/>
      <c r="F319" s="1248" t="s">
        <v>2914</v>
      </c>
      <c r="G319" s="111"/>
      <c r="H319" s="1249">
        <v>1</v>
      </c>
      <c r="I319" s="111" t="s">
        <v>1721</v>
      </c>
      <c r="J319" s="1321" t="s">
        <v>5608</v>
      </c>
      <c r="K319" s="162" t="s">
        <v>5610</v>
      </c>
      <c r="L319" s="162" t="s">
        <v>5609</v>
      </c>
      <c r="M319" s="111">
        <v>17.260000000000002</v>
      </c>
      <c r="N319" s="111">
        <v>17.260000000000002</v>
      </c>
      <c r="O319" s="111"/>
      <c r="P319" s="111"/>
      <c r="Q319" s="111"/>
      <c r="R319" s="111"/>
      <c r="S319" s="1249">
        <v>1</v>
      </c>
      <c r="T319" s="1250">
        <v>5.7533333333333339</v>
      </c>
      <c r="U319" s="1250"/>
      <c r="V319" s="1250"/>
      <c r="W319" s="1251">
        <v>0</v>
      </c>
      <c r="X319" s="1250">
        <v>5.7533333333333339</v>
      </c>
      <c r="Y319" s="1250"/>
      <c r="Z319" s="1250"/>
      <c r="AA319" s="1250"/>
      <c r="AB319" s="1250"/>
      <c r="AC319" s="1250"/>
      <c r="AD319" s="1250"/>
      <c r="AE319" s="1249">
        <v>0</v>
      </c>
      <c r="AF319" s="1250">
        <v>5.7533333333333339</v>
      </c>
      <c r="AG319" s="111"/>
      <c r="AH319" s="111"/>
      <c r="AI319" s="111"/>
      <c r="AJ319" s="111"/>
      <c r="AK319" s="111"/>
      <c r="AL319" s="111"/>
      <c r="AM319" s="111">
        <v>17.260000000000002</v>
      </c>
    </row>
    <row r="320" spans="1:39" ht="15" customHeight="1" x14ac:dyDescent="0.25">
      <c r="A320" s="1409"/>
      <c r="B320" s="1409"/>
      <c r="C320" s="1409"/>
      <c r="D320" s="1409"/>
      <c r="E320" s="1247"/>
      <c r="F320" s="1248" t="s">
        <v>4441</v>
      </c>
      <c r="G320" s="111"/>
      <c r="H320" s="1249">
        <v>1</v>
      </c>
      <c r="I320" s="111" t="s">
        <v>1721</v>
      </c>
      <c r="J320" s="1321" t="s">
        <v>5608</v>
      </c>
      <c r="K320" s="162" t="s">
        <v>5610</v>
      </c>
      <c r="L320" s="162" t="s">
        <v>5609</v>
      </c>
      <c r="M320" s="111">
        <v>1757.61</v>
      </c>
      <c r="N320" s="111">
        <v>1757.61</v>
      </c>
      <c r="O320" s="111"/>
      <c r="P320" s="111"/>
      <c r="Q320" s="111"/>
      <c r="R320" s="111"/>
      <c r="S320" s="1249">
        <v>1</v>
      </c>
      <c r="T320" s="1250">
        <v>585.87</v>
      </c>
      <c r="U320" s="1250"/>
      <c r="V320" s="1250"/>
      <c r="W320" s="1251">
        <v>0</v>
      </c>
      <c r="X320" s="1250">
        <v>585.87</v>
      </c>
      <c r="Y320" s="1250"/>
      <c r="Z320" s="1250"/>
      <c r="AA320" s="1250"/>
      <c r="AB320" s="1250"/>
      <c r="AC320" s="1250"/>
      <c r="AD320" s="1250"/>
      <c r="AE320" s="1249">
        <v>0</v>
      </c>
      <c r="AF320" s="1250">
        <v>585.87</v>
      </c>
      <c r="AG320" s="111"/>
      <c r="AH320" s="111"/>
      <c r="AI320" s="111"/>
      <c r="AJ320" s="111"/>
      <c r="AK320" s="111"/>
      <c r="AL320" s="111"/>
      <c r="AM320" s="111">
        <v>1757.61</v>
      </c>
    </row>
    <row r="321" spans="1:39" ht="15" customHeight="1" x14ac:dyDescent="0.25">
      <c r="A321" s="1409"/>
      <c r="B321" s="1409"/>
      <c r="C321" s="1409"/>
      <c r="D321" s="1409"/>
      <c r="E321" s="1247"/>
      <c r="F321" s="1248" t="s">
        <v>2915</v>
      </c>
      <c r="G321" s="111"/>
      <c r="H321" s="1249">
        <v>1</v>
      </c>
      <c r="I321" s="111" t="s">
        <v>1721</v>
      </c>
      <c r="J321" s="1321" t="s">
        <v>5608</v>
      </c>
      <c r="K321" s="162" t="s">
        <v>5610</v>
      </c>
      <c r="L321" s="162" t="s">
        <v>5609</v>
      </c>
      <c r="M321" s="111">
        <v>348</v>
      </c>
      <c r="N321" s="111">
        <v>348</v>
      </c>
      <c r="O321" s="111"/>
      <c r="P321" s="111"/>
      <c r="Q321" s="111"/>
      <c r="R321" s="111"/>
      <c r="S321" s="1249">
        <v>1</v>
      </c>
      <c r="T321" s="1250">
        <v>116</v>
      </c>
      <c r="U321" s="1250"/>
      <c r="V321" s="1250"/>
      <c r="W321" s="1251">
        <v>0</v>
      </c>
      <c r="X321" s="1250">
        <v>116</v>
      </c>
      <c r="Y321" s="1250"/>
      <c r="Z321" s="1250"/>
      <c r="AA321" s="1250"/>
      <c r="AB321" s="1250"/>
      <c r="AC321" s="1250"/>
      <c r="AD321" s="1250"/>
      <c r="AE321" s="1249">
        <v>0</v>
      </c>
      <c r="AF321" s="1250">
        <v>116</v>
      </c>
      <c r="AG321" s="111"/>
      <c r="AH321" s="111"/>
      <c r="AI321" s="111"/>
      <c r="AJ321" s="111"/>
      <c r="AK321" s="111"/>
      <c r="AL321" s="111"/>
      <c r="AM321" s="111">
        <v>348</v>
      </c>
    </row>
    <row r="322" spans="1:39" ht="15" customHeight="1" x14ac:dyDescent="0.25">
      <c r="A322" s="1409"/>
      <c r="B322" s="1409"/>
      <c r="C322" s="1409"/>
      <c r="D322" s="1409"/>
      <c r="E322" s="1247"/>
      <c r="F322" s="1248" t="s">
        <v>2917</v>
      </c>
      <c r="G322" s="111"/>
      <c r="H322" s="1249">
        <v>1</v>
      </c>
      <c r="I322" s="111" t="s">
        <v>2247</v>
      </c>
      <c r="J322" s="1321" t="s">
        <v>5608</v>
      </c>
      <c r="K322" s="162" t="s">
        <v>5610</v>
      </c>
      <c r="L322" s="162" t="s">
        <v>5609</v>
      </c>
      <c r="M322" s="111">
        <v>232</v>
      </c>
      <c r="N322" s="111">
        <v>232</v>
      </c>
      <c r="O322" s="111"/>
      <c r="P322" s="111"/>
      <c r="Q322" s="111"/>
      <c r="R322" s="111"/>
      <c r="S322" s="1249">
        <v>1</v>
      </c>
      <c r="T322" s="1250">
        <v>77.333333333333329</v>
      </c>
      <c r="U322" s="1250"/>
      <c r="V322" s="1250"/>
      <c r="W322" s="1251">
        <v>0</v>
      </c>
      <c r="X322" s="1250">
        <v>77.333333333333329</v>
      </c>
      <c r="Y322" s="1250"/>
      <c r="Z322" s="1250"/>
      <c r="AA322" s="1250"/>
      <c r="AB322" s="1250"/>
      <c r="AC322" s="1250"/>
      <c r="AD322" s="1250"/>
      <c r="AE322" s="1249">
        <v>0</v>
      </c>
      <c r="AF322" s="1250">
        <v>77.333333333333329</v>
      </c>
      <c r="AG322" s="111"/>
      <c r="AH322" s="111"/>
      <c r="AI322" s="111"/>
      <c r="AJ322" s="111"/>
      <c r="AK322" s="111"/>
      <c r="AL322" s="111"/>
      <c r="AM322" s="111">
        <v>232</v>
      </c>
    </row>
    <row r="323" spans="1:39" ht="15" customHeight="1" x14ac:dyDescent="0.25">
      <c r="A323" s="1409"/>
      <c r="B323" s="1409"/>
      <c r="C323" s="1409"/>
      <c r="D323" s="1409"/>
      <c r="E323" s="1247"/>
      <c r="F323" s="1248" t="s">
        <v>3578</v>
      </c>
      <c r="G323" s="111"/>
      <c r="H323" s="1249">
        <v>29</v>
      </c>
      <c r="I323" s="111" t="s">
        <v>1721</v>
      </c>
      <c r="J323" s="1321" t="s">
        <v>5608</v>
      </c>
      <c r="K323" s="162" t="s">
        <v>5610</v>
      </c>
      <c r="L323" s="162" t="s">
        <v>5609</v>
      </c>
      <c r="M323" s="111">
        <v>25.620409213793103</v>
      </c>
      <c r="N323" s="111">
        <v>742.9918672</v>
      </c>
      <c r="O323" s="111"/>
      <c r="P323" s="111"/>
      <c r="Q323" s="111"/>
      <c r="R323" s="111"/>
      <c r="S323" s="1249">
        <v>9</v>
      </c>
      <c r="T323" s="1250">
        <v>247.66395573333332</v>
      </c>
      <c r="U323" s="1250"/>
      <c r="V323" s="1250"/>
      <c r="W323" s="1251">
        <v>10</v>
      </c>
      <c r="X323" s="1250">
        <v>247.66395573333332</v>
      </c>
      <c r="Y323" s="1250"/>
      <c r="Z323" s="1250"/>
      <c r="AA323" s="1250"/>
      <c r="AB323" s="1250"/>
      <c r="AC323" s="1250"/>
      <c r="AD323" s="1250"/>
      <c r="AE323" s="1249">
        <v>10</v>
      </c>
      <c r="AF323" s="1250">
        <v>247.66395573333332</v>
      </c>
      <c r="AG323" s="111"/>
      <c r="AH323" s="111"/>
      <c r="AI323" s="111"/>
      <c r="AJ323" s="111"/>
      <c r="AK323" s="111"/>
      <c r="AL323" s="111"/>
      <c r="AM323" s="111">
        <v>742.9918672</v>
      </c>
    </row>
    <row r="324" spans="1:39" ht="15" customHeight="1" x14ac:dyDescent="0.25">
      <c r="A324" s="1409"/>
      <c r="B324" s="1409"/>
      <c r="C324" s="1409"/>
      <c r="D324" s="1409"/>
      <c r="E324" s="1247"/>
      <c r="F324" s="1248" t="s">
        <v>162</v>
      </c>
      <c r="G324" s="111"/>
      <c r="H324" s="1249">
        <v>44</v>
      </c>
      <c r="I324" s="111" t="s">
        <v>1721</v>
      </c>
      <c r="J324" s="1321" t="s">
        <v>5608</v>
      </c>
      <c r="K324" s="162" t="s">
        <v>5610</v>
      </c>
      <c r="L324" s="162" t="s">
        <v>5609</v>
      </c>
      <c r="M324" s="111">
        <v>15.022509090909089</v>
      </c>
      <c r="N324" s="111">
        <v>660.99039999999991</v>
      </c>
      <c r="O324" s="111"/>
      <c r="P324" s="111"/>
      <c r="Q324" s="111"/>
      <c r="R324" s="111"/>
      <c r="S324" s="1249">
        <v>24</v>
      </c>
      <c r="T324" s="1250">
        <v>220.33013333333329</v>
      </c>
      <c r="U324" s="1250"/>
      <c r="V324" s="1250"/>
      <c r="W324" s="1251">
        <v>10</v>
      </c>
      <c r="X324" s="1250">
        <v>220.33013333333329</v>
      </c>
      <c r="Y324" s="1250"/>
      <c r="Z324" s="1250"/>
      <c r="AA324" s="1250"/>
      <c r="AB324" s="1250"/>
      <c r="AC324" s="1250"/>
      <c r="AD324" s="1250"/>
      <c r="AE324" s="1249">
        <v>10</v>
      </c>
      <c r="AF324" s="1250">
        <v>220.33013333333329</v>
      </c>
      <c r="AG324" s="111"/>
      <c r="AH324" s="111"/>
      <c r="AI324" s="111"/>
      <c r="AJ324" s="111"/>
      <c r="AK324" s="111"/>
      <c r="AL324" s="111"/>
      <c r="AM324" s="111">
        <v>660.99039999999991</v>
      </c>
    </row>
    <row r="325" spans="1:39" ht="15" customHeight="1" x14ac:dyDescent="0.25">
      <c r="A325" s="1409"/>
      <c r="B325" s="1409"/>
      <c r="C325" s="1409"/>
      <c r="D325" s="1409"/>
      <c r="E325" s="1247"/>
      <c r="F325" s="1248" t="s">
        <v>2515</v>
      </c>
      <c r="G325" s="111"/>
      <c r="H325" s="1249">
        <v>12</v>
      </c>
      <c r="I325" s="111" t="s">
        <v>1721</v>
      </c>
      <c r="J325" s="1321" t="s">
        <v>5608</v>
      </c>
      <c r="K325" s="162" t="s">
        <v>5610</v>
      </c>
      <c r="L325" s="162" t="s">
        <v>5609</v>
      </c>
      <c r="M325" s="111">
        <v>62.70000000000001</v>
      </c>
      <c r="N325" s="111">
        <v>752.40000000000009</v>
      </c>
      <c r="O325" s="111"/>
      <c r="P325" s="111"/>
      <c r="Q325" s="111"/>
      <c r="R325" s="111"/>
      <c r="S325" s="1249">
        <v>5</v>
      </c>
      <c r="T325" s="1250">
        <v>250.80000000000004</v>
      </c>
      <c r="U325" s="1250"/>
      <c r="V325" s="1250"/>
      <c r="W325" s="1251">
        <v>5</v>
      </c>
      <c r="X325" s="1250">
        <v>250.80000000000004</v>
      </c>
      <c r="Y325" s="1250"/>
      <c r="Z325" s="1250"/>
      <c r="AA325" s="1250"/>
      <c r="AB325" s="1250"/>
      <c r="AC325" s="1250"/>
      <c r="AD325" s="1250"/>
      <c r="AE325" s="1249">
        <v>2</v>
      </c>
      <c r="AF325" s="1250">
        <v>250.80000000000004</v>
      </c>
      <c r="AG325" s="111"/>
      <c r="AH325" s="111"/>
      <c r="AI325" s="111"/>
      <c r="AJ325" s="111"/>
      <c r="AK325" s="111"/>
      <c r="AL325" s="111"/>
      <c r="AM325" s="111">
        <v>752.40000000000009</v>
      </c>
    </row>
    <row r="326" spans="1:39" ht="15" customHeight="1" x14ac:dyDescent="0.25">
      <c r="A326" s="1409"/>
      <c r="B326" s="1409"/>
      <c r="C326" s="1409"/>
      <c r="D326" s="1409"/>
      <c r="E326" s="1247"/>
      <c r="F326" s="1248" t="s">
        <v>163</v>
      </c>
      <c r="G326" s="111"/>
      <c r="H326" s="1249">
        <v>68</v>
      </c>
      <c r="I326" s="111" t="s">
        <v>1721</v>
      </c>
      <c r="J326" s="1321" t="s">
        <v>5608</v>
      </c>
      <c r="K326" s="162" t="s">
        <v>5610</v>
      </c>
      <c r="L326" s="162" t="s">
        <v>5609</v>
      </c>
      <c r="M326" s="111">
        <v>38.349344117647064</v>
      </c>
      <c r="N326" s="111">
        <v>2607.7554000000005</v>
      </c>
      <c r="O326" s="111"/>
      <c r="P326" s="111"/>
      <c r="Q326" s="111"/>
      <c r="R326" s="111"/>
      <c r="S326" s="1249">
        <v>38</v>
      </c>
      <c r="T326" s="1250">
        <v>869.25180000000012</v>
      </c>
      <c r="U326" s="1250"/>
      <c r="V326" s="1250"/>
      <c r="W326" s="1251">
        <v>20</v>
      </c>
      <c r="X326" s="1250">
        <v>869.25180000000012</v>
      </c>
      <c r="Y326" s="1250"/>
      <c r="Z326" s="1250"/>
      <c r="AA326" s="1250"/>
      <c r="AB326" s="1250"/>
      <c r="AC326" s="1250"/>
      <c r="AD326" s="1250"/>
      <c r="AE326" s="1249">
        <v>10</v>
      </c>
      <c r="AF326" s="1250">
        <v>869.25180000000012</v>
      </c>
      <c r="AG326" s="111"/>
      <c r="AH326" s="111"/>
      <c r="AI326" s="111"/>
      <c r="AJ326" s="111"/>
      <c r="AK326" s="111"/>
      <c r="AL326" s="111"/>
      <c r="AM326" s="111">
        <v>2607.7554000000005</v>
      </c>
    </row>
    <row r="327" spans="1:39" ht="15" customHeight="1" x14ac:dyDescent="0.25">
      <c r="A327" s="1409"/>
      <c r="B327" s="1409"/>
      <c r="C327" s="1409"/>
      <c r="D327" s="1409"/>
      <c r="E327" s="1247"/>
      <c r="F327" s="1248" t="s">
        <v>164</v>
      </c>
      <c r="G327" s="111"/>
      <c r="H327" s="1249">
        <v>91</v>
      </c>
      <c r="I327" s="111" t="s">
        <v>2443</v>
      </c>
      <c r="J327" s="1321" t="s">
        <v>5608</v>
      </c>
      <c r="K327" s="162" t="s">
        <v>5610</v>
      </c>
      <c r="L327" s="162" t="s">
        <v>5609</v>
      </c>
      <c r="M327" s="111">
        <v>146.89485028571428</v>
      </c>
      <c r="N327" s="111">
        <v>13367.431376</v>
      </c>
      <c r="O327" s="111"/>
      <c r="P327" s="111"/>
      <c r="Q327" s="111"/>
      <c r="R327" s="111"/>
      <c r="S327" s="1249">
        <v>41</v>
      </c>
      <c r="T327" s="1250">
        <v>4455.8104586666668</v>
      </c>
      <c r="U327" s="1250"/>
      <c r="V327" s="1250"/>
      <c r="W327" s="1251">
        <v>30</v>
      </c>
      <c r="X327" s="1250">
        <v>4455.8104586666668</v>
      </c>
      <c r="Y327" s="1250"/>
      <c r="Z327" s="1250"/>
      <c r="AA327" s="1250"/>
      <c r="AB327" s="1250"/>
      <c r="AC327" s="1250"/>
      <c r="AD327" s="1250"/>
      <c r="AE327" s="1249">
        <v>20</v>
      </c>
      <c r="AF327" s="1250">
        <v>4455.8104586666668</v>
      </c>
      <c r="AG327" s="111"/>
      <c r="AH327" s="111"/>
      <c r="AI327" s="111"/>
      <c r="AJ327" s="111"/>
      <c r="AK327" s="111"/>
      <c r="AL327" s="111"/>
      <c r="AM327" s="111">
        <v>13367.431376</v>
      </c>
    </row>
    <row r="328" spans="1:39" ht="15" customHeight="1" x14ac:dyDescent="0.25">
      <c r="A328" s="1409"/>
      <c r="B328" s="1409"/>
      <c r="C328" s="1409"/>
      <c r="D328" s="1409"/>
      <c r="E328" s="1247"/>
      <c r="F328" s="1248" t="s">
        <v>4442</v>
      </c>
      <c r="G328" s="111"/>
      <c r="H328" s="1249">
        <v>10</v>
      </c>
      <c r="I328" s="111" t="s">
        <v>1721</v>
      </c>
      <c r="J328" s="1321" t="s">
        <v>5608</v>
      </c>
      <c r="K328" s="162" t="s">
        <v>5610</v>
      </c>
      <c r="L328" s="162" t="s">
        <v>5609</v>
      </c>
      <c r="M328" s="111">
        <v>12.5</v>
      </c>
      <c r="N328" s="111">
        <v>125</v>
      </c>
      <c r="O328" s="111"/>
      <c r="P328" s="111"/>
      <c r="Q328" s="111"/>
      <c r="R328" s="111"/>
      <c r="S328" s="1249">
        <v>5</v>
      </c>
      <c r="T328" s="1250">
        <v>41.666666666666664</v>
      </c>
      <c r="U328" s="1250"/>
      <c r="V328" s="1250"/>
      <c r="W328" s="1251">
        <v>5</v>
      </c>
      <c r="X328" s="1250">
        <v>41.666666666666664</v>
      </c>
      <c r="Y328" s="1250"/>
      <c r="Z328" s="1250"/>
      <c r="AA328" s="1250"/>
      <c r="AB328" s="1250"/>
      <c r="AC328" s="1250"/>
      <c r="AD328" s="1250"/>
      <c r="AE328" s="1249">
        <v>0</v>
      </c>
      <c r="AF328" s="1250">
        <v>41.666666666666664</v>
      </c>
      <c r="AG328" s="111"/>
      <c r="AH328" s="111"/>
      <c r="AI328" s="111"/>
      <c r="AJ328" s="111"/>
      <c r="AK328" s="111"/>
      <c r="AL328" s="111"/>
      <c r="AM328" s="111">
        <v>125</v>
      </c>
    </row>
    <row r="329" spans="1:39" ht="15" customHeight="1" x14ac:dyDescent="0.25">
      <c r="A329" s="1409"/>
      <c r="B329" s="1409"/>
      <c r="C329" s="1409"/>
      <c r="D329" s="1409"/>
      <c r="E329" s="1247"/>
      <c r="F329" s="1248" t="s">
        <v>166</v>
      </c>
      <c r="G329" s="111"/>
      <c r="H329" s="1249">
        <v>153</v>
      </c>
      <c r="I329" s="111" t="s">
        <v>1721</v>
      </c>
      <c r="J329" s="1321" t="s">
        <v>5608</v>
      </c>
      <c r="K329" s="162" t="s">
        <v>5610</v>
      </c>
      <c r="L329" s="162" t="s">
        <v>5609</v>
      </c>
      <c r="M329" s="111">
        <v>112.49623470849674</v>
      </c>
      <c r="N329" s="111">
        <v>17211.923910400001</v>
      </c>
      <c r="O329" s="111"/>
      <c r="P329" s="111"/>
      <c r="Q329" s="111"/>
      <c r="R329" s="111"/>
      <c r="S329" s="1249">
        <v>53</v>
      </c>
      <c r="T329" s="1250">
        <v>5737.3079701333336</v>
      </c>
      <c r="U329" s="1250"/>
      <c r="V329" s="1250"/>
      <c r="W329" s="1251">
        <v>50</v>
      </c>
      <c r="X329" s="1250">
        <v>5737.3079701333336</v>
      </c>
      <c r="Y329" s="1250"/>
      <c r="Z329" s="1250"/>
      <c r="AA329" s="1250"/>
      <c r="AB329" s="1250"/>
      <c r="AC329" s="1250"/>
      <c r="AD329" s="1250"/>
      <c r="AE329" s="1249">
        <v>50</v>
      </c>
      <c r="AF329" s="1250">
        <v>5737.3079701333336</v>
      </c>
      <c r="AG329" s="111"/>
      <c r="AH329" s="111"/>
      <c r="AI329" s="111"/>
      <c r="AJ329" s="111"/>
      <c r="AK329" s="111"/>
      <c r="AL329" s="111"/>
      <c r="AM329" s="111">
        <v>17211.923910400001</v>
      </c>
    </row>
    <row r="330" spans="1:39" ht="15" customHeight="1" x14ac:dyDescent="0.25">
      <c r="A330" s="1409"/>
      <c r="B330" s="1409"/>
      <c r="C330" s="1409"/>
      <c r="D330" s="1409"/>
      <c r="E330" s="1247"/>
      <c r="F330" s="1248" t="s">
        <v>165</v>
      </c>
      <c r="G330" s="111"/>
      <c r="H330" s="1249">
        <v>41</v>
      </c>
      <c r="I330" s="111" t="s">
        <v>1721</v>
      </c>
      <c r="J330" s="1321" t="s">
        <v>5608</v>
      </c>
      <c r="K330" s="162" t="s">
        <v>5610</v>
      </c>
      <c r="L330" s="162" t="s">
        <v>5609</v>
      </c>
      <c r="M330" s="111">
        <v>26.604912195121951</v>
      </c>
      <c r="N330" s="111">
        <v>1090.8014000000001</v>
      </c>
      <c r="O330" s="111"/>
      <c r="P330" s="111"/>
      <c r="Q330" s="111"/>
      <c r="R330" s="111"/>
      <c r="S330" s="1249">
        <v>21</v>
      </c>
      <c r="T330" s="1250">
        <v>363.6004666666667</v>
      </c>
      <c r="U330" s="1250"/>
      <c r="V330" s="1250"/>
      <c r="W330" s="1251">
        <v>10</v>
      </c>
      <c r="X330" s="1250">
        <v>363.6004666666667</v>
      </c>
      <c r="Y330" s="1250"/>
      <c r="Z330" s="1250"/>
      <c r="AA330" s="1250"/>
      <c r="AB330" s="1250"/>
      <c r="AC330" s="1250"/>
      <c r="AD330" s="1250"/>
      <c r="AE330" s="1249">
        <v>10</v>
      </c>
      <c r="AF330" s="1250">
        <v>363.6004666666667</v>
      </c>
      <c r="AG330" s="111"/>
      <c r="AH330" s="111"/>
      <c r="AI330" s="111"/>
      <c r="AJ330" s="111"/>
      <c r="AK330" s="111"/>
      <c r="AL330" s="111"/>
      <c r="AM330" s="111">
        <v>1090.8014000000001</v>
      </c>
    </row>
    <row r="331" spans="1:39" ht="15" customHeight="1" x14ac:dyDescent="0.25">
      <c r="A331" s="1409"/>
      <c r="B331" s="1409"/>
      <c r="C331" s="1409"/>
      <c r="D331" s="1409"/>
      <c r="E331" s="1247"/>
      <c r="F331" s="1248" t="s">
        <v>1163</v>
      </c>
      <c r="G331" s="111"/>
      <c r="H331" s="1249">
        <v>7</v>
      </c>
      <c r="I331" s="111" t="s">
        <v>1721</v>
      </c>
      <c r="J331" s="1321" t="s">
        <v>5608</v>
      </c>
      <c r="K331" s="162" t="s">
        <v>5610</v>
      </c>
      <c r="L331" s="162" t="s">
        <v>5609</v>
      </c>
      <c r="M331" s="111">
        <v>168.5226070857143</v>
      </c>
      <c r="N331" s="111">
        <v>1179.6582496000001</v>
      </c>
      <c r="O331" s="111"/>
      <c r="P331" s="111"/>
      <c r="Q331" s="111"/>
      <c r="R331" s="111"/>
      <c r="S331" s="1249">
        <v>3</v>
      </c>
      <c r="T331" s="1250">
        <v>393.21941653333334</v>
      </c>
      <c r="U331" s="1250"/>
      <c r="V331" s="1250"/>
      <c r="W331" s="1251">
        <v>2</v>
      </c>
      <c r="X331" s="1250">
        <v>393.21941653333334</v>
      </c>
      <c r="Y331" s="1250"/>
      <c r="Z331" s="1250"/>
      <c r="AA331" s="1250"/>
      <c r="AB331" s="1250"/>
      <c r="AC331" s="1250"/>
      <c r="AD331" s="1250"/>
      <c r="AE331" s="1249">
        <v>2</v>
      </c>
      <c r="AF331" s="1250">
        <v>393.21941653333334</v>
      </c>
      <c r="AG331" s="111"/>
      <c r="AH331" s="111"/>
      <c r="AI331" s="111"/>
      <c r="AJ331" s="111"/>
      <c r="AK331" s="111"/>
      <c r="AL331" s="111"/>
      <c r="AM331" s="111">
        <v>1179.6582496000001</v>
      </c>
    </row>
    <row r="332" spans="1:39" ht="15" customHeight="1" x14ac:dyDescent="0.25">
      <c r="A332" s="1409"/>
      <c r="B332" s="1409"/>
      <c r="C332" s="1409"/>
      <c r="D332" s="1409"/>
      <c r="E332" s="1247"/>
      <c r="F332" s="1248" t="s">
        <v>167</v>
      </c>
      <c r="G332" s="111"/>
      <c r="H332" s="1249">
        <v>22</v>
      </c>
      <c r="I332" s="111" t="s">
        <v>1721</v>
      </c>
      <c r="J332" s="1321" t="s">
        <v>5608</v>
      </c>
      <c r="K332" s="162" t="s">
        <v>5610</v>
      </c>
      <c r="L332" s="162" t="s">
        <v>5609</v>
      </c>
      <c r="M332" s="111">
        <v>35.851818181818182</v>
      </c>
      <c r="N332" s="111">
        <v>788.74</v>
      </c>
      <c r="O332" s="111"/>
      <c r="P332" s="111"/>
      <c r="Q332" s="111"/>
      <c r="R332" s="111"/>
      <c r="S332" s="1249">
        <v>12</v>
      </c>
      <c r="T332" s="1250">
        <v>262.91333333333336</v>
      </c>
      <c r="U332" s="1250"/>
      <c r="V332" s="1250"/>
      <c r="W332" s="1251">
        <v>5</v>
      </c>
      <c r="X332" s="1250">
        <v>262.91333333333336</v>
      </c>
      <c r="Y332" s="1250"/>
      <c r="Z332" s="1250"/>
      <c r="AA332" s="1250"/>
      <c r="AB332" s="1250"/>
      <c r="AC332" s="1250"/>
      <c r="AD332" s="1250"/>
      <c r="AE332" s="1249">
        <v>5</v>
      </c>
      <c r="AF332" s="1250">
        <v>262.91333333333336</v>
      </c>
      <c r="AG332" s="111"/>
      <c r="AH332" s="111"/>
      <c r="AI332" s="111"/>
      <c r="AJ332" s="111"/>
      <c r="AK332" s="111"/>
      <c r="AL332" s="111"/>
      <c r="AM332" s="111">
        <v>788.74</v>
      </c>
    </row>
    <row r="333" spans="1:39" ht="15" customHeight="1" x14ac:dyDescent="0.25">
      <c r="A333" s="1409"/>
      <c r="B333" s="1409"/>
      <c r="C333" s="1409"/>
      <c r="D333" s="1409"/>
      <c r="E333" s="1247"/>
      <c r="F333" s="1248" t="s">
        <v>4443</v>
      </c>
      <c r="G333" s="111"/>
      <c r="H333" s="1249">
        <v>23</v>
      </c>
      <c r="I333" s="111" t="s">
        <v>1721</v>
      </c>
      <c r="J333" s="1321" t="s">
        <v>5608</v>
      </c>
      <c r="K333" s="162" t="s">
        <v>5610</v>
      </c>
      <c r="L333" s="162" t="s">
        <v>5609</v>
      </c>
      <c r="M333" s="111">
        <v>160.34782608695653</v>
      </c>
      <c r="N333" s="111">
        <v>3688</v>
      </c>
      <c r="O333" s="111"/>
      <c r="P333" s="111"/>
      <c r="Q333" s="111"/>
      <c r="R333" s="111"/>
      <c r="S333" s="1249">
        <v>10</v>
      </c>
      <c r="T333" s="1250">
        <v>1229.3333333333335</v>
      </c>
      <c r="U333" s="1250"/>
      <c r="V333" s="1250"/>
      <c r="W333" s="1251">
        <v>10</v>
      </c>
      <c r="X333" s="1250">
        <v>1229.3333333333335</v>
      </c>
      <c r="Y333" s="1250"/>
      <c r="Z333" s="1250"/>
      <c r="AA333" s="1250"/>
      <c r="AB333" s="1250"/>
      <c r="AC333" s="1250"/>
      <c r="AD333" s="1250"/>
      <c r="AE333" s="1249">
        <v>3</v>
      </c>
      <c r="AF333" s="1250">
        <v>1229.3333333333335</v>
      </c>
      <c r="AG333" s="111"/>
      <c r="AH333" s="111"/>
      <c r="AI333" s="111"/>
      <c r="AJ333" s="111"/>
      <c r="AK333" s="111"/>
      <c r="AL333" s="111"/>
      <c r="AM333" s="111">
        <v>3688.0000000000005</v>
      </c>
    </row>
    <row r="334" spans="1:39" ht="15" customHeight="1" x14ac:dyDescent="0.25">
      <c r="A334" s="1409"/>
      <c r="B334" s="1409"/>
      <c r="C334" s="1409"/>
      <c r="D334" s="1409"/>
      <c r="E334" s="1247"/>
      <c r="F334" s="1248" t="s">
        <v>4444</v>
      </c>
      <c r="G334" s="111"/>
      <c r="H334" s="1249">
        <v>3</v>
      </c>
      <c r="I334" s="111" t="s">
        <v>1721</v>
      </c>
      <c r="J334" s="1321" t="s">
        <v>5608</v>
      </c>
      <c r="K334" s="162" t="s">
        <v>5610</v>
      </c>
      <c r="L334" s="162" t="s">
        <v>5609</v>
      </c>
      <c r="M334" s="111">
        <v>936.79999999999984</v>
      </c>
      <c r="N334" s="111">
        <v>2810.3999999999996</v>
      </c>
      <c r="O334" s="111"/>
      <c r="P334" s="111"/>
      <c r="Q334" s="111"/>
      <c r="R334" s="111"/>
      <c r="S334" s="1249">
        <v>1</v>
      </c>
      <c r="T334" s="1250">
        <v>936.79999999999984</v>
      </c>
      <c r="U334" s="1250"/>
      <c r="V334" s="1250"/>
      <c r="W334" s="1251">
        <v>1</v>
      </c>
      <c r="X334" s="1250">
        <v>936.79999999999984</v>
      </c>
      <c r="Y334" s="1250"/>
      <c r="Z334" s="1250"/>
      <c r="AA334" s="1250"/>
      <c r="AB334" s="1250"/>
      <c r="AC334" s="1250"/>
      <c r="AD334" s="1250"/>
      <c r="AE334" s="1249">
        <v>1</v>
      </c>
      <c r="AF334" s="1250">
        <v>936.79999999999984</v>
      </c>
      <c r="AG334" s="111"/>
      <c r="AH334" s="111"/>
      <c r="AI334" s="111"/>
      <c r="AJ334" s="111"/>
      <c r="AK334" s="111"/>
      <c r="AL334" s="111"/>
      <c r="AM334" s="111">
        <v>2810.3999999999996</v>
      </c>
    </row>
    <row r="335" spans="1:39" ht="15" customHeight="1" x14ac:dyDescent="0.25">
      <c r="A335" s="1409"/>
      <c r="B335" s="1409"/>
      <c r="C335" s="1409"/>
      <c r="D335" s="1409"/>
      <c r="E335" s="1247"/>
      <c r="F335" s="1248" t="s">
        <v>168</v>
      </c>
      <c r="G335" s="111"/>
      <c r="H335" s="1249">
        <v>32</v>
      </c>
      <c r="I335" s="111" t="s">
        <v>1721</v>
      </c>
      <c r="J335" s="1321" t="s">
        <v>5608</v>
      </c>
      <c r="K335" s="162" t="s">
        <v>5610</v>
      </c>
      <c r="L335" s="162" t="s">
        <v>5609</v>
      </c>
      <c r="M335" s="111">
        <v>109.35287079999999</v>
      </c>
      <c r="N335" s="111">
        <v>3499.2918655999997</v>
      </c>
      <c r="O335" s="111"/>
      <c r="P335" s="111"/>
      <c r="Q335" s="111"/>
      <c r="R335" s="111"/>
      <c r="S335" s="1249">
        <v>12</v>
      </c>
      <c r="T335" s="1250">
        <v>1166.4306218666666</v>
      </c>
      <c r="U335" s="1250"/>
      <c r="V335" s="1250"/>
      <c r="W335" s="1251">
        <v>10</v>
      </c>
      <c r="X335" s="1250">
        <v>1166.4306218666666</v>
      </c>
      <c r="Y335" s="1250"/>
      <c r="Z335" s="1250"/>
      <c r="AA335" s="1250"/>
      <c r="AB335" s="1250"/>
      <c r="AC335" s="1250"/>
      <c r="AD335" s="1250"/>
      <c r="AE335" s="1249">
        <v>10</v>
      </c>
      <c r="AF335" s="1250">
        <v>1166.4306218666666</v>
      </c>
      <c r="AG335" s="111"/>
      <c r="AH335" s="111"/>
      <c r="AI335" s="111"/>
      <c r="AJ335" s="111"/>
      <c r="AK335" s="111"/>
      <c r="AL335" s="111"/>
      <c r="AM335" s="111">
        <v>3499.2918655999997</v>
      </c>
    </row>
    <row r="336" spans="1:39" ht="15" customHeight="1" x14ac:dyDescent="0.25">
      <c r="A336" s="1409"/>
      <c r="B336" s="1409"/>
      <c r="C336" s="1409"/>
      <c r="D336" s="1409"/>
      <c r="E336" s="1247"/>
      <c r="F336" s="1248" t="s">
        <v>1422</v>
      </c>
      <c r="G336" s="111"/>
      <c r="H336" s="1249">
        <v>37</v>
      </c>
      <c r="I336" s="111" t="s">
        <v>1721</v>
      </c>
      <c r="J336" s="1321" t="s">
        <v>5608</v>
      </c>
      <c r="K336" s="162" t="s">
        <v>5610</v>
      </c>
      <c r="L336" s="162" t="s">
        <v>5609</v>
      </c>
      <c r="M336" s="111">
        <v>145.88028194594597</v>
      </c>
      <c r="N336" s="111">
        <v>5397.5704320000004</v>
      </c>
      <c r="O336" s="111"/>
      <c r="P336" s="111"/>
      <c r="Q336" s="111"/>
      <c r="R336" s="111"/>
      <c r="S336" s="1249">
        <v>15</v>
      </c>
      <c r="T336" s="1250">
        <v>1799.1901440000001</v>
      </c>
      <c r="U336" s="1250"/>
      <c r="V336" s="1250"/>
      <c r="W336" s="1251">
        <v>12</v>
      </c>
      <c r="X336" s="1250">
        <v>1799.1901440000001</v>
      </c>
      <c r="Y336" s="1250"/>
      <c r="Z336" s="1250"/>
      <c r="AA336" s="1250"/>
      <c r="AB336" s="1250"/>
      <c r="AC336" s="1250"/>
      <c r="AD336" s="1250"/>
      <c r="AE336" s="1249">
        <v>10</v>
      </c>
      <c r="AF336" s="1250">
        <v>1799.1901440000001</v>
      </c>
      <c r="AG336" s="111"/>
      <c r="AH336" s="111"/>
      <c r="AI336" s="111"/>
      <c r="AJ336" s="111"/>
      <c r="AK336" s="111"/>
      <c r="AL336" s="111"/>
      <c r="AM336" s="111">
        <v>5397.5704320000004</v>
      </c>
    </row>
    <row r="337" spans="1:39" ht="15" customHeight="1" x14ac:dyDescent="0.25">
      <c r="A337" s="1409"/>
      <c r="B337" s="1409"/>
      <c r="C337" s="1409"/>
      <c r="D337" s="1409"/>
      <c r="E337" s="1247"/>
      <c r="F337" s="1248" t="s">
        <v>2619</v>
      </c>
      <c r="G337" s="111"/>
      <c r="H337" s="1249">
        <v>4</v>
      </c>
      <c r="I337" s="111" t="s">
        <v>4445</v>
      </c>
      <c r="J337" s="1321" t="s">
        <v>5608</v>
      </c>
      <c r="K337" s="162" t="s">
        <v>5610</v>
      </c>
      <c r="L337" s="162" t="s">
        <v>5609</v>
      </c>
      <c r="M337" s="111">
        <v>381.99959999999999</v>
      </c>
      <c r="N337" s="111">
        <v>1527.9983999999999</v>
      </c>
      <c r="O337" s="111"/>
      <c r="P337" s="111"/>
      <c r="Q337" s="111"/>
      <c r="R337" s="111"/>
      <c r="S337" s="1249">
        <v>2</v>
      </c>
      <c r="T337" s="1250">
        <v>509.33279999999996</v>
      </c>
      <c r="U337" s="1250"/>
      <c r="V337" s="1250"/>
      <c r="W337" s="1251">
        <v>1</v>
      </c>
      <c r="X337" s="1250">
        <v>509.33279999999996</v>
      </c>
      <c r="Y337" s="1250"/>
      <c r="Z337" s="1250"/>
      <c r="AA337" s="1250"/>
      <c r="AB337" s="1250"/>
      <c r="AC337" s="1250"/>
      <c r="AD337" s="1250"/>
      <c r="AE337" s="1249">
        <v>1</v>
      </c>
      <c r="AF337" s="1250">
        <v>509.33279999999996</v>
      </c>
      <c r="AG337" s="111"/>
      <c r="AH337" s="111"/>
      <c r="AI337" s="111"/>
      <c r="AJ337" s="111"/>
      <c r="AK337" s="111"/>
      <c r="AL337" s="111"/>
      <c r="AM337" s="111">
        <v>1527.9983999999999</v>
      </c>
    </row>
    <row r="338" spans="1:39" ht="15" customHeight="1" x14ac:dyDescent="0.25">
      <c r="A338" s="1409"/>
      <c r="B338" s="1409"/>
      <c r="C338" s="1409"/>
      <c r="D338" s="1409"/>
      <c r="E338" s="1247"/>
      <c r="F338" s="1248" t="s">
        <v>2610</v>
      </c>
      <c r="G338" s="111"/>
      <c r="H338" s="1249">
        <v>90</v>
      </c>
      <c r="I338" s="111" t="s">
        <v>1827</v>
      </c>
      <c r="J338" s="1321" t="s">
        <v>5608</v>
      </c>
      <c r="K338" s="162" t="s">
        <v>5610</v>
      </c>
      <c r="L338" s="162" t="s">
        <v>5609</v>
      </c>
      <c r="M338" s="111">
        <v>33.837200000000003</v>
      </c>
      <c r="N338" s="111">
        <v>3045.3480000000004</v>
      </c>
      <c r="O338" s="111"/>
      <c r="P338" s="111"/>
      <c r="Q338" s="111"/>
      <c r="R338" s="111"/>
      <c r="S338" s="1249">
        <v>50</v>
      </c>
      <c r="T338" s="1250">
        <v>1015.1160000000001</v>
      </c>
      <c r="U338" s="1250"/>
      <c r="V338" s="1250"/>
      <c r="W338" s="1251">
        <v>20</v>
      </c>
      <c r="X338" s="1250">
        <v>1015.1160000000001</v>
      </c>
      <c r="Y338" s="1250"/>
      <c r="Z338" s="1250"/>
      <c r="AA338" s="1250"/>
      <c r="AB338" s="1250"/>
      <c r="AC338" s="1250"/>
      <c r="AD338" s="1250"/>
      <c r="AE338" s="1249">
        <v>20</v>
      </c>
      <c r="AF338" s="1250">
        <v>1015.1160000000001</v>
      </c>
      <c r="AG338" s="111"/>
      <c r="AH338" s="111"/>
      <c r="AI338" s="111"/>
      <c r="AJ338" s="111"/>
      <c r="AK338" s="111"/>
      <c r="AL338" s="111"/>
      <c r="AM338" s="111">
        <v>3045.3480000000004</v>
      </c>
    </row>
    <row r="339" spans="1:39" ht="15" customHeight="1" x14ac:dyDescent="0.25">
      <c r="A339" s="1409"/>
      <c r="B339" s="1409"/>
      <c r="C339" s="1409"/>
      <c r="D339" s="1409"/>
      <c r="E339" s="1247"/>
      <c r="F339" s="1248" t="s">
        <v>2918</v>
      </c>
      <c r="G339" s="111"/>
      <c r="H339" s="1249">
        <v>1</v>
      </c>
      <c r="I339" s="111" t="s">
        <v>1827</v>
      </c>
      <c r="J339" s="1321" t="s">
        <v>5608</v>
      </c>
      <c r="K339" s="162" t="s">
        <v>5610</v>
      </c>
      <c r="L339" s="162" t="s">
        <v>5609</v>
      </c>
      <c r="M339" s="111">
        <v>174</v>
      </c>
      <c r="N339" s="111">
        <v>174</v>
      </c>
      <c r="O339" s="111"/>
      <c r="P339" s="111"/>
      <c r="Q339" s="111"/>
      <c r="R339" s="111"/>
      <c r="S339" s="1249">
        <v>1</v>
      </c>
      <c r="T339" s="1250">
        <v>58</v>
      </c>
      <c r="U339" s="1250"/>
      <c r="V339" s="1250"/>
      <c r="W339" s="1251">
        <v>0</v>
      </c>
      <c r="X339" s="1250">
        <v>58</v>
      </c>
      <c r="Y339" s="1250"/>
      <c r="Z339" s="1250"/>
      <c r="AA339" s="1250"/>
      <c r="AB339" s="1250"/>
      <c r="AC339" s="1250"/>
      <c r="AD339" s="1250"/>
      <c r="AE339" s="1249">
        <v>0</v>
      </c>
      <c r="AF339" s="1250">
        <v>58</v>
      </c>
      <c r="AG339" s="111"/>
      <c r="AH339" s="111"/>
      <c r="AI339" s="111"/>
      <c r="AJ339" s="111"/>
      <c r="AK339" s="111"/>
      <c r="AL339" s="111"/>
      <c r="AM339" s="111">
        <v>174</v>
      </c>
    </row>
    <row r="340" spans="1:39" ht="15" customHeight="1" x14ac:dyDescent="0.25">
      <c r="A340" s="1409"/>
      <c r="B340" s="1409"/>
      <c r="C340" s="1409"/>
      <c r="D340" s="1409"/>
      <c r="E340" s="1247"/>
      <c r="F340" s="1248" t="s">
        <v>2919</v>
      </c>
      <c r="G340" s="111"/>
      <c r="H340" s="1249">
        <v>1</v>
      </c>
      <c r="I340" s="111" t="s">
        <v>1827</v>
      </c>
      <c r="J340" s="1321" t="s">
        <v>5608</v>
      </c>
      <c r="K340" s="162" t="s">
        <v>5610</v>
      </c>
      <c r="L340" s="162" t="s">
        <v>5609</v>
      </c>
      <c r="M340" s="111">
        <v>174</v>
      </c>
      <c r="N340" s="111">
        <v>174</v>
      </c>
      <c r="O340" s="111"/>
      <c r="P340" s="111"/>
      <c r="Q340" s="111"/>
      <c r="R340" s="111"/>
      <c r="S340" s="1249">
        <v>1</v>
      </c>
      <c r="T340" s="1250">
        <v>58</v>
      </c>
      <c r="U340" s="1250"/>
      <c r="V340" s="1250"/>
      <c r="W340" s="1251">
        <v>0</v>
      </c>
      <c r="X340" s="1250">
        <v>58</v>
      </c>
      <c r="Y340" s="1250"/>
      <c r="Z340" s="1250"/>
      <c r="AA340" s="1250"/>
      <c r="AB340" s="1250"/>
      <c r="AC340" s="1250"/>
      <c r="AD340" s="1250"/>
      <c r="AE340" s="1249">
        <v>0</v>
      </c>
      <c r="AF340" s="1250">
        <v>58</v>
      </c>
      <c r="AG340" s="111"/>
      <c r="AH340" s="111"/>
      <c r="AI340" s="111"/>
      <c r="AJ340" s="111"/>
      <c r="AK340" s="111"/>
      <c r="AL340" s="111"/>
      <c r="AM340" s="111">
        <v>174</v>
      </c>
    </row>
    <row r="341" spans="1:39" ht="15" customHeight="1" x14ac:dyDescent="0.25">
      <c r="A341" s="1409"/>
      <c r="B341" s="1409"/>
      <c r="C341" s="1409"/>
      <c r="D341" s="1409"/>
      <c r="E341" s="1247"/>
      <c r="F341" s="1248" t="s">
        <v>2920</v>
      </c>
      <c r="G341" s="111"/>
      <c r="H341" s="1249">
        <v>1</v>
      </c>
      <c r="I341" s="111" t="s">
        <v>1827</v>
      </c>
      <c r="J341" s="1321" t="s">
        <v>5608</v>
      </c>
      <c r="K341" s="162" t="s">
        <v>5610</v>
      </c>
      <c r="L341" s="162" t="s">
        <v>5609</v>
      </c>
      <c r="M341" s="111">
        <v>197.2</v>
      </c>
      <c r="N341" s="111">
        <v>197.2</v>
      </c>
      <c r="O341" s="111"/>
      <c r="P341" s="111"/>
      <c r="Q341" s="111"/>
      <c r="R341" s="111"/>
      <c r="S341" s="1249">
        <v>1</v>
      </c>
      <c r="T341" s="1250">
        <v>65.733333333333334</v>
      </c>
      <c r="U341" s="1250"/>
      <c r="V341" s="1250"/>
      <c r="W341" s="1251">
        <v>0</v>
      </c>
      <c r="X341" s="1250">
        <v>65.733333333333334</v>
      </c>
      <c r="Y341" s="1250"/>
      <c r="Z341" s="1250"/>
      <c r="AA341" s="1250"/>
      <c r="AB341" s="1250"/>
      <c r="AC341" s="1250"/>
      <c r="AD341" s="1250"/>
      <c r="AE341" s="1249">
        <v>0</v>
      </c>
      <c r="AF341" s="1250">
        <v>65.733333333333334</v>
      </c>
      <c r="AG341" s="111"/>
      <c r="AH341" s="111"/>
      <c r="AI341" s="111"/>
      <c r="AJ341" s="111"/>
      <c r="AK341" s="111"/>
      <c r="AL341" s="111"/>
      <c r="AM341" s="111">
        <v>197.2</v>
      </c>
    </row>
    <row r="342" spans="1:39" ht="15" customHeight="1" x14ac:dyDescent="0.25">
      <c r="A342" s="1409"/>
      <c r="B342" s="1409"/>
      <c r="C342" s="1409"/>
      <c r="D342" s="1409"/>
      <c r="E342" s="1247"/>
      <c r="F342" s="1248" t="s">
        <v>4446</v>
      </c>
      <c r="G342" s="111"/>
      <c r="H342" s="1249">
        <v>15</v>
      </c>
      <c r="I342" s="111" t="s">
        <v>1721</v>
      </c>
      <c r="J342" s="1321" t="s">
        <v>5608</v>
      </c>
      <c r="K342" s="162" t="s">
        <v>5610</v>
      </c>
      <c r="L342" s="162" t="s">
        <v>5609</v>
      </c>
      <c r="M342" s="111">
        <v>17.100000000000001</v>
      </c>
      <c r="N342" s="111">
        <v>256.5</v>
      </c>
      <c r="O342" s="111"/>
      <c r="P342" s="111"/>
      <c r="Q342" s="111"/>
      <c r="R342" s="111"/>
      <c r="S342" s="1249">
        <v>5</v>
      </c>
      <c r="T342" s="1250">
        <v>85.5</v>
      </c>
      <c r="U342" s="1250"/>
      <c r="V342" s="1250"/>
      <c r="W342" s="1251">
        <v>5</v>
      </c>
      <c r="X342" s="1250">
        <v>85.5</v>
      </c>
      <c r="Y342" s="1250"/>
      <c r="Z342" s="1250"/>
      <c r="AA342" s="1250"/>
      <c r="AB342" s="1250"/>
      <c r="AC342" s="1250"/>
      <c r="AD342" s="1250"/>
      <c r="AE342" s="1249">
        <v>5</v>
      </c>
      <c r="AF342" s="1250">
        <v>85.5</v>
      </c>
      <c r="AG342" s="111"/>
      <c r="AH342" s="111"/>
      <c r="AI342" s="111"/>
      <c r="AJ342" s="111"/>
      <c r="AK342" s="111"/>
      <c r="AL342" s="111"/>
      <c r="AM342" s="111">
        <v>256.5</v>
      </c>
    </row>
    <row r="343" spans="1:39" ht="15" customHeight="1" x14ac:dyDescent="0.25">
      <c r="A343" s="1409"/>
      <c r="B343" s="1409"/>
      <c r="C343" s="1409"/>
      <c r="D343" s="1409"/>
      <c r="E343" s="1247"/>
      <c r="F343" s="1248" t="s">
        <v>4447</v>
      </c>
      <c r="G343" s="111"/>
      <c r="H343" s="1249">
        <v>14</v>
      </c>
      <c r="I343" s="111" t="s">
        <v>1721</v>
      </c>
      <c r="J343" s="1321" t="s">
        <v>5608</v>
      </c>
      <c r="K343" s="162" t="s">
        <v>5610</v>
      </c>
      <c r="L343" s="162" t="s">
        <v>5609</v>
      </c>
      <c r="M343" s="111">
        <v>21.161542857142855</v>
      </c>
      <c r="N343" s="111">
        <v>296.26159999999999</v>
      </c>
      <c r="O343" s="111"/>
      <c r="P343" s="111"/>
      <c r="Q343" s="111"/>
      <c r="R343" s="111"/>
      <c r="S343" s="1249">
        <v>5</v>
      </c>
      <c r="T343" s="1250">
        <v>98.753866666666667</v>
      </c>
      <c r="U343" s="1250"/>
      <c r="V343" s="1250"/>
      <c r="W343" s="1251">
        <v>5</v>
      </c>
      <c r="X343" s="1250">
        <v>98.753866666666667</v>
      </c>
      <c r="Y343" s="1250"/>
      <c r="Z343" s="1250"/>
      <c r="AA343" s="1250"/>
      <c r="AB343" s="1250"/>
      <c r="AC343" s="1250"/>
      <c r="AD343" s="1250"/>
      <c r="AE343" s="1249">
        <v>4</v>
      </c>
      <c r="AF343" s="1250">
        <v>98.753866666666667</v>
      </c>
      <c r="AG343" s="111"/>
      <c r="AH343" s="111"/>
      <c r="AI343" s="111"/>
      <c r="AJ343" s="111"/>
      <c r="AK343" s="111"/>
      <c r="AL343" s="111"/>
      <c r="AM343" s="111">
        <v>296.26159999999999</v>
      </c>
    </row>
    <row r="344" spans="1:39" ht="15" customHeight="1" x14ac:dyDescent="0.25">
      <c r="A344" s="1409"/>
      <c r="B344" s="1409"/>
      <c r="C344" s="1409"/>
      <c r="D344" s="1409"/>
      <c r="E344" s="1247"/>
      <c r="F344" s="1248" t="s">
        <v>2606</v>
      </c>
      <c r="G344" s="111"/>
      <c r="H344" s="1249">
        <v>20</v>
      </c>
      <c r="I344" s="111" t="s">
        <v>1721</v>
      </c>
      <c r="J344" s="1321" t="s">
        <v>5608</v>
      </c>
      <c r="K344" s="162" t="s">
        <v>5610</v>
      </c>
      <c r="L344" s="162" t="s">
        <v>5609</v>
      </c>
      <c r="M344" s="111">
        <v>46.57</v>
      </c>
      <c r="N344" s="111">
        <v>931.4</v>
      </c>
      <c r="O344" s="111"/>
      <c r="P344" s="111"/>
      <c r="Q344" s="111"/>
      <c r="R344" s="111"/>
      <c r="S344" s="1249">
        <v>10</v>
      </c>
      <c r="T344" s="1250">
        <v>310.46666666666664</v>
      </c>
      <c r="U344" s="1250"/>
      <c r="V344" s="1250"/>
      <c r="W344" s="1251">
        <v>5</v>
      </c>
      <c r="X344" s="1250">
        <v>310.46666666666664</v>
      </c>
      <c r="Y344" s="1250"/>
      <c r="Z344" s="1250"/>
      <c r="AA344" s="1250"/>
      <c r="AB344" s="1250"/>
      <c r="AC344" s="1250"/>
      <c r="AD344" s="1250"/>
      <c r="AE344" s="1249">
        <v>5</v>
      </c>
      <c r="AF344" s="1250">
        <v>310.46666666666664</v>
      </c>
      <c r="AG344" s="111"/>
      <c r="AH344" s="111"/>
      <c r="AI344" s="111"/>
      <c r="AJ344" s="111"/>
      <c r="AK344" s="111"/>
      <c r="AL344" s="111"/>
      <c r="AM344" s="111">
        <v>931.4</v>
      </c>
    </row>
    <row r="345" spans="1:39" ht="15" customHeight="1" x14ac:dyDescent="0.25">
      <c r="A345" s="1409"/>
      <c r="B345" s="1409"/>
      <c r="C345" s="1409"/>
      <c r="D345" s="1409"/>
      <c r="E345" s="1247"/>
      <c r="F345" s="1248" t="s">
        <v>3577</v>
      </c>
      <c r="G345" s="111"/>
      <c r="H345" s="1249">
        <v>81</v>
      </c>
      <c r="I345" s="111" t="s">
        <v>1721</v>
      </c>
      <c r="J345" s="1321" t="s">
        <v>5608</v>
      </c>
      <c r="K345" s="162" t="s">
        <v>5610</v>
      </c>
      <c r="L345" s="162" t="s">
        <v>5609</v>
      </c>
      <c r="M345" s="111">
        <v>39.300831012345682</v>
      </c>
      <c r="N345" s="111">
        <v>3183.3673120000003</v>
      </c>
      <c r="O345" s="111"/>
      <c r="P345" s="111"/>
      <c r="Q345" s="111"/>
      <c r="R345" s="111"/>
      <c r="S345" s="1249">
        <v>31</v>
      </c>
      <c r="T345" s="1250">
        <v>1061.1224373333334</v>
      </c>
      <c r="U345" s="1250"/>
      <c r="V345" s="1250"/>
      <c r="W345" s="1251">
        <v>40</v>
      </c>
      <c r="X345" s="1250">
        <v>1061.1224373333334</v>
      </c>
      <c r="Y345" s="1250"/>
      <c r="Z345" s="1250"/>
      <c r="AA345" s="1250"/>
      <c r="AB345" s="1250"/>
      <c r="AC345" s="1250"/>
      <c r="AD345" s="1250"/>
      <c r="AE345" s="1249">
        <v>10</v>
      </c>
      <c r="AF345" s="1250">
        <v>1061.1224373333334</v>
      </c>
      <c r="AG345" s="111"/>
      <c r="AH345" s="111"/>
      <c r="AI345" s="111"/>
      <c r="AJ345" s="111"/>
      <c r="AK345" s="111"/>
      <c r="AL345" s="111"/>
      <c r="AM345" s="111">
        <v>3183.3673120000003</v>
      </c>
    </row>
    <row r="346" spans="1:39" ht="15" customHeight="1" x14ac:dyDescent="0.25">
      <c r="A346" s="1409"/>
      <c r="B346" s="1409"/>
      <c r="C346" s="1409"/>
      <c r="D346" s="1409"/>
      <c r="E346" s="1247"/>
      <c r="F346" s="1248" t="s">
        <v>3576</v>
      </c>
      <c r="G346" s="111"/>
      <c r="H346" s="1249">
        <v>180</v>
      </c>
      <c r="I346" s="111" t="s">
        <v>1721</v>
      </c>
      <c r="J346" s="1321" t="s">
        <v>5608</v>
      </c>
      <c r="K346" s="162" t="s">
        <v>5610</v>
      </c>
      <c r="L346" s="162" t="s">
        <v>5609</v>
      </c>
      <c r="M346" s="111">
        <v>207.42699999999999</v>
      </c>
      <c r="N346" s="111">
        <v>37336.86</v>
      </c>
      <c r="O346" s="111"/>
      <c r="P346" s="111"/>
      <c r="Q346" s="111"/>
      <c r="R346" s="111"/>
      <c r="S346" s="1249">
        <v>80</v>
      </c>
      <c r="T346" s="1250">
        <v>12445.62</v>
      </c>
      <c r="U346" s="1250"/>
      <c r="V346" s="1250"/>
      <c r="W346" s="1251">
        <v>50</v>
      </c>
      <c r="X346" s="1250">
        <v>12445.62</v>
      </c>
      <c r="Y346" s="1250"/>
      <c r="Z346" s="1250"/>
      <c r="AA346" s="1250"/>
      <c r="AB346" s="1250"/>
      <c r="AC346" s="1250"/>
      <c r="AD346" s="1250"/>
      <c r="AE346" s="1249">
        <v>50</v>
      </c>
      <c r="AF346" s="1250">
        <v>12445.62</v>
      </c>
      <c r="AG346" s="111"/>
      <c r="AH346" s="111"/>
      <c r="AI346" s="111"/>
      <c r="AJ346" s="111"/>
      <c r="AK346" s="111"/>
      <c r="AL346" s="111"/>
      <c r="AM346" s="111">
        <v>37336.86</v>
      </c>
    </row>
    <row r="347" spans="1:39" ht="15" customHeight="1" x14ac:dyDescent="0.25">
      <c r="A347" s="1409"/>
      <c r="B347" s="1409"/>
      <c r="C347" s="1409"/>
      <c r="D347" s="1409"/>
      <c r="E347" s="1247"/>
      <c r="F347" s="1248" t="s">
        <v>2517</v>
      </c>
      <c r="G347" s="111"/>
      <c r="H347" s="1249">
        <v>20</v>
      </c>
      <c r="I347" s="111" t="s">
        <v>1721</v>
      </c>
      <c r="J347" s="1321" t="s">
        <v>5608</v>
      </c>
      <c r="K347" s="162" t="s">
        <v>5610</v>
      </c>
      <c r="L347" s="162" t="s">
        <v>5609</v>
      </c>
      <c r="M347" s="111">
        <v>46.58</v>
      </c>
      <c r="N347" s="111">
        <v>931.59999999999991</v>
      </c>
      <c r="O347" s="111"/>
      <c r="P347" s="111"/>
      <c r="Q347" s="111"/>
      <c r="R347" s="111"/>
      <c r="S347" s="1249">
        <v>10</v>
      </c>
      <c r="T347" s="1250">
        <v>310.5333333333333</v>
      </c>
      <c r="U347" s="1250"/>
      <c r="V347" s="1250"/>
      <c r="W347" s="1251">
        <v>5</v>
      </c>
      <c r="X347" s="1250">
        <v>310.5333333333333</v>
      </c>
      <c r="Y347" s="1250"/>
      <c r="Z347" s="1250"/>
      <c r="AA347" s="1250"/>
      <c r="AB347" s="1250"/>
      <c r="AC347" s="1250"/>
      <c r="AD347" s="1250"/>
      <c r="AE347" s="1249">
        <v>5</v>
      </c>
      <c r="AF347" s="1250">
        <v>310.5333333333333</v>
      </c>
      <c r="AG347" s="111"/>
      <c r="AH347" s="111"/>
      <c r="AI347" s="111"/>
      <c r="AJ347" s="111"/>
      <c r="AK347" s="111"/>
      <c r="AL347" s="111"/>
      <c r="AM347" s="111">
        <v>931.59999999999991</v>
      </c>
    </row>
    <row r="348" spans="1:39" ht="15" customHeight="1" x14ac:dyDescent="0.25">
      <c r="A348" s="1409"/>
      <c r="B348" s="1409"/>
      <c r="C348" s="1409"/>
      <c r="D348" s="1409"/>
      <c r="E348" s="1247"/>
      <c r="F348" s="1248" t="s">
        <v>2921</v>
      </c>
      <c r="G348" s="111"/>
      <c r="H348" s="1249">
        <v>1</v>
      </c>
      <c r="I348" s="111" t="s">
        <v>1721</v>
      </c>
      <c r="J348" s="1321" t="s">
        <v>5608</v>
      </c>
      <c r="K348" s="162" t="s">
        <v>5610</v>
      </c>
      <c r="L348" s="162" t="s">
        <v>5609</v>
      </c>
      <c r="M348" s="111">
        <v>197.01</v>
      </c>
      <c r="N348" s="111">
        <v>197.01</v>
      </c>
      <c r="O348" s="111"/>
      <c r="P348" s="111"/>
      <c r="Q348" s="111"/>
      <c r="R348" s="111"/>
      <c r="S348" s="1249">
        <v>1</v>
      </c>
      <c r="T348" s="1250">
        <v>65.67</v>
      </c>
      <c r="U348" s="1250"/>
      <c r="V348" s="1250"/>
      <c r="W348" s="1251">
        <v>0</v>
      </c>
      <c r="X348" s="1250">
        <v>65.67</v>
      </c>
      <c r="Y348" s="1250"/>
      <c r="Z348" s="1250"/>
      <c r="AA348" s="1250"/>
      <c r="AB348" s="1250"/>
      <c r="AC348" s="1250"/>
      <c r="AD348" s="1250"/>
      <c r="AE348" s="1249">
        <v>0</v>
      </c>
      <c r="AF348" s="1250">
        <v>65.67</v>
      </c>
      <c r="AG348" s="111"/>
      <c r="AH348" s="111"/>
      <c r="AI348" s="111"/>
      <c r="AJ348" s="111"/>
      <c r="AK348" s="111"/>
      <c r="AL348" s="111"/>
      <c r="AM348" s="111">
        <v>197.01</v>
      </c>
    </row>
    <row r="349" spans="1:39" ht="15" customHeight="1" x14ac:dyDescent="0.25">
      <c r="A349" s="1409"/>
      <c r="B349" s="1409"/>
      <c r="C349" s="1409"/>
      <c r="D349" s="1409"/>
      <c r="E349" s="1247"/>
      <c r="F349" s="1248" t="s">
        <v>171</v>
      </c>
      <c r="G349" s="111"/>
      <c r="H349" s="1249">
        <v>163</v>
      </c>
      <c r="I349" s="111" t="s">
        <v>1721</v>
      </c>
      <c r="J349" s="1321" t="s">
        <v>5608</v>
      </c>
      <c r="K349" s="162" t="s">
        <v>5610</v>
      </c>
      <c r="L349" s="162" t="s">
        <v>5609</v>
      </c>
      <c r="M349" s="111">
        <v>143.37048834355829</v>
      </c>
      <c r="N349" s="111">
        <v>23369.389600000002</v>
      </c>
      <c r="O349" s="111"/>
      <c r="P349" s="111"/>
      <c r="Q349" s="111"/>
      <c r="R349" s="111"/>
      <c r="S349" s="1249">
        <v>63</v>
      </c>
      <c r="T349" s="1250">
        <v>7789.7965333333341</v>
      </c>
      <c r="U349" s="1250"/>
      <c r="V349" s="1250"/>
      <c r="W349" s="1251">
        <v>50</v>
      </c>
      <c r="X349" s="1250">
        <v>7789.7965333333341</v>
      </c>
      <c r="Y349" s="1250"/>
      <c r="Z349" s="1250"/>
      <c r="AA349" s="1250"/>
      <c r="AB349" s="1250"/>
      <c r="AC349" s="1250"/>
      <c r="AD349" s="1250"/>
      <c r="AE349" s="1249">
        <v>50</v>
      </c>
      <c r="AF349" s="1250">
        <v>7789.7965333333341</v>
      </c>
      <c r="AG349" s="111"/>
      <c r="AH349" s="111"/>
      <c r="AI349" s="111"/>
      <c r="AJ349" s="111"/>
      <c r="AK349" s="111"/>
      <c r="AL349" s="111"/>
      <c r="AM349" s="111">
        <v>23369.389600000002</v>
      </c>
    </row>
    <row r="350" spans="1:39" ht="15" customHeight="1" x14ac:dyDescent="0.25">
      <c r="A350" s="1409"/>
      <c r="B350" s="1409"/>
      <c r="C350" s="1409"/>
      <c r="D350" s="1409"/>
      <c r="E350" s="1247"/>
      <c r="F350" s="1248" t="s">
        <v>170</v>
      </c>
      <c r="G350" s="111"/>
      <c r="H350" s="1249">
        <v>120</v>
      </c>
      <c r="I350" s="111" t="s">
        <v>1721</v>
      </c>
      <c r="J350" s="1321" t="s">
        <v>5608</v>
      </c>
      <c r="K350" s="162" t="s">
        <v>5610</v>
      </c>
      <c r="L350" s="162" t="s">
        <v>5609</v>
      </c>
      <c r="M350" s="111">
        <v>66.374000000000009</v>
      </c>
      <c r="N350" s="111">
        <v>7964.880000000001</v>
      </c>
      <c r="O350" s="111"/>
      <c r="P350" s="111"/>
      <c r="Q350" s="111"/>
      <c r="R350" s="111"/>
      <c r="S350" s="1249">
        <v>50</v>
      </c>
      <c r="T350" s="1250">
        <v>2654.9600000000005</v>
      </c>
      <c r="U350" s="1250"/>
      <c r="V350" s="1250"/>
      <c r="W350" s="1251">
        <v>50</v>
      </c>
      <c r="X350" s="1250">
        <v>2654.9600000000005</v>
      </c>
      <c r="Y350" s="1250"/>
      <c r="Z350" s="1250"/>
      <c r="AA350" s="1250"/>
      <c r="AB350" s="1250"/>
      <c r="AC350" s="1250"/>
      <c r="AD350" s="1250"/>
      <c r="AE350" s="1249">
        <v>20</v>
      </c>
      <c r="AF350" s="1250">
        <v>2654.9600000000005</v>
      </c>
      <c r="AG350" s="111"/>
      <c r="AH350" s="111"/>
      <c r="AI350" s="111"/>
      <c r="AJ350" s="111"/>
      <c r="AK350" s="111"/>
      <c r="AL350" s="111"/>
      <c r="AM350" s="111">
        <v>7964.880000000001</v>
      </c>
    </row>
    <row r="351" spans="1:39" ht="15" customHeight="1" x14ac:dyDescent="0.25">
      <c r="A351" s="1409"/>
      <c r="B351" s="1409"/>
      <c r="C351" s="1409"/>
      <c r="D351" s="1409"/>
      <c r="E351" s="1247"/>
      <c r="F351" s="1248" t="s">
        <v>4448</v>
      </c>
      <c r="G351" s="111"/>
      <c r="H351" s="1249">
        <v>4</v>
      </c>
      <c r="I351" s="111" t="s">
        <v>1721</v>
      </c>
      <c r="J351" s="1321" t="s">
        <v>5608</v>
      </c>
      <c r="K351" s="162" t="s">
        <v>5610</v>
      </c>
      <c r="L351" s="162" t="s">
        <v>5609</v>
      </c>
      <c r="M351" s="111">
        <v>20.5</v>
      </c>
      <c r="N351" s="111">
        <v>82</v>
      </c>
      <c r="O351" s="111"/>
      <c r="P351" s="111"/>
      <c r="Q351" s="111"/>
      <c r="R351" s="111"/>
      <c r="S351" s="1249">
        <v>2</v>
      </c>
      <c r="T351" s="1250">
        <v>27.333333333333332</v>
      </c>
      <c r="U351" s="1250"/>
      <c r="V351" s="1250"/>
      <c r="W351" s="1251">
        <v>1</v>
      </c>
      <c r="X351" s="1250">
        <v>27.333333333333332</v>
      </c>
      <c r="Y351" s="1250"/>
      <c r="Z351" s="1250"/>
      <c r="AA351" s="1250"/>
      <c r="AB351" s="1250"/>
      <c r="AC351" s="1250"/>
      <c r="AD351" s="1250"/>
      <c r="AE351" s="1249">
        <v>1</v>
      </c>
      <c r="AF351" s="1250">
        <v>27.333333333333332</v>
      </c>
      <c r="AG351" s="111"/>
      <c r="AH351" s="111"/>
      <c r="AI351" s="111"/>
      <c r="AJ351" s="111"/>
      <c r="AK351" s="111"/>
      <c r="AL351" s="111"/>
      <c r="AM351" s="111">
        <v>82</v>
      </c>
    </row>
    <row r="352" spans="1:39" ht="15" customHeight="1" x14ac:dyDescent="0.25">
      <c r="A352" s="1409"/>
      <c r="B352" s="1409"/>
      <c r="C352" s="1409"/>
      <c r="D352" s="1409"/>
      <c r="E352" s="1247"/>
      <c r="F352" s="1248" t="s">
        <v>172</v>
      </c>
      <c r="G352" s="111"/>
      <c r="H352" s="1249">
        <v>35</v>
      </c>
      <c r="I352" s="111" t="s">
        <v>1721</v>
      </c>
      <c r="J352" s="1321" t="s">
        <v>5608</v>
      </c>
      <c r="K352" s="162" t="s">
        <v>5610</v>
      </c>
      <c r="L352" s="162" t="s">
        <v>5609</v>
      </c>
      <c r="M352" s="111">
        <v>21.31345142857143</v>
      </c>
      <c r="N352" s="111">
        <v>745.97080000000005</v>
      </c>
      <c r="O352" s="111"/>
      <c r="P352" s="111"/>
      <c r="Q352" s="111"/>
      <c r="R352" s="111"/>
      <c r="S352" s="1249">
        <v>15</v>
      </c>
      <c r="T352" s="1250">
        <v>248.65693333333334</v>
      </c>
      <c r="U352" s="1250"/>
      <c r="V352" s="1250"/>
      <c r="W352" s="1251">
        <v>15</v>
      </c>
      <c r="X352" s="1250">
        <v>248.65693333333334</v>
      </c>
      <c r="Y352" s="1250"/>
      <c r="Z352" s="1250"/>
      <c r="AA352" s="1250"/>
      <c r="AB352" s="1250"/>
      <c r="AC352" s="1250"/>
      <c r="AD352" s="1250"/>
      <c r="AE352" s="1249">
        <v>5</v>
      </c>
      <c r="AF352" s="1250">
        <v>248.65693333333334</v>
      </c>
      <c r="AG352" s="111"/>
      <c r="AH352" s="111"/>
      <c r="AI352" s="111"/>
      <c r="AJ352" s="111"/>
      <c r="AK352" s="111"/>
      <c r="AL352" s="111"/>
      <c r="AM352" s="111">
        <v>745.97080000000005</v>
      </c>
    </row>
    <row r="353" spans="1:39" ht="15" customHeight="1" x14ac:dyDescent="0.25">
      <c r="A353" s="1409"/>
      <c r="B353" s="1409"/>
      <c r="C353" s="1409"/>
      <c r="D353" s="1409"/>
      <c r="E353" s="1247"/>
      <c r="F353" s="1248" t="s">
        <v>1157</v>
      </c>
      <c r="G353" s="111"/>
      <c r="H353" s="1249">
        <v>2</v>
      </c>
      <c r="I353" s="111" t="s">
        <v>1721</v>
      </c>
      <c r="J353" s="1321" t="s">
        <v>5608</v>
      </c>
      <c r="K353" s="162" t="s">
        <v>5610</v>
      </c>
      <c r="L353" s="162" t="s">
        <v>5609</v>
      </c>
      <c r="M353" s="111">
        <v>19.403366400000003</v>
      </c>
      <c r="N353" s="111">
        <v>38.806732800000006</v>
      </c>
      <c r="O353" s="111"/>
      <c r="P353" s="111"/>
      <c r="Q353" s="111"/>
      <c r="R353" s="111"/>
      <c r="S353" s="1249">
        <v>2</v>
      </c>
      <c r="T353" s="1250">
        <v>12.935577600000002</v>
      </c>
      <c r="U353" s="1250"/>
      <c r="V353" s="1250"/>
      <c r="W353" s="1251">
        <v>0</v>
      </c>
      <c r="X353" s="1250">
        <v>12.935577600000002</v>
      </c>
      <c r="Y353" s="1250"/>
      <c r="Z353" s="1250"/>
      <c r="AA353" s="1250"/>
      <c r="AB353" s="1250"/>
      <c r="AC353" s="1250"/>
      <c r="AD353" s="1250"/>
      <c r="AE353" s="1249">
        <v>0</v>
      </c>
      <c r="AF353" s="1250">
        <v>12.935577600000002</v>
      </c>
      <c r="AG353" s="111"/>
      <c r="AH353" s="111"/>
      <c r="AI353" s="111"/>
      <c r="AJ353" s="111"/>
      <c r="AK353" s="111"/>
      <c r="AL353" s="111"/>
      <c r="AM353" s="111">
        <v>38.806732800000006</v>
      </c>
    </row>
    <row r="354" spans="1:39" ht="15" customHeight="1" x14ac:dyDescent="0.25">
      <c r="A354" s="1409"/>
      <c r="B354" s="1409"/>
      <c r="C354" s="1409"/>
      <c r="D354" s="1409"/>
      <c r="E354" s="1247"/>
      <c r="F354" s="1248" t="s">
        <v>173</v>
      </c>
      <c r="G354" s="111"/>
      <c r="H354" s="1249">
        <v>150</v>
      </c>
      <c r="I354" s="111" t="s">
        <v>1721</v>
      </c>
      <c r="J354" s="1321" t="s">
        <v>5608</v>
      </c>
      <c r="K354" s="162" t="s">
        <v>5610</v>
      </c>
      <c r="L354" s="162" t="s">
        <v>5609</v>
      </c>
      <c r="M354" s="111">
        <v>14.863219136000001</v>
      </c>
      <c r="N354" s="111">
        <v>2229.4828704000001</v>
      </c>
      <c r="O354" s="111"/>
      <c r="P354" s="111"/>
      <c r="Q354" s="111"/>
      <c r="R354" s="111"/>
      <c r="S354" s="1249">
        <v>50</v>
      </c>
      <c r="T354" s="1250">
        <v>743.16095680000001</v>
      </c>
      <c r="U354" s="1250"/>
      <c r="V354" s="1250"/>
      <c r="W354" s="1251">
        <v>50</v>
      </c>
      <c r="X354" s="1250">
        <v>743.16095680000001</v>
      </c>
      <c r="Y354" s="1250"/>
      <c r="Z354" s="1250"/>
      <c r="AA354" s="1250"/>
      <c r="AB354" s="1250"/>
      <c r="AC354" s="1250"/>
      <c r="AD354" s="1250"/>
      <c r="AE354" s="1249">
        <v>50</v>
      </c>
      <c r="AF354" s="1250">
        <v>743.16095680000001</v>
      </c>
      <c r="AG354" s="111"/>
      <c r="AH354" s="111"/>
      <c r="AI354" s="111"/>
      <c r="AJ354" s="111"/>
      <c r="AK354" s="111"/>
      <c r="AL354" s="111"/>
      <c r="AM354" s="111">
        <v>2229.4828704000001</v>
      </c>
    </row>
    <row r="355" spans="1:39" ht="15" customHeight="1" x14ac:dyDescent="0.25">
      <c r="A355" s="1409"/>
      <c r="B355" s="1409"/>
      <c r="C355" s="1409"/>
      <c r="D355" s="1409"/>
      <c r="E355" s="1247"/>
      <c r="F355" s="1248" t="s">
        <v>2615</v>
      </c>
      <c r="G355" s="111"/>
      <c r="H355" s="1249">
        <v>44</v>
      </c>
      <c r="I355" s="111" t="s">
        <v>1721</v>
      </c>
      <c r="J355" s="1321" t="s">
        <v>5608</v>
      </c>
      <c r="K355" s="162" t="s">
        <v>5610</v>
      </c>
      <c r="L355" s="162" t="s">
        <v>5609</v>
      </c>
      <c r="M355" s="111">
        <v>18.525199999999998</v>
      </c>
      <c r="N355" s="111">
        <v>815.10879999999997</v>
      </c>
      <c r="O355" s="111"/>
      <c r="P355" s="111"/>
      <c r="Q355" s="111"/>
      <c r="R355" s="111"/>
      <c r="S355" s="1249">
        <v>24</v>
      </c>
      <c r="T355" s="1250">
        <v>271.70293333333331</v>
      </c>
      <c r="U355" s="1250"/>
      <c r="V355" s="1250"/>
      <c r="W355" s="1251">
        <v>10</v>
      </c>
      <c r="X355" s="1250">
        <v>271.70293333333331</v>
      </c>
      <c r="Y355" s="1250"/>
      <c r="Z355" s="1250"/>
      <c r="AA355" s="1250"/>
      <c r="AB355" s="1250"/>
      <c r="AC355" s="1250"/>
      <c r="AD355" s="1250"/>
      <c r="AE355" s="1249">
        <v>10</v>
      </c>
      <c r="AF355" s="1250">
        <v>271.70293333333331</v>
      </c>
      <c r="AG355" s="111"/>
      <c r="AH355" s="111"/>
      <c r="AI355" s="111"/>
      <c r="AJ355" s="111"/>
      <c r="AK355" s="111"/>
      <c r="AL355" s="111"/>
      <c r="AM355" s="111">
        <v>815.10879999999997</v>
      </c>
    </row>
    <row r="356" spans="1:39" ht="15" customHeight="1" x14ac:dyDescent="0.25">
      <c r="A356" s="1409"/>
      <c r="B356" s="1409"/>
      <c r="C356" s="1409"/>
      <c r="D356" s="1409"/>
      <c r="E356" s="1247"/>
      <c r="F356" s="1248" t="s">
        <v>174</v>
      </c>
      <c r="G356" s="111"/>
      <c r="H356" s="1249">
        <v>94</v>
      </c>
      <c r="I356" s="111" t="s">
        <v>2443</v>
      </c>
      <c r="J356" s="1321" t="s">
        <v>5608</v>
      </c>
      <c r="K356" s="162" t="s">
        <v>5610</v>
      </c>
      <c r="L356" s="162" t="s">
        <v>5609</v>
      </c>
      <c r="M356" s="111">
        <v>147.38558297872342</v>
      </c>
      <c r="N356" s="111">
        <v>13854.244800000002</v>
      </c>
      <c r="O356" s="111"/>
      <c r="P356" s="111"/>
      <c r="Q356" s="111"/>
      <c r="R356" s="111"/>
      <c r="S356" s="1249">
        <v>44</v>
      </c>
      <c r="T356" s="1250">
        <v>4618.0816000000004</v>
      </c>
      <c r="U356" s="1250"/>
      <c r="V356" s="1250"/>
      <c r="W356" s="1251">
        <v>30</v>
      </c>
      <c r="X356" s="1250">
        <v>4618.0816000000004</v>
      </c>
      <c r="Y356" s="1250"/>
      <c r="Z356" s="1250"/>
      <c r="AA356" s="1250"/>
      <c r="AB356" s="1250"/>
      <c r="AC356" s="1250"/>
      <c r="AD356" s="1250"/>
      <c r="AE356" s="1249">
        <v>20</v>
      </c>
      <c r="AF356" s="1250">
        <v>4618.0816000000004</v>
      </c>
      <c r="AG356" s="111"/>
      <c r="AH356" s="111"/>
      <c r="AI356" s="111"/>
      <c r="AJ356" s="111"/>
      <c r="AK356" s="111"/>
      <c r="AL356" s="111"/>
      <c r="AM356" s="111">
        <v>13854.244800000002</v>
      </c>
    </row>
    <row r="357" spans="1:39" ht="15" customHeight="1" x14ac:dyDescent="0.25">
      <c r="A357" s="1409"/>
      <c r="B357" s="1409"/>
      <c r="C357" s="1409"/>
      <c r="D357" s="1409"/>
      <c r="E357" s="1247"/>
      <c r="F357" s="1248" t="s">
        <v>175</v>
      </c>
      <c r="G357" s="111"/>
      <c r="H357" s="1249">
        <v>84</v>
      </c>
      <c r="I357" s="111" t="s">
        <v>1721</v>
      </c>
      <c r="J357" s="1321" t="s">
        <v>5608</v>
      </c>
      <c r="K357" s="162" t="s">
        <v>5610</v>
      </c>
      <c r="L357" s="162" t="s">
        <v>5609</v>
      </c>
      <c r="M357" s="111">
        <v>9.6224148571428572</v>
      </c>
      <c r="N357" s="111">
        <v>808.28284800000006</v>
      </c>
      <c r="O357" s="111"/>
      <c r="P357" s="111"/>
      <c r="Q357" s="111"/>
      <c r="R357" s="111"/>
      <c r="S357" s="1249">
        <v>44</v>
      </c>
      <c r="T357" s="1250">
        <v>269.427616</v>
      </c>
      <c r="U357" s="1250"/>
      <c r="V357" s="1250"/>
      <c r="W357" s="1251">
        <v>30</v>
      </c>
      <c r="X357" s="1250">
        <v>269.427616</v>
      </c>
      <c r="Y357" s="1250"/>
      <c r="Z357" s="1250"/>
      <c r="AA357" s="1250"/>
      <c r="AB357" s="1250"/>
      <c r="AC357" s="1250"/>
      <c r="AD357" s="1250"/>
      <c r="AE357" s="1249">
        <v>10</v>
      </c>
      <c r="AF357" s="1250">
        <v>269.427616</v>
      </c>
      <c r="AG357" s="111"/>
      <c r="AH357" s="111"/>
      <c r="AI357" s="111"/>
      <c r="AJ357" s="111"/>
      <c r="AK357" s="111"/>
      <c r="AL357" s="111"/>
      <c r="AM357" s="111">
        <v>808.28284800000006</v>
      </c>
    </row>
    <row r="358" spans="1:39" ht="15" customHeight="1" x14ac:dyDescent="0.25">
      <c r="A358" s="1409"/>
      <c r="B358" s="1409"/>
      <c r="C358" s="1409"/>
      <c r="D358" s="1409"/>
      <c r="E358" s="1247"/>
      <c r="F358" s="1248" t="s">
        <v>2618</v>
      </c>
      <c r="G358" s="111"/>
      <c r="H358" s="1249">
        <v>10</v>
      </c>
      <c r="I358" s="111" t="s">
        <v>1721</v>
      </c>
      <c r="J358" s="1321" t="s">
        <v>5608</v>
      </c>
      <c r="K358" s="162" t="s">
        <v>5610</v>
      </c>
      <c r="L358" s="162" t="s">
        <v>5609</v>
      </c>
      <c r="M358" s="111">
        <v>25.844799999999999</v>
      </c>
      <c r="N358" s="111">
        <v>258.44799999999998</v>
      </c>
      <c r="O358" s="111"/>
      <c r="P358" s="111"/>
      <c r="Q358" s="111"/>
      <c r="R358" s="111"/>
      <c r="S358" s="1249">
        <v>5</v>
      </c>
      <c r="T358" s="1250">
        <v>86.149333333333331</v>
      </c>
      <c r="U358" s="1250"/>
      <c r="V358" s="1250"/>
      <c r="W358" s="1251">
        <v>5</v>
      </c>
      <c r="X358" s="1250">
        <v>86.149333333333331</v>
      </c>
      <c r="Y358" s="1250"/>
      <c r="Z358" s="1250"/>
      <c r="AA358" s="1250"/>
      <c r="AB358" s="1250"/>
      <c r="AC358" s="1250"/>
      <c r="AD358" s="1250"/>
      <c r="AE358" s="1249">
        <v>0</v>
      </c>
      <c r="AF358" s="1250">
        <v>86.149333333333331</v>
      </c>
      <c r="AG358" s="111"/>
      <c r="AH358" s="111"/>
      <c r="AI358" s="111"/>
      <c r="AJ358" s="111"/>
      <c r="AK358" s="111"/>
      <c r="AL358" s="111"/>
      <c r="AM358" s="111">
        <v>258.44799999999998</v>
      </c>
    </row>
    <row r="359" spans="1:39" ht="15" customHeight="1" x14ac:dyDescent="0.25">
      <c r="A359" s="1409"/>
      <c r="B359" s="1409"/>
      <c r="C359" s="1409"/>
      <c r="D359" s="1409"/>
      <c r="E359" s="1247"/>
      <c r="F359" s="1248" t="s">
        <v>176</v>
      </c>
      <c r="G359" s="111"/>
      <c r="H359" s="1249">
        <v>35</v>
      </c>
      <c r="I359" s="111" t="s">
        <v>1722</v>
      </c>
      <c r="J359" s="1321" t="s">
        <v>5608</v>
      </c>
      <c r="K359" s="162" t="s">
        <v>5610</v>
      </c>
      <c r="L359" s="162" t="s">
        <v>5609</v>
      </c>
      <c r="M359" s="111">
        <v>223.79811428571426</v>
      </c>
      <c r="N359" s="111">
        <v>7832.9339999999993</v>
      </c>
      <c r="O359" s="111"/>
      <c r="P359" s="111"/>
      <c r="Q359" s="111"/>
      <c r="R359" s="111"/>
      <c r="S359" s="1249">
        <v>15</v>
      </c>
      <c r="T359" s="1250">
        <v>2610.9779999999996</v>
      </c>
      <c r="U359" s="1250"/>
      <c r="V359" s="1250"/>
      <c r="W359" s="1251">
        <v>15</v>
      </c>
      <c r="X359" s="1250">
        <v>2610.9779999999996</v>
      </c>
      <c r="Y359" s="1250"/>
      <c r="Z359" s="1250"/>
      <c r="AA359" s="1250"/>
      <c r="AB359" s="1250"/>
      <c r="AC359" s="1250"/>
      <c r="AD359" s="1250"/>
      <c r="AE359" s="1249">
        <v>5</v>
      </c>
      <c r="AF359" s="1250">
        <v>2610.9779999999996</v>
      </c>
      <c r="AG359" s="111"/>
      <c r="AH359" s="111"/>
      <c r="AI359" s="111"/>
      <c r="AJ359" s="111"/>
      <c r="AK359" s="111"/>
      <c r="AL359" s="111"/>
      <c r="AM359" s="111">
        <v>7832.9339999999993</v>
      </c>
    </row>
    <row r="360" spans="1:39" ht="15" customHeight="1" x14ac:dyDescent="0.25">
      <c r="A360" s="1409"/>
      <c r="B360" s="1409"/>
      <c r="C360" s="1409"/>
      <c r="D360" s="1409"/>
      <c r="E360" s="1247"/>
      <c r="F360" s="1248" t="s">
        <v>2922</v>
      </c>
      <c r="G360" s="111"/>
      <c r="H360" s="1249">
        <v>1</v>
      </c>
      <c r="I360" s="111" t="s">
        <v>1721</v>
      </c>
      <c r="J360" s="1321" t="s">
        <v>5608</v>
      </c>
      <c r="K360" s="162" t="s">
        <v>5610</v>
      </c>
      <c r="L360" s="162" t="s">
        <v>5609</v>
      </c>
      <c r="M360" s="111">
        <v>76</v>
      </c>
      <c r="N360" s="111">
        <v>76</v>
      </c>
      <c r="O360" s="111"/>
      <c r="P360" s="111"/>
      <c r="Q360" s="111"/>
      <c r="R360" s="111"/>
      <c r="S360" s="1249">
        <v>1</v>
      </c>
      <c r="T360" s="1250">
        <v>25.333333333333332</v>
      </c>
      <c r="U360" s="1250"/>
      <c r="V360" s="1250"/>
      <c r="W360" s="1251">
        <v>0</v>
      </c>
      <c r="X360" s="1250">
        <v>25.333333333333332</v>
      </c>
      <c r="Y360" s="1250"/>
      <c r="Z360" s="1250"/>
      <c r="AA360" s="1250"/>
      <c r="AB360" s="1250"/>
      <c r="AC360" s="1250"/>
      <c r="AD360" s="1250"/>
      <c r="AE360" s="1249">
        <v>0</v>
      </c>
      <c r="AF360" s="1250">
        <v>25.333333333333332</v>
      </c>
      <c r="AG360" s="111"/>
      <c r="AH360" s="111"/>
      <c r="AI360" s="111"/>
      <c r="AJ360" s="111"/>
      <c r="AK360" s="111"/>
      <c r="AL360" s="111"/>
      <c r="AM360" s="111">
        <v>76</v>
      </c>
    </row>
    <row r="361" spans="1:39" ht="15" customHeight="1" x14ac:dyDescent="0.25">
      <c r="A361" s="1409"/>
      <c r="B361" s="1409"/>
      <c r="C361" s="1409"/>
      <c r="D361" s="1409"/>
      <c r="E361" s="1247"/>
      <c r="F361" s="1248" t="s">
        <v>2923</v>
      </c>
      <c r="G361" s="111"/>
      <c r="H361" s="1249">
        <v>1</v>
      </c>
      <c r="I361" s="111" t="s">
        <v>1736</v>
      </c>
      <c r="J361" s="1321" t="s">
        <v>5608</v>
      </c>
      <c r="K361" s="162" t="s">
        <v>5610</v>
      </c>
      <c r="L361" s="162" t="s">
        <v>5609</v>
      </c>
      <c r="M361" s="111">
        <v>78.88</v>
      </c>
      <c r="N361" s="111">
        <v>78.88</v>
      </c>
      <c r="O361" s="111"/>
      <c r="P361" s="111"/>
      <c r="Q361" s="111"/>
      <c r="R361" s="111"/>
      <c r="S361" s="1249">
        <v>1</v>
      </c>
      <c r="T361" s="1250">
        <v>26.293333333333333</v>
      </c>
      <c r="U361" s="1250"/>
      <c r="V361" s="1250"/>
      <c r="W361" s="1251">
        <v>0</v>
      </c>
      <c r="X361" s="1250">
        <v>26.293333333333333</v>
      </c>
      <c r="Y361" s="1250"/>
      <c r="Z361" s="1250"/>
      <c r="AA361" s="1250"/>
      <c r="AB361" s="1250"/>
      <c r="AC361" s="1250"/>
      <c r="AD361" s="1250"/>
      <c r="AE361" s="1249">
        <v>0</v>
      </c>
      <c r="AF361" s="1250">
        <v>26.293333333333333</v>
      </c>
      <c r="AG361" s="111"/>
      <c r="AH361" s="111"/>
      <c r="AI361" s="111"/>
      <c r="AJ361" s="111"/>
      <c r="AK361" s="111"/>
      <c r="AL361" s="111"/>
      <c r="AM361" s="111">
        <v>78.88</v>
      </c>
    </row>
    <row r="362" spans="1:39" ht="15" customHeight="1" x14ac:dyDescent="0.25">
      <c r="A362" s="1409"/>
      <c r="B362" s="1409"/>
      <c r="C362" s="1409"/>
      <c r="D362" s="1409"/>
      <c r="E362" s="1247"/>
      <c r="F362" s="1248" t="s">
        <v>4449</v>
      </c>
      <c r="G362" s="111"/>
      <c r="H362" s="1249">
        <v>2</v>
      </c>
      <c r="I362" s="111" t="s">
        <v>1721</v>
      </c>
      <c r="J362" s="1321" t="s">
        <v>5608</v>
      </c>
      <c r="K362" s="162" t="s">
        <v>5610</v>
      </c>
      <c r="L362" s="162" t="s">
        <v>5609</v>
      </c>
      <c r="M362" s="111">
        <v>100.77</v>
      </c>
      <c r="N362" s="111">
        <v>201.54</v>
      </c>
      <c r="O362" s="111"/>
      <c r="P362" s="111"/>
      <c r="Q362" s="111"/>
      <c r="R362" s="111"/>
      <c r="S362" s="1249">
        <v>2</v>
      </c>
      <c r="T362" s="1250">
        <v>67.179999999999993</v>
      </c>
      <c r="U362" s="1250"/>
      <c r="V362" s="1250"/>
      <c r="W362" s="1251">
        <v>0</v>
      </c>
      <c r="X362" s="1250">
        <v>67.179999999999993</v>
      </c>
      <c r="Y362" s="1250"/>
      <c r="Z362" s="1250"/>
      <c r="AA362" s="1250"/>
      <c r="AB362" s="1250"/>
      <c r="AC362" s="1250"/>
      <c r="AD362" s="1250"/>
      <c r="AE362" s="1249">
        <v>0</v>
      </c>
      <c r="AF362" s="1250">
        <v>67.179999999999993</v>
      </c>
      <c r="AG362" s="111"/>
      <c r="AH362" s="111"/>
      <c r="AI362" s="111"/>
      <c r="AJ362" s="111"/>
      <c r="AK362" s="111"/>
      <c r="AL362" s="111"/>
      <c r="AM362" s="111">
        <v>201.54</v>
      </c>
    </row>
    <row r="363" spans="1:39" ht="15" customHeight="1" x14ac:dyDescent="0.25">
      <c r="A363" s="1409"/>
      <c r="B363" s="1409"/>
      <c r="C363" s="1409"/>
      <c r="D363" s="1409"/>
      <c r="E363" s="1247"/>
      <c r="F363" s="1248" t="s">
        <v>2924</v>
      </c>
      <c r="G363" s="111"/>
      <c r="H363" s="1249">
        <v>1</v>
      </c>
      <c r="I363" s="111" t="s">
        <v>2247</v>
      </c>
      <c r="J363" s="1321" t="s">
        <v>5608</v>
      </c>
      <c r="K363" s="162" t="s">
        <v>5610</v>
      </c>
      <c r="L363" s="162" t="s">
        <v>5609</v>
      </c>
      <c r="M363" s="111">
        <v>1392</v>
      </c>
      <c r="N363" s="111">
        <v>1392</v>
      </c>
      <c r="O363" s="111"/>
      <c r="P363" s="111"/>
      <c r="Q363" s="111"/>
      <c r="R363" s="111"/>
      <c r="S363" s="1249">
        <v>1</v>
      </c>
      <c r="T363" s="1250">
        <v>464</v>
      </c>
      <c r="U363" s="1250"/>
      <c r="V363" s="1250"/>
      <c r="W363" s="1251">
        <v>0</v>
      </c>
      <c r="X363" s="1250">
        <v>464</v>
      </c>
      <c r="Y363" s="1250"/>
      <c r="Z363" s="1250"/>
      <c r="AA363" s="1250"/>
      <c r="AB363" s="1250"/>
      <c r="AC363" s="1250"/>
      <c r="AD363" s="1250"/>
      <c r="AE363" s="1249">
        <v>0</v>
      </c>
      <c r="AF363" s="1250">
        <v>464</v>
      </c>
      <c r="AG363" s="111"/>
      <c r="AH363" s="111"/>
      <c r="AI363" s="111"/>
      <c r="AJ363" s="111"/>
      <c r="AK363" s="111"/>
      <c r="AL363" s="111"/>
      <c r="AM363" s="111">
        <v>1392</v>
      </c>
    </row>
    <row r="364" spans="1:39" ht="15" customHeight="1" x14ac:dyDescent="0.25">
      <c r="A364" s="1409"/>
      <c r="B364" s="1409"/>
      <c r="C364" s="1409"/>
      <c r="D364" s="1409"/>
      <c r="E364" s="1247"/>
      <c r="F364" s="1248" t="s">
        <v>4450</v>
      </c>
      <c r="G364" s="111"/>
      <c r="H364" s="1249">
        <v>18</v>
      </c>
      <c r="I364" s="111" t="s">
        <v>2248</v>
      </c>
      <c r="J364" s="1321" t="s">
        <v>5608</v>
      </c>
      <c r="K364" s="162" t="s">
        <v>5610</v>
      </c>
      <c r="L364" s="162" t="s">
        <v>5609</v>
      </c>
      <c r="M364" s="111">
        <v>59.16</v>
      </c>
      <c r="N364" s="111">
        <v>1064.8799999999999</v>
      </c>
      <c r="O364" s="111"/>
      <c r="P364" s="111"/>
      <c r="Q364" s="111"/>
      <c r="R364" s="111"/>
      <c r="S364" s="1249">
        <v>8</v>
      </c>
      <c r="T364" s="1250">
        <v>354.96</v>
      </c>
      <c r="U364" s="1250"/>
      <c r="V364" s="1250"/>
      <c r="W364" s="1251">
        <v>5</v>
      </c>
      <c r="X364" s="1250">
        <v>354.96</v>
      </c>
      <c r="Y364" s="1250"/>
      <c r="Z364" s="1250"/>
      <c r="AA364" s="1250"/>
      <c r="AB364" s="1250"/>
      <c r="AC364" s="1250"/>
      <c r="AD364" s="1250"/>
      <c r="AE364" s="1249">
        <v>5</v>
      </c>
      <c r="AF364" s="1250">
        <v>354.96</v>
      </c>
      <c r="AG364" s="111"/>
      <c r="AH364" s="111"/>
      <c r="AI364" s="111"/>
      <c r="AJ364" s="111"/>
      <c r="AK364" s="111"/>
      <c r="AL364" s="111"/>
      <c r="AM364" s="111">
        <v>1064.8799999999999</v>
      </c>
    </row>
    <row r="365" spans="1:39" ht="15" customHeight="1" x14ac:dyDescent="0.25">
      <c r="A365" s="1409"/>
      <c r="B365" s="1409"/>
      <c r="C365" s="1409"/>
      <c r="D365" s="1409"/>
      <c r="E365" s="1247"/>
      <c r="F365" s="1248" t="s">
        <v>177</v>
      </c>
      <c r="G365" s="111"/>
      <c r="H365" s="1249">
        <v>178</v>
      </c>
      <c r="I365" s="111" t="s">
        <v>2248</v>
      </c>
      <c r="J365" s="1321" t="s">
        <v>5608</v>
      </c>
      <c r="K365" s="162" t="s">
        <v>5610</v>
      </c>
      <c r="L365" s="162" t="s">
        <v>5609</v>
      </c>
      <c r="M365" s="111">
        <v>17.251935280898874</v>
      </c>
      <c r="N365" s="111">
        <v>3070.8444799999993</v>
      </c>
      <c r="O365" s="111"/>
      <c r="P365" s="111"/>
      <c r="Q365" s="111"/>
      <c r="R365" s="111"/>
      <c r="S365" s="1249">
        <v>78</v>
      </c>
      <c r="T365" s="1250">
        <v>1023.6148266666665</v>
      </c>
      <c r="U365" s="1250"/>
      <c r="V365" s="1250"/>
      <c r="W365" s="1251">
        <v>50</v>
      </c>
      <c r="X365" s="1250">
        <v>1023.6148266666665</v>
      </c>
      <c r="Y365" s="1250"/>
      <c r="Z365" s="1250"/>
      <c r="AA365" s="1250"/>
      <c r="AB365" s="1250"/>
      <c r="AC365" s="1250"/>
      <c r="AD365" s="1250"/>
      <c r="AE365" s="1249">
        <v>50</v>
      </c>
      <c r="AF365" s="1250">
        <v>1023.6148266666665</v>
      </c>
      <c r="AG365" s="111"/>
      <c r="AH365" s="111"/>
      <c r="AI365" s="111"/>
      <c r="AJ365" s="111"/>
      <c r="AK365" s="111"/>
      <c r="AL365" s="111"/>
      <c r="AM365" s="111">
        <v>3070.8444799999997</v>
      </c>
    </row>
    <row r="366" spans="1:39" ht="15" customHeight="1" x14ac:dyDescent="0.25">
      <c r="A366" s="1409"/>
      <c r="B366" s="1409"/>
      <c r="C366" s="1409"/>
      <c r="D366" s="1409"/>
      <c r="E366" s="1247"/>
      <c r="F366" s="1248" t="s">
        <v>2925</v>
      </c>
      <c r="G366" s="111"/>
      <c r="H366" s="1249">
        <v>1</v>
      </c>
      <c r="I366" s="111" t="s">
        <v>1721</v>
      </c>
      <c r="J366" s="1321" t="s">
        <v>5608</v>
      </c>
      <c r="K366" s="162" t="s">
        <v>5610</v>
      </c>
      <c r="L366" s="162" t="s">
        <v>5609</v>
      </c>
      <c r="M366" s="111">
        <v>54.496799999999993</v>
      </c>
      <c r="N366" s="111">
        <v>54.496799999999993</v>
      </c>
      <c r="O366" s="111"/>
      <c r="P366" s="111"/>
      <c r="Q366" s="111"/>
      <c r="R366" s="111"/>
      <c r="S366" s="1249">
        <v>1</v>
      </c>
      <c r="T366" s="1250">
        <v>18.165599999999998</v>
      </c>
      <c r="U366" s="1250"/>
      <c r="V366" s="1250"/>
      <c r="W366" s="1251">
        <v>0</v>
      </c>
      <c r="X366" s="1250">
        <v>18.165599999999998</v>
      </c>
      <c r="Y366" s="1250"/>
      <c r="Z366" s="1250"/>
      <c r="AA366" s="1250"/>
      <c r="AB366" s="1250"/>
      <c r="AC366" s="1250"/>
      <c r="AD366" s="1250"/>
      <c r="AE366" s="1249">
        <v>0</v>
      </c>
      <c r="AF366" s="1250">
        <v>18.165599999999998</v>
      </c>
      <c r="AG366" s="111"/>
      <c r="AH366" s="111"/>
      <c r="AI366" s="111"/>
      <c r="AJ366" s="111"/>
      <c r="AK366" s="111"/>
      <c r="AL366" s="111"/>
      <c r="AM366" s="111">
        <v>54.496799999999993</v>
      </c>
    </row>
    <row r="367" spans="1:39" ht="15" customHeight="1" x14ac:dyDescent="0.25">
      <c r="A367" s="1409"/>
      <c r="B367" s="1409"/>
      <c r="C367" s="1409"/>
      <c r="D367" s="1409"/>
      <c r="E367" s="1247"/>
      <c r="F367" s="1248" t="s">
        <v>2929</v>
      </c>
      <c r="G367" s="111"/>
      <c r="H367" s="1249">
        <v>1</v>
      </c>
      <c r="I367" s="111" t="s">
        <v>1721</v>
      </c>
      <c r="J367" s="1321" t="s">
        <v>5608</v>
      </c>
      <c r="K367" s="162" t="s">
        <v>5610</v>
      </c>
      <c r="L367" s="162" t="s">
        <v>5609</v>
      </c>
      <c r="M367" s="111">
        <v>14</v>
      </c>
      <c r="N367" s="111">
        <v>14</v>
      </c>
      <c r="O367" s="111"/>
      <c r="P367" s="111"/>
      <c r="Q367" s="111"/>
      <c r="R367" s="111"/>
      <c r="S367" s="1249">
        <v>1</v>
      </c>
      <c r="T367" s="1250">
        <v>4.666666666666667</v>
      </c>
      <c r="U367" s="1250"/>
      <c r="V367" s="1250"/>
      <c r="W367" s="1251">
        <v>0</v>
      </c>
      <c r="X367" s="1250">
        <v>4.666666666666667</v>
      </c>
      <c r="Y367" s="1250"/>
      <c r="Z367" s="1250"/>
      <c r="AA367" s="1250"/>
      <c r="AB367" s="1250"/>
      <c r="AC367" s="1250"/>
      <c r="AD367" s="1250"/>
      <c r="AE367" s="1249">
        <v>0</v>
      </c>
      <c r="AF367" s="1250">
        <v>4.666666666666667</v>
      </c>
      <c r="AG367" s="111"/>
      <c r="AH367" s="111"/>
      <c r="AI367" s="111"/>
      <c r="AJ367" s="111"/>
      <c r="AK367" s="111"/>
      <c r="AL367" s="111"/>
      <c r="AM367" s="111">
        <v>14</v>
      </c>
    </row>
    <row r="368" spans="1:39" ht="15" customHeight="1" x14ac:dyDescent="0.25">
      <c r="A368" s="1409"/>
      <c r="B368" s="1409"/>
      <c r="C368" s="1409"/>
      <c r="D368" s="1409"/>
      <c r="E368" s="1247"/>
      <c r="F368" s="1248" t="s">
        <v>178</v>
      </c>
      <c r="G368" s="111"/>
      <c r="H368" s="1249">
        <v>452</v>
      </c>
      <c r="I368" s="111" t="s">
        <v>1827</v>
      </c>
      <c r="J368" s="1321" t="s">
        <v>5608</v>
      </c>
      <c r="K368" s="162" t="s">
        <v>5610</v>
      </c>
      <c r="L368" s="162" t="s">
        <v>5609</v>
      </c>
      <c r="M368" s="111">
        <v>29.923144212389378</v>
      </c>
      <c r="N368" s="111">
        <v>13525.261183999999</v>
      </c>
      <c r="O368" s="111"/>
      <c r="P368" s="111"/>
      <c r="Q368" s="111"/>
      <c r="R368" s="111"/>
      <c r="S368" s="1249">
        <v>200</v>
      </c>
      <c r="T368" s="1250">
        <v>4508.4203946666667</v>
      </c>
      <c r="U368" s="1250"/>
      <c r="V368" s="1250"/>
      <c r="W368" s="1251">
        <v>152</v>
      </c>
      <c r="X368" s="1250">
        <v>4508.4203946666667</v>
      </c>
      <c r="Y368" s="1250"/>
      <c r="Z368" s="1250"/>
      <c r="AA368" s="1250"/>
      <c r="AB368" s="1250"/>
      <c r="AC368" s="1250"/>
      <c r="AD368" s="1250"/>
      <c r="AE368" s="1249">
        <v>100</v>
      </c>
      <c r="AF368" s="1250">
        <v>4508.4203946666667</v>
      </c>
      <c r="AG368" s="111"/>
      <c r="AH368" s="111"/>
      <c r="AI368" s="111"/>
      <c r="AJ368" s="111"/>
      <c r="AK368" s="111"/>
      <c r="AL368" s="111"/>
      <c r="AM368" s="111">
        <v>13525.261183999999</v>
      </c>
    </row>
    <row r="369" spans="1:39" ht="15" customHeight="1" x14ac:dyDescent="0.25">
      <c r="A369" s="1409"/>
      <c r="B369" s="1409"/>
      <c r="C369" s="1409"/>
      <c r="D369" s="1409"/>
      <c r="E369" s="1247"/>
      <c r="F369" s="1248" t="s">
        <v>2927</v>
      </c>
      <c r="G369" s="111"/>
      <c r="H369" s="1249">
        <v>1</v>
      </c>
      <c r="I369" s="111" t="s">
        <v>1722</v>
      </c>
      <c r="J369" s="1321" t="s">
        <v>5608</v>
      </c>
      <c r="K369" s="162" t="s">
        <v>5610</v>
      </c>
      <c r="L369" s="162" t="s">
        <v>5609</v>
      </c>
      <c r="M369" s="111">
        <v>499.99</v>
      </c>
      <c r="N369" s="111">
        <v>499.99</v>
      </c>
      <c r="O369" s="111"/>
      <c r="P369" s="111"/>
      <c r="Q369" s="111"/>
      <c r="R369" s="111"/>
      <c r="S369" s="1249">
        <v>1</v>
      </c>
      <c r="T369" s="1250">
        <v>166.66333333333333</v>
      </c>
      <c r="U369" s="1250"/>
      <c r="V369" s="1250"/>
      <c r="W369" s="1251">
        <v>0</v>
      </c>
      <c r="X369" s="1250">
        <v>166.66333333333333</v>
      </c>
      <c r="Y369" s="1250"/>
      <c r="Z369" s="1250"/>
      <c r="AA369" s="1250"/>
      <c r="AB369" s="1250"/>
      <c r="AC369" s="1250"/>
      <c r="AD369" s="1250"/>
      <c r="AE369" s="1249">
        <v>0</v>
      </c>
      <c r="AF369" s="1250">
        <v>166.66333333333333</v>
      </c>
      <c r="AG369" s="111"/>
      <c r="AH369" s="111"/>
      <c r="AI369" s="111"/>
      <c r="AJ369" s="111"/>
      <c r="AK369" s="111"/>
      <c r="AL369" s="111"/>
      <c r="AM369" s="111">
        <v>499.99</v>
      </c>
    </row>
    <row r="370" spans="1:39" ht="15" customHeight="1" x14ac:dyDescent="0.25">
      <c r="A370" s="1409"/>
      <c r="B370" s="1409"/>
      <c r="C370" s="1409"/>
      <c r="D370" s="1409"/>
      <c r="E370" s="1247"/>
      <c r="F370" s="1248" t="s">
        <v>1856</v>
      </c>
      <c r="G370" s="111"/>
      <c r="H370" s="1249">
        <v>310</v>
      </c>
      <c r="I370" s="111" t="s">
        <v>2470</v>
      </c>
      <c r="J370" s="1321" t="s">
        <v>5608</v>
      </c>
      <c r="K370" s="162" t="s">
        <v>5610</v>
      </c>
      <c r="L370" s="162" t="s">
        <v>5609</v>
      </c>
      <c r="M370" s="111">
        <v>44.176868387096775</v>
      </c>
      <c r="N370" s="111">
        <v>13694.8292</v>
      </c>
      <c r="O370" s="111"/>
      <c r="P370" s="111"/>
      <c r="Q370" s="111"/>
      <c r="R370" s="111"/>
      <c r="S370" s="1249">
        <v>110</v>
      </c>
      <c r="T370" s="1250">
        <v>4564.9430666666667</v>
      </c>
      <c r="U370" s="1250"/>
      <c r="V370" s="1250"/>
      <c r="W370" s="1251">
        <v>100</v>
      </c>
      <c r="X370" s="1250">
        <v>4564.9430666666667</v>
      </c>
      <c r="Y370" s="1250"/>
      <c r="Z370" s="1250"/>
      <c r="AA370" s="1250"/>
      <c r="AB370" s="1250"/>
      <c r="AC370" s="1250"/>
      <c r="AD370" s="1250"/>
      <c r="AE370" s="1249">
        <v>100</v>
      </c>
      <c r="AF370" s="1250">
        <v>4564.9430666666667</v>
      </c>
      <c r="AG370" s="111"/>
      <c r="AH370" s="111"/>
      <c r="AI370" s="111"/>
      <c r="AJ370" s="111"/>
      <c r="AK370" s="111"/>
      <c r="AL370" s="111"/>
      <c r="AM370" s="111">
        <v>13694.8292</v>
      </c>
    </row>
    <row r="371" spans="1:39" ht="15" customHeight="1" x14ac:dyDescent="0.25">
      <c r="A371" s="1409"/>
      <c r="B371" s="1409"/>
      <c r="C371" s="1409"/>
      <c r="D371" s="1409"/>
      <c r="E371" s="1247"/>
      <c r="F371" s="1248" t="s">
        <v>4451</v>
      </c>
      <c r="G371" s="111"/>
      <c r="H371" s="1249">
        <v>93</v>
      </c>
      <c r="I371" s="111" t="s">
        <v>1736</v>
      </c>
      <c r="J371" s="1321" t="s">
        <v>5608</v>
      </c>
      <c r="K371" s="162" t="s">
        <v>5610</v>
      </c>
      <c r="L371" s="162" t="s">
        <v>5609</v>
      </c>
      <c r="M371" s="111">
        <v>40.915526881720432</v>
      </c>
      <c r="N371" s="111">
        <v>3805.1440000000002</v>
      </c>
      <c r="O371" s="111"/>
      <c r="P371" s="111"/>
      <c r="Q371" s="111"/>
      <c r="R371" s="111"/>
      <c r="S371" s="1249">
        <v>40</v>
      </c>
      <c r="T371" s="1250">
        <v>1268.3813333333335</v>
      </c>
      <c r="U371" s="1250"/>
      <c r="V371" s="1250"/>
      <c r="W371" s="1251">
        <v>30</v>
      </c>
      <c r="X371" s="1250">
        <v>1268.3813333333335</v>
      </c>
      <c r="Y371" s="1250"/>
      <c r="Z371" s="1250"/>
      <c r="AA371" s="1250"/>
      <c r="AB371" s="1250"/>
      <c r="AC371" s="1250"/>
      <c r="AD371" s="1250"/>
      <c r="AE371" s="1249">
        <v>23</v>
      </c>
      <c r="AF371" s="1250">
        <v>1268.3813333333335</v>
      </c>
      <c r="AG371" s="111"/>
      <c r="AH371" s="111"/>
      <c r="AI371" s="111"/>
      <c r="AJ371" s="111"/>
      <c r="AK371" s="111"/>
      <c r="AL371" s="111"/>
      <c r="AM371" s="111">
        <v>3805.1440000000002</v>
      </c>
    </row>
    <row r="372" spans="1:39" ht="15" customHeight="1" x14ac:dyDescent="0.25">
      <c r="A372" s="1409"/>
      <c r="B372" s="1409"/>
      <c r="C372" s="1409"/>
      <c r="D372" s="1409"/>
      <c r="E372" s="1247"/>
      <c r="F372" s="1248" t="s">
        <v>2928</v>
      </c>
      <c r="G372" s="111"/>
      <c r="H372" s="1249">
        <v>4</v>
      </c>
      <c r="I372" s="111" t="s">
        <v>4452</v>
      </c>
      <c r="J372" s="1321" t="s">
        <v>5608</v>
      </c>
      <c r="K372" s="162" t="s">
        <v>5610</v>
      </c>
      <c r="L372" s="162" t="s">
        <v>5609</v>
      </c>
      <c r="M372" s="111">
        <v>550.54174999999998</v>
      </c>
      <c r="N372" s="111">
        <v>2202.1669999999999</v>
      </c>
      <c r="O372" s="111"/>
      <c r="P372" s="111"/>
      <c r="Q372" s="111"/>
      <c r="R372" s="111"/>
      <c r="S372" s="1249">
        <v>2</v>
      </c>
      <c r="T372" s="1250">
        <v>734.05566666666664</v>
      </c>
      <c r="U372" s="1250"/>
      <c r="V372" s="1250"/>
      <c r="W372" s="1251">
        <v>1</v>
      </c>
      <c r="X372" s="1250">
        <v>734.05566666666664</v>
      </c>
      <c r="Y372" s="1250"/>
      <c r="Z372" s="1250"/>
      <c r="AA372" s="1250"/>
      <c r="AB372" s="1250"/>
      <c r="AC372" s="1250"/>
      <c r="AD372" s="1250"/>
      <c r="AE372" s="1249">
        <v>1</v>
      </c>
      <c r="AF372" s="1250">
        <v>734.05566666666664</v>
      </c>
      <c r="AG372" s="111"/>
      <c r="AH372" s="111"/>
      <c r="AI372" s="111"/>
      <c r="AJ372" s="111"/>
      <c r="AK372" s="111"/>
      <c r="AL372" s="111"/>
      <c r="AM372" s="111">
        <v>2202.1669999999999</v>
      </c>
    </row>
    <row r="373" spans="1:39" ht="15" customHeight="1" x14ac:dyDescent="0.25">
      <c r="A373" s="1409"/>
      <c r="B373" s="1409"/>
      <c r="C373" s="1409"/>
      <c r="D373" s="1409"/>
      <c r="E373" s="1247"/>
      <c r="F373" s="1248" t="s">
        <v>4453</v>
      </c>
      <c r="G373" s="111"/>
      <c r="H373" s="1249">
        <v>33</v>
      </c>
      <c r="I373" s="111" t="s">
        <v>1721</v>
      </c>
      <c r="J373" s="1321" t="s">
        <v>5608</v>
      </c>
      <c r="K373" s="162" t="s">
        <v>5610</v>
      </c>
      <c r="L373" s="162" t="s">
        <v>5609</v>
      </c>
      <c r="M373" s="111">
        <v>48.461818181818174</v>
      </c>
      <c r="N373" s="111">
        <v>1599.2399999999998</v>
      </c>
      <c r="O373" s="111"/>
      <c r="P373" s="111"/>
      <c r="Q373" s="111"/>
      <c r="R373" s="111"/>
      <c r="S373" s="1249">
        <v>13</v>
      </c>
      <c r="T373" s="1250">
        <v>533.07999999999993</v>
      </c>
      <c r="U373" s="1250"/>
      <c r="V373" s="1250"/>
      <c r="W373" s="1251">
        <v>10</v>
      </c>
      <c r="X373" s="1250">
        <v>533.07999999999993</v>
      </c>
      <c r="Y373" s="1250"/>
      <c r="Z373" s="1250"/>
      <c r="AA373" s="1250"/>
      <c r="AB373" s="1250"/>
      <c r="AC373" s="1250"/>
      <c r="AD373" s="1250"/>
      <c r="AE373" s="1249">
        <v>10</v>
      </c>
      <c r="AF373" s="1250">
        <v>533.07999999999993</v>
      </c>
      <c r="AG373" s="111"/>
      <c r="AH373" s="111"/>
      <c r="AI373" s="111"/>
      <c r="AJ373" s="111"/>
      <c r="AK373" s="111"/>
      <c r="AL373" s="111"/>
      <c r="AM373" s="111">
        <v>1599.2399999999998</v>
      </c>
    </row>
    <row r="374" spans="1:39" ht="15" customHeight="1" x14ac:dyDescent="0.25">
      <c r="A374" s="1409"/>
      <c r="B374" s="1409"/>
      <c r="C374" s="1409"/>
      <c r="D374" s="1409"/>
      <c r="E374" s="1247"/>
      <c r="F374" s="1248" t="s">
        <v>1165</v>
      </c>
      <c r="G374" s="111"/>
      <c r="H374" s="1249">
        <v>29</v>
      </c>
      <c r="I374" s="111" t="s">
        <v>1721</v>
      </c>
      <c r="J374" s="1321" t="s">
        <v>5608</v>
      </c>
      <c r="K374" s="162" t="s">
        <v>5610</v>
      </c>
      <c r="L374" s="162" t="s">
        <v>5609</v>
      </c>
      <c r="M374" s="111">
        <v>73.836689655172421</v>
      </c>
      <c r="N374" s="111">
        <v>2141.2640000000001</v>
      </c>
      <c r="O374" s="111"/>
      <c r="P374" s="111"/>
      <c r="Q374" s="111"/>
      <c r="R374" s="111"/>
      <c r="S374" s="1249">
        <v>9</v>
      </c>
      <c r="T374" s="1250">
        <v>713.75466666666671</v>
      </c>
      <c r="U374" s="1250"/>
      <c r="V374" s="1250"/>
      <c r="W374" s="1251">
        <v>10</v>
      </c>
      <c r="X374" s="1250">
        <v>713.75466666666671</v>
      </c>
      <c r="Y374" s="1250"/>
      <c r="Z374" s="1250"/>
      <c r="AA374" s="1250"/>
      <c r="AB374" s="1250"/>
      <c r="AC374" s="1250"/>
      <c r="AD374" s="1250"/>
      <c r="AE374" s="1249">
        <v>10</v>
      </c>
      <c r="AF374" s="1250">
        <v>713.75466666666671</v>
      </c>
      <c r="AG374" s="111"/>
      <c r="AH374" s="111"/>
      <c r="AI374" s="111"/>
      <c r="AJ374" s="111"/>
      <c r="AK374" s="111"/>
      <c r="AL374" s="111"/>
      <c r="AM374" s="111">
        <v>2141.2640000000001</v>
      </c>
    </row>
    <row r="375" spans="1:39" ht="15" customHeight="1" x14ac:dyDescent="0.25">
      <c r="A375" s="1409"/>
      <c r="B375" s="1409"/>
      <c r="C375" s="1409"/>
      <c r="D375" s="1409"/>
      <c r="E375" s="1247"/>
      <c r="F375" s="1248" t="s">
        <v>4454</v>
      </c>
      <c r="G375" s="111"/>
      <c r="H375" s="1249">
        <v>30</v>
      </c>
      <c r="I375" s="111" t="s">
        <v>1721</v>
      </c>
      <c r="J375" s="1321" t="s">
        <v>5608</v>
      </c>
      <c r="K375" s="162" t="s">
        <v>5610</v>
      </c>
      <c r="L375" s="162" t="s">
        <v>5609</v>
      </c>
      <c r="M375" s="111">
        <v>22.422799999999995</v>
      </c>
      <c r="N375" s="111">
        <v>672.68399999999986</v>
      </c>
      <c r="O375" s="111"/>
      <c r="P375" s="111"/>
      <c r="Q375" s="111"/>
      <c r="R375" s="111"/>
      <c r="S375" s="1249">
        <v>10</v>
      </c>
      <c r="T375" s="1250">
        <v>224.22799999999995</v>
      </c>
      <c r="U375" s="1250"/>
      <c r="V375" s="1250"/>
      <c r="W375" s="1251">
        <v>10</v>
      </c>
      <c r="X375" s="1250">
        <v>224.22799999999995</v>
      </c>
      <c r="Y375" s="1250"/>
      <c r="Z375" s="1250"/>
      <c r="AA375" s="1250"/>
      <c r="AB375" s="1250"/>
      <c r="AC375" s="1250"/>
      <c r="AD375" s="1250"/>
      <c r="AE375" s="1249">
        <v>10</v>
      </c>
      <c r="AF375" s="1250">
        <v>224.22799999999995</v>
      </c>
      <c r="AG375" s="111"/>
      <c r="AH375" s="111"/>
      <c r="AI375" s="111"/>
      <c r="AJ375" s="111"/>
      <c r="AK375" s="111"/>
      <c r="AL375" s="111"/>
      <c r="AM375" s="111">
        <v>672.68399999999986</v>
      </c>
    </row>
    <row r="376" spans="1:39" ht="15" customHeight="1" x14ac:dyDescent="0.25">
      <c r="A376" s="1409"/>
      <c r="B376" s="1409"/>
      <c r="C376" s="1409"/>
      <c r="D376" s="1409"/>
      <c r="E376" s="1247"/>
      <c r="F376" s="1248" t="s">
        <v>2926</v>
      </c>
      <c r="G376" s="111"/>
      <c r="H376" s="1249">
        <v>1</v>
      </c>
      <c r="I376" s="111" t="s">
        <v>1736</v>
      </c>
      <c r="J376" s="1321" t="s">
        <v>5608</v>
      </c>
      <c r="K376" s="162" t="s">
        <v>5610</v>
      </c>
      <c r="L376" s="162" t="s">
        <v>5609</v>
      </c>
      <c r="M376" s="111">
        <v>58</v>
      </c>
      <c r="N376" s="111">
        <v>58</v>
      </c>
      <c r="O376" s="111"/>
      <c r="P376" s="111"/>
      <c r="Q376" s="111"/>
      <c r="R376" s="111"/>
      <c r="S376" s="1249">
        <v>1</v>
      </c>
      <c r="T376" s="1250">
        <v>19.333333333333332</v>
      </c>
      <c r="U376" s="1250"/>
      <c r="V376" s="1250"/>
      <c r="W376" s="1251">
        <v>0</v>
      </c>
      <c r="X376" s="1250">
        <v>19.333333333333332</v>
      </c>
      <c r="Y376" s="1250"/>
      <c r="Z376" s="1250"/>
      <c r="AA376" s="1250"/>
      <c r="AB376" s="1250"/>
      <c r="AC376" s="1250"/>
      <c r="AD376" s="1250"/>
      <c r="AE376" s="1249">
        <v>0</v>
      </c>
      <c r="AF376" s="1250">
        <v>19.333333333333332</v>
      </c>
      <c r="AG376" s="111"/>
      <c r="AH376" s="111"/>
      <c r="AI376" s="111"/>
      <c r="AJ376" s="111"/>
      <c r="AK376" s="111"/>
      <c r="AL376" s="111"/>
      <c r="AM376" s="111">
        <v>58</v>
      </c>
    </row>
    <row r="377" spans="1:39" ht="15" customHeight="1" x14ac:dyDescent="0.25">
      <c r="A377" s="1409"/>
      <c r="B377" s="1409"/>
      <c r="C377" s="1409"/>
      <c r="D377" s="1409"/>
      <c r="E377" s="1247"/>
      <c r="F377" s="1248" t="s">
        <v>4455</v>
      </c>
      <c r="G377" s="111"/>
      <c r="H377" s="1249">
        <v>50</v>
      </c>
      <c r="I377" s="111" t="s">
        <v>1721</v>
      </c>
      <c r="J377" s="1321" t="s">
        <v>5608</v>
      </c>
      <c r="K377" s="162" t="s">
        <v>5610</v>
      </c>
      <c r="L377" s="162" t="s">
        <v>5609</v>
      </c>
      <c r="M377" s="111">
        <v>60</v>
      </c>
      <c r="N377" s="111">
        <v>3000</v>
      </c>
      <c r="O377" s="111"/>
      <c r="P377" s="111"/>
      <c r="Q377" s="111"/>
      <c r="R377" s="111"/>
      <c r="S377" s="1249">
        <v>20</v>
      </c>
      <c r="T377" s="1250">
        <v>1000</v>
      </c>
      <c r="U377" s="1250"/>
      <c r="V377" s="1250"/>
      <c r="W377" s="1251">
        <v>20</v>
      </c>
      <c r="X377" s="1250">
        <v>1000</v>
      </c>
      <c r="Y377" s="1250"/>
      <c r="Z377" s="1250"/>
      <c r="AA377" s="1250"/>
      <c r="AB377" s="1250"/>
      <c r="AC377" s="1250"/>
      <c r="AD377" s="1250"/>
      <c r="AE377" s="1249">
        <v>10</v>
      </c>
      <c r="AF377" s="1250">
        <v>1000</v>
      </c>
      <c r="AG377" s="111"/>
      <c r="AH377" s="111"/>
      <c r="AI377" s="111"/>
      <c r="AJ377" s="111"/>
      <c r="AK377" s="111"/>
      <c r="AL377" s="111"/>
      <c r="AM377" s="111">
        <v>3000</v>
      </c>
    </row>
    <row r="378" spans="1:39" ht="15" customHeight="1" x14ac:dyDescent="0.25">
      <c r="A378" s="1409"/>
      <c r="B378" s="1409"/>
      <c r="C378" s="1409"/>
      <c r="D378" s="1409"/>
      <c r="E378" s="1247"/>
      <c r="F378" s="1248" t="s">
        <v>2069</v>
      </c>
      <c r="G378" s="111"/>
      <c r="H378" s="1249">
        <v>32</v>
      </c>
      <c r="I378" s="111" t="s">
        <v>1721</v>
      </c>
      <c r="J378" s="1321" t="s">
        <v>5608</v>
      </c>
      <c r="K378" s="162" t="s">
        <v>5610</v>
      </c>
      <c r="L378" s="162" t="s">
        <v>5609</v>
      </c>
      <c r="M378" s="111">
        <v>90.809574999999995</v>
      </c>
      <c r="N378" s="111">
        <v>2905.9063999999998</v>
      </c>
      <c r="O378" s="111"/>
      <c r="P378" s="111"/>
      <c r="Q378" s="111"/>
      <c r="R378" s="111"/>
      <c r="S378" s="1249">
        <v>12</v>
      </c>
      <c r="T378" s="1250">
        <v>968.63546666666662</v>
      </c>
      <c r="U378" s="1250"/>
      <c r="V378" s="1250"/>
      <c r="W378" s="1251">
        <v>10</v>
      </c>
      <c r="X378" s="1250">
        <v>968.63546666666662</v>
      </c>
      <c r="Y378" s="1250"/>
      <c r="Z378" s="1250"/>
      <c r="AA378" s="1250"/>
      <c r="AB378" s="1250"/>
      <c r="AC378" s="1250"/>
      <c r="AD378" s="1250"/>
      <c r="AE378" s="1249">
        <v>10</v>
      </c>
      <c r="AF378" s="1250">
        <v>968.63546666666662</v>
      </c>
      <c r="AG378" s="111"/>
      <c r="AH378" s="111"/>
      <c r="AI378" s="111"/>
      <c r="AJ378" s="111"/>
      <c r="AK378" s="111"/>
      <c r="AL378" s="111"/>
      <c r="AM378" s="111">
        <v>2905.9063999999998</v>
      </c>
    </row>
    <row r="379" spans="1:39" ht="15" customHeight="1" x14ac:dyDescent="0.25">
      <c r="A379" s="1409"/>
      <c r="B379" s="1409"/>
      <c r="C379" s="1409"/>
      <c r="D379" s="1409"/>
      <c r="E379" s="1247"/>
      <c r="F379" s="1248" t="s">
        <v>2627</v>
      </c>
      <c r="G379" s="111"/>
      <c r="H379" s="1249">
        <v>24</v>
      </c>
      <c r="I379" s="111" t="s">
        <v>1721</v>
      </c>
      <c r="J379" s="1321" t="s">
        <v>5608</v>
      </c>
      <c r="K379" s="162" t="s">
        <v>5610</v>
      </c>
      <c r="L379" s="162" t="s">
        <v>5609</v>
      </c>
      <c r="M379" s="111">
        <v>14.5116</v>
      </c>
      <c r="N379" s="111">
        <v>348.27839999999998</v>
      </c>
      <c r="O379" s="111"/>
      <c r="P379" s="111"/>
      <c r="Q379" s="111"/>
      <c r="R379" s="111"/>
      <c r="S379" s="1249">
        <v>14</v>
      </c>
      <c r="T379" s="1250">
        <v>116.0928</v>
      </c>
      <c r="U379" s="1250"/>
      <c r="V379" s="1250"/>
      <c r="W379" s="1251">
        <v>5</v>
      </c>
      <c r="X379" s="1250">
        <v>116.0928</v>
      </c>
      <c r="Y379" s="1250"/>
      <c r="Z379" s="1250"/>
      <c r="AA379" s="1250"/>
      <c r="AB379" s="1250"/>
      <c r="AC379" s="1250"/>
      <c r="AD379" s="1250"/>
      <c r="AE379" s="1249">
        <v>5</v>
      </c>
      <c r="AF379" s="1250">
        <v>116.0928</v>
      </c>
      <c r="AG379" s="111"/>
      <c r="AH379" s="111"/>
      <c r="AI379" s="111"/>
      <c r="AJ379" s="111"/>
      <c r="AK379" s="111"/>
      <c r="AL379" s="111"/>
      <c r="AM379" s="111">
        <v>348.27839999999998</v>
      </c>
    </row>
    <row r="380" spans="1:39" ht="15" customHeight="1" x14ac:dyDescent="0.25">
      <c r="A380" s="1409"/>
      <c r="B380" s="1409"/>
      <c r="C380" s="1409"/>
      <c r="D380" s="1409"/>
      <c r="E380" s="1247"/>
      <c r="F380" s="1248" t="s">
        <v>2930</v>
      </c>
      <c r="G380" s="111"/>
      <c r="H380" s="1249">
        <v>1</v>
      </c>
      <c r="I380" s="111" t="s">
        <v>1721</v>
      </c>
      <c r="J380" s="1321" t="s">
        <v>5608</v>
      </c>
      <c r="K380" s="162" t="s">
        <v>5610</v>
      </c>
      <c r="L380" s="162" t="s">
        <v>5609</v>
      </c>
      <c r="M380" s="111">
        <v>77.900000000000006</v>
      </c>
      <c r="N380" s="111">
        <v>77.900000000000006</v>
      </c>
      <c r="O380" s="111"/>
      <c r="P380" s="111"/>
      <c r="Q380" s="111"/>
      <c r="R380" s="111"/>
      <c r="S380" s="1249">
        <v>1</v>
      </c>
      <c r="T380" s="1250">
        <v>25.966666666666669</v>
      </c>
      <c r="U380" s="1250"/>
      <c r="V380" s="1250"/>
      <c r="W380" s="1251">
        <v>0</v>
      </c>
      <c r="X380" s="1250">
        <v>25.966666666666669</v>
      </c>
      <c r="Y380" s="1250"/>
      <c r="Z380" s="1250"/>
      <c r="AA380" s="1250"/>
      <c r="AB380" s="1250"/>
      <c r="AC380" s="1250"/>
      <c r="AD380" s="1250"/>
      <c r="AE380" s="1249">
        <v>0</v>
      </c>
      <c r="AF380" s="1250">
        <v>25.966666666666669</v>
      </c>
      <c r="AG380" s="111"/>
      <c r="AH380" s="111"/>
      <c r="AI380" s="111"/>
      <c r="AJ380" s="111"/>
      <c r="AK380" s="111"/>
      <c r="AL380" s="111"/>
      <c r="AM380" s="111">
        <v>77.900000000000006</v>
      </c>
    </row>
    <row r="381" spans="1:39" ht="15" customHeight="1" x14ac:dyDescent="0.25">
      <c r="A381" s="1409"/>
      <c r="B381" s="1409"/>
      <c r="C381" s="1409"/>
      <c r="D381" s="1409"/>
      <c r="E381" s="1247"/>
      <c r="F381" s="1248" t="s">
        <v>2623</v>
      </c>
      <c r="G381" s="111"/>
      <c r="H381" s="1249">
        <v>24</v>
      </c>
      <c r="I381" s="111" t="s">
        <v>1721</v>
      </c>
      <c r="J381" s="1321" t="s">
        <v>5608</v>
      </c>
      <c r="K381" s="162" t="s">
        <v>5610</v>
      </c>
      <c r="L381" s="162" t="s">
        <v>5609</v>
      </c>
      <c r="M381" s="111">
        <v>37.235999999999997</v>
      </c>
      <c r="N381" s="111">
        <v>893.66399999999999</v>
      </c>
      <c r="O381" s="111"/>
      <c r="P381" s="111"/>
      <c r="Q381" s="111"/>
      <c r="R381" s="111"/>
      <c r="S381" s="1249">
        <v>14</v>
      </c>
      <c r="T381" s="1250">
        <v>297.88799999999998</v>
      </c>
      <c r="U381" s="1250"/>
      <c r="V381" s="1250"/>
      <c r="W381" s="1251">
        <v>5</v>
      </c>
      <c r="X381" s="1250">
        <v>297.88799999999998</v>
      </c>
      <c r="Y381" s="1250"/>
      <c r="Z381" s="1250"/>
      <c r="AA381" s="1250"/>
      <c r="AB381" s="1250"/>
      <c r="AC381" s="1250"/>
      <c r="AD381" s="1250"/>
      <c r="AE381" s="1249">
        <v>5</v>
      </c>
      <c r="AF381" s="1250">
        <v>297.88799999999998</v>
      </c>
      <c r="AG381" s="111"/>
      <c r="AH381" s="111"/>
      <c r="AI381" s="111"/>
      <c r="AJ381" s="111"/>
      <c r="AK381" s="111"/>
      <c r="AL381" s="111"/>
      <c r="AM381" s="111">
        <v>893.66399999999999</v>
      </c>
    </row>
    <row r="382" spans="1:39" ht="15" customHeight="1" x14ac:dyDescent="0.25">
      <c r="A382" s="1409"/>
      <c r="B382" s="1409"/>
      <c r="C382" s="1409"/>
      <c r="D382" s="1409"/>
      <c r="E382" s="1247"/>
      <c r="F382" s="1248" t="s">
        <v>4456</v>
      </c>
      <c r="G382" s="111"/>
      <c r="H382" s="1249">
        <v>40</v>
      </c>
      <c r="I382" s="111" t="s">
        <v>1736</v>
      </c>
      <c r="J382" s="1321" t="s">
        <v>5608</v>
      </c>
      <c r="K382" s="162" t="s">
        <v>5610</v>
      </c>
      <c r="L382" s="162" t="s">
        <v>5609</v>
      </c>
      <c r="M382" s="111">
        <v>27.720000000000006</v>
      </c>
      <c r="N382" s="111">
        <v>1108.8000000000002</v>
      </c>
      <c r="O382" s="111"/>
      <c r="P382" s="111"/>
      <c r="Q382" s="111"/>
      <c r="R382" s="111"/>
      <c r="S382" s="1249">
        <v>15</v>
      </c>
      <c r="T382" s="1250">
        <v>369.60000000000008</v>
      </c>
      <c r="U382" s="1250"/>
      <c r="V382" s="1250"/>
      <c r="W382" s="1251">
        <v>15</v>
      </c>
      <c r="X382" s="1250">
        <v>369.60000000000008</v>
      </c>
      <c r="Y382" s="1250"/>
      <c r="Z382" s="1250"/>
      <c r="AA382" s="1250"/>
      <c r="AB382" s="1250"/>
      <c r="AC382" s="1250"/>
      <c r="AD382" s="1250"/>
      <c r="AE382" s="1249">
        <v>10</v>
      </c>
      <c r="AF382" s="1250">
        <v>369.60000000000008</v>
      </c>
      <c r="AG382" s="111"/>
      <c r="AH382" s="111"/>
      <c r="AI382" s="111"/>
      <c r="AJ382" s="111"/>
      <c r="AK382" s="111"/>
      <c r="AL382" s="111"/>
      <c r="AM382" s="111">
        <v>1108.8000000000002</v>
      </c>
    </row>
    <row r="383" spans="1:39" ht="15" customHeight="1" x14ac:dyDescent="0.25">
      <c r="A383" s="1409"/>
      <c r="B383" s="1409"/>
      <c r="C383" s="1409"/>
      <c r="D383" s="1409"/>
      <c r="E383" s="1247"/>
      <c r="F383" s="1248" t="s">
        <v>4457</v>
      </c>
      <c r="G383" s="111"/>
      <c r="H383" s="1249">
        <v>1</v>
      </c>
      <c r="I383" s="111" t="s">
        <v>1722</v>
      </c>
      <c r="J383" s="1321" t="s">
        <v>5608</v>
      </c>
      <c r="K383" s="162" t="s">
        <v>5610</v>
      </c>
      <c r="L383" s="162" t="s">
        <v>5609</v>
      </c>
      <c r="M383" s="111">
        <v>315.33</v>
      </c>
      <c r="N383" s="111">
        <v>315.33</v>
      </c>
      <c r="O383" s="111"/>
      <c r="P383" s="111"/>
      <c r="Q383" s="111"/>
      <c r="R383" s="111"/>
      <c r="S383" s="1249">
        <v>1</v>
      </c>
      <c r="T383" s="1250">
        <v>105.11</v>
      </c>
      <c r="U383" s="1250"/>
      <c r="V383" s="1250"/>
      <c r="W383" s="1251">
        <v>0</v>
      </c>
      <c r="X383" s="1250">
        <v>105.11</v>
      </c>
      <c r="Y383" s="1250"/>
      <c r="Z383" s="1250"/>
      <c r="AA383" s="1250"/>
      <c r="AB383" s="1250"/>
      <c r="AC383" s="1250"/>
      <c r="AD383" s="1250"/>
      <c r="AE383" s="1249">
        <v>0</v>
      </c>
      <c r="AF383" s="1250">
        <v>105.11</v>
      </c>
      <c r="AG383" s="111"/>
      <c r="AH383" s="111"/>
      <c r="AI383" s="111"/>
      <c r="AJ383" s="111"/>
      <c r="AK383" s="111"/>
      <c r="AL383" s="111"/>
      <c r="AM383" s="111">
        <v>315.33</v>
      </c>
    </row>
    <row r="384" spans="1:39" ht="15" customHeight="1" x14ac:dyDescent="0.25">
      <c r="A384" s="1409"/>
      <c r="B384" s="1409"/>
      <c r="C384" s="1409"/>
      <c r="D384" s="1409"/>
      <c r="E384" s="1247"/>
      <c r="F384" s="1248" t="s">
        <v>1162</v>
      </c>
      <c r="G384" s="111"/>
      <c r="H384" s="1249">
        <v>6</v>
      </c>
      <c r="I384" s="111" t="s">
        <v>1721</v>
      </c>
      <c r="J384" s="1321" t="s">
        <v>5608</v>
      </c>
      <c r="K384" s="162" t="s">
        <v>5610</v>
      </c>
      <c r="L384" s="162" t="s">
        <v>5609</v>
      </c>
      <c r="M384" s="111">
        <v>24.45</v>
      </c>
      <c r="N384" s="111">
        <v>146.69999999999999</v>
      </c>
      <c r="O384" s="111"/>
      <c r="P384" s="111"/>
      <c r="Q384" s="111"/>
      <c r="R384" s="111"/>
      <c r="S384" s="1249">
        <v>2</v>
      </c>
      <c r="T384" s="1250">
        <v>48.9</v>
      </c>
      <c r="U384" s="1250"/>
      <c r="V384" s="1250"/>
      <c r="W384" s="1251">
        <v>2</v>
      </c>
      <c r="X384" s="1250">
        <v>48.9</v>
      </c>
      <c r="Y384" s="1250"/>
      <c r="Z384" s="1250"/>
      <c r="AA384" s="1250"/>
      <c r="AB384" s="1250"/>
      <c r="AC384" s="1250"/>
      <c r="AD384" s="1250"/>
      <c r="AE384" s="1249">
        <v>2</v>
      </c>
      <c r="AF384" s="1250">
        <v>48.9</v>
      </c>
      <c r="AG384" s="111"/>
      <c r="AH384" s="111"/>
      <c r="AI384" s="111"/>
      <c r="AJ384" s="111"/>
      <c r="AK384" s="111"/>
      <c r="AL384" s="111"/>
      <c r="AM384" s="111">
        <v>146.69999999999999</v>
      </c>
    </row>
    <row r="385" spans="1:39" ht="15" customHeight="1" x14ac:dyDescent="0.25">
      <c r="A385" s="1409"/>
      <c r="B385" s="1409"/>
      <c r="C385" s="1409"/>
      <c r="D385" s="1409"/>
      <c r="E385" s="1247"/>
      <c r="F385" s="1248" t="s">
        <v>2931</v>
      </c>
      <c r="G385" s="111"/>
      <c r="H385" s="1249">
        <v>1</v>
      </c>
      <c r="I385" s="111" t="s">
        <v>1721</v>
      </c>
      <c r="J385" s="1321" t="s">
        <v>5608</v>
      </c>
      <c r="K385" s="162" t="s">
        <v>5610</v>
      </c>
      <c r="L385" s="162" t="s">
        <v>5609</v>
      </c>
      <c r="M385" s="111">
        <v>93.96</v>
      </c>
      <c r="N385" s="111">
        <v>93.96</v>
      </c>
      <c r="O385" s="111"/>
      <c r="P385" s="111"/>
      <c r="Q385" s="111"/>
      <c r="R385" s="111"/>
      <c r="S385" s="1249">
        <v>1</v>
      </c>
      <c r="T385" s="1250">
        <v>31.319999999999997</v>
      </c>
      <c r="U385" s="1250"/>
      <c r="V385" s="1250"/>
      <c r="W385" s="1251">
        <v>0</v>
      </c>
      <c r="X385" s="1250">
        <v>31.319999999999997</v>
      </c>
      <c r="Y385" s="1250"/>
      <c r="Z385" s="1250"/>
      <c r="AA385" s="1250"/>
      <c r="AB385" s="1250"/>
      <c r="AC385" s="1250"/>
      <c r="AD385" s="1250"/>
      <c r="AE385" s="1249">
        <v>0</v>
      </c>
      <c r="AF385" s="1250">
        <v>31.319999999999997</v>
      </c>
      <c r="AG385" s="111"/>
      <c r="AH385" s="111"/>
      <c r="AI385" s="111"/>
      <c r="AJ385" s="111"/>
      <c r="AK385" s="111"/>
      <c r="AL385" s="111"/>
      <c r="AM385" s="111">
        <v>93.96</v>
      </c>
    </row>
    <row r="386" spans="1:39" ht="15" customHeight="1" x14ac:dyDescent="0.25">
      <c r="A386" s="1409"/>
      <c r="B386" s="1409"/>
      <c r="C386" s="1409"/>
      <c r="D386" s="1409"/>
      <c r="E386" s="1247"/>
      <c r="F386" s="1248" t="s">
        <v>1169</v>
      </c>
      <c r="G386" s="111"/>
      <c r="H386" s="1249">
        <v>46</v>
      </c>
      <c r="I386" s="111" t="s">
        <v>1721</v>
      </c>
      <c r="J386" s="1321" t="s">
        <v>5608</v>
      </c>
      <c r="K386" s="162" t="s">
        <v>5610</v>
      </c>
      <c r="L386" s="162" t="s">
        <v>5609</v>
      </c>
      <c r="M386" s="111">
        <v>24.435652173913041</v>
      </c>
      <c r="N386" s="111">
        <v>1124.04</v>
      </c>
      <c r="O386" s="111"/>
      <c r="P386" s="111"/>
      <c r="Q386" s="111"/>
      <c r="R386" s="111"/>
      <c r="S386" s="1249">
        <v>20</v>
      </c>
      <c r="T386" s="1250">
        <v>374.68</v>
      </c>
      <c r="U386" s="1250"/>
      <c r="V386" s="1250"/>
      <c r="W386" s="1251">
        <v>16</v>
      </c>
      <c r="X386" s="1250">
        <v>374.68</v>
      </c>
      <c r="Y386" s="1250"/>
      <c r="Z386" s="1250"/>
      <c r="AA386" s="1250"/>
      <c r="AB386" s="1250"/>
      <c r="AC386" s="1250"/>
      <c r="AD386" s="1250"/>
      <c r="AE386" s="1249">
        <v>10</v>
      </c>
      <c r="AF386" s="1250">
        <v>374.68</v>
      </c>
      <c r="AG386" s="111"/>
      <c r="AH386" s="111"/>
      <c r="AI386" s="111"/>
      <c r="AJ386" s="111"/>
      <c r="AK386" s="111"/>
      <c r="AL386" s="111"/>
      <c r="AM386" s="111">
        <v>1124.04</v>
      </c>
    </row>
    <row r="387" spans="1:39" ht="15" customHeight="1" x14ac:dyDescent="0.25">
      <c r="A387" s="1409"/>
      <c r="B387" s="1409"/>
      <c r="C387" s="1409"/>
      <c r="D387" s="1409"/>
      <c r="E387" s="1247"/>
      <c r="F387" s="1248" t="s">
        <v>4458</v>
      </c>
      <c r="G387" s="111"/>
      <c r="H387" s="1249">
        <v>54</v>
      </c>
      <c r="I387" s="111" t="s">
        <v>1827</v>
      </c>
      <c r="J387" s="1321" t="s">
        <v>5608</v>
      </c>
      <c r="K387" s="162" t="s">
        <v>5610</v>
      </c>
      <c r="L387" s="162" t="s">
        <v>5609</v>
      </c>
      <c r="M387" s="111">
        <v>175.68274074074074</v>
      </c>
      <c r="N387" s="111">
        <v>9486.8680000000004</v>
      </c>
      <c r="O387" s="111"/>
      <c r="P387" s="111"/>
      <c r="Q387" s="111"/>
      <c r="R387" s="111"/>
      <c r="S387" s="1249">
        <v>24</v>
      </c>
      <c r="T387" s="1250">
        <v>3162.2893333333336</v>
      </c>
      <c r="U387" s="1250"/>
      <c r="V387" s="1250"/>
      <c r="W387" s="1251">
        <v>20</v>
      </c>
      <c r="X387" s="1250">
        <v>3162.2893333333336</v>
      </c>
      <c r="Y387" s="1250"/>
      <c r="Z387" s="1250"/>
      <c r="AA387" s="1250"/>
      <c r="AB387" s="1250"/>
      <c r="AC387" s="1250"/>
      <c r="AD387" s="1250"/>
      <c r="AE387" s="1249">
        <v>10</v>
      </c>
      <c r="AF387" s="1250">
        <v>3162.2893333333336</v>
      </c>
      <c r="AG387" s="111"/>
      <c r="AH387" s="111"/>
      <c r="AI387" s="111"/>
      <c r="AJ387" s="111"/>
      <c r="AK387" s="111"/>
      <c r="AL387" s="111"/>
      <c r="AM387" s="111">
        <v>9486.8680000000004</v>
      </c>
    </row>
    <row r="388" spans="1:39" ht="15" customHeight="1" x14ac:dyDescent="0.25">
      <c r="A388" s="1409"/>
      <c r="B388" s="1409"/>
      <c r="C388" s="1409"/>
      <c r="D388" s="1409"/>
      <c r="E388" s="1247"/>
      <c r="F388" s="1248" t="s">
        <v>1155</v>
      </c>
      <c r="G388" s="111"/>
      <c r="H388" s="1249">
        <v>380</v>
      </c>
      <c r="I388" s="111" t="s">
        <v>1721</v>
      </c>
      <c r="J388" s="1321" t="s">
        <v>5608</v>
      </c>
      <c r="K388" s="162" t="s">
        <v>5610</v>
      </c>
      <c r="L388" s="162" t="s">
        <v>5609</v>
      </c>
      <c r="M388" s="111">
        <v>12.360224336842107</v>
      </c>
      <c r="N388" s="111">
        <v>4696.8852480000005</v>
      </c>
      <c r="O388" s="111"/>
      <c r="P388" s="111"/>
      <c r="Q388" s="111"/>
      <c r="R388" s="111"/>
      <c r="S388" s="1249">
        <v>140</v>
      </c>
      <c r="T388" s="1250">
        <v>1565.6284160000002</v>
      </c>
      <c r="U388" s="1250"/>
      <c r="V388" s="1250"/>
      <c r="W388" s="1251">
        <v>120</v>
      </c>
      <c r="X388" s="1250">
        <v>1565.6284160000002</v>
      </c>
      <c r="Y388" s="1250"/>
      <c r="Z388" s="1250"/>
      <c r="AA388" s="1250"/>
      <c r="AB388" s="1250"/>
      <c r="AC388" s="1250"/>
      <c r="AD388" s="1250"/>
      <c r="AE388" s="1249">
        <v>120</v>
      </c>
      <c r="AF388" s="1250">
        <v>1565.6284160000002</v>
      </c>
      <c r="AG388" s="111"/>
      <c r="AH388" s="111"/>
      <c r="AI388" s="111"/>
      <c r="AJ388" s="111"/>
      <c r="AK388" s="111"/>
      <c r="AL388" s="111"/>
      <c r="AM388" s="111">
        <v>4696.8852480000005</v>
      </c>
    </row>
    <row r="389" spans="1:39" ht="15" customHeight="1" x14ac:dyDescent="0.25">
      <c r="A389" s="1409"/>
      <c r="B389" s="1409"/>
      <c r="C389" s="1409"/>
      <c r="D389" s="1409"/>
      <c r="E389" s="1247"/>
      <c r="F389" s="1248" t="s">
        <v>4459</v>
      </c>
      <c r="G389" s="111"/>
      <c r="H389" s="1249">
        <v>22</v>
      </c>
      <c r="I389" s="111" t="s">
        <v>1721</v>
      </c>
      <c r="J389" s="1321" t="s">
        <v>5608</v>
      </c>
      <c r="K389" s="162" t="s">
        <v>5610</v>
      </c>
      <c r="L389" s="162" t="s">
        <v>5609</v>
      </c>
      <c r="M389" s="111">
        <v>92.21</v>
      </c>
      <c r="N389" s="111">
        <v>2028.62</v>
      </c>
      <c r="O389" s="111"/>
      <c r="P389" s="111"/>
      <c r="Q389" s="111"/>
      <c r="R389" s="111"/>
      <c r="S389" s="1249">
        <v>12</v>
      </c>
      <c r="T389" s="1250">
        <v>676.20666666666659</v>
      </c>
      <c r="U389" s="1250"/>
      <c r="V389" s="1250"/>
      <c r="W389" s="1251">
        <v>5</v>
      </c>
      <c r="X389" s="1250">
        <v>676.20666666666659</v>
      </c>
      <c r="Y389" s="1250"/>
      <c r="Z389" s="1250"/>
      <c r="AA389" s="1250"/>
      <c r="AB389" s="1250"/>
      <c r="AC389" s="1250"/>
      <c r="AD389" s="1250"/>
      <c r="AE389" s="1249">
        <v>5</v>
      </c>
      <c r="AF389" s="1250">
        <v>676.20666666666659</v>
      </c>
      <c r="AG389" s="111"/>
      <c r="AH389" s="111"/>
      <c r="AI389" s="111"/>
      <c r="AJ389" s="111"/>
      <c r="AK389" s="111"/>
      <c r="AL389" s="111"/>
      <c r="AM389" s="111">
        <v>2028.62</v>
      </c>
    </row>
    <row r="390" spans="1:39" ht="15" customHeight="1" x14ac:dyDescent="0.25">
      <c r="A390" s="1409"/>
      <c r="B390" s="1409"/>
      <c r="C390" s="1409"/>
      <c r="D390" s="1409"/>
      <c r="E390" s="1247"/>
      <c r="F390" s="1248" t="s">
        <v>2934</v>
      </c>
      <c r="G390" s="111"/>
      <c r="H390" s="1249">
        <v>1</v>
      </c>
      <c r="I390" s="111" t="s">
        <v>1827</v>
      </c>
      <c r="J390" s="1321" t="s">
        <v>5608</v>
      </c>
      <c r="K390" s="162" t="s">
        <v>5610</v>
      </c>
      <c r="L390" s="162" t="s">
        <v>5609</v>
      </c>
      <c r="M390" s="111">
        <v>696</v>
      </c>
      <c r="N390" s="111">
        <v>696</v>
      </c>
      <c r="O390" s="111"/>
      <c r="P390" s="111"/>
      <c r="Q390" s="111"/>
      <c r="R390" s="111"/>
      <c r="S390" s="1249">
        <v>1</v>
      </c>
      <c r="T390" s="1250">
        <v>232</v>
      </c>
      <c r="U390" s="1250"/>
      <c r="V390" s="1250"/>
      <c r="W390" s="1251">
        <v>0</v>
      </c>
      <c r="X390" s="1250">
        <v>232</v>
      </c>
      <c r="Y390" s="1250"/>
      <c r="Z390" s="1250"/>
      <c r="AA390" s="1250"/>
      <c r="AB390" s="1250"/>
      <c r="AC390" s="1250"/>
      <c r="AD390" s="1250"/>
      <c r="AE390" s="1249">
        <v>0</v>
      </c>
      <c r="AF390" s="1250">
        <v>232</v>
      </c>
      <c r="AG390" s="111"/>
      <c r="AH390" s="111"/>
      <c r="AI390" s="111"/>
      <c r="AJ390" s="111"/>
      <c r="AK390" s="111"/>
      <c r="AL390" s="111"/>
      <c r="AM390" s="111">
        <v>696</v>
      </c>
    </row>
    <row r="391" spans="1:39" ht="15" customHeight="1" x14ac:dyDescent="0.25">
      <c r="A391" s="1409"/>
      <c r="B391" s="1409"/>
      <c r="C391" s="1409"/>
      <c r="D391" s="1409"/>
      <c r="E391" s="1247"/>
      <c r="F391" s="1248" t="s">
        <v>2935</v>
      </c>
      <c r="G391" s="111"/>
      <c r="H391" s="1249">
        <v>1</v>
      </c>
      <c r="I391" s="111" t="s">
        <v>1827</v>
      </c>
      <c r="J391" s="1321" t="s">
        <v>5608</v>
      </c>
      <c r="K391" s="162" t="s">
        <v>5610</v>
      </c>
      <c r="L391" s="162" t="s">
        <v>5609</v>
      </c>
      <c r="M391" s="111">
        <v>580</v>
      </c>
      <c r="N391" s="111">
        <v>580</v>
      </c>
      <c r="O391" s="111"/>
      <c r="P391" s="111"/>
      <c r="Q391" s="111"/>
      <c r="R391" s="111"/>
      <c r="S391" s="1249">
        <v>1</v>
      </c>
      <c r="T391" s="1250">
        <v>193.33333333333334</v>
      </c>
      <c r="U391" s="1250"/>
      <c r="V391" s="1250"/>
      <c r="W391" s="1251">
        <v>0</v>
      </c>
      <c r="X391" s="1250">
        <v>193.33333333333334</v>
      </c>
      <c r="Y391" s="1250"/>
      <c r="Z391" s="1250"/>
      <c r="AA391" s="1250"/>
      <c r="AB391" s="1250"/>
      <c r="AC391" s="1250"/>
      <c r="AD391" s="1250"/>
      <c r="AE391" s="1249">
        <v>0</v>
      </c>
      <c r="AF391" s="1250">
        <v>193.33333333333334</v>
      </c>
      <c r="AG391" s="111"/>
      <c r="AH391" s="111"/>
      <c r="AI391" s="111"/>
      <c r="AJ391" s="111"/>
      <c r="AK391" s="111"/>
      <c r="AL391" s="111"/>
      <c r="AM391" s="111">
        <v>580</v>
      </c>
    </row>
    <row r="392" spans="1:39" ht="15" customHeight="1" x14ac:dyDescent="0.25">
      <c r="A392" s="1409"/>
      <c r="B392" s="1409"/>
      <c r="C392" s="1409"/>
      <c r="D392" s="1409"/>
      <c r="E392" s="1247"/>
      <c r="F392" s="1248" t="s">
        <v>184</v>
      </c>
      <c r="G392" s="111"/>
      <c r="H392" s="1249">
        <v>94</v>
      </c>
      <c r="I392" s="111" t="s">
        <v>2443</v>
      </c>
      <c r="J392" s="1321" t="s">
        <v>5608</v>
      </c>
      <c r="K392" s="162" t="s">
        <v>5610</v>
      </c>
      <c r="L392" s="162" t="s">
        <v>5609</v>
      </c>
      <c r="M392" s="111">
        <v>171.94205245957448</v>
      </c>
      <c r="N392" s="111">
        <v>16162.552931200002</v>
      </c>
      <c r="O392" s="111"/>
      <c r="P392" s="111"/>
      <c r="Q392" s="111"/>
      <c r="R392" s="111"/>
      <c r="S392" s="1249">
        <v>44</v>
      </c>
      <c r="T392" s="1250">
        <v>5387.5176437333339</v>
      </c>
      <c r="U392" s="1250"/>
      <c r="V392" s="1250"/>
      <c r="W392" s="1251">
        <v>30</v>
      </c>
      <c r="X392" s="1250">
        <v>5387.5176437333339</v>
      </c>
      <c r="Y392" s="1250"/>
      <c r="Z392" s="1250"/>
      <c r="AA392" s="1250"/>
      <c r="AB392" s="1250"/>
      <c r="AC392" s="1250"/>
      <c r="AD392" s="1250"/>
      <c r="AE392" s="1249">
        <v>20</v>
      </c>
      <c r="AF392" s="1250">
        <v>5387.5176437333339</v>
      </c>
      <c r="AG392" s="111"/>
      <c r="AH392" s="111"/>
      <c r="AI392" s="111"/>
      <c r="AJ392" s="111"/>
      <c r="AK392" s="111"/>
      <c r="AL392" s="111"/>
      <c r="AM392" s="111">
        <v>16162.552931200002</v>
      </c>
    </row>
    <row r="393" spans="1:39" ht="15" customHeight="1" x14ac:dyDescent="0.25">
      <c r="A393" s="1409"/>
      <c r="B393" s="1409"/>
      <c r="C393" s="1409"/>
      <c r="D393" s="1409"/>
      <c r="E393" s="1247"/>
      <c r="F393" s="1248" t="s">
        <v>4460</v>
      </c>
      <c r="G393" s="111"/>
      <c r="H393" s="1249">
        <v>18</v>
      </c>
      <c r="I393" s="111" t="s">
        <v>1721</v>
      </c>
      <c r="J393" s="1321" t="s">
        <v>5608</v>
      </c>
      <c r="K393" s="162" t="s">
        <v>5610</v>
      </c>
      <c r="L393" s="162" t="s">
        <v>5609</v>
      </c>
      <c r="M393" s="111">
        <v>46.58</v>
      </c>
      <c r="N393" s="111">
        <v>838.43999999999994</v>
      </c>
      <c r="O393" s="111"/>
      <c r="P393" s="111"/>
      <c r="Q393" s="111"/>
      <c r="R393" s="111"/>
      <c r="S393" s="1249">
        <v>8</v>
      </c>
      <c r="T393" s="1250">
        <v>279.47999999999996</v>
      </c>
      <c r="U393" s="1250"/>
      <c r="V393" s="1250"/>
      <c r="W393" s="1251">
        <v>5</v>
      </c>
      <c r="X393" s="1250">
        <v>279.47999999999996</v>
      </c>
      <c r="Y393" s="1250"/>
      <c r="Z393" s="1250"/>
      <c r="AA393" s="1250"/>
      <c r="AB393" s="1250"/>
      <c r="AC393" s="1250"/>
      <c r="AD393" s="1250"/>
      <c r="AE393" s="1249">
        <v>5</v>
      </c>
      <c r="AF393" s="1250">
        <v>279.47999999999996</v>
      </c>
      <c r="AG393" s="111"/>
      <c r="AH393" s="111"/>
      <c r="AI393" s="111"/>
      <c r="AJ393" s="111"/>
      <c r="AK393" s="111"/>
      <c r="AL393" s="111"/>
      <c r="AM393" s="111">
        <v>838.43999999999994</v>
      </c>
    </row>
    <row r="394" spans="1:39" ht="15" customHeight="1" x14ac:dyDescent="0.25">
      <c r="A394" s="1409"/>
      <c r="B394" s="1409"/>
      <c r="C394" s="1409"/>
      <c r="D394" s="1409"/>
      <c r="E394" s="1247"/>
      <c r="F394" s="1248" t="s">
        <v>185</v>
      </c>
      <c r="G394" s="111"/>
      <c r="H394" s="1249">
        <v>85</v>
      </c>
      <c r="I394" s="111" t="s">
        <v>1721</v>
      </c>
      <c r="J394" s="1321" t="s">
        <v>5608</v>
      </c>
      <c r="K394" s="162" t="s">
        <v>5610</v>
      </c>
      <c r="L394" s="162" t="s">
        <v>5609</v>
      </c>
      <c r="M394" s="111">
        <v>38.936004705882354</v>
      </c>
      <c r="N394" s="111">
        <v>3309.5604000000003</v>
      </c>
      <c r="O394" s="111"/>
      <c r="P394" s="111"/>
      <c r="Q394" s="111"/>
      <c r="R394" s="111"/>
      <c r="S394" s="1249">
        <v>40</v>
      </c>
      <c r="T394" s="1250">
        <v>1103.1867999999999</v>
      </c>
      <c r="U394" s="1250"/>
      <c r="V394" s="1250"/>
      <c r="W394" s="1251">
        <v>30</v>
      </c>
      <c r="X394" s="1250">
        <v>1103.1867999999999</v>
      </c>
      <c r="Y394" s="1250"/>
      <c r="Z394" s="1250"/>
      <c r="AA394" s="1250"/>
      <c r="AB394" s="1250"/>
      <c r="AC394" s="1250"/>
      <c r="AD394" s="1250"/>
      <c r="AE394" s="1249">
        <v>15</v>
      </c>
      <c r="AF394" s="1250">
        <v>1103.1867999999999</v>
      </c>
      <c r="AG394" s="111"/>
      <c r="AH394" s="111"/>
      <c r="AI394" s="111"/>
      <c r="AJ394" s="111"/>
      <c r="AK394" s="111"/>
      <c r="AL394" s="111"/>
      <c r="AM394" s="111">
        <v>3309.5603999999998</v>
      </c>
    </row>
    <row r="395" spans="1:39" ht="15" customHeight="1" x14ac:dyDescent="0.25">
      <c r="A395" s="1409"/>
      <c r="B395" s="1409"/>
      <c r="C395" s="1409"/>
      <c r="D395" s="1409"/>
      <c r="E395" s="1247"/>
      <c r="F395" s="1248" t="s">
        <v>2523</v>
      </c>
      <c r="G395" s="111"/>
      <c r="H395" s="1249">
        <v>20</v>
      </c>
      <c r="I395" s="111" t="s">
        <v>1721</v>
      </c>
      <c r="J395" s="1321" t="s">
        <v>5608</v>
      </c>
      <c r="K395" s="162" t="s">
        <v>5610</v>
      </c>
      <c r="L395" s="162" t="s">
        <v>5609</v>
      </c>
      <c r="M395" s="111">
        <v>15.830000000000002</v>
      </c>
      <c r="N395" s="111">
        <v>316.60000000000002</v>
      </c>
      <c r="O395" s="111"/>
      <c r="P395" s="111"/>
      <c r="Q395" s="111"/>
      <c r="R395" s="111"/>
      <c r="S395" s="1249">
        <v>10</v>
      </c>
      <c r="T395" s="1250">
        <v>105.53333333333335</v>
      </c>
      <c r="U395" s="1250"/>
      <c r="V395" s="1250"/>
      <c r="W395" s="1251">
        <v>5</v>
      </c>
      <c r="X395" s="1250">
        <v>105.53333333333335</v>
      </c>
      <c r="Y395" s="1250"/>
      <c r="Z395" s="1250"/>
      <c r="AA395" s="1250"/>
      <c r="AB395" s="1250"/>
      <c r="AC395" s="1250"/>
      <c r="AD395" s="1250"/>
      <c r="AE395" s="1249">
        <v>5</v>
      </c>
      <c r="AF395" s="1250">
        <v>105.53333333333335</v>
      </c>
      <c r="AG395" s="111"/>
      <c r="AH395" s="111"/>
      <c r="AI395" s="111"/>
      <c r="AJ395" s="111"/>
      <c r="AK395" s="111"/>
      <c r="AL395" s="111"/>
      <c r="AM395" s="111">
        <v>316.60000000000002</v>
      </c>
    </row>
    <row r="396" spans="1:39" ht="15" customHeight="1" x14ac:dyDescent="0.25">
      <c r="A396" s="1409"/>
      <c r="B396" s="1409"/>
      <c r="C396" s="1409"/>
      <c r="D396" s="1409"/>
      <c r="E396" s="1247"/>
      <c r="F396" s="1248" t="s">
        <v>3574</v>
      </c>
      <c r="G396" s="111"/>
      <c r="H396" s="1249">
        <v>48</v>
      </c>
      <c r="I396" s="111" t="s">
        <v>1721</v>
      </c>
      <c r="J396" s="1321" t="s">
        <v>5608</v>
      </c>
      <c r="K396" s="162" t="s">
        <v>5610</v>
      </c>
      <c r="L396" s="162" t="s">
        <v>5609</v>
      </c>
      <c r="M396" s="111">
        <v>24.544651633333331</v>
      </c>
      <c r="N396" s="111">
        <v>1178.1432783999999</v>
      </c>
      <c r="O396" s="111"/>
      <c r="P396" s="111"/>
      <c r="Q396" s="111"/>
      <c r="R396" s="111"/>
      <c r="S396" s="1249">
        <v>20</v>
      </c>
      <c r="T396" s="1250">
        <v>392.71442613333329</v>
      </c>
      <c r="U396" s="1250"/>
      <c r="V396" s="1250"/>
      <c r="W396" s="1251">
        <v>18</v>
      </c>
      <c r="X396" s="1250">
        <v>392.71442613333329</v>
      </c>
      <c r="Y396" s="1250"/>
      <c r="Z396" s="1250"/>
      <c r="AA396" s="1250"/>
      <c r="AB396" s="1250"/>
      <c r="AC396" s="1250"/>
      <c r="AD396" s="1250"/>
      <c r="AE396" s="1249">
        <v>10</v>
      </c>
      <c r="AF396" s="1250">
        <v>392.71442613333329</v>
      </c>
      <c r="AG396" s="111"/>
      <c r="AH396" s="111"/>
      <c r="AI396" s="111"/>
      <c r="AJ396" s="111"/>
      <c r="AK396" s="111"/>
      <c r="AL396" s="111"/>
      <c r="AM396" s="111">
        <v>1178.1432783999999</v>
      </c>
    </row>
    <row r="397" spans="1:39" ht="15" customHeight="1" x14ac:dyDescent="0.25">
      <c r="A397" s="1409"/>
      <c r="B397" s="1409"/>
      <c r="C397" s="1409"/>
      <c r="D397" s="1409"/>
      <c r="E397" s="1247"/>
      <c r="F397" s="1248" t="s">
        <v>187</v>
      </c>
      <c r="G397" s="111"/>
      <c r="H397" s="1249">
        <v>2</v>
      </c>
      <c r="I397" s="111" t="s">
        <v>1721</v>
      </c>
      <c r="J397" s="1321" t="s">
        <v>5608</v>
      </c>
      <c r="K397" s="162" t="s">
        <v>5610</v>
      </c>
      <c r="L397" s="162" t="s">
        <v>5609</v>
      </c>
      <c r="M397" s="111">
        <v>43.630012799999996</v>
      </c>
      <c r="N397" s="111">
        <v>87.260025599999992</v>
      </c>
      <c r="O397" s="111"/>
      <c r="P397" s="111"/>
      <c r="Q397" s="111"/>
      <c r="R397" s="111"/>
      <c r="S397" s="1249">
        <v>2</v>
      </c>
      <c r="T397" s="1250">
        <v>29.086675199999998</v>
      </c>
      <c r="U397" s="1250"/>
      <c r="V397" s="1250"/>
      <c r="W397" s="1251">
        <v>0</v>
      </c>
      <c r="X397" s="1250">
        <v>29.086675199999998</v>
      </c>
      <c r="Y397" s="1250"/>
      <c r="Z397" s="1250"/>
      <c r="AA397" s="1250"/>
      <c r="AB397" s="1250"/>
      <c r="AC397" s="1250"/>
      <c r="AD397" s="1250"/>
      <c r="AE397" s="1249">
        <v>0</v>
      </c>
      <c r="AF397" s="1250">
        <v>29.086675199999998</v>
      </c>
      <c r="AG397" s="111"/>
      <c r="AH397" s="111"/>
      <c r="AI397" s="111"/>
      <c r="AJ397" s="111"/>
      <c r="AK397" s="111"/>
      <c r="AL397" s="111"/>
      <c r="AM397" s="111">
        <v>87.260025599999992</v>
      </c>
    </row>
    <row r="398" spans="1:39" ht="15" customHeight="1" x14ac:dyDescent="0.25">
      <c r="A398" s="1409"/>
      <c r="B398" s="1409"/>
      <c r="C398" s="1409"/>
      <c r="D398" s="1409"/>
      <c r="E398" s="1247"/>
      <c r="F398" s="1248" t="s">
        <v>2620</v>
      </c>
      <c r="G398" s="111"/>
      <c r="H398" s="1249">
        <v>4</v>
      </c>
      <c r="I398" s="111" t="s">
        <v>4452</v>
      </c>
      <c r="J398" s="1321" t="s">
        <v>5608</v>
      </c>
      <c r="K398" s="162" t="s">
        <v>5610</v>
      </c>
      <c r="L398" s="162" t="s">
        <v>5609</v>
      </c>
      <c r="M398" s="111">
        <v>381.99959999999999</v>
      </c>
      <c r="N398" s="111">
        <v>1527.9983999999999</v>
      </c>
      <c r="O398" s="111"/>
      <c r="P398" s="111"/>
      <c r="Q398" s="111"/>
      <c r="R398" s="111"/>
      <c r="S398" s="1249">
        <v>2</v>
      </c>
      <c r="T398" s="1250">
        <v>509.33279999999996</v>
      </c>
      <c r="U398" s="1250"/>
      <c r="V398" s="1250"/>
      <c r="W398" s="1251">
        <v>1</v>
      </c>
      <c r="X398" s="1250">
        <v>509.33279999999996</v>
      </c>
      <c r="Y398" s="1250"/>
      <c r="Z398" s="1250"/>
      <c r="AA398" s="1250"/>
      <c r="AB398" s="1250"/>
      <c r="AC398" s="1250"/>
      <c r="AD398" s="1250"/>
      <c r="AE398" s="1249">
        <v>1</v>
      </c>
      <c r="AF398" s="1250">
        <v>509.33279999999996</v>
      </c>
      <c r="AG398" s="111"/>
      <c r="AH398" s="111"/>
      <c r="AI398" s="111"/>
      <c r="AJ398" s="111"/>
      <c r="AK398" s="111"/>
      <c r="AL398" s="111"/>
      <c r="AM398" s="111">
        <v>1527.9983999999999</v>
      </c>
    </row>
    <row r="399" spans="1:39" ht="15" customHeight="1" x14ac:dyDescent="0.25">
      <c r="A399" s="1409"/>
      <c r="B399" s="1409"/>
      <c r="C399" s="1409"/>
      <c r="D399" s="1409"/>
      <c r="E399" s="1247"/>
      <c r="F399" s="1248" t="s">
        <v>2564</v>
      </c>
      <c r="G399" s="111"/>
      <c r="H399" s="1249">
        <v>5</v>
      </c>
      <c r="I399" s="111" t="s">
        <v>1721</v>
      </c>
      <c r="J399" s="1321" t="s">
        <v>5608</v>
      </c>
      <c r="K399" s="162" t="s">
        <v>5610</v>
      </c>
      <c r="L399" s="162" t="s">
        <v>5609</v>
      </c>
      <c r="M399" s="111">
        <v>54.279999999999994</v>
      </c>
      <c r="N399" s="111">
        <v>271.39999999999998</v>
      </c>
      <c r="O399" s="111"/>
      <c r="P399" s="111"/>
      <c r="Q399" s="111"/>
      <c r="R399" s="111"/>
      <c r="S399" s="1249">
        <v>2</v>
      </c>
      <c r="T399" s="1250">
        <v>90.466666666666654</v>
      </c>
      <c r="U399" s="1250"/>
      <c r="V399" s="1250"/>
      <c r="W399" s="1251">
        <v>2</v>
      </c>
      <c r="X399" s="1250">
        <v>90.466666666666654</v>
      </c>
      <c r="Y399" s="1250"/>
      <c r="Z399" s="1250"/>
      <c r="AA399" s="1250"/>
      <c r="AB399" s="1250"/>
      <c r="AC399" s="1250"/>
      <c r="AD399" s="1250"/>
      <c r="AE399" s="1249">
        <v>1</v>
      </c>
      <c r="AF399" s="1250">
        <v>90.466666666666654</v>
      </c>
      <c r="AG399" s="111"/>
      <c r="AH399" s="111"/>
      <c r="AI399" s="111"/>
      <c r="AJ399" s="111"/>
      <c r="AK399" s="111"/>
      <c r="AL399" s="111"/>
      <c r="AM399" s="111">
        <v>271.39999999999998</v>
      </c>
    </row>
    <row r="400" spans="1:39" ht="15" customHeight="1" x14ac:dyDescent="0.25">
      <c r="A400" s="1409"/>
      <c r="B400" s="1409"/>
      <c r="C400" s="1409"/>
      <c r="D400" s="1409"/>
      <c r="E400" s="1247"/>
      <c r="F400" s="1248" t="s">
        <v>186</v>
      </c>
      <c r="G400" s="111"/>
      <c r="H400" s="1249">
        <v>40</v>
      </c>
      <c r="I400" s="111" t="s">
        <v>1721</v>
      </c>
      <c r="J400" s="1321" t="s">
        <v>5608</v>
      </c>
      <c r="K400" s="162" t="s">
        <v>5610</v>
      </c>
      <c r="L400" s="162" t="s">
        <v>5609</v>
      </c>
      <c r="M400" s="111">
        <v>51.479799999999997</v>
      </c>
      <c r="N400" s="111">
        <v>2059.192</v>
      </c>
      <c r="O400" s="111"/>
      <c r="P400" s="111"/>
      <c r="Q400" s="111"/>
      <c r="R400" s="111"/>
      <c r="S400" s="1249">
        <v>15</v>
      </c>
      <c r="T400" s="1250">
        <v>686.39733333333334</v>
      </c>
      <c r="U400" s="1250"/>
      <c r="V400" s="1250"/>
      <c r="W400" s="1251">
        <v>15</v>
      </c>
      <c r="X400" s="1250">
        <v>686.39733333333334</v>
      </c>
      <c r="Y400" s="1250"/>
      <c r="Z400" s="1250"/>
      <c r="AA400" s="1250"/>
      <c r="AB400" s="1250"/>
      <c r="AC400" s="1250"/>
      <c r="AD400" s="1250"/>
      <c r="AE400" s="1249">
        <v>10</v>
      </c>
      <c r="AF400" s="1250">
        <v>686.39733333333334</v>
      </c>
      <c r="AG400" s="111"/>
      <c r="AH400" s="111"/>
      <c r="AI400" s="111"/>
      <c r="AJ400" s="111"/>
      <c r="AK400" s="111"/>
      <c r="AL400" s="111"/>
      <c r="AM400" s="111">
        <v>2059.192</v>
      </c>
    </row>
    <row r="401" spans="1:39" ht="15" customHeight="1" x14ac:dyDescent="0.25">
      <c r="A401" s="1409"/>
      <c r="B401" s="1409"/>
      <c r="C401" s="1409"/>
      <c r="D401" s="1409"/>
      <c r="E401" s="1247"/>
      <c r="F401" s="1248" t="s">
        <v>2936</v>
      </c>
      <c r="G401" s="111"/>
      <c r="H401" s="1249">
        <v>1</v>
      </c>
      <c r="I401" s="111" t="s">
        <v>1721</v>
      </c>
      <c r="J401" s="1321" t="s">
        <v>5608</v>
      </c>
      <c r="K401" s="162" t="s">
        <v>5610</v>
      </c>
      <c r="L401" s="162" t="s">
        <v>5609</v>
      </c>
      <c r="M401" s="111">
        <v>341.55039999999997</v>
      </c>
      <c r="N401" s="111">
        <v>341.55039999999997</v>
      </c>
      <c r="O401" s="111"/>
      <c r="P401" s="111"/>
      <c r="Q401" s="111"/>
      <c r="R401" s="111"/>
      <c r="S401" s="1249">
        <v>1</v>
      </c>
      <c r="T401" s="1250">
        <v>113.85013333333332</v>
      </c>
      <c r="U401" s="1250"/>
      <c r="V401" s="1250"/>
      <c r="W401" s="1251">
        <v>0</v>
      </c>
      <c r="X401" s="1250">
        <v>113.85013333333332</v>
      </c>
      <c r="Y401" s="1250"/>
      <c r="Z401" s="1250"/>
      <c r="AA401" s="1250"/>
      <c r="AB401" s="1250"/>
      <c r="AC401" s="1250"/>
      <c r="AD401" s="1250"/>
      <c r="AE401" s="1249">
        <v>0</v>
      </c>
      <c r="AF401" s="1250">
        <v>113.85013333333332</v>
      </c>
      <c r="AG401" s="111"/>
      <c r="AH401" s="111"/>
      <c r="AI401" s="111"/>
      <c r="AJ401" s="111"/>
      <c r="AK401" s="111"/>
      <c r="AL401" s="111"/>
      <c r="AM401" s="111">
        <v>341.55039999999997</v>
      </c>
    </row>
    <row r="402" spans="1:39" ht="15" customHeight="1" x14ac:dyDescent="0.25">
      <c r="A402" s="1409"/>
      <c r="B402" s="1409"/>
      <c r="C402" s="1409"/>
      <c r="D402" s="1409"/>
      <c r="E402" s="1247"/>
      <c r="F402" s="1248" t="s">
        <v>695</v>
      </c>
      <c r="G402" s="111"/>
      <c r="H402" s="1249">
        <v>24</v>
      </c>
      <c r="I402" s="111" t="s">
        <v>1721</v>
      </c>
      <c r="J402" s="1321" t="s">
        <v>5608</v>
      </c>
      <c r="K402" s="162" t="s">
        <v>5610</v>
      </c>
      <c r="L402" s="162" t="s">
        <v>5609</v>
      </c>
      <c r="M402" s="111">
        <v>15.973199999999999</v>
      </c>
      <c r="N402" s="111">
        <v>383.35679999999996</v>
      </c>
      <c r="O402" s="111"/>
      <c r="P402" s="111"/>
      <c r="Q402" s="111"/>
      <c r="R402" s="111"/>
      <c r="S402" s="1249">
        <v>14</v>
      </c>
      <c r="T402" s="1250">
        <v>127.78559999999999</v>
      </c>
      <c r="U402" s="1250"/>
      <c r="V402" s="1250"/>
      <c r="W402" s="1251">
        <v>5</v>
      </c>
      <c r="X402" s="1250">
        <v>127.78559999999999</v>
      </c>
      <c r="Y402" s="1250"/>
      <c r="Z402" s="1250"/>
      <c r="AA402" s="1250"/>
      <c r="AB402" s="1250"/>
      <c r="AC402" s="1250"/>
      <c r="AD402" s="1250"/>
      <c r="AE402" s="1249">
        <v>5</v>
      </c>
      <c r="AF402" s="1250">
        <v>127.78559999999999</v>
      </c>
      <c r="AG402" s="111"/>
      <c r="AH402" s="111"/>
      <c r="AI402" s="111"/>
      <c r="AJ402" s="111"/>
      <c r="AK402" s="111"/>
      <c r="AL402" s="111"/>
      <c r="AM402" s="111">
        <v>383.35679999999996</v>
      </c>
    </row>
    <row r="403" spans="1:39" ht="15" customHeight="1" x14ac:dyDescent="0.25">
      <c r="A403" s="1409"/>
      <c r="B403" s="1409"/>
      <c r="C403" s="1409"/>
      <c r="D403" s="1409"/>
      <c r="E403" s="1247"/>
      <c r="F403" s="1248" t="s">
        <v>3575</v>
      </c>
      <c r="G403" s="111"/>
      <c r="H403" s="1249">
        <v>89</v>
      </c>
      <c r="I403" s="111" t="s">
        <v>1721</v>
      </c>
      <c r="J403" s="1321" t="s">
        <v>5608</v>
      </c>
      <c r="K403" s="162" t="s">
        <v>5610</v>
      </c>
      <c r="L403" s="162" t="s">
        <v>5609</v>
      </c>
      <c r="M403" s="111">
        <v>56.835311532584271</v>
      </c>
      <c r="N403" s="111">
        <v>5058.3427264000002</v>
      </c>
      <c r="O403" s="111"/>
      <c r="P403" s="111"/>
      <c r="Q403" s="111"/>
      <c r="R403" s="111"/>
      <c r="S403" s="1249">
        <v>40</v>
      </c>
      <c r="T403" s="1250">
        <v>1686.1142421333334</v>
      </c>
      <c r="U403" s="1250"/>
      <c r="V403" s="1250"/>
      <c r="W403" s="1251">
        <v>30</v>
      </c>
      <c r="X403" s="1250">
        <v>1686.1142421333334</v>
      </c>
      <c r="Y403" s="1250"/>
      <c r="Z403" s="1250"/>
      <c r="AA403" s="1250"/>
      <c r="AB403" s="1250"/>
      <c r="AC403" s="1250"/>
      <c r="AD403" s="1250"/>
      <c r="AE403" s="1249">
        <v>19</v>
      </c>
      <c r="AF403" s="1250">
        <v>1686.1142421333334</v>
      </c>
      <c r="AG403" s="111"/>
      <c r="AH403" s="111"/>
      <c r="AI403" s="111"/>
      <c r="AJ403" s="111"/>
      <c r="AK403" s="111"/>
      <c r="AL403" s="111"/>
      <c r="AM403" s="111">
        <v>5058.3427264000002</v>
      </c>
    </row>
    <row r="404" spans="1:39" ht="15" customHeight="1" x14ac:dyDescent="0.25">
      <c r="A404" s="1409"/>
      <c r="B404" s="1409"/>
      <c r="C404" s="1409"/>
      <c r="D404" s="1409"/>
      <c r="E404" s="1247"/>
      <c r="F404" s="1248" t="s">
        <v>2518</v>
      </c>
      <c r="G404" s="111"/>
      <c r="H404" s="1249">
        <v>20</v>
      </c>
      <c r="I404" s="111" t="s">
        <v>1721</v>
      </c>
      <c r="J404" s="1321" t="s">
        <v>5608</v>
      </c>
      <c r="K404" s="162" t="s">
        <v>5610</v>
      </c>
      <c r="L404" s="162" t="s">
        <v>5609</v>
      </c>
      <c r="M404" s="111">
        <v>64.98</v>
      </c>
      <c r="N404" s="111">
        <v>1299.6000000000001</v>
      </c>
      <c r="O404" s="111"/>
      <c r="P404" s="111"/>
      <c r="Q404" s="111"/>
      <c r="R404" s="111"/>
      <c r="S404" s="1249">
        <v>10</v>
      </c>
      <c r="T404" s="1250">
        <v>433.20000000000005</v>
      </c>
      <c r="U404" s="1250"/>
      <c r="V404" s="1250"/>
      <c r="W404" s="1251">
        <v>5</v>
      </c>
      <c r="X404" s="1250">
        <v>433.20000000000005</v>
      </c>
      <c r="Y404" s="1250"/>
      <c r="Z404" s="1250"/>
      <c r="AA404" s="1250"/>
      <c r="AB404" s="1250"/>
      <c r="AC404" s="1250"/>
      <c r="AD404" s="1250"/>
      <c r="AE404" s="1249">
        <v>5</v>
      </c>
      <c r="AF404" s="1250">
        <v>433.20000000000005</v>
      </c>
      <c r="AG404" s="111"/>
      <c r="AH404" s="111"/>
      <c r="AI404" s="111"/>
      <c r="AJ404" s="111"/>
      <c r="AK404" s="111"/>
      <c r="AL404" s="111"/>
      <c r="AM404" s="111">
        <v>1299.6000000000001</v>
      </c>
    </row>
    <row r="405" spans="1:39" ht="15" customHeight="1" x14ac:dyDescent="0.25">
      <c r="A405" s="1409"/>
      <c r="B405" s="1409"/>
      <c r="C405" s="1409"/>
      <c r="D405" s="1409"/>
      <c r="E405" s="1247"/>
      <c r="F405" s="1248" t="s">
        <v>189</v>
      </c>
      <c r="G405" s="111"/>
      <c r="H405" s="1249">
        <v>17</v>
      </c>
      <c r="I405" s="111" t="s">
        <v>1721</v>
      </c>
      <c r="J405" s="1321" t="s">
        <v>5608</v>
      </c>
      <c r="K405" s="162" t="s">
        <v>5610</v>
      </c>
      <c r="L405" s="162" t="s">
        <v>5609</v>
      </c>
      <c r="M405" s="111">
        <v>58.137768282352937</v>
      </c>
      <c r="N405" s="111">
        <v>988.3420607999999</v>
      </c>
      <c r="O405" s="111"/>
      <c r="P405" s="111"/>
      <c r="Q405" s="111"/>
      <c r="R405" s="111"/>
      <c r="S405" s="1249">
        <v>7</v>
      </c>
      <c r="T405" s="1250">
        <v>329.44735359999999</v>
      </c>
      <c r="U405" s="1250"/>
      <c r="V405" s="1250"/>
      <c r="W405" s="1251">
        <v>5</v>
      </c>
      <c r="X405" s="1250">
        <v>329.44735359999999</v>
      </c>
      <c r="Y405" s="1250"/>
      <c r="Z405" s="1250"/>
      <c r="AA405" s="1250"/>
      <c r="AB405" s="1250"/>
      <c r="AC405" s="1250"/>
      <c r="AD405" s="1250"/>
      <c r="AE405" s="1249">
        <v>5</v>
      </c>
      <c r="AF405" s="1250">
        <v>329.44735359999999</v>
      </c>
      <c r="AG405" s="111"/>
      <c r="AH405" s="111"/>
      <c r="AI405" s="111"/>
      <c r="AJ405" s="111"/>
      <c r="AK405" s="111"/>
      <c r="AL405" s="111"/>
      <c r="AM405" s="111">
        <v>988.3420607999999</v>
      </c>
    </row>
    <row r="406" spans="1:39" ht="15" customHeight="1" x14ac:dyDescent="0.25">
      <c r="A406" s="1409"/>
      <c r="B406" s="1409"/>
      <c r="C406" s="1409"/>
      <c r="D406" s="1409"/>
      <c r="E406" s="1247"/>
      <c r="F406" s="1248"/>
      <c r="G406" s="111"/>
      <c r="H406" s="1249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249"/>
      <c r="T406" s="1250"/>
      <c r="U406" s="1250"/>
      <c r="V406" s="1250"/>
      <c r="W406" s="1251"/>
      <c r="X406" s="1250"/>
      <c r="Y406" s="1250"/>
      <c r="Z406" s="1250"/>
      <c r="AA406" s="1250"/>
      <c r="AB406" s="1250"/>
      <c r="AC406" s="1250"/>
      <c r="AD406" s="1250"/>
      <c r="AE406" s="1249"/>
      <c r="AF406" s="1250"/>
      <c r="AG406" s="111"/>
      <c r="AH406" s="111"/>
      <c r="AI406" s="111"/>
      <c r="AJ406" s="111"/>
      <c r="AK406" s="111"/>
      <c r="AL406" s="111"/>
      <c r="AM406" s="111"/>
    </row>
    <row r="407" spans="1:39" ht="15" customHeight="1" x14ac:dyDescent="0.25">
      <c r="A407" s="1409"/>
      <c r="B407" s="1409"/>
      <c r="C407" s="1409"/>
      <c r="D407" s="1409"/>
      <c r="E407" s="1261">
        <v>21602</v>
      </c>
      <c r="F407" s="1262" t="s">
        <v>190</v>
      </c>
      <c r="G407" s="1261"/>
      <c r="H407" s="1261"/>
      <c r="I407" s="1261"/>
      <c r="J407" s="1261"/>
      <c r="K407" s="1261"/>
      <c r="L407" s="1261"/>
      <c r="M407" s="1261"/>
      <c r="N407" s="1261"/>
      <c r="O407" s="1261"/>
      <c r="P407" s="1261"/>
      <c r="Q407" s="1261"/>
      <c r="R407" s="1261"/>
      <c r="S407" s="1261"/>
      <c r="T407" s="1261"/>
      <c r="U407" s="1261"/>
      <c r="V407" s="1261"/>
      <c r="W407" s="1261"/>
      <c r="X407" s="1261"/>
      <c r="Y407" s="1261"/>
      <c r="Z407" s="1261"/>
      <c r="AA407" s="1261"/>
      <c r="AB407" s="1261"/>
      <c r="AC407" s="1261"/>
      <c r="AD407" s="1261"/>
      <c r="AE407" s="1261"/>
      <c r="AF407" s="1261"/>
      <c r="AG407" s="1261"/>
      <c r="AH407" s="1261"/>
      <c r="AI407" s="1261"/>
      <c r="AJ407" s="1261"/>
      <c r="AK407" s="1261"/>
      <c r="AL407" s="1261"/>
      <c r="AM407" s="1261"/>
    </row>
    <row r="408" spans="1:39" ht="15" customHeight="1" x14ac:dyDescent="0.25">
      <c r="A408" s="1409"/>
      <c r="B408" s="1409"/>
      <c r="C408" s="1409"/>
      <c r="D408" s="1409"/>
      <c r="E408" s="1247"/>
      <c r="F408" s="1248" t="s">
        <v>1859</v>
      </c>
      <c r="G408" s="111"/>
      <c r="H408" s="1249">
        <v>15</v>
      </c>
      <c r="I408" s="111" t="s">
        <v>1722</v>
      </c>
      <c r="J408" s="1321" t="s">
        <v>5608</v>
      </c>
      <c r="K408" s="162" t="s">
        <v>5610</v>
      </c>
      <c r="L408" s="162" t="s">
        <v>5609</v>
      </c>
      <c r="M408" s="111">
        <v>253.70922751999998</v>
      </c>
      <c r="N408" s="111">
        <v>3805.6384128</v>
      </c>
      <c r="O408" s="111"/>
      <c r="P408" s="111"/>
      <c r="Q408" s="111"/>
      <c r="R408" s="111"/>
      <c r="S408" s="1249">
        <v>5</v>
      </c>
      <c r="T408" s="1250">
        <v>1268.5461376000001</v>
      </c>
      <c r="U408" s="1250"/>
      <c r="V408" s="1250"/>
      <c r="W408" s="1251">
        <v>5</v>
      </c>
      <c r="X408" s="1250">
        <v>1268.5461376000001</v>
      </c>
      <c r="Y408" s="1250"/>
      <c r="Z408" s="1250"/>
      <c r="AA408" s="1250"/>
      <c r="AB408" s="1250"/>
      <c r="AC408" s="1250"/>
      <c r="AD408" s="1250"/>
      <c r="AE408" s="1249">
        <v>5</v>
      </c>
      <c r="AF408" s="1250">
        <v>1268.5461376000001</v>
      </c>
      <c r="AG408" s="111"/>
      <c r="AH408" s="111"/>
      <c r="AI408" s="111"/>
      <c r="AJ408" s="111"/>
      <c r="AK408" s="111"/>
      <c r="AL408" s="111"/>
      <c r="AM408" s="111">
        <v>3805.6384128</v>
      </c>
    </row>
    <row r="409" spans="1:39" ht="15" customHeight="1" x14ac:dyDescent="0.25">
      <c r="A409" s="1409"/>
      <c r="B409" s="1409"/>
      <c r="C409" s="1409"/>
      <c r="D409" s="1409"/>
      <c r="E409" s="1247"/>
      <c r="F409" s="1248" t="s">
        <v>2942</v>
      </c>
      <c r="G409" s="111"/>
      <c r="H409" s="1249">
        <v>35</v>
      </c>
      <c r="I409" s="111" t="s">
        <v>1722</v>
      </c>
      <c r="J409" s="1321" t="s">
        <v>5608</v>
      </c>
      <c r="K409" s="162" t="s">
        <v>5610</v>
      </c>
      <c r="L409" s="162" t="s">
        <v>5609</v>
      </c>
      <c r="M409" s="111">
        <v>312.76</v>
      </c>
      <c r="N409" s="111">
        <v>10946.6</v>
      </c>
      <c r="O409" s="111"/>
      <c r="P409" s="111"/>
      <c r="Q409" s="111"/>
      <c r="R409" s="111"/>
      <c r="S409" s="1249">
        <v>15</v>
      </c>
      <c r="T409" s="1250">
        <v>3648.8666666666668</v>
      </c>
      <c r="U409" s="1250"/>
      <c r="V409" s="1250"/>
      <c r="W409" s="1251">
        <v>15</v>
      </c>
      <c r="X409" s="1250">
        <v>3648.8666666666668</v>
      </c>
      <c r="Y409" s="1250"/>
      <c r="Z409" s="1250"/>
      <c r="AA409" s="1250"/>
      <c r="AB409" s="1250"/>
      <c r="AC409" s="1250"/>
      <c r="AD409" s="1250"/>
      <c r="AE409" s="1249">
        <v>5</v>
      </c>
      <c r="AF409" s="1250">
        <v>3648.8666666666668</v>
      </c>
      <c r="AG409" s="111"/>
      <c r="AH409" s="111"/>
      <c r="AI409" s="111"/>
      <c r="AJ409" s="111"/>
      <c r="AK409" s="111"/>
      <c r="AL409" s="111"/>
      <c r="AM409" s="111">
        <v>10946.6</v>
      </c>
    </row>
    <row r="410" spans="1:39" ht="15" customHeight="1" x14ac:dyDescent="0.25">
      <c r="A410" s="1409"/>
      <c r="B410" s="1409"/>
      <c r="C410" s="1409"/>
      <c r="D410" s="1409"/>
      <c r="E410" s="1247"/>
      <c r="F410" s="1248" t="s">
        <v>2943</v>
      </c>
      <c r="G410" s="111"/>
      <c r="H410" s="1249">
        <v>25</v>
      </c>
      <c r="I410" s="111" t="s">
        <v>1722</v>
      </c>
      <c r="J410" s="1321" t="s">
        <v>5608</v>
      </c>
      <c r="K410" s="162" t="s">
        <v>5610</v>
      </c>
      <c r="L410" s="162" t="s">
        <v>5609</v>
      </c>
      <c r="M410" s="111">
        <v>468.91</v>
      </c>
      <c r="N410" s="111">
        <v>11722.75</v>
      </c>
      <c r="O410" s="111"/>
      <c r="P410" s="111"/>
      <c r="Q410" s="111"/>
      <c r="R410" s="111"/>
      <c r="S410" s="1249">
        <v>10</v>
      </c>
      <c r="T410" s="1250">
        <v>3907.5833333333335</v>
      </c>
      <c r="U410" s="1250"/>
      <c r="V410" s="1250"/>
      <c r="W410" s="1251">
        <v>10</v>
      </c>
      <c r="X410" s="1250">
        <v>3907.5833333333335</v>
      </c>
      <c r="Y410" s="1250"/>
      <c r="Z410" s="1250"/>
      <c r="AA410" s="1250"/>
      <c r="AB410" s="1250"/>
      <c r="AC410" s="1250"/>
      <c r="AD410" s="1250"/>
      <c r="AE410" s="1249">
        <v>5</v>
      </c>
      <c r="AF410" s="1250">
        <v>3907.5833333333335</v>
      </c>
      <c r="AG410" s="111"/>
      <c r="AH410" s="111"/>
      <c r="AI410" s="111"/>
      <c r="AJ410" s="111"/>
      <c r="AK410" s="111"/>
      <c r="AL410" s="111"/>
      <c r="AM410" s="111">
        <v>11722.75</v>
      </c>
    </row>
    <row r="411" spans="1:39" ht="15" customHeight="1" x14ac:dyDescent="0.25">
      <c r="A411" s="1409"/>
      <c r="B411" s="1409"/>
      <c r="C411" s="1409"/>
      <c r="D411" s="1409"/>
      <c r="E411" s="1247"/>
      <c r="F411" s="1248" t="s">
        <v>194</v>
      </c>
      <c r="G411" s="111"/>
      <c r="H411" s="1249">
        <v>352</v>
      </c>
      <c r="I411" s="111" t="s">
        <v>1725</v>
      </c>
      <c r="J411" s="1321" t="s">
        <v>5608</v>
      </c>
      <c r="K411" s="162" t="s">
        <v>5610</v>
      </c>
      <c r="L411" s="162" t="s">
        <v>5609</v>
      </c>
      <c r="M411" s="111">
        <v>300.35599424090907</v>
      </c>
      <c r="N411" s="111">
        <v>105725.30997279999</v>
      </c>
      <c r="O411" s="111"/>
      <c r="P411" s="111"/>
      <c r="Q411" s="111"/>
      <c r="R411" s="111"/>
      <c r="S411" s="1249">
        <v>127</v>
      </c>
      <c r="T411" s="1250">
        <v>35241.769990933331</v>
      </c>
      <c r="U411" s="1250"/>
      <c r="V411" s="1250"/>
      <c r="W411" s="1251">
        <v>125</v>
      </c>
      <c r="X411" s="1250">
        <v>35241.769990933331</v>
      </c>
      <c r="Y411" s="1250"/>
      <c r="Z411" s="1250"/>
      <c r="AA411" s="1250"/>
      <c r="AB411" s="1250"/>
      <c r="AC411" s="1250"/>
      <c r="AD411" s="1250"/>
      <c r="AE411" s="1249">
        <v>100</v>
      </c>
      <c r="AF411" s="1250">
        <v>35241.769990933331</v>
      </c>
      <c r="AG411" s="111"/>
      <c r="AH411" s="111"/>
      <c r="AI411" s="111"/>
      <c r="AJ411" s="111"/>
      <c r="AK411" s="111"/>
      <c r="AL411" s="111"/>
      <c r="AM411" s="111">
        <v>105725.30997279999</v>
      </c>
    </row>
    <row r="412" spans="1:39" ht="15" customHeight="1" x14ac:dyDescent="0.25">
      <c r="A412" s="1409"/>
      <c r="B412" s="1409"/>
      <c r="C412" s="1409"/>
      <c r="D412" s="1409"/>
      <c r="E412" s="1247"/>
      <c r="F412" s="1248" t="s">
        <v>2074</v>
      </c>
      <c r="G412" s="111"/>
      <c r="H412" s="1249">
        <v>15</v>
      </c>
      <c r="I412" s="111" t="s">
        <v>1725</v>
      </c>
      <c r="J412" s="1321" t="s">
        <v>5608</v>
      </c>
      <c r="K412" s="162" t="s">
        <v>5610</v>
      </c>
      <c r="L412" s="162" t="s">
        <v>5609</v>
      </c>
      <c r="M412" s="111">
        <v>101.29</v>
      </c>
      <c r="N412" s="111">
        <v>1519.3500000000001</v>
      </c>
      <c r="O412" s="111"/>
      <c r="P412" s="111"/>
      <c r="Q412" s="111"/>
      <c r="R412" s="111"/>
      <c r="S412" s="1249">
        <v>5</v>
      </c>
      <c r="T412" s="1250">
        <v>506.45000000000005</v>
      </c>
      <c r="U412" s="1250"/>
      <c r="V412" s="1250"/>
      <c r="W412" s="1251">
        <v>5</v>
      </c>
      <c r="X412" s="1250">
        <v>506.45000000000005</v>
      </c>
      <c r="Y412" s="1250"/>
      <c r="Z412" s="1250"/>
      <c r="AA412" s="1250"/>
      <c r="AB412" s="1250"/>
      <c r="AC412" s="1250"/>
      <c r="AD412" s="1250"/>
      <c r="AE412" s="1249">
        <v>5</v>
      </c>
      <c r="AF412" s="1250">
        <v>506.45000000000005</v>
      </c>
      <c r="AG412" s="111"/>
      <c r="AH412" s="111"/>
      <c r="AI412" s="111"/>
      <c r="AJ412" s="111"/>
      <c r="AK412" s="111"/>
      <c r="AL412" s="111"/>
      <c r="AM412" s="111">
        <v>1519.3500000000001</v>
      </c>
    </row>
    <row r="413" spans="1:39" ht="15" customHeight="1" x14ac:dyDescent="0.25">
      <c r="A413" s="1409"/>
      <c r="B413" s="1409"/>
      <c r="C413" s="1409"/>
      <c r="D413" s="1409"/>
      <c r="E413" s="1247"/>
      <c r="F413" s="1248" t="s">
        <v>4461</v>
      </c>
      <c r="G413" s="111"/>
      <c r="H413" s="1249">
        <v>75</v>
      </c>
      <c r="I413" s="111" t="s">
        <v>1734</v>
      </c>
      <c r="J413" s="1321" t="s">
        <v>5608</v>
      </c>
      <c r="K413" s="162" t="s">
        <v>5610</v>
      </c>
      <c r="L413" s="162" t="s">
        <v>5609</v>
      </c>
      <c r="M413" s="111">
        <v>403.3</v>
      </c>
      <c r="N413" s="111">
        <v>30247.5</v>
      </c>
      <c r="O413" s="111"/>
      <c r="P413" s="111"/>
      <c r="Q413" s="111"/>
      <c r="R413" s="111"/>
      <c r="S413" s="1249">
        <v>30</v>
      </c>
      <c r="T413" s="1250">
        <v>10082.5</v>
      </c>
      <c r="U413" s="1250"/>
      <c r="V413" s="1250"/>
      <c r="W413" s="1251">
        <v>30</v>
      </c>
      <c r="X413" s="1250">
        <v>10082.5</v>
      </c>
      <c r="Y413" s="1250"/>
      <c r="Z413" s="1250"/>
      <c r="AA413" s="1250"/>
      <c r="AB413" s="1250"/>
      <c r="AC413" s="1250"/>
      <c r="AD413" s="1250"/>
      <c r="AE413" s="1249">
        <v>15</v>
      </c>
      <c r="AF413" s="1250">
        <v>10082.5</v>
      </c>
      <c r="AG413" s="111"/>
      <c r="AH413" s="111"/>
      <c r="AI413" s="111"/>
      <c r="AJ413" s="111"/>
      <c r="AK413" s="111"/>
      <c r="AL413" s="111"/>
      <c r="AM413" s="111">
        <v>30247.5</v>
      </c>
    </row>
    <row r="414" spans="1:39" ht="15" customHeight="1" x14ac:dyDescent="0.25">
      <c r="A414" s="1409"/>
      <c r="B414" s="1409"/>
      <c r="C414" s="1409"/>
      <c r="D414" s="1409"/>
      <c r="E414" s="1247"/>
      <c r="F414" s="1248" t="s">
        <v>2526</v>
      </c>
      <c r="G414" s="111"/>
      <c r="H414" s="1249">
        <v>25</v>
      </c>
      <c r="I414" s="111" t="s">
        <v>1722</v>
      </c>
      <c r="J414" s="1321" t="s">
        <v>5608</v>
      </c>
      <c r="K414" s="162" t="s">
        <v>5610</v>
      </c>
      <c r="L414" s="162" t="s">
        <v>5609</v>
      </c>
      <c r="M414" s="111">
        <v>362.81</v>
      </c>
      <c r="N414" s="111">
        <v>9070.25</v>
      </c>
      <c r="O414" s="111"/>
      <c r="P414" s="111"/>
      <c r="Q414" s="111"/>
      <c r="R414" s="111"/>
      <c r="S414" s="1249">
        <v>10</v>
      </c>
      <c r="T414" s="1250">
        <v>3023.4166666666665</v>
      </c>
      <c r="U414" s="1250"/>
      <c r="V414" s="1250"/>
      <c r="W414" s="1251">
        <v>10</v>
      </c>
      <c r="X414" s="1250">
        <v>3023.4166666666665</v>
      </c>
      <c r="Y414" s="1250"/>
      <c r="Z414" s="1250"/>
      <c r="AA414" s="1250"/>
      <c r="AB414" s="1250"/>
      <c r="AC414" s="1250"/>
      <c r="AD414" s="1250"/>
      <c r="AE414" s="1249">
        <v>5</v>
      </c>
      <c r="AF414" s="1250">
        <v>3023.4166666666665</v>
      </c>
      <c r="AG414" s="111"/>
      <c r="AH414" s="111"/>
      <c r="AI414" s="111"/>
      <c r="AJ414" s="111"/>
      <c r="AK414" s="111"/>
      <c r="AL414" s="111"/>
      <c r="AM414" s="111">
        <v>9070.25</v>
      </c>
    </row>
    <row r="415" spans="1:39" ht="15" customHeight="1" x14ac:dyDescent="0.25">
      <c r="A415" s="1409"/>
      <c r="B415" s="1409"/>
      <c r="C415" s="1409"/>
      <c r="D415" s="1409"/>
      <c r="E415" s="1247"/>
      <c r="F415" s="1248" t="s">
        <v>2630</v>
      </c>
      <c r="G415" s="111"/>
      <c r="H415" s="1249">
        <v>36</v>
      </c>
      <c r="I415" s="111" t="s">
        <v>1722</v>
      </c>
      <c r="J415" s="1321" t="s">
        <v>5608</v>
      </c>
      <c r="K415" s="162" t="s">
        <v>5610</v>
      </c>
      <c r="L415" s="162" t="s">
        <v>5609</v>
      </c>
      <c r="M415" s="111">
        <v>271.16159999999996</v>
      </c>
      <c r="N415" s="111">
        <v>9761.8175999999985</v>
      </c>
      <c r="O415" s="111"/>
      <c r="P415" s="111"/>
      <c r="Q415" s="111"/>
      <c r="R415" s="111"/>
      <c r="S415" s="1249">
        <v>16</v>
      </c>
      <c r="T415" s="1250">
        <v>3253.9391999999993</v>
      </c>
      <c r="U415" s="1250"/>
      <c r="V415" s="1250"/>
      <c r="W415" s="1251">
        <v>10</v>
      </c>
      <c r="X415" s="1250">
        <v>3253.9391999999993</v>
      </c>
      <c r="Y415" s="1250"/>
      <c r="Z415" s="1250"/>
      <c r="AA415" s="1250"/>
      <c r="AB415" s="1250"/>
      <c r="AC415" s="1250"/>
      <c r="AD415" s="1250"/>
      <c r="AE415" s="1249">
        <v>10</v>
      </c>
      <c r="AF415" s="1250">
        <v>3253.9391999999993</v>
      </c>
      <c r="AG415" s="111"/>
      <c r="AH415" s="111"/>
      <c r="AI415" s="111"/>
      <c r="AJ415" s="111"/>
      <c r="AK415" s="111"/>
      <c r="AL415" s="111"/>
      <c r="AM415" s="111">
        <v>9761.8175999999985</v>
      </c>
    </row>
    <row r="416" spans="1:39" ht="15" customHeight="1" x14ac:dyDescent="0.25">
      <c r="A416" s="1409"/>
      <c r="B416" s="1409"/>
      <c r="C416" s="1409"/>
      <c r="D416" s="1409"/>
      <c r="E416" s="1247"/>
      <c r="F416" s="1248" t="s">
        <v>2631</v>
      </c>
      <c r="G416" s="111"/>
      <c r="H416" s="1249">
        <v>36</v>
      </c>
      <c r="I416" s="111" t="s">
        <v>1748</v>
      </c>
      <c r="J416" s="1321" t="s">
        <v>5608</v>
      </c>
      <c r="K416" s="162" t="s">
        <v>5610</v>
      </c>
      <c r="L416" s="162" t="s">
        <v>5609</v>
      </c>
      <c r="M416" s="111">
        <v>714.56</v>
      </c>
      <c r="N416" s="111">
        <v>25724.159999999996</v>
      </c>
      <c r="O416" s="111"/>
      <c r="P416" s="111"/>
      <c r="Q416" s="111"/>
      <c r="R416" s="111"/>
      <c r="S416" s="1249">
        <v>16</v>
      </c>
      <c r="T416" s="1250">
        <v>8574.7199999999993</v>
      </c>
      <c r="U416" s="1250"/>
      <c r="V416" s="1250"/>
      <c r="W416" s="1251">
        <v>10</v>
      </c>
      <c r="X416" s="1250">
        <v>8574.7199999999993</v>
      </c>
      <c r="Y416" s="1250"/>
      <c r="Z416" s="1250"/>
      <c r="AA416" s="1250"/>
      <c r="AB416" s="1250"/>
      <c r="AC416" s="1250"/>
      <c r="AD416" s="1250"/>
      <c r="AE416" s="1249">
        <v>10</v>
      </c>
      <c r="AF416" s="1250">
        <v>8574.7199999999993</v>
      </c>
      <c r="AG416" s="111"/>
      <c r="AH416" s="111"/>
      <c r="AI416" s="111"/>
      <c r="AJ416" s="111"/>
      <c r="AK416" s="111"/>
      <c r="AL416" s="111"/>
      <c r="AM416" s="111">
        <v>25724.159999999996</v>
      </c>
    </row>
    <row r="417" spans="1:39" ht="15" customHeight="1" x14ac:dyDescent="0.25">
      <c r="A417" s="1409"/>
      <c r="B417" s="1409"/>
      <c r="C417" s="1409"/>
      <c r="D417" s="1409"/>
      <c r="E417" s="1247"/>
      <c r="F417" s="1248" t="s">
        <v>2632</v>
      </c>
      <c r="G417" s="111"/>
      <c r="H417" s="1249">
        <v>42</v>
      </c>
      <c r="I417" s="111" t="s">
        <v>1725</v>
      </c>
      <c r="J417" s="1321" t="s">
        <v>5608</v>
      </c>
      <c r="K417" s="162" t="s">
        <v>5610</v>
      </c>
      <c r="L417" s="162" t="s">
        <v>5609</v>
      </c>
      <c r="M417" s="111">
        <v>123.63279999999999</v>
      </c>
      <c r="N417" s="111">
        <v>5192.5775999999996</v>
      </c>
      <c r="O417" s="111"/>
      <c r="P417" s="111"/>
      <c r="Q417" s="111"/>
      <c r="R417" s="111"/>
      <c r="S417" s="1249">
        <v>20</v>
      </c>
      <c r="T417" s="1250">
        <v>1730.8591999999999</v>
      </c>
      <c r="U417" s="1250"/>
      <c r="V417" s="1250"/>
      <c r="W417" s="1251">
        <v>12</v>
      </c>
      <c r="X417" s="1250">
        <v>1730.8591999999999</v>
      </c>
      <c r="Y417" s="1250"/>
      <c r="Z417" s="1250"/>
      <c r="AA417" s="1250"/>
      <c r="AB417" s="1250"/>
      <c r="AC417" s="1250"/>
      <c r="AD417" s="1250"/>
      <c r="AE417" s="1249">
        <v>10</v>
      </c>
      <c r="AF417" s="1250">
        <v>1730.8591999999999</v>
      </c>
      <c r="AG417" s="111"/>
      <c r="AH417" s="111"/>
      <c r="AI417" s="111"/>
      <c r="AJ417" s="111"/>
      <c r="AK417" s="111"/>
      <c r="AL417" s="111"/>
      <c r="AM417" s="111">
        <v>5192.5775999999996</v>
      </c>
    </row>
    <row r="418" spans="1:39" ht="15" customHeight="1" x14ac:dyDescent="0.25">
      <c r="A418" s="1409"/>
      <c r="B418" s="1409"/>
      <c r="C418" s="1409"/>
      <c r="D418" s="1409"/>
      <c r="E418" s="1247"/>
      <c r="F418" s="1248" t="s">
        <v>2633</v>
      </c>
      <c r="G418" s="111"/>
      <c r="H418" s="1249">
        <v>48</v>
      </c>
      <c r="I418" s="111" t="s">
        <v>1725</v>
      </c>
      <c r="J418" s="1321" t="s">
        <v>5608</v>
      </c>
      <c r="K418" s="162" t="s">
        <v>5610</v>
      </c>
      <c r="L418" s="162" t="s">
        <v>5609</v>
      </c>
      <c r="M418" s="111">
        <v>43.163599999999995</v>
      </c>
      <c r="N418" s="111">
        <v>2071.8527999999997</v>
      </c>
      <c r="O418" s="111"/>
      <c r="P418" s="111"/>
      <c r="Q418" s="111"/>
      <c r="R418" s="111"/>
      <c r="S418" s="1249">
        <v>20</v>
      </c>
      <c r="T418" s="1250">
        <v>690.61759999999992</v>
      </c>
      <c r="U418" s="1250"/>
      <c r="V418" s="1250"/>
      <c r="W418" s="1251">
        <v>18</v>
      </c>
      <c r="X418" s="1250">
        <v>690.61759999999992</v>
      </c>
      <c r="Y418" s="1250"/>
      <c r="Z418" s="1250"/>
      <c r="AA418" s="1250"/>
      <c r="AB418" s="1250"/>
      <c r="AC418" s="1250"/>
      <c r="AD418" s="1250"/>
      <c r="AE418" s="1249">
        <v>10</v>
      </c>
      <c r="AF418" s="1250">
        <v>690.61759999999992</v>
      </c>
      <c r="AG418" s="111"/>
      <c r="AH418" s="111"/>
      <c r="AI418" s="111"/>
      <c r="AJ418" s="111"/>
      <c r="AK418" s="111"/>
      <c r="AL418" s="111"/>
      <c r="AM418" s="111">
        <v>2071.8527999999997</v>
      </c>
    </row>
    <row r="419" spans="1:39" ht="15" customHeight="1" x14ac:dyDescent="0.25">
      <c r="A419" s="1409"/>
      <c r="B419" s="1409"/>
      <c r="C419" s="1409"/>
      <c r="D419" s="1409"/>
      <c r="E419" s="1247"/>
      <c r="F419" s="1248" t="s">
        <v>1424</v>
      </c>
      <c r="G419" s="111"/>
      <c r="H419" s="1249">
        <v>6</v>
      </c>
      <c r="I419" s="111" t="s">
        <v>2599</v>
      </c>
      <c r="J419" s="1321" t="s">
        <v>5608</v>
      </c>
      <c r="K419" s="162" t="s">
        <v>5610</v>
      </c>
      <c r="L419" s="162" t="s">
        <v>5609</v>
      </c>
      <c r="M419" s="111">
        <v>140.60359999999997</v>
      </c>
      <c r="N419" s="111">
        <v>843.62159999999983</v>
      </c>
      <c r="O419" s="111"/>
      <c r="P419" s="111"/>
      <c r="Q419" s="111"/>
      <c r="R419" s="111"/>
      <c r="S419" s="1249">
        <v>2</v>
      </c>
      <c r="T419" s="1250">
        <v>281.20719999999994</v>
      </c>
      <c r="U419" s="1250"/>
      <c r="V419" s="1250"/>
      <c r="W419" s="1251">
        <v>2</v>
      </c>
      <c r="X419" s="1250">
        <v>281.20719999999994</v>
      </c>
      <c r="Y419" s="1250"/>
      <c r="Z419" s="1250"/>
      <c r="AA419" s="1250"/>
      <c r="AB419" s="1250"/>
      <c r="AC419" s="1250"/>
      <c r="AD419" s="1250"/>
      <c r="AE419" s="1249">
        <v>2</v>
      </c>
      <c r="AF419" s="1250">
        <v>281.20719999999994</v>
      </c>
      <c r="AG419" s="111"/>
      <c r="AH419" s="111"/>
      <c r="AI419" s="111"/>
      <c r="AJ419" s="111"/>
      <c r="AK419" s="111"/>
      <c r="AL419" s="111"/>
      <c r="AM419" s="111">
        <v>843.62159999999983</v>
      </c>
    </row>
    <row r="420" spans="1:39" ht="15" customHeight="1" x14ac:dyDescent="0.25">
      <c r="A420" s="1409"/>
      <c r="B420" s="1409"/>
      <c r="C420" s="1409"/>
      <c r="D420" s="1409"/>
      <c r="E420" s="1247"/>
      <c r="F420" s="1248" t="s">
        <v>4462</v>
      </c>
      <c r="G420" s="111"/>
      <c r="H420" s="1249">
        <v>30</v>
      </c>
      <c r="I420" s="111" t="s">
        <v>2599</v>
      </c>
      <c r="J420" s="1321" t="s">
        <v>5608</v>
      </c>
      <c r="K420" s="162" t="s">
        <v>5610</v>
      </c>
      <c r="L420" s="162" t="s">
        <v>5609</v>
      </c>
      <c r="M420" s="111">
        <v>76.559999999999988</v>
      </c>
      <c r="N420" s="111">
        <v>2296.7999999999997</v>
      </c>
      <c r="O420" s="111"/>
      <c r="P420" s="111"/>
      <c r="Q420" s="111"/>
      <c r="R420" s="111"/>
      <c r="S420" s="1249">
        <v>10</v>
      </c>
      <c r="T420" s="1250">
        <v>765.59999999999991</v>
      </c>
      <c r="U420" s="1250"/>
      <c r="V420" s="1250"/>
      <c r="W420" s="1251">
        <v>10</v>
      </c>
      <c r="X420" s="1250">
        <v>765.59999999999991</v>
      </c>
      <c r="Y420" s="1250"/>
      <c r="Z420" s="1250"/>
      <c r="AA420" s="1250"/>
      <c r="AB420" s="1250"/>
      <c r="AC420" s="1250"/>
      <c r="AD420" s="1250"/>
      <c r="AE420" s="1249">
        <v>10</v>
      </c>
      <c r="AF420" s="1250">
        <v>765.59999999999991</v>
      </c>
      <c r="AG420" s="111"/>
      <c r="AH420" s="111"/>
      <c r="AI420" s="111"/>
      <c r="AJ420" s="111"/>
      <c r="AK420" s="111"/>
      <c r="AL420" s="111"/>
      <c r="AM420" s="111">
        <v>2296.7999999999997</v>
      </c>
    </row>
    <row r="421" spans="1:39" ht="15" customHeight="1" x14ac:dyDescent="0.25">
      <c r="A421" s="1409"/>
      <c r="B421" s="1409"/>
      <c r="C421" s="1409"/>
      <c r="D421" s="1409"/>
      <c r="E421" s="1247"/>
      <c r="F421" s="1248" t="s">
        <v>2635</v>
      </c>
      <c r="G421" s="111"/>
      <c r="H421" s="1249">
        <v>15</v>
      </c>
      <c r="I421" s="111" t="s">
        <v>2599</v>
      </c>
      <c r="J421" s="1321" t="s">
        <v>5608</v>
      </c>
      <c r="K421" s="162" t="s">
        <v>5610</v>
      </c>
      <c r="L421" s="162" t="s">
        <v>5609</v>
      </c>
      <c r="M421" s="111">
        <v>102.08</v>
      </c>
      <c r="N421" s="111">
        <v>1531.2</v>
      </c>
      <c r="O421" s="111"/>
      <c r="P421" s="111"/>
      <c r="Q421" s="111"/>
      <c r="R421" s="111"/>
      <c r="S421" s="1249">
        <v>5</v>
      </c>
      <c r="T421" s="1250">
        <v>510.40000000000003</v>
      </c>
      <c r="U421" s="1250"/>
      <c r="V421" s="1250"/>
      <c r="W421" s="1251">
        <v>5</v>
      </c>
      <c r="X421" s="1250">
        <v>510.40000000000003</v>
      </c>
      <c r="Y421" s="1250"/>
      <c r="Z421" s="1250"/>
      <c r="AA421" s="1250"/>
      <c r="AB421" s="1250"/>
      <c r="AC421" s="1250"/>
      <c r="AD421" s="1250"/>
      <c r="AE421" s="1249">
        <v>5</v>
      </c>
      <c r="AF421" s="1250">
        <v>510.40000000000003</v>
      </c>
      <c r="AG421" s="111"/>
      <c r="AH421" s="111"/>
      <c r="AI421" s="111"/>
      <c r="AJ421" s="111"/>
      <c r="AK421" s="111"/>
      <c r="AL421" s="111"/>
      <c r="AM421" s="111">
        <v>1531.2</v>
      </c>
    </row>
    <row r="422" spans="1:39" ht="15" customHeight="1" x14ac:dyDescent="0.25">
      <c r="A422" s="1409"/>
      <c r="B422" s="1409"/>
      <c r="C422" s="1409"/>
      <c r="D422" s="1409"/>
      <c r="E422" s="1247"/>
      <c r="F422" s="1248" t="s">
        <v>4463</v>
      </c>
      <c r="G422" s="111"/>
      <c r="H422" s="1249">
        <v>100</v>
      </c>
      <c r="I422" s="111" t="s">
        <v>1725</v>
      </c>
      <c r="J422" s="1321" t="s">
        <v>5608</v>
      </c>
      <c r="K422" s="162" t="s">
        <v>5610</v>
      </c>
      <c r="L422" s="162" t="s">
        <v>5609</v>
      </c>
      <c r="M422" s="111">
        <v>24.86</v>
      </c>
      <c r="N422" s="111">
        <v>2486</v>
      </c>
      <c r="O422" s="111"/>
      <c r="P422" s="111"/>
      <c r="Q422" s="111"/>
      <c r="R422" s="111"/>
      <c r="S422" s="1249">
        <v>40</v>
      </c>
      <c r="T422" s="1250">
        <v>828.66666666666663</v>
      </c>
      <c r="U422" s="1250"/>
      <c r="V422" s="1250"/>
      <c r="W422" s="1251">
        <v>40</v>
      </c>
      <c r="X422" s="1250">
        <v>828.66666666666663</v>
      </c>
      <c r="Y422" s="1250"/>
      <c r="Z422" s="1250"/>
      <c r="AA422" s="1250"/>
      <c r="AB422" s="1250"/>
      <c r="AC422" s="1250"/>
      <c r="AD422" s="1250"/>
      <c r="AE422" s="1249">
        <v>20</v>
      </c>
      <c r="AF422" s="1250">
        <v>828.66666666666663</v>
      </c>
      <c r="AG422" s="111"/>
      <c r="AH422" s="111"/>
      <c r="AI422" s="111"/>
      <c r="AJ422" s="111"/>
      <c r="AK422" s="111"/>
      <c r="AL422" s="111"/>
      <c r="AM422" s="111">
        <v>2486</v>
      </c>
    </row>
    <row r="423" spans="1:39" ht="15" customHeight="1" x14ac:dyDescent="0.25">
      <c r="A423" s="1409"/>
      <c r="B423" s="1409"/>
      <c r="C423" s="1409"/>
      <c r="D423" s="1409"/>
      <c r="E423" s="1247"/>
      <c r="F423" s="1248" t="s">
        <v>197</v>
      </c>
      <c r="G423" s="111"/>
      <c r="H423" s="1249">
        <v>150</v>
      </c>
      <c r="I423" s="111" t="s">
        <v>1725</v>
      </c>
      <c r="J423" s="1321" t="s">
        <v>5608</v>
      </c>
      <c r="K423" s="162" t="s">
        <v>5610</v>
      </c>
      <c r="L423" s="162" t="s">
        <v>5609</v>
      </c>
      <c r="M423" s="111">
        <v>62.87</v>
      </c>
      <c r="N423" s="111">
        <v>9430.5</v>
      </c>
      <c r="O423" s="111"/>
      <c r="P423" s="111"/>
      <c r="Q423" s="111"/>
      <c r="R423" s="111"/>
      <c r="S423" s="1249">
        <v>50</v>
      </c>
      <c r="T423" s="1250">
        <v>3143.5</v>
      </c>
      <c r="U423" s="1250"/>
      <c r="V423" s="1250"/>
      <c r="W423" s="1251">
        <v>50</v>
      </c>
      <c r="X423" s="1250">
        <v>3143.5</v>
      </c>
      <c r="Y423" s="1250"/>
      <c r="Z423" s="1250"/>
      <c r="AA423" s="1250"/>
      <c r="AB423" s="1250"/>
      <c r="AC423" s="1250"/>
      <c r="AD423" s="1250"/>
      <c r="AE423" s="1249">
        <v>50</v>
      </c>
      <c r="AF423" s="1250">
        <v>3143.5</v>
      </c>
      <c r="AG423" s="111"/>
      <c r="AH423" s="111"/>
      <c r="AI423" s="111"/>
      <c r="AJ423" s="111"/>
      <c r="AK423" s="111"/>
      <c r="AL423" s="111"/>
      <c r="AM423" s="111">
        <v>9430.5</v>
      </c>
    </row>
    <row r="424" spans="1:39" ht="15" customHeight="1" x14ac:dyDescent="0.25">
      <c r="A424" s="1409"/>
      <c r="B424" s="1409"/>
      <c r="C424" s="1409"/>
      <c r="D424" s="1409"/>
      <c r="E424" s="1247"/>
      <c r="F424" s="1248" t="s">
        <v>196</v>
      </c>
      <c r="G424" s="111"/>
      <c r="H424" s="1249">
        <v>44</v>
      </c>
      <c r="I424" s="111" t="s">
        <v>1722</v>
      </c>
      <c r="J424" s="1321" t="s">
        <v>5608</v>
      </c>
      <c r="K424" s="162" t="s">
        <v>5610</v>
      </c>
      <c r="L424" s="162" t="s">
        <v>5609</v>
      </c>
      <c r="M424" s="111">
        <v>271.16000000000003</v>
      </c>
      <c r="N424" s="111">
        <v>11931.04</v>
      </c>
      <c r="O424" s="111"/>
      <c r="P424" s="111"/>
      <c r="Q424" s="111"/>
      <c r="R424" s="111"/>
      <c r="S424" s="1249">
        <v>24</v>
      </c>
      <c r="T424" s="1250">
        <v>3977.0133333333338</v>
      </c>
      <c r="U424" s="1250"/>
      <c r="V424" s="1250"/>
      <c r="W424" s="1251">
        <v>10</v>
      </c>
      <c r="X424" s="1250">
        <v>3977.0133333333338</v>
      </c>
      <c r="Y424" s="1250"/>
      <c r="Z424" s="1250"/>
      <c r="AA424" s="1250"/>
      <c r="AB424" s="1250"/>
      <c r="AC424" s="1250"/>
      <c r="AD424" s="1250"/>
      <c r="AE424" s="1249">
        <v>10</v>
      </c>
      <c r="AF424" s="1250">
        <v>3977.0133333333338</v>
      </c>
      <c r="AG424" s="111"/>
      <c r="AH424" s="111"/>
      <c r="AI424" s="111"/>
      <c r="AJ424" s="111"/>
      <c r="AK424" s="111"/>
      <c r="AL424" s="111"/>
      <c r="AM424" s="111">
        <v>11931.04</v>
      </c>
    </row>
    <row r="425" spans="1:39" ht="15" customHeight="1" x14ac:dyDescent="0.25">
      <c r="A425" s="1409"/>
      <c r="B425" s="1409"/>
      <c r="C425" s="1409"/>
      <c r="D425" s="1409"/>
      <c r="E425" s="1247"/>
      <c r="F425" s="1248" t="s">
        <v>2944</v>
      </c>
      <c r="G425" s="111"/>
      <c r="H425" s="1249">
        <v>25</v>
      </c>
      <c r="I425" s="111" t="s">
        <v>1722</v>
      </c>
      <c r="J425" s="1321" t="s">
        <v>5608</v>
      </c>
      <c r="K425" s="162" t="s">
        <v>5610</v>
      </c>
      <c r="L425" s="162" t="s">
        <v>5609</v>
      </c>
      <c r="M425" s="111">
        <v>233.76</v>
      </c>
      <c r="N425" s="111">
        <v>5844</v>
      </c>
      <c r="O425" s="111"/>
      <c r="P425" s="111"/>
      <c r="Q425" s="111"/>
      <c r="R425" s="111"/>
      <c r="S425" s="1249">
        <v>10</v>
      </c>
      <c r="T425" s="1250">
        <v>1948</v>
      </c>
      <c r="U425" s="1250"/>
      <c r="V425" s="1250"/>
      <c r="W425" s="1251">
        <v>10</v>
      </c>
      <c r="X425" s="1250">
        <v>1948</v>
      </c>
      <c r="Y425" s="1250"/>
      <c r="Z425" s="1250"/>
      <c r="AA425" s="1250"/>
      <c r="AB425" s="1250"/>
      <c r="AC425" s="1250"/>
      <c r="AD425" s="1250"/>
      <c r="AE425" s="1249">
        <v>5</v>
      </c>
      <c r="AF425" s="1250">
        <v>1948</v>
      </c>
      <c r="AG425" s="111"/>
      <c r="AH425" s="111"/>
      <c r="AI425" s="111"/>
      <c r="AJ425" s="111"/>
      <c r="AK425" s="111"/>
      <c r="AL425" s="111"/>
      <c r="AM425" s="111">
        <v>5844</v>
      </c>
    </row>
    <row r="426" spans="1:39" ht="15" customHeight="1" x14ac:dyDescent="0.25">
      <c r="A426" s="1409"/>
      <c r="B426" s="1409"/>
      <c r="C426" s="1409"/>
      <c r="D426" s="1409"/>
      <c r="E426" s="1247"/>
      <c r="F426" s="1248"/>
      <c r="G426" s="111"/>
      <c r="H426" s="1249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249"/>
      <c r="T426" s="1250"/>
      <c r="U426" s="1250"/>
      <c r="V426" s="1250"/>
      <c r="W426" s="1251"/>
      <c r="X426" s="1250"/>
      <c r="Y426" s="1250"/>
      <c r="Z426" s="1250"/>
      <c r="AA426" s="1250"/>
      <c r="AB426" s="1250"/>
      <c r="AC426" s="1250"/>
      <c r="AD426" s="1250"/>
      <c r="AE426" s="1249"/>
      <c r="AF426" s="1250"/>
      <c r="AG426" s="111"/>
      <c r="AH426" s="111"/>
      <c r="AI426" s="111"/>
      <c r="AJ426" s="111"/>
      <c r="AK426" s="111"/>
      <c r="AL426" s="111"/>
      <c r="AM426" s="111"/>
    </row>
    <row r="427" spans="1:39" ht="15" customHeight="1" x14ac:dyDescent="0.25">
      <c r="A427" s="1409"/>
      <c r="B427" s="1409"/>
      <c r="C427" s="1409"/>
      <c r="D427" s="1409"/>
      <c r="E427" s="1233">
        <v>21603</v>
      </c>
      <c r="F427" s="1269" t="s">
        <v>4464</v>
      </c>
      <c r="G427" s="1233"/>
      <c r="H427" s="1233"/>
      <c r="I427" s="1233"/>
      <c r="J427" s="1233"/>
      <c r="K427" s="1233"/>
      <c r="L427" s="1233"/>
      <c r="M427" s="1233"/>
      <c r="N427" s="1233"/>
      <c r="O427" s="1233"/>
      <c r="P427" s="1233"/>
      <c r="Q427" s="1233"/>
      <c r="R427" s="1233"/>
      <c r="S427" s="1233"/>
      <c r="T427" s="1233"/>
      <c r="U427" s="1233"/>
      <c r="V427" s="1233"/>
      <c r="W427" s="1233"/>
      <c r="X427" s="1233"/>
      <c r="Y427" s="1233"/>
      <c r="Z427" s="1233"/>
      <c r="AA427" s="1233"/>
      <c r="AB427" s="1233"/>
      <c r="AC427" s="1233"/>
      <c r="AD427" s="1233"/>
      <c r="AE427" s="1233"/>
      <c r="AF427" s="1233"/>
      <c r="AG427" s="1233"/>
      <c r="AH427" s="1233"/>
      <c r="AI427" s="1233"/>
      <c r="AJ427" s="1233"/>
      <c r="AK427" s="1233"/>
      <c r="AL427" s="1233"/>
      <c r="AM427" s="1233"/>
    </row>
    <row r="428" spans="1:39" ht="15" customHeight="1" x14ac:dyDescent="0.25">
      <c r="A428" s="1409"/>
      <c r="B428" s="1409"/>
      <c r="C428" s="1409"/>
      <c r="D428" s="1409"/>
      <c r="E428" s="1247"/>
      <c r="F428" s="1248" t="s">
        <v>4465</v>
      </c>
      <c r="G428" s="111"/>
      <c r="H428" s="1249">
        <v>15</v>
      </c>
      <c r="I428" s="111" t="s">
        <v>1827</v>
      </c>
      <c r="J428" s="1321" t="s">
        <v>5608</v>
      </c>
      <c r="K428" s="162" t="s">
        <v>5610</v>
      </c>
      <c r="L428" s="162" t="s">
        <v>5609</v>
      </c>
      <c r="M428" s="111">
        <v>80.606666666666655</v>
      </c>
      <c r="N428" s="111">
        <v>1209.0999999999999</v>
      </c>
      <c r="O428" s="111"/>
      <c r="P428" s="111"/>
      <c r="Q428" s="111"/>
      <c r="R428" s="111"/>
      <c r="S428" s="1249">
        <v>5</v>
      </c>
      <c r="T428" s="1250">
        <v>403.0333333333333</v>
      </c>
      <c r="U428" s="1250"/>
      <c r="V428" s="1250"/>
      <c r="W428" s="1251">
        <v>5</v>
      </c>
      <c r="X428" s="1250">
        <v>403.0333333333333</v>
      </c>
      <c r="Y428" s="1250"/>
      <c r="Z428" s="1250"/>
      <c r="AA428" s="1250"/>
      <c r="AB428" s="1250"/>
      <c r="AC428" s="1250"/>
      <c r="AD428" s="1250"/>
      <c r="AE428" s="1249">
        <v>5</v>
      </c>
      <c r="AF428" s="1250">
        <v>403.0333333333333</v>
      </c>
      <c r="AG428" s="111"/>
      <c r="AH428" s="111"/>
      <c r="AI428" s="111"/>
      <c r="AJ428" s="111"/>
      <c r="AK428" s="111"/>
      <c r="AL428" s="111"/>
      <c r="AM428" s="111">
        <v>1209.0999999999999</v>
      </c>
    </row>
    <row r="429" spans="1:39" ht="15" customHeight="1" x14ac:dyDescent="0.25">
      <c r="A429" s="1409"/>
      <c r="B429" s="1409"/>
      <c r="C429" s="1409"/>
      <c r="D429" s="1409"/>
      <c r="E429" s="1247"/>
      <c r="F429" s="1248" t="s">
        <v>4466</v>
      </c>
      <c r="G429" s="111"/>
      <c r="H429" s="1249">
        <v>21</v>
      </c>
      <c r="I429" s="111" t="s">
        <v>1827</v>
      </c>
      <c r="J429" s="1321" t="s">
        <v>5608</v>
      </c>
      <c r="K429" s="162" t="s">
        <v>5610</v>
      </c>
      <c r="L429" s="162" t="s">
        <v>5609</v>
      </c>
      <c r="M429" s="111">
        <v>103.35619047619048</v>
      </c>
      <c r="N429" s="111">
        <v>2170.48</v>
      </c>
      <c r="O429" s="111"/>
      <c r="P429" s="111"/>
      <c r="Q429" s="111"/>
      <c r="R429" s="111"/>
      <c r="S429" s="1249">
        <v>11</v>
      </c>
      <c r="T429" s="1250">
        <v>723.49333333333334</v>
      </c>
      <c r="U429" s="1250"/>
      <c r="V429" s="1250"/>
      <c r="W429" s="1251">
        <v>5</v>
      </c>
      <c r="X429" s="1250">
        <v>723.49333333333334</v>
      </c>
      <c r="Y429" s="1250"/>
      <c r="Z429" s="1250"/>
      <c r="AA429" s="1250"/>
      <c r="AB429" s="1250"/>
      <c r="AC429" s="1250"/>
      <c r="AD429" s="1250"/>
      <c r="AE429" s="1249">
        <v>5</v>
      </c>
      <c r="AF429" s="1250">
        <v>723.49333333333334</v>
      </c>
      <c r="AG429" s="111"/>
      <c r="AH429" s="111"/>
      <c r="AI429" s="111"/>
      <c r="AJ429" s="111"/>
      <c r="AK429" s="111"/>
      <c r="AL429" s="111"/>
      <c r="AM429" s="111">
        <v>2170.48</v>
      </c>
    </row>
    <row r="430" spans="1:39" ht="15" customHeight="1" x14ac:dyDescent="0.25">
      <c r="A430" s="1409"/>
      <c r="B430" s="1409"/>
      <c r="C430" s="1409"/>
      <c r="D430" s="1409"/>
      <c r="E430" s="1247"/>
      <c r="F430" s="1248" t="s">
        <v>4467</v>
      </c>
      <c r="G430" s="111"/>
      <c r="H430" s="1249">
        <v>20</v>
      </c>
      <c r="I430" s="111" t="s">
        <v>1749</v>
      </c>
      <c r="J430" s="1321" t="s">
        <v>5608</v>
      </c>
      <c r="K430" s="162" t="s">
        <v>5610</v>
      </c>
      <c r="L430" s="162" t="s">
        <v>5609</v>
      </c>
      <c r="M430" s="111">
        <v>24.45</v>
      </c>
      <c r="N430" s="111">
        <v>489</v>
      </c>
      <c r="O430" s="111"/>
      <c r="P430" s="111"/>
      <c r="Q430" s="111"/>
      <c r="R430" s="111"/>
      <c r="S430" s="1249">
        <v>10</v>
      </c>
      <c r="T430" s="1250">
        <v>163</v>
      </c>
      <c r="U430" s="1250"/>
      <c r="V430" s="1250"/>
      <c r="W430" s="1251">
        <v>5</v>
      </c>
      <c r="X430" s="1250">
        <v>163</v>
      </c>
      <c r="Y430" s="1250"/>
      <c r="Z430" s="1250"/>
      <c r="AA430" s="1250"/>
      <c r="AB430" s="1250"/>
      <c r="AC430" s="1250"/>
      <c r="AD430" s="1250"/>
      <c r="AE430" s="1249">
        <v>5</v>
      </c>
      <c r="AF430" s="1250">
        <v>163</v>
      </c>
      <c r="AG430" s="111"/>
      <c r="AH430" s="111"/>
      <c r="AI430" s="111"/>
      <c r="AJ430" s="111"/>
      <c r="AK430" s="111"/>
      <c r="AL430" s="111"/>
      <c r="AM430" s="111">
        <v>489</v>
      </c>
    </row>
    <row r="431" spans="1:39" ht="15" customHeight="1" x14ac:dyDescent="0.25">
      <c r="A431" s="1409"/>
      <c r="B431" s="1409"/>
      <c r="C431" s="1409"/>
      <c r="D431" s="1409"/>
      <c r="E431" s="1247"/>
      <c r="F431" s="1248" t="s">
        <v>3591</v>
      </c>
      <c r="G431" s="111"/>
      <c r="H431" s="1249">
        <v>162</v>
      </c>
      <c r="I431" s="111" t="s">
        <v>2830</v>
      </c>
      <c r="J431" s="1321" t="s">
        <v>5608</v>
      </c>
      <c r="K431" s="162" t="s">
        <v>5610</v>
      </c>
      <c r="L431" s="162" t="s">
        <v>5609</v>
      </c>
      <c r="M431" s="111">
        <v>18.362345679012346</v>
      </c>
      <c r="N431" s="111">
        <v>2974.7000000000003</v>
      </c>
      <c r="O431" s="111"/>
      <c r="P431" s="111"/>
      <c r="Q431" s="111"/>
      <c r="R431" s="111"/>
      <c r="S431" s="1249">
        <v>62</v>
      </c>
      <c r="T431" s="1250">
        <v>991.56666666666661</v>
      </c>
      <c r="U431" s="1250"/>
      <c r="V431" s="1250"/>
      <c r="W431" s="1251">
        <v>50</v>
      </c>
      <c r="X431" s="1250">
        <v>991.56666666666661</v>
      </c>
      <c r="Y431" s="1250"/>
      <c r="Z431" s="1250"/>
      <c r="AA431" s="1250"/>
      <c r="AB431" s="1250"/>
      <c r="AC431" s="1250"/>
      <c r="AD431" s="1250"/>
      <c r="AE431" s="1249">
        <v>50</v>
      </c>
      <c r="AF431" s="1250">
        <v>991.56666666666661</v>
      </c>
      <c r="AG431" s="111"/>
      <c r="AH431" s="111"/>
      <c r="AI431" s="111"/>
      <c r="AJ431" s="111"/>
      <c r="AK431" s="111"/>
      <c r="AL431" s="111"/>
      <c r="AM431" s="111">
        <v>2974.7</v>
      </c>
    </row>
    <row r="432" spans="1:39" ht="15" customHeight="1" x14ac:dyDescent="0.25">
      <c r="A432" s="1409"/>
      <c r="B432" s="1409"/>
      <c r="C432" s="1409"/>
      <c r="D432" s="1409"/>
      <c r="E432" s="1247"/>
      <c r="F432" s="1248" t="s">
        <v>1529</v>
      </c>
      <c r="G432" s="111"/>
      <c r="H432" s="1249">
        <v>55</v>
      </c>
      <c r="I432" s="111" t="s">
        <v>2830</v>
      </c>
      <c r="J432" s="1321" t="s">
        <v>5608</v>
      </c>
      <c r="K432" s="162" t="s">
        <v>5610</v>
      </c>
      <c r="L432" s="162" t="s">
        <v>5609</v>
      </c>
      <c r="M432" s="111">
        <v>19.132727272727273</v>
      </c>
      <c r="N432" s="111">
        <v>1052.3</v>
      </c>
      <c r="O432" s="111"/>
      <c r="P432" s="111"/>
      <c r="Q432" s="111"/>
      <c r="R432" s="111"/>
      <c r="S432" s="1249">
        <v>25</v>
      </c>
      <c r="T432" s="1250">
        <v>350.76666666666665</v>
      </c>
      <c r="U432" s="1250"/>
      <c r="V432" s="1250"/>
      <c r="W432" s="1251">
        <v>20</v>
      </c>
      <c r="X432" s="1250">
        <v>350.76666666666665</v>
      </c>
      <c r="Y432" s="1250"/>
      <c r="Z432" s="1250"/>
      <c r="AA432" s="1250"/>
      <c r="AB432" s="1250"/>
      <c r="AC432" s="1250"/>
      <c r="AD432" s="1250"/>
      <c r="AE432" s="1249">
        <v>10</v>
      </c>
      <c r="AF432" s="1250">
        <v>350.76666666666665</v>
      </c>
      <c r="AG432" s="111"/>
      <c r="AH432" s="111"/>
      <c r="AI432" s="111"/>
      <c r="AJ432" s="111"/>
      <c r="AK432" s="111"/>
      <c r="AL432" s="111"/>
      <c r="AM432" s="111">
        <v>1052.3</v>
      </c>
    </row>
    <row r="433" spans="1:39" ht="15" customHeight="1" x14ac:dyDescent="0.25">
      <c r="A433" s="1409"/>
      <c r="B433" s="1409"/>
      <c r="C433" s="1409"/>
      <c r="D433" s="1409"/>
      <c r="E433" s="1247"/>
      <c r="F433" s="1248"/>
      <c r="G433" s="111"/>
      <c r="H433" s="1249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249"/>
      <c r="T433" s="1250"/>
      <c r="U433" s="1250"/>
      <c r="V433" s="1250"/>
      <c r="W433" s="1251"/>
      <c r="X433" s="1250"/>
      <c r="Y433" s="1250"/>
      <c r="Z433" s="1250"/>
      <c r="AA433" s="1250"/>
      <c r="AB433" s="1250"/>
      <c r="AC433" s="1250"/>
      <c r="AD433" s="1250"/>
      <c r="AE433" s="1249"/>
      <c r="AF433" s="1250"/>
      <c r="AG433" s="111"/>
      <c r="AH433" s="111"/>
      <c r="AI433" s="111"/>
      <c r="AJ433" s="111"/>
      <c r="AK433" s="111"/>
      <c r="AL433" s="111"/>
      <c r="AM433" s="111"/>
    </row>
    <row r="434" spans="1:39" ht="15" customHeight="1" x14ac:dyDescent="0.25">
      <c r="A434" s="1409"/>
      <c r="B434" s="1409"/>
      <c r="C434" s="1409"/>
      <c r="D434" s="1409"/>
      <c r="E434" s="1218">
        <v>217</v>
      </c>
      <c r="F434" s="1268" t="s">
        <v>200</v>
      </c>
      <c r="G434" s="1218"/>
      <c r="H434" s="1218"/>
      <c r="I434" s="1218"/>
      <c r="J434" s="1218"/>
      <c r="K434" s="1218"/>
      <c r="L434" s="1218"/>
      <c r="M434" s="1218"/>
      <c r="N434" s="1218"/>
      <c r="O434" s="1218"/>
      <c r="P434" s="1218"/>
      <c r="Q434" s="1218"/>
      <c r="R434" s="1218"/>
      <c r="S434" s="1218"/>
      <c r="T434" s="1218"/>
      <c r="U434" s="1218"/>
      <c r="V434" s="1218"/>
      <c r="W434" s="1218"/>
      <c r="X434" s="1218"/>
      <c r="Y434" s="1218"/>
      <c r="Z434" s="1218"/>
      <c r="AA434" s="1218"/>
      <c r="AB434" s="1218"/>
      <c r="AC434" s="1218"/>
      <c r="AD434" s="1218"/>
      <c r="AE434" s="1218"/>
      <c r="AF434" s="1218"/>
      <c r="AG434" s="1218"/>
      <c r="AH434" s="1218"/>
      <c r="AI434" s="1218"/>
      <c r="AJ434" s="1218"/>
      <c r="AK434" s="1218"/>
      <c r="AL434" s="1218"/>
      <c r="AM434" s="1218"/>
    </row>
    <row r="435" spans="1:39" ht="15" customHeight="1" x14ac:dyDescent="0.25">
      <c r="A435" s="1409"/>
      <c r="B435" s="1409"/>
      <c r="C435" s="1409"/>
      <c r="D435" s="1409"/>
      <c r="E435" s="1271">
        <v>21701</v>
      </c>
      <c r="F435" s="1272" t="s">
        <v>201</v>
      </c>
      <c r="G435" s="1273"/>
      <c r="H435" s="1273"/>
      <c r="I435" s="1273"/>
      <c r="J435" s="1273"/>
      <c r="K435" s="1273"/>
      <c r="L435" s="1273"/>
      <c r="M435" s="1273"/>
      <c r="N435" s="1273"/>
      <c r="O435" s="1273"/>
      <c r="P435" s="1273"/>
      <c r="Q435" s="1273"/>
      <c r="R435" s="1273"/>
      <c r="S435" s="1273"/>
      <c r="T435" s="1273"/>
      <c r="U435" s="1273"/>
      <c r="V435" s="1273"/>
      <c r="W435" s="1273"/>
      <c r="X435" s="1273"/>
      <c r="Y435" s="1273"/>
      <c r="Z435" s="1273"/>
      <c r="AA435" s="1273"/>
      <c r="AB435" s="1273"/>
      <c r="AC435" s="1273"/>
      <c r="AD435" s="1273"/>
      <c r="AE435" s="1273"/>
      <c r="AF435" s="1273"/>
      <c r="AG435" s="1273"/>
      <c r="AH435" s="1273"/>
      <c r="AI435" s="1273"/>
      <c r="AJ435" s="1273"/>
      <c r="AK435" s="1273"/>
      <c r="AL435" s="1273"/>
      <c r="AM435" s="1273"/>
    </row>
    <row r="436" spans="1:39" ht="15" customHeight="1" x14ac:dyDescent="0.25">
      <c r="A436" s="1409"/>
      <c r="B436" s="1409"/>
      <c r="C436" s="1409"/>
      <c r="D436" s="1409"/>
      <c r="E436" s="1247"/>
      <c r="F436" s="1248" t="s">
        <v>2639</v>
      </c>
      <c r="G436" s="111"/>
      <c r="H436" s="1249">
        <v>3500</v>
      </c>
      <c r="I436" s="111" t="s">
        <v>1721</v>
      </c>
      <c r="J436" s="1321" t="s">
        <v>5608</v>
      </c>
      <c r="K436" s="162" t="s">
        <v>5610</v>
      </c>
      <c r="L436" s="162" t="s">
        <v>5609</v>
      </c>
      <c r="M436" s="111">
        <v>1.6007999999999998</v>
      </c>
      <c r="N436" s="111">
        <v>5602.7999999999993</v>
      </c>
      <c r="O436" s="111"/>
      <c r="P436" s="111"/>
      <c r="Q436" s="111"/>
      <c r="R436" s="111"/>
      <c r="S436" s="1249">
        <v>1500</v>
      </c>
      <c r="T436" s="1250">
        <v>1867.5999999999997</v>
      </c>
      <c r="U436" s="1250"/>
      <c r="V436" s="1250"/>
      <c r="W436" s="1251">
        <v>1000</v>
      </c>
      <c r="X436" s="1250">
        <v>1867.5999999999997</v>
      </c>
      <c r="Y436" s="1250"/>
      <c r="Z436" s="1250"/>
      <c r="AA436" s="1250"/>
      <c r="AB436" s="1250"/>
      <c r="AC436" s="1250"/>
      <c r="AD436" s="1250"/>
      <c r="AE436" s="1249">
        <v>1000</v>
      </c>
      <c r="AF436" s="1250">
        <v>1867.5999999999997</v>
      </c>
      <c r="AG436" s="111"/>
      <c r="AH436" s="111"/>
      <c r="AI436" s="111"/>
      <c r="AJ436" s="111"/>
      <c r="AK436" s="111"/>
      <c r="AL436" s="111"/>
      <c r="AM436" s="111">
        <v>5602.7999999999993</v>
      </c>
    </row>
    <row r="437" spans="1:39" ht="15" customHeight="1" x14ac:dyDescent="0.25">
      <c r="A437" s="1409"/>
      <c r="B437" s="1409"/>
      <c r="C437" s="1409"/>
      <c r="D437" s="1409"/>
      <c r="E437" s="1247"/>
      <c r="F437" s="1248" t="s">
        <v>4468</v>
      </c>
      <c r="G437" s="111"/>
      <c r="H437" s="1249">
        <v>100</v>
      </c>
      <c r="I437" s="111" t="s">
        <v>1721</v>
      </c>
      <c r="J437" s="1321" t="s">
        <v>5608</v>
      </c>
      <c r="K437" s="162" t="s">
        <v>5610</v>
      </c>
      <c r="L437" s="162" t="s">
        <v>5609</v>
      </c>
      <c r="M437" s="111">
        <v>3.1435999999999997</v>
      </c>
      <c r="N437" s="111">
        <v>314.35999999999996</v>
      </c>
      <c r="O437" s="111"/>
      <c r="P437" s="111"/>
      <c r="Q437" s="111"/>
      <c r="R437" s="111"/>
      <c r="S437" s="1249">
        <v>40</v>
      </c>
      <c r="T437" s="1250">
        <v>104.78666666666665</v>
      </c>
      <c r="U437" s="1250"/>
      <c r="V437" s="1250"/>
      <c r="W437" s="1251">
        <v>40</v>
      </c>
      <c r="X437" s="1250">
        <v>104.78666666666665</v>
      </c>
      <c r="Y437" s="1250"/>
      <c r="Z437" s="1250"/>
      <c r="AA437" s="1250"/>
      <c r="AB437" s="1250"/>
      <c r="AC437" s="1250"/>
      <c r="AD437" s="1250"/>
      <c r="AE437" s="1249">
        <v>20</v>
      </c>
      <c r="AF437" s="1250">
        <v>104.78666666666665</v>
      </c>
      <c r="AG437" s="111"/>
      <c r="AH437" s="111"/>
      <c r="AI437" s="111"/>
      <c r="AJ437" s="111"/>
      <c r="AK437" s="111"/>
      <c r="AL437" s="111"/>
      <c r="AM437" s="111">
        <v>314.35999999999996</v>
      </c>
    </row>
    <row r="438" spans="1:39" ht="15" customHeight="1" x14ac:dyDescent="0.25">
      <c r="A438" s="1409"/>
      <c r="B438" s="1409"/>
      <c r="C438" s="1409"/>
      <c r="D438" s="1409"/>
      <c r="E438" s="1247"/>
      <c r="F438" s="1248" t="s">
        <v>4469</v>
      </c>
      <c r="G438" s="111"/>
      <c r="H438" s="1249">
        <v>200</v>
      </c>
      <c r="I438" s="111" t="s">
        <v>1721</v>
      </c>
      <c r="J438" s="1321" t="s">
        <v>5608</v>
      </c>
      <c r="K438" s="162" t="s">
        <v>5610</v>
      </c>
      <c r="L438" s="162" t="s">
        <v>5609</v>
      </c>
      <c r="M438" s="111">
        <v>6.4379999999999997</v>
      </c>
      <c r="N438" s="111">
        <v>1287.5999999999999</v>
      </c>
      <c r="O438" s="111"/>
      <c r="P438" s="111"/>
      <c r="Q438" s="111"/>
      <c r="R438" s="111"/>
      <c r="S438" s="1249">
        <v>100</v>
      </c>
      <c r="T438" s="1250">
        <v>429.2</v>
      </c>
      <c r="U438" s="1250"/>
      <c r="V438" s="1250"/>
      <c r="W438" s="1251">
        <v>50</v>
      </c>
      <c r="X438" s="1250">
        <v>429.2</v>
      </c>
      <c r="Y438" s="1250"/>
      <c r="Z438" s="1250"/>
      <c r="AA438" s="1250"/>
      <c r="AB438" s="1250"/>
      <c r="AC438" s="1250"/>
      <c r="AD438" s="1250"/>
      <c r="AE438" s="1249">
        <v>50</v>
      </c>
      <c r="AF438" s="1250">
        <v>429.2</v>
      </c>
      <c r="AG438" s="111"/>
      <c r="AH438" s="111"/>
      <c r="AI438" s="111"/>
      <c r="AJ438" s="111"/>
      <c r="AK438" s="111"/>
      <c r="AL438" s="111"/>
      <c r="AM438" s="111">
        <v>1287.5999999999999</v>
      </c>
    </row>
    <row r="439" spans="1:39" ht="15" customHeight="1" x14ac:dyDescent="0.25">
      <c r="A439" s="1409"/>
      <c r="B439" s="1409"/>
      <c r="C439" s="1409"/>
      <c r="D439" s="1409"/>
      <c r="E439" s="1247"/>
      <c r="F439" s="1248" t="s">
        <v>2636</v>
      </c>
      <c r="G439" s="111"/>
      <c r="H439" s="1249">
        <v>150</v>
      </c>
      <c r="I439" s="111" t="s">
        <v>1721</v>
      </c>
      <c r="J439" s="1321" t="s">
        <v>5608</v>
      </c>
      <c r="K439" s="162" t="s">
        <v>5610</v>
      </c>
      <c r="L439" s="162" t="s">
        <v>5609</v>
      </c>
      <c r="M439" s="111">
        <v>3.8511999999999995</v>
      </c>
      <c r="N439" s="111">
        <v>577.67999999999995</v>
      </c>
      <c r="O439" s="111"/>
      <c r="P439" s="111"/>
      <c r="Q439" s="111"/>
      <c r="R439" s="111"/>
      <c r="S439" s="1249">
        <v>50</v>
      </c>
      <c r="T439" s="1250">
        <v>192.55999999999997</v>
      </c>
      <c r="U439" s="1250"/>
      <c r="V439" s="1250"/>
      <c r="W439" s="1251">
        <v>50</v>
      </c>
      <c r="X439" s="1250">
        <v>192.55999999999997</v>
      </c>
      <c r="Y439" s="1250"/>
      <c r="Z439" s="1250"/>
      <c r="AA439" s="1250"/>
      <c r="AB439" s="1250"/>
      <c r="AC439" s="1250"/>
      <c r="AD439" s="1250"/>
      <c r="AE439" s="1249">
        <v>50</v>
      </c>
      <c r="AF439" s="1250">
        <v>192.55999999999997</v>
      </c>
      <c r="AG439" s="111"/>
      <c r="AH439" s="111"/>
      <c r="AI439" s="111"/>
      <c r="AJ439" s="111"/>
      <c r="AK439" s="111"/>
      <c r="AL439" s="111"/>
      <c r="AM439" s="111">
        <v>577.67999999999995</v>
      </c>
    </row>
    <row r="440" spans="1:39" ht="15" customHeight="1" x14ac:dyDescent="0.25">
      <c r="A440" s="1409"/>
      <c r="B440" s="1409"/>
      <c r="C440" s="1409"/>
      <c r="D440" s="1409"/>
      <c r="E440" s="1247"/>
      <c r="F440" s="1248" t="s">
        <v>269</v>
      </c>
      <c r="G440" s="111"/>
      <c r="H440" s="1249">
        <v>60</v>
      </c>
      <c r="I440" s="111" t="s">
        <v>1721</v>
      </c>
      <c r="J440" s="1321" t="s">
        <v>5608</v>
      </c>
      <c r="K440" s="162" t="s">
        <v>5610</v>
      </c>
      <c r="L440" s="162" t="s">
        <v>5609</v>
      </c>
      <c r="M440" s="111">
        <v>20.740799999999997</v>
      </c>
      <c r="N440" s="111">
        <v>1244.4479999999999</v>
      </c>
      <c r="O440" s="111"/>
      <c r="P440" s="111"/>
      <c r="Q440" s="111"/>
      <c r="R440" s="111"/>
      <c r="S440" s="1249">
        <v>30</v>
      </c>
      <c r="T440" s="1250">
        <v>414.81599999999997</v>
      </c>
      <c r="U440" s="1250"/>
      <c r="V440" s="1250"/>
      <c r="W440" s="1251">
        <v>20</v>
      </c>
      <c r="X440" s="1250">
        <v>414.81599999999997</v>
      </c>
      <c r="Y440" s="1250"/>
      <c r="Z440" s="1250"/>
      <c r="AA440" s="1250"/>
      <c r="AB440" s="1250"/>
      <c r="AC440" s="1250"/>
      <c r="AD440" s="1250"/>
      <c r="AE440" s="1249">
        <v>10</v>
      </c>
      <c r="AF440" s="1250">
        <v>414.81599999999997</v>
      </c>
      <c r="AG440" s="111"/>
      <c r="AH440" s="111"/>
      <c r="AI440" s="111"/>
      <c r="AJ440" s="111"/>
      <c r="AK440" s="111"/>
      <c r="AL440" s="111"/>
      <c r="AM440" s="111">
        <v>1244.4479999999999</v>
      </c>
    </row>
    <row r="441" spans="1:39" ht="15" customHeight="1" x14ac:dyDescent="0.25">
      <c r="A441" s="1409"/>
      <c r="B441" s="1409"/>
      <c r="C441" s="1409"/>
      <c r="D441" s="1409"/>
      <c r="E441" s="1247"/>
      <c r="F441" s="1248" t="s">
        <v>4470</v>
      </c>
      <c r="G441" s="111"/>
      <c r="H441" s="1249">
        <v>1</v>
      </c>
      <c r="I441" s="111" t="s">
        <v>1721</v>
      </c>
      <c r="J441" s="1321" t="s">
        <v>5608</v>
      </c>
      <c r="K441" s="162" t="s">
        <v>5610</v>
      </c>
      <c r="L441" s="162" t="s">
        <v>5609</v>
      </c>
      <c r="M441" s="111">
        <v>2779</v>
      </c>
      <c r="N441" s="111">
        <v>2779</v>
      </c>
      <c r="O441" s="111"/>
      <c r="P441" s="111"/>
      <c r="Q441" s="111"/>
      <c r="R441" s="111"/>
      <c r="S441" s="1249">
        <v>1</v>
      </c>
      <c r="T441" s="1250">
        <v>926.33333333333337</v>
      </c>
      <c r="U441" s="1250"/>
      <c r="V441" s="1250"/>
      <c r="W441" s="1251">
        <v>0</v>
      </c>
      <c r="X441" s="1250">
        <v>926.33333333333337</v>
      </c>
      <c r="Y441" s="1250"/>
      <c r="Z441" s="1250"/>
      <c r="AA441" s="1250"/>
      <c r="AB441" s="1250"/>
      <c r="AC441" s="1250"/>
      <c r="AD441" s="1250"/>
      <c r="AE441" s="1249">
        <v>0</v>
      </c>
      <c r="AF441" s="1250">
        <v>926.33333333333337</v>
      </c>
      <c r="AG441" s="111"/>
      <c r="AH441" s="111"/>
      <c r="AI441" s="111"/>
      <c r="AJ441" s="111"/>
      <c r="AK441" s="111"/>
      <c r="AL441" s="111"/>
      <c r="AM441" s="111">
        <v>2779</v>
      </c>
    </row>
    <row r="442" spans="1:39" ht="15" customHeight="1" x14ac:dyDescent="0.25">
      <c r="A442" s="1409"/>
      <c r="B442" s="1409"/>
      <c r="C442" s="1409"/>
      <c r="D442" s="1409"/>
      <c r="E442" s="1247"/>
      <c r="F442" s="1248" t="s">
        <v>4471</v>
      </c>
      <c r="G442" s="111"/>
      <c r="H442" s="1249">
        <v>5</v>
      </c>
      <c r="I442" s="111" t="s">
        <v>1725</v>
      </c>
      <c r="J442" s="1321" t="s">
        <v>5608</v>
      </c>
      <c r="K442" s="162" t="s">
        <v>5610</v>
      </c>
      <c r="L442" s="162" t="s">
        <v>5609</v>
      </c>
      <c r="M442" s="111">
        <v>102.72999999999999</v>
      </c>
      <c r="N442" s="111">
        <v>513.65</v>
      </c>
      <c r="O442" s="111"/>
      <c r="P442" s="111"/>
      <c r="Q442" s="111"/>
      <c r="R442" s="111"/>
      <c r="S442" s="1249">
        <v>2</v>
      </c>
      <c r="T442" s="1250">
        <v>171.21666666666667</v>
      </c>
      <c r="U442" s="1250"/>
      <c r="V442" s="1250"/>
      <c r="W442" s="1251">
        <v>2</v>
      </c>
      <c r="X442" s="1250">
        <v>171.21666666666667</v>
      </c>
      <c r="Y442" s="1250"/>
      <c r="Z442" s="1250"/>
      <c r="AA442" s="1250"/>
      <c r="AB442" s="1250"/>
      <c r="AC442" s="1250"/>
      <c r="AD442" s="1250"/>
      <c r="AE442" s="1249">
        <v>1</v>
      </c>
      <c r="AF442" s="1250">
        <v>171.21666666666667</v>
      </c>
      <c r="AG442" s="111"/>
      <c r="AH442" s="111"/>
      <c r="AI442" s="111"/>
      <c r="AJ442" s="111"/>
      <c r="AK442" s="111"/>
      <c r="AL442" s="111"/>
      <c r="AM442" s="111">
        <v>513.65</v>
      </c>
    </row>
    <row r="443" spans="1:39" ht="15" customHeight="1" x14ac:dyDescent="0.25">
      <c r="A443" s="1409"/>
      <c r="B443" s="1409"/>
      <c r="C443" s="1409"/>
      <c r="D443" s="1409"/>
      <c r="E443" s="1247"/>
      <c r="F443" s="1248" t="s">
        <v>232</v>
      </c>
      <c r="G443" s="111"/>
      <c r="H443" s="1249">
        <v>150</v>
      </c>
      <c r="I443" s="111" t="s">
        <v>1725</v>
      </c>
      <c r="J443" s="1321" t="s">
        <v>5608</v>
      </c>
      <c r="K443" s="162" t="s">
        <v>5610</v>
      </c>
      <c r="L443" s="162" t="s">
        <v>5609</v>
      </c>
      <c r="M443" s="111">
        <v>74.84</v>
      </c>
      <c r="N443" s="111">
        <v>11226</v>
      </c>
      <c r="O443" s="111"/>
      <c r="P443" s="111"/>
      <c r="Q443" s="111"/>
      <c r="R443" s="111"/>
      <c r="S443" s="1249">
        <v>50</v>
      </c>
      <c r="T443" s="1250">
        <v>3742</v>
      </c>
      <c r="U443" s="1250"/>
      <c r="V443" s="1250"/>
      <c r="W443" s="1251">
        <v>50</v>
      </c>
      <c r="X443" s="1250">
        <v>3742</v>
      </c>
      <c r="Y443" s="1250"/>
      <c r="Z443" s="1250"/>
      <c r="AA443" s="1250"/>
      <c r="AB443" s="1250"/>
      <c r="AC443" s="1250"/>
      <c r="AD443" s="1250"/>
      <c r="AE443" s="1249">
        <v>50</v>
      </c>
      <c r="AF443" s="1250">
        <v>3742</v>
      </c>
      <c r="AG443" s="111"/>
      <c r="AH443" s="111"/>
      <c r="AI443" s="111"/>
      <c r="AJ443" s="111"/>
      <c r="AK443" s="111"/>
      <c r="AL443" s="111"/>
      <c r="AM443" s="111">
        <v>11226</v>
      </c>
    </row>
    <row r="444" spans="1:39" ht="15" customHeight="1" x14ac:dyDescent="0.25">
      <c r="A444" s="1409"/>
      <c r="B444" s="1409"/>
      <c r="C444" s="1409"/>
      <c r="D444" s="1409"/>
      <c r="E444" s="1247"/>
      <c r="F444" s="1248" t="s">
        <v>4472</v>
      </c>
      <c r="G444" s="111"/>
      <c r="H444" s="1249">
        <v>10</v>
      </c>
      <c r="I444" s="111" t="s">
        <v>1725</v>
      </c>
      <c r="J444" s="1321" t="s">
        <v>5608</v>
      </c>
      <c r="K444" s="162" t="s">
        <v>5610</v>
      </c>
      <c r="L444" s="162" t="s">
        <v>5609</v>
      </c>
      <c r="M444" s="111">
        <v>59</v>
      </c>
      <c r="N444" s="111">
        <v>590</v>
      </c>
      <c r="O444" s="111"/>
      <c r="P444" s="111"/>
      <c r="Q444" s="111"/>
      <c r="R444" s="111"/>
      <c r="S444" s="1249">
        <v>5</v>
      </c>
      <c r="T444" s="1250">
        <v>196.66666666666666</v>
      </c>
      <c r="U444" s="1250"/>
      <c r="V444" s="1250"/>
      <c r="W444" s="1251">
        <v>5</v>
      </c>
      <c r="X444" s="1250">
        <v>196.66666666666666</v>
      </c>
      <c r="Y444" s="1250"/>
      <c r="Z444" s="1250"/>
      <c r="AA444" s="1250"/>
      <c r="AB444" s="1250"/>
      <c r="AC444" s="1250"/>
      <c r="AD444" s="1250"/>
      <c r="AE444" s="1249">
        <v>0</v>
      </c>
      <c r="AF444" s="1250">
        <v>196.66666666666666</v>
      </c>
      <c r="AG444" s="111"/>
      <c r="AH444" s="111"/>
      <c r="AI444" s="111"/>
      <c r="AJ444" s="111"/>
      <c r="AK444" s="111"/>
      <c r="AL444" s="111"/>
      <c r="AM444" s="111">
        <v>590</v>
      </c>
    </row>
    <row r="445" spans="1:39" ht="15" customHeight="1" x14ac:dyDescent="0.25">
      <c r="A445" s="1409"/>
      <c r="B445" s="1409"/>
      <c r="C445" s="1409"/>
      <c r="D445" s="1409"/>
      <c r="E445" s="1247"/>
      <c r="F445" s="1248" t="s">
        <v>4473</v>
      </c>
      <c r="G445" s="111"/>
      <c r="H445" s="1249">
        <v>30</v>
      </c>
      <c r="I445" s="111" t="s">
        <v>1721</v>
      </c>
      <c r="J445" s="1321" t="s">
        <v>5608</v>
      </c>
      <c r="K445" s="162" t="s">
        <v>5610</v>
      </c>
      <c r="L445" s="162" t="s">
        <v>5609</v>
      </c>
      <c r="M445" s="111">
        <v>72.470000000000013</v>
      </c>
      <c r="N445" s="111">
        <v>2174.1000000000004</v>
      </c>
      <c r="O445" s="111"/>
      <c r="P445" s="111"/>
      <c r="Q445" s="111"/>
      <c r="R445" s="111"/>
      <c r="S445" s="1249">
        <v>10</v>
      </c>
      <c r="T445" s="1250">
        <v>724.70000000000016</v>
      </c>
      <c r="U445" s="1250"/>
      <c r="V445" s="1250"/>
      <c r="W445" s="1251">
        <v>10</v>
      </c>
      <c r="X445" s="1250">
        <v>724.70000000000016</v>
      </c>
      <c r="Y445" s="1250"/>
      <c r="Z445" s="1250"/>
      <c r="AA445" s="1250"/>
      <c r="AB445" s="1250"/>
      <c r="AC445" s="1250"/>
      <c r="AD445" s="1250"/>
      <c r="AE445" s="1249">
        <v>10</v>
      </c>
      <c r="AF445" s="1250">
        <v>724.70000000000016</v>
      </c>
      <c r="AG445" s="111"/>
      <c r="AH445" s="111"/>
      <c r="AI445" s="111"/>
      <c r="AJ445" s="111"/>
      <c r="AK445" s="111"/>
      <c r="AL445" s="111"/>
      <c r="AM445" s="111">
        <v>2174.1000000000004</v>
      </c>
    </row>
    <row r="446" spans="1:39" ht="15" customHeight="1" x14ac:dyDescent="0.25">
      <c r="A446" s="1409"/>
      <c r="B446" s="1409"/>
      <c r="C446" s="1409"/>
      <c r="D446" s="1409"/>
      <c r="E446" s="1247"/>
      <c r="F446" s="1248" t="s">
        <v>2655</v>
      </c>
      <c r="G446" s="111"/>
      <c r="H446" s="1249">
        <v>15</v>
      </c>
      <c r="I446" s="111" t="s">
        <v>1721</v>
      </c>
      <c r="J446" s="1321" t="s">
        <v>5608</v>
      </c>
      <c r="K446" s="162" t="s">
        <v>5610</v>
      </c>
      <c r="L446" s="162" t="s">
        <v>5609</v>
      </c>
      <c r="M446" s="111">
        <v>27.32</v>
      </c>
      <c r="N446" s="111">
        <v>409.8</v>
      </c>
      <c r="O446" s="111"/>
      <c r="P446" s="111"/>
      <c r="Q446" s="111"/>
      <c r="R446" s="111"/>
      <c r="S446" s="1249">
        <v>5</v>
      </c>
      <c r="T446" s="1250">
        <v>136.6</v>
      </c>
      <c r="U446" s="1250"/>
      <c r="V446" s="1250"/>
      <c r="W446" s="1251">
        <v>5</v>
      </c>
      <c r="X446" s="1250">
        <v>136.6</v>
      </c>
      <c r="Y446" s="1250"/>
      <c r="Z446" s="1250"/>
      <c r="AA446" s="1250"/>
      <c r="AB446" s="1250"/>
      <c r="AC446" s="1250"/>
      <c r="AD446" s="1250"/>
      <c r="AE446" s="1249">
        <v>5</v>
      </c>
      <c r="AF446" s="1250">
        <v>136.6</v>
      </c>
      <c r="AG446" s="111"/>
      <c r="AH446" s="111"/>
      <c r="AI446" s="111"/>
      <c r="AJ446" s="111"/>
      <c r="AK446" s="111"/>
      <c r="AL446" s="111"/>
      <c r="AM446" s="111">
        <v>409.8</v>
      </c>
    </row>
    <row r="447" spans="1:39" ht="15" customHeight="1" x14ac:dyDescent="0.25">
      <c r="A447" s="1409"/>
      <c r="B447" s="1409"/>
      <c r="C447" s="1409"/>
      <c r="D447" s="1409"/>
      <c r="E447" s="1247"/>
      <c r="F447" s="1248" t="s">
        <v>4474</v>
      </c>
      <c r="G447" s="111"/>
      <c r="H447" s="1249">
        <v>2</v>
      </c>
      <c r="I447" s="111" t="s">
        <v>1827</v>
      </c>
      <c r="J447" s="1321" t="s">
        <v>5608</v>
      </c>
      <c r="K447" s="162" t="s">
        <v>5610</v>
      </c>
      <c r="L447" s="162" t="s">
        <v>5609</v>
      </c>
      <c r="M447" s="111">
        <v>292.02</v>
      </c>
      <c r="N447" s="111">
        <v>584.04</v>
      </c>
      <c r="O447" s="111"/>
      <c r="P447" s="111"/>
      <c r="Q447" s="111"/>
      <c r="R447" s="111"/>
      <c r="S447" s="1249">
        <v>2</v>
      </c>
      <c r="T447" s="1250">
        <v>194.67999999999998</v>
      </c>
      <c r="U447" s="1250"/>
      <c r="V447" s="1250"/>
      <c r="W447" s="1251">
        <v>0</v>
      </c>
      <c r="X447" s="1250">
        <v>194.67999999999998</v>
      </c>
      <c r="Y447" s="1250"/>
      <c r="Z447" s="1250"/>
      <c r="AA447" s="1250"/>
      <c r="AB447" s="1250"/>
      <c r="AC447" s="1250"/>
      <c r="AD447" s="1250"/>
      <c r="AE447" s="1249">
        <v>0</v>
      </c>
      <c r="AF447" s="1250">
        <v>194.67999999999998</v>
      </c>
      <c r="AG447" s="111"/>
      <c r="AH447" s="111"/>
      <c r="AI447" s="111"/>
      <c r="AJ447" s="111"/>
      <c r="AK447" s="111"/>
      <c r="AL447" s="111"/>
      <c r="AM447" s="111">
        <v>584.04</v>
      </c>
    </row>
    <row r="448" spans="1:39" ht="15" customHeight="1" x14ac:dyDescent="0.25">
      <c r="A448" s="1409"/>
      <c r="B448" s="1409"/>
      <c r="C448" s="1409"/>
      <c r="D448" s="1409"/>
      <c r="E448" s="1247"/>
      <c r="F448" s="1248" t="s">
        <v>4475</v>
      </c>
      <c r="G448" s="111"/>
      <c r="H448" s="1249">
        <v>2</v>
      </c>
      <c r="I448" s="111" t="s">
        <v>1827</v>
      </c>
      <c r="J448" s="1321" t="s">
        <v>5608</v>
      </c>
      <c r="K448" s="162" t="s">
        <v>5610</v>
      </c>
      <c r="L448" s="162" t="s">
        <v>5609</v>
      </c>
      <c r="M448" s="111">
        <v>188.44</v>
      </c>
      <c r="N448" s="111">
        <v>376.88</v>
      </c>
      <c r="O448" s="111"/>
      <c r="P448" s="111"/>
      <c r="Q448" s="111"/>
      <c r="R448" s="111"/>
      <c r="S448" s="1249">
        <v>2</v>
      </c>
      <c r="T448" s="1250">
        <v>125.62666666666667</v>
      </c>
      <c r="U448" s="1250"/>
      <c r="V448" s="1250"/>
      <c r="W448" s="1251">
        <v>0</v>
      </c>
      <c r="X448" s="1250">
        <v>125.62666666666667</v>
      </c>
      <c r="Y448" s="1250"/>
      <c r="Z448" s="1250"/>
      <c r="AA448" s="1250"/>
      <c r="AB448" s="1250"/>
      <c r="AC448" s="1250"/>
      <c r="AD448" s="1250"/>
      <c r="AE448" s="1249">
        <v>0</v>
      </c>
      <c r="AF448" s="1250">
        <v>125.62666666666667</v>
      </c>
      <c r="AG448" s="111"/>
      <c r="AH448" s="111"/>
      <c r="AI448" s="111"/>
      <c r="AJ448" s="111"/>
      <c r="AK448" s="111"/>
      <c r="AL448" s="111"/>
      <c r="AM448" s="111">
        <v>376.88</v>
      </c>
    </row>
    <row r="449" spans="1:39" ht="15" customHeight="1" x14ac:dyDescent="0.25">
      <c r="A449" s="1409"/>
      <c r="B449" s="1409"/>
      <c r="C449" s="1409"/>
      <c r="D449" s="1409"/>
      <c r="E449" s="1247"/>
      <c r="F449" s="1248" t="s">
        <v>4476</v>
      </c>
      <c r="G449" s="111"/>
      <c r="H449" s="1249">
        <v>150</v>
      </c>
      <c r="I449" s="111" t="s">
        <v>1725</v>
      </c>
      <c r="J449" s="1321" t="s">
        <v>5608</v>
      </c>
      <c r="K449" s="162" t="s">
        <v>5610</v>
      </c>
      <c r="L449" s="162" t="s">
        <v>5609</v>
      </c>
      <c r="M449" s="111">
        <v>50.32</v>
      </c>
      <c r="N449" s="111">
        <v>7548</v>
      </c>
      <c r="O449" s="111"/>
      <c r="P449" s="111"/>
      <c r="Q449" s="111"/>
      <c r="R449" s="111"/>
      <c r="S449" s="1249">
        <v>50</v>
      </c>
      <c r="T449" s="1250">
        <v>2516</v>
      </c>
      <c r="U449" s="1250"/>
      <c r="V449" s="1250"/>
      <c r="W449" s="1251">
        <v>50</v>
      </c>
      <c r="X449" s="1250">
        <v>2516</v>
      </c>
      <c r="Y449" s="1250"/>
      <c r="Z449" s="1250"/>
      <c r="AA449" s="1250"/>
      <c r="AB449" s="1250"/>
      <c r="AC449" s="1250"/>
      <c r="AD449" s="1250"/>
      <c r="AE449" s="1249">
        <v>50</v>
      </c>
      <c r="AF449" s="1250">
        <v>2516</v>
      </c>
      <c r="AG449" s="111"/>
      <c r="AH449" s="111"/>
      <c r="AI449" s="111"/>
      <c r="AJ449" s="111"/>
      <c r="AK449" s="111"/>
      <c r="AL449" s="111"/>
      <c r="AM449" s="111">
        <v>7548</v>
      </c>
    </row>
    <row r="450" spans="1:39" ht="15" customHeight="1" x14ac:dyDescent="0.25">
      <c r="A450" s="1409"/>
      <c r="B450" s="1409"/>
      <c r="C450" s="1409"/>
      <c r="D450" s="1409"/>
      <c r="E450" s="1247"/>
      <c r="F450" s="1248" t="s">
        <v>4477</v>
      </c>
      <c r="G450" s="111"/>
      <c r="H450" s="1249">
        <v>30</v>
      </c>
      <c r="I450" s="111" t="s">
        <v>1721</v>
      </c>
      <c r="J450" s="1321" t="s">
        <v>5608</v>
      </c>
      <c r="K450" s="162" t="s">
        <v>5610</v>
      </c>
      <c r="L450" s="162" t="s">
        <v>5609</v>
      </c>
      <c r="M450" s="111">
        <v>11.879999999999999</v>
      </c>
      <c r="N450" s="111">
        <v>356.4</v>
      </c>
      <c r="O450" s="111"/>
      <c r="P450" s="111"/>
      <c r="Q450" s="111"/>
      <c r="R450" s="111"/>
      <c r="S450" s="1249">
        <v>10</v>
      </c>
      <c r="T450" s="1250">
        <v>118.8</v>
      </c>
      <c r="U450" s="1250"/>
      <c r="V450" s="1250"/>
      <c r="W450" s="1251">
        <v>10</v>
      </c>
      <c r="X450" s="1250">
        <v>118.8</v>
      </c>
      <c r="Y450" s="1250"/>
      <c r="Z450" s="1250"/>
      <c r="AA450" s="1250"/>
      <c r="AB450" s="1250"/>
      <c r="AC450" s="1250"/>
      <c r="AD450" s="1250"/>
      <c r="AE450" s="1249">
        <v>10</v>
      </c>
      <c r="AF450" s="1250">
        <v>118.8</v>
      </c>
      <c r="AG450" s="111"/>
      <c r="AH450" s="111"/>
      <c r="AI450" s="111"/>
      <c r="AJ450" s="111"/>
      <c r="AK450" s="111"/>
      <c r="AL450" s="111"/>
      <c r="AM450" s="111">
        <v>356.4</v>
      </c>
    </row>
    <row r="451" spans="1:39" ht="15" customHeight="1" x14ac:dyDescent="0.25">
      <c r="A451" s="1409"/>
      <c r="B451" s="1409"/>
      <c r="C451" s="1409"/>
      <c r="D451" s="1409"/>
      <c r="E451" s="1247"/>
      <c r="F451" s="1248" t="s">
        <v>4478</v>
      </c>
      <c r="G451" s="111"/>
      <c r="H451" s="1249">
        <v>30</v>
      </c>
      <c r="I451" s="111" t="s">
        <v>1721</v>
      </c>
      <c r="J451" s="1321" t="s">
        <v>5608</v>
      </c>
      <c r="K451" s="162" t="s">
        <v>5610</v>
      </c>
      <c r="L451" s="162" t="s">
        <v>5609</v>
      </c>
      <c r="M451" s="111">
        <v>11.879999999999999</v>
      </c>
      <c r="N451" s="111">
        <v>356.4</v>
      </c>
      <c r="O451" s="111"/>
      <c r="P451" s="111"/>
      <c r="Q451" s="111"/>
      <c r="R451" s="111"/>
      <c r="S451" s="1249">
        <v>10</v>
      </c>
      <c r="T451" s="1250">
        <v>118.8</v>
      </c>
      <c r="U451" s="1250"/>
      <c r="V451" s="1250"/>
      <c r="W451" s="1251">
        <v>10</v>
      </c>
      <c r="X451" s="1250">
        <v>118.8</v>
      </c>
      <c r="Y451" s="1250"/>
      <c r="Z451" s="1250"/>
      <c r="AA451" s="1250"/>
      <c r="AB451" s="1250"/>
      <c r="AC451" s="1250"/>
      <c r="AD451" s="1250"/>
      <c r="AE451" s="1249">
        <v>10</v>
      </c>
      <c r="AF451" s="1250">
        <v>118.8</v>
      </c>
      <c r="AG451" s="111"/>
      <c r="AH451" s="111"/>
      <c r="AI451" s="111"/>
      <c r="AJ451" s="111"/>
      <c r="AK451" s="111"/>
      <c r="AL451" s="111"/>
      <c r="AM451" s="111">
        <v>356.4</v>
      </c>
    </row>
    <row r="452" spans="1:39" ht="15" customHeight="1" x14ac:dyDescent="0.25">
      <c r="A452" s="1409"/>
      <c r="B452" s="1409"/>
      <c r="C452" s="1409"/>
      <c r="D452" s="1409"/>
      <c r="E452" s="1247"/>
      <c r="F452" s="1248" t="s">
        <v>4479</v>
      </c>
      <c r="G452" s="111"/>
      <c r="H452" s="1249">
        <v>30</v>
      </c>
      <c r="I452" s="111" t="s">
        <v>1721</v>
      </c>
      <c r="J452" s="1321" t="s">
        <v>5608</v>
      </c>
      <c r="K452" s="162" t="s">
        <v>5610</v>
      </c>
      <c r="L452" s="162" t="s">
        <v>5609</v>
      </c>
      <c r="M452" s="111">
        <v>11.879999999999999</v>
      </c>
      <c r="N452" s="111">
        <v>356.4</v>
      </c>
      <c r="O452" s="111"/>
      <c r="P452" s="111"/>
      <c r="Q452" s="111"/>
      <c r="R452" s="111"/>
      <c r="S452" s="1249">
        <v>10</v>
      </c>
      <c r="T452" s="1250">
        <v>118.8</v>
      </c>
      <c r="U452" s="1250"/>
      <c r="V452" s="1250"/>
      <c r="W452" s="1251">
        <v>10</v>
      </c>
      <c r="X452" s="1250">
        <v>118.8</v>
      </c>
      <c r="Y452" s="1250"/>
      <c r="Z452" s="1250"/>
      <c r="AA452" s="1250"/>
      <c r="AB452" s="1250"/>
      <c r="AC452" s="1250"/>
      <c r="AD452" s="1250"/>
      <c r="AE452" s="1249">
        <v>10</v>
      </c>
      <c r="AF452" s="1250">
        <v>118.8</v>
      </c>
      <c r="AG452" s="111"/>
      <c r="AH452" s="111"/>
      <c r="AI452" s="111"/>
      <c r="AJ452" s="111"/>
      <c r="AK452" s="111"/>
      <c r="AL452" s="111"/>
      <c r="AM452" s="111">
        <v>356.4</v>
      </c>
    </row>
    <row r="453" spans="1:39" ht="15" customHeight="1" x14ac:dyDescent="0.25">
      <c r="A453" s="1409"/>
      <c r="B453" s="1409"/>
      <c r="C453" s="1409"/>
      <c r="D453" s="1409"/>
      <c r="E453" s="1247"/>
      <c r="F453" s="1248" t="s">
        <v>4480</v>
      </c>
      <c r="G453" s="111"/>
      <c r="H453" s="1249">
        <v>30</v>
      </c>
      <c r="I453" s="111" t="s">
        <v>1721</v>
      </c>
      <c r="J453" s="1321" t="s">
        <v>5608</v>
      </c>
      <c r="K453" s="162" t="s">
        <v>5610</v>
      </c>
      <c r="L453" s="162" t="s">
        <v>5609</v>
      </c>
      <c r="M453" s="111">
        <v>11.879999999999999</v>
      </c>
      <c r="N453" s="111">
        <v>356.4</v>
      </c>
      <c r="O453" s="111"/>
      <c r="P453" s="111"/>
      <c r="Q453" s="111"/>
      <c r="R453" s="111"/>
      <c r="S453" s="1249">
        <v>10</v>
      </c>
      <c r="T453" s="1250">
        <v>118.8</v>
      </c>
      <c r="U453" s="1250"/>
      <c r="V453" s="1250"/>
      <c r="W453" s="1251">
        <v>10</v>
      </c>
      <c r="X453" s="1250">
        <v>118.8</v>
      </c>
      <c r="Y453" s="1250"/>
      <c r="Z453" s="1250"/>
      <c r="AA453" s="1250"/>
      <c r="AB453" s="1250"/>
      <c r="AC453" s="1250"/>
      <c r="AD453" s="1250"/>
      <c r="AE453" s="1249">
        <v>10</v>
      </c>
      <c r="AF453" s="1250">
        <v>118.8</v>
      </c>
      <c r="AG453" s="111"/>
      <c r="AH453" s="111"/>
      <c r="AI453" s="111"/>
      <c r="AJ453" s="111"/>
      <c r="AK453" s="111"/>
      <c r="AL453" s="111"/>
      <c r="AM453" s="111">
        <v>356.4</v>
      </c>
    </row>
    <row r="454" spans="1:39" ht="15" customHeight="1" x14ac:dyDescent="0.25">
      <c r="A454" s="1409"/>
      <c r="B454" s="1409"/>
      <c r="C454" s="1409"/>
      <c r="D454" s="1409"/>
      <c r="E454" s="1247"/>
      <c r="F454" s="1248" t="s">
        <v>4481</v>
      </c>
      <c r="G454" s="111"/>
      <c r="H454" s="1249">
        <v>30</v>
      </c>
      <c r="I454" s="111" t="s">
        <v>1721</v>
      </c>
      <c r="J454" s="1321" t="s">
        <v>5608</v>
      </c>
      <c r="K454" s="162" t="s">
        <v>5610</v>
      </c>
      <c r="L454" s="162" t="s">
        <v>5609</v>
      </c>
      <c r="M454" s="111">
        <v>11.879999999999999</v>
      </c>
      <c r="N454" s="111">
        <v>356.4</v>
      </c>
      <c r="O454" s="111"/>
      <c r="P454" s="111"/>
      <c r="Q454" s="111"/>
      <c r="R454" s="111"/>
      <c r="S454" s="1249">
        <v>10</v>
      </c>
      <c r="T454" s="1250">
        <v>118.8</v>
      </c>
      <c r="U454" s="1250"/>
      <c r="V454" s="1250"/>
      <c r="W454" s="1251">
        <v>10</v>
      </c>
      <c r="X454" s="1250">
        <v>118.8</v>
      </c>
      <c r="Y454" s="1250"/>
      <c r="Z454" s="1250"/>
      <c r="AA454" s="1250"/>
      <c r="AB454" s="1250"/>
      <c r="AC454" s="1250"/>
      <c r="AD454" s="1250"/>
      <c r="AE454" s="1249">
        <v>10</v>
      </c>
      <c r="AF454" s="1250">
        <v>118.8</v>
      </c>
      <c r="AG454" s="111"/>
      <c r="AH454" s="111"/>
      <c r="AI454" s="111"/>
      <c r="AJ454" s="111"/>
      <c r="AK454" s="111"/>
      <c r="AL454" s="111"/>
      <c r="AM454" s="111">
        <v>356.4</v>
      </c>
    </row>
    <row r="455" spans="1:39" ht="15" customHeight="1" x14ac:dyDescent="0.25">
      <c r="A455" s="1409"/>
      <c r="B455" s="1409"/>
      <c r="C455" s="1409"/>
      <c r="D455" s="1409"/>
      <c r="E455" s="1247"/>
      <c r="F455" s="1248" t="s">
        <v>4482</v>
      </c>
      <c r="G455" s="111"/>
      <c r="H455" s="1249">
        <v>30</v>
      </c>
      <c r="I455" s="111" t="s">
        <v>1721</v>
      </c>
      <c r="J455" s="1321" t="s">
        <v>5608</v>
      </c>
      <c r="K455" s="162" t="s">
        <v>5610</v>
      </c>
      <c r="L455" s="162" t="s">
        <v>5609</v>
      </c>
      <c r="M455" s="111">
        <v>11.879999999999999</v>
      </c>
      <c r="N455" s="111">
        <v>356.4</v>
      </c>
      <c r="O455" s="111"/>
      <c r="P455" s="111"/>
      <c r="Q455" s="111"/>
      <c r="R455" s="111"/>
      <c r="S455" s="1249">
        <v>10</v>
      </c>
      <c r="T455" s="1250">
        <v>118.8</v>
      </c>
      <c r="U455" s="1250"/>
      <c r="V455" s="1250"/>
      <c r="W455" s="1251">
        <v>10</v>
      </c>
      <c r="X455" s="1250">
        <v>118.8</v>
      </c>
      <c r="Y455" s="1250"/>
      <c r="Z455" s="1250"/>
      <c r="AA455" s="1250"/>
      <c r="AB455" s="1250"/>
      <c r="AC455" s="1250"/>
      <c r="AD455" s="1250"/>
      <c r="AE455" s="1249">
        <v>10</v>
      </c>
      <c r="AF455" s="1250">
        <v>118.8</v>
      </c>
      <c r="AG455" s="111"/>
      <c r="AH455" s="111"/>
      <c r="AI455" s="111"/>
      <c r="AJ455" s="111"/>
      <c r="AK455" s="111"/>
      <c r="AL455" s="111"/>
      <c r="AM455" s="111">
        <v>356.4</v>
      </c>
    </row>
    <row r="456" spans="1:39" ht="15" customHeight="1" x14ac:dyDescent="0.25">
      <c r="A456" s="1409"/>
      <c r="B456" s="1409"/>
      <c r="C456" s="1409"/>
      <c r="D456" s="1409"/>
      <c r="E456" s="1247"/>
      <c r="F456" s="1248" t="s">
        <v>4483</v>
      </c>
      <c r="G456" s="111"/>
      <c r="H456" s="1249">
        <v>30</v>
      </c>
      <c r="I456" s="111" t="s">
        <v>1721</v>
      </c>
      <c r="J456" s="1321" t="s">
        <v>5608</v>
      </c>
      <c r="K456" s="162" t="s">
        <v>5610</v>
      </c>
      <c r="L456" s="162" t="s">
        <v>5609</v>
      </c>
      <c r="M456" s="111">
        <v>11.879999999999999</v>
      </c>
      <c r="N456" s="111">
        <v>356.4</v>
      </c>
      <c r="O456" s="111"/>
      <c r="P456" s="111"/>
      <c r="Q456" s="111"/>
      <c r="R456" s="111"/>
      <c r="S456" s="1249">
        <v>10</v>
      </c>
      <c r="T456" s="1250">
        <v>118.8</v>
      </c>
      <c r="U456" s="1250"/>
      <c r="V456" s="1250"/>
      <c r="W456" s="1251">
        <v>10</v>
      </c>
      <c r="X456" s="1250">
        <v>118.8</v>
      </c>
      <c r="Y456" s="1250"/>
      <c r="Z456" s="1250"/>
      <c r="AA456" s="1250"/>
      <c r="AB456" s="1250"/>
      <c r="AC456" s="1250"/>
      <c r="AD456" s="1250"/>
      <c r="AE456" s="1249">
        <v>10</v>
      </c>
      <c r="AF456" s="1250">
        <v>118.8</v>
      </c>
      <c r="AG456" s="111"/>
      <c r="AH456" s="111"/>
      <c r="AI456" s="111"/>
      <c r="AJ456" s="111"/>
      <c r="AK456" s="111"/>
      <c r="AL456" s="111"/>
      <c r="AM456" s="111">
        <v>356.4</v>
      </c>
    </row>
    <row r="457" spans="1:39" ht="15" customHeight="1" x14ac:dyDescent="0.25">
      <c r="A457" s="1409"/>
      <c r="B457" s="1409"/>
      <c r="C457" s="1409"/>
      <c r="D457" s="1409"/>
      <c r="E457" s="1247"/>
      <c r="F457" s="1248" t="s">
        <v>4484</v>
      </c>
      <c r="G457" s="111"/>
      <c r="H457" s="1249">
        <v>30</v>
      </c>
      <c r="I457" s="111" t="s">
        <v>1721</v>
      </c>
      <c r="J457" s="1321" t="s">
        <v>5608</v>
      </c>
      <c r="K457" s="162" t="s">
        <v>5610</v>
      </c>
      <c r="L457" s="162" t="s">
        <v>5609</v>
      </c>
      <c r="M457" s="111">
        <v>11.879999999999999</v>
      </c>
      <c r="N457" s="111">
        <v>356.4</v>
      </c>
      <c r="O457" s="111"/>
      <c r="P457" s="111"/>
      <c r="Q457" s="111"/>
      <c r="R457" s="111"/>
      <c r="S457" s="1249">
        <v>10</v>
      </c>
      <c r="T457" s="1250">
        <v>118.8</v>
      </c>
      <c r="U457" s="1250"/>
      <c r="V457" s="1250"/>
      <c r="W457" s="1251">
        <v>10</v>
      </c>
      <c r="X457" s="1250">
        <v>118.8</v>
      </c>
      <c r="Y457" s="1250"/>
      <c r="Z457" s="1250"/>
      <c r="AA457" s="1250"/>
      <c r="AB457" s="1250"/>
      <c r="AC457" s="1250"/>
      <c r="AD457" s="1250"/>
      <c r="AE457" s="1249">
        <v>10</v>
      </c>
      <c r="AF457" s="1250">
        <v>118.8</v>
      </c>
      <c r="AG457" s="111"/>
      <c r="AH457" s="111"/>
      <c r="AI457" s="111"/>
      <c r="AJ457" s="111"/>
      <c r="AK457" s="111"/>
      <c r="AL457" s="111"/>
      <c r="AM457" s="111">
        <v>356.4</v>
      </c>
    </row>
    <row r="458" spans="1:39" ht="15" customHeight="1" x14ac:dyDescent="0.25">
      <c r="A458" s="1409"/>
      <c r="B458" s="1409"/>
      <c r="C458" s="1409"/>
      <c r="D458" s="1409"/>
      <c r="E458" s="1247"/>
      <c r="F458" s="1248" t="s">
        <v>4485</v>
      </c>
      <c r="G458" s="111"/>
      <c r="H458" s="1249">
        <v>30</v>
      </c>
      <c r="I458" s="111" t="s">
        <v>1721</v>
      </c>
      <c r="J458" s="1321" t="s">
        <v>5608</v>
      </c>
      <c r="K458" s="162" t="s">
        <v>5610</v>
      </c>
      <c r="L458" s="162" t="s">
        <v>5609</v>
      </c>
      <c r="M458" s="111">
        <v>11.879999999999999</v>
      </c>
      <c r="N458" s="111">
        <v>356.4</v>
      </c>
      <c r="O458" s="111"/>
      <c r="P458" s="111"/>
      <c r="Q458" s="111"/>
      <c r="R458" s="111"/>
      <c r="S458" s="1249">
        <v>10</v>
      </c>
      <c r="T458" s="1250">
        <v>118.8</v>
      </c>
      <c r="U458" s="1250"/>
      <c r="V458" s="1250"/>
      <c r="W458" s="1251">
        <v>10</v>
      </c>
      <c r="X458" s="1250">
        <v>118.8</v>
      </c>
      <c r="Y458" s="1250"/>
      <c r="Z458" s="1250"/>
      <c r="AA458" s="1250"/>
      <c r="AB458" s="1250"/>
      <c r="AC458" s="1250"/>
      <c r="AD458" s="1250"/>
      <c r="AE458" s="1249">
        <v>10</v>
      </c>
      <c r="AF458" s="1250">
        <v>118.8</v>
      </c>
      <c r="AG458" s="111"/>
      <c r="AH458" s="111"/>
      <c r="AI458" s="111"/>
      <c r="AJ458" s="111"/>
      <c r="AK458" s="111"/>
      <c r="AL458" s="111"/>
      <c r="AM458" s="111">
        <v>356.4</v>
      </c>
    </row>
    <row r="459" spans="1:39" ht="15" customHeight="1" x14ac:dyDescent="0.25">
      <c r="A459" s="1409"/>
      <c r="B459" s="1409"/>
      <c r="C459" s="1409"/>
      <c r="D459" s="1409"/>
      <c r="E459" s="1247"/>
      <c r="F459" s="1248" t="s">
        <v>4486</v>
      </c>
      <c r="G459" s="111"/>
      <c r="H459" s="1249">
        <v>30</v>
      </c>
      <c r="I459" s="111" t="s">
        <v>1721</v>
      </c>
      <c r="J459" s="1321" t="s">
        <v>5608</v>
      </c>
      <c r="K459" s="162" t="s">
        <v>5610</v>
      </c>
      <c r="L459" s="162" t="s">
        <v>5609</v>
      </c>
      <c r="M459" s="111">
        <v>11.879999999999999</v>
      </c>
      <c r="N459" s="111">
        <v>356.4</v>
      </c>
      <c r="O459" s="111"/>
      <c r="P459" s="111"/>
      <c r="Q459" s="111"/>
      <c r="R459" s="111"/>
      <c r="S459" s="1249">
        <v>10</v>
      </c>
      <c r="T459" s="1250">
        <v>118.8</v>
      </c>
      <c r="U459" s="1250"/>
      <c r="V459" s="1250"/>
      <c r="W459" s="1251">
        <v>10</v>
      </c>
      <c r="X459" s="1250">
        <v>118.8</v>
      </c>
      <c r="Y459" s="1250"/>
      <c r="Z459" s="1250"/>
      <c r="AA459" s="1250"/>
      <c r="AB459" s="1250"/>
      <c r="AC459" s="1250"/>
      <c r="AD459" s="1250"/>
      <c r="AE459" s="1249">
        <v>10</v>
      </c>
      <c r="AF459" s="1250">
        <v>118.8</v>
      </c>
      <c r="AG459" s="111"/>
      <c r="AH459" s="111"/>
      <c r="AI459" s="111"/>
      <c r="AJ459" s="111"/>
      <c r="AK459" s="111"/>
      <c r="AL459" s="111"/>
      <c r="AM459" s="111">
        <v>356.4</v>
      </c>
    </row>
    <row r="460" spans="1:39" ht="15" customHeight="1" x14ac:dyDescent="0.25">
      <c r="A460" s="1409"/>
      <c r="B460" s="1409"/>
      <c r="C460" s="1409"/>
      <c r="D460" s="1409"/>
      <c r="E460" s="1247"/>
      <c r="F460" s="1248" t="s">
        <v>4487</v>
      </c>
      <c r="G460" s="111"/>
      <c r="H460" s="1249">
        <v>30</v>
      </c>
      <c r="I460" s="111" t="s">
        <v>1721</v>
      </c>
      <c r="J460" s="1321" t="s">
        <v>5608</v>
      </c>
      <c r="K460" s="162" t="s">
        <v>5610</v>
      </c>
      <c r="L460" s="162" t="s">
        <v>5609</v>
      </c>
      <c r="M460" s="111">
        <v>11.879999999999999</v>
      </c>
      <c r="N460" s="111">
        <v>356.4</v>
      </c>
      <c r="O460" s="111"/>
      <c r="P460" s="111"/>
      <c r="Q460" s="111"/>
      <c r="R460" s="111"/>
      <c r="S460" s="1249">
        <v>10</v>
      </c>
      <c r="T460" s="1250">
        <v>118.8</v>
      </c>
      <c r="U460" s="1250"/>
      <c r="V460" s="1250"/>
      <c r="W460" s="1251">
        <v>10</v>
      </c>
      <c r="X460" s="1250">
        <v>118.8</v>
      </c>
      <c r="Y460" s="1250"/>
      <c r="Z460" s="1250"/>
      <c r="AA460" s="1250"/>
      <c r="AB460" s="1250"/>
      <c r="AC460" s="1250"/>
      <c r="AD460" s="1250"/>
      <c r="AE460" s="1249">
        <v>10</v>
      </c>
      <c r="AF460" s="1250">
        <v>118.8</v>
      </c>
      <c r="AG460" s="111"/>
      <c r="AH460" s="111"/>
      <c r="AI460" s="111"/>
      <c r="AJ460" s="111"/>
      <c r="AK460" s="111"/>
      <c r="AL460" s="111"/>
      <c r="AM460" s="111">
        <v>356.4</v>
      </c>
    </row>
    <row r="461" spans="1:39" ht="15" customHeight="1" x14ac:dyDescent="0.25">
      <c r="A461" s="1409"/>
      <c r="B461" s="1409"/>
      <c r="C461" s="1409"/>
      <c r="D461" s="1409"/>
      <c r="E461" s="1247"/>
      <c r="F461" s="1248" t="s">
        <v>4488</v>
      </c>
      <c r="G461" s="111"/>
      <c r="H461" s="1249">
        <v>30</v>
      </c>
      <c r="I461" s="111" t="s">
        <v>1721</v>
      </c>
      <c r="J461" s="1321" t="s">
        <v>5608</v>
      </c>
      <c r="K461" s="162" t="s">
        <v>5610</v>
      </c>
      <c r="L461" s="162" t="s">
        <v>5609</v>
      </c>
      <c r="M461" s="111">
        <v>11.879999999999999</v>
      </c>
      <c r="N461" s="111">
        <v>356.4</v>
      </c>
      <c r="O461" s="111"/>
      <c r="P461" s="111"/>
      <c r="Q461" s="111"/>
      <c r="R461" s="111"/>
      <c r="S461" s="1249">
        <v>10</v>
      </c>
      <c r="T461" s="1250">
        <v>118.8</v>
      </c>
      <c r="U461" s="1250"/>
      <c r="V461" s="1250"/>
      <c r="W461" s="1251">
        <v>10</v>
      </c>
      <c r="X461" s="1250">
        <v>118.8</v>
      </c>
      <c r="Y461" s="1250"/>
      <c r="Z461" s="1250"/>
      <c r="AA461" s="1250"/>
      <c r="AB461" s="1250"/>
      <c r="AC461" s="1250"/>
      <c r="AD461" s="1250"/>
      <c r="AE461" s="1249">
        <v>10</v>
      </c>
      <c r="AF461" s="1250">
        <v>118.8</v>
      </c>
      <c r="AG461" s="111"/>
      <c r="AH461" s="111"/>
      <c r="AI461" s="111"/>
      <c r="AJ461" s="111"/>
      <c r="AK461" s="111"/>
      <c r="AL461" s="111"/>
      <c r="AM461" s="111">
        <v>356.4</v>
      </c>
    </row>
    <row r="462" spans="1:39" ht="15" customHeight="1" x14ac:dyDescent="0.25">
      <c r="A462" s="1409"/>
      <c r="B462" s="1409"/>
      <c r="C462" s="1409"/>
      <c r="D462" s="1409"/>
      <c r="E462" s="1247"/>
      <c r="F462" s="1248" t="s">
        <v>4489</v>
      </c>
      <c r="G462" s="111"/>
      <c r="H462" s="1249">
        <v>30</v>
      </c>
      <c r="I462" s="111" t="s">
        <v>1721</v>
      </c>
      <c r="J462" s="1321" t="s">
        <v>5608</v>
      </c>
      <c r="K462" s="162" t="s">
        <v>5610</v>
      </c>
      <c r="L462" s="162" t="s">
        <v>5609</v>
      </c>
      <c r="M462" s="111">
        <v>11.879999999999999</v>
      </c>
      <c r="N462" s="111">
        <v>356.4</v>
      </c>
      <c r="O462" s="111"/>
      <c r="P462" s="111"/>
      <c r="Q462" s="111"/>
      <c r="R462" s="111"/>
      <c r="S462" s="1249">
        <v>10</v>
      </c>
      <c r="T462" s="1250">
        <v>118.8</v>
      </c>
      <c r="U462" s="1250"/>
      <c r="V462" s="1250"/>
      <c r="W462" s="1251">
        <v>10</v>
      </c>
      <c r="X462" s="1250">
        <v>118.8</v>
      </c>
      <c r="Y462" s="1250"/>
      <c r="Z462" s="1250"/>
      <c r="AA462" s="1250"/>
      <c r="AB462" s="1250"/>
      <c r="AC462" s="1250"/>
      <c r="AD462" s="1250"/>
      <c r="AE462" s="1249">
        <v>10</v>
      </c>
      <c r="AF462" s="1250">
        <v>118.8</v>
      </c>
      <c r="AG462" s="111"/>
      <c r="AH462" s="111"/>
      <c r="AI462" s="111"/>
      <c r="AJ462" s="111"/>
      <c r="AK462" s="111"/>
      <c r="AL462" s="111"/>
      <c r="AM462" s="111">
        <v>356.4</v>
      </c>
    </row>
    <row r="463" spans="1:39" ht="15" customHeight="1" x14ac:dyDescent="0.25">
      <c r="A463" s="1409"/>
      <c r="B463" s="1409"/>
      <c r="C463" s="1409"/>
      <c r="D463" s="1409"/>
      <c r="E463" s="1247"/>
      <c r="F463" s="1248" t="s">
        <v>4490</v>
      </c>
      <c r="G463" s="111"/>
      <c r="H463" s="1249">
        <v>150</v>
      </c>
      <c r="I463" s="111" t="s">
        <v>1721</v>
      </c>
      <c r="J463" s="1321" t="s">
        <v>5608</v>
      </c>
      <c r="K463" s="162" t="s">
        <v>5610</v>
      </c>
      <c r="L463" s="162" t="s">
        <v>5609</v>
      </c>
      <c r="M463" s="111">
        <v>17</v>
      </c>
      <c r="N463" s="111">
        <v>2550</v>
      </c>
      <c r="O463" s="111"/>
      <c r="P463" s="111"/>
      <c r="Q463" s="111"/>
      <c r="R463" s="111"/>
      <c r="S463" s="1249">
        <v>50</v>
      </c>
      <c r="T463" s="1250">
        <v>850</v>
      </c>
      <c r="U463" s="1250"/>
      <c r="V463" s="1250"/>
      <c r="W463" s="1251">
        <v>50</v>
      </c>
      <c r="X463" s="1250">
        <v>850</v>
      </c>
      <c r="Y463" s="1250"/>
      <c r="Z463" s="1250"/>
      <c r="AA463" s="1250"/>
      <c r="AB463" s="1250"/>
      <c r="AC463" s="1250"/>
      <c r="AD463" s="1250"/>
      <c r="AE463" s="1249">
        <v>50</v>
      </c>
      <c r="AF463" s="1250">
        <v>850</v>
      </c>
      <c r="AG463" s="111"/>
      <c r="AH463" s="111"/>
      <c r="AI463" s="111"/>
      <c r="AJ463" s="111"/>
      <c r="AK463" s="111"/>
      <c r="AL463" s="111"/>
      <c r="AM463" s="111">
        <v>2550</v>
      </c>
    </row>
    <row r="464" spans="1:39" ht="15" customHeight="1" x14ac:dyDescent="0.25">
      <c r="A464" s="1409"/>
      <c r="B464" s="1409"/>
      <c r="C464" s="1409"/>
      <c r="D464" s="1409"/>
      <c r="E464" s="1247"/>
      <c r="F464" s="1248" t="s">
        <v>4491</v>
      </c>
      <c r="G464" s="111"/>
      <c r="H464" s="1249">
        <v>150</v>
      </c>
      <c r="I464" s="111" t="s">
        <v>1721</v>
      </c>
      <c r="J464" s="1321" t="s">
        <v>5608</v>
      </c>
      <c r="K464" s="162" t="s">
        <v>5610</v>
      </c>
      <c r="L464" s="162" t="s">
        <v>5609</v>
      </c>
      <c r="M464" s="111">
        <v>20.5</v>
      </c>
      <c r="N464" s="111">
        <v>3075</v>
      </c>
      <c r="O464" s="111"/>
      <c r="P464" s="111"/>
      <c r="Q464" s="111"/>
      <c r="R464" s="111"/>
      <c r="S464" s="1249">
        <v>50</v>
      </c>
      <c r="T464" s="1250">
        <v>1025</v>
      </c>
      <c r="U464" s="1250"/>
      <c r="V464" s="1250"/>
      <c r="W464" s="1251">
        <v>50</v>
      </c>
      <c r="X464" s="1250">
        <v>1025</v>
      </c>
      <c r="Y464" s="1250"/>
      <c r="Z464" s="1250"/>
      <c r="AA464" s="1250"/>
      <c r="AB464" s="1250"/>
      <c r="AC464" s="1250"/>
      <c r="AD464" s="1250"/>
      <c r="AE464" s="1249">
        <v>50</v>
      </c>
      <c r="AF464" s="1250">
        <v>1025</v>
      </c>
      <c r="AG464" s="111"/>
      <c r="AH464" s="111"/>
      <c r="AI464" s="111"/>
      <c r="AJ464" s="111"/>
      <c r="AK464" s="111"/>
      <c r="AL464" s="111"/>
      <c r="AM464" s="111">
        <v>3075</v>
      </c>
    </row>
    <row r="465" spans="1:39" ht="15" customHeight="1" x14ac:dyDescent="0.25">
      <c r="A465" s="1409"/>
      <c r="B465" s="1409"/>
      <c r="C465" s="1409"/>
      <c r="D465" s="1409"/>
      <c r="E465" s="1247"/>
      <c r="F465" s="1248" t="s">
        <v>4492</v>
      </c>
      <c r="G465" s="111"/>
      <c r="H465" s="1249">
        <v>5</v>
      </c>
      <c r="I465" s="111" t="s">
        <v>1725</v>
      </c>
      <c r="J465" s="1321" t="s">
        <v>5608</v>
      </c>
      <c r="K465" s="162" t="s">
        <v>5610</v>
      </c>
      <c r="L465" s="162" t="s">
        <v>5609</v>
      </c>
      <c r="M465" s="111">
        <v>22</v>
      </c>
      <c r="N465" s="111">
        <v>110</v>
      </c>
      <c r="O465" s="111"/>
      <c r="P465" s="111"/>
      <c r="Q465" s="111"/>
      <c r="R465" s="111"/>
      <c r="S465" s="1249">
        <v>2</v>
      </c>
      <c r="T465" s="1250">
        <v>36.666666666666664</v>
      </c>
      <c r="U465" s="1250"/>
      <c r="V465" s="1250"/>
      <c r="W465" s="1251">
        <v>2</v>
      </c>
      <c r="X465" s="1250">
        <v>36.666666666666664</v>
      </c>
      <c r="Y465" s="1250"/>
      <c r="Z465" s="1250"/>
      <c r="AA465" s="1250"/>
      <c r="AB465" s="1250"/>
      <c r="AC465" s="1250"/>
      <c r="AD465" s="1250"/>
      <c r="AE465" s="1249">
        <v>1</v>
      </c>
      <c r="AF465" s="1250">
        <v>36.666666666666664</v>
      </c>
      <c r="AG465" s="111"/>
      <c r="AH465" s="111"/>
      <c r="AI465" s="111"/>
      <c r="AJ465" s="111"/>
      <c r="AK465" s="111"/>
      <c r="AL465" s="111"/>
      <c r="AM465" s="111">
        <v>110</v>
      </c>
    </row>
    <row r="466" spans="1:39" ht="15" customHeight="1" x14ac:dyDescent="0.25">
      <c r="A466" s="1409"/>
      <c r="B466" s="1409"/>
      <c r="C466" s="1409"/>
      <c r="D466" s="1409"/>
      <c r="E466" s="1247"/>
      <c r="F466" s="1248" t="s">
        <v>4493</v>
      </c>
      <c r="G466" s="111"/>
      <c r="H466" s="1249">
        <v>10</v>
      </c>
      <c r="I466" s="111" t="s">
        <v>1873</v>
      </c>
      <c r="J466" s="1321" t="s">
        <v>5608</v>
      </c>
      <c r="K466" s="162" t="s">
        <v>5610</v>
      </c>
      <c r="L466" s="162" t="s">
        <v>5609</v>
      </c>
      <c r="M466" s="111">
        <v>45.7</v>
      </c>
      <c r="N466" s="111">
        <v>457</v>
      </c>
      <c r="O466" s="111"/>
      <c r="P466" s="111"/>
      <c r="Q466" s="111"/>
      <c r="R466" s="111"/>
      <c r="S466" s="1249">
        <v>5</v>
      </c>
      <c r="T466" s="1250">
        <v>152.33333333333334</v>
      </c>
      <c r="U466" s="1250"/>
      <c r="V466" s="1250"/>
      <c r="W466" s="1251">
        <v>5</v>
      </c>
      <c r="X466" s="1250">
        <v>152.33333333333334</v>
      </c>
      <c r="Y466" s="1250"/>
      <c r="Z466" s="1250"/>
      <c r="AA466" s="1250"/>
      <c r="AB466" s="1250"/>
      <c r="AC466" s="1250"/>
      <c r="AD466" s="1250"/>
      <c r="AE466" s="1249">
        <v>0</v>
      </c>
      <c r="AF466" s="1250">
        <v>152.33333333333334</v>
      </c>
      <c r="AG466" s="111"/>
      <c r="AH466" s="111"/>
      <c r="AI466" s="111"/>
      <c r="AJ466" s="111"/>
      <c r="AK466" s="111"/>
      <c r="AL466" s="111"/>
      <c r="AM466" s="111">
        <v>457</v>
      </c>
    </row>
    <row r="467" spans="1:39" ht="15" customHeight="1" x14ac:dyDescent="0.25">
      <c r="A467" s="1409"/>
      <c r="B467" s="1409"/>
      <c r="C467" s="1409"/>
      <c r="D467" s="1409"/>
      <c r="E467" s="1247"/>
      <c r="F467" s="1248" t="s">
        <v>4494</v>
      </c>
      <c r="G467" s="111"/>
      <c r="H467" s="1249">
        <v>10</v>
      </c>
      <c r="I467" s="111" t="s">
        <v>1721</v>
      </c>
      <c r="J467" s="1321" t="s">
        <v>5608</v>
      </c>
      <c r="K467" s="162" t="s">
        <v>5610</v>
      </c>
      <c r="L467" s="162" t="s">
        <v>5609</v>
      </c>
      <c r="M467" s="111">
        <v>39.44</v>
      </c>
      <c r="N467" s="111">
        <v>394.4</v>
      </c>
      <c r="O467" s="111"/>
      <c r="P467" s="111"/>
      <c r="Q467" s="111"/>
      <c r="R467" s="111"/>
      <c r="S467" s="1249">
        <v>5</v>
      </c>
      <c r="T467" s="1250">
        <v>131.46666666666667</v>
      </c>
      <c r="U467" s="1250"/>
      <c r="V467" s="1250"/>
      <c r="W467" s="1251">
        <v>5</v>
      </c>
      <c r="X467" s="1250">
        <v>131.46666666666667</v>
      </c>
      <c r="Y467" s="1250"/>
      <c r="Z467" s="1250"/>
      <c r="AA467" s="1250"/>
      <c r="AB467" s="1250"/>
      <c r="AC467" s="1250"/>
      <c r="AD467" s="1250"/>
      <c r="AE467" s="1249">
        <v>0</v>
      </c>
      <c r="AF467" s="1250">
        <v>131.46666666666667</v>
      </c>
      <c r="AG467" s="111"/>
      <c r="AH467" s="111"/>
      <c r="AI467" s="111"/>
      <c r="AJ467" s="111"/>
      <c r="AK467" s="111"/>
      <c r="AL467" s="111"/>
      <c r="AM467" s="111">
        <v>394.4</v>
      </c>
    </row>
    <row r="468" spans="1:39" ht="15" customHeight="1" x14ac:dyDescent="0.25">
      <c r="A468" s="1409"/>
      <c r="B468" s="1409"/>
      <c r="C468" s="1409"/>
      <c r="D468" s="1409"/>
      <c r="E468" s="1247"/>
      <c r="F468" s="1248" t="s">
        <v>4495</v>
      </c>
      <c r="G468" s="111"/>
      <c r="H468" s="1249">
        <v>10</v>
      </c>
      <c r="I468" s="111" t="s">
        <v>1721</v>
      </c>
      <c r="J468" s="1321" t="s">
        <v>5608</v>
      </c>
      <c r="K468" s="162" t="s">
        <v>5610</v>
      </c>
      <c r="L468" s="162" t="s">
        <v>5609</v>
      </c>
      <c r="M468" s="111">
        <v>39.44</v>
      </c>
      <c r="N468" s="111">
        <v>394.4</v>
      </c>
      <c r="O468" s="111"/>
      <c r="P468" s="111"/>
      <c r="Q468" s="111"/>
      <c r="R468" s="111"/>
      <c r="S468" s="1249">
        <v>5</v>
      </c>
      <c r="T468" s="1250">
        <v>131.46666666666667</v>
      </c>
      <c r="U468" s="1250"/>
      <c r="V468" s="1250"/>
      <c r="W468" s="1251">
        <v>5</v>
      </c>
      <c r="X468" s="1250">
        <v>131.46666666666667</v>
      </c>
      <c r="Y468" s="1250"/>
      <c r="Z468" s="1250"/>
      <c r="AA468" s="1250"/>
      <c r="AB468" s="1250"/>
      <c r="AC468" s="1250"/>
      <c r="AD468" s="1250"/>
      <c r="AE468" s="1249">
        <v>0</v>
      </c>
      <c r="AF468" s="1250">
        <v>131.46666666666667</v>
      </c>
      <c r="AG468" s="111"/>
      <c r="AH468" s="111"/>
      <c r="AI468" s="111"/>
      <c r="AJ468" s="111"/>
      <c r="AK468" s="111"/>
      <c r="AL468" s="111"/>
      <c r="AM468" s="111">
        <v>394.4</v>
      </c>
    </row>
    <row r="469" spans="1:39" ht="15" customHeight="1" x14ac:dyDescent="0.25">
      <c r="A469" s="1409"/>
      <c r="B469" s="1409"/>
      <c r="C469" s="1409"/>
      <c r="D469" s="1409"/>
      <c r="E469" s="1247"/>
      <c r="F469" s="1248" t="s">
        <v>4496</v>
      </c>
      <c r="G469" s="111"/>
      <c r="H469" s="1249">
        <v>10</v>
      </c>
      <c r="I469" s="111" t="s">
        <v>1721</v>
      </c>
      <c r="J469" s="1321" t="s">
        <v>5608</v>
      </c>
      <c r="K469" s="162" t="s">
        <v>5610</v>
      </c>
      <c r="L469" s="162" t="s">
        <v>5609</v>
      </c>
      <c r="M469" s="111">
        <v>39.44</v>
      </c>
      <c r="N469" s="111">
        <v>394.4</v>
      </c>
      <c r="O469" s="111"/>
      <c r="P469" s="111"/>
      <c r="Q469" s="111"/>
      <c r="R469" s="111"/>
      <c r="S469" s="1249">
        <v>5</v>
      </c>
      <c r="T469" s="1250">
        <v>131.46666666666667</v>
      </c>
      <c r="U469" s="1250"/>
      <c r="V469" s="1250"/>
      <c r="W469" s="1251">
        <v>5</v>
      </c>
      <c r="X469" s="1250">
        <v>131.46666666666667</v>
      </c>
      <c r="Y469" s="1250"/>
      <c r="Z469" s="1250"/>
      <c r="AA469" s="1250"/>
      <c r="AB469" s="1250"/>
      <c r="AC469" s="1250"/>
      <c r="AD469" s="1250"/>
      <c r="AE469" s="1249">
        <v>0</v>
      </c>
      <c r="AF469" s="1250">
        <v>131.46666666666667</v>
      </c>
      <c r="AG469" s="111"/>
      <c r="AH469" s="111"/>
      <c r="AI469" s="111"/>
      <c r="AJ469" s="111"/>
      <c r="AK469" s="111"/>
      <c r="AL469" s="111"/>
      <c r="AM469" s="111">
        <v>394.4</v>
      </c>
    </row>
    <row r="470" spans="1:39" ht="15" customHeight="1" x14ac:dyDescent="0.25">
      <c r="A470" s="1409"/>
      <c r="B470" s="1409"/>
      <c r="C470" s="1409"/>
      <c r="D470" s="1409"/>
      <c r="E470" s="1247"/>
      <c r="F470" s="1248" t="s">
        <v>4497</v>
      </c>
      <c r="G470" s="111"/>
      <c r="H470" s="1249">
        <v>10</v>
      </c>
      <c r="I470" s="111" t="s">
        <v>1721</v>
      </c>
      <c r="J470" s="1321" t="s">
        <v>5608</v>
      </c>
      <c r="K470" s="162" t="s">
        <v>5610</v>
      </c>
      <c r="L470" s="162" t="s">
        <v>5609</v>
      </c>
      <c r="M470" s="111">
        <v>39.44</v>
      </c>
      <c r="N470" s="111">
        <v>394.4</v>
      </c>
      <c r="O470" s="111"/>
      <c r="P470" s="111"/>
      <c r="Q470" s="111"/>
      <c r="R470" s="111"/>
      <c r="S470" s="1249">
        <v>5</v>
      </c>
      <c r="T470" s="1250">
        <v>131.46666666666667</v>
      </c>
      <c r="U470" s="1250"/>
      <c r="V470" s="1250"/>
      <c r="W470" s="1251">
        <v>5</v>
      </c>
      <c r="X470" s="1250">
        <v>131.46666666666667</v>
      </c>
      <c r="Y470" s="1250"/>
      <c r="Z470" s="1250"/>
      <c r="AA470" s="1250"/>
      <c r="AB470" s="1250"/>
      <c r="AC470" s="1250"/>
      <c r="AD470" s="1250"/>
      <c r="AE470" s="1249">
        <v>0</v>
      </c>
      <c r="AF470" s="1250">
        <v>131.46666666666667</v>
      </c>
      <c r="AG470" s="111"/>
      <c r="AH470" s="111"/>
      <c r="AI470" s="111"/>
      <c r="AJ470" s="111"/>
      <c r="AK470" s="111"/>
      <c r="AL470" s="111"/>
      <c r="AM470" s="111">
        <v>394.4</v>
      </c>
    </row>
    <row r="471" spans="1:39" ht="15" customHeight="1" x14ac:dyDescent="0.25">
      <c r="A471" s="1409"/>
      <c r="B471" s="1409"/>
      <c r="C471" s="1409"/>
      <c r="D471" s="1409"/>
      <c r="E471" s="1247"/>
      <c r="F471" s="1248" t="s">
        <v>4498</v>
      </c>
      <c r="G471" s="111"/>
      <c r="H471" s="1249">
        <v>10</v>
      </c>
      <c r="I471" s="111" t="s">
        <v>1721</v>
      </c>
      <c r="J471" s="1321" t="s">
        <v>5608</v>
      </c>
      <c r="K471" s="162" t="s">
        <v>5610</v>
      </c>
      <c r="L471" s="162" t="s">
        <v>5609</v>
      </c>
      <c r="M471" s="111">
        <v>39.44</v>
      </c>
      <c r="N471" s="111">
        <v>394.4</v>
      </c>
      <c r="O471" s="111"/>
      <c r="P471" s="111"/>
      <c r="Q471" s="111"/>
      <c r="R471" s="111"/>
      <c r="S471" s="1249">
        <v>5</v>
      </c>
      <c r="T471" s="1250">
        <v>131.46666666666667</v>
      </c>
      <c r="U471" s="1250"/>
      <c r="V471" s="1250"/>
      <c r="W471" s="1251">
        <v>5</v>
      </c>
      <c r="X471" s="1250">
        <v>131.46666666666667</v>
      </c>
      <c r="Y471" s="1250"/>
      <c r="Z471" s="1250"/>
      <c r="AA471" s="1250"/>
      <c r="AB471" s="1250"/>
      <c r="AC471" s="1250"/>
      <c r="AD471" s="1250"/>
      <c r="AE471" s="1249">
        <v>0</v>
      </c>
      <c r="AF471" s="1250">
        <v>131.46666666666667</v>
      </c>
      <c r="AG471" s="111"/>
      <c r="AH471" s="111"/>
      <c r="AI471" s="111"/>
      <c r="AJ471" s="111"/>
      <c r="AK471" s="111"/>
      <c r="AL471" s="111"/>
      <c r="AM471" s="111">
        <v>394.4</v>
      </c>
    </row>
    <row r="472" spans="1:39" ht="15" customHeight="1" x14ac:dyDescent="0.25">
      <c r="A472" s="1409"/>
      <c r="B472" s="1409"/>
      <c r="C472" s="1409"/>
      <c r="D472" s="1409"/>
      <c r="E472" s="1247"/>
      <c r="F472" s="1248" t="s">
        <v>4499</v>
      </c>
      <c r="G472" s="111"/>
      <c r="H472" s="1249">
        <v>10</v>
      </c>
      <c r="I472" s="111" t="s">
        <v>1721</v>
      </c>
      <c r="J472" s="1321" t="s">
        <v>5608</v>
      </c>
      <c r="K472" s="162" t="s">
        <v>5610</v>
      </c>
      <c r="L472" s="162" t="s">
        <v>5609</v>
      </c>
      <c r="M472" s="111">
        <v>39.44</v>
      </c>
      <c r="N472" s="111">
        <v>394.4</v>
      </c>
      <c r="O472" s="111"/>
      <c r="P472" s="111"/>
      <c r="Q472" s="111"/>
      <c r="R472" s="111"/>
      <c r="S472" s="1249">
        <v>5</v>
      </c>
      <c r="T472" s="1250">
        <v>131.46666666666667</v>
      </c>
      <c r="U472" s="1250"/>
      <c r="V472" s="1250"/>
      <c r="W472" s="1251">
        <v>5</v>
      </c>
      <c r="X472" s="1250">
        <v>131.46666666666667</v>
      </c>
      <c r="Y472" s="1250"/>
      <c r="Z472" s="1250"/>
      <c r="AA472" s="1250"/>
      <c r="AB472" s="1250"/>
      <c r="AC472" s="1250"/>
      <c r="AD472" s="1250"/>
      <c r="AE472" s="1249">
        <v>0</v>
      </c>
      <c r="AF472" s="1250">
        <v>131.46666666666667</v>
      </c>
      <c r="AG472" s="111"/>
      <c r="AH472" s="111"/>
      <c r="AI472" s="111"/>
      <c r="AJ472" s="111"/>
      <c r="AK472" s="111"/>
      <c r="AL472" s="111"/>
      <c r="AM472" s="111">
        <v>394.4</v>
      </c>
    </row>
    <row r="473" spans="1:39" ht="15" customHeight="1" x14ac:dyDescent="0.25">
      <c r="A473" s="1409"/>
      <c r="B473" s="1409"/>
      <c r="C473" s="1409"/>
      <c r="D473" s="1409"/>
      <c r="E473" s="1247"/>
      <c r="F473" s="1248" t="s">
        <v>4500</v>
      </c>
      <c r="G473" s="111"/>
      <c r="H473" s="1249">
        <v>10</v>
      </c>
      <c r="I473" s="111" t="s">
        <v>1721</v>
      </c>
      <c r="J473" s="1321" t="s">
        <v>5608</v>
      </c>
      <c r="K473" s="162" t="s">
        <v>5610</v>
      </c>
      <c r="L473" s="162" t="s">
        <v>5609</v>
      </c>
      <c r="M473" s="111">
        <v>39.44</v>
      </c>
      <c r="N473" s="111">
        <v>394.4</v>
      </c>
      <c r="O473" s="111"/>
      <c r="P473" s="111"/>
      <c r="Q473" s="111"/>
      <c r="R473" s="111"/>
      <c r="S473" s="1249">
        <v>5</v>
      </c>
      <c r="T473" s="1250">
        <v>131.46666666666667</v>
      </c>
      <c r="U473" s="1250"/>
      <c r="V473" s="1250"/>
      <c r="W473" s="1251">
        <v>5</v>
      </c>
      <c r="X473" s="1250">
        <v>131.46666666666667</v>
      </c>
      <c r="Y473" s="1250"/>
      <c r="Z473" s="1250"/>
      <c r="AA473" s="1250"/>
      <c r="AB473" s="1250"/>
      <c r="AC473" s="1250"/>
      <c r="AD473" s="1250"/>
      <c r="AE473" s="1249">
        <v>0</v>
      </c>
      <c r="AF473" s="1250">
        <v>131.46666666666667</v>
      </c>
      <c r="AG473" s="111"/>
      <c r="AH473" s="111"/>
      <c r="AI473" s="111"/>
      <c r="AJ473" s="111"/>
      <c r="AK473" s="111"/>
      <c r="AL473" s="111"/>
      <c r="AM473" s="111">
        <v>394.4</v>
      </c>
    </row>
    <row r="474" spans="1:39" ht="15" customHeight="1" x14ac:dyDescent="0.25">
      <c r="A474" s="1409"/>
      <c r="B474" s="1409"/>
      <c r="C474" s="1409"/>
      <c r="D474" s="1409"/>
      <c r="E474" s="1247"/>
      <c r="F474" s="1248" t="s">
        <v>4501</v>
      </c>
      <c r="G474" s="111"/>
      <c r="H474" s="1249">
        <v>10</v>
      </c>
      <c r="I474" s="111" t="s">
        <v>1721</v>
      </c>
      <c r="J474" s="1321" t="s">
        <v>5608</v>
      </c>
      <c r="K474" s="162" t="s">
        <v>5610</v>
      </c>
      <c r="L474" s="162" t="s">
        <v>5609</v>
      </c>
      <c r="M474" s="111">
        <v>39.44</v>
      </c>
      <c r="N474" s="111">
        <v>394.4</v>
      </c>
      <c r="O474" s="111"/>
      <c r="P474" s="111"/>
      <c r="Q474" s="111"/>
      <c r="R474" s="111"/>
      <c r="S474" s="1249">
        <v>5</v>
      </c>
      <c r="T474" s="1250">
        <v>131.46666666666667</v>
      </c>
      <c r="U474" s="1250"/>
      <c r="V474" s="1250"/>
      <c r="W474" s="1251">
        <v>5</v>
      </c>
      <c r="X474" s="1250">
        <v>131.46666666666667</v>
      </c>
      <c r="Y474" s="1250"/>
      <c r="Z474" s="1250"/>
      <c r="AA474" s="1250"/>
      <c r="AB474" s="1250"/>
      <c r="AC474" s="1250"/>
      <c r="AD474" s="1250"/>
      <c r="AE474" s="1249">
        <v>0</v>
      </c>
      <c r="AF474" s="1250">
        <v>131.46666666666667</v>
      </c>
      <c r="AG474" s="111"/>
      <c r="AH474" s="111"/>
      <c r="AI474" s="111"/>
      <c r="AJ474" s="111"/>
      <c r="AK474" s="111"/>
      <c r="AL474" s="111"/>
      <c r="AM474" s="111">
        <v>394.4</v>
      </c>
    </row>
    <row r="475" spans="1:39" ht="15" customHeight="1" x14ac:dyDescent="0.25">
      <c r="A475" s="1409"/>
      <c r="B475" s="1409"/>
      <c r="C475" s="1409"/>
      <c r="D475" s="1409"/>
      <c r="E475" s="1247"/>
      <c r="F475" s="1248" t="s">
        <v>4502</v>
      </c>
      <c r="G475" s="111"/>
      <c r="H475" s="1249">
        <v>10</v>
      </c>
      <c r="I475" s="111" t="s">
        <v>1721</v>
      </c>
      <c r="J475" s="1321" t="s">
        <v>5608</v>
      </c>
      <c r="K475" s="162" t="s">
        <v>5610</v>
      </c>
      <c r="L475" s="162" t="s">
        <v>5609</v>
      </c>
      <c r="M475" s="111">
        <v>39.44</v>
      </c>
      <c r="N475" s="111">
        <v>394.4</v>
      </c>
      <c r="O475" s="111"/>
      <c r="P475" s="111"/>
      <c r="Q475" s="111"/>
      <c r="R475" s="111"/>
      <c r="S475" s="1249">
        <v>5</v>
      </c>
      <c r="T475" s="1250">
        <v>131.46666666666667</v>
      </c>
      <c r="U475" s="1250"/>
      <c r="V475" s="1250"/>
      <c r="W475" s="1251">
        <v>5</v>
      </c>
      <c r="X475" s="1250">
        <v>131.46666666666667</v>
      </c>
      <c r="Y475" s="1250"/>
      <c r="Z475" s="1250"/>
      <c r="AA475" s="1250"/>
      <c r="AB475" s="1250"/>
      <c r="AC475" s="1250"/>
      <c r="AD475" s="1250"/>
      <c r="AE475" s="1249">
        <v>0</v>
      </c>
      <c r="AF475" s="1250">
        <v>131.46666666666667</v>
      </c>
      <c r="AG475" s="111"/>
      <c r="AH475" s="111"/>
      <c r="AI475" s="111"/>
      <c r="AJ475" s="111"/>
      <c r="AK475" s="111"/>
      <c r="AL475" s="111"/>
      <c r="AM475" s="111">
        <v>394.4</v>
      </c>
    </row>
    <row r="476" spans="1:39" ht="15" customHeight="1" x14ac:dyDescent="0.25">
      <c r="A476" s="1409"/>
      <c r="B476" s="1409"/>
      <c r="C476" s="1409"/>
      <c r="D476" s="1409"/>
      <c r="E476" s="1247"/>
      <c r="F476" s="1248" t="s">
        <v>4503</v>
      </c>
      <c r="G476" s="111"/>
      <c r="H476" s="1249">
        <v>10</v>
      </c>
      <c r="I476" s="111" t="s">
        <v>1721</v>
      </c>
      <c r="J476" s="1321" t="s">
        <v>5608</v>
      </c>
      <c r="K476" s="162" t="s">
        <v>5610</v>
      </c>
      <c r="L476" s="162" t="s">
        <v>5609</v>
      </c>
      <c r="M476" s="111">
        <v>39.44</v>
      </c>
      <c r="N476" s="111">
        <v>394.4</v>
      </c>
      <c r="O476" s="111"/>
      <c r="P476" s="111"/>
      <c r="Q476" s="111"/>
      <c r="R476" s="111"/>
      <c r="S476" s="1249">
        <v>5</v>
      </c>
      <c r="T476" s="1250">
        <v>131.46666666666667</v>
      </c>
      <c r="U476" s="1250"/>
      <c r="V476" s="1250"/>
      <c r="W476" s="1251">
        <v>5</v>
      </c>
      <c r="X476" s="1250">
        <v>131.46666666666667</v>
      </c>
      <c r="Y476" s="1250"/>
      <c r="Z476" s="1250"/>
      <c r="AA476" s="1250"/>
      <c r="AB476" s="1250"/>
      <c r="AC476" s="1250"/>
      <c r="AD476" s="1250"/>
      <c r="AE476" s="1249">
        <v>0</v>
      </c>
      <c r="AF476" s="1250">
        <v>131.46666666666667</v>
      </c>
      <c r="AG476" s="111"/>
      <c r="AH476" s="111"/>
      <c r="AI476" s="111"/>
      <c r="AJ476" s="111"/>
      <c r="AK476" s="111"/>
      <c r="AL476" s="111"/>
      <c r="AM476" s="111">
        <v>394.4</v>
      </c>
    </row>
    <row r="477" spans="1:39" ht="15" customHeight="1" x14ac:dyDescent="0.25">
      <c r="A477" s="1409"/>
      <c r="B477" s="1409"/>
      <c r="C477" s="1409"/>
      <c r="D477" s="1409"/>
      <c r="E477" s="1247"/>
      <c r="F477" s="1248" t="s">
        <v>4504</v>
      </c>
      <c r="G477" s="111"/>
      <c r="H477" s="1249">
        <v>10</v>
      </c>
      <c r="I477" s="111" t="s">
        <v>1721</v>
      </c>
      <c r="J477" s="1321" t="s">
        <v>5608</v>
      </c>
      <c r="K477" s="162" t="s">
        <v>5610</v>
      </c>
      <c r="L477" s="162" t="s">
        <v>5609</v>
      </c>
      <c r="M477" s="111">
        <v>39.44</v>
      </c>
      <c r="N477" s="111">
        <v>394.4</v>
      </c>
      <c r="O477" s="111"/>
      <c r="P477" s="111"/>
      <c r="Q477" s="111"/>
      <c r="R477" s="111"/>
      <c r="S477" s="1249">
        <v>5</v>
      </c>
      <c r="T477" s="1250">
        <v>131.46666666666667</v>
      </c>
      <c r="U477" s="1250"/>
      <c r="V477" s="1250"/>
      <c r="W477" s="1251">
        <v>5</v>
      </c>
      <c r="X477" s="1250">
        <v>131.46666666666667</v>
      </c>
      <c r="Y477" s="1250"/>
      <c r="Z477" s="1250"/>
      <c r="AA477" s="1250"/>
      <c r="AB477" s="1250"/>
      <c r="AC477" s="1250"/>
      <c r="AD477" s="1250"/>
      <c r="AE477" s="1249">
        <v>0</v>
      </c>
      <c r="AF477" s="1250">
        <v>131.46666666666667</v>
      </c>
      <c r="AG477" s="111"/>
      <c r="AH477" s="111"/>
      <c r="AI477" s="111"/>
      <c r="AJ477" s="111"/>
      <c r="AK477" s="111"/>
      <c r="AL477" s="111"/>
      <c r="AM477" s="111">
        <v>394.4</v>
      </c>
    </row>
    <row r="478" spans="1:39" ht="15" customHeight="1" x14ac:dyDescent="0.25">
      <c r="A478" s="1409"/>
      <c r="B478" s="1409"/>
      <c r="C478" s="1409"/>
      <c r="D478" s="1409"/>
      <c r="E478" s="1247"/>
      <c r="F478" s="1248" t="s">
        <v>4505</v>
      </c>
      <c r="G478" s="111"/>
      <c r="H478" s="1249">
        <v>50</v>
      </c>
      <c r="I478" s="111" t="s">
        <v>1721</v>
      </c>
      <c r="J478" s="1321" t="s">
        <v>5608</v>
      </c>
      <c r="K478" s="162" t="s">
        <v>5610</v>
      </c>
      <c r="L478" s="162" t="s">
        <v>5609</v>
      </c>
      <c r="M478" s="111">
        <v>5.0999999999999996</v>
      </c>
      <c r="N478" s="111">
        <v>254.99999999999997</v>
      </c>
      <c r="O478" s="111"/>
      <c r="P478" s="111"/>
      <c r="Q478" s="111"/>
      <c r="R478" s="111"/>
      <c r="S478" s="1249">
        <v>20</v>
      </c>
      <c r="T478" s="1250">
        <v>85</v>
      </c>
      <c r="U478" s="1250"/>
      <c r="V478" s="1250"/>
      <c r="W478" s="1251">
        <v>20</v>
      </c>
      <c r="X478" s="1250">
        <v>85</v>
      </c>
      <c r="Y478" s="1250"/>
      <c r="Z478" s="1250"/>
      <c r="AA478" s="1250"/>
      <c r="AB478" s="1250"/>
      <c r="AC478" s="1250"/>
      <c r="AD478" s="1250"/>
      <c r="AE478" s="1249">
        <v>10</v>
      </c>
      <c r="AF478" s="1250">
        <v>85</v>
      </c>
      <c r="AG478" s="111"/>
      <c r="AH478" s="111"/>
      <c r="AI478" s="111"/>
      <c r="AJ478" s="111"/>
      <c r="AK478" s="111"/>
      <c r="AL478" s="111"/>
      <c r="AM478" s="111">
        <v>255</v>
      </c>
    </row>
    <row r="479" spans="1:39" ht="15" customHeight="1" x14ac:dyDescent="0.25">
      <c r="A479" s="1409"/>
      <c r="B479" s="1409"/>
      <c r="C479" s="1409"/>
      <c r="D479" s="1409"/>
      <c r="E479" s="1247"/>
      <c r="F479" s="1248" t="s">
        <v>4506</v>
      </c>
      <c r="G479" s="111"/>
      <c r="H479" s="1249">
        <v>50</v>
      </c>
      <c r="I479" s="111" t="s">
        <v>1721</v>
      </c>
      <c r="J479" s="1321" t="s">
        <v>5608</v>
      </c>
      <c r="K479" s="162" t="s">
        <v>5610</v>
      </c>
      <c r="L479" s="162" t="s">
        <v>5609</v>
      </c>
      <c r="M479" s="111">
        <v>5.0999999999999996</v>
      </c>
      <c r="N479" s="111">
        <v>254.99999999999997</v>
      </c>
      <c r="O479" s="111"/>
      <c r="P479" s="111"/>
      <c r="Q479" s="111"/>
      <c r="R479" s="111"/>
      <c r="S479" s="1249">
        <v>20</v>
      </c>
      <c r="T479" s="1250">
        <v>85</v>
      </c>
      <c r="U479" s="1250"/>
      <c r="V479" s="1250"/>
      <c r="W479" s="1251">
        <v>20</v>
      </c>
      <c r="X479" s="1250">
        <v>85</v>
      </c>
      <c r="Y479" s="1250"/>
      <c r="Z479" s="1250"/>
      <c r="AA479" s="1250"/>
      <c r="AB479" s="1250"/>
      <c r="AC479" s="1250"/>
      <c r="AD479" s="1250"/>
      <c r="AE479" s="1249">
        <v>10</v>
      </c>
      <c r="AF479" s="1250">
        <v>85</v>
      </c>
      <c r="AG479" s="111"/>
      <c r="AH479" s="111"/>
      <c r="AI479" s="111"/>
      <c r="AJ479" s="111"/>
      <c r="AK479" s="111"/>
      <c r="AL479" s="111"/>
      <c r="AM479" s="111">
        <v>255</v>
      </c>
    </row>
    <row r="480" spans="1:39" ht="15" customHeight="1" x14ac:dyDescent="0.25">
      <c r="A480" s="1409"/>
      <c r="B480" s="1409"/>
      <c r="C480" s="1409"/>
      <c r="D480" s="1409"/>
      <c r="E480" s="1247"/>
      <c r="F480" s="1248" t="s">
        <v>4507</v>
      </c>
      <c r="G480" s="111"/>
      <c r="H480" s="1249">
        <v>50</v>
      </c>
      <c r="I480" s="111" t="s">
        <v>1721</v>
      </c>
      <c r="J480" s="1321" t="s">
        <v>5608</v>
      </c>
      <c r="K480" s="162" t="s">
        <v>5610</v>
      </c>
      <c r="L480" s="162" t="s">
        <v>5609</v>
      </c>
      <c r="M480" s="111">
        <v>5.0999999999999996</v>
      </c>
      <c r="N480" s="111">
        <v>254.99999999999997</v>
      </c>
      <c r="O480" s="111"/>
      <c r="P480" s="111"/>
      <c r="Q480" s="111"/>
      <c r="R480" s="111"/>
      <c r="S480" s="1249">
        <v>20</v>
      </c>
      <c r="T480" s="1250">
        <v>85</v>
      </c>
      <c r="U480" s="1250"/>
      <c r="V480" s="1250"/>
      <c r="W480" s="1251">
        <v>20</v>
      </c>
      <c r="X480" s="1250">
        <v>85</v>
      </c>
      <c r="Y480" s="1250"/>
      <c r="Z480" s="1250"/>
      <c r="AA480" s="1250"/>
      <c r="AB480" s="1250"/>
      <c r="AC480" s="1250"/>
      <c r="AD480" s="1250"/>
      <c r="AE480" s="1249">
        <v>10</v>
      </c>
      <c r="AF480" s="1250">
        <v>85</v>
      </c>
      <c r="AG480" s="111"/>
      <c r="AH480" s="111"/>
      <c r="AI480" s="111"/>
      <c r="AJ480" s="111"/>
      <c r="AK480" s="111"/>
      <c r="AL480" s="111"/>
      <c r="AM480" s="111">
        <v>255</v>
      </c>
    </row>
    <row r="481" spans="1:39" ht="15" customHeight="1" x14ac:dyDescent="0.25">
      <c r="A481" s="1409"/>
      <c r="B481" s="1409"/>
      <c r="C481" s="1409"/>
      <c r="D481" s="1409"/>
      <c r="E481" s="1247"/>
      <c r="F481" s="1248" t="s">
        <v>4508</v>
      </c>
      <c r="G481" s="111"/>
      <c r="H481" s="1249">
        <v>50</v>
      </c>
      <c r="I481" s="111" t="s">
        <v>1721</v>
      </c>
      <c r="J481" s="1321" t="s">
        <v>5608</v>
      </c>
      <c r="K481" s="162" t="s">
        <v>5610</v>
      </c>
      <c r="L481" s="162" t="s">
        <v>5609</v>
      </c>
      <c r="M481" s="111">
        <v>5.0999999999999996</v>
      </c>
      <c r="N481" s="111">
        <v>254.99999999999997</v>
      </c>
      <c r="O481" s="111"/>
      <c r="P481" s="111"/>
      <c r="Q481" s="111"/>
      <c r="R481" s="111"/>
      <c r="S481" s="1249">
        <v>20</v>
      </c>
      <c r="T481" s="1250">
        <v>85</v>
      </c>
      <c r="U481" s="1250"/>
      <c r="V481" s="1250"/>
      <c r="W481" s="1251">
        <v>20</v>
      </c>
      <c r="X481" s="1250">
        <v>85</v>
      </c>
      <c r="Y481" s="1250"/>
      <c r="Z481" s="1250"/>
      <c r="AA481" s="1250"/>
      <c r="AB481" s="1250"/>
      <c r="AC481" s="1250"/>
      <c r="AD481" s="1250"/>
      <c r="AE481" s="1249">
        <v>10</v>
      </c>
      <c r="AF481" s="1250">
        <v>85</v>
      </c>
      <c r="AG481" s="111"/>
      <c r="AH481" s="111"/>
      <c r="AI481" s="111"/>
      <c r="AJ481" s="111"/>
      <c r="AK481" s="111"/>
      <c r="AL481" s="111"/>
      <c r="AM481" s="111">
        <v>255</v>
      </c>
    </row>
    <row r="482" spans="1:39" ht="15" customHeight="1" x14ac:dyDescent="0.25">
      <c r="A482" s="1409"/>
      <c r="B482" s="1409"/>
      <c r="C482" s="1409"/>
      <c r="D482" s="1409"/>
      <c r="E482" s="1247"/>
      <c r="F482" s="1248" t="s">
        <v>4509</v>
      </c>
      <c r="G482" s="111"/>
      <c r="H482" s="1249">
        <v>50</v>
      </c>
      <c r="I482" s="111" t="s">
        <v>1721</v>
      </c>
      <c r="J482" s="1321" t="s">
        <v>5608</v>
      </c>
      <c r="K482" s="162" t="s">
        <v>5610</v>
      </c>
      <c r="L482" s="162" t="s">
        <v>5609</v>
      </c>
      <c r="M482" s="111">
        <v>5.0999999999999996</v>
      </c>
      <c r="N482" s="111">
        <v>254.99999999999997</v>
      </c>
      <c r="O482" s="111"/>
      <c r="P482" s="111"/>
      <c r="Q482" s="111"/>
      <c r="R482" s="111"/>
      <c r="S482" s="1249">
        <v>20</v>
      </c>
      <c r="T482" s="1250">
        <v>85</v>
      </c>
      <c r="U482" s="1250"/>
      <c r="V482" s="1250"/>
      <c r="W482" s="1251">
        <v>20</v>
      </c>
      <c r="X482" s="1250">
        <v>85</v>
      </c>
      <c r="Y482" s="1250"/>
      <c r="Z482" s="1250"/>
      <c r="AA482" s="1250"/>
      <c r="AB482" s="1250"/>
      <c r="AC482" s="1250"/>
      <c r="AD482" s="1250"/>
      <c r="AE482" s="1249">
        <v>10</v>
      </c>
      <c r="AF482" s="1250">
        <v>85</v>
      </c>
      <c r="AG482" s="111"/>
      <c r="AH482" s="111"/>
      <c r="AI482" s="111"/>
      <c r="AJ482" s="111"/>
      <c r="AK482" s="111"/>
      <c r="AL482" s="111"/>
      <c r="AM482" s="111">
        <v>255</v>
      </c>
    </row>
    <row r="483" spans="1:39" ht="15" customHeight="1" x14ac:dyDescent="0.25">
      <c r="A483" s="1409"/>
      <c r="B483" s="1409"/>
      <c r="C483" s="1409"/>
      <c r="D483" s="1409"/>
      <c r="E483" s="1247"/>
      <c r="F483" s="1248" t="s">
        <v>4510</v>
      </c>
      <c r="G483" s="111"/>
      <c r="H483" s="1249">
        <v>50</v>
      </c>
      <c r="I483" s="111" t="s">
        <v>1721</v>
      </c>
      <c r="J483" s="1321" t="s">
        <v>5608</v>
      </c>
      <c r="K483" s="162" t="s">
        <v>5610</v>
      </c>
      <c r="L483" s="162" t="s">
        <v>5609</v>
      </c>
      <c r="M483" s="111">
        <v>5.0999999999999996</v>
      </c>
      <c r="N483" s="111">
        <v>254.99999999999997</v>
      </c>
      <c r="O483" s="111"/>
      <c r="P483" s="111"/>
      <c r="Q483" s="111"/>
      <c r="R483" s="111"/>
      <c r="S483" s="1249">
        <v>20</v>
      </c>
      <c r="T483" s="1250">
        <v>85</v>
      </c>
      <c r="U483" s="1250"/>
      <c r="V483" s="1250"/>
      <c r="W483" s="1251">
        <v>20</v>
      </c>
      <c r="X483" s="1250">
        <v>85</v>
      </c>
      <c r="Y483" s="1250"/>
      <c r="Z483" s="1250"/>
      <c r="AA483" s="1250"/>
      <c r="AB483" s="1250"/>
      <c r="AC483" s="1250"/>
      <c r="AD483" s="1250"/>
      <c r="AE483" s="1249">
        <v>10</v>
      </c>
      <c r="AF483" s="1250">
        <v>85</v>
      </c>
      <c r="AG483" s="111"/>
      <c r="AH483" s="111"/>
      <c r="AI483" s="111"/>
      <c r="AJ483" s="111"/>
      <c r="AK483" s="111"/>
      <c r="AL483" s="111"/>
      <c r="AM483" s="111">
        <v>255</v>
      </c>
    </row>
    <row r="484" spans="1:39" ht="15" customHeight="1" x14ac:dyDescent="0.25">
      <c r="A484" s="1409"/>
      <c r="B484" s="1409"/>
      <c r="C484" s="1409"/>
      <c r="D484" s="1409"/>
      <c r="E484" s="1247"/>
      <c r="F484" s="1248" t="s">
        <v>4511</v>
      </c>
      <c r="G484" s="111"/>
      <c r="H484" s="1249">
        <v>50</v>
      </c>
      <c r="I484" s="111" t="s">
        <v>1721</v>
      </c>
      <c r="J484" s="1321" t="s">
        <v>5608</v>
      </c>
      <c r="K484" s="162" t="s">
        <v>5610</v>
      </c>
      <c r="L484" s="162" t="s">
        <v>5609</v>
      </c>
      <c r="M484" s="111">
        <v>5.0999999999999996</v>
      </c>
      <c r="N484" s="111">
        <v>254.99999999999997</v>
      </c>
      <c r="O484" s="111"/>
      <c r="P484" s="111"/>
      <c r="Q484" s="111"/>
      <c r="R484" s="111"/>
      <c r="S484" s="1249">
        <v>20</v>
      </c>
      <c r="T484" s="1250">
        <v>85</v>
      </c>
      <c r="U484" s="1250"/>
      <c r="V484" s="1250"/>
      <c r="W484" s="1251">
        <v>20</v>
      </c>
      <c r="X484" s="1250">
        <v>85</v>
      </c>
      <c r="Y484" s="1250"/>
      <c r="Z484" s="1250"/>
      <c r="AA484" s="1250"/>
      <c r="AB484" s="1250"/>
      <c r="AC484" s="1250"/>
      <c r="AD484" s="1250"/>
      <c r="AE484" s="1249">
        <v>10</v>
      </c>
      <c r="AF484" s="1250">
        <v>85</v>
      </c>
      <c r="AG484" s="111"/>
      <c r="AH484" s="111"/>
      <c r="AI484" s="111"/>
      <c r="AJ484" s="111"/>
      <c r="AK484" s="111"/>
      <c r="AL484" s="111"/>
      <c r="AM484" s="111">
        <v>255</v>
      </c>
    </row>
    <row r="485" spans="1:39" ht="15" customHeight="1" x14ac:dyDescent="0.25">
      <c r="A485" s="1409"/>
      <c r="B485" s="1409"/>
      <c r="C485" s="1409"/>
      <c r="D485" s="1409"/>
      <c r="E485" s="1247"/>
      <c r="F485" s="1248" t="s">
        <v>4512</v>
      </c>
      <c r="G485" s="111"/>
      <c r="H485" s="1249">
        <v>80</v>
      </c>
      <c r="I485" s="111" t="s">
        <v>1721</v>
      </c>
      <c r="J485" s="1321" t="s">
        <v>5608</v>
      </c>
      <c r="K485" s="162" t="s">
        <v>5610</v>
      </c>
      <c r="L485" s="162" t="s">
        <v>5609</v>
      </c>
      <c r="M485" s="111">
        <v>4.9899999999999993</v>
      </c>
      <c r="N485" s="111">
        <v>399.19999999999993</v>
      </c>
      <c r="O485" s="111"/>
      <c r="P485" s="111"/>
      <c r="Q485" s="111"/>
      <c r="R485" s="111"/>
      <c r="S485" s="1249">
        <v>40</v>
      </c>
      <c r="T485" s="1250">
        <v>133.06666666666663</v>
      </c>
      <c r="U485" s="1250"/>
      <c r="V485" s="1250"/>
      <c r="W485" s="1251">
        <v>40</v>
      </c>
      <c r="X485" s="1250">
        <v>133.06666666666663</v>
      </c>
      <c r="Y485" s="1250"/>
      <c r="Z485" s="1250"/>
      <c r="AA485" s="1250"/>
      <c r="AB485" s="1250"/>
      <c r="AC485" s="1250"/>
      <c r="AD485" s="1250"/>
      <c r="AE485" s="1249">
        <v>0</v>
      </c>
      <c r="AF485" s="1250">
        <v>133.06666666666663</v>
      </c>
      <c r="AG485" s="111"/>
      <c r="AH485" s="111"/>
      <c r="AI485" s="111"/>
      <c r="AJ485" s="111"/>
      <c r="AK485" s="111"/>
      <c r="AL485" s="111"/>
      <c r="AM485" s="111">
        <v>399.19999999999993</v>
      </c>
    </row>
    <row r="486" spans="1:39" ht="15" customHeight="1" x14ac:dyDescent="0.25">
      <c r="A486" s="1409"/>
      <c r="B486" s="1409"/>
      <c r="C486" s="1409"/>
      <c r="D486" s="1409"/>
      <c r="E486" s="1247"/>
      <c r="F486" s="1248" t="s">
        <v>4513</v>
      </c>
      <c r="G486" s="111"/>
      <c r="H486" s="1249">
        <v>30</v>
      </c>
      <c r="I486" s="111" t="s">
        <v>1721</v>
      </c>
      <c r="J486" s="1321" t="s">
        <v>5608</v>
      </c>
      <c r="K486" s="162" t="s">
        <v>5610</v>
      </c>
      <c r="L486" s="162" t="s">
        <v>5609</v>
      </c>
      <c r="M486" s="111">
        <v>5.0999999999999996</v>
      </c>
      <c r="N486" s="111">
        <v>153</v>
      </c>
      <c r="O486" s="111"/>
      <c r="P486" s="111"/>
      <c r="Q486" s="111"/>
      <c r="R486" s="111"/>
      <c r="S486" s="1249">
        <v>10</v>
      </c>
      <c r="T486" s="1250">
        <v>51</v>
      </c>
      <c r="U486" s="1250"/>
      <c r="V486" s="1250"/>
      <c r="W486" s="1251">
        <v>10</v>
      </c>
      <c r="X486" s="1250">
        <v>51</v>
      </c>
      <c r="Y486" s="1250"/>
      <c r="Z486" s="1250"/>
      <c r="AA486" s="1250"/>
      <c r="AB486" s="1250"/>
      <c r="AC486" s="1250"/>
      <c r="AD486" s="1250"/>
      <c r="AE486" s="1249">
        <v>10</v>
      </c>
      <c r="AF486" s="1250">
        <v>51</v>
      </c>
      <c r="AG486" s="111"/>
      <c r="AH486" s="111"/>
      <c r="AI486" s="111"/>
      <c r="AJ486" s="111"/>
      <c r="AK486" s="111"/>
      <c r="AL486" s="111"/>
      <c r="AM486" s="111">
        <v>153</v>
      </c>
    </row>
    <row r="487" spans="1:39" ht="15" customHeight="1" x14ac:dyDescent="0.25">
      <c r="A487" s="1409"/>
      <c r="B487" s="1409"/>
      <c r="C487" s="1409"/>
      <c r="D487" s="1409"/>
      <c r="E487" s="1247"/>
      <c r="F487" s="1248" t="s">
        <v>4514</v>
      </c>
      <c r="G487" s="111"/>
      <c r="H487" s="1249">
        <v>30</v>
      </c>
      <c r="I487" s="111" t="s">
        <v>1721</v>
      </c>
      <c r="J487" s="1321" t="s">
        <v>5608</v>
      </c>
      <c r="K487" s="162" t="s">
        <v>5610</v>
      </c>
      <c r="L487" s="162" t="s">
        <v>5609</v>
      </c>
      <c r="M487" s="111">
        <v>5.0999999999999996</v>
      </c>
      <c r="N487" s="111">
        <v>153</v>
      </c>
      <c r="O487" s="111"/>
      <c r="P487" s="111"/>
      <c r="Q487" s="111"/>
      <c r="R487" s="111"/>
      <c r="S487" s="1249">
        <v>10</v>
      </c>
      <c r="T487" s="1250">
        <v>51</v>
      </c>
      <c r="U487" s="1250"/>
      <c r="V487" s="1250"/>
      <c r="W487" s="1251">
        <v>10</v>
      </c>
      <c r="X487" s="1250">
        <v>51</v>
      </c>
      <c r="Y487" s="1250"/>
      <c r="Z487" s="1250"/>
      <c r="AA487" s="1250"/>
      <c r="AB487" s="1250"/>
      <c r="AC487" s="1250"/>
      <c r="AD487" s="1250"/>
      <c r="AE487" s="1249">
        <v>10</v>
      </c>
      <c r="AF487" s="1250">
        <v>51</v>
      </c>
      <c r="AG487" s="111"/>
      <c r="AH487" s="111"/>
      <c r="AI487" s="111"/>
      <c r="AJ487" s="111"/>
      <c r="AK487" s="111"/>
      <c r="AL487" s="111"/>
      <c r="AM487" s="111">
        <v>153</v>
      </c>
    </row>
    <row r="488" spans="1:39" ht="15" customHeight="1" x14ac:dyDescent="0.25">
      <c r="A488" s="1409"/>
      <c r="B488" s="1409"/>
      <c r="C488" s="1409"/>
      <c r="D488" s="1409"/>
      <c r="E488" s="1247"/>
      <c r="F488" s="1248" t="s">
        <v>4515</v>
      </c>
      <c r="G488" s="111"/>
      <c r="H488" s="1249">
        <v>30</v>
      </c>
      <c r="I488" s="111" t="s">
        <v>1721</v>
      </c>
      <c r="J488" s="1321" t="s">
        <v>5608</v>
      </c>
      <c r="K488" s="162" t="s">
        <v>5610</v>
      </c>
      <c r="L488" s="162" t="s">
        <v>5609</v>
      </c>
      <c r="M488" s="111">
        <v>5.0999999999999996</v>
      </c>
      <c r="N488" s="111">
        <v>153</v>
      </c>
      <c r="O488" s="111"/>
      <c r="P488" s="111"/>
      <c r="Q488" s="111"/>
      <c r="R488" s="111"/>
      <c r="S488" s="1249">
        <v>10</v>
      </c>
      <c r="T488" s="1250">
        <v>51</v>
      </c>
      <c r="U488" s="1250"/>
      <c r="V488" s="1250"/>
      <c r="W488" s="1251">
        <v>10</v>
      </c>
      <c r="X488" s="1250">
        <v>51</v>
      </c>
      <c r="Y488" s="1250"/>
      <c r="Z488" s="1250"/>
      <c r="AA488" s="1250"/>
      <c r="AB488" s="1250"/>
      <c r="AC488" s="1250"/>
      <c r="AD488" s="1250"/>
      <c r="AE488" s="1249">
        <v>10</v>
      </c>
      <c r="AF488" s="1250">
        <v>51</v>
      </c>
      <c r="AG488" s="111"/>
      <c r="AH488" s="111"/>
      <c r="AI488" s="111"/>
      <c r="AJ488" s="111"/>
      <c r="AK488" s="111"/>
      <c r="AL488" s="111"/>
      <c r="AM488" s="111">
        <v>153</v>
      </c>
    </row>
    <row r="489" spans="1:39" ht="15" customHeight="1" x14ac:dyDescent="0.25">
      <c r="A489" s="1409"/>
      <c r="B489" s="1409"/>
      <c r="C489" s="1409"/>
      <c r="D489" s="1409"/>
      <c r="E489" s="1247"/>
      <c r="F489" s="1248" t="s">
        <v>4516</v>
      </c>
      <c r="G489" s="111"/>
      <c r="H489" s="1249">
        <v>30</v>
      </c>
      <c r="I489" s="111" t="s">
        <v>1721</v>
      </c>
      <c r="J489" s="1321" t="s">
        <v>5608</v>
      </c>
      <c r="K489" s="162" t="s">
        <v>5610</v>
      </c>
      <c r="L489" s="162" t="s">
        <v>5609</v>
      </c>
      <c r="M489" s="111">
        <v>5.0999999999999996</v>
      </c>
      <c r="N489" s="111">
        <v>153</v>
      </c>
      <c r="O489" s="111"/>
      <c r="P489" s="111"/>
      <c r="Q489" s="111"/>
      <c r="R489" s="111"/>
      <c r="S489" s="1249">
        <v>10</v>
      </c>
      <c r="T489" s="1250">
        <v>51</v>
      </c>
      <c r="U489" s="1250"/>
      <c r="V489" s="1250"/>
      <c r="W489" s="1251">
        <v>10</v>
      </c>
      <c r="X489" s="1250">
        <v>51</v>
      </c>
      <c r="Y489" s="1250"/>
      <c r="Z489" s="1250"/>
      <c r="AA489" s="1250"/>
      <c r="AB489" s="1250"/>
      <c r="AC489" s="1250"/>
      <c r="AD489" s="1250"/>
      <c r="AE489" s="1249">
        <v>10</v>
      </c>
      <c r="AF489" s="1250">
        <v>51</v>
      </c>
      <c r="AG489" s="111"/>
      <c r="AH489" s="111"/>
      <c r="AI489" s="111"/>
      <c r="AJ489" s="111"/>
      <c r="AK489" s="111"/>
      <c r="AL489" s="111"/>
      <c r="AM489" s="111">
        <v>153</v>
      </c>
    </row>
    <row r="490" spans="1:39" ht="15" customHeight="1" x14ac:dyDescent="0.25">
      <c r="A490" s="1409"/>
      <c r="B490" s="1409"/>
      <c r="C490" s="1409"/>
      <c r="D490" s="1409"/>
      <c r="E490" s="1247"/>
      <c r="F490" s="1248" t="s">
        <v>4517</v>
      </c>
      <c r="G490" s="111"/>
      <c r="H490" s="1249">
        <v>15</v>
      </c>
      <c r="I490" s="111" t="s">
        <v>1721</v>
      </c>
      <c r="J490" s="1321" t="s">
        <v>5608</v>
      </c>
      <c r="K490" s="162" t="s">
        <v>5610</v>
      </c>
      <c r="L490" s="162" t="s">
        <v>5609</v>
      </c>
      <c r="M490" s="111">
        <v>10</v>
      </c>
      <c r="N490" s="111">
        <v>150</v>
      </c>
      <c r="O490" s="111"/>
      <c r="P490" s="111"/>
      <c r="Q490" s="111"/>
      <c r="R490" s="111"/>
      <c r="S490" s="1249">
        <v>5</v>
      </c>
      <c r="T490" s="1250">
        <v>50</v>
      </c>
      <c r="U490" s="1250"/>
      <c r="V490" s="1250"/>
      <c r="W490" s="1251">
        <v>5</v>
      </c>
      <c r="X490" s="1250">
        <v>50</v>
      </c>
      <c r="Y490" s="1250"/>
      <c r="Z490" s="1250"/>
      <c r="AA490" s="1250"/>
      <c r="AB490" s="1250"/>
      <c r="AC490" s="1250"/>
      <c r="AD490" s="1250"/>
      <c r="AE490" s="1249">
        <v>5</v>
      </c>
      <c r="AF490" s="1250">
        <v>50</v>
      </c>
      <c r="AG490" s="111"/>
      <c r="AH490" s="111"/>
      <c r="AI490" s="111"/>
      <c r="AJ490" s="111"/>
      <c r="AK490" s="111"/>
      <c r="AL490" s="111"/>
      <c r="AM490" s="111">
        <v>150</v>
      </c>
    </row>
    <row r="491" spans="1:39" ht="15" customHeight="1" x14ac:dyDescent="0.25">
      <c r="A491" s="1409"/>
      <c r="B491" s="1409"/>
      <c r="C491" s="1409"/>
      <c r="D491" s="1409"/>
      <c r="E491" s="1247"/>
      <c r="F491" s="1248" t="s">
        <v>4518</v>
      </c>
      <c r="G491" s="111"/>
      <c r="H491" s="1249">
        <v>15</v>
      </c>
      <c r="I491" s="111" t="s">
        <v>1721</v>
      </c>
      <c r="J491" s="1321" t="s">
        <v>5608</v>
      </c>
      <c r="K491" s="162" t="s">
        <v>5610</v>
      </c>
      <c r="L491" s="162" t="s">
        <v>5609</v>
      </c>
      <c r="M491" s="111">
        <v>10</v>
      </c>
      <c r="N491" s="111">
        <v>150</v>
      </c>
      <c r="O491" s="111"/>
      <c r="P491" s="111"/>
      <c r="Q491" s="111"/>
      <c r="R491" s="111"/>
      <c r="S491" s="1249">
        <v>5</v>
      </c>
      <c r="T491" s="1250">
        <v>50</v>
      </c>
      <c r="U491" s="1250"/>
      <c r="V491" s="1250"/>
      <c r="W491" s="1251">
        <v>5</v>
      </c>
      <c r="X491" s="1250">
        <v>50</v>
      </c>
      <c r="Y491" s="1250"/>
      <c r="Z491" s="1250"/>
      <c r="AA491" s="1250"/>
      <c r="AB491" s="1250"/>
      <c r="AC491" s="1250"/>
      <c r="AD491" s="1250"/>
      <c r="AE491" s="1249">
        <v>5</v>
      </c>
      <c r="AF491" s="1250">
        <v>50</v>
      </c>
      <c r="AG491" s="111"/>
      <c r="AH491" s="111"/>
      <c r="AI491" s="111"/>
      <c r="AJ491" s="111"/>
      <c r="AK491" s="111"/>
      <c r="AL491" s="111"/>
      <c r="AM491" s="111">
        <v>150</v>
      </c>
    </row>
    <row r="492" spans="1:39" ht="15" customHeight="1" x14ac:dyDescent="0.25">
      <c r="A492" s="1409"/>
      <c r="B492" s="1409"/>
      <c r="C492" s="1409"/>
      <c r="D492" s="1409"/>
      <c r="E492" s="1247"/>
      <c r="F492" s="1248" t="s">
        <v>4519</v>
      </c>
      <c r="G492" s="111"/>
      <c r="H492" s="1249">
        <v>15</v>
      </c>
      <c r="I492" s="111" t="s">
        <v>1721</v>
      </c>
      <c r="J492" s="1321" t="s">
        <v>5608</v>
      </c>
      <c r="K492" s="162" t="s">
        <v>5610</v>
      </c>
      <c r="L492" s="162" t="s">
        <v>5609</v>
      </c>
      <c r="M492" s="111">
        <v>10</v>
      </c>
      <c r="N492" s="111">
        <v>150</v>
      </c>
      <c r="O492" s="111"/>
      <c r="P492" s="111"/>
      <c r="Q492" s="111"/>
      <c r="R492" s="111"/>
      <c r="S492" s="1249">
        <v>5</v>
      </c>
      <c r="T492" s="1250">
        <v>50</v>
      </c>
      <c r="U492" s="1250"/>
      <c r="V492" s="1250"/>
      <c r="W492" s="1251">
        <v>5</v>
      </c>
      <c r="X492" s="1250">
        <v>50</v>
      </c>
      <c r="Y492" s="1250"/>
      <c r="Z492" s="1250"/>
      <c r="AA492" s="1250"/>
      <c r="AB492" s="1250"/>
      <c r="AC492" s="1250"/>
      <c r="AD492" s="1250"/>
      <c r="AE492" s="1249">
        <v>5</v>
      </c>
      <c r="AF492" s="1250">
        <v>50</v>
      </c>
      <c r="AG492" s="111"/>
      <c r="AH492" s="111"/>
      <c r="AI492" s="111"/>
      <c r="AJ492" s="111"/>
      <c r="AK492" s="111"/>
      <c r="AL492" s="111"/>
      <c r="AM492" s="111">
        <v>150</v>
      </c>
    </row>
    <row r="493" spans="1:39" ht="15" customHeight="1" x14ac:dyDescent="0.25">
      <c r="A493" s="1409"/>
      <c r="B493" s="1409"/>
      <c r="C493" s="1409"/>
      <c r="D493" s="1409"/>
      <c r="E493" s="1247"/>
      <c r="F493" s="1248" t="s">
        <v>4520</v>
      </c>
      <c r="G493" s="111"/>
      <c r="H493" s="1249">
        <v>50</v>
      </c>
      <c r="I493" s="111" t="s">
        <v>1721</v>
      </c>
      <c r="J493" s="1321" t="s">
        <v>5608</v>
      </c>
      <c r="K493" s="162" t="s">
        <v>5610</v>
      </c>
      <c r="L493" s="162" t="s">
        <v>5609</v>
      </c>
      <c r="M493" s="111">
        <v>18.899999999999999</v>
      </c>
      <c r="N493" s="111">
        <v>944.99999999999989</v>
      </c>
      <c r="O493" s="111"/>
      <c r="P493" s="111"/>
      <c r="Q493" s="111"/>
      <c r="R493" s="111"/>
      <c r="S493" s="1249">
        <v>20</v>
      </c>
      <c r="T493" s="1250">
        <v>315</v>
      </c>
      <c r="U493" s="1250"/>
      <c r="V493" s="1250"/>
      <c r="W493" s="1251">
        <v>20</v>
      </c>
      <c r="X493" s="1250">
        <v>315</v>
      </c>
      <c r="Y493" s="1250"/>
      <c r="Z493" s="1250"/>
      <c r="AA493" s="1250"/>
      <c r="AB493" s="1250"/>
      <c r="AC493" s="1250"/>
      <c r="AD493" s="1250"/>
      <c r="AE493" s="1249">
        <v>10</v>
      </c>
      <c r="AF493" s="1250">
        <v>315</v>
      </c>
      <c r="AG493" s="111"/>
      <c r="AH493" s="111"/>
      <c r="AI493" s="111"/>
      <c r="AJ493" s="111"/>
      <c r="AK493" s="111"/>
      <c r="AL493" s="111"/>
      <c r="AM493" s="111">
        <v>945</v>
      </c>
    </row>
    <row r="494" spans="1:39" ht="15" customHeight="1" x14ac:dyDescent="0.25">
      <c r="A494" s="1409"/>
      <c r="B494" s="1409"/>
      <c r="C494" s="1409"/>
      <c r="D494" s="1409"/>
      <c r="E494" s="1247"/>
      <c r="F494" s="1248" t="s">
        <v>4521</v>
      </c>
      <c r="G494" s="111"/>
      <c r="H494" s="1249">
        <v>50</v>
      </c>
      <c r="I494" s="111" t="s">
        <v>1721</v>
      </c>
      <c r="J494" s="1321" t="s">
        <v>5608</v>
      </c>
      <c r="K494" s="162" t="s">
        <v>5610</v>
      </c>
      <c r="L494" s="162" t="s">
        <v>5609</v>
      </c>
      <c r="M494" s="111">
        <v>18.899999999999999</v>
      </c>
      <c r="N494" s="111">
        <v>944.99999999999989</v>
      </c>
      <c r="O494" s="111"/>
      <c r="P494" s="111"/>
      <c r="Q494" s="111"/>
      <c r="R494" s="111"/>
      <c r="S494" s="1249">
        <v>20</v>
      </c>
      <c r="T494" s="1250">
        <v>315</v>
      </c>
      <c r="U494" s="1250"/>
      <c r="V494" s="1250"/>
      <c r="W494" s="1251">
        <v>20</v>
      </c>
      <c r="X494" s="1250">
        <v>315</v>
      </c>
      <c r="Y494" s="1250"/>
      <c r="Z494" s="1250"/>
      <c r="AA494" s="1250"/>
      <c r="AB494" s="1250"/>
      <c r="AC494" s="1250"/>
      <c r="AD494" s="1250"/>
      <c r="AE494" s="1249">
        <v>10</v>
      </c>
      <c r="AF494" s="1250">
        <v>315</v>
      </c>
      <c r="AG494" s="111"/>
      <c r="AH494" s="111"/>
      <c r="AI494" s="111"/>
      <c r="AJ494" s="111"/>
      <c r="AK494" s="111"/>
      <c r="AL494" s="111"/>
      <c r="AM494" s="111">
        <v>945</v>
      </c>
    </row>
    <row r="495" spans="1:39" ht="15" customHeight="1" x14ac:dyDescent="0.25">
      <c r="A495" s="1409"/>
      <c r="B495" s="1409"/>
      <c r="C495" s="1409"/>
      <c r="D495" s="1409"/>
      <c r="E495" s="1247"/>
      <c r="F495" s="1248" t="s">
        <v>4522</v>
      </c>
      <c r="G495" s="111"/>
      <c r="H495" s="1249">
        <v>50</v>
      </c>
      <c r="I495" s="111" t="s">
        <v>1721</v>
      </c>
      <c r="J495" s="1321" t="s">
        <v>5608</v>
      </c>
      <c r="K495" s="162" t="s">
        <v>5610</v>
      </c>
      <c r="L495" s="162" t="s">
        <v>5609</v>
      </c>
      <c r="M495" s="111">
        <v>18.899999999999999</v>
      </c>
      <c r="N495" s="111">
        <v>944.99999999999989</v>
      </c>
      <c r="O495" s="111"/>
      <c r="P495" s="111"/>
      <c r="Q495" s="111"/>
      <c r="R495" s="111"/>
      <c r="S495" s="1249">
        <v>20</v>
      </c>
      <c r="T495" s="1250">
        <v>315</v>
      </c>
      <c r="U495" s="1250"/>
      <c r="V495" s="1250"/>
      <c r="W495" s="1251">
        <v>20</v>
      </c>
      <c r="X495" s="1250">
        <v>315</v>
      </c>
      <c r="Y495" s="1250"/>
      <c r="Z495" s="1250"/>
      <c r="AA495" s="1250"/>
      <c r="AB495" s="1250"/>
      <c r="AC495" s="1250"/>
      <c r="AD495" s="1250"/>
      <c r="AE495" s="1249">
        <v>10</v>
      </c>
      <c r="AF495" s="1250">
        <v>315</v>
      </c>
      <c r="AG495" s="111"/>
      <c r="AH495" s="111"/>
      <c r="AI495" s="111"/>
      <c r="AJ495" s="111"/>
      <c r="AK495" s="111"/>
      <c r="AL495" s="111"/>
      <c r="AM495" s="111">
        <v>945</v>
      </c>
    </row>
    <row r="496" spans="1:39" ht="15" customHeight="1" x14ac:dyDescent="0.25">
      <c r="A496" s="1409"/>
      <c r="B496" s="1409"/>
      <c r="C496" s="1409"/>
      <c r="D496" s="1409"/>
      <c r="E496" s="1247"/>
      <c r="F496" s="1248" t="s">
        <v>4523</v>
      </c>
      <c r="G496" s="111"/>
      <c r="H496" s="1249">
        <v>50</v>
      </c>
      <c r="I496" s="111" t="s">
        <v>1721</v>
      </c>
      <c r="J496" s="1321" t="s">
        <v>5608</v>
      </c>
      <c r="K496" s="162" t="s">
        <v>5610</v>
      </c>
      <c r="L496" s="162" t="s">
        <v>5609</v>
      </c>
      <c r="M496" s="111">
        <v>18.899999999999999</v>
      </c>
      <c r="N496" s="111">
        <v>944.99999999999989</v>
      </c>
      <c r="O496" s="111"/>
      <c r="P496" s="111"/>
      <c r="Q496" s="111"/>
      <c r="R496" s="111"/>
      <c r="S496" s="1249">
        <v>20</v>
      </c>
      <c r="T496" s="1250">
        <v>315</v>
      </c>
      <c r="U496" s="1250"/>
      <c r="V496" s="1250"/>
      <c r="W496" s="1251">
        <v>20</v>
      </c>
      <c r="X496" s="1250">
        <v>315</v>
      </c>
      <c r="Y496" s="1250"/>
      <c r="Z496" s="1250"/>
      <c r="AA496" s="1250"/>
      <c r="AB496" s="1250"/>
      <c r="AC496" s="1250"/>
      <c r="AD496" s="1250"/>
      <c r="AE496" s="1249">
        <v>10</v>
      </c>
      <c r="AF496" s="1250">
        <v>315</v>
      </c>
      <c r="AG496" s="111"/>
      <c r="AH496" s="111"/>
      <c r="AI496" s="111"/>
      <c r="AJ496" s="111"/>
      <c r="AK496" s="111"/>
      <c r="AL496" s="111"/>
      <c r="AM496" s="111">
        <v>945</v>
      </c>
    </row>
    <row r="497" spans="1:39" ht="15" customHeight="1" x14ac:dyDescent="0.25">
      <c r="A497" s="1409"/>
      <c r="B497" s="1409"/>
      <c r="C497" s="1409"/>
      <c r="D497" s="1409"/>
      <c r="E497" s="1247"/>
      <c r="F497" s="1248" t="s">
        <v>4524</v>
      </c>
      <c r="G497" s="111"/>
      <c r="H497" s="1249">
        <v>50</v>
      </c>
      <c r="I497" s="111" t="s">
        <v>1721</v>
      </c>
      <c r="J497" s="1321" t="s">
        <v>5608</v>
      </c>
      <c r="K497" s="162" t="s">
        <v>5610</v>
      </c>
      <c r="L497" s="162" t="s">
        <v>5609</v>
      </c>
      <c r="M497" s="111">
        <v>18.899999999999999</v>
      </c>
      <c r="N497" s="111">
        <v>944.99999999999989</v>
      </c>
      <c r="O497" s="111"/>
      <c r="P497" s="111"/>
      <c r="Q497" s="111"/>
      <c r="R497" s="111"/>
      <c r="S497" s="1249">
        <v>20</v>
      </c>
      <c r="T497" s="1250">
        <v>315</v>
      </c>
      <c r="U497" s="1250"/>
      <c r="V497" s="1250"/>
      <c r="W497" s="1251">
        <v>20</v>
      </c>
      <c r="X497" s="1250">
        <v>315</v>
      </c>
      <c r="Y497" s="1250"/>
      <c r="Z497" s="1250"/>
      <c r="AA497" s="1250"/>
      <c r="AB497" s="1250"/>
      <c r="AC497" s="1250"/>
      <c r="AD497" s="1250"/>
      <c r="AE497" s="1249">
        <v>10</v>
      </c>
      <c r="AF497" s="1250">
        <v>315</v>
      </c>
      <c r="AG497" s="111"/>
      <c r="AH497" s="111"/>
      <c r="AI497" s="111"/>
      <c r="AJ497" s="111"/>
      <c r="AK497" s="111"/>
      <c r="AL497" s="111"/>
      <c r="AM497" s="111">
        <v>945</v>
      </c>
    </row>
    <row r="498" spans="1:39" ht="15" customHeight="1" x14ac:dyDescent="0.25">
      <c r="A498" s="1409"/>
      <c r="B498" s="1409"/>
      <c r="C498" s="1409"/>
      <c r="D498" s="1409"/>
      <c r="E498" s="1247"/>
      <c r="F498" s="1248" t="s">
        <v>4525</v>
      </c>
      <c r="G498" s="111"/>
      <c r="H498" s="1249">
        <v>50</v>
      </c>
      <c r="I498" s="111" t="s">
        <v>1721</v>
      </c>
      <c r="J498" s="1321" t="s">
        <v>5608</v>
      </c>
      <c r="K498" s="162" t="s">
        <v>5610</v>
      </c>
      <c r="L498" s="162" t="s">
        <v>5609</v>
      </c>
      <c r="M498" s="111">
        <v>18.899999999999999</v>
      </c>
      <c r="N498" s="111">
        <v>944.99999999999989</v>
      </c>
      <c r="O498" s="111"/>
      <c r="P498" s="111"/>
      <c r="Q498" s="111"/>
      <c r="R498" s="111"/>
      <c r="S498" s="1249">
        <v>20</v>
      </c>
      <c r="T498" s="1250">
        <v>315</v>
      </c>
      <c r="U498" s="1250"/>
      <c r="V498" s="1250"/>
      <c r="W498" s="1251">
        <v>20</v>
      </c>
      <c r="X498" s="1250">
        <v>315</v>
      </c>
      <c r="Y498" s="1250"/>
      <c r="Z498" s="1250"/>
      <c r="AA498" s="1250"/>
      <c r="AB498" s="1250"/>
      <c r="AC498" s="1250"/>
      <c r="AD498" s="1250"/>
      <c r="AE498" s="1249">
        <v>10</v>
      </c>
      <c r="AF498" s="1250">
        <v>315</v>
      </c>
      <c r="AG498" s="111"/>
      <c r="AH498" s="111"/>
      <c r="AI498" s="111"/>
      <c r="AJ498" s="111"/>
      <c r="AK498" s="111"/>
      <c r="AL498" s="111"/>
      <c r="AM498" s="111">
        <v>945</v>
      </c>
    </row>
    <row r="499" spans="1:39" ht="15" customHeight="1" x14ac:dyDescent="0.25">
      <c r="A499" s="1409"/>
      <c r="B499" s="1409"/>
      <c r="C499" s="1409"/>
      <c r="D499" s="1409"/>
      <c r="E499" s="1247"/>
      <c r="F499" s="1248" t="s">
        <v>4526</v>
      </c>
      <c r="G499" s="111"/>
      <c r="H499" s="1249">
        <v>50</v>
      </c>
      <c r="I499" s="111" t="s">
        <v>1721</v>
      </c>
      <c r="J499" s="1321" t="s">
        <v>5608</v>
      </c>
      <c r="K499" s="162" t="s">
        <v>5610</v>
      </c>
      <c r="L499" s="162" t="s">
        <v>5609</v>
      </c>
      <c r="M499" s="111">
        <v>18.899999999999999</v>
      </c>
      <c r="N499" s="111">
        <v>944.99999999999989</v>
      </c>
      <c r="O499" s="111"/>
      <c r="P499" s="111"/>
      <c r="Q499" s="111"/>
      <c r="R499" s="111"/>
      <c r="S499" s="1249">
        <v>20</v>
      </c>
      <c r="T499" s="1250">
        <v>315</v>
      </c>
      <c r="U499" s="1250"/>
      <c r="V499" s="1250"/>
      <c r="W499" s="1251">
        <v>20</v>
      </c>
      <c r="X499" s="1250">
        <v>315</v>
      </c>
      <c r="Y499" s="1250"/>
      <c r="Z499" s="1250"/>
      <c r="AA499" s="1250"/>
      <c r="AB499" s="1250"/>
      <c r="AC499" s="1250"/>
      <c r="AD499" s="1250"/>
      <c r="AE499" s="1249">
        <v>10</v>
      </c>
      <c r="AF499" s="1250">
        <v>315</v>
      </c>
      <c r="AG499" s="111"/>
      <c r="AH499" s="111"/>
      <c r="AI499" s="111"/>
      <c r="AJ499" s="111"/>
      <c r="AK499" s="111"/>
      <c r="AL499" s="111"/>
      <c r="AM499" s="111">
        <v>945</v>
      </c>
    </row>
    <row r="500" spans="1:39" ht="15" customHeight="1" x14ac:dyDescent="0.25">
      <c r="A500" s="1409"/>
      <c r="B500" s="1409"/>
      <c r="C500" s="1409"/>
      <c r="D500" s="1409"/>
      <c r="E500" s="1247"/>
      <c r="F500" s="1248" t="s">
        <v>4527</v>
      </c>
      <c r="G500" s="111"/>
      <c r="H500" s="1249">
        <v>50</v>
      </c>
      <c r="I500" s="111" t="s">
        <v>1721</v>
      </c>
      <c r="J500" s="1321" t="s">
        <v>5608</v>
      </c>
      <c r="K500" s="162" t="s">
        <v>5610</v>
      </c>
      <c r="L500" s="162" t="s">
        <v>5609</v>
      </c>
      <c r="M500" s="111">
        <v>18.899999999999999</v>
      </c>
      <c r="N500" s="111">
        <v>944.99999999999989</v>
      </c>
      <c r="O500" s="111"/>
      <c r="P500" s="111"/>
      <c r="Q500" s="111"/>
      <c r="R500" s="111"/>
      <c r="S500" s="1249">
        <v>20</v>
      </c>
      <c r="T500" s="1250">
        <v>315</v>
      </c>
      <c r="U500" s="1250"/>
      <c r="V500" s="1250"/>
      <c r="W500" s="1251">
        <v>20</v>
      </c>
      <c r="X500" s="1250">
        <v>315</v>
      </c>
      <c r="Y500" s="1250"/>
      <c r="Z500" s="1250"/>
      <c r="AA500" s="1250"/>
      <c r="AB500" s="1250"/>
      <c r="AC500" s="1250"/>
      <c r="AD500" s="1250"/>
      <c r="AE500" s="1249">
        <v>10</v>
      </c>
      <c r="AF500" s="1250">
        <v>315</v>
      </c>
      <c r="AG500" s="111"/>
      <c r="AH500" s="111"/>
      <c r="AI500" s="111"/>
      <c r="AJ500" s="111"/>
      <c r="AK500" s="111"/>
      <c r="AL500" s="111"/>
      <c r="AM500" s="111">
        <v>945</v>
      </c>
    </row>
    <row r="501" spans="1:39" ht="15" customHeight="1" x14ac:dyDescent="0.25">
      <c r="A501" s="1409"/>
      <c r="B501" s="1409"/>
      <c r="C501" s="1409"/>
      <c r="D501" s="1409"/>
      <c r="E501" s="1247"/>
      <c r="F501" s="1248" t="s">
        <v>4528</v>
      </c>
      <c r="G501" s="111"/>
      <c r="H501" s="1249">
        <v>50</v>
      </c>
      <c r="I501" s="111" t="s">
        <v>1721</v>
      </c>
      <c r="J501" s="1321" t="s">
        <v>5608</v>
      </c>
      <c r="K501" s="162" t="s">
        <v>5610</v>
      </c>
      <c r="L501" s="162" t="s">
        <v>5609</v>
      </c>
      <c r="M501" s="111">
        <v>18.899999999999999</v>
      </c>
      <c r="N501" s="111">
        <v>944.99999999999989</v>
      </c>
      <c r="O501" s="111"/>
      <c r="P501" s="111"/>
      <c r="Q501" s="111"/>
      <c r="R501" s="111"/>
      <c r="S501" s="1249">
        <v>20</v>
      </c>
      <c r="T501" s="1250">
        <v>315</v>
      </c>
      <c r="U501" s="1250"/>
      <c r="V501" s="1250"/>
      <c r="W501" s="1251">
        <v>20</v>
      </c>
      <c r="X501" s="1250">
        <v>315</v>
      </c>
      <c r="Y501" s="1250"/>
      <c r="Z501" s="1250"/>
      <c r="AA501" s="1250"/>
      <c r="AB501" s="1250"/>
      <c r="AC501" s="1250"/>
      <c r="AD501" s="1250"/>
      <c r="AE501" s="1249">
        <v>10</v>
      </c>
      <c r="AF501" s="1250">
        <v>315</v>
      </c>
      <c r="AG501" s="111"/>
      <c r="AH501" s="111"/>
      <c r="AI501" s="111"/>
      <c r="AJ501" s="111"/>
      <c r="AK501" s="111"/>
      <c r="AL501" s="111"/>
      <c r="AM501" s="111">
        <v>945</v>
      </c>
    </row>
    <row r="502" spans="1:39" ht="15" customHeight="1" x14ac:dyDescent="0.25">
      <c r="A502" s="1409"/>
      <c r="B502" s="1409"/>
      <c r="C502" s="1409"/>
      <c r="D502" s="1409"/>
      <c r="E502" s="1247"/>
      <c r="F502" s="1248" t="s">
        <v>4529</v>
      </c>
      <c r="G502" s="111"/>
      <c r="H502" s="1249">
        <v>50</v>
      </c>
      <c r="I502" s="111" t="s">
        <v>1721</v>
      </c>
      <c r="J502" s="1321" t="s">
        <v>5608</v>
      </c>
      <c r="K502" s="162" t="s">
        <v>5610</v>
      </c>
      <c r="L502" s="162" t="s">
        <v>5609</v>
      </c>
      <c r="M502" s="111">
        <v>18.899999999999999</v>
      </c>
      <c r="N502" s="111">
        <v>944.99999999999989</v>
      </c>
      <c r="O502" s="111"/>
      <c r="P502" s="111"/>
      <c r="Q502" s="111"/>
      <c r="R502" s="111"/>
      <c r="S502" s="1249">
        <v>20</v>
      </c>
      <c r="T502" s="1250">
        <v>315</v>
      </c>
      <c r="U502" s="1250"/>
      <c r="V502" s="1250"/>
      <c r="W502" s="1251">
        <v>20</v>
      </c>
      <c r="X502" s="1250">
        <v>315</v>
      </c>
      <c r="Y502" s="1250"/>
      <c r="Z502" s="1250"/>
      <c r="AA502" s="1250"/>
      <c r="AB502" s="1250"/>
      <c r="AC502" s="1250"/>
      <c r="AD502" s="1250"/>
      <c r="AE502" s="1249">
        <v>10</v>
      </c>
      <c r="AF502" s="1250">
        <v>315</v>
      </c>
      <c r="AG502" s="111"/>
      <c r="AH502" s="111"/>
      <c r="AI502" s="111"/>
      <c r="AJ502" s="111"/>
      <c r="AK502" s="111"/>
      <c r="AL502" s="111"/>
      <c r="AM502" s="111">
        <v>945</v>
      </c>
    </row>
    <row r="503" spans="1:39" ht="15" customHeight="1" x14ac:dyDescent="0.25">
      <c r="A503" s="1409"/>
      <c r="B503" s="1409"/>
      <c r="C503" s="1409"/>
      <c r="D503" s="1409"/>
      <c r="E503" s="1247"/>
      <c r="F503" s="1248" t="s">
        <v>4530</v>
      </c>
      <c r="G503" s="111"/>
      <c r="H503" s="1249">
        <v>50</v>
      </c>
      <c r="I503" s="111" t="s">
        <v>1721</v>
      </c>
      <c r="J503" s="1321" t="s">
        <v>5608</v>
      </c>
      <c r="K503" s="162" t="s">
        <v>5610</v>
      </c>
      <c r="L503" s="162" t="s">
        <v>5609</v>
      </c>
      <c r="M503" s="111">
        <v>18.899999999999999</v>
      </c>
      <c r="N503" s="111">
        <v>944.99999999999989</v>
      </c>
      <c r="O503" s="111"/>
      <c r="P503" s="111"/>
      <c r="Q503" s="111"/>
      <c r="R503" s="111"/>
      <c r="S503" s="1249">
        <v>20</v>
      </c>
      <c r="T503" s="1250">
        <v>315</v>
      </c>
      <c r="U503" s="1250"/>
      <c r="V503" s="1250"/>
      <c r="W503" s="1251">
        <v>20</v>
      </c>
      <c r="X503" s="1250">
        <v>315</v>
      </c>
      <c r="Y503" s="1250"/>
      <c r="Z503" s="1250"/>
      <c r="AA503" s="1250"/>
      <c r="AB503" s="1250"/>
      <c r="AC503" s="1250"/>
      <c r="AD503" s="1250"/>
      <c r="AE503" s="1249">
        <v>10</v>
      </c>
      <c r="AF503" s="1250">
        <v>315</v>
      </c>
      <c r="AG503" s="111"/>
      <c r="AH503" s="111"/>
      <c r="AI503" s="111"/>
      <c r="AJ503" s="111"/>
      <c r="AK503" s="111"/>
      <c r="AL503" s="111"/>
      <c r="AM503" s="111">
        <v>945</v>
      </c>
    </row>
    <row r="504" spans="1:39" ht="15" customHeight="1" x14ac:dyDescent="0.25">
      <c r="A504" s="1409"/>
      <c r="B504" s="1409"/>
      <c r="C504" s="1409"/>
      <c r="D504" s="1409"/>
      <c r="E504" s="1247"/>
      <c r="F504" s="1248" t="s">
        <v>4531</v>
      </c>
      <c r="G504" s="111"/>
      <c r="H504" s="1249">
        <v>50</v>
      </c>
      <c r="I504" s="111" t="s">
        <v>1721</v>
      </c>
      <c r="J504" s="1321" t="s">
        <v>5608</v>
      </c>
      <c r="K504" s="162" t="s">
        <v>5610</v>
      </c>
      <c r="L504" s="162" t="s">
        <v>5609</v>
      </c>
      <c r="M504" s="111">
        <v>18.899999999999999</v>
      </c>
      <c r="N504" s="111">
        <v>944.99999999999989</v>
      </c>
      <c r="O504" s="111"/>
      <c r="P504" s="111"/>
      <c r="Q504" s="111"/>
      <c r="R504" s="111"/>
      <c r="S504" s="1249">
        <v>20</v>
      </c>
      <c r="T504" s="1250">
        <v>315</v>
      </c>
      <c r="U504" s="1250"/>
      <c r="V504" s="1250"/>
      <c r="W504" s="1251">
        <v>20</v>
      </c>
      <c r="X504" s="1250">
        <v>315</v>
      </c>
      <c r="Y504" s="1250"/>
      <c r="Z504" s="1250"/>
      <c r="AA504" s="1250"/>
      <c r="AB504" s="1250"/>
      <c r="AC504" s="1250"/>
      <c r="AD504" s="1250"/>
      <c r="AE504" s="1249">
        <v>10</v>
      </c>
      <c r="AF504" s="1250">
        <v>315</v>
      </c>
      <c r="AG504" s="111"/>
      <c r="AH504" s="111"/>
      <c r="AI504" s="111"/>
      <c r="AJ504" s="111"/>
      <c r="AK504" s="111"/>
      <c r="AL504" s="111"/>
      <c r="AM504" s="111">
        <v>945</v>
      </c>
    </row>
    <row r="505" spans="1:39" ht="15" customHeight="1" x14ac:dyDescent="0.25">
      <c r="A505" s="1409"/>
      <c r="B505" s="1409"/>
      <c r="C505" s="1409"/>
      <c r="D505" s="1409"/>
      <c r="E505" s="1247"/>
      <c r="F505" s="1248" t="s">
        <v>4532</v>
      </c>
      <c r="G505" s="111"/>
      <c r="H505" s="1249">
        <v>50</v>
      </c>
      <c r="I505" s="111" t="s">
        <v>1721</v>
      </c>
      <c r="J505" s="1321" t="s">
        <v>5608</v>
      </c>
      <c r="K505" s="162" t="s">
        <v>5610</v>
      </c>
      <c r="L505" s="162" t="s">
        <v>5609</v>
      </c>
      <c r="M505" s="111">
        <v>18.899999999999999</v>
      </c>
      <c r="N505" s="111">
        <v>944.99999999999989</v>
      </c>
      <c r="O505" s="111"/>
      <c r="P505" s="111"/>
      <c r="Q505" s="111"/>
      <c r="R505" s="111"/>
      <c r="S505" s="1249">
        <v>20</v>
      </c>
      <c r="T505" s="1250">
        <v>315</v>
      </c>
      <c r="U505" s="1250"/>
      <c r="V505" s="1250"/>
      <c r="W505" s="1251">
        <v>20</v>
      </c>
      <c r="X505" s="1250">
        <v>315</v>
      </c>
      <c r="Y505" s="1250"/>
      <c r="Z505" s="1250"/>
      <c r="AA505" s="1250"/>
      <c r="AB505" s="1250"/>
      <c r="AC505" s="1250"/>
      <c r="AD505" s="1250"/>
      <c r="AE505" s="1249">
        <v>10</v>
      </c>
      <c r="AF505" s="1250">
        <v>315</v>
      </c>
      <c r="AG505" s="111"/>
      <c r="AH505" s="111"/>
      <c r="AI505" s="111"/>
      <c r="AJ505" s="111"/>
      <c r="AK505" s="111"/>
      <c r="AL505" s="111"/>
      <c r="AM505" s="111">
        <v>945</v>
      </c>
    </row>
    <row r="506" spans="1:39" ht="15" customHeight="1" x14ac:dyDescent="0.25">
      <c r="A506" s="1409"/>
      <c r="B506" s="1409"/>
      <c r="C506" s="1409"/>
      <c r="D506" s="1409"/>
      <c r="E506" s="1247"/>
      <c r="F506" s="1248" t="s">
        <v>4533</v>
      </c>
      <c r="G506" s="111"/>
      <c r="H506" s="1249">
        <v>50</v>
      </c>
      <c r="I506" s="111" t="s">
        <v>1721</v>
      </c>
      <c r="J506" s="1321" t="s">
        <v>5608</v>
      </c>
      <c r="K506" s="162" t="s">
        <v>5610</v>
      </c>
      <c r="L506" s="162" t="s">
        <v>5609</v>
      </c>
      <c r="M506" s="111">
        <v>18.899999999999999</v>
      </c>
      <c r="N506" s="111">
        <v>944.99999999999989</v>
      </c>
      <c r="O506" s="111"/>
      <c r="P506" s="111"/>
      <c r="Q506" s="111"/>
      <c r="R506" s="111"/>
      <c r="S506" s="1249">
        <v>20</v>
      </c>
      <c r="T506" s="1250">
        <v>315</v>
      </c>
      <c r="U506" s="1250"/>
      <c r="V506" s="1250"/>
      <c r="W506" s="1251">
        <v>20</v>
      </c>
      <c r="X506" s="1250">
        <v>315</v>
      </c>
      <c r="Y506" s="1250"/>
      <c r="Z506" s="1250"/>
      <c r="AA506" s="1250"/>
      <c r="AB506" s="1250"/>
      <c r="AC506" s="1250"/>
      <c r="AD506" s="1250"/>
      <c r="AE506" s="1249">
        <v>10</v>
      </c>
      <c r="AF506" s="1250">
        <v>315</v>
      </c>
      <c r="AG506" s="111"/>
      <c r="AH506" s="111"/>
      <c r="AI506" s="111"/>
      <c r="AJ506" s="111"/>
      <c r="AK506" s="111"/>
      <c r="AL506" s="111"/>
      <c r="AM506" s="111">
        <v>945</v>
      </c>
    </row>
    <row r="507" spans="1:39" ht="15" customHeight="1" x14ac:dyDescent="0.25">
      <c r="A507" s="1409"/>
      <c r="B507" s="1409"/>
      <c r="C507" s="1409"/>
      <c r="D507" s="1409"/>
      <c r="E507" s="1247"/>
      <c r="F507" s="1248" t="s">
        <v>4534</v>
      </c>
      <c r="G507" s="111"/>
      <c r="H507" s="1249">
        <v>50</v>
      </c>
      <c r="I507" s="111" t="s">
        <v>1721</v>
      </c>
      <c r="J507" s="1321" t="s">
        <v>5608</v>
      </c>
      <c r="K507" s="162" t="s">
        <v>5610</v>
      </c>
      <c r="L507" s="162" t="s">
        <v>5609</v>
      </c>
      <c r="M507" s="111">
        <v>18.899999999999999</v>
      </c>
      <c r="N507" s="111">
        <v>944.99999999999989</v>
      </c>
      <c r="O507" s="111"/>
      <c r="P507" s="111"/>
      <c r="Q507" s="111"/>
      <c r="R507" s="111"/>
      <c r="S507" s="1249">
        <v>20</v>
      </c>
      <c r="T507" s="1250">
        <v>315</v>
      </c>
      <c r="U507" s="1250"/>
      <c r="V507" s="1250"/>
      <c r="W507" s="1251">
        <v>20</v>
      </c>
      <c r="X507" s="1250">
        <v>315</v>
      </c>
      <c r="Y507" s="1250"/>
      <c r="Z507" s="1250"/>
      <c r="AA507" s="1250"/>
      <c r="AB507" s="1250"/>
      <c r="AC507" s="1250"/>
      <c r="AD507" s="1250"/>
      <c r="AE507" s="1249">
        <v>10</v>
      </c>
      <c r="AF507" s="1250">
        <v>315</v>
      </c>
      <c r="AG507" s="111"/>
      <c r="AH507" s="111"/>
      <c r="AI507" s="111"/>
      <c r="AJ507" s="111"/>
      <c r="AK507" s="111"/>
      <c r="AL507" s="111"/>
      <c r="AM507" s="111">
        <v>945</v>
      </c>
    </row>
    <row r="508" spans="1:39" ht="15" customHeight="1" x14ac:dyDescent="0.25">
      <c r="A508" s="1409"/>
      <c r="B508" s="1409"/>
      <c r="C508" s="1409"/>
      <c r="D508" s="1409"/>
      <c r="E508" s="1247"/>
      <c r="F508" s="1248" t="s">
        <v>4535</v>
      </c>
      <c r="G508" s="111"/>
      <c r="H508" s="1249">
        <v>50</v>
      </c>
      <c r="I508" s="111" t="s">
        <v>1721</v>
      </c>
      <c r="J508" s="1321" t="s">
        <v>5608</v>
      </c>
      <c r="K508" s="162" t="s">
        <v>5610</v>
      </c>
      <c r="L508" s="162" t="s">
        <v>5609</v>
      </c>
      <c r="M508" s="111">
        <v>18.899999999999999</v>
      </c>
      <c r="N508" s="111">
        <v>944.99999999999989</v>
      </c>
      <c r="O508" s="111"/>
      <c r="P508" s="111"/>
      <c r="Q508" s="111"/>
      <c r="R508" s="111"/>
      <c r="S508" s="1249">
        <v>20</v>
      </c>
      <c r="T508" s="1250">
        <v>315</v>
      </c>
      <c r="U508" s="1250"/>
      <c r="V508" s="1250"/>
      <c r="W508" s="1251">
        <v>20</v>
      </c>
      <c r="X508" s="1250">
        <v>315</v>
      </c>
      <c r="Y508" s="1250"/>
      <c r="Z508" s="1250"/>
      <c r="AA508" s="1250"/>
      <c r="AB508" s="1250"/>
      <c r="AC508" s="1250"/>
      <c r="AD508" s="1250"/>
      <c r="AE508" s="1249">
        <v>10</v>
      </c>
      <c r="AF508" s="1250">
        <v>315</v>
      </c>
      <c r="AG508" s="111"/>
      <c r="AH508" s="111"/>
      <c r="AI508" s="111"/>
      <c r="AJ508" s="111"/>
      <c r="AK508" s="111"/>
      <c r="AL508" s="111"/>
      <c r="AM508" s="111">
        <v>945</v>
      </c>
    </row>
    <row r="509" spans="1:39" ht="15" customHeight="1" x14ac:dyDescent="0.25">
      <c r="A509" s="1409"/>
      <c r="B509" s="1409"/>
      <c r="C509" s="1409"/>
      <c r="D509" s="1409"/>
      <c r="E509" s="1247"/>
      <c r="F509" s="1248" t="s">
        <v>4536</v>
      </c>
      <c r="G509" s="111"/>
      <c r="H509" s="1249">
        <v>50</v>
      </c>
      <c r="I509" s="111" t="s">
        <v>1721</v>
      </c>
      <c r="J509" s="1321" t="s">
        <v>5608</v>
      </c>
      <c r="K509" s="162" t="s">
        <v>5610</v>
      </c>
      <c r="L509" s="162" t="s">
        <v>5609</v>
      </c>
      <c r="M509" s="111">
        <v>18.899999999999999</v>
      </c>
      <c r="N509" s="111">
        <v>944.99999999999989</v>
      </c>
      <c r="O509" s="111"/>
      <c r="P509" s="111"/>
      <c r="Q509" s="111"/>
      <c r="R509" s="111"/>
      <c r="S509" s="1249">
        <v>20</v>
      </c>
      <c r="T509" s="1250">
        <v>315</v>
      </c>
      <c r="U509" s="1250"/>
      <c r="V509" s="1250"/>
      <c r="W509" s="1251">
        <v>20</v>
      </c>
      <c r="X509" s="1250">
        <v>315</v>
      </c>
      <c r="Y509" s="1250"/>
      <c r="Z509" s="1250"/>
      <c r="AA509" s="1250"/>
      <c r="AB509" s="1250"/>
      <c r="AC509" s="1250"/>
      <c r="AD509" s="1250"/>
      <c r="AE509" s="1249">
        <v>10</v>
      </c>
      <c r="AF509" s="1250">
        <v>315</v>
      </c>
      <c r="AG509" s="111"/>
      <c r="AH509" s="111"/>
      <c r="AI509" s="111"/>
      <c r="AJ509" s="111"/>
      <c r="AK509" s="111"/>
      <c r="AL509" s="111"/>
      <c r="AM509" s="111">
        <v>945</v>
      </c>
    </row>
    <row r="510" spans="1:39" ht="15" customHeight="1" x14ac:dyDescent="0.25">
      <c r="A510" s="1409"/>
      <c r="B510" s="1409"/>
      <c r="C510" s="1409"/>
      <c r="D510" s="1409"/>
      <c r="E510" s="1247"/>
      <c r="F510" s="1248" t="s">
        <v>4537</v>
      </c>
      <c r="G510" s="111"/>
      <c r="H510" s="1249">
        <v>50</v>
      </c>
      <c r="I510" s="111" t="s">
        <v>1721</v>
      </c>
      <c r="J510" s="1321" t="s">
        <v>5608</v>
      </c>
      <c r="K510" s="162" t="s">
        <v>5610</v>
      </c>
      <c r="L510" s="162" t="s">
        <v>5609</v>
      </c>
      <c r="M510" s="111">
        <v>13.9</v>
      </c>
      <c r="N510" s="111">
        <v>695</v>
      </c>
      <c r="O510" s="111"/>
      <c r="P510" s="111"/>
      <c r="Q510" s="111"/>
      <c r="R510" s="111"/>
      <c r="S510" s="1249">
        <v>20</v>
      </c>
      <c r="T510" s="1250">
        <v>231.66666666666666</v>
      </c>
      <c r="U510" s="1250"/>
      <c r="V510" s="1250"/>
      <c r="W510" s="1251">
        <v>20</v>
      </c>
      <c r="X510" s="1250">
        <v>231.66666666666666</v>
      </c>
      <c r="Y510" s="1250"/>
      <c r="Z510" s="1250"/>
      <c r="AA510" s="1250"/>
      <c r="AB510" s="1250"/>
      <c r="AC510" s="1250"/>
      <c r="AD510" s="1250"/>
      <c r="AE510" s="1249">
        <v>10</v>
      </c>
      <c r="AF510" s="1250">
        <v>231.66666666666666</v>
      </c>
      <c r="AG510" s="111"/>
      <c r="AH510" s="111"/>
      <c r="AI510" s="111"/>
      <c r="AJ510" s="111"/>
      <c r="AK510" s="111"/>
      <c r="AL510" s="111"/>
      <c r="AM510" s="111">
        <v>695</v>
      </c>
    </row>
    <row r="511" spans="1:39" ht="15" customHeight="1" x14ac:dyDescent="0.25">
      <c r="A511" s="1409"/>
      <c r="B511" s="1409"/>
      <c r="C511" s="1409"/>
      <c r="D511" s="1409"/>
      <c r="E511" s="1247"/>
      <c r="F511" s="1248" t="s">
        <v>4538</v>
      </c>
      <c r="G511" s="111"/>
      <c r="H511" s="1249">
        <v>50</v>
      </c>
      <c r="I511" s="111" t="s">
        <v>1721</v>
      </c>
      <c r="J511" s="1321" t="s">
        <v>5608</v>
      </c>
      <c r="K511" s="162" t="s">
        <v>5610</v>
      </c>
      <c r="L511" s="162" t="s">
        <v>5609</v>
      </c>
      <c r="M511" s="111">
        <v>13.9</v>
      </c>
      <c r="N511" s="111">
        <v>695</v>
      </c>
      <c r="O511" s="111"/>
      <c r="P511" s="111"/>
      <c r="Q511" s="111"/>
      <c r="R511" s="111"/>
      <c r="S511" s="1249">
        <v>20</v>
      </c>
      <c r="T511" s="1250">
        <v>231.66666666666666</v>
      </c>
      <c r="U511" s="1250"/>
      <c r="V511" s="1250"/>
      <c r="W511" s="1251">
        <v>20</v>
      </c>
      <c r="X511" s="1250">
        <v>231.66666666666666</v>
      </c>
      <c r="Y511" s="1250"/>
      <c r="Z511" s="1250"/>
      <c r="AA511" s="1250"/>
      <c r="AB511" s="1250"/>
      <c r="AC511" s="1250"/>
      <c r="AD511" s="1250"/>
      <c r="AE511" s="1249">
        <v>10</v>
      </c>
      <c r="AF511" s="1250">
        <v>231.66666666666666</v>
      </c>
      <c r="AG511" s="111"/>
      <c r="AH511" s="111"/>
      <c r="AI511" s="111"/>
      <c r="AJ511" s="111"/>
      <c r="AK511" s="111"/>
      <c r="AL511" s="111"/>
      <c r="AM511" s="111">
        <v>695</v>
      </c>
    </row>
    <row r="512" spans="1:39" ht="15" customHeight="1" x14ac:dyDescent="0.25">
      <c r="A512" s="1409"/>
      <c r="B512" s="1409"/>
      <c r="C512" s="1409"/>
      <c r="D512" s="1409"/>
      <c r="E512" s="1247"/>
      <c r="F512" s="1248" t="s">
        <v>4539</v>
      </c>
      <c r="G512" s="111"/>
      <c r="H512" s="1249">
        <v>50</v>
      </c>
      <c r="I512" s="111" t="s">
        <v>1721</v>
      </c>
      <c r="J512" s="1321" t="s">
        <v>5608</v>
      </c>
      <c r="K512" s="162" t="s">
        <v>5610</v>
      </c>
      <c r="L512" s="162" t="s">
        <v>5609</v>
      </c>
      <c r="M512" s="111">
        <v>13.9</v>
      </c>
      <c r="N512" s="111">
        <v>695</v>
      </c>
      <c r="O512" s="111"/>
      <c r="P512" s="111"/>
      <c r="Q512" s="111"/>
      <c r="R512" s="111"/>
      <c r="S512" s="1249">
        <v>20</v>
      </c>
      <c r="T512" s="1250">
        <v>231.66666666666666</v>
      </c>
      <c r="U512" s="1250"/>
      <c r="V512" s="1250"/>
      <c r="W512" s="1251">
        <v>20</v>
      </c>
      <c r="X512" s="1250">
        <v>231.66666666666666</v>
      </c>
      <c r="Y512" s="1250"/>
      <c r="Z512" s="1250"/>
      <c r="AA512" s="1250"/>
      <c r="AB512" s="1250"/>
      <c r="AC512" s="1250"/>
      <c r="AD512" s="1250"/>
      <c r="AE512" s="1249">
        <v>10</v>
      </c>
      <c r="AF512" s="1250">
        <v>231.66666666666666</v>
      </c>
      <c r="AG512" s="111"/>
      <c r="AH512" s="111"/>
      <c r="AI512" s="111"/>
      <c r="AJ512" s="111"/>
      <c r="AK512" s="111"/>
      <c r="AL512" s="111"/>
      <c r="AM512" s="111">
        <v>695</v>
      </c>
    </row>
    <row r="513" spans="1:39" ht="15" customHeight="1" x14ac:dyDescent="0.25">
      <c r="A513" s="1409"/>
      <c r="B513" s="1409"/>
      <c r="C513" s="1409"/>
      <c r="D513" s="1409"/>
      <c r="E513" s="1247"/>
      <c r="F513" s="1248" t="s">
        <v>4540</v>
      </c>
      <c r="G513" s="111"/>
      <c r="H513" s="1249">
        <v>50</v>
      </c>
      <c r="I513" s="111" t="s">
        <v>1721</v>
      </c>
      <c r="J513" s="1321" t="s">
        <v>5608</v>
      </c>
      <c r="K513" s="162" t="s">
        <v>5610</v>
      </c>
      <c r="L513" s="162" t="s">
        <v>5609</v>
      </c>
      <c r="M513" s="111">
        <v>13.9</v>
      </c>
      <c r="N513" s="111">
        <v>695</v>
      </c>
      <c r="O513" s="111"/>
      <c r="P513" s="111"/>
      <c r="Q513" s="111"/>
      <c r="R513" s="111"/>
      <c r="S513" s="1249">
        <v>20</v>
      </c>
      <c r="T513" s="1250">
        <v>231.66666666666666</v>
      </c>
      <c r="U513" s="1250"/>
      <c r="V513" s="1250"/>
      <c r="W513" s="1251">
        <v>20</v>
      </c>
      <c r="X513" s="1250">
        <v>231.66666666666666</v>
      </c>
      <c r="Y513" s="1250"/>
      <c r="Z513" s="1250"/>
      <c r="AA513" s="1250"/>
      <c r="AB513" s="1250"/>
      <c r="AC513" s="1250"/>
      <c r="AD513" s="1250"/>
      <c r="AE513" s="1249">
        <v>10</v>
      </c>
      <c r="AF513" s="1250">
        <v>231.66666666666666</v>
      </c>
      <c r="AG513" s="111"/>
      <c r="AH513" s="111"/>
      <c r="AI513" s="111"/>
      <c r="AJ513" s="111"/>
      <c r="AK513" s="111"/>
      <c r="AL513" s="111"/>
      <c r="AM513" s="111">
        <v>695</v>
      </c>
    </row>
    <row r="514" spans="1:39" ht="15" customHeight="1" x14ac:dyDescent="0.25">
      <c r="A514" s="1409"/>
      <c r="B514" s="1409"/>
      <c r="C514" s="1409"/>
      <c r="D514" s="1409"/>
      <c r="E514" s="1247"/>
      <c r="F514" s="1248" t="s">
        <v>4541</v>
      </c>
      <c r="G514" s="111"/>
      <c r="H514" s="1249">
        <v>50</v>
      </c>
      <c r="I514" s="111" t="s">
        <v>1721</v>
      </c>
      <c r="J514" s="1321" t="s">
        <v>5608</v>
      </c>
      <c r="K514" s="162" t="s">
        <v>5610</v>
      </c>
      <c r="L514" s="162" t="s">
        <v>5609</v>
      </c>
      <c r="M514" s="111">
        <v>13.9</v>
      </c>
      <c r="N514" s="111">
        <v>695</v>
      </c>
      <c r="O514" s="111"/>
      <c r="P514" s="111"/>
      <c r="Q514" s="111"/>
      <c r="R514" s="111"/>
      <c r="S514" s="1249">
        <v>20</v>
      </c>
      <c r="T514" s="1250">
        <v>231.66666666666666</v>
      </c>
      <c r="U514" s="1250"/>
      <c r="V514" s="1250"/>
      <c r="W514" s="1251">
        <v>20</v>
      </c>
      <c r="X514" s="1250">
        <v>231.66666666666666</v>
      </c>
      <c r="Y514" s="1250"/>
      <c r="Z514" s="1250"/>
      <c r="AA514" s="1250"/>
      <c r="AB514" s="1250"/>
      <c r="AC514" s="1250"/>
      <c r="AD514" s="1250"/>
      <c r="AE514" s="1249">
        <v>10</v>
      </c>
      <c r="AF514" s="1250">
        <v>231.66666666666666</v>
      </c>
      <c r="AG514" s="111"/>
      <c r="AH514" s="111"/>
      <c r="AI514" s="111"/>
      <c r="AJ514" s="111"/>
      <c r="AK514" s="111"/>
      <c r="AL514" s="111"/>
      <c r="AM514" s="111">
        <v>695</v>
      </c>
    </row>
    <row r="515" spans="1:39" ht="15" customHeight="1" x14ac:dyDescent="0.25">
      <c r="A515" s="1409"/>
      <c r="B515" s="1409"/>
      <c r="C515" s="1409"/>
      <c r="D515" s="1409"/>
      <c r="E515" s="1247"/>
      <c r="F515" s="1248" t="s">
        <v>4542</v>
      </c>
      <c r="G515" s="111"/>
      <c r="H515" s="1249">
        <v>50</v>
      </c>
      <c r="I515" s="111" t="s">
        <v>1721</v>
      </c>
      <c r="J515" s="1321" t="s">
        <v>5608</v>
      </c>
      <c r="K515" s="162" t="s">
        <v>5610</v>
      </c>
      <c r="L515" s="162" t="s">
        <v>5609</v>
      </c>
      <c r="M515" s="111">
        <v>13.9</v>
      </c>
      <c r="N515" s="111">
        <v>695</v>
      </c>
      <c r="O515" s="111"/>
      <c r="P515" s="111"/>
      <c r="Q515" s="111"/>
      <c r="R515" s="111"/>
      <c r="S515" s="1249">
        <v>20</v>
      </c>
      <c r="T515" s="1250">
        <v>231.66666666666666</v>
      </c>
      <c r="U515" s="1250"/>
      <c r="V515" s="1250"/>
      <c r="W515" s="1251">
        <v>20</v>
      </c>
      <c r="X515" s="1250">
        <v>231.66666666666666</v>
      </c>
      <c r="Y515" s="1250"/>
      <c r="Z515" s="1250"/>
      <c r="AA515" s="1250"/>
      <c r="AB515" s="1250"/>
      <c r="AC515" s="1250"/>
      <c r="AD515" s="1250"/>
      <c r="AE515" s="1249">
        <v>10</v>
      </c>
      <c r="AF515" s="1250">
        <v>231.66666666666666</v>
      </c>
      <c r="AG515" s="111"/>
      <c r="AH515" s="111"/>
      <c r="AI515" s="111"/>
      <c r="AJ515" s="111"/>
      <c r="AK515" s="111"/>
      <c r="AL515" s="111"/>
      <c r="AM515" s="111">
        <v>695</v>
      </c>
    </row>
    <row r="516" spans="1:39" ht="15" customHeight="1" x14ac:dyDescent="0.25">
      <c r="A516" s="1409"/>
      <c r="B516" s="1409"/>
      <c r="C516" s="1409"/>
      <c r="D516" s="1409"/>
      <c r="E516" s="1247"/>
      <c r="F516" s="1248" t="s">
        <v>4543</v>
      </c>
      <c r="G516" s="111"/>
      <c r="H516" s="1249">
        <v>50</v>
      </c>
      <c r="I516" s="111" t="s">
        <v>1721</v>
      </c>
      <c r="J516" s="1321" t="s">
        <v>5608</v>
      </c>
      <c r="K516" s="162" t="s">
        <v>5610</v>
      </c>
      <c r="L516" s="162" t="s">
        <v>5609</v>
      </c>
      <c r="M516" s="111">
        <v>13.9</v>
      </c>
      <c r="N516" s="111">
        <v>695</v>
      </c>
      <c r="O516" s="111"/>
      <c r="P516" s="111"/>
      <c r="Q516" s="111"/>
      <c r="R516" s="111"/>
      <c r="S516" s="1249">
        <v>20</v>
      </c>
      <c r="T516" s="1250">
        <v>231.66666666666666</v>
      </c>
      <c r="U516" s="1250"/>
      <c r="V516" s="1250"/>
      <c r="W516" s="1251">
        <v>20</v>
      </c>
      <c r="X516" s="1250">
        <v>231.66666666666666</v>
      </c>
      <c r="Y516" s="1250"/>
      <c r="Z516" s="1250"/>
      <c r="AA516" s="1250"/>
      <c r="AB516" s="1250"/>
      <c r="AC516" s="1250"/>
      <c r="AD516" s="1250"/>
      <c r="AE516" s="1249">
        <v>10</v>
      </c>
      <c r="AF516" s="1250">
        <v>231.66666666666666</v>
      </c>
      <c r="AG516" s="111"/>
      <c r="AH516" s="111"/>
      <c r="AI516" s="111"/>
      <c r="AJ516" s="111"/>
      <c r="AK516" s="111"/>
      <c r="AL516" s="111"/>
      <c r="AM516" s="111">
        <v>695</v>
      </c>
    </row>
    <row r="517" spans="1:39" ht="15" customHeight="1" x14ac:dyDescent="0.25">
      <c r="A517" s="1409"/>
      <c r="B517" s="1409"/>
      <c r="C517" s="1409"/>
      <c r="D517" s="1409"/>
      <c r="E517" s="1247"/>
      <c r="F517" s="1248" t="s">
        <v>4544</v>
      </c>
      <c r="G517" s="111"/>
      <c r="H517" s="1249">
        <v>50</v>
      </c>
      <c r="I517" s="111" t="s">
        <v>1721</v>
      </c>
      <c r="J517" s="1321" t="s">
        <v>5608</v>
      </c>
      <c r="K517" s="162" t="s">
        <v>5610</v>
      </c>
      <c r="L517" s="162" t="s">
        <v>5609</v>
      </c>
      <c r="M517" s="111">
        <v>13.9</v>
      </c>
      <c r="N517" s="111">
        <v>695</v>
      </c>
      <c r="O517" s="111"/>
      <c r="P517" s="111"/>
      <c r="Q517" s="111"/>
      <c r="R517" s="111"/>
      <c r="S517" s="1249">
        <v>20</v>
      </c>
      <c r="T517" s="1250">
        <v>231.66666666666666</v>
      </c>
      <c r="U517" s="1250"/>
      <c r="V517" s="1250"/>
      <c r="W517" s="1251">
        <v>20</v>
      </c>
      <c r="X517" s="1250">
        <v>231.66666666666666</v>
      </c>
      <c r="Y517" s="1250"/>
      <c r="Z517" s="1250"/>
      <c r="AA517" s="1250"/>
      <c r="AB517" s="1250"/>
      <c r="AC517" s="1250"/>
      <c r="AD517" s="1250"/>
      <c r="AE517" s="1249">
        <v>10</v>
      </c>
      <c r="AF517" s="1250">
        <v>231.66666666666666</v>
      </c>
      <c r="AG517" s="111"/>
      <c r="AH517" s="111"/>
      <c r="AI517" s="111"/>
      <c r="AJ517" s="111"/>
      <c r="AK517" s="111"/>
      <c r="AL517" s="111"/>
      <c r="AM517" s="111">
        <v>695</v>
      </c>
    </row>
    <row r="518" spans="1:39" ht="15" customHeight="1" x14ac:dyDescent="0.25">
      <c r="A518" s="1409"/>
      <c r="B518" s="1409"/>
      <c r="C518" s="1409"/>
      <c r="D518" s="1409"/>
      <c r="E518" s="1247"/>
      <c r="F518" s="1248" t="s">
        <v>4545</v>
      </c>
      <c r="G518" s="111"/>
      <c r="H518" s="1249">
        <v>50</v>
      </c>
      <c r="I518" s="111" t="s">
        <v>1721</v>
      </c>
      <c r="J518" s="1321" t="s">
        <v>5608</v>
      </c>
      <c r="K518" s="162" t="s">
        <v>5610</v>
      </c>
      <c r="L518" s="162" t="s">
        <v>5609</v>
      </c>
      <c r="M518" s="111">
        <v>13.9</v>
      </c>
      <c r="N518" s="111">
        <v>695</v>
      </c>
      <c r="O518" s="111"/>
      <c r="P518" s="111"/>
      <c r="Q518" s="111"/>
      <c r="R518" s="111"/>
      <c r="S518" s="1249">
        <v>20</v>
      </c>
      <c r="T518" s="1250">
        <v>231.66666666666666</v>
      </c>
      <c r="U518" s="1250"/>
      <c r="V518" s="1250"/>
      <c r="W518" s="1251">
        <v>20</v>
      </c>
      <c r="X518" s="1250">
        <v>231.66666666666666</v>
      </c>
      <c r="Y518" s="1250"/>
      <c r="Z518" s="1250"/>
      <c r="AA518" s="1250"/>
      <c r="AB518" s="1250"/>
      <c r="AC518" s="1250"/>
      <c r="AD518" s="1250"/>
      <c r="AE518" s="1249">
        <v>10</v>
      </c>
      <c r="AF518" s="1250">
        <v>231.66666666666666</v>
      </c>
      <c r="AG518" s="111"/>
      <c r="AH518" s="111"/>
      <c r="AI518" s="111"/>
      <c r="AJ518" s="111"/>
      <c r="AK518" s="111"/>
      <c r="AL518" s="111"/>
      <c r="AM518" s="111">
        <v>695</v>
      </c>
    </row>
    <row r="519" spans="1:39" ht="15" customHeight="1" x14ac:dyDescent="0.25">
      <c r="A519" s="1409"/>
      <c r="B519" s="1409"/>
      <c r="C519" s="1409"/>
      <c r="D519" s="1409"/>
      <c r="E519" s="1247"/>
      <c r="F519" s="1248" t="s">
        <v>4546</v>
      </c>
      <c r="G519" s="111"/>
      <c r="H519" s="1249">
        <v>50</v>
      </c>
      <c r="I519" s="111" t="s">
        <v>1721</v>
      </c>
      <c r="J519" s="1321" t="s">
        <v>5608</v>
      </c>
      <c r="K519" s="162" t="s">
        <v>5610</v>
      </c>
      <c r="L519" s="162" t="s">
        <v>5609</v>
      </c>
      <c r="M519" s="111">
        <v>13.9</v>
      </c>
      <c r="N519" s="111">
        <v>695</v>
      </c>
      <c r="O519" s="111"/>
      <c r="P519" s="111"/>
      <c r="Q519" s="111"/>
      <c r="R519" s="111"/>
      <c r="S519" s="1249">
        <v>20</v>
      </c>
      <c r="T519" s="1250">
        <v>231.66666666666666</v>
      </c>
      <c r="U519" s="1250"/>
      <c r="V519" s="1250"/>
      <c r="W519" s="1251">
        <v>20</v>
      </c>
      <c r="X519" s="1250">
        <v>231.66666666666666</v>
      </c>
      <c r="Y519" s="1250"/>
      <c r="Z519" s="1250"/>
      <c r="AA519" s="1250"/>
      <c r="AB519" s="1250"/>
      <c r="AC519" s="1250"/>
      <c r="AD519" s="1250"/>
      <c r="AE519" s="1249">
        <v>10</v>
      </c>
      <c r="AF519" s="1250">
        <v>231.66666666666666</v>
      </c>
      <c r="AG519" s="111"/>
      <c r="AH519" s="111"/>
      <c r="AI519" s="111"/>
      <c r="AJ519" s="111"/>
      <c r="AK519" s="111"/>
      <c r="AL519" s="111"/>
      <c r="AM519" s="111">
        <v>695</v>
      </c>
    </row>
    <row r="520" spans="1:39" ht="15" customHeight="1" x14ac:dyDescent="0.25">
      <c r="A520" s="1409"/>
      <c r="B520" s="1409"/>
      <c r="C520" s="1409"/>
      <c r="D520" s="1409"/>
      <c r="E520" s="1247"/>
      <c r="F520" s="1248" t="s">
        <v>4547</v>
      </c>
      <c r="G520" s="111"/>
      <c r="H520" s="1249">
        <v>50</v>
      </c>
      <c r="I520" s="111" t="s">
        <v>1721</v>
      </c>
      <c r="J520" s="1321" t="s">
        <v>5608</v>
      </c>
      <c r="K520" s="162" t="s">
        <v>5610</v>
      </c>
      <c r="L520" s="162" t="s">
        <v>5609</v>
      </c>
      <c r="M520" s="111">
        <v>13.9</v>
      </c>
      <c r="N520" s="111">
        <v>695</v>
      </c>
      <c r="O520" s="111"/>
      <c r="P520" s="111"/>
      <c r="Q520" s="111"/>
      <c r="R520" s="111"/>
      <c r="S520" s="1249">
        <v>20</v>
      </c>
      <c r="T520" s="1250">
        <v>231.66666666666666</v>
      </c>
      <c r="U520" s="1250"/>
      <c r="V520" s="1250"/>
      <c r="W520" s="1251">
        <v>20</v>
      </c>
      <c r="X520" s="1250">
        <v>231.66666666666666</v>
      </c>
      <c r="Y520" s="1250"/>
      <c r="Z520" s="1250"/>
      <c r="AA520" s="1250"/>
      <c r="AB520" s="1250"/>
      <c r="AC520" s="1250"/>
      <c r="AD520" s="1250"/>
      <c r="AE520" s="1249">
        <v>10</v>
      </c>
      <c r="AF520" s="1250">
        <v>231.66666666666666</v>
      </c>
      <c r="AG520" s="111"/>
      <c r="AH520" s="111"/>
      <c r="AI520" s="111"/>
      <c r="AJ520" s="111"/>
      <c r="AK520" s="111"/>
      <c r="AL520" s="111"/>
      <c r="AM520" s="111">
        <v>695</v>
      </c>
    </row>
    <row r="521" spans="1:39" ht="15" customHeight="1" x14ac:dyDescent="0.25">
      <c r="A521" s="1409"/>
      <c r="B521" s="1409"/>
      <c r="C521" s="1409"/>
      <c r="D521" s="1409"/>
      <c r="E521" s="1247"/>
      <c r="F521" s="1248" t="s">
        <v>4548</v>
      </c>
      <c r="G521" s="111"/>
      <c r="H521" s="1249">
        <v>50</v>
      </c>
      <c r="I521" s="111" t="s">
        <v>1721</v>
      </c>
      <c r="J521" s="1321" t="s">
        <v>5608</v>
      </c>
      <c r="K521" s="162" t="s">
        <v>5610</v>
      </c>
      <c r="L521" s="162" t="s">
        <v>5609</v>
      </c>
      <c r="M521" s="111">
        <v>13.9</v>
      </c>
      <c r="N521" s="111">
        <v>695</v>
      </c>
      <c r="O521" s="111"/>
      <c r="P521" s="111"/>
      <c r="Q521" s="111"/>
      <c r="R521" s="111"/>
      <c r="S521" s="1249">
        <v>20</v>
      </c>
      <c r="T521" s="1250">
        <v>231.66666666666666</v>
      </c>
      <c r="U521" s="1250"/>
      <c r="V521" s="1250"/>
      <c r="W521" s="1251">
        <v>20</v>
      </c>
      <c r="X521" s="1250">
        <v>231.66666666666666</v>
      </c>
      <c r="Y521" s="1250"/>
      <c r="Z521" s="1250"/>
      <c r="AA521" s="1250"/>
      <c r="AB521" s="1250"/>
      <c r="AC521" s="1250"/>
      <c r="AD521" s="1250"/>
      <c r="AE521" s="1249">
        <v>10</v>
      </c>
      <c r="AF521" s="1250">
        <v>231.66666666666666</v>
      </c>
      <c r="AG521" s="111"/>
      <c r="AH521" s="111"/>
      <c r="AI521" s="111"/>
      <c r="AJ521" s="111"/>
      <c r="AK521" s="111"/>
      <c r="AL521" s="111"/>
      <c r="AM521" s="111">
        <v>695</v>
      </c>
    </row>
    <row r="522" spans="1:39" ht="15" customHeight="1" x14ac:dyDescent="0.25">
      <c r="A522" s="1409"/>
      <c r="B522" s="1409"/>
      <c r="C522" s="1409"/>
      <c r="D522" s="1409"/>
      <c r="E522" s="1247"/>
      <c r="F522" s="1248" t="s">
        <v>4549</v>
      </c>
      <c r="G522" s="111"/>
      <c r="H522" s="1249">
        <v>50</v>
      </c>
      <c r="I522" s="111" t="s">
        <v>1721</v>
      </c>
      <c r="J522" s="1321" t="s">
        <v>5608</v>
      </c>
      <c r="K522" s="162" t="s">
        <v>5610</v>
      </c>
      <c r="L522" s="162" t="s">
        <v>5609</v>
      </c>
      <c r="M522" s="111">
        <v>13.9</v>
      </c>
      <c r="N522" s="111">
        <v>695</v>
      </c>
      <c r="O522" s="111"/>
      <c r="P522" s="111"/>
      <c r="Q522" s="111"/>
      <c r="R522" s="111"/>
      <c r="S522" s="1249">
        <v>20</v>
      </c>
      <c r="T522" s="1250">
        <v>231.66666666666666</v>
      </c>
      <c r="U522" s="1250"/>
      <c r="V522" s="1250"/>
      <c r="W522" s="1251">
        <v>20</v>
      </c>
      <c r="X522" s="1250">
        <v>231.66666666666666</v>
      </c>
      <c r="Y522" s="1250"/>
      <c r="Z522" s="1250"/>
      <c r="AA522" s="1250"/>
      <c r="AB522" s="1250"/>
      <c r="AC522" s="1250"/>
      <c r="AD522" s="1250"/>
      <c r="AE522" s="1249">
        <v>10</v>
      </c>
      <c r="AF522" s="1250">
        <v>231.66666666666666</v>
      </c>
      <c r="AG522" s="111"/>
      <c r="AH522" s="111"/>
      <c r="AI522" s="111"/>
      <c r="AJ522" s="111"/>
      <c r="AK522" s="111"/>
      <c r="AL522" s="111"/>
      <c r="AM522" s="111">
        <v>695</v>
      </c>
    </row>
    <row r="523" spans="1:39" ht="15" customHeight="1" x14ac:dyDescent="0.25">
      <c r="A523" s="1409"/>
      <c r="B523" s="1409"/>
      <c r="C523" s="1409"/>
      <c r="D523" s="1409"/>
      <c r="E523" s="1247"/>
      <c r="F523" s="1248" t="s">
        <v>4550</v>
      </c>
      <c r="G523" s="111"/>
      <c r="H523" s="1249">
        <v>50</v>
      </c>
      <c r="I523" s="111" t="s">
        <v>1721</v>
      </c>
      <c r="J523" s="1321" t="s">
        <v>5608</v>
      </c>
      <c r="K523" s="162" t="s">
        <v>5610</v>
      </c>
      <c r="L523" s="162" t="s">
        <v>5609</v>
      </c>
      <c r="M523" s="111">
        <v>13.9</v>
      </c>
      <c r="N523" s="111">
        <v>695</v>
      </c>
      <c r="O523" s="111"/>
      <c r="P523" s="111"/>
      <c r="Q523" s="111"/>
      <c r="R523" s="111"/>
      <c r="S523" s="1249">
        <v>20</v>
      </c>
      <c r="T523" s="1250">
        <v>231.66666666666666</v>
      </c>
      <c r="U523" s="1250"/>
      <c r="V523" s="1250"/>
      <c r="W523" s="1251">
        <v>20</v>
      </c>
      <c r="X523" s="1250">
        <v>231.66666666666666</v>
      </c>
      <c r="Y523" s="1250"/>
      <c r="Z523" s="1250"/>
      <c r="AA523" s="1250"/>
      <c r="AB523" s="1250"/>
      <c r="AC523" s="1250"/>
      <c r="AD523" s="1250"/>
      <c r="AE523" s="1249">
        <v>10</v>
      </c>
      <c r="AF523" s="1250">
        <v>231.66666666666666</v>
      </c>
      <c r="AG523" s="111"/>
      <c r="AH523" s="111"/>
      <c r="AI523" s="111"/>
      <c r="AJ523" s="111"/>
      <c r="AK523" s="111"/>
      <c r="AL523" s="111"/>
      <c r="AM523" s="111">
        <v>695</v>
      </c>
    </row>
    <row r="524" spans="1:39" ht="15" customHeight="1" x14ac:dyDescent="0.25">
      <c r="A524" s="1409"/>
      <c r="B524" s="1409"/>
      <c r="C524" s="1409"/>
      <c r="D524" s="1409"/>
      <c r="E524" s="1247"/>
      <c r="F524" s="1248" t="s">
        <v>4551</v>
      </c>
      <c r="G524" s="111"/>
      <c r="H524" s="1249">
        <v>50</v>
      </c>
      <c r="I524" s="111" t="s">
        <v>1721</v>
      </c>
      <c r="J524" s="1321" t="s">
        <v>5608</v>
      </c>
      <c r="K524" s="162" t="s">
        <v>5610</v>
      </c>
      <c r="L524" s="162" t="s">
        <v>5609</v>
      </c>
      <c r="M524" s="111">
        <v>13.9</v>
      </c>
      <c r="N524" s="111">
        <v>695</v>
      </c>
      <c r="O524" s="111"/>
      <c r="P524" s="111"/>
      <c r="Q524" s="111"/>
      <c r="R524" s="111"/>
      <c r="S524" s="1249">
        <v>20</v>
      </c>
      <c r="T524" s="1250">
        <v>231.66666666666666</v>
      </c>
      <c r="U524" s="1250"/>
      <c r="V524" s="1250"/>
      <c r="W524" s="1251">
        <v>20</v>
      </c>
      <c r="X524" s="1250">
        <v>231.66666666666666</v>
      </c>
      <c r="Y524" s="1250"/>
      <c r="Z524" s="1250"/>
      <c r="AA524" s="1250"/>
      <c r="AB524" s="1250"/>
      <c r="AC524" s="1250"/>
      <c r="AD524" s="1250"/>
      <c r="AE524" s="1249">
        <v>10</v>
      </c>
      <c r="AF524" s="1250">
        <v>231.66666666666666</v>
      </c>
      <c r="AG524" s="111"/>
      <c r="AH524" s="111"/>
      <c r="AI524" s="111"/>
      <c r="AJ524" s="111"/>
      <c r="AK524" s="111"/>
      <c r="AL524" s="111"/>
      <c r="AM524" s="111">
        <v>695</v>
      </c>
    </row>
    <row r="525" spans="1:39" ht="15" customHeight="1" x14ac:dyDescent="0.25">
      <c r="A525" s="1409"/>
      <c r="B525" s="1409"/>
      <c r="C525" s="1409"/>
      <c r="D525" s="1409"/>
      <c r="E525" s="1247"/>
      <c r="F525" s="1248" t="s">
        <v>4552</v>
      </c>
      <c r="G525" s="111"/>
      <c r="H525" s="1249">
        <v>50</v>
      </c>
      <c r="I525" s="111" t="s">
        <v>1721</v>
      </c>
      <c r="J525" s="1321" t="s">
        <v>5608</v>
      </c>
      <c r="K525" s="162" t="s">
        <v>5610</v>
      </c>
      <c r="L525" s="162" t="s">
        <v>5609</v>
      </c>
      <c r="M525" s="111">
        <v>13.9</v>
      </c>
      <c r="N525" s="111">
        <v>695</v>
      </c>
      <c r="O525" s="111"/>
      <c r="P525" s="111"/>
      <c r="Q525" s="111"/>
      <c r="R525" s="111"/>
      <c r="S525" s="1249">
        <v>20</v>
      </c>
      <c r="T525" s="1250">
        <v>231.66666666666666</v>
      </c>
      <c r="U525" s="1250"/>
      <c r="V525" s="1250"/>
      <c r="W525" s="1251">
        <v>20</v>
      </c>
      <c r="X525" s="1250">
        <v>231.66666666666666</v>
      </c>
      <c r="Y525" s="1250"/>
      <c r="Z525" s="1250"/>
      <c r="AA525" s="1250"/>
      <c r="AB525" s="1250"/>
      <c r="AC525" s="1250"/>
      <c r="AD525" s="1250"/>
      <c r="AE525" s="1249">
        <v>10</v>
      </c>
      <c r="AF525" s="1250">
        <v>231.66666666666666</v>
      </c>
      <c r="AG525" s="111"/>
      <c r="AH525" s="111"/>
      <c r="AI525" s="111"/>
      <c r="AJ525" s="111"/>
      <c r="AK525" s="111"/>
      <c r="AL525" s="111"/>
      <c r="AM525" s="111">
        <v>695</v>
      </c>
    </row>
    <row r="526" spans="1:39" ht="15" customHeight="1" x14ac:dyDescent="0.25">
      <c r="A526" s="1409"/>
      <c r="B526" s="1409"/>
      <c r="C526" s="1409"/>
      <c r="D526" s="1409"/>
      <c r="E526" s="1247"/>
      <c r="F526" s="1248" t="s">
        <v>4553</v>
      </c>
      <c r="G526" s="111"/>
      <c r="H526" s="1249">
        <v>50</v>
      </c>
      <c r="I526" s="111" t="s">
        <v>1721</v>
      </c>
      <c r="J526" s="1321" t="s">
        <v>5608</v>
      </c>
      <c r="K526" s="162" t="s">
        <v>5610</v>
      </c>
      <c r="L526" s="162" t="s">
        <v>5609</v>
      </c>
      <c r="M526" s="111">
        <v>13.9</v>
      </c>
      <c r="N526" s="111">
        <v>695</v>
      </c>
      <c r="O526" s="111"/>
      <c r="P526" s="111"/>
      <c r="Q526" s="111"/>
      <c r="R526" s="111"/>
      <c r="S526" s="1249">
        <v>20</v>
      </c>
      <c r="T526" s="1250">
        <v>231.66666666666666</v>
      </c>
      <c r="U526" s="1250"/>
      <c r="V526" s="1250"/>
      <c r="W526" s="1251">
        <v>20</v>
      </c>
      <c r="X526" s="1250">
        <v>231.66666666666666</v>
      </c>
      <c r="Y526" s="1250"/>
      <c r="Z526" s="1250"/>
      <c r="AA526" s="1250"/>
      <c r="AB526" s="1250"/>
      <c r="AC526" s="1250"/>
      <c r="AD526" s="1250"/>
      <c r="AE526" s="1249">
        <v>10</v>
      </c>
      <c r="AF526" s="1250">
        <v>231.66666666666666</v>
      </c>
      <c r="AG526" s="111"/>
      <c r="AH526" s="111"/>
      <c r="AI526" s="111"/>
      <c r="AJ526" s="111"/>
      <c r="AK526" s="111"/>
      <c r="AL526" s="111"/>
      <c r="AM526" s="111">
        <v>695</v>
      </c>
    </row>
    <row r="527" spans="1:39" ht="15" customHeight="1" x14ac:dyDescent="0.25">
      <c r="A527" s="1409"/>
      <c r="B527" s="1409"/>
      <c r="C527" s="1409"/>
      <c r="D527" s="1409"/>
      <c r="E527" s="1247"/>
      <c r="F527" s="1248" t="s">
        <v>4554</v>
      </c>
      <c r="G527" s="111"/>
      <c r="H527" s="1249">
        <v>50</v>
      </c>
      <c r="I527" s="111" t="s">
        <v>1721</v>
      </c>
      <c r="J527" s="1321" t="s">
        <v>5608</v>
      </c>
      <c r="K527" s="162" t="s">
        <v>5610</v>
      </c>
      <c r="L527" s="162" t="s">
        <v>5609</v>
      </c>
      <c r="M527" s="111">
        <v>13.9</v>
      </c>
      <c r="N527" s="111">
        <v>695</v>
      </c>
      <c r="O527" s="111"/>
      <c r="P527" s="111"/>
      <c r="Q527" s="111"/>
      <c r="R527" s="111"/>
      <c r="S527" s="1249">
        <v>20</v>
      </c>
      <c r="T527" s="1250">
        <v>231.66666666666666</v>
      </c>
      <c r="U527" s="1250"/>
      <c r="V527" s="1250"/>
      <c r="W527" s="1251">
        <v>20</v>
      </c>
      <c r="X527" s="1250">
        <v>231.66666666666666</v>
      </c>
      <c r="Y527" s="1250"/>
      <c r="Z527" s="1250"/>
      <c r="AA527" s="1250"/>
      <c r="AB527" s="1250"/>
      <c r="AC527" s="1250"/>
      <c r="AD527" s="1250"/>
      <c r="AE527" s="1249">
        <v>10</v>
      </c>
      <c r="AF527" s="1250">
        <v>231.66666666666666</v>
      </c>
      <c r="AG527" s="111"/>
      <c r="AH527" s="111"/>
      <c r="AI527" s="111"/>
      <c r="AJ527" s="111"/>
      <c r="AK527" s="111"/>
      <c r="AL527" s="111"/>
      <c r="AM527" s="111">
        <v>695</v>
      </c>
    </row>
    <row r="528" spans="1:39" ht="15" customHeight="1" x14ac:dyDescent="0.25">
      <c r="A528" s="1409"/>
      <c r="B528" s="1409"/>
      <c r="C528" s="1409"/>
      <c r="D528" s="1409"/>
      <c r="E528" s="1247"/>
      <c r="F528" s="1248" t="s">
        <v>4555</v>
      </c>
      <c r="G528" s="111"/>
      <c r="H528" s="1249">
        <v>20</v>
      </c>
      <c r="I528" s="111" t="s">
        <v>1721</v>
      </c>
      <c r="J528" s="1321" t="s">
        <v>5608</v>
      </c>
      <c r="K528" s="162" t="s">
        <v>5610</v>
      </c>
      <c r="L528" s="162" t="s">
        <v>5609</v>
      </c>
      <c r="M528" s="111">
        <v>7.38</v>
      </c>
      <c r="N528" s="111">
        <v>147.6</v>
      </c>
      <c r="O528" s="111"/>
      <c r="P528" s="111"/>
      <c r="Q528" s="111"/>
      <c r="R528" s="111"/>
      <c r="S528" s="1249">
        <v>10</v>
      </c>
      <c r="T528" s="1250">
        <v>49.199999999999996</v>
      </c>
      <c r="U528" s="1250"/>
      <c r="V528" s="1250"/>
      <c r="W528" s="1251">
        <v>5</v>
      </c>
      <c r="X528" s="1250">
        <v>49.199999999999996</v>
      </c>
      <c r="Y528" s="1250"/>
      <c r="Z528" s="1250"/>
      <c r="AA528" s="1250"/>
      <c r="AB528" s="1250"/>
      <c r="AC528" s="1250"/>
      <c r="AD528" s="1250"/>
      <c r="AE528" s="1249">
        <v>5</v>
      </c>
      <c r="AF528" s="1250">
        <v>49.199999999999996</v>
      </c>
      <c r="AG528" s="111"/>
      <c r="AH528" s="111"/>
      <c r="AI528" s="111"/>
      <c r="AJ528" s="111"/>
      <c r="AK528" s="111"/>
      <c r="AL528" s="111"/>
      <c r="AM528" s="111">
        <v>147.6</v>
      </c>
    </row>
    <row r="529" spans="1:39" ht="15" customHeight="1" x14ac:dyDescent="0.25">
      <c r="A529" s="1409"/>
      <c r="B529" s="1409"/>
      <c r="C529" s="1409"/>
      <c r="D529" s="1409"/>
      <c r="E529" s="1247"/>
      <c r="F529" s="1248" t="s">
        <v>4555</v>
      </c>
      <c r="G529" s="111"/>
      <c r="H529" s="1249">
        <v>20</v>
      </c>
      <c r="I529" s="111" t="s">
        <v>1721</v>
      </c>
      <c r="J529" s="1321" t="s">
        <v>5608</v>
      </c>
      <c r="K529" s="162" t="s">
        <v>5610</v>
      </c>
      <c r="L529" s="162" t="s">
        <v>5609</v>
      </c>
      <c r="M529" s="111">
        <v>7.38</v>
      </c>
      <c r="N529" s="111">
        <v>147.6</v>
      </c>
      <c r="O529" s="111"/>
      <c r="P529" s="111"/>
      <c r="Q529" s="111"/>
      <c r="R529" s="111"/>
      <c r="S529" s="1249">
        <v>10</v>
      </c>
      <c r="T529" s="1250">
        <v>49.199999999999996</v>
      </c>
      <c r="U529" s="1250"/>
      <c r="V529" s="1250"/>
      <c r="W529" s="1251">
        <v>5</v>
      </c>
      <c r="X529" s="1250">
        <v>49.199999999999996</v>
      </c>
      <c r="Y529" s="1250"/>
      <c r="Z529" s="1250"/>
      <c r="AA529" s="1250"/>
      <c r="AB529" s="1250"/>
      <c r="AC529" s="1250"/>
      <c r="AD529" s="1250"/>
      <c r="AE529" s="1249">
        <v>5</v>
      </c>
      <c r="AF529" s="1250">
        <v>49.199999999999996</v>
      </c>
      <c r="AG529" s="111"/>
      <c r="AH529" s="111"/>
      <c r="AI529" s="111"/>
      <c r="AJ529" s="111"/>
      <c r="AK529" s="111"/>
      <c r="AL529" s="111"/>
      <c r="AM529" s="111">
        <v>147.6</v>
      </c>
    </row>
    <row r="530" spans="1:39" ht="15" customHeight="1" x14ac:dyDescent="0.25">
      <c r="A530" s="1409"/>
      <c r="B530" s="1409"/>
      <c r="C530" s="1409"/>
      <c r="D530" s="1409"/>
      <c r="E530" s="1247"/>
      <c r="F530" s="1248" t="s">
        <v>4556</v>
      </c>
      <c r="G530" s="111"/>
      <c r="H530" s="1249">
        <v>20</v>
      </c>
      <c r="I530" s="111" t="s">
        <v>1721</v>
      </c>
      <c r="J530" s="1321" t="s">
        <v>5608</v>
      </c>
      <c r="K530" s="162" t="s">
        <v>5610</v>
      </c>
      <c r="L530" s="162" t="s">
        <v>5609</v>
      </c>
      <c r="M530" s="111">
        <v>7.38</v>
      </c>
      <c r="N530" s="111">
        <v>147.6</v>
      </c>
      <c r="O530" s="111"/>
      <c r="P530" s="111"/>
      <c r="Q530" s="111"/>
      <c r="R530" s="111"/>
      <c r="S530" s="1249">
        <v>10</v>
      </c>
      <c r="T530" s="1250">
        <v>49.199999999999996</v>
      </c>
      <c r="U530" s="1250"/>
      <c r="V530" s="1250"/>
      <c r="W530" s="1251">
        <v>5</v>
      </c>
      <c r="X530" s="1250">
        <v>49.199999999999996</v>
      </c>
      <c r="Y530" s="1250"/>
      <c r="Z530" s="1250"/>
      <c r="AA530" s="1250"/>
      <c r="AB530" s="1250"/>
      <c r="AC530" s="1250"/>
      <c r="AD530" s="1250"/>
      <c r="AE530" s="1249">
        <v>5</v>
      </c>
      <c r="AF530" s="1250">
        <v>49.199999999999996</v>
      </c>
      <c r="AG530" s="111"/>
      <c r="AH530" s="111"/>
      <c r="AI530" s="111"/>
      <c r="AJ530" s="111"/>
      <c r="AK530" s="111"/>
      <c r="AL530" s="111"/>
      <c r="AM530" s="111">
        <v>147.6</v>
      </c>
    </row>
    <row r="531" spans="1:39" ht="15" customHeight="1" x14ac:dyDescent="0.25">
      <c r="A531" s="1409"/>
      <c r="B531" s="1409"/>
      <c r="C531" s="1409"/>
      <c r="D531" s="1409"/>
      <c r="E531" s="1247"/>
      <c r="F531" s="1248" t="s">
        <v>4557</v>
      </c>
      <c r="G531" s="111"/>
      <c r="H531" s="1249">
        <v>20</v>
      </c>
      <c r="I531" s="111" t="s">
        <v>1721</v>
      </c>
      <c r="J531" s="1321" t="s">
        <v>5608</v>
      </c>
      <c r="K531" s="162" t="s">
        <v>5610</v>
      </c>
      <c r="L531" s="162" t="s">
        <v>5609</v>
      </c>
      <c r="M531" s="111">
        <v>7.38</v>
      </c>
      <c r="N531" s="111">
        <v>147.6</v>
      </c>
      <c r="O531" s="111"/>
      <c r="P531" s="111"/>
      <c r="Q531" s="111"/>
      <c r="R531" s="111"/>
      <c r="S531" s="1249">
        <v>10</v>
      </c>
      <c r="T531" s="1250">
        <v>49.199999999999996</v>
      </c>
      <c r="U531" s="1250"/>
      <c r="V531" s="1250"/>
      <c r="W531" s="1251">
        <v>5</v>
      </c>
      <c r="X531" s="1250">
        <v>49.199999999999996</v>
      </c>
      <c r="Y531" s="1250"/>
      <c r="Z531" s="1250"/>
      <c r="AA531" s="1250"/>
      <c r="AB531" s="1250"/>
      <c r="AC531" s="1250"/>
      <c r="AD531" s="1250"/>
      <c r="AE531" s="1249">
        <v>5</v>
      </c>
      <c r="AF531" s="1250">
        <v>49.199999999999996</v>
      </c>
      <c r="AG531" s="111"/>
      <c r="AH531" s="111"/>
      <c r="AI531" s="111"/>
      <c r="AJ531" s="111"/>
      <c r="AK531" s="111"/>
      <c r="AL531" s="111"/>
      <c r="AM531" s="111">
        <v>147.6</v>
      </c>
    </row>
    <row r="532" spans="1:39" ht="15" customHeight="1" x14ac:dyDescent="0.25">
      <c r="A532" s="1409"/>
      <c r="B532" s="1409"/>
      <c r="C532" s="1409"/>
      <c r="D532" s="1409"/>
      <c r="E532" s="1247"/>
      <c r="F532" s="1248" t="s">
        <v>4558</v>
      </c>
      <c r="G532" s="111"/>
      <c r="H532" s="1249">
        <v>20</v>
      </c>
      <c r="I532" s="111" t="s">
        <v>1721</v>
      </c>
      <c r="J532" s="1321" t="s">
        <v>5608</v>
      </c>
      <c r="K532" s="162" t="s">
        <v>5610</v>
      </c>
      <c r="L532" s="162" t="s">
        <v>5609</v>
      </c>
      <c r="M532" s="111">
        <v>7.38</v>
      </c>
      <c r="N532" s="111">
        <v>147.6</v>
      </c>
      <c r="O532" s="111"/>
      <c r="P532" s="111"/>
      <c r="Q532" s="111"/>
      <c r="R532" s="111"/>
      <c r="S532" s="1249">
        <v>10</v>
      </c>
      <c r="T532" s="1250">
        <v>49.199999999999996</v>
      </c>
      <c r="U532" s="1250"/>
      <c r="V532" s="1250"/>
      <c r="W532" s="1251">
        <v>5</v>
      </c>
      <c r="X532" s="1250">
        <v>49.199999999999996</v>
      </c>
      <c r="Y532" s="1250"/>
      <c r="Z532" s="1250"/>
      <c r="AA532" s="1250"/>
      <c r="AB532" s="1250"/>
      <c r="AC532" s="1250"/>
      <c r="AD532" s="1250"/>
      <c r="AE532" s="1249">
        <v>5</v>
      </c>
      <c r="AF532" s="1250">
        <v>49.199999999999996</v>
      </c>
      <c r="AG532" s="111"/>
      <c r="AH532" s="111"/>
      <c r="AI532" s="111"/>
      <c r="AJ532" s="111"/>
      <c r="AK532" s="111"/>
      <c r="AL532" s="111"/>
      <c r="AM532" s="111">
        <v>147.6</v>
      </c>
    </row>
    <row r="533" spans="1:39" ht="15" customHeight="1" x14ac:dyDescent="0.25">
      <c r="A533" s="1409"/>
      <c r="B533" s="1409"/>
      <c r="C533" s="1409"/>
      <c r="D533" s="1409"/>
      <c r="E533" s="1247"/>
      <c r="F533" s="1248" t="s">
        <v>4559</v>
      </c>
      <c r="G533" s="111"/>
      <c r="H533" s="1249">
        <v>20</v>
      </c>
      <c r="I533" s="111" t="s">
        <v>1721</v>
      </c>
      <c r="J533" s="1321" t="s">
        <v>5608</v>
      </c>
      <c r="K533" s="162" t="s">
        <v>5610</v>
      </c>
      <c r="L533" s="162" t="s">
        <v>5609</v>
      </c>
      <c r="M533" s="111">
        <v>7.38</v>
      </c>
      <c r="N533" s="111">
        <v>147.6</v>
      </c>
      <c r="O533" s="111"/>
      <c r="P533" s="111"/>
      <c r="Q533" s="111"/>
      <c r="R533" s="111"/>
      <c r="S533" s="1249">
        <v>10</v>
      </c>
      <c r="T533" s="1250">
        <v>49.199999999999996</v>
      </c>
      <c r="U533" s="1250"/>
      <c r="V533" s="1250"/>
      <c r="W533" s="1251">
        <v>5</v>
      </c>
      <c r="X533" s="1250">
        <v>49.199999999999996</v>
      </c>
      <c r="Y533" s="1250"/>
      <c r="Z533" s="1250"/>
      <c r="AA533" s="1250"/>
      <c r="AB533" s="1250"/>
      <c r="AC533" s="1250"/>
      <c r="AD533" s="1250"/>
      <c r="AE533" s="1249">
        <v>5</v>
      </c>
      <c r="AF533" s="1250">
        <v>49.199999999999996</v>
      </c>
      <c r="AG533" s="111"/>
      <c r="AH533" s="111"/>
      <c r="AI533" s="111"/>
      <c r="AJ533" s="111"/>
      <c r="AK533" s="111"/>
      <c r="AL533" s="111"/>
      <c r="AM533" s="111">
        <v>147.6</v>
      </c>
    </row>
    <row r="534" spans="1:39" ht="15" customHeight="1" x14ac:dyDescent="0.25">
      <c r="A534" s="1409"/>
      <c r="B534" s="1409"/>
      <c r="C534" s="1409"/>
      <c r="D534" s="1409"/>
      <c r="E534" s="1247"/>
      <c r="F534" s="1248" t="s">
        <v>4560</v>
      </c>
      <c r="G534" s="111"/>
      <c r="H534" s="1249">
        <v>20</v>
      </c>
      <c r="I534" s="111" t="s">
        <v>1721</v>
      </c>
      <c r="J534" s="1321" t="s">
        <v>5608</v>
      </c>
      <c r="K534" s="162" t="s">
        <v>5610</v>
      </c>
      <c r="L534" s="162" t="s">
        <v>5609</v>
      </c>
      <c r="M534" s="111">
        <v>7.38</v>
      </c>
      <c r="N534" s="111">
        <v>147.6</v>
      </c>
      <c r="O534" s="111"/>
      <c r="P534" s="111"/>
      <c r="Q534" s="111"/>
      <c r="R534" s="111"/>
      <c r="S534" s="1249">
        <v>10</v>
      </c>
      <c r="T534" s="1250">
        <v>49.199999999999996</v>
      </c>
      <c r="U534" s="1250"/>
      <c r="V534" s="1250"/>
      <c r="W534" s="1251">
        <v>5</v>
      </c>
      <c r="X534" s="1250">
        <v>49.199999999999996</v>
      </c>
      <c r="Y534" s="1250"/>
      <c r="Z534" s="1250"/>
      <c r="AA534" s="1250"/>
      <c r="AB534" s="1250"/>
      <c r="AC534" s="1250"/>
      <c r="AD534" s="1250"/>
      <c r="AE534" s="1249">
        <v>5</v>
      </c>
      <c r="AF534" s="1250">
        <v>49.199999999999996</v>
      </c>
      <c r="AG534" s="111"/>
      <c r="AH534" s="111"/>
      <c r="AI534" s="111"/>
      <c r="AJ534" s="111"/>
      <c r="AK534" s="111"/>
      <c r="AL534" s="111"/>
      <c r="AM534" s="111">
        <v>147.6</v>
      </c>
    </row>
    <row r="535" spans="1:39" ht="15" customHeight="1" x14ac:dyDescent="0.25">
      <c r="A535" s="1409"/>
      <c r="B535" s="1409"/>
      <c r="C535" s="1409"/>
      <c r="D535" s="1409"/>
      <c r="E535" s="1247"/>
      <c r="F535" s="1248" t="s">
        <v>4561</v>
      </c>
      <c r="G535" s="111"/>
      <c r="H535" s="1249">
        <v>20</v>
      </c>
      <c r="I535" s="111" t="s">
        <v>1721</v>
      </c>
      <c r="J535" s="1321" t="s">
        <v>5608</v>
      </c>
      <c r="K535" s="162" t="s">
        <v>5610</v>
      </c>
      <c r="L535" s="162" t="s">
        <v>5609</v>
      </c>
      <c r="M535" s="111">
        <v>7.38</v>
      </c>
      <c r="N535" s="111">
        <v>147.6</v>
      </c>
      <c r="O535" s="111"/>
      <c r="P535" s="111"/>
      <c r="Q535" s="111"/>
      <c r="R535" s="111"/>
      <c r="S535" s="1249">
        <v>10</v>
      </c>
      <c r="T535" s="1250">
        <v>49.199999999999996</v>
      </c>
      <c r="U535" s="1250"/>
      <c r="V535" s="1250"/>
      <c r="W535" s="1251">
        <v>5</v>
      </c>
      <c r="X535" s="1250">
        <v>49.199999999999996</v>
      </c>
      <c r="Y535" s="1250"/>
      <c r="Z535" s="1250"/>
      <c r="AA535" s="1250"/>
      <c r="AB535" s="1250"/>
      <c r="AC535" s="1250"/>
      <c r="AD535" s="1250"/>
      <c r="AE535" s="1249">
        <v>5</v>
      </c>
      <c r="AF535" s="1250">
        <v>49.199999999999996</v>
      </c>
      <c r="AG535" s="111"/>
      <c r="AH535" s="111"/>
      <c r="AI535" s="111"/>
      <c r="AJ535" s="111"/>
      <c r="AK535" s="111"/>
      <c r="AL535" s="111"/>
      <c r="AM535" s="111">
        <v>147.6</v>
      </c>
    </row>
    <row r="536" spans="1:39" ht="15" customHeight="1" x14ac:dyDescent="0.25">
      <c r="A536" s="1409"/>
      <c r="B536" s="1409"/>
      <c r="C536" s="1409"/>
      <c r="D536" s="1409"/>
      <c r="E536" s="1247"/>
      <c r="F536" s="1248" t="s">
        <v>4562</v>
      </c>
      <c r="G536" s="111"/>
      <c r="H536" s="1249">
        <v>30</v>
      </c>
      <c r="I536" s="111" t="s">
        <v>1721</v>
      </c>
      <c r="J536" s="1321" t="s">
        <v>5608</v>
      </c>
      <c r="K536" s="162" t="s">
        <v>5610</v>
      </c>
      <c r="L536" s="162" t="s">
        <v>5609</v>
      </c>
      <c r="M536" s="111">
        <v>7.379999999999999</v>
      </c>
      <c r="N536" s="111">
        <v>221.39999999999998</v>
      </c>
      <c r="O536" s="111"/>
      <c r="P536" s="111"/>
      <c r="Q536" s="111"/>
      <c r="R536" s="111"/>
      <c r="S536" s="1249">
        <v>10</v>
      </c>
      <c r="T536" s="1250">
        <v>73.8</v>
      </c>
      <c r="U536" s="1250"/>
      <c r="V536" s="1250"/>
      <c r="W536" s="1251">
        <v>10</v>
      </c>
      <c r="X536" s="1250">
        <v>73.8</v>
      </c>
      <c r="Y536" s="1250"/>
      <c r="Z536" s="1250"/>
      <c r="AA536" s="1250"/>
      <c r="AB536" s="1250"/>
      <c r="AC536" s="1250"/>
      <c r="AD536" s="1250"/>
      <c r="AE536" s="1249">
        <v>10</v>
      </c>
      <c r="AF536" s="1250">
        <v>73.8</v>
      </c>
      <c r="AG536" s="111"/>
      <c r="AH536" s="111"/>
      <c r="AI536" s="111"/>
      <c r="AJ536" s="111"/>
      <c r="AK536" s="111"/>
      <c r="AL536" s="111"/>
      <c r="AM536" s="111">
        <v>221.39999999999998</v>
      </c>
    </row>
    <row r="537" spans="1:39" ht="15" customHeight="1" x14ac:dyDescent="0.25">
      <c r="A537" s="1409"/>
      <c r="B537" s="1409"/>
      <c r="C537" s="1409"/>
      <c r="D537" s="1409"/>
      <c r="E537" s="1247"/>
      <c r="F537" s="1248" t="s">
        <v>4563</v>
      </c>
      <c r="G537" s="111"/>
      <c r="H537" s="1249">
        <v>20</v>
      </c>
      <c r="I537" s="111" t="s">
        <v>1721</v>
      </c>
      <c r="J537" s="1321" t="s">
        <v>5608</v>
      </c>
      <c r="K537" s="162" t="s">
        <v>5610</v>
      </c>
      <c r="L537" s="162" t="s">
        <v>5609</v>
      </c>
      <c r="M537" s="111">
        <v>7.38</v>
      </c>
      <c r="N537" s="111">
        <v>147.6</v>
      </c>
      <c r="O537" s="111"/>
      <c r="P537" s="111"/>
      <c r="Q537" s="111"/>
      <c r="R537" s="111"/>
      <c r="S537" s="1249">
        <v>10</v>
      </c>
      <c r="T537" s="1250">
        <v>49.199999999999996</v>
      </c>
      <c r="U537" s="1250"/>
      <c r="V537" s="1250"/>
      <c r="W537" s="1251">
        <v>5</v>
      </c>
      <c r="X537" s="1250">
        <v>49.199999999999996</v>
      </c>
      <c r="Y537" s="1250"/>
      <c r="Z537" s="1250"/>
      <c r="AA537" s="1250"/>
      <c r="AB537" s="1250"/>
      <c r="AC537" s="1250"/>
      <c r="AD537" s="1250"/>
      <c r="AE537" s="1249">
        <v>5</v>
      </c>
      <c r="AF537" s="1250">
        <v>49.199999999999996</v>
      </c>
      <c r="AG537" s="111"/>
      <c r="AH537" s="111"/>
      <c r="AI537" s="111"/>
      <c r="AJ537" s="111"/>
      <c r="AK537" s="111"/>
      <c r="AL537" s="111"/>
      <c r="AM537" s="111">
        <v>147.6</v>
      </c>
    </row>
    <row r="538" spans="1:39" ht="15" customHeight="1" x14ac:dyDescent="0.25">
      <c r="A538" s="1409"/>
      <c r="B538" s="1409"/>
      <c r="C538" s="1409"/>
      <c r="D538" s="1409"/>
      <c r="E538" s="1247"/>
      <c r="F538" s="1248" t="s">
        <v>4564</v>
      </c>
      <c r="G538" s="111"/>
      <c r="H538" s="1249">
        <v>20</v>
      </c>
      <c r="I538" s="111" t="s">
        <v>1721</v>
      </c>
      <c r="J538" s="1321" t="s">
        <v>5608</v>
      </c>
      <c r="K538" s="162" t="s">
        <v>5610</v>
      </c>
      <c r="L538" s="162" t="s">
        <v>5609</v>
      </c>
      <c r="M538" s="111">
        <v>7.38</v>
      </c>
      <c r="N538" s="111">
        <v>147.6</v>
      </c>
      <c r="O538" s="111"/>
      <c r="P538" s="111"/>
      <c r="Q538" s="111"/>
      <c r="R538" s="111"/>
      <c r="S538" s="1249">
        <v>10</v>
      </c>
      <c r="T538" s="1250">
        <v>49.199999999999996</v>
      </c>
      <c r="U538" s="1250"/>
      <c r="V538" s="1250"/>
      <c r="W538" s="1251">
        <v>5</v>
      </c>
      <c r="X538" s="1250">
        <v>49.199999999999996</v>
      </c>
      <c r="Y538" s="1250"/>
      <c r="Z538" s="1250"/>
      <c r="AA538" s="1250"/>
      <c r="AB538" s="1250"/>
      <c r="AC538" s="1250"/>
      <c r="AD538" s="1250"/>
      <c r="AE538" s="1249">
        <v>5</v>
      </c>
      <c r="AF538" s="1250">
        <v>49.199999999999996</v>
      </c>
      <c r="AG538" s="111"/>
      <c r="AH538" s="111"/>
      <c r="AI538" s="111"/>
      <c r="AJ538" s="111"/>
      <c r="AK538" s="111"/>
      <c r="AL538" s="111"/>
      <c r="AM538" s="111">
        <v>147.6</v>
      </c>
    </row>
    <row r="539" spans="1:39" ht="15" customHeight="1" x14ac:dyDescent="0.25">
      <c r="A539" s="1409"/>
      <c r="B539" s="1409"/>
      <c r="C539" s="1409"/>
      <c r="D539" s="1409"/>
      <c r="E539" s="1247"/>
      <c r="F539" s="1248" t="s">
        <v>4565</v>
      </c>
      <c r="G539" s="111"/>
      <c r="H539" s="1249">
        <v>20</v>
      </c>
      <c r="I539" s="111" t="s">
        <v>1721</v>
      </c>
      <c r="J539" s="1321" t="s">
        <v>5608</v>
      </c>
      <c r="K539" s="162" t="s">
        <v>5610</v>
      </c>
      <c r="L539" s="162" t="s">
        <v>5609</v>
      </c>
      <c r="M539" s="111">
        <v>7.38</v>
      </c>
      <c r="N539" s="111">
        <v>147.6</v>
      </c>
      <c r="O539" s="111"/>
      <c r="P539" s="111"/>
      <c r="Q539" s="111"/>
      <c r="R539" s="111"/>
      <c r="S539" s="1249">
        <v>10</v>
      </c>
      <c r="T539" s="1250">
        <v>49.199999999999996</v>
      </c>
      <c r="U539" s="1250"/>
      <c r="V539" s="1250"/>
      <c r="W539" s="1251">
        <v>5</v>
      </c>
      <c r="X539" s="1250">
        <v>49.199999999999996</v>
      </c>
      <c r="Y539" s="1250"/>
      <c r="Z539" s="1250"/>
      <c r="AA539" s="1250"/>
      <c r="AB539" s="1250"/>
      <c r="AC539" s="1250"/>
      <c r="AD539" s="1250"/>
      <c r="AE539" s="1249">
        <v>5</v>
      </c>
      <c r="AF539" s="1250">
        <v>49.199999999999996</v>
      </c>
      <c r="AG539" s="111"/>
      <c r="AH539" s="111"/>
      <c r="AI539" s="111"/>
      <c r="AJ539" s="111"/>
      <c r="AK539" s="111"/>
      <c r="AL539" s="111"/>
      <c r="AM539" s="111">
        <v>147.6</v>
      </c>
    </row>
    <row r="540" spans="1:39" ht="15" customHeight="1" x14ac:dyDescent="0.25">
      <c r="A540" s="1409"/>
      <c r="B540" s="1409"/>
      <c r="C540" s="1409"/>
      <c r="D540" s="1409"/>
      <c r="E540" s="1247"/>
      <c r="F540" s="1248" t="s">
        <v>4566</v>
      </c>
      <c r="G540" s="111"/>
      <c r="H540" s="1249">
        <v>20</v>
      </c>
      <c r="I540" s="111" t="s">
        <v>1721</v>
      </c>
      <c r="J540" s="1321" t="s">
        <v>5608</v>
      </c>
      <c r="K540" s="162" t="s">
        <v>5610</v>
      </c>
      <c r="L540" s="162" t="s">
        <v>5609</v>
      </c>
      <c r="M540" s="111">
        <v>7.38</v>
      </c>
      <c r="N540" s="111">
        <v>147.6</v>
      </c>
      <c r="O540" s="111"/>
      <c r="P540" s="111"/>
      <c r="Q540" s="111"/>
      <c r="R540" s="111"/>
      <c r="S540" s="1249">
        <v>10</v>
      </c>
      <c r="T540" s="1250">
        <v>49.199999999999996</v>
      </c>
      <c r="U540" s="1250"/>
      <c r="V540" s="1250"/>
      <c r="W540" s="1251">
        <v>5</v>
      </c>
      <c r="X540" s="1250">
        <v>49.199999999999996</v>
      </c>
      <c r="Y540" s="1250"/>
      <c r="Z540" s="1250"/>
      <c r="AA540" s="1250"/>
      <c r="AB540" s="1250"/>
      <c r="AC540" s="1250"/>
      <c r="AD540" s="1250"/>
      <c r="AE540" s="1249">
        <v>5</v>
      </c>
      <c r="AF540" s="1250">
        <v>49.199999999999996</v>
      </c>
      <c r="AG540" s="111"/>
      <c r="AH540" s="111"/>
      <c r="AI540" s="111"/>
      <c r="AJ540" s="111"/>
      <c r="AK540" s="111"/>
      <c r="AL540" s="111"/>
      <c r="AM540" s="111">
        <v>147.6</v>
      </c>
    </row>
    <row r="541" spans="1:39" ht="15" customHeight="1" x14ac:dyDescent="0.25">
      <c r="A541" s="1409"/>
      <c r="B541" s="1409"/>
      <c r="C541" s="1409"/>
      <c r="D541" s="1409"/>
      <c r="E541" s="1247"/>
      <c r="F541" s="1248" t="s">
        <v>4567</v>
      </c>
      <c r="G541" s="111"/>
      <c r="H541" s="1249">
        <v>30</v>
      </c>
      <c r="I541" s="111" t="s">
        <v>1721</v>
      </c>
      <c r="J541" s="1321" t="s">
        <v>5608</v>
      </c>
      <c r="K541" s="162" t="s">
        <v>5610</v>
      </c>
      <c r="L541" s="162" t="s">
        <v>5609</v>
      </c>
      <c r="M541" s="111">
        <v>7.379999999999999</v>
      </c>
      <c r="N541" s="111">
        <v>221.39999999999998</v>
      </c>
      <c r="O541" s="111"/>
      <c r="P541" s="111"/>
      <c r="Q541" s="111"/>
      <c r="R541" s="111"/>
      <c r="S541" s="1249">
        <v>10</v>
      </c>
      <c r="T541" s="1250">
        <v>73.8</v>
      </c>
      <c r="U541" s="1250"/>
      <c r="V541" s="1250"/>
      <c r="W541" s="1251">
        <v>10</v>
      </c>
      <c r="X541" s="1250">
        <v>73.8</v>
      </c>
      <c r="Y541" s="1250"/>
      <c r="Z541" s="1250"/>
      <c r="AA541" s="1250"/>
      <c r="AB541" s="1250"/>
      <c r="AC541" s="1250"/>
      <c r="AD541" s="1250"/>
      <c r="AE541" s="1249">
        <v>10</v>
      </c>
      <c r="AF541" s="1250">
        <v>73.8</v>
      </c>
      <c r="AG541" s="111"/>
      <c r="AH541" s="111"/>
      <c r="AI541" s="111"/>
      <c r="AJ541" s="111"/>
      <c r="AK541" s="111"/>
      <c r="AL541" s="111"/>
      <c r="AM541" s="111">
        <v>221.39999999999998</v>
      </c>
    </row>
    <row r="542" spans="1:39" ht="15" customHeight="1" x14ac:dyDescent="0.25">
      <c r="A542" s="1409"/>
      <c r="B542" s="1409"/>
      <c r="C542" s="1409"/>
      <c r="D542" s="1409"/>
      <c r="E542" s="1247"/>
      <c r="F542" s="1248" t="s">
        <v>4568</v>
      </c>
      <c r="G542" s="111"/>
      <c r="H542" s="1249">
        <v>30</v>
      </c>
      <c r="I542" s="111" t="s">
        <v>1721</v>
      </c>
      <c r="J542" s="1321" t="s">
        <v>5608</v>
      </c>
      <c r="K542" s="162" t="s">
        <v>5610</v>
      </c>
      <c r="L542" s="162" t="s">
        <v>5609</v>
      </c>
      <c r="M542" s="111">
        <v>7.379999999999999</v>
      </c>
      <c r="N542" s="111">
        <v>221.39999999999998</v>
      </c>
      <c r="O542" s="111"/>
      <c r="P542" s="111"/>
      <c r="Q542" s="111"/>
      <c r="R542" s="111"/>
      <c r="S542" s="1249">
        <v>10</v>
      </c>
      <c r="T542" s="1250">
        <v>73.8</v>
      </c>
      <c r="U542" s="1250"/>
      <c r="V542" s="1250"/>
      <c r="W542" s="1251">
        <v>10</v>
      </c>
      <c r="X542" s="1250">
        <v>73.8</v>
      </c>
      <c r="Y542" s="1250"/>
      <c r="Z542" s="1250"/>
      <c r="AA542" s="1250"/>
      <c r="AB542" s="1250"/>
      <c r="AC542" s="1250"/>
      <c r="AD542" s="1250"/>
      <c r="AE542" s="1249">
        <v>10</v>
      </c>
      <c r="AF542" s="1250">
        <v>73.8</v>
      </c>
      <c r="AG542" s="111"/>
      <c r="AH542" s="111"/>
      <c r="AI542" s="111"/>
      <c r="AJ542" s="111"/>
      <c r="AK542" s="111"/>
      <c r="AL542" s="111"/>
      <c r="AM542" s="111">
        <v>221.39999999999998</v>
      </c>
    </row>
    <row r="543" spans="1:39" ht="15" customHeight="1" x14ac:dyDescent="0.25">
      <c r="A543" s="1409"/>
      <c r="B543" s="1409"/>
      <c r="C543" s="1409"/>
      <c r="D543" s="1409"/>
      <c r="E543" s="1247"/>
      <c r="F543" s="1248" t="s">
        <v>4569</v>
      </c>
      <c r="G543" s="111"/>
      <c r="H543" s="1249">
        <v>20</v>
      </c>
      <c r="I543" s="111" t="s">
        <v>1721</v>
      </c>
      <c r="J543" s="1321" t="s">
        <v>5608</v>
      </c>
      <c r="K543" s="162" t="s">
        <v>5610</v>
      </c>
      <c r="L543" s="162" t="s">
        <v>5609</v>
      </c>
      <c r="M543" s="111">
        <v>7.38</v>
      </c>
      <c r="N543" s="111">
        <v>147.6</v>
      </c>
      <c r="O543" s="111"/>
      <c r="P543" s="111"/>
      <c r="Q543" s="111"/>
      <c r="R543" s="111"/>
      <c r="S543" s="1249">
        <v>10</v>
      </c>
      <c r="T543" s="1250">
        <v>49.199999999999996</v>
      </c>
      <c r="U543" s="1250"/>
      <c r="V543" s="1250"/>
      <c r="W543" s="1251">
        <v>5</v>
      </c>
      <c r="X543" s="1250">
        <v>49.199999999999996</v>
      </c>
      <c r="Y543" s="1250"/>
      <c r="Z543" s="1250"/>
      <c r="AA543" s="1250"/>
      <c r="AB543" s="1250"/>
      <c r="AC543" s="1250"/>
      <c r="AD543" s="1250"/>
      <c r="AE543" s="1249">
        <v>5</v>
      </c>
      <c r="AF543" s="1250">
        <v>49.199999999999996</v>
      </c>
      <c r="AG543" s="111"/>
      <c r="AH543" s="111"/>
      <c r="AI543" s="111"/>
      <c r="AJ543" s="111"/>
      <c r="AK543" s="111"/>
      <c r="AL543" s="111"/>
      <c r="AM543" s="111">
        <v>147.6</v>
      </c>
    </row>
    <row r="544" spans="1:39" ht="15" customHeight="1" x14ac:dyDescent="0.25">
      <c r="A544" s="1409"/>
      <c r="B544" s="1409"/>
      <c r="C544" s="1409"/>
      <c r="D544" s="1409"/>
      <c r="E544" s="1247"/>
      <c r="F544" s="1248" t="s">
        <v>4570</v>
      </c>
      <c r="G544" s="111"/>
      <c r="H544" s="1249">
        <v>20</v>
      </c>
      <c r="I544" s="111" t="s">
        <v>1721</v>
      </c>
      <c r="J544" s="1321" t="s">
        <v>5608</v>
      </c>
      <c r="K544" s="162" t="s">
        <v>5610</v>
      </c>
      <c r="L544" s="162" t="s">
        <v>5609</v>
      </c>
      <c r="M544" s="111">
        <v>7.38</v>
      </c>
      <c r="N544" s="111">
        <v>147.6</v>
      </c>
      <c r="O544" s="111"/>
      <c r="P544" s="111"/>
      <c r="Q544" s="111"/>
      <c r="R544" s="111"/>
      <c r="S544" s="1249">
        <v>10</v>
      </c>
      <c r="T544" s="1250">
        <v>49.199999999999996</v>
      </c>
      <c r="U544" s="1250"/>
      <c r="V544" s="1250"/>
      <c r="W544" s="1251">
        <v>5</v>
      </c>
      <c r="X544" s="1250">
        <v>49.199999999999996</v>
      </c>
      <c r="Y544" s="1250"/>
      <c r="Z544" s="1250"/>
      <c r="AA544" s="1250"/>
      <c r="AB544" s="1250"/>
      <c r="AC544" s="1250"/>
      <c r="AD544" s="1250"/>
      <c r="AE544" s="1249">
        <v>5</v>
      </c>
      <c r="AF544" s="1250">
        <v>49.199999999999996</v>
      </c>
      <c r="AG544" s="111"/>
      <c r="AH544" s="111"/>
      <c r="AI544" s="111"/>
      <c r="AJ544" s="111"/>
      <c r="AK544" s="111"/>
      <c r="AL544" s="111"/>
      <c r="AM544" s="111">
        <v>147.6</v>
      </c>
    </row>
    <row r="545" spans="1:39" ht="15" customHeight="1" x14ac:dyDescent="0.25">
      <c r="A545" s="1409"/>
      <c r="B545" s="1409"/>
      <c r="C545" s="1409"/>
      <c r="D545" s="1409"/>
      <c r="E545" s="1247"/>
      <c r="F545" s="1248" t="s">
        <v>4571</v>
      </c>
      <c r="G545" s="111"/>
      <c r="H545" s="1249">
        <v>30</v>
      </c>
      <c r="I545" s="111" t="s">
        <v>1721</v>
      </c>
      <c r="J545" s="1321" t="s">
        <v>5608</v>
      </c>
      <c r="K545" s="162" t="s">
        <v>5610</v>
      </c>
      <c r="L545" s="162" t="s">
        <v>5609</v>
      </c>
      <c r="M545" s="111">
        <v>7.379999999999999</v>
      </c>
      <c r="N545" s="111">
        <v>221.39999999999998</v>
      </c>
      <c r="O545" s="111"/>
      <c r="P545" s="111"/>
      <c r="Q545" s="111"/>
      <c r="R545" s="111"/>
      <c r="S545" s="1249">
        <v>10</v>
      </c>
      <c r="T545" s="1250">
        <v>73.8</v>
      </c>
      <c r="U545" s="1250"/>
      <c r="V545" s="1250"/>
      <c r="W545" s="1251">
        <v>10</v>
      </c>
      <c r="X545" s="1250">
        <v>73.8</v>
      </c>
      <c r="Y545" s="1250"/>
      <c r="Z545" s="1250"/>
      <c r="AA545" s="1250"/>
      <c r="AB545" s="1250"/>
      <c r="AC545" s="1250"/>
      <c r="AD545" s="1250"/>
      <c r="AE545" s="1249">
        <v>10</v>
      </c>
      <c r="AF545" s="1250">
        <v>73.8</v>
      </c>
      <c r="AG545" s="111"/>
      <c r="AH545" s="111"/>
      <c r="AI545" s="111"/>
      <c r="AJ545" s="111"/>
      <c r="AK545" s="111"/>
      <c r="AL545" s="111"/>
      <c r="AM545" s="111">
        <v>221.39999999999998</v>
      </c>
    </row>
    <row r="546" spans="1:39" ht="15" customHeight="1" x14ac:dyDescent="0.25">
      <c r="A546" s="1409"/>
      <c r="B546" s="1409"/>
      <c r="C546" s="1409"/>
      <c r="D546" s="1409"/>
      <c r="E546" s="1247"/>
      <c r="F546" s="1248" t="s">
        <v>4572</v>
      </c>
      <c r="G546" s="111"/>
      <c r="H546" s="1249">
        <v>20</v>
      </c>
      <c r="I546" s="111" t="s">
        <v>1721</v>
      </c>
      <c r="J546" s="1321" t="s">
        <v>5608</v>
      </c>
      <c r="K546" s="162" t="s">
        <v>5610</v>
      </c>
      <c r="L546" s="162" t="s">
        <v>5609</v>
      </c>
      <c r="M546" s="111">
        <v>2.38</v>
      </c>
      <c r="N546" s="111">
        <v>47.599999999999994</v>
      </c>
      <c r="O546" s="111"/>
      <c r="P546" s="111"/>
      <c r="Q546" s="111"/>
      <c r="R546" s="111"/>
      <c r="S546" s="1249">
        <v>10</v>
      </c>
      <c r="T546" s="1250">
        <v>15.866666666666667</v>
      </c>
      <c r="U546" s="1250"/>
      <c r="V546" s="1250"/>
      <c r="W546" s="1251">
        <v>5</v>
      </c>
      <c r="X546" s="1250">
        <v>15.866666666666667</v>
      </c>
      <c r="Y546" s="1250"/>
      <c r="Z546" s="1250"/>
      <c r="AA546" s="1250"/>
      <c r="AB546" s="1250"/>
      <c r="AC546" s="1250"/>
      <c r="AD546" s="1250"/>
      <c r="AE546" s="1249">
        <v>5</v>
      </c>
      <c r="AF546" s="1250">
        <v>15.866666666666667</v>
      </c>
      <c r="AG546" s="111"/>
      <c r="AH546" s="111"/>
      <c r="AI546" s="111"/>
      <c r="AJ546" s="111"/>
      <c r="AK546" s="111"/>
      <c r="AL546" s="111"/>
      <c r="AM546" s="111">
        <v>47.6</v>
      </c>
    </row>
    <row r="547" spans="1:39" ht="15" customHeight="1" x14ac:dyDescent="0.25">
      <c r="A547" s="1409"/>
      <c r="B547" s="1409"/>
      <c r="C547" s="1409"/>
      <c r="D547" s="1409"/>
      <c r="E547" s="1247"/>
      <c r="F547" s="1248" t="s">
        <v>4573</v>
      </c>
      <c r="G547" s="111"/>
      <c r="H547" s="1249">
        <v>20</v>
      </c>
      <c r="I547" s="111" t="s">
        <v>1721</v>
      </c>
      <c r="J547" s="1321" t="s">
        <v>5608</v>
      </c>
      <c r="K547" s="162" t="s">
        <v>5610</v>
      </c>
      <c r="L547" s="162" t="s">
        <v>5609</v>
      </c>
      <c r="M547" s="111">
        <v>2.38</v>
      </c>
      <c r="N547" s="111">
        <v>47.599999999999994</v>
      </c>
      <c r="O547" s="111"/>
      <c r="P547" s="111"/>
      <c r="Q547" s="111"/>
      <c r="R547" s="111"/>
      <c r="S547" s="1249">
        <v>10</v>
      </c>
      <c r="T547" s="1250">
        <v>15.866666666666667</v>
      </c>
      <c r="U547" s="1250"/>
      <c r="V547" s="1250"/>
      <c r="W547" s="1251">
        <v>5</v>
      </c>
      <c r="X547" s="1250">
        <v>15.866666666666667</v>
      </c>
      <c r="Y547" s="1250"/>
      <c r="Z547" s="1250"/>
      <c r="AA547" s="1250"/>
      <c r="AB547" s="1250"/>
      <c r="AC547" s="1250"/>
      <c r="AD547" s="1250"/>
      <c r="AE547" s="1249">
        <v>5</v>
      </c>
      <c r="AF547" s="1250">
        <v>15.866666666666667</v>
      </c>
      <c r="AG547" s="111"/>
      <c r="AH547" s="111"/>
      <c r="AI547" s="111"/>
      <c r="AJ547" s="111"/>
      <c r="AK547" s="111"/>
      <c r="AL547" s="111"/>
      <c r="AM547" s="111">
        <v>47.6</v>
      </c>
    </row>
    <row r="548" spans="1:39" ht="15" customHeight="1" x14ac:dyDescent="0.25">
      <c r="A548" s="1409"/>
      <c r="B548" s="1409"/>
      <c r="C548" s="1409"/>
      <c r="D548" s="1409"/>
      <c r="E548" s="1247"/>
      <c r="F548" s="1248" t="s">
        <v>4574</v>
      </c>
      <c r="G548" s="111"/>
      <c r="H548" s="1249">
        <v>20</v>
      </c>
      <c r="I548" s="111" t="s">
        <v>1721</v>
      </c>
      <c r="J548" s="1321" t="s">
        <v>5608</v>
      </c>
      <c r="K548" s="162" t="s">
        <v>5610</v>
      </c>
      <c r="L548" s="162" t="s">
        <v>5609</v>
      </c>
      <c r="M548" s="111">
        <v>2.38</v>
      </c>
      <c r="N548" s="111">
        <v>47.599999999999994</v>
      </c>
      <c r="O548" s="111"/>
      <c r="P548" s="111"/>
      <c r="Q548" s="111"/>
      <c r="R548" s="111"/>
      <c r="S548" s="1249">
        <v>10</v>
      </c>
      <c r="T548" s="1250">
        <v>15.866666666666667</v>
      </c>
      <c r="U548" s="1250"/>
      <c r="V548" s="1250"/>
      <c r="W548" s="1251">
        <v>5</v>
      </c>
      <c r="X548" s="1250">
        <v>15.866666666666667</v>
      </c>
      <c r="Y548" s="1250"/>
      <c r="Z548" s="1250"/>
      <c r="AA548" s="1250"/>
      <c r="AB548" s="1250"/>
      <c r="AC548" s="1250"/>
      <c r="AD548" s="1250"/>
      <c r="AE548" s="1249">
        <v>5</v>
      </c>
      <c r="AF548" s="1250">
        <v>15.866666666666667</v>
      </c>
      <c r="AG548" s="111"/>
      <c r="AH548" s="111"/>
      <c r="AI548" s="111"/>
      <c r="AJ548" s="111"/>
      <c r="AK548" s="111"/>
      <c r="AL548" s="111"/>
      <c r="AM548" s="111">
        <v>47.6</v>
      </c>
    </row>
    <row r="549" spans="1:39" ht="15" customHeight="1" x14ac:dyDescent="0.25">
      <c r="A549" s="1409"/>
      <c r="B549" s="1409"/>
      <c r="C549" s="1409"/>
      <c r="D549" s="1409"/>
      <c r="E549" s="1247"/>
      <c r="F549" s="1248" t="s">
        <v>4575</v>
      </c>
      <c r="G549" s="111"/>
      <c r="H549" s="1249">
        <v>20</v>
      </c>
      <c r="I549" s="111" t="s">
        <v>1721</v>
      </c>
      <c r="J549" s="1321" t="s">
        <v>5608</v>
      </c>
      <c r="K549" s="162" t="s">
        <v>5610</v>
      </c>
      <c r="L549" s="162" t="s">
        <v>5609</v>
      </c>
      <c r="M549" s="111">
        <v>2.38</v>
      </c>
      <c r="N549" s="111">
        <v>47.599999999999994</v>
      </c>
      <c r="O549" s="111"/>
      <c r="P549" s="111"/>
      <c r="Q549" s="111"/>
      <c r="R549" s="111"/>
      <c r="S549" s="1249">
        <v>10</v>
      </c>
      <c r="T549" s="1250">
        <v>15.866666666666667</v>
      </c>
      <c r="U549" s="1250"/>
      <c r="V549" s="1250"/>
      <c r="W549" s="1251">
        <v>5</v>
      </c>
      <c r="X549" s="1250">
        <v>15.866666666666667</v>
      </c>
      <c r="Y549" s="1250"/>
      <c r="Z549" s="1250"/>
      <c r="AA549" s="1250"/>
      <c r="AB549" s="1250"/>
      <c r="AC549" s="1250"/>
      <c r="AD549" s="1250"/>
      <c r="AE549" s="1249">
        <v>5</v>
      </c>
      <c r="AF549" s="1250">
        <v>15.866666666666667</v>
      </c>
      <c r="AG549" s="111"/>
      <c r="AH549" s="111"/>
      <c r="AI549" s="111"/>
      <c r="AJ549" s="111"/>
      <c r="AK549" s="111"/>
      <c r="AL549" s="111"/>
      <c r="AM549" s="111">
        <v>47.6</v>
      </c>
    </row>
    <row r="550" spans="1:39" ht="15" customHeight="1" x14ac:dyDescent="0.25">
      <c r="A550" s="1409"/>
      <c r="B550" s="1409"/>
      <c r="C550" s="1409"/>
      <c r="D550" s="1409"/>
      <c r="E550" s="1247"/>
      <c r="F550" s="1248" t="s">
        <v>4576</v>
      </c>
      <c r="G550" s="111"/>
      <c r="H550" s="1249">
        <v>20</v>
      </c>
      <c r="I550" s="111" t="s">
        <v>1721</v>
      </c>
      <c r="J550" s="1321" t="s">
        <v>5608</v>
      </c>
      <c r="K550" s="162" t="s">
        <v>5610</v>
      </c>
      <c r="L550" s="162" t="s">
        <v>5609</v>
      </c>
      <c r="M550" s="111">
        <v>2.38</v>
      </c>
      <c r="N550" s="111">
        <v>47.599999999999994</v>
      </c>
      <c r="O550" s="111"/>
      <c r="P550" s="111"/>
      <c r="Q550" s="111"/>
      <c r="R550" s="111"/>
      <c r="S550" s="1249">
        <v>10</v>
      </c>
      <c r="T550" s="1250">
        <v>15.866666666666667</v>
      </c>
      <c r="U550" s="1250"/>
      <c r="V550" s="1250"/>
      <c r="W550" s="1251">
        <v>5</v>
      </c>
      <c r="X550" s="1250">
        <v>15.866666666666667</v>
      </c>
      <c r="Y550" s="1250"/>
      <c r="Z550" s="1250"/>
      <c r="AA550" s="1250"/>
      <c r="AB550" s="1250"/>
      <c r="AC550" s="1250"/>
      <c r="AD550" s="1250"/>
      <c r="AE550" s="1249">
        <v>5</v>
      </c>
      <c r="AF550" s="1250">
        <v>15.866666666666667</v>
      </c>
      <c r="AG550" s="111"/>
      <c r="AH550" s="111"/>
      <c r="AI550" s="111"/>
      <c r="AJ550" s="111"/>
      <c r="AK550" s="111"/>
      <c r="AL550" s="111"/>
      <c r="AM550" s="111">
        <v>47.6</v>
      </c>
    </row>
    <row r="551" spans="1:39" ht="15" customHeight="1" x14ac:dyDescent="0.25">
      <c r="A551" s="1409"/>
      <c r="B551" s="1409"/>
      <c r="C551" s="1409"/>
      <c r="D551" s="1409"/>
      <c r="E551" s="1247"/>
      <c r="F551" s="1248" t="s">
        <v>4577</v>
      </c>
      <c r="G551" s="111"/>
      <c r="H551" s="1249">
        <v>30</v>
      </c>
      <c r="I551" s="111" t="s">
        <v>1721</v>
      </c>
      <c r="J551" s="1321" t="s">
        <v>5608</v>
      </c>
      <c r="K551" s="162" t="s">
        <v>5610</v>
      </c>
      <c r="L551" s="162" t="s">
        <v>5609</v>
      </c>
      <c r="M551" s="111">
        <v>2.3800000000000003</v>
      </c>
      <c r="N551" s="111">
        <v>71.400000000000006</v>
      </c>
      <c r="O551" s="111"/>
      <c r="P551" s="111"/>
      <c r="Q551" s="111"/>
      <c r="R551" s="111"/>
      <c r="S551" s="1249">
        <v>10</v>
      </c>
      <c r="T551" s="1250">
        <v>23.8</v>
      </c>
      <c r="U551" s="1250"/>
      <c r="V551" s="1250"/>
      <c r="W551" s="1251">
        <v>10</v>
      </c>
      <c r="X551" s="1250">
        <v>23.8</v>
      </c>
      <c r="Y551" s="1250"/>
      <c r="Z551" s="1250"/>
      <c r="AA551" s="1250"/>
      <c r="AB551" s="1250"/>
      <c r="AC551" s="1250"/>
      <c r="AD551" s="1250"/>
      <c r="AE551" s="1249">
        <v>10</v>
      </c>
      <c r="AF551" s="1250">
        <v>23.8</v>
      </c>
      <c r="AG551" s="111"/>
      <c r="AH551" s="111"/>
      <c r="AI551" s="111"/>
      <c r="AJ551" s="111"/>
      <c r="AK551" s="111"/>
      <c r="AL551" s="111"/>
      <c r="AM551" s="111">
        <v>71.400000000000006</v>
      </c>
    </row>
    <row r="552" spans="1:39" ht="15" customHeight="1" x14ac:dyDescent="0.25">
      <c r="A552" s="1409"/>
      <c r="B552" s="1409"/>
      <c r="C552" s="1409"/>
      <c r="D552" s="1409"/>
      <c r="E552" s="1247"/>
      <c r="F552" s="1248" t="s">
        <v>4578</v>
      </c>
      <c r="G552" s="111"/>
      <c r="H552" s="1249">
        <v>20</v>
      </c>
      <c r="I552" s="111" t="s">
        <v>1721</v>
      </c>
      <c r="J552" s="1321" t="s">
        <v>5608</v>
      </c>
      <c r="K552" s="162" t="s">
        <v>5610</v>
      </c>
      <c r="L552" s="162" t="s">
        <v>5609</v>
      </c>
      <c r="M552" s="111">
        <v>2.38</v>
      </c>
      <c r="N552" s="111">
        <v>47.599999999999994</v>
      </c>
      <c r="O552" s="111"/>
      <c r="P552" s="111"/>
      <c r="Q552" s="111"/>
      <c r="R552" s="111"/>
      <c r="S552" s="1249">
        <v>10</v>
      </c>
      <c r="T552" s="1250">
        <v>15.866666666666667</v>
      </c>
      <c r="U552" s="1250"/>
      <c r="V552" s="1250"/>
      <c r="W552" s="1251">
        <v>5</v>
      </c>
      <c r="X552" s="1250">
        <v>15.866666666666667</v>
      </c>
      <c r="Y552" s="1250"/>
      <c r="Z552" s="1250"/>
      <c r="AA552" s="1250"/>
      <c r="AB552" s="1250"/>
      <c r="AC552" s="1250"/>
      <c r="AD552" s="1250"/>
      <c r="AE552" s="1249">
        <v>5</v>
      </c>
      <c r="AF552" s="1250">
        <v>15.866666666666667</v>
      </c>
      <c r="AG552" s="111"/>
      <c r="AH552" s="111"/>
      <c r="AI552" s="111"/>
      <c r="AJ552" s="111"/>
      <c r="AK552" s="111"/>
      <c r="AL552" s="111"/>
      <c r="AM552" s="111">
        <v>47.6</v>
      </c>
    </row>
    <row r="553" spans="1:39" ht="15" customHeight="1" x14ac:dyDescent="0.25">
      <c r="A553" s="1409"/>
      <c r="B553" s="1409"/>
      <c r="C553" s="1409"/>
      <c r="D553" s="1409"/>
      <c r="E553" s="1247"/>
      <c r="F553" s="1248" t="s">
        <v>4579</v>
      </c>
      <c r="G553" s="111"/>
      <c r="H553" s="1249">
        <v>20</v>
      </c>
      <c r="I553" s="111" t="s">
        <v>1721</v>
      </c>
      <c r="J553" s="1321" t="s">
        <v>5608</v>
      </c>
      <c r="K553" s="162" t="s">
        <v>5610</v>
      </c>
      <c r="L553" s="162" t="s">
        <v>5609</v>
      </c>
      <c r="M553" s="111">
        <v>2.38</v>
      </c>
      <c r="N553" s="111">
        <v>47.599999999999994</v>
      </c>
      <c r="O553" s="111"/>
      <c r="P553" s="111"/>
      <c r="Q553" s="111"/>
      <c r="R553" s="111"/>
      <c r="S553" s="1249">
        <v>10</v>
      </c>
      <c r="T553" s="1250">
        <v>15.866666666666667</v>
      </c>
      <c r="U553" s="1250"/>
      <c r="V553" s="1250"/>
      <c r="W553" s="1251">
        <v>5</v>
      </c>
      <c r="X553" s="1250">
        <v>15.866666666666667</v>
      </c>
      <c r="Y553" s="1250"/>
      <c r="Z553" s="1250"/>
      <c r="AA553" s="1250"/>
      <c r="AB553" s="1250"/>
      <c r="AC553" s="1250"/>
      <c r="AD553" s="1250"/>
      <c r="AE553" s="1249">
        <v>5</v>
      </c>
      <c r="AF553" s="1250">
        <v>15.866666666666667</v>
      </c>
      <c r="AG553" s="111"/>
      <c r="AH553" s="111"/>
      <c r="AI553" s="111"/>
      <c r="AJ553" s="111"/>
      <c r="AK553" s="111"/>
      <c r="AL553" s="111"/>
      <c r="AM553" s="111">
        <v>47.6</v>
      </c>
    </row>
    <row r="554" spans="1:39" ht="15" customHeight="1" x14ac:dyDescent="0.25">
      <c r="A554" s="1409"/>
      <c r="B554" s="1409"/>
      <c r="C554" s="1409"/>
      <c r="D554" s="1409"/>
      <c r="E554" s="1247"/>
      <c r="F554" s="1248" t="s">
        <v>4580</v>
      </c>
      <c r="G554" s="111"/>
      <c r="H554" s="1249">
        <v>20</v>
      </c>
      <c r="I554" s="111" t="s">
        <v>1721</v>
      </c>
      <c r="J554" s="1321" t="s">
        <v>5608</v>
      </c>
      <c r="K554" s="162" t="s">
        <v>5610</v>
      </c>
      <c r="L554" s="162" t="s">
        <v>5609</v>
      </c>
      <c r="M554" s="111">
        <v>2.38</v>
      </c>
      <c r="N554" s="111">
        <v>47.599999999999994</v>
      </c>
      <c r="O554" s="111"/>
      <c r="P554" s="111"/>
      <c r="Q554" s="111"/>
      <c r="R554" s="111"/>
      <c r="S554" s="1249">
        <v>10</v>
      </c>
      <c r="T554" s="1250">
        <v>15.866666666666667</v>
      </c>
      <c r="U554" s="1250"/>
      <c r="V554" s="1250"/>
      <c r="W554" s="1251">
        <v>5</v>
      </c>
      <c r="X554" s="1250">
        <v>15.866666666666667</v>
      </c>
      <c r="Y554" s="1250"/>
      <c r="Z554" s="1250"/>
      <c r="AA554" s="1250"/>
      <c r="AB554" s="1250"/>
      <c r="AC554" s="1250"/>
      <c r="AD554" s="1250"/>
      <c r="AE554" s="1249">
        <v>5</v>
      </c>
      <c r="AF554" s="1250">
        <v>15.866666666666667</v>
      </c>
      <c r="AG554" s="111"/>
      <c r="AH554" s="111"/>
      <c r="AI554" s="111"/>
      <c r="AJ554" s="111"/>
      <c r="AK554" s="111"/>
      <c r="AL554" s="111"/>
      <c r="AM554" s="111">
        <v>47.6</v>
      </c>
    </row>
    <row r="555" spans="1:39" ht="15" customHeight="1" x14ac:dyDescent="0.25">
      <c r="A555" s="1409"/>
      <c r="B555" s="1409"/>
      <c r="C555" s="1409"/>
      <c r="D555" s="1409"/>
      <c r="E555" s="1247"/>
      <c r="F555" s="1248" t="s">
        <v>4581</v>
      </c>
      <c r="G555" s="111"/>
      <c r="H555" s="1249">
        <v>20</v>
      </c>
      <c r="I555" s="111" t="s">
        <v>1721</v>
      </c>
      <c r="J555" s="1321" t="s">
        <v>5608</v>
      </c>
      <c r="K555" s="162" t="s">
        <v>5610</v>
      </c>
      <c r="L555" s="162" t="s">
        <v>5609</v>
      </c>
      <c r="M555" s="111">
        <v>2.38</v>
      </c>
      <c r="N555" s="111">
        <v>47.599999999999994</v>
      </c>
      <c r="O555" s="111"/>
      <c r="P555" s="111"/>
      <c r="Q555" s="111"/>
      <c r="R555" s="111"/>
      <c r="S555" s="1249">
        <v>10</v>
      </c>
      <c r="T555" s="1250">
        <v>15.866666666666667</v>
      </c>
      <c r="U555" s="1250"/>
      <c r="V555" s="1250"/>
      <c r="W555" s="1251">
        <v>5</v>
      </c>
      <c r="X555" s="1250">
        <v>15.866666666666667</v>
      </c>
      <c r="Y555" s="1250"/>
      <c r="Z555" s="1250"/>
      <c r="AA555" s="1250"/>
      <c r="AB555" s="1250"/>
      <c r="AC555" s="1250"/>
      <c r="AD555" s="1250"/>
      <c r="AE555" s="1249">
        <v>5</v>
      </c>
      <c r="AF555" s="1250">
        <v>15.866666666666667</v>
      </c>
      <c r="AG555" s="111"/>
      <c r="AH555" s="111"/>
      <c r="AI555" s="111"/>
      <c r="AJ555" s="111"/>
      <c r="AK555" s="111"/>
      <c r="AL555" s="111"/>
      <c r="AM555" s="111">
        <v>47.6</v>
      </c>
    </row>
    <row r="556" spans="1:39" ht="15" customHeight="1" x14ac:dyDescent="0.25">
      <c r="A556" s="1409"/>
      <c r="B556" s="1409"/>
      <c r="C556" s="1409"/>
      <c r="D556" s="1409"/>
      <c r="E556" s="1247"/>
      <c r="F556" s="1248" t="s">
        <v>4582</v>
      </c>
      <c r="G556" s="111"/>
      <c r="H556" s="1249">
        <v>30</v>
      </c>
      <c r="I556" s="111" t="s">
        <v>1721</v>
      </c>
      <c r="J556" s="1321" t="s">
        <v>5608</v>
      </c>
      <c r="K556" s="162" t="s">
        <v>5610</v>
      </c>
      <c r="L556" s="162" t="s">
        <v>5609</v>
      </c>
      <c r="M556" s="111">
        <v>2.3800000000000003</v>
      </c>
      <c r="N556" s="111">
        <v>71.400000000000006</v>
      </c>
      <c r="O556" s="111"/>
      <c r="P556" s="111"/>
      <c r="Q556" s="111"/>
      <c r="R556" s="111"/>
      <c r="S556" s="1249">
        <v>10</v>
      </c>
      <c r="T556" s="1250">
        <v>23.8</v>
      </c>
      <c r="U556" s="1250"/>
      <c r="V556" s="1250"/>
      <c r="W556" s="1251">
        <v>10</v>
      </c>
      <c r="X556" s="1250">
        <v>23.8</v>
      </c>
      <c r="Y556" s="1250"/>
      <c r="Z556" s="1250"/>
      <c r="AA556" s="1250"/>
      <c r="AB556" s="1250"/>
      <c r="AC556" s="1250"/>
      <c r="AD556" s="1250"/>
      <c r="AE556" s="1249">
        <v>10</v>
      </c>
      <c r="AF556" s="1250">
        <v>23.8</v>
      </c>
      <c r="AG556" s="111"/>
      <c r="AH556" s="111"/>
      <c r="AI556" s="111"/>
      <c r="AJ556" s="111"/>
      <c r="AK556" s="111"/>
      <c r="AL556" s="111"/>
      <c r="AM556" s="111">
        <v>71.400000000000006</v>
      </c>
    </row>
    <row r="557" spans="1:39" ht="15" customHeight="1" x14ac:dyDescent="0.25">
      <c r="A557" s="1409"/>
      <c r="B557" s="1409"/>
      <c r="C557" s="1409"/>
      <c r="D557" s="1409"/>
      <c r="E557" s="1247"/>
      <c r="F557" s="1248" t="s">
        <v>4583</v>
      </c>
      <c r="G557" s="111"/>
      <c r="H557" s="1249">
        <v>30</v>
      </c>
      <c r="I557" s="111" t="s">
        <v>1721</v>
      </c>
      <c r="J557" s="1321" t="s">
        <v>5608</v>
      </c>
      <c r="K557" s="162" t="s">
        <v>5610</v>
      </c>
      <c r="L557" s="162" t="s">
        <v>5609</v>
      </c>
      <c r="M557" s="111">
        <v>2.3800000000000003</v>
      </c>
      <c r="N557" s="111">
        <v>71.400000000000006</v>
      </c>
      <c r="O557" s="111"/>
      <c r="P557" s="111"/>
      <c r="Q557" s="111"/>
      <c r="R557" s="111"/>
      <c r="S557" s="1249">
        <v>10</v>
      </c>
      <c r="T557" s="1250">
        <v>23.8</v>
      </c>
      <c r="U557" s="1250"/>
      <c r="V557" s="1250"/>
      <c r="W557" s="1251">
        <v>10</v>
      </c>
      <c r="X557" s="1250">
        <v>23.8</v>
      </c>
      <c r="Y557" s="1250"/>
      <c r="Z557" s="1250"/>
      <c r="AA557" s="1250"/>
      <c r="AB557" s="1250"/>
      <c r="AC557" s="1250"/>
      <c r="AD557" s="1250"/>
      <c r="AE557" s="1249">
        <v>10</v>
      </c>
      <c r="AF557" s="1250">
        <v>23.8</v>
      </c>
      <c r="AG557" s="111"/>
      <c r="AH557" s="111"/>
      <c r="AI557" s="111"/>
      <c r="AJ557" s="111"/>
      <c r="AK557" s="111"/>
      <c r="AL557" s="111"/>
      <c r="AM557" s="111">
        <v>71.400000000000006</v>
      </c>
    </row>
    <row r="558" spans="1:39" ht="15" customHeight="1" x14ac:dyDescent="0.25">
      <c r="A558" s="1409"/>
      <c r="B558" s="1409"/>
      <c r="C558" s="1409"/>
      <c r="D558" s="1409"/>
      <c r="E558" s="1247"/>
      <c r="F558" s="1248" t="s">
        <v>4584</v>
      </c>
      <c r="G558" s="111"/>
      <c r="H558" s="1249">
        <v>20</v>
      </c>
      <c r="I558" s="111" t="s">
        <v>1721</v>
      </c>
      <c r="J558" s="1321" t="s">
        <v>5608</v>
      </c>
      <c r="K558" s="162" t="s">
        <v>5610</v>
      </c>
      <c r="L558" s="162" t="s">
        <v>5609</v>
      </c>
      <c r="M558" s="111">
        <v>2.38</v>
      </c>
      <c r="N558" s="111">
        <v>47.599999999999994</v>
      </c>
      <c r="O558" s="111"/>
      <c r="P558" s="111"/>
      <c r="Q558" s="111"/>
      <c r="R558" s="111"/>
      <c r="S558" s="1249">
        <v>10</v>
      </c>
      <c r="T558" s="1250">
        <v>15.866666666666667</v>
      </c>
      <c r="U558" s="1250"/>
      <c r="V558" s="1250"/>
      <c r="W558" s="1251">
        <v>5</v>
      </c>
      <c r="X558" s="1250">
        <v>15.866666666666667</v>
      </c>
      <c r="Y558" s="1250"/>
      <c r="Z558" s="1250"/>
      <c r="AA558" s="1250"/>
      <c r="AB558" s="1250"/>
      <c r="AC558" s="1250"/>
      <c r="AD558" s="1250"/>
      <c r="AE558" s="1249">
        <v>5</v>
      </c>
      <c r="AF558" s="1250">
        <v>15.866666666666667</v>
      </c>
      <c r="AG558" s="111"/>
      <c r="AH558" s="111"/>
      <c r="AI558" s="111"/>
      <c r="AJ558" s="111"/>
      <c r="AK558" s="111"/>
      <c r="AL558" s="111"/>
      <c r="AM558" s="111">
        <v>47.6</v>
      </c>
    </row>
    <row r="559" spans="1:39" ht="15" customHeight="1" x14ac:dyDescent="0.25">
      <c r="A559" s="1409"/>
      <c r="B559" s="1409"/>
      <c r="C559" s="1409"/>
      <c r="D559" s="1409"/>
      <c r="E559" s="1247"/>
      <c r="F559" s="1248" t="s">
        <v>4585</v>
      </c>
      <c r="G559" s="111"/>
      <c r="H559" s="1249">
        <v>20</v>
      </c>
      <c r="I559" s="111" t="s">
        <v>1721</v>
      </c>
      <c r="J559" s="1321" t="s">
        <v>5608</v>
      </c>
      <c r="K559" s="162" t="s">
        <v>5610</v>
      </c>
      <c r="L559" s="162" t="s">
        <v>5609</v>
      </c>
      <c r="M559" s="111">
        <v>2.38</v>
      </c>
      <c r="N559" s="111">
        <v>47.599999999999994</v>
      </c>
      <c r="O559" s="111"/>
      <c r="P559" s="111"/>
      <c r="Q559" s="111"/>
      <c r="R559" s="111"/>
      <c r="S559" s="1249">
        <v>10</v>
      </c>
      <c r="T559" s="1250">
        <v>15.866666666666667</v>
      </c>
      <c r="U559" s="1250"/>
      <c r="V559" s="1250"/>
      <c r="W559" s="1251">
        <v>5</v>
      </c>
      <c r="X559" s="1250">
        <v>15.866666666666667</v>
      </c>
      <c r="Y559" s="1250"/>
      <c r="Z559" s="1250"/>
      <c r="AA559" s="1250"/>
      <c r="AB559" s="1250"/>
      <c r="AC559" s="1250"/>
      <c r="AD559" s="1250"/>
      <c r="AE559" s="1249">
        <v>5</v>
      </c>
      <c r="AF559" s="1250">
        <v>15.866666666666667</v>
      </c>
      <c r="AG559" s="111"/>
      <c r="AH559" s="111"/>
      <c r="AI559" s="111"/>
      <c r="AJ559" s="111"/>
      <c r="AK559" s="111"/>
      <c r="AL559" s="111"/>
      <c r="AM559" s="111">
        <v>47.6</v>
      </c>
    </row>
    <row r="560" spans="1:39" ht="15" customHeight="1" x14ac:dyDescent="0.25">
      <c r="A560" s="1409"/>
      <c r="B560" s="1409"/>
      <c r="C560" s="1409"/>
      <c r="D560" s="1409"/>
      <c r="E560" s="1247"/>
      <c r="F560" s="1248" t="s">
        <v>4586</v>
      </c>
      <c r="G560" s="111"/>
      <c r="H560" s="1249">
        <v>30</v>
      </c>
      <c r="I560" s="111" t="s">
        <v>1721</v>
      </c>
      <c r="J560" s="1321" t="s">
        <v>5608</v>
      </c>
      <c r="K560" s="162" t="s">
        <v>5610</v>
      </c>
      <c r="L560" s="162" t="s">
        <v>5609</v>
      </c>
      <c r="M560" s="111">
        <v>2.3800000000000003</v>
      </c>
      <c r="N560" s="111">
        <v>71.400000000000006</v>
      </c>
      <c r="O560" s="111"/>
      <c r="P560" s="111"/>
      <c r="Q560" s="111"/>
      <c r="R560" s="111"/>
      <c r="S560" s="1249">
        <v>10</v>
      </c>
      <c r="T560" s="1250">
        <v>23.8</v>
      </c>
      <c r="U560" s="1250"/>
      <c r="V560" s="1250"/>
      <c r="W560" s="1251">
        <v>10</v>
      </c>
      <c r="X560" s="1250">
        <v>23.8</v>
      </c>
      <c r="Y560" s="1250"/>
      <c r="Z560" s="1250"/>
      <c r="AA560" s="1250"/>
      <c r="AB560" s="1250"/>
      <c r="AC560" s="1250"/>
      <c r="AD560" s="1250"/>
      <c r="AE560" s="1249">
        <v>10</v>
      </c>
      <c r="AF560" s="1250">
        <v>23.8</v>
      </c>
      <c r="AG560" s="111"/>
      <c r="AH560" s="111"/>
      <c r="AI560" s="111"/>
      <c r="AJ560" s="111"/>
      <c r="AK560" s="111"/>
      <c r="AL560" s="111"/>
      <c r="AM560" s="111">
        <v>71.400000000000006</v>
      </c>
    </row>
    <row r="561" spans="1:39" ht="15" customHeight="1" x14ac:dyDescent="0.25">
      <c r="A561" s="1409"/>
      <c r="B561" s="1409"/>
      <c r="C561" s="1409"/>
      <c r="D561" s="1409"/>
      <c r="E561" s="1247"/>
      <c r="F561" s="1248" t="s">
        <v>4587</v>
      </c>
      <c r="G561" s="111"/>
      <c r="H561" s="1249">
        <v>100</v>
      </c>
      <c r="I561" s="111" t="s">
        <v>1721</v>
      </c>
      <c r="J561" s="1321" t="s">
        <v>5608</v>
      </c>
      <c r="K561" s="162" t="s">
        <v>5610</v>
      </c>
      <c r="L561" s="162" t="s">
        <v>5609</v>
      </c>
      <c r="M561" s="111">
        <v>1.62</v>
      </c>
      <c r="N561" s="111">
        <v>162</v>
      </c>
      <c r="O561" s="111"/>
      <c r="P561" s="111"/>
      <c r="Q561" s="111"/>
      <c r="R561" s="111"/>
      <c r="S561" s="1249">
        <v>40</v>
      </c>
      <c r="T561" s="1250">
        <v>54</v>
      </c>
      <c r="U561" s="1250"/>
      <c r="V561" s="1250"/>
      <c r="W561" s="1251">
        <v>40</v>
      </c>
      <c r="X561" s="1250">
        <v>54</v>
      </c>
      <c r="Y561" s="1250"/>
      <c r="Z561" s="1250"/>
      <c r="AA561" s="1250"/>
      <c r="AB561" s="1250"/>
      <c r="AC561" s="1250"/>
      <c r="AD561" s="1250"/>
      <c r="AE561" s="1249">
        <v>20</v>
      </c>
      <c r="AF561" s="1250">
        <v>54</v>
      </c>
      <c r="AG561" s="111"/>
      <c r="AH561" s="111"/>
      <c r="AI561" s="111"/>
      <c r="AJ561" s="111"/>
      <c r="AK561" s="111"/>
      <c r="AL561" s="111"/>
      <c r="AM561" s="111">
        <v>162</v>
      </c>
    </row>
    <row r="562" spans="1:39" ht="15" customHeight="1" x14ac:dyDescent="0.25">
      <c r="A562" s="1409"/>
      <c r="B562" s="1409"/>
      <c r="C562" s="1409"/>
      <c r="D562" s="1409"/>
      <c r="E562" s="1247"/>
      <c r="F562" s="1248" t="s">
        <v>4588</v>
      </c>
      <c r="G562" s="111"/>
      <c r="H562" s="1249">
        <v>100</v>
      </c>
      <c r="I562" s="111" t="s">
        <v>1721</v>
      </c>
      <c r="J562" s="1321" t="s">
        <v>5608</v>
      </c>
      <c r="K562" s="162" t="s">
        <v>5610</v>
      </c>
      <c r="L562" s="162" t="s">
        <v>5609</v>
      </c>
      <c r="M562" s="111">
        <v>1.62</v>
      </c>
      <c r="N562" s="111">
        <v>162</v>
      </c>
      <c r="O562" s="111"/>
      <c r="P562" s="111"/>
      <c r="Q562" s="111"/>
      <c r="R562" s="111"/>
      <c r="S562" s="1249">
        <v>40</v>
      </c>
      <c r="T562" s="1250">
        <v>54</v>
      </c>
      <c r="U562" s="1250"/>
      <c r="V562" s="1250"/>
      <c r="W562" s="1251">
        <v>40</v>
      </c>
      <c r="X562" s="1250">
        <v>54</v>
      </c>
      <c r="Y562" s="1250"/>
      <c r="Z562" s="1250"/>
      <c r="AA562" s="1250"/>
      <c r="AB562" s="1250"/>
      <c r="AC562" s="1250"/>
      <c r="AD562" s="1250"/>
      <c r="AE562" s="1249">
        <v>20</v>
      </c>
      <c r="AF562" s="1250">
        <v>54</v>
      </c>
      <c r="AG562" s="111"/>
      <c r="AH562" s="111"/>
      <c r="AI562" s="111"/>
      <c r="AJ562" s="111"/>
      <c r="AK562" s="111"/>
      <c r="AL562" s="111"/>
      <c r="AM562" s="111">
        <v>162</v>
      </c>
    </row>
    <row r="563" spans="1:39" ht="15" customHeight="1" x14ac:dyDescent="0.25">
      <c r="A563" s="1409"/>
      <c r="B563" s="1409"/>
      <c r="C563" s="1409"/>
      <c r="D563" s="1409"/>
      <c r="E563" s="1247"/>
      <c r="F563" s="1248" t="s">
        <v>4589</v>
      </c>
      <c r="G563" s="111"/>
      <c r="H563" s="1249">
        <v>100</v>
      </c>
      <c r="I563" s="111" t="s">
        <v>1721</v>
      </c>
      <c r="J563" s="1321" t="s">
        <v>5608</v>
      </c>
      <c r="K563" s="162" t="s">
        <v>5610</v>
      </c>
      <c r="L563" s="162" t="s">
        <v>5609</v>
      </c>
      <c r="M563" s="111">
        <v>1.62</v>
      </c>
      <c r="N563" s="111">
        <v>162</v>
      </c>
      <c r="O563" s="111"/>
      <c r="P563" s="111"/>
      <c r="Q563" s="111"/>
      <c r="R563" s="111"/>
      <c r="S563" s="1249">
        <v>40</v>
      </c>
      <c r="T563" s="1250">
        <v>54</v>
      </c>
      <c r="U563" s="1250"/>
      <c r="V563" s="1250"/>
      <c r="W563" s="1251">
        <v>40</v>
      </c>
      <c r="X563" s="1250">
        <v>54</v>
      </c>
      <c r="Y563" s="1250"/>
      <c r="Z563" s="1250"/>
      <c r="AA563" s="1250"/>
      <c r="AB563" s="1250"/>
      <c r="AC563" s="1250"/>
      <c r="AD563" s="1250"/>
      <c r="AE563" s="1249">
        <v>20</v>
      </c>
      <c r="AF563" s="1250">
        <v>54</v>
      </c>
      <c r="AG563" s="111"/>
      <c r="AH563" s="111"/>
      <c r="AI563" s="111"/>
      <c r="AJ563" s="111"/>
      <c r="AK563" s="111"/>
      <c r="AL563" s="111"/>
      <c r="AM563" s="111">
        <v>162</v>
      </c>
    </row>
    <row r="564" spans="1:39" ht="15" customHeight="1" x14ac:dyDescent="0.25">
      <c r="A564" s="1409"/>
      <c r="B564" s="1409"/>
      <c r="C564" s="1409"/>
      <c r="D564" s="1409"/>
      <c r="E564" s="1247"/>
      <c r="F564" s="1248" t="s">
        <v>4590</v>
      </c>
      <c r="G564" s="111"/>
      <c r="H564" s="1249">
        <v>150</v>
      </c>
      <c r="I564" s="111" t="s">
        <v>1721</v>
      </c>
      <c r="J564" s="1321" t="s">
        <v>5608</v>
      </c>
      <c r="K564" s="162" t="s">
        <v>5610</v>
      </c>
      <c r="L564" s="162" t="s">
        <v>5609</v>
      </c>
      <c r="M564" s="111">
        <v>1.62</v>
      </c>
      <c r="N564" s="111">
        <v>243.00000000000003</v>
      </c>
      <c r="O564" s="111"/>
      <c r="P564" s="111"/>
      <c r="Q564" s="111"/>
      <c r="R564" s="111"/>
      <c r="S564" s="1249">
        <v>50</v>
      </c>
      <c r="T564" s="1250">
        <v>81</v>
      </c>
      <c r="U564" s="1250"/>
      <c r="V564" s="1250"/>
      <c r="W564" s="1251">
        <v>50</v>
      </c>
      <c r="X564" s="1250">
        <v>81</v>
      </c>
      <c r="Y564" s="1250"/>
      <c r="Z564" s="1250"/>
      <c r="AA564" s="1250"/>
      <c r="AB564" s="1250"/>
      <c r="AC564" s="1250"/>
      <c r="AD564" s="1250"/>
      <c r="AE564" s="1249">
        <v>50</v>
      </c>
      <c r="AF564" s="1250">
        <v>81</v>
      </c>
      <c r="AG564" s="111"/>
      <c r="AH564" s="111"/>
      <c r="AI564" s="111"/>
      <c r="AJ564" s="111"/>
      <c r="AK564" s="111"/>
      <c r="AL564" s="111"/>
      <c r="AM564" s="111">
        <v>243</v>
      </c>
    </row>
    <row r="565" spans="1:39" ht="15" customHeight="1" x14ac:dyDescent="0.25">
      <c r="A565" s="1409"/>
      <c r="B565" s="1409"/>
      <c r="C565" s="1409"/>
      <c r="D565" s="1409"/>
      <c r="E565" s="1247"/>
      <c r="F565" s="1248" t="s">
        <v>4591</v>
      </c>
      <c r="G565" s="111"/>
      <c r="H565" s="1249">
        <v>100</v>
      </c>
      <c r="I565" s="111" t="s">
        <v>1721</v>
      </c>
      <c r="J565" s="1321" t="s">
        <v>5608</v>
      </c>
      <c r="K565" s="162" t="s">
        <v>5610</v>
      </c>
      <c r="L565" s="162" t="s">
        <v>5609</v>
      </c>
      <c r="M565" s="111">
        <v>1.62</v>
      </c>
      <c r="N565" s="111">
        <v>162</v>
      </c>
      <c r="O565" s="111"/>
      <c r="P565" s="111"/>
      <c r="Q565" s="111"/>
      <c r="R565" s="111"/>
      <c r="S565" s="1249">
        <v>40</v>
      </c>
      <c r="T565" s="1250">
        <v>54</v>
      </c>
      <c r="U565" s="1250"/>
      <c r="V565" s="1250"/>
      <c r="W565" s="1251">
        <v>40</v>
      </c>
      <c r="X565" s="1250">
        <v>54</v>
      </c>
      <c r="Y565" s="1250"/>
      <c r="Z565" s="1250"/>
      <c r="AA565" s="1250"/>
      <c r="AB565" s="1250"/>
      <c r="AC565" s="1250"/>
      <c r="AD565" s="1250"/>
      <c r="AE565" s="1249">
        <v>20</v>
      </c>
      <c r="AF565" s="1250">
        <v>54</v>
      </c>
      <c r="AG565" s="111"/>
      <c r="AH565" s="111"/>
      <c r="AI565" s="111"/>
      <c r="AJ565" s="111"/>
      <c r="AK565" s="111"/>
      <c r="AL565" s="111"/>
      <c r="AM565" s="111">
        <v>162</v>
      </c>
    </row>
    <row r="566" spans="1:39" ht="15" customHeight="1" x14ac:dyDescent="0.25">
      <c r="A566" s="1409"/>
      <c r="B566" s="1409"/>
      <c r="C566" s="1409"/>
      <c r="D566" s="1409"/>
      <c r="E566" s="1247"/>
      <c r="F566" s="1248" t="s">
        <v>4592</v>
      </c>
      <c r="G566" s="111"/>
      <c r="H566" s="1249">
        <v>100</v>
      </c>
      <c r="I566" s="111" t="s">
        <v>1721</v>
      </c>
      <c r="J566" s="1321" t="s">
        <v>5608</v>
      </c>
      <c r="K566" s="162" t="s">
        <v>5610</v>
      </c>
      <c r="L566" s="162" t="s">
        <v>5609</v>
      </c>
      <c r="M566" s="111">
        <v>1.62</v>
      </c>
      <c r="N566" s="111">
        <v>162</v>
      </c>
      <c r="O566" s="111"/>
      <c r="P566" s="111"/>
      <c r="Q566" s="111"/>
      <c r="R566" s="111"/>
      <c r="S566" s="1249">
        <v>40</v>
      </c>
      <c r="T566" s="1250">
        <v>54</v>
      </c>
      <c r="U566" s="1250"/>
      <c r="V566" s="1250"/>
      <c r="W566" s="1251">
        <v>40</v>
      </c>
      <c r="X566" s="1250">
        <v>54</v>
      </c>
      <c r="Y566" s="1250"/>
      <c r="Z566" s="1250"/>
      <c r="AA566" s="1250"/>
      <c r="AB566" s="1250"/>
      <c r="AC566" s="1250"/>
      <c r="AD566" s="1250"/>
      <c r="AE566" s="1249">
        <v>20</v>
      </c>
      <c r="AF566" s="1250">
        <v>54</v>
      </c>
      <c r="AG566" s="111"/>
      <c r="AH566" s="111"/>
      <c r="AI566" s="111"/>
      <c r="AJ566" s="111"/>
      <c r="AK566" s="111"/>
      <c r="AL566" s="111"/>
      <c r="AM566" s="111">
        <v>162</v>
      </c>
    </row>
    <row r="567" spans="1:39" ht="15" customHeight="1" x14ac:dyDescent="0.25">
      <c r="A567" s="1409"/>
      <c r="B567" s="1409"/>
      <c r="C567" s="1409"/>
      <c r="D567" s="1409"/>
      <c r="E567" s="1247"/>
      <c r="F567" s="1248" t="s">
        <v>4583</v>
      </c>
      <c r="G567" s="111"/>
      <c r="H567" s="1249">
        <v>30</v>
      </c>
      <c r="I567" s="111" t="s">
        <v>1721</v>
      </c>
      <c r="J567" s="1321" t="s">
        <v>5608</v>
      </c>
      <c r="K567" s="162" t="s">
        <v>5610</v>
      </c>
      <c r="L567" s="162" t="s">
        <v>5609</v>
      </c>
      <c r="M567" s="111">
        <v>2.3800000000000003</v>
      </c>
      <c r="N567" s="111">
        <v>71.400000000000006</v>
      </c>
      <c r="O567" s="111"/>
      <c r="P567" s="111"/>
      <c r="Q567" s="111"/>
      <c r="R567" s="111"/>
      <c r="S567" s="1249">
        <v>10</v>
      </c>
      <c r="T567" s="1250">
        <v>23.8</v>
      </c>
      <c r="U567" s="1250"/>
      <c r="V567" s="1250"/>
      <c r="W567" s="1251">
        <v>10</v>
      </c>
      <c r="X567" s="1250">
        <v>23.8</v>
      </c>
      <c r="Y567" s="1250"/>
      <c r="Z567" s="1250"/>
      <c r="AA567" s="1250"/>
      <c r="AB567" s="1250"/>
      <c r="AC567" s="1250"/>
      <c r="AD567" s="1250"/>
      <c r="AE567" s="1249">
        <v>10</v>
      </c>
      <c r="AF567" s="1250">
        <v>23.8</v>
      </c>
      <c r="AG567" s="111"/>
      <c r="AH567" s="111"/>
      <c r="AI567" s="111"/>
      <c r="AJ567" s="111"/>
      <c r="AK567" s="111"/>
      <c r="AL567" s="111"/>
      <c r="AM567" s="111">
        <v>71.400000000000006</v>
      </c>
    </row>
    <row r="568" spans="1:39" ht="15" customHeight="1" x14ac:dyDescent="0.25">
      <c r="A568" s="1409"/>
      <c r="B568" s="1409"/>
      <c r="C568" s="1409"/>
      <c r="D568" s="1409"/>
      <c r="E568" s="1247"/>
      <c r="F568" s="1248" t="s">
        <v>4584</v>
      </c>
      <c r="G568" s="111"/>
      <c r="H568" s="1249">
        <v>20</v>
      </c>
      <c r="I568" s="111" t="s">
        <v>1721</v>
      </c>
      <c r="J568" s="1321" t="s">
        <v>5608</v>
      </c>
      <c r="K568" s="162" t="s">
        <v>5610</v>
      </c>
      <c r="L568" s="162" t="s">
        <v>5609</v>
      </c>
      <c r="M568" s="111">
        <v>2.38</v>
      </c>
      <c r="N568" s="111">
        <v>47.599999999999994</v>
      </c>
      <c r="O568" s="111"/>
      <c r="P568" s="111"/>
      <c r="Q568" s="111"/>
      <c r="R568" s="111"/>
      <c r="S568" s="1249">
        <v>10</v>
      </c>
      <c r="T568" s="1250">
        <v>15.866666666666667</v>
      </c>
      <c r="U568" s="1250"/>
      <c r="V568" s="1250"/>
      <c r="W568" s="1251">
        <v>5</v>
      </c>
      <c r="X568" s="1250">
        <v>15.866666666666667</v>
      </c>
      <c r="Y568" s="1250"/>
      <c r="Z568" s="1250"/>
      <c r="AA568" s="1250"/>
      <c r="AB568" s="1250"/>
      <c r="AC568" s="1250"/>
      <c r="AD568" s="1250"/>
      <c r="AE568" s="1249">
        <v>5</v>
      </c>
      <c r="AF568" s="1250">
        <v>15.866666666666667</v>
      </c>
      <c r="AG568" s="111"/>
      <c r="AH568" s="111"/>
      <c r="AI568" s="111"/>
      <c r="AJ568" s="111"/>
      <c r="AK568" s="111"/>
      <c r="AL568" s="111"/>
      <c r="AM568" s="111">
        <v>47.6</v>
      </c>
    </row>
    <row r="569" spans="1:39" ht="15" customHeight="1" x14ac:dyDescent="0.25">
      <c r="A569" s="1409"/>
      <c r="B569" s="1409"/>
      <c r="C569" s="1409"/>
      <c r="D569" s="1409"/>
      <c r="E569" s="1247"/>
      <c r="F569" s="1248" t="s">
        <v>4585</v>
      </c>
      <c r="G569" s="111"/>
      <c r="H569" s="1249">
        <v>20</v>
      </c>
      <c r="I569" s="111" t="s">
        <v>1721</v>
      </c>
      <c r="J569" s="1321" t="s">
        <v>5608</v>
      </c>
      <c r="K569" s="162" t="s">
        <v>5610</v>
      </c>
      <c r="L569" s="162" t="s">
        <v>5609</v>
      </c>
      <c r="M569" s="111">
        <v>2.38</v>
      </c>
      <c r="N569" s="111">
        <v>47.599999999999994</v>
      </c>
      <c r="O569" s="111"/>
      <c r="P569" s="111"/>
      <c r="Q569" s="111"/>
      <c r="R569" s="111"/>
      <c r="S569" s="1249">
        <v>10</v>
      </c>
      <c r="T569" s="1250">
        <v>15.866666666666667</v>
      </c>
      <c r="U569" s="1250"/>
      <c r="V569" s="1250"/>
      <c r="W569" s="1251">
        <v>5</v>
      </c>
      <c r="X569" s="1250">
        <v>15.866666666666667</v>
      </c>
      <c r="Y569" s="1250"/>
      <c r="Z569" s="1250"/>
      <c r="AA569" s="1250"/>
      <c r="AB569" s="1250"/>
      <c r="AC569" s="1250"/>
      <c r="AD569" s="1250"/>
      <c r="AE569" s="1249">
        <v>5</v>
      </c>
      <c r="AF569" s="1250">
        <v>15.866666666666667</v>
      </c>
      <c r="AG569" s="111"/>
      <c r="AH569" s="111"/>
      <c r="AI569" s="111"/>
      <c r="AJ569" s="111"/>
      <c r="AK569" s="111"/>
      <c r="AL569" s="111"/>
      <c r="AM569" s="111">
        <v>47.6</v>
      </c>
    </row>
    <row r="570" spans="1:39" ht="15" customHeight="1" x14ac:dyDescent="0.25">
      <c r="A570" s="1409"/>
      <c r="B570" s="1409"/>
      <c r="C570" s="1409"/>
      <c r="D570" s="1409"/>
      <c r="E570" s="1247"/>
      <c r="F570" s="1248" t="s">
        <v>4586</v>
      </c>
      <c r="G570" s="111"/>
      <c r="H570" s="1249">
        <v>30</v>
      </c>
      <c r="I570" s="111" t="s">
        <v>1721</v>
      </c>
      <c r="J570" s="1321" t="s">
        <v>5608</v>
      </c>
      <c r="K570" s="162" t="s">
        <v>5610</v>
      </c>
      <c r="L570" s="162" t="s">
        <v>5609</v>
      </c>
      <c r="M570" s="111">
        <v>2.3800000000000003</v>
      </c>
      <c r="N570" s="111">
        <v>71.400000000000006</v>
      </c>
      <c r="O570" s="111"/>
      <c r="P570" s="111"/>
      <c r="Q570" s="111"/>
      <c r="R570" s="111"/>
      <c r="S570" s="1249">
        <v>10</v>
      </c>
      <c r="T570" s="1250">
        <v>23.8</v>
      </c>
      <c r="U570" s="1250"/>
      <c r="V570" s="1250"/>
      <c r="W570" s="1251">
        <v>10</v>
      </c>
      <c r="X570" s="1250">
        <v>23.8</v>
      </c>
      <c r="Y570" s="1250"/>
      <c r="Z570" s="1250"/>
      <c r="AA570" s="1250"/>
      <c r="AB570" s="1250"/>
      <c r="AC570" s="1250"/>
      <c r="AD570" s="1250"/>
      <c r="AE570" s="1249">
        <v>10</v>
      </c>
      <c r="AF570" s="1250">
        <v>23.8</v>
      </c>
      <c r="AG570" s="111"/>
      <c r="AH570" s="111"/>
      <c r="AI570" s="111"/>
      <c r="AJ570" s="111"/>
      <c r="AK570" s="111"/>
      <c r="AL570" s="111"/>
      <c r="AM570" s="111">
        <v>71.400000000000006</v>
      </c>
    </row>
    <row r="571" spans="1:39" ht="15" customHeight="1" x14ac:dyDescent="0.25">
      <c r="A571" s="1409"/>
      <c r="B571" s="1409"/>
      <c r="C571" s="1409"/>
      <c r="D571" s="1409"/>
      <c r="E571" s="1247"/>
      <c r="F571" s="1248" t="s">
        <v>4587</v>
      </c>
      <c r="G571" s="111"/>
      <c r="H571" s="1249">
        <v>100</v>
      </c>
      <c r="I571" s="111" t="s">
        <v>1721</v>
      </c>
      <c r="J571" s="1321" t="s">
        <v>5608</v>
      </c>
      <c r="K571" s="162" t="s">
        <v>5610</v>
      </c>
      <c r="L571" s="162" t="s">
        <v>5609</v>
      </c>
      <c r="M571" s="111">
        <v>1.62</v>
      </c>
      <c r="N571" s="111">
        <v>162</v>
      </c>
      <c r="O571" s="111"/>
      <c r="P571" s="111"/>
      <c r="Q571" s="111"/>
      <c r="R571" s="111"/>
      <c r="S571" s="1249">
        <v>40</v>
      </c>
      <c r="T571" s="1250">
        <v>54</v>
      </c>
      <c r="U571" s="1250"/>
      <c r="V571" s="1250"/>
      <c r="W571" s="1251">
        <v>40</v>
      </c>
      <c r="X571" s="1250">
        <v>54</v>
      </c>
      <c r="Y571" s="1250"/>
      <c r="Z571" s="1250"/>
      <c r="AA571" s="1250"/>
      <c r="AB571" s="1250"/>
      <c r="AC571" s="1250"/>
      <c r="AD571" s="1250"/>
      <c r="AE571" s="1249">
        <v>20</v>
      </c>
      <c r="AF571" s="1250">
        <v>54</v>
      </c>
      <c r="AG571" s="111"/>
      <c r="AH571" s="111"/>
      <c r="AI571" s="111"/>
      <c r="AJ571" s="111"/>
      <c r="AK571" s="111"/>
      <c r="AL571" s="111"/>
      <c r="AM571" s="111">
        <v>162</v>
      </c>
    </row>
    <row r="572" spans="1:39" ht="15" customHeight="1" x14ac:dyDescent="0.25">
      <c r="A572" s="1409"/>
      <c r="B572" s="1409"/>
      <c r="C572" s="1409"/>
      <c r="D572" s="1409"/>
      <c r="E572" s="1247"/>
      <c r="F572" s="1248" t="s">
        <v>4588</v>
      </c>
      <c r="G572" s="111"/>
      <c r="H572" s="1249">
        <v>100</v>
      </c>
      <c r="I572" s="111" t="s">
        <v>1721</v>
      </c>
      <c r="J572" s="1321" t="s">
        <v>5608</v>
      </c>
      <c r="K572" s="162" t="s">
        <v>5610</v>
      </c>
      <c r="L572" s="162" t="s">
        <v>5609</v>
      </c>
      <c r="M572" s="111">
        <v>1.62</v>
      </c>
      <c r="N572" s="111">
        <v>162</v>
      </c>
      <c r="O572" s="111"/>
      <c r="P572" s="111"/>
      <c r="Q572" s="111"/>
      <c r="R572" s="111"/>
      <c r="S572" s="1249">
        <v>40</v>
      </c>
      <c r="T572" s="1250">
        <v>54</v>
      </c>
      <c r="U572" s="1250"/>
      <c r="V572" s="1250"/>
      <c r="W572" s="1251">
        <v>40</v>
      </c>
      <c r="X572" s="1250">
        <v>54</v>
      </c>
      <c r="Y572" s="1250"/>
      <c r="Z572" s="1250"/>
      <c r="AA572" s="1250"/>
      <c r="AB572" s="1250"/>
      <c r="AC572" s="1250"/>
      <c r="AD572" s="1250"/>
      <c r="AE572" s="1249">
        <v>20</v>
      </c>
      <c r="AF572" s="1250">
        <v>54</v>
      </c>
      <c r="AG572" s="111"/>
      <c r="AH572" s="111"/>
      <c r="AI572" s="111"/>
      <c r="AJ572" s="111"/>
      <c r="AK572" s="111"/>
      <c r="AL572" s="111"/>
      <c r="AM572" s="111">
        <v>162</v>
      </c>
    </row>
    <row r="573" spans="1:39" ht="15" customHeight="1" x14ac:dyDescent="0.25">
      <c r="A573" s="1409"/>
      <c r="B573" s="1409"/>
      <c r="C573" s="1409"/>
      <c r="D573" s="1409"/>
      <c r="E573" s="1247"/>
      <c r="F573" s="1248" t="s">
        <v>4589</v>
      </c>
      <c r="G573" s="111"/>
      <c r="H573" s="1249">
        <v>100</v>
      </c>
      <c r="I573" s="111" t="s">
        <v>1721</v>
      </c>
      <c r="J573" s="1321" t="s">
        <v>5608</v>
      </c>
      <c r="K573" s="162" t="s">
        <v>5610</v>
      </c>
      <c r="L573" s="162" t="s">
        <v>5609</v>
      </c>
      <c r="M573" s="111">
        <v>1.62</v>
      </c>
      <c r="N573" s="111">
        <v>162</v>
      </c>
      <c r="O573" s="111"/>
      <c r="P573" s="111"/>
      <c r="Q573" s="111"/>
      <c r="R573" s="111"/>
      <c r="S573" s="1249">
        <v>40</v>
      </c>
      <c r="T573" s="1250">
        <v>54</v>
      </c>
      <c r="U573" s="1250"/>
      <c r="V573" s="1250"/>
      <c r="W573" s="1251">
        <v>40</v>
      </c>
      <c r="X573" s="1250">
        <v>54</v>
      </c>
      <c r="Y573" s="1250"/>
      <c r="Z573" s="1250"/>
      <c r="AA573" s="1250"/>
      <c r="AB573" s="1250"/>
      <c r="AC573" s="1250"/>
      <c r="AD573" s="1250"/>
      <c r="AE573" s="1249">
        <v>20</v>
      </c>
      <c r="AF573" s="1250">
        <v>54</v>
      </c>
      <c r="AG573" s="111"/>
      <c r="AH573" s="111"/>
      <c r="AI573" s="111"/>
      <c r="AJ573" s="111"/>
      <c r="AK573" s="111"/>
      <c r="AL573" s="111"/>
      <c r="AM573" s="111">
        <v>162</v>
      </c>
    </row>
    <row r="574" spans="1:39" ht="15" customHeight="1" x14ac:dyDescent="0.25">
      <c r="A574" s="1409"/>
      <c r="B574" s="1409"/>
      <c r="C574" s="1409"/>
      <c r="D574" s="1409"/>
      <c r="E574" s="1247"/>
      <c r="F574" s="1248" t="s">
        <v>4590</v>
      </c>
      <c r="G574" s="111"/>
      <c r="H574" s="1249">
        <v>150</v>
      </c>
      <c r="I574" s="111" t="s">
        <v>1721</v>
      </c>
      <c r="J574" s="1321" t="s">
        <v>5608</v>
      </c>
      <c r="K574" s="162" t="s">
        <v>5610</v>
      </c>
      <c r="L574" s="162" t="s">
        <v>5609</v>
      </c>
      <c r="M574" s="111">
        <v>1.62</v>
      </c>
      <c r="N574" s="111">
        <v>243.00000000000003</v>
      </c>
      <c r="O574" s="111"/>
      <c r="P574" s="111"/>
      <c r="Q574" s="111"/>
      <c r="R574" s="111"/>
      <c r="S574" s="1249">
        <v>50</v>
      </c>
      <c r="T574" s="1250">
        <v>81</v>
      </c>
      <c r="U574" s="1250"/>
      <c r="V574" s="1250"/>
      <c r="W574" s="1251">
        <v>50</v>
      </c>
      <c r="X574" s="1250">
        <v>81</v>
      </c>
      <c r="Y574" s="1250"/>
      <c r="Z574" s="1250"/>
      <c r="AA574" s="1250"/>
      <c r="AB574" s="1250"/>
      <c r="AC574" s="1250"/>
      <c r="AD574" s="1250"/>
      <c r="AE574" s="1249">
        <v>50</v>
      </c>
      <c r="AF574" s="1250">
        <v>81</v>
      </c>
      <c r="AG574" s="111"/>
      <c r="AH574" s="111"/>
      <c r="AI574" s="111"/>
      <c r="AJ574" s="111"/>
      <c r="AK574" s="111"/>
      <c r="AL574" s="111"/>
      <c r="AM574" s="111">
        <v>243</v>
      </c>
    </row>
    <row r="575" spans="1:39" ht="15" customHeight="1" x14ac:dyDescent="0.25">
      <c r="A575" s="1409"/>
      <c r="B575" s="1409"/>
      <c r="C575" s="1409"/>
      <c r="D575" s="1409"/>
      <c r="E575" s="1247"/>
      <c r="F575" s="1248" t="s">
        <v>4591</v>
      </c>
      <c r="G575" s="111"/>
      <c r="H575" s="1249">
        <v>100</v>
      </c>
      <c r="I575" s="111" t="s">
        <v>1721</v>
      </c>
      <c r="J575" s="1321" t="s">
        <v>5608</v>
      </c>
      <c r="K575" s="162" t="s">
        <v>5610</v>
      </c>
      <c r="L575" s="162" t="s">
        <v>5609</v>
      </c>
      <c r="M575" s="111">
        <v>1.62</v>
      </c>
      <c r="N575" s="111">
        <v>162</v>
      </c>
      <c r="O575" s="111"/>
      <c r="P575" s="111"/>
      <c r="Q575" s="111"/>
      <c r="R575" s="111"/>
      <c r="S575" s="1249">
        <v>40</v>
      </c>
      <c r="T575" s="1250">
        <v>54</v>
      </c>
      <c r="U575" s="1250"/>
      <c r="V575" s="1250"/>
      <c r="W575" s="1251">
        <v>40</v>
      </c>
      <c r="X575" s="1250">
        <v>54</v>
      </c>
      <c r="Y575" s="1250"/>
      <c r="Z575" s="1250"/>
      <c r="AA575" s="1250"/>
      <c r="AB575" s="1250"/>
      <c r="AC575" s="1250"/>
      <c r="AD575" s="1250"/>
      <c r="AE575" s="1249">
        <v>20</v>
      </c>
      <c r="AF575" s="1250">
        <v>54</v>
      </c>
      <c r="AG575" s="111"/>
      <c r="AH575" s="111"/>
      <c r="AI575" s="111"/>
      <c r="AJ575" s="111"/>
      <c r="AK575" s="111"/>
      <c r="AL575" s="111"/>
      <c r="AM575" s="111">
        <v>162</v>
      </c>
    </row>
    <row r="576" spans="1:39" ht="15" customHeight="1" x14ac:dyDescent="0.25">
      <c r="A576" s="1409"/>
      <c r="B576" s="1409"/>
      <c r="C576" s="1409"/>
      <c r="D576" s="1409"/>
      <c r="E576" s="1247"/>
      <c r="F576" s="1248" t="s">
        <v>4592</v>
      </c>
      <c r="G576" s="111"/>
      <c r="H576" s="1249">
        <v>100</v>
      </c>
      <c r="I576" s="111" t="s">
        <v>1721</v>
      </c>
      <c r="J576" s="1321" t="s">
        <v>5608</v>
      </c>
      <c r="K576" s="162" t="s">
        <v>5610</v>
      </c>
      <c r="L576" s="162" t="s">
        <v>5609</v>
      </c>
      <c r="M576" s="111">
        <v>1.62</v>
      </c>
      <c r="N576" s="111">
        <v>162</v>
      </c>
      <c r="O576" s="111"/>
      <c r="P576" s="111"/>
      <c r="Q576" s="111"/>
      <c r="R576" s="111"/>
      <c r="S576" s="1249">
        <v>40</v>
      </c>
      <c r="T576" s="1250">
        <v>54</v>
      </c>
      <c r="U576" s="1250"/>
      <c r="V576" s="1250"/>
      <c r="W576" s="1251">
        <v>40</v>
      </c>
      <c r="X576" s="1250">
        <v>54</v>
      </c>
      <c r="Y576" s="1250"/>
      <c r="Z576" s="1250"/>
      <c r="AA576" s="1250"/>
      <c r="AB576" s="1250"/>
      <c r="AC576" s="1250"/>
      <c r="AD576" s="1250"/>
      <c r="AE576" s="1249">
        <v>20</v>
      </c>
      <c r="AF576" s="1250">
        <v>54</v>
      </c>
      <c r="AG576" s="111"/>
      <c r="AH576" s="111"/>
      <c r="AI576" s="111"/>
      <c r="AJ576" s="111"/>
      <c r="AK576" s="111"/>
      <c r="AL576" s="111"/>
      <c r="AM576" s="111">
        <v>162</v>
      </c>
    </row>
    <row r="577" spans="1:39" ht="15" customHeight="1" x14ac:dyDescent="0.25">
      <c r="A577" s="1409"/>
      <c r="B577" s="1409"/>
      <c r="C577" s="1409"/>
      <c r="D577" s="1409"/>
      <c r="E577" s="1247"/>
      <c r="F577" s="1248" t="s">
        <v>4589</v>
      </c>
      <c r="G577" s="111"/>
      <c r="H577" s="1249">
        <v>100</v>
      </c>
      <c r="I577" s="111" t="s">
        <v>1721</v>
      </c>
      <c r="J577" s="1321" t="s">
        <v>5608</v>
      </c>
      <c r="K577" s="162" t="s">
        <v>5610</v>
      </c>
      <c r="L577" s="162" t="s">
        <v>5609</v>
      </c>
      <c r="M577" s="111">
        <v>1.62</v>
      </c>
      <c r="N577" s="111">
        <v>162</v>
      </c>
      <c r="O577" s="111"/>
      <c r="P577" s="111"/>
      <c r="Q577" s="111"/>
      <c r="R577" s="111"/>
      <c r="S577" s="1249">
        <v>40</v>
      </c>
      <c r="T577" s="1250">
        <v>54</v>
      </c>
      <c r="U577" s="1250"/>
      <c r="V577" s="1250"/>
      <c r="W577" s="1251">
        <v>40</v>
      </c>
      <c r="X577" s="1250">
        <v>54</v>
      </c>
      <c r="Y577" s="1250"/>
      <c r="Z577" s="1250"/>
      <c r="AA577" s="1250"/>
      <c r="AB577" s="1250"/>
      <c r="AC577" s="1250"/>
      <c r="AD577" s="1250"/>
      <c r="AE577" s="1249">
        <v>20</v>
      </c>
      <c r="AF577" s="1250">
        <v>54</v>
      </c>
      <c r="AG577" s="111"/>
      <c r="AH577" s="111"/>
      <c r="AI577" s="111"/>
      <c r="AJ577" s="111"/>
      <c r="AK577" s="111"/>
      <c r="AL577" s="111"/>
      <c r="AM577" s="111">
        <v>162</v>
      </c>
    </row>
    <row r="578" spans="1:39" ht="15" customHeight="1" x14ac:dyDescent="0.25">
      <c r="A578" s="1409"/>
      <c r="B578" s="1409"/>
      <c r="C578" s="1409"/>
      <c r="D578" s="1409"/>
      <c r="E578" s="1247"/>
      <c r="F578" s="1248" t="s">
        <v>4593</v>
      </c>
      <c r="G578" s="111"/>
      <c r="H578" s="1249">
        <v>10</v>
      </c>
      <c r="I578" s="111" t="s">
        <v>1721</v>
      </c>
      <c r="J578" s="1321" t="s">
        <v>5608</v>
      </c>
      <c r="K578" s="162" t="s">
        <v>5610</v>
      </c>
      <c r="L578" s="162" t="s">
        <v>5609</v>
      </c>
      <c r="M578" s="111">
        <v>6.49</v>
      </c>
      <c r="N578" s="111">
        <v>64.900000000000006</v>
      </c>
      <c r="O578" s="111"/>
      <c r="P578" s="111"/>
      <c r="Q578" s="111"/>
      <c r="R578" s="111"/>
      <c r="S578" s="1249">
        <v>5</v>
      </c>
      <c r="T578" s="1250">
        <v>21.633333333333336</v>
      </c>
      <c r="U578" s="1250"/>
      <c r="V578" s="1250"/>
      <c r="W578" s="1251">
        <v>5</v>
      </c>
      <c r="X578" s="1250">
        <v>21.633333333333336</v>
      </c>
      <c r="Y578" s="1250"/>
      <c r="Z578" s="1250"/>
      <c r="AA578" s="1250"/>
      <c r="AB578" s="1250"/>
      <c r="AC578" s="1250"/>
      <c r="AD578" s="1250"/>
      <c r="AE578" s="1249">
        <v>0</v>
      </c>
      <c r="AF578" s="1250">
        <v>21.633333333333336</v>
      </c>
      <c r="AG578" s="111"/>
      <c r="AH578" s="111"/>
      <c r="AI578" s="111"/>
      <c r="AJ578" s="111"/>
      <c r="AK578" s="111"/>
      <c r="AL578" s="111"/>
      <c r="AM578" s="111">
        <v>64.900000000000006</v>
      </c>
    </row>
    <row r="579" spans="1:39" ht="15" customHeight="1" x14ac:dyDescent="0.25">
      <c r="A579" s="1409"/>
      <c r="B579" s="1409"/>
      <c r="C579" s="1409"/>
      <c r="D579" s="1409"/>
      <c r="E579" s="1247"/>
      <c r="F579" s="1248" t="s">
        <v>4594</v>
      </c>
      <c r="G579" s="111"/>
      <c r="H579" s="1249">
        <v>10</v>
      </c>
      <c r="I579" s="111" t="s">
        <v>1721</v>
      </c>
      <c r="J579" s="1321" t="s">
        <v>5608</v>
      </c>
      <c r="K579" s="162" t="s">
        <v>5610</v>
      </c>
      <c r="L579" s="162" t="s">
        <v>5609</v>
      </c>
      <c r="M579" s="111">
        <v>6.49</v>
      </c>
      <c r="N579" s="111">
        <v>64.900000000000006</v>
      </c>
      <c r="O579" s="111"/>
      <c r="P579" s="111"/>
      <c r="Q579" s="111"/>
      <c r="R579" s="111"/>
      <c r="S579" s="1249">
        <v>5</v>
      </c>
      <c r="T579" s="1250">
        <v>21.633333333333336</v>
      </c>
      <c r="U579" s="1250"/>
      <c r="V579" s="1250"/>
      <c r="W579" s="1251">
        <v>5</v>
      </c>
      <c r="X579" s="1250">
        <v>21.633333333333336</v>
      </c>
      <c r="Y579" s="1250"/>
      <c r="Z579" s="1250"/>
      <c r="AA579" s="1250"/>
      <c r="AB579" s="1250"/>
      <c r="AC579" s="1250"/>
      <c r="AD579" s="1250"/>
      <c r="AE579" s="1249">
        <v>0</v>
      </c>
      <c r="AF579" s="1250">
        <v>21.633333333333336</v>
      </c>
      <c r="AG579" s="111"/>
      <c r="AH579" s="111"/>
      <c r="AI579" s="111"/>
      <c r="AJ579" s="111"/>
      <c r="AK579" s="111"/>
      <c r="AL579" s="111"/>
      <c r="AM579" s="111">
        <v>64.900000000000006</v>
      </c>
    </row>
    <row r="580" spans="1:39" ht="15" customHeight="1" x14ac:dyDescent="0.25">
      <c r="A580" s="1409"/>
      <c r="B580" s="1409"/>
      <c r="C580" s="1409"/>
      <c r="D580" s="1409"/>
      <c r="E580" s="1247"/>
      <c r="F580" s="1248" t="s">
        <v>4595</v>
      </c>
      <c r="G580" s="111"/>
      <c r="H580" s="1249">
        <v>10</v>
      </c>
      <c r="I580" s="111" t="s">
        <v>1721</v>
      </c>
      <c r="J580" s="1321" t="s">
        <v>5608</v>
      </c>
      <c r="K580" s="162" t="s">
        <v>5610</v>
      </c>
      <c r="L580" s="162" t="s">
        <v>5609</v>
      </c>
      <c r="M580" s="111">
        <v>6.49</v>
      </c>
      <c r="N580" s="111">
        <v>64.900000000000006</v>
      </c>
      <c r="O580" s="111"/>
      <c r="P580" s="111"/>
      <c r="Q580" s="111"/>
      <c r="R580" s="111"/>
      <c r="S580" s="1249">
        <v>5</v>
      </c>
      <c r="T580" s="1250">
        <v>21.633333333333336</v>
      </c>
      <c r="U580" s="1250"/>
      <c r="V580" s="1250"/>
      <c r="W580" s="1251">
        <v>5</v>
      </c>
      <c r="X580" s="1250">
        <v>21.633333333333336</v>
      </c>
      <c r="Y580" s="1250"/>
      <c r="Z580" s="1250"/>
      <c r="AA580" s="1250"/>
      <c r="AB580" s="1250"/>
      <c r="AC580" s="1250"/>
      <c r="AD580" s="1250"/>
      <c r="AE580" s="1249">
        <v>0</v>
      </c>
      <c r="AF580" s="1250">
        <v>21.633333333333336</v>
      </c>
      <c r="AG580" s="111"/>
      <c r="AH580" s="111"/>
      <c r="AI580" s="111"/>
      <c r="AJ580" s="111"/>
      <c r="AK580" s="111"/>
      <c r="AL580" s="111"/>
      <c r="AM580" s="111">
        <v>64.900000000000006</v>
      </c>
    </row>
    <row r="581" spans="1:39" ht="15" customHeight="1" x14ac:dyDescent="0.25">
      <c r="A581" s="1409"/>
      <c r="B581" s="1409"/>
      <c r="C581" s="1409"/>
      <c r="D581" s="1409"/>
      <c r="E581" s="1247"/>
      <c r="F581" s="1248" t="s">
        <v>4596</v>
      </c>
      <c r="G581" s="111"/>
      <c r="H581" s="1249">
        <v>10</v>
      </c>
      <c r="I581" s="111" t="s">
        <v>1721</v>
      </c>
      <c r="J581" s="1321" t="s">
        <v>5608</v>
      </c>
      <c r="K581" s="162" t="s">
        <v>5610</v>
      </c>
      <c r="L581" s="162" t="s">
        <v>5609</v>
      </c>
      <c r="M581" s="111">
        <v>6.49</v>
      </c>
      <c r="N581" s="111">
        <v>64.900000000000006</v>
      </c>
      <c r="O581" s="111"/>
      <c r="P581" s="111"/>
      <c r="Q581" s="111"/>
      <c r="R581" s="111"/>
      <c r="S581" s="1249">
        <v>5</v>
      </c>
      <c r="T581" s="1250">
        <v>21.633333333333336</v>
      </c>
      <c r="U581" s="1250"/>
      <c r="V581" s="1250"/>
      <c r="W581" s="1251">
        <v>5</v>
      </c>
      <c r="X581" s="1250">
        <v>21.633333333333336</v>
      </c>
      <c r="Y581" s="1250"/>
      <c r="Z581" s="1250"/>
      <c r="AA581" s="1250"/>
      <c r="AB581" s="1250"/>
      <c r="AC581" s="1250"/>
      <c r="AD581" s="1250"/>
      <c r="AE581" s="1249">
        <v>0</v>
      </c>
      <c r="AF581" s="1250">
        <v>21.633333333333336</v>
      </c>
      <c r="AG581" s="111"/>
      <c r="AH581" s="111"/>
      <c r="AI581" s="111"/>
      <c r="AJ581" s="111"/>
      <c r="AK581" s="111"/>
      <c r="AL581" s="111"/>
      <c r="AM581" s="111">
        <v>64.900000000000006</v>
      </c>
    </row>
    <row r="582" spans="1:39" ht="15" customHeight="1" x14ac:dyDescent="0.25">
      <c r="A582" s="1409"/>
      <c r="B582" s="1409"/>
      <c r="C582" s="1409"/>
      <c r="D582" s="1409"/>
      <c r="E582" s="1247"/>
      <c r="F582" s="1248" t="s">
        <v>4597</v>
      </c>
      <c r="G582" s="111"/>
      <c r="H582" s="1249">
        <v>10</v>
      </c>
      <c r="I582" s="111" t="s">
        <v>1721</v>
      </c>
      <c r="J582" s="1321" t="s">
        <v>5608</v>
      </c>
      <c r="K582" s="162" t="s">
        <v>5610</v>
      </c>
      <c r="L582" s="162" t="s">
        <v>5609</v>
      </c>
      <c r="M582" s="111">
        <v>6.49</v>
      </c>
      <c r="N582" s="111">
        <v>64.900000000000006</v>
      </c>
      <c r="O582" s="111"/>
      <c r="P582" s="111"/>
      <c r="Q582" s="111"/>
      <c r="R582" s="111"/>
      <c r="S582" s="1249">
        <v>5</v>
      </c>
      <c r="T582" s="1250">
        <v>21.633333333333336</v>
      </c>
      <c r="U582" s="1250"/>
      <c r="V582" s="1250"/>
      <c r="W582" s="1251">
        <v>5</v>
      </c>
      <c r="X582" s="1250">
        <v>21.633333333333336</v>
      </c>
      <c r="Y582" s="1250"/>
      <c r="Z582" s="1250"/>
      <c r="AA582" s="1250"/>
      <c r="AB582" s="1250"/>
      <c r="AC582" s="1250"/>
      <c r="AD582" s="1250"/>
      <c r="AE582" s="1249">
        <v>0</v>
      </c>
      <c r="AF582" s="1250">
        <v>21.633333333333336</v>
      </c>
      <c r="AG582" s="111"/>
      <c r="AH582" s="111"/>
      <c r="AI582" s="111"/>
      <c r="AJ582" s="111"/>
      <c r="AK582" s="111"/>
      <c r="AL582" s="111"/>
      <c r="AM582" s="111">
        <v>64.900000000000006</v>
      </c>
    </row>
    <row r="583" spans="1:39" ht="15" customHeight="1" x14ac:dyDescent="0.25">
      <c r="A583" s="1409"/>
      <c r="B583" s="1409"/>
      <c r="C583" s="1409"/>
      <c r="D583" s="1409"/>
      <c r="E583" s="1247"/>
      <c r="F583" s="1248" t="s">
        <v>4598</v>
      </c>
      <c r="G583" s="111"/>
      <c r="H583" s="1249">
        <v>10</v>
      </c>
      <c r="I583" s="111" t="s">
        <v>1721</v>
      </c>
      <c r="J583" s="1321" t="s">
        <v>5608</v>
      </c>
      <c r="K583" s="162" t="s">
        <v>5610</v>
      </c>
      <c r="L583" s="162" t="s">
        <v>5609</v>
      </c>
      <c r="M583" s="111">
        <v>6.49</v>
      </c>
      <c r="N583" s="111">
        <v>64.900000000000006</v>
      </c>
      <c r="O583" s="111"/>
      <c r="P583" s="111"/>
      <c r="Q583" s="111"/>
      <c r="R583" s="111"/>
      <c r="S583" s="1249">
        <v>5</v>
      </c>
      <c r="T583" s="1250">
        <v>21.633333333333336</v>
      </c>
      <c r="U583" s="1250"/>
      <c r="V583" s="1250"/>
      <c r="W583" s="1251">
        <v>5</v>
      </c>
      <c r="X583" s="1250">
        <v>21.633333333333336</v>
      </c>
      <c r="Y583" s="1250"/>
      <c r="Z583" s="1250"/>
      <c r="AA583" s="1250"/>
      <c r="AB583" s="1250"/>
      <c r="AC583" s="1250"/>
      <c r="AD583" s="1250"/>
      <c r="AE583" s="1249">
        <v>0</v>
      </c>
      <c r="AF583" s="1250">
        <v>21.633333333333336</v>
      </c>
      <c r="AG583" s="111"/>
      <c r="AH583" s="111"/>
      <c r="AI583" s="111"/>
      <c r="AJ583" s="111"/>
      <c r="AK583" s="111"/>
      <c r="AL583" s="111"/>
      <c r="AM583" s="111">
        <v>64.900000000000006</v>
      </c>
    </row>
    <row r="584" spans="1:39" ht="15" customHeight="1" x14ac:dyDescent="0.25">
      <c r="A584" s="1409"/>
      <c r="B584" s="1409"/>
      <c r="C584" s="1409"/>
      <c r="D584" s="1409"/>
      <c r="E584" s="1247"/>
      <c r="F584" s="1248" t="s">
        <v>4599</v>
      </c>
      <c r="G584" s="111"/>
      <c r="H584" s="1249">
        <v>10</v>
      </c>
      <c r="I584" s="111" t="s">
        <v>1721</v>
      </c>
      <c r="J584" s="1321" t="s">
        <v>5608</v>
      </c>
      <c r="K584" s="162" t="s">
        <v>5610</v>
      </c>
      <c r="L584" s="162" t="s">
        <v>5609</v>
      </c>
      <c r="M584" s="111">
        <v>6.49</v>
      </c>
      <c r="N584" s="111">
        <v>64.900000000000006</v>
      </c>
      <c r="O584" s="111"/>
      <c r="P584" s="111"/>
      <c r="Q584" s="111"/>
      <c r="R584" s="111"/>
      <c r="S584" s="1249">
        <v>5</v>
      </c>
      <c r="T584" s="1250">
        <v>21.633333333333336</v>
      </c>
      <c r="U584" s="1250"/>
      <c r="V584" s="1250"/>
      <c r="W584" s="1251">
        <v>5</v>
      </c>
      <c r="X584" s="1250">
        <v>21.633333333333336</v>
      </c>
      <c r="Y584" s="1250"/>
      <c r="Z584" s="1250"/>
      <c r="AA584" s="1250"/>
      <c r="AB584" s="1250"/>
      <c r="AC584" s="1250"/>
      <c r="AD584" s="1250"/>
      <c r="AE584" s="1249">
        <v>0</v>
      </c>
      <c r="AF584" s="1250">
        <v>21.633333333333336</v>
      </c>
      <c r="AG584" s="111"/>
      <c r="AH584" s="111"/>
      <c r="AI584" s="111"/>
      <c r="AJ584" s="111"/>
      <c r="AK584" s="111"/>
      <c r="AL584" s="111"/>
      <c r="AM584" s="111">
        <v>64.900000000000006</v>
      </c>
    </row>
    <row r="585" spans="1:39" ht="15" customHeight="1" x14ac:dyDescent="0.25">
      <c r="A585" s="1409"/>
      <c r="B585" s="1409"/>
      <c r="C585" s="1409"/>
      <c r="D585" s="1409"/>
      <c r="E585" s="1247"/>
      <c r="F585" s="1248" t="s">
        <v>4600</v>
      </c>
      <c r="G585" s="111"/>
      <c r="H585" s="1249">
        <v>10</v>
      </c>
      <c r="I585" s="111" t="s">
        <v>1721</v>
      </c>
      <c r="J585" s="1321" t="s">
        <v>5608</v>
      </c>
      <c r="K585" s="162" t="s">
        <v>5610</v>
      </c>
      <c r="L585" s="162" t="s">
        <v>5609</v>
      </c>
      <c r="M585" s="111">
        <v>6.49</v>
      </c>
      <c r="N585" s="111">
        <v>64.900000000000006</v>
      </c>
      <c r="O585" s="111"/>
      <c r="P585" s="111"/>
      <c r="Q585" s="111"/>
      <c r="R585" s="111"/>
      <c r="S585" s="1249">
        <v>5</v>
      </c>
      <c r="T585" s="1250">
        <v>21.633333333333336</v>
      </c>
      <c r="U585" s="1250"/>
      <c r="V585" s="1250"/>
      <c r="W585" s="1251">
        <v>5</v>
      </c>
      <c r="X585" s="1250">
        <v>21.633333333333336</v>
      </c>
      <c r="Y585" s="1250"/>
      <c r="Z585" s="1250"/>
      <c r="AA585" s="1250"/>
      <c r="AB585" s="1250"/>
      <c r="AC585" s="1250"/>
      <c r="AD585" s="1250"/>
      <c r="AE585" s="1249">
        <v>0</v>
      </c>
      <c r="AF585" s="1250">
        <v>21.633333333333336</v>
      </c>
      <c r="AG585" s="111"/>
      <c r="AH585" s="111"/>
      <c r="AI585" s="111"/>
      <c r="AJ585" s="111"/>
      <c r="AK585" s="111"/>
      <c r="AL585" s="111"/>
      <c r="AM585" s="111">
        <v>64.900000000000006</v>
      </c>
    </row>
    <row r="586" spans="1:39" ht="15" customHeight="1" x14ac:dyDescent="0.25">
      <c r="A586" s="1409"/>
      <c r="B586" s="1409"/>
      <c r="C586" s="1409"/>
      <c r="D586" s="1409"/>
      <c r="E586" s="1247"/>
      <c r="F586" s="1248" t="s">
        <v>261</v>
      </c>
      <c r="G586" s="111"/>
      <c r="H586" s="1249">
        <v>10</v>
      </c>
      <c r="I586" s="111" t="s">
        <v>1721</v>
      </c>
      <c r="J586" s="1321" t="s">
        <v>5608</v>
      </c>
      <c r="K586" s="162" t="s">
        <v>5610</v>
      </c>
      <c r="L586" s="162" t="s">
        <v>5609</v>
      </c>
      <c r="M586" s="111">
        <v>3.9899999999999998</v>
      </c>
      <c r="N586" s="111">
        <v>39.9</v>
      </c>
      <c r="O586" s="111"/>
      <c r="P586" s="111"/>
      <c r="Q586" s="111"/>
      <c r="R586" s="111"/>
      <c r="S586" s="1249">
        <v>5</v>
      </c>
      <c r="T586" s="1250">
        <v>13.299999999999999</v>
      </c>
      <c r="U586" s="1250"/>
      <c r="V586" s="1250"/>
      <c r="W586" s="1251">
        <v>5</v>
      </c>
      <c r="X586" s="1250">
        <v>13.299999999999999</v>
      </c>
      <c r="Y586" s="1250"/>
      <c r="Z586" s="1250"/>
      <c r="AA586" s="1250"/>
      <c r="AB586" s="1250"/>
      <c r="AC586" s="1250"/>
      <c r="AD586" s="1250"/>
      <c r="AE586" s="1249">
        <v>0</v>
      </c>
      <c r="AF586" s="1250">
        <v>13.299999999999999</v>
      </c>
      <c r="AG586" s="111"/>
      <c r="AH586" s="111"/>
      <c r="AI586" s="111"/>
      <c r="AJ586" s="111"/>
      <c r="AK586" s="111"/>
      <c r="AL586" s="111"/>
      <c r="AM586" s="111">
        <v>39.9</v>
      </c>
    </row>
    <row r="587" spans="1:39" ht="15" customHeight="1" x14ac:dyDescent="0.25">
      <c r="A587" s="1409"/>
      <c r="B587" s="1409"/>
      <c r="C587" s="1409"/>
      <c r="D587" s="1409"/>
      <c r="E587" s="1247"/>
      <c r="F587" s="1248" t="s">
        <v>266</v>
      </c>
      <c r="G587" s="111"/>
      <c r="H587" s="1249">
        <v>10</v>
      </c>
      <c r="I587" s="111" t="s">
        <v>1721</v>
      </c>
      <c r="J587" s="1321" t="s">
        <v>5608</v>
      </c>
      <c r="K587" s="162" t="s">
        <v>5610</v>
      </c>
      <c r="L587" s="162" t="s">
        <v>5609</v>
      </c>
      <c r="M587" s="111">
        <v>3.9899999999999998</v>
      </c>
      <c r="N587" s="111">
        <v>39.9</v>
      </c>
      <c r="O587" s="111"/>
      <c r="P587" s="111"/>
      <c r="Q587" s="111"/>
      <c r="R587" s="111"/>
      <c r="S587" s="1249">
        <v>5</v>
      </c>
      <c r="T587" s="1250">
        <v>13.299999999999999</v>
      </c>
      <c r="U587" s="1250"/>
      <c r="V587" s="1250"/>
      <c r="W587" s="1251">
        <v>5</v>
      </c>
      <c r="X587" s="1250">
        <v>13.299999999999999</v>
      </c>
      <c r="Y587" s="1250"/>
      <c r="Z587" s="1250"/>
      <c r="AA587" s="1250"/>
      <c r="AB587" s="1250"/>
      <c r="AC587" s="1250"/>
      <c r="AD587" s="1250"/>
      <c r="AE587" s="1249">
        <v>0</v>
      </c>
      <c r="AF587" s="1250">
        <v>13.299999999999999</v>
      </c>
      <c r="AG587" s="111"/>
      <c r="AH587" s="111"/>
      <c r="AI587" s="111"/>
      <c r="AJ587" s="111"/>
      <c r="AK587" s="111"/>
      <c r="AL587" s="111"/>
      <c r="AM587" s="111">
        <v>39.9</v>
      </c>
    </row>
    <row r="588" spans="1:39" ht="15" customHeight="1" x14ac:dyDescent="0.25">
      <c r="A588" s="1409"/>
      <c r="B588" s="1409"/>
      <c r="C588" s="1409"/>
      <c r="D588" s="1409"/>
      <c r="E588" s="1247"/>
      <c r="F588" s="1248" t="s">
        <v>4601</v>
      </c>
      <c r="G588" s="111"/>
      <c r="H588" s="1249">
        <v>10</v>
      </c>
      <c r="I588" s="111" t="s">
        <v>1721</v>
      </c>
      <c r="J588" s="1321" t="s">
        <v>5608</v>
      </c>
      <c r="K588" s="162" t="s">
        <v>5610</v>
      </c>
      <c r="L588" s="162" t="s">
        <v>5609</v>
      </c>
      <c r="M588" s="111">
        <v>3.9899999999999998</v>
      </c>
      <c r="N588" s="111">
        <v>39.9</v>
      </c>
      <c r="O588" s="111"/>
      <c r="P588" s="111"/>
      <c r="Q588" s="111"/>
      <c r="R588" s="111"/>
      <c r="S588" s="1249">
        <v>5</v>
      </c>
      <c r="T588" s="1250">
        <v>13.299999999999999</v>
      </c>
      <c r="U588" s="1250"/>
      <c r="V588" s="1250"/>
      <c r="W588" s="1251">
        <v>5</v>
      </c>
      <c r="X588" s="1250">
        <v>13.299999999999999</v>
      </c>
      <c r="Y588" s="1250"/>
      <c r="Z588" s="1250"/>
      <c r="AA588" s="1250"/>
      <c r="AB588" s="1250"/>
      <c r="AC588" s="1250"/>
      <c r="AD588" s="1250"/>
      <c r="AE588" s="1249">
        <v>0</v>
      </c>
      <c r="AF588" s="1250">
        <v>13.299999999999999</v>
      </c>
      <c r="AG588" s="111"/>
      <c r="AH588" s="111"/>
      <c r="AI588" s="111"/>
      <c r="AJ588" s="111"/>
      <c r="AK588" s="111"/>
      <c r="AL588" s="111"/>
      <c r="AM588" s="111">
        <v>39.9</v>
      </c>
    </row>
    <row r="589" spans="1:39" ht="15" customHeight="1" x14ac:dyDescent="0.25">
      <c r="A589" s="1409"/>
      <c r="B589" s="1409"/>
      <c r="C589" s="1409"/>
      <c r="D589" s="1409"/>
      <c r="E589" s="1247"/>
      <c r="F589" s="1248" t="s">
        <v>263</v>
      </c>
      <c r="G589" s="111"/>
      <c r="H589" s="1249">
        <v>10</v>
      </c>
      <c r="I589" s="111" t="s">
        <v>1721</v>
      </c>
      <c r="J589" s="1321" t="s">
        <v>5608</v>
      </c>
      <c r="K589" s="162" t="s">
        <v>5610</v>
      </c>
      <c r="L589" s="162" t="s">
        <v>5609</v>
      </c>
      <c r="M589" s="111">
        <v>3.9899999999999998</v>
      </c>
      <c r="N589" s="111">
        <v>39.9</v>
      </c>
      <c r="O589" s="111"/>
      <c r="P589" s="111"/>
      <c r="Q589" s="111"/>
      <c r="R589" s="111"/>
      <c r="S589" s="1249">
        <v>5</v>
      </c>
      <c r="T589" s="1250">
        <v>13.299999999999999</v>
      </c>
      <c r="U589" s="1250"/>
      <c r="V589" s="1250"/>
      <c r="W589" s="1251">
        <v>5</v>
      </c>
      <c r="X589" s="1250">
        <v>13.299999999999999</v>
      </c>
      <c r="Y589" s="1250"/>
      <c r="Z589" s="1250"/>
      <c r="AA589" s="1250"/>
      <c r="AB589" s="1250"/>
      <c r="AC589" s="1250"/>
      <c r="AD589" s="1250"/>
      <c r="AE589" s="1249">
        <v>0</v>
      </c>
      <c r="AF589" s="1250">
        <v>13.299999999999999</v>
      </c>
      <c r="AG589" s="111"/>
      <c r="AH589" s="111"/>
      <c r="AI589" s="111"/>
      <c r="AJ589" s="111"/>
      <c r="AK589" s="111"/>
      <c r="AL589" s="111"/>
      <c r="AM589" s="111">
        <v>39.9</v>
      </c>
    </row>
    <row r="590" spans="1:39" ht="15" customHeight="1" x14ac:dyDescent="0.25">
      <c r="A590" s="1409"/>
      <c r="B590" s="1409"/>
      <c r="C590" s="1409"/>
      <c r="D590" s="1409"/>
      <c r="E590" s="1247"/>
      <c r="F590" s="1248" t="s">
        <v>4602</v>
      </c>
      <c r="G590" s="111"/>
      <c r="H590" s="1249">
        <v>10</v>
      </c>
      <c r="I590" s="111" t="s">
        <v>1721</v>
      </c>
      <c r="J590" s="1321" t="s">
        <v>5608</v>
      </c>
      <c r="K590" s="162" t="s">
        <v>5610</v>
      </c>
      <c r="L590" s="162" t="s">
        <v>5609</v>
      </c>
      <c r="M590" s="111">
        <v>3.9899999999999998</v>
      </c>
      <c r="N590" s="111">
        <v>39.9</v>
      </c>
      <c r="O590" s="111"/>
      <c r="P590" s="111"/>
      <c r="Q590" s="111"/>
      <c r="R590" s="111"/>
      <c r="S590" s="1249">
        <v>5</v>
      </c>
      <c r="T590" s="1250">
        <v>13.299999999999999</v>
      </c>
      <c r="U590" s="1250"/>
      <c r="V590" s="1250"/>
      <c r="W590" s="1251">
        <v>5</v>
      </c>
      <c r="X590" s="1250">
        <v>13.299999999999999</v>
      </c>
      <c r="Y590" s="1250"/>
      <c r="Z590" s="1250"/>
      <c r="AA590" s="1250"/>
      <c r="AB590" s="1250"/>
      <c r="AC590" s="1250"/>
      <c r="AD590" s="1250"/>
      <c r="AE590" s="1249">
        <v>0</v>
      </c>
      <c r="AF590" s="1250">
        <v>13.299999999999999</v>
      </c>
      <c r="AG590" s="111"/>
      <c r="AH590" s="111"/>
      <c r="AI590" s="111"/>
      <c r="AJ590" s="111"/>
      <c r="AK590" s="111"/>
      <c r="AL590" s="111"/>
      <c r="AM590" s="111">
        <v>39.9</v>
      </c>
    </row>
    <row r="591" spans="1:39" ht="15" customHeight="1" x14ac:dyDescent="0.25">
      <c r="A591" s="1409"/>
      <c r="B591" s="1409"/>
      <c r="C591" s="1409"/>
      <c r="D591" s="1409"/>
      <c r="E591" s="1247"/>
      <c r="F591" s="1248" t="s">
        <v>4603</v>
      </c>
      <c r="G591" s="111"/>
      <c r="H591" s="1249">
        <v>10</v>
      </c>
      <c r="I591" s="111" t="s">
        <v>1721</v>
      </c>
      <c r="J591" s="1321" t="s">
        <v>5608</v>
      </c>
      <c r="K591" s="162" t="s">
        <v>5610</v>
      </c>
      <c r="L591" s="162" t="s">
        <v>5609</v>
      </c>
      <c r="M591" s="111">
        <v>3.9899999999999998</v>
      </c>
      <c r="N591" s="111">
        <v>39.9</v>
      </c>
      <c r="O591" s="111"/>
      <c r="P591" s="111"/>
      <c r="Q591" s="111"/>
      <c r="R591" s="111"/>
      <c r="S591" s="1249">
        <v>5</v>
      </c>
      <c r="T591" s="1250">
        <v>13.299999999999999</v>
      </c>
      <c r="U591" s="1250"/>
      <c r="V591" s="1250"/>
      <c r="W591" s="1251">
        <v>5</v>
      </c>
      <c r="X591" s="1250">
        <v>13.299999999999999</v>
      </c>
      <c r="Y591" s="1250"/>
      <c r="Z591" s="1250"/>
      <c r="AA591" s="1250"/>
      <c r="AB591" s="1250"/>
      <c r="AC591" s="1250"/>
      <c r="AD591" s="1250"/>
      <c r="AE591" s="1249">
        <v>0</v>
      </c>
      <c r="AF591" s="1250">
        <v>13.299999999999999</v>
      </c>
      <c r="AG591" s="111"/>
      <c r="AH591" s="111"/>
      <c r="AI591" s="111"/>
      <c r="AJ591" s="111"/>
      <c r="AK591" s="111"/>
      <c r="AL591" s="111"/>
      <c r="AM591" s="111">
        <v>39.9</v>
      </c>
    </row>
    <row r="592" spans="1:39" ht="15" customHeight="1" x14ac:dyDescent="0.25">
      <c r="A592" s="1409"/>
      <c r="B592" s="1409"/>
      <c r="C592" s="1409"/>
      <c r="D592" s="1409"/>
      <c r="E592" s="1247"/>
      <c r="F592" s="1248" t="s">
        <v>4604</v>
      </c>
      <c r="G592" s="111"/>
      <c r="H592" s="1249">
        <v>10</v>
      </c>
      <c r="I592" s="111" t="s">
        <v>1721</v>
      </c>
      <c r="J592" s="1321" t="s">
        <v>5608</v>
      </c>
      <c r="K592" s="162" t="s">
        <v>5610</v>
      </c>
      <c r="L592" s="162" t="s">
        <v>5609</v>
      </c>
      <c r="M592" s="111">
        <v>3.9899999999999998</v>
      </c>
      <c r="N592" s="111">
        <v>39.9</v>
      </c>
      <c r="O592" s="111"/>
      <c r="P592" s="111"/>
      <c r="Q592" s="111"/>
      <c r="R592" s="111"/>
      <c r="S592" s="1249">
        <v>5</v>
      </c>
      <c r="T592" s="1250">
        <v>13.299999999999999</v>
      </c>
      <c r="U592" s="1250"/>
      <c r="V592" s="1250"/>
      <c r="W592" s="1251">
        <v>5</v>
      </c>
      <c r="X592" s="1250">
        <v>13.299999999999999</v>
      </c>
      <c r="Y592" s="1250"/>
      <c r="Z592" s="1250"/>
      <c r="AA592" s="1250"/>
      <c r="AB592" s="1250"/>
      <c r="AC592" s="1250"/>
      <c r="AD592" s="1250"/>
      <c r="AE592" s="1249">
        <v>0</v>
      </c>
      <c r="AF592" s="1250">
        <v>13.299999999999999</v>
      </c>
      <c r="AG592" s="111"/>
      <c r="AH592" s="111"/>
      <c r="AI592" s="111"/>
      <c r="AJ592" s="111"/>
      <c r="AK592" s="111"/>
      <c r="AL592" s="111"/>
      <c r="AM592" s="111">
        <v>39.9</v>
      </c>
    </row>
    <row r="593" spans="1:39" ht="15" customHeight="1" x14ac:dyDescent="0.25">
      <c r="A593" s="1409"/>
      <c r="B593" s="1409"/>
      <c r="C593" s="1409"/>
      <c r="D593" s="1409"/>
      <c r="E593" s="1247"/>
      <c r="F593" s="1248" t="s">
        <v>4605</v>
      </c>
      <c r="G593" s="111"/>
      <c r="H593" s="1249">
        <v>100</v>
      </c>
      <c r="I593" s="111" t="s">
        <v>1873</v>
      </c>
      <c r="J593" s="1321" t="s">
        <v>5608</v>
      </c>
      <c r="K593" s="162" t="s">
        <v>5610</v>
      </c>
      <c r="L593" s="162" t="s">
        <v>5609</v>
      </c>
      <c r="M593" s="111">
        <v>1.5</v>
      </c>
      <c r="N593" s="111">
        <v>150</v>
      </c>
      <c r="O593" s="111"/>
      <c r="P593" s="111"/>
      <c r="Q593" s="111"/>
      <c r="R593" s="111"/>
      <c r="S593" s="1249">
        <v>40</v>
      </c>
      <c r="T593" s="1250">
        <v>50</v>
      </c>
      <c r="U593" s="1250"/>
      <c r="V593" s="1250"/>
      <c r="W593" s="1251">
        <v>40</v>
      </c>
      <c r="X593" s="1250">
        <v>50</v>
      </c>
      <c r="Y593" s="1250"/>
      <c r="Z593" s="1250"/>
      <c r="AA593" s="1250"/>
      <c r="AB593" s="1250"/>
      <c r="AC593" s="1250"/>
      <c r="AD593" s="1250"/>
      <c r="AE593" s="1249">
        <v>20</v>
      </c>
      <c r="AF593" s="1250">
        <v>50</v>
      </c>
      <c r="AG593" s="111"/>
      <c r="AH593" s="111"/>
      <c r="AI593" s="111"/>
      <c r="AJ593" s="111"/>
      <c r="AK593" s="111"/>
      <c r="AL593" s="111"/>
      <c r="AM593" s="111">
        <v>150</v>
      </c>
    </row>
    <row r="594" spans="1:39" ht="15" customHeight="1" x14ac:dyDescent="0.25">
      <c r="A594" s="1409"/>
      <c r="B594" s="1409"/>
      <c r="C594" s="1409"/>
      <c r="D594" s="1409"/>
      <c r="E594" s="1247"/>
      <c r="F594" s="1248" t="s">
        <v>4606</v>
      </c>
      <c r="G594" s="111"/>
      <c r="H594" s="1249">
        <v>1</v>
      </c>
      <c r="I594" s="111" t="s">
        <v>1734</v>
      </c>
      <c r="J594" s="1321" t="s">
        <v>5608</v>
      </c>
      <c r="K594" s="162" t="s">
        <v>5610</v>
      </c>
      <c r="L594" s="162" t="s">
        <v>5609</v>
      </c>
      <c r="M594" s="111">
        <v>250.1</v>
      </c>
      <c r="N594" s="111">
        <v>250.1</v>
      </c>
      <c r="O594" s="111"/>
      <c r="P594" s="111"/>
      <c r="Q594" s="111"/>
      <c r="R594" s="111"/>
      <c r="S594" s="1249">
        <v>1</v>
      </c>
      <c r="T594" s="1250">
        <v>83.36666666666666</v>
      </c>
      <c r="U594" s="1250"/>
      <c r="V594" s="1250"/>
      <c r="W594" s="1251">
        <v>0</v>
      </c>
      <c r="X594" s="1250">
        <v>83.36666666666666</v>
      </c>
      <c r="Y594" s="1250"/>
      <c r="Z594" s="1250"/>
      <c r="AA594" s="1250"/>
      <c r="AB594" s="1250"/>
      <c r="AC594" s="1250"/>
      <c r="AD594" s="1250"/>
      <c r="AE594" s="1249">
        <v>0</v>
      </c>
      <c r="AF594" s="1250">
        <v>83.36666666666666</v>
      </c>
      <c r="AG594" s="111"/>
      <c r="AH594" s="111"/>
      <c r="AI594" s="111"/>
      <c r="AJ594" s="111"/>
      <c r="AK594" s="111"/>
      <c r="AL594" s="111"/>
      <c r="AM594" s="111">
        <v>250.1</v>
      </c>
    </row>
    <row r="595" spans="1:39" ht="15" customHeight="1" x14ac:dyDescent="0.25">
      <c r="A595" s="1409"/>
      <c r="B595" s="1409"/>
      <c r="C595" s="1409"/>
      <c r="D595" s="1409"/>
      <c r="E595" s="1247"/>
      <c r="F595" s="1248" t="s">
        <v>4607</v>
      </c>
      <c r="G595" s="111"/>
      <c r="H595" s="1249">
        <v>1</v>
      </c>
      <c r="I595" s="111" t="s">
        <v>1734</v>
      </c>
      <c r="J595" s="1321" t="s">
        <v>5608</v>
      </c>
      <c r="K595" s="162" t="s">
        <v>5610</v>
      </c>
      <c r="L595" s="162" t="s">
        <v>5609</v>
      </c>
      <c r="M595" s="111">
        <v>250.1</v>
      </c>
      <c r="N595" s="111">
        <v>250.1</v>
      </c>
      <c r="O595" s="111"/>
      <c r="P595" s="111"/>
      <c r="Q595" s="111"/>
      <c r="R595" s="111"/>
      <c r="S595" s="1249">
        <v>1</v>
      </c>
      <c r="T595" s="1250">
        <v>83.36666666666666</v>
      </c>
      <c r="U595" s="1250"/>
      <c r="V595" s="1250"/>
      <c r="W595" s="1251">
        <v>0</v>
      </c>
      <c r="X595" s="1250">
        <v>83.36666666666666</v>
      </c>
      <c r="Y595" s="1250"/>
      <c r="Z595" s="1250"/>
      <c r="AA595" s="1250"/>
      <c r="AB595" s="1250"/>
      <c r="AC595" s="1250"/>
      <c r="AD595" s="1250"/>
      <c r="AE595" s="1249">
        <v>0</v>
      </c>
      <c r="AF595" s="1250">
        <v>83.36666666666666</v>
      </c>
      <c r="AG595" s="111"/>
      <c r="AH595" s="111"/>
      <c r="AI595" s="111"/>
      <c r="AJ595" s="111"/>
      <c r="AK595" s="111"/>
      <c r="AL595" s="111"/>
      <c r="AM595" s="111">
        <v>250.1</v>
      </c>
    </row>
    <row r="596" spans="1:39" ht="15" customHeight="1" x14ac:dyDescent="0.25">
      <c r="A596" s="1409"/>
      <c r="B596" s="1409"/>
      <c r="C596" s="1409"/>
      <c r="D596" s="1409"/>
      <c r="E596" s="1247"/>
      <c r="F596" s="1248" t="s">
        <v>4608</v>
      </c>
      <c r="G596" s="111"/>
      <c r="H596" s="1249">
        <v>1</v>
      </c>
      <c r="I596" s="111" t="s">
        <v>1734</v>
      </c>
      <c r="J596" s="1321" t="s">
        <v>5608</v>
      </c>
      <c r="K596" s="162" t="s">
        <v>5610</v>
      </c>
      <c r="L596" s="162" t="s">
        <v>5609</v>
      </c>
      <c r="M596" s="111">
        <v>250.1</v>
      </c>
      <c r="N596" s="111">
        <v>250.1</v>
      </c>
      <c r="O596" s="111"/>
      <c r="P596" s="111"/>
      <c r="Q596" s="111"/>
      <c r="R596" s="111"/>
      <c r="S596" s="1249">
        <v>1</v>
      </c>
      <c r="T596" s="1250">
        <v>83.36666666666666</v>
      </c>
      <c r="U596" s="1250"/>
      <c r="V596" s="1250"/>
      <c r="W596" s="1251">
        <v>0</v>
      </c>
      <c r="X596" s="1250">
        <v>83.36666666666666</v>
      </c>
      <c r="Y596" s="1250"/>
      <c r="Z596" s="1250"/>
      <c r="AA596" s="1250"/>
      <c r="AB596" s="1250"/>
      <c r="AC596" s="1250"/>
      <c r="AD596" s="1250"/>
      <c r="AE596" s="1249">
        <v>0</v>
      </c>
      <c r="AF596" s="1250">
        <v>83.36666666666666</v>
      </c>
      <c r="AG596" s="111"/>
      <c r="AH596" s="111"/>
      <c r="AI596" s="111"/>
      <c r="AJ596" s="111"/>
      <c r="AK596" s="111"/>
      <c r="AL596" s="111"/>
      <c r="AM596" s="111">
        <v>250.1</v>
      </c>
    </row>
    <row r="597" spans="1:39" ht="15" customHeight="1" x14ac:dyDescent="0.25">
      <c r="A597" s="1409"/>
      <c r="B597" s="1409"/>
      <c r="C597" s="1409"/>
      <c r="D597" s="1409"/>
      <c r="E597" s="1247"/>
      <c r="F597" s="1248" t="s">
        <v>4609</v>
      </c>
      <c r="G597" s="111"/>
      <c r="H597" s="1249">
        <v>1</v>
      </c>
      <c r="I597" s="111" t="s">
        <v>1734</v>
      </c>
      <c r="J597" s="1321" t="s">
        <v>5608</v>
      </c>
      <c r="K597" s="162" t="s">
        <v>5610</v>
      </c>
      <c r="L597" s="162" t="s">
        <v>5609</v>
      </c>
      <c r="M597" s="111">
        <v>250.1</v>
      </c>
      <c r="N597" s="111">
        <v>250.1</v>
      </c>
      <c r="O597" s="111"/>
      <c r="P597" s="111"/>
      <c r="Q597" s="111"/>
      <c r="R597" s="111"/>
      <c r="S597" s="1249">
        <v>1</v>
      </c>
      <c r="T597" s="1250">
        <v>83.36666666666666</v>
      </c>
      <c r="U597" s="1250"/>
      <c r="V597" s="1250"/>
      <c r="W597" s="1251">
        <v>0</v>
      </c>
      <c r="X597" s="1250">
        <v>83.36666666666666</v>
      </c>
      <c r="Y597" s="1250"/>
      <c r="Z597" s="1250"/>
      <c r="AA597" s="1250"/>
      <c r="AB597" s="1250"/>
      <c r="AC597" s="1250"/>
      <c r="AD597" s="1250"/>
      <c r="AE597" s="1249">
        <v>0</v>
      </c>
      <c r="AF597" s="1250">
        <v>83.36666666666666</v>
      </c>
      <c r="AG597" s="111"/>
      <c r="AH597" s="111"/>
      <c r="AI597" s="111"/>
      <c r="AJ597" s="111"/>
      <c r="AK597" s="111"/>
      <c r="AL597" s="111"/>
      <c r="AM597" s="111">
        <v>250.1</v>
      </c>
    </row>
    <row r="598" spans="1:39" ht="15" customHeight="1" x14ac:dyDescent="0.25">
      <c r="A598" s="1409"/>
      <c r="B598" s="1409"/>
      <c r="C598" s="1409"/>
      <c r="D598" s="1409"/>
      <c r="E598" s="1247"/>
      <c r="F598" s="1248" t="s">
        <v>121</v>
      </c>
      <c r="G598" s="111"/>
      <c r="H598" s="1249">
        <v>1</v>
      </c>
      <c r="I598" s="111" t="s">
        <v>1725</v>
      </c>
      <c r="J598" s="1321" t="s">
        <v>5608</v>
      </c>
      <c r="K598" s="162" t="s">
        <v>5610</v>
      </c>
      <c r="L598" s="162" t="s">
        <v>5609</v>
      </c>
      <c r="M598" s="111">
        <v>142.56</v>
      </c>
      <c r="N598" s="111">
        <v>142.56</v>
      </c>
      <c r="O598" s="111"/>
      <c r="P598" s="111"/>
      <c r="Q598" s="111"/>
      <c r="R598" s="111"/>
      <c r="S598" s="1249">
        <v>1</v>
      </c>
      <c r="T598" s="1250">
        <v>47.52</v>
      </c>
      <c r="U598" s="1250"/>
      <c r="V598" s="1250"/>
      <c r="W598" s="1251">
        <v>0</v>
      </c>
      <c r="X598" s="1250">
        <v>47.52</v>
      </c>
      <c r="Y598" s="1250"/>
      <c r="Z598" s="1250"/>
      <c r="AA598" s="1250"/>
      <c r="AB598" s="1250"/>
      <c r="AC598" s="1250"/>
      <c r="AD598" s="1250"/>
      <c r="AE598" s="1249">
        <v>0</v>
      </c>
      <c r="AF598" s="1250">
        <v>47.52</v>
      </c>
      <c r="AG598" s="111"/>
      <c r="AH598" s="111"/>
      <c r="AI598" s="111"/>
      <c r="AJ598" s="111"/>
      <c r="AK598" s="111"/>
      <c r="AL598" s="111"/>
      <c r="AM598" s="111">
        <v>142.56</v>
      </c>
    </row>
    <row r="599" spans="1:39" ht="15" customHeight="1" x14ac:dyDescent="0.25">
      <c r="A599" s="1409"/>
      <c r="B599" s="1409"/>
      <c r="C599" s="1409"/>
      <c r="D599" s="1409"/>
      <c r="E599" s="1247"/>
      <c r="F599" s="1248" t="s">
        <v>4610</v>
      </c>
      <c r="G599" s="111"/>
      <c r="H599" s="1249">
        <v>1</v>
      </c>
      <c r="I599" s="111" t="s">
        <v>1725</v>
      </c>
      <c r="J599" s="1321" t="s">
        <v>5608</v>
      </c>
      <c r="K599" s="162" t="s">
        <v>5610</v>
      </c>
      <c r="L599" s="162" t="s">
        <v>5609</v>
      </c>
      <c r="M599" s="111">
        <v>160.5</v>
      </c>
      <c r="N599" s="111">
        <v>160.5</v>
      </c>
      <c r="O599" s="111"/>
      <c r="P599" s="111"/>
      <c r="Q599" s="111"/>
      <c r="R599" s="111"/>
      <c r="S599" s="1249">
        <v>1</v>
      </c>
      <c r="T599" s="1250">
        <v>53.5</v>
      </c>
      <c r="U599" s="1250"/>
      <c r="V599" s="1250"/>
      <c r="W599" s="1251">
        <v>0</v>
      </c>
      <c r="X599" s="1250">
        <v>53.5</v>
      </c>
      <c r="Y599" s="1250"/>
      <c r="Z599" s="1250"/>
      <c r="AA599" s="1250"/>
      <c r="AB599" s="1250"/>
      <c r="AC599" s="1250"/>
      <c r="AD599" s="1250"/>
      <c r="AE599" s="1249">
        <v>0</v>
      </c>
      <c r="AF599" s="1250">
        <v>53.5</v>
      </c>
      <c r="AG599" s="111"/>
      <c r="AH599" s="111"/>
      <c r="AI599" s="111"/>
      <c r="AJ599" s="111"/>
      <c r="AK599" s="111"/>
      <c r="AL599" s="111"/>
      <c r="AM599" s="111">
        <v>160.5</v>
      </c>
    </row>
    <row r="600" spans="1:39" ht="15" customHeight="1" x14ac:dyDescent="0.25">
      <c r="A600" s="1409"/>
      <c r="B600" s="1409"/>
      <c r="C600" s="1409"/>
      <c r="D600" s="1409"/>
      <c r="E600" s="1247"/>
      <c r="F600" s="1248" t="s">
        <v>1141</v>
      </c>
      <c r="G600" s="111"/>
      <c r="H600" s="1249">
        <v>1000</v>
      </c>
      <c r="I600" s="111" t="s">
        <v>1721</v>
      </c>
      <c r="J600" s="1321" t="s">
        <v>5608</v>
      </c>
      <c r="K600" s="162" t="s">
        <v>5610</v>
      </c>
      <c r="L600" s="162" t="s">
        <v>5609</v>
      </c>
      <c r="M600" s="111">
        <v>5.92</v>
      </c>
      <c r="N600" s="111">
        <v>5920</v>
      </c>
      <c r="O600" s="111"/>
      <c r="P600" s="111"/>
      <c r="Q600" s="111"/>
      <c r="R600" s="111"/>
      <c r="S600" s="1249">
        <v>400</v>
      </c>
      <c r="T600" s="1250">
        <v>1973.3333333333333</v>
      </c>
      <c r="U600" s="1250"/>
      <c r="V600" s="1250"/>
      <c r="W600" s="1251">
        <v>400</v>
      </c>
      <c r="X600" s="1250">
        <v>1973.3333333333333</v>
      </c>
      <c r="Y600" s="1250"/>
      <c r="Z600" s="1250"/>
      <c r="AA600" s="1250"/>
      <c r="AB600" s="1250"/>
      <c r="AC600" s="1250"/>
      <c r="AD600" s="1250"/>
      <c r="AE600" s="1249">
        <v>200</v>
      </c>
      <c r="AF600" s="1250">
        <v>1973.3333333333333</v>
      </c>
      <c r="AG600" s="111"/>
      <c r="AH600" s="111"/>
      <c r="AI600" s="111"/>
      <c r="AJ600" s="111"/>
      <c r="AK600" s="111"/>
      <c r="AL600" s="111"/>
      <c r="AM600" s="111">
        <v>5920</v>
      </c>
    </row>
    <row r="601" spans="1:39" ht="15" customHeight="1" x14ac:dyDescent="0.25">
      <c r="A601" s="1409"/>
      <c r="B601" s="1409"/>
      <c r="C601" s="1409"/>
      <c r="D601" s="1409"/>
      <c r="E601" s="1247"/>
      <c r="F601" s="1248" t="s">
        <v>1142</v>
      </c>
      <c r="G601" s="111"/>
      <c r="H601" s="1249">
        <v>1000</v>
      </c>
      <c r="I601" s="111" t="s">
        <v>1721</v>
      </c>
      <c r="J601" s="1321" t="s">
        <v>5608</v>
      </c>
      <c r="K601" s="162" t="s">
        <v>5610</v>
      </c>
      <c r="L601" s="162" t="s">
        <v>5609</v>
      </c>
      <c r="M601" s="111">
        <v>7.04</v>
      </c>
      <c r="N601" s="111">
        <v>7040</v>
      </c>
      <c r="O601" s="111"/>
      <c r="P601" s="111"/>
      <c r="Q601" s="111"/>
      <c r="R601" s="111"/>
      <c r="S601" s="1249">
        <v>400</v>
      </c>
      <c r="T601" s="1250">
        <v>2346.6666666666665</v>
      </c>
      <c r="U601" s="1250"/>
      <c r="V601" s="1250"/>
      <c r="W601" s="1251">
        <v>400</v>
      </c>
      <c r="X601" s="1250">
        <v>2346.6666666666665</v>
      </c>
      <c r="Y601" s="1250"/>
      <c r="Z601" s="1250"/>
      <c r="AA601" s="1250"/>
      <c r="AB601" s="1250"/>
      <c r="AC601" s="1250"/>
      <c r="AD601" s="1250"/>
      <c r="AE601" s="1249">
        <v>200</v>
      </c>
      <c r="AF601" s="1250">
        <v>2346.6666666666665</v>
      </c>
      <c r="AG601" s="111"/>
      <c r="AH601" s="111"/>
      <c r="AI601" s="111"/>
      <c r="AJ601" s="111"/>
      <c r="AK601" s="111"/>
      <c r="AL601" s="111"/>
      <c r="AM601" s="111">
        <v>7040</v>
      </c>
    </row>
    <row r="602" spans="1:39" ht="15" customHeight="1" x14ac:dyDescent="0.25">
      <c r="A602" s="1409"/>
      <c r="B602" s="1409"/>
      <c r="C602" s="1409"/>
      <c r="D602" s="1409"/>
      <c r="E602" s="1247"/>
      <c r="F602" s="1248" t="s">
        <v>1143</v>
      </c>
      <c r="G602" s="111"/>
      <c r="H602" s="1249">
        <v>1000</v>
      </c>
      <c r="I602" s="111" t="s">
        <v>1721</v>
      </c>
      <c r="J602" s="1321" t="s">
        <v>5608</v>
      </c>
      <c r="K602" s="162" t="s">
        <v>5610</v>
      </c>
      <c r="L602" s="162" t="s">
        <v>5609</v>
      </c>
      <c r="M602" s="111">
        <v>4.95</v>
      </c>
      <c r="N602" s="111">
        <v>4950</v>
      </c>
      <c r="O602" s="111"/>
      <c r="P602" s="111"/>
      <c r="Q602" s="111"/>
      <c r="R602" s="111"/>
      <c r="S602" s="1249">
        <v>400</v>
      </c>
      <c r="T602" s="1250">
        <v>1650</v>
      </c>
      <c r="U602" s="1250"/>
      <c r="V602" s="1250"/>
      <c r="W602" s="1251">
        <v>400</v>
      </c>
      <c r="X602" s="1250">
        <v>1650</v>
      </c>
      <c r="Y602" s="1250"/>
      <c r="Z602" s="1250"/>
      <c r="AA602" s="1250"/>
      <c r="AB602" s="1250"/>
      <c r="AC602" s="1250"/>
      <c r="AD602" s="1250"/>
      <c r="AE602" s="1249">
        <v>200</v>
      </c>
      <c r="AF602" s="1250">
        <v>1650</v>
      </c>
      <c r="AG602" s="111"/>
      <c r="AH602" s="111"/>
      <c r="AI602" s="111"/>
      <c r="AJ602" s="111"/>
      <c r="AK602" s="111"/>
      <c r="AL602" s="111"/>
      <c r="AM602" s="111">
        <v>4950</v>
      </c>
    </row>
    <row r="603" spans="1:39" ht="15" customHeight="1" x14ac:dyDescent="0.25">
      <c r="A603" s="1409"/>
      <c r="B603" s="1409"/>
      <c r="C603" s="1409"/>
      <c r="D603" s="1409"/>
      <c r="E603" s="1247"/>
      <c r="F603" s="1248" t="s">
        <v>1141</v>
      </c>
      <c r="G603" s="111"/>
      <c r="H603" s="1249">
        <v>200</v>
      </c>
      <c r="I603" s="111" t="s">
        <v>1721</v>
      </c>
      <c r="J603" s="1321" t="s">
        <v>5608</v>
      </c>
      <c r="K603" s="162" t="s">
        <v>5610</v>
      </c>
      <c r="L603" s="162" t="s">
        <v>5609</v>
      </c>
      <c r="M603" s="111">
        <v>5.92</v>
      </c>
      <c r="N603" s="111">
        <v>1184</v>
      </c>
      <c r="O603" s="111"/>
      <c r="P603" s="111"/>
      <c r="Q603" s="111"/>
      <c r="R603" s="111"/>
      <c r="S603" s="1249">
        <v>100</v>
      </c>
      <c r="T603" s="1250">
        <v>394.66666666666669</v>
      </c>
      <c r="U603" s="1250"/>
      <c r="V603" s="1250"/>
      <c r="W603" s="1251">
        <v>50</v>
      </c>
      <c r="X603" s="1250">
        <v>394.66666666666669</v>
      </c>
      <c r="Y603" s="1250"/>
      <c r="Z603" s="1250"/>
      <c r="AA603" s="1250"/>
      <c r="AB603" s="1250"/>
      <c r="AC603" s="1250"/>
      <c r="AD603" s="1250"/>
      <c r="AE603" s="1249">
        <v>50</v>
      </c>
      <c r="AF603" s="1250">
        <v>394.66666666666669</v>
      </c>
      <c r="AG603" s="111"/>
      <c r="AH603" s="111"/>
      <c r="AI603" s="111"/>
      <c r="AJ603" s="111"/>
      <c r="AK603" s="111"/>
      <c r="AL603" s="111"/>
      <c r="AM603" s="111">
        <v>1184</v>
      </c>
    </row>
    <row r="604" spans="1:39" ht="15" customHeight="1" x14ac:dyDescent="0.25">
      <c r="A604" s="1409"/>
      <c r="B604" s="1409"/>
      <c r="C604" s="1409"/>
      <c r="D604" s="1409"/>
      <c r="E604" s="1247"/>
      <c r="F604" s="1248" t="s">
        <v>1142</v>
      </c>
      <c r="G604" s="111"/>
      <c r="H604" s="1249">
        <v>200</v>
      </c>
      <c r="I604" s="111" t="s">
        <v>1721</v>
      </c>
      <c r="J604" s="1321" t="s">
        <v>5608</v>
      </c>
      <c r="K604" s="162" t="s">
        <v>5610</v>
      </c>
      <c r="L604" s="162" t="s">
        <v>5609</v>
      </c>
      <c r="M604" s="111">
        <v>7.04</v>
      </c>
      <c r="N604" s="111">
        <v>1408</v>
      </c>
      <c r="O604" s="111"/>
      <c r="P604" s="111"/>
      <c r="Q604" s="111"/>
      <c r="R604" s="111"/>
      <c r="S604" s="1249">
        <v>100</v>
      </c>
      <c r="T604" s="1250">
        <v>469.33333333333331</v>
      </c>
      <c r="U604" s="1250"/>
      <c r="V604" s="1250"/>
      <c r="W604" s="1251">
        <v>50</v>
      </c>
      <c r="X604" s="1250">
        <v>469.33333333333331</v>
      </c>
      <c r="Y604" s="1250"/>
      <c r="Z604" s="1250"/>
      <c r="AA604" s="1250"/>
      <c r="AB604" s="1250"/>
      <c r="AC604" s="1250"/>
      <c r="AD604" s="1250"/>
      <c r="AE604" s="1249">
        <v>50</v>
      </c>
      <c r="AF604" s="1250">
        <v>469.33333333333331</v>
      </c>
      <c r="AG604" s="111"/>
      <c r="AH604" s="111"/>
      <c r="AI604" s="111"/>
      <c r="AJ604" s="111"/>
      <c r="AK604" s="111"/>
      <c r="AL604" s="111"/>
      <c r="AM604" s="111">
        <v>1408</v>
      </c>
    </row>
    <row r="605" spans="1:39" ht="15" customHeight="1" x14ac:dyDescent="0.25">
      <c r="A605" s="1409"/>
      <c r="B605" s="1409"/>
      <c r="C605" s="1409"/>
      <c r="D605" s="1409"/>
      <c r="E605" s="1247"/>
      <c r="F605" s="1248" t="s">
        <v>1143</v>
      </c>
      <c r="G605" s="111"/>
      <c r="H605" s="1249">
        <v>200</v>
      </c>
      <c r="I605" s="111" t="s">
        <v>1721</v>
      </c>
      <c r="J605" s="1321" t="s">
        <v>5608</v>
      </c>
      <c r="K605" s="162" t="s">
        <v>5610</v>
      </c>
      <c r="L605" s="162" t="s">
        <v>5609</v>
      </c>
      <c r="M605" s="111">
        <v>4.95</v>
      </c>
      <c r="N605" s="111">
        <v>990</v>
      </c>
      <c r="O605" s="111"/>
      <c r="P605" s="111"/>
      <c r="Q605" s="111"/>
      <c r="R605" s="111"/>
      <c r="S605" s="1249">
        <v>100</v>
      </c>
      <c r="T605" s="1250">
        <v>330</v>
      </c>
      <c r="U605" s="1250"/>
      <c r="V605" s="1250"/>
      <c r="W605" s="1251">
        <v>50</v>
      </c>
      <c r="X605" s="1250">
        <v>330</v>
      </c>
      <c r="Y605" s="1250"/>
      <c r="Z605" s="1250"/>
      <c r="AA605" s="1250"/>
      <c r="AB605" s="1250"/>
      <c r="AC605" s="1250"/>
      <c r="AD605" s="1250"/>
      <c r="AE605" s="1249">
        <v>50</v>
      </c>
      <c r="AF605" s="1250">
        <v>330</v>
      </c>
      <c r="AG605" s="111"/>
      <c r="AH605" s="111"/>
      <c r="AI605" s="111"/>
      <c r="AJ605" s="111"/>
      <c r="AK605" s="111"/>
      <c r="AL605" s="111"/>
      <c r="AM605" s="111">
        <v>990</v>
      </c>
    </row>
    <row r="606" spans="1:39" ht="15" customHeight="1" x14ac:dyDescent="0.25">
      <c r="A606" s="1409"/>
      <c r="B606" s="1409"/>
      <c r="C606" s="1409"/>
      <c r="D606" s="1409"/>
      <c r="E606" s="1247"/>
      <c r="F606" s="1248" t="s">
        <v>248</v>
      </c>
      <c r="G606" s="111"/>
      <c r="H606" s="1249">
        <v>500</v>
      </c>
      <c r="I606" s="111" t="s">
        <v>1721</v>
      </c>
      <c r="J606" s="1321" t="s">
        <v>5608</v>
      </c>
      <c r="K606" s="162" t="s">
        <v>5610</v>
      </c>
      <c r="L606" s="162" t="s">
        <v>5609</v>
      </c>
      <c r="M606" s="111">
        <v>9.7200000000000006</v>
      </c>
      <c r="N606" s="111">
        <v>4860</v>
      </c>
      <c r="O606" s="111"/>
      <c r="P606" s="111"/>
      <c r="Q606" s="111"/>
      <c r="R606" s="111"/>
      <c r="S606" s="1249">
        <v>200</v>
      </c>
      <c r="T606" s="1250">
        <v>1620</v>
      </c>
      <c r="U606" s="1250"/>
      <c r="V606" s="1250"/>
      <c r="W606" s="1251">
        <v>200</v>
      </c>
      <c r="X606" s="1250">
        <v>1620</v>
      </c>
      <c r="Y606" s="1250"/>
      <c r="Z606" s="1250"/>
      <c r="AA606" s="1250"/>
      <c r="AB606" s="1250"/>
      <c r="AC606" s="1250"/>
      <c r="AD606" s="1250"/>
      <c r="AE606" s="1249">
        <v>100</v>
      </c>
      <c r="AF606" s="1250">
        <v>1620</v>
      </c>
      <c r="AG606" s="111"/>
      <c r="AH606" s="111"/>
      <c r="AI606" s="111"/>
      <c r="AJ606" s="111"/>
      <c r="AK606" s="111"/>
      <c r="AL606" s="111"/>
      <c r="AM606" s="111">
        <v>4860</v>
      </c>
    </row>
    <row r="607" spans="1:39" ht="15" customHeight="1" x14ac:dyDescent="0.25">
      <c r="A607" s="1409"/>
      <c r="B607" s="1409"/>
      <c r="C607" s="1409"/>
      <c r="D607" s="1409"/>
      <c r="E607" s="1247"/>
      <c r="F607" s="1248" t="s">
        <v>4611</v>
      </c>
      <c r="G607" s="111"/>
      <c r="H607" s="1249">
        <v>5</v>
      </c>
      <c r="I607" s="111" t="s">
        <v>1734</v>
      </c>
      <c r="J607" s="1321" t="s">
        <v>5608</v>
      </c>
      <c r="K607" s="162" t="s">
        <v>5610</v>
      </c>
      <c r="L607" s="162" t="s">
        <v>5609</v>
      </c>
      <c r="M607" s="111">
        <v>82.679999999999993</v>
      </c>
      <c r="N607" s="111">
        <v>413.4</v>
      </c>
      <c r="O607" s="111"/>
      <c r="P607" s="111"/>
      <c r="Q607" s="111"/>
      <c r="R607" s="111"/>
      <c r="S607" s="1249">
        <v>2</v>
      </c>
      <c r="T607" s="1250">
        <v>137.79999999999998</v>
      </c>
      <c r="U607" s="1250"/>
      <c r="V607" s="1250"/>
      <c r="W607" s="1251">
        <v>2</v>
      </c>
      <c r="X607" s="1250">
        <v>137.79999999999998</v>
      </c>
      <c r="Y607" s="1250"/>
      <c r="Z607" s="1250"/>
      <c r="AA607" s="1250"/>
      <c r="AB607" s="1250"/>
      <c r="AC607" s="1250"/>
      <c r="AD607" s="1250"/>
      <c r="AE607" s="1249">
        <v>1</v>
      </c>
      <c r="AF607" s="1250">
        <v>137.79999999999998</v>
      </c>
      <c r="AG607" s="111"/>
      <c r="AH607" s="111"/>
      <c r="AI607" s="111"/>
      <c r="AJ607" s="111"/>
      <c r="AK607" s="111"/>
      <c r="AL607" s="111"/>
      <c r="AM607" s="111">
        <v>413.4</v>
      </c>
    </row>
    <row r="608" spans="1:39" ht="15" customHeight="1" x14ac:dyDescent="0.25">
      <c r="A608" s="1409"/>
      <c r="B608" s="1409"/>
      <c r="C608" s="1409"/>
      <c r="D608" s="1409"/>
      <c r="E608" s="1247"/>
      <c r="F608" s="1248" t="s">
        <v>4612</v>
      </c>
      <c r="G608" s="111"/>
      <c r="H608" s="1249">
        <v>5</v>
      </c>
      <c r="I608" s="111" t="s">
        <v>1734</v>
      </c>
      <c r="J608" s="1321" t="s">
        <v>5608</v>
      </c>
      <c r="K608" s="162" t="s">
        <v>5610</v>
      </c>
      <c r="L608" s="162" t="s">
        <v>5609</v>
      </c>
      <c r="M608" s="111">
        <v>82.679999999999993</v>
      </c>
      <c r="N608" s="111">
        <v>413.4</v>
      </c>
      <c r="O608" s="111"/>
      <c r="P608" s="111"/>
      <c r="Q608" s="111"/>
      <c r="R608" s="111"/>
      <c r="S608" s="1249">
        <v>2</v>
      </c>
      <c r="T608" s="1250">
        <v>137.79999999999998</v>
      </c>
      <c r="U608" s="1250"/>
      <c r="V608" s="1250"/>
      <c r="W608" s="1251">
        <v>2</v>
      </c>
      <c r="X608" s="1250">
        <v>137.79999999999998</v>
      </c>
      <c r="Y608" s="1250"/>
      <c r="Z608" s="1250"/>
      <c r="AA608" s="1250"/>
      <c r="AB608" s="1250"/>
      <c r="AC608" s="1250"/>
      <c r="AD608" s="1250"/>
      <c r="AE608" s="1249">
        <v>1</v>
      </c>
      <c r="AF608" s="1250">
        <v>137.79999999999998</v>
      </c>
      <c r="AG608" s="111"/>
      <c r="AH608" s="111"/>
      <c r="AI608" s="111"/>
      <c r="AJ608" s="111"/>
      <c r="AK608" s="111"/>
      <c r="AL608" s="111"/>
      <c r="AM608" s="111">
        <v>413.4</v>
      </c>
    </row>
    <row r="609" spans="1:39" ht="15" customHeight="1" x14ac:dyDescent="0.25">
      <c r="A609" s="1409"/>
      <c r="B609" s="1409"/>
      <c r="C609" s="1409"/>
      <c r="D609" s="1409"/>
      <c r="E609" s="1247"/>
      <c r="F609" s="1248" t="s">
        <v>4613</v>
      </c>
      <c r="G609" s="111"/>
      <c r="H609" s="1249">
        <v>5</v>
      </c>
      <c r="I609" s="111" t="s">
        <v>1734</v>
      </c>
      <c r="J609" s="1321" t="s">
        <v>5608</v>
      </c>
      <c r="K609" s="162" t="s">
        <v>5610</v>
      </c>
      <c r="L609" s="162" t="s">
        <v>5609</v>
      </c>
      <c r="M609" s="111">
        <v>82.679999999999993</v>
      </c>
      <c r="N609" s="111">
        <v>413.4</v>
      </c>
      <c r="O609" s="111"/>
      <c r="P609" s="111"/>
      <c r="Q609" s="111"/>
      <c r="R609" s="111"/>
      <c r="S609" s="1249">
        <v>2</v>
      </c>
      <c r="T609" s="1250">
        <v>137.79999999999998</v>
      </c>
      <c r="U609" s="1250"/>
      <c r="V609" s="1250"/>
      <c r="W609" s="1251">
        <v>2</v>
      </c>
      <c r="X609" s="1250">
        <v>137.79999999999998</v>
      </c>
      <c r="Y609" s="1250"/>
      <c r="Z609" s="1250"/>
      <c r="AA609" s="1250"/>
      <c r="AB609" s="1250"/>
      <c r="AC609" s="1250"/>
      <c r="AD609" s="1250"/>
      <c r="AE609" s="1249">
        <v>1</v>
      </c>
      <c r="AF609" s="1250">
        <v>137.79999999999998</v>
      </c>
      <c r="AG609" s="111"/>
      <c r="AH609" s="111"/>
      <c r="AI609" s="111"/>
      <c r="AJ609" s="111"/>
      <c r="AK609" s="111"/>
      <c r="AL609" s="111"/>
      <c r="AM609" s="111">
        <v>413.4</v>
      </c>
    </row>
    <row r="610" spans="1:39" ht="15" customHeight="1" x14ac:dyDescent="0.25">
      <c r="A610" s="1409"/>
      <c r="B610" s="1409"/>
      <c r="C610" s="1409"/>
      <c r="D610" s="1409"/>
      <c r="E610" s="1247"/>
      <c r="F610" s="1248" t="s">
        <v>4614</v>
      </c>
      <c r="G610" s="111"/>
      <c r="H610" s="1249">
        <v>5</v>
      </c>
      <c r="I610" s="111" t="s">
        <v>1734</v>
      </c>
      <c r="J610" s="1321" t="s">
        <v>5608</v>
      </c>
      <c r="K610" s="162" t="s">
        <v>5610</v>
      </c>
      <c r="L610" s="162" t="s">
        <v>5609</v>
      </c>
      <c r="M610" s="111">
        <v>82.679999999999993</v>
      </c>
      <c r="N610" s="111">
        <v>413.4</v>
      </c>
      <c r="O610" s="111"/>
      <c r="P610" s="111"/>
      <c r="Q610" s="111"/>
      <c r="R610" s="111"/>
      <c r="S610" s="1249">
        <v>2</v>
      </c>
      <c r="T610" s="1250">
        <v>137.79999999999998</v>
      </c>
      <c r="U610" s="1250"/>
      <c r="V610" s="1250"/>
      <c r="W610" s="1251">
        <v>2</v>
      </c>
      <c r="X610" s="1250">
        <v>137.79999999999998</v>
      </c>
      <c r="Y610" s="1250"/>
      <c r="Z610" s="1250"/>
      <c r="AA610" s="1250"/>
      <c r="AB610" s="1250"/>
      <c r="AC610" s="1250"/>
      <c r="AD610" s="1250"/>
      <c r="AE610" s="1249">
        <v>1</v>
      </c>
      <c r="AF610" s="1250">
        <v>137.79999999999998</v>
      </c>
      <c r="AG610" s="111"/>
      <c r="AH610" s="111"/>
      <c r="AI610" s="111"/>
      <c r="AJ610" s="111"/>
      <c r="AK610" s="111"/>
      <c r="AL610" s="111"/>
      <c r="AM610" s="111">
        <v>413.4</v>
      </c>
    </row>
    <row r="611" spans="1:39" ht="15" customHeight="1" x14ac:dyDescent="0.25">
      <c r="A611" s="1409"/>
      <c r="B611" s="1409"/>
      <c r="C611" s="1409"/>
      <c r="D611" s="1409"/>
      <c r="E611" s="1247"/>
      <c r="F611" s="1248" t="s">
        <v>4615</v>
      </c>
      <c r="G611" s="111"/>
      <c r="H611" s="1249">
        <v>5</v>
      </c>
      <c r="I611" s="111" t="s">
        <v>1734</v>
      </c>
      <c r="J611" s="1321" t="s">
        <v>5608</v>
      </c>
      <c r="K611" s="162" t="s">
        <v>5610</v>
      </c>
      <c r="L611" s="162" t="s">
        <v>5609</v>
      </c>
      <c r="M611" s="111">
        <v>82.679999999999993</v>
      </c>
      <c r="N611" s="111">
        <v>413.4</v>
      </c>
      <c r="O611" s="111"/>
      <c r="P611" s="111"/>
      <c r="Q611" s="111"/>
      <c r="R611" s="111"/>
      <c r="S611" s="1249">
        <v>2</v>
      </c>
      <c r="T611" s="1250">
        <v>137.79999999999998</v>
      </c>
      <c r="U611" s="1250"/>
      <c r="V611" s="1250"/>
      <c r="W611" s="1251">
        <v>2</v>
      </c>
      <c r="X611" s="1250">
        <v>137.79999999999998</v>
      </c>
      <c r="Y611" s="1250"/>
      <c r="Z611" s="1250"/>
      <c r="AA611" s="1250"/>
      <c r="AB611" s="1250"/>
      <c r="AC611" s="1250"/>
      <c r="AD611" s="1250"/>
      <c r="AE611" s="1249">
        <v>1</v>
      </c>
      <c r="AF611" s="1250">
        <v>137.79999999999998</v>
      </c>
      <c r="AG611" s="111"/>
      <c r="AH611" s="111"/>
      <c r="AI611" s="111"/>
      <c r="AJ611" s="111"/>
      <c r="AK611" s="111"/>
      <c r="AL611" s="111"/>
      <c r="AM611" s="111">
        <v>413.4</v>
      </c>
    </row>
    <row r="612" spans="1:39" ht="15" customHeight="1" x14ac:dyDescent="0.25">
      <c r="A612" s="1409"/>
      <c r="B612" s="1409"/>
      <c r="C612" s="1409"/>
      <c r="D612" s="1409"/>
      <c r="E612" s="1247"/>
      <c r="F612" s="1248" t="s">
        <v>4616</v>
      </c>
      <c r="G612" s="111"/>
      <c r="H612" s="1249">
        <v>5</v>
      </c>
      <c r="I612" s="111" t="s">
        <v>1734</v>
      </c>
      <c r="J612" s="1321" t="s">
        <v>5608</v>
      </c>
      <c r="K612" s="162" t="s">
        <v>5610</v>
      </c>
      <c r="L612" s="162" t="s">
        <v>5609</v>
      </c>
      <c r="M612" s="111">
        <v>82.679999999999993</v>
      </c>
      <c r="N612" s="111">
        <v>413.4</v>
      </c>
      <c r="O612" s="111"/>
      <c r="P612" s="111"/>
      <c r="Q612" s="111"/>
      <c r="R612" s="111"/>
      <c r="S612" s="1249">
        <v>2</v>
      </c>
      <c r="T612" s="1250">
        <v>137.79999999999998</v>
      </c>
      <c r="U612" s="1250"/>
      <c r="V612" s="1250"/>
      <c r="W612" s="1251">
        <v>2</v>
      </c>
      <c r="X612" s="1250">
        <v>137.79999999999998</v>
      </c>
      <c r="Y612" s="1250"/>
      <c r="Z612" s="1250"/>
      <c r="AA612" s="1250"/>
      <c r="AB612" s="1250"/>
      <c r="AC612" s="1250"/>
      <c r="AD612" s="1250"/>
      <c r="AE612" s="1249">
        <v>1</v>
      </c>
      <c r="AF612" s="1250">
        <v>137.79999999999998</v>
      </c>
      <c r="AG612" s="111"/>
      <c r="AH612" s="111"/>
      <c r="AI612" s="111"/>
      <c r="AJ612" s="111"/>
      <c r="AK612" s="111"/>
      <c r="AL612" s="111"/>
      <c r="AM612" s="111">
        <v>413.4</v>
      </c>
    </row>
    <row r="613" spans="1:39" ht="15" customHeight="1" x14ac:dyDescent="0.25">
      <c r="A613" s="1409"/>
      <c r="B613" s="1409"/>
      <c r="C613" s="1409"/>
      <c r="D613" s="1409"/>
      <c r="E613" s="1247"/>
      <c r="F613" s="1248" t="s">
        <v>4617</v>
      </c>
      <c r="G613" s="111"/>
      <c r="H613" s="1249">
        <v>5</v>
      </c>
      <c r="I613" s="111" t="s">
        <v>1734</v>
      </c>
      <c r="J613" s="1321" t="s">
        <v>5608</v>
      </c>
      <c r="K613" s="162" t="s">
        <v>5610</v>
      </c>
      <c r="L613" s="162" t="s">
        <v>5609</v>
      </c>
      <c r="M613" s="111">
        <v>82.679999999999993</v>
      </c>
      <c r="N613" s="111">
        <v>413.4</v>
      </c>
      <c r="O613" s="111"/>
      <c r="P613" s="111"/>
      <c r="Q613" s="111"/>
      <c r="R613" s="111"/>
      <c r="S613" s="1249">
        <v>2</v>
      </c>
      <c r="T613" s="1250">
        <v>137.79999999999998</v>
      </c>
      <c r="U613" s="1250"/>
      <c r="V613" s="1250"/>
      <c r="W613" s="1251">
        <v>2</v>
      </c>
      <c r="X613" s="1250">
        <v>137.79999999999998</v>
      </c>
      <c r="Y613" s="1250"/>
      <c r="Z613" s="1250"/>
      <c r="AA613" s="1250"/>
      <c r="AB613" s="1250"/>
      <c r="AC613" s="1250"/>
      <c r="AD613" s="1250"/>
      <c r="AE613" s="1249">
        <v>1</v>
      </c>
      <c r="AF613" s="1250">
        <v>137.79999999999998</v>
      </c>
      <c r="AG613" s="111"/>
      <c r="AH613" s="111"/>
      <c r="AI613" s="111"/>
      <c r="AJ613" s="111"/>
      <c r="AK613" s="111"/>
      <c r="AL613" s="111"/>
      <c r="AM613" s="111">
        <v>413.4</v>
      </c>
    </row>
    <row r="614" spans="1:39" ht="15" customHeight="1" x14ac:dyDescent="0.25">
      <c r="A614" s="1409"/>
      <c r="B614" s="1409"/>
      <c r="C614" s="1409"/>
      <c r="D614" s="1409"/>
      <c r="E614" s="1247"/>
      <c r="F614" s="1248" t="s">
        <v>4618</v>
      </c>
      <c r="G614" s="111"/>
      <c r="H614" s="1249">
        <v>5</v>
      </c>
      <c r="I614" s="111" t="s">
        <v>1734</v>
      </c>
      <c r="J614" s="1321" t="s">
        <v>5608</v>
      </c>
      <c r="K614" s="162" t="s">
        <v>5610</v>
      </c>
      <c r="L614" s="162" t="s">
        <v>5609</v>
      </c>
      <c r="M614" s="111">
        <v>82.679999999999993</v>
      </c>
      <c r="N614" s="111">
        <v>413.4</v>
      </c>
      <c r="O614" s="111"/>
      <c r="P614" s="111"/>
      <c r="Q614" s="111"/>
      <c r="R614" s="111"/>
      <c r="S614" s="1249">
        <v>2</v>
      </c>
      <c r="T614" s="1250">
        <v>137.79999999999998</v>
      </c>
      <c r="U614" s="1250"/>
      <c r="V614" s="1250"/>
      <c r="W614" s="1251">
        <v>2</v>
      </c>
      <c r="X614" s="1250">
        <v>137.79999999999998</v>
      </c>
      <c r="Y614" s="1250"/>
      <c r="Z614" s="1250"/>
      <c r="AA614" s="1250"/>
      <c r="AB614" s="1250"/>
      <c r="AC614" s="1250"/>
      <c r="AD614" s="1250"/>
      <c r="AE614" s="1249">
        <v>1</v>
      </c>
      <c r="AF614" s="1250">
        <v>137.79999999999998</v>
      </c>
      <c r="AG614" s="111"/>
      <c r="AH614" s="111"/>
      <c r="AI614" s="111"/>
      <c r="AJ614" s="111"/>
      <c r="AK614" s="111"/>
      <c r="AL614" s="111"/>
      <c r="AM614" s="111">
        <v>413.4</v>
      </c>
    </row>
    <row r="615" spans="1:39" ht="15" customHeight="1" x14ac:dyDescent="0.25">
      <c r="A615" s="1409"/>
      <c r="B615" s="1409"/>
      <c r="C615" s="1409"/>
      <c r="D615" s="1409"/>
      <c r="E615" s="1247"/>
      <c r="F615" s="1248" t="s">
        <v>286</v>
      </c>
      <c r="G615" s="111"/>
      <c r="H615" s="1249">
        <v>100</v>
      </c>
      <c r="I615" s="111" t="s">
        <v>1721</v>
      </c>
      <c r="J615" s="1321" t="s">
        <v>5608</v>
      </c>
      <c r="K615" s="162" t="s">
        <v>5610</v>
      </c>
      <c r="L615" s="162" t="s">
        <v>5609</v>
      </c>
      <c r="M615" s="111">
        <v>4.38</v>
      </c>
      <c r="N615" s="111">
        <v>438</v>
      </c>
      <c r="O615" s="111"/>
      <c r="P615" s="111"/>
      <c r="Q615" s="111"/>
      <c r="R615" s="111"/>
      <c r="S615" s="1249">
        <v>40</v>
      </c>
      <c r="T615" s="1250">
        <v>146</v>
      </c>
      <c r="U615" s="1250"/>
      <c r="V615" s="1250"/>
      <c r="W615" s="1251">
        <v>40</v>
      </c>
      <c r="X615" s="1250">
        <v>146</v>
      </c>
      <c r="Y615" s="1250"/>
      <c r="Z615" s="1250"/>
      <c r="AA615" s="1250"/>
      <c r="AB615" s="1250"/>
      <c r="AC615" s="1250"/>
      <c r="AD615" s="1250"/>
      <c r="AE615" s="1249">
        <v>20</v>
      </c>
      <c r="AF615" s="1250">
        <v>146</v>
      </c>
      <c r="AG615" s="111"/>
      <c r="AH615" s="111"/>
      <c r="AI615" s="111"/>
      <c r="AJ615" s="111"/>
      <c r="AK615" s="111"/>
      <c r="AL615" s="111"/>
      <c r="AM615" s="111">
        <v>438</v>
      </c>
    </row>
    <row r="616" spans="1:39" ht="15" customHeight="1" x14ac:dyDescent="0.25">
      <c r="A616" s="1409"/>
      <c r="B616" s="1409"/>
      <c r="C616" s="1409"/>
      <c r="D616" s="1409"/>
      <c r="E616" s="1247"/>
      <c r="F616" s="1248" t="s">
        <v>4619</v>
      </c>
      <c r="G616" s="111"/>
      <c r="H616" s="1249">
        <v>100</v>
      </c>
      <c r="I616" s="111" t="s">
        <v>1721</v>
      </c>
      <c r="J616" s="1321" t="s">
        <v>5608</v>
      </c>
      <c r="K616" s="162" t="s">
        <v>5610</v>
      </c>
      <c r="L616" s="162" t="s">
        <v>5609</v>
      </c>
      <c r="M616" s="111">
        <v>6.26</v>
      </c>
      <c r="N616" s="111">
        <v>626</v>
      </c>
      <c r="O616" s="111"/>
      <c r="P616" s="111"/>
      <c r="Q616" s="111"/>
      <c r="R616" s="111"/>
      <c r="S616" s="1249">
        <v>40</v>
      </c>
      <c r="T616" s="1250">
        <v>208.66666666666666</v>
      </c>
      <c r="U616" s="1250"/>
      <c r="V616" s="1250"/>
      <c r="W616" s="1251">
        <v>40</v>
      </c>
      <c r="X616" s="1250">
        <v>208.66666666666666</v>
      </c>
      <c r="Y616" s="1250"/>
      <c r="Z616" s="1250"/>
      <c r="AA616" s="1250"/>
      <c r="AB616" s="1250"/>
      <c r="AC616" s="1250"/>
      <c r="AD616" s="1250"/>
      <c r="AE616" s="1249">
        <v>20</v>
      </c>
      <c r="AF616" s="1250">
        <v>208.66666666666666</v>
      </c>
      <c r="AG616" s="111"/>
      <c r="AH616" s="111"/>
      <c r="AI616" s="111"/>
      <c r="AJ616" s="111"/>
      <c r="AK616" s="111"/>
      <c r="AL616" s="111"/>
      <c r="AM616" s="111">
        <v>626</v>
      </c>
    </row>
    <row r="617" spans="1:39" ht="15" customHeight="1" x14ac:dyDescent="0.25">
      <c r="A617" s="1409"/>
      <c r="B617" s="1409"/>
      <c r="C617" s="1409"/>
      <c r="D617" s="1409"/>
      <c r="E617" s="1247"/>
      <c r="F617" s="1248" t="s">
        <v>4620</v>
      </c>
      <c r="G617" s="111"/>
      <c r="H617" s="1249">
        <v>5</v>
      </c>
      <c r="I617" s="111" t="s">
        <v>1873</v>
      </c>
      <c r="J617" s="1321" t="s">
        <v>5608</v>
      </c>
      <c r="K617" s="162" t="s">
        <v>5610</v>
      </c>
      <c r="L617" s="162" t="s">
        <v>5609</v>
      </c>
      <c r="M617" s="111">
        <v>48.620000000000005</v>
      </c>
      <c r="N617" s="111">
        <v>243.10000000000002</v>
      </c>
      <c r="O617" s="111"/>
      <c r="P617" s="111"/>
      <c r="Q617" s="111"/>
      <c r="R617" s="111"/>
      <c r="S617" s="1249">
        <v>2</v>
      </c>
      <c r="T617" s="1250">
        <v>81.033333333333346</v>
      </c>
      <c r="U617" s="1250"/>
      <c r="V617" s="1250"/>
      <c r="W617" s="1251">
        <v>2</v>
      </c>
      <c r="X617" s="1250">
        <v>81.033333333333346</v>
      </c>
      <c r="Y617" s="1250"/>
      <c r="Z617" s="1250"/>
      <c r="AA617" s="1250"/>
      <c r="AB617" s="1250"/>
      <c r="AC617" s="1250"/>
      <c r="AD617" s="1250"/>
      <c r="AE617" s="1249">
        <v>1</v>
      </c>
      <c r="AF617" s="1250">
        <v>81.033333333333346</v>
      </c>
      <c r="AG617" s="111"/>
      <c r="AH617" s="111"/>
      <c r="AI617" s="111"/>
      <c r="AJ617" s="111"/>
      <c r="AK617" s="111"/>
      <c r="AL617" s="111"/>
      <c r="AM617" s="111">
        <v>243.10000000000002</v>
      </c>
    </row>
    <row r="618" spans="1:39" ht="15" customHeight="1" x14ac:dyDescent="0.25">
      <c r="A618" s="1409"/>
      <c r="B618" s="1409"/>
      <c r="C618" s="1409"/>
      <c r="D618" s="1409"/>
      <c r="E618" s="1247"/>
      <c r="F618" s="1248" t="s">
        <v>4621</v>
      </c>
      <c r="G618" s="111"/>
      <c r="H618" s="1249">
        <v>5</v>
      </c>
      <c r="I618" s="111" t="s">
        <v>1873</v>
      </c>
      <c r="J618" s="1321" t="s">
        <v>5608</v>
      </c>
      <c r="K618" s="162" t="s">
        <v>5610</v>
      </c>
      <c r="L618" s="162" t="s">
        <v>5609</v>
      </c>
      <c r="M618" s="111">
        <v>48.620000000000005</v>
      </c>
      <c r="N618" s="111">
        <v>243.10000000000002</v>
      </c>
      <c r="O618" s="111"/>
      <c r="P618" s="111"/>
      <c r="Q618" s="111"/>
      <c r="R618" s="111"/>
      <c r="S618" s="1249">
        <v>2</v>
      </c>
      <c r="T618" s="1250">
        <v>81.033333333333346</v>
      </c>
      <c r="U618" s="1250"/>
      <c r="V618" s="1250"/>
      <c r="W618" s="1251">
        <v>2</v>
      </c>
      <c r="X618" s="1250">
        <v>81.033333333333346</v>
      </c>
      <c r="Y618" s="1250"/>
      <c r="Z618" s="1250"/>
      <c r="AA618" s="1250"/>
      <c r="AB618" s="1250"/>
      <c r="AC618" s="1250"/>
      <c r="AD618" s="1250"/>
      <c r="AE618" s="1249">
        <v>1</v>
      </c>
      <c r="AF618" s="1250">
        <v>81.033333333333346</v>
      </c>
      <c r="AG618" s="111"/>
      <c r="AH618" s="111"/>
      <c r="AI618" s="111"/>
      <c r="AJ618" s="111"/>
      <c r="AK618" s="111"/>
      <c r="AL618" s="111"/>
      <c r="AM618" s="111">
        <v>243.10000000000002</v>
      </c>
    </row>
    <row r="619" spans="1:39" ht="15" customHeight="1" x14ac:dyDescent="0.25">
      <c r="A619" s="1409"/>
      <c r="B619" s="1409"/>
      <c r="C619" s="1409"/>
      <c r="D619" s="1409"/>
      <c r="E619" s="1247"/>
      <c r="F619" s="1248" t="s">
        <v>4622</v>
      </c>
      <c r="G619" s="111"/>
      <c r="H619" s="1249">
        <v>5</v>
      </c>
      <c r="I619" s="111" t="s">
        <v>1873</v>
      </c>
      <c r="J619" s="1321" t="s">
        <v>5608</v>
      </c>
      <c r="K619" s="162" t="s">
        <v>5610</v>
      </c>
      <c r="L619" s="162" t="s">
        <v>5609</v>
      </c>
      <c r="M619" s="111">
        <v>48.620000000000005</v>
      </c>
      <c r="N619" s="111">
        <v>243.10000000000002</v>
      </c>
      <c r="O619" s="111"/>
      <c r="P619" s="111"/>
      <c r="Q619" s="111"/>
      <c r="R619" s="111"/>
      <c r="S619" s="1249">
        <v>2</v>
      </c>
      <c r="T619" s="1250">
        <v>81.033333333333346</v>
      </c>
      <c r="U619" s="1250"/>
      <c r="V619" s="1250"/>
      <c r="W619" s="1251">
        <v>2</v>
      </c>
      <c r="X619" s="1250">
        <v>81.033333333333346</v>
      </c>
      <c r="Y619" s="1250"/>
      <c r="Z619" s="1250"/>
      <c r="AA619" s="1250"/>
      <c r="AB619" s="1250"/>
      <c r="AC619" s="1250"/>
      <c r="AD619" s="1250"/>
      <c r="AE619" s="1249">
        <v>1</v>
      </c>
      <c r="AF619" s="1250">
        <v>81.033333333333346</v>
      </c>
      <c r="AG619" s="111"/>
      <c r="AH619" s="111"/>
      <c r="AI619" s="111"/>
      <c r="AJ619" s="111"/>
      <c r="AK619" s="111"/>
      <c r="AL619" s="111"/>
      <c r="AM619" s="111">
        <v>243.10000000000002</v>
      </c>
    </row>
    <row r="620" spans="1:39" ht="15" customHeight="1" x14ac:dyDescent="0.25">
      <c r="A620" s="1409"/>
      <c r="B620" s="1409"/>
      <c r="C620" s="1409"/>
      <c r="D620" s="1409"/>
      <c r="E620" s="1247"/>
      <c r="F620" s="1248" t="s">
        <v>4623</v>
      </c>
      <c r="G620" s="111"/>
      <c r="H620" s="1249">
        <v>5</v>
      </c>
      <c r="I620" s="111" t="s">
        <v>1873</v>
      </c>
      <c r="J620" s="1321" t="s">
        <v>5608</v>
      </c>
      <c r="K620" s="162" t="s">
        <v>5610</v>
      </c>
      <c r="L620" s="162" t="s">
        <v>5609</v>
      </c>
      <c r="M620" s="111">
        <v>48.620000000000005</v>
      </c>
      <c r="N620" s="111">
        <v>243.10000000000002</v>
      </c>
      <c r="O620" s="111"/>
      <c r="P620" s="111"/>
      <c r="Q620" s="111"/>
      <c r="R620" s="111"/>
      <c r="S620" s="1249">
        <v>2</v>
      </c>
      <c r="T620" s="1250">
        <v>81.033333333333346</v>
      </c>
      <c r="U620" s="1250"/>
      <c r="V620" s="1250"/>
      <c r="W620" s="1251">
        <v>2</v>
      </c>
      <c r="X620" s="1250">
        <v>81.033333333333346</v>
      </c>
      <c r="Y620" s="1250"/>
      <c r="Z620" s="1250"/>
      <c r="AA620" s="1250"/>
      <c r="AB620" s="1250"/>
      <c r="AC620" s="1250"/>
      <c r="AD620" s="1250"/>
      <c r="AE620" s="1249">
        <v>1</v>
      </c>
      <c r="AF620" s="1250">
        <v>81.033333333333346</v>
      </c>
      <c r="AG620" s="111"/>
      <c r="AH620" s="111"/>
      <c r="AI620" s="111"/>
      <c r="AJ620" s="111"/>
      <c r="AK620" s="111"/>
      <c r="AL620" s="111"/>
      <c r="AM620" s="111">
        <v>243.10000000000002</v>
      </c>
    </row>
    <row r="621" spans="1:39" ht="15" customHeight="1" x14ac:dyDescent="0.25">
      <c r="A621" s="1409"/>
      <c r="B621" s="1409"/>
      <c r="C621" s="1409"/>
      <c r="D621" s="1409"/>
      <c r="E621" s="1247"/>
      <c r="F621" s="1248" t="s">
        <v>4624</v>
      </c>
      <c r="G621" s="111"/>
      <c r="H621" s="1249">
        <v>5</v>
      </c>
      <c r="I621" s="111" t="s">
        <v>1873</v>
      </c>
      <c r="J621" s="1321" t="s">
        <v>5608</v>
      </c>
      <c r="K621" s="162" t="s">
        <v>5610</v>
      </c>
      <c r="L621" s="162" t="s">
        <v>5609</v>
      </c>
      <c r="M621" s="111">
        <v>48.620000000000005</v>
      </c>
      <c r="N621" s="111">
        <v>243.10000000000002</v>
      </c>
      <c r="O621" s="111"/>
      <c r="P621" s="111"/>
      <c r="Q621" s="111"/>
      <c r="R621" s="111"/>
      <c r="S621" s="1249">
        <v>2</v>
      </c>
      <c r="T621" s="1250">
        <v>81.033333333333346</v>
      </c>
      <c r="U621" s="1250"/>
      <c r="V621" s="1250"/>
      <c r="W621" s="1251">
        <v>2</v>
      </c>
      <c r="X621" s="1250">
        <v>81.033333333333346</v>
      </c>
      <c r="Y621" s="1250"/>
      <c r="Z621" s="1250"/>
      <c r="AA621" s="1250"/>
      <c r="AB621" s="1250"/>
      <c r="AC621" s="1250"/>
      <c r="AD621" s="1250"/>
      <c r="AE621" s="1249">
        <v>1</v>
      </c>
      <c r="AF621" s="1250">
        <v>81.033333333333346</v>
      </c>
      <c r="AG621" s="111"/>
      <c r="AH621" s="111"/>
      <c r="AI621" s="111"/>
      <c r="AJ621" s="111"/>
      <c r="AK621" s="111"/>
      <c r="AL621" s="111"/>
      <c r="AM621" s="111">
        <v>243.10000000000002</v>
      </c>
    </row>
    <row r="622" spans="1:39" ht="15" customHeight="1" x14ac:dyDescent="0.25">
      <c r="A622" s="1409"/>
      <c r="B622" s="1409"/>
      <c r="C622" s="1409"/>
      <c r="D622" s="1409"/>
      <c r="E622" s="1247"/>
      <c r="F622" s="1248" t="s">
        <v>4625</v>
      </c>
      <c r="G622" s="111"/>
      <c r="H622" s="1249">
        <v>5</v>
      </c>
      <c r="I622" s="111" t="s">
        <v>1873</v>
      </c>
      <c r="J622" s="1321" t="s">
        <v>5608</v>
      </c>
      <c r="K622" s="162" t="s">
        <v>5610</v>
      </c>
      <c r="L622" s="162" t="s">
        <v>5609</v>
      </c>
      <c r="M622" s="111">
        <v>48.620000000000005</v>
      </c>
      <c r="N622" s="111">
        <v>243.10000000000002</v>
      </c>
      <c r="O622" s="111"/>
      <c r="P622" s="111"/>
      <c r="Q622" s="111"/>
      <c r="R622" s="111"/>
      <c r="S622" s="1249">
        <v>2</v>
      </c>
      <c r="T622" s="1250">
        <v>81.033333333333346</v>
      </c>
      <c r="U622" s="1250"/>
      <c r="V622" s="1250"/>
      <c r="W622" s="1251">
        <v>2</v>
      </c>
      <c r="X622" s="1250">
        <v>81.033333333333346</v>
      </c>
      <c r="Y622" s="1250"/>
      <c r="Z622" s="1250"/>
      <c r="AA622" s="1250"/>
      <c r="AB622" s="1250"/>
      <c r="AC622" s="1250"/>
      <c r="AD622" s="1250"/>
      <c r="AE622" s="1249">
        <v>1</v>
      </c>
      <c r="AF622" s="1250">
        <v>81.033333333333346</v>
      </c>
      <c r="AG622" s="111"/>
      <c r="AH622" s="111"/>
      <c r="AI622" s="111"/>
      <c r="AJ622" s="111"/>
      <c r="AK622" s="111"/>
      <c r="AL622" s="111"/>
      <c r="AM622" s="111">
        <v>243.10000000000002</v>
      </c>
    </row>
    <row r="623" spans="1:39" ht="15" customHeight="1" x14ac:dyDescent="0.25">
      <c r="A623" s="1409"/>
      <c r="B623" s="1409"/>
      <c r="C623" s="1409"/>
      <c r="D623" s="1409"/>
      <c r="E623" s="1247"/>
      <c r="F623" s="1248" t="s">
        <v>4626</v>
      </c>
      <c r="G623" s="111"/>
      <c r="H623" s="1249">
        <v>25</v>
      </c>
      <c r="I623" s="111" t="s">
        <v>1721</v>
      </c>
      <c r="J623" s="1321" t="s">
        <v>5608</v>
      </c>
      <c r="K623" s="162" t="s">
        <v>5610</v>
      </c>
      <c r="L623" s="162" t="s">
        <v>5609</v>
      </c>
      <c r="M623" s="111">
        <v>53.13</v>
      </c>
      <c r="N623" s="111">
        <v>1328.25</v>
      </c>
      <c r="O623" s="111"/>
      <c r="P623" s="111"/>
      <c r="Q623" s="111"/>
      <c r="R623" s="111"/>
      <c r="S623" s="1249">
        <v>10</v>
      </c>
      <c r="T623" s="1250">
        <v>442.75</v>
      </c>
      <c r="U623" s="1250"/>
      <c r="V623" s="1250"/>
      <c r="W623" s="1251">
        <v>10</v>
      </c>
      <c r="X623" s="1250">
        <v>442.75</v>
      </c>
      <c r="Y623" s="1250"/>
      <c r="Z623" s="1250"/>
      <c r="AA623" s="1250"/>
      <c r="AB623" s="1250"/>
      <c r="AC623" s="1250"/>
      <c r="AD623" s="1250"/>
      <c r="AE623" s="1249">
        <v>5</v>
      </c>
      <c r="AF623" s="1250">
        <v>442.75</v>
      </c>
      <c r="AG623" s="111"/>
      <c r="AH623" s="111"/>
      <c r="AI623" s="111"/>
      <c r="AJ623" s="111"/>
      <c r="AK623" s="111"/>
      <c r="AL623" s="111"/>
      <c r="AM623" s="111">
        <v>1328.25</v>
      </c>
    </row>
    <row r="624" spans="1:39" ht="15" customHeight="1" x14ac:dyDescent="0.25">
      <c r="A624" s="1409"/>
      <c r="B624" s="1409"/>
      <c r="C624" s="1409"/>
      <c r="D624" s="1409"/>
      <c r="E624" s="1247"/>
      <c r="F624" s="1248" t="s">
        <v>4627</v>
      </c>
      <c r="G624" s="111"/>
      <c r="H624" s="1249">
        <v>22</v>
      </c>
      <c r="I624" s="111" t="s">
        <v>1721</v>
      </c>
      <c r="J624" s="1321" t="s">
        <v>5608</v>
      </c>
      <c r="K624" s="162" t="s">
        <v>5610</v>
      </c>
      <c r="L624" s="162" t="s">
        <v>5609</v>
      </c>
      <c r="M624" s="111">
        <v>100</v>
      </c>
      <c r="N624" s="111">
        <v>2200</v>
      </c>
      <c r="O624" s="111"/>
      <c r="P624" s="111"/>
      <c r="Q624" s="111"/>
      <c r="R624" s="111"/>
      <c r="S624" s="1249">
        <v>12</v>
      </c>
      <c r="T624" s="1250">
        <v>733.33333333333337</v>
      </c>
      <c r="U624" s="1250"/>
      <c r="V624" s="1250"/>
      <c r="W624" s="1251">
        <v>5</v>
      </c>
      <c r="X624" s="1250">
        <v>733.33333333333337</v>
      </c>
      <c r="Y624" s="1250"/>
      <c r="Z624" s="1250"/>
      <c r="AA624" s="1250"/>
      <c r="AB624" s="1250"/>
      <c r="AC624" s="1250"/>
      <c r="AD624" s="1250"/>
      <c r="AE624" s="1249">
        <v>5</v>
      </c>
      <c r="AF624" s="1250">
        <v>733.33333333333337</v>
      </c>
      <c r="AG624" s="111"/>
      <c r="AH624" s="111"/>
      <c r="AI624" s="111"/>
      <c r="AJ624" s="111"/>
      <c r="AK624" s="111"/>
      <c r="AL624" s="111"/>
      <c r="AM624" s="111">
        <v>2200</v>
      </c>
    </row>
    <row r="625" spans="1:39" ht="15" customHeight="1" x14ac:dyDescent="0.25">
      <c r="A625" s="1409"/>
      <c r="B625" s="1409"/>
      <c r="C625" s="1409"/>
      <c r="D625" s="1409"/>
      <c r="E625" s="1247"/>
      <c r="F625" s="1248" t="s">
        <v>62</v>
      </c>
      <c r="G625" s="111"/>
      <c r="H625" s="1249">
        <v>5</v>
      </c>
      <c r="I625" s="111" t="s">
        <v>1721</v>
      </c>
      <c r="J625" s="1321" t="s">
        <v>5608</v>
      </c>
      <c r="K625" s="162" t="s">
        <v>5610</v>
      </c>
      <c r="L625" s="162" t="s">
        <v>5609</v>
      </c>
      <c r="M625" s="111">
        <v>14.14</v>
      </c>
      <c r="N625" s="111">
        <v>70.7</v>
      </c>
      <c r="O625" s="111"/>
      <c r="P625" s="111"/>
      <c r="Q625" s="111"/>
      <c r="R625" s="111"/>
      <c r="S625" s="1249">
        <v>2</v>
      </c>
      <c r="T625" s="1250">
        <v>23.566666666666666</v>
      </c>
      <c r="U625" s="1250"/>
      <c r="V625" s="1250"/>
      <c r="W625" s="1251">
        <v>2</v>
      </c>
      <c r="X625" s="1250">
        <v>23.566666666666666</v>
      </c>
      <c r="Y625" s="1250"/>
      <c r="Z625" s="1250"/>
      <c r="AA625" s="1250"/>
      <c r="AB625" s="1250"/>
      <c r="AC625" s="1250"/>
      <c r="AD625" s="1250"/>
      <c r="AE625" s="1249">
        <v>1</v>
      </c>
      <c r="AF625" s="1250">
        <v>23.566666666666666</v>
      </c>
      <c r="AG625" s="111"/>
      <c r="AH625" s="111"/>
      <c r="AI625" s="111"/>
      <c r="AJ625" s="111"/>
      <c r="AK625" s="111"/>
      <c r="AL625" s="111"/>
      <c r="AM625" s="111">
        <v>70.7</v>
      </c>
    </row>
    <row r="626" spans="1:39" ht="15" customHeight="1" x14ac:dyDescent="0.25">
      <c r="A626" s="1409"/>
      <c r="B626" s="1409"/>
      <c r="C626" s="1409"/>
      <c r="D626" s="1409"/>
      <c r="E626" s="1247"/>
      <c r="F626" s="1248" t="s">
        <v>4628</v>
      </c>
      <c r="G626" s="111"/>
      <c r="H626" s="1249">
        <v>32</v>
      </c>
      <c r="I626" s="111" t="s">
        <v>1721</v>
      </c>
      <c r="J626" s="1321" t="s">
        <v>5608</v>
      </c>
      <c r="K626" s="162" t="s">
        <v>5610</v>
      </c>
      <c r="L626" s="162" t="s">
        <v>5609</v>
      </c>
      <c r="M626" s="111">
        <v>87.7</v>
      </c>
      <c r="N626" s="111">
        <v>2806.4</v>
      </c>
      <c r="O626" s="111"/>
      <c r="P626" s="111"/>
      <c r="Q626" s="111"/>
      <c r="R626" s="111"/>
      <c r="S626" s="1249">
        <v>12</v>
      </c>
      <c r="T626" s="1250">
        <v>935.4666666666667</v>
      </c>
      <c r="U626" s="1250"/>
      <c r="V626" s="1250"/>
      <c r="W626" s="1251">
        <v>10</v>
      </c>
      <c r="X626" s="1250">
        <v>935.4666666666667</v>
      </c>
      <c r="Y626" s="1250"/>
      <c r="Z626" s="1250"/>
      <c r="AA626" s="1250"/>
      <c r="AB626" s="1250"/>
      <c r="AC626" s="1250"/>
      <c r="AD626" s="1250"/>
      <c r="AE626" s="1249">
        <v>10</v>
      </c>
      <c r="AF626" s="1250">
        <v>935.4666666666667</v>
      </c>
      <c r="AG626" s="111"/>
      <c r="AH626" s="111"/>
      <c r="AI626" s="111"/>
      <c r="AJ626" s="111"/>
      <c r="AK626" s="111"/>
      <c r="AL626" s="111"/>
      <c r="AM626" s="111">
        <v>2806.4</v>
      </c>
    </row>
    <row r="627" spans="1:39" ht="15" customHeight="1" x14ac:dyDescent="0.25">
      <c r="A627" s="1409"/>
      <c r="B627" s="1409"/>
      <c r="C627" s="1409"/>
      <c r="D627" s="1409"/>
      <c r="E627" s="1247"/>
      <c r="F627" s="1248" t="s">
        <v>220</v>
      </c>
      <c r="G627" s="111"/>
      <c r="H627" s="1249">
        <v>150</v>
      </c>
      <c r="I627" s="111" t="s">
        <v>1721</v>
      </c>
      <c r="J627" s="1321" t="s">
        <v>5608</v>
      </c>
      <c r="K627" s="162" t="s">
        <v>5610</v>
      </c>
      <c r="L627" s="162" t="s">
        <v>5609</v>
      </c>
      <c r="M627" s="111">
        <v>12.12</v>
      </c>
      <c r="N627" s="111">
        <v>1817.9999999999998</v>
      </c>
      <c r="O627" s="111"/>
      <c r="P627" s="111"/>
      <c r="Q627" s="111"/>
      <c r="R627" s="111"/>
      <c r="S627" s="1249">
        <v>50</v>
      </c>
      <c r="T627" s="1250">
        <v>606</v>
      </c>
      <c r="U627" s="1250"/>
      <c r="V627" s="1250"/>
      <c r="W627" s="1251">
        <v>50</v>
      </c>
      <c r="X627" s="1250">
        <v>606</v>
      </c>
      <c r="Y627" s="1250"/>
      <c r="Z627" s="1250"/>
      <c r="AA627" s="1250"/>
      <c r="AB627" s="1250"/>
      <c r="AC627" s="1250"/>
      <c r="AD627" s="1250"/>
      <c r="AE627" s="1249">
        <v>50</v>
      </c>
      <c r="AF627" s="1250">
        <v>606</v>
      </c>
      <c r="AG627" s="111"/>
      <c r="AH627" s="111"/>
      <c r="AI627" s="111"/>
      <c r="AJ627" s="111"/>
      <c r="AK627" s="111"/>
      <c r="AL627" s="111"/>
      <c r="AM627" s="111">
        <v>1818</v>
      </c>
    </row>
    <row r="628" spans="1:39" ht="15" customHeight="1" x14ac:dyDescent="0.25">
      <c r="A628" s="1409"/>
      <c r="B628" s="1409"/>
      <c r="C628" s="1409"/>
      <c r="D628" s="1409"/>
      <c r="E628" s="1247"/>
      <c r="F628" s="1248" t="s">
        <v>4629</v>
      </c>
      <c r="G628" s="111"/>
      <c r="H628" s="1249">
        <v>4</v>
      </c>
      <c r="I628" s="111" t="s">
        <v>1721</v>
      </c>
      <c r="J628" s="1321" t="s">
        <v>5608</v>
      </c>
      <c r="K628" s="162" t="s">
        <v>5610</v>
      </c>
      <c r="L628" s="162" t="s">
        <v>5609</v>
      </c>
      <c r="M628" s="111">
        <v>642.04999999999995</v>
      </c>
      <c r="N628" s="111">
        <v>2568.1999999999998</v>
      </c>
      <c r="O628" s="111"/>
      <c r="P628" s="111"/>
      <c r="Q628" s="111"/>
      <c r="R628" s="111"/>
      <c r="S628" s="1249">
        <v>2</v>
      </c>
      <c r="T628" s="1250">
        <v>856.06666666666661</v>
      </c>
      <c r="U628" s="1250"/>
      <c r="V628" s="1250"/>
      <c r="W628" s="1251">
        <v>1</v>
      </c>
      <c r="X628" s="1250">
        <v>856.06666666666661</v>
      </c>
      <c r="Y628" s="1250"/>
      <c r="Z628" s="1250"/>
      <c r="AA628" s="1250"/>
      <c r="AB628" s="1250"/>
      <c r="AC628" s="1250"/>
      <c r="AD628" s="1250"/>
      <c r="AE628" s="1249">
        <v>1</v>
      </c>
      <c r="AF628" s="1250">
        <v>856.06666666666661</v>
      </c>
      <c r="AG628" s="111"/>
      <c r="AH628" s="111"/>
      <c r="AI628" s="111"/>
      <c r="AJ628" s="111"/>
      <c r="AK628" s="111"/>
      <c r="AL628" s="111"/>
      <c r="AM628" s="111">
        <v>2568.1999999999998</v>
      </c>
    </row>
    <row r="629" spans="1:39" ht="15" customHeight="1" x14ac:dyDescent="0.25">
      <c r="A629" s="1409"/>
      <c r="B629" s="1409"/>
      <c r="C629" s="1409"/>
      <c r="D629" s="1409"/>
      <c r="E629" s="1247"/>
      <c r="F629" s="1248" t="s">
        <v>4630</v>
      </c>
      <c r="G629" s="111"/>
      <c r="H629" s="1249">
        <v>10</v>
      </c>
      <c r="I629" s="111" t="s">
        <v>1721</v>
      </c>
      <c r="J629" s="1321" t="s">
        <v>5608</v>
      </c>
      <c r="K629" s="162" t="s">
        <v>5610</v>
      </c>
      <c r="L629" s="162" t="s">
        <v>5609</v>
      </c>
      <c r="M629" s="111">
        <v>298</v>
      </c>
      <c r="N629" s="111">
        <v>2980</v>
      </c>
      <c r="O629" s="111"/>
      <c r="P629" s="111"/>
      <c r="Q629" s="111"/>
      <c r="R629" s="111"/>
      <c r="S629" s="1249">
        <v>5</v>
      </c>
      <c r="T629" s="1250">
        <v>993.33333333333337</v>
      </c>
      <c r="U629" s="1250"/>
      <c r="V629" s="1250"/>
      <c r="W629" s="1251">
        <v>5</v>
      </c>
      <c r="X629" s="1250">
        <v>993.33333333333337</v>
      </c>
      <c r="Y629" s="1250"/>
      <c r="Z629" s="1250"/>
      <c r="AA629" s="1250"/>
      <c r="AB629" s="1250"/>
      <c r="AC629" s="1250"/>
      <c r="AD629" s="1250"/>
      <c r="AE629" s="1249">
        <v>0</v>
      </c>
      <c r="AF629" s="1250">
        <v>993.33333333333337</v>
      </c>
      <c r="AG629" s="111"/>
      <c r="AH629" s="111"/>
      <c r="AI629" s="111"/>
      <c r="AJ629" s="111"/>
      <c r="AK629" s="111"/>
      <c r="AL629" s="111"/>
      <c r="AM629" s="111">
        <v>2980</v>
      </c>
    </row>
    <row r="630" spans="1:39" ht="15" customHeight="1" x14ac:dyDescent="0.25">
      <c r="A630" s="1409"/>
      <c r="B630" s="1409"/>
      <c r="C630" s="1409"/>
      <c r="D630" s="1409"/>
      <c r="E630" s="1247"/>
      <c r="F630" s="1248" t="s">
        <v>4631</v>
      </c>
      <c r="G630" s="111"/>
      <c r="H630" s="1249">
        <v>10</v>
      </c>
      <c r="I630" s="111" t="s">
        <v>1721</v>
      </c>
      <c r="J630" s="1321" t="s">
        <v>5608</v>
      </c>
      <c r="K630" s="162" t="s">
        <v>5610</v>
      </c>
      <c r="L630" s="162" t="s">
        <v>5609</v>
      </c>
      <c r="M630" s="111">
        <v>230</v>
      </c>
      <c r="N630" s="111">
        <v>2300</v>
      </c>
      <c r="O630" s="111"/>
      <c r="P630" s="111"/>
      <c r="Q630" s="111"/>
      <c r="R630" s="111"/>
      <c r="S630" s="1249">
        <v>5</v>
      </c>
      <c r="T630" s="1250">
        <v>766.66666666666663</v>
      </c>
      <c r="U630" s="1250"/>
      <c r="V630" s="1250"/>
      <c r="W630" s="1251">
        <v>5</v>
      </c>
      <c r="X630" s="1250">
        <v>766.66666666666663</v>
      </c>
      <c r="Y630" s="1250"/>
      <c r="Z630" s="1250"/>
      <c r="AA630" s="1250"/>
      <c r="AB630" s="1250"/>
      <c r="AC630" s="1250"/>
      <c r="AD630" s="1250"/>
      <c r="AE630" s="1249">
        <v>0</v>
      </c>
      <c r="AF630" s="1250">
        <v>766.66666666666663</v>
      </c>
      <c r="AG630" s="111"/>
      <c r="AH630" s="111"/>
      <c r="AI630" s="111"/>
      <c r="AJ630" s="111"/>
      <c r="AK630" s="111"/>
      <c r="AL630" s="111"/>
      <c r="AM630" s="111">
        <v>2300</v>
      </c>
    </row>
    <row r="631" spans="1:39" ht="15" customHeight="1" x14ac:dyDescent="0.25">
      <c r="A631" s="1409"/>
      <c r="B631" s="1409"/>
      <c r="C631" s="1409"/>
      <c r="D631" s="1409"/>
      <c r="E631" s="1247"/>
      <c r="F631" s="1248" t="s">
        <v>217</v>
      </c>
      <c r="G631" s="111"/>
      <c r="H631" s="1249">
        <v>100</v>
      </c>
      <c r="I631" s="111" t="s">
        <v>1721</v>
      </c>
      <c r="J631" s="1321" t="s">
        <v>5608</v>
      </c>
      <c r="K631" s="162" t="s">
        <v>5610</v>
      </c>
      <c r="L631" s="162" t="s">
        <v>5609</v>
      </c>
      <c r="M631" s="111">
        <v>24.63</v>
      </c>
      <c r="N631" s="111">
        <v>2463</v>
      </c>
      <c r="O631" s="111"/>
      <c r="P631" s="111"/>
      <c r="Q631" s="111"/>
      <c r="R631" s="111"/>
      <c r="S631" s="1249">
        <v>40</v>
      </c>
      <c r="T631" s="1250">
        <v>821</v>
      </c>
      <c r="U631" s="1250"/>
      <c r="V631" s="1250"/>
      <c r="W631" s="1251">
        <v>40</v>
      </c>
      <c r="X631" s="1250">
        <v>821</v>
      </c>
      <c r="Y631" s="1250"/>
      <c r="Z631" s="1250"/>
      <c r="AA631" s="1250"/>
      <c r="AB631" s="1250"/>
      <c r="AC631" s="1250"/>
      <c r="AD631" s="1250"/>
      <c r="AE631" s="1249">
        <v>20</v>
      </c>
      <c r="AF631" s="1250">
        <v>821</v>
      </c>
      <c r="AG631" s="111"/>
      <c r="AH631" s="111"/>
      <c r="AI631" s="111"/>
      <c r="AJ631" s="111"/>
      <c r="AK631" s="111"/>
      <c r="AL631" s="111"/>
      <c r="AM631" s="111">
        <v>2463</v>
      </c>
    </row>
    <row r="632" spans="1:39" ht="15" customHeight="1" x14ac:dyDescent="0.25">
      <c r="A632" s="1409"/>
      <c r="B632" s="1409"/>
      <c r="C632" s="1409"/>
      <c r="D632" s="1409"/>
      <c r="E632" s="1247"/>
      <c r="F632" s="1248" t="s">
        <v>32</v>
      </c>
      <c r="G632" s="111"/>
      <c r="H632" s="1249">
        <v>30</v>
      </c>
      <c r="I632" s="111" t="s">
        <v>1721</v>
      </c>
      <c r="J632" s="1321" t="s">
        <v>5608</v>
      </c>
      <c r="K632" s="162" t="s">
        <v>5610</v>
      </c>
      <c r="L632" s="162" t="s">
        <v>5609</v>
      </c>
      <c r="M632" s="111">
        <v>20.55</v>
      </c>
      <c r="N632" s="111">
        <v>616.5</v>
      </c>
      <c r="O632" s="111"/>
      <c r="P632" s="111"/>
      <c r="Q632" s="111"/>
      <c r="R632" s="111"/>
      <c r="S632" s="1249">
        <v>10</v>
      </c>
      <c r="T632" s="1250">
        <v>205.5</v>
      </c>
      <c r="U632" s="1250"/>
      <c r="V632" s="1250"/>
      <c r="W632" s="1251">
        <v>10</v>
      </c>
      <c r="X632" s="1250">
        <v>205.5</v>
      </c>
      <c r="Y632" s="1250"/>
      <c r="Z632" s="1250"/>
      <c r="AA632" s="1250"/>
      <c r="AB632" s="1250"/>
      <c r="AC632" s="1250"/>
      <c r="AD632" s="1250"/>
      <c r="AE632" s="1249">
        <v>10</v>
      </c>
      <c r="AF632" s="1250">
        <v>205.5</v>
      </c>
      <c r="AG632" s="111"/>
      <c r="AH632" s="111"/>
      <c r="AI632" s="111"/>
      <c r="AJ632" s="111"/>
      <c r="AK632" s="111"/>
      <c r="AL632" s="111"/>
      <c r="AM632" s="111">
        <v>616.5</v>
      </c>
    </row>
    <row r="633" spans="1:39" ht="15" customHeight="1" x14ac:dyDescent="0.25">
      <c r="A633" s="1409"/>
      <c r="B633" s="1409"/>
      <c r="C633" s="1409"/>
      <c r="D633" s="1409"/>
      <c r="E633" s="1247"/>
      <c r="F633" s="1248" t="s">
        <v>35</v>
      </c>
      <c r="G633" s="111"/>
      <c r="H633" s="1249">
        <v>30</v>
      </c>
      <c r="I633" s="111" t="s">
        <v>1721</v>
      </c>
      <c r="J633" s="1321" t="s">
        <v>5608</v>
      </c>
      <c r="K633" s="162" t="s">
        <v>5610</v>
      </c>
      <c r="L633" s="162" t="s">
        <v>5609</v>
      </c>
      <c r="M633" s="111">
        <v>39.200000000000003</v>
      </c>
      <c r="N633" s="111">
        <v>1176</v>
      </c>
      <c r="O633" s="111"/>
      <c r="P633" s="111"/>
      <c r="Q633" s="111"/>
      <c r="R633" s="111"/>
      <c r="S633" s="1249">
        <v>10</v>
      </c>
      <c r="T633" s="1250">
        <v>392</v>
      </c>
      <c r="U633" s="1250"/>
      <c r="V633" s="1250"/>
      <c r="W633" s="1251">
        <v>10</v>
      </c>
      <c r="X633" s="1250">
        <v>392</v>
      </c>
      <c r="Y633" s="1250"/>
      <c r="Z633" s="1250"/>
      <c r="AA633" s="1250"/>
      <c r="AB633" s="1250"/>
      <c r="AC633" s="1250"/>
      <c r="AD633" s="1250"/>
      <c r="AE633" s="1249">
        <v>10</v>
      </c>
      <c r="AF633" s="1250">
        <v>392</v>
      </c>
      <c r="AG633" s="111"/>
      <c r="AH633" s="111"/>
      <c r="AI633" s="111"/>
      <c r="AJ633" s="111"/>
      <c r="AK633" s="111"/>
      <c r="AL633" s="111"/>
      <c r="AM633" s="111">
        <v>1176</v>
      </c>
    </row>
    <row r="634" spans="1:39" ht="15" customHeight="1" x14ac:dyDescent="0.25">
      <c r="A634" s="1409"/>
      <c r="B634" s="1409"/>
      <c r="C634" s="1409"/>
      <c r="D634" s="1409"/>
      <c r="E634" s="1247"/>
      <c r="F634" s="1248" t="s">
        <v>30</v>
      </c>
      <c r="G634" s="111"/>
      <c r="H634" s="1249">
        <v>30</v>
      </c>
      <c r="I634" s="111" t="s">
        <v>1721</v>
      </c>
      <c r="J634" s="1321" t="s">
        <v>5608</v>
      </c>
      <c r="K634" s="162" t="s">
        <v>5610</v>
      </c>
      <c r="L634" s="162" t="s">
        <v>5609</v>
      </c>
      <c r="M634" s="111">
        <v>22.16</v>
      </c>
      <c r="N634" s="111">
        <v>664.8</v>
      </c>
      <c r="O634" s="111"/>
      <c r="P634" s="111"/>
      <c r="Q634" s="111"/>
      <c r="R634" s="111"/>
      <c r="S634" s="1249">
        <v>10</v>
      </c>
      <c r="T634" s="1250">
        <v>221.6</v>
      </c>
      <c r="U634" s="1250"/>
      <c r="V634" s="1250"/>
      <c r="W634" s="1251">
        <v>10</v>
      </c>
      <c r="X634" s="1250">
        <v>221.6</v>
      </c>
      <c r="Y634" s="1250"/>
      <c r="Z634" s="1250"/>
      <c r="AA634" s="1250"/>
      <c r="AB634" s="1250"/>
      <c r="AC634" s="1250"/>
      <c r="AD634" s="1250"/>
      <c r="AE634" s="1249">
        <v>10</v>
      </c>
      <c r="AF634" s="1250">
        <v>221.6</v>
      </c>
      <c r="AG634" s="111"/>
      <c r="AH634" s="111"/>
      <c r="AI634" s="111"/>
      <c r="AJ634" s="111"/>
      <c r="AK634" s="111"/>
      <c r="AL634" s="111"/>
      <c r="AM634" s="111">
        <v>664.8</v>
      </c>
    </row>
    <row r="635" spans="1:39" ht="15" customHeight="1" x14ac:dyDescent="0.25">
      <c r="A635" s="1409"/>
      <c r="B635" s="1409"/>
      <c r="C635" s="1409"/>
      <c r="D635" s="1409"/>
      <c r="E635" s="1247"/>
      <c r="F635" s="1248" t="s">
        <v>33</v>
      </c>
      <c r="G635" s="111"/>
      <c r="H635" s="1249">
        <v>15</v>
      </c>
      <c r="I635" s="111" t="s">
        <v>1721</v>
      </c>
      <c r="J635" s="1321" t="s">
        <v>5608</v>
      </c>
      <c r="K635" s="162" t="s">
        <v>5610</v>
      </c>
      <c r="L635" s="162" t="s">
        <v>5609</v>
      </c>
      <c r="M635" s="111">
        <v>74.25</v>
      </c>
      <c r="N635" s="111">
        <v>1113.75</v>
      </c>
      <c r="O635" s="111"/>
      <c r="P635" s="111"/>
      <c r="Q635" s="111"/>
      <c r="R635" s="111"/>
      <c r="S635" s="1249">
        <v>5</v>
      </c>
      <c r="T635" s="1250">
        <v>371.25</v>
      </c>
      <c r="U635" s="1250"/>
      <c r="V635" s="1250"/>
      <c r="W635" s="1251">
        <v>5</v>
      </c>
      <c r="X635" s="1250">
        <v>371.25</v>
      </c>
      <c r="Y635" s="1250"/>
      <c r="Z635" s="1250"/>
      <c r="AA635" s="1250"/>
      <c r="AB635" s="1250"/>
      <c r="AC635" s="1250"/>
      <c r="AD635" s="1250"/>
      <c r="AE635" s="1249">
        <v>5</v>
      </c>
      <c r="AF635" s="1250">
        <v>371.25</v>
      </c>
      <c r="AG635" s="111"/>
      <c r="AH635" s="111"/>
      <c r="AI635" s="111"/>
      <c r="AJ635" s="111"/>
      <c r="AK635" s="111"/>
      <c r="AL635" s="111"/>
      <c r="AM635" s="111">
        <v>1113.75</v>
      </c>
    </row>
    <row r="636" spans="1:39" ht="15" customHeight="1" x14ac:dyDescent="0.25">
      <c r="A636" s="1409"/>
      <c r="B636" s="1409"/>
      <c r="C636" s="1409"/>
      <c r="D636" s="1409"/>
      <c r="E636" s="1247"/>
      <c r="F636" s="1248" t="s">
        <v>59</v>
      </c>
      <c r="G636" s="111"/>
      <c r="H636" s="1249">
        <v>150</v>
      </c>
      <c r="I636" s="111" t="s">
        <v>1721</v>
      </c>
      <c r="J636" s="1321" t="s">
        <v>5608</v>
      </c>
      <c r="K636" s="162" t="s">
        <v>5610</v>
      </c>
      <c r="L636" s="162" t="s">
        <v>5609</v>
      </c>
      <c r="M636" s="111">
        <v>29.7</v>
      </c>
      <c r="N636" s="111">
        <v>4455</v>
      </c>
      <c r="O636" s="111"/>
      <c r="P636" s="111"/>
      <c r="Q636" s="111"/>
      <c r="R636" s="111"/>
      <c r="S636" s="1249">
        <v>50</v>
      </c>
      <c r="T636" s="1250">
        <v>1485</v>
      </c>
      <c r="U636" s="1250"/>
      <c r="V636" s="1250"/>
      <c r="W636" s="1251">
        <v>50</v>
      </c>
      <c r="X636" s="1250">
        <v>1485</v>
      </c>
      <c r="Y636" s="1250"/>
      <c r="Z636" s="1250"/>
      <c r="AA636" s="1250"/>
      <c r="AB636" s="1250"/>
      <c r="AC636" s="1250"/>
      <c r="AD636" s="1250"/>
      <c r="AE636" s="1249">
        <v>50</v>
      </c>
      <c r="AF636" s="1250">
        <v>1485</v>
      </c>
      <c r="AG636" s="111"/>
      <c r="AH636" s="111"/>
      <c r="AI636" s="111"/>
      <c r="AJ636" s="111"/>
      <c r="AK636" s="111"/>
      <c r="AL636" s="111"/>
      <c r="AM636" s="111">
        <v>4455</v>
      </c>
    </row>
    <row r="637" spans="1:39" ht="15" customHeight="1" x14ac:dyDescent="0.25">
      <c r="A637" s="1409"/>
      <c r="B637" s="1409"/>
      <c r="C637" s="1409"/>
      <c r="D637" s="1409"/>
      <c r="E637" s="1247"/>
      <c r="F637" s="1248" t="s">
        <v>23</v>
      </c>
      <c r="G637" s="111"/>
      <c r="H637" s="1249">
        <v>150</v>
      </c>
      <c r="I637" s="111" t="s">
        <v>1721</v>
      </c>
      <c r="J637" s="1321" t="s">
        <v>5608</v>
      </c>
      <c r="K637" s="162" t="s">
        <v>5610</v>
      </c>
      <c r="L637" s="162" t="s">
        <v>5609</v>
      </c>
      <c r="M637" s="111">
        <v>5.12</v>
      </c>
      <c r="N637" s="111">
        <v>768</v>
      </c>
      <c r="O637" s="111"/>
      <c r="P637" s="111"/>
      <c r="Q637" s="111"/>
      <c r="R637" s="111"/>
      <c r="S637" s="1249">
        <v>50</v>
      </c>
      <c r="T637" s="1250">
        <v>256</v>
      </c>
      <c r="U637" s="1250"/>
      <c r="V637" s="1250"/>
      <c r="W637" s="1251">
        <v>50</v>
      </c>
      <c r="X637" s="1250">
        <v>256</v>
      </c>
      <c r="Y637" s="1250"/>
      <c r="Z637" s="1250"/>
      <c r="AA637" s="1250"/>
      <c r="AB637" s="1250"/>
      <c r="AC637" s="1250"/>
      <c r="AD637" s="1250"/>
      <c r="AE637" s="1249">
        <v>50</v>
      </c>
      <c r="AF637" s="1250">
        <v>256</v>
      </c>
      <c r="AG637" s="111"/>
      <c r="AH637" s="111"/>
      <c r="AI637" s="111"/>
      <c r="AJ637" s="111"/>
      <c r="AK637" s="111"/>
      <c r="AL637" s="111"/>
      <c r="AM637" s="111">
        <v>768</v>
      </c>
    </row>
    <row r="638" spans="1:39" ht="15" customHeight="1" x14ac:dyDescent="0.25">
      <c r="A638" s="1409"/>
      <c r="B638" s="1409"/>
      <c r="C638" s="1409"/>
      <c r="D638" s="1409"/>
      <c r="E638" s="1247"/>
      <c r="F638" s="1248" t="s">
        <v>4632</v>
      </c>
      <c r="G638" s="111"/>
      <c r="H638" s="1249">
        <v>7</v>
      </c>
      <c r="I638" s="111" t="s">
        <v>1721</v>
      </c>
      <c r="J638" s="1321" t="s">
        <v>5608</v>
      </c>
      <c r="K638" s="162" t="s">
        <v>5610</v>
      </c>
      <c r="L638" s="162" t="s">
        <v>5609</v>
      </c>
      <c r="M638" s="111">
        <v>32.08</v>
      </c>
      <c r="N638" s="111">
        <v>224.56</v>
      </c>
      <c r="O638" s="111"/>
      <c r="P638" s="111"/>
      <c r="Q638" s="111"/>
      <c r="R638" s="111"/>
      <c r="S638" s="1249">
        <v>3</v>
      </c>
      <c r="T638" s="1250">
        <v>74.853333333333339</v>
      </c>
      <c r="U638" s="1250"/>
      <c r="V638" s="1250"/>
      <c r="W638" s="1251">
        <v>2</v>
      </c>
      <c r="X638" s="1250">
        <v>74.853333333333339</v>
      </c>
      <c r="Y638" s="1250"/>
      <c r="Z638" s="1250"/>
      <c r="AA638" s="1250"/>
      <c r="AB638" s="1250"/>
      <c r="AC638" s="1250"/>
      <c r="AD638" s="1250"/>
      <c r="AE638" s="1249">
        <v>2</v>
      </c>
      <c r="AF638" s="1250">
        <v>74.853333333333339</v>
      </c>
      <c r="AG638" s="111"/>
      <c r="AH638" s="111"/>
      <c r="AI638" s="111"/>
      <c r="AJ638" s="111"/>
      <c r="AK638" s="111"/>
      <c r="AL638" s="111"/>
      <c r="AM638" s="111">
        <v>224.56</v>
      </c>
    </row>
    <row r="639" spans="1:39" ht="15" customHeight="1" x14ac:dyDescent="0.25">
      <c r="A639" s="1409"/>
      <c r="B639" s="1409"/>
      <c r="C639" s="1409"/>
      <c r="D639" s="1409"/>
      <c r="E639" s="1247"/>
      <c r="F639" s="1248" t="s">
        <v>1716</v>
      </c>
      <c r="G639" s="111"/>
      <c r="H639" s="1249">
        <v>2</v>
      </c>
      <c r="I639" s="111" t="s">
        <v>1721</v>
      </c>
      <c r="J639" s="1321" t="s">
        <v>5608</v>
      </c>
      <c r="K639" s="162" t="s">
        <v>5610</v>
      </c>
      <c r="L639" s="162" t="s">
        <v>5609</v>
      </c>
      <c r="M639" s="111">
        <v>262.55</v>
      </c>
      <c r="N639" s="111">
        <v>525.1</v>
      </c>
      <c r="O639" s="111"/>
      <c r="P639" s="111"/>
      <c r="Q639" s="111"/>
      <c r="R639" s="111"/>
      <c r="S639" s="1249">
        <v>2</v>
      </c>
      <c r="T639" s="1250">
        <v>175.03333333333333</v>
      </c>
      <c r="U639" s="1250"/>
      <c r="V639" s="1250"/>
      <c r="W639" s="1251">
        <v>0</v>
      </c>
      <c r="X639" s="1250">
        <v>175.03333333333333</v>
      </c>
      <c r="Y639" s="1250"/>
      <c r="Z639" s="1250"/>
      <c r="AA639" s="1250"/>
      <c r="AB639" s="1250"/>
      <c r="AC639" s="1250"/>
      <c r="AD639" s="1250"/>
      <c r="AE639" s="1249">
        <v>0</v>
      </c>
      <c r="AF639" s="1250">
        <v>175.03333333333333</v>
      </c>
      <c r="AG639" s="111"/>
      <c r="AH639" s="111"/>
      <c r="AI639" s="111"/>
      <c r="AJ639" s="111"/>
      <c r="AK639" s="111"/>
      <c r="AL639" s="111"/>
      <c r="AM639" s="111">
        <v>525.1</v>
      </c>
    </row>
    <row r="640" spans="1:39" ht="15" customHeight="1" x14ac:dyDescent="0.25">
      <c r="A640" s="1409"/>
      <c r="B640" s="1409"/>
      <c r="C640" s="1409"/>
      <c r="D640" s="1409"/>
      <c r="E640" s="1247"/>
      <c r="F640" s="1248" t="s">
        <v>70</v>
      </c>
      <c r="G640" s="111"/>
      <c r="H640" s="1249">
        <v>20</v>
      </c>
      <c r="I640" s="111" t="s">
        <v>1721</v>
      </c>
      <c r="J640" s="1321" t="s">
        <v>5608</v>
      </c>
      <c r="K640" s="162" t="s">
        <v>5610</v>
      </c>
      <c r="L640" s="162" t="s">
        <v>5609</v>
      </c>
      <c r="M640" s="111">
        <v>14.26</v>
      </c>
      <c r="N640" s="111">
        <v>285.2</v>
      </c>
      <c r="O640" s="111"/>
      <c r="P640" s="111"/>
      <c r="Q640" s="111"/>
      <c r="R640" s="111"/>
      <c r="S640" s="1249">
        <v>10</v>
      </c>
      <c r="T640" s="1250">
        <v>95.066666666666663</v>
      </c>
      <c r="U640" s="1250"/>
      <c r="V640" s="1250"/>
      <c r="W640" s="1251">
        <v>5</v>
      </c>
      <c r="X640" s="1250">
        <v>95.066666666666663</v>
      </c>
      <c r="Y640" s="1250"/>
      <c r="Z640" s="1250"/>
      <c r="AA640" s="1250"/>
      <c r="AB640" s="1250"/>
      <c r="AC640" s="1250"/>
      <c r="AD640" s="1250"/>
      <c r="AE640" s="1249">
        <v>5</v>
      </c>
      <c r="AF640" s="1250">
        <v>95.066666666666663</v>
      </c>
      <c r="AG640" s="111"/>
      <c r="AH640" s="111"/>
      <c r="AI640" s="111"/>
      <c r="AJ640" s="111"/>
      <c r="AK640" s="111"/>
      <c r="AL640" s="111"/>
      <c r="AM640" s="111">
        <v>285.2</v>
      </c>
    </row>
    <row r="641" spans="1:39" ht="15" customHeight="1" x14ac:dyDescent="0.25">
      <c r="A641" s="1409"/>
      <c r="B641" s="1409"/>
      <c r="C641" s="1409"/>
      <c r="D641" s="1409"/>
      <c r="E641" s="1247"/>
      <c r="F641" s="1248" t="s">
        <v>71</v>
      </c>
      <c r="G641" s="111"/>
      <c r="H641" s="1249">
        <v>2</v>
      </c>
      <c r="I641" s="111" t="s">
        <v>1721</v>
      </c>
      <c r="J641" s="1321" t="s">
        <v>5608</v>
      </c>
      <c r="K641" s="162" t="s">
        <v>5610</v>
      </c>
      <c r="L641" s="162" t="s">
        <v>5609</v>
      </c>
      <c r="M641" s="111">
        <v>142.56</v>
      </c>
      <c r="N641" s="111">
        <v>285.12</v>
      </c>
      <c r="O641" s="111"/>
      <c r="P641" s="111"/>
      <c r="Q641" s="111"/>
      <c r="R641" s="111"/>
      <c r="S641" s="1249">
        <v>2</v>
      </c>
      <c r="T641" s="1250">
        <v>95.04</v>
      </c>
      <c r="U641" s="1250"/>
      <c r="V641" s="1250"/>
      <c r="W641" s="1251">
        <v>0</v>
      </c>
      <c r="X641" s="1250">
        <v>95.04</v>
      </c>
      <c r="Y641" s="1250"/>
      <c r="Z641" s="1250"/>
      <c r="AA641" s="1250"/>
      <c r="AB641" s="1250"/>
      <c r="AC641" s="1250"/>
      <c r="AD641" s="1250"/>
      <c r="AE641" s="1249">
        <v>0</v>
      </c>
      <c r="AF641" s="1250">
        <v>95.04</v>
      </c>
      <c r="AG641" s="111"/>
      <c r="AH641" s="111"/>
      <c r="AI641" s="111"/>
      <c r="AJ641" s="111"/>
      <c r="AK641" s="111"/>
      <c r="AL641" s="111"/>
      <c r="AM641" s="111">
        <v>285.12</v>
      </c>
    </row>
    <row r="642" spans="1:39" ht="15" customHeight="1" x14ac:dyDescent="0.25">
      <c r="A642" s="1409"/>
      <c r="B642" s="1409"/>
      <c r="C642" s="1409"/>
      <c r="D642" s="1409"/>
      <c r="E642" s="1247"/>
      <c r="F642" s="1248" t="s">
        <v>4633</v>
      </c>
      <c r="G642" s="111"/>
      <c r="H642" s="1249">
        <v>1</v>
      </c>
      <c r="I642" s="111" t="s">
        <v>1721</v>
      </c>
      <c r="J642" s="1321" t="s">
        <v>5608</v>
      </c>
      <c r="K642" s="162" t="s">
        <v>5610</v>
      </c>
      <c r="L642" s="162" t="s">
        <v>5609</v>
      </c>
      <c r="M642" s="111">
        <v>405</v>
      </c>
      <c r="N642" s="111">
        <v>405</v>
      </c>
      <c r="O642" s="111"/>
      <c r="P642" s="111"/>
      <c r="Q642" s="111"/>
      <c r="R642" s="111"/>
      <c r="S642" s="1249">
        <v>1</v>
      </c>
      <c r="T642" s="1250">
        <v>135</v>
      </c>
      <c r="U642" s="1250"/>
      <c r="V642" s="1250"/>
      <c r="W642" s="1251">
        <v>0</v>
      </c>
      <c r="X642" s="1250">
        <v>135</v>
      </c>
      <c r="Y642" s="1250"/>
      <c r="Z642" s="1250"/>
      <c r="AA642" s="1250"/>
      <c r="AB642" s="1250"/>
      <c r="AC642" s="1250"/>
      <c r="AD642" s="1250"/>
      <c r="AE642" s="1249">
        <v>0</v>
      </c>
      <c r="AF642" s="1250">
        <v>135</v>
      </c>
      <c r="AG642" s="111"/>
      <c r="AH642" s="111"/>
      <c r="AI642" s="111"/>
      <c r="AJ642" s="111"/>
      <c r="AK642" s="111"/>
      <c r="AL642" s="111"/>
      <c r="AM642" s="111">
        <v>405</v>
      </c>
    </row>
    <row r="643" spans="1:39" ht="15" customHeight="1" x14ac:dyDescent="0.25">
      <c r="A643" s="1409"/>
      <c r="B643" s="1409"/>
      <c r="C643" s="1409"/>
      <c r="D643" s="1409"/>
      <c r="E643" s="1247"/>
      <c r="F643" s="1248" t="s">
        <v>2221</v>
      </c>
      <c r="G643" s="111"/>
      <c r="H643" s="1249">
        <v>4</v>
      </c>
      <c r="I643" s="111" t="s">
        <v>1721</v>
      </c>
      <c r="J643" s="1321" t="s">
        <v>5608</v>
      </c>
      <c r="K643" s="162" t="s">
        <v>5610</v>
      </c>
      <c r="L643" s="162" t="s">
        <v>5609</v>
      </c>
      <c r="M643" s="111">
        <v>61.44</v>
      </c>
      <c r="N643" s="111">
        <v>245.76</v>
      </c>
      <c r="O643" s="111"/>
      <c r="P643" s="111"/>
      <c r="Q643" s="111"/>
      <c r="R643" s="111"/>
      <c r="S643" s="1249">
        <v>2</v>
      </c>
      <c r="T643" s="1250">
        <v>81.92</v>
      </c>
      <c r="U643" s="1250"/>
      <c r="V643" s="1250"/>
      <c r="W643" s="1251">
        <v>1</v>
      </c>
      <c r="X643" s="1250">
        <v>81.92</v>
      </c>
      <c r="Y643" s="1250"/>
      <c r="Z643" s="1250"/>
      <c r="AA643" s="1250"/>
      <c r="AB643" s="1250"/>
      <c r="AC643" s="1250"/>
      <c r="AD643" s="1250"/>
      <c r="AE643" s="1249">
        <v>1</v>
      </c>
      <c r="AF643" s="1250">
        <v>81.92</v>
      </c>
      <c r="AG643" s="111"/>
      <c r="AH643" s="111"/>
      <c r="AI643" s="111"/>
      <c r="AJ643" s="111"/>
      <c r="AK643" s="111"/>
      <c r="AL643" s="111"/>
      <c r="AM643" s="111">
        <v>245.76</v>
      </c>
    </row>
    <row r="644" spans="1:39" ht="15" customHeight="1" x14ac:dyDescent="0.25">
      <c r="A644" s="1409"/>
      <c r="B644" s="1409"/>
      <c r="C644" s="1409"/>
      <c r="D644" s="1409"/>
      <c r="E644" s="1247"/>
      <c r="F644" s="1248" t="s">
        <v>4634</v>
      </c>
      <c r="G644" s="111"/>
      <c r="H644" s="1249">
        <v>1</v>
      </c>
      <c r="I644" s="111" t="s">
        <v>1721</v>
      </c>
      <c r="J644" s="1321" t="s">
        <v>5608</v>
      </c>
      <c r="K644" s="162" t="s">
        <v>5610</v>
      </c>
      <c r="L644" s="162" t="s">
        <v>5609</v>
      </c>
      <c r="M644" s="111">
        <v>214.92</v>
      </c>
      <c r="N644" s="111">
        <v>214.92</v>
      </c>
      <c r="O644" s="111"/>
      <c r="P644" s="111"/>
      <c r="Q644" s="111"/>
      <c r="R644" s="111"/>
      <c r="S644" s="1249">
        <v>1</v>
      </c>
      <c r="T644" s="1250">
        <v>71.64</v>
      </c>
      <c r="U644" s="1250"/>
      <c r="V644" s="1250"/>
      <c r="W644" s="1251">
        <v>0</v>
      </c>
      <c r="X644" s="1250">
        <v>71.64</v>
      </c>
      <c r="Y644" s="1250"/>
      <c r="Z644" s="1250"/>
      <c r="AA644" s="1250"/>
      <c r="AB644" s="1250"/>
      <c r="AC644" s="1250"/>
      <c r="AD644" s="1250"/>
      <c r="AE644" s="1249">
        <v>0</v>
      </c>
      <c r="AF644" s="1250">
        <v>71.64</v>
      </c>
      <c r="AG644" s="111"/>
      <c r="AH644" s="111"/>
      <c r="AI644" s="111"/>
      <c r="AJ644" s="111"/>
      <c r="AK644" s="111"/>
      <c r="AL644" s="111"/>
      <c r="AM644" s="111">
        <v>214.92</v>
      </c>
    </row>
    <row r="645" spans="1:39" ht="15" customHeight="1" x14ac:dyDescent="0.25">
      <c r="A645" s="1409"/>
      <c r="B645" s="1409"/>
      <c r="C645" s="1409"/>
      <c r="D645" s="1409"/>
      <c r="E645" s="1247"/>
      <c r="F645" s="1248" t="s">
        <v>20</v>
      </c>
      <c r="G645" s="111"/>
      <c r="H645" s="1249">
        <v>10</v>
      </c>
      <c r="I645" s="111" t="s">
        <v>1721</v>
      </c>
      <c r="J645" s="1321" t="s">
        <v>5608</v>
      </c>
      <c r="K645" s="162" t="s">
        <v>5610</v>
      </c>
      <c r="L645" s="162" t="s">
        <v>5609</v>
      </c>
      <c r="M645" s="111">
        <v>42.590000000000011</v>
      </c>
      <c r="N645" s="111">
        <v>425.90000000000009</v>
      </c>
      <c r="O645" s="111"/>
      <c r="P645" s="111"/>
      <c r="Q645" s="111"/>
      <c r="R645" s="111"/>
      <c r="S645" s="1249">
        <v>5</v>
      </c>
      <c r="T645" s="1250">
        <v>141.9666666666667</v>
      </c>
      <c r="U645" s="1250"/>
      <c r="V645" s="1250"/>
      <c r="W645" s="1251">
        <v>5</v>
      </c>
      <c r="X645" s="1250">
        <v>141.9666666666667</v>
      </c>
      <c r="Y645" s="1250"/>
      <c r="Z645" s="1250"/>
      <c r="AA645" s="1250"/>
      <c r="AB645" s="1250"/>
      <c r="AC645" s="1250"/>
      <c r="AD645" s="1250"/>
      <c r="AE645" s="1249">
        <v>0</v>
      </c>
      <c r="AF645" s="1250">
        <v>141.9666666666667</v>
      </c>
      <c r="AG645" s="111"/>
      <c r="AH645" s="111"/>
      <c r="AI645" s="111"/>
      <c r="AJ645" s="111"/>
      <c r="AK645" s="111"/>
      <c r="AL645" s="111"/>
      <c r="AM645" s="111">
        <v>425.90000000000009</v>
      </c>
    </row>
    <row r="646" spans="1:39" ht="15" customHeight="1" x14ac:dyDescent="0.25">
      <c r="A646" s="1409"/>
      <c r="B646" s="1409"/>
      <c r="C646" s="1409"/>
      <c r="D646" s="1409"/>
      <c r="E646" s="1247"/>
      <c r="F646" s="1248" t="s">
        <v>21</v>
      </c>
      <c r="G646" s="111"/>
      <c r="H646" s="1249">
        <v>10</v>
      </c>
      <c r="I646" s="111" t="s">
        <v>1721</v>
      </c>
      <c r="J646" s="1321" t="s">
        <v>5608</v>
      </c>
      <c r="K646" s="162" t="s">
        <v>5610</v>
      </c>
      <c r="L646" s="162" t="s">
        <v>5609</v>
      </c>
      <c r="M646" s="111">
        <v>42.590000000000011</v>
      </c>
      <c r="N646" s="111">
        <v>425.90000000000009</v>
      </c>
      <c r="O646" s="111"/>
      <c r="P646" s="111"/>
      <c r="Q646" s="111"/>
      <c r="R646" s="111"/>
      <c r="S646" s="1249">
        <v>5</v>
      </c>
      <c r="T646" s="1250">
        <v>141.9666666666667</v>
      </c>
      <c r="U646" s="1250"/>
      <c r="V646" s="1250"/>
      <c r="W646" s="1251">
        <v>5</v>
      </c>
      <c r="X646" s="1250">
        <v>141.9666666666667</v>
      </c>
      <c r="Y646" s="1250"/>
      <c r="Z646" s="1250"/>
      <c r="AA646" s="1250"/>
      <c r="AB646" s="1250"/>
      <c r="AC646" s="1250"/>
      <c r="AD646" s="1250"/>
      <c r="AE646" s="1249">
        <v>0</v>
      </c>
      <c r="AF646" s="1250">
        <v>141.9666666666667</v>
      </c>
      <c r="AG646" s="111"/>
      <c r="AH646" s="111"/>
      <c r="AI646" s="111"/>
      <c r="AJ646" s="111"/>
      <c r="AK646" s="111"/>
      <c r="AL646" s="111"/>
      <c r="AM646" s="111">
        <v>425.90000000000009</v>
      </c>
    </row>
    <row r="647" spans="1:39" ht="15" customHeight="1" x14ac:dyDescent="0.25">
      <c r="A647" s="1409"/>
      <c r="B647" s="1409"/>
      <c r="C647" s="1409"/>
      <c r="D647" s="1409"/>
      <c r="E647" s="1247"/>
      <c r="F647" s="1248" t="s">
        <v>3506</v>
      </c>
      <c r="G647" s="111"/>
      <c r="H647" s="1249">
        <v>15</v>
      </c>
      <c r="I647" s="111" t="s">
        <v>1721</v>
      </c>
      <c r="J647" s="1321" t="s">
        <v>5608</v>
      </c>
      <c r="K647" s="162" t="s">
        <v>5610</v>
      </c>
      <c r="L647" s="162" t="s">
        <v>5609</v>
      </c>
      <c r="M647" s="111">
        <v>12.47</v>
      </c>
      <c r="N647" s="111">
        <v>187.05</v>
      </c>
      <c r="O647" s="111"/>
      <c r="P647" s="111"/>
      <c r="Q647" s="111"/>
      <c r="R647" s="111"/>
      <c r="S647" s="1249">
        <v>5</v>
      </c>
      <c r="T647" s="1250">
        <v>62.35</v>
      </c>
      <c r="U647" s="1250"/>
      <c r="V647" s="1250"/>
      <c r="W647" s="1251">
        <v>5</v>
      </c>
      <c r="X647" s="1250">
        <v>62.35</v>
      </c>
      <c r="Y647" s="1250"/>
      <c r="Z647" s="1250"/>
      <c r="AA647" s="1250"/>
      <c r="AB647" s="1250"/>
      <c r="AC647" s="1250"/>
      <c r="AD647" s="1250"/>
      <c r="AE647" s="1249">
        <v>5</v>
      </c>
      <c r="AF647" s="1250">
        <v>62.35</v>
      </c>
      <c r="AG647" s="111"/>
      <c r="AH647" s="111"/>
      <c r="AI647" s="111"/>
      <c r="AJ647" s="111"/>
      <c r="AK647" s="111"/>
      <c r="AL647" s="111"/>
      <c r="AM647" s="111">
        <v>187.05</v>
      </c>
    </row>
    <row r="648" spans="1:39" ht="15" customHeight="1" x14ac:dyDescent="0.25">
      <c r="A648" s="1409"/>
      <c r="B648" s="1409"/>
      <c r="C648" s="1409"/>
      <c r="D648" s="1409"/>
      <c r="E648" s="1247"/>
      <c r="F648" s="1248" t="s">
        <v>4635</v>
      </c>
      <c r="G648" s="111"/>
      <c r="H648" s="1249">
        <v>15</v>
      </c>
      <c r="I648" s="111" t="s">
        <v>1721</v>
      </c>
      <c r="J648" s="1321" t="s">
        <v>5608</v>
      </c>
      <c r="K648" s="162" t="s">
        <v>5610</v>
      </c>
      <c r="L648" s="162" t="s">
        <v>5609</v>
      </c>
      <c r="M648" s="111">
        <v>16.63</v>
      </c>
      <c r="N648" s="111">
        <v>249.45</v>
      </c>
      <c r="O648" s="111"/>
      <c r="P648" s="111"/>
      <c r="Q648" s="111"/>
      <c r="R648" s="111"/>
      <c r="S648" s="1249">
        <v>5</v>
      </c>
      <c r="T648" s="1250">
        <v>83.149999999999991</v>
      </c>
      <c r="U648" s="1250"/>
      <c r="V648" s="1250"/>
      <c r="W648" s="1251">
        <v>5</v>
      </c>
      <c r="X648" s="1250">
        <v>83.149999999999991</v>
      </c>
      <c r="Y648" s="1250"/>
      <c r="Z648" s="1250"/>
      <c r="AA648" s="1250"/>
      <c r="AB648" s="1250"/>
      <c r="AC648" s="1250"/>
      <c r="AD648" s="1250"/>
      <c r="AE648" s="1249">
        <v>5</v>
      </c>
      <c r="AF648" s="1250">
        <v>83.149999999999991</v>
      </c>
      <c r="AG648" s="111"/>
      <c r="AH648" s="111"/>
      <c r="AI648" s="111"/>
      <c r="AJ648" s="111"/>
      <c r="AK648" s="111"/>
      <c r="AL648" s="111"/>
      <c r="AM648" s="111">
        <v>249.45</v>
      </c>
    </row>
    <row r="649" spans="1:39" ht="15" customHeight="1" x14ac:dyDescent="0.25">
      <c r="A649" s="1409"/>
      <c r="B649" s="1409"/>
      <c r="C649" s="1409"/>
      <c r="D649" s="1409"/>
      <c r="E649" s="1247"/>
      <c r="F649" s="1248" t="s">
        <v>4636</v>
      </c>
      <c r="G649" s="111"/>
      <c r="H649" s="1249">
        <v>5</v>
      </c>
      <c r="I649" s="111" t="s">
        <v>1721</v>
      </c>
      <c r="J649" s="1321" t="s">
        <v>5608</v>
      </c>
      <c r="K649" s="162" t="s">
        <v>5610</v>
      </c>
      <c r="L649" s="162" t="s">
        <v>5609</v>
      </c>
      <c r="M649" s="111">
        <v>30.68</v>
      </c>
      <c r="N649" s="111">
        <v>153.4</v>
      </c>
      <c r="O649" s="111"/>
      <c r="P649" s="111"/>
      <c r="Q649" s="111"/>
      <c r="R649" s="111"/>
      <c r="S649" s="1249">
        <v>2</v>
      </c>
      <c r="T649" s="1250">
        <v>51.133333333333333</v>
      </c>
      <c r="U649" s="1250"/>
      <c r="V649" s="1250"/>
      <c r="W649" s="1251">
        <v>2</v>
      </c>
      <c r="X649" s="1250">
        <v>51.133333333333333</v>
      </c>
      <c r="Y649" s="1250"/>
      <c r="Z649" s="1250"/>
      <c r="AA649" s="1250"/>
      <c r="AB649" s="1250"/>
      <c r="AC649" s="1250"/>
      <c r="AD649" s="1250"/>
      <c r="AE649" s="1249">
        <v>1</v>
      </c>
      <c r="AF649" s="1250">
        <v>51.133333333333333</v>
      </c>
      <c r="AG649" s="111"/>
      <c r="AH649" s="111"/>
      <c r="AI649" s="111"/>
      <c r="AJ649" s="111"/>
      <c r="AK649" s="111"/>
      <c r="AL649" s="111"/>
      <c r="AM649" s="111">
        <v>153.4</v>
      </c>
    </row>
    <row r="650" spans="1:39" ht="15" customHeight="1" x14ac:dyDescent="0.25">
      <c r="A650" s="1409"/>
      <c r="B650" s="1409"/>
      <c r="C650" s="1409"/>
      <c r="D650" s="1409"/>
      <c r="E650" s="1247"/>
      <c r="F650" s="1248" t="s">
        <v>4637</v>
      </c>
      <c r="G650" s="111"/>
      <c r="H650" s="1249">
        <v>6</v>
      </c>
      <c r="I650" s="111" t="s">
        <v>1721</v>
      </c>
      <c r="J650" s="1321" t="s">
        <v>5608</v>
      </c>
      <c r="K650" s="162" t="s">
        <v>5610</v>
      </c>
      <c r="L650" s="162" t="s">
        <v>5609</v>
      </c>
      <c r="M650" s="111">
        <v>12.42</v>
      </c>
      <c r="N650" s="111">
        <v>74.52</v>
      </c>
      <c r="O650" s="111"/>
      <c r="P650" s="111"/>
      <c r="Q650" s="111"/>
      <c r="R650" s="111"/>
      <c r="S650" s="1249">
        <v>2</v>
      </c>
      <c r="T650" s="1250">
        <v>24.84</v>
      </c>
      <c r="U650" s="1250"/>
      <c r="V650" s="1250"/>
      <c r="W650" s="1251">
        <v>2</v>
      </c>
      <c r="X650" s="1250">
        <v>24.84</v>
      </c>
      <c r="Y650" s="1250"/>
      <c r="Z650" s="1250"/>
      <c r="AA650" s="1250"/>
      <c r="AB650" s="1250"/>
      <c r="AC650" s="1250"/>
      <c r="AD650" s="1250"/>
      <c r="AE650" s="1249">
        <v>2</v>
      </c>
      <c r="AF650" s="1250">
        <v>24.84</v>
      </c>
      <c r="AG650" s="111"/>
      <c r="AH650" s="111"/>
      <c r="AI650" s="111"/>
      <c r="AJ650" s="111"/>
      <c r="AK650" s="111"/>
      <c r="AL650" s="111"/>
      <c r="AM650" s="111">
        <v>74.52</v>
      </c>
    </row>
    <row r="651" spans="1:39" ht="15" customHeight="1" x14ac:dyDescent="0.25">
      <c r="A651" s="1409"/>
      <c r="B651" s="1409"/>
      <c r="C651" s="1409"/>
      <c r="D651" s="1409"/>
      <c r="E651" s="1247"/>
      <c r="F651" s="1248" t="s">
        <v>67</v>
      </c>
      <c r="G651" s="111"/>
      <c r="H651" s="1249">
        <v>210</v>
      </c>
      <c r="I651" s="111" t="s">
        <v>1749</v>
      </c>
      <c r="J651" s="1321" t="s">
        <v>5608</v>
      </c>
      <c r="K651" s="162" t="s">
        <v>5610</v>
      </c>
      <c r="L651" s="162" t="s">
        <v>5609</v>
      </c>
      <c r="M651" s="111">
        <v>19.163333333333334</v>
      </c>
      <c r="N651" s="111">
        <v>4024.3</v>
      </c>
      <c r="O651" s="111"/>
      <c r="P651" s="111"/>
      <c r="Q651" s="111"/>
      <c r="R651" s="111"/>
      <c r="S651" s="1249">
        <v>100</v>
      </c>
      <c r="T651" s="1250">
        <v>1341.4333333333334</v>
      </c>
      <c r="U651" s="1250"/>
      <c r="V651" s="1250"/>
      <c r="W651" s="1251">
        <v>60</v>
      </c>
      <c r="X651" s="1250">
        <v>1341.4333333333334</v>
      </c>
      <c r="Y651" s="1250"/>
      <c r="Z651" s="1250"/>
      <c r="AA651" s="1250"/>
      <c r="AB651" s="1250"/>
      <c r="AC651" s="1250"/>
      <c r="AD651" s="1250"/>
      <c r="AE651" s="1249">
        <v>50</v>
      </c>
      <c r="AF651" s="1250">
        <v>1341.4333333333334</v>
      </c>
      <c r="AG651" s="111"/>
      <c r="AH651" s="111"/>
      <c r="AI651" s="111"/>
      <c r="AJ651" s="111"/>
      <c r="AK651" s="111"/>
      <c r="AL651" s="111"/>
      <c r="AM651" s="111">
        <v>4024.3</v>
      </c>
    </row>
    <row r="652" spans="1:39" ht="15" customHeight="1" x14ac:dyDescent="0.25">
      <c r="A652" s="1409"/>
      <c r="B652" s="1409"/>
      <c r="C652" s="1409"/>
      <c r="D652" s="1409"/>
      <c r="E652" s="1247"/>
      <c r="F652" s="1248" t="s">
        <v>68</v>
      </c>
      <c r="G652" s="111"/>
      <c r="H652" s="1249">
        <v>210</v>
      </c>
      <c r="I652" s="111" t="s">
        <v>1749</v>
      </c>
      <c r="J652" s="1321" t="s">
        <v>5608</v>
      </c>
      <c r="K652" s="162" t="s">
        <v>5610</v>
      </c>
      <c r="L652" s="162" t="s">
        <v>5609</v>
      </c>
      <c r="M652" s="111">
        <v>19.163333333333334</v>
      </c>
      <c r="N652" s="111">
        <v>4024.3</v>
      </c>
      <c r="O652" s="111"/>
      <c r="P652" s="111"/>
      <c r="Q652" s="111"/>
      <c r="R652" s="111"/>
      <c r="S652" s="1249">
        <v>100</v>
      </c>
      <c r="T652" s="1250">
        <v>1341.4333333333334</v>
      </c>
      <c r="U652" s="1250"/>
      <c r="V652" s="1250"/>
      <c r="W652" s="1251">
        <v>60</v>
      </c>
      <c r="X652" s="1250">
        <v>1341.4333333333334</v>
      </c>
      <c r="Y652" s="1250"/>
      <c r="Z652" s="1250"/>
      <c r="AA652" s="1250"/>
      <c r="AB652" s="1250"/>
      <c r="AC652" s="1250"/>
      <c r="AD652" s="1250"/>
      <c r="AE652" s="1249">
        <v>50</v>
      </c>
      <c r="AF652" s="1250">
        <v>1341.4333333333334</v>
      </c>
      <c r="AG652" s="111"/>
      <c r="AH652" s="111"/>
      <c r="AI652" s="111"/>
      <c r="AJ652" s="111"/>
      <c r="AK652" s="111"/>
      <c r="AL652" s="111"/>
      <c r="AM652" s="111">
        <v>4024.3</v>
      </c>
    </row>
    <row r="653" spans="1:39" ht="15" customHeight="1" x14ac:dyDescent="0.25">
      <c r="A653" s="1409"/>
      <c r="B653" s="1409"/>
      <c r="C653" s="1409"/>
      <c r="D653" s="1409"/>
      <c r="E653" s="1247"/>
      <c r="F653" s="1248" t="s">
        <v>69</v>
      </c>
      <c r="G653" s="111"/>
      <c r="H653" s="1249">
        <v>210</v>
      </c>
      <c r="I653" s="111" t="s">
        <v>1749</v>
      </c>
      <c r="J653" s="1321" t="s">
        <v>5608</v>
      </c>
      <c r="K653" s="162" t="s">
        <v>5610</v>
      </c>
      <c r="L653" s="162" t="s">
        <v>5609</v>
      </c>
      <c r="M653" s="111">
        <v>19.163333333333334</v>
      </c>
      <c r="N653" s="111">
        <v>4024.3</v>
      </c>
      <c r="O653" s="111"/>
      <c r="P653" s="111"/>
      <c r="Q653" s="111"/>
      <c r="R653" s="111"/>
      <c r="S653" s="1249">
        <v>100</v>
      </c>
      <c r="T653" s="1250">
        <v>1341.4333333333334</v>
      </c>
      <c r="U653" s="1250"/>
      <c r="V653" s="1250"/>
      <c r="W653" s="1251">
        <v>60</v>
      </c>
      <c r="X653" s="1250">
        <v>1341.4333333333334</v>
      </c>
      <c r="Y653" s="1250"/>
      <c r="Z653" s="1250"/>
      <c r="AA653" s="1250"/>
      <c r="AB653" s="1250"/>
      <c r="AC653" s="1250"/>
      <c r="AD653" s="1250"/>
      <c r="AE653" s="1249">
        <v>50</v>
      </c>
      <c r="AF653" s="1250">
        <v>1341.4333333333334</v>
      </c>
      <c r="AG653" s="111"/>
      <c r="AH653" s="111"/>
      <c r="AI653" s="111"/>
      <c r="AJ653" s="111"/>
      <c r="AK653" s="111"/>
      <c r="AL653" s="111"/>
      <c r="AM653" s="111">
        <v>4024.3</v>
      </c>
    </row>
    <row r="654" spans="1:39" ht="15" customHeight="1" x14ac:dyDescent="0.25">
      <c r="A654" s="1409"/>
      <c r="B654" s="1409"/>
      <c r="C654" s="1409"/>
      <c r="D654" s="1409"/>
      <c r="E654" s="1247"/>
      <c r="F654" s="1248" t="s">
        <v>66</v>
      </c>
      <c r="G654" s="111"/>
      <c r="H654" s="1249">
        <v>49</v>
      </c>
      <c r="I654" s="111" t="s">
        <v>1725</v>
      </c>
      <c r="J654" s="1321" t="s">
        <v>5608</v>
      </c>
      <c r="K654" s="162" t="s">
        <v>5610</v>
      </c>
      <c r="L654" s="162" t="s">
        <v>5609</v>
      </c>
      <c r="M654" s="111">
        <v>79.25469387755102</v>
      </c>
      <c r="N654" s="111">
        <v>3883.48</v>
      </c>
      <c r="O654" s="111"/>
      <c r="P654" s="111"/>
      <c r="Q654" s="111"/>
      <c r="R654" s="111"/>
      <c r="S654" s="1249">
        <v>20</v>
      </c>
      <c r="T654" s="1250">
        <v>1294.4933333333333</v>
      </c>
      <c r="U654" s="1250"/>
      <c r="V654" s="1250"/>
      <c r="W654" s="1251">
        <v>19</v>
      </c>
      <c r="X654" s="1250">
        <v>1294.4933333333333</v>
      </c>
      <c r="Y654" s="1250"/>
      <c r="Z654" s="1250"/>
      <c r="AA654" s="1250"/>
      <c r="AB654" s="1250"/>
      <c r="AC654" s="1250"/>
      <c r="AD654" s="1250"/>
      <c r="AE654" s="1249">
        <v>10</v>
      </c>
      <c r="AF654" s="1250">
        <v>1294.4933333333333</v>
      </c>
      <c r="AG654" s="111"/>
      <c r="AH654" s="111"/>
      <c r="AI654" s="111"/>
      <c r="AJ654" s="111"/>
      <c r="AK654" s="111"/>
      <c r="AL654" s="111"/>
      <c r="AM654" s="111">
        <v>3883.48</v>
      </c>
    </row>
    <row r="655" spans="1:39" ht="15" customHeight="1" x14ac:dyDescent="0.25">
      <c r="A655" s="1409"/>
      <c r="B655" s="1409"/>
      <c r="C655" s="1409"/>
      <c r="D655" s="1409"/>
      <c r="E655" s="1247"/>
      <c r="F655" s="1248" t="s">
        <v>65</v>
      </c>
      <c r="G655" s="111"/>
      <c r="H655" s="1249">
        <v>10</v>
      </c>
      <c r="I655" s="111" t="s">
        <v>1721</v>
      </c>
      <c r="J655" s="1321" t="s">
        <v>5608</v>
      </c>
      <c r="K655" s="162" t="s">
        <v>5610</v>
      </c>
      <c r="L655" s="162" t="s">
        <v>5609</v>
      </c>
      <c r="M655" s="111">
        <v>59.4</v>
      </c>
      <c r="N655" s="111">
        <v>594</v>
      </c>
      <c r="O655" s="111"/>
      <c r="P655" s="111"/>
      <c r="Q655" s="111"/>
      <c r="R655" s="111"/>
      <c r="S655" s="1249">
        <v>5</v>
      </c>
      <c r="T655" s="1250">
        <v>198</v>
      </c>
      <c r="U655" s="1250"/>
      <c r="V655" s="1250"/>
      <c r="W655" s="1251">
        <v>5</v>
      </c>
      <c r="X655" s="1250">
        <v>198</v>
      </c>
      <c r="Y655" s="1250"/>
      <c r="Z655" s="1250"/>
      <c r="AA655" s="1250"/>
      <c r="AB655" s="1250"/>
      <c r="AC655" s="1250"/>
      <c r="AD655" s="1250"/>
      <c r="AE655" s="1249">
        <v>0</v>
      </c>
      <c r="AF655" s="1250">
        <v>198</v>
      </c>
      <c r="AG655" s="111"/>
      <c r="AH655" s="111"/>
      <c r="AI655" s="111"/>
      <c r="AJ655" s="111"/>
      <c r="AK655" s="111"/>
      <c r="AL655" s="111"/>
      <c r="AM655" s="111">
        <v>594</v>
      </c>
    </row>
    <row r="656" spans="1:39" ht="15" customHeight="1" x14ac:dyDescent="0.25">
      <c r="A656" s="1409"/>
      <c r="B656" s="1409"/>
      <c r="C656" s="1409"/>
      <c r="D656" s="1409"/>
      <c r="E656" s="1247"/>
      <c r="F656" s="1248" t="s">
        <v>44</v>
      </c>
      <c r="G656" s="111"/>
      <c r="H656" s="1249">
        <v>10</v>
      </c>
      <c r="I656" s="111" t="s">
        <v>1721</v>
      </c>
      <c r="J656" s="1321" t="s">
        <v>5608</v>
      </c>
      <c r="K656" s="162" t="s">
        <v>5610</v>
      </c>
      <c r="L656" s="162" t="s">
        <v>5609</v>
      </c>
      <c r="M656" s="111">
        <v>10.57</v>
      </c>
      <c r="N656" s="111">
        <v>105.7</v>
      </c>
      <c r="O656" s="111"/>
      <c r="P656" s="111"/>
      <c r="Q656" s="111"/>
      <c r="R656" s="111"/>
      <c r="S656" s="1249">
        <v>5</v>
      </c>
      <c r="T656" s="1250">
        <v>35.233333333333334</v>
      </c>
      <c r="U656" s="1250"/>
      <c r="V656" s="1250"/>
      <c r="W656" s="1251">
        <v>5</v>
      </c>
      <c r="X656" s="1250">
        <v>35.233333333333334</v>
      </c>
      <c r="Y656" s="1250"/>
      <c r="Z656" s="1250"/>
      <c r="AA656" s="1250"/>
      <c r="AB656" s="1250"/>
      <c r="AC656" s="1250"/>
      <c r="AD656" s="1250"/>
      <c r="AE656" s="1249">
        <v>0</v>
      </c>
      <c r="AF656" s="1250">
        <v>35.233333333333334</v>
      </c>
      <c r="AG656" s="111"/>
      <c r="AH656" s="111"/>
      <c r="AI656" s="111"/>
      <c r="AJ656" s="111"/>
      <c r="AK656" s="111"/>
      <c r="AL656" s="111"/>
      <c r="AM656" s="111">
        <v>105.7</v>
      </c>
    </row>
    <row r="657" spans="1:39" ht="15" customHeight="1" x14ac:dyDescent="0.25">
      <c r="A657" s="1409"/>
      <c r="B657" s="1409"/>
      <c r="C657" s="1409"/>
      <c r="D657" s="1409"/>
      <c r="E657" s="1247"/>
      <c r="F657" s="1248" t="s">
        <v>1071</v>
      </c>
      <c r="G657" s="111"/>
      <c r="H657" s="1249">
        <v>3</v>
      </c>
      <c r="I657" s="111" t="s">
        <v>1725</v>
      </c>
      <c r="J657" s="1321" t="s">
        <v>5608</v>
      </c>
      <c r="K657" s="162" t="s">
        <v>5610</v>
      </c>
      <c r="L657" s="162" t="s">
        <v>5609</v>
      </c>
      <c r="M657" s="111">
        <v>22.26</v>
      </c>
      <c r="N657" s="111">
        <v>66.78</v>
      </c>
      <c r="O657" s="111"/>
      <c r="P657" s="111"/>
      <c r="Q657" s="111"/>
      <c r="R657" s="111"/>
      <c r="S657" s="1249">
        <v>1</v>
      </c>
      <c r="T657" s="1250">
        <v>22.26</v>
      </c>
      <c r="U657" s="1250"/>
      <c r="V657" s="1250"/>
      <c r="W657" s="1251">
        <v>1</v>
      </c>
      <c r="X657" s="1250">
        <v>22.26</v>
      </c>
      <c r="Y657" s="1250"/>
      <c r="Z657" s="1250"/>
      <c r="AA657" s="1250"/>
      <c r="AB657" s="1250"/>
      <c r="AC657" s="1250"/>
      <c r="AD657" s="1250"/>
      <c r="AE657" s="1249">
        <v>1</v>
      </c>
      <c r="AF657" s="1250">
        <v>22.26</v>
      </c>
      <c r="AG657" s="111"/>
      <c r="AH657" s="111"/>
      <c r="AI657" s="111"/>
      <c r="AJ657" s="111"/>
      <c r="AK657" s="111"/>
      <c r="AL657" s="111"/>
      <c r="AM657" s="111">
        <v>66.78</v>
      </c>
    </row>
    <row r="658" spans="1:39" ht="15" customHeight="1" x14ac:dyDescent="0.25">
      <c r="A658" s="1409"/>
      <c r="B658" s="1409"/>
      <c r="C658" s="1409"/>
      <c r="D658" s="1409"/>
      <c r="E658" s="1247"/>
      <c r="F658" s="1248" t="s">
        <v>4638</v>
      </c>
      <c r="G658" s="111"/>
      <c r="H658" s="1249">
        <v>30</v>
      </c>
      <c r="I658" s="111" t="s">
        <v>1721</v>
      </c>
      <c r="J658" s="1321" t="s">
        <v>5608</v>
      </c>
      <c r="K658" s="162" t="s">
        <v>5610</v>
      </c>
      <c r="L658" s="162" t="s">
        <v>5609</v>
      </c>
      <c r="M658" s="111">
        <v>49</v>
      </c>
      <c r="N658" s="111">
        <v>1470</v>
      </c>
      <c r="O658" s="111"/>
      <c r="P658" s="111"/>
      <c r="Q658" s="111"/>
      <c r="R658" s="111"/>
      <c r="S658" s="1249">
        <v>10</v>
      </c>
      <c r="T658" s="1250">
        <v>490</v>
      </c>
      <c r="U658" s="1250"/>
      <c r="V658" s="1250"/>
      <c r="W658" s="1251">
        <v>10</v>
      </c>
      <c r="X658" s="1250">
        <v>490</v>
      </c>
      <c r="Y658" s="1250"/>
      <c r="Z658" s="1250"/>
      <c r="AA658" s="1250"/>
      <c r="AB658" s="1250"/>
      <c r="AC658" s="1250"/>
      <c r="AD658" s="1250"/>
      <c r="AE658" s="1249">
        <v>10</v>
      </c>
      <c r="AF658" s="1250">
        <v>490</v>
      </c>
      <c r="AG658" s="111"/>
      <c r="AH658" s="111"/>
      <c r="AI658" s="111"/>
      <c r="AJ658" s="111"/>
      <c r="AK658" s="111"/>
      <c r="AL658" s="111"/>
      <c r="AM658" s="111">
        <v>1470</v>
      </c>
    </row>
    <row r="659" spans="1:39" ht="15" customHeight="1" x14ac:dyDescent="0.25">
      <c r="A659" s="1409"/>
      <c r="B659" s="1409"/>
      <c r="C659" s="1409"/>
      <c r="D659" s="1409"/>
      <c r="E659" s="1247"/>
      <c r="F659" s="1248" t="s">
        <v>4639</v>
      </c>
      <c r="G659" s="111"/>
      <c r="H659" s="1249">
        <v>30</v>
      </c>
      <c r="I659" s="111" t="s">
        <v>1721</v>
      </c>
      <c r="J659" s="1321" t="s">
        <v>5608</v>
      </c>
      <c r="K659" s="162" t="s">
        <v>5610</v>
      </c>
      <c r="L659" s="162" t="s">
        <v>5609</v>
      </c>
      <c r="M659" s="111">
        <v>21</v>
      </c>
      <c r="N659" s="111">
        <v>630</v>
      </c>
      <c r="O659" s="111"/>
      <c r="P659" s="111"/>
      <c r="Q659" s="111"/>
      <c r="R659" s="111"/>
      <c r="S659" s="1249">
        <v>10</v>
      </c>
      <c r="T659" s="1250">
        <v>210</v>
      </c>
      <c r="U659" s="1250"/>
      <c r="V659" s="1250"/>
      <c r="W659" s="1251">
        <v>10</v>
      </c>
      <c r="X659" s="1250">
        <v>210</v>
      </c>
      <c r="Y659" s="1250"/>
      <c r="Z659" s="1250"/>
      <c r="AA659" s="1250"/>
      <c r="AB659" s="1250"/>
      <c r="AC659" s="1250"/>
      <c r="AD659" s="1250"/>
      <c r="AE659" s="1249">
        <v>10</v>
      </c>
      <c r="AF659" s="1250">
        <v>210</v>
      </c>
      <c r="AG659" s="111"/>
      <c r="AH659" s="111"/>
      <c r="AI659" s="111"/>
      <c r="AJ659" s="111"/>
      <c r="AK659" s="111"/>
      <c r="AL659" s="111"/>
      <c r="AM659" s="111">
        <v>630</v>
      </c>
    </row>
    <row r="660" spans="1:39" ht="15" customHeight="1" x14ac:dyDescent="0.25">
      <c r="A660" s="1409"/>
      <c r="B660" s="1409"/>
      <c r="C660" s="1409"/>
      <c r="D660" s="1409"/>
      <c r="E660" s="1247"/>
      <c r="F660" s="1248" t="s">
        <v>3373</v>
      </c>
      <c r="G660" s="111"/>
      <c r="H660" s="1249">
        <v>30</v>
      </c>
      <c r="I660" s="111" t="s">
        <v>1721</v>
      </c>
      <c r="J660" s="1321" t="s">
        <v>5608</v>
      </c>
      <c r="K660" s="162" t="s">
        <v>5610</v>
      </c>
      <c r="L660" s="162" t="s">
        <v>5609</v>
      </c>
      <c r="M660" s="111">
        <v>26.139999999999993</v>
      </c>
      <c r="N660" s="111">
        <v>784.19999999999982</v>
      </c>
      <c r="O660" s="111"/>
      <c r="P660" s="111"/>
      <c r="Q660" s="111"/>
      <c r="R660" s="111"/>
      <c r="S660" s="1249">
        <v>10</v>
      </c>
      <c r="T660" s="1250">
        <v>261.39999999999992</v>
      </c>
      <c r="U660" s="1250"/>
      <c r="V660" s="1250"/>
      <c r="W660" s="1251">
        <v>10</v>
      </c>
      <c r="X660" s="1250">
        <v>261.39999999999992</v>
      </c>
      <c r="Y660" s="1250"/>
      <c r="Z660" s="1250"/>
      <c r="AA660" s="1250"/>
      <c r="AB660" s="1250"/>
      <c r="AC660" s="1250"/>
      <c r="AD660" s="1250"/>
      <c r="AE660" s="1249">
        <v>10</v>
      </c>
      <c r="AF660" s="1250">
        <v>261.39999999999992</v>
      </c>
      <c r="AG660" s="111"/>
      <c r="AH660" s="111"/>
      <c r="AI660" s="111"/>
      <c r="AJ660" s="111"/>
      <c r="AK660" s="111"/>
      <c r="AL660" s="111"/>
      <c r="AM660" s="111">
        <v>784.19999999999982</v>
      </c>
    </row>
    <row r="661" spans="1:39" ht="15" customHeight="1" x14ac:dyDescent="0.25">
      <c r="A661" s="1409"/>
      <c r="B661" s="1409"/>
      <c r="C661" s="1409"/>
      <c r="D661" s="1409"/>
      <c r="E661" s="1247"/>
      <c r="F661" s="1248" t="s">
        <v>4640</v>
      </c>
      <c r="G661" s="111"/>
      <c r="H661" s="1249">
        <v>1</v>
      </c>
      <c r="I661" s="111" t="s">
        <v>1721</v>
      </c>
      <c r="J661" s="1321" t="s">
        <v>5608</v>
      </c>
      <c r="K661" s="162" t="s">
        <v>5610</v>
      </c>
      <c r="L661" s="162" t="s">
        <v>5609</v>
      </c>
      <c r="M661" s="111">
        <v>250</v>
      </c>
      <c r="N661" s="111">
        <v>250</v>
      </c>
      <c r="O661" s="111"/>
      <c r="P661" s="111"/>
      <c r="Q661" s="111"/>
      <c r="R661" s="111"/>
      <c r="S661" s="1249">
        <v>1</v>
      </c>
      <c r="T661" s="1250">
        <v>83.333333333333329</v>
      </c>
      <c r="U661" s="1250"/>
      <c r="V661" s="1250"/>
      <c r="W661" s="1251">
        <v>0</v>
      </c>
      <c r="X661" s="1250">
        <v>83.333333333333329</v>
      </c>
      <c r="Y661" s="1250"/>
      <c r="Z661" s="1250"/>
      <c r="AA661" s="1250"/>
      <c r="AB661" s="1250"/>
      <c r="AC661" s="1250"/>
      <c r="AD661" s="1250"/>
      <c r="AE661" s="1249">
        <v>0</v>
      </c>
      <c r="AF661" s="1250">
        <v>83.333333333333329</v>
      </c>
      <c r="AG661" s="111"/>
      <c r="AH661" s="111"/>
      <c r="AI661" s="111"/>
      <c r="AJ661" s="111"/>
      <c r="AK661" s="111"/>
      <c r="AL661" s="111"/>
      <c r="AM661" s="111">
        <v>250</v>
      </c>
    </row>
    <row r="662" spans="1:39" ht="15" customHeight="1" x14ac:dyDescent="0.25">
      <c r="A662" s="1409"/>
      <c r="B662" s="1409"/>
      <c r="C662" s="1409"/>
      <c r="D662" s="1409"/>
      <c r="E662" s="1247"/>
      <c r="F662" s="1248" t="s">
        <v>4641</v>
      </c>
      <c r="G662" s="111"/>
      <c r="H662" s="1249">
        <v>2</v>
      </c>
      <c r="I662" s="111" t="s">
        <v>1721</v>
      </c>
      <c r="J662" s="1321" t="s">
        <v>5608</v>
      </c>
      <c r="K662" s="162" t="s">
        <v>5610</v>
      </c>
      <c r="L662" s="162" t="s">
        <v>5609</v>
      </c>
      <c r="M662" s="111">
        <v>279.8</v>
      </c>
      <c r="N662" s="111">
        <v>559.6</v>
      </c>
      <c r="O662" s="111"/>
      <c r="P662" s="111"/>
      <c r="Q662" s="111"/>
      <c r="R662" s="111"/>
      <c r="S662" s="1249">
        <v>2</v>
      </c>
      <c r="T662" s="1250">
        <v>186.53333333333333</v>
      </c>
      <c r="U662" s="1250"/>
      <c r="V662" s="1250"/>
      <c r="W662" s="1251">
        <v>0</v>
      </c>
      <c r="X662" s="1250">
        <v>186.53333333333333</v>
      </c>
      <c r="Y662" s="1250"/>
      <c r="Z662" s="1250"/>
      <c r="AA662" s="1250"/>
      <c r="AB662" s="1250"/>
      <c r="AC662" s="1250"/>
      <c r="AD662" s="1250"/>
      <c r="AE662" s="1249">
        <v>0</v>
      </c>
      <c r="AF662" s="1250">
        <v>186.53333333333333</v>
      </c>
      <c r="AG662" s="111"/>
      <c r="AH662" s="111"/>
      <c r="AI662" s="111"/>
      <c r="AJ662" s="111"/>
      <c r="AK662" s="111"/>
      <c r="AL662" s="111"/>
      <c r="AM662" s="111">
        <v>559.6</v>
      </c>
    </row>
    <row r="663" spans="1:39" ht="15" customHeight="1" x14ac:dyDescent="0.25">
      <c r="A663" s="1409"/>
      <c r="B663" s="1409"/>
      <c r="C663" s="1409"/>
      <c r="D663" s="1409"/>
      <c r="E663" s="1247"/>
      <c r="F663" s="1248" t="s">
        <v>4642</v>
      </c>
      <c r="G663" s="111"/>
      <c r="H663" s="1249">
        <v>30</v>
      </c>
      <c r="I663" s="111" t="s">
        <v>1721</v>
      </c>
      <c r="J663" s="1321" t="s">
        <v>5608</v>
      </c>
      <c r="K663" s="162" t="s">
        <v>5610</v>
      </c>
      <c r="L663" s="162" t="s">
        <v>5609</v>
      </c>
      <c r="M663" s="111">
        <v>81.64</v>
      </c>
      <c r="N663" s="111">
        <v>2449.1999999999998</v>
      </c>
      <c r="O663" s="111"/>
      <c r="P663" s="111"/>
      <c r="Q663" s="111"/>
      <c r="R663" s="111"/>
      <c r="S663" s="1249">
        <v>10</v>
      </c>
      <c r="T663" s="1250">
        <v>816.4</v>
      </c>
      <c r="U663" s="1250"/>
      <c r="V663" s="1250"/>
      <c r="W663" s="1251">
        <v>10</v>
      </c>
      <c r="X663" s="1250">
        <v>816.4</v>
      </c>
      <c r="Y663" s="1250"/>
      <c r="Z663" s="1250"/>
      <c r="AA663" s="1250"/>
      <c r="AB663" s="1250"/>
      <c r="AC663" s="1250"/>
      <c r="AD663" s="1250"/>
      <c r="AE663" s="1249">
        <v>10</v>
      </c>
      <c r="AF663" s="1250">
        <v>816.4</v>
      </c>
      <c r="AG663" s="111"/>
      <c r="AH663" s="111"/>
      <c r="AI663" s="111"/>
      <c r="AJ663" s="111"/>
      <c r="AK663" s="111"/>
      <c r="AL663" s="111"/>
      <c r="AM663" s="111">
        <v>2449.1999999999998</v>
      </c>
    </row>
    <row r="664" spans="1:39" ht="15" customHeight="1" x14ac:dyDescent="0.25">
      <c r="A664" s="1409"/>
      <c r="B664" s="1409"/>
      <c r="C664" s="1409"/>
      <c r="D664" s="1409"/>
      <c r="E664" s="1247"/>
      <c r="F664" s="1248" t="s">
        <v>4643</v>
      </c>
      <c r="G664" s="111"/>
      <c r="H664" s="1249">
        <v>30</v>
      </c>
      <c r="I664" s="111" t="s">
        <v>1721</v>
      </c>
      <c r="J664" s="1321" t="s">
        <v>5608</v>
      </c>
      <c r="K664" s="162" t="s">
        <v>5610</v>
      </c>
      <c r="L664" s="162" t="s">
        <v>5609</v>
      </c>
      <c r="M664" s="111">
        <v>34.560000000000009</v>
      </c>
      <c r="N664" s="111">
        <v>1036.8000000000002</v>
      </c>
      <c r="O664" s="111"/>
      <c r="P664" s="111"/>
      <c r="Q664" s="111"/>
      <c r="R664" s="111"/>
      <c r="S664" s="1249">
        <v>10</v>
      </c>
      <c r="T664" s="1250">
        <v>345.60000000000008</v>
      </c>
      <c r="U664" s="1250"/>
      <c r="V664" s="1250"/>
      <c r="W664" s="1251">
        <v>10</v>
      </c>
      <c r="X664" s="1250">
        <v>345.60000000000008</v>
      </c>
      <c r="Y664" s="1250"/>
      <c r="Z664" s="1250"/>
      <c r="AA664" s="1250"/>
      <c r="AB664" s="1250"/>
      <c r="AC664" s="1250"/>
      <c r="AD664" s="1250"/>
      <c r="AE664" s="1249">
        <v>10</v>
      </c>
      <c r="AF664" s="1250">
        <v>345.60000000000008</v>
      </c>
      <c r="AG664" s="111"/>
      <c r="AH664" s="111"/>
      <c r="AI664" s="111"/>
      <c r="AJ664" s="111"/>
      <c r="AK664" s="111"/>
      <c r="AL664" s="111"/>
      <c r="AM664" s="111">
        <v>1036.8000000000002</v>
      </c>
    </row>
    <row r="665" spans="1:39" ht="15" customHeight="1" x14ac:dyDescent="0.25">
      <c r="A665" s="1409"/>
      <c r="B665" s="1409"/>
      <c r="C665" s="1409"/>
      <c r="D665" s="1409"/>
      <c r="E665" s="1247"/>
      <c r="F665" s="1248" t="s">
        <v>4644</v>
      </c>
      <c r="G665" s="111"/>
      <c r="H665" s="1249">
        <v>30</v>
      </c>
      <c r="I665" s="111" t="s">
        <v>1721</v>
      </c>
      <c r="J665" s="1321" t="s">
        <v>5608</v>
      </c>
      <c r="K665" s="162" t="s">
        <v>5610</v>
      </c>
      <c r="L665" s="162" t="s">
        <v>5609</v>
      </c>
      <c r="M665" s="111">
        <v>63.720000000000006</v>
      </c>
      <c r="N665" s="111">
        <v>1911.6000000000001</v>
      </c>
      <c r="O665" s="111"/>
      <c r="P665" s="111"/>
      <c r="Q665" s="111"/>
      <c r="R665" s="111"/>
      <c r="S665" s="1249">
        <v>10</v>
      </c>
      <c r="T665" s="1250">
        <v>637.20000000000005</v>
      </c>
      <c r="U665" s="1250"/>
      <c r="V665" s="1250"/>
      <c r="W665" s="1251">
        <v>10</v>
      </c>
      <c r="X665" s="1250">
        <v>637.20000000000005</v>
      </c>
      <c r="Y665" s="1250"/>
      <c r="Z665" s="1250"/>
      <c r="AA665" s="1250"/>
      <c r="AB665" s="1250"/>
      <c r="AC665" s="1250"/>
      <c r="AD665" s="1250"/>
      <c r="AE665" s="1249">
        <v>10</v>
      </c>
      <c r="AF665" s="1250">
        <v>637.20000000000005</v>
      </c>
      <c r="AG665" s="111"/>
      <c r="AH665" s="111"/>
      <c r="AI665" s="111"/>
      <c r="AJ665" s="111"/>
      <c r="AK665" s="111"/>
      <c r="AL665" s="111"/>
      <c r="AM665" s="111">
        <v>1911.6000000000001</v>
      </c>
    </row>
    <row r="666" spans="1:39" ht="15" customHeight="1" x14ac:dyDescent="0.25">
      <c r="A666" s="1409"/>
      <c r="B666" s="1409"/>
      <c r="C666" s="1409"/>
      <c r="D666" s="1409"/>
      <c r="E666" s="1247"/>
      <c r="F666" s="1248" t="s">
        <v>4645</v>
      </c>
      <c r="G666" s="111"/>
      <c r="H666" s="1249">
        <v>20</v>
      </c>
      <c r="I666" s="111" t="s">
        <v>1721</v>
      </c>
      <c r="J666" s="1321" t="s">
        <v>5608</v>
      </c>
      <c r="K666" s="162" t="s">
        <v>5610</v>
      </c>
      <c r="L666" s="162" t="s">
        <v>5609</v>
      </c>
      <c r="M666" s="111">
        <v>39.94</v>
      </c>
      <c r="N666" s="111">
        <v>798.8</v>
      </c>
      <c r="O666" s="111"/>
      <c r="P666" s="111"/>
      <c r="Q666" s="111"/>
      <c r="R666" s="111"/>
      <c r="S666" s="1249">
        <v>10</v>
      </c>
      <c r="T666" s="1250">
        <v>266.26666666666665</v>
      </c>
      <c r="U666" s="1250"/>
      <c r="V666" s="1250"/>
      <c r="W666" s="1251">
        <v>5</v>
      </c>
      <c r="X666" s="1250">
        <v>266.26666666666665</v>
      </c>
      <c r="Y666" s="1250"/>
      <c r="Z666" s="1250"/>
      <c r="AA666" s="1250"/>
      <c r="AB666" s="1250"/>
      <c r="AC666" s="1250"/>
      <c r="AD666" s="1250"/>
      <c r="AE666" s="1249">
        <v>5</v>
      </c>
      <c r="AF666" s="1250">
        <v>266.26666666666665</v>
      </c>
      <c r="AG666" s="111"/>
      <c r="AH666" s="111"/>
      <c r="AI666" s="111"/>
      <c r="AJ666" s="111"/>
      <c r="AK666" s="111"/>
      <c r="AL666" s="111"/>
      <c r="AM666" s="111">
        <v>798.8</v>
      </c>
    </row>
    <row r="667" spans="1:39" ht="15" customHeight="1" x14ac:dyDescent="0.25">
      <c r="A667" s="1409"/>
      <c r="B667" s="1409"/>
      <c r="C667" s="1409"/>
      <c r="D667" s="1409"/>
      <c r="E667" s="1247"/>
      <c r="F667" s="1248" t="s">
        <v>4646</v>
      </c>
      <c r="G667" s="111"/>
      <c r="H667" s="1249">
        <v>40</v>
      </c>
      <c r="I667" s="111" t="s">
        <v>1826</v>
      </c>
      <c r="J667" s="1321" t="s">
        <v>5608</v>
      </c>
      <c r="K667" s="162" t="s">
        <v>5610</v>
      </c>
      <c r="L667" s="162" t="s">
        <v>5609</v>
      </c>
      <c r="M667" s="111">
        <v>45.1</v>
      </c>
      <c r="N667" s="111">
        <v>1804</v>
      </c>
      <c r="O667" s="111"/>
      <c r="P667" s="111"/>
      <c r="Q667" s="111"/>
      <c r="R667" s="111"/>
      <c r="S667" s="1249">
        <v>15</v>
      </c>
      <c r="T667" s="1250">
        <v>601.33333333333337</v>
      </c>
      <c r="U667" s="1250"/>
      <c r="V667" s="1250"/>
      <c r="W667" s="1251">
        <v>15</v>
      </c>
      <c r="X667" s="1250">
        <v>601.33333333333337</v>
      </c>
      <c r="Y667" s="1250"/>
      <c r="Z667" s="1250"/>
      <c r="AA667" s="1250"/>
      <c r="AB667" s="1250"/>
      <c r="AC667" s="1250"/>
      <c r="AD667" s="1250"/>
      <c r="AE667" s="1249">
        <v>10</v>
      </c>
      <c r="AF667" s="1250">
        <v>601.33333333333337</v>
      </c>
      <c r="AG667" s="111"/>
      <c r="AH667" s="111"/>
      <c r="AI667" s="111"/>
      <c r="AJ667" s="111"/>
      <c r="AK667" s="111"/>
      <c r="AL667" s="111"/>
      <c r="AM667" s="111">
        <v>1804</v>
      </c>
    </row>
    <row r="668" spans="1:39" ht="15" customHeight="1" x14ac:dyDescent="0.25">
      <c r="A668" s="1409"/>
      <c r="B668" s="1409"/>
      <c r="C668" s="1409"/>
      <c r="D668" s="1409"/>
      <c r="E668" s="1247"/>
      <c r="F668" s="1248" t="s">
        <v>4647</v>
      </c>
      <c r="G668" s="111"/>
      <c r="H668" s="1249">
        <v>40</v>
      </c>
      <c r="I668" s="111" t="s">
        <v>1826</v>
      </c>
      <c r="J668" s="1321" t="s">
        <v>5608</v>
      </c>
      <c r="K668" s="162" t="s">
        <v>5610</v>
      </c>
      <c r="L668" s="162" t="s">
        <v>5609</v>
      </c>
      <c r="M668" s="111">
        <v>45.1</v>
      </c>
      <c r="N668" s="111">
        <v>1804</v>
      </c>
      <c r="O668" s="111"/>
      <c r="P668" s="111"/>
      <c r="Q668" s="111"/>
      <c r="R668" s="111"/>
      <c r="S668" s="1249">
        <v>15</v>
      </c>
      <c r="T668" s="1250">
        <v>601.33333333333337</v>
      </c>
      <c r="U668" s="1250"/>
      <c r="V668" s="1250"/>
      <c r="W668" s="1251">
        <v>15</v>
      </c>
      <c r="X668" s="1250">
        <v>601.33333333333337</v>
      </c>
      <c r="Y668" s="1250"/>
      <c r="Z668" s="1250"/>
      <c r="AA668" s="1250"/>
      <c r="AB668" s="1250"/>
      <c r="AC668" s="1250"/>
      <c r="AD668" s="1250"/>
      <c r="AE668" s="1249">
        <v>10</v>
      </c>
      <c r="AF668" s="1250">
        <v>601.33333333333337</v>
      </c>
      <c r="AG668" s="111"/>
      <c r="AH668" s="111"/>
      <c r="AI668" s="111"/>
      <c r="AJ668" s="111"/>
      <c r="AK668" s="111"/>
      <c r="AL668" s="111"/>
      <c r="AM668" s="111">
        <v>1804</v>
      </c>
    </row>
    <row r="669" spans="1:39" ht="15" customHeight="1" x14ac:dyDescent="0.25">
      <c r="A669" s="1409"/>
      <c r="B669" s="1409"/>
      <c r="C669" s="1409"/>
      <c r="D669" s="1409"/>
      <c r="E669" s="1247"/>
      <c r="F669" s="1248" t="s">
        <v>4648</v>
      </c>
      <c r="G669" s="111"/>
      <c r="H669" s="1249">
        <v>40</v>
      </c>
      <c r="I669" s="111" t="s">
        <v>1826</v>
      </c>
      <c r="J669" s="1321" t="s">
        <v>5608</v>
      </c>
      <c r="K669" s="162" t="s">
        <v>5610</v>
      </c>
      <c r="L669" s="162" t="s">
        <v>5609</v>
      </c>
      <c r="M669" s="111">
        <v>45.1</v>
      </c>
      <c r="N669" s="111">
        <v>1804</v>
      </c>
      <c r="O669" s="111"/>
      <c r="P669" s="111"/>
      <c r="Q669" s="111"/>
      <c r="R669" s="111"/>
      <c r="S669" s="1249">
        <v>15</v>
      </c>
      <c r="T669" s="1250">
        <v>601.33333333333337</v>
      </c>
      <c r="U669" s="1250"/>
      <c r="V669" s="1250"/>
      <c r="W669" s="1251">
        <v>15</v>
      </c>
      <c r="X669" s="1250">
        <v>601.33333333333337</v>
      </c>
      <c r="Y669" s="1250"/>
      <c r="Z669" s="1250"/>
      <c r="AA669" s="1250"/>
      <c r="AB669" s="1250"/>
      <c r="AC669" s="1250"/>
      <c r="AD669" s="1250"/>
      <c r="AE669" s="1249">
        <v>10</v>
      </c>
      <c r="AF669" s="1250">
        <v>601.33333333333337</v>
      </c>
      <c r="AG669" s="111"/>
      <c r="AH669" s="111"/>
      <c r="AI669" s="111"/>
      <c r="AJ669" s="111"/>
      <c r="AK669" s="111"/>
      <c r="AL669" s="111"/>
      <c r="AM669" s="111">
        <v>1804</v>
      </c>
    </row>
    <row r="670" spans="1:39" ht="15" customHeight="1" x14ac:dyDescent="0.25">
      <c r="A670" s="1409"/>
      <c r="B670" s="1409"/>
      <c r="C670" s="1409"/>
      <c r="D670" s="1409"/>
      <c r="E670" s="1247"/>
      <c r="F670" s="1248" t="s">
        <v>4649</v>
      </c>
      <c r="G670" s="111"/>
      <c r="H670" s="1249">
        <v>40</v>
      </c>
      <c r="I670" s="111" t="s">
        <v>1826</v>
      </c>
      <c r="J670" s="1321" t="s">
        <v>5608</v>
      </c>
      <c r="K670" s="162" t="s">
        <v>5610</v>
      </c>
      <c r="L670" s="162" t="s">
        <v>5609</v>
      </c>
      <c r="M670" s="111">
        <v>45.1</v>
      </c>
      <c r="N670" s="111">
        <v>1804</v>
      </c>
      <c r="O670" s="111"/>
      <c r="P670" s="111"/>
      <c r="Q670" s="111"/>
      <c r="R670" s="111"/>
      <c r="S670" s="1249">
        <v>15</v>
      </c>
      <c r="T670" s="1250">
        <v>601.33333333333337</v>
      </c>
      <c r="U670" s="1250"/>
      <c r="V670" s="1250"/>
      <c r="W670" s="1251">
        <v>15</v>
      </c>
      <c r="X670" s="1250">
        <v>601.33333333333337</v>
      </c>
      <c r="Y670" s="1250"/>
      <c r="Z670" s="1250"/>
      <c r="AA670" s="1250"/>
      <c r="AB670" s="1250"/>
      <c r="AC670" s="1250"/>
      <c r="AD670" s="1250"/>
      <c r="AE670" s="1249">
        <v>10</v>
      </c>
      <c r="AF670" s="1250">
        <v>601.33333333333337</v>
      </c>
      <c r="AG670" s="111"/>
      <c r="AH670" s="111"/>
      <c r="AI670" s="111"/>
      <c r="AJ670" s="111"/>
      <c r="AK670" s="111"/>
      <c r="AL670" s="111"/>
      <c r="AM670" s="111">
        <v>1804</v>
      </c>
    </row>
    <row r="671" spans="1:39" ht="15" customHeight="1" x14ac:dyDescent="0.25">
      <c r="A671" s="1409"/>
      <c r="B671" s="1409"/>
      <c r="C671" s="1409"/>
      <c r="D671" s="1409"/>
      <c r="E671" s="1247"/>
      <c r="F671" s="1248" t="s">
        <v>4650</v>
      </c>
      <c r="G671" s="111"/>
      <c r="H671" s="1249">
        <v>40</v>
      </c>
      <c r="I671" s="111" t="s">
        <v>1826</v>
      </c>
      <c r="J671" s="1321" t="s">
        <v>5608</v>
      </c>
      <c r="K671" s="162" t="s">
        <v>5610</v>
      </c>
      <c r="L671" s="162" t="s">
        <v>5609</v>
      </c>
      <c r="M671" s="111">
        <v>45.1</v>
      </c>
      <c r="N671" s="111">
        <v>1804</v>
      </c>
      <c r="O671" s="111"/>
      <c r="P671" s="111"/>
      <c r="Q671" s="111"/>
      <c r="R671" s="111"/>
      <c r="S671" s="1249">
        <v>15</v>
      </c>
      <c r="T671" s="1250">
        <v>601.33333333333337</v>
      </c>
      <c r="U671" s="1250"/>
      <c r="V671" s="1250"/>
      <c r="W671" s="1251">
        <v>15</v>
      </c>
      <c r="X671" s="1250">
        <v>601.33333333333337</v>
      </c>
      <c r="Y671" s="1250"/>
      <c r="Z671" s="1250"/>
      <c r="AA671" s="1250"/>
      <c r="AB671" s="1250"/>
      <c r="AC671" s="1250"/>
      <c r="AD671" s="1250"/>
      <c r="AE671" s="1249">
        <v>10</v>
      </c>
      <c r="AF671" s="1250">
        <v>601.33333333333337</v>
      </c>
      <c r="AG671" s="111"/>
      <c r="AH671" s="111"/>
      <c r="AI671" s="111"/>
      <c r="AJ671" s="111"/>
      <c r="AK671" s="111"/>
      <c r="AL671" s="111"/>
      <c r="AM671" s="111">
        <v>1804</v>
      </c>
    </row>
    <row r="672" spans="1:39" ht="15" customHeight="1" x14ac:dyDescent="0.25">
      <c r="A672" s="1409"/>
      <c r="B672" s="1409"/>
      <c r="C672" s="1409"/>
      <c r="D672" s="1409"/>
      <c r="E672" s="1247"/>
      <c r="F672" s="1248" t="s">
        <v>4651</v>
      </c>
      <c r="G672" s="111"/>
      <c r="H672" s="1249">
        <v>40</v>
      </c>
      <c r="I672" s="111" t="s">
        <v>1826</v>
      </c>
      <c r="J672" s="1321" t="s">
        <v>5608</v>
      </c>
      <c r="K672" s="162" t="s">
        <v>5610</v>
      </c>
      <c r="L672" s="162" t="s">
        <v>5609</v>
      </c>
      <c r="M672" s="111">
        <v>45.1</v>
      </c>
      <c r="N672" s="111">
        <v>1804</v>
      </c>
      <c r="O672" s="111"/>
      <c r="P672" s="111"/>
      <c r="Q672" s="111"/>
      <c r="R672" s="111"/>
      <c r="S672" s="1249">
        <v>15</v>
      </c>
      <c r="T672" s="1250">
        <v>601.33333333333337</v>
      </c>
      <c r="U672" s="1250"/>
      <c r="V672" s="1250"/>
      <c r="W672" s="1251">
        <v>15</v>
      </c>
      <c r="X672" s="1250">
        <v>601.33333333333337</v>
      </c>
      <c r="Y672" s="1250"/>
      <c r="Z672" s="1250"/>
      <c r="AA672" s="1250"/>
      <c r="AB672" s="1250"/>
      <c r="AC672" s="1250"/>
      <c r="AD672" s="1250"/>
      <c r="AE672" s="1249">
        <v>10</v>
      </c>
      <c r="AF672" s="1250">
        <v>601.33333333333337</v>
      </c>
      <c r="AG672" s="111"/>
      <c r="AH672" s="111"/>
      <c r="AI672" s="111"/>
      <c r="AJ672" s="111"/>
      <c r="AK672" s="111"/>
      <c r="AL672" s="111"/>
      <c r="AM672" s="111">
        <v>1804</v>
      </c>
    </row>
    <row r="673" spans="1:39" ht="15" customHeight="1" x14ac:dyDescent="0.25">
      <c r="A673" s="1409"/>
      <c r="B673" s="1409"/>
      <c r="C673" s="1409"/>
      <c r="D673" s="1409"/>
      <c r="E673" s="1247"/>
      <c r="F673" s="1248" t="s">
        <v>4652</v>
      </c>
      <c r="G673" s="111"/>
      <c r="H673" s="1249">
        <v>40</v>
      </c>
      <c r="I673" s="111" t="s">
        <v>1826</v>
      </c>
      <c r="J673" s="1321" t="s">
        <v>5608</v>
      </c>
      <c r="K673" s="162" t="s">
        <v>5610</v>
      </c>
      <c r="L673" s="162" t="s">
        <v>5609</v>
      </c>
      <c r="M673" s="111">
        <v>45.1</v>
      </c>
      <c r="N673" s="111">
        <v>1804</v>
      </c>
      <c r="O673" s="111"/>
      <c r="P673" s="111"/>
      <c r="Q673" s="111"/>
      <c r="R673" s="111"/>
      <c r="S673" s="1249">
        <v>15</v>
      </c>
      <c r="T673" s="1250">
        <v>601.33333333333337</v>
      </c>
      <c r="U673" s="1250"/>
      <c r="V673" s="1250"/>
      <c r="W673" s="1251">
        <v>15</v>
      </c>
      <c r="X673" s="1250">
        <v>601.33333333333337</v>
      </c>
      <c r="Y673" s="1250"/>
      <c r="Z673" s="1250"/>
      <c r="AA673" s="1250"/>
      <c r="AB673" s="1250"/>
      <c r="AC673" s="1250"/>
      <c r="AD673" s="1250"/>
      <c r="AE673" s="1249">
        <v>10</v>
      </c>
      <c r="AF673" s="1250">
        <v>601.33333333333337</v>
      </c>
      <c r="AG673" s="111"/>
      <c r="AH673" s="111"/>
      <c r="AI673" s="111"/>
      <c r="AJ673" s="111"/>
      <c r="AK673" s="111"/>
      <c r="AL673" s="111"/>
      <c r="AM673" s="111">
        <v>1804</v>
      </c>
    </row>
    <row r="674" spans="1:39" ht="15" customHeight="1" x14ac:dyDescent="0.25">
      <c r="A674" s="1409"/>
      <c r="B674" s="1409"/>
      <c r="C674" s="1409"/>
      <c r="D674" s="1409"/>
      <c r="E674" s="1247"/>
      <c r="F674" s="1248" t="s">
        <v>4653</v>
      </c>
      <c r="G674" s="111"/>
      <c r="H674" s="1249">
        <v>40</v>
      </c>
      <c r="I674" s="111" t="s">
        <v>1826</v>
      </c>
      <c r="J674" s="1321" t="s">
        <v>5608</v>
      </c>
      <c r="K674" s="162" t="s">
        <v>5610</v>
      </c>
      <c r="L674" s="162" t="s">
        <v>5609</v>
      </c>
      <c r="M674" s="111">
        <v>45.1</v>
      </c>
      <c r="N674" s="111">
        <v>1804</v>
      </c>
      <c r="O674" s="111"/>
      <c r="P674" s="111"/>
      <c r="Q674" s="111"/>
      <c r="R674" s="111"/>
      <c r="S674" s="1249">
        <v>15</v>
      </c>
      <c r="T674" s="1250">
        <v>601.33333333333337</v>
      </c>
      <c r="U674" s="1250"/>
      <c r="V674" s="1250"/>
      <c r="W674" s="1251">
        <v>15</v>
      </c>
      <c r="X674" s="1250">
        <v>601.33333333333337</v>
      </c>
      <c r="Y674" s="1250"/>
      <c r="Z674" s="1250"/>
      <c r="AA674" s="1250"/>
      <c r="AB674" s="1250"/>
      <c r="AC674" s="1250"/>
      <c r="AD674" s="1250"/>
      <c r="AE674" s="1249">
        <v>10</v>
      </c>
      <c r="AF674" s="1250">
        <v>601.33333333333337</v>
      </c>
      <c r="AG674" s="111"/>
      <c r="AH674" s="111"/>
      <c r="AI674" s="111"/>
      <c r="AJ674" s="111"/>
      <c r="AK674" s="111"/>
      <c r="AL674" s="111"/>
      <c r="AM674" s="111">
        <v>1804</v>
      </c>
    </row>
    <row r="675" spans="1:39" ht="15" customHeight="1" x14ac:dyDescent="0.25">
      <c r="A675" s="1409"/>
      <c r="B675" s="1409"/>
      <c r="C675" s="1409"/>
      <c r="D675" s="1409"/>
      <c r="E675" s="1247"/>
      <c r="F675" s="1248" t="s">
        <v>4654</v>
      </c>
      <c r="G675" s="111"/>
      <c r="H675" s="1249">
        <v>40</v>
      </c>
      <c r="I675" s="111" t="s">
        <v>1826</v>
      </c>
      <c r="J675" s="1321" t="s">
        <v>5608</v>
      </c>
      <c r="K675" s="162" t="s">
        <v>5610</v>
      </c>
      <c r="L675" s="162" t="s">
        <v>5609</v>
      </c>
      <c r="M675" s="111">
        <v>45.1</v>
      </c>
      <c r="N675" s="111">
        <v>1804</v>
      </c>
      <c r="O675" s="111"/>
      <c r="P675" s="111"/>
      <c r="Q675" s="111"/>
      <c r="R675" s="111"/>
      <c r="S675" s="1249">
        <v>15</v>
      </c>
      <c r="T675" s="1250">
        <v>601.33333333333337</v>
      </c>
      <c r="U675" s="1250"/>
      <c r="V675" s="1250"/>
      <c r="W675" s="1251">
        <v>15</v>
      </c>
      <c r="X675" s="1250">
        <v>601.33333333333337</v>
      </c>
      <c r="Y675" s="1250"/>
      <c r="Z675" s="1250"/>
      <c r="AA675" s="1250"/>
      <c r="AB675" s="1250"/>
      <c r="AC675" s="1250"/>
      <c r="AD675" s="1250"/>
      <c r="AE675" s="1249">
        <v>10</v>
      </c>
      <c r="AF675" s="1250">
        <v>601.33333333333337</v>
      </c>
      <c r="AG675" s="111"/>
      <c r="AH675" s="111"/>
      <c r="AI675" s="111"/>
      <c r="AJ675" s="111"/>
      <c r="AK675" s="111"/>
      <c r="AL675" s="111"/>
      <c r="AM675" s="111">
        <v>1804</v>
      </c>
    </row>
    <row r="676" spans="1:39" ht="15" customHeight="1" x14ac:dyDescent="0.25">
      <c r="A676" s="1409"/>
      <c r="B676" s="1409"/>
      <c r="C676" s="1409"/>
      <c r="D676" s="1409"/>
      <c r="E676" s="1247"/>
      <c r="F676" s="1248" t="s">
        <v>4655</v>
      </c>
      <c r="G676" s="111"/>
      <c r="H676" s="1249">
        <v>40</v>
      </c>
      <c r="I676" s="111" t="s">
        <v>1826</v>
      </c>
      <c r="J676" s="1321" t="s">
        <v>5608</v>
      </c>
      <c r="K676" s="162" t="s">
        <v>5610</v>
      </c>
      <c r="L676" s="162" t="s">
        <v>5609</v>
      </c>
      <c r="M676" s="111">
        <v>45.1</v>
      </c>
      <c r="N676" s="111">
        <v>1804</v>
      </c>
      <c r="O676" s="111"/>
      <c r="P676" s="111"/>
      <c r="Q676" s="111"/>
      <c r="R676" s="111"/>
      <c r="S676" s="1249">
        <v>15</v>
      </c>
      <c r="T676" s="1250">
        <v>601.33333333333337</v>
      </c>
      <c r="U676" s="1250"/>
      <c r="V676" s="1250"/>
      <c r="W676" s="1251">
        <v>15</v>
      </c>
      <c r="X676" s="1250">
        <v>601.33333333333337</v>
      </c>
      <c r="Y676" s="1250"/>
      <c r="Z676" s="1250"/>
      <c r="AA676" s="1250"/>
      <c r="AB676" s="1250"/>
      <c r="AC676" s="1250"/>
      <c r="AD676" s="1250"/>
      <c r="AE676" s="1249">
        <v>10</v>
      </c>
      <c r="AF676" s="1250">
        <v>601.33333333333337</v>
      </c>
      <c r="AG676" s="111"/>
      <c r="AH676" s="111"/>
      <c r="AI676" s="111"/>
      <c r="AJ676" s="111"/>
      <c r="AK676" s="111"/>
      <c r="AL676" s="111"/>
      <c r="AM676" s="111">
        <v>1804</v>
      </c>
    </row>
    <row r="677" spans="1:39" ht="15" customHeight="1" x14ac:dyDescent="0.25">
      <c r="A677" s="1409"/>
      <c r="B677" s="1409"/>
      <c r="C677" s="1409"/>
      <c r="D677" s="1409"/>
      <c r="E677" s="1247"/>
      <c r="F677" s="1248" t="s">
        <v>4656</v>
      </c>
      <c r="G677" s="111"/>
      <c r="H677" s="1249">
        <v>60</v>
      </c>
      <c r="I677" s="111" t="s">
        <v>1826</v>
      </c>
      <c r="J677" s="1321" t="s">
        <v>5608</v>
      </c>
      <c r="K677" s="162" t="s">
        <v>5610</v>
      </c>
      <c r="L677" s="162" t="s">
        <v>5609</v>
      </c>
      <c r="M677" s="111">
        <v>45.1</v>
      </c>
      <c r="N677" s="111">
        <v>2706</v>
      </c>
      <c r="O677" s="111"/>
      <c r="P677" s="111"/>
      <c r="Q677" s="111"/>
      <c r="R677" s="111"/>
      <c r="S677" s="1249">
        <v>30</v>
      </c>
      <c r="T677" s="1250">
        <v>902</v>
      </c>
      <c r="U677" s="1250"/>
      <c r="V677" s="1250"/>
      <c r="W677" s="1251">
        <v>20</v>
      </c>
      <c r="X677" s="1250">
        <v>902</v>
      </c>
      <c r="Y677" s="1250"/>
      <c r="Z677" s="1250"/>
      <c r="AA677" s="1250"/>
      <c r="AB677" s="1250"/>
      <c r="AC677" s="1250"/>
      <c r="AD677" s="1250"/>
      <c r="AE677" s="1249">
        <v>10</v>
      </c>
      <c r="AF677" s="1250">
        <v>902</v>
      </c>
      <c r="AG677" s="111"/>
      <c r="AH677" s="111"/>
      <c r="AI677" s="111"/>
      <c r="AJ677" s="111"/>
      <c r="AK677" s="111"/>
      <c r="AL677" s="111"/>
      <c r="AM677" s="111">
        <v>2706</v>
      </c>
    </row>
    <row r="678" spans="1:39" ht="15" customHeight="1" x14ac:dyDescent="0.25">
      <c r="A678" s="1409"/>
      <c r="B678" s="1409"/>
      <c r="C678" s="1409"/>
      <c r="D678" s="1409"/>
      <c r="E678" s="1247"/>
      <c r="F678" s="1248" t="s">
        <v>4657</v>
      </c>
      <c r="G678" s="111"/>
      <c r="H678" s="1249">
        <v>50</v>
      </c>
      <c r="I678" s="111" t="s">
        <v>1826</v>
      </c>
      <c r="J678" s="1321" t="s">
        <v>5608</v>
      </c>
      <c r="K678" s="162" t="s">
        <v>5610</v>
      </c>
      <c r="L678" s="162" t="s">
        <v>5609</v>
      </c>
      <c r="M678" s="111">
        <v>45.1</v>
      </c>
      <c r="N678" s="111">
        <v>2255</v>
      </c>
      <c r="O678" s="111"/>
      <c r="P678" s="111"/>
      <c r="Q678" s="111"/>
      <c r="R678" s="111"/>
      <c r="S678" s="1249">
        <v>20</v>
      </c>
      <c r="T678" s="1250">
        <v>751.66666666666663</v>
      </c>
      <c r="U678" s="1250"/>
      <c r="V678" s="1250"/>
      <c r="W678" s="1251">
        <v>20</v>
      </c>
      <c r="X678" s="1250">
        <v>751.66666666666663</v>
      </c>
      <c r="Y678" s="1250"/>
      <c r="Z678" s="1250"/>
      <c r="AA678" s="1250"/>
      <c r="AB678" s="1250"/>
      <c r="AC678" s="1250"/>
      <c r="AD678" s="1250"/>
      <c r="AE678" s="1249">
        <v>10</v>
      </c>
      <c r="AF678" s="1250">
        <v>751.66666666666663</v>
      </c>
      <c r="AG678" s="111"/>
      <c r="AH678" s="111"/>
      <c r="AI678" s="111"/>
      <c r="AJ678" s="111"/>
      <c r="AK678" s="111"/>
      <c r="AL678" s="111"/>
      <c r="AM678" s="111">
        <v>2255</v>
      </c>
    </row>
    <row r="679" spans="1:39" ht="15" customHeight="1" x14ac:dyDescent="0.25">
      <c r="A679" s="1409"/>
      <c r="B679" s="1409"/>
      <c r="C679" s="1409"/>
      <c r="D679" s="1409"/>
      <c r="E679" s="1247"/>
      <c r="F679" s="1248" t="s">
        <v>4658</v>
      </c>
      <c r="G679" s="111"/>
      <c r="H679" s="1249">
        <v>50</v>
      </c>
      <c r="I679" s="111" t="s">
        <v>1826</v>
      </c>
      <c r="J679" s="1321" t="s">
        <v>5608</v>
      </c>
      <c r="K679" s="162" t="s">
        <v>5610</v>
      </c>
      <c r="L679" s="162" t="s">
        <v>5609</v>
      </c>
      <c r="M679" s="111">
        <v>45.1</v>
      </c>
      <c r="N679" s="111">
        <v>2255</v>
      </c>
      <c r="O679" s="111"/>
      <c r="P679" s="111"/>
      <c r="Q679" s="111"/>
      <c r="R679" s="111"/>
      <c r="S679" s="1249">
        <v>20</v>
      </c>
      <c r="T679" s="1250">
        <v>751.66666666666663</v>
      </c>
      <c r="U679" s="1250"/>
      <c r="V679" s="1250"/>
      <c r="W679" s="1251">
        <v>20</v>
      </c>
      <c r="X679" s="1250">
        <v>751.66666666666663</v>
      </c>
      <c r="Y679" s="1250"/>
      <c r="Z679" s="1250"/>
      <c r="AA679" s="1250"/>
      <c r="AB679" s="1250"/>
      <c r="AC679" s="1250"/>
      <c r="AD679" s="1250"/>
      <c r="AE679" s="1249">
        <v>10</v>
      </c>
      <c r="AF679" s="1250">
        <v>751.66666666666663</v>
      </c>
      <c r="AG679" s="111"/>
      <c r="AH679" s="111"/>
      <c r="AI679" s="111"/>
      <c r="AJ679" s="111"/>
      <c r="AK679" s="111"/>
      <c r="AL679" s="111"/>
      <c r="AM679" s="111">
        <v>2255</v>
      </c>
    </row>
    <row r="680" spans="1:39" ht="15" customHeight="1" x14ac:dyDescent="0.25">
      <c r="A680" s="1409"/>
      <c r="B680" s="1409"/>
      <c r="C680" s="1409"/>
      <c r="D680" s="1409"/>
      <c r="E680" s="1247"/>
      <c r="F680" s="1248" t="s">
        <v>4659</v>
      </c>
      <c r="G680" s="111"/>
      <c r="H680" s="1249">
        <v>20</v>
      </c>
      <c r="I680" s="111" t="s">
        <v>1826</v>
      </c>
      <c r="J680" s="1321" t="s">
        <v>5608</v>
      </c>
      <c r="K680" s="162" t="s">
        <v>5610</v>
      </c>
      <c r="L680" s="162" t="s">
        <v>5609</v>
      </c>
      <c r="M680" s="111">
        <v>31.32</v>
      </c>
      <c r="N680" s="111">
        <v>626.4</v>
      </c>
      <c r="O680" s="111"/>
      <c r="P680" s="111"/>
      <c r="Q680" s="111"/>
      <c r="R680" s="111"/>
      <c r="S680" s="1249">
        <v>10</v>
      </c>
      <c r="T680" s="1250">
        <v>208.79999999999998</v>
      </c>
      <c r="U680" s="1250"/>
      <c r="V680" s="1250"/>
      <c r="W680" s="1251">
        <v>5</v>
      </c>
      <c r="X680" s="1250">
        <v>208.79999999999998</v>
      </c>
      <c r="Y680" s="1250"/>
      <c r="Z680" s="1250"/>
      <c r="AA680" s="1250"/>
      <c r="AB680" s="1250"/>
      <c r="AC680" s="1250"/>
      <c r="AD680" s="1250"/>
      <c r="AE680" s="1249">
        <v>5</v>
      </c>
      <c r="AF680" s="1250">
        <v>208.79999999999998</v>
      </c>
      <c r="AG680" s="111"/>
      <c r="AH680" s="111"/>
      <c r="AI680" s="111"/>
      <c r="AJ680" s="111"/>
      <c r="AK680" s="111"/>
      <c r="AL680" s="111"/>
      <c r="AM680" s="111">
        <v>626.4</v>
      </c>
    </row>
    <row r="681" spans="1:39" ht="15" customHeight="1" x14ac:dyDescent="0.25">
      <c r="A681" s="1409"/>
      <c r="B681" s="1409"/>
      <c r="C681" s="1409"/>
      <c r="D681" s="1409"/>
      <c r="E681" s="1247"/>
      <c r="F681" s="1248" t="s">
        <v>4660</v>
      </c>
      <c r="G681" s="111"/>
      <c r="H681" s="1249">
        <v>20</v>
      </c>
      <c r="I681" s="111" t="s">
        <v>1826</v>
      </c>
      <c r="J681" s="1321" t="s">
        <v>5608</v>
      </c>
      <c r="K681" s="162" t="s">
        <v>5610</v>
      </c>
      <c r="L681" s="162" t="s">
        <v>5609</v>
      </c>
      <c r="M681" s="111">
        <v>31.32</v>
      </c>
      <c r="N681" s="111">
        <v>626.4</v>
      </c>
      <c r="O681" s="111"/>
      <c r="P681" s="111"/>
      <c r="Q681" s="111"/>
      <c r="R681" s="111"/>
      <c r="S681" s="1249">
        <v>10</v>
      </c>
      <c r="T681" s="1250">
        <v>208.79999999999998</v>
      </c>
      <c r="U681" s="1250"/>
      <c r="V681" s="1250"/>
      <c r="W681" s="1251">
        <v>5</v>
      </c>
      <c r="X681" s="1250">
        <v>208.79999999999998</v>
      </c>
      <c r="Y681" s="1250"/>
      <c r="Z681" s="1250"/>
      <c r="AA681" s="1250"/>
      <c r="AB681" s="1250"/>
      <c r="AC681" s="1250"/>
      <c r="AD681" s="1250"/>
      <c r="AE681" s="1249">
        <v>5</v>
      </c>
      <c r="AF681" s="1250">
        <v>208.79999999999998</v>
      </c>
      <c r="AG681" s="111"/>
      <c r="AH681" s="111"/>
      <c r="AI681" s="111"/>
      <c r="AJ681" s="111"/>
      <c r="AK681" s="111"/>
      <c r="AL681" s="111"/>
      <c r="AM681" s="111">
        <v>626.4</v>
      </c>
    </row>
    <row r="682" spans="1:39" ht="15" customHeight="1" x14ac:dyDescent="0.25">
      <c r="A682" s="1409"/>
      <c r="B682" s="1409"/>
      <c r="C682" s="1409"/>
      <c r="D682" s="1409"/>
      <c r="E682" s="1247"/>
      <c r="F682" s="1248" t="s">
        <v>4661</v>
      </c>
      <c r="G682" s="111"/>
      <c r="H682" s="1249">
        <v>20</v>
      </c>
      <c r="I682" s="111" t="s">
        <v>1826</v>
      </c>
      <c r="J682" s="1321" t="s">
        <v>5608</v>
      </c>
      <c r="K682" s="162" t="s">
        <v>5610</v>
      </c>
      <c r="L682" s="162" t="s">
        <v>5609</v>
      </c>
      <c r="M682" s="111">
        <v>31.32</v>
      </c>
      <c r="N682" s="111">
        <v>626.4</v>
      </c>
      <c r="O682" s="111"/>
      <c r="P682" s="111"/>
      <c r="Q682" s="111"/>
      <c r="R682" s="111"/>
      <c r="S682" s="1249">
        <v>10</v>
      </c>
      <c r="T682" s="1250">
        <v>208.79999999999998</v>
      </c>
      <c r="U682" s="1250"/>
      <c r="V682" s="1250"/>
      <c r="W682" s="1251">
        <v>5</v>
      </c>
      <c r="X682" s="1250">
        <v>208.79999999999998</v>
      </c>
      <c r="Y682" s="1250"/>
      <c r="Z682" s="1250"/>
      <c r="AA682" s="1250"/>
      <c r="AB682" s="1250"/>
      <c r="AC682" s="1250"/>
      <c r="AD682" s="1250"/>
      <c r="AE682" s="1249">
        <v>5</v>
      </c>
      <c r="AF682" s="1250">
        <v>208.79999999999998</v>
      </c>
      <c r="AG682" s="111"/>
      <c r="AH682" s="111"/>
      <c r="AI682" s="111"/>
      <c r="AJ682" s="111"/>
      <c r="AK682" s="111"/>
      <c r="AL682" s="111"/>
      <c r="AM682" s="111">
        <v>626.4</v>
      </c>
    </row>
    <row r="683" spans="1:39" ht="15" customHeight="1" x14ac:dyDescent="0.25">
      <c r="A683" s="1409"/>
      <c r="B683" s="1409"/>
      <c r="C683" s="1409"/>
      <c r="D683" s="1409"/>
      <c r="E683" s="1247"/>
      <c r="F683" s="1248" t="s">
        <v>4662</v>
      </c>
      <c r="G683" s="111"/>
      <c r="H683" s="1249">
        <v>20</v>
      </c>
      <c r="I683" s="111" t="s">
        <v>1826</v>
      </c>
      <c r="J683" s="1321" t="s">
        <v>5608</v>
      </c>
      <c r="K683" s="162" t="s">
        <v>5610</v>
      </c>
      <c r="L683" s="162" t="s">
        <v>5609</v>
      </c>
      <c r="M683" s="111">
        <v>31.32</v>
      </c>
      <c r="N683" s="111">
        <v>626.4</v>
      </c>
      <c r="O683" s="111"/>
      <c r="P683" s="111"/>
      <c r="Q683" s="111"/>
      <c r="R683" s="111"/>
      <c r="S683" s="1249">
        <v>10</v>
      </c>
      <c r="T683" s="1250">
        <v>208.79999999999998</v>
      </c>
      <c r="U683" s="1250"/>
      <c r="V683" s="1250"/>
      <c r="W683" s="1251">
        <v>5</v>
      </c>
      <c r="X683" s="1250">
        <v>208.79999999999998</v>
      </c>
      <c r="Y683" s="1250"/>
      <c r="Z683" s="1250"/>
      <c r="AA683" s="1250"/>
      <c r="AB683" s="1250"/>
      <c r="AC683" s="1250"/>
      <c r="AD683" s="1250"/>
      <c r="AE683" s="1249">
        <v>5</v>
      </c>
      <c r="AF683" s="1250">
        <v>208.79999999999998</v>
      </c>
      <c r="AG683" s="111"/>
      <c r="AH683" s="111"/>
      <c r="AI683" s="111"/>
      <c r="AJ683" s="111"/>
      <c r="AK683" s="111"/>
      <c r="AL683" s="111"/>
      <c r="AM683" s="111">
        <v>626.4</v>
      </c>
    </row>
    <row r="684" spans="1:39" ht="15" customHeight="1" x14ac:dyDescent="0.25">
      <c r="A684" s="1409"/>
      <c r="B684" s="1409"/>
      <c r="C684" s="1409"/>
      <c r="D684" s="1409"/>
      <c r="E684" s="1247"/>
      <c r="F684" s="1248" t="s">
        <v>4663</v>
      </c>
      <c r="G684" s="111"/>
      <c r="H684" s="1249">
        <v>20</v>
      </c>
      <c r="I684" s="111" t="s">
        <v>1826</v>
      </c>
      <c r="J684" s="1321" t="s">
        <v>5608</v>
      </c>
      <c r="K684" s="162" t="s">
        <v>5610</v>
      </c>
      <c r="L684" s="162" t="s">
        <v>5609</v>
      </c>
      <c r="M684" s="111">
        <v>31.32</v>
      </c>
      <c r="N684" s="111">
        <v>626.4</v>
      </c>
      <c r="O684" s="111"/>
      <c r="P684" s="111"/>
      <c r="Q684" s="111"/>
      <c r="R684" s="111"/>
      <c r="S684" s="1249">
        <v>10</v>
      </c>
      <c r="T684" s="1250">
        <v>208.79999999999998</v>
      </c>
      <c r="U684" s="1250"/>
      <c r="V684" s="1250"/>
      <c r="W684" s="1251">
        <v>5</v>
      </c>
      <c r="X684" s="1250">
        <v>208.79999999999998</v>
      </c>
      <c r="Y684" s="1250"/>
      <c r="Z684" s="1250"/>
      <c r="AA684" s="1250"/>
      <c r="AB684" s="1250"/>
      <c r="AC684" s="1250"/>
      <c r="AD684" s="1250"/>
      <c r="AE684" s="1249">
        <v>5</v>
      </c>
      <c r="AF684" s="1250">
        <v>208.79999999999998</v>
      </c>
      <c r="AG684" s="111"/>
      <c r="AH684" s="111"/>
      <c r="AI684" s="111"/>
      <c r="AJ684" s="111"/>
      <c r="AK684" s="111"/>
      <c r="AL684" s="111"/>
      <c r="AM684" s="111">
        <v>626.4</v>
      </c>
    </row>
    <row r="685" spans="1:39" ht="15" customHeight="1" x14ac:dyDescent="0.25">
      <c r="A685" s="1409"/>
      <c r="B685" s="1409"/>
      <c r="C685" s="1409"/>
      <c r="D685" s="1409"/>
      <c r="E685" s="1247"/>
      <c r="F685" s="1248" t="s">
        <v>4664</v>
      </c>
      <c r="G685" s="111"/>
      <c r="H685" s="1249">
        <v>20</v>
      </c>
      <c r="I685" s="111" t="s">
        <v>1826</v>
      </c>
      <c r="J685" s="1321" t="s">
        <v>5608</v>
      </c>
      <c r="K685" s="162" t="s">
        <v>5610</v>
      </c>
      <c r="L685" s="162" t="s">
        <v>5609</v>
      </c>
      <c r="M685" s="111">
        <v>31.32</v>
      </c>
      <c r="N685" s="111">
        <v>626.4</v>
      </c>
      <c r="O685" s="111"/>
      <c r="P685" s="111"/>
      <c r="Q685" s="111"/>
      <c r="R685" s="111"/>
      <c r="S685" s="1249">
        <v>10</v>
      </c>
      <c r="T685" s="1250">
        <v>208.79999999999998</v>
      </c>
      <c r="U685" s="1250"/>
      <c r="V685" s="1250"/>
      <c r="W685" s="1251">
        <v>5</v>
      </c>
      <c r="X685" s="1250">
        <v>208.79999999999998</v>
      </c>
      <c r="Y685" s="1250"/>
      <c r="Z685" s="1250"/>
      <c r="AA685" s="1250"/>
      <c r="AB685" s="1250"/>
      <c r="AC685" s="1250"/>
      <c r="AD685" s="1250"/>
      <c r="AE685" s="1249">
        <v>5</v>
      </c>
      <c r="AF685" s="1250">
        <v>208.79999999999998</v>
      </c>
      <c r="AG685" s="111"/>
      <c r="AH685" s="111"/>
      <c r="AI685" s="111"/>
      <c r="AJ685" s="111"/>
      <c r="AK685" s="111"/>
      <c r="AL685" s="111"/>
      <c r="AM685" s="111">
        <v>626.4</v>
      </c>
    </row>
    <row r="686" spans="1:39" ht="15" customHeight="1" x14ac:dyDescent="0.25">
      <c r="A686" s="1409"/>
      <c r="B686" s="1409"/>
      <c r="C686" s="1409"/>
      <c r="D686" s="1409"/>
      <c r="E686" s="1247"/>
      <c r="F686" s="1248" t="s">
        <v>4665</v>
      </c>
      <c r="G686" s="111"/>
      <c r="H686" s="1249">
        <v>20</v>
      </c>
      <c r="I686" s="111" t="s">
        <v>1826</v>
      </c>
      <c r="J686" s="1321" t="s">
        <v>5608</v>
      </c>
      <c r="K686" s="162" t="s">
        <v>5610</v>
      </c>
      <c r="L686" s="162" t="s">
        <v>5609</v>
      </c>
      <c r="M686" s="111">
        <v>31.32</v>
      </c>
      <c r="N686" s="111">
        <v>626.4</v>
      </c>
      <c r="O686" s="111"/>
      <c r="P686" s="111"/>
      <c r="Q686" s="111"/>
      <c r="R686" s="111"/>
      <c r="S686" s="1249">
        <v>10</v>
      </c>
      <c r="T686" s="1250">
        <v>208.79999999999998</v>
      </c>
      <c r="U686" s="1250"/>
      <c r="V686" s="1250"/>
      <c r="W686" s="1251">
        <v>5</v>
      </c>
      <c r="X686" s="1250">
        <v>208.79999999999998</v>
      </c>
      <c r="Y686" s="1250"/>
      <c r="Z686" s="1250"/>
      <c r="AA686" s="1250"/>
      <c r="AB686" s="1250"/>
      <c r="AC686" s="1250"/>
      <c r="AD686" s="1250"/>
      <c r="AE686" s="1249">
        <v>5</v>
      </c>
      <c r="AF686" s="1250">
        <v>208.79999999999998</v>
      </c>
      <c r="AG686" s="111"/>
      <c r="AH686" s="111"/>
      <c r="AI686" s="111"/>
      <c r="AJ686" s="111"/>
      <c r="AK686" s="111"/>
      <c r="AL686" s="111"/>
      <c r="AM686" s="111">
        <v>626.4</v>
      </c>
    </row>
    <row r="687" spans="1:39" ht="15" customHeight="1" x14ac:dyDescent="0.25">
      <c r="A687" s="1409"/>
      <c r="B687" s="1409"/>
      <c r="C687" s="1409"/>
      <c r="D687" s="1409"/>
      <c r="E687" s="1247"/>
      <c r="F687" s="1248" t="s">
        <v>4666</v>
      </c>
      <c r="G687" s="111"/>
      <c r="H687" s="1249">
        <v>20</v>
      </c>
      <c r="I687" s="111" t="s">
        <v>1826</v>
      </c>
      <c r="J687" s="1321" t="s">
        <v>5608</v>
      </c>
      <c r="K687" s="162" t="s">
        <v>5610</v>
      </c>
      <c r="L687" s="162" t="s">
        <v>5609</v>
      </c>
      <c r="M687" s="111">
        <v>31.32</v>
      </c>
      <c r="N687" s="111">
        <v>626.4</v>
      </c>
      <c r="O687" s="111"/>
      <c r="P687" s="111"/>
      <c r="Q687" s="111"/>
      <c r="R687" s="111"/>
      <c r="S687" s="1249">
        <v>10</v>
      </c>
      <c r="T687" s="1250">
        <v>208.79999999999998</v>
      </c>
      <c r="U687" s="1250"/>
      <c r="V687" s="1250"/>
      <c r="W687" s="1251">
        <v>5</v>
      </c>
      <c r="X687" s="1250">
        <v>208.79999999999998</v>
      </c>
      <c r="Y687" s="1250"/>
      <c r="Z687" s="1250"/>
      <c r="AA687" s="1250"/>
      <c r="AB687" s="1250"/>
      <c r="AC687" s="1250"/>
      <c r="AD687" s="1250"/>
      <c r="AE687" s="1249">
        <v>5</v>
      </c>
      <c r="AF687" s="1250">
        <v>208.79999999999998</v>
      </c>
      <c r="AG687" s="111"/>
      <c r="AH687" s="111"/>
      <c r="AI687" s="111"/>
      <c r="AJ687" s="111"/>
      <c r="AK687" s="111"/>
      <c r="AL687" s="111"/>
      <c r="AM687" s="111">
        <v>626.4</v>
      </c>
    </row>
    <row r="688" spans="1:39" ht="15" customHeight="1" x14ac:dyDescent="0.25">
      <c r="A688" s="1409"/>
      <c r="B688" s="1409"/>
      <c r="C688" s="1409"/>
      <c r="D688" s="1409"/>
      <c r="E688" s="1247"/>
      <c r="F688" s="1248" t="s">
        <v>4667</v>
      </c>
      <c r="G688" s="111"/>
      <c r="H688" s="1249">
        <v>20</v>
      </c>
      <c r="I688" s="111" t="s">
        <v>1826</v>
      </c>
      <c r="J688" s="1321" t="s">
        <v>5608</v>
      </c>
      <c r="K688" s="162" t="s">
        <v>5610</v>
      </c>
      <c r="L688" s="162" t="s">
        <v>5609</v>
      </c>
      <c r="M688" s="111">
        <v>31.32</v>
      </c>
      <c r="N688" s="111">
        <v>626.4</v>
      </c>
      <c r="O688" s="111"/>
      <c r="P688" s="111"/>
      <c r="Q688" s="111"/>
      <c r="R688" s="111"/>
      <c r="S688" s="1249">
        <v>10</v>
      </c>
      <c r="T688" s="1250">
        <v>208.79999999999998</v>
      </c>
      <c r="U688" s="1250"/>
      <c r="V688" s="1250"/>
      <c r="W688" s="1251">
        <v>5</v>
      </c>
      <c r="X688" s="1250">
        <v>208.79999999999998</v>
      </c>
      <c r="Y688" s="1250"/>
      <c r="Z688" s="1250"/>
      <c r="AA688" s="1250"/>
      <c r="AB688" s="1250"/>
      <c r="AC688" s="1250"/>
      <c r="AD688" s="1250"/>
      <c r="AE688" s="1249">
        <v>5</v>
      </c>
      <c r="AF688" s="1250">
        <v>208.79999999999998</v>
      </c>
      <c r="AG688" s="111"/>
      <c r="AH688" s="111"/>
      <c r="AI688" s="111"/>
      <c r="AJ688" s="111"/>
      <c r="AK688" s="111"/>
      <c r="AL688" s="111"/>
      <c r="AM688" s="111">
        <v>626.4</v>
      </c>
    </row>
    <row r="689" spans="1:39" ht="15" customHeight="1" x14ac:dyDescent="0.25">
      <c r="A689" s="1409"/>
      <c r="B689" s="1409"/>
      <c r="C689" s="1409"/>
      <c r="D689" s="1409"/>
      <c r="E689" s="1247"/>
      <c r="F689" s="1248" t="s">
        <v>4668</v>
      </c>
      <c r="G689" s="111"/>
      <c r="H689" s="1249">
        <v>20</v>
      </c>
      <c r="I689" s="111" t="s">
        <v>1826</v>
      </c>
      <c r="J689" s="1321" t="s">
        <v>5608</v>
      </c>
      <c r="K689" s="162" t="s">
        <v>5610</v>
      </c>
      <c r="L689" s="162" t="s">
        <v>5609</v>
      </c>
      <c r="M689" s="111">
        <v>31.32</v>
      </c>
      <c r="N689" s="111">
        <v>626.4</v>
      </c>
      <c r="O689" s="111"/>
      <c r="P689" s="111"/>
      <c r="Q689" s="111"/>
      <c r="R689" s="111"/>
      <c r="S689" s="1249">
        <v>10</v>
      </c>
      <c r="T689" s="1250">
        <v>208.79999999999998</v>
      </c>
      <c r="U689" s="1250"/>
      <c r="V689" s="1250"/>
      <c r="W689" s="1251">
        <v>5</v>
      </c>
      <c r="X689" s="1250">
        <v>208.79999999999998</v>
      </c>
      <c r="Y689" s="1250"/>
      <c r="Z689" s="1250"/>
      <c r="AA689" s="1250"/>
      <c r="AB689" s="1250"/>
      <c r="AC689" s="1250"/>
      <c r="AD689" s="1250"/>
      <c r="AE689" s="1249">
        <v>5</v>
      </c>
      <c r="AF689" s="1250">
        <v>208.79999999999998</v>
      </c>
      <c r="AG689" s="111"/>
      <c r="AH689" s="111"/>
      <c r="AI689" s="111"/>
      <c r="AJ689" s="111"/>
      <c r="AK689" s="111"/>
      <c r="AL689" s="111"/>
      <c r="AM689" s="111">
        <v>626.4</v>
      </c>
    </row>
    <row r="690" spans="1:39" ht="15" customHeight="1" x14ac:dyDescent="0.25">
      <c r="A690" s="1409"/>
      <c r="B690" s="1409"/>
      <c r="C690" s="1409"/>
      <c r="D690" s="1409"/>
      <c r="E690" s="1247"/>
      <c r="F690" s="1248" t="s">
        <v>4669</v>
      </c>
      <c r="G690" s="111"/>
      <c r="H690" s="1249">
        <v>20</v>
      </c>
      <c r="I690" s="111" t="s">
        <v>1826</v>
      </c>
      <c r="J690" s="1321" t="s">
        <v>5608</v>
      </c>
      <c r="K690" s="162" t="s">
        <v>5610</v>
      </c>
      <c r="L690" s="162" t="s">
        <v>5609</v>
      </c>
      <c r="M690" s="111">
        <v>31.32</v>
      </c>
      <c r="N690" s="111">
        <v>626.4</v>
      </c>
      <c r="O690" s="111"/>
      <c r="P690" s="111"/>
      <c r="Q690" s="111"/>
      <c r="R690" s="111"/>
      <c r="S690" s="1249">
        <v>10</v>
      </c>
      <c r="T690" s="1250">
        <v>208.79999999999998</v>
      </c>
      <c r="U690" s="1250"/>
      <c r="V690" s="1250"/>
      <c r="W690" s="1251">
        <v>5</v>
      </c>
      <c r="X690" s="1250">
        <v>208.79999999999998</v>
      </c>
      <c r="Y690" s="1250"/>
      <c r="Z690" s="1250"/>
      <c r="AA690" s="1250"/>
      <c r="AB690" s="1250"/>
      <c r="AC690" s="1250"/>
      <c r="AD690" s="1250"/>
      <c r="AE690" s="1249">
        <v>5</v>
      </c>
      <c r="AF690" s="1250">
        <v>208.79999999999998</v>
      </c>
      <c r="AG690" s="111"/>
      <c r="AH690" s="111"/>
      <c r="AI690" s="111"/>
      <c r="AJ690" s="111"/>
      <c r="AK690" s="111"/>
      <c r="AL690" s="111"/>
      <c r="AM690" s="111">
        <v>626.4</v>
      </c>
    </row>
    <row r="691" spans="1:39" ht="15" customHeight="1" x14ac:dyDescent="0.25">
      <c r="A691" s="1409"/>
      <c r="B691" s="1409"/>
      <c r="C691" s="1409"/>
      <c r="D691" s="1409"/>
      <c r="E691" s="1247"/>
      <c r="F691" s="1248" t="s">
        <v>4670</v>
      </c>
      <c r="G691" s="111"/>
      <c r="H691" s="1249">
        <v>20</v>
      </c>
      <c r="I691" s="111" t="s">
        <v>1826</v>
      </c>
      <c r="J691" s="1321" t="s">
        <v>5608</v>
      </c>
      <c r="K691" s="162" t="s">
        <v>5610</v>
      </c>
      <c r="L691" s="162" t="s">
        <v>5609</v>
      </c>
      <c r="M691" s="111">
        <v>31.32</v>
      </c>
      <c r="N691" s="111">
        <v>626.4</v>
      </c>
      <c r="O691" s="111"/>
      <c r="P691" s="111"/>
      <c r="Q691" s="111"/>
      <c r="R691" s="111"/>
      <c r="S691" s="1249">
        <v>10</v>
      </c>
      <c r="T691" s="1250">
        <v>208.79999999999998</v>
      </c>
      <c r="U691" s="1250"/>
      <c r="V691" s="1250"/>
      <c r="W691" s="1251">
        <v>5</v>
      </c>
      <c r="X691" s="1250">
        <v>208.79999999999998</v>
      </c>
      <c r="Y691" s="1250"/>
      <c r="Z691" s="1250"/>
      <c r="AA691" s="1250"/>
      <c r="AB691" s="1250"/>
      <c r="AC691" s="1250"/>
      <c r="AD691" s="1250"/>
      <c r="AE691" s="1249">
        <v>5</v>
      </c>
      <c r="AF691" s="1250">
        <v>208.79999999999998</v>
      </c>
      <c r="AG691" s="111"/>
      <c r="AH691" s="111"/>
      <c r="AI691" s="111"/>
      <c r="AJ691" s="111"/>
      <c r="AK691" s="111"/>
      <c r="AL691" s="111"/>
      <c r="AM691" s="111">
        <v>626.4</v>
      </c>
    </row>
    <row r="692" spans="1:39" ht="15" customHeight="1" x14ac:dyDescent="0.25">
      <c r="A692" s="1409"/>
      <c r="B692" s="1409"/>
      <c r="C692" s="1409"/>
      <c r="D692" s="1409"/>
      <c r="E692" s="1247"/>
      <c r="F692" s="1248" t="s">
        <v>4671</v>
      </c>
      <c r="G692" s="111"/>
      <c r="H692" s="1249">
        <v>20</v>
      </c>
      <c r="I692" s="111" t="s">
        <v>1826</v>
      </c>
      <c r="J692" s="1321" t="s">
        <v>5608</v>
      </c>
      <c r="K692" s="162" t="s">
        <v>5610</v>
      </c>
      <c r="L692" s="162" t="s">
        <v>5609</v>
      </c>
      <c r="M692" s="111">
        <v>31.32</v>
      </c>
      <c r="N692" s="111">
        <v>626.4</v>
      </c>
      <c r="O692" s="111"/>
      <c r="P692" s="111"/>
      <c r="Q692" s="111"/>
      <c r="R692" s="111"/>
      <c r="S692" s="1249">
        <v>10</v>
      </c>
      <c r="T692" s="1250">
        <v>208.79999999999998</v>
      </c>
      <c r="U692" s="1250"/>
      <c r="V692" s="1250"/>
      <c r="W692" s="1251">
        <v>5</v>
      </c>
      <c r="X692" s="1250">
        <v>208.79999999999998</v>
      </c>
      <c r="Y692" s="1250"/>
      <c r="Z692" s="1250"/>
      <c r="AA692" s="1250"/>
      <c r="AB692" s="1250"/>
      <c r="AC692" s="1250"/>
      <c r="AD692" s="1250"/>
      <c r="AE692" s="1249">
        <v>5</v>
      </c>
      <c r="AF692" s="1250">
        <v>208.79999999999998</v>
      </c>
      <c r="AG692" s="111"/>
      <c r="AH692" s="111"/>
      <c r="AI692" s="111"/>
      <c r="AJ692" s="111"/>
      <c r="AK692" s="111"/>
      <c r="AL692" s="111"/>
      <c r="AM692" s="111">
        <v>626.4</v>
      </c>
    </row>
    <row r="693" spans="1:39" ht="15" customHeight="1" x14ac:dyDescent="0.25">
      <c r="A693" s="1409"/>
      <c r="B693" s="1409"/>
      <c r="C693" s="1409"/>
      <c r="D693" s="1409"/>
      <c r="E693" s="1247"/>
      <c r="F693" s="1248" t="s">
        <v>4672</v>
      </c>
      <c r="G693" s="111"/>
      <c r="H693" s="1249">
        <v>4</v>
      </c>
      <c r="I693" s="111" t="s">
        <v>1721</v>
      </c>
      <c r="J693" s="1321" t="s">
        <v>5608</v>
      </c>
      <c r="K693" s="162" t="s">
        <v>5610</v>
      </c>
      <c r="L693" s="162" t="s">
        <v>5609</v>
      </c>
      <c r="M693" s="111">
        <v>248.6</v>
      </c>
      <c r="N693" s="111">
        <v>994.4</v>
      </c>
      <c r="O693" s="111"/>
      <c r="P693" s="111"/>
      <c r="Q693" s="111"/>
      <c r="R693" s="111"/>
      <c r="S693" s="1249">
        <v>2</v>
      </c>
      <c r="T693" s="1250">
        <v>331.46666666666664</v>
      </c>
      <c r="U693" s="1250"/>
      <c r="V693" s="1250"/>
      <c r="W693" s="1251">
        <v>1</v>
      </c>
      <c r="X693" s="1250">
        <v>331.46666666666664</v>
      </c>
      <c r="Y693" s="1250"/>
      <c r="Z693" s="1250"/>
      <c r="AA693" s="1250"/>
      <c r="AB693" s="1250"/>
      <c r="AC693" s="1250"/>
      <c r="AD693" s="1250"/>
      <c r="AE693" s="1249">
        <v>1</v>
      </c>
      <c r="AF693" s="1250">
        <v>331.46666666666664</v>
      </c>
      <c r="AG693" s="111"/>
      <c r="AH693" s="111"/>
      <c r="AI693" s="111"/>
      <c r="AJ693" s="111"/>
      <c r="AK693" s="111"/>
      <c r="AL693" s="111"/>
      <c r="AM693" s="111">
        <v>994.4</v>
      </c>
    </row>
    <row r="694" spans="1:39" ht="15" customHeight="1" x14ac:dyDescent="0.25">
      <c r="A694" s="1409"/>
      <c r="B694" s="1409"/>
      <c r="C694" s="1409"/>
      <c r="D694" s="1409"/>
      <c r="E694" s="1247"/>
      <c r="F694" s="1248" t="s">
        <v>4673</v>
      </c>
      <c r="G694" s="111"/>
      <c r="H694" s="1249">
        <v>10</v>
      </c>
      <c r="I694" s="111" t="s">
        <v>1721</v>
      </c>
      <c r="J694" s="1321" t="s">
        <v>5608</v>
      </c>
      <c r="K694" s="162" t="s">
        <v>5610</v>
      </c>
      <c r="L694" s="162" t="s">
        <v>5609</v>
      </c>
      <c r="M694" s="111">
        <v>350</v>
      </c>
      <c r="N694" s="111">
        <v>3500</v>
      </c>
      <c r="O694" s="111"/>
      <c r="P694" s="111"/>
      <c r="Q694" s="111"/>
      <c r="R694" s="111"/>
      <c r="S694" s="1249">
        <v>5</v>
      </c>
      <c r="T694" s="1250">
        <v>1166.6666666666667</v>
      </c>
      <c r="U694" s="1250"/>
      <c r="V694" s="1250"/>
      <c r="W694" s="1251">
        <v>5</v>
      </c>
      <c r="X694" s="1250">
        <v>1166.6666666666667</v>
      </c>
      <c r="Y694" s="1250"/>
      <c r="Z694" s="1250"/>
      <c r="AA694" s="1250"/>
      <c r="AB694" s="1250"/>
      <c r="AC694" s="1250"/>
      <c r="AD694" s="1250"/>
      <c r="AE694" s="1249">
        <v>0</v>
      </c>
      <c r="AF694" s="1250">
        <v>1166.6666666666667</v>
      </c>
      <c r="AG694" s="111"/>
      <c r="AH694" s="111"/>
      <c r="AI694" s="111"/>
      <c r="AJ694" s="111"/>
      <c r="AK694" s="111"/>
      <c r="AL694" s="111"/>
      <c r="AM694" s="111">
        <v>3500</v>
      </c>
    </row>
    <row r="695" spans="1:39" ht="15" customHeight="1" x14ac:dyDescent="0.25">
      <c r="A695" s="1409"/>
      <c r="B695" s="1409"/>
      <c r="C695" s="1409"/>
      <c r="D695" s="1409"/>
      <c r="E695" s="1247"/>
      <c r="F695" s="1248" t="s">
        <v>349</v>
      </c>
      <c r="G695" s="111"/>
      <c r="H695" s="1249">
        <v>10</v>
      </c>
      <c r="I695" s="111" t="s">
        <v>4674</v>
      </c>
      <c r="J695" s="1321" t="s">
        <v>5608</v>
      </c>
      <c r="K695" s="162" t="s">
        <v>5610</v>
      </c>
      <c r="L695" s="162" t="s">
        <v>5609</v>
      </c>
      <c r="M695" s="111">
        <v>80.64</v>
      </c>
      <c r="N695" s="111">
        <v>806.4</v>
      </c>
      <c r="O695" s="111"/>
      <c r="P695" s="111"/>
      <c r="Q695" s="111"/>
      <c r="R695" s="111"/>
      <c r="S695" s="1249">
        <v>5</v>
      </c>
      <c r="T695" s="1250">
        <v>268.8</v>
      </c>
      <c r="U695" s="1250"/>
      <c r="V695" s="1250"/>
      <c r="W695" s="1251">
        <v>5</v>
      </c>
      <c r="X695" s="1250">
        <v>268.8</v>
      </c>
      <c r="Y695" s="1250"/>
      <c r="Z695" s="1250"/>
      <c r="AA695" s="1250"/>
      <c r="AB695" s="1250"/>
      <c r="AC695" s="1250"/>
      <c r="AD695" s="1250"/>
      <c r="AE695" s="1249">
        <v>0</v>
      </c>
      <c r="AF695" s="1250">
        <v>268.8</v>
      </c>
      <c r="AG695" s="111"/>
      <c r="AH695" s="111"/>
      <c r="AI695" s="111"/>
      <c r="AJ695" s="111"/>
      <c r="AK695" s="111"/>
      <c r="AL695" s="111"/>
      <c r="AM695" s="111">
        <v>806.4</v>
      </c>
    </row>
    <row r="696" spans="1:39" ht="15" customHeight="1" x14ac:dyDescent="0.25">
      <c r="A696" s="1409"/>
      <c r="B696" s="1409"/>
      <c r="C696" s="1409"/>
      <c r="D696" s="1409"/>
      <c r="E696" s="1247"/>
      <c r="F696" s="1248" t="s">
        <v>4675</v>
      </c>
      <c r="G696" s="111"/>
      <c r="H696" s="1249">
        <v>5</v>
      </c>
      <c r="I696" s="111" t="s">
        <v>4674</v>
      </c>
      <c r="J696" s="1321" t="s">
        <v>5608</v>
      </c>
      <c r="K696" s="162" t="s">
        <v>5610</v>
      </c>
      <c r="L696" s="162" t="s">
        <v>5609</v>
      </c>
      <c r="M696" s="111">
        <v>58.65</v>
      </c>
      <c r="N696" s="111">
        <v>293.25</v>
      </c>
      <c r="O696" s="111"/>
      <c r="P696" s="111"/>
      <c r="Q696" s="111"/>
      <c r="R696" s="111"/>
      <c r="S696" s="1249">
        <v>2</v>
      </c>
      <c r="T696" s="1250">
        <v>97.75</v>
      </c>
      <c r="U696" s="1250"/>
      <c r="V696" s="1250"/>
      <c r="W696" s="1251">
        <v>2</v>
      </c>
      <c r="X696" s="1250">
        <v>97.75</v>
      </c>
      <c r="Y696" s="1250"/>
      <c r="Z696" s="1250"/>
      <c r="AA696" s="1250"/>
      <c r="AB696" s="1250"/>
      <c r="AC696" s="1250"/>
      <c r="AD696" s="1250"/>
      <c r="AE696" s="1249">
        <v>1</v>
      </c>
      <c r="AF696" s="1250">
        <v>97.75</v>
      </c>
      <c r="AG696" s="111"/>
      <c r="AH696" s="111"/>
      <c r="AI696" s="111"/>
      <c r="AJ696" s="111"/>
      <c r="AK696" s="111"/>
      <c r="AL696" s="111"/>
      <c r="AM696" s="111">
        <v>293.25</v>
      </c>
    </row>
    <row r="697" spans="1:39" ht="15" customHeight="1" x14ac:dyDescent="0.25">
      <c r="A697" s="1409"/>
      <c r="B697" s="1409"/>
      <c r="C697" s="1409"/>
      <c r="D697" s="1409"/>
      <c r="E697" s="1247"/>
      <c r="F697" s="1248" t="s">
        <v>4676</v>
      </c>
      <c r="G697" s="111"/>
      <c r="H697" s="1249">
        <v>2</v>
      </c>
      <c r="I697" s="111" t="s">
        <v>1721</v>
      </c>
      <c r="J697" s="1321" t="s">
        <v>5608</v>
      </c>
      <c r="K697" s="162" t="s">
        <v>5610</v>
      </c>
      <c r="L697" s="162" t="s">
        <v>5609</v>
      </c>
      <c r="M697" s="111">
        <v>39.96</v>
      </c>
      <c r="N697" s="111">
        <v>79.92</v>
      </c>
      <c r="O697" s="111"/>
      <c r="P697" s="111"/>
      <c r="Q697" s="111"/>
      <c r="R697" s="111"/>
      <c r="S697" s="1249">
        <v>2</v>
      </c>
      <c r="T697" s="1250">
        <v>26.64</v>
      </c>
      <c r="U697" s="1250"/>
      <c r="V697" s="1250"/>
      <c r="W697" s="1251">
        <v>0</v>
      </c>
      <c r="X697" s="1250">
        <v>26.64</v>
      </c>
      <c r="Y697" s="1250"/>
      <c r="Z697" s="1250"/>
      <c r="AA697" s="1250"/>
      <c r="AB697" s="1250"/>
      <c r="AC697" s="1250"/>
      <c r="AD697" s="1250"/>
      <c r="AE697" s="1249">
        <v>0</v>
      </c>
      <c r="AF697" s="1250">
        <v>26.64</v>
      </c>
      <c r="AG697" s="111"/>
      <c r="AH697" s="111"/>
      <c r="AI697" s="111"/>
      <c r="AJ697" s="111"/>
      <c r="AK697" s="111"/>
      <c r="AL697" s="111"/>
      <c r="AM697" s="111">
        <v>79.92</v>
      </c>
    </row>
    <row r="698" spans="1:39" ht="15" customHeight="1" x14ac:dyDescent="0.25">
      <c r="A698" s="1409"/>
      <c r="B698" s="1409"/>
      <c r="C698" s="1409"/>
      <c r="D698" s="1409"/>
      <c r="E698" s="1247"/>
      <c r="F698" s="1248" t="s">
        <v>4677</v>
      </c>
      <c r="G698" s="111"/>
      <c r="H698" s="1249">
        <v>2</v>
      </c>
      <c r="I698" s="111" t="s">
        <v>1721</v>
      </c>
      <c r="J698" s="1321" t="s">
        <v>5608</v>
      </c>
      <c r="K698" s="162" t="s">
        <v>5610</v>
      </c>
      <c r="L698" s="162" t="s">
        <v>5609</v>
      </c>
      <c r="M698" s="111">
        <v>395.51</v>
      </c>
      <c r="N698" s="111">
        <v>791.02</v>
      </c>
      <c r="O698" s="111"/>
      <c r="P698" s="111"/>
      <c r="Q698" s="111"/>
      <c r="R698" s="111"/>
      <c r="S698" s="1249">
        <v>2</v>
      </c>
      <c r="T698" s="1250">
        <v>263.67333333333335</v>
      </c>
      <c r="U698" s="1250"/>
      <c r="V698" s="1250"/>
      <c r="W698" s="1251">
        <v>0</v>
      </c>
      <c r="X698" s="1250">
        <v>263.67333333333335</v>
      </c>
      <c r="Y698" s="1250"/>
      <c r="Z698" s="1250"/>
      <c r="AA698" s="1250"/>
      <c r="AB698" s="1250"/>
      <c r="AC698" s="1250"/>
      <c r="AD698" s="1250"/>
      <c r="AE698" s="1249">
        <v>0</v>
      </c>
      <c r="AF698" s="1250">
        <v>263.67333333333335</v>
      </c>
      <c r="AG698" s="111"/>
      <c r="AH698" s="111"/>
      <c r="AI698" s="111"/>
      <c r="AJ698" s="111"/>
      <c r="AK698" s="111"/>
      <c r="AL698" s="111"/>
      <c r="AM698" s="111">
        <v>791.02</v>
      </c>
    </row>
    <row r="699" spans="1:39" ht="15" customHeight="1" x14ac:dyDescent="0.25">
      <c r="A699" s="1409"/>
      <c r="B699" s="1409"/>
      <c r="C699" s="1409"/>
      <c r="D699" s="1409"/>
      <c r="E699" s="1247"/>
      <c r="F699" s="1248" t="s">
        <v>398</v>
      </c>
      <c r="G699" s="111"/>
      <c r="H699" s="1249">
        <v>2</v>
      </c>
      <c r="I699" s="111" t="s">
        <v>1721</v>
      </c>
      <c r="J699" s="1321" t="s">
        <v>5608</v>
      </c>
      <c r="K699" s="162" t="s">
        <v>5610</v>
      </c>
      <c r="L699" s="162" t="s">
        <v>5609</v>
      </c>
      <c r="M699" s="111">
        <v>55.12</v>
      </c>
      <c r="N699" s="111">
        <v>110.24</v>
      </c>
      <c r="O699" s="111"/>
      <c r="P699" s="111"/>
      <c r="Q699" s="111"/>
      <c r="R699" s="111"/>
      <c r="S699" s="1249">
        <v>2</v>
      </c>
      <c r="T699" s="1250">
        <v>36.746666666666663</v>
      </c>
      <c r="U699" s="1250"/>
      <c r="V699" s="1250"/>
      <c r="W699" s="1251">
        <v>0</v>
      </c>
      <c r="X699" s="1250">
        <v>36.746666666666663</v>
      </c>
      <c r="Y699" s="1250"/>
      <c r="Z699" s="1250"/>
      <c r="AA699" s="1250"/>
      <c r="AB699" s="1250"/>
      <c r="AC699" s="1250"/>
      <c r="AD699" s="1250"/>
      <c r="AE699" s="1249">
        <v>0</v>
      </c>
      <c r="AF699" s="1250">
        <v>36.746666666666663</v>
      </c>
      <c r="AG699" s="111"/>
      <c r="AH699" s="111"/>
      <c r="AI699" s="111"/>
      <c r="AJ699" s="111"/>
      <c r="AK699" s="111"/>
      <c r="AL699" s="111"/>
      <c r="AM699" s="111">
        <v>110.24</v>
      </c>
    </row>
    <row r="700" spans="1:39" ht="15" customHeight="1" x14ac:dyDescent="0.25">
      <c r="A700" s="1409"/>
      <c r="B700" s="1409"/>
      <c r="C700" s="1409"/>
      <c r="D700" s="1409"/>
      <c r="E700" s="1247"/>
      <c r="F700" s="1248" t="s">
        <v>4678</v>
      </c>
      <c r="G700" s="111"/>
      <c r="H700" s="1249">
        <v>2</v>
      </c>
      <c r="I700" s="111" t="s">
        <v>2100</v>
      </c>
      <c r="J700" s="1321" t="s">
        <v>5608</v>
      </c>
      <c r="K700" s="162" t="s">
        <v>5610</v>
      </c>
      <c r="L700" s="162" t="s">
        <v>5609</v>
      </c>
      <c r="M700" s="111">
        <v>220.49</v>
      </c>
      <c r="N700" s="111">
        <v>440.98</v>
      </c>
      <c r="O700" s="111"/>
      <c r="P700" s="111"/>
      <c r="Q700" s="111"/>
      <c r="R700" s="111"/>
      <c r="S700" s="1249">
        <v>2</v>
      </c>
      <c r="T700" s="1250">
        <v>146.99333333333334</v>
      </c>
      <c r="U700" s="1250"/>
      <c r="V700" s="1250"/>
      <c r="W700" s="1251">
        <v>0</v>
      </c>
      <c r="X700" s="1250">
        <v>146.99333333333334</v>
      </c>
      <c r="Y700" s="1250"/>
      <c r="Z700" s="1250"/>
      <c r="AA700" s="1250"/>
      <c r="AB700" s="1250"/>
      <c r="AC700" s="1250"/>
      <c r="AD700" s="1250"/>
      <c r="AE700" s="1249">
        <v>0</v>
      </c>
      <c r="AF700" s="1250">
        <v>146.99333333333334</v>
      </c>
      <c r="AG700" s="111"/>
      <c r="AH700" s="111"/>
      <c r="AI700" s="111"/>
      <c r="AJ700" s="111"/>
      <c r="AK700" s="111"/>
      <c r="AL700" s="111"/>
      <c r="AM700" s="111">
        <v>440.98</v>
      </c>
    </row>
    <row r="701" spans="1:39" ht="15" customHeight="1" x14ac:dyDescent="0.25">
      <c r="A701" s="1409"/>
      <c r="B701" s="1409"/>
      <c r="C701" s="1409"/>
      <c r="D701" s="1409"/>
      <c r="E701" s="1247"/>
      <c r="F701" s="1248" t="s">
        <v>4679</v>
      </c>
      <c r="G701" s="111"/>
      <c r="H701" s="1249">
        <v>12</v>
      </c>
      <c r="I701" s="111" t="s">
        <v>1736</v>
      </c>
      <c r="J701" s="1321" t="s">
        <v>5608</v>
      </c>
      <c r="K701" s="162" t="s">
        <v>5610</v>
      </c>
      <c r="L701" s="162" t="s">
        <v>5609</v>
      </c>
      <c r="M701" s="111">
        <v>44.1</v>
      </c>
      <c r="N701" s="111">
        <v>529.20000000000005</v>
      </c>
      <c r="O701" s="111"/>
      <c r="P701" s="111"/>
      <c r="Q701" s="111"/>
      <c r="R701" s="111"/>
      <c r="S701" s="1249">
        <v>5</v>
      </c>
      <c r="T701" s="1250">
        <v>176.4</v>
      </c>
      <c r="U701" s="1250"/>
      <c r="V701" s="1250"/>
      <c r="W701" s="1251">
        <v>5</v>
      </c>
      <c r="X701" s="1250">
        <v>176.4</v>
      </c>
      <c r="Y701" s="1250"/>
      <c r="Z701" s="1250"/>
      <c r="AA701" s="1250"/>
      <c r="AB701" s="1250"/>
      <c r="AC701" s="1250"/>
      <c r="AD701" s="1250"/>
      <c r="AE701" s="1249">
        <v>2</v>
      </c>
      <c r="AF701" s="1250">
        <v>176.4</v>
      </c>
      <c r="AG701" s="111"/>
      <c r="AH701" s="111"/>
      <c r="AI701" s="111"/>
      <c r="AJ701" s="111"/>
      <c r="AK701" s="111"/>
      <c r="AL701" s="111"/>
      <c r="AM701" s="111">
        <v>529.20000000000005</v>
      </c>
    </row>
    <row r="702" spans="1:39" ht="15" customHeight="1" x14ac:dyDescent="0.25">
      <c r="A702" s="1409"/>
      <c r="B702" s="1409"/>
      <c r="C702" s="1409"/>
      <c r="D702" s="1409"/>
      <c r="E702" s="1247"/>
      <c r="F702" s="1248" t="s">
        <v>4680</v>
      </c>
      <c r="G702" s="111"/>
      <c r="H702" s="1249">
        <v>2</v>
      </c>
      <c r="I702" s="111" t="s">
        <v>1721</v>
      </c>
      <c r="J702" s="1321" t="s">
        <v>5608</v>
      </c>
      <c r="K702" s="162" t="s">
        <v>5610</v>
      </c>
      <c r="L702" s="162" t="s">
        <v>5609</v>
      </c>
      <c r="M702" s="111">
        <v>117.14</v>
      </c>
      <c r="N702" s="111">
        <v>234.28</v>
      </c>
      <c r="O702" s="111"/>
      <c r="P702" s="111"/>
      <c r="Q702" s="111"/>
      <c r="R702" s="111"/>
      <c r="S702" s="1249">
        <v>2</v>
      </c>
      <c r="T702" s="1250">
        <v>78.093333333333334</v>
      </c>
      <c r="U702" s="1250"/>
      <c r="V702" s="1250"/>
      <c r="W702" s="1251">
        <v>0</v>
      </c>
      <c r="X702" s="1250">
        <v>78.093333333333334</v>
      </c>
      <c r="Y702" s="1250"/>
      <c r="Z702" s="1250"/>
      <c r="AA702" s="1250"/>
      <c r="AB702" s="1250"/>
      <c r="AC702" s="1250"/>
      <c r="AD702" s="1250"/>
      <c r="AE702" s="1249">
        <v>0</v>
      </c>
      <c r="AF702" s="1250">
        <v>78.093333333333334</v>
      </c>
      <c r="AG702" s="111"/>
      <c r="AH702" s="111"/>
      <c r="AI702" s="111"/>
      <c r="AJ702" s="111"/>
      <c r="AK702" s="111"/>
      <c r="AL702" s="111"/>
      <c r="AM702" s="111">
        <v>234.28</v>
      </c>
    </row>
    <row r="703" spans="1:39" ht="15" customHeight="1" x14ac:dyDescent="0.25">
      <c r="A703" s="1409"/>
      <c r="B703" s="1409"/>
      <c r="C703" s="1409"/>
      <c r="D703" s="1409"/>
      <c r="E703" s="1247"/>
      <c r="F703" s="1248" t="s">
        <v>2701</v>
      </c>
      <c r="G703" s="111"/>
      <c r="H703" s="1249">
        <v>9</v>
      </c>
      <c r="I703" s="111" t="s">
        <v>1721</v>
      </c>
      <c r="J703" s="1321" t="s">
        <v>5608</v>
      </c>
      <c r="K703" s="162" t="s">
        <v>5610</v>
      </c>
      <c r="L703" s="162" t="s">
        <v>5609</v>
      </c>
      <c r="M703" s="111">
        <v>26.18</v>
      </c>
      <c r="N703" s="111">
        <v>235.62</v>
      </c>
      <c r="O703" s="111"/>
      <c r="P703" s="111"/>
      <c r="Q703" s="111"/>
      <c r="R703" s="111"/>
      <c r="S703" s="1249">
        <v>5</v>
      </c>
      <c r="T703" s="1250">
        <v>78.540000000000006</v>
      </c>
      <c r="U703" s="1250"/>
      <c r="V703" s="1250"/>
      <c r="W703" s="1251">
        <v>2</v>
      </c>
      <c r="X703" s="1250">
        <v>78.540000000000006</v>
      </c>
      <c r="Y703" s="1250"/>
      <c r="Z703" s="1250"/>
      <c r="AA703" s="1250"/>
      <c r="AB703" s="1250"/>
      <c r="AC703" s="1250"/>
      <c r="AD703" s="1250"/>
      <c r="AE703" s="1249">
        <v>2</v>
      </c>
      <c r="AF703" s="1250">
        <v>78.540000000000006</v>
      </c>
      <c r="AG703" s="111"/>
      <c r="AH703" s="111"/>
      <c r="AI703" s="111"/>
      <c r="AJ703" s="111"/>
      <c r="AK703" s="111"/>
      <c r="AL703" s="111"/>
      <c r="AM703" s="111">
        <v>235.62</v>
      </c>
    </row>
    <row r="704" spans="1:39" ht="15" customHeight="1" x14ac:dyDescent="0.25">
      <c r="A704" s="1409"/>
      <c r="B704" s="1409"/>
      <c r="C704" s="1409"/>
      <c r="D704" s="1409"/>
      <c r="E704" s="1247"/>
      <c r="F704" s="1248" t="s">
        <v>4681</v>
      </c>
      <c r="G704" s="111"/>
      <c r="H704" s="1249">
        <v>15</v>
      </c>
      <c r="I704" s="111" t="s">
        <v>4674</v>
      </c>
      <c r="J704" s="1321" t="s">
        <v>5608</v>
      </c>
      <c r="K704" s="162" t="s">
        <v>5610</v>
      </c>
      <c r="L704" s="162" t="s">
        <v>5609</v>
      </c>
      <c r="M704" s="111">
        <v>268.73</v>
      </c>
      <c r="N704" s="111">
        <v>4030.9500000000003</v>
      </c>
      <c r="O704" s="111"/>
      <c r="P704" s="111"/>
      <c r="Q704" s="111"/>
      <c r="R704" s="111"/>
      <c r="S704" s="1249">
        <v>5</v>
      </c>
      <c r="T704" s="1250">
        <v>1343.65</v>
      </c>
      <c r="U704" s="1250"/>
      <c r="V704" s="1250"/>
      <c r="W704" s="1251">
        <v>5</v>
      </c>
      <c r="X704" s="1250">
        <v>1343.65</v>
      </c>
      <c r="Y704" s="1250"/>
      <c r="Z704" s="1250"/>
      <c r="AA704" s="1250"/>
      <c r="AB704" s="1250"/>
      <c r="AC704" s="1250"/>
      <c r="AD704" s="1250"/>
      <c r="AE704" s="1249">
        <v>5</v>
      </c>
      <c r="AF704" s="1250">
        <v>1343.65</v>
      </c>
      <c r="AG704" s="111"/>
      <c r="AH704" s="111"/>
      <c r="AI704" s="111"/>
      <c r="AJ704" s="111"/>
      <c r="AK704" s="111"/>
      <c r="AL704" s="111"/>
      <c r="AM704" s="111">
        <v>4030.9500000000003</v>
      </c>
    </row>
    <row r="705" spans="1:39" ht="15" customHeight="1" x14ac:dyDescent="0.25">
      <c r="A705" s="1409"/>
      <c r="B705" s="1409"/>
      <c r="C705" s="1409"/>
      <c r="D705" s="1409"/>
      <c r="E705" s="1247"/>
      <c r="F705" s="1248" t="s">
        <v>4682</v>
      </c>
      <c r="G705" s="111"/>
      <c r="H705" s="1249">
        <v>20</v>
      </c>
      <c r="I705" s="111" t="s">
        <v>4674</v>
      </c>
      <c r="J705" s="1321" t="s">
        <v>5608</v>
      </c>
      <c r="K705" s="162" t="s">
        <v>5610</v>
      </c>
      <c r="L705" s="162" t="s">
        <v>5609</v>
      </c>
      <c r="M705" s="111">
        <v>41.34</v>
      </c>
      <c r="N705" s="111">
        <v>826.80000000000007</v>
      </c>
      <c r="O705" s="111"/>
      <c r="P705" s="111"/>
      <c r="Q705" s="111"/>
      <c r="R705" s="111"/>
      <c r="S705" s="1249">
        <v>10</v>
      </c>
      <c r="T705" s="1250">
        <v>275.60000000000002</v>
      </c>
      <c r="U705" s="1250"/>
      <c r="V705" s="1250"/>
      <c r="W705" s="1251">
        <v>5</v>
      </c>
      <c r="X705" s="1250">
        <v>275.60000000000002</v>
      </c>
      <c r="Y705" s="1250"/>
      <c r="Z705" s="1250"/>
      <c r="AA705" s="1250"/>
      <c r="AB705" s="1250"/>
      <c r="AC705" s="1250"/>
      <c r="AD705" s="1250"/>
      <c r="AE705" s="1249">
        <v>5</v>
      </c>
      <c r="AF705" s="1250">
        <v>275.60000000000002</v>
      </c>
      <c r="AG705" s="111"/>
      <c r="AH705" s="111"/>
      <c r="AI705" s="111"/>
      <c r="AJ705" s="111"/>
      <c r="AK705" s="111"/>
      <c r="AL705" s="111"/>
      <c r="AM705" s="111">
        <v>826.80000000000007</v>
      </c>
    </row>
    <row r="706" spans="1:39" ht="15" customHeight="1" x14ac:dyDescent="0.25">
      <c r="A706" s="1409"/>
      <c r="B706" s="1409"/>
      <c r="C706" s="1409"/>
      <c r="D706" s="1409"/>
      <c r="E706" s="1247"/>
      <c r="F706" s="1248" t="s">
        <v>2702</v>
      </c>
      <c r="G706" s="111"/>
      <c r="H706" s="1249">
        <v>10</v>
      </c>
      <c r="I706" s="111" t="s">
        <v>1997</v>
      </c>
      <c r="J706" s="1321" t="s">
        <v>5608</v>
      </c>
      <c r="K706" s="162" t="s">
        <v>5610</v>
      </c>
      <c r="L706" s="162" t="s">
        <v>5609</v>
      </c>
      <c r="M706" s="111">
        <v>16.54</v>
      </c>
      <c r="N706" s="111">
        <v>165.39999999999998</v>
      </c>
      <c r="O706" s="111"/>
      <c r="P706" s="111"/>
      <c r="Q706" s="111"/>
      <c r="R706" s="111"/>
      <c r="S706" s="1249">
        <v>5</v>
      </c>
      <c r="T706" s="1250">
        <v>55.133333333333326</v>
      </c>
      <c r="U706" s="1250"/>
      <c r="V706" s="1250"/>
      <c r="W706" s="1251">
        <v>5</v>
      </c>
      <c r="X706" s="1250">
        <v>55.133333333333326</v>
      </c>
      <c r="Y706" s="1250"/>
      <c r="Z706" s="1250"/>
      <c r="AA706" s="1250"/>
      <c r="AB706" s="1250"/>
      <c r="AC706" s="1250"/>
      <c r="AD706" s="1250"/>
      <c r="AE706" s="1249">
        <v>0</v>
      </c>
      <c r="AF706" s="1250">
        <v>55.133333333333326</v>
      </c>
      <c r="AG706" s="111"/>
      <c r="AH706" s="111"/>
      <c r="AI706" s="111"/>
      <c r="AJ706" s="111"/>
      <c r="AK706" s="111"/>
      <c r="AL706" s="111"/>
      <c r="AM706" s="111">
        <v>165.39999999999998</v>
      </c>
    </row>
    <row r="707" spans="1:39" ht="15" customHeight="1" x14ac:dyDescent="0.25">
      <c r="A707" s="1409"/>
      <c r="B707" s="1409"/>
      <c r="C707" s="1409"/>
      <c r="D707" s="1409"/>
      <c r="E707" s="1247"/>
      <c r="F707" s="1248" t="s">
        <v>4683</v>
      </c>
      <c r="G707" s="111"/>
      <c r="H707" s="1249">
        <v>2</v>
      </c>
      <c r="I707" s="111" t="s">
        <v>1997</v>
      </c>
      <c r="J707" s="1321" t="s">
        <v>5608</v>
      </c>
      <c r="K707" s="162" t="s">
        <v>5610</v>
      </c>
      <c r="L707" s="162" t="s">
        <v>5609</v>
      </c>
      <c r="M707" s="111">
        <v>203.96</v>
      </c>
      <c r="N707" s="111">
        <v>407.92</v>
      </c>
      <c r="O707" s="111"/>
      <c r="P707" s="111"/>
      <c r="Q707" s="111"/>
      <c r="R707" s="111"/>
      <c r="S707" s="1249">
        <v>2</v>
      </c>
      <c r="T707" s="1250">
        <v>135.97333333333333</v>
      </c>
      <c r="U707" s="1250"/>
      <c r="V707" s="1250"/>
      <c r="W707" s="1251">
        <v>0</v>
      </c>
      <c r="X707" s="1250">
        <v>135.97333333333333</v>
      </c>
      <c r="Y707" s="1250"/>
      <c r="Z707" s="1250"/>
      <c r="AA707" s="1250"/>
      <c r="AB707" s="1250"/>
      <c r="AC707" s="1250"/>
      <c r="AD707" s="1250"/>
      <c r="AE707" s="1249">
        <v>0</v>
      </c>
      <c r="AF707" s="1250">
        <v>135.97333333333333</v>
      </c>
      <c r="AG707" s="111"/>
      <c r="AH707" s="111"/>
      <c r="AI707" s="111"/>
      <c r="AJ707" s="111"/>
      <c r="AK707" s="111"/>
      <c r="AL707" s="111"/>
      <c r="AM707" s="111">
        <v>407.92</v>
      </c>
    </row>
    <row r="708" spans="1:39" ht="15" customHeight="1" x14ac:dyDescent="0.25">
      <c r="A708" s="1409"/>
      <c r="B708" s="1409"/>
      <c r="C708" s="1409"/>
      <c r="D708" s="1409"/>
      <c r="E708" s="1247"/>
      <c r="F708" s="1248" t="s">
        <v>4684</v>
      </c>
      <c r="G708" s="111"/>
      <c r="H708" s="1249">
        <v>2</v>
      </c>
      <c r="I708" s="111" t="s">
        <v>1722</v>
      </c>
      <c r="J708" s="1321" t="s">
        <v>5608</v>
      </c>
      <c r="K708" s="162" t="s">
        <v>5610</v>
      </c>
      <c r="L708" s="162" t="s">
        <v>5609</v>
      </c>
      <c r="M708" s="111">
        <v>454.77</v>
      </c>
      <c r="N708" s="111">
        <v>909.54</v>
      </c>
      <c r="O708" s="111"/>
      <c r="P708" s="111"/>
      <c r="Q708" s="111"/>
      <c r="R708" s="111"/>
      <c r="S708" s="1249">
        <v>2</v>
      </c>
      <c r="T708" s="1250">
        <v>303.18</v>
      </c>
      <c r="U708" s="1250"/>
      <c r="V708" s="1250"/>
      <c r="W708" s="1251">
        <v>0</v>
      </c>
      <c r="X708" s="1250">
        <v>303.18</v>
      </c>
      <c r="Y708" s="1250"/>
      <c r="Z708" s="1250"/>
      <c r="AA708" s="1250"/>
      <c r="AB708" s="1250"/>
      <c r="AC708" s="1250"/>
      <c r="AD708" s="1250"/>
      <c r="AE708" s="1249">
        <v>0</v>
      </c>
      <c r="AF708" s="1250">
        <v>303.18</v>
      </c>
      <c r="AG708" s="111"/>
      <c r="AH708" s="111"/>
      <c r="AI708" s="111"/>
      <c r="AJ708" s="111"/>
      <c r="AK708" s="111"/>
      <c r="AL708" s="111"/>
      <c r="AM708" s="111">
        <v>909.54</v>
      </c>
    </row>
    <row r="709" spans="1:39" ht="15" customHeight="1" x14ac:dyDescent="0.25">
      <c r="A709" s="1409"/>
      <c r="B709" s="1409"/>
      <c r="C709" s="1409"/>
      <c r="D709" s="1409"/>
      <c r="E709" s="1247"/>
      <c r="F709" s="1248" t="s">
        <v>4685</v>
      </c>
      <c r="G709" s="111"/>
      <c r="H709" s="1249">
        <v>4</v>
      </c>
      <c r="I709" s="111" t="s">
        <v>1722</v>
      </c>
      <c r="J709" s="1321" t="s">
        <v>5608</v>
      </c>
      <c r="K709" s="162" t="s">
        <v>5610</v>
      </c>
      <c r="L709" s="162" t="s">
        <v>5609</v>
      </c>
      <c r="M709" s="111">
        <v>135.05000000000001</v>
      </c>
      <c r="N709" s="111">
        <v>540.20000000000005</v>
      </c>
      <c r="O709" s="111"/>
      <c r="P709" s="111"/>
      <c r="Q709" s="111"/>
      <c r="R709" s="111"/>
      <c r="S709" s="1249">
        <v>2</v>
      </c>
      <c r="T709" s="1250">
        <v>180.06666666666669</v>
      </c>
      <c r="U709" s="1250"/>
      <c r="V709" s="1250"/>
      <c r="W709" s="1251">
        <v>1</v>
      </c>
      <c r="X709" s="1250">
        <v>180.06666666666669</v>
      </c>
      <c r="Y709" s="1250"/>
      <c r="Z709" s="1250"/>
      <c r="AA709" s="1250"/>
      <c r="AB709" s="1250"/>
      <c r="AC709" s="1250"/>
      <c r="AD709" s="1250"/>
      <c r="AE709" s="1249">
        <v>1</v>
      </c>
      <c r="AF709" s="1250">
        <v>180.06666666666669</v>
      </c>
      <c r="AG709" s="111"/>
      <c r="AH709" s="111"/>
      <c r="AI709" s="111"/>
      <c r="AJ709" s="111"/>
      <c r="AK709" s="111"/>
      <c r="AL709" s="111"/>
      <c r="AM709" s="111">
        <v>540.20000000000005</v>
      </c>
    </row>
    <row r="710" spans="1:39" ht="15" customHeight="1" x14ac:dyDescent="0.25">
      <c r="A710" s="1409"/>
      <c r="B710" s="1409"/>
      <c r="C710" s="1409"/>
      <c r="D710" s="1409"/>
      <c r="E710" s="1247"/>
      <c r="F710" s="1248" t="s">
        <v>4686</v>
      </c>
      <c r="G710" s="111"/>
      <c r="H710" s="1249">
        <v>10</v>
      </c>
      <c r="I710" s="111" t="s">
        <v>1722</v>
      </c>
      <c r="J710" s="1321" t="s">
        <v>5608</v>
      </c>
      <c r="K710" s="162" t="s">
        <v>5610</v>
      </c>
      <c r="L710" s="162" t="s">
        <v>5609</v>
      </c>
      <c r="M710" s="111">
        <v>22.05</v>
      </c>
      <c r="N710" s="111">
        <v>220.5</v>
      </c>
      <c r="O710" s="111"/>
      <c r="P710" s="111"/>
      <c r="Q710" s="111"/>
      <c r="R710" s="111"/>
      <c r="S710" s="1249">
        <v>5</v>
      </c>
      <c r="T710" s="1250">
        <v>73.5</v>
      </c>
      <c r="U710" s="1250"/>
      <c r="V710" s="1250"/>
      <c r="W710" s="1251">
        <v>5</v>
      </c>
      <c r="X710" s="1250">
        <v>73.5</v>
      </c>
      <c r="Y710" s="1250"/>
      <c r="Z710" s="1250"/>
      <c r="AA710" s="1250"/>
      <c r="AB710" s="1250"/>
      <c r="AC710" s="1250"/>
      <c r="AD710" s="1250"/>
      <c r="AE710" s="1249">
        <v>0</v>
      </c>
      <c r="AF710" s="1250">
        <v>73.5</v>
      </c>
      <c r="AG710" s="111"/>
      <c r="AH710" s="111"/>
      <c r="AI710" s="111"/>
      <c r="AJ710" s="111"/>
      <c r="AK710" s="111"/>
      <c r="AL710" s="111"/>
      <c r="AM710" s="111">
        <v>220.5</v>
      </c>
    </row>
    <row r="711" spans="1:39" ht="15" customHeight="1" x14ac:dyDescent="0.25">
      <c r="A711" s="1409"/>
      <c r="B711" s="1409"/>
      <c r="C711" s="1409"/>
      <c r="D711" s="1409"/>
      <c r="E711" s="1247"/>
      <c r="F711" s="1248" t="s">
        <v>2708</v>
      </c>
      <c r="G711" s="111"/>
      <c r="H711" s="1249">
        <v>1</v>
      </c>
      <c r="I711" s="111" t="s">
        <v>1722</v>
      </c>
      <c r="J711" s="1321" t="s">
        <v>5608</v>
      </c>
      <c r="K711" s="162" t="s">
        <v>5610</v>
      </c>
      <c r="L711" s="162" t="s">
        <v>5609</v>
      </c>
      <c r="M711" s="111">
        <v>79.930000000000007</v>
      </c>
      <c r="N711" s="111">
        <v>79.930000000000007</v>
      </c>
      <c r="O711" s="111"/>
      <c r="P711" s="111"/>
      <c r="Q711" s="111"/>
      <c r="R711" s="111"/>
      <c r="S711" s="1249">
        <v>1</v>
      </c>
      <c r="T711" s="1250">
        <v>26.643333333333334</v>
      </c>
      <c r="U711" s="1250"/>
      <c r="V711" s="1250"/>
      <c r="W711" s="1251">
        <v>0</v>
      </c>
      <c r="X711" s="1250">
        <v>26.643333333333334</v>
      </c>
      <c r="Y711" s="1250"/>
      <c r="Z711" s="1250"/>
      <c r="AA711" s="1250"/>
      <c r="AB711" s="1250"/>
      <c r="AC711" s="1250"/>
      <c r="AD711" s="1250"/>
      <c r="AE711" s="1249">
        <v>0</v>
      </c>
      <c r="AF711" s="1250">
        <v>26.643333333333334</v>
      </c>
      <c r="AG711" s="111"/>
      <c r="AH711" s="111"/>
      <c r="AI711" s="111"/>
      <c r="AJ711" s="111"/>
      <c r="AK711" s="111"/>
      <c r="AL711" s="111"/>
      <c r="AM711" s="111">
        <v>79.930000000000007</v>
      </c>
    </row>
    <row r="712" spans="1:39" ht="15" customHeight="1" x14ac:dyDescent="0.25">
      <c r="A712" s="1409"/>
      <c r="B712" s="1409"/>
      <c r="C712" s="1409"/>
      <c r="D712" s="1409"/>
      <c r="E712" s="1247"/>
      <c r="F712" s="1248" t="s">
        <v>4687</v>
      </c>
      <c r="G712" s="111"/>
      <c r="H712" s="1249">
        <v>50</v>
      </c>
      <c r="I712" s="111" t="s">
        <v>1827</v>
      </c>
      <c r="J712" s="1321" t="s">
        <v>5608</v>
      </c>
      <c r="K712" s="162" t="s">
        <v>5610</v>
      </c>
      <c r="L712" s="162" t="s">
        <v>5609</v>
      </c>
      <c r="M712" s="111">
        <v>46.85</v>
      </c>
      <c r="N712" s="111">
        <v>2342.5</v>
      </c>
      <c r="O712" s="111"/>
      <c r="P712" s="111"/>
      <c r="Q712" s="111"/>
      <c r="R712" s="111"/>
      <c r="S712" s="1249">
        <v>20</v>
      </c>
      <c r="T712" s="1250">
        <v>780.83333333333337</v>
      </c>
      <c r="U712" s="1250"/>
      <c r="V712" s="1250"/>
      <c r="W712" s="1251">
        <v>20</v>
      </c>
      <c r="X712" s="1250">
        <v>780.83333333333337</v>
      </c>
      <c r="Y712" s="1250"/>
      <c r="Z712" s="1250"/>
      <c r="AA712" s="1250"/>
      <c r="AB712" s="1250"/>
      <c r="AC712" s="1250"/>
      <c r="AD712" s="1250"/>
      <c r="AE712" s="1249">
        <v>10</v>
      </c>
      <c r="AF712" s="1250">
        <v>780.83333333333337</v>
      </c>
      <c r="AG712" s="111"/>
      <c r="AH712" s="111"/>
      <c r="AI712" s="111"/>
      <c r="AJ712" s="111"/>
      <c r="AK712" s="111"/>
      <c r="AL712" s="111"/>
      <c r="AM712" s="111">
        <v>2342.5</v>
      </c>
    </row>
    <row r="713" spans="1:39" ht="15" customHeight="1" x14ac:dyDescent="0.25">
      <c r="A713" s="1409"/>
      <c r="B713" s="1409"/>
      <c r="C713" s="1409"/>
      <c r="D713" s="1409"/>
      <c r="E713" s="1247"/>
      <c r="F713" s="1248" t="s">
        <v>4688</v>
      </c>
      <c r="G713" s="111"/>
      <c r="H713" s="1249">
        <v>2</v>
      </c>
      <c r="I713" s="111" t="s">
        <v>1827</v>
      </c>
      <c r="J713" s="1321" t="s">
        <v>5608</v>
      </c>
      <c r="K713" s="162" t="s">
        <v>5610</v>
      </c>
      <c r="L713" s="162" t="s">
        <v>5609</v>
      </c>
      <c r="M713" s="111">
        <v>75.790000000000006</v>
      </c>
      <c r="N713" s="111">
        <v>151.58000000000001</v>
      </c>
      <c r="O713" s="111"/>
      <c r="P713" s="111"/>
      <c r="Q713" s="111"/>
      <c r="R713" s="111"/>
      <c r="S713" s="1249">
        <v>2</v>
      </c>
      <c r="T713" s="1250">
        <v>50.526666666666671</v>
      </c>
      <c r="U713" s="1250"/>
      <c r="V713" s="1250"/>
      <c r="W713" s="1251">
        <v>0</v>
      </c>
      <c r="X713" s="1250">
        <v>50.526666666666671</v>
      </c>
      <c r="Y713" s="1250"/>
      <c r="Z713" s="1250"/>
      <c r="AA713" s="1250"/>
      <c r="AB713" s="1250"/>
      <c r="AC713" s="1250"/>
      <c r="AD713" s="1250"/>
      <c r="AE713" s="1249">
        <v>0</v>
      </c>
      <c r="AF713" s="1250">
        <v>50.526666666666671</v>
      </c>
      <c r="AG713" s="111"/>
      <c r="AH713" s="111"/>
      <c r="AI713" s="111"/>
      <c r="AJ713" s="111"/>
      <c r="AK713" s="111"/>
      <c r="AL713" s="111"/>
      <c r="AM713" s="111">
        <v>151.58000000000001</v>
      </c>
    </row>
    <row r="714" spans="1:39" ht="15" customHeight="1" x14ac:dyDescent="0.25">
      <c r="A714" s="1409"/>
      <c r="B714" s="1409"/>
      <c r="C714" s="1409"/>
      <c r="D714" s="1409"/>
      <c r="E714" s="1247"/>
      <c r="F714" s="1248" t="s">
        <v>4689</v>
      </c>
      <c r="G714" s="111"/>
      <c r="H714" s="1249">
        <v>6</v>
      </c>
      <c r="I714" s="111" t="s">
        <v>4690</v>
      </c>
      <c r="J714" s="1321" t="s">
        <v>5608</v>
      </c>
      <c r="K714" s="162" t="s">
        <v>5610</v>
      </c>
      <c r="L714" s="162" t="s">
        <v>5609</v>
      </c>
      <c r="M714" s="111">
        <v>103.36</v>
      </c>
      <c r="N714" s="111">
        <v>620.16</v>
      </c>
      <c r="O714" s="111"/>
      <c r="P714" s="111"/>
      <c r="Q714" s="111"/>
      <c r="R714" s="111"/>
      <c r="S714" s="1249">
        <v>2</v>
      </c>
      <c r="T714" s="1250">
        <v>206.72</v>
      </c>
      <c r="U714" s="1250"/>
      <c r="V714" s="1250"/>
      <c r="W714" s="1251">
        <v>2</v>
      </c>
      <c r="X714" s="1250">
        <v>206.72</v>
      </c>
      <c r="Y714" s="1250"/>
      <c r="Z714" s="1250"/>
      <c r="AA714" s="1250"/>
      <c r="AB714" s="1250"/>
      <c r="AC714" s="1250"/>
      <c r="AD714" s="1250"/>
      <c r="AE714" s="1249">
        <v>2</v>
      </c>
      <c r="AF714" s="1250">
        <v>206.72</v>
      </c>
      <c r="AG714" s="111"/>
      <c r="AH714" s="111"/>
      <c r="AI714" s="111"/>
      <c r="AJ714" s="111"/>
      <c r="AK714" s="111"/>
      <c r="AL714" s="111"/>
      <c r="AM714" s="111">
        <v>620.16</v>
      </c>
    </row>
    <row r="715" spans="1:39" ht="15" customHeight="1" x14ac:dyDescent="0.25">
      <c r="A715" s="1409"/>
      <c r="B715" s="1409"/>
      <c r="C715" s="1409"/>
      <c r="D715" s="1409"/>
      <c r="E715" s="1247"/>
      <c r="F715" s="1248" t="s">
        <v>4691</v>
      </c>
      <c r="G715" s="111"/>
      <c r="H715" s="1249">
        <v>10</v>
      </c>
      <c r="I715" s="111" t="s">
        <v>2100</v>
      </c>
      <c r="J715" s="1321" t="s">
        <v>5608</v>
      </c>
      <c r="K715" s="162" t="s">
        <v>5610</v>
      </c>
      <c r="L715" s="162" t="s">
        <v>5609</v>
      </c>
      <c r="M715" s="111">
        <v>110.25</v>
      </c>
      <c r="N715" s="111">
        <v>1102.5</v>
      </c>
      <c r="O715" s="111"/>
      <c r="P715" s="111"/>
      <c r="Q715" s="111"/>
      <c r="R715" s="111"/>
      <c r="S715" s="1249">
        <v>5</v>
      </c>
      <c r="T715" s="1250">
        <v>367.5</v>
      </c>
      <c r="U715" s="1250"/>
      <c r="V715" s="1250"/>
      <c r="W715" s="1251">
        <v>5</v>
      </c>
      <c r="X715" s="1250">
        <v>367.5</v>
      </c>
      <c r="Y715" s="1250"/>
      <c r="Z715" s="1250"/>
      <c r="AA715" s="1250"/>
      <c r="AB715" s="1250"/>
      <c r="AC715" s="1250"/>
      <c r="AD715" s="1250"/>
      <c r="AE715" s="1249">
        <v>0</v>
      </c>
      <c r="AF715" s="1250">
        <v>367.5</v>
      </c>
      <c r="AG715" s="111"/>
      <c r="AH715" s="111"/>
      <c r="AI715" s="111"/>
      <c r="AJ715" s="111"/>
      <c r="AK715" s="111"/>
      <c r="AL715" s="111"/>
      <c r="AM715" s="111">
        <v>1102.5</v>
      </c>
    </row>
    <row r="716" spans="1:39" ht="15" customHeight="1" x14ac:dyDescent="0.25">
      <c r="A716" s="1409"/>
      <c r="B716" s="1409"/>
      <c r="C716" s="1409"/>
      <c r="D716" s="1409"/>
      <c r="E716" s="1247"/>
      <c r="F716" s="1248" t="s">
        <v>4692</v>
      </c>
      <c r="G716" s="111"/>
      <c r="H716" s="1249">
        <v>2</v>
      </c>
      <c r="I716" s="111" t="s">
        <v>1721</v>
      </c>
      <c r="J716" s="1321" t="s">
        <v>5608</v>
      </c>
      <c r="K716" s="162" t="s">
        <v>5610</v>
      </c>
      <c r="L716" s="162" t="s">
        <v>5609</v>
      </c>
      <c r="M716" s="111">
        <v>77.17</v>
      </c>
      <c r="N716" s="111">
        <v>154.34</v>
      </c>
      <c r="O716" s="111"/>
      <c r="P716" s="111"/>
      <c r="Q716" s="111"/>
      <c r="R716" s="111"/>
      <c r="S716" s="1249">
        <v>2</v>
      </c>
      <c r="T716" s="1250">
        <v>51.446666666666665</v>
      </c>
      <c r="U716" s="1250"/>
      <c r="V716" s="1250"/>
      <c r="W716" s="1251">
        <v>0</v>
      </c>
      <c r="X716" s="1250">
        <v>51.446666666666665</v>
      </c>
      <c r="Y716" s="1250"/>
      <c r="Z716" s="1250"/>
      <c r="AA716" s="1250"/>
      <c r="AB716" s="1250"/>
      <c r="AC716" s="1250"/>
      <c r="AD716" s="1250"/>
      <c r="AE716" s="1249">
        <v>0</v>
      </c>
      <c r="AF716" s="1250">
        <v>51.446666666666665</v>
      </c>
      <c r="AG716" s="111"/>
      <c r="AH716" s="111"/>
      <c r="AI716" s="111"/>
      <c r="AJ716" s="111"/>
      <c r="AK716" s="111"/>
      <c r="AL716" s="111"/>
      <c r="AM716" s="111">
        <v>154.34</v>
      </c>
    </row>
    <row r="717" spans="1:39" ht="15" customHeight="1" x14ac:dyDescent="0.25">
      <c r="A717" s="1409"/>
      <c r="B717" s="1409"/>
      <c r="C717" s="1409"/>
      <c r="D717" s="1409"/>
      <c r="E717" s="1247"/>
      <c r="F717" s="1248" t="s">
        <v>4693</v>
      </c>
      <c r="G717" s="111"/>
      <c r="H717" s="1249">
        <v>4</v>
      </c>
      <c r="I717" s="111" t="s">
        <v>2470</v>
      </c>
      <c r="J717" s="1321" t="s">
        <v>5608</v>
      </c>
      <c r="K717" s="162" t="s">
        <v>5610</v>
      </c>
      <c r="L717" s="162" t="s">
        <v>5609</v>
      </c>
      <c r="M717" s="111">
        <v>108.87</v>
      </c>
      <c r="N717" s="111">
        <v>435.48</v>
      </c>
      <c r="O717" s="111"/>
      <c r="P717" s="111"/>
      <c r="Q717" s="111"/>
      <c r="R717" s="111"/>
      <c r="S717" s="1249">
        <v>2</v>
      </c>
      <c r="T717" s="1250">
        <v>145.16</v>
      </c>
      <c r="U717" s="1250"/>
      <c r="V717" s="1250"/>
      <c r="W717" s="1251">
        <v>1</v>
      </c>
      <c r="X717" s="1250">
        <v>145.16</v>
      </c>
      <c r="Y717" s="1250"/>
      <c r="Z717" s="1250"/>
      <c r="AA717" s="1250"/>
      <c r="AB717" s="1250"/>
      <c r="AC717" s="1250"/>
      <c r="AD717" s="1250"/>
      <c r="AE717" s="1249">
        <v>1</v>
      </c>
      <c r="AF717" s="1250">
        <v>145.16</v>
      </c>
      <c r="AG717" s="111"/>
      <c r="AH717" s="111"/>
      <c r="AI717" s="111"/>
      <c r="AJ717" s="111"/>
      <c r="AK717" s="111"/>
      <c r="AL717" s="111"/>
      <c r="AM717" s="111">
        <v>435.48</v>
      </c>
    </row>
    <row r="718" spans="1:39" ht="15" customHeight="1" x14ac:dyDescent="0.25">
      <c r="A718" s="1409"/>
      <c r="B718" s="1409"/>
      <c r="C718" s="1409"/>
      <c r="D718" s="1409"/>
      <c r="E718" s="1247"/>
      <c r="F718" s="1248" t="s">
        <v>4694</v>
      </c>
      <c r="G718" s="111"/>
      <c r="H718" s="1249">
        <v>10</v>
      </c>
      <c r="I718" s="111" t="s">
        <v>1749</v>
      </c>
      <c r="J718" s="1321" t="s">
        <v>5608</v>
      </c>
      <c r="K718" s="162" t="s">
        <v>5610</v>
      </c>
      <c r="L718" s="162" t="s">
        <v>5609</v>
      </c>
      <c r="M718" s="111">
        <v>166.75</v>
      </c>
      <c r="N718" s="111">
        <v>1667.5</v>
      </c>
      <c r="O718" s="111"/>
      <c r="P718" s="111"/>
      <c r="Q718" s="111"/>
      <c r="R718" s="111"/>
      <c r="S718" s="1249">
        <v>5</v>
      </c>
      <c r="T718" s="1250">
        <v>555.83333333333337</v>
      </c>
      <c r="U718" s="1250"/>
      <c r="V718" s="1250"/>
      <c r="W718" s="1251">
        <v>5</v>
      </c>
      <c r="X718" s="1250">
        <v>555.83333333333337</v>
      </c>
      <c r="Y718" s="1250"/>
      <c r="Z718" s="1250"/>
      <c r="AA718" s="1250"/>
      <c r="AB718" s="1250"/>
      <c r="AC718" s="1250"/>
      <c r="AD718" s="1250"/>
      <c r="AE718" s="1249">
        <v>0</v>
      </c>
      <c r="AF718" s="1250">
        <v>555.83333333333337</v>
      </c>
      <c r="AG718" s="111"/>
      <c r="AH718" s="111"/>
      <c r="AI718" s="111"/>
      <c r="AJ718" s="111"/>
      <c r="AK718" s="111"/>
      <c r="AL718" s="111"/>
      <c r="AM718" s="111">
        <v>1667.5</v>
      </c>
    </row>
    <row r="719" spans="1:39" ht="15" customHeight="1" x14ac:dyDescent="0.25">
      <c r="A719" s="1409"/>
      <c r="B719" s="1409"/>
      <c r="C719" s="1409"/>
      <c r="D719" s="1409"/>
      <c r="E719" s="1247"/>
      <c r="F719" s="1248" t="s">
        <v>4695</v>
      </c>
      <c r="G719" s="111"/>
      <c r="H719" s="1249">
        <v>8</v>
      </c>
      <c r="I719" s="111" t="s">
        <v>1736</v>
      </c>
      <c r="J719" s="1321" t="s">
        <v>5608</v>
      </c>
      <c r="K719" s="162" t="s">
        <v>5610</v>
      </c>
      <c r="L719" s="162" t="s">
        <v>5609</v>
      </c>
      <c r="M719" s="111">
        <v>108.87</v>
      </c>
      <c r="N719" s="111">
        <v>870.96</v>
      </c>
      <c r="O719" s="111"/>
      <c r="P719" s="111"/>
      <c r="Q719" s="111"/>
      <c r="R719" s="111"/>
      <c r="S719" s="1249">
        <v>4</v>
      </c>
      <c r="T719" s="1250">
        <v>290.32</v>
      </c>
      <c r="U719" s="1250"/>
      <c r="V719" s="1250"/>
      <c r="W719" s="1251">
        <v>2</v>
      </c>
      <c r="X719" s="1250">
        <v>290.32</v>
      </c>
      <c r="Y719" s="1250"/>
      <c r="Z719" s="1250"/>
      <c r="AA719" s="1250"/>
      <c r="AB719" s="1250"/>
      <c r="AC719" s="1250"/>
      <c r="AD719" s="1250"/>
      <c r="AE719" s="1249">
        <v>2</v>
      </c>
      <c r="AF719" s="1250">
        <v>290.32</v>
      </c>
      <c r="AG719" s="111"/>
      <c r="AH719" s="111"/>
      <c r="AI719" s="111"/>
      <c r="AJ719" s="111"/>
      <c r="AK719" s="111"/>
      <c r="AL719" s="111"/>
      <c r="AM719" s="111">
        <v>870.96</v>
      </c>
    </row>
    <row r="720" spans="1:39" ht="15" customHeight="1" x14ac:dyDescent="0.25">
      <c r="A720" s="1409"/>
      <c r="B720" s="1409"/>
      <c r="C720" s="1409"/>
      <c r="D720" s="1409"/>
      <c r="E720" s="1247"/>
      <c r="F720" s="1248" t="s">
        <v>4696</v>
      </c>
      <c r="G720" s="111"/>
      <c r="H720" s="1249">
        <v>5</v>
      </c>
      <c r="I720" s="111" t="s">
        <v>1827</v>
      </c>
      <c r="J720" s="1321" t="s">
        <v>5608</v>
      </c>
      <c r="K720" s="162" t="s">
        <v>5610</v>
      </c>
      <c r="L720" s="162" t="s">
        <v>5609</v>
      </c>
      <c r="M720" s="111">
        <v>144.69999999999999</v>
      </c>
      <c r="N720" s="111">
        <v>723.5</v>
      </c>
      <c r="O720" s="111"/>
      <c r="P720" s="111"/>
      <c r="Q720" s="111"/>
      <c r="R720" s="111"/>
      <c r="S720" s="1249">
        <v>2</v>
      </c>
      <c r="T720" s="1250">
        <v>241.16666666666666</v>
      </c>
      <c r="U720" s="1250"/>
      <c r="V720" s="1250"/>
      <c r="W720" s="1251">
        <v>2</v>
      </c>
      <c r="X720" s="1250">
        <v>241.16666666666666</v>
      </c>
      <c r="Y720" s="1250"/>
      <c r="Z720" s="1250"/>
      <c r="AA720" s="1250"/>
      <c r="AB720" s="1250"/>
      <c r="AC720" s="1250"/>
      <c r="AD720" s="1250"/>
      <c r="AE720" s="1249">
        <v>1</v>
      </c>
      <c r="AF720" s="1250">
        <v>241.16666666666666</v>
      </c>
      <c r="AG720" s="111"/>
      <c r="AH720" s="111"/>
      <c r="AI720" s="111"/>
      <c r="AJ720" s="111"/>
      <c r="AK720" s="111"/>
      <c r="AL720" s="111"/>
      <c r="AM720" s="111">
        <v>723.5</v>
      </c>
    </row>
    <row r="721" spans="1:39" ht="15" customHeight="1" x14ac:dyDescent="0.25">
      <c r="A721" s="1409"/>
      <c r="B721" s="1409"/>
      <c r="C721" s="1409"/>
      <c r="D721" s="1409"/>
      <c r="E721" s="1247"/>
      <c r="F721" s="1248" t="s">
        <v>4697</v>
      </c>
      <c r="G721" s="111"/>
      <c r="H721" s="1249">
        <v>2</v>
      </c>
      <c r="I721" s="111" t="s">
        <v>1827</v>
      </c>
      <c r="J721" s="1321" t="s">
        <v>5608</v>
      </c>
      <c r="K721" s="162" t="s">
        <v>5610</v>
      </c>
      <c r="L721" s="162" t="s">
        <v>5609</v>
      </c>
      <c r="M721" s="111">
        <v>482.33</v>
      </c>
      <c r="N721" s="111">
        <v>964.66</v>
      </c>
      <c r="O721" s="111"/>
      <c r="P721" s="111"/>
      <c r="Q721" s="111"/>
      <c r="R721" s="111"/>
      <c r="S721" s="1249">
        <v>2</v>
      </c>
      <c r="T721" s="1250">
        <v>321.55333333333334</v>
      </c>
      <c r="U721" s="1250"/>
      <c r="V721" s="1250"/>
      <c r="W721" s="1251">
        <v>0</v>
      </c>
      <c r="X721" s="1250">
        <v>321.55333333333334</v>
      </c>
      <c r="Y721" s="1250"/>
      <c r="Z721" s="1250"/>
      <c r="AA721" s="1250"/>
      <c r="AB721" s="1250"/>
      <c r="AC721" s="1250"/>
      <c r="AD721" s="1250"/>
      <c r="AE721" s="1249">
        <v>0</v>
      </c>
      <c r="AF721" s="1250">
        <v>321.55333333333334</v>
      </c>
      <c r="AG721" s="111"/>
      <c r="AH721" s="111"/>
      <c r="AI721" s="111"/>
      <c r="AJ721" s="111"/>
      <c r="AK721" s="111"/>
      <c r="AL721" s="111"/>
      <c r="AM721" s="111">
        <v>964.66</v>
      </c>
    </row>
    <row r="722" spans="1:39" ht="15" customHeight="1" x14ac:dyDescent="0.25">
      <c r="A722" s="1409"/>
      <c r="B722" s="1409"/>
      <c r="C722" s="1409"/>
      <c r="D722" s="1409"/>
      <c r="E722" s="1247"/>
      <c r="F722" s="1248" t="s">
        <v>4698</v>
      </c>
      <c r="G722" s="111"/>
      <c r="H722" s="1249">
        <v>2</v>
      </c>
      <c r="I722" s="111" t="s">
        <v>1827</v>
      </c>
      <c r="J722" s="1321" t="s">
        <v>5608</v>
      </c>
      <c r="K722" s="162" t="s">
        <v>5610</v>
      </c>
      <c r="L722" s="162" t="s">
        <v>5609</v>
      </c>
      <c r="M722" s="111">
        <v>241.16</v>
      </c>
      <c r="N722" s="111">
        <v>482.32</v>
      </c>
      <c r="O722" s="111"/>
      <c r="P722" s="111"/>
      <c r="Q722" s="111"/>
      <c r="R722" s="111"/>
      <c r="S722" s="1249">
        <v>2</v>
      </c>
      <c r="T722" s="1250">
        <v>160.77333333333334</v>
      </c>
      <c r="U722" s="1250"/>
      <c r="V722" s="1250"/>
      <c r="W722" s="1251">
        <v>0</v>
      </c>
      <c r="X722" s="1250">
        <v>160.77333333333334</v>
      </c>
      <c r="Y722" s="1250"/>
      <c r="Z722" s="1250"/>
      <c r="AA722" s="1250"/>
      <c r="AB722" s="1250"/>
      <c r="AC722" s="1250"/>
      <c r="AD722" s="1250"/>
      <c r="AE722" s="1249">
        <v>0</v>
      </c>
      <c r="AF722" s="1250">
        <v>160.77333333333334</v>
      </c>
      <c r="AG722" s="111"/>
      <c r="AH722" s="111"/>
      <c r="AI722" s="111"/>
      <c r="AJ722" s="111"/>
      <c r="AK722" s="111"/>
      <c r="AL722" s="111"/>
      <c r="AM722" s="111">
        <v>482.32</v>
      </c>
    </row>
    <row r="723" spans="1:39" ht="15" customHeight="1" x14ac:dyDescent="0.25">
      <c r="A723" s="1409"/>
      <c r="B723" s="1409"/>
      <c r="C723" s="1409"/>
      <c r="D723" s="1409"/>
      <c r="E723" s="1247"/>
      <c r="F723" s="1248" t="s">
        <v>4699</v>
      </c>
      <c r="G723" s="111"/>
      <c r="H723" s="1249">
        <v>10</v>
      </c>
      <c r="I723" s="111" t="s">
        <v>2470</v>
      </c>
      <c r="J723" s="1321" t="s">
        <v>5608</v>
      </c>
      <c r="K723" s="162" t="s">
        <v>5610</v>
      </c>
      <c r="L723" s="162" t="s">
        <v>5609</v>
      </c>
      <c r="M723" s="111">
        <v>191.55</v>
      </c>
      <c r="N723" s="111">
        <v>1915.5</v>
      </c>
      <c r="O723" s="111"/>
      <c r="P723" s="111"/>
      <c r="Q723" s="111"/>
      <c r="R723" s="111"/>
      <c r="S723" s="1249">
        <v>5</v>
      </c>
      <c r="T723" s="1250">
        <v>638.5</v>
      </c>
      <c r="U723" s="1250"/>
      <c r="V723" s="1250"/>
      <c r="W723" s="1251">
        <v>5</v>
      </c>
      <c r="X723" s="1250">
        <v>638.5</v>
      </c>
      <c r="Y723" s="1250"/>
      <c r="Z723" s="1250"/>
      <c r="AA723" s="1250"/>
      <c r="AB723" s="1250"/>
      <c r="AC723" s="1250"/>
      <c r="AD723" s="1250"/>
      <c r="AE723" s="1249">
        <v>0</v>
      </c>
      <c r="AF723" s="1250">
        <v>638.5</v>
      </c>
      <c r="AG723" s="111"/>
      <c r="AH723" s="111"/>
      <c r="AI723" s="111"/>
      <c r="AJ723" s="111"/>
      <c r="AK723" s="111"/>
      <c r="AL723" s="111"/>
      <c r="AM723" s="111">
        <v>1915.5</v>
      </c>
    </row>
    <row r="724" spans="1:39" ht="15" customHeight="1" x14ac:dyDescent="0.25">
      <c r="A724" s="1409"/>
      <c r="B724" s="1409"/>
      <c r="C724" s="1409"/>
      <c r="D724" s="1409"/>
      <c r="E724" s="1247"/>
      <c r="F724" s="1248" t="s">
        <v>4700</v>
      </c>
      <c r="G724" s="111"/>
      <c r="H724" s="1249">
        <v>3</v>
      </c>
      <c r="I724" s="111" t="s">
        <v>1736</v>
      </c>
      <c r="J724" s="1321" t="s">
        <v>5608</v>
      </c>
      <c r="K724" s="162" t="s">
        <v>5610</v>
      </c>
      <c r="L724" s="162" t="s">
        <v>5609</v>
      </c>
      <c r="M724" s="111">
        <v>220.49</v>
      </c>
      <c r="N724" s="111">
        <v>661.47</v>
      </c>
      <c r="O724" s="111"/>
      <c r="P724" s="111"/>
      <c r="Q724" s="111"/>
      <c r="R724" s="111"/>
      <c r="S724" s="1249">
        <v>1</v>
      </c>
      <c r="T724" s="1250">
        <v>220.49</v>
      </c>
      <c r="U724" s="1250"/>
      <c r="V724" s="1250"/>
      <c r="W724" s="1251">
        <v>1</v>
      </c>
      <c r="X724" s="1250">
        <v>220.49</v>
      </c>
      <c r="Y724" s="1250"/>
      <c r="Z724" s="1250"/>
      <c r="AA724" s="1250"/>
      <c r="AB724" s="1250"/>
      <c r="AC724" s="1250"/>
      <c r="AD724" s="1250"/>
      <c r="AE724" s="1249">
        <v>1</v>
      </c>
      <c r="AF724" s="1250">
        <v>220.49</v>
      </c>
      <c r="AG724" s="111"/>
      <c r="AH724" s="111"/>
      <c r="AI724" s="111"/>
      <c r="AJ724" s="111"/>
      <c r="AK724" s="111"/>
      <c r="AL724" s="111"/>
      <c r="AM724" s="111">
        <v>661.47</v>
      </c>
    </row>
    <row r="725" spans="1:39" ht="15" customHeight="1" x14ac:dyDescent="0.25">
      <c r="A725" s="1409"/>
      <c r="B725" s="1409"/>
      <c r="C725" s="1409"/>
      <c r="D725" s="1409"/>
      <c r="E725" s="1247"/>
      <c r="F725" s="1248" t="s">
        <v>463</v>
      </c>
      <c r="G725" s="111"/>
      <c r="H725" s="1249">
        <v>2</v>
      </c>
      <c r="I725" s="111" t="s">
        <v>4701</v>
      </c>
      <c r="J725" s="1321" t="s">
        <v>5608</v>
      </c>
      <c r="K725" s="162" t="s">
        <v>5610</v>
      </c>
      <c r="L725" s="162" t="s">
        <v>5609</v>
      </c>
      <c r="M725" s="111">
        <v>176.39</v>
      </c>
      <c r="N725" s="111">
        <v>352.78</v>
      </c>
      <c r="O725" s="111"/>
      <c r="P725" s="111"/>
      <c r="Q725" s="111"/>
      <c r="R725" s="111"/>
      <c r="S725" s="1249">
        <v>2</v>
      </c>
      <c r="T725" s="1250">
        <v>117.59333333333332</v>
      </c>
      <c r="U725" s="1250"/>
      <c r="V725" s="1250"/>
      <c r="W725" s="1251">
        <v>0</v>
      </c>
      <c r="X725" s="1250">
        <v>117.59333333333332</v>
      </c>
      <c r="Y725" s="1250"/>
      <c r="Z725" s="1250"/>
      <c r="AA725" s="1250"/>
      <c r="AB725" s="1250"/>
      <c r="AC725" s="1250"/>
      <c r="AD725" s="1250"/>
      <c r="AE725" s="1249">
        <v>0</v>
      </c>
      <c r="AF725" s="1250">
        <v>117.59333333333332</v>
      </c>
      <c r="AG725" s="111"/>
      <c r="AH725" s="111"/>
      <c r="AI725" s="111"/>
      <c r="AJ725" s="111"/>
      <c r="AK725" s="111"/>
      <c r="AL725" s="111"/>
      <c r="AM725" s="111">
        <v>352.78</v>
      </c>
    </row>
    <row r="726" spans="1:39" ht="15" customHeight="1" x14ac:dyDescent="0.25">
      <c r="A726" s="1409"/>
      <c r="B726" s="1409"/>
      <c r="C726" s="1409"/>
      <c r="D726" s="1409"/>
      <c r="E726" s="1247"/>
      <c r="F726" s="1248" t="s">
        <v>4702</v>
      </c>
      <c r="G726" s="111"/>
      <c r="H726" s="1249">
        <v>1</v>
      </c>
      <c r="I726" s="111" t="s">
        <v>4701</v>
      </c>
      <c r="J726" s="1321" t="s">
        <v>5608</v>
      </c>
      <c r="K726" s="162" t="s">
        <v>5610</v>
      </c>
      <c r="L726" s="162" t="s">
        <v>5609</v>
      </c>
      <c r="M726" s="111">
        <v>103.36</v>
      </c>
      <c r="N726" s="111">
        <v>103.36</v>
      </c>
      <c r="O726" s="111"/>
      <c r="P726" s="111"/>
      <c r="Q726" s="111"/>
      <c r="R726" s="111"/>
      <c r="S726" s="1249">
        <v>1</v>
      </c>
      <c r="T726" s="1250">
        <v>34.453333333333333</v>
      </c>
      <c r="U726" s="1250"/>
      <c r="V726" s="1250"/>
      <c r="W726" s="1251">
        <v>0</v>
      </c>
      <c r="X726" s="1250">
        <v>34.453333333333333</v>
      </c>
      <c r="Y726" s="1250"/>
      <c r="Z726" s="1250"/>
      <c r="AA726" s="1250"/>
      <c r="AB726" s="1250"/>
      <c r="AC726" s="1250"/>
      <c r="AD726" s="1250"/>
      <c r="AE726" s="1249">
        <v>0</v>
      </c>
      <c r="AF726" s="1250">
        <v>34.453333333333333</v>
      </c>
      <c r="AG726" s="111"/>
      <c r="AH726" s="111"/>
      <c r="AI726" s="111"/>
      <c r="AJ726" s="111"/>
      <c r="AK726" s="111"/>
      <c r="AL726" s="111"/>
      <c r="AM726" s="111">
        <v>103.36</v>
      </c>
    </row>
    <row r="727" spans="1:39" ht="15" customHeight="1" x14ac:dyDescent="0.25">
      <c r="A727" s="1409"/>
      <c r="B727" s="1409"/>
      <c r="C727" s="1409"/>
      <c r="D727" s="1409"/>
      <c r="E727" s="1247"/>
      <c r="F727" s="1248" t="s">
        <v>4703</v>
      </c>
      <c r="G727" s="111"/>
      <c r="H727" s="1249">
        <v>20</v>
      </c>
      <c r="I727" s="111" t="s">
        <v>4704</v>
      </c>
      <c r="J727" s="1321" t="s">
        <v>5608</v>
      </c>
      <c r="K727" s="162" t="s">
        <v>5610</v>
      </c>
      <c r="L727" s="162" t="s">
        <v>5609</v>
      </c>
      <c r="M727" s="111">
        <v>38</v>
      </c>
      <c r="N727" s="111">
        <v>760</v>
      </c>
      <c r="O727" s="111"/>
      <c r="P727" s="111"/>
      <c r="Q727" s="111"/>
      <c r="R727" s="111"/>
      <c r="S727" s="1249">
        <v>10</v>
      </c>
      <c r="T727" s="1250">
        <v>253.33333333333334</v>
      </c>
      <c r="U727" s="1250"/>
      <c r="V727" s="1250"/>
      <c r="W727" s="1251">
        <v>5</v>
      </c>
      <c r="X727" s="1250">
        <v>253.33333333333334</v>
      </c>
      <c r="Y727" s="1250"/>
      <c r="Z727" s="1250"/>
      <c r="AA727" s="1250"/>
      <c r="AB727" s="1250"/>
      <c r="AC727" s="1250"/>
      <c r="AD727" s="1250"/>
      <c r="AE727" s="1249">
        <v>5</v>
      </c>
      <c r="AF727" s="1250">
        <v>253.33333333333334</v>
      </c>
      <c r="AG727" s="111"/>
      <c r="AH727" s="111"/>
      <c r="AI727" s="111"/>
      <c r="AJ727" s="111"/>
      <c r="AK727" s="111"/>
      <c r="AL727" s="111"/>
      <c r="AM727" s="111">
        <v>760</v>
      </c>
    </row>
    <row r="728" spans="1:39" ht="15" customHeight="1" x14ac:dyDescent="0.25">
      <c r="A728" s="1409"/>
      <c r="B728" s="1409"/>
      <c r="C728" s="1409"/>
      <c r="D728" s="1409"/>
      <c r="E728" s="1247"/>
      <c r="F728" s="1248" t="s">
        <v>4705</v>
      </c>
      <c r="G728" s="111"/>
      <c r="H728" s="1249">
        <v>20</v>
      </c>
      <c r="I728" s="111" t="s">
        <v>4704</v>
      </c>
      <c r="J728" s="1321" t="s">
        <v>5608</v>
      </c>
      <c r="K728" s="162" t="s">
        <v>5610</v>
      </c>
      <c r="L728" s="162" t="s">
        <v>5609</v>
      </c>
      <c r="M728" s="111">
        <v>35</v>
      </c>
      <c r="N728" s="111">
        <v>700</v>
      </c>
      <c r="O728" s="111"/>
      <c r="P728" s="111"/>
      <c r="Q728" s="111"/>
      <c r="R728" s="111"/>
      <c r="S728" s="1249">
        <v>10</v>
      </c>
      <c r="T728" s="1250">
        <v>233.33333333333334</v>
      </c>
      <c r="U728" s="1250"/>
      <c r="V728" s="1250"/>
      <c r="W728" s="1251">
        <v>5</v>
      </c>
      <c r="X728" s="1250">
        <v>233.33333333333334</v>
      </c>
      <c r="Y728" s="1250"/>
      <c r="Z728" s="1250"/>
      <c r="AA728" s="1250"/>
      <c r="AB728" s="1250"/>
      <c r="AC728" s="1250"/>
      <c r="AD728" s="1250"/>
      <c r="AE728" s="1249">
        <v>5</v>
      </c>
      <c r="AF728" s="1250">
        <v>233.33333333333334</v>
      </c>
      <c r="AG728" s="111"/>
      <c r="AH728" s="111"/>
      <c r="AI728" s="111"/>
      <c r="AJ728" s="111"/>
      <c r="AK728" s="111"/>
      <c r="AL728" s="111"/>
      <c r="AM728" s="111">
        <v>700</v>
      </c>
    </row>
    <row r="729" spans="1:39" ht="15" customHeight="1" x14ac:dyDescent="0.25">
      <c r="A729" s="1409"/>
      <c r="B729" s="1409"/>
      <c r="C729" s="1409"/>
      <c r="D729" s="1409"/>
      <c r="E729" s="1247"/>
      <c r="F729" s="1248" t="s">
        <v>1437</v>
      </c>
      <c r="G729" s="111"/>
      <c r="H729" s="1249">
        <v>1</v>
      </c>
      <c r="I729" s="111" t="s">
        <v>2100</v>
      </c>
      <c r="J729" s="1321" t="s">
        <v>5608</v>
      </c>
      <c r="K729" s="162" t="s">
        <v>5610</v>
      </c>
      <c r="L729" s="162" t="s">
        <v>5609</v>
      </c>
      <c r="M729" s="111">
        <v>192.93</v>
      </c>
      <c r="N729" s="111">
        <v>192.93</v>
      </c>
      <c r="O729" s="111"/>
      <c r="P729" s="111"/>
      <c r="Q729" s="111"/>
      <c r="R729" s="111"/>
      <c r="S729" s="1249">
        <v>1</v>
      </c>
      <c r="T729" s="1250">
        <v>64.31</v>
      </c>
      <c r="U729" s="1250"/>
      <c r="V729" s="1250"/>
      <c r="W729" s="1251">
        <v>0</v>
      </c>
      <c r="X729" s="1250">
        <v>64.31</v>
      </c>
      <c r="Y729" s="1250"/>
      <c r="Z729" s="1250"/>
      <c r="AA729" s="1250"/>
      <c r="AB729" s="1250"/>
      <c r="AC729" s="1250"/>
      <c r="AD729" s="1250"/>
      <c r="AE729" s="1249">
        <v>0</v>
      </c>
      <c r="AF729" s="1250">
        <v>64.31</v>
      </c>
      <c r="AG729" s="111"/>
      <c r="AH729" s="111"/>
      <c r="AI729" s="111"/>
      <c r="AJ729" s="111"/>
      <c r="AK729" s="111"/>
      <c r="AL729" s="111"/>
      <c r="AM729" s="111">
        <v>192.93</v>
      </c>
    </row>
    <row r="730" spans="1:39" ht="15" customHeight="1" x14ac:dyDescent="0.25">
      <c r="A730" s="1409"/>
      <c r="B730" s="1409"/>
      <c r="C730" s="1409"/>
      <c r="D730" s="1409"/>
      <c r="E730" s="1247"/>
      <c r="F730" s="1248" t="s">
        <v>4706</v>
      </c>
      <c r="G730" s="111"/>
      <c r="H730" s="1249">
        <v>1</v>
      </c>
      <c r="I730" s="111" t="s">
        <v>4674</v>
      </c>
      <c r="J730" s="1321" t="s">
        <v>5608</v>
      </c>
      <c r="K730" s="162" t="s">
        <v>5610</v>
      </c>
      <c r="L730" s="162" t="s">
        <v>5609</v>
      </c>
      <c r="M730" s="111">
        <v>206.71</v>
      </c>
      <c r="N730" s="111">
        <v>206.71</v>
      </c>
      <c r="O730" s="111"/>
      <c r="P730" s="111"/>
      <c r="Q730" s="111"/>
      <c r="R730" s="111"/>
      <c r="S730" s="1249">
        <v>1</v>
      </c>
      <c r="T730" s="1250">
        <v>68.903333333333336</v>
      </c>
      <c r="U730" s="1250"/>
      <c r="V730" s="1250"/>
      <c r="W730" s="1251">
        <v>0</v>
      </c>
      <c r="X730" s="1250">
        <v>68.903333333333336</v>
      </c>
      <c r="Y730" s="1250"/>
      <c r="Z730" s="1250"/>
      <c r="AA730" s="1250"/>
      <c r="AB730" s="1250"/>
      <c r="AC730" s="1250"/>
      <c r="AD730" s="1250"/>
      <c r="AE730" s="1249">
        <v>0</v>
      </c>
      <c r="AF730" s="1250">
        <v>68.903333333333336</v>
      </c>
      <c r="AG730" s="111"/>
      <c r="AH730" s="111"/>
      <c r="AI730" s="111"/>
      <c r="AJ730" s="111"/>
      <c r="AK730" s="111"/>
      <c r="AL730" s="111"/>
      <c r="AM730" s="111">
        <v>206.71</v>
      </c>
    </row>
    <row r="731" spans="1:39" ht="15" customHeight="1" x14ac:dyDescent="0.25">
      <c r="A731" s="1409"/>
      <c r="B731" s="1409"/>
      <c r="C731" s="1409"/>
      <c r="D731" s="1409"/>
      <c r="E731" s="1247"/>
      <c r="F731" s="1248" t="s">
        <v>4707</v>
      </c>
      <c r="G731" s="111"/>
      <c r="H731" s="1249">
        <v>10</v>
      </c>
      <c r="I731" s="111" t="s">
        <v>1721</v>
      </c>
      <c r="J731" s="1321" t="s">
        <v>5608</v>
      </c>
      <c r="K731" s="162" t="s">
        <v>5610</v>
      </c>
      <c r="L731" s="162" t="s">
        <v>5609</v>
      </c>
      <c r="M731" s="111">
        <v>27.559999999999995</v>
      </c>
      <c r="N731" s="111">
        <v>275.59999999999997</v>
      </c>
      <c r="O731" s="111"/>
      <c r="P731" s="111"/>
      <c r="Q731" s="111"/>
      <c r="R731" s="111"/>
      <c r="S731" s="1249">
        <v>5</v>
      </c>
      <c r="T731" s="1250">
        <v>91.86666666666666</v>
      </c>
      <c r="U731" s="1250"/>
      <c r="V731" s="1250"/>
      <c r="W731" s="1251">
        <v>5</v>
      </c>
      <c r="X731" s="1250">
        <v>91.86666666666666</v>
      </c>
      <c r="Y731" s="1250"/>
      <c r="Z731" s="1250"/>
      <c r="AA731" s="1250"/>
      <c r="AB731" s="1250"/>
      <c r="AC731" s="1250"/>
      <c r="AD731" s="1250"/>
      <c r="AE731" s="1249">
        <v>0</v>
      </c>
      <c r="AF731" s="1250">
        <v>91.86666666666666</v>
      </c>
      <c r="AG731" s="111"/>
      <c r="AH731" s="111"/>
      <c r="AI731" s="111"/>
      <c r="AJ731" s="111"/>
      <c r="AK731" s="111"/>
      <c r="AL731" s="111"/>
      <c r="AM731" s="111">
        <v>275.59999999999997</v>
      </c>
    </row>
    <row r="732" spans="1:39" ht="15" customHeight="1" x14ac:dyDescent="0.25">
      <c r="A732" s="1409"/>
      <c r="B732" s="1409"/>
      <c r="C732" s="1409"/>
      <c r="D732" s="1409"/>
      <c r="E732" s="1247"/>
      <c r="F732" s="1248" t="s">
        <v>4708</v>
      </c>
      <c r="G732" s="111"/>
      <c r="H732" s="1249">
        <v>10</v>
      </c>
      <c r="I732" s="111" t="s">
        <v>4674</v>
      </c>
      <c r="J732" s="1321" t="s">
        <v>5608</v>
      </c>
      <c r="K732" s="162" t="s">
        <v>5610</v>
      </c>
      <c r="L732" s="162" t="s">
        <v>5609</v>
      </c>
      <c r="M732" s="111">
        <v>60.64</v>
      </c>
      <c r="N732" s="111">
        <v>606.4</v>
      </c>
      <c r="O732" s="111"/>
      <c r="P732" s="111"/>
      <c r="Q732" s="111"/>
      <c r="R732" s="111"/>
      <c r="S732" s="1249">
        <v>5</v>
      </c>
      <c r="T732" s="1250">
        <v>202.13333333333333</v>
      </c>
      <c r="U732" s="1250"/>
      <c r="V732" s="1250"/>
      <c r="W732" s="1251">
        <v>5</v>
      </c>
      <c r="X732" s="1250">
        <v>202.13333333333333</v>
      </c>
      <c r="Y732" s="1250"/>
      <c r="Z732" s="1250"/>
      <c r="AA732" s="1250"/>
      <c r="AB732" s="1250"/>
      <c r="AC732" s="1250"/>
      <c r="AD732" s="1250"/>
      <c r="AE732" s="1249">
        <v>0</v>
      </c>
      <c r="AF732" s="1250">
        <v>202.13333333333333</v>
      </c>
      <c r="AG732" s="111"/>
      <c r="AH732" s="111"/>
      <c r="AI732" s="111"/>
      <c r="AJ732" s="111"/>
      <c r="AK732" s="111"/>
      <c r="AL732" s="111"/>
      <c r="AM732" s="111">
        <v>606.4</v>
      </c>
    </row>
    <row r="733" spans="1:39" ht="15" customHeight="1" x14ac:dyDescent="0.25">
      <c r="A733" s="1409"/>
      <c r="B733" s="1409"/>
      <c r="C733" s="1409"/>
      <c r="D733" s="1409"/>
      <c r="E733" s="1247"/>
      <c r="F733" s="1248" t="s">
        <v>2681</v>
      </c>
      <c r="G733" s="111"/>
      <c r="H733" s="1249">
        <v>5</v>
      </c>
      <c r="I733" s="111" t="s">
        <v>4674</v>
      </c>
      <c r="J733" s="1321" t="s">
        <v>5608</v>
      </c>
      <c r="K733" s="162" t="s">
        <v>5610</v>
      </c>
      <c r="L733" s="162" t="s">
        <v>5609</v>
      </c>
      <c r="M733" s="111">
        <v>53.75</v>
      </c>
      <c r="N733" s="111">
        <v>268.75</v>
      </c>
      <c r="O733" s="111"/>
      <c r="P733" s="111"/>
      <c r="Q733" s="111"/>
      <c r="R733" s="111"/>
      <c r="S733" s="1249">
        <v>2</v>
      </c>
      <c r="T733" s="1250">
        <v>89.583333333333329</v>
      </c>
      <c r="U733" s="1250"/>
      <c r="V733" s="1250"/>
      <c r="W733" s="1251">
        <v>2</v>
      </c>
      <c r="X733" s="1250">
        <v>89.583333333333329</v>
      </c>
      <c r="Y733" s="1250"/>
      <c r="Z733" s="1250"/>
      <c r="AA733" s="1250"/>
      <c r="AB733" s="1250"/>
      <c r="AC733" s="1250"/>
      <c r="AD733" s="1250"/>
      <c r="AE733" s="1249">
        <v>1</v>
      </c>
      <c r="AF733" s="1250">
        <v>89.583333333333329</v>
      </c>
      <c r="AG733" s="111"/>
      <c r="AH733" s="111"/>
      <c r="AI733" s="111"/>
      <c r="AJ733" s="111"/>
      <c r="AK733" s="111"/>
      <c r="AL733" s="111"/>
      <c r="AM733" s="111">
        <v>268.75</v>
      </c>
    </row>
    <row r="734" spans="1:39" ht="15" customHeight="1" x14ac:dyDescent="0.25">
      <c r="A734" s="1409"/>
      <c r="B734" s="1409"/>
      <c r="C734" s="1409"/>
      <c r="D734" s="1409"/>
      <c r="E734" s="1247"/>
      <c r="F734" s="1248" t="s">
        <v>4709</v>
      </c>
      <c r="G734" s="111"/>
      <c r="H734" s="1249">
        <v>5</v>
      </c>
      <c r="I734" s="111" t="s">
        <v>4674</v>
      </c>
      <c r="J734" s="1321" t="s">
        <v>5608</v>
      </c>
      <c r="K734" s="162" t="s">
        <v>5610</v>
      </c>
      <c r="L734" s="162" t="s">
        <v>5609</v>
      </c>
      <c r="M734" s="111">
        <v>241.16</v>
      </c>
      <c r="N734" s="111">
        <v>1205.8</v>
      </c>
      <c r="O734" s="111"/>
      <c r="P734" s="111"/>
      <c r="Q734" s="111"/>
      <c r="R734" s="111"/>
      <c r="S734" s="1249">
        <v>2</v>
      </c>
      <c r="T734" s="1250">
        <v>401.93333333333334</v>
      </c>
      <c r="U734" s="1250"/>
      <c r="V734" s="1250"/>
      <c r="W734" s="1251">
        <v>2</v>
      </c>
      <c r="X734" s="1250">
        <v>401.93333333333334</v>
      </c>
      <c r="Y734" s="1250"/>
      <c r="Z734" s="1250"/>
      <c r="AA734" s="1250"/>
      <c r="AB734" s="1250"/>
      <c r="AC734" s="1250"/>
      <c r="AD734" s="1250"/>
      <c r="AE734" s="1249">
        <v>1</v>
      </c>
      <c r="AF734" s="1250">
        <v>401.93333333333334</v>
      </c>
      <c r="AG734" s="111"/>
      <c r="AH734" s="111"/>
      <c r="AI734" s="111"/>
      <c r="AJ734" s="111"/>
      <c r="AK734" s="111"/>
      <c r="AL734" s="111"/>
      <c r="AM734" s="111">
        <v>1205.8</v>
      </c>
    </row>
    <row r="735" spans="1:39" ht="15" customHeight="1" x14ac:dyDescent="0.25">
      <c r="A735" s="1409"/>
      <c r="B735" s="1409"/>
      <c r="C735" s="1409"/>
      <c r="D735" s="1409"/>
      <c r="E735" s="1247"/>
      <c r="F735" s="1248" t="s">
        <v>4710</v>
      </c>
      <c r="G735" s="111"/>
      <c r="H735" s="1249">
        <v>5</v>
      </c>
      <c r="I735" s="111" t="s">
        <v>4674</v>
      </c>
      <c r="J735" s="1321" t="s">
        <v>5608</v>
      </c>
      <c r="K735" s="162" t="s">
        <v>5610</v>
      </c>
      <c r="L735" s="162" t="s">
        <v>5609</v>
      </c>
      <c r="M735" s="111">
        <v>44.08</v>
      </c>
      <c r="N735" s="111">
        <v>220.39999999999998</v>
      </c>
      <c r="O735" s="111"/>
      <c r="P735" s="111"/>
      <c r="Q735" s="111"/>
      <c r="R735" s="111"/>
      <c r="S735" s="1249">
        <v>2</v>
      </c>
      <c r="T735" s="1250">
        <v>73.466666666666654</v>
      </c>
      <c r="U735" s="1250"/>
      <c r="V735" s="1250"/>
      <c r="W735" s="1251">
        <v>2</v>
      </c>
      <c r="X735" s="1250">
        <v>73.466666666666654</v>
      </c>
      <c r="Y735" s="1250"/>
      <c r="Z735" s="1250"/>
      <c r="AA735" s="1250"/>
      <c r="AB735" s="1250"/>
      <c r="AC735" s="1250"/>
      <c r="AD735" s="1250"/>
      <c r="AE735" s="1249">
        <v>1</v>
      </c>
      <c r="AF735" s="1250">
        <v>73.466666666666654</v>
      </c>
      <c r="AG735" s="111"/>
      <c r="AH735" s="111"/>
      <c r="AI735" s="111"/>
      <c r="AJ735" s="111"/>
      <c r="AK735" s="111"/>
      <c r="AL735" s="111"/>
      <c r="AM735" s="111">
        <v>220.39999999999998</v>
      </c>
    </row>
    <row r="736" spans="1:39" ht="15" customHeight="1" x14ac:dyDescent="0.25">
      <c r="A736" s="1409"/>
      <c r="B736" s="1409"/>
      <c r="C736" s="1409"/>
      <c r="D736" s="1409"/>
      <c r="E736" s="1247"/>
      <c r="F736" s="1248" t="s">
        <v>4711</v>
      </c>
      <c r="G736" s="111"/>
      <c r="H736" s="1249">
        <v>5</v>
      </c>
      <c r="I736" s="111" t="s">
        <v>4674</v>
      </c>
      <c r="J736" s="1321" t="s">
        <v>5608</v>
      </c>
      <c r="K736" s="162" t="s">
        <v>5610</v>
      </c>
      <c r="L736" s="162" t="s">
        <v>5609</v>
      </c>
      <c r="M736" s="111">
        <v>97</v>
      </c>
      <c r="N736" s="111">
        <v>485</v>
      </c>
      <c r="O736" s="111"/>
      <c r="P736" s="111"/>
      <c r="Q736" s="111"/>
      <c r="R736" s="111"/>
      <c r="S736" s="1249">
        <v>2</v>
      </c>
      <c r="T736" s="1250">
        <v>161.66666666666666</v>
      </c>
      <c r="U736" s="1250"/>
      <c r="V736" s="1250"/>
      <c r="W736" s="1251">
        <v>2</v>
      </c>
      <c r="X736" s="1250">
        <v>161.66666666666666</v>
      </c>
      <c r="Y736" s="1250"/>
      <c r="Z736" s="1250"/>
      <c r="AA736" s="1250"/>
      <c r="AB736" s="1250"/>
      <c r="AC736" s="1250"/>
      <c r="AD736" s="1250"/>
      <c r="AE736" s="1249">
        <v>1</v>
      </c>
      <c r="AF736" s="1250">
        <v>161.66666666666666</v>
      </c>
      <c r="AG736" s="111"/>
      <c r="AH736" s="111"/>
      <c r="AI736" s="111"/>
      <c r="AJ736" s="111"/>
      <c r="AK736" s="111"/>
      <c r="AL736" s="111"/>
      <c r="AM736" s="111">
        <v>485</v>
      </c>
    </row>
    <row r="737" spans="1:39" ht="15" customHeight="1" x14ac:dyDescent="0.25">
      <c r="A737" s="1409"/>
      <c r="B737" s="1409"/>
      <c r="C737" s="1409"/>
      <c r="D737" s="1409"/>
      <c r="E737" s="1247"/>
      <c r="F737" s="1248" t="s">
        <v>4712</v>
      </c>
      <c r="G737" s="111"/>
      <c r="H737" s="1249">
        <v>12</v>
      </c>
      <c r="I737" s="111" t="s">
        <v>1827</v>
      </c>
      <c r="J737" s="1321" t="s">
        <v>5608</v>
      </c>
      <c r="K737" s="162" t="s">
        <v>5610</v>
      </c>
      <c r="L737" s="162" t="s">
        <v>5609</v>
      </c>
      <c r="M737" s="111">
        <v>62.01</v>
      </c>
      <c r="N737" s="111">
        <v>744.12</v>
      </c>
      <c r="O737" s="111"/>
      <c r="P737" s="111"/>
      <c r="Q737" s="111"/>
      <c r="R737" s="111"/>
      <c r="S737" s="1249">
        <v>5</v>
      </c>
      <c r="T737" s="1250">
        <v>248.04</v>
      </c>
      <c r="U737" s="1250"/>
      <c r="V737" s="1250"/>
      <c r="W737" s="1251">
        <v>5</v>
      </c>
      <c r="X737" s="1250">
        <v>248.04</v>
      </c>
      <c r="Y737" s="1250"/>
      <c r="Z737" s="1250"/>
      <c r="AA737" s="1250"/>
      <c r="AB737" s="1250"/>
      <c r="AC737" s="1250"/>
      <c r="AD737" s="1250"/>
      <c r="AE737" s="1249">
        <v>2</v>
      </c>
      <c r="AF737" s="1250">
        <v>248.04</v>
      </c>
      <c r="AG737" s="111"/>
      <c r="AH737" s="111"/>
      <c r="AI737" s="111"/>
      <c r="AJ737" s="111"/>
      <c r="AK737" s="111"/>
      <c r="AL737" s="111"/>
      <c r="AM737" s="111">
        <v>744.12</v>
      </c>
    </row>
    <row r="738" spans="1:39" ht="15" customHeight="1" x14ac:dyDescent="0.25">
      <c r="A738" s="1409"/>
      <c r="B738" s="1409"/>
      <c r="C738" s="1409"/>
      <c r="D738" s="1409"/>
      <c r="E738" s="1247"/>
      <c r="F738" s="1248" t="s">
        <v>4713</v>
      </c>
      <c r="G738" s="111"/>
      <c r="H738" s="1249">
        <v>1</v>
      </c>
      <c r="I738" s="111" t="s">
        <v>1721</v>
      </c>
      <c r="J738" s="1321" t="s">
        <v>5608</v>
      </c>
      <c r="K738" s="162" t="s">
        <v>5610</v>
      </c>
      <c r="L738" s="162" t="s">
        <v>5609</v>
      </c>
      <c r="M738" s="111">
        <v>162.61000000000001</v>
      </c>
      <c r="N738" s="111">
        <v>162.61000000000001</v>
      </c>
      <c r="O738" s="111"/>
      <c r="P738" s="111"/>
      <c r="Q738" s="111"/>
      <c r="R738" s="111"/>
      <c r="S738" s="1249">
        <v>1</v>
      </c>
      <c r="T738" s="1250">
        <v>54.20333333333334</v>
      </c>
      <c r="U738" s="1250"/>
      <c r="V738" s="1250"/>
      <c r="W738" s="1251">
        <v>0</v>
      </c>
      <c r="X738" s="1250">
        <v>54.20333333333334</v>
      </c>
      <c r="Y738" s="1250"/>
      <c r="Z738" s="1250"/>
      <c r="AA738" s="1250"/>
      <c r="AB738" s="1250"/>
      <c r="AC738" s="1250"/>
      <c r="AD738" s="1250"/>
      <c r="AE738" s="1249">
        <v>0</v>
      </c>
      <c r="AF738" s="1250">
        <v>54.20333333333334</v>
      </c>
      <c r="AG738" s="111"/>
      <c r="AH738" s="111"/>
      <c r="AI738" s="111"/>
      <c r="AJ738" s="111"/>
      <c r="AK738" s="111"/>
      <c r="AL738" s="111"/>
      <c r="AM738" s="111">
        <v>162.61000000000001</v>
      </c>
    </row>
    <row r="739" spans="1:39" ht="15" customHeight="1" x14ac:dyDescent="0.25">
      <c r="A739" s="1409"/>
      <c r="B739" s="1409"/>
      <c r="C739" s="1409"/>
      <c r="D739" s="1409"/>
      <c r="E739" s="1247"/>
      <c r="F739" s="1248" t="s">
        <v>4714</v>
      </c>
      <c r="G739" s="111"/>
      <c r="H739" s="1249">
        <v>1</v>
      </c>
      <c r="I739" s="111" t="s">
        <v>1721</v>
      </c>
      <c r="J739" s="1321" t="s">
        <v>5608</v>
      </c>
      <c r="K739" s="162" t="s">
        <v>5610</v>
      </c>
      <c r="L739" s="162" t="s">
        <v>5609</v>
      </c>
      <c r="M739" s="111">
        <v>232.9</v>
      </c>
      <c r="N739" s="111">
        <v>232.9</v>
      </c>
      <c r="O739" s="111"/>
      <c r="P739" s="111"/>
      <c r="Q739" s="111"/>
      <c r="R739" s="111"/>
      <c r="S739" s="1249">
        <v>1</v>
      </c>
      <c r="T739" s="1250">
        <v>77.63333333333334</v>
      </c>
      <c r="U739" s="1250"/>
      <c r="V739" s="1250"/>
      <c r="W739" s="1251">
        <v>0</v>
      </c>
      <c r="X739" s="1250">
        <v>77.63333333333334</v>
      </c>
      <c r="Y739" s="1250"/>
      <c r="Z739" s="1250"/>
      <c r="AA739" s="1250"/>
      <c r="AB739" s="1250"/>
      <c r="AC739" s="1250"/>
      <c r="AD739" s="1250"/>
      <c r="AE739" s="1249">
        <v>0</v>
      </c>
      <c r="AF739" s="1250">
        <v>77.63333333333334</v>
      </c>
      <c r="AG739" s="111"/>
      <c r="AH739" s="111"/>
      <c r="AI739" s="111"/>
      <c r="AJ739" s="111"/>
      <c r="AK739" s="111"/>
      <c r="AL739" s="111"/>
      <c r="AM739" s="111">
        <v>232.9</v>
      </c>
    </row>
    <row r="740" spans="1:39" ht="15" customHeight="1" x14ac:dyDescent="0.25">
      <c r="A740" s="1409"/>
      <c r="B740" s="1409"/>
      <c r="C740" s="1409"/>
      <c r="D740" s="1409"/>
      <c r="E740" s="1247"/>
      <c r="F740" s="1248" t="s">
        <v>4715</v>
      </c>
      <c r="G740" s="111"/>
      <c r="H740" s="1249">
        <v>20</v>
      </c>
      <c r="I740" s="111" t="s">
        <v>4704</v>
      </c>
      <c r="J740" s="1321" t="s">
        <v>5608</v>
      </c>
      <c r="K740" s="162" t="s">
        <v>5610</v>
      </c>
      <c r="L740" s="162" t="s">
        <v>5609</v>
      </c>
      <c r="M740" s="111">
        <v>28</v>
      </c>
      <c r="N740" s="111">
        <v>560</v>
      </c>
      <c r="O740" s="111"/>
      <c r="P740" s="111"/>
      <c r="Q740" s="111"/>
      <c r="R740" s="111"/>
      <c r="S740" s="1249">
        <v>10</v>
      </c>
      <c r="T740" s="1250">
        <v>186.66666666666666</v>
      </c>
      <c r="U740" s="1250"/>
      <c r="V740" s="1250"/>
      <c r="W740" s="1251">
        <v>5</v>
      </c>
      <c r="X740" s="1250">
        <v>186.66666666666666</v>
      </c>
      <c r="Y740" s="1250"/>
      <c r="Z740" s="1250"/>
      <c r="AA740" s="1250"/>
      <c r="AB740" s="1250"/>
      <c r="AC740" s="1250"/>
      <c r="AD740" s="1250"/>
      <c r="AE740" s="1249">
        <v>5</v>
      </c>
      <c r="AF740" s="1250">
        <v>186.66666666666666</v>
      </c>
      <c r="AG740" s="111"/>
      <c r="AH740" s="111"/>
      <c r="AI740" s="111"/>
      <c r="AJ740" s="111"/>
      <c r="AK740" s="111"/>
      <c r="AL740" s="111"/>
      <c r="AM740" s="111">
        <v>560</v>
      </c>
    </row>
    <row r="741" spans="1:39" ht="15" customHeight="1" x14ac:dyDescent="0.25">
      <c r="A741" s="1409"/>
      <c r="B741" s="1409"/>
      <c r="C741" s="1409"/>
      <c r="D741" s="1409"/>
      <c r="E741" s="1247"/>
      <c r="F741" s="1248" t="s">
        <v>4716</v>
      </c>
      <c r="G741" s="111"/>
      <c r="H741" s="1249">
        <v>10</v>
      </c>
      <c r="I741" s="111" t="s">
        <v>1827</v>
      </c>
      <c r="J741" s="1321" t="s">
        <v>5608</v>
      </c>
      <c r="K741" s="162" t="s">
        <v>5610</v>
      </c>
      <c r="L741" s="162" t="s">
        <v>5609</v>
      </c>
      <c r="M741" s="111">
        <v>120</v>
      </c>
      <c r="N741" s="111">
        <v>1200</v>
      </c>
      <c r="O741" s="111"/>
      <c r="P741" s="111"/>
      <c r="Q741" s="111"/>
      <c r="R741" s="111"/>
      <c r="S741" s="1249">
        <v>5</v>
      </c>
      <c r="T741" s="1250">
        <v>400</v>
      </c>
      <c r="U741" s="1250"/>
      <c r="V741" s="1250"/>
      <c r="W741" s="1251">
        <v>5</v>
      </c>
      <c r="X741" s="1250">
        <v>400</v>
      </c>
      <c r="Y741" s="1250"/>
      <c r="Z741" s="1250"/>
      <c r="AA741" s="1250"/>
      <c r="AB741" s="1250"/>
      <c r="AC741" s="1250"/>
      <c r="AD741" s="1250"/>
      <c r="AE741" s="1249">
        <v>0</v>
      </c>
      <c r="AF741" s="1250">
        <v>400</v>
      </c>
      <c r="AG741" s="111"/>
      <c r="AH741" s="111"/>
      <c r="AI741" s="111"/>
      <c r="AJ741" s="111"/>
      <c r="AK741" s="111"/>
      <c r="AL741" s="111"/>
      <c r="AM741" s="111">
        <v>1200</v>
      </c>
    </row>
    <row r="742" spans="1:39" ht="15" customHeight="1" x14ac:dyDescent="0.25">
      <c r="A742" s="1409"/>
      <c r="B742" s="1409"/>
      <c r="C742" s="1409"/>
      <c r="D742" s="1409"/>
      <c r="E742" s="1247"/>
      <c r="F742" s="1248" t="s">
        <v>405</v>
      </c>
      <c r="G742" s="111"/>
      <c r="H742" s="1249">
        <v>2</v>
      </c>
      <c r="I742" s="111" t="s">
        <v>4044</v>
      </c>
      <c r="J742" s="1321" t="s">
        <v>5608</v>
      </c>
      <c r="K742" s="162" t="s">
        <v>5610</v>
      </c>
      <c r="L742" s="162" t="s">
        <v>5609</v>
      </c>
      <c r="M742" s="111">
        <v>365.19</v>
      </c>
      <c r="N742" s="111">
        <v>730.38</v>
      </c>
      <c r="O742" s="111"/>
      <c r="P742" s="111"/>
      <c r="Q742" s="111"/>
      <c r="R742" s="111"/>
      <c r="S742" s="1249">
        <v>2</v>
      </c>
      <c r="T742" s="1250">
        <v>243.46</v>
      </c>
      <c r="U742" s="1250"/>
      <c r="V742" s="1250"/>
      <c r="W742" s="1251">
        <v>0</v>
      </c>
      <c r="X742" s="1250">
        <v>243.46</v>
      </c>
      <c r="Y742" s="1250"/>
      <c r="Z742" s="1250"/>
      <c r="AA742" s="1250"/>
      <c r="AB742" s="1250"/>
      <c r="AC742" s="1250"/>
      <c r="AD742" s="1250"/>
      <c r="AE742" s="1249">
        <v>0</v>
      </c>
      <c r="AF742" s="1250">
        <v>243.46</v>
      </c>
      <c r="AG742" s="111"/>
      <c r="AH742" s="111"/>
      <c r="AI742" s="111"/>
      <c r="AJ742" s="111"/>
      <c r="AK742" s="111"/>
      <c r="AL742" s="111"/>
      <c r="AM742" s="111">
        <v>730.38</v>
      </c>
    </row>
    <row r="743" spans="1:39" ht="15" customHeight="1" x14ac:dyDescent="0.25">
      <c r="A743" s="1409"/>
      <c r="B743" s="1409"/>
      <c r="C743" s="1409"/>
      <c r="D743" s="1409"/>
      <c r="E743" s="1247"/>
      <c r="F743" s="1248" t="s">
        <v>4717</v>
      </c>
      <c r="G743" s="111"/>
      <c r="H743" s="1249">
        <v>2</v>
      </c>
      <c r="I743" s="111" t="s">
        <v>4674</v>
      </c>
      <c r="J743" s="1321" t="s">
        <v>5608</v>
      </c>
      <c r="K743" s="162" t="s">
        <v>5610</v>
      </c>
      <c r="L743" s="162" t="s">
        <v>5609</v>
      </c>
      <c r="M743" s="111">
        <v>199.82</v>
      </c>
      <c r="N743" s="111">
        <v>399.64</v>
      </c>
      <c r="O743" s="111"/>
      <c r="P743" s="111"/>
      <c r="Q743" s="111"/>
      <c r="R743" s="111"/>
      <c r="S743" s="1249">
        <v>2</v>
      </c>
      <c r="T743" s="1250">
        <v>133.21333333333334</v>
      </c>
      <c r="U743" s="1250"/>
      <c r="V743" s="1250"/>
      <c r="W743" s="1251">
        <v>0</v>
      </c>
      <c r="X743" s="1250">
        <v>133.21333333333334</v>
      </c>
      <c r="Y743" s="1250"/>
      <c r="Z743" s="1250"/>
      <c r="AA743" s="1250"/>
      <c r="AB743" s="1250"/>
      <c r="AC743" s="1250"/>
      <c r="AD743" s="1250"/>
      <c r="AE743" s="1249">
        <v>0</v>
      </c>
      <c r="AF743" s="1250">
        <v>133.21333333333334</v>
      </c>
      <c r="AG743" s="111"/>
      <c r="AH743" s="111"/>
      <c r="AI743" s="111"/>
      <c r="AJ743" s="111"/>
      <c r="AK743" s="111"/>
      <c r="AL743" s="111"/>
      <c r="AM743" s="111">
        <v>399.64</v>
      </c>
    </row>
    <row r="744" spans="1:39" ht="15" customHeight="1" x14ac:dyDescent="0.25">
      <c r="A744" s="1409"/>
      <c r="B744" s="1409"/>
      <c r="C744" s="1409"/>
      <c r="D744" s="1409"/>
      <c r="E744" s="1247"/>
      <c r="F744" s="1248" t="s">
        <v>4718</v>
      </c>
      <c r="G744" s="111"/>
      <c r="H744" s="1249">
        <v>4</v>
      </c>
      <c r="I744" s="111" t="s">
        <v>4674</v>
      </c>
      <c r="J744" s="1321" t="s">
        <v>5608</v>
      </c>
      <c r="K744" s="162" t="s">
        <v>5610</v>
      </c>
      <c r="L744" s="162" t="s">
        <v>5609</v>
      </c>
      <c r="M744" s="111">
        <v>192.93</v>
      </c>
      <c r="N744" s="111">
        <v>771.72</v>
      </c>
      <c r="O744" s="111"/>
      <c r="P744" s="111"/>
      <c r="Q744" s="111"/>
      <c r="R744" s="111"/>
      <c r="S744" s="1249">
        <v>2</v>
      </c>
      <c r="T744" s="1250">
        <v>257.24</v>
      </c>
      <c r="U744" s="1250"/>
      <c r="V744" s="1250"/>
      <c r="W744" s="1251">
        <v>1</v>
      </c>
      <c r="X744" s="1250">
        <v>257.24</v>
      </c>
      <c r="Y744" s="1250"/>
      <c r="Z744" s="1250"/>
      <c r="AA744" s="1250"/>
      <c r="AB744" s="1250"/>
      <c r="AC744" s="1250"/>
      <c r="AD744" s="1250"/>
      <c r="AE744" s="1249">
        <v>1</v>
      </c>
      <c r="AF744" s="1250">
        <v>257.24</v>
      </c>
      <c r="AG744" s="111"/>
      <c r="AH744" s="111"/>
      <c r="AI744" s="111"/>
      <c r="AJ744" s="111"/>
      <c r="AK744" s="111"/>
      <c r="AL744" s="111"/>
      <c r="AM744" s="111">
        <v>771.72</v>
      </c>
    </row>
    <row r="745" spans="1:39" ht="15" customHeight="1" x14ac:dyDescent="0.25">
      <c r="A745" s="1409"/>
      <c r="B745" s="1409"/>
      <c r="C745" s="1409"/>
      <c r="D745" s="1409"/>
      <c r="E745" s="1247"/>
      <c r="F745" s="1248"/>
      <c r="G745" s="111"/>
      <c r="H745" s="1249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249"/>
      <c r="T745" s="1250"/>
      <c r="U745" s="1250"/>
      <c r="V745" s="1250"/>
      <c r="W745" s="1251"/>
      <c r="X745" s="1250"/>
      <c r="Y745" s="1250"/>
      <c r="Z745" s="1250"/>
      <c r="AA745" s="1250"/>
      <c r="AB745" s="1250"/>
      <c r="AC745" s="1250"/>
      <c r="AD745" s="1250"/>
      <c r="AE745" s="1249"/>
      <c r="AF745" s="1250"/>
      <c r="AG745" s="111"/>
      <c r="AH745" s="111"/>
      <c r="AI745" s="111"/>
      <c r="AJ745" s="111"/>
      <c r="AK745" s="111"/>
      <c r="AL745" s="111"/>
      <c r="AM745" s="111"/>
    </row>
    <row r="746" spans="1:39" ht="15" customHeight="1" x14ac:dyDescent="0.25">
      <c r="A746" s="1409"/>
      <c r="B746" s="1409"/>
      <c r="C746" s="1409"/>
      <c r="D746" s="1409"/>
      <c r="E746" s="1261">
        <v>21702</v>
      </c>
      <c r="F746" s="1262" t="s">
        <v>4719</v>
      </c>
      <c r="G746" s="1261"/>
      <c r="H746" s="1261"/>
      <c r="I746" s="1261"/>
      <c r="J746" s="1261"/>
      <c r="K746" s="1261"/>
      <c r="L746" s="1261"/>
      <c r="M746" s="1261"/>
      <c r="N746" s="1261"/>
      <c r="O746" s="1261"/>
      <c r="P746" s="1261"/>
      <c r="Q746" s="1261"/>
      <c r="R746" s="1261"/>
      <c r="S746" s="1261"/>
      <c r="T746" s="1261"/>
      <c r="U746" s="1261"/>
      <c r="V746" s="1261"/>
      <c r="W746" s="1261"/>
      <c r="X746" s="1261"/>
      <c r="Y746" s="1261"/>
      <c r="Z746" s="1261"/>
      <c r="AA746" s="1261"/>
      <c r="AB746" s="1261"/>
      <c r="AC746" s="1261"/>
      <c r="AD746" s="1261"/>
      <c r="AE746" s="1261"/>
      <c r="AF746" s="1261"/>
      <c r="AG746" s="1261"/>
      <c r="AH746" s="1261"/>
      <c r="AI746" s="1261"/>
      <c r="AJ746" s="1261"/>
      <c r="AK746" s="1261"/>
      <c r="AL746" s="1261"/>
      <c r="AM746" s="1261"/>
    </row>
    <row r="747" spans="1:39" ht="15" customHeight="1" x14ac:dyDescent="0.25">
      <c r="A747" s="1409"/>
      <c r="B747" s="1409"/>
      <c r="C747" s="1409"/>
      <c r="D747" s="1409"/>
      <c r="E747" s="1247"/>
      <c r="F747" s="1248" t="s">
        <v>4720</v>
      </c>
      <c r="G747" s="111"/>
      <c r="H747" s="1249">
        <v>1</v>
      </c>
      <c r="I747" s="111" t="s">
        <v>1776</v>
      </c>
      <c r="J747" s="1321" t="s">
        <v>5608</v>
      </c>
      <c r="K747" s="162" t="s">
        <v>5610</v>
      </c>
      <c r="L747" s="162" t="s">
        <v>5609</v>
      </c>
      <c r="M747" s="111">
        <v>324</v>
      </c>
      <c r="N747" s="111">
        <v>324</v>
      </c>
      <c r="O747" s="111"/>
      <c r="P747" s="111"/>
      <c r="Q747" s="111"/>
      <c r="R747" s="111"/>
      <c r="S747" s="1249">
        <v>1</v>
      </c>
      <c r="T747" s="1250">
        <v>108</v>
      </c>
      <c r="U747" s="1250"/>
      <c r="V747" s="1250"/>
      <c r="W747" s="1251">
        <v>0</v>
      </c>
      <c r="X747" s="1250">
        <v>108</v>
      </c>
      <c r="Y747" s="1250"/>
      <c r="Z747" s="1250"/>
      <c r="AA747" s="1250"/>
      <c r="AB747" s="1250"/>
      <c r="AC747" s="1250"/>
      <c r="AD747" s="1250"/>
      <c r="AE747" s="1249">
        <v>0</v>
      </c>
      <c r="AF747" s="1250">
        <v>108</v>
      </c>
      <c r="AG747" s="111"/>
      <c r="AH747" s="111"/>
      <c r="AI747" s="111"/>
      <c r="AJ747" s="111"/>
      <c r="AK747" s="111"/>
      <c r="AL747" s="111"/>
      <c r="AM747" s="111">
        <v>324</v>
      </c>
    </row>
    <row r="748" spans="1:39" ht="15" customHeight="1" x14ac:dyDescent="0.25">
      <c r="A748" s="1409"/>
      <c r="B748" s="1409"/>
      <c r="C748" s="1409"/>
      <c r="D748" s="1409"/>
      <c r="E748" s="1247"/>
      <c r="F748" s="1248" t="s">
        <v>4721</v>
      </c>
      <c r="G748" s="111"/>
      <c r="H748" s="1249">
        <v>1</v>
      </c>
      <c r="I748" s="111" t="s">
        <v>1776</v>
      </c>
      <c r="J748" s="1321" t="s">
        <v>5608</v>
      </c>
      <c r="K748" s="162" t="s">
        <v>5610</v>
      </c>
      <c r="L748" s="162" t="s">
        <v>5609</v>
      </c>
      <c r="M748" s="111">
        <v>324</v>
      </c>
      <c r="N748" s="111">
        <v>324</v>
      </c>
      <c r="O748" s="111"/>
      <c r="P748" s="111"/>
      <c r="Q748" s="111"/>
      <c r="R748" s="111"/>
      <c r="S748" s="1249">
        <v>1</v>
      </c>
      <c r="T748" s="1250">
        <v>108</v>
      </c>
      <c r="U748" s="1250"/>
      <c r="V748" s="1250"/>
      <c r="W748" s="1251">
        <v>0</v>
      </c>
      <c r="X748" s="1250">
        <v>108</v>
      </c>
      <c r="Y748" s="1250"/>
      <c r="Z748" s="1250"/>
      <c r="AA748" s="1250"/>
      <c r="AB748" s="1250"/>
      <c r="AC748" s="1250"/>
      <c r="AD748" s="1250"/>
      <c r="AE748" s="1249">
        <v>0</v>
      </c>
      <c r="AF748" s="1250">
        <v>108</v>
      </c>
      <c r="AG748" s="111"/>
      <c r="AH748" s="111"/>
      <c r="AI748" s="111"/>
      <c r="AJ748" s="111"/>
      <c r="AK748" s="111"/>
      <c r="AL748" s="111"/>
      <c r="AM748" s="111">
        <v>324</v>
      </c>
    </row>
    <row r="749" spans="1:39" ht="15" customHeight="1" x14ac:dyDescent="0.25">
      <c r="A749" s="1409"/>
      <c r="B749" s="1409"/>
      <c r="C749" s="1409"/>
      <c r="D749" s="1409"/>
      <c r="E749" s="1247"/>
      <c r="F749" s="1248" t="s">
        <v>4722</v>
      </c>
      <c r="G749" s="111"/>
      <c r="H749" s="1249">
        <v>1</v>
      </c>
      <c r="I749" s="111" t="s">
        <v>1776</v>
      </c>
      <c r="J749" s="1321" t="s">
        <v>5608</v>
      </c>
      <c r="K749" s="162" t="s">
        <v>5610</v>
      </c>
      <c r="L749" s="162" t="s">
        <v>5609</v>
      </c>
      <c r="M749" s="111">
        <v>457.92</v>
      </c>
      <c r="N749" s="111">
        <v>457.92</v>
      </c>
      <c r="O749" s="111"/>
      <c r="P749" s="111"/>
      <c r="Q749" s="111"/>
      <c r="R749" s="111"/>
      <c r="S749" s="1249">
        <v>1</v>
      </c>
      <c r="T749" s="1250">
        <v>152.64000000000001</v>
      </c>
      <c r="U749" s="1250"/>
      <c r="V749" s="1250"/>
      <c r="W749" s="1251">
        <v>0</v>
      </c>
      <c r="X749" s="1250">
        <v>152.64000000000001</v>
      </c>
      <c r="Y749" s="1250"/>
      <c r="Z749" s="1250"/>
      <c r="AA749" s="1250"/>
      <c r="AB749" s="1250"/>
      <c r="AC749" s="1250"/>
      <c r="AD749" s="1250"/>
      <c r="AE749" s="1249">
        <v>0</v>
      </c>
      <c r="AF749" s="1250">
        <v>152.64000000000001</v>
      </c>
      <c r="AG749" s="111"/>
      <c r="AH749" s="111"/>
      <c r="AI749" s="111"/>
      <c r="AJ749" s="111"/>
      <c r="AK749" s="111"/>
      <c r="AL749" s="111"/>
      <c r="AM749" s="111">
        <v>457.92</v>
      </c>
    </row>
    <row r="750" spans="1:39" ht="15" customHeight="1" x14ac:dyDescent="0.25">
      <c r="A750" s="1409"/>
      <c r="B750" s="1409"/>
      <c r="C750" s="1409"/>
      <c r="D750" s="1409"/>
      <c r="E750" s="1247"/>
      <c r="F750" s="1248" t="s">
        <v>4723</v>
      </c>
      <c r="G750" s="111"/>
      <c r="H750" s="1249">
        <v>1</v>
      </c>
      <c r="I750" s="111" t="s">
        <v>1776</v>
      </c>
      <c r="J750" s="1321" t="s">
        <v>5608</v>
      </c>
      <c r="K750" s="162" t="s">
        <v>5610</v>
      </c>
      <c r="L750" s="162" t="s">
        <v>5609</v>
      </c>
      <c r="M750" s="111">
        <v>236.52</v>
      </c>
      <c r="N750" s="111">
        <v>236.52</v>
      </c>
      <c r="O750" s="111"/>
      <c r="P750" s="111"/>
      <c r="Q750" s="111"/>
      <c r="R750" s="111"/>
      <c r="S750" s="1249">
        <v>1</v>
      </c>
      <c r="T750" s="1250">
        <v>78.84</v>
      </c>
      <c r="U750" s="1250"/>
      <c r="V750" s="1250"/>
      <c r="W750" s="1251">
        <v>0</v>
      </c>
      <c r="X750" s="1250">
        <v>78.84</v>
      </c>
      <c r="Y750" s="1250"/>
      <c r="Z750" s="1250"/>
      <c r="AA750" s="1250"/>
      <c r="AB750" s="1250"/>
      <c r="AC750" s="1250"/>
      <c r="AD750" s="1250"/>
      <c r="AE750" s="1249">
        <v>0</v>
      </c>
      <c r="AF750" s="1250">
        <v>78.84</v>
      </c>
      <c r="AG750" s="111"/>
      <c r="AH750" s="111"/>
      <c r="AI750" s="111"/>
      <c r="AJ750" s="111"/>
      <c r="AK750" s="111"/>
      <c r="AL750" s="111"/>
      <c r="AM750" s="111">
        <v>236.52</v>
      </c>
    </row>
    <row r="751" spans="1:39" ht="15" customHeight="1" x14ac:dyDescent="0.25">
      <c r="A751" s="1409"/>
      <c r="B751" s="1409"/>
      <c r="C751" s="1409"/>
      <c r="D751" s="1409"/>
      <c r="E751" s="1247"/>
      <c r="F751" s="1248" t="s">
        <v>4724</v>
      </c>
      <c r="G751" s="111"/>
      <c r="H751" s="1249">
        <v>1</v>
      </c>
      <c r="I751" s="111" t="s">
        <v>1776</v>
      </c>
      <c r="J751" s="1321" t="s">
        <v>5608</v>
      </c>
      <c r="K751" s="162" t="s">
        <v>5610</v>
      </c>
      <c r="L751" s="162" t="s">
        <v>5609</v>
      </c>
      <c r="M751" s="111">
        <v>324</v>
      </c>
      <c r="N751" s="111">
        <v>324</v>
      </c>
      <c r="O751" s="111"/>
      <c r="P751" s="111"/>
      <c r="Q751" s="111"/>
      <c r="R751" s="111"/>
      <c r="S751" s="1249">
        <v>1</v>
      </c>
      <c r="T751" s="1250">
        <v>108</v>
      </c>
      <c r="U751" s="1250"/>
      <c r="V751" s="1250"/>
      <c r="W751" s="1251">
        <v>0</v>
      </c>
      <c r="X751" s="1250">
        <v>108</v>
      </c>
      <c r="Y751" s="1250"/>
      <c r="Z751" s="1250"/>
      <c r="AA751" s="1250"/>
      <c r="AB751" s="1250"/>
      <c r="AC751" s="1250"/>
      <c r="AD751" s="1250"/>
      <c r="AE751" s="1249">
        <v>0</v>
      </c>
      <c r="AF751" s="1250">
        <v>108</v>
      </c>
      <c r="AG751" s="111"/>
      <c r="AH751" s="111"/>
      <c r="AI751" s="111"/>
      <c r="AJ751" s="111"/>
      <c r="AK751" s="111"/>
      <c r="AL751" s="111"/>
      <c r="AM751" s="111">
        <v>324</v>
      </c>
    </row>
    <row r="752" spans="1:39" ht="15" customHeight="1" x14ac:dyDescent="0.25">
      <c r="A752" s="1409"/>
      <c r="B752" s="1409"/>
      <c r="C752" s="1409"/>
      <c r="D752" s="1409"/>
      <c r="E752" s="1247"/>
      <c r="F752" s="1248" t="s">
        <v>4725</v>
      </c>
      <c r="G752" s="111"/>
      <c r="H752" s="1249">
        <v>1</v>
      </c>
      <c r="I752" s="111" t="s">
        <v>1776</v>
      </c>
      <c r="J752" s="1321" t="s">
        <v>5608</v>
      </c>
      <c r="K752" s="162" t="s">
        <v>5610</v>
      </c>
      <c r="L752" s="162" t="s">
        <v>5609</v>
      </c>
      <c r="M752" s="111">
        <v>324</v>
      </c>
      <c r="N752" s="111">
        <v>324</v>
      </c>
      <c r="O752" s="111"/>
      <c r="P752" s="111"/>
      <c r="Q752" s="111"/>
      <c r="R752" s="111"/>
      <c r="S752" s="1249">
        <v>1</v>
      </c>
      <c r="T752" s="1250">
        <v>108</v>
      </c>
      <c r="U752" s="1250"/>
      <c r="V752" s="1250"/>
      <c r="W752" s="1251">
        <v>0</v>
      </c>
      <c r="X752" s="1250">
        <v>108</v>
      </c>
      <c r="Y752" s="1250"/>
      <c r="Z752" s="1250"/>
      <c r="AA752" s="1250"/>
      <c r="AB752" s="1250"/>
      <c r="AC752" s="1250"/>
      <c r="AD752" s="1250"/>
      <c r="AE752" s="1249">
        <v>0</v>
      </c>
      <c r="AF752" s="1250">
        <v>108</v>
      </c>
      <c r="AG752" s="111"/>
      <c r="AH752" s="111"/>
      <c r="AI752" s="111"/>
      <c r="AJ752" s="111"/>
      <c r="AK752" s="111"/>
      <c r="AL752" s="111"/>
      <c r="AM752" s="111">
        <v>324</v>
      </c>
    </row>
    <row r="753" spans="1:39" ht="15" customHeight="1" x14ac:dyDescent="0.25">
      <c r="A753" s="1409"/>
      <c r="B753" s="1409"/>
      <c r="C753" s="1409"/>
      <c r="D753" s="1409"/>
      <c r="E753" s="1247"/>
      <c r="F753" s="1248" t="s">
        <v>4726</v>
      </c>
      <c r="G753" s="111"/>
      <c r="H753" s="1249">
        <v>1</v>
      </c>
      <c r="I753" s="111" t="s">
        <v>1776</v>
      </c>
      <c r="J753" s="1321" t="s">
        <v>5608</v>
      </c>
      <c r="K753" s="162" t="s">
        <v>5610</v>
      </c>
      <c r="L753" s="162" t="s">
        <v>5609</v>
      </c>
      <c r="M753" s="111">
        <v>324</v>
      </c>
      <c r="N753" s="111">
        <v>324</v>
      </c>
      <c r="O753" s="111"/>
      <c r="P753" s="111"/>
      <c r="Q753" s="111"/>
      <c r="R753" s="111"/>
      <c r="S753" s="1249">
        <v>1</v>
      </c>
      <c r="T753" s="1250">
        <v>108</v>
      </c>
      <c r="U753" s="1250"/>
      <c r="V753" s="1250"/>
      <c r="W753" s="1251">
        <v>0</v>
      </c>
      <c r="X753" s="1250">
        <v>108</v>
      </c>
      <c r="Y753" s="1250"/>
      <c r="Z753" s="1250"/>
      <c r="AA753" s="1250"/>
      <c r="AB753" s="1250"/>
      <c r="AC753" s="1250"/>
      <c r="AD753" s="1250"/>
      <c r="AE753" s="1249">
        <v>0</v>
      </c>
      <c r="AF753" s="1250">
        <v>108</v>
      </c>
      <c r="AG753" s="111"/>
      <c r="AH753" s="111"/>
      <c r="AI753" s="111"/>
      <c r="AJ753" s="111"/>
      <c r="AK753" s="111"/>
      <c r="AL753" s="111"/>
      <c r="AM753" s="111">
        <v>324</v>
      </c>
    </row>
    <row r="754" spans="1:39" ht="15" customHeight="1" x14ac:dyDescent="0.25">
      <c r="A754" s="1409"/>
      <c r="B754" s="1409"/>
      <c r="C754" s="1409"/>
      <c r="D754" s="1409"/>
      <c r="E754" s="1247"/>
      <c r="F754" s="1248" t="s">
        <v>4727</v>
      </c>
      <c r="G754" s="111"/>
      <c r="H754" s="1249">
        <v>1</v>
      </c>
      <c r="I754" s="111" t="s">
        <v>1776</v>
      </c>
      <c r="J754" s="1321" t="s">
        <v>5608</v>
      </c>
      <c r="K754" s="162" t="s">
        <v>5610</v>
      </c>
      <c r="L754" s="162" t="s">
        <v>5609</v>
      </c>
      <c r="M754" s="111">
        <v>324</v>
      </c>
      <c r="N754" s="111">
        <v>324</v>
      </c>
      <c r="O754" s="111"/>
      <c r="P754" s="111"/>
      <c r="Q754" s="111"/>
      <c r="R754" s="111"/>
      <c r="S754" s="1249">
        <v>1</v>
      </c>
      <c r="T754" s="1250">
        <v>108</v>
      </c>
      <c r="U754" s="1250"/>
      <c r="V754" s="1250"/>
      <c r="W754" s="1251">
        <v>0</v>
      </c>
      <c r="X754" s="1250">
        <v>108</v>
      </c>
      <c r="Y754" s="1250"/>
      <c r="Z754" s="1250"/>
      <c r="AA754" s="1250"/>
      <c r="AB754" s="1250"/>
      <c r="AC754" s="1250"/>
      <c r="AD754" s="1250"/>
      <c r="AE754" s="1249">
        <v>0</v>
      </c>
      <c r="AF754" s="1250">
        <v>108</v>
      </c>
      <c r="AG754" s="111"/>
      <c r="AH754" s="111"/>
      <c r="AI754" s="111"/>
      <c r="AJ754" s="111"/>
      <c r="AK754" s="111"/>
      <c r="AL754" s="111"/>
      <c r="AM754" s="111">
        <v>324</v>
      </c>
    </row>
    <row r="755" spans="1:39" ht="15" customHeight="1" x14ac:dyDescent="0.25">
      <c r="A755" s="1409"/>
      <c r="B755" s="1409"/>
      <c r="C755" s="1409"/>
      <c r="D755" s="1409"/>
      <c r="E755" s="1247"/>
      <c r="F755" s="1248" t="s">
        <v>4728</v>
      </c>
      <c r="G755" s="111"/>
      <c r="H755" s="1249">
        <v>1</v>
      </c>
      <c r="I755" s="111" t="s">
        <v>1776</v>
      </c>
      <c r="J755" s="1321" t="s">
        <v>5608</v>
      </c>
      <c r="K755" s="162" t="s">
        <v>5610</v>
      </c>
      <c r="L755" s="162" t="s">
        <v>5609</v>
      </c>
      <c r="M755" s="111">
        <v>324</v>
      </c>
      <c r="N755" s="111">
        <v>324</v>
      </c>
      <c r="O755" s="111"/>
      <c r="P755" s="111"/>
      <c r="Q755" s="111"/>
      <c r="R755" s="111"/>
      <c r="S755" s="1249">
        <v>1</v>
      </c>
      <c r="T755" s="1250">
        <v>108</v>
      </c>
      <c r="U755" s="1250"/>
      <c r="V755" s="1250"/>
      <c r="W755" s="1251">
        <v>0</v>
      </c>
      <c r="X755" s="1250">
        <v>108</v>
      </c>
      <c r="Y755" s="1250"/>
      <c r="Z755" s="1250"/>
      <c r="AA755" s="1250"/>
      <c r="AB755" s="1250"/>
      <c r="AC755" s="1250"/>
      <c r="AD755" s="1250"/>
      <c r="AE755" s="1249">
        <v>0</v>
      </c>
      <c r="AF755" s="1250">
        <v>108</v>
      </c>
      <c r="AG755" s="111"/>
      <c r="AH755" s="111"/>
      <c r="AI755" s="111"/>
      <c r="AJ755" s="111"/>
      <c r="AK755" s="111"/>
      <c r="AL755" s="111"/>
      <c r="AM755" s="111">
        <v>324</v>
      </c>
    </row>
    <row r="756" spans="1:39" ht="15" customHeight="1" x14ac:dyDescent="0.25">
      <c r="A756" s="1409"/>
      <c r="B756" s="1409"/>
      <c r="C756" s="1409"/>
      <c r="D756" s="1409"/>
      <c r="E756" s="1247"/>
      <c r="F756" s="1248" t="s">
        <v>4729</v>
      </c>
      <c r="G756" s="111"/>
      <c r="H756" s="1249">
        <v>1</v>
      </c>
      <c r="I756" s="111" t="s">
        <v>1776</v>
      </c>
      <c r="J756" s="1321" t="s">
        <v>5608</v>
      </c>
      <c r="K756" s="162" t="s">
        <v>5610</v>
      </c>
      <c r="L756" s="162" t="s">
        <v>5609</v>
      </c>
      <c r="M756" s="111">
        <v>912.03</v>
      </c>
      <c r="N756" s="111">
        <v>912.03</v>
      </c>
      <c r="O756" s="111"/>
      <c r="P756" s="111"/>
      <c r="Q756" s="111"/>
      <c r="R756" s="111"/>
      <c r="S756" s="1249">
        <v>1</v>
      </c>
      <c r="T756" s="1250">
        <v>304.01</v>
      </c>
      <c r="U756" s="1250"/>
      <c r="V756" s="1250"/>
      <c r="W756" s="1251">
        <v>0</v>
      </c>
      <c r="X756" s="1250">
        <v>304.01</v>
      </c>
      <c r="Y756" s="1250"/>
      <c r="Z756" s="1250"/>
      <c r="AA756" s="1250"/>
      <c r="AB756" s="1250"/>
      <c r="AC756" s="1250"/>
      <c r="AD756" s="1250"/>
      <c r="AE756" s="1249">
        <v>0</v>
      </c>
      <c r="AF756" s="1250">
        <v>304.01</v>
      </c>
      <c r="AG756" s="111"/>
      <c r="AH756" s="111"/>
      <c r="AI756" s="111"/>
      <c r="AJ756" s="111"/>
      <c r="AK756" s="111"/>
      <c r="AL756" s="111"/>
      <c r="AM756" s="111">
        <v>912.03</v>
      </c>
    </row>
    <row r="757" spans="1:39" ht="15" customHeight="1" x14ac:dyDescent="0.25">
      <c r="A757" s="1409"/>
      <c r="B757" s="1409"/>
      <c r="C757" s="1409"/>
      <c r="D757" s="1409"/>
      <c r="E757" s="1247"/>
      <c r="F757" s="1248" t="s">
        <v>4730</v>
      </c>
      <c r="G757" s="111"/>
      <c r="H757" s="1249">
        <v>1</v>
      </c>
      <c r="I757" s="111" t="s">
        <v>1776</v>
      </c>
      <c r="J757" s="1321" t="s">
        <v>5608</v>
      </c>
      <c r="K757" s="162" t="s">
        <v>5610</v>
      </c>
      <c r="L757" s="162" t="s">
        <v>5609</v>
      </c>
      <c r="M757" s="111">
        <v>442.23</v>
      </c>
      <c r="N757" s="111">
        <v>442.23</v>
      </c>
      <c r="O757" s="111"/>
      <c r="P757" s="111"/>
      <c r="Q757" s="111"/>
      <c r="R757" s="111"/>
      <c r="S757" s="1249">
        <v>1</v>
      </c>
      <c r="T757" s="1250">
        <v>147.41</v>
      </c>
      <c r="U757" s="1250"/>
      <c r="V757" s="1250"/>
      <c r="W757" s="1251">
        <v>0</v>
      </c>
      <c r="X757" s="1250">
        <v>147.41</v>
      </c>
      <c r="Y757" s="1250"/>
      <c r="Z757" s="1250"/>
      <c r="AA757" s="1250"/>
      <c r="AB757" s="1250"/>
      <c r="AC757" s="1250"/>
      <c r="AD757" s="1250"/>
      <c r="AE757" s="1249">
        <v>0</v>
      </c>
      <c r="AF757" s="1250">
        <v>147.41</v>
      </c>
      <c r="AG757" s="111"/>
      <c r="AH757" s="111"/>
      <c r="AI757" s="111"/>
      <c r="AJ757" s="111"/>
      <c r="AK757" s="111"/>
      <c r="AL757" s="111"/>
      <c r="AM757" s="111">
        <v>442.23</v>
      </c>
    </row>
    <row r="758" spans="1:39" ht="15" customHeight="1" x14ac:dyDescent="0.25">
      <c r="A758" s="1409"/>
      <c r="B758" s="1409"/>
      <c r="C758" s="1409"/>
      <c r="D758" s="1409"/>
      <c r="E758" s="1247"/>
      <c r="F758" s="1248" t="s">
        <v>4731</v>
      </c>
      <c r="G758" s="111"/>
      <c r="H758" s="1249">
        <v>1</v>
      </c>
      <c r="I758" s="111" t="s">
        <v>1776</v>
      </c>
      <c r="J758" s="1321" t="s">
        <v>5608</v>
      </c>
      <c r="K758" s="162" t="s">
        <v>5610</v>
      </c>
      <c r="L758" s="162" t="s">
        <v>5609</v>
      </c>
      <c r="M758" s="111">
        <v>405.1</v>
      </c>
      <c r="N758" s="111">
        <v>405.1</v>
      </c>
      <c r="O758" s="111"/>
      <c r="P758" s="111"/>
      <c r="Q758" s="111"/>
      <c r="R758" s="111"/>
      <c r="S758" s="1249">
        <v>1</v>
      </c>
      <c r="T758" s="1250">
        <v>135.03333333333333</v>
      </c>
      <c r="U758" s="1250"/>
      <c r="V758" s="1250"/>
      <c r="W758" s="1251">
        <v>0</v>
      </c>
      <c r="X758" s="1250">
        <v>135.03333333333333</v>
      </c>
      <c r="Y758" s="1250"/>
      <c r="Z758" s="1250"/>
      <c r="AA758" s="1250"/>
      <c r="AB758" s="1250"/>
      <c r="AC758" s="1250"/>
      <c r="AD758" s="1250"/>
      <c r="AE758" s="1249">
        <v>0</v>
      </c>
      <c r="AF758" s="1250">
        <v>135.03333333333333</v>
      </c>
      <c r="AG758" s="111"/>
      <c r="AH758" s="111"/>
      <c r="AI758" s="111"/>
      <c r="AJ758" s="111"/>
      <c r="AK758" s="111"/>
      <c r="AL758" s="111"/>
      <c r="AM758" s="111">
        <v>405.1</v>
      </c>
    </row>
    <row r="759" spans="1:39" ht="15" customHeight="1" x14ac:dyDescent="0.25">
      <c r="A759" s="1409"/>
      <c r="B759" s="1409"/>
      <c r="C759" s="1409"/>
      <c r="D759" s="1409"/>
      <c r="E759" s="1247"/>
      <c r="F759" s="1248" t="s">
        <v>2945</v>
      </c>
      <c r="G759" s="111"/>
      <c r="H759" s="1249">
        <v>6</v>
      </c>
      <c r="I759" s="111" t="s">
        <v>1721</v>
      </c>
      <c r="J759" s="1321" t="s">
        <v>5608</v>
      </c>
      <c r="K759" s="162" t="s">
        <v>5610</v>
      </c>
      <c r="L759" s="162" t="s">
        <v>5609</v>
      </c>
      <c r="M759" s="111">
        <v>101.49999999999999</v>
      </c>
      <c r="N759" s="111">
        <v>608.99999999999989</v>
      </c>
      <c r="O759" s="111"/>
      <c r="P759" s="111"/>
      <c r="Q759" s="111"/>
      <c r="R759" s="111"/>
      <c r="S759" s="1249">
        <v>2</v>
      </c>
      <c r="T759" s="1250">
        <v>202.99999999999997</v>
      </c>
      <c r="U759" s="1250"/>
      <c r="V759" s="1250"/>
      <c r="W759" s="1251">
        <v>2</v>
      </c>
      <c r="X759" s="1250">
        <v>202.99999999999997</v>
      </c>
      <c r="Y759" s="1250"/>
      <c r="Z759" s="1250"/>
      <c r="AA759" s="1250"/>
      <c r="AB759" s="1250"/>
      <c r="AC759" s="1250"/>
      <c r="AD759" s="1250"/>
      <c r="AE759" s="1249">
        <v>2</v>
      </c>
      <c r="AF759" s="1250">
        <v>202.99999999999997</v>
      </c>
      <c r="AG759" s="111"/>
      <c r="AH759" s="111"/>
      <c r="AI759" s="111"/>
      <c r="AJ759" s="111"/>
      <c r="AK759" s="111"/>
      <c r="AL759" s="111"/>
      <c r="AM759" s="111">
        <v>608.99999999999989</v>
      </c>
    </row>
    <row r="760" spans="1:39" ht="15" customHeight="1" x14ac:dyDescent="0.25">
      <c r="A760" s="1409"/>
      <c r="B760" s="1409"/>
      <c r="C760" s="1409"/>
      <c r="D760" s="1409"/>
      <c r="E760" s="1247"/>
      <c r="F760" s="1248" t="s">
        <v>2946</v>
      </c>
      <c r="G760" s="111"/>
      <c r="H760" s="1249">
        <v>6</v>
      </c>
      <c r="I760" s="111" t="s">
        <v>1721</v>
      </c>
      <c r="J760" s="1321" t="s">
        <v>5608</v>
      </c>
      <c r="K760" s="162" t="s">
        <v>5610</v>
      </c>
      <c r="L760" s="162" t="s">
        <v>5609</v>
      </c>
      <c r="M760" s="111">
        <v>101.49999999999999</v>
      </c>
      <c r="N760" s="111">
        <v>608.99999999999989</v>
      </c>
      <c r="O760" s="111"/>
      <c r="P760" s="111"/>
      <c r="Q760" s="111"/>
      <c r="R760" s="111"/>
      <c r="S760" s="1249">
        <v>2</v>
      </c>
      <c r="T760" s="1250">
        <v>202.99999999999997</v>
      </c>
      <c r="U760" s="1250"/>
      <c r="V760" s="1250"/>
      <c r="W760" s="1251">
        <v>2</v>
      </c>
      <c r="X760" s="1250">
        <v>202.99999999999997</v>
      </c>
      <c r="Y760" s="1250"/>
      <c r="Z760" s="1250"/>
      <c r="AA760" s="1250"/>
      <c r="AB760" s="1250"/>
      <c r="AC760" s="1250"/>
      <c r="AD760" s="1250"/>
      <c r="AE760" s="1249">
        <v>2</v>
      </c>
      <c r="AF760" s="1250">
        <v>202.99999999999997</v>
      </c>
      <c r="AG760" s="111"/>
      <c r="AH760" s="111"/>
      <c r="AI760" s="111"/>
      <c r="AJ760" s="111"/>
      <c r="AK760" s="111"/>
      <c r="AL760" s="111"/>
      <c r="AM760" s="111">
        <v>608.99999999999989</v>
      </c>
    </row>
    <row r="761" spans="1:39" ht="15" customHeight="1" x14ac:dyDescent="0.25">
      <c r="A761" s="1409"/>
      <c r="B761" s="1409"/>
      <c r="C761" s="1409"/>
      <c r="D761" s="1409"/>
      <c r="E761" s="1247"/>
      <c r="F761" s="1248" t="s">
        <v>2947</v>
      </c>
      <c r="G761" s="111"/>
      <c r="H761" s="1249">
        <v>6</v>
      </c>
      <c r="I761" s="111" t="s">
        <v>1721</v>
      </c>
      <c r="J761" s="1321" t="s">
        <v>5608</v>
      </c>
      <c r="K761" s="162" t="s">
        <v>5610</v>
      </c>
      <c r="L761" s="162" t="s">
        <v>5609</v>
      </c>
      <c r="M761" s="111">
        <v>101.49999999999999</v>
      </c>
      <c r="N761" s="111">
        <v>608.99999999999989</v>
      </c>
      <c r="O761" s="111"/>
      <c r="P761" s="111"/>
      <c r="Q761" s="111"/>
      <c r="R761" s="111"/>
      <c r="S761" s="1249">
        <v>2</v>
      </c>
      <c r="T761" s="1250">
        <v>202.99999999999997</v>
      </c>
      <c r="U761" s="1250"/>
      <c r="V761" s="1250"/>
      <c r="W761" s="1251">
        <v>2</v>
      </c>
      <c r="X761" s="1250">
        <v>202.99999999999997</v>
      </c>
      <c r="Y761" s="1250"/>
      <c r="Z761" s="1250"/>
      <c r="AA761" s="1250"/>
      <c r="AB761" s="1250"/>
      <c r="AC761" s="1250"/>
      <c r="AD761" s="1250"/>
      <c r="AE761" s="1249">
        <v>2</v>
      </c>
      <c r="AF761" s="1250">
        <v>202.99999999999997</v>
      </c>
      <c r="AG761" s="111"/>
      <c r="AH761" s="111"/>
      <c r="AI761" s="111"/>
      <c r="AJ761" s="111"/>
      <c r="AK761" s="111"/>
      <c r="AL761" s="111"/>
      <c r="AM761" s="111">
        <v>608.99999999999989</v>
      </c>
    </row>
    <row r="762" spans="1:39" ht="15" customHeight="1" x14ac:dyDescent="0.25">
      <c r="A762" s="1409"/>
      <c r="B762" s="1409"/>
      <c r="C762" s="1409"/>
      <c r="D762" s="1409"/>
      <c r="E762" s="1247"/>
      <c r="F762" s="1248" t="s">
        <v>2948</v>
      </c>
      <c r="G762" s="111"/>
      <c r="H762" s="1249">
        <v>1</v>
      </c>
      <c r="I762" s="111" t="s">
        <v>1721</v>
      </c>
      <c r="J762" s="1321" t="s">
        <v>5608</v>
      </c>
      <c r="K762" s="162" t="s">
        <v>5610</v>
      </c>
      <c r="L762" s="162" t="s">
        <v>5609</v>
      </c>
      <c r="M762" s="111">
        <v>500</v>
      </c>
      <c r="N762" s="111">
        <v>500</v>
      </c>
      <c r="O762" s="111"/>
      <c r="P762" s="111"/>
      <c r="Q762" s="111"/>
      <c r="R762" s="111"/>
      <c r="S762" s="1249">
        <v>1</v>
      </c>
      <c r="T762" s="1250">
        <v>166.66666666666666</v>
      </c>
      <c r="U762" s="1250"/>
      <c r="V762" s="1250"/>
      <c r="W762" s="1251">
        <v>0</v>
      </c>
      <c r="X762" s="1250">
        <v>166.66666666666666</v>
      </c>
      <c r="Y762" s="1250"/>
      <c r="Z762" s="1250"/>
      <c r="AA762" s="1250"/>
      <c r="AB762" s="1250"/>
      <c r="AC762" s="1250"/>
      <c r="AD762" s="1250"/>
      <c r="AE762" s="1249">
        <v>0</v>
      </c>
      <c r="AF762" s="1250">
        <v>166.66666666666666</v>
      </c>
      <c r="AG762" s="111"/>
      <c r="AH762" s="111"/>
      <c r="AI762" s="111"/>
      <c r="AJ762" s="111"/>
      <c r="AK762" s="111"/>
      <c r="AL762" s="111"/>
      <c r="AM762" s="111">
        <v>500</v>
      </c>
    </row>
    <row r="763" spans="1:39" ht="15" customHeight="1" x14ac:dyDescent="0.25">
      <c r="A763" s="1409"/>
      <c r="B763" s="1409"/>
      <c r="C763" s="1409"/>
      <c r="D763" s="1409"/>
      <c r="E763" s="1247"/>
      <c r="F763" s="1248"/>
      <c r="G763" s="111"/>
      <c r="H763" s="1249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249"/>
      <c r="T763" s="1250"/>
      <c r="U763" s="1250"/>
      <c r="V763" s="1250"/>
      <c r="W763" s="1251"/>
      <c r="X763" s="1250"/>
      <c r="Y763" s="1250"/>
      <c r="Z763" s="1250"/>
      <c r="AA763" s="1250"/>
      <c r="AB763" s="1250"/>
      <c r="AC763" s="1250"/>
      <c r="AD763" s="1250"/>
      <c r="AE763" s="1249"/>
      <c r="AF763" s="1250"/>
      <c r="AG763" s="111"/>
      <c r="AH763" s="111"/>
      <c r="AI763" s="111"/>
      <c r="AJ763" s="111"/>
      <c r="AK763" s="111"/>
      <c r="AL763" s="111"/>
      <c r="AM763" s="111"/>
    </row>
    <row r="764" spans="1:39" ht="15" customHeight="1" x14ac:dyDescent="0.25">
      <c r="A764" s="1409"/>
      <c r="B764" s="1409"/>
      <c r="C764" s="1409"/>
      <c r="D764" s="1409"/>
      <c r="E764" s="1218">
        <v>218</v>
      </c>
      <c r="F764" s="1268" t="s">
        <v>309</v>
      </c>
      <c r="G764" s="1218"/>
      <c r="H764" s="1218"/>
      <c r="I764" s="1218"/>
      <c r="J764" s="1218"/>
      <c r="K764" s="1218"/>
      <c r="L764" s="1218"/>
      <c r="M764" s="1218"/>
      <c r="N764" s="1218"/>
      <c r="O764" s="1218"/>
      <c r="P764" s="1218"/>
      <c r="Q764" s="1218"/>
      <c r="R764" s="1218"/>
      <c r="S764" s="1218"/>
      <c r="T764" s="1218"/>
      <c r="U764" s="1218"/>
      <c r="V764" s="1218"/>
      <c r="W764" s="1218"/>
      <c r="X764" s="1218"/>
      <c r="Y764" s="1218"/>
      <c r="Z764" s="1218"/>
      <c r="AA764" s="1218"/>
      <c r="AB764" s="1218"/>
      <c r="AC764" s="1218"/>
      <c r="AD764" s="1218"/>
      <c r="AE764" s="1218"/>
      <c r="AF764" s="1218"/>
      <c r="AG764" s="1218"/>
      <c r="AH764" s="1218"/>
      <c r="AI764" s="1218"/>
      <c r="AJ764" s="1218"/>
      <c r="AK764" s="1218"/>
      <c r="AL764" s="1218"/>
      <c r="AM764" s="1218"/>
    </row>
    <row r="765" spans="1:39" ht="15" customHeight="1" x14ac:dyDescent="0.25">
      <c r="A765" s="1409"/>
      <c r="B765" s="1409"/>
      <c r="C765" s="1409"/>
      <c r="D765" s="1409"/>
      <c r="E765" s="1247"/>
      <c r="F765" s="1248"/>
      <c r="G765" s="111"/>
      <c r="H765" s="1249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249"/>
      <c r="T765" s="1250"/>
      <c r="U765" s="1250"/>
      <c r="V765" s="1250"/>
      <c r="W765" s="1251"/>
      <c r="X765" s="1250"/>
      <c r="Y765" s="1250"/>
      <c r="Z765" s="1250"/>
      <c r="AA765" s="1250"/>
      <c r="AB765" s="1250"/>
      <c r="AC765" s="1250"/>
      <c r="AD765" s="1250"/>
      <c r="AE765" s="1249"/>
      <c r="AF765" s="1250"/>
      <c r="AG765" s="111"/>
      <c r="AH765" s="111"/>
      <c r="AI765" s="111"/>
      <c r="AJ765" s="111"/>
      <c r="AK765" s="111"/>
      <c r="AL765" s="111"/>
      <c r="AM765" s="111"/>
    </row>
    <row r="766" spans="1:39" ht="15" customHeight="1" x14ac:dyDescent="0.25">
      <c r="A766" s="1409"/>
      <c r="B766" s="1409"/>
      <c r="C766" s="1409"/>
      <c r="D766" s="1409"/>
      <c r="E766" s="1261">
        <v>21802</v>
      </c>
      <c r="F766" s="1262" t="s">
        <v>311</v>
      </c>
      <c r="G766" s="1261"/>
      <c r="H766" s="1261"/>
      <c r="I766" s="1261"/>
      <c r="J766" s="1261"/>
      <c r="K766" s="1261"/>
      <c r="L766" s="1261"/>
      <c r="M766" s="1261"/>
      <c r="N766" s="1261"/>
      <c r="O766" s="1261"/>
      <c r="P766" s="1261"/>
      <c r="Q766" s="1261"/>
      <c r="R766" s="1261"/>
      <c r="S766" s="1261"/>
      <c r="T766" s="1261"/>
      <c r="U766" s="1261"/>
      <c r="V766" s="1261"/>
      <c r="W766" s="1261"/>
      <c r="X766" s="1261"/>
      <c r="Y766" s="1261"/>
      <c r="Z766" s="1261"/>
      <c r="AA766" s="1261"/>
      <c r="AB766" s="1261"/>
      <c r="AC766" s="1261"/>
      <c r="AD766" s="1261"/>
      <c r="AE766" s="1261"/>
      <c r="AF766" s="1261"/>
      <c r="AG766" s="1261"/>
      <c r="AH766" s="1261"/>
      <c r="AI766" s="1261"/>
      <c r="AJ766" s="1261"/>
      <c r="AK766" s="1261"/>
      <c r="AL766" s="1261"/>
      <c r="AM766" s="1261"/>
    </row>
    <row r="767" spans="1:39" ht="15" customHeight="1" x14ac:dyDescent="0.25">
      <c r="A767" s="1409"/>
      <c r="B767" s="1409"/>
      <c r="C767" s="1409"/>
      <c r="D767" s="1409"/>
      <c r="E767" s="1247"/>
      <c r="F767" s="1248" t="s">
        <v>4732</v>
      </c>
      <c r="G767" s="111"/>
      <c r="H767" s="1249">
        <v>3</v>
      </c>
      <c r="I767" s="111" t="s">
        <v>1725</v>
      </c>
      <c r="J767" s="1321" t="s">
        <v>5608</v>
      </c>
      <c r="K767" s="162" t="s">
        <v>5610</v>
      </c>
      <c r="L767" s="162" t="s">
        <v>5609</v>
      </c>
      <c r="M767" s="111">
        <v>749.99799999999993</v>
      </c>
      <c r="N767" s="111">
        <v>2249.9939999999997</v>
      </c>
      <c r="O767" s="111"/>
      <c r="P767" s="111"/>
      <c r="Q767" s="111"/>
      <c r="R767" s="111"/>
      <c r="S767" s="1249">
        <v>1</v>
      </c>
      <c r="T767" s="1250">
        <v>749.99799999999993</v>
      </c>
      <c r="U767" s="1250"/>
      <c r="V767" s="1250"/>
      <c r="W767" s="1251">
        <v>1</v>
      </c>
      <c r="X767" s="1250">
        <v>749.99799999999993</v>
      </c>
      <c r="Y767" s="1250"/>
      <c r="Z767" s="1250"/>
      <c r="AA767" s="1250"/>
      <c r="AB767" s="1250"/>
      <c r="AC767" s="1250"/>
      <c r="AD767" s="1250"/>
      <c r="AE767" s="1249">
        <v>1</v>
      </c>
      <c r="AF767" s="1250">
        <v>749.99799999999993</v>
      </c>
      <c r="AG767" s="111"/>
      <c r="AH767" s="111"/>
      <c r="AI767" s="111"/>
      <c r="AJ767" s="111"/>
      <c r="AK767" s="111"/>
      <c r="AL767" s="111"/>
      <c r="AM767" s="111">
        <v>2249.9939999999997</v>
      </c>
    </row>
    <row r="768" spans="1:39" ht="15" customHeight="1" x14ac:dyDescent="0.25">
      <c r="A768" s="1409"/>
      <c r="B768" s="1409"/>
      <c r="C768" s="1409"/>
      <c r="D768" s="1409"/>
      <c r="E768" s="1247"/>
      <c r="F768" s="1248"/>
      <c r="G768" s="111"/>
      <c r="H768" s="1249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249"/>
      <c r="T768" s="1250"/>
      <c r="U768" s="1250"/>
      <c r="V768" s="1250"/>
      <c r="W768" s="1251"/>
      <c r="X768" s="1250"/>
      <c r="Y768" s="1250"/>
      <c r="Z768" s="1250"/>
      <c r="AA768" s="1250"/>
      <c r="AB768" s="1250"/>
      <c r="AC768" s="1250"/>
      <c r="AD768" s="1250"/>
      <c r="AE768" s="1249"/>
      <c r="AF768" s="1250"/>
      <c r="AG768" s="111"/>
      <c r="AH768" s="111"/>
      <c r="AI768" s="111"/>
      <c r="AJ768" s="111"/>
      <c r="AK768" s="111"/>
      <c r="AL768" s="111"/>
      <c r="AM768" s="111"/>
    </row>
    <row r="769" spans="1:39" ht="36" customHeight="1" x14ac:dyDescent="0.25">
      <c r="A769" s="1409"/>
      <c r="B769" s="1409"/>
      <c r="C769" s="1409"/>
      <c r="D769" s="1409"/>
      <c r="E769" s="1204">
        <v>2200</v>
      </c>
      <c r="F769" s="1274" t="s">
        <v>4733</v>
      </c>
      <c r="G769" s="1204"/>
      <c r="H769" s="1204"/>
      <c r="I769" s="1204"/>
      <c r="J769" s="1204"/>
      <c r="K769" s="1204"/>
      <c r="L769" s="1204"/>
      <c r="M769" s="1204"/>
      <c r="N769" s="1204"/>
      <c r="O769" s="1204"/>
      <c r="P769" s="1204"/>
      <c r="Q769" s="1204"/>
      <c r="R769" s="1204"/>
      <c r="S769" s="1204"/>
      <c r="T769" s="1204"/>
      <c r="U769" s="1204"/>
      <c r="V769" s="1204"/>
      <c r="W769" s="1204"/>
      <c r="X769" s="1204"/>
      <c r="Y769" s="1204"/>
      <c r="Z769" s="1204"/>
      <c r="AA769" s="1204"/>
      <c r="AB769" s="1204"/>
      <c r="AC769" s="1204"/>
      <c r="AD769" s="1204"/>
      <c r="AE769" s="1204"/>
      <c r="AF769" s="1204"/>
      <c r="AG769" s="1204"/>
      <c r="AH769" s="1204"/>
      <c r="AI769" s="1204"/>
      <c r="AJ769" s="1204"/>
      <c r="AK769" s="1204"/>
      <c r="AL769" s="1204"/>
      <c r="AM769" s="1204"/>
    </row>
    <row r="770" spans="1:39" ht="15" customHeight="1" x14ac:dyDescent="0.25">
      <c r="A770" s="1409"/>
      <c r="B770" s="1409"/>
      <c r="C770" s="1409"/>
      <c r="D770" s="1409"/>
      <c r="E770" s="1218">
        <v>221</v>
      </c>
      <c r="F770" s="1268" t="s">
        <v>4734</v>
      </c>
      <c r="G770" s="1218"/>
      <c r="H770" s="1218"/>
      <c r="I770" s="1218"/>
      <c r="J770" s="1218"/>
      <c r="K770" s="1218"/>
      <c r="L770" s="1218"/>
      <c r="M770" s="1218"/>
      <c r="N770" s="1218"/>
      <c r="O770" s="1218"/>
      <c r="P770" s="1218"/>
      <c r="Q770" s="1218"/>
      <c r="R770" s="1218"/>
      <c r="S770" s="1218"/>
      <c r="T770" s="1218"/>
      <c r="U770" s="1218"/>
      <c r="V770" s="1218"/>
      <c r="W770" s="1218"/>
      <c r="X770" s="1218"/>
      <c r="Y770" s="1218"/>
      <c r="Z770" s="1218"/>
      <c r="AA770" s="1218"/>
      <c r="AB770" s="1218"/>
      <c r="AC770" s="1218"/>
      <c r="AD770" s="1218"/>
      <c r="AE770" s="1218"/>
      <c r="AF770" s="1218"/>
      <c r="AG770" s="1218"/>
      <c r="AH770" s="1218"/>
      <c r="AI770" s="1218"/>
      <c r="AJ770" s="1218"/>
      <c r="AK770" s="1218"/>
      <c r="AL770" s="1218"/>
      <c r="AM770" s="1218"/>
    </row>
    <row r="771" spans="1:39" ht="15" customHeight="1" x14ac:dyDescent="0.25">
      <c r="A771" s="1409"/>
      <c r="B771" s="1409"/>
      <c r="C771" s="1409"/>
      <c r="D771" s="1409"/>
      <c r="E771" s="1247"/>
      <c r="F771" s="1248"/>
      <c r="G771" s="111"/>
      <c r="H771" s="1249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249"/>
      <c r="T771" s="1250"/>
      <c r="U771" s="1250"/>
      <c r="V771" s="1250"/>
      <c r="W771" s="1251"/>
      <c r="X771" s="1250"/>
      <c r="Y771" s="1250"/>
      <c r="Z771" s="1250"/>
      <c r="AA771" s="1250"/>
      <c r="AB771" s="1250"/>
      <c r="AC771" s="1250"/>
      <c r="AD771" s="1250"/>
      <c r="AE771" s="1249"/>
      <c r="AF771" s="1250"/>
      <c r="AG771" s="111"/>
      <c r="AH771" s="111"/>
      <c r="AI771" s="111"/>
      <c r="AJ771" s="111"/>
      <c r="AK771" s="111"/>
      <c r="AL771" s="111"/>
      <c r="AM771" s="111"/>
    </row>
    <row r="772" spans="1:39" ht="15" customHeight="1" x14ac:dyDescent="0.25">
      <c r="A772" s="1409"/>
      <c r="B772" s="1409"/>
      <c r="C772" s="1409"/>
      <c r="D772" s="1409"/>
      <c r="E772" s="1271">
        <v>22102</v>
      </c>
      <c r="F772" s="1272" t="s">
        <v>4735</v>
      </c>
      <c r="G772" s="1273"/>
      <c r="H772" s="1273"/>
      <c r="I772" s="1273"/>
      <c r="J772" s="1273"/>
      <c r="K772" s="1273"/>
      <c r="L772" s="1273"/>
      <c r="M772" s="1273"/>
      <c r="N772" s="1273"/>
      <c r="O772" s="1273"/>
      <c r="P772" s="1273"/>
      <c r="Q772" s="1273"/>
      <c r="R772" s="1273"/>
      <c r="S772" s="1273"/>
      <c r="T772" s="1273"/>
      <c r="U772" s="1273"/>
      <c r="V772" s="1273"/>
      <c r="W772" s="1273"/>
      <c r="X772" s="1273"/>
      <c r="Y772" s="1273"/>
      <c r="Z772" s="1273"/>
      <c r="AA772" s="1273"/>
      <c r="AB772" s="1273"/>
      <c r="AC772" s="1273"/>
      <c r="AD772" s="1273"/>
      <c r="AE772" s="1273"/>
      <c r="AF772" s="1273"/>
      <c r="AG772" s="1273"/>
      <c r="AH772" s="1273"/>
      <c r="AI772" s="1273"/>
      <c r="AJ772" s="1273"/>
      <c r="AK772" s="1273"/>
      <c r="AL772" s="1273"/>
      <c r="AM772" s="1273"/>
    </row>
    <row r="773" spans="1:39" ht="15" customHeight="1" x14ac:dyDescent="0.25">
      <c r="A773" s="1409"/>
      <c r="B773" s="1409"/>
      <c r="C773" s="1409"/>
      <c r="D773" s="1409"/>
      <c r="E773" s="1247"/>
      <c r="F773" s="1248" t="s">
        <v>315</v>
      </c>
      <c r="G773" s="111"/>
      <c r="H773" s="1249">
        <v>99</v>
      </c>
      <c r="I773" s="111" t="s">
        <v>4701</v>
      </c>
      <c r="J773" s="1321" t="s">
        <v>5608</v>
      </c>
      <c r="K773" s="162" t="s">
        <v>5610</v>
      </c>
      <c r="L773" s="162" t="s">
        <v>5609</v>
      </c>
      <c r="M773" s="111">
        <v>179.15039999999999</v>
      </c>
      <c r="N773" s="111">
        <v>17735.889599999999</v>
      </c>
      <c r="O773" s="111"/>
      <c r="P773" s="111"/>
      <c r="Q773" s="111"/>
      <c r="R773" s="111"/>
      <c r="S773" s="1249">
        <v>40</v>
      </c>
      <c r="T773" s="1250">
        <v>5911.9631999999992</v>
      </c>
      <c r="U773" s="1250"/>
      <c r="V773" s="1250"/>
      <c r="W773" s="1251">
        <v>40</v>
      </c>
      <c r="X773" s="1250">
        <v>5911.9631999999992</v>
      </c>
      <c r="Y773" s="1250"/>
      <c r="Z773" s="1250"/>
      <c r="AA773" s="1250"/>
      <c r="AB773" s="1250"/>
      <c r="AC773" s="1250"/>
      <c r="AD773" s="1250"/>
      <c r="AE773" s="1249">
        <v>19</v>
      </c>
      <c r="AF773" s="1250">
        <v>5911.9631999999992</v>
      </c>
      <c r="AG773" s="111"/>
      <c r="AH773" s="111"/>
      <c r="AI773" s="111"/>
      <c r="AJ773" s="111"/>
      <c r="AK773" s="111"/>
      <c r="AL773" s="111"/>
      <c r="AM773" s="111">
        <v>17735.889599999999</v>
      </c>
    </row>
    <row r="774" spans="1:39" ht="15" customHeight="1" x14ac:dyDescent="0.25">
      <c r="A774" s="1409"/>
      <c r="B774" s="1409"/>
      <c r="C774" s="1409"/>
      <c r="D774" s="1409"/>
      <c r="E774" s="1247"/>
      <c r="F774" s="1248" t="s">
        <v>2663</v>
      </c>
      <c r="G774" s="111"/>
      <c r="H774" s="1249">
        <v>208</v>
      </c>
      <c r="I774" s="111" t="s">
        <v>4701</v>
      </c>
      <c r="J774" s="1321" t="s">
        <v>5608</v>
      </c>
      <c r="K774" s="162" t="s">
        <v>5610</v>
      </c>
      <c r="L774" s="162" t="s">
        <v>5609</v>
      </c>
      <c r="M774" s="111">
        <v>213.60239999999996</v>
      </c>
      <c r="N774" s="111">
        <v>44429.299199999994</v>
      </c>
      <c r="O774" s="111"/>
      <c r="P774" s="111"/>
      <c r="Q774" s="111"/>
      <c r="R774" s="111"/>
      <c r="S774" s="1249">
        <v>100</v>
      </c>
      <c r="T774" s="1250">
        <v>14809.766399999999</v>
      </c>
      <c r="U774" s="1250"/>
      <c r="V774" s="1250"/>
      <c r="W774" s="1251">
        <v>58</v>
      </c>
      <c r="X774" s="1250">
        <v>14809.766399999999</v>
      </c>
      <c r="Y774" s="1250"/>
      <c r="Z774" s="1250"/>
      <c r="AA774" s="1250"/>
      <c r="AB774" s="1250"/>
      <c r="AC774" s="1250"/>
      <c r="AD774" s="1250"/>
      <c r="AE774" s="1249">
        <v>50</v>
      </c>
      <c r="AF774" s="1250">
        <v>14809.766399999999</v>
      </c>
      <c r="AG774" s="111"/>
      <c r="AH774" s="111"/>
      <c r="AI774" s="111"/>
      <c r="AJ774" s="111"/>
      <c r="AK774" s="111"/>
      <c r="AL774" s="111"/>
      <c r="AM774" s="111">
        <v>44429.299199999994</v>
      </c>
    </row>
    <row r="775" spans="1:39" ht="15" customHeight="1" x14ac:dyDescent="0.25">
      <c r="A775" s="1409"/>
      <c r="B775" s="1409"/>
      <c r="C775" s="1409"/>
      <c r="D775" s="1409"/>
      <c r="E775" s="1247"/>
      <c r="F775" s="1248" t="s">
        <v>323</v>
      </c>
      <c r="G775" s="111"/>
      <c r="H775" s="1249">
        <v>96</v>
      </c>
      <c r="I775" s="111" t="s">
        <v>4701</v>
      </c>
      <c r="J775" s="1321" t="s">
        <v>5608</v>
      </c>
      <c r="K775" s="162" t="s">
        <v>5610</v>
      </c>
      <c r="L775" s="162" t="s">
        <v>5609</v>
      </c>
      <c r="M775" s="111">
        <v>66.143199999999993</v>
      </c>
      <c r="N775" s="111">
        <v>6349.7471999999998</v>
      </c>
      <c r="O775" s="111"/>
      <c r="P775" s="111"/>
      <c r="Q775" s="111"/>
      <c r="R775" s="111"/>
      <c r="S775" s="1249">
        <v>40</v>
      </c>
      <c r="T775" s="1250">
        <v>2116.5823999999998</v>
      </c>
      <c r="U775" s="1250"/>
      <c r="V775" s="1250"/>
      <c r="W775" s="1251">
        <v>40</v>
      </c>
      <c r="X775" s="1250">
        <v>2116.5823999999998</v>
      </c>
      <c r="Y775" s="1250"/>
      <c r="Z775" s="1250"/>
      <c r="AA775" s="1250"/>
      <c r="AB775" s="1250"/>
      <c r="AC775" s="1250"/>
      <c r="AD775" s="1250"/>
      <c r="AE775" s="1249">
        <v>16</v>
      </c>
      <c r="AF775" s="1250">
        <v>2116.5823999999998</v>
      </c>
      <c r="AG775" s="111"/>
      <c r="AH775" s="111"/>
      <c r="AI775" s="111"/>
      <c r="AJ775" s="111"/>
      <c r="AK775" s="111"/>
      <c r="AL775" s="111"/>
      <c r="AM775" s="111">
        <v>6349.7471999999998</v>
      </c>
    </row>
    <row r="776" spans="1:39" ht="15" customHeight="1" x14ac:dyDescent="0.25">
      <c r="A776" s="1409"/>
      <c r="B776" s="1409"/>
      <c r="C776" s="1409"/>
      <c r="D776" s="1409"/>
      <c r="E776" s="1247"/>
      <c r="F776" s="1248" t="s">
        <v>321</v>
      </c>
      <c r="G776" s="111"/>
      <c r="H776" s="1249">
        <v>96</v>
      </c>
      <c r="I776" s="111" t="s">
        <v>4701</v>
      </c>
      <c r="J776" s="1321" t="s">
        <v>5608</v>
      </c>
      <c r="K776" s="162" t="s">
        <v>5610</v>
      </c>
      <c r="L776" s="162" t="s">
        <v>5609</v>
      </c>
      <c r="M776" s="111">
        <v>66.143199999999993</v>
      </c>
      <c r="N776" s="111">
        <v>6349.7471999999998</v>
      </c>
      <c r="O776" s="111"/>
      <c r="P776" s="111"/>
      <c r="Q776" s="111"/>
      <c r="R776" s="111"/>
      <c r="S776" s="1249">
        <v>40</v>
      </c>
      <c r="T776" s="1250">
        <v>2116.5823999999998</v>
      </c>
      <c r="U776" s="1250"/>
      <c r="V776" s="1250"/>
      <c r="W776" s="1251">
        <v>40</v>
      </c>
      <c r="X776" s="1250">
        <v>2116.5823999999998</v>
      </c>
      <c r="Y776" s="1250"/>
      <c r="Z776" s="1250"/>
      <c r="AA776" s="1250"/>
      <c r="AB776" s="1250"/>
      <c r="AC776" s="1250"/>
      <c r="AD776" s="1250"/>
      <c r="AE776" s="1249">
        <v>16</v>
      </c>
      <c r="AF776" s="1250">
        <v>2116.5823999999998</v>
      </c>
      <c r="AG776" s="111"/>
      <c r="AH776" s="111"/>
      <c r="AI776" s="111"/>
      <c r="AJ776" s="111"/>
      <c r="AK776" s="111"/>
      <c r="AL776" s="111"/>
      <c r="AM776" s="111">
        <v>6349.7471999999998</v>
      </c>
    </row>
    <row r="777" spans="1:39" ht="15" customHeight="1" x14ac:dyDescent="0.25">
      <c r="A777" s="1409"/>
      <c r="B777" s="1409"/>
      <c r="C777" s="1409"/>
      <c r="D777" s="1409"/>
      <c r="E777" s="1247"/>
      <c r="F777" s="1248" t="s">
        <v>2662</v>
      </c>
      <c r="G777" s="111"/>
      <c r="H777" s="1249">
        <v>76</v>
      </c>
      <c r="I777" s="111" t="s">
        <v>4701</v>
      </c>
      <c r="J777" s="1321" t="s">
        <v>5608</v>
      </c>
      <c r="K777" s="162" t="s">
        <v>5610</v>
      </c>
      <c r="L777" s="162" t="s">
        <v>5609</v>
      </c>
      <c r="M777" s="111">
        <v>165.88</v>
      </c>
      <c r="N777" s="111">
        <v>12606.88</v>
      </c>
      <c r="O777" s="111"/>
      <c r="P777" s="111"/>
      <c r="Q777" s="111"/>
      <c r="R777" s="111"/>
      <c r="S777" s="1249">
        <v>30</v>
      </c>
      <c r="T777" s="1250">
        <v>4202.2933333333331</v>
      </c>
      <c r="U777" s="1250"/>
      <c r="V777" s="1250"/>
      <c r="W777" s="1251">
        <v>30</v>
      </c>
      <c r="X777" s="1250">
        <v>4202.2933333333331</v>
      </c>
      <c r="Y777" s="1250"/>
      <c r="Z777" s="1250"/>
      <c r="AA777" s="1250"/>
      <c r="AB777" s="1250"/>
      <c r="AC777" s="1250"/>
      <c r="AD777" s="1250"/>
      <c r="AE777" s="1249">
        <v>16</v>
      </c>
      <c r="AF777" s="1250">
        <v>4202.2933333333331</v>
      </c>
      <c r="AG777" s="111"/>
      <c r="AH777" s="111"/>
      <c r="AI777" s="111"/>
      <c r="AJ777" s="111"/>
      <c r="AK777" s="111"/>
      <c r="AL777" s="111"/>
      <c r="AM777" s="111">
        <v>12606.88</v>
      </c>
    </row>
    <row r="778" spans="1:39" ht="15" customHeight="1" x14ac:dyDescent="0.25">
      <c r="A778" s="1409"/>
      <c r="B778" s="1409"/>
      <c r="C778" s="1409"/>
      <c r="D778" s="1409"/>
      <c r="E778" s="1247"/>
      <c r="F778" s="1248" t="s">
        <v>4736</v>
      </c>
      <c r="G778" s="111"/>
      <c r="H778" s="1249">
        <v>335</v>
      </c>
      <c r="I778" s="111" t="s">
        <v>4701</v>
      </c>
      <c r="J778" s="1321" t="s">
        <v>5608</v>
      </c>
      <c r="K778" s="162" t="s">
        <v>5610</v>
      </c>
      <c r="L778" s="162" t="s">
        <v>5609</v>
      </c>
      <c r="M778" s="111">
        <v>170.5</v>
      </c>
      <c r="N778" s="111">
        <v>57117.5</v>
      </c>
      <c r="O778" s="111"/>
      <c r="P778" s="111"/>
      <c r="Q778" s="111"/>
      <c r="R778" s="111"/>
      <c r="S778" s="1249">
        <v>135</v>
      </c>
      <c r="T778" s="1250">
        <v>19039.166666666668</v>
      </c>
      <c r="U778" s="1250"/>
      <c r="V778" s="1250"/>
      <c r="W778" s="1251">
        <v>100</v>
      </c>
      <c r="X778" s="1250">
        <v>19039.166666666668</v>
      </c>
      <c r="Y778" s="1250"/>
      <c r="Z778" s="1250"/>
      <c r="AA778" s="1250"/>
      <c r="AB778" s="1250"/>
      <c r="AC778" s="1250"/>
      <c r="AD778" s="1250"/>
      <c r="AE778" s="1249">
        <v>100</v>
      </c>
      <c r="AF778" s="1250">
        <v>19039.166666666668</v>
      </c>
      <c r="AG778" s="111"/>
      <c r="AH778" s="111"/>
      <c r="AI778" s="111"/>
      <c r="AJ778" s="111"/>
      <c r="AK778" s="111"/>
      <c r="AL778" s="111"/>
      <c r="AM778" s="111">
        <v>57117.5</v>
      </c>
    </row>
    <row r="779" spans="1:39" ht="15" customHeight="1" x14ac:dyDescent="0.25">
      <c r="A779" s="1409"/>
      <c r="B779" s="1409"/>
      <c r="C779" s="1409"/>
      <c r="D779" s="1409"/>
      <c r="E779" s="1247"/>
      <c r="F779" s="1248" t="s">
        <v>4737</v>
      </c>
      <c r="G779" s="111"/>
      <c r="H779" s="1249">
        <v>184</v>
      </c>
      <c r="I779" s="111" t="s">
        <v>4701</v>
      </c>
      <c r="J779" s="1321" t="s">
        <v>5608</v>
      </c>
      <c r="K779" s="162" t="s">
        <v>5610</v>
      </c>
      <c r="L779" s="162" t="s">
        <v>5609</v>
      </c>
      <c r="M779" s="111">
        <v>207.9</v>
      </c>
      <c r="N779" s="111">
        <v>38253.599999999999</v>
      </c>
      <c r="O779" s="111"/>
      <c r="P779" s="111"/>
      <c r="Q779" s="111"/>
      <c r="R779" s="111"/>
      <c r="S779" s="1249">
        <v>84</v>
      </c>
      <c r="T779" s="1250">
        <v>12751.199999999999</v>
      </c>
      <c r="U779" s="1250"/>
      <c r="V779" s="1250"/>
      <c r="W779" s="1251">
        <v>50</v>
      </c>
      <c r="X779" s="1250">
        <v>12751.199999999999</v>
      </c>
      <c r="Y779" s="1250"/>
      <c r="Z779" s="1250"/>
      <c r="AA779" s="1250"/>
      <c r="AB779" s="1250"/>
      <c r="AC779" s="1250"/>
      <c r="AD779" s="1250"/>
      <c r="AE779" s="1249">
        <v>50</v>
      </c>
      <c r="AF779" s="1250">
        <v>12751.199999999999</v>
      </c>
      <c r="AG779" s="111"/>
      <c r="AH779" s="111"/>
      <c r="AI779" s="111"/>
      <c r="AJ779" s="111"/>
      <c r="AK779" s="111"/>
      <c r="AL779" s="111"/>
      <c r="AM779" s="111">
        <v>38253.599999999999</v>
      </c>
    </row>
    <row r="780" spans="1:39" ht="15" customHeight="1" x14ac:dyDescent="0.25">
      <c r="A780" s="1409"/>
      <c r="B780" s="1409"/>
      <c r="C780" s="1409"/>
      <c r="D780" s="1409"/>
      <c r="E780" s="1247"/>
      <c r="F780" s="1248" t="s">
        <v>4738</v>
      </c>
      <c r="G780" s="111"/>
      <c r="H780" s="1249">
        <v>110</v>
      </c>
      <c r="I780" s="111" t="s">
        <v>4701</v>
      </c>
      <c r="J780" s="1321" t="s">
        <v>5608</v>
      </c>
      <c r="K780" s="162" t="s">
        <v>5610</v>
      </c>
      <c r="L780" s="162" t="s">
        <v>5609</v>
      </c>
      <c r="M780" s="111">
        <v>170.5</v>
      </c>
      <c r="N780" s="111">
        <v>18755</v>
      </c>
      <c r="O780" s="111"/>
      <c r="P780" s="111"/>
      <c r="Q780" s="111"/>
      <c r="R780" s="111"/>
      <c r="S780" s="1249">
        <v>40</v>
      </c>
      <c r="T780" s="1250">
        <v>6251.666666666667</v>
      </c>
      <c r="U780" s="1250"/>
      <c r="V780" s="1250"/>
      <c r="W780" s="1251">
        <v>40</v>
      </c>
      <c r="X780" s="1250">
        <v>6251.666666666667</v>
      </c>
      <c r="Y780" s="1250"/>
      <c r="Z780" s="1250"/>
      <c r="AA780" s="1250"/>
      <c r="AB780" s="1250"/>
      <c r="AC780" s="1250"/>
      <c r="AD780" s="1250"/>
      <c r="AE780" s="1249">
        <v>30</v>
      </c>
      <c r="AF780" s="1250">
        <v>6251.666666666667</v>
      </c>
      <c r="AG780" s="111"/>
      <c r="AH780" s="111"/>
      <c r="AI780" s="111"/>
      <c r="AJ780" s="111"/>
      <c r="AK780" s="111"/>
      <c r="AL780" s="111"/>
      <c r="AM780" s="111">
        <v>18755</v>
      </c>
    </row>
    <row r="781" spans="1:39" ht="15" customHeight="1" x14ac:dyDescent="0.25">
      <c r="A781" s="1409"/>
      <c r="B781" s="1409"/>
      <c r="C781" s="1409"/>
      <c r="D781" s="1409"/>
      <c r="E781" s="1247"/>
      <c r="F781" s="1248" t="s">
        <v>4739</v>
      </c>
      <c r="G781" s="111"/>
      <c r="H781" s="1249">
        <v>51</v>
      </c>
      <c r="I781" s="111" t="s">
        <v>4701</v>
      </c>
      <c r="J781" s="1321" t="s">
        <v>5608</v>
      </c>
      <c r="K781" s="162" t="s">
        <v>5610</v>
      </c>
      <c r="L781" s="162" t="s">
        <v>5609</v>
      </c>
      <c r="M781" s="111">
        <v>176</v>
      </c>
      <c r="N781" s="111">
        <v>8976</v>
      </c>
      <c r="O781" s="111"/>
      <c r="P781" s="111"/>
      <c r="Q781" s="111"/>
      <c r="R781" s="111"/>
      <c r="S781" s="1249">
        <v>21</v>
      </c>
      <c r="T781" s="1250">
        <v>2992</v>
      </c>
      <c r="U781" s="1250"/>
      <c r="V781" s="1250"/>
      <c r="W781" s="1251">
        <v>20</v>
      </c>
      <c r="X781" s="1250">
        <v>2992</v>
      </c>
      <c r="Y781" s="1250"/>
      <c r="Z781" s="1250"/>
      <c r="AA781" s="1250"/>
      <c r="AB781" s="1250"/>
      <c r="AC781" s="1250"/>
      <c r="AD781" s="1250"/>
      <c r="AE781" s="1249">
        <v>10</v>
      </c>
      <c r="AF781" s="1250">
        <v>2992</v>
      </c>
      <c r="AG781" s="111"/>
      <c r="AH781" s="111"/>
      <c r="AI781" s="111"/>
      <c r="AJ781" s="111"/>
      <c r="AK781" s="111"/>
      <c r="AL781" s="111"/>
      <c r="AM781" s="111">
        <v>8976</v>
      </c>
    </row>
    <row r="782" spans="1:39" ht="15" customHeight="1" x14ac:dyDescent="0.25">
      <c r="A782" s="1409"/>
      <c r="B782" s="1409"/>
      <c r="C782" s="1409"/>
      <c r="D782" s="1409"/>
      <c r="E782" s="1247"/>
      <c r="F782" s="1248" t="s">
        <v>4740</v>
      </c>
      <c r="G782" s="111"/>
      <c r="H782" s="1249">
        <v>150</v>
      </c>
      <c r="I782" s="111" t="s">
        <v>4701</v>
      </c>
      <c r="J782" s="1321" t="s">
        <v>5608</v>
      </c>
      <c r="K782" s="162" t="s">
        <v>5610</v>
      </c>
      <c r="L782" s="162" t="s">
        <v>5609</v>
      </c>
      <c r="M782" s="111">
        <v>204.11999999999995</v>
      </c>
      <c r="N782" s="111">
        <v>30617.999999999993</v>
      </c>
      <c r="O782" s="111"/>
      <c r="P782" s="111"/>
      <c r="Q782" s="111"/>
      <c r="R782" s="111"/>
      <c r="S782" s="1249">
        <v>50</v>
      </c>
      <c r="T782" s="1250">
        <v>10205.999999999998</v>
      </c>
      <c r="U782" s="1250"/>
      <c r="V782" s="1250"/>
      <c r="W782" s="1251">
        <v>50</v>
      </c>
      <c r="X782" s="1250">
        <v>10205.999999999998</v>
      </c>
      <c r="Y782" s="1250"/>
      <c r="Z782" s="1250"/>
      <c r="AA782" s="1250"/>
      <c r="AB782" s="1250"/>
      <c r="AC782" s="1250"/>
      <c r="AD782" s="1250"/>
      <c r="AE782" s="1249">
        <v>50</v>
      </c>
      <c r="AF782" s="1250">
        <v>10205.999999999998</v>
      </c>
      <c r="AG782" s="111"/>
      <c r="AH782" s="111"/>
      <c r="AI782" s="111"/>
      <c r="AJ782" s="111"/>
      <c r="AK782" s="111"/>
      <c r="AL782" s="111"/>
      <c r="AM782" s="111">
        <v>30617.999999999993</v>
      </c>
    </row>
    <row r="783" spans="1:39" ht="15" customHeight="1" x14ac:dyDescent="0.25">
      <c r="A783" s="1409"/>
      <c r="B783" s="1409"/>
      <c r="C783" s="1409"/>
      <c r="D783" s="1409"/>
      <c r="E783" s="1247"/>
      <c r="F783" s="1248"/>
      <c r="G783" s="111"/>
      <c r="H783" s="1249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249"/>
      <c r="T783" s="1250"/>
      <c r="U783" s="1250"/>
      <c r="V783" s="1250"/>
      <c r="W783" s="1251"/>
      <c r="X783" s="1250"/>
      <c r="Y783" s="1250"/>
      <c r="Z783" s="1250"/>
      <c r="AA783" s="1250"/>
      <c r="AB783" s="1250"/>
      <c r="AC783" s="1250"/>
      <c r="AD783" s="1250"/>
      <c r="AE783" s="1249"/>
      <c r="AF783" s="1250"/>
      <c r="AG783" s="111"/>
      <c r="AH783" s="111"/>
      <c r="AI783" s="111"/>
      <c r="AJ783" s="111"/>
      <c r="AK783" s="111"/>
      <c r="AL783" s="111"/>
      <c r="AM783" s="111"/>
    </row>
    <row r="784" spans="1:39" ht="15" customHeight="1" x14ac:dyDescent="0.25">
      <c r="A784" s="1409"/>
      <c r="B784" s="1409"/>
      <c r="C784" s="1409"/>
      <c r="D784" s="1409"/>
      <c r="E784" s="1271">
        <v>22103</v>
      </c>
      <c r="F784" s="1272" t="s">
        <v>324</v>
      </c>
      <c r="G784" s="1273"/>
      <c r="H784" s="1273"/>
      <c r="I784" s="1273"/>
      <c r="J784" s="1273"/>
      <c r="K784" s="1273"/>
      <c r="L784" s="1273"/>
      <c r="M784" s="1273"/>
      <c r="N784" s="1273"/>
      <c r="O784" s="1273"/>
      <c r="P784" s="1273"/>
      <c r="Q784" s="1273"/>
      <c r="R784" s="1273"/>
      <c r="S784" s="1273"/>
      <c r="T784" s="1273"/>
      <c r="U784" s="1273"/>
      <c r="V784" s="1273"/>
      <c r="W784" s="1273"/>
      <c r="X784" s="1273"/>
      <c r="Y784" s="1273"/>
      <c r="Z784" s="1273"/>
      <c r="AA784" s="1273"/>
      <c r="AB784" s="1273"/>
      <c r="AC784" s="1273"/>
      <c r="AD784" s="1273"/>
      <c r="AE784" s="1273"/>
      <c r="AF784" s="1273"/>
      <c r="AG784" s="1273"/>
      <c r="AH784" s="1273"/>
      <c r="AI784" s="1273"/>
      <c r="AJ784" s="1273"/>
      <c r="AK784" s="1273"/>
      <c r="AL784" s="1273"/>
      <c r="AM784" s="1273"/>
    </row>
    <row r="785" spans="1:39" ht="15" customHeight="1" x14ac:dyDescent="0.25">
      <c r="A785" s="1409"/>
      <c r="B785" s="1409"/>
      <c r="C785" s="1409"/>
      <c r="D785" s="1409"/>
      <c r="E785" s="1247"/>
      <c r="F785" s="1248" t="s">
        <v>4741</v>
      </c>
      <c r="G785" s="111"/>
      <c r="H785" s="1249">
        <v>140</v>
      </c>
      <c r="I785" s="111" t="s">
        <v>4701</v>
      </c>
      <c r="J785" s="1321" t="s">
        <v>5608</v>
      </c>
      <c r="K785" s="162" t="s">
        <v>5610</v>
      </c>
      <c r="L785" s="162" t="s">
        <v>5609</v>
      </c>
      <c r="M785" s="111">
        <v>150.79999999999998</v>
      </c>
      <c r="N785" s="111">
        <v>21111.999999999996</v>
      </c>
      <c r="O785" s="111"/>
      <c r="P785" s="111"/>
      <c r="Q785" s="111"/>
      <c r="R785" s="111"/>
      <c r="S785" s="1249">
        <v>50</v>
      </c>
      <c r="T785" s="1250">
        <v>7037.3333333333321</v>
      </c>
      <c r="U785" s="1250"/>
      <c r="V785" s="1250"/>
      <c r="W785" s="1251">
        <v>50</v>
      </c>
      <c r="X785" s="1250">
        <v>7037.3333333333321</v>
      </c>
      <c r="Y785" s="1250"/>
      <c r="Z785" s="1250"/>
      <c r="AA785" s="1250"/>
      <c r="AB785" s="1250"/>
      <c r="AC785" s="1250"/>
      <c r="AD785" s="1250"/>
      <c r="AE785" s="1249">
        <v>40</v>
      </c>
      <c r="AF785" s="1250">
        <v>7037.3333333333321</v>
      </c>
      <c r="AG785" s="111"/>
      <c r="AH785" s="111"/>
      <c r="AI785" s="111"/>
      <c r="AJ785" s="111"/>
      <c r="AK785" s="111"/>
      <c r="AL785" s="111"/>
      <c r="AM785" s="111">
        <v>21111.999999999996</v>
      </c>
    </row>
    <row r="786" spans="1:39" ht="15" customHeight="1" x14ac:dyDescent="0.25">
      <c r="A786" s="1409"/>
      <c r="B786" s="1409"/>
      <c r="C786" s="1409"/>
      <c r="D786" s="1409"/>
      <c r="E786" s="1247"/>
      <c r="F786" s="1248" t="s">
        <v>326</v>
      </c>
      <c r="G786" s="111"/>
      <c r="H786" s="1249">
        <v>68</v>
      </c>
      <c r="I786" s="111" t="s">
        <v>4701</v>
      </c>
      <c r="J786" s="1321" t="s">
        <v>5608</v>
      </c>
      <c r="K786" s="162" t="s">
        <v>5610</v>
      </c>
      <c r="L786" s="162" t="s">
        <v>5609</v>
      </c>
      <c r="M786" s="111">
        <v>372.08159999999998</v>
      </c>
      <c r="N786" s="111">
        <v>25301.548799999997</v>
      </c>
      <c r="O786" s="111"/>
      <c r="P786" s="111"/>
      <c r="Q786" s="111"/>
      <c r="R786" s="111"/>
      <c r="S786" s="1249">
        <v>38</v>
      </c>
      <c r="T786" s="1250">
        <v>8433.8495999999996</v>
      </c>
      <c r="U786" s="1250"/>
      <c r="V786" s="1250"/>
      <c r="W786" s="1251">
        <v>20</v>
      </c>
      <c r="X786" s="1250">
        <v>8433.8495999999996</v>
      </c>
      <c r="Y786" s="1250"/>
      <c r="Z786" s="1250"/>
      <c r="AA786" s="1250"/>
      <c r="AB786" s="1250"/>
      <c r="AC786" s="1250"/>
      <c r="AD786" s="1250"/>
      <c r="AE786" s="1249">
        <v>10</v>
      </c>
      <c r="AF786" s="1250">
        <v>8433.8495999999996</v>
      </c>
      <c r="AG786" s="111"/>
      <c r="AH786" s="111"/>
      <c r="AI786" s="111"/>
      <c r="AJ786" s="111"/>
      <c r="AK786" s="111"/>
      <c r="AL786" s="111"/>
      <c r="AM786" s="111">
        <v>25301.548799999997</v>
      </c>
    </row>
    <row r="787" spans="1:39" ht="15" customHeight="1" x14ac:dyDescent="0.25">
      <c r="A787" s="1409"/>
      <c r="B787" s="1409"/>
      <c r="C787" s="1409"/>
      <c r="D787" s="1409"/>
      <c r="E787" s="1247"/>
      <c r="F787" s="1248" t="s">
        <v>4742</v>
      </c>
      <c r="G787" s="111"/>
      <c r="H787" s="1249">
        <v>384</v>
      </c>
      <c r="I787" s="111" t="s">
        <v>4701</v>
      </c>
      <c r="J787" s="1321" t="s">
        <v>5608</v>
      </c>
      <c r="K787" s="162" t="s">
        <v>5610</v>
      </c>
      <c r="L787" s="162" t="s">
        <v>5609</v>
      </c>
      <c r="M787" s="111">
        <v>160.92000000000004</v>
      </c>
      <c r="N787" s="111">
        <v>61793.280000000013</v>
      </c>
      <c r="O787" s="111"/>
      <c r="P787" s="111"/>
      <c r="Q787" s="111"/>
      <c r="R787" s="111"/>
      <c r="S787" s="1249">
        <v>140</v>
      </c>
      <c r="T787" s="1250">
        <v>20597.760000000006</v>
      </c>
      <c r="U787" s="1250"/>
      <c r="V787" s="1250"/>
      <c r="W787" s="1251">
        <v>124</v>
      </c>
      <c r="X787" s="1250">
        <v>20597.760000000006</v>
      </c>
      <c r="Y787" s="1250"/>
      <c r="Z787" s="1250"/>
      <c r="AA787" s="1250"/>
      <c r="AB787" s="1250"/>
      <c r="AC787" s="1250"/>
      <c r="AD787" s="1250"/>
      <c r="AE787" s="1249">
        <v>120</v>
      </c>
      <c r="AF787" s="1250">
        <v>20597.760000000006</v>
      </c>
      <c r="AG787" s="111"/>
      <c r="AH787" s="111"/>
      <c r="AI787" s="111"/>
      <c r="AJ787" s="111"/>
      <c r="AK787" s="111"/>
      <c r="AL787" s="111"/>
      <c r="AM787" s="111">
        <v>61793.280000000013</v>
      </c>
    </row>
    <row r="788" spans="1:39" ht="15" customHeight="1" x14ac:dyDescent="0.25">
      <c r="A788" s="1409"/>
      <c r="B788" s="1409"/>
      <c r="C788" s="1409"/>
      <c r="D788" s="1409"/>
      <c r="E788" s="1247"/>
      <c r="F788" s="1248"/>
      <c r="G788" s="111"/>
      <c r="H788" s="1249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249"/>
      <c r="T788" s="1250"/>
      <c r="U788" s="1250"/>
      <c r="V788" s="1250"/>
      <c r="W788" s="1251"/>
      <c r="X788" s="1250"/>
      <c r="Y788" s="1250"/>
      <c r="Z788" s="1250"/>
      <c r="AA788" s="1250"/>
      <c r="AB788" s="1250"/>
      <c r="AC788" s="1250"/>
      <c r="AD788" s="1250"/>
      <c r="AE788" s="1249"/>
      <c r="AF788" s="1250"/>
      <c r="AG788" s="111"/>
      <c r="AH788" s="111"/>
      <c r="AI788" s="111"/>
      <c r="AJ788" s="111"/>
      <c r="AK788" s="111"/>
      <c r="AL788" s="111"/>
      <c r="AM788" s="111"/>
    </row>
    <row r="789" spans="1:39" ht="15" customHeight="1" x14ac:dyDescent="0.25">
      <c r="A789" s="1409"/>
      <c r="B789" s="1409"/>
      <c r="C789" s="1409"/>
      <c r="D789" s="1409"/>
      <c r="E789" s="1271">
        <v>22104</v>
      </c>
      <c r="F789" s="1272" t="s">
        <v>328</v>
      </c>
      <c r="G789" s="1273"/>
      <c r="H789" s="1273"/>
      <c r="I789" s="1273"/>
      <c r="J789" s="1273"/>
      <c r="K789" s="1273"/>
      <c r="L789" s="1273"/>
      <c r="M789" s="1273"/>
      <c r="N789" s="1273"/>
      <c r="O789" s="1273"/>
      <c r="P789" s="1273"/>
      <c r="Q789" s="1273"/>
      <c r="R789" s="1273"/>
      <c r="S789" s="1273"/>
      <c r="T789" s="1273"/>
      <c r="U789" s="1273"/>
      <c r="V789" s="1273"/>
      <c r="W789" s="1273"/>
      <c r="X789" s="1273"/>
      <c r="Y789" s="1273"/>
      <c r="Z789" s="1273"/>
      <c r="AA789" s="1273"/>
      <c r="AB789" s="1273"/>
      <c r="AC789" s="1273"/>
      <c r="AD789" s="1273"/>
      <c r="AE789" s="1273"/>
      <c r="AF789" s="1273"/>
      <c r="AG789" s="1273"/>
      <c r="AH789" s="1273"/>
      <c r="AI789" s="1273"/>
      <c r="AJ789" s="1273"/>
      <c r="AK789" s="1273"/>
      <c r="AL789" s="1273"/>
      <c r="AM789" s="1273"/>
    </row>
    <row r="790" spans="1:39" ht="15" customHeight="1" x14ac:dyDescent="0.25">
      <c r="A790" s="1409"/>
      <c r="B790" s="1409"/>
      <c r="C790" s="1409"/>
      <c r="D790" s="1409"/>
      <c r="E790" s="1275"/>
      <c r="F790" s="1248" t="s">
        <v>4743</v>
      </c>
      <c r="G790" s="111"/>
      <c r="H790" s="1249">
        <v>394</v>
      </c>
      <c r="I790" s="111" t="s">
        <v>1827</v>
      </c>
      <c r="J790" s="1321" t="s">
        <v>5608</v>
      </c>
      <c r="K790" s="162" t="s">
        <v>5610</v>
      </c>
      <c r="L790" s="162" t="s">
        <v>5609</v>
      </c>
      <c r="M790" s="111">
        <v>38.5</v>
      </c>
      <c r="N790" s="111">
        <v>15169</v>
      </c>
      <c r="O790" s="111"/>
      <c r="P790" s="111"/>
      <c r="Q790" s="111"/>
      <c r="R790" s="111"/>
      <c r="S790" s="1249">
        <v>150</v>
      </c>
      <c r="T790" s="1250">
        <v>5056.333333333333</v>
      </c>
      <c r="U790" s="1250"/>
      <c r="V790" s="1250"/>
      <c r="W790" s="1251">
        <v>124</v>
      </c>
      <c r="X790" s="1250">
        <v>5056.333333333333</v>
      </c>
      <c r="Y790" s="1250"/>
      <c r="Z790" s="1250"/>
      <c r="AA790" s="1250"/>
      <c r="AB790" s="1250"/>
      <c r="AC790" s="1250"/>
      <c r="AD790" s="1250"/>
      <c r="AE790" s="1249">
        <v>120</v>
      </c>
      <c r="AF790" s="1250">
        <v>5056.333333333333</v>
      </c>
      <c r="AG790" s="111"/>
      <c r="AH790" s="111"/>
      <c r="AI790" s="111"/>
      <c r="AJ790" s="111"/>
      <c r="AK790" s="111"/>
      <c r="AL790" s="111"/>
      <c r="AM790" s="111">
        <v>15169</v>
      </c>
    </row>
    <row r="791" spans="1:39" ht="15" customHeight="1" x14ac:dyDescent="0.25">
      <c r="A791" s="1409"/>
      <c r="B791" s="1409"/>
      <c r="C791" s="1409"/>
      <c r="D791" s="1409"/>
      <c r="E791" s="1275"/>
      <c r="F791" s="1248" t="s">
        <v>4744</v>
      </c>
      <c r="G791" s="111"/>
      <c r="H791" s="1249">
        <v>230</v>
      </c>
      <c r="I791" s="111" t="s">
        <v>1827</v>
      </c>
      <c r="J791" s="1321" t="s">
        <v>5608</v>
      </c>
      <c r="K791" s="162" t="s">
        <v>5610</v>
      </c>
      <c r="L791" s="162" t="s">
        <v>5609</v>
      </c>
      <c r="M791" s="111">
        <v>32.4</v>
      </c>
      <c r="N791" s="111">
        <v>7452</v>
      </c>
      <c r="O791" s="111"/>
      <c r="P791" s="111"/>
      <c r="Q791" s="111"/>
      <c r="R791" s="111"/>
      <c r="S791" s="1249">
        <v>100</v>
      </c>
      <c r="T791" s="1250">
        <v>2484</v>
      </c>
      <c r="U791" s="1250"/>
      <c r="V791" s="1250"/>
      <c r="W791" s="1251">
        <v>80</v>
      </c>
      <c r="X791" s="1250">
        <v>2484</v>
      </c>
      <c r="Y791" s="1250"/>
      <c r="Z791" s="1250"/>
      <c r="AA791" s="1250"/>
      <c r="AB791" s="1250"/>
      <c r="AC791" s="1250"/>
      <c r="AD791" s="1250"/>
      <c r="AE791" s="1249">
        <v>50</v>
      </c>
      <c r="AF791" s="1250">
        <v>2484</v>
      </c>
      <c r="AG791" s="111"/>
      <c r="AH791" s="111"/>
      <c r="AI791" s="111"/>
      <c r="AJ791" s="111"/>
      <c r="AK791" s="111"/>
      <c r="AL791" s="111"/>
      <c r="AM791" s="111">
        <v>7452</v>
      </c>
    </row>
    <row r="792" spans="1:39" ht="15" customHeight="1" x14ac:dyDescent="0.25">
      <c r="A792" s="1409"/>
      <c r="B792" s="1409"/>
      <c r="C792" s="1409"/>
      <c r="D792" s="1409"/>
      <c r="E792" s="1275"/>
      <c r="F792" s="1248" t="s">
        <v>332</v>
      </c>
      <c r="G792" s="111"/>
      <c r="H792" s="1249">
        <v>180</v>
      </c>
      <c r="I792" s="111" t="s">
        <v>1827</v>
      </c>
      <c r="J792" s="1321" t="s">
        <v>5608</v>
      </c>
      <c r="K792" s="162" t="s">
        <v>5610</v>
      </c>
      <c r="L792" s="162" t="s">
        <v>5609</v>
      </c>
      <c r="M792" s="111">
        <v>42.945066666666662</v>
      </c>
      <c r="N792" s="111">
        <v>7730.1119999999992</v>
      </c>
      <c r="O792" s="111"/>
      <c r="P792" s="111"/>
      <c r="Q792" s="111"/>
      <c r="R792" s="111"/>
      <c r="S792" s="1249">
        <v>80</v>
      </c>
      <c r="T792" s="1250">
        <v>2576.7039999999997</v>
      </c>
      <c r="U792" s="1250"/>
      <c r="V792" s="1250"/>
      <c r="W792" s="1251">
        <v>50</v>
      </c>
      <c r="X792" s="1250">
        <v>2576.7039999999997</v>
      </c>
      <c r="Y792" s="1250"/>
      <c r="Z792" s="1250"/>
      <c r="AA792" s="1250"/>
      <c r="AB792" s="1250"/>
      <c r="AC792" s="1250"/>
      <c r="AD792" s="1250"/>
      <c r="AE792" s="1249">
        <v>50</v>
      </c>
      <c r="AF792" s="1250">
        <v>2576.7039999999997</v>
      </c>
      <c r="AG792" s="111"/>
      <c r="AH792" s="111"/>
      <c r="AI792" s="111"/>
      <c r="AJ792" s="111"/>
      <c r="AK792" s="111"/>
      <c r="AL792" s="111"/>
      <c r="AM792" s="111">
        <v>7730.1119999999992</v>
      </c>
    </row>
    <row r="793" spans="1:39" ht="15" customHeight="1" x14ac:dyDescent="0.25">
      <c r="A793" s="1409"/>
      <c r="B793" s="1409"/>
      <c r="C793" s="1409"/>
      <c r="D793" s="1409"/>
      <c r="E793" s="1275"/>
      <c r="F793" s="1248" t="s">
        <v>4745</v>
      </c>
      <c r="G793" s="111"/>
      <c r="H793" s="1249">
        <v>173</v>
      </c>
      <c r="I793" s="111" t="s">
        <v>1827</v>
      </c>
      <c r="J793" s="1321" t="s">
        <v>5608</v>
      </c>
      <c r="K793" s="162" t="s">
        <v>5610</v>
      </c>
      <c r="L793" s="162" t="s">
        <v>5609</v>
      </c>
      <c r="M793" s="111">
        <v>52.800000000000011</v>
      </c>
      <c r="N793" s="111">
        <v>9134.4000000000015</v>
      </c>
      <c r="O793" s="111"/>
      <c r="P793" s="111"/>
      <c r="Q793" s="111"/>
      <c r="R793" s="111"/>
      <c r="S793" s="1249">
        <v>73</v>
      </c>
      <c r="T793" s="1250">
        <v>3044.8000000000006</v>
      </c>
      <c r="U793" s="1250"/>
      <c r="V793" s="1250"/>
      <c r="W793" s="1251">
        <v>50</v>
      </c>
      <c r="X793" s="1250">
        <v>3044.8000000000006</v>
      </c>
      <c r="Y793" s="1250"/>
      <c r="Z793" s="1250"/>
      <c r="AA793" s="1250"/>
      <c r="AB793" s="1250"/>
      <c r="AC793" s="1250"/>
      <c r="AD793" s="1250"/>
      <c r="AE793" s="1249">
        <v>50</v>
      </c>
      <c r="AF793" s="1250">
        <v>3044.8000000000006</v>
      </c>
      <c r="AG793" s="111"/>
      <c r="AH793" s="111"/>
      <c r="AI793" s="111"/>
      <c r="AJ793" s="111"/>
      <c r="AK793" s="111"/>
      <c r="AL793" s="111"/>
      <c r="AM793" s="111">
        <v>9134.4000000000015</v>
      </c>
    </row>
    <row r="794" spans="1:39" ht="15" customHeight="1" x14ac:dyDescent="0.25">
      <c r="A794" s="1409"/>
      <c r="B794" s="1409"/>
      <c r="C794" s="1409"/>
      <c r="D794" s="1409"/>
      <c r="E794" s="1275"/>
      <c r="F794" s="1248" t="s">
        <v>4746</v>
      </c>
      <c r="G794" s="111"/>
      <c r="H794" s="1249">
        <v>222</v>
      </c>
      <c r="I794" s="111" t="s">
        <v>1827</v>
      </c>
      <c r="J794" s="1321" t="s">
        <v>5608</v>
      </c>
      <c r="K794" s="162" t="s">
        <v>5610</v>
      </c>
      <c r="L794" s="162" t="s">
        <v>5609</v>
      </c>
      <c r="M794" s="111">
        <v>41.588360360360362</v>
      </c>
      <c r="N794" s="111">
        <v>9232.616</v>
      </c>
      <c r="O794" s="111"/>
      <c r="P794" s="111"/>
      <c r="Q794" s="111"/>
      <c r="R794" s="111"/>
      <c r="S794" s="1249">
        <v>100</v>
      </c>
      <c r="T794" s="1250">
        <v>3077.5386666666668</v>
      </c>
      <c r="U794" s="1250"/>
      <c r="V794" s="1250"/>
      <c r="W794" s="1251">
        <v>72</v>
      </c>
      <c r="X794" s="1250">
        <v>3077.5386666666668</v>
      </c>
      <c r="Y794" s="1250"/>
      <c r="Z794" s="1250"/>
      <c r="AA794" s="1250"/>
      <c r="AB794" s="1250"/>
      <c r="AC794" s="1250"/>
      <c r="AD794" s="1250"/>
      <c r="AE794" s="1249">
        <v>50</v>
      </c>
      <c r="AF794" s="1250">
        <v>3077.5386666666668</v>
      </c>
      <c r="AG794" s="111"/>
      <c r="AH794" s="111"/>
      <c r="AI794" s="111"/>
      <c r="AJ794" s="111"/>
      <c r="AK794" s="111"/>
      <c r="AL794" s="111"/>
      <c r="AM794" s="111">
        <v>9232.616</v>
      </c>
    </row>
    <row r="795" spans="1:39" ht="15" customHeight="1" x14ac:dyDescent="0.25">
      <c r="A795" s="1409"/>
      <c r="B795" s="1409"/>
      <c r="C795" s="1409"/>
      <c r="D795" s="1409"/>
      <c r="E795" s="1275"/>
      <c r="F795" s="1248" t="s">
        <v>2675</v>
      </c>
      <c r="G795" s="111"/>
      <c r="H795" s="1249">
        <v>198</v>
      </c>
      <c r="I795" s="111" t="s">
        <v>1827</v>
      </c>
      <c r="J795" s="1321" t="s">
        <v>5608</v>
      </c>
      <c r="K795" s="162" t="s">
        <v>5610</v>
      </c>
      <c r="L795" s="162" t="s">
        <v>5609</v>
      </c>
      <c r="M795" s="111">
        <v>35.527999999999999</v>
      </c>
      <c r="N795" s="111">
        <v>7034.5439999999999</v>
      </c>
      <c r="O795" s="111"/>
      <c r="P795" s="111"/>
      <c r="Q795" s="111"/>
      <c r="R795" s="111"/>
      <c r="S795" s="1249">
        <v>78</v>
      </c>
      <c r="T795" s="1250">
        <v>2344.848</v>
      </c>
      <c r="U795" s="1250"/>
      <c r="V795" s="1250"/>
      <c r="W795" s="1251">
        <v>60</v>
      </c>
      <c r="X795" s="1250">
        <v>2344.848</v>
      </c>
      <c r="Y795" s="1250"/>
      <c r="Z795" s="1250"/>
      <c r="AA795" s="1250"/>
      <c r="AB795" s="1250"/>
      <c r="AC795" s="1250"/>
      <c r="AD795" s="1250"/>
      <c r="AE795" s="1249">
        <v>60</v>
      </c>
      <c r="AF795" s="1250">
        <v>2344.848</v>
      </c>
      <c r="AG795" s="111"/>
      <c r="AH795" s="111"/>
      <c r="AI795" s="111"/>
      <c r="AJ795" s="111"/>
      <c r="AK795" s="111"/>
      <c r="AL795" s="111"/>
      <c r="AM795" s="111">
        <v>7034.5439999999999</v>
      </c>
    </row>
    <row r="796" spans="1:39" ht="15" customHeight="1" x14ac:dyDescent="0.25">
      <c r="A796" s="1409"/>
      <c r="B796" s="1409"/>
      <c r="C796" s="1409"/>
      <c r="D796" s="1409"/>
      <c r="E796" s="1275"/>
      <c r="F796" s="1248" t="s">
        <v>2676</v>
      </c>
      <c r="G796" s="111"/>
      <c r="H796" s="1249">
        <v>10</v>
      </c>
      <c r="I796" s="111" t="s">
        <v>1827</v>
      </c>
      <c r="J796" s="1321" t="s">
        <v>5608</v>
      </c>
      <c r="K796" s="162" t="s">
        <v>5610</v>
      </c>
      <c r="L796" s="162" t="s">
        <v>5609</v>
      </c>
      <c r="M796" s="111">
        <v>52.362399999999994</v>
      </c>
      <c r="N796" s="111">
        <v>523.62399999999991</v>
      </c>
      <c r="O796" s="111"/>
      <c r="P796" s="111"/>
      <c r="Q796" s="111"/>
      <c r="R796" s="111"/>
      <c r="S796" s="1249">
        <v>5</v>
      </c>
      <c r="T796" s="1250">
        <v>174.54133333333331</v>
      </c>
      <c r="U796" s="1250"/>
      <c r="V796" s="1250"/>
      <c r="W796" s="1251">
        <v>5</v>
      </c>
      <c r="X796" s="1250">
        <v>174.54133333333331</v>
      </c>
      <c r="Y796" s="1250"/>
      <c r="Z796" s="1250"/>
      <c r="AA796" s="1250"/>
      <c r="AB796" s="1250"/>
      <c r="AC796" s="1250"/>
      <c r="AD796" s="1250"/>
      <c r="AE796" s="1249">
        <v>0</v>
      </c>
      <c r="AF796" s="1250">
        <v>174.54133333333331</v>
      </c>
      <c r="AG796" s="111"/>
      <c r="AH796" s="111"/>
      <c r="AI796" s="111"/>
      <c r="AJ796" s="111"/>
      <c r="AK796" s="111"/>
      <c r="AL796" s="111"/>
      <c r="AM796" s="111">
        <v>523.62399999999991</v>
      </c>
    </row>
    <row r="797" spans="1:39" ht="15" customHeight="1" x14ac:dyDescent="0.25">
      <c r="A797" s="1409"/>
      <c r="B797" s="1409"/>
      <c r="C797" s="1409"/>
      <c r="D797" s="1409"/>
      <c r="E797" s="1275"/>
      <c r="F797" s="1248" t="s">
        <v>377</v>
      </c>
      <c r="G797" s="111"/>
      <c r="H797" s="1249">
        <v>32</v>
      </c>
      <c r="I797" s="111" t="s">
        <v>1827</v>
      </c>
      <c r="J797" s="1321" t="s">
        <v>5608</v>
      </c>
      <c r="K797" s="162" t="s">
        <v>5610</v>
      </c>
      <c r="L797" s="162" t="s">
        <v>5609</v>
      </c>
      <c r="M797" s="111">
        <v>27.561599999999999</v>
      </c>
      <c r="N797" s="111">
        <v>881.97119999999995</v>
      </c>
      <c r="O797" s="111"/>
      <c r="P797" s="111"/>
      <c r="Q797" s="111"/>
      <c r="R797" s="111"/>
      <c r="S797" s="1249">
        <v>12</v>
      </c>
      <c r="T797" s="1250">
        <v>293.99039999999997</v>
      </c>
      <c r="U797" s="1250"/>
      <c r="V797" s="1250"/>
      <c r="W797" s="1251">
        <v>10</v>
      </c>
      <c r="X797" s="1250">
        <v>293.99039999999997</v>
      </c>
      <c r="Y797" s="1250"/>
      <c r="Z797" s="1250"/>
      <c r="AA797" s="1250"/>
      <c r="AB797" s="1250"/>
      <c r="AC797" s="1250"/>
      <c r="AD797" s="1250"/>
      <c r="AE797" s="1249">
        <v>10</v>
      </c>
      <c r="AF797" s="1250">
        <v>293.99039999999997</v>
      </c>
      <c r="AG797" s="111"/>
      <c r="AH797" s="111"/>
      <c r="AI797" s="111"/>
      <c r="AJ797" s="111"/>
      <c r="AK797" s="111"/>
      <c r="AL797" s="111"/>
      <c r="AM797" s="111">
        <v>881.97119999999995</v>
      </c>
    </row>
    <row r="798" spans="1:39" ht="15" customHeight="1" x14ac:dyDescent="0.25">
      <c r="A798" s="1409"/>
      <c r="B798" s="1409"/>
      <c r="C798" s="1409"/>
      <c r="D798" s="1409"/>
      <c r="E798" s="1247"/>
      <c r="F798" s="1248" t="s">
        <v>2677</v>
      </c>
      <c r="G798" s="111"/>
      <c r="H798" s="1249">
        <v>6</v>
      </c>
      <c r="I798" s="111" t="s">
        <v>1827</v>
      </c>
      <c r="J798" s="1321" t="s">
        <v>5608</v>
      </c>
      <c r="K798" s="162" t="s">
        <v>5610</v>
      </c>
      <c r="L798" s="162" t="s">
        <v>5609</v>
      </c>
      <c r="M798" s="111">
        <v>96.465599999999995</v>
      </c>
      <c r="N798" s="111">
        <v>578.79359999999997</v>
      </c>
      <c r="O798" s="111"/>
      <c r="P798" s="111"/>
      <c r="Q798" s="111"/>
      <c r="R798" s="111"/>
      <c r="S798" s="1249">
        <v>2</v>
      </c>
      <c r="T798" s="1250">
        <v>192.93119999999999</v>
      </c>
      <c r="U798" s="1250"/>
      <c r="V798" s="1250"/>
      <c r="W798" s="1251">
        <v>2</v>
      </c>
      <c r="X798" s="1250">
        <v>192.93119999999999</v>
      </c>
      <c r="Y798" s="1250"/>
      <c r="Z798" s="1250"/>
      <c r="AA798" s="1250"/>
      <c r="AB798" s="1250"/>
      <c r="AC798" s="1250"/>
      <c r="AD798" s="1250"/>
      <c r="AE798" s="1249">
        <v>2</v>
      </c>
      <c r="AF798" s="1250">
        <v>192.93119999999999</v>
      </c>
      <c r="AG798" s="111"/>
      <c r="AH798" s="111"/>
      <c r="AI798" s="111"/>
      <c r="AJ798" s="111"/>
      <c r="AK798" s="111"/>
      <c r="AL798" s="111"/>
      <c r="AM798" s="111">
        <v>578.79359999999997</v>
      </c>
    </row>
    <row r="799" spans="1:39" ht="15" customHeight="1" x14ac:dyDescent="0.25">
      <c r="A799" s="1409"/>
      <c r="B799" s="1409"/>
      <c r="C799" s="1409"/>
      <c r="D799" s="1409"/>
      <c r="E799" s="1247"/>
      <c r="F799" s="1248" t="s">
        <v>333</v>
      </c>
      <c r="G799" s="111"/>
      <c r="H799" s="1249">
        <v>100</v>
      </c>
      <c r="I799" s="111" t="s">
        <v>1827</v>
      </c>
      <c r="J799" s="1321" t="s">
        <v>5608</v>
      </c>
      <c r="K799" s="162" t="s">
        <v>5610</v>
      </c>
      <c r="L799" s="162" t="s">
        <v>5609</v>
      </c>
      <c r="M799" s="111">
        <v>66.143199999999993</v>
      </c>
      <c r="N799" s="111">
        <v>6614.32</v>
      </c>
      <c r="O799" s="111"/>
      <c r="P799" s="111"/>
      <c r="Q799" s="111"/>
      <c r="R799" s="111"/>
      <c r="S799" s="1249">
        <v>40</v>
      </c>
      <c r="T799" s="1250">
        <v>2204.7733333333331</v>
      </c>
      <c r="U799" s="1250"/>
      <c r="V799" s="1250"/>
      <c r="W799" s="1251">
        <v>40</v>
      </c>
      <c r="X799" s="1250">
        <v>2204.7733333333331</v>
      </c>
      <c r="Y799" s="1250"/>
      <c r="Z799" s="1250"/>
      <c r="AA799" s="1250"/>
      <c r="AB799" s="1250"/>
      <c r="AC799" s="1250"/>
      <c r="AD799" s="1250"/>
      <c r="AE799" s="1249">
        <v>20</v>
      </c>
      <c r="AF799" s="1250">
        <v>2204.7733333333331</v>
      </c>
      <c r="AG799" s="111"/>
      <c r="AH799" s="111"/>
      <c r="AI799" s="111"/>
      <c r="AJ799" s="111"/>
      <c r="AK799" s="111"/>
      <c r="AL799" s="111"/>
      <c r="AM799" s="111">
        <v>6614.32</v>
      </c>
    </row>
    <row r="800" spans="1:39" ht="15" customHeight="1" x14ac:dyDescent="0.25">
      <c r="A800" s="1409"/>
      <c r="B800" s="1409"/>
      <c r="C800" s="1409"/>
      <c r="D800" s="1409"/>
      <c r="E800" s="1247"/>
      <c r="F800" s="1248" t="s">
        <v>4747</v>
      </c>
      <c r="G800" s="111"/>
      <c r="H800" s="1249">
        <v>10</v>
      </c>
      <c r="I800" s="111" t="s">
        <v>2684</v>
      </c>
      <c r="J800" s="1321" t="s">
        <v>5608</v>
      </c>
      <c r="K800" s="162" t="s">
        <v>5610</v>
      </c>
      <c r="L800" s="162" t="s">
        <v>5609</v>
      </c>
      <c r="M800" s="111">
        <v>54.50544</v>
      </c>
      <c r="N800" s="111">
        <v>545.05439999999999</v>
      </c>
      <c r="O800" s="111"/>
      <c r="P800" s="111"/>
      <c r="Q800" s="111"/>
      <c r="R800" s="111"/>
      <c r="S800" s="1249">
        <v>5</v>
      </c>
      <c r="T800" s="1250">
        <v>181.6848</v>
      </c>
      <c r="U800" s="1250"/>
      <c r="V800" s="1250"/>
      <c r="W800" s="1251">
        <v>5</v>
      </c>
      <c r="X800" s="1250">
        <v>181.6848</v>
      </c>
      <c r="Y800" s="1250"/>
      <c r="Z800" s="1250"/>
      <c r="AA800" s="1250"/>
      <c r="AB800" s="1250"/>
      <c r="AC800" s="1250"/>
      <c r="AD800" s="1250"/>
      <c r="AE800" s="1249">
        <v>0</v>
      </c>
      <c r="AF800" s="1250">
        <v>181.6848</v>
      </c>
      <c r="AG800" s="111"/>
      <c r="AH800" s="111"/>
      <c r="AI800" s="111"/>
      <c r="AJ800" s="111"/>
      <c r="AK800" s="111"/>
      <c r="AL800" s="111"/>
      <c r="AM800" s="111">
        <v>545.05439999999999</v>
      </c>
    </row>
    <row r="801" spans="1:39" ht="15" customHeight="1" x14ac:dyDescent="0.25">
      <c r="A801" s="1409"/>
      <c r="B801" s="1409"/>
      <c r="C801" s="1409"/>
      <c r="D801" s="1409"/>
      <c r="E801" s="1247"/>
      <c r="F801" s="1248" t="s">
        <v>344</v>
      </c>
      <c r="G801" s="111"/>
      <c r="H801" s="1249">
        <v>203</v>
      </c>
      <c r="I801" s="111" t="s">
        <v>1827</v>
      </c>
      <c r="J801" s="1321" t="s">
        <v>5608</v>
      </c>
      <c r="K801" s="162" t="s">
        <v>5610</v>
      </c>
      <c r="L801" s="162" t="s">
        <v>5609</v>
      </c>
      <c r="M801" s="111">
        <v>35.103645320197046</v>
      </c>
      <c r="N801" s="111">
        <v>7126.04</v>
      </c>
      <c r="O801" s="111"/>
      <c r="P801" s="111"/>
      <c r="Q801" s="111"/>
      <c r="R801" s="111"/>
      <c r="S801" s="1249">
        <v>100</v>
      </c>
      <c r="T801" s="1250">
        <v>2375.3466666666668</v>
      </c>
      <c r="U801" s="1250"/>
      <c r="V801" s="1250"/>
      <c r="W801" s="1251">
        <v>53</v>
      </c>
      <c r="X801" s="1250">
        <v>2375.3466666666668</v>
      </c>
      <c r="Y801" s="1250"/>
      <c r="Z801" s="1250"/>
      <c r="AA801" s="1250"/>
      <c r="AB801" s="1250"/>
      <c r="AC801" s="1250"/>
      <c r="AD801" s="1250"/>
      <c r="AE801" s="1249">
        <v>50</v>
      </c>
      <c r="AF801" s="1250">
        <v>2375.3466666666668</v>
      </c>
      <c r="AG801" s="111"/>
      <c r="AH801" s="111"/>
      <c r="AI801" s="111"/>
      <c r="AJ801" s="111"/>
      <c r="AK801" s="111"/>
      <c r="AL801" s="111"/>
      <c r="AM801" s="111">
        <v>7126.04</v>
      </c>
    </row>
    <row r="802" spans="1:39" ht="15" customHeight="1" x14ac:dyDescent="0.25">
      <c r="A802" s="1409"/>
      <c r="B802" s="1409"/>
      <c r="C802" s="1409"/>
      <c r="D802" s="1409"/>
      <c r="E802" s="1247"/>
      <c r="F802" s="1248" t="s">
        <v>2674</v>
      </c>
      <c r="G802" s="111"/>
      <c r="H802" s="1249">
        <v>123</v>
      </c>
      <c r="I802" s="111" t="s">
        <v>1827</v>
      </c>
      <c r="J802" s="1321" t="s">
        <v>5608</v>
      </c>
      <c r="K802" s="162" t="s">
        <v>5610</v>
      </c>
      <c r="L802" s="162" t="s">
        <v>5609</v>
      </c>
      <c r="M802" s="111">
        <v>64.382373983739825</v>
      </c>
      <c r="N802" s="111">
        <v>7919.0319999999983</v>
      </c>
      <c r="O802" s="111"/>
      <c r="P802" s="111"/>
      <c r="Q802" s="111"/>
      <c r="R802" s="111"/>
      <c r="S802" s="1249">
        <v>50</v>
      </c>
      <c r="T802" s="1250">
        <v>2639.6773333333331</v>
      </c>
      <c r="U802" s="1250"/>
      <c r="V802" s="1250"/>
      <c r="W802" s="1251">
        <v>50</v>
      </c>
      <c r="X802" s="1250">
        <v>2639.6773333333331</v>
      </c>
      <c r="Y802" s="1250"/>
      <c r="Z802" s="1250"/>
      <c r="AA802" s="1250"/>
      <c r="AB802" s="1250"/>
      <c r="AC802" s="1250"/>
      <c r="AD802" s="1250"/>
      <c r="AE802" s="1249">
        <v>23</v>
      </c>
      <c r="AF802" s="1250">
        <v>2639.6773333333331</v>
      </c>
      <c r="AG802" s="111"/>
      <c r="AH802" s="111"/>
      <c r="AI802" s="111"/>
      <c r="AJ802" s="111"/>
      <c r="AK802" s="111"/>
      <c r="AL802" s="111"/>
      <c r="AM802" s="111">
        <v>7919.0319999999992</v>
      </c>
    </row>
    <row r="803" spans="1:39" ht="15" customHeight="1" x14ac:dyDescent="0.25">
      <c r="A803" s="1409"/>
      <c r="B803" s="1409"/>
      <c r="C803" s="1409"/>
      <c r="D803" s="1409"/>
      <c r="E803" s="1247"/>
      <c r="F803" s="1248" t="s">
        <v>4748</v>
      </c>
      <c r="G803" s="111"/>
      <c r="H803" s="1249">
        <v>48</v>
      </c>
      <c r="I803" s="111" t="s">
        <v>2684</v>
      </c>
      <c r="J803" s="1321" t="s">
        <v>5608</v>
      </c>
      <c r="K803" s="162" t="s">
        <v>5610</v>
      </c>
      <c r="L803" s="162" t="s">
        <v>5609</v>
      </c>
      <c r="M803" s="111">
        <v>27</v>
      </c>
      <c r="N803" s="111">
        <v>1296</v>
      </c>
      <c r="O803" s="111"/>
      <c r="P803" s="111"/>
      <c r="Q803" s="111"/>
      <c r="R803" s="111"/>
      <c r="S803" s="1249">
        <v>20</v>
      </c>
      <c r="T803" s="1250">
        <v>432</v>
      </c>
      <c r="U803" s="1250"/>
      <c r="V803" s="1250"/>
      <c r="W803" s="1251">
        <v>18</v>
      </c>
      <c r="X803" s="1250">
        <v>432</v>
      </c>
      <c r="Y803" s="1250"/>
      <c r="Z803" s="1250"/>
      <c r="AA803" s="1250"/>
      <c r="AB803" s="1250"/>
      <c r="AC803" s="1250"/>
      <c r="AD803" s="1250"/>
      <c r="AE803" s="1249">
        <v>10</v>
      </c>
      <c r="AF803" s="1250">
        <v>432</v>
      </c>
      <c r="AG803" s="111"/>
      <c r="AH803" s="111"/>
      <c r="AI803" s="111"/>
      <c r="AJ803" s="111"/>
      <c r="AK803" s="111"/>
      <c r="AL803" s="111"/>
      <c r="AM803" s="111">
        <v>1296</v>
      </c>
    </row>
    <row r="804" spans="1:39" ht="15" customHeight="1" x14ac:dyDescent="0.25">
      <c r="A804" s="1409"/>
      <c r="B804" s="1409"/>
      <c r="C804" s="1409"/>
      <c r="D804" s="1409"/>
      <c r="E804" s="1247"/>
      <c r="F804" s="1248" t="s">
        <v>349</v>
      </c>
      <c r="G804" s="111"/>
      <c r="H804" s="1249">
        <v>70</v>
      </c>
      <c r="I804" s="111" t="s">
        <v>1827</v>
      </c>
      <c r="J804" s="1321" t="s">
        <v>5608</v>
      </c>
      <c r="K804" s="162" t="s">
        <v>5610</v>
      </c>
      <c r="L804" s="162" t="s">
        <v>5609</v>
      </c>
      <c r="M804" s="111">
        <v>128.60571428571427</v>
      </c>
      <c r="N804" s="111">
        <v>9002.4</v>
      </c>
      <c r="O804" s="111"/>
      <c r="P804" s="111"/>
      <c r="Q804" s="111"/>
      <c r="R804" s="111"/>
      <c r="S804" s="1249">
        <v>30</v>
      </c>
      <c r="T804" s="1250">
        <v>3000.7999999999997</v>
      </c>
      <c r="U804" s="1250"/>
      <c r="V804" s="1250"/>
      <c r="W804" s="1251">
        <v>30</v>
      </c>
      <c r="X804" s="1250">
        <v>3000.7999999999997</v>
      </c>
      <c r="Y804" s="1250"/>
      <c r="Z804" s="1250"/>
      <c r="AA804" s="1250"/>
      <c r="AB804" s="1250"/>
      <c r="AC804" s="1250"/>
      <c r="AD804" s="1250"/>
      <c r="AE804" s="1249">
        <v>10</v>
      </c>
      <c r="AF804" s="1250">
        <v>3000.7999999999997</v>
      </c>
      <c r="AG804" s="111"/>
      <c r="AH804" s="111"/>
      <c r="AI804" s="111"/>
      <c r="AJ804" s="111"/>
      <c r="AK804" s="111"/>
      <c r="AL804" s="111"/>
      <c r="AM804" s="111">
        <v>9002.4</v>
      </c>
    </row>
    <row r="805" spans="1:39" ht="15" customHeight="1" x14ac:dyDescent="0.25">
      <c r="A805" s="1409"/>
      <c r="B805" s="1409"/>
      <c r="C805" s="1409"/>
      <c r="D805" s="1409"/>
      <c r="E805" s="1247"/>
      <c r="F805" s="1248" t="s">
        <v>4749</v>
      </c>
      <c r="G805" s="111"/>
      <c r="H805" s="1249">
        <v>220</v>
      </c>
      <c r="I805" s="111" t="s">
        <v>1827</v>
      </c>
      <c r="J805" s="1321" t="s">
        <v>5608</v>
      </c>
      <c r="K805" s="162" t="s">
        <v>5610</v>
      </c>
      <c r="L805" s="162" t="s">
        <v>5609</v>
      </c>
      <c r="M805" s="111">
        <v>43.696545454545451</v>
      </c>
      <c r="N805" s="111">
        <v>9613.24</v>
      </c>
      <c r="O805" s="111"/>
      <c r="P805" s="111"/>
      <c r="Q805" s="111"/>
      <c r="R805" s="111"/>
      <c r="S805" s="1249">
        <v>100</v>
      </c>
      <c r="T805" s="1250">
        <v>3204.4133333333334</v>
      </c>
      <c r="U805" s="1250"/>
      <c r="V805" s="1250"/>
      <c r="W805" s="1251">
        <v>70</v>
      </c>
      <c r="X805" s="1250">
        <v>3204.4133333333334</v>
      </c>
      <c r="Y805" s="1250"/>
      <c r="Z805" s="1250"/>
      <c r="AA805" s="1250"/>
      <c r="AB805" s="1250"/>
      <c r="AC805" s="1250"/>
      <c r="AD805" s="1250"/>
      <c r="AE805" s="1249">
        <v>50</v>
      </c>
      <c r="AF805" s="1250">
        <v>3204.4133333333334</v>
      </c>
      <c r="AG805" s="111"/>
      <c r="AH805" s="111"/>
      <c r="AI805" s="111"/>
      <c r="AJ805" s="111"/>
      <c r="AK805" s="111"/>
      <c r="AL805" s="111"/>
      <c r="AM805" s="111">
        <v>9613.24</v>
      </c>
    </row>
    <row r="806" spans="1:39" ht="15" customHeight="1" x14ac:dyDescent="0.25">
      <c r="A806" s="1409"/>
      <c r="B806" s="1409"/>
      <c r="C806" s="1409"/>
      <c r="D806" s="1409"/>
      <c r="E806" s="1247"/>
      <c r="F806" s="1248" t="s">
        <v>354</v>
      </c>
      <c r="G806" s="111"/>
      <c r="H806" s="1249">
        <v>140</v>
      </c>
      <c r="I806" s="111" t="s">
        <v>1827</v>
      </c>
      <c r="J806" s="1321" t="s">
        <v>5608</v>
      </c>
      <c r="K806" s="162" t="s">
        <v>5610</v>
      </c>
      <c r="L806" s="162" t="s">
        <v>5609</v>
      </c>
      <c r="M806" s="111">
        <v>30.239999999999995</v>
      </c>
      <c r="N806" s="111">
        <v>4233.5999999999995</v>
      </c>
      <c r="O806" s="111"/>
      <c r="P806" s="111"/>
      <c r="Q806" s="111"/>
      <c r="R806" s="111"/>
      <c r="S806" s="1249">
        <v>50</v>
      </c>
      <c r="T806" s="1250">
        <v>1411.1999999999998</v>
      </c>
      <c r="U806" s="1250"/>
      <c r="V806" s="1250"/>
      <c r="W806" s="1251">
        <v>50</v>
      </c>
      <c r="X806" s="1250">
        <v>1411.1999999999998</v>
      </c>
      <c r="Y806" s="1250"/>
      <c r="Z806" s="1250"/>
      <c r="AA806" s="1250"/>
      <c r="AB806" s="1250"/>
      <c r="AC806" s="1250"/>
      <c r="AD806" s="1250"/>
      <c r="AE806" s="1249">
        <v>40</v>
      </c>
      <c r="AF806" s="1250">
        <v>1411.1999999999998</v>
      </c>
      <c r="AG806" s="111"/>
      <c r="AH806" s="111"/>
      <c r="AI806" s="111"/>
      <c r="AJ806" s="111"/>
      <c r="AK806" s="111"/>
      <c r="AL806" s="111"/>
      <c r="AM806" s="111">
        <v>4233.5999999999995</v>
      </c>
    </row>
    <row r="807" spans="1:39" ht="15" customHeight="1" x14ac:dyDescent="0.25">
      <c r="A807" s="1409"/>
      <c r="B807" s="1409"/>
      <c r="C807" s="1409"/>
      <c r="D807" s="1409"/>
      <c r="E807" s="1247"/>
      <c r="F807" s="1248" t="s">
        <v>4750</v>
      </c>
      <c r="G807" s="111"/>
      <c r="H807" s="1249">
        <v>989</v>
      </c>
      <c r="I807" s="111" t="s">
        <v>1827</v>
      </c>
      <c r="J807" s="1321" t="s">
        <v>5608</v>
      </c>
      <c r="K807" s="162" t="s">
        <v>5610</v>
      </c>
      <c r="L807" s="162" t="s">
        <v>5609</v>
      </c>
      <c r="M807" s="111">
        <v>40.733918705763401</v>
      </c>
      <c r="N807" s="111">
        <v>40285.845600000001</v>
      </c>
      <c r="O807" s="111"/>
      <c r="P807" s="111"/>
      <c r="Q807" s="111"/>
      <c r="R807" s="111"/>
      <c r="S807" s="1249">
        <v>389</v>
      </c>
      <c r="T807" s="1250">
        <v>13428.6152</v>
      </c>
      <c r="U807" s="1250"/>
      <c r="V807" s="1250"/>
      <c r="W807" s="1251">
        <v>300</v>
      </c>
      <c r="X807" s="1250">
        <v>13428.6152</v>
      </c>
      <c r="Y807" s="1250"/>
      <c r="Z807" s="1250"/>
      <c r="AA807" s="1250"/>
      <c r="AB807" s="1250"/>
      <c r="AC807" s="1250"/>
      <c r="AD807" s="1250"/>
      <c r="AE807" s="1249">
        <v>300</v>
      </c>
      <c r="AF807" s="1250">
        <v>13428.6152</v>
      </c>
      <c r="AG807" s="111"/>
      <c r="AH807" s="111"/>
      <c r="AI807" s="111"/>
      <c r="AJ807" s="111"/>
      <c r="AK807" s="111"/>
      <c r="AL807" s="111"/>
      <c r="AM807" s="111">
        <v>40285.845600000001</v>
      </c>
    </row>
    <row r="808" spans="1:39" ht="15" customHeight="1" x14ac:dyDescent="0.25">
      <c r="A808" s="1409"/>
      <c r="B808" s="1409"/>
      <c r="C808" s="1409"/>
      <c r="D808" s="1409"/>
      <c r="E808" s="1247"/>
      <c r="F808" s="1248" t="s">
        <v>2666</v>
      </c>
      <c r="G808" s="111"/>
      <c r="H808" s="1249">
        <v>37</v>
      </c>
      <c r="I808" s="111" t="s">
        <v>1827</v>
      </c>
      <c r="J808" s="1321" t="s">
        <v>5608</v>
      </c>
      <c r="K808" s="162" t="s">
        <v>5610</v>
      </c>
      <c r="L808" s="162" t="s">
        <v>5609</v>
      </c>
      <c r="M808" s="111">
        <v>41.342399999999998</v>
      </c>
      <c r="N808" s="111">
        <v>1529.6687999999999</v>
      </c>
      <c r="O808" s="111"/>
      <c r="P808" s="111"/>
      <c r="Q808" s="111"/>
      <c r="R808" s="111"/>
      <c r="S808" s="1249">
        <v>15</v>
      </c>
      <c r="T808" s="1250">
        <v>509.88959999999997</v>
      </c>
      <c r="U808" s="1250"/>
      <c r="V808" s="1250"/>
      <c r="W808" s="1251">
        <v>12</v>
      </c>
      <c r="X808" s="1250">
        <v>509.88959999999997</v>
      </c>
      <c r="Y808" s="1250"/>
      <c r="Z808" s="1250"/>
      <c r="AA808" s="1250"/>
      <c r="AB808" s="1250"/>
      <c r="AC808" s="1250"/>
      <c r="AD808" s="1250"/>
      <c r="AE808" s="1249">
        <v>10</v>
      </c>
      <c r="AF808" s="1250">
        <v>509.88959999999997</v>
      </c>
      <c r="AG808" s="111"/>
      <c r="AH808" s="111"/>
      <c r="AI808" s="111"/>
      <c r="AJ808" s="111"/>
      <c r="AK808" s="111"/>
      <c r="AL808" s="111"/>
      <c r="AM808" s="111">
        <v>1529.6687999999999</v>
      </c>
    </row>
    <row r="809" spans="1:39" ht="15" customHeight="1" x14ac:dyDescent="0.25">
      <c r="A809" s="1409"/>
      <c r="B809" s="1409"/>
      <c r="C809" s="1409"/>
      <c r="D809" s="1409"/>
      <c r="E809" s="1247"/>
      <c r="F809" s="1248" t="s">
        <v>4751</v>
      </c>
      <c r="G809" s="111"/>
      <c r="H809" s="1249">
        <v>81</v>
      </c>
      <c r="I809" s="111" t="s">
        <v>1827</v>
      </c>
      <c r="J809" s="1321" t="s">
        <v>5608</v>
      </c>
      <c r="K809" s="162" t="s">
        <v>5610</v>
      </c>
      <c r="L809" s="162" t="s">
        <v>5609</v>
      </c>
      <c r="M809" s="111">
        <v>33</v>
      </c>
      <c r="N809" s="111">
        <v>2673</v>
      </c>
      <c r="O809" s="111"/>
      <c r="P809" s="111"/>
      <c r="Q809" s="111"/>
      <c r="R809" s="111"/>
      <c r="S809" s="1249">
        <v>31</v>
      </c>
      <c r="T809" s="1250">
        <v>891</v>
      </c>
      <c r="U809" s="1250"/>
      <c r="V809" s="1250"/>
      <c r="W809" s="1251">
        <v>40</v>
      </c>
      <c r="X809" s="1250">
        <v>891</v>
      </c>
      <c r="Y809" s="1250"/>
      <c r="Z809" s="1250"/>
      <c r="AA809" s="1250"/>
      <c r="AB809" s="1250"/>
      <c r="AC809" s="1250"/>
      <c r="AD809" s="1250"/>
      <c r="AE809" s="1249">
        <v>10</v>
      </c>
      <c r="AF809" s="1250">
        <v>891</v>
      </c>
      <c r="AG809" s="111"/>
      <c r="AH809" s="111"/>
      <c r="AI809" s="111"/>
      <c r="AJ809" s="111"/>
      <c r="AK809" s="111"/>
      <c r="AL809" s="111"/>
      <c r="AM809" s="111">
        <v>2673</v>
      </c>
    </row>
    <row r="810" spans="1:39" ht="15" customHeight="1" x14ac:dyDescent="0.25">
      <c r="A810" s="1409"/>
      <c r="B810" s="1409"/>
      <c r="C810" s="1409"/>
      <c r="D810" s="1409"/>
      <c r="E810" s="1247"/>
      <c r="F810" s="1248" t="s">
        <v>2668</v>
      </c>
      <c r="G810" s="111"/>
      <c r="H810" s="1249">
        <v>52</v>
      </c>
      <c r="I810" s="111" t="s">
        <v>1827</v>
      </c>
      <c r="J810" s="1321" t="s">
        <v>5608</v>
      </c>
      <c r="K810" s="162" t="s">
        <v>5610</v>
      </c>
      <c r="L810" s="162" t="s">
        <v>5609</v>
      </c>
      <c r="M810" s="111">
        <v>55.123199999999997</v>
      </c>
      <c r="N810" s="111">
        <v>2866.4063999999998</v>
      </c>
      <c r="O810" s="111"/>
      <c r="P810" s="111"/>
      <c r="Q810" s="111"/>
      <c r="R810" s="111"/>
      <c r="S810" s="1249">
        <v>22</v>
      </c>
      <c r="T810" s="1250">
        <v>955.46879999999999</v>
      </c>
      <c r="U810" s="1250"/>
      <c r="V810" s="1250"/>
      <c r="W810" s="1251">
        <v>20</v>
      </c>
      <c r="X810" s="1250">
        <v>955.46879999999999</v>
      </c>
      <c r="Y810" s="1250"/>
      <c r="Z810" s="1250"/>
      <c r="AA810" s="1250"/>
      <c r="AB810" s="1250"/>
      <c r="AC810" s="1250"/>
      <c r="AD810" s="1250"/>
      <c r="AE810" s="1249">
        <v>10</v>
      </c>
      <c r="AF810" s="1250">
        <v>955.46879999999999</v>
      </c>
      <c r="AG810" s="111"/>
      <c r="AH810" s="111"/>
      <c r="AI810" s="111"/>
      <c r="AJ810" s="111"/>
      <c r="AK810" s="111"/>
      <c r="AL810" s="111"/>
      <c r="AM810" s="111">
        <v>2866.4063999999998</v>
      </c>
    </row>
    <row r="811" spans="1:39" ht="15" customHeight="1" x14ac:dyDescent="0.25">
      <c r="A811" s="1409"/>
      <c r="B811" s="1409"/>
      <c r="C811" s="1409"/>
      <c r="D811" s="1409"/>
      <c r="E811" s="1247"/>
      <c r="F811" s="1248" t="s">
        <v>4752</v>
      </c>
      <c r="G811" s="111"/>
      <c r="H811" s="1249">
        <v>94</v>
      </c>
      <c r="I811" s="111" t="s">
        <v>1827</v>
      </c>
      <c r="J811" s="1321" t="s">
        <v>5608</v>
      </c>
      <c r="K811" s="162" t="s">
        <v>5610</v>
      </c>
      <c r="L811" s="162" t="s">
        <v>5609</v>
      </c>
      <c r="M811" s="111">
        <v>44</v>
      </c>
      <c r="N811" s="111">
        <v>4136</v>
      </c>
      <c r="O811" s="111"/>
      <c r="P811" s="111"/>
      <c r="Q811" s="111"/>
      <c r="R811" s="111"/>
      <c r="S811" s="1249">
        <v>44</v>
      </c>
      <c r="T811" s="1250">
        <v>1378.6666666666667</v>
      </c>
      <c r="U811" s="1250"/>
      <c r="V811" s="1250"/>
      <c r="W811" s="1251">
        <v>30</v>
      </c>
      <c r="X811" s="1250">
        <v>1378.6666666666667</v>
      </c>
      <c r="Y811" s="1250"/>
      <c r="Z811" s="1250"/>
      <c r="AA811" s="1250"/>
      <c r="AB811" s="1250"/>
      <c r="AC811" s="1250"/>
      <c r="AD811" s="1250"/>
      <c r="AE811" s="1249">
        <v>20</v>
      </c>
      <c r="AF811" s="1250">
        <v>1378.6666666666667</v>
      </c>
      <c r="AG811" s="111"/>
      <c r="AH811" s="111"/>
      <c r="AI811" s="111"/>
      <c r="AJ811" s="111"/>
      <c r="AK811" s="111"/>
      <c r="AL811" s="111"/>
      <c r="AM811" s="111">
        <v>4136</v>
      </c>
    </row>
    <row r="812" spans="1:39" ht="15" customHeight="1" x14ac:dyDescent="0.25">
      <c r="A812" s="1409"/>
      <c r="B812" s="1409"/>
      <c r="C812" s="1409"/>
      <c r="D812" s="1409"/>
      <c r="E812" s="1247"/>
      <c r="F812" s="1248" t="s">
        <v>4753</v>
      </c>
      <c r="G812" s="111"/>
      <c r="H812" s="1249">
        <v>160</v>
      </c>
      <c r="I812" s="111" t="s">
        <v>1827</v>
      </c>
      <c r="J812" s="1321" t="s">
        <v>5608</v>
      </c>
      <c r="K812" s="162" t="s">
        <v>5610</v>
      </c>
      <c r="L812" s="162" t="s">
        <v>5609</v>
      </c>
      <c r="M812" s="111">
        <v>31.309999999999995</v>
      </c>
      <c r="N812" s="111">
        <v>5009.5999999999995</v>
      </c>
      <c r="O812" s="111"/>
      <c r="P812" s="111"/>
      <c r="Q812" s="111"/>
      <c r="R812" s="111"/>
      <c r="S812" s="1249">
        <v>60</v>
      </c>
      <c r="T812" s="1250">
        <v>1669.8666666666666</v>
      </c>
      <c r="U812" s="1250"/>
      <c r="V812" s="1250"/>
      <c r="W812" s="1251">
        <v>50</v>
      </c>
      <c r="X812" s="1250">
        <v>1669.8666666666666</v>
      </c>
      <c r="Y812" s="1250"/>
      <c r="Z812" s="1250"/>
      <c r="AA812" s="1250"/>
      <c r="AB812" s="1250"/>
      <c r="AC812" s="1250"/>
      <c r="AD812" s="1250"/>
      <c r="AE812" s="1249">
        <v>50</v>
      </c>
      <c r="AF812" s="1250">
        <v>1669.8666666666666</v>
      </c>
      <c r="AG812" s="111"/>
      <c r="AH812" s="111"/>
      <c r="AI812" s="111"/>
      <c r="AJ812" s="111"/>
      <c r="AK812" s="111"/>
      <c r="AL812" s="111"/>
      <c r="AM812" s="111">
        <v>5009.5999999999995</v>
      </c>
    </row>
    <row r="813" spans="1:39" ht="15" customHeight="1" x14ac:dyDescent="0.25">
      <c r="A813" s="1409"/>
      <c r="B813" s="1409"/>
      <c r="C813" s="1409"/>
      <c r="D813" s="1409"/>
      <c r="E813" s="1247"/>
      <c r="F813" s="1248" t="s">
        <v>4754</v>
      </c>
      <c r="G813" s="111"/>
      <c r="H813" s="1249">
        <v>160</v>
      </c>
      <c r="I813" s="111" t="s">
        <v>1827</v>
      </c>
      <c r="J813" s="1321" t="s">
        <v>5608</v>
      </c>
      <c r="K813" s="162" t="s">
        <v>5610</v>
      </c>
      <c r="L813" s="162" t="s">
        <v>5609</v>
      </c>
      <c r="M813" s="111">
        <v>29.160000000000004</v>
      </c>
      <c r="N813" s="111">
        <v>4665.6000000000004</v>
      </c>
      <c r="O813" s="111"/>
      <c r="P813" s="111"/>
      <c r="Q813" s="111"/>
      <c r="R813" s="111"/>
      <c r="S813" s="1249">
        <v>60</v>
      </c>
      <c r="T813" s="1250">
        <v>1555.2</v>
      </c>
      <c r="U813" s="1250"/>
      <c r="V813" s="1250"/>
      <c r="W813" s="1251">
        <v>50</v>
      </c>
      <c r="X813" s="1250">
        <v>1555.2</v>
      </c>
      <c r="Y813" s="1250"/>
      <c r="Z813" s="1250"/>
      <c r="AA813" s="1250"/>
      <c r="AB813" s="1250"/>
      <c r="AC813" s="1250"/>
      <c r="AD813" s="1250"/>
      <c r="AE813" s="1249">
        <v>50</v>
      </c>
      <c r="AF813" s="1250">
        <v>1555.2</v>
      </c>
      <c r="AG813" s="111"/>
      <c r="AH813" s="111"/>
      <c r="AI813" s="111"/>
      <c r="AJ813" s="111"/>
      <c r="AK813" s="111"/>
      <c r="AL813" s="111"/>
      <c r="AM813" s="111">
        <v>4665.6000000000004</v>
      </c>
    </row>
    <row r="814" spans="1:39" ht="15" customHeight="1" x14ac:dyDescent="0.25">
      <c r="A814" s="1409"/>
      <c r="B814" s="1409"/>
      <c r="C814" s="1409"/>
      <c r="D814" s="1409"/>
      <c r="E814" s="1247"/>
      <c r="F814" s="1248" t="s">
        <v>2671</v>
      </c>
      <c r="G814" s="111"/>
      <c r="H814" s="1249">
        <v>160</v>
      </c>
      <c r="I814" s="111" t="s">
        <v>1827</v>
      </c>
      <c r="J814" s="1321" t="s">
        <v>5608</v>
      </c>
      <c r="K814" s="162" t="s">
        <v>5610</v>
      </c>
      <c r="L814" s="162" t="s">
        <v>5609</v>
      </c>
      <c r="M814" s="111">
        <v>68.903999999999996</v>
      </c>
      <c r="N814" s="111">
        <v>11024.64</v>
      </c>
      <c r="O814" s="111"/>
      <c r="P814" s="111"/>
      <c r="Q814" s="111"/>
      <c r="R814" s="111"/>
      <c r="S814" s="1249">
        <v>60</v>
      </c>
      <c r="T814" s="1250">
        <v>3674.8799999999997</v>
      </c>
      <c r="U814" s="1250"/>
      <c r="V814" s="1250"/>
      <c r="W814" s="1251">
        <v>50</v>
      </c>
      <c r="X814" s="1250">
        <v>3674.8799999999997</v>
      </c>
      <c r="Y814" s="1250"/>
      <c r="Z814" s="1250"/>
      <c r="AA814" s="1250"/>
      <c r="AB814" s="1250"/>
      <c r="AC814" s="1250"/>
      <c r="AD814" s="1250"/>
      <c r="AE814" s="1249">
        <v>50</v>
      </c>
      <c r="AF814" s="1250">
        <v>3674.8799999999997</v>
      </c>
      <c r="AG814" s="111"/>
      <c r="AH814" s="111"/>
      <c r="AI814" s="111"/>
      <c r="AJ814" s="111"/>
      <c r="AK814" s="111"/>
      <c r="AL814" s="111"/>
      <c r="AM814" s="111">
        <v>11024.64</v>
      </c>
    </row>
    <row r="815" spans="1:39" ht="15" customHeight="1" x14ac:dyDescent="0.25">
      <c r="A815" s="1409"/>
      <c r="B815" s="1409"/>
      <c r="C815" s="1409"/>
      <c r="D815" s="1409"/>
      <c r="E815" s="1247"/>
      <c r="F815" s="1248" t="s">
        <v>4755</v>
      </c>
      <c r="G815" s="111"/>
      <c r="H815" s="1249">
        <v>486</v>
      </c>
      <c r="I815" s="111" t="s">
        <v>1827</v>
      </c>
      <c r="J815" s="1321" t="s">
        <v>5608</v>
      </c>
      <c r="K815" s="162" t="s">
        <v>5610</v>
      </c>
      <c r="L815" s="162" t="s">
        <v>5609</v>
      </c>
      <c r="M815" s="111">
        <v>86.4</v>
      </c>
      <c r="N815" s="111">
        <v>41990.400000000001</v>
      </c>
      <c r="O815" s="111"/>
      <c r="P815" s="111"/>
      <c r="Q815" s="111"/>
      <c r="R815" s="111"/>
      <c r="S815" s="1249">
        <v>200</v>
      </c>
      <c r="T815" s="1250">
        <v>13996.800000000001</v>
      </c>
      <c r="U815" s="1250"/>
      <c r="V815" s="1250"/>
      <c r="W815" s="1251">
        <v>186</v>
      </c>
      <c r="X815" s="1250">
        <v>13996.800000000001</v>
      </c>
      <c r="Y815" s="1250"/>
      <c r="Z815" s="1250"/>
      <c r="AA815" s="1250"/>
      <c r="AB815" s="1250"/>
      <c r="AC815" s="1250"/>
      <c r="AD815" s="1250"/>
      <c r="AE815" s="1249">
        <v>100</v>
      </c>
      <c r="AF815" s="1250">
        <v>13996.800000000001</v>
      </c>
      <c r="AG815" s="111"/>
      <c r="AH815" s="111"/>
      <c r="AI815" s="111"/>
      <c r="AJ815" s="111"/>
      <c r="AK815" s="111"/>
      <c r="AL815" s="111"/>
      <c r="AM815" s="111">
        <v>41990.400000000001</v>
      </c>
    </row>
    <row r="816" spans="1:39" ht="15" customHeight="1" x14ac:dyDescent="0.25">
      <c r="A816" s="1409"/>
      <c r="B816" s="1409"/>
      <c r="C816" s="1409"/>
      <c r="D816" s="1409"/>
      <c r="E816" s="1247"/>
      <c r="F816" s="1248" t="s">
        <v>364</v>
      </c>
      <c r="G816" s="111"/>
      <c r="H816" s="1249">
        <v>390</v>
      </c>
      <c r="I816" s="111" t="s">
        <v>1827</v>
      </c>
      <c r="J816" s="1321" t="s">
        <v>5608</v>
      </c>
      <c r="K816" s="162" t="s">
        <v>5610</v>
      </c>
      <c r="L816" s="162" t="s">
        <v>5609</v>
      </c>
      <c r="M816" s="111">
        <v>31.14153846153846</v>
      </c>
      <c r="N816" s="111">
        <v>12145.199999999999</v>
      </c>
      <c r="O816" s="111"/>
      <c r="P816" s="111"/>
      <c r="Q816" s="111"/>
      <c r="R816" s="111"/>
      <c r="S816" s="1249">
        <v>150</v>
      </c>
      <c r="T816" s="1250">
        <v>4048.3999999999996</v>
      </c>
      <c r="U816" s="1250"/>
      <c r="V816" s="1250"/>
      <c r="W816" s="1251">
        <v>120</v>
      </c>
      <c r="X816" s="1250">
        <v>4048.3999999999996</v>
      </c>
      <c r="Y816" s="1250"/>
      <c r="Z816" s="1250"/>
      <c r="AA816" s="1250"/>
      <c r="AB816" s="1250"/>
      <c r="AC816" s="1250"/>
      <c r="AD816" s="1250"/>
      <c r="AE816" s="1249">
        <v>120</v>
      </c>
      <c r="AF816" s="1250">
        <v>4048.3999999999996</v>
      </c>
      <c r="AG816" s="111"/>
      <c r="AH816" s="111"/>
      <c r="AI816" s="111"/>
      <c r="AJ816" s="111"/>
      <c r="AK816" s="111"/>
      <c r="AL816" s="111"/>
      <c r="AM816" s="111">
        <v>12145.199999999999</v>
      </c>
    </row>
    <row r="817" spans="1:39" ht="15" customHeight="1" x14ac:dyDescent="0.25">
      <c r="A817" s="1409"/>
      <c r="B817" s="1409"/>
      <c r="C817" s="1409"/>
      <c r="D817" s="1409"/>
      <c r="E817" s="1247"/>
      <c r="F817" s="1248" t="s">
        <v>365</v>
      </c>
      <c r="G817" s="111"/>
      <c r="H817" s="1249">
        <v>200</v>
      </c>
      <c r="I817" s="111" t="s">
        <v>1827</v>
      </c>
      <c r="J817" s="1321" t="s">
        <v>5608</v>
      </c>
      <c r="K817" s="162" t="s">
        <v>5610</v>
      </c>
      <c r="L817" s="162" t="s">
        <v>5609</v>
      </c>
      <c r="M817" s="111">
        <v>27.839999999999996</v>
      </c>
      <c r="N817" s="111">
        <v>5567.9999999999991</v>
      </c>
      <c r="O817" s="111"/>
      <c r="P817" s="111"/>
      <c r="Q817" s="111"/>
      <c r="R817" s="111"/>
      <c r="S817" s="1249">
        <v>100</v>
      </c>
      <c r="T817" s="1250">
        <v>1855.9999999999998</v>
      </c>
      <c r="U817" s="1250"/>
      <c r="V817" s="1250"/>
      <c r="W817" s="1251">
        <v>50</v>
      </c>
      <c r="X817" s="1250">
        <v>1855.9999999999998</v>
      </c>
      <c r="Y817" s="1250"/>
      <c r="Z817" s="1250"/>
      <c r="AA817" s="1250"/>
      <c r="AB817" s="1250"/>
      <c r="AC817" s="1250"/>
      <c r="AD817" s="1250"/>
      <c r="AE817" s="1249">
        <v>50</v>
      </c>
      <c r="AF817" s="1250">
        <v>1855.9999999999998</v>
      </c>
      <c r="AG817" s="111"/>
      <c r="AH817" s="111"/>
      <c r="AI817" s="111"/>
      <c r="AJ817" s="111"/>
      <c r="AK817" s="111"/>
      <c r="AL817" s="111"/>
      <c r="AM817" s="111">
        <v>5567.9999999999991</v>
      </c>
    </row>
    <row r="818" spans="1:39" ht="15" customHeight="1" x14ac:dyDescent="0.25">
      <c r="A818" s="1409"/>
      <c r="B818" s="1409"/>
      <c r="C818" s="1409"/>
      <c r="D818" s="1409"/>
      <c r="E818" s="1247"/>
      <c r="F818" s="1248" t="s">
        <v>4756</v>
      </c>
      <c r="G818" s="111"/>
      <c r="H818" s="1249">
        <v>192</v>
      </c>
      <c r="I818" s="111" t="s">
        <v>1827</v>
      </c>
      <c r="J818" s="1321" t="s">
        <v>5608</v>
      </c>
      <c r="K818" s="162" t="s">
        <v>5610</v>
      </c>
      <c r="L818" s="162" t="s">
        <v>5609</v>
      </c>
      <c r="M818" s="111">
        <v>23.76</v>
      </c>
      <c r="N818" s="111">
        <v>4561.92</v>
      </c>
      <c r="O818" s="111"/>
      <c r="P818" s="111"/>
      <c r="Q818" s="111"/>
      <c r="R818" s="111"/>
      <c r="S818" s="1249">
        <v>60</v>
      </c>
      <c r="T818" s="1250">
        <v>1520.64</v>
      </c>
      <c r="U818" s="1250"/>
      <c r="V818" s="1250"/>
      <c r="W818" s="1251">
        <v>60</v>
      </c>
      <c r="X818" s="1250">
        <v>1520.64</v>
      </c>
      <c r="Y818" s="1250"/>
      <c r="Z818" s="1250"/>
      <c r="AA818" s="1250"/>
      <c r="AB818" s="1250"/>
      <c r="AC818" s="1250"/>
      <c r="AD818" s="1250"/>
      <c r="AE818" s="1249">
        <v>72</v>
      </c>
      <c r="AF818" s="1250">
        <v>1520.64</v>
      </c>
      <c r="AG818" s="111"/>
      <c r="AH818" s="111"/>
      <c r="AI818" s="111"/>
      <c r="AJ818" s="111"/>
      <c r="AK818" s="111"/>
      <c r="AL818" s="111"/>
      <c r="AM818" s="111">
        <v>4561.92</v>
      </c>
    </row>
    <row r="819" spans="1:39" ht="15" customHeight="1" x14ac:dyDescent="0.25">
      <c r="A819" s="1409"/>
      <c r="B819" s="1409"/>
      <c r="C819" s="1409"/>
      <c r="D819" s="1409"/>
      <c r="E819" s="1247"/>
      <c r="F819" s="1248" t="s">
        <v>2667</v>
      </c>
      <c r="G819" s="111"/>
      <c r="H819" s="1249">
        <v>160</v>
      </c>
      <c r="I819" s="111" t="s">
        <v>1827</v>
      </c>
      <c r="J819" s="1321" t="s">
        <v>5608</v>
      </c>
      <c r="K819" s="162" t="s">
        <v>5610</v>
      </c>
      <c r="L819" s="162" t="s">
        <v>5609</v>
      </c>
      <c r="M819" s="111">
        <v>48.232799999999997</v>
      </c>
      <c r="N819" s="111">
        <v>7717.2479999999996</v>
      </c>
      <c r="O819" s="111"/>
      <c r="P819" s="111"/>
      <c r="Q819" s="111"/>
      <c r="R819" s="111"/>
      <c r="S819" s="1249">
        <v>60</v>
      </c>
      <c r="T819" s="1250">
        <v>2572.4159999999997</v>
      </c>
      <c r="U819" s="1250"/>
      <c r="V819" s="1250"/>
      <c r="W819" s="1251">
        <v>50</v>
      </c>
      <c r="X819" s="1250">
        <v>2572.4159999999997</v>
      </c>
      <c r="Y819" s="1250"/>
      <c r="Z819" s="1250"/>
      <c r="AA819" s="1250"/>
      <c r="AB819" s="1250"/>
      <c r="AC819" s="1250"/>
      <c r="AD819" s="1250"/>
      <c r="AE819" s="1249">
        <v>50</v>
      </c>
      <c r="AF819" s="1250">
        <v>2572.4159999999997</v>
      </c>
      <c r="AG819" s="111"/>
      <c r="AH819" s="111"/>
      <c r="AI819" s="111"/>
      <c r="AJ819" s="111"/>
      <c r="AK819" s="111"/>
      <c r="AL819" s="111"/>
      <c r="AM819" s="111">
        <v>7717.2479999999996</v>
      </c>
    </row>
    <row r="820" spans="1:39" ht="15" customHeight="1" x14ac:dyDescent="0.25">
      <c r="A820" s="1409"/>
      <c r="B820" s="1409"/>
      <c r="C820" s="1409"/>
      <c r="D820" s="1409"/>
      <c r="E820" s="1247"/>
      <c r="F820" s="1248" t="s">
        <v>4757</v>
      </c>
      <c r="G820" s="111"/>
      <c r="H820" s="1249">
        <v>530</v>
      </c>
      <c r="I820" s="111" t="s">
        <v>1827</v>
      </c>
      <c r="J820" s="1321" t="s">
        <v>5608</v>
      </c>
      <c r="K820" s="162" t="s">
        <v>5610</v>
      </c>
      <c r="L820" s="162" t="s">
        <v>5609</v>
      </c>
      <c r="M820" s="111">
        <v>30.92181132075472</v>
      </c>
      <c r="N820" s="111">
        <v>16388.560000000001</v>
      </c>
      <c r="O820" s="111"/>
      <c r="P820" s="111"/>
      <c r="Q820" s="111"/>
      <c r="R820" s="111"/>
      <c r="S820" s="1249">
        <v>200</v>
      </c>
      <c r="T820" s="1250">
        <v>5462.8533333333335</v>
      </c>
      <c r="U820" s="1250"/>
      <c r="V820" s="1250"/>
      <c r="W820" s="1251">
        <v>200</v>
      </c>
      <c r="X820" s="1250">
        <v>5462.8533333333335</v>
      </c>
      <c r="Y820" s="1250"/>
      <c r="Z820" s="1250"/>
      <c r="AA820" s="1250"/>
      <c r="AB820" s="1250"/>
      <c r="AC820" s="1250"/>
      <c r="AD820" s="1250"/>
      <c r="AE820" s="1249">
        <v>130</v>
      </c>
      <c r="AF820" s="1250">
        <v>5462.8533333333335</v>
      </c>
      <c r="AG820" s="111"/>
      <c r="AH820" s="111"/>
      <c r="AI820" s="111"/>
      <c r="AJ820" s="111"/>
      <c r="AK820" s="111"/>
      <c r="AL820" s="111"/>
      <c r="AM820" s="111">
        <v>16388.560000000001</v>
      </c>
    </row>
    <row r="821" spans="1:39" ht="15" customHeight="1" x14ac:dyDescent="0.25">
      <c r="A821" s="1409"/>
      <c r="B821" s="1409"/>
      <c r="C821" s="1409"/>
      <c r="D821" s="1409"/>
      <c r="E821" s="1247"/>
      <c r="F821" s="1248" t="s">
        <v>2679</v>
      </c>
      <c r="G821" s="111"/>
      <c r="H821" s="1249">
        <v>388</v>
      </c>
      <c r="I821" s="111" t="s">
        <v>1827</v>
      </c>
      <c r="J821" s="1321" t="s">
        <v>5608</v>
      </c>
      <c r="K821" s="162" t="s">
        <v>5610</v>
      </c>
      <c r="L821" s="162" t="s">
        <v>5609</v>
      </c>
      <c r="M821" s="111">
        <v>33.11237113402062</v>
      </c>
      <c r="N821" s="111">
        <v>12847.6</v>
      </c>
      <c r="O821" s="111"/>
      <c r="P821" s="111"/>
      <c r="Q821" s="111"/>
      <c r="R821" s="111"/>
      <c r="S821" s="1249">
        <v>140</v>
      </c>
      <c r="T821" s="1250">
        <v>4282.5333333333338</v>
      </c>
      <c r="U821" s="1250"/>
      <c r="V821" s="1250"/>
      <c r="W821" s="1251">
        <v>128</v>
      </c>
      <c r="X821" s="1250">
        <v>4282.5333333333338</v>
      </c>
      <c r="Y821" s="1250"/>
      <c r="Z821" s="1250"/>
      <c r="AA821" s="1250"/>
      <c r="AB821" s="1250"/>
      <c r="AC821" s="1250"/>
      <c r="AD821" s="1250"/>
      <c r="AE821" s="1249">
        <v>120</v>
      </c>
      <c r="AF821" s="1250">
        <v>4282.5333333333338</v>
      </c>
      <c r="AG821" s="111"/>
      <c r="AH821" s="111"/>
      <c r="AI821" s="111"/>
      <c r="AJ821" s="111"/>
      <c r="AK821" s="111"/>
      <c r="AL821" s="111"/>
      <c r="AM821" s="111">
        <v>12847.6</v>
      </c>
    </row>
    <row r="822" spans="1:39" ht="15" customHeight="1" x14ac:dyDescent="0.25">
      <c r="A822" s="1409"/>
      <c r="B822" s="1409"/>
      <c r="C822" s="1409"/>
      <c r="D822" s="1409"/>
      <c r="E822" s="1247"/>
      <c r="F822" s="1248" t="s">
        <v>371</v>
      </c>
      <c r="G822" s="111"/>
      <c r="H822" s="1249">
        <v>310</v>
      </c>
      <c r="I822" s="111" t="s">
        <v>1827</v>
      </c>
      <c r="J822" s="1321" t="s">
        <v>5608</v>
      </c>
      <c r="K822" s="162" t="s">
        <v>5610</v>
      </c>
      <c r="L822" s="162" t="s">
        <v>5609</v>
      </c>
      <c r="M822" s="111">
        <v>95.04</v>
      </c>
      <c r="N822" s="111">
        <v>29462.400000000001</v>
      </c>
      <c r="O822" s="111"/>
      <c r="P822" s="111"/>
      <c r="Q822" s="111"/>
      <c r="R822" s="111"/>
      <c r="S822" s="1249">
        <v>110</v>
      </c>
      <c r="T822" s="1250">
        <v>9820.8000000000011</v>
      </c>
      <c r="U822" s="1250"/>
      <c r="V822" s="1250"/>
      <c r="W822" s="1251">
        <v>100</v>
      </c>
      <c r="X822" s="1250">
        <v>9820.8000000000011</v>
      </c>
      <c r="Y822" s="1250"/>
      <c r="Z822" s="1250"/>
      <c r="AA822" s="1250"/>
      <c r="AB822" s="1250"/>
      <c r="AC822" s="1250"/>
      <c r="AD822" s="1250"/>
      <c r="AE822" s="1249">
        <v>100</v>
      </c>
      <c r="AF822" s="1250">
        <v>9820.8000000000011</v>
      </c>
      <c r="AG822" s="111"/>
      <c r="AH822" s="111"/>
      <c r="AI822" s="111"/>
      <c r="AJ822" s="111"/>
      <c r="AK822" s="111"/>
      <c r="AL822" s="111"/>
      <c r="AM822" s="111">
        <v>29462.400000000001</v>
      </c>
    </row>
    <row r="823" spans="1:39" ht="15" customHeight="1" x14ac:dyDescent="0.25">
      <c r="A823" s="1409"/>
      <c r="B823" s="1409"/>
      <c r="C823" s="1409"/>
      <c r="D823" s="1409"/>
      <c r="E823" s="1247"/>
      <c r="F823" s="1248" t="s">
        <v>373</v>
      </c>
      <c r="G823" s="111"/>
      <c r="H823" s="1249">
        <v>12</v>
      </c>
      <c r="I823" s="111" t="s">
        <v>1827</v>
      </c>
      <c r="J823" s="1321" t="s">
        <v>5608</v>
      </c>
      <c r="K823" s="162" t="s">
        <v>5610</v>
      </c>
      <c r="L823" s="162" t="s">
        <v>5609</v>
      </c>
      <c r="M823" s="111">
        <v>89.575199999999995</v>
      </c>
      <c r="N823" s="111">
        <v>1074.9023999999999</v>
      </c>
      <c r="O823" s="111"/>
      <c r="P823" s="111"/>
      <c r="Q823" s="111"/>
      <c r="R823" s="111"/>
      <c r="S823" s="1249">
        <v>5</v>
      </c>
      <c r="T823" s="1250">
        <v>358.30079999999998</v>
      </c>
      <c r="U823" s="1250"/>
      <c r="V823" s="1250"/>
      <c r="W823" s="1251">
        <v>5</v>
      </c>
      <c r="X823" s="1250">
        <v>358.30079999999998</v>
      </c>
      <c r="Y823" s="1250"/>
      <c r="Z823" s="1250"/>
      <c r="AA823" s="1250"/>
      <c r="AB823" s="1250"/>
      <c r="AC823" s="1250"/>
      <c r="AD823" s="1250"/>
      <c r="AE823" s="1249">
        <v>2</v>
      </c>
      <c r="AF823" s="1250">
        <v>358.30079999999998</v>
      </c>
      <c r="AG823" s="111"/>
      <c r="AH823" s="111"/>
      <c r="AI823" s="111"/>
      <c r="AJ823" s="111"/>
      <c r="AK823" s="111"/>
      <c r="AL823" s="111"/>
      <c r="AM823" s="111">
        <v>1074.9023999999999</v>
      </c>
    </row>
    <row r="824" spans="1:39" ht="15" customHeight="1" x14ac:dyDescent="0.25">
      <c r="A824" s="1409"/>
      <c r="B824" s="1409"/>
      <c r="C824" s="1409"/>
      <c r="D824" s="1409"/>
      <c r="E824" s="1247"/>
      <c r="F824" s="1248" t="s">
        <v>374</v>
      </c>
      <c r="G824" s="111"/>
      <c r="H824" s="1249">
        <v>96</v>
      </c>
      <c r="I824" s="111" t="s">
        <v>2628</v>
      </c>
      <c r="J824" s="1321" t="s">
        <v>5608</v>
      </c>
      <c r="K824" s="162" t="s">
        <v>5610</v>
      </c>
      <c r="L824" s="162" t="s">
        <v>5609</v>
      </c>
      <c r="M824" s="111">
        <v>37.003999999999998</v>
      </c>
      <c r="N824" s="111">
        <v>3552.384</v>
      </c>
      <c r="O824" s="111"/>
      <c r="P824" s="111"/>
      <c r="Q824" s="111"/>
      <c r="R824" s="111"/>
      <c r="S824" s="1249">
        <v>40</v>
      </c>
      <c r="T824" s="1250">
        <v>1184.1279999999999</v>
      </c>
      <c r="U824" s="1250"/>
      <c r="V824" s="1250"/>
      <c r="W824" s="1251">
        <v>40</v>
      </c>
      <c r="X824" s="1250">
        <v>1184.1279999999999</v>
      </c>
      <c r="Y824" s="1250"/>
      <c r="Z824" s="1250"/>
      <c r="AA824" s="1250"/>
      <c r="AB824" s="1250"/>
      <c r="AC824" s="1250"/>
      <c r="AD824" s="1250"/>
      <c r="AE824" s="1249">
        <v>16</v>
      </c>
      <c r="AF824" s="1250">
        <v>1184.1279999999999</v>
      </c>
      <c r="AG824" s="111"/>
      <c r="AH824" s="111"/>
      <c r="AI824" s="111"/>
      <c r="AJ824" s="111"/>
      <c r="AK824" s="111"/>
      <c r="AL824" s="111"/>
      <c r="AM824" s="111">
        <v>3552.384</v>
      </c>
    </row>
    <row r="825" spans="1:39" ht="15" customHeight="1" x14ac:dyDescent="0.25">
      <c r="A825" s="1409"/>
      <c r="B825" s="1409"/>
      <c r="C825" s="1409"/>
      <c r="D825" s="1409"/>
      <c r="E825" s="1247"/>
      <c r="F825" s="1248" t="s">
        <v>366</v>
      </c>
      <c r="G825" s="111"/>
      <c r="H825" s="1249">
        <v>96</v>
      </c>
      <c r="I825" s="111" t="s">
        <v>2628</v>
      </c>
      <c r="J825" s="1321" t="s">
        <v>5608</v>
      </c>
      <c r="K825" s="162" t="s">
        <v>5610</v>
      </c>
      <c r="L825" s="162" t="s">
        <v>5609</v>
      </c>
      <c r="M825" s="111">
        <v>44.103199999999994</v>
      </c>
      <c r="N825" s="111">
        <v>4233.9071999999996</v>
      </c>
      <c r="O825" s="111"/>
      <c r="P825" s="111"/>
      <c r="Q825" s="111"/>
      <c r="R825" s="111"/>
      <c r="S825" s="1249">
        <v>40</v>
      </c>
      <c r="T825" s="1250">
        <v>1411.3023999999998</v>
      </c>
      <c r="U825" s="1250"/>
      <c r="V825" s="1250"/>
      <c r="W825" s="1251">
        <v>40</v>
      </c>
      <c r="X825" s="1250">
        <v>1411.3023999999998</v>
      </c>
      <c r="Y825" s="1250"/>
      <c r="Z825" s="1250"/>
      <c r="AA825" s="1250"/>
      <c r="AB825" s="1250"/>
      <c r="AC825" s="1250"/>
      <c r="AD825" s="1250"/>
      <c r="AE825" s="1249">
        <v>16</v>
      </c>
      <c r="AF825" s="1250">
        <v>1411.3023999999998</v>
      </c>
      <c r="AG825" s="111"/>
      <c r="AH825" s="111"/>
      <c r="AI825" s="111"/>
      <c r="AJ825" s="111"/>
      <c r="AK825" s="111"/>
      <c r="AL825" s="111"/>
      <c r="AM825" s="111">
        <v>4233.9071999999996</v>
      </c>
    </row>
    <row r="826" spans="1:39" ht="15" customHeight="1" x14ac:dyDescent="0.25">
      <c r="A826" s="1409"/>
      <c r="B826" s="1409"/>
      <c r="C826" s="1409"/>
      <c r="D826" s="1409"/>
      <c r="E826" s="1247"/>
      <c r="F826" s="1248" t="s">
        <v>350</v>
      </c>
      <c r="G826" s="111"/>
      <c r="H826" s="1249">
        <v>10</v>
      </c>
      <c r="I826" s="111" t="s">
        <v>2685</v>
      </c>
      <c r="J826" s="1321" t="s">
        <v>5608</v>
      </c>
      <c r="K826" s="162" t="s">
        <v>5610</v>
      </c>
      <c r="L826" s="162" t="s">
        <v>5609</v>
      </c>
      <c r="M826" s="111">
        <v>1102.4639999999999</v>
      </c>
      <c r="N826" s="111">
        <v>11024.64</v>
      </c>
      <c r="O826" s="111"/>
      <c r="P826" s="111"/>
      <c r="Q826" s="111"/>
      <c r="R826" s="111"/>
      <c r="S826" s="1249">
        <v>5</v>
      </c>
      <c r="T826" s="1250">
        <v>3674.8799999999997</v>
      </c>
      <c r="U826" s="1250"/>
      <c r="V826" s="1250"/>
      <c r="W826" s="1251">
        <v>5</v>
      </c>
      <c r="X826" s="1250">
        <v>3674.8799999999997</v>
      </c>
      <c r="Y826" s="1250"/>
      <c r="Z826" s="1250"/>
      <c r="AA826" s="1250"/>
      <c r="AB826" s="1250"/>
      <c r="AC826" s="1250"/>
      <c r="AD826" s="1250"/>
      <c r="AE826" s="1249">
        <v>0</v>
      </c>
      <c r="AF826" s="1250">
        <v>3674.8799999999997</v>
      </c>
      <c r="AG826" s="111"/>
      <c r="AH826" s="111"/>
      <c r="AI826" s="111"/>
      <c r="AJ826" s="111"/>
      <c r="AK826" s="111"/>
      <c r="AL826" s="111"/>
      <c r="AM826" s="111">
        <v>11024.64</v>
      </c>
    </row>
    <row r="827" spans="1:39" ht="15" customHeight="1" x14ac:dyDescent="0.25">
      <c r="A827" s="1409"/>
      <c r="B827" s="1409"/>
      <c r="C827" s="1409"/>
      <c r="D827" s="1409"/>
      <c r="E827" s="1247"/>
      <c r="F827" s="1248" t="s">
        <v>2681</v>
      </c>
      <c r="G827" s="111"/>
      <c r="H827" s="1249">
        <v>96</v>
      </c>
      <c r="I827" s="111" t="s">
        <v>2628</v>
      </c>
      <c r="J827" s="1321" t="s">
        <v>5608</v>
      </c>
      <c r="K827" s="162" t="s">
        <v>5610</v>
      </c>
      <c r="L827" s="162" t="s">
        <v>5609</v>
      </c>
      <c r="M827" s="111">
        <v>55.123199999999997</v>
      </c>
      <c r="N827" s="111">
        <v>5291.8271999999997</v>
      </c>
      <c r="O827" s="111"/>
      <c r="P827" s="111"/>
      <c r="Q827" s="111"/>
      <c r="R827" s="111"/>
      <c r="S827" s="1249">
        <v>40</v>
      </c>
      <c r="T827" s="1250">
        <v>1763.9423999999999</v>
      </c>
      <c r="U827" s="1250"/>
      <c r="V827" s="1250"/>
      <c r="W827" s="1251">
        <v>40</v>
      </c>
      <c r="X827" s="1250">
        <v>1763.9423999999999</v>
      </c>
      <c r="Y827" s="1250"/>
      <c r="Z827" s="1250"/>
      <c r="AA827" s="1250"/>
      <c r="AB827" s="1250"/>
      <c r="AC827" s="1250"/>
      <c r="AD827" s="1250"/>
      <c r="AE827" s="1249">
        <v>16</v>
      </c>
      <c r="AF827" s="1250">
        <v>1763.9423999999999</v>
      </c>
      <c r="AG827" s="111"/>
      <c r="AH827" s="111"/>
      <c r="AI827" s="111"/>
      <c r="AJ827" s="111"/>
      <c r="AK827" s="111"/>
      <c r="AL827" s="111"/>
      <c r="AM827" s="111">
        <v>5291.8271999999997</v>
      </c>
    </row>
    <row r="828" spans="1:39" ht="15" customHeight="1" x14ac:dyDescent="0.25">
      <c r="A828" s="1409"/>
      <c r="B828" s="1409"/>
      <c r="C828" s="1409"/>
      <c r="D828" s="1409"/>
      <c r="E828" s="1247"/>
      <c r="F828" s="1248" t="s">
        <v>2682</v>
      </c>
      <c r="G828" s="111"/>
      <c r="H828" s="1249">
        <v>36</v>
      </c>
      <c r="I828" s="111" t="s">
        <v>2628</v>
      </c>
      <c r="J828" s="1321" t="s">
        <v>5608</v>
      </c>
      <c r="K828" s="162" t="s">
        <v>5610</v>
      </c>
      <c r="L828" s="162" t="s">
        <v>5609</v>
      </c>
      <c r="M828" s="111">
        <v>75.794399999999996</v>
      </c>
      <c r="N828" s="111">
        <v>2728.5983999999999</v>
      </c>
      <c r="O828" s="111"/>
      <c r="P828" s="111"/>
      <c r="Q828" s="111"/>
      <c r="R828" s="111"/>
      <c r="S828" s="1249">
        <v>16</v>
      </c>
      <c r="T828" s="1250">
        <v>909.53279999999995</v>
      </c>
      <c r="U828" s="1250"/>
      <c r="V828" s="1250"/>
      <c r="W828" s="1251">
        <v>10</v>
      </c>
      <c r="X828" s="1250">
        <v>909.53279999999995</v>
      </c>
      <c r="Y828" s="1250"/>
      <c r="Z828" s="1250"/>
      <c r="AA828" s="1250"/>
      <c r="AB828" s="1250"/>
      <c r="AC828" s="1250"/>
      <c r="AD828" s="1250"/>
      <c r="AE828" s="1249">
        <v>10</v>
      </c>
      <c r="AF828" s="1250">
        <v>909.53279999999995</v>
      </c>
      <c r="AG828" s="111"/>
      <c r="AH828" s="111"/>
      <c r="AI828" s="111"/>
      <c r="AJ828" s="111"/>
      <c r="AK828" s="111"/>
      <c r="AL828" s="111"/>
      <c r="AM828" s="111">
        <v>2728.5983999999999</v>
      </c>
    </row>
    <row r="829" spans="1:39" ht="15" customHeight="1" x14ac:dyDescent="0.25">
      <c r="A829" s="1409"/>
      <c r="B829" s="1409"/>
      <c r="C829" s="1409"/>
      <c r="D829" s="1409"/>
      <c r="E829" s="1247"/>
      <c r="F829" s="1248" t="s">
        <v>351</v>
      </c>
      <c r="G829" s="111"/>
      <c r="H829" s="1249">
        <v>8</v>
      </c>
      <c r="I829" s="111" t="s">
        <v>2628</v>
      </c>
      <c r="J829" s="1321" t="s">
        <v>5608</v>
      </c>
      <c r="K829" s="162" t="s">
        <v>5610</v>
      </c>
      <c r="L829" s="162" t="s">
        <v>5609</v>
      </c>
      <c r="M829" s="111">
        <v>54.519999999999996</v>
      </c>
      <c r="N829" s="111">
        <v>436.15999999999997</v>
      </c>
      <c r="O829" s="111"/>
      <c r="P829" s="111"/>
      <c r="Q829" s="111"/>
      <c r="R829" s="111"/>
      <c r="S829" s="1249">
        <v>4</v>
      </c>
      <c r="T829" s="1250">
        <v>145.38666666666666</v>
      </c>
      <c r="U829" s="1250"/>
      <c r="V829" s="1250"/>
      <c r="W829" s="1251">
        <v>2</v>
      </c>
      <c r="X829" s="1250">
        <v>145.38666666666666</v>
      </c>
      <c r="Y829" s="1250"/>
      <c r="Z829" s="1250"/>
      <c r="AA829" s="1250"/>
      <c r="AB829" s="1250"/>
      <c r="AC829" s="1250"/>
      <c r="AD829" s="1250"/>
      <c r="AE829" s="1249">
        <v>2</v>
      </c>
      <c r="AF829" s="1250">
        <v>145.38666666666666</v>
      </c>
      <c r="AG829" s="111"/>
      <c r="AH829" s="111"/>
      <c r="AI829" s="111"/>
      <c r="AJ829" s="111"/>
      <c r="AK829" s="111"/>
      <c r="AL829" s="111"/>
      <c r="AM829" s="111">
        <v>436.15999999999997</v>
      </c>
    </row>
    <row r="830" spans="1:39" ht="15" customHeight="1" x14ac:dyDescent="0.25">
      <c r="A830" s="1409"/>
      <c r="B830" s="1409"/>
      <c r="C830" s="1409"/>
      <c r="D830" s="1409"/>
      <c r="E830" s="1247"/>
      <c r="F830" s="1248" t="s">
        <v>380</v>
      </c>
      <c r="G830" s="111"/>
      <c r="H830" s="1249">
        <v>7</v>
      </c>
      <c r="I830" s="111" t="s">
        <v>2628</v>
      </c>
      <c r="J830" s="1321" t="s">
        <v>5608</v>
      </c>
      <c r="K830" s="162" t="s">
        <v>5610</v>
      </c>
      <c r="L830" s="162" t="s">
        <v>5609</v>
      </c>
      <c r="M830" s="111">
        <v>133.39999999999998</v>
      </c>
      <c r="N830" s="111">
        <v>933.79999999999984</v>
      </c>
      <c r="O830" s="111"/>
      <c r="P830" s="111"/>
      <c r="Q830" s="111"/>
      <c r="R830" s="111"/>
      <c r="S830" s="1249">
        <v>3</v>
      </c>
      <c r="T830" s="1250">
        <v>311.26666666666659</v>
      </c>
      <c r="U830" s="1250"/>
      <c r="V830" s="1250"/>
      <c r="W830" s="1251">
        <v>2</v>
      </c>
      <c r="X830" s="1250">
        <v>311.26666666666659</v>
      </c>
      <c r="Y830" s="1250"/>
      <c r="Z830" s="1250"/>
      <c r="AA830" s="1250"/>
      <c r="AB830" s="1250"/>
      <c r="AC830" s="1250"/>
      <c r="AD830" s="1250"/>
      <c r="AE830" s="1249">
        <v>2</v>
      </c>
      <c r="AF830" s="1250">
        <v>311.26666666666659</v>
      </c>
      <c r="AG830" s="111"/>
      <c r="AH830" s="111"/>
      <c r="AI830" s="111"/>
      <c r="AJ830" s="111"/>
      <c r="AK830" s="111"/>
      <c r="AL830" s="111"/>
      <c r="AM830" s="111">
        <v>933.79999999999984</v>
      </c>
    </row>
    <row r="831" spans="1:39" ht="15" customHeight="1" x14ac:dyDescent="0.25">
      <c r="A831" s="1409"/>
      <c r="B831" s="1409"/>
      <c r="C831" s="1409"/>
      <c r="D831" s="1409"/>
      <c r="E831" s="1247"/>
      <c r="F831" s="1248" t="s">
        <v>353</v>
      </c>
      <c r="G831" s="111"/>
      <c r="H831" s="1249">
        <v>8</v>
      </c>
      <c r="I831" s="111" t="s">
        <v>2628</v>
      </c>
      <c r="J831" s="1321" t="s">
        <v>5608</v>
      </c>
      <c r="K831" s="162" t="s">
        <v>5610</v>
      </c>
      <c r="L831" s="162" t="s">
        <v>5609</v>
      </c>
      <c r="M831" s="111">
        <v>293.47999999999996</v>
      </c>
      <c r="N831" s="111">
        <v>2347.8399999999997</v>
      </c>
      <c r="O831" s="111"/>
      <c r="P831" s="111"/>
      <c r="Q831" s="111"/>
      <c r="R831" s="111"/>
      <c r="S831" s="1249">
        <v>4</v>
      </c>
      <c r="T831" s="1250">
        <v>782.61333333333323</v>
      </c>
      <c r="U831" s="1250"/>
      <c r="V831" s="1250"/>
      <c r="W831" s="1251">
        <v>2</v>
      </c>
      <c r="X831" s="1250">
        <v>782.61333333333323</v>
      </c>
      <c r="Y831" s="1250"/>
      <c r="Z831" s="1250"/>
      <c r="AA831" s="1250"/>
      <c r="AB831" s="1250"/>
      <c r="AC831" s="1250"/>
      <c r="AD831" s="1250"/>
      <c r="AE831" s="1249">
        <v>2</v>
      </c>
      <c r="AF831" s="1250">
        <v>782.61333333333323</v>
      </c>
      <c r="AG831" s="111"/>
      <c r="AH831" s="111"/>
      <c r="AI831" s="111"/>
      <c r="AJ831" s="111"/>
      <c r="AK831" s="111"/>
      <c r="AL831" s="111"/>
      <c r="AM831" s="111">
        <v>2347.8399999999997</v>
      </c>
    </row>
    <row r="832" spans="1:39" ht="15" customHeight="1" x14ac:dyDescent="0.25">
      <c r="A832" s="1409"/>
      <c r="B832" s="1409"/>
      <c r="C832" s="1409"/>
      <c r="D832" s="1409"/>
      <c r="E832" s="1247"/>
      <c r="F832" s="1248" t="s">
        <v>2683</v>
      </c>
      <c r="G832" s="111"/>
      <c r="H832" s="1249">
        <v>13</v>
      </c>
      <c r="I832" s="111" t="s">
        <v>2628</v>
      </c>
      <c r="J832" s="1321" t="s">
        <v>5608</v>
      </c>
      <c r="K832" s="162" t="s">
        <v>5610</v>
      </c>
      <c r="L832" s="162" t="s">
        <v>5609</v>
      </c>
      <c r="M832" s="111">
        <v>187.92000000000002</v>
      </c>
      <c r="N832" s="111">
        <v>2442.96</v>
      </c>
      <c r="O832" s="111"/>
      <c r="P832" s="111"/>
      <c r="Q832" s="111"/>
      <c r="R832" s="111"/>
      <c r="S832" s="1249">
        <v>5</v>
      </c>
      <c r="T832" s="1250">
        <v>814.32</v>
      </c>
      <c r="U832" s="1250"/>
      <c r="V832" s="1250"/>
      <c r="W832" s="1251">
        <v>5</v>
      </c>
      <c r="X832" s="1250">
        <v>814.32</v>
      </c>
      <c r="Y832" s="1250"/>
      <c r="Z832" s="1250"/>
      <c r="AA832" s="1250"/>
      <c r="AB832" s="1250"/>
      <c r="AC832" s="1250"/>
      <c r="AD832" s="1250"/>
      <c r="AE832" s="1249">
        <v>3</v>
      </c>
      <c r="AF832" s="1250">
        <v>814.32</v>
      </c>
      <c r="AG832" s="111"/>
      <c r="AH832" s="111"/>
      <c r="AI832" s="111"/>
      <c r="AJ832" s="111"/>
      <c r="AK832" s="111"/>
      <c r="AL832" s="111"/>
      <c r="AM832" s="111">
        <v>2442.96</v>
      </c>
    </row>
    <row r="833" spans="1:39" ht="15" customHeight="1" x14ac:dyDescent="0.25">
      <c r="A833" s="1409"/>
      <c r="B833" s="1409"/>
      <c r="C833" s="1409"/>
      <c r="D833" s="1409"/>
      <c r="E833" s="1247"/>
      <c r="F833" s="1248" t="s">
        <v>4758</v>
      </c>
      <c r="G833" s="111"/>
      <c r="H833" s="1249">
        <v>300</v>
      </c>
      <c r="I833" s="111" t="s">
        <v>1827</v>
      </c>
      <c r="J833" s="1321" t="s">
        <v>5608</v>
      </c>
      <c r="K833" s="162" t="s">
        <v>5610</v>
      </c>
      <c r="L833" s="162" t="s">
        <v>5609</v>
      </c>
      <c r="M833" s="111">
        <v>31.31</v>
      </c>
      <c r="N833" s="111">
        <v>9393</v>
      </c>
      <c r="O833" s="111"/>
      <c r="P833" s="111"/>
      <c r="Q833" s="111"/>
      <c r="R833" s="111"/>
      <c r="S833" s="1249">
        <v>100</v>
      </c>
      <c r="T833" s="1250">
        <v>3131</v>
      </c>
      <c r="U833" s="1250"/>
      <c r="V833" s="1250"/>
      <c r="W833" s="1251">
        <v>100</v>
      </c>
      <c r="X833" s="1250">
        <v>3131</v>
      </c>
      <c r="Y833" s="1250"/>
      <c r="Z833" s="1250"/>
      <c r="AA833" s="1250"/>
      <c r="AB833" s="1250"/>
      <c r="AC833" s="1250"/>
      <c r="AD833" s="1250"/>
      <c r="AE833" s="1249">
        <v>100</v>
      </c>
      <c r="AF833" s="1250">
        <v>3131</v>
      </c>
      <c r="AG833" s="111"/>
      <c r="AH833" s="111"/>
      <c r="AI833" s="111"/>
      <c r="AJ833" s="111"/>
      <c r="AK833" s="111"/>
      <c r="AL833" s="111"/>
      <c r="AM833" s="111">
        <v>9393</v>
      </c>
    </row>
    <row r="834" spans="1:39" ht="15" customHeight="1" x14ac:dyDescent="0.25">
      <c r="A834" s="1409"/>
      <c r="B834" s="1409"/>
      <c r="C834" s="1409"/>
      <c r="D834" s="1409"/>
      <c r="E834" s="1247"/>
      <c r="F834" s="1248" t="s">
        <v>4759</v>
      </c>
      <c r="G834" s="111"/>
      <c r="H834" s="1249">
        <v>628</v>
      </c>
      <c r="I834" s="111" t="s">
        <v>1827</v>
      </c>
      <c r="J834" s="1321" t="s">
        <v>5608</v>
      </c>
      <c r="K834" s="162" t="s">
        <v>5610</v>
      </c>
      <c r="L834" s="162" t="s">
        <v>5609</v>
      </c>
      <c r="M834" s="111">
        <v>23.391082802547768</v>
      </c>
      <c r="N834" s="111">
        <v>14689.599999999999</v>
      </c>
      <c r="O834" s="111"/>
      <c r="P834" s="111"/>
      <c r="Q834" s="111"/>
      <c r="R834" s="111"/>
      <c r="S834" s="1249">
        <v>228</v>
      </c>
      <c r="T834" s="1250">
        <v>4896.5333333333328</v>
      </c>
      <c r="U834" s="1250"/>
      <c r="V834" s="1250"/>
      <c r="W834" s="1251">
        <v>200</v>
      </c>
      <c r="X834" s="1250">
        <v>4896.5333333333328</v>
      </c>
      <c r="Y834" s="1250"/>
      <c r="Z834" s="1250"/>
      <c r="AA834" s="1250"/>
      <c r="AB834" s="1250"/>
      <c r="AC834" s="1250"/>
      <c r="AD834" s="1250"/>
      <c r="AE834" s="1249">
        <v>200</v>
      </c>
      <c r="AF834" s="1250">
        <v>4896.5333333333328</v>
      </c>
      <c r="AG834" s="111"/>
      <c r="AH834" s="111"/>
      <c r="AI834" s="111"/>
      <c r="AJ834" s="111"/>
      <c r="AK834" s="111"/>
      <c r="AL834" s="111"/>
      <c r="AM834" s="111">
        <v>14689.599999999999</v>
      </c>
    </row>
    <row r="835" spans="1:39" ht="15" customHeight="1" x14ac:dyDescent="0.25">
      <c r="A835" s="1409"/>
      <c r="B835" s="1409"/>
      <c r="C835" s="1409"/>
      <c r="D835" s="1409"/>
      <c r="E835" s="1247"/>
      <c r="F835" s="1248" t="s">
        <v>2680</v>
      </c>
      <c r="G835" s="111"/>
      <c r="H835" s="1249">
        <v>60</v>
      </c>
      <c r="I835" s="111" t="s">
        <v>1827</v>
      </c>
      <c r="J835" s="1321" t="s">
        <v>5608</v>
      </c>
      <c r="K835" s="162" t="s">
        <v>5610</v>
      </c>
      <c r="L835" s="162" t="s">
        <v>5609</v>
      </c>
      <c r="M835" s="111">
        <v>35.728000000000002</v>
      </c>
      <c r="N835" s="111">
        <v>2143.6800000000003</v>
      </c>
      <c r="O835" s="111"/>
      <c r="P835" s="111"/>
      <c r="Q835" s="111"/>
      <c r="R835" s="111"/>
      <c r="S835" s="1249">
        <v>30</v>
      </c>
      <c r="T835" s="1250">
        <v>714.56000000000006</v>
      </c>
      <c r="U835" s="1250"/>
      <c r="V835" s="1250"/>
      <c r="W835" s="1251">
        <v>20</v>
      </c>
      <c r="X835" s="1250">
        <v>714.56000000000006</v>
      </c>
      <c r="Y835" s="1250"/>
      <c r="Z835" s="1250"/>
      <c r="AA835" s="1250"/>
      <c r="AB835" s="1250"/>
      <c r="AC835" s="1250"/>
      <c r="AD835" s="1250"/>
      <c r="AE835" s="1249">
        <v>10</v>
      </c>
      <c r="AF835" s="1250">
        <v>714.56000000000006</v>
      </c>
      <c r="AG835" s="111"/>
      <c r="AH835" s="111"/>
      <c r="AI835" s="111"/>
      <c r="AJ835" s="111"/>
      <c r="AK835" s="111"/>
      <c r="AL835" s="111"/>
      <c r="AM835" s="111">
        <v>2143.6800000000003</v>
      </c>
    </row>
    <row r="836" spans="1:39" ht="15" customHeight="1" x14ac:dyDescent="0.25">
      <c r="A836" s="1409"/>
      <c r="B836" s="1409"/>
      <c r="C836" s="1409"/>
      <c r="D836" s="1409"/>
      <c r="E836" s="1247"/>
      <c r="F836" s="1248" t="s">
        <v>4760</v>
      </c>
      <c r="G836" s="111"/>
      <c r="H836" s="1249">
        <v>352</v>
      </c>
      <c r="I836" s="111" t="s">
        <v>1827</v>
      </c>
      <c r="J836" s="1321" t="s">
        <v>5608</v>
      </c>
      <c r="K836" s="162" t="s">
        <v>5610</v>
      </c>
      <c r="L836" s="162" t="s">
        <v>5609</v>
      </c>
      <c r="M836" s="111">
        <v>20.52</v>
      </c>
      <c r="N836" s="111">
        <v>7223.04</v>
      </c>
      <c r="O836" s="111"/>
      <c r="P836" s="111"/>
      <c r="Q836" s="111"/>
      <c r="R836" s="111"/>
      <c r="S836" s="1249">
        <v>127</v>
      </c>
      <c r="T836" s="1250">
        <v>2407.6799999999998</v>
      </c>
      <c r="U836" s="1250"/>
      <c r="V836" s="1250"/>
      <c r="W836" s="1251">
        <v>125</v>
      </c>
      <c r="X836" s="1250">
        <v>2407.6799999999998</v>
      </c>
      <c r="Y836" s="1250"/>
      <c r="Z836" s="1250"/>
      <c r="AA836" s="1250"/>
      <c r="AB836" s="1250"/>
      <c r="AC836" s="1250"/>
      <c r="AD836" s="1250"/>
      <c r="AE836" s="1249">
        <v>100</v>
      </c>
      <c r="AF836" s="1250">
        <v>2407.6799999999998</v>
      </c>
      <c r="AG836" s="111"/>
      <c r="AH836" s="111"/>
      <c r="AI836" s="111"/>
      <c r="AJ836" s="111"/>
      <c r="AK836" s="111"/>
      <c r="AL836" s="111"/>
      <c r="AM836" s="111">
        <v>7223.04</v>
      </c>
    </row>
    <row r="837" spans="1:39" ht="15" customHeight="1" x14ac:dyDescent="0.25">
      <c r="A837" s="1409"/>
      <c r="B837" s="1409"/>
      <c r="C837" s="1409"/>
      <c r="D837" s="1409"/>
      <c r="E837" s="1247"/>
      <c r="F837" s="1248" t="s">
        <v>2672</v>
      </c>
      <c r="G837" s="111"/>
      <c r="H837" s="1249">
        <v>155</v>
      </c>
      <c r="I837" s="111" t="s">
        <v>1827</v>
      </c>
      <c r="J837" s="1321" t="s">
        <v>5608</v>
      </c>
      <c r="K837" s="162" t="s">
        <v>5610</v>
      </c>
      <c r="L837" s="162" t="s">
        <v>5609</v>
      </c>
      <c r="M837" s="111">
        <v>41.011690322580641</v>
      </c>
      <c r="N837" s="111">
        <v>6356.811999999999</v>
      </c>
      <c r="O837" s="111"/>
      <c r="P837" s="111"/>
      <c r="Q837" s="111"/>
      <c r="R837" s="111"/>
      <c r="S837" s="1249">
        <v>55</v>
      </c>
      <c r="T837" s="1250">
        <v>2118.9373333333333</v>
      </c>
      <c r="U837" s="1250"/>
      <c r="V837" s="1250"/>
      <c r="W837" s="1251">
        <v>50</v>
      </c>
      <c r="X837" s="1250">
        <v>2118.9373333333333</v>
      </c>
      <c r="Y837" s="1250"/>
      <c r="Z837" s="1250"/>
      <c r="AA837" s="1250"/>
      <c r="AB837" s="1250"/>
      <c r="AC837" s="1250"/>
      <c r="AD837" s="1250"/>
      <c r="AE837" s="1249">
        <v>50</v>
      </c>
      <c r="AF837" s="1250">
        <v>2118.9373333333333</v>
      </c>
      <c r="AG837" s="111"/>
      <c r="AH837" s="111"/>
      <c r="AI837" s="111"/>
      <c r="AJ837" s="111"/>
      <c r="AK837" s="111"/>
      <c r="AL837" s="111"/>
      <c r="AM837" s="111">
        <v>6356.8119999999999</v>
      </c>
    </row>
    <row r="838" spans="1:39" ht="15" customHeight="1" x14ac:dyDescent="0.25">
      <c r="A838" s="1409"/>
      <c r="B838" s="1409"/>
      <c r="C838" s="1409"/>
      <c r="D838" s="1409"/>
      <c r="E838" s="1247"/>
      <c r="F838" s="1248" t="s">
        <v>382</v>
      </c>
      <c r="G838" s="111"/>
      <c r="H838" s="1249">
        <v>150</v>
      </c>
      <c r="I838" s="111" t="s">
        <v>1827</v>
      </c>
      <c r="J838" s="1321" t="s">
        <v>5608</v>
      </c>
      <c r="K838" s="162" t="s">
        <v>5610</v>
      </c>
      <c r="L838" s="162" t="s">
        <v>5609</v>
      </c>
      <c r="M838" s="111">
        <v>118.8</v>
      </c>
      <c r="N838" s="111">
        <v>17820</v>
      </c>
      <c r="O838" s="111"/>
      <c r="P838" s="111"/>
      <c r="Q838" s="111"/>
      <c r="R838" s="111"/>
      <c r="S838" s="1249">
        <v>50</v>
      </c>
      <c r="T838" s="1250">
        <v>5940</v>
      </c>
      <c r="U838" s="1250"/>
      <c r="V838" s="1250"/>
      <c r="W838" s="1251">
        <v>50</v>
      </c>
      <c r="X838" s="1250">
        <v>5940</v>
      </c>
      <c r="Y838" s="1250"/>
      <c r="Z838" s="1250"/>
      <c r="AA838" s="1250"/>
      <c r="AB838" s="1250"/>
      <c r="AC838" s="1250"/>
      <c r="AD838" s="1250"/>
      <c r="AE838" s="1249">
        <v>50</v>
      </c>
      <c r="AF838" s="1250">
        <v>5940</v>
      </c>
      <c r="AG838" s="111"/>
      <c r="AH838" s="111"/>
      <c r="AI838" s="111"/>
      <c r="AJ838" s="111"/>
      <c r="AK838" s="111"/>
      <c r="AL838" s="111"/>
      <c r="AM838" s="111">
        <v>17820</v>
      </c>
    </row>
    <row r="839" spans="1:39" ht="15" customHeight="1" x14ac:dyDescent="0.25">
      <c r="A839" s="1409"/>
      <c r="B839" s="1409"/>
      <c r="C839" s="1409"/>
      <c r="D839" s="1409"/>
      <c r="E839" s="1247"/>
      <c r="F839" s="1248" t="s">
        <v>2669</v>
      </c>
      <c r="G839" s="111"/>
      <c r="H839" s="1249">
        <v>652</v>
      </c>
      <c r="I839" s="111" t="s">
        <v>1827</v>
      </c>
      <c r="J839" s="1321" t="s">
        <v>5608</v>
      </c>
      <c r="K839" s="162" t="s">
        <v>5610</v>
      </c>
      <c r="L839" s="162" t="s">
        <v>5609</v>
      </c>
      <c r="M839" s="111">
        <v>21.272628220858895</v>
      </c>
      <c r="N839" s="111">
        <v>13869.7536</v>
      </c>
      <c r="O839" s="111"/>
      <c r="P839" s="111"/>
      <c r="Q839" s="111"/>
      <c r="R839" s="111"/>
      <c r="S839" s="1249">
        <v>252</v>
      </c>
      <c r="T839" s="1250">
        <v>4623.2511999999997</v>
      </c>
      <c r="U839" s="1250"/>
      <c r="V839" s="1250"/>
      <c r="W839" s="1251">
        <v>200</v>
      </c>
      <c r="X839" s="1250">
        <v>4623.2511999999997</v>
      </c>
      <c r="Y839" s="1250"/>
      <c r="Z839" s="1250"/>
      <c r="AA839" s="1250"/>
      <c r="AB839" s="1250"/>
      <c r="AC839" s="1250"/>
      <c r="AD839" s="1250"/>
      <c r="AE839" s="1249">
        <v>200</v>
      </c>
      <c r="AF839" s="1250">
        <v>4623.2511999999997</v>
      </c>
      <c r="AG839" s="111"/>
      <c r="AH839" s="111"/>
      <c r="AI839" s="111"/>
      <c r="AJ839" s="111"/>
      <c r="AK839" s="111"/>
      <c r="AL839" s="111"/>
      <c r="AM839" s="111">
        <v>13869.7536</v>
      </c>
    </row>
    <row r="840" spans="1:39" ht="15" customHeight="1" x14ac:dyDescent="0.25">
      <c r="A840" s="1409"/>
      <c r="B840" s="1409"/>
      <c r="C840" s="1409"/>
      <c r="D840" s="1409"/>
      <c r="E840" s="1247"/>
      <c r="F840" s="1248"/>
      <c r="G840" s="111"/>
      <c r="H840" s="1249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249"/>
      <c r="T840" s="1250"/>
      <c r="U840" s="1250"/>
      <c r="V840" s="1250"/>
      <c r="W840" s="1251"/>
      <c r="X840" s="1250"/>
      <c r="Y840" s="1250"/>
      <c r="Z840" s="1250"/>
      <c r="AA840" s="1250"/>
      <c r="AB840" s="1250"/>
      <c r="AC840" s="1250"/>
      <c r="AD840" s="1250"/>
      <c r="AE840" s="1249"/>
      <c r="AF840" s="1250"/>
      <c r="AG840" s="111"/>
      <c r="AH840" s="111"/>
      <c r="AI840" s="111"/>
      <c r="AJ840" s="111"/>
      <c r="AK840" s="111"/>
      <c r="AL840" s="111"/>
      <c r="AM840" s="111"/>
    </row>
    <row r="841" spans="1:39" ht="15" customHeight="1" x14ac:dyDescent="0.25">
      <c r="A841" s="1409"/>
      <c r="B841" s="1409"/>
      <c r="C841" s="1409"/>
      <c r="D841" s="1409"/>
      <c r="E841" s="1261">
        <v>22105</v>
      </c>
      <c r="F841" s="1262" t="s">
        <v>384</v>
      </c>
      <c r="G841" s="1261"/>
      <c r="H841" s="1261"/>
      <c r="I841" s="1261"/>
      <c r="J841" s="1261"/>
      <c r="K841" s="1261"/>
      <c r="L841" s="1261"/>
      <c r="M841" s="1261"/>
      <c r="N841" s="1261"/>
      <c r="O841" s="1261"/>
      <c r="P841" s="1261"/>
      <c r="Q841" s="1261"/>
      <c r="R841" s="1261"/>
      <c r="S841" s="1261"/>
      <c r="T841" s="1261"/>
      <c r="U841" s="1261"/>
      <c r="V841" s="1261"/>
      <c r="W841" s="1261"/>
      <c r="X841" s="1261"/>
      <c r="Y841" s="1261"/>
      <c r="Z841" s="1261"/>
      <c r="AA841" s="1261"/>
      <c r="AB841" s="1261"/>
      <c r="AC841" s="1261"/>
      <c r="AD841" s="1261"/>
      <c r="AE841" s="1261"/>
      <c r="AF841" s="1261"/>
      <c r="AG841" s="1261"/>
      <c r="AH841" s="1261"/>
      <c r="AI841" s="1261"/>
      <c r="AJ841" s="1261"/>
      <c r="AK841" s="1261"/>
      <c r="AL841" s="1261"/>
      <c r="AM841" s="1261"/>
    </row>
    <row r="842" spans="1:39" ht="15" customHeight="1" x14ac:dyDescent="0.25">
      <c r="A842" s="1409"/>
      <c r="B842" s="1409"/>
      <c r="C842" s="1409"/>
      <c r="D842" s="1409"/>
      <c r="E842" s="1247"/>
      <c r="F842" s="1248" t="s">
        <v>4761</v>
      </c>
      <c r="G842" s="111"/>
      <c r="H842" s="1249">
        <v>120</v>
      </c>
      <c r="I842" s="111" t="s">
        <v>1721</v>
      </c>
      <c r="J842" s="1321" t="s">
        <v>5608</v>
      </c>
      <c r="K842" s="162" t="s">
        <v>5610</v>
      </c>
      <c r="L842" s="162" t="s">
        <v>5609</v>
      </c>
      <c r="M842" s="111">
        <v>64.260000000000005</v>
      </c>
      <c r="N842" s="111">
        <v>7711.2000000000007</v>
      </c>
      <c r="O842" s="111"/>
      <c r="P842" s="111"/>
      <c r="Q842" s="111"/>
      <c r="R842" s="111"/>
      <c r="S842" s="1249">
        <v>50</v>
      </c>
      <c r="T842" s="1250">
        <v>2570.4</v>
      </c>
      <c r="U842" s="1250"/>
      <c r="V842" s="1250"/>
      <c r="W842" s="1251">
        <v>50</v>
      </c>
      <c r="X842" s="1250">
        <v>2570.4</v>
      </c>
      <c r="Y842" s="1250"/>
      <c r="Z842" s="1250"/>
      <c r="AA842" s="1250"/>
      <c r="AB842" s="1250"/>
      <c r="AC842" s="1250"/>
      <c r="AD842" s="1250"/>
      <c r="AE842" s="1249">
        <v>20</v>
      </c>
      <c r="AF842" s="1250">
        <v>2570.4</v>
      </c>
      <c r="AG842" s="111"/>
      <c r="AH842" s="111"/>
      <c r="AI842" s="111"/>
      <c r="AJ842" s="111"/>
      <c r="AK842" s="111"/>
      <c r="AL842" s="111"/>
      <c r="AM842" s="111">
        <v>7711.2</v>
      </c>
    </row>
    <row r="843" spans="1:39" ht="15" customHeight="1" x14ac:dyDescent="0.25">
      <c r="A843" s="1409"/>
      <c r="B843" s="1409"/>
      <c r="C843" s="1409"/>
      <c r="D843" s="1409"/>
      <c r="E843" s="1247"/>
      <c r="F843" s="1248" t="s">
        <v>385</v>
      </c>
      <c r="G843" s="111"/>
      <c r="H843" s="1249">
        <v>27</v>
      </c>
      <c r="I843" s="111" t="s">
        <v>1721</v>
      </c>
      <c r="J843" s="1321" t="s">
        <v>5608</v>
      </c>
      <c r="K843" s="162" t="s">
        <v>5610</v>
      </c>
      <c r="L843" s="162" t="s">
        <v>5609</v>
      </c>
      <c r="M843" s="111">
        <v>461.65679999999998</v>
      </c>
      <c r="N843" s="111">
        <v>12464.7336</v>
      </c>
      <c r="O843" s="111"/>
      <c r="P843" s="111"/>
      <c r="Q843" s="111"/>
      <c r="R843" s="111"/>
      <c r="S843" s="1249">
        <v>10</v>
      </c>
      <c r="T843" s="1250">
        <v>4154.9111999999996</v>
      </c>
      <c r="U843" s="1250"/>
      <c r="V843" s="1250"/>
      <c r="W843" s="1251">
        <v>10</v>
      </c>
      <c r="X843" s="1250">
        <v>4154.9111999999996</v>
      </c>
      <c r="Y843" s="1250"/>
      <c r="Z843" s="1250"/>
      <c r="AA843" s="1250"/>
      <c r="AB843" s="1250"/>
      <c r="AC843" s="1250"/>
      <c r="AD843" s="1250"/>
      <c r="AE843" s="1249">
        <v>7</v>
      </c>
      <c r="AF843" s="1250">
        <v>4154.9111999999996</v>
      </c>
      <c r="AG843" s="111"/>
      <c r="AH843" s="111"/>
      <c r="AI843" s="111"/>
      <c r="AJ843" s="111"/>
      <c r="AK843" s="111"/>
      <c r="AL843" s="111"/>
      <c r="AM843" s="111">
        <v>12464.7336</v>
      </c>
    </row>
    <row r="844" spans="1:39" ht="15" customHeight="1" x14ac:dyDescent="0.25">
      <c r="A844" s="1409"/>
      <c r="B844" s="1409"/>
      <c r="C844" s="1409"/>
      <c r="D844" s="1409"/>
      <c r="E844" s="1247"/>
      <c r="F844" s="1248" t="s">
        <v>2719</v>
      </c>
      <c r="G844" s="111"/>
      <c r="H844" s="1249">
        <v>6</v>
      </c>
      <c r="I844" s="111" t="s">
        <v>4701</v>
      </c>
      <c r="J844" s="1321" t="s">
        <v>5608</v>
      </c>
      <c r="K844" s="162" t="s">
        <v>5610</v>
      </c>
      <c r="L844" s="162" t="s">
        <v>5609</v>
      </c>
      <c r="M844" s="111">
        <v>134.56</v>
      </c>
      <c r="N844" s="111">
        <v>807.36</v>
      </c>
      <c r="O844" s="111"/>
      <c r="P844" s="111"/>
      <c r="Q844" s="111"/>
      <c r="R844" s="111"/>
      <c r="S844" s="1249">
        <v>2</v>
      </c>
      <c r="T844" s="1250">
        <v>269.12</v>
      </c>
      <c r="U844" s="1250"/>
      <c r="V844" s="1250"/>
      <c r="W844" s="1251">
        <v>2</v>
      </c>
      <c r="X844" s="1250">
        <v>269.12</v>
      </c>
      <c r="Y844" s="1250"/>
      <c r="Z844" s="1250"/>
      <c r="AA844" s="1250"/>
      <c r="AB844" s="1250"/>
      <c r="AC844" s="1250"/>
      <c r="AD844" s="1250"/>
      <c r="AE844" s="1249">
        <v>2</v>
      </c>
      <c r="AF844" s="1250">
        <v>269.12</v>
      </c>
      <c r="AG844" s="111"/>
      <c r="AH844" s="111"/>
      <c r="AI844" s="111"/>
      <c r="AJ844" s="111"/>
      <c r="AK844" s="111"/>
      <c r="AL844" s="111"/>
      <c r="AM844" s="111">
        <v>807.36</v>
      </c>
    </row>
    <row r="845" spans="1:39" ht="15" customHeight="1" x14ac:dyDescent="0.25">
      <c r="A845" s="1409"/>
      <c r="B845" s="1409"/>
      <c r="C845" s="1409"/>
      <c r="D845" s="1409"/>
      <c r="E845" s="1247"/>
      <c r="F845" s="1248" t="s">
        <v>4762</v>
      </c>
      <c r="G845" s="111"/>
      <c r="H845" s="1249">
        <v>340</v>
      </c>
      <c r="I845" s="111" t="s">
        <v>4763</v>
      </c>
      <c r="J845" s="1321" t="s">
        <v>5608</v>
      </c>
      <c r="K845" s="162" t="s">
        <v>5610</v>
      </c>
      <c r="L845" s="162" t="s">
        <v>5609</v>
      </c>
      <c r="M845" s="111">
        <v>18.823529411764707</v>
      </c>
      <c r="N845" s="111">
        <v>6400</v>
      </c>
      <c r="O845" s="111"/>
      <c r="P845" s="111"/>
      <c r="Q845" s="111"/>
      <c r="R845" s="111"/>
      <c r="S845" s="1249">
        <v>120</v>
      </c>
      <c r="T845" s="1250">
        <v>2133.3333333333335</v>
      </c>
      <c r="U845" s="1250"/>
      <c r="V845" s="1250"/>
      <c r="W845" s="1251">
        <v>120</v>
      </c>
      <c r="X845" s="1250">
        <v>2133.3333333333335</v>
      </c>
      <c r="Y845" s="1250"/>
      <c r="Z845" s="1250"/>
      <c r="AA845" s="1250"/>
      <c r="AB845" s="1250"/>
      <c r="AC845" s="1250"/>
      <c r="AD845" s="1250"/>
      <c r="AE845" s="1249">
        <v>100</v>
      </c>
      <c r="AF845" s="1250">
        <v>2133.3333333333335</v>
      </c>
      <c r="AG845" s="111"/>
      <c r="AH845" s="111"/>
      <c r="AI845" s="111"/>
      <c r="AJ845" s="111"/>
      <c r="AK845" s="111"/>
      <c r="AL845" s="111"/>
      <c r="AM845" s="111">
        <v>6400</v>
      </c>
    </row>
    <row r="846" spans="1:39" ht="15" customHeight="1" x14ac:dyDescent="0.25">
      <c r="A846" s="1409"/>
      <c r="B846" s="1409"/>
      <c r="C846" s="1409"/>
      <c r="D846" s="1409"/>
      <c r="E846" s="1247"/>
      <c r="F846" s="1248" t="s">
        <v>4764</v>
      </c>
      <c r="G846" s="111"/>
      <c r="H846" s="1249">
        <v>14</v>
      </c>
      <c r="I846" s="111" t="s">
        <v>1827</v>
      </c>
      <c r="J846" s="1321" t="s">
        <v>5608</v>
      </c>
      <c r="K846" s="162" t="s">
        <v>5610</v>
      </c>
      <c r="L846" s="162" t="s">
        <v>5609</v>
      </c>
      <c r="M846" s="111">
        <v>144.77382857142857</v>
      </c>
      <c r="N846" s="111">
        <v>2026.8335999999999</v>
      </c>
      <c r="O846" s="111"/>
      <c r="P846" s="111"/>
      <c r="Q846" s="111"/>
      <c r="R846" s="111"/>
      <c r="S846" s="1249">
        <v>5</v>
      </c>
      <c r="T846" s="1250">
        <v>675.61119999999994</v>
      </c>
      <c r="U846" s="1250"/>
      <c r="V846" s="1250"/>
      <c r="W846" s="1251">
        <v>5</v>
      </c>
      <c r="X846" s="1250">
        <v>675.61119999999994</v>
      </c>
      <c r="Y846" s="1250"/>
      <c r="Z846" s="1250"/>
      <c r="AA846" s="1250"/>
      <c r="AB846" s="1250"/>
      <c r="AC846" s="1250"/>
      <c r="AD846" s="1250"/>
      <c r="AE846" s="1249">
        <v>4</v>
      </c>
      <c r="AF846" s="1250">
        <v>675.61119999999994</v>
      </c>
      <c r="AG846" s="111"/>
      <c r="AH846" s="111"/>
      <c r="AI846" s="111"/>
      <c r="AJ846" s="111"/>
      <c r="AK846" s="111"/>
      <c r="AL846" s="111"/>
      <c r="AM846" s="111">
        <v>2026.8335999999999</v>
      </c>
    </row>
    <row r="847" spans="1:39" ht="15" customHeight="1" x14ac:dyDescent="0.25">
      <c r="A847" s="1409"/>
      <c r="B847" s="1409"/>
      <c r="C847" s="1409"/>
      <c r="D847" s="1409"/>
      <c r="E847" s="1247"/>
      <c r="F847" s="1248" t="s">
        <v>4765</v>
      </c>
      <c r="G847" s="111"/>
      <c r="H847" s="1249">
        <v>10</v>
      </c>
      <c r="I847" s="111" t="s">
        <v>1827</v>
      </c>
      <c r="J847" s="1321" t="s">
        <v>5608</v>
      </c>
      <c r="K847" s="162" t="s">
        <v>5610</v>
      </c>
      <c r="L847" s="162" t="s">
        <v>5609</v>
      </c>
      <c r="M847" s="111">
        <v>202.69567999999998</v>
      </c>
      <c r="N847" s="111">
        <v>2026.9567999999999</v>
      </c>
      <c r="O847" s="111"/>
      <c r="P847" s="111"/>
      <c r="Q847" s="111"/>
      <c r="R847" s="111"/>
      <c r="S847" s="1249">
        <v>5</v>
      </c>
      <c r="T847" s="1250">
        <v>675.65226666666661</v>
      </c>
      <c r="U847" s="1250"/>
      <c r="V847" s="1250"/>
      <c r="W847" s="1251">
        <v>5</v>
      </c>
      <c r="X847" s="1250">
        <v>675.65226666666661</v>
      </c>
      <c r="Y847" s="1250"/>
      <c r="Z847" s="1250"/>
      <c r="AA847" s="1250"/>
      <c r="AB847" s="1250"/>
      <c r="AC847" s="1250"/>
      <c r="AD847" s="1250"/>
      <c r="AE847" s="1249">
        <v>0</v>
      </c>
      <c r="AF847" s="1250">
        <v>675.65226666666661</v>
      </c>
      <c r="AG847" s="111"/>
      <c r="AH847" s="111"/>
      <c r="AI847" s="111"/>
      <c r="AJ847" s="111"/>
      <c r="AK847" s="111"/>
      <c r="AL847" s="111"/>
      <c r="AM847" s="111">
        <v>2026.9567999999999</v>
      </c>
    </row>
    <row r="848" spans="1:39" ht="15" customHeight="1" x14ac:dyDescent="0.25">
      <c r="A848" s="1409"/>
      <c r="B848" s="1409"/>
      <c r="C848" s="1409"/>
      <c r="D848" s="1409"/>
      <c r="E848" s="1247"/>
      <c r="F848" s="1248" t="s">
        <v>2698</v>
      </c>
      <c r="G848" s="111"/>
      <c r="H848" s="1249">
        <v>160</v>
      </c>
      <c r="I848" s="111" t="s">
        <v>1721</v>
      </c>
      <c r="J848" s="1321" t="s">
        <v>5608</v>
      </c>
      <c r="K848" s="162" t="s">
        <v>5610</v>
      </c>
      <c r="L848" s="162" t="s">
        <v>5609</v>
      </c>
      <c r="M848" s="111">
        <v>27.433999999999997</v>
      </c>
      <c r="N848" s="111">
        <v>4389.4399999999996</v>
      </c>
      <c r="O848" s="111"/>
      <c r="P848" s="111"/>
      <c r="Q848" s="111"/>
      <c r="R848" s="111"/>
      <c r="S848" s="1249">
        <v>60</v>
      </c>
      <c r="T848" s="1250">
        <v>1463.1466666666665</v>
      </c>
      <c r="U848" s="1250"/>
      <c r="V848" s="1250"/>
      <c r="W848" s="1251">
        <v>50</v>
      </c>
      <c r="X848" s="1250">
        <v>1463.1466666666665</v>
      </c>
      <c r="Y848" s="1250"/>
      <c r="Z848" s="1250"/>
      <c r="AA848" s="1250"/>
      <c r="AB848" s="1250"/>
      <c r="AC848" s="1250"/>
      <c r="AD848" s="1250"/>
      <c r="AE848" s="1249">
        <v>50</v>
      </c>
      <c r="AF848" s="1250">
        <v>1463.1466666666665</v>
      </c>
      <c r="AG848" s="111"/>
      <c r="AH848" s="111"/>
      <c r="AI848" s="111"/>
      <c r="AJ848" s="111"/>
      <c r="AK848" s="111"/>
      <c r="AL848" s="111"/>
      <c r="AM848" s="111">
        <v>4389.4399999999996</v>
      </c>
    </row>
    <row r="849" spans="1:39" ht="15" customHeight="1" x14ac:dyDescent="0.25">
      <c r="A849" s="1409"/>
      <c r="B849" s="1409"/>
      <c r="C849" s="1409"/>
      <c r="D849" s="1409"/>
      <c r="E849" s="1247"/>
      <c r="F849" s="1248" t="s">
        <v>4766</v>
      </c>
      <c r="G849" s="111"/>
      <c r="H849" s="1249">
        <v>166</v>
      </c>
      <c r="I849" s="111" t="s">
        <v>1827</v>
      </c>
      <c r="J849" s="1321" t="s">
        <v>5608</v>
      </c>
      <c r="K849" s="162" t="s">
        <v>5610</v>
      </c>
      <c r="L849" s="162" t="s">
        <v>5609</v>
      </c>
      <c r="M849" s="111">
        <v>36.900361445783126</v>
      </c>
      <c r="N849" s="111">
        <v>6125.4599999999991</v>
      </c>
      <c r="O849" s="111"/>
      <c r="P849" s="111"/>
      <c r="Q849" s="111"/>
      <c r="R849" s="111"/>
      <c r="S849" s="1249">
        <v>66</v>
      </c>
      <c r="T849" s="1250">
        <v>2041.8199999999997</v>
      </c>
      <c r="U849" s="1250"/>
      <c r="V849" s="1250"/>
      <c r="W849" s="1251">
        <v>50</v>
      </c>
      <c r="X849" s="1250">
        <v>2041.8199999999997</v>
      </c>
      <c r="Y849" s="1250"/>
      <c r="Z849" s="1250"/>
      <c r="AA849" s="1250"/>
      <c r="AB849" s="1250"/>
      <c r="AC849" s="1250"/>
      <c r="AD849" s="1250"/>
      <c r="AE849" s="1249">
        <v>50</v>
      </c>
      <c r="AF849" s="1250">
        <v>2041.8199999999997</v>
      </c>
      <c r="AG849" s="111"/>
      <c r="AH849" s="111"/>
      <c r="AI849" s="111"/>
      <c r="AJ849" s="111"/>
      <c r="AK849" s="111"/>
      <c r="AL849" s="111"/>
      <c r="AM849" s="111">
        <v>6125.4599999999991</v>
      </c>
    </row>
    <row r="850" spans="1:39" ht="15" customHeight="1" x14ac:dyDescent="0.25">
      <c r="A850" s="1409"/>
      <c r="B850" s="1409"/>
      <c r="C850" s="1409"/>
      <c r="D850" s="1409"/>
      <c r="E850" s="1247"/>
      <c r="F850" s="1248" t="s">
        <v>4767</v>
      </c>
      <c r="G850" s="111"/>
      <c r="H850" s="1249">
        <v>1</v>
      </c>
      <c r="I850" s="111" t="s">
        <v>1725</v>
      </c>
      <c r="J850" s="1321" t="s">
        <v>5608</v>
      </c>
      <c r="K850" s="162" t="s">
        <v>5610</v>
      </c>
      <c r="L850" s="162" t="s">
        <v>5609</v>
      </c>
      <c r="M850" s="111">
        <v>200</v>
      </c>
      <c r="N850" s="111">
        <v>200</v>
      </c>
      <c r="O850" s="111"/>
      <c r="P850" s="111"/>
      <c r="Q850" s="111"/>
      <c r="R850" s="111"/>
      <c r="S850" s="1249">
        <v>1</v>
      </c>
      <c r="T850" s="1250">
        <v>66.666666666666671</v>
      </c>
      <c r="U850" s="1250"/>
      <c r="V850" s="1250"/>
      <c r="W850" s="1251">
        <v>0</v>
      </c>
      <c r="X850" s="1250">
        <v>66.666666666666671</v>
      </c>
      <c r="Y850" s="1250"/>
      <c r="Z850" s="1250"/>
      <c r="AA850" s="1250"/>
      <c r="AB850" s="1250"/>
      <c r="AC850" s="1250"/>
      <c r="AD850" s="1250"/>
      <c r="AE850" s="1249">
        <v>0</v>
      </c>
      <c r="AF850" s="1250">
        <v>66.666666666666671</v>
      </c>
      <c r="AG850" s="111"/>
      <c r="AH850" s="111"/>
      <c r="AI850" s="111"/>
      <c r="AJ850" s="111"/>
      <c r="AK850" s="111"/>
      <c r="AL850" s="111"/>
      <c r="AM850" s="111">
        <v>200</v>
      </c>
    </row>
    <row r="851" spans="1:39" ht="15" customHeight="1" x14ac:dyDescent="0.25">
      <c r="A851" s="1409"/>
      <c r="B851" s="1409"/>
      <c r="C851" s="1409"/>
      <c r="D851" s="1409"/>
      <c r="E851" s="1247"/>
      <c r="F851" s="1248" t="s">
        <v>2699</v>
      </c>
      <c r="G851" s="111"/>
      <c r="H851" s="1249">
        <v>23</v>
      </c>
      <c r="I851" s="111" t="s">
        <v>1722</v>
      </c>
      <c r="J851" s="1321" t="s">
        <v>5608</v>
      </c>
      <c r="K851" s="162" t="s">
        <v>5610</v>
      </c>
      <c r="L851" s="162" t="s">
        <v>5609</v>
      </c>
      <c r="M851" s="111">
        <v>141.33439999999999</v>
      </c>
      <c r="N851" s="111">
        <v>3250.6911999999998</v>
      </c>
      <c r="O851" s="111"/>
      <c r="P851" s="111"/>
      <c r="Q851" s="111"/>
      <c r="R851" s="111"/>
      <c r="S851" s="1249">
        <v>10</v>
      </c>
      <c r="T851" s="1250">
        <v>1083.5637333333332</v>
      </c>
      <c r="U851" s="1250"/>
      <c r="V851" s="1250"/>
      <c r="W851" s="1251">
        <v>10</v>
      </c>
      <c r="X851" s="1250">
        <v>1083.5637333333332</v>
      </c>
      <c r="Y851" s="1250"/>
      <c r="Z851" s="1250"/>
      <c r="AA851" s="1250"/>
      <c r="AB851" s="1250"/>
      <c r="AC851" s="1250"/>
      <c r="AD851" s="1250"/>
      <c r="AE851" s="1249">
        <v>3</v>
      </c>
      <c r="AF851" s="1250">
        <v>1083.5637333333332</v>
      </c>
      <c r="AG851" s="111"/>
      <c r="AH851" s="111"/>
      <c r="AI851" s="111"/>
      <c r="AJ851" s="111"/>
      <c r="AK851" s="111"/>
      <c r="AL851" s="111"/>
      <c r="AM851" s="111">
        <v>3250.6911999999998</v>
      </c>
    </row>
    <row r="852" spans="1:39" ht="15" customHeight="1" x14ac:dyDescent="0.25">
      <c r="A852" s="1409"/>
      <c r="B852" s="1409"/>
      <c r="C852" s="1409"/>
      <c r="D852" s="1409"/>
      <c r="E852" s="1247"/>
      <c r="F852" s="1248" t="s">
        <v>4768</v>
      </c>
      <c r="G852" s="111"/>
      <c r="H852" s="1249">
        <v>900</v>
      </c>
      <c r="I852" s="111" t="s">
        <v>1721</v>
      </c>
      <c r="J852" s="1321" t="s">
        <v>5608</v>
      </c>
      <c r="K852" s="162" t="s">
        <v>5610</v>
      </c>
      <c r="L852" s="162" t="s">
        <v>5609</v>
      </c>
      <c r="M852" s="111">
        <v>7.7</v>
      </c>
      <c r="N852" s="111">
        <v>6930</v>
      </c>
      <c r="O852" s="111"/>
      <c r="P852" s="111"/>
      <c r="Q852" s="111"/>
      <c r="R852" s="111"/>
      <c r="S852" s="1249">
        <v>300</v>
      </c>
      <c r="T852" s="1250">
        <v>2310</v>
      </c>
      <c r="U852" s="1250"/>
      <c r="V852" s="1250"/>
      <c r="W852" s="1251">
        <v>300</v>
      </c>
      <c r="X852" s="1250">
        <v>2310</v>
      </c>
      <c r="Y852" s="1250"/>
      <c r="Z852" s="1250"/>
      <c r="AA852" s="1250"/>
      <c r="AB852" s="1250"/>
      <c r="AC852" s="1250"/>
      <c r="AD852" s="1250"/>
      <c r="AE852" s="1249">
        <v>300</v>
      </c>
      <c r="AF852" s="1250">
        <v>2310</v>
      </c>
      <c r="AG852" s="111"/>
      <c r="AH852" s="111"/>
      <c r="AI852" s="111"/>
      <c r="AJ852" s="111"/>
      <c r="AK852" s="111"/>
      <c r="AL852" s="111"/>
      <c r="AM852" s="111">
        <v>6930</v>
      </c>
    </row>
    <row r="853" spans="1:39" ht="15" customHeight="1" x14ac:dyDescent="0.25">
      <c r="A853" s="1409"/>
      <c r="B853" s="1409"/>
      <c r="C853" s="1409"/>
      <c r="D853" s="1409"/>
      <c r="E853" s="1247"/>
      <c r="F853" s="1248" t="s">
        <v>4769</v>
      </c>
      <c r="G853" s="111"/>
      <c r="H853" s="1249">
        <v>10</v>
      </c>
      <c r="I853" s="111" t="s">
        <v>1721</v>
      </c>
      <c r="J853" s="1321" t="s">
        <v>5608</v>
      </c>
      <c r="K853" s="162" t="s">
        <v>5610</v>
      </c>
      <c r="L853" s="162" t="s">
        <v>5609</v>
      </c>
      <c r="M853" s="111">
        <v>8</v>
      </c>
      <c r="N853" s="111">
        <v>80</v>
      </c>
      <c r="O853" s="111"/>
      <c r="P853" s="111"/>
      <c r="Q853" s="111"/>
      <c r="R853" s="111"/>
      <c r="S853" s="1249">
        <v>5</v>
      </c>
      <c r="T853" s="1250">
        <v>26.666666666666668</v>
      </c>
      <c r="U853" s="1250"/>
      <c r="V853" s="1250"/>
      <c r="W853" s="1251">
        <v>5</v>
      </c>
      <c r="X853" s="1250">
        <v>26.666666666666668</v>
      </c>
      <c r="Y853" s="1250"/>
      <c r="Z853" s="1250"/>
      <c r="AA853" s="1250"/>
      <c r="AB853" s="1250"/>
      <c r="AC853" s="1250"/>
      <c r="AD853" s="1250"/>
      <c r="AE853" s="1249">
        <v>0</v>
      </c>
      <c r="AF853" s="1250">
        <v>26.666666666666668</v>
      </c>
      <c r="AG853" s="111"/>
      <c r="AH853" s="111"/>
      <c r="AI853" s="111"/>
      <c r="AJ853" s="111"/>
      <c r="AK853" s="111"/>
      <c r="AL853" s="111"/>
      <c r="AM853" s="111">
        <v>80</v>
      </c>
    </row>
    <row r="854" spans="1:39" ht="15" customHeight="1" x14ac:dyDescent="0.25">
      <c r="A854" s="1409"/>
      <c r="B854" s="1409"/>
      <c r="C854" s="1409"/>
      <c r="D854" s="1409"/>
      <c r="E854" s="1247"/>
      <c r="F854" s="1248" t="s">
        <v>4770</v>
      </c>
      <c r="G854" s="111"/>
      <c r="H854" s="1249">
        <v>24</v>
      </c>
      <c r="I854" s="111" t="s">
        <v>1721</v>
      </c>
      <c r="J854" s="1321" t="s">
        <v>5608</v>
      </c>
      <c r="K854" s="162" t="s">
        <v>5610</v>
      </c>
      <c r="L854" s="162" t="s">
        <v>5609</v>
      </c>
      <c r="M854" s="111">
        <v>10</v>
      </c>
      <c r="N854" s="111">
        <v>240</v>
      </c>
      <c r="O854" s="111"/>
      <c r="P854" s="111"/>
      <c r="Q854" s="111"/>
      <c r="R854" s="111"/>
      <c r="S854" s="1249">
        <v>14</v>
      </c>
      <c r="T854" s="1250">
        <v>80</v>
      </c>
      <c r="U854" s="1250"/>
      <c r="V854" s="1250"/>
      <c r="W854" s="1251">
        <v>5</v>
      </c>
      <c r="X854" s="1250">
        <v>80</v>
      </c>
      <c r="Y854" s="1250"/>
      <c r="Z854" s="1250"/>
      <c r="AA854" s="1250"/>
      <c r="AB854" s="1250"/>
      <c r="AC854" s="1250"/>
      <c r="AD854" s="1250"/>
      <c r="AE854" s="1249">
        <v>5</v>
      </c>
      <c r="AF854" s="1250">
        <v>80</v>
      </c>
      <c r="AG854" s="111"/>
      <c r="AH854" s="111"/>
      <c r="AI854" s="111"/>
      <c r="AJ854" s="111"/>
      <c r="AK854" s="111"/>
      <c r="AL854" s="111"/>
      <c r="AM854" s="111">
        <v>240</v>
      </c>
    </row>
    <row r="855" spans="1:39" ht="15" customHeight="1" x14ac:dyDescent="0.25">
      <c r="A855" s="1409"/>
      <c r="B855" s="1409"/>
      <c r="C855" s="1409"/>
      <c r="D855" s="1409"/>
      <c r="E855" s="1247"/>
      <c r="F855" s="1248" t="s">
        <v>4771</v>
      </c>
      <c r="G855" s="111"/>
      <c r="H855" s="1249">
        <v>17</v>
      </c>
      <c r="I855" s="111" t="s">
        <v>2940</v>
      </c>
      <c r="J855" s="1321" t="s">
        <v>5608</v>
      </c>
      <c r="K855" s="162" t="s">
        <v>5610</v>
      </c>
      <c r="L855" s="162" t="s">
        <v>5609</v>
      </c>
      <c r="M855" s="111">
        <v>315.07047058823531</v>
      </c>
      <c r="N855" s="111">
        <v>5356.1980000000003</v>
      </c>
      <c r="O855" s="111"/>
      <c r="P855" s="111"/>
      <c r="Q855" s="111"/>
      <c r="R855" s="111"/>
      <c r="S855" s="1249">
        <v>7</v>
      </c>
      <c r="T855" s="1250">
        <v>1785.3993333333335</v>
      </c>
      <c r="U855" s="1250"/>
      <c r="V855" s="1250"/>
      <c r="W855" s="1251">
        <v>5</v>
      </c>
      <c r="X855" s="1250">
        <v>1785.3993333333335</v>
      </c>
      <c r="Y855" s="1250"/>
      <c r="Z855" s="1250"/>
      <c r="AA855" s="1250"/>
      <c r="AB855" s="1250"/>
      <c r="AC855" s="1250"/>
      <c r="AD855" s="1250"/>
      <c r="AE855" s="1249">
        <v>5</v>
      </c>
      <c r="AF855" s="1250">
        <v>1785.3993333333335</v>
      </c>
      <c r="AG855" s="111"/>
      <c r="AH855" s="111"/>
      <c r="AI855" s="111"/>
      <c r="AJ855" s="111"/>
      <c r="AK855" s="111"/>
      <c r="AL855" s="111"/>
      <c r="AM855" s="111">
        <v>5356.1980000000003</v>
      </c>
    </row>
    <row r="856" spans="1:39" ht="15" customHeight="1" x14ac:dyDescent="0.25">
      <c r="A856" s="1409"/>
      <c r="B856" s="1409"/>
      <c r="C856" s="1409"/>
      <c r="D856" s="1409"/>
      <c r="E856" s="1247"/>
      <c r="F856" s="1248" t="s">
        <v>4772</v>
      </c>
      <c r="G856" s="111"/>
      <c r="H856" s="1249">
        <v>11</v>
      </c>
      <c r="I856" s="111" t="s">
        <v>1827</v>
      </c>
      <c r="J856" s="1321" t="s">
        <v>5608</v>
      </c>
      <c r="K856" s="162" t="s">
        <v>5610</v>
      </c>
      <c r="L856" s="162" t="s">
        <v>5609</v>
      </c>
      <c r="M856" s="111">
        <v>173.79999999999998</v>
      </c>
      <c r="N856" s="111">
        <v>1911.7999999999997</v>
      </c>
      <c r="O856" s="111"/>
      <c r="P856" s="111"/>
      <c r="Q856" s="111"/>
      <c r="R856" s="111"/>
      <c r="S856" s="1249">
        <v>4</v>
      </c>
      <c r="T856" s="1250">
        <v>637.26666666666654</v>
      </c>
      <c r="U856" s="1250"/>
      <c r="V856" s="1250"/>
      <c r="W856" s="1251">
        <v>4</v>
      </c>
      <c r="X856" s="1250">
        <v>637.26666666666654</v>
      </c>
      <c r="Y856" s="1250"/>
      <c r="Z856" s="1250"/>
      <c r="AA856" s="1250"/>
      <c r="AB856" s="1250"/>
      <c r="AC856" s="1250"/>
      <c r="AD856" s="1250"/>
      <c r="AE856" s="1249">
        <v>3</v>
      </c>
      <c r="AF856" s="1250">
        <v>637.26666666666654</v>
      </c>
      <c r="AG856" s="111"/>
      <c r="AH856" s="111"/>
      <c r="AI856" s="111"/>
      <c r="AJ856" s="111"/>
      <c r="AK856" s="111"/>
      <c r="AL856" s="111"/>
      <c r="AM856" s="111">
        <v>1911.7999999999997</v>
      </c>
    </row>
    <row r="857" spans="1:39" ht="15" customHeight="1" x14ac:dyDescent="0.25">
      <c r="A857" s="1409"/>
      <c r="B857" s="1409"/>
      <c r="C857" s="1409"/>
      <c r="D857" s="1409"/>
      <c r="E857" s="1247"/>
      <c r="F857" s="1248" t="s">
        <v>2718</v>
      </c>
      <c r="G857" s="111"/>
      <c r="H857" s="1249">
        <v>37</v>
      </c>
      <c r="I857" s="111" t="s">
        <v>1721</v>
      </c>
      <c r="J857" s="1321" t="s">
        <v>5608</v>
      </c>
      <c r="K857" s="162" t="s">
        <v>5610</v>
      </c>
      <c r="L857" s="162" t="s">
        <v>5609</v>
      </c>
      <c r="M857" s="111">
        <v>100.91999999999999</v>
      </c>
      <c r="N857" s="111">
        <v>3734.0399999999995</v>
      </c>
      <c r="O857" s="111"/>
      <c r="P857" s="111"/>
      <c r="Q857" s="111"/>
      <c r="R857" s="111"/>
      <c r="S857" s="1249">
        <v>15</v>
      </c>
      <c r="T857" s="1250">
        <v>1244.6799999999998</v>
      </c>
      <c r="U857" s="1250"/>
      <c r="V857" s="1250"/>
      <c r="W857" s="1251">
        <v>12</v>
      </c>
      <c r="X857" s="1250">
        <v>1244.6799999999998</v>
      </c>
      <c r="Y857" s="1250"/>
      <c r="Z857" s="1250"/>
      <c r="AA857" s="1250"/>
      <c r="AB857" s="1250"/>
      <c r="AC857" s="1250"/>
      <c r="AD857" s="1250"/>
      <c r="AE857" s="1249">
        <v>10</v>
      </c>
      <c r="AF857" s="1250">
        <v>1244.6799999999998</v>
      </c>
      <c r="AG857" s="111"/>
      <c r="AH857" s="111"/>
      <c r="AI857" s="111"/>
      <c r="AJ857" s="111"/>
      <c r="AK857" s="111"/>
      <c r="AL857" s="111"/>
      <c r="AM857" s="111">
        <v>3734.0399999999995</v>
      </c>
    </row>
    <row r="858" spans="1:39" ht="15" customHeight="1" x14ac:dyDescent="0.25">
      <c r="A858" s="1409"/>
      <c r="B858" s="1409"/>
      <c r="C858" s="1409"/>
      <c r="D858" s="1409"/>
      <c r="E858" s="1247"/>
      <c r="F858" s="1248" t="s">
        <v>4773</v>
      </c>
      <c r="G858" s="111"/>
      <c r="H858" s="1249">
        <v>2</v>
      </c>
      <c r="I858" s="111" t="s">
        <v>1827</v>
      </c>
      <c r="J858" s="1321" t="s">
        <v>5608</v>
      </c>
      <c r="K858" s="162" t="s">
        <v>5610</v>
      </c>
      <c r="L858" s="162" t="s">
        <v>5609</v>
      </c>
      <c r="M858" s="111">
        <v>270</v>
      </c>
      <c r="N858" s="111">
        <v>540</v>
      </c>
      <c r="O858" s="111"/>
      <c r="P858" s="111"/>
      <c r="Q858" s="111"/>
      <c r="R858" s="111"/>
      <c r="S858" s="1249">
        <v>2</v>
      </c>
      <c r="T858" s="1250">
        <v>180</v>
      </c>
      <c r="U858" s="1250"/>
      <c r="V858" s="1250"/>
      <c r="W858" s="1251">
        <v>0</v>
      </c>
      <c r="X858" s="1250">
        <v>180</v>
      </c>
      <c r="Y858" s="1250"/>
      <c r="Z858" s="1250"/>
      <c r="AA858" s="1250"/>
      <c r="AB858" s="1250"/>
      <c r="AC858" s="1250"/>
      <c r="AD858" s="1250"/>
      <c r="AE858" s="1249">
        <v>0</v>
      </c>
      <c r="AF858" s="1250">
        <v>180</v>
      </c>
      <c r="AG858" s="111"/>
      <c r="AH858" s="111"/>
      <c r="AI858" s="111"/>
      <c r="AJ858" s="111"/>
      <c r="AK858" s="111"/>
      <c r="AL858" s="111"/>
      <c r="AM858" s="111">
        <v>540</v>
      </c>
    </row>
    <row r="859" spans="1:39" ht="15" customHeight="1" x14ac:dyDescent="0.25">
      <c r="A859" s="1409"/>
      <c r="B859" s="1409"/>
      <c r="C859" s="1409"/>
      <c r="D859" s="1409"/>
      <c r="E859" s="1247"/>
      <c r="F859" s="1248" t="s">
        <v>4774</v>
      </c>
      <c r="G859" s="111"/>
      <c r="H859" s="1249">
        <v>2</v>
      </c>
      <c r="I859" s="111" t="s">
        <v>1827</v>
      </c>
      <c r="J859" s="1321" t="s">
        <v>5608</v>
      </c>
      <c r="K859" s="162" t="s">
        <v>5610</v>
      </c>
      <c r="L859" s="162" t="s">
        <v>5609</v>
      </c>
      <c r="M859" s="111">
        <v>216</v>
      </c>
      <c r="N859" s="111">
        <v>432</v>
      </c>
      <c r="O859" s="111"/>
      <c r="P859" s="111"/>
      <c r="Q859" s="111"/>
      <c r="R859" s="111"/>
      <c r="S859" s="1249">
        <v>2</v>
      </c>
      <c r="T859" s="1250">
        <v>144</v>
      </c>
      <c r="U859" s="1250"/>
      <c r="V859" s="1250"/>
      <c r="W859" s="1251">
        <v>0</v>
      </c>
      <c r="X859" s="1250">
        <v>144</v>
      </c>
      <c r="Y859" s="1250"/>
      <c r="Z859" s="1250"/>
      <c r="AA859" s="1250"/>
      <c r="AB859" s="1250"/>
      <c r="AC859" s="1250"/>
      <c r="AD859" s="1250"/>
      <c r="AE859" s="1249">
        <v>0</v>
      </c>
      <c r="AF859" s="1250">
        <v>144</v>
      </c>
      <c r="AG859" s="111"/>
      <c r="AH859" s="111"/>
      <c r="AI859" s="111"/>
      <c r="AJ859" s="111"/>
      <c r="AK859" s="111"/>
      <c r="AL859" s="111"/>
      <c r="AM859" s="111">
        <v>432</v>
      </c>
    </row>
    <row r="860" spans="1:39" ht="15" customHeight="1" x14ac:dyDescent="0.25">
      <c r="A860" s="1409"/>
      <c r="B860" s="1409"/>
      <c r="C860" s="1409"/>
      <c r="D860" s="1409"/>
      <c r="E860" s="1247"/>
      <c r="F860" s="1248" t="s">
        <v>2694</v>
      </c>
      <c r="G860" s="111"/>
      <c r="H860" s="1249">
        <v>24</v>
      </c>
      <c r="I860" s="111" t="s">
        <v>1827</v>
      </c>
      <c r="J860" s="1321" t="s">
        <v>5608</v>
      </c>
      <c r="K860" s="162" t="s">
        <v>5610</v>
      </c>
      <c r="L860" s="162" t="s">
        <v>5609</v>
      </c>
      <c r="M860" s="111">
        <v>39.962000000000003</v>
      </c>
      <c r="N860" s="111">
        <v>959.08800000000008</v>
      </c>
      <c r="O860" s="111"/>
      <c r="P860" s="111"/>
      <c r="Q860" s="111"/>
      <c r="R860" s="111"/>
      <c r="S860" s="1249">
        <v>14</v>
      </c>
      <c r="T860" s="1250">
        <v>319.69600000000003</v>
      </c>
      <c r="U860" s="1250"/>
      <c r="V860" s="1250"/>
      <c r="W860" s="1251">
        <v>5</v>
      </c>
      <c r="X860" s="1250">
        <v>319.69600000000003</v>
      </c>
      <c r="Y860" s="1250"/>
      <c r="Z860" s="1250"/>
      <c r="AA860" s="1250"/>
      <c r="AB860" s="1250"/>
      <c r="AC860" s="1250"/>
      <c r="AD860" s="1250"/>
      <c r="AE860" s="1249">
        <v>5</v>
      </c>
      <c r="AF860" s="1250">
        <v>319.69600000000003</v>
      </c>
      <c r="AG860" s="111"/>
      <c r="AH860" s="111"/>
      <c r="AI860" s="111"/>
      <c r="AJ860" s="111"/>
      <c r="AK860" s="111"/>
      <c r="AL860" s="111"/>
      <c r="AM860" s="111">
        <v>959.08800000000008</v>
      </c>
    </row>
    <row r="861" spans="1:39" ht="15" customHeight="1" x14ac:dyDescent="0.25">
      <c r="A861" s="1409"/>
      <c r="B861" s="1409"/>
      <c r="C861" s="1409"/>
      <c r="D861" s="1409"/>
      <c r="E861" s="1247"/>
      <c r="F861" s="1248" t="s">
        <v>4775</v>
      </c>
      <c r="G861" s="111"/>
      <c r="H861" s="1249">
        <v>2</v>
      </c>
      <c r="I861" s="111" t="s">
        <v>1827</v>
      </c>
      <c r="J861" s="1321" t="s">
        <v>5608</v>
      </c>
      <c r="K861" s="162" t="s">
        <v>5610</v>
      </c>
      <c r="L861" s="162" t="s">
        <v>5609</v>
      </c>
      <c r="M861" s="111">
        <v>214.5</v>
      </c>
      <c r="N861" s="111">
        <v>429</v>
      </c>
      <c r="O861" s="111"/>
      <c r="P861" s="111"/>
      <c r="Q861" s="111"/>
      <c r="R861" s="111"/>
      <c r="S861" s="1249">
        <v>2</v>
      </c>
      <c r="T861" s="1250">
        <v>143</v>
      </c>
      <c r="U861" s="1250"/>
      <c r="V861" s="1250"/>
      <c r="W861" s="1251">
        <v>0</v>
      </c>
      <c r="X861" s="1250">
        <v>143</v>
      </c>
      <c r="Y861" s="1250"/>
      <c r="Z861" s="1250"/>
      <c r="AA861" s="1250"/>
      <c r="AB861" s="1250"/>
      <c r="AC861" s="1250"/>
      <c r="AD861" s="1250"/>
      <c r="AE861" s="1249">
        <v>0</v>
      </c>
      <c r="AF861" s="1250">
        <v>143</v>
      </c>
      <c r="AG861" s="111"/>
      <c r="AH861" s="111"/>
      <c r="AI861" s="111"/>
      <c r="AJ861" s="111"/>
      <c r="AK861" s="111"/>
      <c r="AL861" s="111"/>
      <c r="AM861" s="111">
        <v>429</v>
      </c>
    </row>
    <row r="862" spans="1:39" ht="15" customHeight="1" x14ac:dyDescent="0.25">
      <c r="A862" s="1409"/>
      <c r="B862" s="1409"/>
      <c r="C862" s="1409"/>
      <c r="D862" s="1409"/>
      <c r="E862" s="1247"/>
      <c r="F862" s="1248" t="s">
        <v>2715</v>
      </c>
      <c r="G862" s="111"/>
      <c r="H862" s="1249">
        <v>3</v>
      </c>
      <c r="I862" s="111" t="s">
        <v>1827</v>
      </c>
      <c r="J862" s="1321" t="s">
        <v>5608</v>
      </c>
      <c r="K862" s="162" t="s">
        <v>5610</v>
      </c>
      <c r="L862" s="162" t="s">
        <v>5609</v>
      </c>
      <c r="M862" s="111">
        <v>496.05333333333328</v>
      </c>
      <c r="N862" s="111">
        <v>1488.1599999999999</v>
      </c>
      <c r="O862" s="111"/>
      <c r="P862" s="111"/>
      <c r="Q862" s="111"/>
      <c r="R862" s="111"/>
      <c r="S862" s="1249">
        <v>1</v>
      </c>
      <c r="T862" s="1250">
        <v>496.05333333333328</v>
      </c>
      <c r="U862" s="1250"/>
      <c r="V862" s="1250"/>
      <c r="W862" s="1251">
        <v>1</v>
      </c>
      <c r="X862" s="1250">
        <v>496.05333333333328</v>
      </c>
      <c r="Y862" s="1250"/>
      <c r="Z862" s="1250"/>
      <c r="AA862" s="1250"/>
      <c r="AB862" s="1250"/>
      <c r="AC862" s="1250"/>
      <c r="AD862" s="1250"/>
      <c r="AE862" s="1249">
        <v>1</v>
      </c>
      <c r="AF862" s="1250">
        <v>496.05333333333328</v>
      </c>
      <c r="AG862" s="111"/>
      <c r="AH862" s="111"/>
      <c r="AI862" s="111"/>
      <c r="AJ862" s="111"/>
      <c r="AK862" s="111"/>
      <c r="AL862" s="111"/>
      <c r="AM862" s="111">
        <v>1488.1599999999999</v>
      </c>
    </row>
    <row r="863" spans="1:39" ht="15" customHeight="1" x14ac:dyDescent="0.25">
      <c r="A863" s="1409"/>
      <c r="B863" s="1409"/>
      <c r="C863" s="1409"/>
      <c r="D863" s="1409"/>
      <c r="E863" s="1247"/>
      <c r="F863" s="1248" t="s">
        <v>4776</v>
      </c>
      <c r="G863" s="111"/>
      <c r="H863" s="1249">
        <v>3</v>
      </c>
      <c r="I863" s="111" t="s">
        <v>1721</v>
      </c>
      <c r="J863" s="1321" t="s">
        <v>5608</v>
      </c>
      <c r="K863" s="162" t="s">
        <v>5610</v>
      </c>
      <c r="L863" s="162" t="s">
        <v>5609</v>
      </c>
      <c r="M863" s="111">
        <v>59.9</v>
      </c>
      <c r="N863" s="111">
        <v>179.7</v>
      </c>
      <c r="O863" s="111"/>
      <c r="P863" s="111"/>
      <c r="Q863" s="111"/>
      <c r="R863" s="111"/>
      <c r="S863" s="1249">
        <v>1</v>
      </c>
      <c r="T863" s="1250">
        <v>59.9</v>
      </c>
      <c r="U863" s="1250"/>
      <c r="V863" s="1250"/>
      <c r="W863" s="1251">
        <v>1</v>
      </c>
      <c r="X863" s="1250">
        <v>59.9</v>
      </c>
      <c r="Y863" s="1250"/>
      <c r="Z863" s="1250"/>
      <c r="AA863" s="1250"/>
      <c r="AB863" s="1250"/>
      <c r="AC863" s="1250"/>
      <c r="AD863" s="1250"/>
      <c r="AE863" s="1249">
        <v>1</v>
      </c>
      <c r="AF863" s="1250">
        <v>59.9</v>
      </c>
      <c r="AG863" s="111"/>
      <c r="AH863" s="111"/>
      <c r="AI863" s="111"/>
      <c r="AJ863" s="111"/>
      <c r="AK863" s="111"/>
      <c r="AL863" s="111"/>
      <c r="AM863" s="111">
        <v>179.7</v>
      </c>
    </row>
    <row r="864" spans="1:39" ht="15" customHeight="1" x14ac:dyDescent="0.25">
      <c r="A864" s="1409"/>
      <c r="B864" s="1409"/>
      <c r="C864" s="1409"/>
      <c r="D864" s="1409"/>
      <c r="E864" s="1247"/>
      <c r="F864" s="1248" t="s">
        <v>4777</v>
      </c>
      <c r="G864" s="111"/>
      <c r="H864" s="1249">
        <v>2</v>
      </c>
      <c r="I864" s="111" t="s">
        <v>1721</v>
      </c>
      <c r="J864" s="1321" t="s">
        <v>5608</v>
      </c>
      <c r="K864" s="162" t="s">
        <v>5610</v>
      </c>
      <c r="L864" s="162" t="s">
        <v>5609</v>
      </c>
      <c r="M864" s="111">
        <v>82.5</v>
      </c>
      <c r="N864" s="111">
        <v>165</v>
      </c>
      <c r="O864" s="111"/>
      <c r="P864" s="111"/>
      <c r="Q864" s="111"/>
      <c r="R864" s="111"/>
      <c r="S864" s="1249">
        <v>2</v>
      </c>
      <c r="T864" s="1250">
        <v>55</v>
      </c>
      <c r="U864" s="1250"/>
      <c r="V864" s="1250"/>
      <c r="W864" s="1251">
        <v>0</v>
      </c>
      <c r="X864" s="1250">
        <v>55</v>
      </c>
      <c r="Y864" s="1250"/>
      <c r="Z864" s="1250"/>
      <c r="AA864" s="1250"/>
      <c r="AB864" s="1250"/>
      <c r="AC864" s="1250"/>
      <c r="AD864" s="1250"/>
      <c r="AE864" s="1249">
        <v>0</v>
      </c>
      <c r="AF864" s="1250">
        <v>55</v>
      </c>
      <c r="AG864" s="111"/>
      <c r="AH864" s="111"/>
      <c r="AI864" s="111"/>
      <c r="AJ864" s="111"/>
      <c r="AK864" s="111"/>
      <c r="AL864" s="111"/>
      <c r="AM864" s="111">
        <v>165</v>
      </c>
    </row>
    <row r="865" spans="1:39" ht="15" customHeight="1" x14ac:dyDescent="0.25">
      <c r="A865" s="1409"/>
      <c r="B865" s="1409"/>
      <c r="C865" s="1409"/>
      <c r="D865" s="1409"/>
      <c r="E865" s="1247"/>
      <c r="F865" s="1248" t="s">
        <v>4778</v>
      </c>
      <c r="G865" s="111"/>
      <c r="H865" s="1249">
        <v>10</v>
      </c>
      <c r="I865" s="111" t="s">
        <v>4779</v>
      </c>
      <c r="J865" s="1321" t="s">
        <v>5608</v>
      </c>
      <c r="K865" s="162" t="s">
        <v>5610</v>
      </c>
      <c r="L865" s="162" t="s">
        <v>5609</v>
      </c>
      <c r="M865" s="111">
        <v>348</v>
      </c>
      <c r="N865" s="111">
        <v>3480</v>
      </c>
      <c r="O865" s="111"/>
      <c r="P865" s="111"/>
      <c r="Q865" s="111"/>
      <c r="R865" s="111"/>
      <c r="S865" s="1249">
        <v>5</v>
      </c>
      <c r="T865" s="1250">
        <v>1160</v>
      </c>
      <c r="U865" s="1250"/>
      <c r="V865" s="1250"/>
      <c r="W865" s="1251">
        <v>5</v>
      </c>
      <c r="X865" s="1250">
        <v>1160</v>
      </c>
      <c r="Y865" s="1250"/>
      <c r="Z865" s="1250"/>
      <c r="AA865" s="1250"/>
      <c r="AB865" s="1250"/>
      <c r="AC865" s="1250"/>
      <c r="AD865" s="1250"/>
      <c r="AE865" s="1249">
        <v>0</v>
      </c>
      <c r="AF865" s="1250">
        <v>1160</v>
      </c>
      <c r="AG865" s="111"/>
      <c r="AH865" s="111"/>
      <c r="AI865" s="111"/>
      <c r="AJ865" s="111"/>
      <c r="AK865" s="111"/>
      <c r="AL865" s="111"/>
      <c r="AM865" s="111">
        <v>3480</v>
      </c>
    </row>
    <row r="866" spans="1:39" ht="15" customHeight="1" x14ac:dyDescent="0.25">
      <c r="A866" s="1409"/>
      <c r="B866" s="1409"/>
      <c r="C866" s="1409"/>
      <c r="D866" s="1409"/>
      <c r="E866" s="1247"/>
      <c r="F866" s="1248" t="s">
        <v>4780</v>
      </c>
      <c r="G866" s="111"/>
      <c r="H866" s="1249">
        <v>4</v>
      </c>
      <c r="I866" s="111" t="s">
        <v>1827</v>
      </c>
      <c r="J866" s="1321" t="s">
        <v>5608</v>
      </c>
      <c r="K866" s="162" t="s">
        <v>5610</v>
      </c>
      <c r="L866" s="162" t="s">
        <v>5609</v>
      </c>
      <c r="M866" s="111">
        <v>179.66079999999999</v>
      </c>
      <c r="N866" s="111">
        <v>718.64319999999998</v>
      </c>
      <c r="O866" s="111"/>
      <c r="P866" s="111"/>
      <c r="Q866" s="111"/>
      <c r="R866" s="111"/>
      <c r="S866" s="1249">
        <v>2</v>
      </c>
      <c r="T866" s="1250">
        <v>239.54773333333333</v>
      </c>
      <c r="U866" s="1250"/>
      <c r="V866" s="1250"/>
      <c r="W866" s="1251">
        <v>1</v>
      </c>
      <c r="X866" s="1250">
        <v>239.54773333333333</v>
      </c>
      <c r="Y866" s="1250"/>
      <c r="Z866" s="1250"/>
      <c r="AA866" s="1250"/>
      <c r="AB866" s="1250"/>
      <c r="AC866" s="1250"/>
      <c r="AD866" s="1250"/>
      <c r="AE866" s="1249">
        <v>1</v>
      </c>
      <c r="AF866" s="1250">
        <v>239.54773333333333</v>
      </c>
      <c r="AG866" s="111"/>
      <c r="AH866" s="111"/>
      <c r="AI866" s="111"/>
      <c r="AJ866" s="111"/>
      <c r="AK866" s="111"/>
      <c r="AL866" s="111"/>
      <c r="AM866" s="111">
        <v>718.64319999999998</v>
      </c>
    </row>
    <row r="867" spans="1:39" ht="15" customHeight="1" x14ac:dyDescent="0.25">
      <c r="A867" s="1409"/>
      <c r="B867" s="1409"/>
      <c r="C867" s="1409"/>
      <c r="D867" s="1409"/>
      <c r="E867" s="1247"/>
      <c r="F867" s="1248" t="s">
        <v>4781</v>
      </c>
      <c r="G867" s="111"/>
      <c r="H867" s="1249">
        <v>160</v>
      </c>
      <c r="I867" s="111" t="s">
        <v>2470</v>
      </c>
      <c r="J867" s="1321" t="s">
        <v>5608</v>
      </c>
      <c r="K867" s="162" t="s">
        <v>5610</v>
      </c>
      <c r="L867" s="162" t="s">
        <v>5609</v>
      </c>
      <c r="M867" s="111">
        <v>86.9</v>
      </c>
      <c r="N867" s="111">
        <v>13904</v>
      </c>
      <c r="O867" s="111"/>
      <c r="P867" s="111"/>
      <c r="Q867" s="111"/>
      <c r="R867" s="111"/>
      <c r="S867" s="1249">
        <v>60</v>
      </c>
      <c r="T867" s="1250">
        <v>4634.666666666667</v>
      </c>
      <c r="U867" s="1250"/>
      <c r="V867" s="1250"/>
      <c r="W867" s="1251">
        <v>50</v>
      </c>
      <c r="X867" s="1250">
        <v>4634.666666666667</v>
      </c>
      <c r="Y867" s="1250"/>
      <c r="Z867" s="1250"/>
      <c r="AA867" s="1250"/>
      <c r="AB867" s="1250"/>
      <c r="AC867" s="1250"/>
      <c r="AD867" s="1250"/>
      <c r="AE867" s="1249">
        <v>50</v>
      </c>
      <c r="AF867" s="1250">
        <v>4634.666666666667</v>
      </c>
      <c r="AG867" s="111"/>
      <c r="AH867" s="111"/>
      <c r="AI867" s="111"/>
      <c r="AJ867" s="111"/>
      <c r="AK867" s="111"/>
      <c r="AL867" s="111"/>
      <c r="AM867" s="111">
        <v>13904</v>
      </c>
    </row>
    <row r="868" spans="1:39" ht="15" customHeight="1" x14ac:dyDescent="0.25">
      <c r="A868" s="1409"/>
      <c r="B868" s="1409"/>
      <c r="C868" s="1409"/>
      <c r="D868" s="1409"/>
      <c r="E868" s="1247"/>
      <c r="F868" s="1248" t="s">
        <v>2706</v>
      </c>
      <c r="G868" s="111"/>
      <c r="H868" s="1249">
        <v>5</v>
      </c>
      <c r="I868" s="111" t="s">
        <v>2100</v>
      </c>
      <c r="J868" s="1321" t="s">
        <v>5608</v>
      </c>
      <c r="K868" s="162" t="s">
        <v>5610</v>
      </c>
      <c r="L868" s="162" t="s">
        <v>5609</v>
      </c>
      <c r="M868" s="111">
        <v>365.19119999999998</v>
      </c>
      <c r="N868" s="111">
        <v>1825.9559999999999</v>
      </c>
      <c r="O868" s="111"/>
      <c r="P868" s="111"/>
      <c r="Q868" s="111"/>
      <c r="R868" s="111"/>
      <c r="S868" s="1249">
        <v>2</v>
      </c>
      <c r="T868" s="1250">
        <v>608.65199999999993</v>
      </c>
      <c r="U868" s="1250"/>
      <c r="V868" s="1250"/>
      <c r="W868" s="1251">
        <v>2</v>
      </c>
      <c r="X868" s="1250">
        <v>608.65199999999993</v>
      </c>
      <c r="Y868" s="1250"/>
      <c r="Z868" s="1250"/>
      <c r="AA868" s="1250"/>
      <c r="AB868" s="1250"/>
      <c r="AC868" s="1250"/>
      <c r="AD868" s="1250"/>
      <c r="AE868" s="1249">
        <v>1</v>
      </c>
      <c r="AF868" s="1250">
        <v>608.65199999999993</v>
      </c>
      <c r="AG868" s="111"/>
      <c r="AH868" s="111"/>
      <c r="AI868" s="111"/>
      <c r="AJ868" s="111"/>
      <c r="AK868" s="111"/>
      <c r="AL868" s="111"/>
      <c r="AM868" s="111">
        <v>1825.9559999999999</v>
      </c>
    </row>
    <row r="869" spans="1:39" ht="15" customHeight="1" x14ac:dyDescent="0.25">
      <c r="A869" s="1409"/>
      <c r="B869" s="1409"/>
      <c r="C869" s="1409"/>
      <c r="D869" s="1409"/>
      <c r="E869" s="1247"/>
      <c r="F869" s="1248" t="s">
        <v>2724</v>
      </c>
      <c r="G869" s="111"/>
      <c r="H869" s="1249">
        <v>4</v>
      </c>
      <c r="I869" s="111" t="s">
        <v>1721</v>
      </c>
      <c r="J869" s="1321" t="s">
        <v>5608</v>
      </c>
      <c r="K869" s="162" t="s">
        <v>5610</v>
      </c>
      <c r="L869" s="162" t="s">
        <v>5609</v>
      </c>
      <c r="M869" s="111">
        <v>191.39999999999998</v>
      </c>
      <c r="N869" s="111">
        <v>765.59999999999991</v>
      </c>
      <c r="O869" s="111"/>
      <c r="P869" s="111"/>
      <c r="Q869" s="111"/>
      <c r="R869" s="111"/>
      <c r="S869" s="1249">
        <v>2</v>
      </c>
      <c r="T869" s="1250">
        <v>255.19999999999996</v>
      </c>
      <c r="U869" s="1250"/>
      <c r="V869" s="1250"/>
      <c r="W869" s="1251">
        <v>1</v>
      </c>
      <c r="X869" s="1250">
        <v>255.19999999999996</v>
      </c>
      <c r="Y869" s="1250"/>
      <c r="Z869" s="1250"/>
      <c r="AA869" s="1250"/>
      <c r="AB869" s="1250"/>
      <c r="AC869" s="1250"/>
      <c r="AD869" s="1250"/>
      <c r="AE869" s="1249">
        <v>1</v>
      </c>
      <c r="AF869" s="1250">
        <v>255.19999999999996</v>
      </c>
      <c r="AG869" s="111"/>
      <c r="AH869" s="111"/>
      <c r="AI869" s="111"/>
      <c r="AJ869" s="111"/>
      <c r="AK869" s="111"/>
      <c r="AL869" s="111"/>
      <c r="AM869" s="111">
        <v>765.59999999999991</v>
      </c>
    </row>
    <row r="870" spans="1:39" ht="15" customHeight="1" x14ac:dyDescent="0.25">
      <c r="A870" s="1409"/>
      <c r="B870" s="1409"/>
      <c r="C870" s="1409"/>
      <c r="D870" s="1409"/>
      <c r="E870" s="1247"/>
      <c r="F870" s="1248" t="s">
        <v>2709</v>
      </c>
      <c r="G870" s="111"/>
      <c r="H870" s="1249">
        <v>53</v>
      </c>
      <c r="I870" s="111" t="s">
        <v>1721</v>
      </c>
      <c r="J870" s="1321" t="s">
        <v>5608</v>
      </c>
      <c r="K870" s="162" t="s">
        <v>5610</v>
      </c>
      <c r="L870" s="162" t="s">
        <v>5609</v>
      </c>
      <c r="M870" s="111">
        <v>13.908399999999999</v>
      </c>
      <c r="N870" s="111">
        <v>737.14519999999993</v>
      </c>
      <c r="O870" s="111"/>
      <c r="P870" s="111"/>
      <c r="Q870" s="111"/>
      <c r="R870" s="111"/>
      <c r="S870" s="1249">
        <v>23</v>
      </c>
      <c r="T870" s="1250">
        <v>245.71506666666664</v>
      </c>
      <c r="U870" s="1250"/>
      <c r="V870" s="1250"/>
      <c r="W870" s="1251">
        <v>20</v>
      </c>
      <c r="X870" s="1250">
        <v>245.71506666666664</v>
      </c>
      <c r="Y870" s="1250"/>
      <c r="Z870" s="1250"/>
      <c r="AA870" s="1250"/>
      <c r="AB870" s="1250"/>
      <c r="AC870" s="1250"/>
      <c r="AD870" s="1250"/>
      <c r="AE870" s="1249">
        <v>10</v>
      </c>
      <c r="AF870" s="1250">
        <v>245.71506666666664</v>
      </c>
      <c r="AG870" s="111"/>
      <c r="AH870" s="111"/>
      <c r="AI870" s="111"/>
      <c r="AJ870" s="111"/>
      <c r="AK870" s="111"/>
      <c r="AL870" s="111"/>
      <c r="AM870" s="111">
        <v>737.14519999999993</v>
      </c>
    </row>
    <row r="871" spans="1:39" ht="15" customHeight="1" x14ac:dyDescent="0.25">
      <c r="A871" s="1409"/>
      <c r="B871" s="1409"/>
      <c r="C871" s="1409"/>
      <c r="D871" s="1409"/>
      <c r="E871" s="1247"/>
      <c r="F871" s="1248" t="s">
        <v>4782</v>
      </c>
      <c r="G871" s="111"/>
      <c r="H871" s="1249">
        <v>20</v>
      </c>
      <c r="I871" s="111" t="s">
        <v>1721</v>
      </c>
      <c r="J871" s="1321" t="s">
        <v>5608</v>
      </c>
      <c r="K871" s="162" t="s">
        <v>5610</v>
      </c>
      <c r="L871" s="162" t="s">
        <v>5609</v>
      </c>
      <c r="M871" s="111">
        <v>88</v>
      </c>
      <c r="N871" s="111">
        <v>1760</v>
      </c>
      <c r="O871" s="111"/>
      <c r="P871" s="111"/>
      <c r="Q871" s="111"/>
      <c r="R871" s="111"/>
      <c r="S871" s="1249">
        <v>10</v>
      </c>
      <c r="T871" s="1250">
        <v>586.66666666666663</v>
      </c>
      <c r="U871" s="1250"/>
      <c r="V871" s="1250"/>
      <c r="W871" s="1251">
        <v>5</v>
      </c>
      <c r="X871" s="1250">
        <v>586.66666666666663</v>
      </c>
      <c r="Y871" s="1250"/>
      <c r="Z871" s="1250"/>
      <c r="AA871" s="1250"/>
      <c r="AB871" s="1250"/>
      <c r="AC871" s="1250"/>
      <c r="AD871" s="1250"/>
      <c r="AE871" s="1249">
        <v>5</v>
      </c>
      <c r="AF871" s="1250">
        <v>586.66666666666663</v>
      </c>
      <c r="AG871" s="111"/>
      <c r="AH871" s="111"/>
      <c r="AI871" s="111"/>
      <c r="AJ871" s="111"/>
      <c r="AK871" s="111"/>
      <c r="AL871" s="111"/>
      <c r="AM871" s="111">
        <v>1760</v>
      </c>
    </row>
    <row r="872" spans="1:39" ht="15" customHeight="1" x14ac:dyDescent="0.25">
      <c r="A872" s="1409"/>
      <c r="B872" s="1409"/>
      <c r="C872" s="1409"/>
      <c r="D872" s="1409"/>
      <c r="E872" s="1247"/>
      <c r="F872" s="1248" t="s">
        <v>4783</v>
      </c>
      <c r="G872" s="111"/>
      <c r="H872" s="1249">
        <v>1</v>
      </c>
      <c r="I872" s="111" t="s">
        <v>1755</v>
      </c>
      <c r="J872" s="1321" t="s">
        <v>5608</v>
      </c>
      <c r="K872" s="162" t="s">
        <v>5610</v>
      </c>
      <c r="L872" s="162" t="s">
        <v>5609</v>
      </c>
      <c r="M872" s="111">
        <v>3408.33</v>
      </c>
      <c r="N872" s="111">
        <v>3408.33</v>
      </c>
      <c r="O872" s="111"/>
      <c r="P872" s="111"/>
      <c r="Q872" s="111"/>
      <c r="R872" s="111"/>
      <c r="S872" s="1249">
        <v>1</v>
      </c>
      <c r="T872" s="1250">
        <v>1136.1099999999999</v>
      </c>
      <c r="U872" s="1250"/>
      <c r="V872" s="1250"/>
      <c r="W872" s="1251">
        <v>0</v>
      </c>
      <c r="X872" s="1250">
        <v>1136.1099999999999</v>
      </c>
      <c r="Y872" s="1250"/>
      <c r="Z872" s="1250"/>
      <c r="AA872" s="1250"/>
      <c r="AB872" s="1250"/>
      <c r="AC872" s="1250"/>
      <c r="AD872" s="1250"/>
      <c r="AE872" s="1249">
        <v>0</v>
      </c>
      <c r="AF872" s="1250">
        <v>1136.1099999999999</v>
      </c>
      <c r="AG872" s="111"/>
      <c r="AH872" s="111"/>
      <c r="AI872" s="111"/>
      <c r="AJ872" s="111"/>
      <c r="AK872" s="111"/>
      <c r="AL872" s="111"/>
      <c r="AM872" s="111">
        <v>3408.33</v>
      </c>
    </row>
    <row r="873" spans="1:39" ht="15" customHeight="1" x14ac:dyDescent="0.25">
      <c r="A873" s="1409"/>
      <c r="B873" s="1409"/>
      <c r="C873" s="1409"/>
      <c r="D873" s="1409"/>
      <c r="E873" s="1247"/>
      <c r="F873" s="1248" t="s">
        <v>4784</v>
      </c>
      <c r="G873" s="111"/>
      <c r="H873" s="1249">
        <v>20</v>
      </c>
      <c r="I873" s="111" t="s">
        <v>1827</v>
      </c>
      <c r="J873" s="1321" t="s">
        <v>5608</v>
      </c>
      <c r="K873" s="162" t="s">
        <v>5610</v>
      </c>
      <c r="L873" s="162" t="s">
        <v>5609</v>
      </c>
      <c r="M873" s="111">
        <v>60.5</v>
      </c>
      <c r="N873" s="111">
        <v>1210</v>
      </c>
      <c r="O873" s="111"/>
      <c r="P873" s="111"/>
      <c r="Q873" s="111"/>
      <c r="R873" s="111"/>
      <c r="S873" s="1249">
        <v>10</v>
      </c>
      <c r="T873" s="1250">
        <v>403.33333333333331</v>
      </c>
      <c r="U873" s="1250"/>
      <c r="V873" s="1250"/>
      <c r="W873" s="1251">
        <v>5</v>
      </c>
      <c r="X873" s="1250">
        <v>403.33333333333331</v>
      </c>
      <c r="Y873" s="1250"/>
      <c r="Z873" s="1250"/>
      <c r="AA873" s="1250"/>
      <c r="AB873" s="1250"/>
      <c r="AC873" s="1250"/>
      <c r="AD873" s="1250"/>
      <c r="AE873" s="1249">
        <v>5</v>
      </c>
      <c r="AF873" s="1250">
        <v>403.33333333333331</v>
      </c>
      <c r="AG873" s="111"/>
      <c r="AH873" s="111"/>
      <c r="AI873" s="111"/>
      <c r="AJ873" s="111"/>
      <c r="AK873" s="111"/>
      <c r="AL873" s="111"/>
      <c r="AM873" s="111">
        <v>1210</v>
      </c>
    </row>
    <row r="874" spans="1:39" ht="15" customHeight="1" x14ac:dyDescent="0.25">
      <c r="A874" s="1409"/>
      <c r="B874" s="1409"/>
      <c r="C874" s="1409"/>
      <c r="D874" s="1409"/>
      <c r="E874" s="1247"/>
      <c r="F874" s="1248" t="s">
        <v>4785</v>
      </c>
      <c r="G874" s="111"/>
      <c r="H874" s="1249">
        <v>16</v>
      </c>
      <c r="I874" s="111" t="s">
        <v>1827</v>
      </c>
      <c r="J874" s="1321" t="s">
        <v>5608</v>
      </c>
      <c r="K874" s="162" t="s">
        <v>5610</v>
      </c>
      <c r="L874" s="162" t="s">
        <v>5609</v>
      </c>
      <c r="M874" s="111">
        <v>91.802499999999995</v>
      </c>
      <c r="N874" s="111">
        <v>1468.84</v>
      </c>
      <c r="O874" s="111"/>
      <c r="P874" s="111"/>
      <c r="Q874" s="111"/>
      <c r="R874" s="111"/>
      <c r="S874" s="1249">
        <v>6</v>
      </c>
      <c r="T874" s="1250">
        <v>489.61333333333329</v>
      </c>
      <c r="U874" s="1250"/>
      <c r="V874" s="1250"/>
      <c r="W874" s="1251">
        <v>5</v>
      </c>
      <c r="X874" s="1250">
        <v>489.61333333333329</v>
      </c>
      <c r="Y874" s="1250"/>
      <c r="Z874" s="1250"/>
      <c r="AA874" s="1250"/>
      <c r="AB874" s="1250"/>
      <c r="AC874" s="1250"/>
      <c r="AD874" s="1250"/>
      <c r="AE874" s="1249">
        <v>5</v>
      </c>
      <c r="AF874" s="1250">
        <v>489.61333333333329</v>
      </c>
      <c r="AG874" s="111"/>
      <c r="AH874" s="111"/>
      <c r="AI874" s="111"/>
      <c r="AJ874" s="111"/>
      <c r="AK874" s="111"/>
      <c r="AL874" s="111"/>
      <c r="AM874" s="111">
        <v>1468.84</v>
      </c>
    </row>
    <row r="875" spans="1:39" ht="15" customHeight="1" x14ac:dyDescent="0.25">
      <c r="A875" s="1409"/>
      <c r="B875" s="1409"/>
      <c r="C875" s="1409"/>
      <c r="D875" s="1409"/>
      <c r="E875" s="1247"/>
      <c r="F875" s="1248" t="s">
        <v>2702</v>
      </c>
      <c r="G875" s="111"/>
      <c r="H875" s="1249">
        <v>176</v>
      </c>
      <c r="I875" s="111" t="s">
        <v>1721</v>
      </c>
      <c r="J875" s="1321" t="s">
        <v>5608</v>
      </c>
      <c r="K875" s="162" t="s">
        <v>5610</v>
      </c>
      <c r="L875" s="162" t="s">
        <v>5609</v>
      </c>
      <c r="M875" s="111">
        <v>16.541599999999999</v>
      </c>
      <c r="N875" s="111">
        <v>2911.3215999999998</v>
      </c>
      <c r="O875" s="111"/>
      <c r="P875" s="111"/>
      <c r="Q875" s="111"/>
      <c r="R875" s="111"/>
      <c r="S875" s="1249">
        <v>76</v>
      </c>
      <c r="T875" s="1250">
        <v>970.44053333333329</v>
      </c>
      <c r="U875" s="1250"/>
      <c r="V875" s="1250"/>
      <c r="W875" s="1251">
        <v>50</v>
      </c>
      <c r="X875" s="1250">
        <v>970.44053333333329</v>
      </c>
      <c r="Y875" s="1250"/>
      <c r="Z875" s="1250"/>
      <c r="AA875" s="1250"/>
      <c r="AB875" s="1250"/>
      <c r="AC875" s="1250"/>
      <c r="AD875" s="1250"/>
      <c r="AE875" s="1249">
        <v>50</v>
      </c>
      <c r="AF875" s="1250">
        <v>970.44053333333329</v>
      </c>
      <c r="AG875" s="111"/>
      <c r="AH875" s="111"/>
      <c r="AI875" s="111"/>
      <c r="AJ875" s="111"/>
      <c r="AK875" s="111"/>
      <c r="AL875" s="111"/>
      <c r="AM875" s="111">
        <v>2911.3215999999998</v>
      </c>
    </row>
    <row r="876" spans="1:39" ht="15" customHeight="1" x14ac:dyDescent="0.25">
      <c r="A876" s="1409"/>
      <c r="B876" s="1409"/>
      <c r="C876" s="1409"/>
      <c r="D876" s="1409"/>
      <c r="E876" s="1247"/>
      <c r="F876" s="1248" t="s">
        <v>4786</v>
      </c>
      <c r="G876" s="111"/>
      <c r="H876" s="1249">
        <v>3</v>
      </c>
      <c r="I876" s="111" t="s">
        <v>1721</v>
      </c>
      <c r="J876" s="1321" t="s">
        <v>5608</v>
      </c>
      <c r="K876" s="162" t="s">
        <v>5610</v>
      </c>
      <c r="L876" s="162" t="s">
        <v>5609</v>
      </c>
      <c r="M876" s="111">
        <v>73.790000000000006</v>
      </c>
      <c r="N876" s="111">
        <v>221.37</v>
      </c>
      <c r="O876" s="111"/>
      <c r="P876" s="111"/>
      <c r="Q876" s="111"/>
      <c r="R876" s="111"/>
      <c r="S876" s="1249">
        <v>1</v>
      </c>
      <c r="T876" s="1250">
        <v>73.790000000000006</v>
      </c>
      <c r="U876" s="1250"/>
      <c r="V876" s="1250"/>
      <c r="W876" s="1251">
        <v>1</v>
      </c>
      <c r="X876" s="1250">
        <v>73.790000000000006</v>
      </c>
      <c r="Y876" s="1250"/>
      <c r="Z876" s="1250"/>
      <c r="AA876" s="1250"/>
      <c r="AB876" s="1250"/>
      <c r="AC876" s="1250"/>
      <c r="AD876" s="1250"/>
      <c r="AE876" s="1249">
        <v>1</v>
      </c>
      <c r="AF876" s="1250">
        <v>73.790000000000006</v>
      </c>
      <c r="AG876" s="111"/>
      <c r="AH876" s="111"/>
      <c r="AI876" s="111"/>
      <c r="AJ876" s="111"/>
      <c r="AK876" s="111"/>
      <c r="AL876" s="111"/>
      <c r="AM876" s="111">
        <v>221.37</v>
      </c>
    </row>
    <row r="877" spans="1:39" ht="15" customHeight="1" x14ac:dyDescent="0.25">
      <c r="A877" s="1409"/>
      <c r="B877" s="1409"/>
      <c r="C877" s="1409"/>
      <c r="D877" s="1409"/>
      <c r="E877" s="1247"/>
      <c r="F877" s="1248" t="s">
        <v>2687</v>
      </c>
      <c r="G877" s="111"/>
      <c r="H877" s="1249">
        <v>27</v>
      </c>
      <c r="I877" s="111" t="s">
        <v>1722</v>
      </c>
      <c r="J877" s="1321" t="s">
        <v>5608</v>
      </c>
      <c r="K877" s="162" t="s">
        <v>5610</v>
      </c>
      <c r="L877" s="162" t="s">
        <v>5609</v>
      </c>
      <c r="M877" s="111">
        <v>279.56</v>
      </c>
      <c r="N877" s="111">
        <v>7548.12</v>
      </c>
      <c r="O877" s="111"/>
      <c r="P877" s="111"/>
      <c r="Q877" s="111"/>
      <c r="R877" s="111"/>
      <c r="S877" s="1249">
        <v>10</v>
      </c>
      <c r="T877" s="1250">
        <v>2516.04</v>
      </c>
      <c r="U877" s="1250"/>
      <c r="V877" s="1250"/>
      <c r="W877" s="1251">
        <v>10</v>
      </c>
      <c r="X877" s="1250">
        <v>2516.04</v>
      </c>
      <c r="Y877" s="1250"/>
      <c r="Z877" s="1250"/>
      <c r="AA877" s="1250"/>
      <c r="AB877" s="1250"/>
      <c r="AC877" s="1250"/>
      <c r="AD877" s="1250"/>
      <c r="AE877" s="1249">
        <v>7</v>
      </c>
      <c r="AF877" s="1250">
        <v>2516.04</v>
      </c>
      <c r="AG877" s="111"/>
      <c r="AH877" s="111"/>
      <c r="AI877" s="111"/>
      <c r="AJ877" s="111"/>
      <c r="AK877" s="111"/>
      <c r="AL877" s="111"/>
      <c r="AM877" s="111">
        <v>7548.12</v>
      </c>
    </row>
    <row r="878" spans="1:39" ht="15" customHeight="1" x14ac:dyDescent="0.25">
      <c r="A878" s="1409"/>
      <c r="B878" s="1409"/>
      <c r="C878" s="1409"/>
      <c r="D878" s="1409"/>
      <c r="E878" s="1247"/>
      <c r="F878" s="1248" t="s">
        <v>4787</v>
      </c>
      <c r="G878" s="111"/>
      <c r="H878" s="1249">
        <v>266</v>
      </c>
      <c r="I878" s="111" t="s">
        <v>1725</v>
      </c>
      <c r="J878" s="1321" t="s">
        <v>5608</v>
      </c>
      <c r="K878" s="162" t="s">
        <v>5610</v>
      </c>
      <c r="L878" s="162" t="s">
        <v>5609</v>
      </c>
      <c r="M878" s="111">
        <v>32.4</v>
      </c>
      <c r="N878" s="111">
        <v>8618.4</v>
      </c>
      <c r="O878" s="111"/>
      <c r="P878" s="111"/>
      <c r="Q878" s="111"/>
      <c r="R878" s="111"/>
      <c r="S878" s="1249">
        <v>100</v>
      </c>
      <c r="T878" s="1250">
        <v>2872.7999999999997</v>
      </c>
      <c r="U878" s="1250"/>
      <c r="V878" s="1250"/>
      <c r="W878" s="1251">
        <v>86</v>
      </c>
      <c r="X878" s="1250">
        <v>2872.7999999999997</v>
      </c>
      <c r="Y878" s="1250"/>
      <c r="Z878" s="1250"/>
      <c r="AA878" s="1250"/>
      <c r="AB878" s="1250"/>
      <c r="AC878" s="1250"/>
      <c r="AD878" s="1250"/>
      <c r="AE878" s="1249">
        <v>80</v>
      </c>
      <c r="AF878" s="1250">
        <v>2872.7999999999997</v>
      </c>
      <c r="AG878" s="111"/>
      <c r="AH878" s="111"/>
      <c r="AI878" s="111"/>
      <c r="AJ878" s="111"/>
      <c r="AK878" s="111"/>
      <c r="AL878" s="111"/>
      <c r="AM878" s="111">
        <v>8618.4</v>
      </c>
    </row>
    <row r="879" spans="1:39" ht="15" customHeight="1" x14ac:dyDescent="0.25">
      <c r="A879" s="1409"/>
      <c r="B879" s="1409"/>
      <c r="C879" s="1409"/>
      <c r="D879" s="1409"/>
      <c r="E879" s="1247"/>
      <c r="F879" s="1248" t="s">
        <v>4788</v>
      </c>
      <c r="G879" s="111"/>
      <c r="H879" s="1249">
        <v>108</v>
      </c>
      <c r="I879" s="111" t="s">
        <v>1725</v>
      </c>
      <c r="J879" s="1321" t="s">
        <v>5608</v>
      </c>
      <c r="K879" s="162" t="s">
        <v>5610</v>
      </c>
      <c r="L879" s="162" t="s">
        <v>5609</v>
      </c>
      <c r="M879" s="111">
        <v>35</v>
      </c>
      <c r="N879" s="111">
        <v>3780</v>
      </c>
      <c r="O879" s="111"/>
      <c r="P879" s="111"/>
      <c r="Q879" s="111"/>
      <c r="R879" s="111"/>
      <c r="S879" s="1249">
        <v>40</v>
      </c>
      <c r="T879" s="1250">
        <v>1260</v>
      </c>
      <c r="U879" s="1250"/>
      <c r="V879" s="1250"/>
      <c r="W879" s="1251">
        <v>40</v>
      </c>
      <c r="X879" s="1250">
        <v>1260</v>
      </c>
      <c r="Y879" s="1250"/>
      <c r="Z879" s="1250"/>
      <c r="AA879" s="1250"/>
      <c r="AB879" s="1250"/>
      <c r="AC879" s="1250"/>
      <c r="AD879" s="1250"/>
      <c r="AE879" s="1249">
        <v>28</v>
      </c>
      <c r="AF879" s="1250">
        <v>1260</v>
      </c>
      <c r="AG879" s="111"/>
      <c r="AH879" s="111"/>
      <c r="AI879" s="111"/>
      <c r="AJ879" s="111"/>
      <c r="AK879" s="111"/>
      <c r="AL879" s="111"/>
      <c r="AM879" s="111">
        <v>3780</v>
      </c>
    </row>
    <row r="880" spans="1:39" ht="15" customHeight="1" x14ac:dyDescent="0.25">
      <c r="A880" s="1409"/>
      <c r="B880" s="1409"/>
      <c r="C880" s="1409"/>
      <c r="D880" s="1409"/>
      <c r="E880" s="1247"/>
      <c r="F880" s="1248" t="s">
        <v>2689</v>
      </c>
      <c r="G880" s="111"/>
      <c r="H880" s="1249">
        <v>288</v>
      </c>
      <c r="I880" s="111" t="s">
        <v>1721</v>
      </c>
      <c r="J880" s="1321" t="s">
        <v>5608</v>
      </c>
      <c r="K880" s="162" t="s">
        <v>5610</v>
      </c>
      <c r="L880" s="162" t="s">
        <v>5609</v>
      </c>
      <c r="M880" s="111">
        <v>22.051600000000001</v>
      </c>
      <c r="N880" s="111">
        <v>6350.8608000000004</v>
      </c>
      <c r="O880" s="111"/>
      <c r="P880" s="111"/>
      <c r="Q880" s="111"/>
      <c r="R880" s="111"/>
      <c r="S880" s="1249">
        <v>100</v>
      </c>
      <c r="T880" s="1250">
        <v>2116.9536000000003</v>
      </c>
      <c r="U880" s="1250"/>
      <c r="V880" s="1250"/>
      <c r="W880" s="1251">
        <v>100</v>
      </c>
      <c r="X880" s="1250">
        <v>2116.9536000000003</v>
      </c>
      <c r="Y880" s="1250"/>
      <c r="Z880" s="1250"/>
      <c r="AA880" s="1250"/>
      <c r="AB880" s="1250"/>
      <c r="AC880" s="1250"/>
      <c r="AD880" s="1250"/>
      <c r="AE880" s="1249">
        <v>88</v>
      </c>
      <c r="AF880" s="1250">
        <v>2116.9536000000003</v>
      </c>
      <c r="AG880" s="111"/>
      <c r="AH880" s="111"/>
      <c r="AI880" s="111"/>
      <c r="AJ880" s="111"/>
      <c r="AK880" s="111"/>
      <c r="AL880" s="111"/>
      <c r="AM880" s="111">
        <v>6350.8608000000004</v>
      </c>
    </row>
    <row r="881" spans="1:39" ht="15" customHeight="1" x14ac:dyDescent="0.25">
      <c r="A881" s="1409"/>
      <c r="B881" s="1409"/>
      <c r="C881" s="1409"/>
      <c r="D881" s="1409"/>
      <c r="E881" s="1247"/>
      <c r="F881" s="1248" t="s">
        <v>4789</v>
      </c>
      <c r="G881" s="111"/>
      <c r="H881" s="1249">
        <v>54</v>
      </c>
      <c r="I881" s="111" t="s">
        <v>1721</v>
      </c>
      <c r="J881" s="1321" t="s">
        <v>5608</v>
      </c>
      <c r="K881" s="162" t="s">
        <v>5610</v>
      </c>
      <c r="L881" s="162" t="s">
        <v>5609</v>
      </c>
      <c r="M881" s="111">
        <v>25.92</v>
      </c>
      <c r="N881" s="111">
        <v>1399.68</v>
      </c>
      <c r="O881" s="111"/>
      <c r="P881" s="111"/>
      <c r="Q881" s="111"/>
      <c r="R881" s="111"/>
      <c r="S881" s="1249">
        <v>24</v>
      </c>
      <c r="T881" s="1250">
        <v>466.56</v>
      </c>
      <c r="U881" s="1250"/>
      <c r="V881" s="1250"/>
      <c r="W881" s="1251">
        <v>20</v>
      </c>
      <c r="X881" s="1250">
        <v>466.56</v>
      </c>
      <c r="Y881" s="1250"/>
      <c r="Z881" s="1250"/>
      <c r="AA881" s="1250"/>
      <c r="AB881" s="1250"/>
      <c r="AC881" s="1250"/>
      <c r="AD881" s="1250"/>
      <c r="AE881" s="1249">
        <v>10</v>
      </c>
      <c r="AF881" s="1250">
        <v>466.56</v>
      </c>
      <c r="AG881" s="111"/>
      <c r="AH881" s="111"/>
      <c r="AI881" s="111"/>
      <c r="AJ881" s="111"/>
      <c r="AK881" s="111"/>
      <c r="AL881" s="111"/>
      <c r="AM881" s="111">
        <v>1399.68</v>
      </c>
    </row>
    <row r="882" spans="1:39" ht="15" customHeight="1" x14ac:dyDescent="0.25">
      <c r="A882" s="1409"/>
      <c r="B882" s="1409"/>
      <c r="C882" s="1409"/>
      <c r="D882" s="1409"/>
      <c r="E882" s="1247"/>
      <c r="F882" s="1248" t="s">
        <v>1437</v>
      </c>
      <c r="G882" s="111"/>
      <c r="H882" s="1249">
        <v>4</v>
      </c>
      <c r="I882" s="111" t="s">
        <v>1721</v>
      </c>
      <c r="J882" s="1321" t="s">
        <v>5608</v>
      </c>
      <c r="K882" s="162" t="s">
        <v>5610</v>
      </c>
      <c r="L882" s="162" t="s">
        <v>5609</v>
      </c>
      <c r="M882" s="111">
        <v>192.93119999999999</v>
      </c>
      <c r="N882" s="111">
        <v>771.72479999999996</v>
      </c>
      <c r="O882" s="111"/>
      <c r="P882" s="111"/>
      <c r="Q882" s="111"/>
      <c r="R882" s="111"/>
      <c r="S882" s="1249">
        <v>2</v>
      </c>
      <c r="T882" s="1250">
        <v>257.24160000000001</v>
      </c>
      <c r="U882" s="1250"/>
      <c r="V882" s="1250"/>
      <c r="W882" s="1251">
        <v>1</v>
      </c>
      <c r="X882" s="1250">
        <v>257.24160000000001</v>
      </c>
      <c r="Y882" s="1250"/>
      <c r="Z882" s="1250"/>
      <c r="AA882" s="1250"/>
      <c r="AB882" s="1250"/>
      <c r="AC882" s="1250"/>
      <c r="AD882" s="1250"/>
      <c r="AE882" s="1249">
        <v>1</v>
      </c>
      <c r="AF882" s="1250">
        <v>257.24160000000001</v>
      </c>
      <c r="AG882" s="111"/>
      <c r="AH882" s="111"/>
      <c r="AI882" s="111"/>
      <c r="AJ882" s="111"/>
      <c r="AK882" s="111"/>
      <c r="AL882" s="111"/>
      <c r="AM882" s="111">
        <v>771.72479999999996</v>
      </c>
    </row>
    <row r="883" spans="1:39" ht="15" customHeight="1" x14ac:dyDescent="0.25">
      <c r="A883" s="1409"/>
      <c r="B883" s="1409"/>
      <c r="C883" s="1409"/>
      <c r="D883" s="1409"/>
      <c r="E883" s="1247"/>
      <c r="F883" s="1248" t="s">
        <v>4790</v>
      </c>
      <c r="G883" s="111"/>
      <c r="H883" s="1249">
        <v>2</v>
      </c>
      <c r="I883" s="111" t="s">
        <v>1827</v>
      </c>
      <c r="J883" s="1321" t="s">
        <v>5608</v>
      </c>
      <c r="K883" s="162" t="s">
        <v>5610</v>
      </c>
      <c r="L883" s="162" t="s">
        <v>5609</v>
      </c>
      <c r="M883" s="111">
        <v>385</v>
      </c>
      <c r="N883" s="111">
        <v>770</v>
      </c>
      <c r="O883" s="111"/>
      <c r="P883" s="111"/>
      <c r="Q883" s="111"/>
      <c r="R883" s="111"/>
      <c r="S883" s="1249">
        <v>2</v>
      </c>
      <c r="T883" s="1250">
        <v>256.66666666666669</v>
      </c>
      <c r="U883" s="1250"/>
      <c r="V883" s="1250"/>
      <c r="W883" s="1251">
        <v>0</v>
      </c>
      <c r="X883" s="1250">
        <v>256.66666666666669</v>
      </c>
      <c r="Y883" s="1250"/>
      <c r="Z883" s="1250"/>
      <c r="AA883" s="1250"/>
      <c r="AB883" s="1250"/>
      <c r="AC883" s="1250"/>
      <c r="AD883" s="1250"/>
      <c r="AE883" s="1249">
        <v>0</v>
      </c>
      <c r="AF883" s="1250">
        <v>256.66666666666669</v>
      </c>
      <c r="AG883" s="111"/>
      <c r="AH883" s="111"/>
      <c r="AI883" s="111"/>
      <c r="AJ883" s="111"/>
      <c r="AK883" s="111"/>
      <c r="AL883" s="111"/>
      <c r="AM883" s="111">
        <v>770</v>
      </c>
    </row>
    <row r="884" spans="1:39" ht="15" customHeight="1" x14ac:dyDescent="0.25">
      <c r="A884" s="1409"/>
      <c r="B884" s="1409"/>
      <c r="C884" s="1409"/>
      <c r="D884" s="1409"/>
      <c r="E884" s="1247"/>
      <c r="F884" s="1248" t="s">
        <v>4791</v>
      </c>
      <c r="G884" s="111"/>
      <c r="H884" s="1249">
        <v>150</v>
      </c>
      <c r="I884" s="111" t="s">
        <v>1827</v>
      </c>
      <c r="J884" s="1321" t="s">
        <v>5608</v>
      </c>
      <c r="K884" s="162" t="s">
        <v>5610</v>
      </c>
      <c r="L884" s="162" t="s">
        <v>5609</v>
      </c>
      <c r="M884" s="111">
        <v>46.474303999999989</v>
      </c>
      <c r="N884" s="111">
        <v>6971.145599999998</v>
      </c>
      <c r="O884" s="111"/>
      <c r="P884" s="111"/>
      <c r="Q884" s="111"/>
      <c r="R884" s="111"/>
      <c r="S884" s="1249">
        <v>50</v>
      </c>
      <c r="T884" s="1250">
        <v>2323.7151999999996</v>
      </c>
      <c r="U884" s="1250"/>
      <c r="V884" s="1250"/>
      <c r="W884" s="1251">
        <v>50</v>
      </c>
      <c r="X884" s="1250">
        <v>2323.7151999999996</v>
      </c>
      <c r="Y884" s="1250"/>
      <c r="Z884" s="1250"/>
      <c r="AA884" s="1250"/>
      <c r="AB884" s="1250"/>
      <c r="AC884" s="1250"/>
      <c r="AD884" s="1250"/>
      <c r="AE884" s="1249">
        <v>50</v>
      </c>
      <c r="AF884" s="1250">
        <v>2323.7151999999996</v>
      </c>
      <c r="AG884" s="111"/>
      <c r="AH884" s="111"/>
      <c r="AI884" s="111"/>
      <c r="AJ884" s="111"/>
      <c r="AK884" s="111"/>
      <c r="AL884" s="111"/>
      <c r="AM884" s="111">
        <v>6971.1455999999989</v>
      </c>
    </row>
    <row r="885" spans="1:39" ht="15" customHeight="1" x14ac:dyDescent="0.25">
      <c r="A885" s="1409"/>
      <c r="B885" s="1409"/>
      <c r="C885" s="1409"/>
      <c r="D885" s="1409"/>
      <c r="E885" s="1247"/>
      <c r="F885" s="1248" t="s">
        <v>2697</v>
      </c>
      <c r="G885" s="111"/>
      <c r="H885" s="1249">
        <v>36</v>
      </c>
      <c r="I885" s="111" t="s">
        <v>1827</v>
      </c>
      <c r="J885" s="1321" t="s">
        <v>5608</v>
      </c>
      <c r="K885" s="162" t="s">
        <v>5610</v>
      </c>
      <c r="L885" s="162" t="s">
        <v>5609</v>
      </c>
      <c r="M885" s="111">
        <v>60.633200000000002</v>
      </c>
      <c r="N885" s="111">
        <v>2182.7952</v>
      </c>
      <c r="O885" s="111"/>
      <c r="P885" s="111"/>
      <c r="Q885" s="111"/>
      <c r="R885" s="111"/>
      <c r="S885" s="1249">
        <v>16</v>
      </c>
      <c r="T885" s="1250">
        <v>727.59839999999997</v>
      </c>
      <c r="U885" s="1250"/>
      <c r="V885" s="1250"/>
      <c r="W885" s="1251">
        <v>10</v>
      </c>
      <c r="X885" s="1250">
        <v>727.59839999999997</v>
      </c>
      <c r="Y885" s="1250"/>
      <c r="Z885" s="1250"/>
      <c r="AA885" s="1250"/>
      <c r="AB885" s="1250"/>
      <c r="AC885" s="1250"/>
      <c r="AD885" s="1250"/>
      <c r="AE885" s="1249">
        <v>10</v>
      </c>
      <c r="AF885" s="1250">
        <v>727.59839999999997</v>
      </c>
      <c r="AG885" s="111"/>
      <c r="AH885" s="111"/>
      <c r="AI885" s="111"/>
      <c r="AJ885" s="111"/>
      <c r="AK885" s="111"/>
      <c r="AL885" s="111"/>
      <c r="AM885" s="111">
        <v>2182.7952</v>
      </c>
    </row>
    <row r="886" spans="1:39" ht="15" customHeight="1" x14ac:dyDescent="0.25">
      <c r="A886" s="1409"/>
      <c r="B886" s="1409"/>
      <c r="C886" s="1409"/>
      <c r="D886" s="1409"/>
      <c r="E886" s="1247"/>
      <c r="F886" s="1248" t="s">
        <v>2696</v>
      </c>
      <c r="G886" s="111"/>
      <c r="H886" s="1249">
        <v>28</v>
      </c>
      <c r="I886" s="111" t="s">
        <v>1827</v>
      </c>
      <c r="J886" s="1321" t="s">
        <v>5608</v>
      </c>
      <c r="K886" s="162" t="s">
        <v>5610</v>
      </c>
      <c r="L886" s="162" t="s">
        <v>5609</v>
      </c>
      <c r="M886" s="111">
        <v>39.962000000000003</v>
      </c>
      <c r="N886" s="111">
        <v>1118.9360000000001</v>
      </c>
      <c r="O886" s="111"/>
      <c r="P886" s="111"/>
      <c r="Q886" s="111"/>
      <c r="R886" s="111"/>
      <c r="S886" s="1249">
        <v>10</v>
      </c>
      <c r="T886" s="1250">
        <v>372.9786666666667</v>
      </c>
      <c r="U886" s="1250"/>
      <c r="V886" s="1250"/>
      <c r="W886" s="1251">
        <v>10</v>
      </c>
      <c r="X886" s="1250">
        <v>372.9786666666667</v>
      </c>
      <c r="Y886" s="1250"/>
      <c r="Z886" s="1250"/>
      <c r="AA886" s="1250"/>
      <c r="AB886" s="1250"/>
      <c r="AC886" s="1250"/>
      <c r="AD886" s="1250"/>
      <c r="AE886" s="1249">
        <v>8</v>
      </c>
      <c r="AF886" s="1250">
        <v>372.9786666666667</v>
      </c>
      <c r="AG886" s="111"/>
      <c r="AH886" s="111"/>
      <c r="AI886" s="111"/>
      <c r="AJ886" s="111"/>
      <c r="AK886" s="111"/>
      <c r="AL886" s="111"/>
      <c r="AM886" s="111">
        <v>1118.9360000000001</v>
      </c>
    </row>
    <row r="887" spans="1:39" ht="15" customHeight="1" x14ac:dyDescent="0.25">
      <c r="A887" s="1409"/>
      <c r="B887" s="1409"/>
      <c r="C887" s="1409"/>
      <c r="D887" s="1409"/>
      <c r="E887" s="1247"/>
      <c r="F887" s="1248" t="s">
        <v>424</v>
      </c>
      <c r="G887" s="111"/>
      <c r="H887" s="1249">
        <v>12</v>
      </c>
      <c r="I887" s="111" t="s">
        <v>1721</v>
      </c>
      <c r="J887" s="1321" t="s">
        <v>5608</v>
      </c>
      <c r="K887" s="162" t="s">
        <v>5610</v>
      </c>
      <c r="L887" s="162" t="s">
        <v>5609</v>
      </c>
      <c r="M887" s="111">
        <v>395.51359999999994</v>
      </c>
      <c r="N887" s="111">
        <v>4746.1631999999991</v>
      </c>
      <c r="O887" s="111"/>
      <c r="P887" s="111"/>
      <c r="Q887" s="111"/>
      <c r="R887" s="111"/>
      <c r="S887" s="1249">
        <v>5</v>
      </c>
      <c r="T887" s="1250">
        <v>1582.0543999999998</v>
      </c>
      <c r="U887" s="1250"/>
      <c r="V887" s="1250"/>
      <c r="W887" s="1251">
        <v>5</v>
      </c>
      <c r="X887" s="1250">
        <v>1582.0543999999998</v>
      </c>
      <c r="Y887" s="1250"/>
      <c r="Z887" s="1250"/>
      <c r="AA887" s="1250"/>
      <c r="AB887" s="1250"/>
      <c r="AC887" s="1250"/>
      <c r="AD887" s="1250"/>
      <c r="AE887" s="1249">
        <v>2</v>
      </c>
      <c r="AF887" s="1250">
        <v>1582.0543999999998</v>
      </c>
      <c r="AG887" s="111"/>
      <c r="AH887" s="111"/>
      <c r="AI887" s="111"/>
      <c r="AJ887" s="111"/>
      <c r="AK887" s="111"/>
      <c r="AL887" s="111"/>
      <c r="AM887" s="111">
        <v>4746.1631999999991</v>
      </c>
    </row>
    <row r="888" spans="1:39" ht="15" customHeight="1" x14ac:dyDescent="0.25">
      <c r="A888" s="1409"/>
      <c r="B888" s="1409"/>
      <c r="C888" s="1409"/>
      <c r="D888" s="1409"/>
      <c r="E888" s="1247"/>
      <c r="F888" s="1248" t="s">
        <v>4792</v>
      </c>
      <c r="G888" s="111"/>
      <c r="H888" s="1249">
        <v>4</v>
      </c>
      <c r="I888" s="111" t="s">
        <v>1827</v>
      </c>
      <c r="J888" s="1321" t="s">
        <v>5608</v>
      </c>
      <c r="K888" s="162" t="s">
        <v>5610</v>
      </c>
      <c r="L888" s="162" t="s">
        <v>5609</v>
      </c>
      <c r="M888" s="111">
        <v>185.85599999999999</v>
      </c>
      <c r="N888" s="111">
        <v>743.42399999999998</v>
      </c>
      <c r="O888" s="111"/>
      <c r="P888" s="111"/>
      <c r="Q888" s="111"/>
      <c r="R888" s="111"/>
      <c r="S888" s="1249">
        <v>2</v>
      </c>
      <c r="T888" s="1250">
        <v>247.80799999999999</v>
      </c>
      <c r="U888" s="1250"/>
      <c r="V888" s="1250"/>
      <c r="W888" s="1251">
        <v>1</v>
      </c>
      <c r="X888" s="1250">
        <v>247.80799999999999</v>
      </c>
      <c r="Y888" s="1250"/>
      <c r="Z888" s="1250"/>
      <c r="AA888" s="1250"/>
      <c r="AB888" s="1250"/>
      <c r="AC888" s="1250"/>
      <c r="AD888" s="1250"/>
      <c r="AE888" s="1249">
        <v>1</v>
      </c>
      <c r="AF888" s="1250">
        <v>247.80799999999999</v>
      </c>
      <c r="AG888" s="111"/>
      <c r="AH888" s="111"/>
      <c r="AI888" s="111"/>
      <c r="AJ888" s="111"/>
      <c r="AK888" s="111"/>
      <c r="AL888" s="111"/>
      <c r="AM888" s="111">
        <v>743.42399999999998</v>
      </c>
    </row>
    <row r="889" spans="1:39" ht="15" customHeight="1" x14ac:dyDescent="0.25">
      <c r="A889" s="1409"/>
      <c r="B889" s="1409"/>
      <c r="C889" s="1409"/>
      <c r="D889" s="1409"/>
      <c r="E889" s="1247"/>
      <c r="F889" s="1248" t="s">
        <v>4793</v>
      </c>
      <c r="G889" s="111"/>
      <c r="H889" s="1249">
        <v>4</v>
      </c>
      <c r="I889" s="111" t="s">
        <v>1827</v>
      </c>
      <c r="J889" s="1321" t="s">
        <v>5608</v>
      </c>
      <c r="K889" s="162" t="s">
        <v>5610</v>
      </c>
      <c r="L889" s="162" t="s">
        <v>5609</v>
      </c>
      <c r="M889" s="111">
        <v>86.4</v>
      </c>
      <c r="N889" s="111">
        <v>345.6</v>
      </c>
      <c r="O889" s="111"/>
      <c r="P889" s="111"/>
      <c r="Q889" s="111"/>
      <c r="R889" s="111"/>
      <c r="S889" s="1249">
        <v>2</v>
      </c>
      <c r="T889" s="1250">
        <v>115.2</v>
      </c>
      <c r="U889" s="1250"/>
      <c r="V889" s="1250"/>
      <c r="W889" s="1251">
        <v>1</v>
      </c>
      <c r="X889" s="1250">
        <v>115.2</v>
      </c>
      <c r="Y889" s="1250"/>
      <c r="Z889" s="1250"/>
      <c r="AA889" s="1250"/>
      <c r="AB889" s="1250"/>
      <c r="AC889" s="1250"/>
      <c r="AD889" s="1250"/>
      <c r="AE889" s="1249">
        <v>1</v>
      </c>
      <c r="AF889" s="1250">
        <v>115.2</v>
      </c>
      <c r="AG889" s="111"/>
      <c r="AH889" s="111"/>
      <c r="AI889" s="111"/>
      <c r="AJ889" s="111"/>
      <c r="AK889" s="111"/>
      <c r="AL889" s="111"/>
      <c r="AM889" s="111">
        <v>345.6</v>
      </c>
    </row>
    <row r="890" spans="1:39" ht="15" customHeight="1" x14ac:dyDescent="0.25">
      <c r="A890" s="1409"/>
      <c r="B890" s="1409"/>
      <c r="C890" s="1409"/>
      <c r="D890" s="1409"/>
      <c r="E890" s="1247"/>
      <c r="F890" s="1248" t="s">
        <v>2690</v>
      </c>
      <c r="G890" s="111"/>
      <c r="H890" s="1249">
        <v>42</v>
      </c>
      <c r="I890" s="111" t="s">
        <v>2470</v>
      </c>
      <c r="J890" s="1321" t="s">
        <v>5608</v>
      </c>
      <c r="K890" s="162" t="s">
        <v>5610</v>
      </c>
      <c r="L890" s="162" t="s">
        <v>5609</v>
      </c>
      <c r="M890" s="111">
        <v>530.56079999999997</v>
      </c>
      <c r="N890" s="111">
        <v>22283.553599999999</v>
      </c>
      <c r="O890" s="111"/>
      <c r="P890" s="111"/>
      <c r="Q890" s="111"/>
      <c r="R890" s="111"/>
      <c r="S890" s="1249">
        <v>20</v>
      </c>
      <c r="T890" s="1250">
        <v>7427.8512000000001</v>
      </c>
      <c r="U890" s="1250"/>
      <c r="V890" s="1250"/>
      <c r="W890" s="1251">
        <v>12</v>
      </c>
      <c r="X890" s="1250">
        <v>7427.8512000000001</v>
      </c>
      <c r="Y890" s="1250"/>
      <c r="Z890" s="1250"/>
      <c r="AA890" s="1250"/>
      <c r="AB890" s="1250"/>
      <c r="AC890" s="1250"/>
      <c r="AD890" s="1250"/>
      <c r="AE890" s="1249">
        <v>10</v>
      </c>
      <c r="AF890" s="1250">
        <v>7427.8512000000001</v>
      </c>
      <c r="AG890" s="111"/>
      <c r="AH890" s="111"/>
      <c r="AI890" s="111"/>
      <c r="AJ890" s="111"/>
      <c r="AK890" s="111"/>
      <c r="AL890" s="111"/>
      <c r="AM890" s="111">
        <v>22283.553599999999</v>
      </c>
    </row>
    <row r="891" spans="1:39" ht="15" customHeight="1" x14ac:dyDescent="0.25">
      <c r="A891" s="1409"/>
      <c r="B891" s="1409"/>
      <c r="C891" s="1409"/>
      <c r="D891" s="1409"/>
      <c r="E891" s="1247"/>
      <c r="F891" s="1248" t="s">
        <v>2704</v>
      </c>
      <c r="G891" s="111"/>
      <c r="H891" s="1249">
        <v>175</v>
      </c>
      <c r="I891" s="111" t="s">
        <v>1721</v>
      </c>
      <c r="J891" s="1321" t="s">
        <v>5608</v>
      </c>
      <c r="K891" s="162" t="s">
        <v>5610</v>
      </c>
      <c r="L891" s="162" t="s">
        <v>5609</v>
      </c>
      <c r="M891" s="111">
        <v>46.167999999999992</v>
      </c>
      <c r="N891" s="111">
        <v>8079.3999999999987</v>
      </c>
      <c r="O891" s="111"/>
      <c r="P891" s="111"/>
      <c r="Q891" s="111"/>
      <c r="R891" s="111"/>
      <c r="S891" s="1249">
        <v>75</v>
      </c>
      <c r="T891" s="1250">
        <v>2693.1333333333328</v>
      </c>
      <c r="U891" s="1250"/>
      <c r="V891" s="1250"/>
      <c r="W891" s="1251">
        <v>50</v>
      </c>
      <c r="X891" s="1250">
        <v>2693.1333333333328</v>
      </c>
      <c r="Y891" s="1250"/>
      <c r="Z891" s="1250"/>
      <c r="AA891" s="1250"/>
      <c r="AB891" s="1250"/>
      <c r="AC891" s="1250"/>
      <c r="AD891" s="1250"/>
      <c r="AE891" s="1249">
        <v>50</v>
      </c>
      <c r="AF891" s="1250">
        <v>2693.1333333333328</v>
      </c>
      <c r="AG891" s="111"/>
      <c r="AH891" s="111"/>
      <c r="AI891" s="111"/>
      <c r="AJ891" s="111"/>
      <c r="AK891" s="111"/>
      <c r="AL891" s="111"/>
      <c r="AM891" s="111">
        <v>8079.3999999999987</v>
      </c>
    </row>
    <row r="892" spans="1:39" ht="15" customHeight="1" x14ac:dyDescent="0.25">
      <c r="A892" s="1409"/>
      <c r="B892" s="1409"/>
      <c r="C892" s="1409"/>
      <c r="D892" s="1409"/>
      <c r="E892" s="1247"/>
      <c r="F892" s="1248" t="s">
        <v>4794</v>
      </c>
      <c r="G892" s="111"/>
      <c r="H892" s="1249">
        <v>48</v>
      </c>
      <c r="I892" s="111" t="s">
        <v>1721</v>
      </c>
      <c r="J892" s="1321" t="s">
        <v>5608</v>
      </c>
      <c r="K892" s="162" t="s">
        <v>5610</v>
      </c>
      <c r="L892" s="162" t="s">
        <v>5609</v>
      </c>
      <c r="M892" s="111">
        <v>36.85</v>
      </c>
      <c r="N892" s="111">
        <v>1768.8000000000002</v>
      </c>
      <c r="O892" s="111"/>
      <c r="P892" s="111"/>
      <c r="Q892" s="111"/>
      <c r="R892" s="111"/>
      <c r="S892" s="1249">
        <v>20</v>
      </c>
      <c r="T892" s="1250">
        <v>589.6</v>
      </c>
      <c r="U892" s="1250"/>
      <c r="V892" s="1250"/>
      <c r="W892" s="1251">
        <v>18</v>
      </c>
      <c r="X892" s="1250">
        <v>589.6</v>
      </c>
      <c r="Y892" s="1250"/>
      <c r="Z892" s="1250"/>
      <c r="AA892" s="1250"/>
      <c r="AB892" s="1250"/>
      <c r="AC892" s="1250"/>
      <c r="AD892" s="1250"/>
      <c r="AE892" s="1249">
        <v>10</v>
      </c>
      <c r="AF892" s="1250">
        <v>589.6</v>
      </c>
      <c r="AG892" s="111"/>
      <c r="AH892" s="111"/>
      <c r="AI892" s="111"/>
      <c r="AJ892" s="111"/>
      <c r="AK892" s="111"/>
      <c r="AL892" s="111"/>
      <c r="AM892" s="111">
        <v>1768.8</v>
      </c>
    </row>
    <row r="893" spans="1:39" ht="15" customHeight="1" x14ac:dyDescent="0.25">
      <c r="A893" s="1409"/>
      <c r="B893" s="1409"/>
      <c r="C893" s="1409"/>
      <c r="D893" s="1409"/>
      <c r="E893" s="1247"/>
      <c r="F893" s="1248" t="s">
        <v>2710</v>
      </c>
      <c r="G893" s="111"/>
      <c r="H893" s="1249">
        <v>26</v>
      </c>
      <c r="I893" s="111" t="s">
        <v>1827</v>
      </c>
      <c r="J893" s="1321" t="s">
        <v>5608</v>
      </c>
      <c r="K893" s="162" t="s">
        <v>5610</v>
      </c>
      <c r="L893" s="162" t="s">
        <v>5609</v>
      </c>
      <c r="M893" s="111">
        <v>268.72559999999999</v>
      </c>
      <c r="N893" s="111">
        <v>6986.8655999999992</v>
      </c>
      <c r="O893" s="111"/>
      <c r="P893" s="111"/>
      <c r="Q893" s="111"/>
      <c r="R893" s="111"/>
      <c r="S893" s="1249">
        <v>10</v>
      </c>
      <c r="T893" s="1250">
        <v>2328.9551999999999</v>
      </c>
      <c r="U893" s="1250"/>
      <c r="V893" s="1250"/>
      <c r="W893" s="1251">
        <v>10</v>
      </c>
      <c r="X893" s="1250">
        <v>2328.9551999999999</v>
      </c>
      <c r="Y893" s="1250"/>
      <c r="Z893" s="1250"/>
      <c r="AA893" s="1250"/>
      <c r="AB893" s="1250"/>
      <c r="AC893" s="1250"/>
      <c r="AD893" s="1250"/>
      <c r="AE893" s="1249">
        <v>6</v>
      </c>
      <c r="AF893" s="1250">
        <v>2328.9551999999999</v>
      </c>
      <c r="AG893" s="111"/>
      <c r="AH893" s="111"/>
      <c r="AI893" s="111"/>
      <c r="AJ893" s="111"/>
      <c r="AK893" s="111"/>
      <c r="AL893" s="111"/>
      <c r="AM893" s="111">
        <v>6986.8655999999992</v>
      </c>
    </row>
    <row r="894" spans="1:39" ht="15" customHeight="1" x14ac:dyDescent="0.25">
      <c r="A894" s="1409"/>
      <c r="B894" s="1409"/>
      <c r="C894" s="1409"/>
      <c r="D894" s="1409"/>
      <c r="E894" s="1247"/>
      <c r="F894" s="1248" t="s">
        <v>4795</v>
      </c>
      <c r="G894" s="111"/>
      <c r="H894" s="1249">
        <v>22</v>
      </c>
      <c r="I894" s="111" t="s">
        <v>1827</v>
      </c>
      <c r="J894" s="1321" t="s">
        <v>5608</v>
      </c>
      <c r="K894" s="162" t="s">
        <v>5610</v>
      </c>
      <c r="L894" s="162" t="s">
        <v>5609</v>
      </c>
      <c r="M894" s="111">
        <v>214.5</v>
      </c>
      <c r="N894" s="111">
        <v>4719</v>
      </c>
      <c r="O894" s="111"/>
      <c r="P894" s="111"/>
      <c r="Q894" s="111"/>
      <c r="R894" s="111"/>
      <c r="S894" s="1249">
        <v>12</v>
      </c>
      <c r="T894" s="1250">
        <v>1573</v>
      </c>
      <c r="U894" s="1250"/>
      <c r="V894" s="1250"/>
      <c r="W894" s="1251">
        <v>5</v>
      </c>
      <c r="X894" s="1250">
        <v>1573</v>
      </c>
      <c r="Y894" s="1250"/>
      <c r="Z894" s="1250"/>
      <c r="AA894" s="1250"/>
      <c r="AB894" s="1250"/>
      <c r="AC894" s="1250"/>
      <c r="AD894" s="1250"/>
      <c r="AE894" s="1249">
        <v>5</v>
      </c>
      <c r="AF894" s="1250">
        <v>1573</v>
      </c>
      <c r="AG894" s="111"/>
      <c r="AH894" s="111"/>
      <c r="AI894" s="111"/>
      <c r="AJ894" s="111"/>
      <c r="AK894" s="111"/>
      <c r="AL894" s="111"/>
      <c r="AM894" s="111">
        <v>4719</v>
      </c>
    </row>
    <row r="895" spans="1:39" ht="15" customHeight="1" x14ac:dyDescent="0.25">
      <c r="A895" s="1409"/>
      <c r="B895" s="1409"/>
      <c r="C895" s="1409"/>
      <c r="D895" s="1409"/>
      <c r="E895" s="1247"/>
      <c r="F895" s="1248" t="s">
        <v>2695</v>
      </c>
      <c r="G895" s="111"/>
      <c r="H895" s="1249">
        <v>9</v>
      </c>
      <c r="I895" s="111" t="s">
        <v>1721</v>
      </c>
      <c r="J895" s="1321" t="s">
        <v>5608</v>
      </c>
      <c r="K895" s="162" t="s">
        <v>5610</v>
      </c>
      <c r="L895" s="162" t="s">
        <v>5609</v>
      </c>
      <c r="M895" s="111">
        <v>74.53</v>
      </c>
      <c r="N895" s="111">
        <v>670.77</v>
      </c>
      <c r="O895" s="111"/>
      <c r="P895" s="111"/>
      <c r="Q895" s="111"/>
      <c r="R895" s="111"/>
      <c r="S895" s="1249">
        <v>5</v>
      </c>
      <c r="T895" s="1250">
        <v>223.59</v>
      </c>
      <c r="U895" s="1250"/>
      <c r="V895" s="1250"/>
      <c r="W895" s="1251">
        <v>2</v>
      </c>
      <c r="X895" s="1250">
        <v>223.59</v>
      </c>
      <c r="Y895" s="1250"/>
      <c r="Z895" s="1250"/>
      <c r="AA895" s="1250"/>
      <c r="AB895" s="1250"/>
      <c r="AC895" s="1250"/>
      <c r="AD895" s="1250"/>
      <c r="AE895" s="1249">
        <v>2</v>
      </c>
      <c r="AF895" s="1250">
        <v>223.59</v>
      </c>
      <c r="AG895" s="111"/>
      <c r="AH895" s="111"/>
      <c r="AI895" s="111"/>
      <c r="AJ895" s="111"/>
      <c r="AK895" s="111"/>
      <c r="AL895" s="111"/>
      <c r="AM895" s="111">
        <v>670.77</v>
      </c>
    </row>
    <row r="896" spans="1:39" ht="15" customHeight="1" x14ac:dyDescent="0.25">
      <c r="A896" s="1409"/>
      <c r="B896" s="1409"/>
      <c r="C896" s="1409"/>
      <c r="D896" s="1409"/>
      <c r="E896" s="1247"/>
      <c r="F896" s="1248" t="s">
        <v>4796</v>
      </c>
      <c r="G896" s="111"/>
      <c r="H896" s="1249">
        <v>5</v>
      </c>
      <c r="I896" s="111" t="s">
        <v>1721</v>
      </c>
      <c r="J896" s="1321" t="s">
        <v>5608</v>
      </c>
      <c r="K896" s="162" t="s">
        <v>5610</v>
      </c>
      <c r="L896" s="162" t="s">
        <v>5609</v>
      </c>
      <c r="M896" s="111">
        <v>386.64</v>
      </c>
      <c r="N896" s="111">
        <v>1933.1999999999998</v>
      </c>
      <c r="O896" s="111"/>
      <c r="P896" s="111"/>
      <c r="Q896" s="111"/>
      <c r="R896" s="111"/>
      <c r="S896" s="1249">
        <v>2</v>
      </c>
      <c r="T896" s="1250">
        <v>644.4</v>
      </c>
      <c r="U896" s="1250"/>
      <c r="V896" s="1250"/>
      <c r="W896" s="1251">
        <v>2</v>
      </c>
      <c r="X896" s="1250">
        <v>644.4</v>
      </c>
      <c r="Y896" s="1250"/>
      <c r="Z896" s="1250"/>
      <c r="AA896" s="1250"/>
      <c r="AB896" s="1250"/>
      <c r="AC896" s="1250"/>
      <c r="AD896" s="1250"/>
      <c r="AE896" s="1249">
        <v>1</v>
      </c>
      <c r="AF896" s="1250">
        <v>644.4</v>
      </c>
      <c r="AG896" s="111"/>
      <c r="AH896" s="111"/>
      <c r="AI896" s="111"/>
      <c r="AJ896" s="111"/>
      <c r="AK896" s="111"/>
      <c r="AL896" s="111"/>
      <c r="AM896" s="111">
        <v>1933.1999999999998</v>
      </c>
    </row>
    <row r="897" spans="1:39" ht="15" customHeight="1" x14ac:dyDescent="0.25">
      <c r="A897" s="1409"/>
      <c r="B897" s="1409"/>
      <c r="C897" s="1409"/>
      <c r="D897" s="1409"/>
      <c r="E897" s="1247"/>
      <c r="F897" s="1248" t="s">
        <v>4797</v>
      </c>
      <c r="G897" s="111"/>
      <c r="H897" s="1249">
        <v>56</v>
      </c>
      <c r="I897" s="111" t="s">
        <v>1721</v>
      </c>
      <c r="J897" s="1321" t="s">
        <v>5608</v>
      </c>
      <c r="K897" s="162" t="s">
        <v>5610</v>
      </c>
      <c r="L897" s="162" t="s">
        <v>5609</v>
      </c>
      <c r="M897" s="111">
        <v>108</v>
      </c>
      <c r="N897" s="111">
        <v>6048</v>
      </c>
      <c r="O897" s="111"/>
      <c r="P897" s="111"/>
      <c r="Q897" s="111"/>
      <c r="R897" s="111"/>
      <c r="S897" s="1249">
        <v>26</v>
      </c>
      <c r="T897" s="1250">
        <v>2016</v>
      </c>
      <c r="U897" s="1250"/>
      <c r="V897" s="1250"/>
      <c r="W897" s="1251">
        <v>20</v>
      </c>
      <c r="X897" s="1250">
        <v>2016</v>
      </c>
      <c r="Y897" s="1250"/>
      <c r="Z897" s="1250"/>
      <c r="AA897" s="1250"/>
      <c r="AB897" s="1250"/>
      <c r="AC897" s="1250"/>
      <c r="AD897" s="1250"/>
      <c r="AE897" s="1249">
        <v>10</v>
      </c>
      <c r="AF897" s="1250">
        <v>2016</v>
      </c>
      <c r="AG897" s="111"/>
      <c r="AH897" s="111"/>
      <c r="AI897" s="111"/>
      <c r="AJ897" s="111"/>
      <c r="AK897" s="111"/>
      <c r="AL897" s="111"/>
      <c r="AM897" s="111">
        <v>6048</v>
      </c>
    </row>
    <row r="898" spans="1:39" ht="15" customHeight="1" x14ac:dyDescent="0.25">
      <c r="A898" s="1409"/>
      <c r="B898" s="1409"/>
      <c r="C898" s="1409"/>
      <c r="D898" s="1409"/>
      <c r="E898" s="1247"/>
      <c r="F898" s="1248" t="s">
        <v>2705</v>
      </c>
      <c r="G898" s="111"/>
      <c r="H898" s="1249">
        <v>8</v>
      </c>
      <c r="I898" s="111" t="s">
        <v>1721</v>
      </c>
      <c r="J898" s="1321" t="s">
        <v>5608</v>
      </c>
      <c r="K898" s="162" t="s">
        <v>5610</v>
      </c>
      <c r="L898" s="162" t="s">
        <v>5609</v>
      </c>
      <c r="M898" s="111">
        <v>51.62</v>
      </c>
      <c r="N898" s="111">
        <v>412.96</v>
      </c>
      <c r="O898" s="111"/>
      <c r="P898" s="111"/>
      <c r="Q898" s="111"/>
      <c r="R898" s="111"/>
      <c r="S898" s="1249">
        <v>4</v>
      </c>
      <c r="T898" s="1250">
        <v>137.65333333333334</v>
      </c>
      <c r="U898" s="1250"/>
      <c r="V898" s="1250"/>
      <c r="W898" s="1251">
        <v>2</v>
      </c>
      <c r="X898" s="1250">
        <v>137.65333333333334</v>
      </c>
      <c r="Y898" s="1250"/>
      <c r="Z898" s="1250"/>
      <c r="AA898" s="1250"/>
      <c r="AB898" s="1250"/>
      <c r="AC898" s="1250"/>
      <c r="AD898" s="1250"/>
      <c r="AE898" s="1249">
        <v>2</v>
      </c>
      <c r="AF898" s="1250">
        <v>137.65333333333334</v>
      </c>
      <c r="AG898" s="111"/>
      <c r="AH898" s="111"/>
      <c r="AI898" s="111"/>
      <c r="AJ898" s="111"/>
      <c r="AK898" s="111"/>
      <c r="AL898" s="111"/>
      <c r="AM898" s="111">
        <v>412.96</v>
      </c>
    </row>
    <row r="899" spans="1:39" ht="15" customHeight="1" x14ac:dyDescent="0.25">
      <c r="A899" s="1409"/>
      <c r="B899" s="1409"/>
      <c r="C899" s="1409"/>
      <c r="D899" s="1409"/>
      <c r="E899" s="1247"/>
      <c r="F899" s="1248" t="s">
        <v>2692</v>
      </c>
      <c r="G899" s="111"/>
      <c r="H899" s="1249">
        <v>19</v>
      </c>
      <c r="I899" s="111" t="s">
        <v>1721</v>
      </c>
      <c r="J899" s="1321" t="s">
        <v>5608</v>
      </c>
      <c r="K899" s="162" t="s">
        <v>5610</v>
      </c>
      <c r="L899" s="162" t="s">
        <v>5609</v>
      </c>
      <c r="M899" s="111">
        <v>140.35999999999999</v>
      </c>
      <c r="N899" s="111">
        <v>2666.8399999999997</v>
      </c>
      <c r="O899" s="111"/>
      <c r="P899" s="111"/>
      <c r="Q899" s="111"/>
      <c r="R899" s="111"/>
      <c r="S899" s="1249">
        <v>10</v>
      </c>
      <c r="T899" s="1250">
        <v>888.9466666666666</v>
      </c>
      <c r="U899" s="1250"/>
      <c r="V899" s="1250"/>
      <c r="W899" s="1251">
        <v>5</v>
      </c>
      <c r="X899" s="1250">
        <v>888.9466666666666</v>
      </c>
      <c r="Y899" s="1250"/>
      <c r="Z899" s="1250"/>
      <c r="AA899" s="1250"/>
      <c r="AB899" s="1250"/>
      <c r="AC899" s="1250"/>
      <c r="AD899" s="1250"/>
      <c r="AE899" s="1249">
        <v>4</v>
      </c>
      <c r="AF899" s="1250">
        <v>888.9466666666666</v>
      </c>
      <c r="AG899" s="111"/>
      <c r="AH899" s="111"/>
      <c r="AI899" s="111"/>
      <c r="AJ899" s="111"/>
      <c r="AK899" s="111"/>
      <c r="AL899" s="111"/>
      <c r="AM899" s="111">
        <v>2666.8399999999997</v>
      </c>
    </row>
    <row r="900" spans="1:39" ht="15" customHeight="1" x14ac:dyDescent="0.25">
      <c r="A900" s="1409"/>
      <c r="B900" s="1409"/>
      <c r="C900" s="1409"/>
      <c r="D900" s="1409"/>
      <c r="E900" s="1247"/>
      <c r="F900" s="1248" t="s">
        <v>2691</v>
      </c>
      <c r="G900" s="111"/>
      <c r="H900" s="1249">
        <v>19</v>
      </c>
      <c r="I900" s="111" t="s">
        <v>1721</v>
      </c>
      <c r="J900" s="1321" t="s">
        <v>5608</v>
      </c>
      <c r="K900" s="162" t="s">
        <v>5610</v>
      </c>
      <c r="L900" s="162" t="s">
        <v>5609</v>
      </c>
      <c r="M900" s="111">
        <v>121.8</v>
      </c>
      <c r="N900" s="111">
        <v>2314.1999999999998</v>
      </c>
      <c r="O900" s="111"/>
      <c r="P900" s="111"/>
      <c r="Q900" s="111"/>
      <c r="R900" s="111"/>
      <c r="S900" s="1249">
        <v>10</v>
      </c>
      <c r="T900" s="1250">
        <v>771.4</v>
      </c>
      <c r="U900" s="1250"/>
      <c r="V900" s="1250"/>
      <c r="W900" s="1251">
        <v>5</v>
      </c>
      <c r="X900" s="1250">
        <v>771.4</v>
      </c>
      <c r="Y900" s="1250"/>
      <c r="Z900" s="1250"/>
      <c r="AA900" s="1250"/>
      <c r="AB900" s="1250"/>
      <c r="AC900" s="1250"/>
      <c r="AD900" s="1250"/>
      <c r="AE900" s="1249">
        <v>4</v>
      </c>
      <c r="AF900" s="1250">
        <v>771.4</v>
      </c>
      <c r="AG900" s="111"/>
      <c r="AH900" s="111"/>
      <c r="AI900" s="111"/>
      <c r="AJ900" s="111"/>
      <c r="AK900" s="111"/>
      <c r="AL900" s="111"/>
      <c r="AM900" s="111">
        <v>2314.1999999999998</v>
      </c>
    </row>
    <row r="901" spans="1:39" ht="15" customHeight="1" x14ac:dyDescent="0.25">
      <c r="A901" s="1409"/>
      <c r="B901" s="1409"/>
      <c r="C901" s="1409"/>
      <c r="D901" s="1409"/>
      <c r="E901" s="1247"/>
      <c r="F901" s="1248" t="s">
        <v>4798</v>
      </c>
      <c r="G901" s="111"/>
      <c r="H901" s="1249">
        <v>4</v>
      </c>
      <c r="I901" s="111" t="s">
        <v>1827</v>
      </c>
      <c r="J901" s="1321" t="s">
        <v>5608</v>
      </c>
      <c r="K901" s="162" t="s">
        <v>5610</v>
      </c>
      <c r="L901" s="162" t="s">
        <v>5609</v>
      </c>
      <c r="M901" s="111">
        <v>192.05119999999999</v>
      </c>
      <c r="N901" s="111">
        <v>768.20479999999998</v>
      </c>
      <c r="O901" s="111"/>
      <c r="P901" s="111"/>
      <c r="Q901" s="111"/>
      <c r="R901" s="111"/>
      <c r="S901" s="1249">
        <v>2</v>
      </c>
      <c r="T901" s="1250">
        <v>256.06826666666666</v>
      </c>
      <c r="U901" s="1250"/>
      <c r="V901" s="1250"/>
      <c r="W901" s="1251">
        <v>1</v>
      </c>
      <c r="X901" s="1250">
        <v>256.06826666666666</v>
      </c>
      <c r="Y901" s="1250"/>
      <c r="Z901" s="1250"/>
      <c r="AA901" s="1250"/>
      <c r="AB901" s="1250"/>
      <c r="AC901" s="1250"/>
      <c r="AD901" s="1250"/>
      <c r="AE901" s="1249">
        <v>1</v>
      </c>
      <c r="AF901" s="1250">
        <v>256.06826666666666</v>
      </c>
      <c r="AG901" s="111"/>
      <c r="AH901" s="111"/>
      <c r="AI901" s="111"/>
      <c r="AJ901" s="111"/>
      <c r="AK901" s="111"/>
      <c r="AL901" s="111"/>
      <c r="AM901" s="111">
        <v>768.20479999999998</v>
      </c>
    </row>
    <row r="902" spans="1:39" ht="15" customHeight="1" x14ac:dyDescent="0.25">
      <c r="A902" s="1409"/>
      <c r="B902" s="1409"/>
      <c r="C902" s="1409"/>
      <c r="D902" s="1409"/>
      <c r="E902" s="1247"/>
      <c r="F902" s="1248" t="s">
        <v>2725</v>
      </c>
      <c r="G902" s="111"/>
      <c r="H902" s="1249">
        <v>216</v>
      </c>
      <c r="I902" s="111" t="s">
        <v>1725</v>
      </c>
      <c r="J902" s="1321" t="s">
        <v>5608</v>
      </c>
      <c r="K902" s="162" t="s">
        <v>5610</v>
      </c>
      <c r="L902" s="162" t="s">
        <v>5609</v>
      </c>
      <c r="M902" s="111">
        <v>87.780666666666662</v>
      </c>
      <c r="N902" s="111">
        <v>18960.624</v>
      </c>
      <c r="O902" s="111"/>
      <c r="P902" s="111"/>
      <c r="Q902" s="111"/>
      <c r="R902" s="111"/>
      <c r="S902" s="1249">
        <v>100</v>
      </c>
      <c r="T902" s="1250">
        <v>6320.2079999999996</v>
      </c>
      <c r="U902" s="1250"/>
      <c r="V902" s="1250"/>
      <c r="W902" s="1251">
        <v>66</v>
      </c>
      <c r="X902" s="1250">
        <v>6320.2079999999996</v>
      </c>
      <c r="Y902" s="1250"/>
      <c r="Z902" s="1250"/>
      <c r="AA902" s="1250"/>
      <c r="AB902" s="1250"/>
      <c r="AC902" s="1250"/>
      <c r="AD902" s="1250"/>
      <c r="AE902" s="1249">
        <v>50</v>
      </c>
      <c r="AF902" s="1250">
        <v>6320.2079999999996</v>
      </c>
      <c r="AG902" s="111"/>
      <c r="AH902" s="111"/>
      <c r="AI902" s="111"/>
      <c r="AJ902" s="111"/>
      <c r="AK902" s="111"/>
      <c r="AL902" s="111"/>
      <c r="AM902" s="111">
        <v>18960.624</v>
      </c>
    </row>
    <row r="903" spans="1:39" ht="15" customHeight="1" x14ac:dyDescent="0.25">
      <c r="A903" s="1409"/>
      <c r="B903" s="1409"/>
      <c r="C903" s="1409"/>
      <c r="D903" s="1409"/>
      <c r="E903" s="1247"/>
      <c r="F903" s="1248" t="s">
        <v>4799</v>
      </c>
      <c r="G903" s="111"/>
      <c r="H903" s="1249">
        <v>336</v>
      </c>
      <c r="I903" s="111" t="s">
        <v>1721</v>
      </c>
      <c r="J903" s="1321" t="s">
        <v>5608</v>
      </c>
      <c r="K903" s="162" t="s">
        <v>5610</v>
      </c>
      <c r="L903" s="162" t="s">
        <v>5609</v>
      </c>
      <c r="M903" s="111">
        <v>14.300000000000002</v>
      </c>
      <c r="N903" s="111">
        <v>4804.8000000000011</v>
      </c>
      <c r="O903" s="111"/>
      <c r="P903" s="111"/>
      <c r="Q903" s="111"/>
      <c r="R903" s="111"/>
      <c r="S903" s="1249">
        <v>136</v>
      </c>
      <c r="T903" s="1250">
        <v>1601.6000000000004</v>
      </c>
      <c r="U903" s="1250"/>
      <c r="V903" s="1250"/>
      <c r="W903" s="1251">
        <v>100</v>
      </c>
      <c r="X903" s="1250">
        <v>1601.6000000000004</v>
      </c>
      <c r="Y903" s="1250"/>
      <c r="Z903" s="1250"/>
      <c r="AA903" s="1250"/>
      <c r="AB903" s="1250"/>
      <c r="AC903" s="1250"/>
      <c r="AD903" s="1250"/>
      <c r="AE903" s="1249">
        <v>100</v>
      </c>
      <c r="AF903" s="1250">
        <v>1601.6000000000004</v>
      </c>
      <c r="AG903" s="111"/>
      <c r="AH903" s="111"/>
      <c r="AI903" s="111"/>
      <c r="AJ903" s="111"/>
      <c r="AK903" s="111"/>
      <c r="AL903" s="111"/>
      <c r="AM903" s="111">
        <v>4804.8000000000011</v>
      </c>
    </row>
    <row r="904" spans="1:39" ht="15" customHeight="1" x14ac:dyDescent="0.25">
      <c r="A904" s="1409"/>
      <c r="B904" s="1409"/>
      <c r="C904" s="1409"/>
      <c r="D904" s="1409"/>
      <c r="E904" s="1247"/>
      <c r="F904" s="1248" t="s">
        <v>4800</v>
      </c>
      <c r="G904" s="111"/>
      <c r="H904" s="1249">
        <v>320</v>
      </c>
      <c r="I904" s="111" t="s">
        <v>1721</v>
      </c>
      <c r="J904" s="1321" t="s">
        <v>5608</v>
      </c>
      <c r="K904" s="162" t="s">
        <v>5610</v>
      </c>
      <c r="L904" s="162" t="s">
        <v>5609</v>
      </c>
      <c r="M904" s="111">
        <v>14.3</v>
      </c>
      <c r="N904" s="111">
        <v>4576</v>
      </c>
      <c r="O904" s="111"/>
      <c r="P904" s="111"/>
      <c r="Q904" s="111"/>
      <c r="R904" s="111"/>
      <c r="S904" s="1249">
        <v>120</v>
      </c>
      <c r="T904" s="1250">
        <v>1525.3333333333333</v>
      </c>
      <c r="U904" s="1250"/>
      <c r="V904" s="1250"/>
      <c r="W904" s="1251">
        <v>100</v>
      </c>
      <c r="X904" s="1250">
        <v>1525.3333333333333</v>
      </c>
      <c r="Y904" s="1250"/>
      <c r="Z904" s="1250"/>
      <c r="AA904" s="1250"/>
      <c r="AB904" s="1250"/>
      <c r="AC904" s="1250"/>
      <c r="AD904" s="1250"/>
      <c r="AE904" s="1249">
        <v>100</v>
      </c>
      <c r="AF904" s="1250">
        <v>1525.3333333333333</v>
      </c>
      <c r="AG904" s="111"/>
      <c r="AH904" s="111"/>
      <c r="AI904" s="111"/>
      <c r="AJ904" s="111"/>
      <c r="AK904" s="111"/>
      <c r="AL904" s="111"/>
      <c r="AM904" s="111">
        <v>4576</v>
      </c>
    </row>
    <row r="905" spans="1:39" ht="15" customHeight="1" x14ac:dyDescent="0.25">
      <c r="A905" s="1409"/>
      <c r="B905" s="1409"/>
      <c r="C905" s="1409"/>
      <c r="D905" s="1409"/>
      <c r="E905" s="1247"/>
      <c r="F905" s="1248" t="s">
        <v>2720</v>
      </c>
      <c r="G905" s="111"/>
      <c r="H905" s="1249">
        <v>13</v>
      </c>
      <c r="I905" s="111" t="s">
        <v>1827</v>
      </c>
      <c r="J905" s="1321" t="s">
        <v>5608</v>
      </c>
      <c r="K905" s="162" t="s">
        <v>5610</v>
      </c>
      <c r="L905" s="162" t="s">
        <v>5609</v>
      </c>
      <c r="M905" s="111">
        <v>75.794399999999996</v>
      </c>
      <c r="N905" s="111">
        <v>985.32719999999995</v>
      </c>
      <c r="O905" s="111"/>
      <c r="P905" s="111"/>
      <c r="Q905" s="111"/>
      <c r="R905" s="111"/>
      <c r="S905" s="1249">
        <v>5</v>
      </c>
      <c r="T905" s="1250">
        <v>328.44239999999996</v>
      </c>
      <c r="U905" s="1250"/>
      <c r="V905" s="1250"/>
      <c r="W905" s="1251">
        <v>5</v>
      </c>
      <c r="X905" s="1250">
        <v>328.44239999999996</v>
      </c>
      <c r="Y905" s="1250"/>
      <c r="Z905" s="1250"/>
      <c r="AA905" s="1250"/>
      <c r="AB905" s="1250"/>
      <c r="AC905" s="1250"/>
      <c r="AD905" s="1250"/>
      <c r="AE905" s="1249">
        <v>3</v>
      </c>
      <c r="AF905" s="1250">
        <v>328.44239999999996</v>
      </c>
      <c r="AG905" s="111"/>
      <c r="AH905" s="111"/>
      <c r="AI905" s="111"/>
      <c r="AJ905" s="111"/>
      <c r="AK905" s="111"/>
      <c r="AL905" s="111"/>
      <c r="AM905" s="111">
        <v>985.32719999999995</v>
      </c>
    </row>
    <row r="906" spans="1:39" ht="15" customHeight="1" x14ac:dyDescent="0.25">
      <c r="A906" s="1409"/>
      <c r="B906" s="1409"/>
      <c r="C906" s="1409"/>
      <c r="D906" s="1409"/>
      <c r="E906" s="1247"/>
      <c r="F906" s="1248" t="s">
        <v>4801</v>
      </c>
      <c r="G906" s="111"/>
      <c r="H906" s="1249">
        <v>2</v>
      </c>
      <c r="I906" s="111" t="s">
        <v>1827</v>
      </c>
      <c r="J906" s="1321" t="s">
        <v>5608</v>
      </c>
      <c r="K906" s="162" t="s">
        <v>5610</v>
      </c>
      <c r="L906" s="162" t="s">
        <v>5609</v>
      </c>
      <c r="M906" s="111">
        <v>183.6</v>
      </c>
      <c r="N906" s="111">
        <v>367.2</v>
      </c>
      <c r="O906" s="111"/>
      <c r="P906" s="111"/>
      <c r="Q906" s="111"/>
      <c r="R906" s="111"/>
      <c r="S906" s="1249">
        <v>2</v>
      </c>
      <c r="T906" s="1250">
        <v>122.39999999999999</v>
      </c>
      <c r="U906" s="1250"/>
      <c r="V906" s="1250"/>
      <c r="W906" s="1251">
        <v>0</v>
      </c>
      <c r="X906" s="1250">
        <v>122.39999999999999</v>
      </c>
      <c r="Y906" s="1250"/>
      <c r="Z906" s="1250"/>
      <c r="AA906" s="1250"/>
      <c r="AB906" s="1250"/>
      <c r="AC906" s="1250"/>
      <c r="AD906" s="1250"/>
      <c r="AE906" s="1249">
        <v>0</v>
      </c>
      <c r="AF906" s="1250">
        <v>122.39999999999999</v>
      </c>
      <c r="AG906" s="111"/>
      <c r="AH906" s="111"/>
      <c r="AI906" s="111"/>
      <c r="AJ906" s="111"/>
      <c r="AK906" s="111"/>
      <c r="AL906" s="111"/>
      <c r="AM906" s="111">
        <v>367.2</v>
      </c>
    </row>
    <row r="907" spans="1:39" ht="15" customHeight="1" x14ac:dyDescent="0.25">
      <c r="A907" s="1409"/>
      <c r="B907" s="1409"/>
      <c r="C907" s="1409"/>
      <c r="D907" s="1409"/>
      <c r="E907" s="1247"/>
      <c r="F907" s="1248" t="s">
        <v>4802</v>
      </c>
      <c r="G907" s="111"/>
      <c r="H907" s="1249">
        <v>4</v>
      </c>
      <c r="I907" s="111" t="s">
        <v>1827</v>
      </c>
      <c r="J907" s="1321" t="s">
        <v>5608</v>
      </c>
      <c r="K907" s="162" t="s">
        <v>5610</v>
      </c>
      <c r="L907" s="162" t="s">
        <v>5609</v>
      </c>
      <c r="M907" s="111">
        <v>210.63679999999999</v>
      </c>
      <c r="N907" s="111">
        <v>842.54719999999998</v>
      </c>
      <c r="O907" s="111"/>
      <c r="P907" s="111"/>
      <c r="Q907" s="111"/>
      <c r="R907" s="111"/>
      <c r="S907" s="1249">
        <v>2</v>
      </c>
      <c r="T907" s="1250">
        <v>280.84906666666666</v>
      </c>
      <c r="U907" s="1250"/>
      <c r="V907" s="1250"/>
      <c r="W907" s="1251">
        <v>1</v>
      </c>
      <c r="X907" s="1250">
        <v>280.84906666666666</v>
      </c>
      <c r="Y907" s="1250"/>
      <c r="Z907" s="1250"/>
      <c r="AA907" s="1250"/>
      <c r="AB907" s="1250"/>
      <c r="AC907" s="1250"/>
      <c r="AD907" s="1250"/>
      <c r="AE907" s="1249">
        <v>1</v>
      </c>
      <c r="AF907" s="1250">
        <v>280.84906666666666</v>
      </c>
      <c r="AG907" s="111"/>
      <c r="AH907" s="111"/>
      <c r="AI907" s="111"/>
      <c r="AJ907" s="111"/>
      <c r="AK907" s="111"/>
      <c r="AL907" s="111"/>
      <c r="AM907" s="111">
        <v>842.54719999999998</v>
      </c>
    </row>
    <row r="908" spans="1:39" ht="15" customHeight="1" x14ac:dyDescent="0.25">
      <c r="A908" s="1409"/>
      <c r="B908" s="1409"/>
      <c r="C908" s="1409"/>
      <c r="D908" s="1409"/>
      <c r="E908" s="1247"/>
      <c r="F908" s="1248" t="s">
        <v>2707</v>
      </c>
      <c r="G908" s="111"/>
      <c r="H908" s="1249">
        <v>8</v>
      </c>
      <c r="I908" s="111" t="s">
        <v>1721</v>
      </c>
      <c r="J908" s="1321" t="s">
        <v>5608</v>
      </c>
      <c r="K908" s="162" t="s">
        <v>5610</v>
      </c>
      <c r="L908" s="162" t="s">
        <v>5609</v>
      </c>
      <c r="M908" s="111">
        <v>51.62</v>
      </c>
      <c r="N908" s="111">
        <v>412.96</v>
      </c>
      <c r="O908" s="111"/>
      <c r="P908" s="111"/>
      <c r="Q908" s="111"/>
      <c r="R908" s="111"/>
      <c r="S908" s="1249">
        <v>4</v>
      </c>
      <c r="T908" s="1250">
        <v>137.65333333333334</v>
      </c>
      <c r="U908" s="1250"/>
      <c r="V908" s="1250"/>
      <c r="W908" s="1251">
        <v>2</v>
      </c>
      <c r="X908" s="1250">
        <v>137.65333333333334</v>
      </c>
      <c r="Y908" s="1250"/>
      <c r="Z908" s="1250"/>
      <c r="AA908" s="1250"/>
      <c r="AB908" s="1250"/>
      <c r="AC908" s="1250"/>
      <c r="AD908" s="1250"/>
      <c r="AE908" s="1249">
        <v>2</v>
      </c>
      <c r="AF908" s="1250">
        <v>137.65333333333334</v>
      </c>
      <c r="AG908" s="111"/>
      <c r="AH908" s="111"/>
      <c r="AI908" s="111"/>
      <c r="AJ908" s="111"/>
      <c r="AK908" s="111"/>
      <c r="AL908" s="111"/>
      <c r="AM908" s="111">
        <v>412.96</v>
      </c>
    </row>
    <row r="909" spans="1:39" ht="15" customHeight="1" x14ac:dyDescent="0.25">
      <c r="A909" s="1409"/>
      <c r="B909" s="1409"/>
      <c r="C909" s="1409"/>
      <c r="D909" s="1409"/>
      <c r="E909" s="1247"/>
      <c r="F909" s="1248" t="s">
        <v>4803</v>
      </c>
      <c r="G909" s="111"/>
      <c r="H909" s="1249">
        <v>204</v>
      </c>
      <c r="I909" s="111" t="s">
        <v>1721</v>
      </c>
      <c r="J909" s="1321" t="s">
        <v>5608</v>
      </c>
      <c r="K909" s="162" t="s">
        <v>5610</v>
      </c>
      <c r="L909" s="162" t="s">
        <v>5609</v>
      </c>
      <c r="M909" s="111">
        <v>17.600000000000001</v>
      </c>
      <c r="N909" s="111">
        <v>3590.4</v>
      </c>
      <c r="O909" s="111"/>
      <c r="P909" s="111"/>
      <c r="Q909" s="111"/>
      <c r="R909" s="111"/>
      <c r="S909" s="1249">
        <v>100</v>
      </c>
      <c r="T909" s="1250">
        <v>1196.8</v>
      </c>
      <c r="U909" s="1250"/>
      <c r="V909" s="1250"/>
      <c r="W909" s="1251">
        <v>54</v>
      </c>
      <c r="X909" s="1250">
        <v>1196.8</v>
      </c>
      <c r="Y909" s="1250"/>
      <c r="Z909" s="1250"/>
      <c r="AA909" s="1250"/>
      <c r="AB909" s="1250"/>
      <c r="AC909" s="1250"/>
      <c r="AD909" s="1250"/>
      <c r="AE909" s="1249">
        <v>50</v>
      </c>
      <c r="AF909" s="1250">
        <v>1196.8</v>
      </c>
      <c r="AG909" s="111"/>
      <c r="AH909" s="111"/>
      <c r="AI909" s="111"/>
      <c r="AJ909" s="111"/>
      <c r="AK909" s="111"/>
      <c r="AL909" s="111"/>
      <c r="AM909" s="111">
        <v>3590.4</v>
      </c>
    </row>
    <row r="910" spans="1:39" ht="15" customHeight="1" x14ac:dyDescent="0.25">
      <c r="A910" s="1409"/>
      <c r="B910" s="1409"/>
      <c r="C910" s="1409"/>
      <c r="D910" s="1409"/>
      <c r="E910" s="1247"/>
      <c r="F910" s="1248" t="s">
        <v>4804</v>
      </c>
      <c r="G910" s="111"/>
      <c r="H910" s="1249">
        <v>192</v>
      </c>
      <c r="I910" s="111" t="s">
        <v>1721</v>
      </c>
      <c r="J910" s="1321" t="s">
        <v>5608</v>
      </c>
      <c r="K910" s="162" t="s">
        <v>5610</v>
      </c>
      <c r="L910" s="162" t="s">
        <v>5609</v>
      </c>
      <c r="M910" s="111">
        <v>27.5</v>
      </c>
      <c r="N910" s="111">
        <v>5280</v>
      </c>
      <c r="O910" s="111"/>
      <c r="P910" s="111"/>
      <c r="Q910" s="111"/>
      <c r="R910" s="111"/>
      <c r="S910" s="1249">
        <v>60</v>
      </c>
      <c r="T910" s="1250">
        <v>1760</v>
      </c>
      <c r="U910" s="1250"/>
      <c r="V910" s="1250"/>
      <c r="W910" s="1251">
        <v>60</v>
      </c>
      <c r="X910" s="1250">
        <v>1760</v>
      </c>
      <c r="Y910" s="1250"/>
      <c r="Z910" s="1250"/>
      <c r="AA910" s="1250"/>
      <c r="AB910" s="1250"/>
      <c r="AC910" s="1250"/>
      <c r="AD910" s="1250"/>
      <c r="AE910" s="1249">
        <v>72</v>
      </c>
      <c r="AF910" s="1250">
        <v>1760</v>
      </c>
      <c r="AG910" s="111"/>
      <c r="AH910" s="111"/>
      <c r="AI910" s="111"/>
      <c r="AJ910" s="111"/>
      <c r="AK910" s="111"/>
      <c r="AL910" s="111"/>
      <c r="AM910" s="111">
        <v>5280</v>
      </c>
    </row>
    <row r="911" spans="1:39" ht="15" customHeight="1" x14ac:dyDescent="0.25">
      <c r="A911" s="1409"/>
      <c r="B911" s="1409"/>
      <c r="C911" s="1409"/>
      <c r="D911" s="1409"/>
      <c r="E911" s="1247"/>
      <c r="F911" s="1248" t="s">
        <v>4805</v>
      </c>
      <c r="G911" s="111"/>
      <c r="H911" s="1249">
        <v>4</v>
      </c>
      <c r="I911" s="111" t="s">
        <v>1722</v>
      </c>
      <c r="J911" s="1321" t="s">
        <v>5608</v>
      </c>
      <c r="K911" s="162" t="s">
        <v>5610</v>
      </c>
      <c r="L911" s="162" t="s">
        <v>5609</v>
      </c>
      <c r="M911" s="111">
        <v>259.2</v>
      </c>
      <c r="N911" s="111">
        <v>1036.8</v>
      </c>
      <c r="O911" s="111"/>
      <c r="P911" s="111"/>
      <c r="Q911" s="111"/>
      <c r="R911" s="111"/>
      <c r="S911" s="1249">
        <v>2</v>
      </c>
      <c r="T911" s="1250">
        <v>345.59999999999997</v>
      </c>
      <c r="U911" s="1250"/>
      <c r="V911" s="1250"/>
      <c r="W911" s="1251">
        <v>1</v>
      </c>
      <c r="X911" s="1250">
        <v>345.59999999999997</v>
      </c>
      <c r="Y911" s="1250"/>
      <c r="Z911" s="1250"/>
      <c r="AA911" s="1250"/>
      <c r="AB911" s="1250"/>
      <c r="AC911" s="1250"/>
      <c r="AD911" s="1250"/>
      <c r="AE911" s="1249">
        <v>1</v>
      </c>
      <c r="AF911" s="1250">
        <v>345.59999999999997</v>
      </c>
      <c r="AG911" s="111"/>
      <c r="AH911" s="111"/>
      <c r="AI911" s="111"/>
      <c r="AJ911" s="111"/>
      <c r="AK911" s="111"/>
      <c r="AL911" s="111"/>
      <c r="AM911" s="111">
        <v>1036.8</v>
      </c>
    </row>
    <row r="912" spans="1:39" ht="15" customHeight="1" x14ac:dyDescent="0.25">
      <c r="A912" s="1409"/>
      <c r="B912" s="1409"/>
      <c r="C912" s="1409"/>
      <c r="D912" s="1409"/>
      <c r="E912" s="1247"/>
      <c r="F912" s="1248" t="s">
        <v>2700</v>
      </c>
      <c r="G912" s="111"/>
      <c r="H912" s="1249">
        <v>20</v>
      </c>
      <c r="I912" s="111" t="s">
        <v>1721</v>
      </c>
      <c r="J912" s="1321" t="s">
        <v>5608</v>
      </c>
      <c r="K912" s="162" t="s">
        <v>5610</v>
      </c>
      <c r="L912" s="162" t="s">
        <v>5609</v>
      </c>
      <c r="M912" s="111">
        <v>75.794399999999996</v>
      </c>
      <c r="N912" s="111">
        <v>1515.8879999999999</v>
      </c>
      <c r="O912" s="111"/>
      <c r="P912" s="111"/>
      <c r="Q912" s="111"/>
      <c r="R912" s="111"/>
      <c r="S912" s="1249">
        <v>10</v>
      </c>
      <c r="T912" s="1250">
        <v>505.29599999999999</v>
      </c>
      <c r="U912" s="1250"/>
      <c r="V912" s="1250"/>
      <c r="W912" s="1251">
        <v>5</v>
      </c>
      <c r="X912" s="1250">
        <v>505.29599999999999</v>
      </c>
      <c r="Y912" s="1250"/>
      <c r="Z912" s="1250"/>
      <c r="AA912" s="1250"/>
      <c r="AB912" s="1250"/>
      <c r="AC912" s="1250"/>
      <c r="AD912" s="1250"/>
      <c r="AE912" s="1249">
        <v>5</v>
      </c>
      <c r="AF912" s="1250">
        <v>505.29599999999999</v>
      </c>
      <c r="AG912" s="111"/>
      <c r="AH912" s="111"/>
      <c r="AI912" s="111"/>
      <c r="AJ912" s="111"/>
      <c r="AK912" s="111"/>
      <c r="AL912" s="111"/>
      <c r="AM912" s="111">
        <v>1515.8879999999999</v>
      </c>
    </row>
    <row r="913" spans="1:39" ht="15" customHeight="1" x14ac:dyDescent="0.25">
      <c r="A913" s="1409"/>
      <c r="B913" s="1409"/>
      <c r="C913" s="1409"/>
      <c r="D913" s="1409"/>
      <c r="E913" s="1247"/>
      <c r="F913" s="1248" t="s">
        <v>4806</v>
      </c>
      <c r="G913" s="111"/>
      <c r="H913" s="1249">
        <v>65</v>
      </c>
      <c r="I913" s="111" t="s">
        <v>1827</v>
      </c>
      <c r="J913" s="1321" t="s">
        <v>5608</v>
      </c>
      <c r="K913" s="162" t="s">
        <v>5610</v>
      </c>
      <c r="L913" s="162" t="s">
        <v>5609</v>
      </c>
      <c r="M913" s="111">
        <v>154</v>
      </c>
      <c r="N913" s="111">
        <v>10010</v>
      </c>
      <c r="O913" s="111"/>
      <c r="P913" s="111"/>
      <c r="Q913" s="111"/>
      <c r="R913" s="111"/>
      <c r="S913" s="1249">
        <v>25</v>
      </c>
      <c r="T913" s="1250">
        <v>3336.6666666666665</v>
      </c>
      <c r="U913" s="1250"/>
      <c r="V913" s="1250"/>
      <c r="W913" s="1251">
        <v>25</v>
      </c>
      <c r="X913" s="1250">
        <v>3336.6666666666665</v>
      </c>
      <c r="Y913" s="1250"/>
      <c r="Z913" s="1250"/>
      <c r="AA913" s="1250"/>
      <c r="AB913" s="1250"/>
      <c r="AC913" s="1250"/>
      <c r="AD913" s="1250"/>
      <c r="AE913" s="1249">
        <v>15</v>
      </c>
      <c r="AF913" s="1250">
        <v>3336.6666666666665</v>
      </c>
      <c r="AG913" s="111"/>
      <c r="AH913" s="111"/>
      <c r="AI913" s="111"/>
      <c r="AJ913" s="111"/>
      <c r="AK913" s="111"/>
      <c r="AL913" s="111"/>
      <c r="AM913" s="111">
        <v>10010</v>
      </c>
    </row>
    <row r="914" spans="1:39" ht="15" customHeight="1" x14ac:dyDescent="0.25">
      <c r="A914" s="1409"/>
      <c r="B914" s="1409"/>
      <c r="C914" s="1409"/>
      <c r="D914" s="1409"/>
      <c r="E914" s="1247"/>
      <c r="F914" s="1248" t="s">
        <v>459</v>
      </c>
      <c r="G914" s="111"/>
      <c r="H914" s="1249">
        <v>112</v>
      </c>
      <c r="I914" s="111" t="s">
        <v>1827</v>
      </c>
      <c r="J914" s="1321" t="s">
        <v>5608</v>
      </c>
      <c r="K914" s="162" t="s">
        <v>5610</v>
      </c>
      <c r="L914" s="162" t="s">
        <v>5609</v>
      </c>
      <c r="M914" s="111">
        <v>159.5</v>
      </c>
      <c r="N914" s="111">
        <v>17864</v>
      </c>
      <c r="O914" s="111"/>
      <c r="P914" s="111"/>
      <c r="Q914" s="111"/>
      <c r="R914" s="111"/>
      <c r="S914" s="1249">
        <v>40</v>
      </c>
      <c r="T914" s="1250">
        <v>5954.666666666667</v>
      </c>
      <c r="U914" s="1250"/>
      <c r="V914" s="1250"/>
      <c r="W914" s="1251">
        <v>40</v>
      </c>
      <c r="X914" s="1250">
        <v>5954.666666666667</v>
      </c>
      <c r="Y914" s="1250"/>
      <c r="Z914" s="1250"/>
      <c r="AA914" s="1250"/>
      <c r="AB914" s="1250"/>
      <c r="AC914" s="1250"/>
      <c r="AD914" s="1250"/>
      <c r="AE914" s="1249">
        <v>32</v>
      </c>
      <c r="AF914" s="1250">
        <v>5954.666666666667</v>
      </c>
      <c r="AG914" s="111"/>
      <c r="AH914" s="111"/>
      <c r="AI914" s="111"/>
      <c r="AJ914" s="111"/>
      <c r="AK914" s="111"/>
      <c r="AL914" s="111"/>
      <c r="AM914" s="111">
        <v>17864</v>
      </c>
    </row>
    <row r="915" spans="1:39" ht="15" customHeight="1" x14ac:dyDescent="0.25">
      <c r="A915" s="1409"/>
      <c r="B915" s="1409"/>
      <c r="C915" s="1409"/>
      <c r="D915" s="1409"/>
      <c r="E915" s="1247"/>
      <c r="F915" s="1248" t="s">
        <v>4807</v>
      </c>
      <c r="G915" s="111"/>
      <c r="H915" s="1249">
        <v>2</v>
      </c>
      <c r="I915" s="111" t="s">
        <v>1827</v>
      </c>
      <c r="J915" s="1321" t="s">
        <v>5608</v>
      </c>
      <c r="K915" s="162" t="s">
        <v>5610</v>
      </c>
      <c r="L915" s="162" t="s">
        <v>5609</v>
      </c>
      <c r="M915" s="111">
        <v>140.80000000000001</v>
      </c>
      <c r="N915" s="111">
        <v>281.60000000000002</v>
      </c>
      <c r="O915" s="111"/>
      <c r="P915" s="111"/>
      <c r="Q915" s="111"/>
      <c r="R915" s="111"/>
      <c r="S915" s="1249">
        <v>2</v>
      </c>
      <c r="T915" s="1250">
        <v>93.866666666666674</v>
      </c>
      <c r="U915" s="1250"/>
      <c r="V915" s="1250"/>
      <c r="W915" s="1251">
        <v>0</v>
      </c>
      <c r="X915" s="1250">
        <v>93.866666666666674</v>
      </c>
      <c r="Y915" s="1250"/>
      <c r="Z915" s="1250"/>
      <c r="AA915" s="1250"/>
      <c r="AB915" s="1250"/>
      <c r="AC915" s="1250"/>
      <c r="AD915" s="1250"/>
      <c r="AE915" s="1249">
        <v>0</v>
      </c>
      <c r="AF915" s="1250">
        <v>93.866666666666674</v>
      </c>
      <c r="AG915" s="111"/>
      <c r="AH915" s="111"/>
      <c r="AI915" s="111"/>
      <c r="AJ915" s="111"/>
      <c r="AK915" s="111"/>
      <c r="AL915" s="111"/>
      <c r="AM915" s="111">
        <v>281.60000000000002</v>
      </c>
    </row>
    <row r="916" spans="1:39" ht="15" customHeight="1" x14ac:dyDescent="0.25">
      <c r="A916" s="1409"/>
      <c r="B916" s="1409"/>
      <c r="C916" s="1409"/>
      <c r="D916" s="1409"/>
      <c r="E916" s="1247"/>
      <c r="F916" s="1248" t="s">
        <v>4808</v>
      </c>
      <c r="G916" s="111"/>
      <c r="H916" s="1249">
        <v>2</v>
      </c>
      <c r="I916" s="111" t="s">
        <v>2470</v>
      </c>
      <c r="J916" s="1321" t="s">
        <v>5608</v>
      </c>
      <c r="K916" s="162" t="s">
        <v>5610</v>
      </c>
      <c r="L916" s="162" t="s">
        <v>5609</v>
      </c>
      <c r="M916" s="111">
        <v>176</v>
      </c>
      <c r="N916" s="111">
        <v>352</v>
      </c>
      <c r="O916" s="111"/>
      <c r="P916" s="111"/>
      <c r="Q916" s="111"/>
      <c r="R916" s="111"/>
      <c r="S916" s="1249">
        <v>2</v>
      </c>
      <c r="T916" s="1250">
        <v>117.33333333333333</v>
      </c>
      <c r="U916" s="1250"/>
      <c r="V916" s="1250"/>
      <c r="W916" s="1251">
        <v>0</v>
      </c>
      <c r="X916" s="1250">
        <v>117.33333333333333</v>
      </c>
      <c r="Y916" s="1250"/>
      <c r="Z916" s="1250"/>
      <c r="AA916" s="1250"/>
      <c r="AB916" s="1250"/>
      <c r="AC916" s="1250"/>
      <c r="AD916" s="1250"/>
      <c r="AE916" s="1249">
        <v>0</v>
      </c>
      <c r="AF916" s="1250">
        <v>117.33333333333333</v>
      </c>
      <c r="AG916" s="111"/>
      <c r="AH916" s="111"/>
      <c r="AI916" s="111"/>
      <c r="AJ916" s="111"/>
      <c r="AK916" s="111"/>
      <c r="AL916" s="111"/>
      <c r="AM916" s="111">
        <v>352</v>
      </c>
    </row>
    <row r="917" spans="1:39" ht="15" customHeight="1" x14ac:dyDescent="0.25">
      <c r="A917" s="1409"/>
      <c r="B917" s="1409"/>
      <c r="C917" s="1409"/>
      <c r="D917" s="1409"/>
      <c r="E917" s="1247"/>
      <c r="F917" s="1248" t="s">
        <v>4809</v>
      </c>
      <c r="G917" s="111"/>
      <c r="H917" s="1249">
        <v>46</v>
      </c>
      <c r="I917" s="111" t="s">
        <v>1827</v>
      </c>
      <c r="J917" s="1321" t="s">
        <v>5608</v>
      </c>
      <c r="K917" s="162" t="s">
        <v>5610</v>
      </c>
      <c r="L917" s="162" t="s">
        <v>5609</v>
      </c>
      <c r="M917" s="111">
        <v>22.277704347826088</v>
      </c>
      <c r="N917" s="111">
        <v>1024.7744</v>
      </c>
      <c r="O917" s="111"/>
      <c r="P917" s="111"/>
      <c r="Q917" s="111"/>
      <c r="R917" s="111"/>
      <c r="S917" s="1249">
        <v>20</v>
      </c>
      <c r="T917" s="1250">
        <v>341.59146666666669</v>
      </c>
      <c r="U917" s="1250"/>
      <c r="V917" s="1250"/>
      <c r="W917" s="1251">
        <v>16</v>
      </c>
      <c r="X917" s="1250">
        <v>341.59146666666669</v>
      </c>
      <c r="Y917" s="1250"/>
      <c r="Z917" s="1250"/>
      <c r="AA917" s="1250"/>
      <c r="AB917" s="1250"/>
      <c r="AC917" s="1250"/>
      <c r="AD917" s="1250"/>
      <c r="AE917" s="1249">
        <v>10</v>
      </c>
      <c r="AF917" s="1250">
        <v>341.59146666666669</v>
      </c>
      <c r="AG917" s="111"/>
      <c r="AH917" s="111"/>
      <c r="AI917" s="111"/>
      <c r="AJ917" s="111"/>
      <c r="AK917" s="111"/>
      <c r="AL917" s="111"/>
      <c r="AM917" s="111">
        <v>1024.7744</v>
      </c>
    </row>
    <row r="918" spans="1:39" ht="15" customHeight="1" x14ac:dyDescent="0.25">
      <c r="A918" s="1409"/>
      <c r="B918" s="1409"/>
      <c r="C918" s="1409"/>
      <c r="D918" s="1409"/>
      <c r="E918" s="1247"/>
      <c r="F918" s="1248" t="s">
        <v>4810</v>
      </c>
      <c r="G918" s="111"/>
      <c r="H918" s="1249">
        <v>4</v>
      </c>
      <c r="I918" s="111" t="s">
        <v>1755</v>
      </c>
      <c r="J918" s="1321" t="s">
        <v>5608</v>
      </c>
      <c r="K918" s="162" t="s">
        <v>5610</v>
      </c>
      <c r="L918" s="162" t="s">
        <v>5609</v>
      </c>
      <c r="M918" s="111">
        <v>230</v>
      </c>
      <c r="N918" s="111">
        <v>920</v>
      </c>
      <c r="O918" s="111"/>
      <c r="P918" s="111"/>
      <c r="Q918" s="111"/>
      <c r="R918" s="111"/>
      <c r="S918" s="1249">
        <v>2</v>
      </c>
      <c r="T918" s="1250">
        <v>306.66666666666669</v>
      </c>
      <c r="U918" s="1250"/>
      <c r="V918" s="1250"/>
      <c r="W918" s="1251">
        <v>1</v>
      </c>
      <c r="X918" s="1250">
        <v>306.66666666666669</v>
      </c>
      <c r="Y918" s="1250"/>
      <c r="Z918" s="1250"/>
      <c r="AA918" s="1250"/>
      <c r="AB918" s="1250"/>
      <c r="AC918" s="1250"/>
      <c r="AD918" s="1250"/>
      <c r="AE918" s="1249">
        <v>1</v>
      </c>
      <c r="AF918" s="1250">
        <v>306.66666666666669</v>
      </c>
      <c r="AG918" s="111"/>
      <c r="AH918" s="111"/>
      <c r="AI918" s="111"/>
      <c r="AJ918" s="111"/>
      <c r="AK918" s="111"/>
      <c r="AL918" s="111"/>
      <c r="AM918" s="111">
        <v>920</v>
      </c>
    </row>
    <row r="919" spans="1:39" ht="15" customHeight="1" x14ac:dyDescent="0.25">
      <c r="A919" s="1409"/>
      <c r="B919" s="1409"/>
      <c r="C919" s="1409"/>
      <c r="D919" s="1409"/>
      <c r="E919" s="1247"/>
      <c r="F919" s="1248" t="s">
        <v>4811</v>
      </c>
      <c r="G919" s="111"/>
      <c r="H919" s="1249">
        <v>3</v>
      </c>
      <c r="I919" s="111" t="s">
        <v>1721</v>
      </c>
      <c r="J919" s="1321" t="s">
        <v>5608</v>
      </c>
      <c r="K919" s="162" t="s">
        <v>5610</v>
      </c>
      <c r="L919" s="162" t="s">
        <v>5609</v>
      </c>
      <c r="M919" s="111">
        <v>24.998000000000001</v>
      </c>
      <c r="N919" s="111">
        <v>74.994</v>
      </c>
      <c r="O919" s="111"/>
      <c r="P919" s="111"/>
      <c r="Q919" s="111"/>
      <c r="R919" s="111"/>
      <c r="S919" s="1249">
        <v>1</v>
      </c>
      <c r="T919" s="1250">
        <v>24.998000000000001</v>
      </c>
      <c r="U919" s="1250"/>
      <c r="V919" s="1250"/>
      <c r="W919" s="1251">
        <v>1</v>
      </c>
      <c r="X919" s="1250">
        <v>24.998000000000001</v>
      </c>
      <c r="Y919" s="1250"/>
      <c r="Z919" s="1250"/>
      <c r="AA919" s="1250"/>
      <c r="AB919" s="1250"/>
      <c r="AC919" s="1250"/>
      <c r="AD919" s="1250"/>
      <c r="AE919" s="1249">
        <v>1</v>
      </c>
      <c r="AF919" s="1250">
        <v>24.998000000000001</v>
      </c>
      <c r="AG919" s="111"/>
      <c r="AH919" s="111"/>
      <c r="AI919" s="111"/>
      <c r="AJ919" s="111"/>
      <c r="AK919" s="111"/>
      <c r="AL919" s="111"/>
      <c r="AM919" s="111">
        <v>74.994</v>
      </c>
    </row>
    <row r="920" spans="1:39" ht="15" customHeight="1" x14ac:dyDescent="0.25">
      <c r="A920" s="1409"/>
      <c r="B920" s="1409"/>
      <c r="C920" s="1409"/>
      <c r="D920" s="1409"/>
      <c r="E920" s="1247"/>
      <c r="F920" s="1248" t="s">
        <v>4812</v>
      </c>
      <c r="G920" s="111"/>
      <c r="H920" s="1249">
        <v>30</v>
      </c>
      <c r="I920" s="111" t="s">
        <v>1827</v>
      </c>
      <c r="J920" s="1321" t="s">
        <v>5608</v>
      </c>
      <c r="K920" s="162" t="s">
        <v>5610</v>
      </c>
      <c r="L920" s="162" t="s">
        <v>5609</v>
      </c>
      <c r="M920" s="111">
        <v>55.000000000000007</v>
      </c>
      <c r="N920" s="111">
        <v>1650.0000000000002</v>
      </c>
      <c r="O920" s="111"/>
      <c r="P920" s="111"/>
      <c r="Q920" s="111"/>
      <c r="R920" s="111"/>
      <c r="S920" s="1249">
        <v>10</v>
      </c>
      <c r="T920" s="1250">
        <v>550.00000000000011</v>
      </c>
      <c r="U920" s="1250"/>
      <c r="V920" s="1250"/>
      <c r="W920" s="1251">
        <v>10</v>
      </c>
      <c r="X920" s="1250">
        <v>550.00000000000011</v>
      </c>
      <c r="Y920" s="1250"/>
      <c r="Z920" s="1250"/>
      <c r="AA920" s="1250"/>
      <c r="AB920" s="1250"/>
      <c r="AC920" s="1250"/>
      <c r="AD920" s="1250"/>
      <c r="AE920" s="1249">
        <v>10</v>
      </c>
      <c r="AF920" s="1250">
        <v>550.00000000000011</v>
      </c>
      <c r="AG920" s="111"/>
      <c r="AH920" s="111"/>
      <c r="AI920" s="111"/>
      <c r="AJ920" s="111"/>
      <c r="AK920" s="111"/>
      <c r="AL920" s="111"/>
      <c r="AM920" s="111">
        <v>1650.0000000000002</v>
      </c>
    </row>
    <row r="921" spans="1:39" ht="15" customHeight="1" x14ac:dyDescent="0.25">
      <c r="A921" s="1409"/>
      <c r="B921" s="1409"/>
      <c r="C921" s="1409"/>
      <c r="D921" s="1409"/>
      <c r="E921" s="1247"/>
      <c r="F921" s="1248" t="s">
        <v>2686</v>
      </c>
      <c r="G921" s="111"/>
      <c r="H921" s="1249">
        <v>2</v>
      </c>
      <c r="I921" s="111" t="s">
        <v>2685</v>
      </c>
      <c r="J921" s="1321" t="s">
        <v>5608</v>
      </c>
      <c r="K921" s="162" t="s">
        <v>5610</v>
      </c>
      <c r="L921" s="162" t="s">
        <v>5609</v>
      </c>
      <c r="M921" s="111">
        <v>826.84799999999984</v>
      </c>
      <c r="N921" s="111">
        <v>1653.6959999999997</v>
      </c>
      <c r="O921" s="111"/>
      <c r="P921" s="111"/>
      <c r="Q921" s="111"/>
      <c r="R921" s="111"/>
      <c r="S921" s="1249">
        <v>2</v>
      </c>
      <c r="T921" s="1250">
        <v>551.23199999999986</v>
      </c>
      <c r="U921" s="1250"/>
      <c r="V921" s="1250"/>
      <c r="W921" s="1251">
        <v>0</v>
      </c>
      <c r="X921" s="1250">
        <v>551.23199999999986</v>
      </c>
      <c r="Y921" s="1250"/>
      <c r="Z921" s="1250"/>
      <c r="AA921" s="1250"/>
      <c r="AB921" s="1250"/>
      <c r="AC921" s="1250"/>
      <c r="AD921" s="1250"/>
      <c r="AE921" s="1249">
        <v>0</v>
      </c>
      <c r="AF921" s="1250">
        <v>551.23199999999986</v>
      </c>
      <c r="AG921" s="111"/>
      <c r="AH921" s="111"/>
      <c r="AI921" s="111"/>
      <c r="AJ921" s="111"/>
      <c r="AK921" s="111"/>
      <c r="AL921" s="111"/>
      <c r="AM921" s="111">
        <v>1653.6959999999997</v>
      </c>
    </row>
    <row r="922" spans="1:39" ht="15" customHeight="1" x14ac:dyDescent="0.25">
      <c r="A922" s="1409"/>
      <c r="B922" s="1409"/>
      <c r="C922" s="1409"/>
      <c r="D922" s="1409"/>
      <c r="E922" s="1247"/>
      <c r="F922" s="1248" t="s">
        <v>2711</v>
      </c>
      <c r="G922" s="111"/>
      <c r="H922" s="1249">
        <v>7</v>
      </c>
      <c r="I922" s="111" t="s">
        <v>1827</v>
      </c>
      <c r="J922" s="1321" t="s">
        <v>5608</v>
      </c>
      <c r="K922" s="162" t="s">
        <v>5610</v>
      </c>
      <c r="L922" s="162" t="s">
        <v>5609</v>
      </c>
      <c r="M922" s="111">
        <v>115.47799999999999</v>
      </c>
      <c r="N922" s="111">
        <v>808.346</v>
      </c>
      <c r="O922" s="111"/>
      <c r="P922" s="111"/>
      <c r="Q922" s="111"/>
      <c r="R922" s="111"/>
      <c r="S922" s="1249">
        <v>3</v>
      </c>
      <c r="T922" s="1250">
        <v>269.44866666666667</v>
      </c>
      <c r="U922" s="1250"/>
      <c r="V922" s="1250"/>
      <c r="W922" s="1251">
        <v>2</v>
      </c>
      <c r="X922" s="1250">
        <v>269.44866666666667</v>
      </c>
      <c r="Y922" s="1250"/>
      <c r="Z922" s="1250"/>
      <c r="AA922" s="1250"/>
      <c r="AB922" s="1250"/>
      <c r="AC922" s="1250"/>
      <c r="AD922" s="1250"/>
      <c r="AE922" s="1249">
        <v>2</v>
      </c>
      <c r="AF922" s="1250">
        <v>269.44866666666667</v>
      </c>
      <c r="AG922" s="111"/>
      <c r="AH922" s="111"/>
      <c r="AI922" s="111"/>
      <c r="AJ922" s="111"/>
      <c r="AK922" s="111"/>
      <c r="AL922" s="111"/>
      <c r="AM922" s="111">
        <v>808.346</v>
      </c>
    </row>
    <row r="923" spans="1:39" ht="15" customHeight="1" x14ac:dyDescent="0.25">
      <c r="A923" s="1409"/>
      <c r="B923" s="1409"/>
      <c r="C923" s="1409"/>
      <c r="D923" s="1409"/>
      <c r="E923" s="1247"/>
      <c r="F923" s="1248" t="s">
        <v>2722</v>
      </c>
      <c r="G923" s="111"/>
      <c r="H923" s="1249">
        <v>15</v>
      </c>
      <c r="I923" s="111" t="s">
        <v>1722</v>
      </c>
      <c r="J923" s="1321" t="s">
        <v>5608</v>
      </c>
      <c r="K923" s="162" t="s">
        <v>5610</v>
      </c>
      <c r="L923" s="162" t="s">
        <v>5609</v>
      </c>
      <c r="M923" s="111">
        <v>177.48</v>
      </c>
      <c r="N923" s="111">
        <v>2662.2</v>
      </c>
      <c r="O923" s="111"/>
      <c r="P923" s="111"/>
      <c r="Q923" s="111"/>
      <c r="R923" s="111"/>
      <c r="S923" s="1249">
        <v>5</v>
      </c>
      <c r="T923" s="1250">
        <v>887.4</v>
      </c>
      <c r="U923" s="1250"/>
      <c r="V923" s="1250"/>
      <c r="W923" s="1251">
        <v>5</v>
      </c>
      <c r="X923" s="1250">
        <v>887.4</v>
      </c>
      <c r="Y923" s="1250"/>
      <c r="Z923" s="1250"/>
      <c r="AA923" s="1250"/>
      <c r="AB923" s="1250"/>
      <c r="AC923" s="1250"/>
      <c r="AD923" s="1250"/>
      <c r="AE923" s="1249">
        <v>5</v>
      </c>
      <c r="AF923" s="1250">
        <v>887.4</v>
      </c>
      <c r="AG923" s="111"/>
      <c r="AH923" s="111"/>
      <c r="AI923" s="111"/>
      <c r="AJ923" s="111"/>
      <c r="AK923" s="111"/>
      <c r="AL923" s="111"/>
      <c r="AM923" s="111">
        <v>2662.2</v>
      </c>
    </row>
    <row r="924" spans="1:39" ht="15" customHeight="1" x14ac:dyDescent="0.25">
      <c r="A924" s="1409"/>
      <c r="B924" s="1409"/>
      <c r="C924" s="1409"/>
      <c r="D924" s="1409"/>
      <c r="E924" s="1247"/>
      <c r="F924" s="1248" t="s">
        <v>4813</v>
      </c>
      <c r="G924" s="111"/>
      <c r="H924" s="1249">
        <v>176</v>
      </c>
      <c r="I924" s="111" t="s">
        <v>1725</v>
      </c>
      <c r="J924" s="1321" t="s">
        <v>5608</v>
      </c>
      <c r="K924" s="162" t="s">
        <v>5610</v>
      </c>
      <c r="L924" s="162" t="s">
        <v>5609</v>
      </c>
      <c r="M924" s="111">
        <v>20.900000000000002</v>
      </c>
      <c r="N924" s="111">
        <v>3678.4000000000005</v>
      </c>
      <c r="O924" s="111"/>
      <c r="P924" s="111"/>
      <c r="Q924" s="111"/>
      <c r="R924" s="111"/>
      <c r="S924" s="1249">
        <v>76</v>
      </c>
      <c r="T924" s="1250">
        <v>1226.1333333333334</v>
      </c>
      <c r="U924" s="1250"/>
      <c r="V924" s="1250"/>
      <c r="W924" s="1251">
        <v>50</v>
      </c>
      <c r="X924" s="1250">
        <v>1226.1333333333334</v>
      </c>
      <c r="Y924" s="1250"/>
      <c r="Z924" s="1250"/>
      <c r="AA924" s="1250"/>
      <c r="AB924" s="1250"/>
      <c r="AC924" s="1250"/>
      <c r="AD924" s="1250"/>
      <c r="AE924" s="1249">
        <v>50</v>
      </c>
      <c r="AF924" s="1250">
        <v>1226.1333333333334</v>
      </c>
      <c r="AG924" s="111"/>
      <c r="AH924" s="111"/>
      <c r="AI924" s="111"/>
      <c r="AJ924" s="111"/>
      <c r="AK924" s="111"/>
      <c r="AL924" s="111"/>
      <c r="AM924" s="111">
        <v>3678.4000000000005</v>
      </c>
    </row>
    <row r="925" spans="1:39" ht="15" customHeight="1" x14ac:dyDescent="0.25">
      <c r="A925" s="1409"/>
      <c r="B925" s="1409"/>
      <c r="C925" s="1409"/>
      <c r="D925" s="1409"/>
      <c r="E925" s="1247"/>
      <c r="F925" s="1248" t="s">
        <v>2688</v>
      </c>
      <c r="G925" s="111"/>
      <c r="H925" s="1249">
        <v>1120</v>
      </c>
      <c r="I925" s="111" t="s">
        <v>4701</v>
      </c>
      <c r="J925" s="1321" t="s">
        <v>5608</v>
      </c>
      <c r="K925" s="162" t="s">
        <v>5610</v>
      </c>
      <c r="L925" s="162" t="s">
        <v>5609</v>
      </c>
      <c r="M925" s="111">
        <v>37.119999999999997</v>
      </c>
      <c r="N925" s="111">
        <v>41574.399999999994</v>
      </c>
      <c r="O925" s="111"/>
      <c r="P925" s="111"/>
      <c r="Q925" s="111"/>
      <c r="R925" s="111"/>
      <c r="S925" s="1249">
        <v>400</v>
      </c>
      <c r="T925" s="1250">
        <v>13858.133333333331</v>
      </c>
      <c r="U925" s="1250"/>
      <c r="V925" s="1250"/>
      <c r="W925" s="1251">
        <v>400</v>
      </c>
      <c r="X925" s="1250">
        <v>13858.133333333331</v>
      </c>
      <c r="Y925" s="1250"/>
      <c r="Z925" s="1250"/>
      <c r="AA925" s="1250"/>
      <c r="AB925" s="1250"/>
      <c r="AC925" s="1250"/>
      <c r="AD925" s="1250"/>
      <c r="AE925" s="1249">
        <v>320</v>
      </c>
      <c r="AF925" s="1250">
        <v>13858.133333333331</v>
      </c>
      <c r="AG925" s="111"/>
      <c r="AH925" s="111"/>
      <c r="AI925" s="111"/>
      <c r="AJ925" s="111"/>
      <c r="AK925" s="111"/>
      <c r="AL925" s="111"/>
      <c r="AM925" s="111">
        <v>41574.399999999994</v>
      </c>
    </row>
    <row r="926" spans="1:39" ht="15" customHeight="1" x14ac:dyDescent="0.25">
      <c r="A926" s="1409"/>
      <c r="B926" s="1409"/>
      <c r="C926" s="1409"/>
      <c r="D926" s="1409"/>
      <c r="E926" s="1247"/>
      <c r="F926" s="1248" t="s">
        <v>4814</v>
      </c>
      <c r="G926" s="111"/>
      <c r="H926" s="1249">
        <v>1070</v>
      </c>
      <c r="I926" s="111" t="s">
        <v>1827</v>
      </c>
      <c r="J926" s="1321" t="s">
        <v>5608</v>
      </c>
      <c r="K926" s="162" t="s">
        <v>5610</v>
      </c>
      <c r="L926" s="162" t="s">
        <v>5609</v>
      </c>
      <c r="M926" s="111">
        <v>30.25</v>
      </c>
      <c r="N926" s="111">
        <v>32367.5</v>
      </c>
      <c r="O926" s="111"/>
      <c r="P926" s="111"/>
      <c r="Q926" s="111"/>
      <c r="R926" s="111"/>
      <c r="S926" s="1249">
        <v>400</v>
      </c>
      <c r="T926" s="1250">
        <v>10789.166666666666</v>
      </c>
      <c r="U926" s="1250"/>
      <c r="V926" s="1250"/>
      <c r="W926" s="1251">
        <v>400</v>
      </c>
      <c r="X926" s="1250">
        <v>10789.166666666666</v>
      </c>
      <c r="Y926" s="1250"/>
      <c r="Z926" s="1250"/>
      <c r="AA926" s="1250"/>
      <c r="AB926" s="1250"/>
      <c r="AC926" s="1250"/>
      <c r="AD926" s="1250"/>
      <c r="AE926" s="1249">
        <v>270</v>
      </c>
      <c r="AF926" s="1250">
        <v>10789.166666666666</v>
      </c>
      <c r="AG926" s="111"/>
      <c r="AH926" s="111"/>
      <c r="AI926" s="111"/>
      <c r="AJ926" s="111"/>
      <c r="AK926" s="111"/>
      <c r="AL926" s="111"/>
      <c r="AM926" s="111">
        <v>32367.5</v>
      </c>
    </row>
    <row r="927" spans="1:39" ht="15" customHeight="1" x14ac:dyDescent="0.25">
      <c r="A927" s="1409"/>
      <c r="B927" s="1409"/>
      <c r="C927" s="1409"/>
      <c r="D927" s="1409"/>
      <c r="E927" s="1247"/>
      <c r="F927" s="1248" t="s">
        <v>4815</v>
      </c>
      <c r="G927" s="111"/>
      <c r="H927" s="1249">
        <v>272</v>
      </c>
      <c r="I927" s="111" t="s">
        <v>1725</v>
      </c>
      <c r="J927" s="1321" t="s">
        <v>5608</v>
      </c>
      <c r="K927" s="162" t="s">
        <v>5610</v>
      </c>
      <c r="L927" s="162" t="s">
        <v>5609</v>
      </c>
      <c r="M927" s="111">
        <v>42.349999999999994</v>
      </c>
      <c r="N927" s="111">
        <v>11519.199999999999</v>
      </c>
      <c r="O927" s="111"/>
      <c r="P927" s="111"/>
      <c r="Q927" s="111"/>
      <c r="R927" s="111"/>
      <c r="S927" s="1249">
        <v>100</v>
      </c>
      <c r="T927" s="1250">
        <v>3839.7333333333331</v>
      </c>
      <c r="U927" s="1250"/>
      <c r="V927" s="1250"/>
      <c r="W927" s="1251">
        <v>92</v>
      </c>
      <c r="X927" s="1250">
        <v>3839.7333333333331</v>
      </c>
      <c r="Y927" s="1250"/>
      <c r="Z927" s="1250"/>
      <c r="AA927" s="1250"/>
      <c r="AB927" s="1250"/>
      <c r="AC927" s="1250"/>
      <c r="AD927" s="1250"/>
      <c r="AE927" s="1249">
        <v>80</v>
      </c>
      <c r="AF927" s="1250">
        <v>3839.7333333333331</v>
      </c>
      <c r="AG927" s="111"/>
      <c r="AH927" s="111"/>
      <c r="AI927" s="111"/>
      <c r="AJ927" s="111"/>
      <c r="AK927" s="111"/>
      <c r="AL927" s="111"/>
      <c r="AM927" s="111">
        <v>11519.199999999999</v>
      </c>
    </row>
    <row r="928" spans="1:39" ht="15" customHeight="1" x14ac:dyDescent="0.25">
      <c r="A928" s="1409"/>
      <c r="B928" s="1409"/>
      <c r="C928" s="1409"/>
      <c r="D928" s="1409"/>
      <c r="E928" s="1247"/>
      <c r="F928" s="1248" t="s">
        <v>4816</v>
      </c>
      <c r="G928" s="111"/>
      <c r="H928" s="1249">
        <v>112</v>
      </c>
      <c r="I928" s="111" t="s">
        <v>1827</v>
      </c>
      <c r="J928" s="1321" t="s">
        <v>5608</v>
      </c>
      <c r="K928" s="162" t="s">
        <v>5610</v>
      </c>
      <c r="L928" s="162" t="s">
        <v>5609</v>
      </c>
      <c r="M928" s="111">
        <v>79.75</v>
      </c>
      <c r="N928" s="111">
        <v>8932</v>
      </c>
      <c r="O928" s="111"/>
      <c r="P928" s="111"/>
      <c r="Q928" s="111"/>
      <c r="R928" s="111"/>
      <c r="S928" s="1249">
        <v>40</v>
      </c>
      <c r="T928" s="1250">
        <v>2977.3333333333335</v>
      </c>
      <c r="U928" s="1250"/>
      <c r="V928" s="1250"/>
      <c r="W928" s="1251">
        <v>40</v>
      </c>
      <c r="X928" s="1250">
        <v>2977.3333333333335</v>
      </c>
      <c r="Y928" s="1250"/>
      <c r="Z928" s="1250"/>
      <c r="AA928" s="1250"/>
      <c r="AB928" s="1250"/>
      <c r="AC928" s="1250"/>
      <c r="AD928" s="1250"/>
      <c r="AE928" s="1249">
        <v>32</v>
      </c>
      <c r="AF928" s="1250">
        <v>2977.3333333333335</v>
      </c>
      <c r="AG928" s="111"/>
      <c r="AH928" s="111"/>
      <c r="AI928" s="111"/>
      <c r="AJ928" s="111"/>
      <c r="AK928" s="111"/>
      <c r="AL928" s="111"/>
      <c r="AM928" s="111">
        <v>8932</v>
      </c>
    </row>
    <row r="929" spans="1:39" ht="15" customHeight="1" x14ac:dyDescent="0.25">
      <c r="A929" s="1409"/>
      <c r="B929" s="1409"/>
      <c r="C929" s="1409"/>
      <c r="D929" s="1409"/>
      <c r="E929" s="1247"/>
      <c r="F929" s="1248" t="s">
        <v>4817</v>
      </c>
      <c r="G929" s="111"/>
      <c r="H929" s="1249">
        <v>5</v>
      </c>
      <c r="I929" s="111" t="s">
        <v>1736</v>
      </c>
      <c r="J929" s="1321" t="s">
        <v>5608</v>
      </c>
      <c r="K929" s="162" t="s">
        <v>5610</v>
      </c>
      <c r="L929" s="162" t="s">
        <v>5609</v>
      </c>
      <c r="M929" s="111">
        <v>27</v>
      </c>
      <c r="N929" s="111">
        <v>135</v>
      </c>
      <c r="O929" s="111"/>
      <c r="P929" s="111"/>
      <c r="Q929" s="111"/>
      <c r="R929" s="111"/>
      <c r="S929" s="1249">
        <v>2</v>
      </c>
      <c r="T929" s="1250">
        <v>45</v>
      </c>
      <c r="U929" s="1250"/>
      <c r="V929" s="1250"/>
      <c r="W929" s="1251">
        <v>2</v>
      </c>
      <c r="X929" s="1250">
        <v>45</v>
      </c>
      <c r="Y929" s="1250"/>
      <c r="Z929" s="1250"/>
      <c r="AA929" s="1250"/>
      <c r="AB929" s="1250"/>
      <c r="AC929" s="1250"/>
      <c r="AD929" s="1250"/>
      <c r="AE929" s="1249">
        <v>1</v>
      </c>
      <c r="AF929" s="1250">
        <v>45</v>
      </c>
      <c r="AG929" s="111"/>
      <c r="AH929" s="111"/>
      <c r="AI929" s="111"/>
      <c r="AJ929" s="111"/>
      <c r="AK929" s="111"/>
      <c r="AL929" s="111"/>
      <c r="AM929" s="111">
        <v>135</v>
      </c>
    </row>
    <row r="930" spans="1:39" ht="15" customHeight="1" x14ac:dyDescent="0.25">
      <c r="A930" s="1409"/>
      <c r="B930" s="1409"/>
      <c r="C930" s="1409"/>
      <c r="D930" s="1409"/>
      <c r="E930" s="1247"/>
      <c r="F930" s="1248" t="s">
        <v>2708</v>
      </c>
      <c r="G930" s="111"/>
      <c r="H930" s="1249">
        <v>1</v>
      </c>
      <c r="I930" s="111" t="s">
        <v>1736</v>
      </c>
      <c r="J930" s="1321" t="s">
        <v>5608</v>
      </c>
      <c r="K930" s="162" t="s">
        <v>5610</v>
      </c>
      <c r="L930" s="162" t="s">
        <v>5609</v>
      </c>
      <c r="M930" s="111">
        <v>79.924000000000007</v>
      </c>
      <c r="N930" s="111">
        <v>79.924000000000007</v>
      </c>
      <c r="O930" s="111"/>
      <c r="P930" s="111"/>
      <c r="Q930" s="111"/>
      <c r="R930" s="111"/>
      <c r="S930" s="1249">
        <v>1</v>
      </c>
      <c r="T930" s="1250">
        <v>26.641333333333336</v>
      </c>
      <c r="U930" s="1250"/>
      <c r="V930" s="1250"/>
      <c r="W930" s="1251">
        <v>0</v>
      </c>
      <c r="X930" s="1250">
        <v>26.641333333333336</v>
      </c>
      <c r="Y930" s="1250"/>
      <c r="Z930" s="1250"/>
      <c r="AA930" s="1250"/>
      <c r="AB930" s="1250"/>
      <c r="AC930" s="1250"/>
      <c r="AD930" s="1250"/>
      <c r="AE930" s="1249">
        <v>0</v>
      </c>
      <c r="AF930" s="1250">
        <v>26.641333333333336</v>
      </c>
      <c r="AG930" s="111"/>
      <c r="AH930" s="111"/>
      <c r="AI930" s="111"/>
      <c r="AJ930" s="111"/>
      <c r="AK930" s="111"/>
      <c r="AL930" s="111"/>
      <c r="AM930" s="111">
        <v>79.924000000000007</v>
      </c>
    </row>
    <row r="931" spans="1:39" ht="15" customHeight="1" x14ac:dyDescent="0.25">
      <c r="A931" s="1409"/>
      <c r="B931" s="1409"/>
      <c r="C931" s="1409"/>
      <c r="D931" s="1409"/>
      <c r="E931" s="1247"/>
      <c r="F931" s="1248" t="s">
        <v>4818</v>
      </c>
      <c r="G931" s="111"/>
      <c r="H931" s="1249">
        <v>168</v>
      </c>
      <c r="I931" s="111" t="s">
        <v>1721</v>
      </c>
      <c r="J931" s="1321" t="s">
        <v>5608</v>
      </c>
      <c r="K931" s="162" t="s">
        <v>5610</v>
      </c>
      <c r="L931" s="162" t="s">
        <v>5609</v>
      </c>
      <c r="M931" s="111">
        <v>86.9</v>
      </c>
      <c r="N931" s="111">
        <v>14599.2</v>
      </c>
      <c r="O931" s="111"/>
      <c r="P931" s="111"/>
      <c r="Q931" s="111"/>
      <c r="R931" s="111"/>
      <c r="S931" s="1249">
        <v>68</v>
      </c>
      <c r="T931" s="1250">
        <v>4866.4000000000005</v>
      </c>
      <c r="U931" s="1250"/>
      <c r="V931" s="1250"/>
      <c r="W931" s="1251">
        <v>50</v>
      </c>
      <c r="X931" s="1250">
        <v>4866.4000000000005</v>
      </c>
      <c r="Y931" s="1250"/>
      <c r="Z931" s="1250"/>
      <c r="AA931" s="1250"/>
      <c r="AB931" s="1250"/>
      <c r="AC931" s="1250"/>
      <c r="AD931" s="1250"/>
      <c r="AE931" s="1249">
        <v>50</v>
      </c>
      <c r="AF931" s="1250">
        <v>4866.4000000000005</v>
      </c>
      <c r="AG931" s="111"/>
      <c r="AH931" s="111"/>
      <c r="AI931" s="111"/>
      <c r="AJ931" s="111"/>
      <c r="AK931" s="111"/>
      <c r="AL931" s="111"/>
      <c r="AM931" s="111">
        <v>14599.2</v>
      </c>
    </row>
    <row r="932" spans="1:39" ht="15" customHeight="1" x14ac:dyDescent="0.25">
      <c r="A932" s="1409"/>
      <c r="B932" s="1409"/>
      <c r="C932" s="1409"/>
      <c r="D932" s="1409"/>
      <c r="E932" s="1247"/>
      <c r="F932" s="1248"/>
      <c r="G932" s="111"/>
      <c r="H932" s="1249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249"/>
      <c r="T932" s="1250"/>
      <c r="U932" s="1250"/>
      <c r="V932" s="1250"/>
      <c r="W932" s="1251"/>
      <c r="X932" s="1250"/>
      <c r="Y932" s="1250"/>
      <c r="Z932" s="1250"/>
      <c r="AA932" s="1250"/>
      <c r="AB932" s="1250"/>
      <c r="AC932" s="1250"/>
      <c r="AD932" s="1250"/>
      <c r="AE932" s="1249"/>
      <c r="AF932" s="1250"/>
      <c r="AG932" s="111"/>
      <c r="AH932" s="111"/>
      <c r="AI932" s="111"/>
      <c r="AJ932" s="111"/>
      <c r="AK932" s="111"/>
      <c r="AL932" s="111"/>
      <c r="AM932" s="111"/>
    </row>
    <row r="933" spans="1:39" ht="15" customHeight="1" x14ac:dyDescent="0.25">
      <c r="A933" s="1409"/>
      <c r="B933" s="1409"/>
      <c r="C933" s="1409"/>
      <c r="D933" s="1409"/>
      <c r="E933" s="1261">
        <v>22106</v>
      </c>
      <c r="F933" s="1319" t="s">
        <v>475</v>
      </c>
      <c r="G933" s="1315"/>
      <c r="H933" s="1316"/>
      <c r="I933" s="1315"/>
      <c r="J933" s="1315"/>
      <c r="K933" s="1315"/>
      <c r="L933" s="1315"/>
      <c r="M933" s="1315"/>
      <c r="N933" s="1315"/>
      <c r="O933" s="1315"/>
      <c r="P933" s="1315"/>
      <c r="Q933" s="1315"/>
      <c r="R933" s="1315"/>
      <c r="S933" s="1316"/>
      <c r="T933" s="1317"/>
      <c r="U933" s="1317"/>
      <c r="V933" s="1317"/>
      <c r="W933" s="1318"/>
      <c r="X933" s="1317"/>
      <c r="Y933" s="1317"/>
      <c r="Z933" s="1317"/>
      <c r="AA933" s="1317"/>
      <c r="AB933" s="1317"/>
      <c r="AC933" s="1317"/>
      <c r="AD933" s="1317"/>
      <c r="AE933" s="1316"/>
      <c r="AF933" s="1317"/>
      <c r="AG933" s="1315"/>
      <c r="AH933" s="1315"/>
      <c r="AI933" s="1315"/>
      <c r="AJ933" s="1315"/>
      <c r="AK933" s="1315"/>
      <c r="AL933" s="1315"/>
      <c r="AM933" s="1315"/>
    </row>
    <row r="934" spans="1:39" ht="15" customHeight="1" x14ac:dyDescent="0.25">
      <c r="A934" s="1409"/>
      <c r="B934" s="1409"/>
      <c r="C934" s="1409"/>
      <c r="D934" s="1409"/>
      <c r="E934" s="1247"/>
      <c r="F934" s="1248" t="s">
        <v>4819</v>
      </c>
      <c r="G934" s="111"/>
      <c r="H934" s="1249">
        <v>792</v>
      </c>
      <c r="I934" s="111" t="s">
        <v>1827</v>
      </c>
      <c r="J934" s="1321" t="s">
        <v>5608</v>
      </c>
      <c r="K934" s="162" t="s">
        <v>5610</v>
      </c>
      <c r="L934" s="162" t="s">
        <v>5609</v>
      </c>
      <c r="M934" s="111">
        <v>52.027999999999999</v>
      </c>
      <c r="N934" s="111">
        <v>41206.175999999999</v>
      </c>
      <c r="O934" s="111"/>
      <c r="P934" s="111"/>
      <c r="Q934" s="111"/>
      <c r="R934" s="111"/>
      <c r="S934" s="1249">
        <v>300</v>
      </c>
      <c r="T934" s="1250">
        <v>13735.392</v>
      </c>
      <c r="U934" s="1250"/>
      <c r="V934" s="1250"/>
      <c r="W934" s="1251">
        <v>300</v>
      </c>
      <c r="X934" s="1250">
        <v>13735.392</v>
      </c>
      <c r="Y934" s="1250"/>
      <c r="Z934" s="1250"/>
      <c r="AA934" s="1250"/>
      <c r="AB934" s="1250"/>
      <c r="AC934" s="1250"/>
      <c r="AD934" s="1250"/>
      <c r="AE934" s="1249">
        <v>192</v>
      </c>
      <c r="AF934" s="1250">
        <v>13735.392</v>
      </c>
      <c r="AG934" s="111"/>
      <c r="AH934" s="111"/>
      <c r="AI934" s="111"/>
      <c r="AJ934" s="111"/>
      <c r="AK934" s="111"/>
      <c r="AL934" s="111"/>
      <c r="AM934" s="111">
        <v>41206.175999999999</v>
      </c>
    </row>
    <row r="935" spans="1:39" ht="15" customHeight="1" x14ac:dyDescent="0.25">
      <c r="A935" s="1409"/>
      <c r="B935" s="1409"/>
      <c r="C935" s="1409"/>
      <c r="D935" s="1409"/>
      <c r="E935" s="1247"/>
      <c r="F935" s="1248" t="s">
        <v>4820</v>
      </c>
      <c r="G935" s="111"/>
      <c r="H935" s="1249">
        <v>60</v>
      </c>
      <c r="I935" s="111" t="s">
        <v>1721</v>
      </c>
      <c r="J935" s="1321" t="s">
        <v>5608</v>
      </c>
      <c r="K935" s="162" t="s">
        <v>5610</v>
      </c>
      <c r="L935" s="162" t="s">
        <v>5609</v>
      </c>
      <c r="M935" s="111">
        <v>32.4</v>
      </c>
      <c r="N935" s="111">
        <v>1944</v>
      </c>
      <c r="O935" s="111"/>
      <c r="P935" s="111"/>
      <c r="Q935" s="111"/>
      <c r="R935" s="111"/>
      <c r="S935" s="1249">
        <v>30</v>
      </c>
      <c r="T935" s="1250">
        <v>648</v>
      </c>
      <c r="U935" s="1250"/>
      <c r="V935" s="1250"/>
      <c r="W935" s="1251">
        <v>20</v>
      </c>
      <c r="X935" s="1250">
        <v>648</v>
      </c>
      <c r="Y935" s="1250"/>
      <c r="Z935" s="1250"/>
      <c r="AA935" s="1250"/>
      <c r="AB935" s="1250"/>
      <c r="AC935" s="1250"/>
      <c r="AD935" s="1250"/>
      <c r="AE935" s="1249">
        <v>10</v>
      </c>
      <c r="AF935" s="1250">
        <v>648</v>
      </c>
      <c r="AG935" s="111"/>
      <c r="AH935" s="111"/>
      <c r="AI935" s="111"/>
      <c r="AJ935" s="111"/>
      <c r="AK935" s="111"/>
      <c r="AL935" s="111"/>
      <c r="AM935" s="111">
        <v>1944</v>
      </c>
    </row>
    <row r="936" spans="1:39" ht="15" customHeight="1" x14ac:dyDescent="0.25">
      <c r="A936" s="1409"/>
      <c r="B936" s="1409"/>
      <c r="C936" s="1409"/>
      <c r="D936" s="1409"/>
      <c r="E936" s="1247"/>
      <c r="F936" s="1248" t="s">
        <v>2726</v>
      </c>
      <c r="G936" s="111"/>
      <c r="H936" s="1249">
        <v>30</v>
      </c>
      <c r="I936" s="111" t="s">
        <v>1827</v>
      </c>
      <c r="J936" s="1321" t="s">
        <v>5608</v>
      </c>
      <c r="K936" s="162" t="s">
        <v>5610</v>
      </c>
      <c r="L936" s="162" t="s">
        <v>5609</v>
      </c>
      <c r="M936" s="111">
        <v>185.97119999999998</v>
      </c>
      <c r="N936" s="111">
        <v>5579.1359999999995</v>
      </c>
      <c r="O936" s="111"/>
      <c r="P936" s="111"/>
      <c r="Q936" s="111"/>
      <c r="R936" s="111"/>
      <c r="S936" s="1249">
        <v>10</v>
      </c>
      <c r="T936" s="1250">
        <v>1859.7119999999998</v>
      </c>
      <c r="U936" s="1250"/>
      <c r="V936" s="1250"/>
      <c r="W936" s="1251">
        <v>10</v>
      </c>
      <c r="X936" s="1250">
        <v>1859.7119999999998</v>
      </c>
      <c r="Y936" s="1250"/>
      <c r="Z936" s="1250"/>
      <c r="AA936" s="1250"/>
      <c r="AB936" s="1250"/>
      <c r="AC936" s="1250"/>
      <c r="AD936" s="1250"/>
      <c r="AE936" s="1249">
        <v>10</v>
      </c>
      <c r="AF936" s="1250">
        <v>1859.7119999999998</v>
      </c>
      <c r="AG936" s="111"/>
      <c r="AH936" s="111"/>
      <c r="AI936" s="111"/>
      <c r="AJ936" s="111"/>
      <c r="AK936" s="111"/>
      <c r="AL936" s="111"/>
      <c r="AM936" s="111">
        <v>5579.1359999999995</v>
      </c>
    </row>
    <row r="937" spans="1:39" ht="15" customHeight="1" x14ac:dyDescent="0.25">
      <c r="A937" s="1409"/>
      <c r="B937" s="1409"/>
      <c r="C937" s="1409"/>
      <c r="D937" s="1409"/>
      <c r="E937" s="1247"/>
      <c r="F937" s="1248" t="s">
        <v>2727</v>
      </c>
      <c r="G937" s="111"/>
      <c r="H937" s="1249">
        <v>34</v>
      </c>
      <c r="I937" s="111" t="s">
        <v>1827</v>
      </c>
      <c r="J937" s="1321" t="s">
        <v>5608</v>
      </c>
      <c r="K937" s="162" t="s">
        <v>5610</v>
      </c>
      <c r="L937" s="162" t="s">
        <v>5609</v>
      </c>
      <c r="M937" s="111">
        <v>199.82159999999999</v>
      </c>
      <c r="N937" s="111">
        <v>6793.9344000000001</v>
      </c>
      <c r="O937" s="111"/>
      <c r="P937" s="111"/>
      <c r="Q937" s="111"/>
      <c r="R937" s="111"/>
      <c r="S937" s="1249">
        <v>14</v>
      </c>
      <c r="T937" s="1250">
        <v>2264.6448</v>
      </c>
      <c r="U937" s="1250"/>
      <c r="V937" s="1250"/>
      <c r="W937" s="1251">
        <v>10</v>
      </c>
      <c r="X937" s="1250">
        <v>2264.6448</v>
      </c>
      <c r="Y937" s="1250"/>
      <c r="Z937" s="1250"/>
      <c r="AA937" s="1250"/>
      <c r="AB937" s="1250"/>
      <c r="AC937" s="1250"/>
      <c r="AD937" s="1250"/>
      <c r="AE937" s="1249">
        <v>10</v>
      </c>
      <c r="AF937" s="1250">
        <v>2264.6448</v>
      </c>
      <c r="AG937" s="111"/>
      <c r="AH937" s="111"/>
      <c r="AI937" s="111"/>
      <c r="AJ937" s="111"/>
      <c r="AK937" s="111"/>
      <c r="AL937" s="111"/>
      <c r="AM937" s="111">
        <v>6793.9344000000001</v>
      </c>
    </row>
    <row r="938" spans="1:39" ht="15" customHeight="1" x14ac:dyDescent="0.25">
      <c r="A938" s="1409"/>
      <c r="B938" s="1409"/>
      <c r="C938" s="1409"/>
      <c r="D938" s="1409"/>
      <c r="E938" s="1247"/>
      <c r="F938" s="1248" t="s">
        <v>4821</v>
      </c>
      <c r="G938" s="111"/>
      <c r="H938" s="1249">
        <v>75</v>
      </c>
      <c r="I938" s="111" t="s">
        <v>1721</v>
      </c>
      <c r="J938" s="1321" t="s">
        <v>5608</v>
      </c>
      <c r="K938" s="162" t="s">
        <v>5610</v>
      </c>
      <c r="L938" s="162" t="s">
        <v>5609</v>
      </c>
      <c r="M938" s="111">
        <v>136.42759999999998</v>
      </c>
      <c r="N938" s="111">
        <v>10232.07</v>
      </c>
      <c r="O938" s="111"/>
      <c r="P938" s="111"/>
      <c r="Q938" s="111"/>
      <c r="R938" s="111"/>
      <c r="S938" s="1249">
        <v>30</v>
      </c>
      <c r="T938" s="1250">
        <v>3410.69</v>
      </c>
      <c r="U938" s="1250"/>
      <c r="V938" s="1250"/>
      <c r="W938" s="1251">
        <v>30</v>
      </c>
      <c r="X938" s="1250">
        <v>3410.69</v>
      </c>
      <c r="Y938" s="1250"/>
      <c r="Z938" s="1250"/>
      <c r="AA938" s="1250"/>
      <c r="AB938" s="1250"/>
      <c r="AC938" s="1250"/>
      <c r="AD938" s="1250"/>
      <c r="AE938" s="1249">
        <v>15</v>
      </c>
      <c r="AF938" s="1250">
        <v>3410.69</v>
      </c>
      <c r="AG938" s="111"/>
      <c r="AH938" s="111"/>
      <c r="AI938" s="111"/>
      <c r="AJ938" s="111"/>
      <c r="AK938" s="111"/>
      <c r="AL938" s="111"/>
      <c r="AM938" s="111">
        <v>10232.07</v>
      </c>
    </row>
    <row r="939" spans="1:39" ht="15" customHeight="1" x14ac:dyDescent="0.25">
      <c r="A939" s="1409"/>
      <c r="B939" s="1409"/>
      <c r="C939" s="1409"/>
      <c r="D939" s="1409"/>
      <c r="E939" s="1247"/>
      <c r="F939" s="1248"/>
      <c r="G939" s="111"/>
      <c r="H939" s="1249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249"/>
      <c r="T939" s="1250"/>
      <c r="U939" s="1250"/>
      <c r="V939" s="1250"/>
      <c r="W939" s="1251"/>
      <c r="X939" s="1250"/>
      <c r="Y939" s="1250"/>
      <c r="Z939" s="1250"/>
      <c r="AA939" s="1250"/>
      <c r="AB939" s="1250"/>
      <c r="AC939" s="1250"/>
      <c r="AD939" s="1250"/>
      <c r="AE939" s="1249"/>
      <c r="AF939" s="1250"/>
      <c r="AG939" s="111"/>
      <c r="AH939" s="111"/>
      <c r="AI939" s="111"/>
      <c r="AJ939" s="111"/>
      <c r="AK939" s="111"/>
      <c r="AL939" s="111"/>
      <c r="AM939" s="111"/>
    </row>
    <row r="940" spans="1:39" ht="15" customHeight="1" x14ac:dyDescent="0.25">
      <c r="A940" s="1409"/>
      <c r="B940" s="1409"/>
      <c r="C940" s="1409"/>
      <c r="D940" s="1409"/>
      <c r="E940" s="1218">
        <v>222</v>
      </c>
      <c r="F940" s="1268" t="s">
        <v>481</v>
      </c>
      <c r="G940" s="1218"/>
      <c r="H940" s="1218"/>
      <c r="I940" s="1218"/>
      <c r="J940" s="1218"/>
      <c r="K940" s="1218"/>
      <c r="L940" s="1218"/>
      <c r="M940" s="1218"/>
      <c r="N940" s="1218"/>
      <c r="O940" s="1218"/>
      <c r="P940" s="1218"/>
      <c r="Q940" s="1218"/>
      <c r="R940" s="1218"/>
      <c r="S940" s="1218"/>
      <c r="T940" s="1218"/>
      <c r="U940" s="1218"/>
      <c r="V940" s="1218"/>
      <c r="W940" s="1218"/>
      <c r="X940" s="1218"/>
      <c r="Y940" s="1218"/>
      <c r="Z940" s="1218"/>
      <c r="AA940" s="1218"/>
      <c r="AB940" s="1218"/>
      <c r="AC940" s="1218"/>
      <c r="AD940" s="1218"/>
      <c r="AE940" s="1218"/>
      <c r="AF940" s="1218"/>
      <c r="AG940" s="1218"/>
      <c r="AH940" s="1218"/>
      <c r="AI940" s="1218"/>
      <c r="AJ940" s="1218"/>
      <c r="AK940" s="1218"/>
      <c r="AL940" s="1218"/>
      <c r="AM940" s="1218"/>
    </row>
    <row r="941" spans="1:39" ht="15" customHeight="1" x14ac:dyDescent="0.25">
      <c r="A941" s="1409"/>
      <c r="B941" s="1409"/>
      <c r="C941" s="1409"/>
      <c r="D941" s="1409"/>
      <c r="E941" s="1247"/>
      <c r="F941" s="1248"/>
      <c r="G941" s="111"/>
      <c r="H941" s="1249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249"/>
      <c r="T941" s="1250"/>
      <c r="U941" s="1250"/>
      <c r="V941" s="1250"/>
      <c r="W941" s="1251"/>
      <c r="X941" s="1250"/>
      <c r="Y941" s="1250"/>
      <c r="Z941" s="1250"/>
      <c r="AA941" s="1250"/>
      <c r="AB941" s="1250"/>
      <c r="AC941" s="1250"/>
      <c r="AD941" s="1250"/>
      <c r="AE941" s="1249"/>
      <c r="AF941" s="1250"/>
      <c r="AG941" s="111"/>
      <c r="AH941" s="111"/>
      <c r="AI941" s="111"/>
      <c r="AJ941" s="111"/>
      <c r="AK941" s="111"/>
      <c r="AL941" s="111"/>
      <c r="AM941" s="111"/>
    </row>
    <row r="942" spans="1:39" ht="15" customHeight="1" x14ac:dyDescent="0.25">
      <c r="A942" s="1409"/>
      <c r="B942" s="1409"/>
      <c r="C942" s="1409"/>
      <c r="D942" s="1409"/>
      <c r="E942" s="1261">
        <v>22302</v>
      </c>
      <c r="F942" s="1262" t="s">
        <v>488</v>
      </c>
      <c r="G942" s="1261"/>
      <c r="H942" s="1261"/>
      <c r="I942" s="1261"/>
      <c r="J942" s="1261"/>
      <c r="K942" s="1261"/>
      <c r="L942" s="1261"/>
      <c r="M942" s="1261"/>
      <c r="N942" s="1261"/>
      <c r="O942" s="1261"/>
      <c r="P942" s="1261"/>
      <c r="Q942" s="1261"/>
      <c r="R942" s="1261"/>
      <c r="S942" s="1261"/>
      <c r="T942" s="1261"/>
      <c r="U942" s="1261"/>
      <c r="V942" s="1261"/>
      <c r="W942" s="1261"/>
      <c r="X942" s="1261"/>
      <c r="Y942" s="1261"/>
      <c r="Z942" s="1261"/>
      <c r="AA942" s="1261"/>
      <c r="AB942" s="1261"/>
      <c r="AC942" s="1261"/>
      <c r="AD942" s="1261"/>
      <c r="AE942" s="1261"/>
      <c r="AF942" s="1261"/>
      <c r="AG942" s="1261"/>
      <c r="AH942" s="1261"/>
      <c r="AI942" s="1261"/>
      <c r="AJ942" s="1261"/>
      <c r="AK942" s="1261"/>
      <c r="AL942" s="1261"/>
      <c r="AM942" s="1261"/>
    </row>
    <row r="943" spans="1:39" ht="15" customHeight="1" x14ac:dyDescent="0.25">
      <c r="A943" s="1409"/>
      <c r="B943" s="1409"/>
      <c r="C943" s="1409"/>
      <c r="D943" s="1409"/>
      <c r="E943" s="1247"/>
      <c r="F943" s="1248" t="s">
        <v>2950</v>
      </c>
      <c r="G943" s="111"/>
      <c r="H943" s="1249">
        <v>1</v>
      </c>
      <c r="I943" s="111" t="s">
        <v>1873</v>
      </c>
      <c r="J943" s="1321" t="s">
        <v>5608</v>
      </c>
      <c r="K943" s="162" t="s">
        <v>5610</v>
      </c>
      <c r="L943" s="162" t="s">
        <v>5609</v>
      </c>
      <c r="M943" s="111">
        <v>10.26</v>
      </c>
      <c r="N943" s="111">
        <v>10.26</v>
      </c>
      <c r="O943" s="111"/>
      <c r="P943" s="111"/>
      <c r="Q943" s="111"/>
      <c r="R943" s="111"/>
      <c r="S943" s="1249">
        <v>1</v>
      </c>
      <c r="T943" s="1250">
        <v>3.42</v>
      </c>
      <c r="U943" s="1250"/>
      <c r="V943" s="1250"/>
      <c r="W943" s="1251">
        <v>0</v>
      </c>
      <c r="X943" s="1250">
        <v>3.42</v>
      </c>
      <c r="Y943" s="1250"/>
      <c r="Z943" s="1250"/>
      <c r="AA943" s="1250"/>
      <c r="AB943" s="1250"/>
      <c r="AC943" s="1250"/>
      <c r="AD943" s="1250"/>
      <c r="AE943" s="1249">
        <v>0</v>
      </c>
      <c r="AF943" s="1250">
        <v>3.42</v>
      </c>
      <c r="AG943" s="111"/>
      <c r="AH943" s="111"/>
      <c r="AI943" s="111"/>
      <c r="AJ943" s="111"/>
      <c r="AK943" s="111"/>
      <c r="AL943" s="111"/>
      <c r="AM943" s="111">
        <v>10.26</v>
      </c>
    </row>
    <row r="944" spans="1:39" ht="15" customHeight="1" x14ac:dyDescent="0.25">
      <c r="A944" s="1409"/>
      <c r="B944" s="1409"/>
      <c r="C944" s="1409"/>
      <c r="D944" s="1409"/>
      <c r="E944" s="1247"/>
      <c r="F944" s="1248" t="s">
        <v>4822</v>
      </c>
      <c r="G944" s="111"/>
      <c r="H944" s="1249">
        <v>1</v>
      </c>
      <c r="I944" s="111" t="s">
        <v>1721</v>
      </c>
      <c r="J944" s="1321" t="s">
        <v>5608</v>
      </c>
      <c r="K944" s="162" t="s">
        <v>5610</v>
      </c>
      <c r="L944" s="162" t="s">
        <v>5609</v>
      </c>
      <c r="M944" s="111">
        <v>911.48</v>
      </c>
      <c r="N944" s="111">
        <v>911.48</v>
      </c>
      <c r="O944" s="111"/>
      <c r="P944" s="111"/>
      <c r="Q944" s="111"/>
      <c r="R944" s="111"/>
      <c r="S944" s="1249">
        <v>1</v>
      </c>
      <c r="T944" s="1250">
        <v>303.82666666666665</v>
      </c>
      <c r="U944" s="1250"/>
      <c r="V944" s="1250"/>
      <c r="W944" s="1251">
        <v>0</v>
      </c>
      <c r="X944" s="1250">
        <v>303.82666666666665</v>
      </c>
      <c r="Y944" s="1250"/>
      <c r="Z944" s="1250"/>
      <c r="AA944" s="1250"/>
      <c r="AB944" s="1250"/>
      <c r="AC944" s="1250"/>
      <c r="AD944" s="1250"/>
      <c r="AE944" s="1249">
        <v>0</v>
      </c>
      <c r="AF944" s="1250">
        <v>303.82666666666665</v>
      </c>
      <c r="AG944" s="111"/>
      <c r="AH944" s="111"/>
      <c r="AI944" s="111"/>
      <c r="AJ944" s="111"/>
      <c r="AK944" s="111"/>
      <c r="AL944" s="111"/>
      <c r="AM944" s="111">
        <v>911.48</v>
      </c>
    </row>
    <row r="945" spans="1:39" ht="15" customHeight="1" x14ac:dyDescent="0.25">
      <c r="A945" s="1409"/>
      <c r="B945" s="1409"/>
      <c r="C945" s="1409"/>
      <c r="D945" s="1409"/>
      <c r="E945" s="1247"/>
      <c r="F945" s="1248" t="s">
        <v>4823</v>
      </c>
      <c r="G945" s="111"/>
      <c r="H945" s="1249">
        <v>1</v>
      </c>
      <c r="I945" s="111" t="s">
        <v>1721</v>
      </c>
      <c r="J945" s="1321" t="s">
        <v>5608</v>
      </c>
      <c r="K945" s="162" t="s">
        <v>5610</v>
      </c>
      <c r="L945" s="162" t="s">
        <v>5609</v>
      </c>
      <c r="M945" s="111">
        <v>194.58</v>
      </c>
      <c r="N945" s="111">
        <v>194.58</v>
      </c>
      <c r="O945" s="111"/>
      <c r="P945" s="111"/>
      <c r="Q945" s="111"/>
      <c r="R945" s="111"/>
      <c r="S945" s="1249">
        <v>1</v>
      </c>
      <c r="T945" s="1250">
        <v>64.86</v>
      </c>
      <c r="U945" s="1250"/>
      <c r="V945" s="1250"/>
      <c r="W945" s="1251">
        <v>0</v>
      </c>
      <c r="X945" s="1250">
        <v>64.86</v>
      </c>
      <c r="Y945" s="1250"/>
      <c r="Z945" s="1250"/>
      <c r="AA945" s="1250"/>
      <c r="AB945" s="1250"/>
      <c r="AC945" s="1250"/>
      <c r="AD945" s="1250"/>
      <c r="AE945" s="1249">
        <v>0</v>
      </c>
      <c r="AF945" s="1250">
        <v>64.86</v>
      </c>
      <c r="AG945" s="111"/>
      <c r="AH945" s="111"/>
      <c r="AI945" s="111"/>
      <c r="AJ945" s="111"/>
      <c r="AK945" s="111"/>
      <c r="AL945" s="111"/>
      <c r="AM945" s="111">
        <v>194.58</v>
      </c>
    </row>
    <row r="946" spans="1:39" ht="15" customHeight="1" x14ac:dyDescent="0.25">
      <c r="A946" s="1409"/>
      <c r="B946" s="1409"/>
      <c r="C946" s="1409"/>
      <c r="D946" s="1409"/>
      <c r="E946" s="1247"/>
      <c r="F946" s="1248" t="s">
        <v>4824</v>
      </c>
      <c r="G946" s="111"/>
      <c r="H946" s="1249">
        <v>1</v>
      </c>
      <c r="I946" s="111" t="s">
        <v>1721</v>
      </c>
      <c r="J946" s="1321" t="s">
        <v>5608</v>
      </c>
      <c r="K946" s="162" t="s">
        <v>5610</v>
      </c>
      <c r="L946" s="162" t="s">
        <v>5609</v>
      </c>
      <c r="M946" s="111">
        <v>1048.99</v>
      </c>
      <c r="N946" s="111">
        <v>1048.99</v>
      </c>
      <c r="O946" s="111"/>
      <c r="P946" s="111"/>
      <c r="Q946" s="111"/>
      <c r="R946" s="111"/>
      <c r="S946" s="1249">
        <v>1</v>
      </c>
      <c r="T946" s="1250">
        <v>349.66333333333336</v>
      </c>
      <c r="U946" s="1250"/>
      <c r="V946" s="1250"/>
      <c r="W946" s="1251">
        <v>0</v>
      </c>
      <c r="X946" s="1250">
        <v>349.66333333333336</v>
      </c>
      <c r="Y946" s="1250"/>
      <c r="Z946" s="1250"/>
      <c r="AA946" s="1250"/>
      <c r="AB946" s="1250"/>
      <c r="AC946" s="1250"/>
      <c r="AD946" s="1250"/>
      <c r="AE946" s="1249">
        <v>0</v>
      </c>
      <c r="AF946" s="1250">
        <v>349.66333333333336</v>
      </c>
      <c r="AG946" s="111"/>
      <c r="AH946" s="111"/>
      <c r="AI946" s="111"/>
      <c r="AJ946" s="111"/>
      <c r="AK946" s="111"/>
      <c r="AL946" s="111"/>
      <c r="AM946" s="111">
        <v>1048.99</v>
      </c>
    </row>
    <row r="947" spans="1:39" ht="15" customHeight="1" x14ac:dyDescent="0.25">
      <c r="A947" s="1409"/>
      <c r="B947" s="1409"/>
      <c r="C947" s="1409"/>
      <c r="D947" s="1409"/>
      <c r="E947" s="1247"/>
      <c r="F947" s="1248" t="s">
        <v>4825</v>
      </c>
      <c r="G947" s="111"/>
      <c r="H947" s="1249">
        <v>1</v>
      </c>
      <c r="I947" s="111" t="s">
        <v>1721</v>
      </c>
      <c r="J947" s="1321" t="s">
        <v>5608</v>
      </c>
      <c r="K947" s="162" t="s">
        <v>5610</v>
      </c>
      <c r="L947" s="162" t="s">
        <v>5609</v>
      </c>
      <c r="M947" s="111">
        <v>35.64</v>
      </c>
      <c r="N947" s="111">
        <v>35.64</v>
      </c>
      <c r="O947" s="111"/>
      <c r="P947" s="111"/>
      <c r="Q947" s="111"/>
      <c r="R947" s="111"/>
      <c r="S947" s="1249">
        <v>1</v>
      </c>
      <c r="T947" s="1250">
        <v>11.88</v>
      </c>
      <c r="U947" s="1250"/>
      <c r="V947" s="1250"/>
      <c r="W947" s="1251">
        <v>0</v>
      </c>
      <c r="X947" s="1250">
        <v>11.88</v>
      </c>
      <c r="Y947" s="1250"/>
      <c r="Z947" s="1250"/>
      <c r="AA947" s="1250"/>
      <c r="AB947" s="1250"/>
      <c r="AC947" s="1250"/>
      <c r="AD947" s="1250"/>
      <c r="AE947" s="1249">
        <v>0</v>
      </c>
      <c r="AF947" s="1250">
        <v>11.88</v>
      </c>
      <c r="AG947" s="111"/>
      <c r="AH947" s="111"/>
      <c r="AI947" s="111"/>
      <c r="AJ947" s="111"/>
      <c r="AK947" s="111"/>
      <c r="AL947" s="111"/>
      <c r="AM947" s="111">
        <v>35.64</v>
      </c>
    </row>
    <row r="948" spans="1:39" ht="15" customHeight="1" x14ac:dyDescent="0.25">
      <c r="A948" s="1409"/>
      <c r="B948" s="1409"/>
      <c r="C948" s="1409"/>
      <c r="D948" s="1409"/>
      <c r="E948" s="1247"/>
      <c r="F948" s="1248" t="s">
        <v>4826</v>
      </c>
      <c r="G948" s="111"/>
      <c r="H948" s="1249">
        <v>1</v>
      </c>
      <c r="I948" s="111" t="s">
        <v>1721</v>
      </c>
      <c r="J948" s="1321" t="s">
        <v>5608</v>
      </c>
      <c r="K948" s="162" t="s">
        <v>5610</v>
      </c>
      <c r="L948" s="162" t="s">
        <v>5609</v>
      </c>
      <c r="M948" s="111">
        <v>58.21</v>
      </c>
      <c r="N948" s="111">
        <v>58.21</v>
      </c>
      <c r="O948" s="111"/>
      <c r="P948" s="111"/>
      <c r="Q948" s="111"/>
      <c r="R948" s="111"/>
      <c r="S948" s="1249">
        <v>1</v>
      </c>
      <c r="T948" s="1250">
        <v>19.403333333333332</v>
      </c>
      <c r="U948" s="1250"/>
      <c r="V948" s="1250"/>
      <c r="W948" s="1251">
        <v>0</v>
      </c>
      <c r="X948" s="1250">
        <v>19.403333333333332</v>
      </c>
      <c r="Y948" s="1250"/>
      <c r="Z948" s="1250"/>
      <c r="AA948" s="1250"/>
      <c r="AB948" s="1250"/>
      <c r="AC948" s="1250"/>
      <c r="AD948" s="1250"/>
      <c r="AE948" s="1249">
        <v>0</v>
      </c>
      <c r="AF948" s="1250">
        <v>19.403333333333332</v>
      </c>
      <c r="AG948" s="111"/>
      <c r="AH948" s="111"/>
      <c r="AI948" s="111"/>
      <c r="AJ948" s="111"/>
      <c r="AK948" s="111"/>
      <c r="AL948" s="111"/>
      <c r="AM948" s="111">
        <v>58.21</v>
      </c>
    </row>
    <row r="949" spans="1:39" ht="15" customHeight="1" x14ac:dyDescent="0.25">
      <c r="A949" s="1409"/>
      <c r="B949" s="1409"/>
      <c r="C949" s="1409"/>
      <c r="D949" s="1409"/>
      <c r="E949" s="1247"/>
      <c r="F949" s="1248" t="s">
        <v>4827</v>
      </c>
      <c r="G949" s="111"/>
      <c r="H949" s="1249">
        <v>1</v>
      </c>
      <c r="I949" s="111" t="s">
        <v>1721</v>
      </c>
      <c r="J949" s="1321" t="s">
        <v>5608</v>
      </c>
      <c r="K949" s="162" t="s">
        <v>5610</v>
      </c>
      <c r="L949" s="162" t="s">
        <v>5609</v>
      </c>
      <c r="M949" s="111">
        <v>71.27</v>
      </c>
      <c r="N949" s="111">
        <v>71.27</v>
      </c>
      <c r="O949" s="111"/>
      <c r="P949" s="111"/>
      <c r="Q949" s="111"/>
      <c r="R949" s="111"/>
      <c r="S949" s="1249">
        <v>1</v>
      </c>
      <c r="T949" s="1250">
        <v>23.756666666666664</v>
      </c>
      <c r="U949" s="1250"/>
      <c r="V949" s="1250"/>
      <c r="W949" s="1251">
        <v>0</v>
      </c>
      <c r="X949" s="1250">
        <v>23.756666666666664</v>
      </c>
      <c r="Y949" s="1250"/>
      <c r="Z949" s="1250"/>
      <c r="AA949" s="1250"/>
      <c r="AB949" s="1250"/>
      <c r="AC949" s="1250"/>
      <c r="AD949" s="1250"/>
      <c r="AE949" s="1249">
        <v>0</v>
      </c>
      <c r="AF949" s="1250">
        <v>23.756666666666664</v>
      </c>
      <c r="AG949" s="111"/>
      <c r="AH949" s="111"/>
      <c r="AI949" s="111"/>
      <c r="AJ949" s="111"/>
      <c r="AK949" s="111"/>
      <c r="AL949" s="111"/>
      <c r="AM949" s="111">
        <v>71.27</v>
      </c>
    </row>
    <row r="950" spans="1:39" ht="15" customHeight="1" x14ac:dyDescent="0.25">
      <c r="A950" s="1409"/>
      <c r="B950" s="1409"/>
      <c r="C950" s="1409"/>
      <c r="D950" s="1409"/>
      <c r="E950" s="1247"/>
      <c r="F950" s="1248" t="s">
        <v>4828</v>
      </c>
      <c r="G950" s="111"/>
      <c r="H950" s="1249">
        <v>1</v>
      </c>
      <c r="I950" s="111" t="s">
        <v>1721</v>
      </c>
      <c r="J950" s="1321" t="s">
        <v>5608</v>
      </c>
      <c r="K950" s="162" t="s">
        <v>5610</v>
      </c>
      <c r="L950" s="162" t="s">
        <v>5609</v>
      </c>
      <c r="M950" s="111">
        <v>89.09</v>
      </c>
      <c r="N950" s="111">
        <v>89.09</v>
      </c>
      <c r="O950" s="111"/>
      <c r="P950" s="111"/>
      <c r="Q950" s="111"/>
      <c r="R950" s="111"/>
      <c r="S950" s="1249">
        <v>1</v>
      </c>
      <c r="T950" s="1250">
        <v>29.696666666666669</v>
      </c>
      <c r="U950" s="1250"/>
      <c r="V950" s="1250"/>
      <c r="W950" s="1251">
        <v>0</v>
      </c>
      <c r="X950" s="1250">
        <v>29.696666666666669</v>
      </c>
      <c r="Y950" s="1250"/>
      <c r="Z950" s="1250"/>
      <c r="AA950" s="1250"/>
      <c r="AB950" s="1250"/>
      <c r="AC950" s="1250"/>
      <c r="AD950" s="1250"/>
      <c r="AE950" s="1249">
        <v>0</v>
      </c>
      <c r="AF950" s="1250">
        <v>29.696666666666669</v>
      </c>
      <c r="AG950" s="111"/>
      <c r="AH950" s="111"/>
      <c r="AI950" s="111"/>
      <c r="AJ950" s="111"/>
      <c r="AK950" s="111"/>
      <c r="AL950" s="111"/>
      <c r="AM950" s="111">
        <v>89.09</v>
      </c>
    </row>
    <row r="951" spans="1:39" ht="15" customHeight="1" x14ac:dyDescent="0.25">
      <c r="A951" s="1409"/>
      <c r="B951" s="1409"/>
      <c r="C951" s="1409"/>
      <c r="D951" s="1409"/>
      <c r="E951" s="1247"/>
      <c r="F951" s="1248" t="s">
        <v>490</v>
      </c>
      <c r="G951" s="111"/>
      <c r="H951" s="1249">
        <v>1</v>
      </c>
      <c r="I951" s="111" t="s">
        <v>1721</v>
      </c>
      <c r="J951" s="1321" t="s">
        <v>5608</v>
      </c>
      <c r="K951" s="162" t="s">
        <v>5610</v>
      </c>
      <c r="L951" s="162" t="s">
        <v>5609</v>
      </c>
      <c r="M951" s="111">
        <v>105.73</v>
      </c>
      <c r="N951" s="111">
        <v>105.73</v>
      </c>
      <c r="O951" s="111"/>
      <c r="P951" s="111"/>
      <c r="Q951" s="111"/>
      <c r="R951" s="111"/>
      <c r="S951" s="1249">
        <v>1</v>
      </c>
      <c r="T951" s="1250">
        <v>35.243333333333332</v>
      </c>
      <c r="U951" s="1250"/>
      <c r="V951" s="1250"/>
      <c r="W951" s="1251">
        <v>0</v>
      </c>
      <c r="X951" s="1250">
        <v>35.243333333333332</v>
      </c>
      <c r="Y951" s="1250"/>
      <c r="Z951" s="1250"/>
      <c r="AA951" s="1250"/>
      <c r="AB951" s="1250"/>
      <c r="AC951" s="1250"/>
      <c r="AD951" s="1250"/>
      <c r="AE951" s="1249">
        <v>0</v>
      </c>
      <c r="AF951" s="1250">
        <v>35.243333333333332</v>
      </c>
      <c r="AG951" s="111"/>
      <c r="AH951" s="111"/>
      <c r="AI951" s="111"/>
      <c r="AJ951" s="111"/>
      <c r="AK951" s="111"/>
      <c r="AL951" s="111"/>
      <c r="AM951" s="111">
        <v>105.73</v>
      </c>
    </row>
    <row r="952" spans="1:39" ht="15" customHeight="1" x14ac:dyDescent="0.25">
      <c r="A952" s="1409"/>
      <c r="B952" s="1409"/>
      <c r="C952" s="1409"/>
      <c r="D952" s="1409"/>
      <c r="E952" s="1247"/>
      <c r="F952" s="1248" t="s">
        <v>491</v>
      </c>
      <c r="G952" s="111"/>
      <c r="H952" s="1249">
        <v>1</v>
      </c>
      <c r="I952" s="111" t="s">
        <v>1721</v>
      </c>
      <c r="J952" s="1321" t="s">
        <v>5608</v>
      </c>
      <c r="K952" s="162" t="s">
        <v>5610</v>
      </c>
      <c r="L952" s="162" t="s">
        <v>5609</v>
      </c>
      <c r="M952" s="111">
        <v>130.68</v>
      </c>
      <c r="N952" s="111">
        <v>130.68</v>
      </c>
      <c r="O952" s="111"/>
      <c r="P952" s="111"/>
      <c r="Q952" s="111"/>
      <c r="R952" s="111"/>
      <c r="S952" s="1249">
        <v>1</v>
      </c>
      <c r="T952" s="1250">
        <v>43.56</v>
      </c>
      <c r="U952" s="1250"/>
      <c r="V952" s="1250"/>
      <c r="W952" s="1251">
        <v>0</v>
      </c>
      <c r="X952" s="1250">
        <v>43.56</v>
      </c>
      <c r="Y952" s="1250"/>
      <c r="Z952" s="1250"/>
      <c r="AA952" s="1250"/>
      <c r="AB952" s="1250"/>
      <c r="AC952" s="1250"/>
      <c r="AD952" s="1250"/>
      <c r="AE952" s="1249">
        <v>0</v>
      </c>
      <c r="AF952" s="1250">
        <v>43.56</v>
      </c>
      <c r="AG952" s="111"/>
      <c r="AH952" s="111"/>
      <c r="AI952" s="111"/>
      <c r="AJ952" s="111"/>
      <c r="AK952" s="111"/>
      <c r="AL952" s="111"/>
      <c r="AM952" s="111">
        <v>130.68</v>
      </c>
    </row>
    <row r="953" spans="1:39" ht="15" customHeight="1" x14ac:dyDescent="0.25">
      <c r="A953" s="1409"/>
      <c r="B953" s="1409"/>
      <c r="C953" s="1409"/>
      <c r="D953" s="1409"/>
      <c r="E953" s="1247"/>
      <c r="F953" s="1248" t="s">
        <v>4829</v>
      </c>
      <c r="G953" s="111"/>
      <c r="H953" s="1249">
        <v>1</v>
      </c>
      <c r="I953" s="111" t="s">
        <v>1721</v>
      </c>
      <c r="J953" s="1321" t="s">
        <v>5608</v>
      </c>
      <c r="K953" s="162" t="s">
        <v>5610</v>
      </c>
      <c r="L953" s="162" t="s">
        <v>5609</v>
      </c>
      <c r="M953" s="111">
        <v>1104.83</v>
      </c>
      <c r="N953" s="111">
        <v>1104.83</v>
      </c>
      <c r="O953" s="111"/>
      <c r="P953" s="111"/>
      <c r="Q953" s="111"/>
      <c r="R953" s="111"/>
      <c r="S953" s="1249">
        <v>1</v>
      </c>
      <c r="T953" s="1250">
        <v>368.27666666666664</v>
      </c>
      <c r="U953" s="1250"/>
      <c r="V953" s="1250"/>
      <c r="W953" s="1251">
        <v>0</v>
      </c>
      <c r="X953" s="1250">
        <v>368.27666666666664</v>
      </c>
      <c r="Y953" s="1250"/>
      <c r="Z953" s="1250"/>
      <c r="AA953" s="1250"/>
      <c r="AB953" s="1250"/>
      <c r="AC953" s="1250"/>
      <c r="AD953" s="1250"/>
      <c r="AE953" s="1249">
        <v>0</v>
      </c>
      <c r="AF953" s="1250">
        <v>368.27666666666664</v>
      </c>
      <c r="AG953" s="111"/>
      <c r="AH953" s="111"/>
      <c r="AI953" s="111"/>
      <c r="AJ953" s="111"/>
      <c r="AK953" s="111"/>
      <c r="AL953" s="111"/>
      <c r="AM953" s="111">
        <v>1104.83</v>
      </c>
    </row>
    <row r="954" spans="1:39" ht="15" customHeight="1" x14ac:dyDescent="0.25">
      <c r="A954" s="1409"/>
      <c r="B954" s="1409"/>
      <c r="C954" s="1409"/>
      <c r="D954" s="1409"/>
      <c r="E954" s="1247"/>
      <c r="F954" s="1248" t="s">
        <v>4830</v>
      </c>
      <c r="G954" s="111"/>
      <c r="H954" s="1249">
        <v>3</v>
      </c>
      <c r="I954" s="111" t="s">
        <v>1721</v>
      </c>
      <c r="J954" s="1321" t="s">
        <v>5608</v>
      </c>
      <c r="K954" s="162" t="s">
        <v>5610</v>
      </c>
      <c r="L954" s="162" t="s">
        <v>5609</v>
      </c>
      <c r="M954" s="111">
        <v>300.44</v>
      </c>
      <c r="N954" s="111">
        <v>901.31999999999994</v>
      </c>
      <c r="O954" s="111"/>
      <c r="P954" s="111"/>
      <c r="Q954" s="111"/>
      <c r="R954" s="111"/>
      <c r="S954" s="1249">
        <v>1</v>
      </c>
      <c r="T954" s="1250">
        <v>300.44</v>
      </c>
      <c r="U954" s="1250"/>
      <c r="V954" s="1250"/>
      <c r="W954" s="1251">
        <v>1</v>
      </c>
      <c r="X954" s="1250">
        <v>300.44</v>
      </c>
      <c r="Y954" s="1250"/>
      <c r="Z954" s="1250"/>
      <c r="AA954" s="1250"/>
      <c r="AB954" s="1250"/>
      <c r="AC954" s="1250"/>
      <c r="AD954" s="1250"/>
      <c r="AE954" s="1249">
        <v>1</v>
      </c>
      <c r="AF954" s="1250">
        <v>300.44</v>
      </c>
      <c r="AG954" s="111"/>
      <c r="AH954" s="111"/>
      <c r="AI954" s="111"/>
      <c r="AJ954" s="111"/>
      <c r="AK954" s="111"/>
      <c r="AL954" s="111"/>
      <c r="AM954" s="111">
        <v>901.31999999999994</v>
      </c>
    </row>
    <row r="955" spans="1:39" ht="15" customHeight="1" x14ac:dyDescent="0.25">
      <c r="A955" s="1409"/>
      <c r="B955" s="1409"/>
      <c r="C955" s="1409"/>
      <c r="D955" s="1409"/>
      <c r="E955" s="1247"/>
      <c r="F955" s="1248" t="s">
        <v>4831</v>
      </c>
      <c r="G955" s="111"/>
      <c r="H955" s="1249">
        <v>50</v>
      </c>
      <c r="I955" s="111" t="s">
        <v>1721</v>
      </c>
      <c r="J955" s="1321" t="s">
        <v>5608</v>
      </c>
      <c r="K955" s="162" t="s">
        <v>5610</v>
      </c>
      <c r="L955" s="162" t="s">
        <v>5609</v>
      </c>
      <c r="M955" s="111">
        <v>49</v>
      </c>
      <c r="N955" s="111">
        <v>2450</v>
      </c>
      <c r="O955" s="111"/>
      <c r="P955" s="111"/>
      <c r="Q955" s="111"/>
      <c r="R955" s="111"/>
      <c r="S955" s="1249">
        <v>20</v>
      </c>
      <c r="T955" s="1250">
        <v>816.66666666666663</v>
      </c>
      <c r="U955" s="1250"/>
      <c r="V955" s="1250"/>
      <c r="W955" s="1251">
        <v>20</v>
      </c>
      <c r="X955" s="1250">
        <v>816.66666666666663</v>
      </c>
      <c r="Y955" s="1250"/>
      <c r="Z955" s="1250"/>
      <c r="AA955" s="1250"/>
      <c r="AB955" s="1250"/>
      <c r="AC955" s="1250"/>
      <c r="AD955" s="1250"/>
      <c r="AE955" s="1249">
        <v>10</v>
      </c>
      <c r="AF955" s="1250">
        <v>816.66666666666663</v>
      </c>
      <c r="AG955" s="111"/>
      <c r="AH955" s="111"/>
      <c r="AI955" s="111"/>
      <c r="AJ955" s="111"/>
      <c r="AK955" s="111"/>
      <c r="AL955" s="111"/>
      <c r="AM955" s="111">
        <v>2450</v>
      </c>
    </row>
    <row r="956" spans="1:39" ht="15" customHeight="1" x14ac:dyDescent="0.25">
      <c r="A956" s="1409"/>
      <c r="B956" s="1409"/>
      <c r="C956" s="1409"/>
      <c r="D956" s="1409"/>
      <c r="E956" s="1247"/>
      <c r="F956" s="1248" t="s">
        <v>1851</v>
      </c>
      <c r="G956" s="111"/>
      <c r="H956" s="1249">
        <v>36</v>
      </c>
      <c r="I956" s="111" t="s">
        <v>1725</v>
      </c>
      <c r="J956" s="1321" t="s">
        <v>5608</v>
      </c>
      <c r="K956" s="162" t="s">
        <v>5610</v>
      </c>
      <c r="L956" s="162" t="s">
        <v>5609</v>
      </c>
      <c r="M956" s="111">
        <v>26.95</v>
      </c>
      <c r="N956" s="111">
        <v>970.19999999999993</v>
      </c>
      <c r="O956" s="111"/>
      <c r="P956" s="111"/>
      <c r="Q956" s="111"/>
      <c r="R956" s="111"/>
      <c r="S956" s="1249">
        <v>16</v>
      </c>
      <c r="T956" s="1250">
        <v>323.39999999999998</v>
      </c>
      <c r="U956" s="1250"/>
      <c r="V956" s="1250"/>
      <c r="W956" s="1251">
        <v>10</v>
      </c>
      <c r="X956" s="1250">
        <v>323.39999999999998</v>
      </c>
      <c r="Y956" s="1250"/>
      <c r="Z956" s="1250"/>
      <c r="AA956" s="1250"/>
      <c r="AB956" s="1250"/>
      <c r="AC956" s="1250"/>
      <c r="AD956" s="1250"/>
      <c r="AE956" s="1249">
        <v>10</v>
      </c>
      <c r="AF956" s="1250">
        <v>323.39999999999998</v>
      </c>
      <c r="AG956" s="111"/>
      <c r="AH956" s="111"/>
      <c r="AI956" s="111"/>
      <c r="AJ956" s="111"/>
      <c r="AK956" s="111"/>
      <c r="AL956" s="111"/>
      <c r="AM956" s="111">
        <v>970.19999999999993</v>
      </c>
    </row>
    <row r="957" spans="1:39" ht="15" customHeight="1" x14ac:dyDescent="0.25">
      <c r="A957" s="1409"/>
      <c r="B957" s="1409"/>
      <c r="C957" s="1409"/>
      <c r="D957" s="1409"/>
      <c r="E957" s="1247"/>
      <c r="F957" s="1248" t="s">
        <v>2013</v>
      </c>
      <c r="G957" s="111"/>
      <c r="H957" s="1249">
        <v>34</v>
      </c>
      <c r="I957" s="111" t="s">
        <v>1725</v>
      </c>
      <c r="J957" s="1321" t="s">
        <v>5608</v>
      </c>
      <c r="K957" s="162" t="s">
        <v>5610</v>
      </c>
      <c r="L957" s="162" t="s">
        <v>5609</v>
      </c>
      <c r="M957" s="111">
        <v>37.348588235294123</v>
      </c>
      <c r="N957" s="111">
        <v>1269.8520000000001</v>
      </c>
      <c r="O957" s="111"/>
      <c r="P957" s="111"/>
      <c r="Q957" s="111"/>
      <c r="R957" s="111"/>
      <c r="S957" s="1249">
        <v>14</v>
      </c>
      <c r="T957" s="1250">
        <v>423.28400000000005</v>
      </c>
      <c r="U957" s="1250"/>
      <c r="V957" s="1250"/>
      <c r="W957" s="1251">
        <v>10</v>
      </c>
      <c r="X957" s="1250">
        <v>423.28400000000005</v>
      </c>
      <c r="Y957" s="1250"/>
      <c r="Z957" s="1250"/>
      <c r="AA957" s="1250"/>
      <c r="AB957" s="1250"/>
      <c r="AC957" s="1250"/>
      <c r="AD957" s="1250"/>
      <c r="AE957" s="1249">
        <v>10</v>
      </c>
      <c r="AF957" s="1250">
        <v>423.28400000000005</v>
      </c>
      <c r="AG957" s="111"/>
      <c r="AH957" s="111"/>
      <c r="AI957" s="111"/>
      <c r="AJ957" s="111"/>
      <c r="AK957" s="111"/>
      <c r="AL957" s="111"/>
      <c r="AM957" s="111">
        <v>1269.8520000000001</v>
      </c>
    </row>
    <row r="958" spans="1:39" ht="29.25" customHeight="1" x14ac:dyDescent="0.25">
      <c r="A958" s="1409"/>
      <c r="B958" s="1409"/>
      <c r="C958" s="1409"/>
      <c r="D958" s="1409"/>
      <c r="E958" s="1247"/>
      <c r="F958" s="1287" t="s">
        <v>4832</v>
      </c>
      <c r="G958" s="111"/>
      <c r="H958" s="1249">
        <v>1</v>
      </c>
      <c r="I958" s="111" t="s">
        <v>1721</v>
      </c>
      <c r="J958" s="1321" t="s">
        <v>5608</v>
      </c>
      <c r="K958" s="162" t="s">
        <v>5610</v>
      </c>
      <c r="L958" s="162" t="s">
        <v>5609</v>
      </c>
      <c r="M958" s="111">
        <v>106.93</v>
      </c>
      <c r="N958" s="111">
        <v>106.93</v>
      </c>
      <c r="O958" s="111"/>
      <c r="P958" s="111"/>
      <c r="Q958" s="111"/>
      <c r="R958" s="111"/>
      <c r="S958" s="1249">
        <v>1</v>
      </c>
      <c r="T958" s="1250">
        <v>35.643333333333338</v>
      </c>
      <c r="U958" s="1250"/>
      <c r="V958" s="1250"/>
      <c r="W958" s="1251">
        <v>0</v>
      </c>
      <c r="X958" s="1250">
        <v>35.643333333333338</v>
      </c>
      <c r="Y958" s="1250"/>
      <c r="Z958" s="1250"/>
      <c r="AA958" s="1250"/>
      <c r="AB958" s="1250"/>
      <c r="AC958" s="1250"/>
      <c r="AD958" s="1250"/>
      <c r="AE958" s="1249">
        <v>0</v>
      </c>
      <c r="AF958" s="1250">
        <v>35.643333333333338</v>
      </c>
      <c r="AG958" s="111"/>
      <c r="AH958" s="111"/>
      <c r="AI958" s="111"/>
      <c r="AJ958" s="111"/>
      <c r="AK958" s="111"/>
      <c r="AL958" s="111"/>
      <c r="AM958" s="111">
        <v>106.93</v>
      </c>
    </row>
    <row r="959" spans="1:39" ht="15" customHeight="1" x14ac:dyDescent="0.25">
      <c r="A959" s="1409"/>
      <c r="B959" s="1409"/>
      <c r="C959" s="1409"/>
      <c r="D959" s="1409"/>
      <c r="E959" s="1247"/>
      <c r="F959" s="1248" t="s">
        <v>4833</v>
      </c>
      <c r="G959" s="111"/>
      <c r="H959" s="1249">
        <v>2</v>
      </c>
      <c r="I959" s="111" t="s">
        <v>1721</v>
      </c>
      <c r="J959" s="1321" t="s">
        <v>5608</v>
      </c>
      <c r="K959" s="162" t="s">
        <v>5610</v>
      </c>
      <c r="L959" s="162" t="s">
        <v>5609</v>
      </c>
      <c r="M959" s="111">
        <v>130.68</v>
      </c>
      <c r="N959" s="111">
        <v>261.36</v>
      </c>
      <c r="O959" s="111"/>
      <c r="P959" s="111"/>
      <c r="Q959" s="111"/>
      <c r="R959" s="111"/>
      <c r="S959" s="1249">
        <v>2</v>
      </c>
      <c r="T959" s="1250">
        <v>87.12</v>
      </c>
      <c r="U959" s="1250"/>
      <c r="V959" s="1250"/>
      <c r="W959" s="1251">
        <v>0</v>
      </c>
      <c r="X959" s="1250">
        <v>87.12</v>
      </c>
      <c r="Y959" s="1250"/>
      <c r="Z959" s="1250"/>
      <c r="AA959" s="1250"/>
      <c r="AB959" s="1250"/>
      <c r="AC959" s="1250"/>
      <c r="AD959" s="1250"/>
      <c r="AE959" s="1249">
        <v>0</v>
      </c>
      <c r="AF959" s="1250">
        <v>87.12</v>
      </c>
      <c r="AG959" s="111"/>
      <c r="AH959" s="111"/>
      <c r="AI959" s="111"/>
      <c r="AJ959" s="111"/>
      <c r="AK959" s="111"/>
      <c r="AL959" s="111"/>
      <c r="AM959" s="111">
        <v>261.36</v>
      </c>
    </row>
    <row r="960" spans="1:39" ht="15" customHeight="1" x14ac:dyDescent="0.25">
      <c r="A960" s="1409"/>
      <c r="B960" s="1409"/>
      <c r="C960" s="1409"/>
      <c r="D960" s="1409"/>
      <c r="E960" s="1247"/>
      <c r="F960" s="1248" t="s">
        <v>4834</v>
      </c>
      <c r="G960" s="111"/>
      <c r="H960" s="1249">
        <v>3</v>
      </c>
      <c r="I960" s="111" t="s">
        <v>1721</v>
      </c>
      <c r="J960" s="1321" t="s">
        <v>5608</v>
      </c>
      <c r="K960" s="162" t="s">
        <v>5610</v>
      </c>
      <c r="L960" s="162" t="s">
        <v>5609</v>
      </c>
      <c r="M960" s="111">
        <v>111.71999999999998</v>
      </c>
      <c r="N960" s="111">
        <v>335.15999999999997</v>
      </c>
      <c r="O960" s="111"/>
      <c r="P960" s="111"/>
      <c r="Q960" s="111"/>
      <c r="R960" s="111"/>
      <c r="S960" s="1249">
        <v>1</v>
      </c>
      <c r="T960" s="1250">
        <v>111.71999999999998</v>
      </c>
      <c r="U960" s="1250"/>
      <c r="V960" s="1250"/>
      <c r="W960" s="1251">
        <v>1</v>
      </c>
      <c r="X960" s="1250">
        <v>111.71999999999998</v>
      </c>
      <c r="Y960" s="1250"/>
      <c r="Z960" s="1250"/>
      <c r="AA960" s="1250"/>
      <c r="AB960" s="1250"/>
      <c r="AC960" s="1250"/>
      <c r="AD960" s="1250"/>
      <c r="AE960" s="1249">
        <v>1</v>
      </c>
      <c r="AF960" s="1250">
        <v>111.71999999999998</v>
      </c>
      <c r="AG960" s="111"/>
      <c r="AH960" s="111"/>
      <c r="AI960" s="111"/>
      <c r="AJ960" s="111"/>
      <c r="AK960" s="111"/>
      <c r="AL960" s="111"/>
      <c r="AM960" s="111">
        <v>335.15999999999997</v>
      </c>
    </row>
    <row r="961" spans="1:39" ht="15" customHeight="1" x14ac:dyDescent="0.25">
      <c r="A961" s="1409"/>
      <c r="B961" s="1409"/>
      <c r="C961" s="1409"/>
      <c r="D961" s="1409"/>
      <c r="E961" s="1247"/>
      <c r="F961" s="1248" t="s">
        <v>4835</v>
      </c>
      <c r="G961" s="111"/>
      <c r="H961" s="1249">
        <v>3</v>
      </c>
      <c r="I961" s="111" t="s">
        <v>1721</v>
      </c>
      <c r="J961" s="1321" t="s">
        <v>5608</v>
      </c>
      <c r="K961" s="162" t="s">
        <v>5610</v>
      </c>
      <c r="L961" s="162" t="s">
        <v>5609</v>
      </c>
      <c r="M961" s="111">
        <v>45.25</v>
      </c>
      <c r="N961" s="111">
        <v>135.75</v>
      </c>
      <c r="O961" s="111"/>
      <c r="P961" s="111"/>
      <c r="Q961" s="111"/>
      <c r="R961" s="111"/>
      <c r="S961" s="1249">
        <v>1</v>
      </c>
      <c r="T961" s="1250">
        <v>45.25</v>
      </c>
      <c r="U961" s="1250"/>
      <c r="V961" s="1250"/>
      <c r="W961" s="1251">
        <v>1</v>
      </c>
      <c r="X961" s="1250">
        <v>45.25</v>
      </c>
      <c r="Y961" s="1250"/>
      <c r="Z961" s="1250"/>
      <c r="AA961" s="1250"/>
      <c r="AB961" s="1250"/>
      <c r="AC961" s="1250"/>
      <c r="AD961" s="1250"/>
      <c r="AE961" s="1249">
        <v>1</v>
      </c>
      <c r="AF961" s="1250">
        <v>45.25</v>
      </c>
      <c r="AG961" s="111"/>
      <c r="AH961" s="111"/>
      <c r="AI961" s="111"/>
      <c r="AJ961" s="111"/>
      <c r="AK961" s="111"/>
      <c r="AL961" s="111"/>
      <c r="AM961" s="111">
        <v>135.75</v>
      </c>
    </row>
    <row r="962" spans="1:39" ht="15" customHeight="1" x14ac:dyDescent="0.25">
      <c r="A962" s="1409"/>
      <c r="B962" s="1409"/>
      <c r="C962" s="1409"/>
      <c r="D962" s="1409"/>
      <c r="E962" s="1247"/>
      <c r="F962" s="1248" t="s">
        <v>4836</v>
      </c>
      <c r="G962" s="111"/>
      <c r="H962" s="1249">
        <v>4</v>
      </c>
      <c r="I962" s="111" t="s">
        <v>1721</v>
      </c>
      <c r="J962" s="1321" t="s">
        <v>5608</v>
      </c>
      <c r="K962" s="162" t="s">
        <v>5610</v>
      </c>
      <c r="L962" s="162" t="s">
        <v>5609</v>
      </c>
      <c r="M962" s="111">
        <v>51.2</v>
      </c>
      <c r="N962" s="111">
        <v>204.8</v>
      </c>
      <c r="O962" s="111"/>
      <c r="P962" s="111"/>
      <c r="Q962" s="111"/>
      <c r="R962" s="111"/>
      <c r="S962" s="1249">
        <v>2</v>
      </c>
      <c r="T962" s="1250">
        <v>68.266666666666666</v>
      </c>
      <c r="U962" s="1250"/>
      <c r="V962" s="1250"/>
      <c r="W962" s="1251">
        <v>1</v>
      </c>
      <c r="X962" s="1250">
        <v>68.266666666666666</v>
      </c>
      <c r="Y962" s="1250"/>
      <c r="Z962" s="1250"/>
      <c r="AA962" s="1250"/>
      <c r="AB962" s="1250"/>
      <c r="AC962" s="1250"/>
      <c r="AD962" s="1250"/>
      <c r="AE962" s="1249">
        <v>1</v>
      </c>
      <c r="AF962" s="1250">
        <v>68.266666666666666</v>
      </c>
      <c r="AG962" s="111"/>
      <c r="AH962" s="111"/>
      <c r="AI962" s="111"/>
      <c r="AJ962" s="111"/>
      <c r="AK962" s="111"/>
      <c r="AL962" s="111"/>
      <c r="AM962" s="111">
        <v>204.8</v>
      </c>
    </row>
    <row r="963" spans="1:39" ht="15" customHeight="1" x14ac:dyDescent="0.25">
      <c r="A963" s="1409"/>
      <c r="B963" s="1409"/>
      <c r="C963" s="1409"/>
      <c r="D963" s="1409"/>
      <c r="E963" s="1247"/>
      <c r="F963" s="1248" t="s">
        <v>4837</v>
      </c>
      <c r="G963" s="111"/>
      <c r="H963" s="1249">
        <v>1</v>
      </c>
      <c r="I963" s="111" t="s">
        <v>1721</v>
      </c>
      <c r="J963" s="1321" t="s">
        <v>5608</v>
      </c>
      <c r="K963" s="162" t="s">
        <v>5610</v>
      </c>
      <c r="L963" s="162" t="s">
        <v>5609</v>
      </c>
      <c r="M963" s="111">
        <v>332.64</v>
      </c>
      <c r="N963" s="111">
        <v>332.64</v>
      </c>
      <c r="O963" s="111"/>
      <c r="P963" s="111"/>
      <c r="Q963" s="111"/>
      <c r="R963" s="111"/>
      <c r="S963" s="1249">
        <v>1</v>
      </c>
      <c r="T963" s="1250">
        <v>110.88</v>
      </c>
      <c r="U963" s="1250"/>
      <c r="V963" s="1250"/>
      <c r="W963" s="1251">
        <v>0</v>
      </c>
      <c r="X963" s="1250">
        <v>110.88</v>
      </c>
      <c r="Y963" s="1250"/>
      <c r="Z963" s="1250"/>
      <c r="AA963" s="1250"/>
      <c r="AB963" s="1250"/>
      <c r="AC963" s="1250"/>
      <c r="AD963" s="1250"/>
      <c r="AE963" s="1249">
        <v>0</v>
      </c>
      <c r="AF963" s="1250">
        <v>110.88</v>
      </c>
      <c r="AG963" s="111"/>
      <c r="AH963" s="111"/>
      <c r="AI963" s="111"/>
      <c r="AJ963" s="111"/>
      <c r="AK963" s="111"/>
      <c r="AL963" s="111"/>
      <c r="AM963" s="111">
        <v>332.64</v>
      </c>
    </row>
    <row r="964" spans="1:39" ht="15" customHeight="1" x14ac:dyDescent="0.25">
      <c r="A964" s="1409"/>
      <c r="B964" s="1409"/>
      <c r="C964" s="1409"/>
      <c r="D964" s="1409"/>
      <c r="E964" s="1247"/>
      <c r="F964" s="1248" t="s">
        <v>4838</v>
      </c>
      <c r="G964" s="111"/>
      <c r="H964" s="1249">
        <v>2</v>
      </c>
      <c r="I964" s="111" t="s">
        <v>1722</v>
      </c>
      <c r="J964" s="1321" t="s">
        <v>5608</v>
      </c>
      <c r="K964" s="162" t="s">
        <v>5610</v>
      </c>
      <c r="L964" s="162" t="s">
        <v>5609</v>
      </c>
      <c r="M964" s="111">
        <v>357.50159999999994</v>
      </c>
      <c r="N964" s="111">
        <v>715.00319999999988</v>
      </c>
      <c r="O964" s="111"/>
      <c r="P964" s="111"/>
      <c r="Q964" s="111"/>
      <c r="R964" s="111"/>
      <c r="S964" s="1249">
        <v>2</v>
      </c>
      <c r="T964" s="1250">
        <v>238.33439999999996</v>
      </c>
      <c r="U964" s="1250"/>
      <c r="V964" s="1250"/>
      <c r="W964" s="1251">
        <v>0</v>
      </c>
      <c r="X964" s="1250">
        <v>238.33439999999996</v>
      </c>
      <c r="Y964" s="1250"/>
      <c r="Z964" s="1250"/>
      <c r="AA964" s="1250"/>
      <c r="AB964" s="1250"/>
      <c r="AC964" s="1250"/>
      <c r="AD964" s="1250"/>
      <c r="AE964" s="1249">
        <v>0</v>
      </c>
      <c r="AF964" s="1250">
        <v>238.33439999999996</v>
      </c>
      <c r="AG964" s="111"/>
      <c r="AH964" s="111"/>
      <c r="AI964" s="111"/>
      <c r="AJ964" s="111"/>
      <c r="AK964" s="111"/>
      <c r="AL964" s="111"/>
      <c r="AM964" s="111">
        <v>715.00319999999988</v>
      </c>
    </row>
    <row r="965" spans="1:39" ht="15" customHeight="1" x14ac:dyDescent="0.25">
      <c r="A965" s="1409"/>
      <c r="B965" s="1409"/>
      <c r="C965" s="1409"/>
      <c r="D965" s="1409"/>
      <c r="E965" s="1247"/>
      <c r="F965" s="1248" t="s">
        <v>4839</v>
      </c>
      <c r="G965" s="111"/>
      <c r="H965" s="1249">
        <v>1</v>
      </c>
      <c r="I965" s="111" t="s">
        <v>1721</v>
      </c>
      <c r="J965" s="1321" t="s">
        <v>5608</v>
      </c>
      <c r="K965" s="162" t="s">
        <v>5610</v>
      </c>
      <c r="L965" s="162" t="s">
        <v>5609</v>
      </c>
      <c r="M965" s="111">
        <v>52.27</v>
      </c>
      <c r="N965" s="111">
        <v>52.27</v>
      </c>
      <c r="O965" s="111"/>
      <c r="P965" s="111"/>
      <c r="Q965" s="111"/>
      <c r="R965" s="111"/>
      <c r="S965" s="1249">
        <v>1</v>
      </c>
      <c r="T965" s="1250">
        <v>17.423333333333336</v>
      </c>
      <c r="U965" s="1250"/>
      <c r="V965" s="1250"/>
      <c r="W965" s="1251">
        <v>0</v>
      </c>
      <c r="X965" s="1250">
        <v>17.423333333333336</v>
      </c>
      <c r="Y965" s="1250"/>
      <c r="Z965" s="1250"/>
      <c r="AA965" s="1250"/>
      <c r="AB965" s="1250"/>
      <c r="AC965" s="1250"/>
      <c r="AD965" s="1250"/>
      <c r="AE965" s="1249">
        <v>0</v>
      </c>
      <c r="AF965" s="1250">
        <v>17.423333333333336</v>
      </c>
      <c r="AG965" s="111"/>
      <c r="AH965" s="111"/>
      <c r="AI965" s="111"/>
      <c r="AJ965" s="111"/>
      <c r="AK965" s="111"/>
      <c r="AL965" s="111"/>
      <c r="AM965" s="111">
        <v>52.27</v>
      </c>
    </row>
    <row r="966" spans="1:39" ht="15" customHeight="1" x14ac:dyDescent="0.25">
      <c r="A966" s="1409"/>
      <c r="B966" s="1409"/>
      <c r="C966" s="1409"/>
      <c r="D966" s="1409"/>
      <c r="E966" s="1247"/>
      <c r="F966" s="1248" t="s">
        <v>4840</v>
      </c>
      <c r="G966" s="111"/>
      <c r="H966" s="1249">
        <v>3</v>
      </c>
      <c r="I966" s="111" t="s">
        <v>1721</v>
      </c>
      <c r="J966" s="1321" t="s">
        <v>5608</v>
      </c>
      <c r="K966" s="162" t="s">
        <v>5610</v>
      </c>
      <c r="L966" s="162" t="s">
        <v>5609</v>
      </c>
      <c r="M966" s="111">
        <v>225.72</v>
      </c>
      <c r="N966" s="111">
        <v>677.16</v>
      </c>
      <c r="O966" s="111"/>
      <c r="P966" s="111"/>
      <c r="Q966" s="111"/>
      <c r="R966" s="111"/>
      <c r="S966" s="1249">
        <v>1</v>
      </c>
      <c r="T966" s="1250">
        <v>225.72</v>
      </c>
      <c r="U966" s="1250"/>
      <c r="V966" s="1250"/>
      <c r="W966" s="1251">
        <v>1</v>
      </c>
      <c r="X966" s="1250">
        <v>225.72</v>
      </c>
      <c r="Y966" s="1250"/>
      <c r="Z966" s="1250"/>
      <c r="AA966" s="1250"/>
      <c r="AB966" s="1250"/>
      <c r="AC966" s="1250"/>
      <c r="AD966" s="1250"/>
      <c r="AE966" s="1249">
        <v>1</v>
      </c>
      <c r="AF966" s="1250">
        <v>225.72</v>
      </c>
      <c r="AG966" s="111"/>
      <c r="AH966" s="111"/>
      <c r="AI966" s="111"/>
      <c r="AJ966" s="111"/>
      <c r="AK966" s="111"/>
      <c r="AL966" s="111"/>
      <c r="AM966" s="111">
        <v>677.16</v>
      </c>
    </row>
    <row r="967" spans="1:39" ht="15" customHeight="1" x14ac:dyDescent="0.25">
      <c r="A967" s="1409"/>
      <c r="B967" s="1409"/>
      <c r="C967" s="1409"/>
      <c r="D967" s="1409"/>
      <c r="E967" s="1247"/>
      <c r="F967" s="1248" t="s">
        <v>4841</v>
      </c>
      <c r="G967" s="111"/>
      <c r="H967" s="1249">
        <v>2</v>
      </c>
      <c r="I967" s="111" t="s">
        <v>1721</v>
      </c>
      <c r="J967" s="1321" t="s">
        <v>5608</v>
      </c>
      <c r="K967" s="162" t="s">
        <v>5610</v>
      </c>
      <c r="L967" s="162" t="s">
        <v>5609</v>
      </c>
      <c r="M967" s="111">
        <v>106.93</v>
      </c>
      <c r="N967" s="111">
        <v>213.86</v>
      </c>
      <c r="O967" s="111"/>
      <c r="P967" s="111"/>
      <c r="Q967" s="111"/>
      <c r="R967" s="111"/>
      <c r="S967" s="1249">
        <v>2</v>
      </c>
      <c r="T967" s="1250">
        <v>71.286666666666676</v>
      </c>
      <c r="U967" s="1250"/>
      <c r="V967" s="1250"/>
      <c r="W967" s="1251">
        <v>0</v>
      </c>
      <c r="X967" s="1250">
        <v>71.286666666666676</v>
      </c>
      <c r="Y967" s="1250"/>
      <c r="Z967" s="1250"/>
      <c r="AA967" s="1250"/>
      <c r="AB967" s="1250"/>
      <c r="AC967" s="1250"/>
      <c r="AD967" s="1250"/>
      <c r="AE967" s="1249">
        <v>0</v>
      </c>
      <c r="AF967" s="1250">
        <v>71.286666666666676</v>
      </c>
      <c r="AG967" s="111"/>
      <c r="AH967" s="111"/>
      <c r="AI967" s="111"/>
      <c r="AJ967" s="111"/>
      <c r="AK967" s="111"/>
      <c r="AL967" s="111"/>
      <c r="AM967" s="111">
        <v>213.86</v>
      </c>
    </row>
    <row r="968" spans="1:39" ht="15" customHeight="1" x14ac:dyDescent="0.25">
      <c r="A968" s="1409"/>
      <c r="B968" s="1409"/>
      <c r="C968" s="1409"/>
      <c r="D968" s="1409"/>
      <c r="E968" s="1247"/>
      <c r="F968" s="1248" t="s">
        <v>4842</v>
      </c>
      <c r="G968" s="111"/>
      <c r="H968" s="1249">
        <v>2</v>
      </c>
      <c r="I968" s="111" t="s">
        <v>1721</v>
      </c>
      <c r="J968" s="1321" t="s">
        <v>5608</v>
      </c>
      <c r="K968" s="162" t="s">
        <v>5610</v>
      </c>
      <c r="L968" s="162" t="s">
        <v>5609</v>
      </c>
      <c r="M968" s="111">
        <v>142.56</v>
      </c>
      <c r="N968" s="111">
        <v>285.12</v>
      </c>
      <c r="O968" s="111"/>
      <c r="P968" s="111"/>
      <c r="Q968" s="111"/>
      <c r="R968" s="111"/>
      <c r="S968" s="1249">
        <v>2</v>
      </c>
      <c r="T968" s="1250">
        <v>95.04</v>
      </c>
      <c r="U968" s="1250"/>
      <c r="V968" s="1250"/>
      <c r="W968" s="1251">
        <v>0</v>
      </c>
      <c r="X968" s="1250">
        <v>95.04</v>
      </c>
      <c r="Y968" s="1250"/>
      <c r="Z968" s="1250"/>
      <c r="AA968" s="1250"/>
      <c r="AB968" s="1250"/>
      <c r="AC968" s="1250"/>
      <c r="AD968" s="1250"/>
      <c r="AE968" s="1249">
        <v>0</v>
      </c>
      <c r="AF968" s="1250">
        <v>95.04</v>
      </c>
      <c r="AG968" s="111"/>
      <c r="AH968" s="111"/>
      <c r="AI968" s="111"/>
      <c r="AJ968" s="111"/>
      <c r="AK968" s="111"/>
      <c r="AL968" s="111"/>
      <c r="AM968" s="111">
        <v>285.12</v>
      </c>
    </row>
    <row r="969" spans="1:39" ht="15" customHeight="1" x14ac:dyDescent="0.25">
      <c r="A969" s="1409"/>
      <c r="B969" s="1409"/>
      <c r="C969" s="1409"/>
      <c r="D969" s="1409"/>
      <c r="E969" s="1247"/>
      <c r="F969" s="1248" t="s">
        <v>4843</v>
      </c>
      <c r="G969" s="111"/>
      <c r="H969" s="1249">
        <v>4</v>
      </c>
      <c r="I969" s="111" t="s">
        <v>1721</v>
      </c>
      <c r="J969" s="1321" t="s">
        <v>5608</v>
      </c>
      <c r="K969" s="162" t="s">
        <v>5610</v>
      </c>
      <c r="L969" s="162" t="s">
        <v>5609</v>
      </c>
      <c r="M969" s="111">
        <v>206.71</v>
      </c>
      <c r="N969" s="111">
        <v>826.84</v>
      </c>
      <c r="O969" s="111"/>
      <c r="P969" s="111"/>
      <c r="Q969" s="111"/>
      <c r="R969" s="111"/>
      <c r="S969" s="1249">
        <v>2</v>
      </c>
      <c r="T969" s="1250">
        <v>275.61333333333334</v>
      </c>
      <c r="U969" s="1250"/>
      <c r="V969" s="1250"/>
      <c r="W969" s="1251">
        <v>1</v>
      </c>
      <c r="X969" s="1250">
        <v>275.61333333333334</v>
      </c>
      <c r="Y969" s="1250"/>
      <c r="Z969" s="1250"/>
      <c r="AA969" s="1250"/>
      <c r="AB969" s="1250"/>
      <c r="AC969" s="1250"/>
      <c r="AD969" s="1250"/>
      <c r="AE969" s="1249">
        <v>1</v>
      </c>
      <c r="AF969" s="1250">
        <v>275.61333333333334</v>
      </c>
      <c r="AG969" s="111"/>
      <c r="AH969" s="111"/>
      <c r="AI969" s="111"/>
      <c r="AJ969" s="111"/>
      <c r="AK969" s="111"/>
      <c r="AL969" s="111"/>
      <c r="AM969" s="111">
        <v>826.84</v>
      </c>
    </row>
    <row r="970" spans="1:39" ht="15" customHeight="1" x14ac:dyDescent="0.25">
      <c r="A970" s="1409"/>
      <c r="B970" s="1409"/>
      <c r="C970" s="1409"/>
      <c r="D970" s="1409"/>
      <c r="E970" s="1247"/>
      <c r="F970" s="1248" t="s">
        <v>4844</v>
      </c>
      <c r="G970" s="111"/>
      <c r="H970" s="1249">
        <v>2</v>
      </c>
      <c r="I970" s="111" t="s">
        <v>1721</v>
      </c>
      <c r="J970" s="1321" t="s">
        <v>5608</v>
      </c>
      <c r="K970" s="162" t="s">
        <v>5610</v>
      </c>
      <c r="L970" s="162" t="s">
        <v>5609</v>
      </c>
      <c r="M970" s="111">
        <v>2138.41</v>
      </c>
      <c r="N970" s="111">
        <v>4276.82</v>
      </c>
      <c r="O970" s="111"/>
      <c r="P970" s="111"/>
      <c r="Q970" s="111"/>
      <c r="R970" s="111"/>
      <c r="S970" s="1249">
        <v>2</v>
      </c>
      <c r="T970" s="1250">
        <v>1425.6066666666666</v>
      </c>
      <c r="U970" s="1250"/>
      <c r="V970" s="1250"/>
      <c r="W970" s="1251">
        <v>0</v>
      </c>
      <c r="X970" s="1250">
        <v>1425.6066666666666</v>
      </c>
      <c r="Y970" s="1250"/>
      <c r="Z970" s="1250"/>
      <c r="AA970" s="1250"/>
      <c r="AB970" s="1250"/>
      <c r="AC970" s="1250"/>
      <c r="AD970" s="1250"/>
      <c r="AE970" s="1249">
        <v>0</v>
      </c>
      <c r="AF970" s="1250">
        <v>1425.6066666666666</v>
      </c>
      <c r="AG970" s="111"/>
      <c r="AH970" s="111"/>
      <c r="AI970" s="111"/>
      <c r="AJ970" s="111"/>
      <c r="AK970" s="111"/>
      <c r="AL970" s="111"/>
      <c r="AM970" s="111">
        <v>4276.82</v>
      </c>
    </row>
    <row r="971" spans="1:39" ht="15" customHeight="1" x14ac:dyDescent="0.25">
      <c r="A971" s="1409"/>
      <c r="B971" s="1409"/>
      <c r="C971" s="1409"/>
      <c r="D971" s="1409"/>
      <c r="E971" s="1247"/>
      <c r="F971" s="1248" t="s">
        <v>4845</v>
      </c>
      <c r="G971" s="111"/>
      <c r="H971" s="1249">
        <v>15</v>
      </c>
      <c r="I971" s="111" t="s">
        <v>1721</v>
      </c>
      <c r="J971" s="1321" t="s">
        <v>5608</v>
      </c>
      <c r="K971" s="162" t="s">
        <v>5610</v>
      </c>
      <c r="L971" s="162" t="s">
        <v>5609</v>
      </c>
      <c r="M971" s="111">
        <v>35</v>
      </c>
      <c r="N971" s="111">
        <v>525</v>
      </c>
      <c r="O971" s="111"/>
      <c r="P971" s="111"/>
      <c r="Q971" s="111"/>
      <c r="R971" s="111"/>
      <c r="S971" s="1249">
        <v>5</v>
      </c>
      <c r="T971" s="1250">
        <v>175</v>
      </c>
      <c r="U971" s="1250"/>
      <c r="V971" s="1250"/>
      <c r="W971" s="1251">
        <v>5</v>
      </c>
      <c r="X971" s="1250">
        <v>175</v>
      </c>
      <c r="Y971" s="1250"/>
      <c r="Z971" s="1250"/>
      <c r="AA971" s="1250"/>
      <c r="AB971" s="1250"/>
      <c r="AC971" s="1250"/>
      <c r="AD971" s="1250"/>
      <c r="AE971" s="1249">
        <v>5</v>
      </c>
      <c r="AF971" s="1250">
        <v>175</v>
      </c>
      <c r="AG971" s="111"/>
      <c r="AH971" s="111"/>
      <c r="AI971" s="111"/>
      <c r="AJ971" s="111"/>
      <c r="AK971" s="111"/>
      <c r="AL971" s="111"/>
      <c r="AM971" s="111">
        <v>525</v>
      </c>
    </row>
    <row r="972" spans="1:39" ht="15" customHeight="1" x14ac:dyDescent="0.25">
      <c r="A972" s="1409"/>
      <c r="B972" s="1409"/>
      <c r="C972" s="1409"/>
      <c r="D972" s="1409"/>
      <c r="E972" s="1247"/>
      <c r="F972" s="1248" t="s">
        <v>4846</v>
      </c>
      <c r="G972" s="111"/>
      <c r="H972" s="1249">
        <v>30</v>
      </c>
      <c r="I972" s="111" t="s">
        <v>1721</v>
      </c>
      <c r="J972" s="1321" t="s">
        <v>5608</v>
      </c>
      <c r="K972" s="162" t="s">
        <v>5610</v>
      </c>
      <c r="L972" s="162" t="s">
        <v>5609</v>
      </c>
      <c r="M972" s="111">
        <v>71.7</v>
      </c>
      <c r="N972" s="111">
        <v>2151</v>
      </c>
      <c r="O972" s="111"/>
      <c r="P972" s="111"/>
      <c r="Q972" s="111"/>
      <c r="R972" s="111"/>
      <c r="S972" s="1249">
        <v>10</v>
      </c>
      <c r="T972" s="1250">
        <v>717</v>
      </c>
      <c r="U972" s="1250"/>
      <c r="V972" s="1250"/>
      <c r="W972" s="1251">
        <v>10</v>
      </c>
      <c r="X972" s="1250">
        <v>717</v>
      </c>
      <c r="Y972" s="1250"/>
      <c r="Z972" s="1250"/>
      <c r="AA972" s="1250"/>
      <c r="AB972" s="1250"/>
      <c r="AC972" s="1250"/>
      <c r="AD972" s="1250"/>
      <c r="AE972" s="1249">
        <v>10</v>
      </c>
      <c r="AF972" s="1250">
        <v>717</v>
      </c>
      <c r="AG972" s="111"/>
      <c r="AH972" s="111"/>
      <c r="AI972" s="111"/>
      <c r="AJ972" s="111"/>
      <c r="AK972" s="111"/>
      <c r="AL972" s="111"/>
      <c r="AM972" s="111">
        <v>2151</v>
      </c>
    </row>
    <row r="973" spans="1:39" ht="15" customHeight="1" x14ac:dyDescent="0.25">
      <c r="A973" s="1409"/>
      <c r="B973" s="1409"/>
      <c r="C973" s="1409"/>
      <c r="D973" s="1409"/>
      <c r="E973" s="1247"/>
      <c r="F973" s="1287" t="s">
        <v>4847</v>
      </c>
      <c r="G973" s="111"/>
      <c r="H973" s="1249">
        <v>1</v>
      </c>
      <c r="I973" s="111" t="s">
        <v>1721</v>
      </c>
      <c r="J973" s="1321" t="s">
        <v>5608</v>
      </c>
      <c r="K973" s="162" t="s">
        <v>5610</v>
      </c>
      <c r="L973" s="162" t="s">
        <v>5609</v>
      </c>
      <c r="M973" s="111">
        <v>647.98</v>
      </c>
      <c r="N973" s="111">
        <v>647.98</v>
      </c>
      <c r="O973" s="111"/>
      <c r="P973" s="111"/>
      <c r="Q973" s="111"/>
      <c r="R973" s="111"/>
      <c r="S973" s="1249">
        <v>1</v>
      </c>
      <c r="T973" s="1250">
        <v>215.99333333333334</v>
      </c>
      <c r="U973" s="1250"/>
      <c r="V973" s="1250"/>
      <c r="W973" s="1251">
        <v>0</v>
      </c>
      <c r="X973" s="1250">
        <v>215.99333333333334</v>
      </c>
      <c r="Y973" s="1250"/>
      <c r="Z973" s="1250"/>
      <c r="AA973" s="1250"/>
      <c r="AB973" s="1250"/>
      <c r="AC973" s="1250"/>
      <c r="AD973" s="1250"/>
      <c r="AE973" s="1249">
        <v>0</v>
      </c>
      <c r="AF973" s="1250">
        <v>215.99333333333334</v>
      </c>
      <c r="AG973" s="111"/>
      <c r="AH973" s="111"/>
      <c r="AI973" s="111"/>
      <c r="AJ973" s="111"/>
      <c r="AK973" s="111"/>
      <c r="AL973" s="111"/>
      <c r="AM973" s="111">
        <v>647.98</v>
      </c>
    </row>
    <row r="974" spans="1:39" ht="15" customHeight="1" x14ac:dyDescent="0.25">
      <c r="A974" s="1409"/>
      <c r="B974" s="1409"/>
      <c r="C974" s="1409"/>
      <c r="D974" s="1409"/>
      <c r="E974" s="1247"/>
      <c r="F974" s="1248" t="s">
        <v>4848</v>
      </c>
      <c r="G974" s="111"/>
      <c r="H974" s="1249">
        <v>4</v>
      </c>
      <c r="I974" s="111" t="s">
        <v>1721</v>
      </c>
      <c r="J974" s="1321" t="s">
        <v>5608</v>
      </c>
      <c r="K974" s="162" t="s">
        <v>5610</v>
      </c>
      <c r="L974" s="162" t="s">
        <v>5609</v>
      </c>
      <c r="M974" s="111">
        <v>90</v>
      </c>
      <c r="N974" s="111">
        <v>360</v>
      </c>
      <c r="O974" s="111"/>
      <c r="P974" s="111"/>
      <c r="Q974" s="111"/>
      <c r="R974" s="111"/>
      <c r="S974" s="1249">
        <v>2</v>
      </c>
      <c r="T974" s="1250">
        <v>120</v>
      </c>
      <c r="U974" s="1250"/>
      <c r="V974" s="1250"/>
      <c r="W974" s="1251">
        <v>1</v>
      </c>
      <c r="X974" s="1250">
        <v>120</v>
      </c>
      <c r="Y974" s="1250"/>
      <c r="Z974" s="1250"/>
      <c r="AA974" s="1250"/>
      <c r="AB974" s="1250"/>
      <c r="AC974" s="1250"/>
      <c r="AD974" s="1250"/>
      <c r="AE974" s="1249">
        <v>1</v>
      </c>
      <c r="AF974" s="1250">
        <v>120</v>
      </c>
      <c r="AG974" s="111"/>
      <c r="AH974" s="111"/>
      <c r="AI974" s="111"/>
      <c r="AJ974" s="111"/>
      <c r="AK974" s="111"/>
      <c r="AL974" s="111"/>
      <c r="AM974" s="111">
        <v>360</v>
      </c>
    </row>
    <row r="975" spans="1:39" ht="15" customHeight="1" x14ac:dyDescent="0.25">
      <c r="A975" s="1409"/>
      <c r="B975" s="1409"/>
      <c r="C975" s="1409"/>
      <c r="D975" s="1409"/>
      <c r="E975" s="1247"/>
      <c r="F975" s="1248" t="s">
        <v>4849</v>
      </c>
      <c r="G975" s="111"/>
      <c r="H975" s="1249">
        <v>4</v>
      </c>
      <c r="I975" s="111" t="s">
        <v>1721</v>
      </c>
      <c r="J975" s="1321" t="s">
        <v>5608</v>
      </c>
      <c r="K975" s="162" t="s">
        <v>5610</v>
      </c>
      <c r="L975" s="162" t="s">
        <v>5609</v>
      </c>
      <c r="M975" s="111">
        <v>528</v>
      </c>
      <c r="N975" s="111">
        <v>2112</v>
      </c>
      <c r="O975" s="111"/>
      <c r="P975" s="111"/>
      <c r="Q975" s="111"/>
      <c r="R975" s="111"/>
      <c r="S975" s="1249">
        <v>2</v>
      </c>
      <c r="T975" s="1250">
        <v>704</v>
      </c>
      <c r="U975" s="1250"/>
      <c r="V975" s="1250"/>
      <c r="W975" s="1251">
        <v>1</v>
      </c>
      <c r="X975" s="1250">
        <v>704</v>
      </c>
      <c r="Y975" s="1250"/>
      <c r="Z975" s="1250"/>
      <c r="AA975" s="1250"/>
      <c r="AB975" s="1250"/>
      <c r="AC975" s="1250"/>
      <c r="AD975" s="1250"/>
      <c r="AE975" s="1249">
        <v>1</v>
      </c>
      <c r="AF975" s="1250">
        <v>704</v>
      </c>
      <c r="AG975" s="111"/>
      <c r="AH975" s="111"/>
      <c r="AI975" s="111"/>
      <c r="AJ975" s="111"/>
      <c r="AK975" s="111"/>
      <c r="AL975" s="111"/>
      <c r="AM975" s="111">
        <v>2112</v>
      </c>
    </row>
    <row r="976" spans="1:39" ht="15" customHeight="1" x14ac:dyDescent="0.25">
      <c r="A976" s="1409"/>
      <c r="B976" s="1409"/>
      <c r="C976" s="1409"/>
      <c r="D976" s="1409"/>
      <c r="E976" s="1247"/>
      <c r="F976" s="1248" t="s">
        <v>4850</v>
      </c>
      <c r="G976" s="111"/>
      <c r="H976" s="1249">
        <v>4</v>
      </c>
      <c r="I976" s="111" t="s">
        <v>1721</v>
      </c>
      <c r="J976" s="1321" t="s">
        <v>5608</v>
      </c>
      <c r="K976" s="162" t="s">
        <v>5610</v>
      </c>
      <c r="L976" s="162" t="s">
        <v>5609</v>
      </c>
      <c r="M976" s="111">
        <v>13.11</v>
      </c>
      <c r="N976" s="111">
        <v>52.44</v>
      </c>
      <c r="O976" s="111"/>
      <c r="P976" s="111"/>
      <c r="Q976" s="111"/>
      <c r="R976" s="111"/>
      <c r="S976" s="1249">
        <v>2</v>
      </c>
      <c r="T976" s="1250">
        <v>17.48</v>
      </c>
      <c r="U976" s="1250"/>
      <c r="V976" s="1250"/>
      <c r="W976" s="1251">
        <v>1</v>
      </c>
      <c r="X976" s="1250">
        <v>17.48</v>
      </c>
      <c r="Y976" s="1250"/>
      <c r="Z976" s="1250"/>
      <c r="AA976" s="1250"/>
      <c r="AB976" s="1250"/>
      <c r="AC976" s="1250"/>
      <c r="AD976" s="1250"/>
      <c r="AE976" s="1249">
        <v>1</v>
      </c>
      <c r="AF976" s="1250">
        <v>17.48</v>
      </c>
      <c r="AG976" s="111"/>
      <c r="AH976" s="111"/>
      <c r="AI976" s="111"/>
      <c r="AJ976" s="111"/>
      <c r="AK976" s="111"/>
      <c r="AL976" s="111"/>
      <c r="AM976" s="111">
        <v>52.44</v>
      </c>
    </row>
    <row r="977" spans="1:39" ht="15" customHeight="1" x14ac:dyDescent="0.25">
      <c r="A977" s="1409"/>
      <c r="B977" s="1409"/>
      <c r="C977" s="1409"/>
      <c r="D977" s="1409"/>
      <c r="E977" s="1247"/>
      <c r="F977" s="1248" t="s">
        <v>4851</v>
      </c>
      <c r="G977" s="111"/>
      <c r="H977" s="1249">
        <v>1</v>
      </c>
      <c r="I977" s="111" t="s">
        <v>1721</v>
      </c>
      <c r="J977" s="1321" t="s">
        <v>5608</v>
      </c>
      <c r="K977" s="162" t="s">
        <v>5610</v>
      </c>
      <c r="L977" s="162" t="s">
        <v>5609</v>
      </c>
      <c r="M977" s="111">
        <v>95.05</v>
      </c>
      <c r="N977" s="111">
        <v>95.05</v>
      </c>
      <c r="O977" s="111"/>
      <c r="P977" s="111"/>
      <c r="Q977" s="111"/>
      <c r="R977" s="111"/>
      <c r="S977" s="1249">
        <v>1</v>
      </c>
      <c r="T977" s="1250">
        <v>31.683333333333334</v>
      </c>
      <c r="U977" s="1250"/>
      <c r="V977" s="1250"/>
      <c r="W977" s="1251">
        <v>0</v>
      </c>
      <c r="X977" s="1250">
        <v>31.683333333333334</v>
      </c>
      <c r="Y977" s="1250"/>
      <c r="Z977" s="1250"/>
      <c r="AA977" s="1250"/>
      <c r="AB977" s="1250"/>
      <c r="AC977" s="1250"/>
      <c r="AD977" s="1250"/>
      <c r="AE977" s="1249">
        <v>0</v>
      </c>
      <c r="AF977" s="1250">
        <v>31.683333333333334</v>
      </c>
      <c r="AG977" s="111"/>
      <c r="AH977" s="111"/>
      <c r="AI977" s="111"/>
      <c r="AJ977" s="111"/>
      <c r="AK977" s="111"/>
      <c r="AL977" s="111"/>
      <c r="AM977" s="111">
        <v>95.05</v>
      </c>
    </row>
    <row r="978" spans="1:39" ht="15" customHeight="1" x14ac:dyDescent="0.25">
      <c r="A978" s="1409"/>
      <c r="B978" s="1409"/>
      <c r="C978" s="1409"/>
      <c r="D978" s="1409"/>
      <c r="E978" s="1247"/>
      <c r="F978" s="1248" t="s">
        <v>4852</v>
      </c>
      <c r="G978" s="111"/>
      <c r="H978" s="1249">
        <v>10</v>
      </c>
      <c r="I978" s="111" t="s">
        <v>1721</v>
      </c>
      <c r="J978" s="1321" t="s">
        <v>5608</v>
      </c>
      <c r="K978" s="162" t="s">
        <v>5610</v>
      </c>
      <c r="L978" s="162" t="s">
        <v>5609</v>
      </c>
      <c r="M978" s="111">
        <v>35</v>
      </c>
      <c r="N978" s="111">
        <v>350</v>
      </c>
      <c r="O978" s="111"/>
      <c r="P978" s="111"/>
      <c r="Q978" s="111"/>
      <c r="R978" s="111"/>
      <c r="S978" s="1249">
        <v>5</v>
      </c>
      <c r="T978" s="1250">
        <v>116.66666666666667</v>
      </c>
      <c r="U978" s="1250"/>
      <c r="V978" s="1250"/>
      <c r="W978" s="1251">
        <v>5</v>
      </c>
      <c r="X978" s="1250">
        <v>116.66666666666667</v>
      </c>
      <c r="Y978" s="1250"/>
      <c r="Z978" s="1250"/>
      <c r="AA978" s="1250"/>
      <c r="AB978" s="1250"/>
      <c r="AC978" s="1250"/>
      <c r="AD978" s="1250"/>
      <c r="AE978" s="1249">
        <v>0</v>
      </c>
      <c r="AF978" s="1250">
        <v>116.66666666666667</v>
      </c>
      <c r="AG978" s="111"/>
      <c r="AH978" s="111"/>
      <c r="AI978" s="111"/>
      <c r="AJ978" s="111"/>
      <c r="AK978" s="111"/>
      <c r="AL978" s="111"/>
      <c r="AM978" s="111">
        <v>350</v>
      </c>
    </row>
    <row r="979" spans="1:39" ht="15" customHeight="1" x14ac:dyDescent="0.25">
      <c r="A979" s="1409"/>
      <c r="B979" s="1409"/>
      <c r="C979" s="1409"/>
      <c r="D979" s="1409"/>
      <c r="E979" s="1247"/>
      <c r="F979" s="1248" t="s">
        <v>4853</v>
      </c>
      <c r="G979" s="111"/>
      <c r="H979" s="1249">
        <v>1</v>
      </c>
      <c r="I979" s="111" t="s">
        <v>1725</v>
      </c>
      <c r="J979" s="1321" t="s">
        <v>5608</v>
      </c>
      <c r="K979" s="162" t="s">
        <v>5610</v>
      </c>
      <c r="L979" s="162" t="s">
        <v>5609</v>
      </c>
      <c r="M979" s="111">
        <v>150.5</v>
      </c>
      <c r="N979" s="111">
        <v>150.5</v>
      </c>
      <c r="O979" s="111"/>
      <c r="P979" s="111"/>
      <c r="Q979" s="111"/>
      <c r="R979" s="111"/>
      <c r="S979" s="1249">
        <v>1</v>
      </c>
      <c r="T979" s="1250">
        <v>50.166666666666664</v>
      </c>
      <c r="U979" s="1250"/>
      <c r="V979" s="1250"/>
      <c r="W979" s="1251">
        <v>0</v>
      </c>
      <c r="X979" s="1250">
        <v>50.166666666666664</v>
      </c>
      <c r="Y979" s="1250"/>
      <c r="Z979" s="1250"/>
      <c r="AA979" s="1250"/>
      <c r="AB979" s="1250"/>
      <c r="AC979" s="1250"/>
      <c r="AD979" s="1250"/>
      <c r="AE979" s="1249">
        <v>0</v>
      </c>
      <c r="AF979" s="1250">
        <v>50.166666666666664</v>
      </c>
      <c r="AG979" s="111"/>
      <c r="AH979" s="111"/>
      <c r="AI979" s="111"/>
      <c r="AJ979" s="111"/>
      <c r="AK979" s="111"/>
      <c r="AL979" s="111"/>
      <c r="AM979" s="111">
        <v>150.5</v>
      </c>
    </row>
    <row r="980" spans="1:39" ht="15" customHeight="1" x14ac:dyDescent="0.25">
      <c r="A980" s="1409"/>
      <c r="B980" s="1409"/>
      <c r="C980" s="1409"/>
      <c r="D980" s="1409"/>
      <c r="E980" s="1247"/>
      <c r="F980" s="1248" t="s">
        <v>4854</v>
      </c>
      <c r="G980" s="111"/>
      <c r="H980" s="1249">
        <v>4</v>
      </c>
      <c r="I980" s="111" t="s">
        <v>1721</v>
      </c>
      <c r="J980" s="1321" t="s">
        <v>5608</v>
      </c>
      <c r="K980" s="162" t="s">
        <v>5610</v>
      </c>
      <c r="L980" s="162" t="s">
        <v>5609</v>
      </c>
      <c r="M980" s="111">
        <v>385.00000000000006</v>
      </c>
      <c r="N980" s="111">
        <v>1540.0000000000002</v>
      </c>
      <c r="O980" s="111"/>
      <c r="P980" s="111"/>
      <c r="Q980" s="111"/>
      <c r="R980" s="111"/>
      <c r="S980" s="1249">
        <v>2</v>
      </c>
      <c r="T980" s="1250">
        <v>513.33333333333337</v>
      </c>
      <c r="U980" s="1250"/>
      <c r="V980" s="1250"/>
      <c r="W980" s="1251">
        <v>1</v>
      </c>
      <c r="X980" s="1250">
        <v>513.33333333333337</v>
      </c>
      <c r="Y980" s="1250"/>
      <c r="Z980" s="1250"/>
      <c r="AA980" s="1250"/>
      <c r="AB980" s="1250"/>
      <c r="AC980" s="1250"/>
      <c r="AD980" s="1250"/>
      <c r="AE980" s="1249">
        <v>1</v>
      </c>
      <c r="AF980" s="1250">
        <v>513.33333333333337</v>
      </c>
      <c r="AG980" s="111"/>
      <c r="AH980" s="111"/>
      <c r="AI980" s="111"/>
      <c r="AJ980" s="111"/>
      <c r="AK980" s="111"/>
      <c r="AL980" s="111"/>
      <c r="AM980" s="111">
        <v>1540.0000000000002</v>
      </c>
    </row>
    <row r="981" spans="1:39" ht="15" customHeight="1" x14ac:dyDescent="0.25">
      <c r="A981" s="1409"/>
      <c r="B981" s="1409"/>
      <c r="C981" s="1409"/>
      <c r="D981" s="1409"/>
      <c r="E981" s="1247"/>
      <c r="F981" s="1248" t="s">
        <v>4855</v>
      </c>
      <c r="G981" s="111"/>
      <c r="H981" s="1249">
        <v>50</v>
      </c>
      <c r="I981" s="111" t="s">
        <v>1721</v>
      </c>
      <c r="J981" s="1321" t="s">
        <v>5608</v>
      </c>
      <c r="K981" s="162" t="s">
        <v>5610</v>
      </c>
      <c r="L981" s="162" t="s">
        <v>5609</v>
      </c>
      <c r="M981" s="111">
        <v>31.74</v>
      </c>
      <c r="N981" s="111">
        <v>1587</v>
      </c>
      <c r="O981" s="111"/>
      <c r="P981" s="111"/>
      <c r="Q981" s="111"/>
      <c r="R981" s="111"/>
      <c r="S981" s="1249">
        <v>20</v>
      </c>
      <c r="T981" s="1250">
        <v>529</v>
      </c>
      <c r="U981" s="1250"/>
      <c r="V981" s="1250"/>
      <c r="W981" s="1251">
        <v>20</v>
      </c>
      <c r="X981" s="1250">
        <v>529</v>
      </c>
      <c r="Y981" s="1250"/>
      <c r="Z981" s="1250"/>
      <c r="AA981" s="1250"/>
      <c r="AB981" s="1250"/>
      <c r="AC981" s="1250"/>
      <c r="AD981" s="1250"/>
      <c r="AE981" s="1249">
        <v>10</v>
      </c>
      <c r="AF981" s="1250">
        <v>529</v>
      </c>
      <c r="AG981" s="111"/>
      <c r="AH981" s="111"/>
      <c r="AI981" s="111"/>
      <c r="AJ981" s="111"/>
      <c r="AK981" s="111"/>
      <c r="AL981" s="111"/>
      <c r="AM981" s="111">
        <v>1587</v>
      </c>
    </row>
    <row r="982" spans="1:39" ht="15" customHeight="1" x14ac:dyDescent="0.25">
      <c r="A982" s="1409"/>
      <c r="B982" s="1409"/>
      <c r="C982" s="1409"/>
      <c r="D982" s="1409"/>
      <c r="E982" s="1247"/>
      <c r="F982" s="1248" t="s">
        <v>4856</v>
      </c>
      <c r="G982" s="111"/>
      <c r="H982" s="1249">
        <v>2</v>
      </c>
      <c r="I982" s="111" t="s">
        <v>1721</v>
      </c>
      <c r="J982" s="1321" t="s">
        <v>5608</v>
      </c>
      <c r="K982" s="162" t="s">
        <v>5610</v>
      </c>
      <c r="L982" s="162" t="s">
        <v>5609</v>
      </c>
      <c r="M982" s="111">
        <v>125</v>
      </c>
      <c r="N982" s="111">
        <v>250</v>
      </c>
      <c r="O982" s="111"/>
      <c r="P982" s="111"/>
      <c r="Q982" s="111"/>
      <c r="R982" s="111"/>
      <c r="S982" s="1249">
        <v>2</v>
      </c>
      <c r="T982" s="1250">
        <v>83.333333333333329</v>
      </c>
      <c r="U982" s="1250"/>
      <c r="V982" s="1250"/>
      <c r="W982" s="1251">
        <v>0</v>
      </c>
      <c r="X982" s="1250">
        <v>83.333333333333329</v>
      </c>
      <c r="Y982" s="1250"/>
      <c r="Z982" s="1250"/>
      <c r="AA982" s="1250"/>
      <c r="AB982" s="1250"/>
      <c r="AC982" s="1250"/>
      <c r="AD982" s="1250"/>
      <c r="AE982" s="1249">
        <v>0</v>
      </c>
      <c r="AF982" s="1250">
        <v>83.333333333333329</v>
      </c>
      <c r="AG982" s="111"/>
      <c r="AH982" s="111"/>
      <c r="AI982" s="111"/>
      <c r="AJ982" s="111"/>
      <c r="AK982" s="111"/>
      <c r="AL982" s="111"/>
      <c r="AM982" s="111">
        <v>250</v>
      </c>
    </row>
    <row r="983" spans="1:39" ht="15" customHeight="1" x14ac:dyDescent="0.25">
      <c r="A983" s="1409"/>
      <c r="B983" s="1409"/>
      <c r="C983" s="1409"/>
      <c r="D983" s="1409"/>
      <c r="E983" s="1247"/>
      <c r="F983" s="1248" t="s">
        <v>4857</v>
      </c>
      <c r="G983" s="111"/>
      <c r="H983" s="1249">
        <v>3</v>
      </c>
      <c r="I983" s="111" t="s">
        <v>1721</v>
      </c>
      <c r="J983" s="1321" t="s">
        <v>5608</v>
      </c>
      <c r="K983" s="162" t="s">
        <v>5610</v>
      </c>
      <c r="L983" s="162" t="s">
        <v>5609</v>
      </c>
      <c r="M983" s="111">
        <v>250</v>
      </c>
      <c r="N983" s="111">
        <v>750</v>
      </c>
      <c r="O983" s="111"/>
      <c r="P983" s="111"/>
      <c r="Q983" s="111"/>
      <c r="R983" s="111"/>
      <c r="S983" s="1249">
        <v>1</v>
      </c>
      <c r="T983" s="1250">
        <v>250</v>
      </c>
      <c r="U983" s="1250"/>
      <c r="V983" s="1250"/>
      <c r="W983" s="1251">
        <v>1</v>
      </c>
      <c r="X983" s="1250">
        <v>250</v>
      </c>
      <c r="Y983" s="1250"/>
      <c r="Z983" s="1250"/>
      <c r="AA983" s="1250"/>
      <c r="AB983" s="1250"/>
      <c r="AC983" s="1250"/>
      <c r="AD983" s="1250"/>
      <c r="AE983" s="1249">
        <v>1</v>
      </c>
      <c r="AF983" s="1250">
        <v>250</v>
      </c>
      <c r="AG983" s="111"/>
      <c r="AH983" s="111"/>
      <c r="AI983" s="111"/>
      <c r="AJ983" s="111"/>
      <c r="AK983" s="111"/>
      <c r="AL983" s="111"/>
      <c r="AM983" s="111">
        <v>750</v>
      </c>
    </row>
    <row r="984" spans="1:39" ht="15" customHeight="1" x14ac:dyDescent="0.25">
      <c r="A984" s="1409"/>
      <c r="B984" s="1409"/>
      <c r="C984" s="1409"/>
      <c r="D984" s="1409"/>
      <c r="E984" s="1247"/>
      <c r="F984" s="1248" t="s">
        <v>4858</v>
      </c>
      <c r="G984" s="111"/>
      <c r="H984" s="1249">
        <v>1</v>
      </c>
      <c r="I984" s="111" t="s">
        <v>1721</v>
      </c>
      <c r="J984" s="1321" t="s">
        <v>5608</v>
      </c>
      <c r="K984" s="162" t="s">
        <v>5610</v>
      </c>
      <c r="L984" s="162" t="s">
        <v>5609</v>
      </c>
      <c r="M984" s="111">
        <v>344.52</v>
      </c>
      <c r="N984" s="111">
        <v>344.52</v>
      </c>
      <c r="O984" s="111"/>
      <c r="P984" s="111"/>
      <c r="Q984" s="111"/>
      <c r="R984" s="111"/>
      <c r="S984" s="1249">
        <v>1</v>
      </c>
      <c r="T984" s="1250">
        <v>114.83999999999999</v>
      </c>
      <c r="U984" s="1250"/>
      <c r="V984" s="1250"/>
      <c r="W984" s="1251">
        <v>0</v>
      </c>
      <c r="X984" s="1250">
        <v>114.83999999999999</v>
      </c>
      <c r="Y984" s="1250"/>
      <c r="Z984" s="1250"/>
      <c r="AA984" s="1250"/>
      <c r="AB984" s="1250"/>
      <c r="AC984" s="1250"/>
      <c r="AD984" s="1250"/>
      <c r="AE984" s="1249">
        <v>0</v>
      </c>
      <c r="AF984" s="1250">
        <v>114.83999999999999</v>
      </c>
      <c r="AG984" s="111"/>
      <c r="AH984" s="111"/>
      <c r="AI984" s="111"/>
      <c r="AJ984" s="111"/>
      <c r="AK984" s="111"/>
      <c r="AL984" s="111"/>
      <c r="AM984" s="111">
        <v>344.52</v>
      </c>
    </row>
    <row r="985" spans="1:39" ht="15" customHeight="1" x14ac:dyDescent="0.25">
      <c r="A985" s="1409"/>
      <c r="B985" s="1409"/>
      <c r="C985" s="1409"/>
      <c r="D985" s="1409"/>
      <c r="E985" s="1247"/>
      <c r="F985" s="1248" t="s">
        <v>4859</v>
      </c>
      <c r="G985" s="111"/>
      <c r="H985" s="1249">
        <v>1</v>
      </c>
      <c r="I985" s="111" t="s">
        <v>1721</v>
      </c>
      <c r="J985" s="1321" t="s">
        <v>5608</v>
      </c>
      <c r="K985" s="162" t="s">
        <v>5610</v>
      </c>
      <c r="L985" s="162" t="s">
        <v>5609</v>
      </c>
      <c r="M985" s="111">
        <v>112.86</v>
      </c>
      <c r="N985" s="111">
        <v>112.86</v>
      </c>
      <c r="O985" s="111"/>
      <c r="P985" s="111"/>
      <c r="Q985" s="111"/>
      <c r="R985" s="111"/>
      <c r="S985" s="1249">
        <v>1</v>
      </c>
      <c r="T985" s="1250">
        <v>37.619999999999997</v>
      </c>
      <c r="U985" s="1250"/>
      <c r="V985" s="1250"/>
      <c r="W985" s="1251">
        <v>0</v>
      </c>
      <c r="X985" s="1250">
        <v>37.619999999999997</v>
      </c>
      <c r="Y985" s="1250"/>
      <c r="Z985" s="1250"/>
      <c r="AA985" s="1250"/>
      <c r="AB985" s="1250"/>
      <c r="AC985" s="1250"/>
      <c r="AD985" s="1250"/>
      <c r="AE985" s="1249">
        <v>0</v>
      </c>
      <c r="AF985" s="1250">
        <v>37.619999999999997</v>
      </c>
      <c r="AG985" s="111"/>
      <c r="AH985" s="111"/>
      <c r="AI985" s="111"/>
      <c r="AJ985" s="111"/>
      <c r="AK985" s="111"/>
      <c r="AL985" s="111"/>
      <c r="AM985" s="111">
        <v>112.86</v>
      </c>
    </row>
    <row r="986" spans="1:39" ht="15" customHeight="1" x14ac:dyDescent="0.25">
      <c r="A986" s="1409"/>
      <c r="B986" s="1409"/>
      <c r="C986" s="1409"/>
      <c r="D986" s="1409"/>
      <c r="E986" s="1247"/>
      <c r="F986" s="1248" t="s">
        <v>4860</v>
      </c>
      <c r="G986" s="111"/>
      <c r="H986" s="1249">
        <v>1</v>
      </c>
      <c r="I986" s="111" t="s">
        <v>1721</v>
      </c>
      <c r="J986" s="1321" t="s">
        <v>5608</v>
      </c>
      <c r="K986" s="162" t="s">
        <v>5610</v>
      </c>
      <c r="L986" s="162" t="s">
        <v>5609</v>
      </c>
      <c r="M986" s="111">
        <v>112.86</v>
      </c>
      <c r="N986" s="111">
        <v>112.86</v>
      </c>
      <c r="O986" s="111"/>
      <c r="P986" s="111"/>
      <c r="Q986" s="111"/>
      <c r="R986" s="111"/>
      <c r="S986" s="1249">
        <v>1</v>
      </c>
      <c r="T986" s="1250">
        <v>37.619999999999997</v>
      </c>
      <c r="U986" s="1250"/>
      <c r="V986" s="1250"/>
      <c r="W986" s="1251">
        <v>0</v>
      </c>
      <c r="X986" s="1250">
        <v>37.619999999999997</v>
      </c>
      <c r="Y986" s="1250"/>
      <c r="Z986" s="1250"/>
      <c r="AA986" s="1250"/>
      <c r="AB986" s="1250"/>
      <c r="AC986" s="1250"/>
      <c r="AD986" s="1250"/>
      <c r="AE986" s="1249">
        <v>0</v>
      </c>
      <c r="AF986" s="1250">
        <v>37.619999999999997</v>
      </c>
      <c r="AG986" s="111"/>
      <c r="AH986" s="111"/>
      <c r="AI986" s="111"/>
      <c r="AJ986" s="111"/>
      <c r="AK986" s="111"/>
      <c r="AL986" s="111"/>
      <c r="AM986" s="111">
        <v>112.86</v>
      </c>
    </row>
    <row r="987" spans="1:39" ht="15" customHeight="1" x14ac:dyDescent="0.25">
      <c r="A987" s="1409"/>
      <c r="B987" s="1409"/>
      <c r="C987" s="1409"/>
      <c r="D987" s="1409"/>
      <c r="E987" s="1247"/>
      <c r="F987" s="1248" t="s">
        <v>4861</v>
      </c>
      <c r="G987" s="111"/>
      <c r="H987" s="1249">
        <v>2</v>
      </c>
      <c r="I987" s="111" t="s">
        <v>1721</v>
      </c>
      <c r="J987" s="1321" t="s">
        <v>5608</v>
      </c>
      <c r="K987" s="162" t="s">
        <v>5610</v>
      </c>
      <c r="L987" s="162" t="s">
        <v>5609</v>
      </c>
      <c r="M987" s="111">
        <v>59.41</v>
      </c>
      <c r="N987" s="111">
        <v>118.82</v>
      </c>
      <c r="O987" s="111"/>
      <c r="P987" s="111"/>
      <c r="Q987" s="111"/>
      <c r="R987" s="111"/>
      <c r="S987" s="1249">
        <v>2</v>
      </c>
      <c r="T987" s="1250">
        <v>39.606666666666662</v>
      </c>
      <c r="U987" s="1250"/>
      <c r="V987" s="1250"/>
      <c r="W987" s="1251">
        <v>0</v>
      </c>
      <c r="X987" s="1250">
        <v>39.606666666666662</v>
      </c>
      <c r="Y987" s="1250"/>
      <c r="Z987" s="1250"/>
      <c r="AA987" s="1250"/>
      <c r="AB987" s="1250"/>
      <c r="AC987" s="1250"/>
      <c r="AD987" s="1250"/>
      <c r="AE987" s="1249">
        <v>0</v>
      </c>
      <c r="AF987" s="1250">
        <v>39.606666666666662</v>
      </c>
      <c r="AG987" s="111"/>
      <c r="AH987" s="111"/>
      <c r="AI987" s="111"/>
      <c r="AJ987" s="111"/>
      <c r="AK987" s="111"/>
      <c r="AL987" s="111"/>
      <c r="AM987" s="111">
        <v>118.82</v>
      </c>
    </row>
    <row r="988" spans="1:39" ht="15" customHeight="1" x14ac:dyDescent="0.25">
      <c r="A988" s="1409"/>
      <c r="B988" s="1409"/>
      <c r="C988" s="1409"/>
      <c r="D988" s="1409"/>
      <c r="E988" s="1247"/>
      <c r="F988" s="1248" t="s">
        <v>4862</v>
      </c>
      <c r="G988" s="111"/>
      <c r="H988" s="1249">
        <v>130</v>
      </c>
      <c r="I988" s="111" t="s">
        <v>1725</v>
      </c>
      <c r="J988" s="1321" t="s">
        <v>5608</v>
      </c>
      <c r="K988" s="162" t="s">
        <v>5610</v>
      </c>
      <c r="L988" s="162" t="s">
        <v>5609</v>
      </c>
      <c r="M988" s="111">
        <v>88</v>
      </c>
      <c r="N988" s="111">
        <v>11440</v>
      </c>
      <c r="O988" s="111"/>
      <c r="P988" s="111"/>
      <c r="Q988" s="111"/>
      <c r="R988" s="111"/>
      <c r="S988" s="1249">
        <v>50</v>
      </c>
      <c r="T988" s="1250">
        <v>3813.3333333333335</v>
      </c>
      <c r="U988" s="1250"/>
      <c r="V988" s="1250"/>
      <c r="W988" s="1251">
        <v>50</v>
      </c>
      <c r="X988" s="1250">
        <v>3813.3333333333335</v>
      </c>
      <c r="Y988" s="1250"/>
      <c r="Z988" s="1250"/>
      <c r="AA988" s="1250"/>
      <c r="AB988" s="1250"/>
      <c r="AC988" s="1250"/>
      <c r="AD988" s="1250"/>
      <c r="AE988" s="1249">
        <v>30</v>
      </c>
      <c r="AF988" s="1250">
        <v>3813.3333333333335</v>
      </c>
      <c r="AG988" s="111"/>
      <c r="AH988" s="111"/>
      <c r="AI988" s="111"/>
      <c r="AJ988" s="111"/>
      <c r="AK988" s="111"/>
      <c r="AL988" s="111"/>
      <c r="AM988" s="111">
        <v>11440</v>
      </c>
    </row>
    <row r="989" spans="1:39" ht="15" customHeight="1" x14ac:dyDescent="0.25">
      <c r="A989" s="1409"/>
      <c r="B989" s="1409"/>
      <c r="C989" s="1409"/>
      <c r="D989" s="1409"/>
      <c r="E989" s="1247"/>
      <c r="F989" s="1248" t="s">
        <v>4863</v>
      </c>
      <c r="G989" s="111"/>
      <c r="H989" s="1249">
        <v>2</v>
      </c>
      <c r="I989" s="111" t="s">
        <v>1721</v>
      </c>
      <c r="J989" s="1321" t="s">
        <v>5608</v>
      </c>
      <c r="K989" s="162" t="s">
        <v>5610</v>
      </c>
      <c r="L989" s="162" t="s">
        <v>5609</v>
      </c>
      <c r="M989" s="111">
        <v>403.92</v>
      </c>
      <c r="N989" s="111">
        <v>807.84</v>
      </c>
      <c r="O989" s="111"/>
      <c r="P989" s="111"/>
      <c r="Q989" s="111"/>
      <c r="R989" s="111"/>
      <c r="S989" s="1249">
        <v>2</v>
      </c>
      <c r="T989" s="1250">
        <v>269.28000000000003</v>
      </c>
      <c r="U989" s="1250"/>
      <c r="V989" s="1250"/>
      <c r="W989" s="1251">
        <v>0</v>
      </c>
      <c r="X989" s="1250">
        <v>269.28000000000003</v>
      </c>
      <c r="Y989" s="1250"/>
      <c r="Z989" s="1250"/>
      <c r="AA989" s="1250"/>
      <c r="AB989" s="1250"/>
      <c r="AC989" s="1250"/>
      <c r="AD989" s="1250"/>
      <c r="AE989" s="1249">
        <v>0</v>
      </c>
      <c r="AF989" s="1250">
        <v>269.28000000000003</v>
      </c>
      <c r="AG989" s="111"/>
      <c r="AH989" s="111"/>
      <c r="AI989" s="111"/>
      <c r="AJ989" s="111"/>
      <c r="AK989" s="111"/>
      <c r="AL989" s="111"/>
      <c r="AM989" s="111">
        <v>807.84</v>
      </c>
    </row>
    <row r="990" spans="1:39" ht="15" customHeight="1" x14ac:dyDescent="0.25">
      <c r="A990" s="1409"/>
      <c r="B990" s="1409"/>
      <c r="C990" s="1409"/>
      <c r="D990" s="1409"/>
      <c r="E990" s="1247"/>
      <c r="F990" s="1248" t="s">
        <v>4864</v>
      </c>
      <c r="G990" s="111"/>
      <c r="H990" s="1249">
        <v>50</v>
      </c>
      <c r="I990" s="111" t="s">
        <v>1721</v>
      </c>
      <c r="J990" s="1321" t="s">
        <v>5608</v>
      </c>
      <c r="K990" s="162" t="s">
        <v>5610</v>
      </c>
      <c r="L990" s="162" t="s">
        <v>5609</v>
      </c>
      <c r="M990" s="111">
        <v>25.6</v>
      </c>
      <c r="N990" s="111">
        <v>1280</v>
      </c>
      <c r="O990" s="111"/>
      <c r="P990" s="111"/>
      <c r="Q990" s="111"/>
      <c r="R990" s="111"/>
      <c r="S990" s="1249">
        <v>20</v>
      </c>
      <c r="T990" s="1250">
        <v>426.66666666666669</v>
      </c>
      <c r="U990" s="1250"/>
      <c r="V990" s="1250"/>
      <c r="W990" s="1251">
        <v>20</v>
      </c>
      <c r="X990" s="1250">
        <v>426.66666666666669</v>
      </c>
      <c r="Y990" s="1250"/>
      <c r="Z990" s="1250"/>
      <c r="AA990" s="1250"/>
      <c r="AB990" s="1250"/>
      <c r="AC990" s="1250"/>
      <c r="AD990" s="1250"/>
      <c r="AE990" s="1249">
        <v>10</v>
      </c>
      <c r="AF990" s="1250">
        <v>426.66666666666669</v>
      </c>
      <c r="AG990" s="111"/>
      <c r="AH990" s="111"/>
      <c r="AI990" s="111"/>
      <c r="AJ990" s="111"/>
      <c r="AK990" s="111"/>
      <c r="AL990" s="111"/>
      <c r="AM990" s="111">
        <v>1280</v>
      </c>
    </row>
    <row r="991" spans="1:39" ht="15" customHeight="1" x14ac:dyDescent="0.25">
      <c r="A991" s="1409"/>
      <c r="B991" s="1409"/>
      <c r="C991" s="1409"/>
      <c r="D991" s="1409"/>
      <c r="E991" s="1247"/>
      <c r="F991" s="1248" t="s">
        <v>517</v>
      </c>
      <c r="G991" s="111"/>
      <c r="H991" s="1249">
        <v>2</v>
      </c>
      <c r="I991" s="111" t="s">
        <v>1722</v>
      </c>
      <c r="J991" s="1321" t="s">
        <v>5608</v>
      </c>
      <c r="K991" s="162" t="s">
        <v>5610</v>
      </c>
      <c r="L991" s="162" t="s">
        <v>5609</v>
      </c>
      <c r="M991" s="111">
        <v>357.50159999999994</v>
      </c>
      <c r="N991" s="111">
        <v>715.00319999999988</v>
      </c>
      <c r="O991" s="111"/>
      <c r="P991" s="111"/>
      <c r="Q991" s="111"/>
      <c r="R991" s="111"/>
      <c r="S991" s="1249">
        <v>2</v>
      </c>
      <c r="T991" s="1250">
        <v>238.33439999999996</v>
      </c>
      <c r="U991" s="1250"/>
      <c r="V991" s="1250"/>
      <c r="W991" s="1251">
        <v>0</v>
      </c>
      <c r="X991" s="1250">
        <v>238.33439999999996</v>
      </c>
      <c r="Y991" s="1250"/>
      <c r="Z991" s="1250"/>
      <c r="AA991" s="1250"/>
      <c r="AB991" s="1250"/>
      <c r="AC991" s="1250"/>
      <c r="AD991" s="1250"/>
      <c r="AE991" s="1249">
        <v>0</v>
      </c>
      <c r="AF991" s="1250">
        <v>238.33439999999996</v>
      </c>
      <c r="AG991" s="111"/>
      <c r="AH991" s="111"/>
      <c r="AI991" s="111"/>
      <c r="AJ991" s="111"/>
      <c r="AK991" s="111"/>
      <c r="AL991" s="111"/>
      <c r="AM991" s="111">
        <v>715.00319999999988</v>
      </c>
    </row>
    <row r="992" spans="1:39" ht="28.5" customHeight="1" x14ac:dyDescent="0.25">
      <c r="A992" s="1409"/>
      <c r="B992" s="1409"/>
      <c r="C992" s="1409"/>
      <c r="D992" s="1409"/>
      <c r="E992" s="1247"/>
      <c r="F992" s="1287" t="s">
        <v>4865</v>
      </c>
      <c r="G992" s="111"/>
      <c r="H992" s="1249">
        <v>3</v>
      </c>
      <c r="I992" s="111" t="s">
        <v>1721</v>
      </c>
      <c r="J992" s="1321" t="s">
        <v>5608</v>
      </c>
      <c r="K992" s="162" t="s">
        <v>5610</v>
      </c>
      <c r="L992" s="162" t="s">
        <v>5609</v>
      </c>
      <c r="M992" s="111">
        <v>320</v>
      </c>
      <c r="N992" s="111">
        <v>960</v>
      </c>
      <c r="O992" s="111"/>
      <c r="P992" s="111"/>
      <c r="Q992" s="111"/>
      <c r="R992" s="111"/>
      <c r="S992" s="1249">
        <v>1</v>
      </c>
      <c r="T992" s="1250">
        <v>320</v>
      </c>
      <c r="U992" s="1250"/>
      <c r="V992" s="1250"/>
      <c r="W992" s="1251">
        <v>1</v>
      </c>
      <c r="X992" s="1250">
        <v>320</v>
      </c>
      <c r="Y992" s="1250"/>
      <c r="Z992" s="1250"/>
      <c r="AA992" s="1250"/>
      <c r="AB992" s="1250"/>
      <c r="AC992" s="1250"/>
      <c r="AD992" s="1250"/>
      <c r="AE992" s="1249">
        <v>1</v>
      </c>
      <c r="AF992" s="1250">
        <v>320</v>
      </c>
      <c r="AG992" s="111"/>
      <c r="AH992" s="111"/>
      <c r="AI992" s="111"/>
      <c r="AJ992" s="111"/>
      <c r="AK992" s="111"/>
      <c r="AL992" s="111"/>
      <c r="AM992" s="111">
        <v>960</v>
      </c>
    </row>
    <row r="993" spans="1:39" ht="15" customHeight="1" x14ac:dyDescent="0.25">
      <c r="A993" s="1409"/>
      <c r="B993" s="1409"/>
      <c r="C993" s="1409"/>
      <c r="D993" s="1409"/>
      <c r="E993" s="1247"/>
      <c r="F993" s="1248" t="s">
        <v>4866</v>
      </c>
      <c r="G993" s="111"/>
      <c r="H993" s="1249">
        <v>3</v>
      </c>
      <c r="I993" s="111" t="s">
        <v>1721</v>
      </c>
      <c r="J993" s="1321" t="s">
        <v>5608</v>
      </c>
      <c r="K993" s="162" t="s">
        <v>5610</v>
      </c>
      <c r="L993" s="162" t="s">
        <v>5609</v>
      </c>
      <c r="M993" s="111">
        <v>161.97999999999999</v>
      </c>
      <c r="N993" s="111">
        <v>485.93999999999994</v>
      </c>
      <c r="O993" s="111"/>
      <c r="P993" s="111"/>
      <c r="Q993" s="111"/>
      <c r="R993" s="111"/>
      <c r="S993" s="1249">
        <v>1</v>
      </c>
      <c r="T993" s="1250">
        <v>161.97999999999999</v>
      </c>
      <c r="U993" s="1250"/>
      <c r="V993" s="1250"/>
      <c r="W993" s="1251">
        <v>1</v>
      </c>
      <c r="X993" s="1250">
        <v>161.97999999999999</v>
      </c>
      <c r="Y993" s="1250"/>
      <c r="Z993" s="1250"/>
      <c r="AA993" s="1250"/>
      <c r="AB993" s="1250"/>
      <c r="AC993" s="1250"/>
      <c r="AD993" s="1250"/>
      <c r="AE993" s="1249">
        <v>1</v>
      </c>
      <c r="AF993" s="1250">
        <v>161.97999999999999</v>
      </c>
      <c r="AG993" s="111"/>
      <c r="AH993" s="111"/>
      <c r="AI993" s="111"/>
      <c r="AJ993" s="111"/>
      <c r="AK993" s="111"/>
      <c r="AL993" s="111"/>
      <c r="AM993" s="111">
        <v>485.93999999999994</v>
      </c>
    </row>
    <row r="994" spans="1:39" ht="15" customHeight="1" x14ac:dyDescent="0.25">
      <c r="A994" s="1409"/>
      <c r="B994" s="1409"/>
      <c r="C994" s="1409"/>
      <c r="D994" s="1409"/>
      <c r="E994" s="1247"/>
      <c r="F994" s="1248" t="s">
        <v>1181</v>
      </c>
      <c r="G994" s="111"/>
      <c r="H994" s="1249">
        <v>55</v>
      </c>
      <c r="I994" s="111" t="s">
        <v>1725</v>
      </c>
      <c r="J994" s="1321" t="s">
        <v>5608</v>
      </c>
      <c r="K994" s="162" t="s">
        <v>5610</v>
      </c>
      <c r="L994" s="162" t="s">
        <v>5609</v>
      </c>
      <c r="M994" s="111">
        <v>17.762109090909092</v>
      </c>
      <c r="N994" s="111">
        <v>976.91600000000005</v>
      </c>
      <c r="O994" s="111"/>
      <c r="P994" s="111"/>
      <c r="Q994" s="111"/>
      <c r="R994" s="111"/>
      <c r="S994" s="1249">
        <v>25</v>
      </c>
      <c r="T994" s="1250">
        <v>325.63866666666667</v>
      </c>
      <c r="U994" s="1250"/>
      <c r="V994" s="1250"/>
      <c r="W994" s="1251">
        <v>20</v>
      </c>
      <c r="X994" s="1250">
        <v>325.63866666666667</v>
      </c>
      <c r="Y994" s="1250"/>
      <c r="Z994" s="1250"/>
      <c r="AA994" s="1250"/>
      <c r="AB994" s="1250"/>
      <c r="AC994" s="1250"/>
      <c r="AD994" s="1250"/>
      <c r="AE994" s="1249">
        <v>10</v>
      </c>
      <c r="AF994" s="1250">
        <v>325.63866666666667</v>
      </c>
      <c r="AG994" s="111"/>
      <c r="AH994" s="111"/>
      <c r="AI994" s="111"/>
      <c r="AJ994" s="111"/>
      <c r="AK994" s="111"/>
      <c r="AL994" s="111"/>
      <c r="AM994" s="111">
        <v>976.91600000000005</v>
      </c>
    </row>
    <row r="995" spans="1:39" ht="15" customHeight="1" x14ac:dyDescent="0.25">
      <c r="A995" s="1409"/>
      <c r="B995" s="1409"/>
      <c r="C995" s="1409"/>
      <c r="D995" s="1409"/>
      <c r="E995" s="1247"/>
      <c r="F995" s="1248" t="s">
        <v>4867</v>
      </c>
      <c r="G995" s="111"/>
      <c r="H995" s="1249">
        <v>2</v>
      </c>
      <c r="I995" s="111" t="s">
        <v>1722</v>
      </c>
      <c r="J995" s="1321" t="s">
        <v>5608</v>
      </c>
      <c r="K995" s="162" t="s">
        <v>5610</v>
      </c>
      <c r="L995" s="162" t="s">
        <v>5609</v>
      </c>
      <c r="M995" s="111">
        <v>956.12399999999991</v>
      </c>
      <c r="N995" s="111">
        <v>1912.2479999999998</v>
      </c>
      <c r="O995" s="111"/>
      <c r="P995" s="111"/>
      <c r="Q995" s="111"/>
      <c r="R995" s="111"/>
      <c r="S995" s="1249">
        <v>2</v>
      </c>
      <c r="T995" s="1250">
        <v>637.41599999999994</v>
      </c>
      <c r="U995" s="1250"/>
      <c r="V995" s="1250"/>
      <c r="W995" s="1251">
        <v>0</v>
      </c>
      <c r="X995" s="1250">
        <v>637.41599999999994</v>
      </c>
      <c r="Y995" s="1250"/>
      <c r="Z995" s="1250"/>
      <c r="AA995" s="1250"/>
      <c r="AB995" s="1250"/>
      <c r="AC995" s="1250"/>
      <c r="AD995" s="1250"/>
      <c r="AE995" s="1249">
        <v>0</v>
      </c>
      <c r="AF995" s="1250">
        <v>637.41599999999994</v>
      </c>
      <c r="AG995" s="111"/>
      <c r="AH995" s="111"/>
      <c r="AI995" s="111"/>
      <c r="AJ995" s="111"/>
      <c r="AK995" s="111"/>
      <c r="AL995" s="111"/>
      <c r="AM995" s="111">
        <v>1912.2479999999998</v>
      </c>
    </row>
    <row r="996" spans="1:39" ht="15" customHeight="1" x14ac:dyDescent="0.25">
      <c r="A996" s="1409"/>
      <c r="B996" s="1409"/>
      <c r="C996" s="1409"/>
      <c r="D996" s="1409"/>
      <c r="E996" s="1247"/>
      <c r="F996" s="1248" t="s">
        <v>1854</v>
      </c>
      <c r="G996" s="111"/>
      <c r="H996" s="1249">
        <v>45</v>
      </c>
      <c r="I996" s="111" t="s">
        <v>1725</v>
      </c>
      <c r="J996" s="1321" t="s">
        <v>5608</v>
      </c>
      <c r="K996" s="162" t="s">
        <v>5610</v>
      </c>
      <c r="L996" s="162" t="s">
        <v>5609</v>
      </c>
      <c r="M996" s="111">
        <v>20.53</v>
      </c>
      <c r="N996" s="111">
        <v>923.85</v>
      </c>
      <c r="O996" s="111"/>
      <c r="P996" s="111"/>
      <c r="Q996" s="111"/>
      <c r="R996" s="111"/>
      <c r="S996" s="1249">
        <v>15</v>
      </c>
      <c r="T996" s="1250">
        <v>307.95</v>
      </c>
      <c r="U996" s="1250"/>
      <c r="V996" s="1250"/>
      <c r="W996" s="1251">
        <v>15</v>
      </c>
      <c r="X996" s="1250">
        <v>307.95</v>
      </c>
      <c r="Y996" s="1250"/>
      <c r="Z996" s="1250"/>
      <c r="AA996" s="1250"/>
      <c r="AB996" s="1250"/>
      <c r="AC996" s="1250"/>
      <c r="AD996" s="1250"/>
      <c r="AE996" s="1249">
        <v>15</v>
      </c>
      <c r="AF996" s="1250">
        <v>307.95</v>
      </c>
      <c r="AG996" s="111"/>
      <c r="AH996" s="111"/>
      <c r="AI996" s="111"/>
      <c r="AJ996" s="111"/>
      <c r="AK996" s="111"/>
      <c r="AL996" s="111"/>
      <c r="AM996" s="111">
        <v>923.85</v>
      </c>
    </row>
    <row r="997" spans="1:39" ht="15" customHeight="1" x14ac:dyDescent="0.25">
      <c r="A997" s="1409"/>
      <c r="B997" s="1409"/>
      <c r="C997" s="1409"/>
      <c r="D997" s="1409"/>
      <c r="E997" s="1247"/>
      <c r="F997" s="1248" t="s">
        <v>2951</v>
      </c>
      <c r="G997" s="111"/>
      <c r="H997" s="1249">
        <v>5</v>
      </c>
      <c r="I997" s="111" t="s">
        <v>1725</v>
      </c>
      <c r="J997" s="1321" t="s">
        <v>5608</v>
      </c>
      <c r="K997" s="162" t="s">
        <v>5610</v>
      </c>
      <c r="L997" s="162" t="s">
        <v>5609</v>
      </c>
      <c r="M997" s="111">
        <v>20.53</v>
      </c>
      <c r="N997" s="111">
        <v>102.65</v>
      </c>
      <c r="O997" s="111"/>
      <c r="P997" s="111"/>
      <c r="Q997" s="111"/>
      <c r="R997" s="111"/>
      <c r="S997" s="1249">
        <v>2</v>
      </c>
      <c r="T997" s="1250">
        <v>34.216666666666669</v>
      </c>
      <c r="U997" s="1250"/>
      <c r="V997" s="1250"/>
      <c r="W997" s="1251">
        <v>2</v>
      </c>
      <c r="X997" s="1250">
        <v>34.216666666666669</v>
      </c>
      <c r="Y997" s="1250"/>
      <c r="Z997" s="1250"/>
      <c r="AA997" s="1250"/>
      <c r="AB997" s="1250"/>
      <c r="AC997" s="1250"/>
      <c r="AD997" s="1250"/>
      <c r="AE997" s="1249">
        <v>1</v>
      </c>
      <c r="AF997" s="1250">
        <v>34.216666666666669</v>
      </c>
      <c r="AG997" s="111"/>
      <c r="AH997" s="111"/>
      <c r="AI997" s="111"/>
      <c r="AJ997" s="111"/>
      <c r="AK997" s="111"/>
      <c r="AL997" s="111"/>
      <c r="AM997" s="111">
        <v>102.65</v>
      </c>
    </row>
    <row r="998" spans="1:39" ht="15" customHeight="1" x14ac:dyDescent="0.25">
      <c r="A998" s="1409"/>
      <c r="B998" s="1409"/>
      <c r="C998" s="1409"/>
      <c r="D998" s="1409"/>
      <c r="E998" s="1247"/>
      <c r="F998" s="1248"/>
      <c r="G998" s="111"/>
      <c r="H998" s="1249"/>
      <c r="I998" s="111"/>
      <c r="J998" s="1321"/>
      <c r="K998" s="111"/>
      <c r="L998" s="111"/>
      <c r="M998" s="111"/>
      <c r="N998" s="111"/>
      <c r="O998" s="111"/>
      <c r="P998" s="111"/>
      <c r="Q998" s="111"/>
      <c r="R998" s="111"/>
      <c r="S998" s="1249"/>
      <c r="T998" s="1250"/>
      <c r="U998" s="1250"/>
      <c r="V998" s="1250"/>
      <c r="W998" s="1251"/>
      <c r="X998" s="1250"/>
      <c r="Y998" s="1250"/>
      <c r="Z998" s="1250"/>
      <c r="AA998" s="1250"/>
      <c r="AB998" s="1250"/>
      <c r="AC998" s="1250"/>
      <c r="AD998" s="1250"/>
      <c r="AE998" s="1249"/>
      <c r="AF998" s="1250"/>
      <c r="AG998" s="111"/>
      <c r="AH998" s="111"/>
      <c r="AI998" s="111"/>
      <c r="AJ998" s="111"/>
      <c r="AK998" s="111"/>
      <c r="AL998" s="111"/>
      <c r="AM998" s="111"/>
    </row>
    <row r="999" spans="1:39" ht="36" customHeight="1" x14ac:dyDescent="0.25">
      <c r="A999" s="1409"/>
      <c r="B999" s="1409"/>
      <c r="C999" s="1409"/>
      <c r="D999" s="1409"/>
      <c r="E999" s="1204">
        <v>2300</v>
      </c>
      <c r="F999" s="1274" t="s">
        <v>524</v>
      </c>
      <c r="G999" s="1204"/>
      <c r="H999" s="1204"/>
      <c r="I999" s="1204"/>
      <c r="J999" s="1323"/>
      <c r="K999" s="1204"/>
      <c r="L999" s="1204"/>
      <c r="M999" s="1204"/>
      <c r="N999" s="1204"/>
      <c r="O999" s="1204"/>
      <c r="P999" s="1204"/>
      <c r="Q999" s="1204"/>
      <c r="R999" s="1204"/>
      <c r="S999" s="1204"/>
      <c r="T999" s="1204"/>
      <c r="U999" s="1204"/>
      <c r="V999" s="1204"/>
      <c r="W999" s="1204"/>
      <c r="X999" s="1204"/>
      <c r="Y999" s="1204"/>
      <c r="Z999" s="1204"/>
      <c r="AA999" s="1204"/>
      <c r="AB999" s="1204"/>
      <c r="AC999" s="1204"/>
      <c r="AD999" s="1204"/>
      <c r="AE999" s="1204"/>
      <c r="AF999" s="1204"/>
      <c r="AG999" s="1204"/>
      <c r="AH999" s="1204"/>
      <c r="AI999" s="1204"/>
      <c r="AJ999" s="1204"/>
      <c r="AK999" s="1204"/>
      <c r="AL999" s="1204"/>
      <c r="AM999" s="1204"/>
    </row>
    <row r="1000" spans="1:39" ht="15" customHeight="1" x14ac:dyDescent="0.25">
      <c r="A1000" s="1409"/>
      <c r="B1000" s="1409"/>
      <c r="C1000" s="1409"/>
      <c r="D1000" s="1409"/>
      <c r="E1000" s="1247"/>
      <c r="F1000" s="1248"/>
      <c r="G1000" s="111"/>
      <c r="H1000" s="1249"/>
      <c r="I1000" s="111"/>
      <c r="J1000" s="1321"/>
      <c r="K1000" s="111"/>
      <c r="L1000" s="111"/>
      <c r="M1000" s="111"/>
      <c r="N1000" s="111"/>
      <c r="O1000" s="111"/>
      <c r="P1000" s="111"/>
      <c r="Q1000" s="111"/>
      <c r="R1000" s="111"/>
      <c r="S1000" s="1249"/>
      <c r="T1000" s="1250"/>
      <c r="U1000" s="1250"/>
      <c r="V1000" s="1250"/>
      <c r="W1000" s="1251"/>
      <c r="X1000" s="1250"/>
      <c r="Y1000" s="1250"/>
      <c r="Z1000" s="1250"/>
      <c r="AA1000" s="1250"/>
      <c r="AB1000" s="1250"/>
      <c r="AC1000" s="1250"/>
      <c r="AD1000" s="1250"/>
      <c r="AE1000" s="1249"/>
      <c r="AF1000" s="1250"/>
      <c r="AG1000" s="111"/>
      <c r="AH1000" s="111"/>
      <c r="AI1000" s="111"/>
      <c r="AJ1000" s="111"/>
      <c r="AK1000" s="111"/>
      <c r="AL1000" s="111"/>
      <c r="AM1000" s="111"/>
    </row>
    <row r="1001" spans="1:39" ht="15" customHeight="1" x14ac:dyDescent="0.25">
      <c r="A1001" s="1409"/>
      <c r="B1001" s="1409"/>
      <c r="C1001" s="1409"/>
      <c r="D1001" s="1409"/>
      <c r="E1001" s="1218">
        <v>232</v>
      </c>
      <c r="F1001" s="1268" t="s">
        <v>528</v>
      </c>
      <c r="G1001" s="1218"/>
      <c r="H1001" s="1218"/>
      <c r="I1001" s="1218"/>
      <c r="J1001" s="1218"/>
      <c r="K1001" s="1218"/>
      <c r="L1001" s="1218"/>
      <c r="M1001" s="1218"/>
      <c r="N1001" s="1218"/>
      <c r="O1001" s="1218"/>
      <c r="P1001" s="1218"/>
      <c r="Q1001" s="1218"/>
      <c r="R1001" s="1218"/>
      <c r="S1001" s="1218"/>
      <c r="T1001" s="1218"/>
      <c r="U1001" s="1218"/>
      <c r="V1001" s="1218"/>
      <c r="W1001" s="1218"/>
      <c r="X1001" s="1218"/>
      <c r="Y1001" s="1218"/>
      <c r="Z1001" s="1218"/>
      <c r="AA1001" s="1218"/>
      <c r="AB1001" s="1218"/>
      <c r="AC1001" s="1218"/>
      <c r="AD1001" s="1218"/>
      <c r="AE1001" s="1218"/>
      <c r="AF1001" s="1218"/>
      <c r="AG1001" s="1218"/>
      <c r="AH1001" s="1218"/>
      <c r="AI1001" s="1218"/>
      <c r="AJ1001" s="1218"/>
      <c r="AK1001" s="1218"/>
      <c r="AL1001" s="1218"/>
      <c r="AM1001" s="1218"/>
    </row>
    <row r="1002" spans="1:39" ht="15" customHeight="1" x14ac:dyDescent="0.25">
      <c r="A1002" s="1409"/>
      <c r="B1002" s="1409"/>
      <c r="C1002" s="1409"/>
      <c r="D1002" s="1409"/>
      <c r="E1002" s="1247"/>
      <c r="F1002" s="1248"/>
      <c r="G1002" s="111"/>
      <c r="H1002" s="1249"/>
      <c r="I1002" s="111"/>
      <c r="J1002" s="1321"/>
      <c r="K1002" s="111"/>
      <c r="L1002" s="111"/>
      <c r="M1002" s="111"/>
      <c r="N1002" s="111"/>
      <c r="O1002" s="111"/>
      <c r="P1002" s="111"/>
      <c r="Q1002" s="111"/>
      <c r="R1002" s="111"/>
      <c r="S1002" s="1249"/>
      <c r="T1002" s="1250"/>
      <c r="U1002" s="1250"/>
      <c r="V1002" s="1250"/>
      <c r="W1002" s="1251"/>
      <c r="X1002" s="1250"/>
      <c r="Y1002" s="1250"/>
      <c r="Z1002" s="1250"/>
      <c r="AA1002" s="1250"/>
      <c r="AB1002" s="1250"/>
      <c r="AC1002" s="1250"/>
      <c r="AD1002" s="1250"/>
      <c r="AE1002" s="1249"/>
      <c r="AF1002" s="1250"/>
      <c r="AG1002" s="111"/>
      <c r="AH1002" s="111"/>
      <c r="AI1002" s="111"/>
      <c r="AJ1002" s="111"/>
      <c r="AK1002" s="111"/>
      <c r="AL1002" s="111"/>
      <c r="AM1002" s="111"/>
    </row>
    <row r="1003" spans="1:39" ht="15" customHeight="1" x14ac:dyDescent="0.25">
      <c r="A1003" s="1409"/>
      <c r="B1003" s="1409"/>
      <c r="C1003" s="1409"/>
      <c r="D1003" s="1409"/>
      <c r="E1003" s="1261">
        <v>23203</v>
      </c>
      <c r="F1003" s="1262" t="s">
        <v>531</v>
      </c>
      <c r="G1003" s="1261"/>
      <c r="H1003" s="1261"/>
      <c r="I1003" s="1261"/>
      <c r="J1003" s="1322"/>
      <c r="K1003" s="1261"/>
      <c r="L1003" s="1261"/>
      <c r="M1003" s="1261"/>
      <c r="N1003" s="1261"/>
      <c r="O1003" s="1261"/>
      <c r="P1003" s="1261"/>
      <c r="Q1003" s="1261"/>
      <c r="R1003" s="1261"/>
      <c r="S1003" s="1261"/>
      <c r="T1003" s="1261"/>
      <c r="U1003" s="1261"/>
      <c r="V1003" s="1261"/>
      <c r="W1003" s="1261"/>
      <c r="X1003" s="1261"/>
      <c r="Y1003" s="1261"/>
      <c r="Z1003" s="1261"/>
      <c r="AA1003" s="1261"/>
      <c r="AB1003" s="1261"/>
      <c r="AC1003" s="1261"/>
      <c r="AD1003" s="1261"/>
      <c r="AE1003" s="1261"/>
      <c r="AF1003" s="1261"/>
      <c r="AG1003" s="1261"/>
      <c r="AH1003" s="1261"/>
      <c r="AI1003" s="1261"/>
      <c r="AJ1003" s="1261"/>
      <c r="AK1003" s="1261"/>
      <c r="AL1003" s="1261"/>
      <c r="AM1003" s="1261"/>
    </row>
    <row r="1004" spans="1:39" ht="15" customHeight="1" x14ac:dyDescent="0.25">
      <c r="A1004" s="1409"/>
      <c r="B1004" s="1409"/>
      <c r="C1004" s="1409"/>
      <c r="D1004" s="1409"/>
      <c r="E1004" s="1247"/>
      <c r="F1004" s="1248" t="s">
        <v>4868</v>
      </c>
      <c r="G1004" s="111"/>
      <c r="H1004" s="1249">
        <v>200</v>
      </c>
      <c r="I1004" s="111" t="s">
        <v>1721</v>
      </c>
      <c r="J1004" s="1321" t="s">
        <v>5608</v>
      </c>
      <c r="K1004" s="162" t="s">
        <v>5610</v>
      </c>
      <c r="L1004" s="162" t="s">
        <v>5609</v>
      </c>
      <c r="M1004" s="111">
        <v>97.766999999999996</v>
      </c>
      <c r="N1004" s="111">
        <v>19553.399999999998</v>
      </c>
      <c r="O1004" s="111"/>
      <c r="P1004" s="111"/>
      <c r="Q1004" s="111"/>
      <c r="R1004" s="111"/>
      <c r="S1004" s="1249">
        <v>100</v>
      </c>
      <c r="T1004" s="1250">
        <v>6517.7999999999993</v>
      </c>
      <c r="U1004" s="1250"/>
      <c r="V1004" s="1250"/>
      <c r="W1004" s="1251">
        <v>50</v>
      </c>
      <c r="X1004" s="1250">
        <v>6517.7999999999993</v>
      </c>
      <c r="Y1004" s="1250"/>
      <c r="Z1004" s="1250"/>
      <c r="AA1004" s="1250"/>
      <c r="AB1004" s="1250"/>
      <c r="AC1004" s="1250"/>
      <c r="AD1004" s="1250"/>
      <c r="AE1004" s="1249">
        <v>50</v>
      </c>
      <c r="AF1004" s="1250">
        <v>6517.7999999999993</v>
      </c>
      <c r="AG1004" s="111"/>
      <c r="AH1004" s="111"/>
      <c r="AI1004" s="111"/>
      <c r="AJ1004" s="111"/>
      <c r="AK1004" s="111"/>
      <c r="AL1004" s="111"/>
      <c r="AM1004" s="111">
        <v>19553.399999999998</v>
      </c>
    </row>
    <row r="1005" spans="1:39" ht="15" customHeight="1" x14ac:dyDescent="0.25">
      <c r="A1005" s="1409"/>
      <c r="B1005" s="1409"/>
      <c r="C1005" s="1409"/>
      <c r="D1005" s="1409"/>
      <c r="E1005" s="1247"/>
      <c r="F1005" s="1248" t="s">
        <v>4869</v>
      </c>
      <c r="G1005" s="111"/>
      <c r="H1005" s="1249">
        <v>45</v>
      </c>
      <c r="I1005" s="111" t="s">
        <v>1721</v>
      </c>
      <c r="J1005" s="1321" t="s">
        <v>5608</v>
      </c>
      <c r="K1005" s="162" t="s">
        <v>5610</v>
      </c>
      <c r="L1005" s="162" t="s">
        <v>5609</v>
      </c>
      <c r="M1005" s="111">
        <v>241.4</v>
      </c>
      <c r="N1005" s="111">
        <v>10863</v>
      </c>
      <c r="O1005" s="111"/>
      <c r="P1005" s="111"/>
      <c r="Q1005" s="111"/>
      <c r="R1005" s="111"/>
      <c r="S1005" s="1249">
        <v>15</v>
      </c>
      <c r="T1005" s="1250">
        <v>3621</v>
      </c>
      <c r="U1005" s="1250"/>
      <c r="V1005" s="1250"/>
      <c r="W1005" s="1251">
        <v>15</v>
      </c>
      <c r="X1005" s="1250">
        <v>3621</v>
      </c>
      <c r="Y1005" s="1250"/>
      <c r="Z1005" s="1250"/>
      <c r="AA1005" s="1250"/>
      <c r="AB1005" s="1250"/>
      <c r="AC1005" s="1250"/>
      <c r="AD1005" s="1250"/>
      <c r="AE1005" s="1249">
        <v>15</v>
      </c>
      <c r="AF1005" s="1250">
        <v>3621</v>
      </c>
      <c r="AG1005" s="111"/>
      <c r="AH1005" s="111"/>
      <c r="AI1005" s="111"/>
      <c r="AJ1005" s="111"/>
      <c r="AK1005" s="111"/>
      <c r="AL1005" s="111"/>
      <c r="AM1005" s="111">
        <v>10863</v>
      </c>
    </row>
    <row r="1006" spans="1:39" ht="15" customHeight="1" x14ac:dyDescent="0.25">
      <c r="A1006" s="1409"/>
      <c r="B1006" s="1409"/>
      <c r="C1006" s="1409"/>
      <c r="D1006" s="1409"/>
      <c r="E1006" s="1247"/>
      <c r="F1006" s="1248" t="s">
        <v>4870</v>
      </c>
      <c r="G1006" s="111"/>
      <c r="H1006" s="1249">
        <v>45</v>
      </c>
      <c r="I1006" s="111" t="s">
        <v>1721</v>
      </c>
      <c r="J1006" s="1321" t="s">
        <v>5608</v>
      </c>
      <c r="K1006" s="162" t="s">
        <v>5610</v>
      </c>
      <c r="L1006" s="162" t="s">
        <v>5609</v>
      </c>
      <c r="M1006" s="111">
        <v>241.4</v>
      </c>
      <c r="N1006" s="111">
        <v>10863</v>
      </c>
      <c r="O1006" s="111"/>
      <c r="P1006" s="111"/>
      <c r="Q1006" s="111"/>
      <c r="R1006" s="111"/>
      <c r="S1006" s="1249">
        <v>15</v>
      </c>
      <c r="T1006" s="1250">
        <v>3621</v>
      </c>
      <c r="U1006" s="1250"/>
      <c r="V1006" s="1250"/>
      <c r="W1006" s="1251">
        <v>15</v>
      </c>
      <c r="X1006" s="1250">
        <v>3621</v>
      </c>
      <c r="Y1006" s="1250"/>
      <c r="Z1006" s="1250"/>
      <c r="AA1006" s="1250"/>
      <c r="AB1006" s="1250"/>
      <c r="AC1006" s="1250"/>
      <c r="AD1006" s="1250"/>
      <c r="AE1006" s="1249">
        <v>15</v>
      </c>
      <c r="AF1006" s="1250">
        <v>3621</v>
      </c>
      <c r="AG1006" s="111"/>
      <c r="AH1006" s="111"/>
      <c r="AI1006" s="111"/>
      <c r="AJ1006" s="111"/>
      <c r="AK1006" s="111"/>
      <c r="AL1006" s="111"/>
      <c r="AM1006" s="111">
        <v>10863</v>
      </c>
    </row>
    <row r="1007" spans="1:39" ht="15" customHeight="1" x14ac:dyDescent="0.25">
      <c r="A1007" s="1409"/>
      <c r="B1007" s="1409"/>
      <c r="C1007" s="1409"/>
      <c r="D1007" s="1409"/>
      <c r="E1007" s="1247"/>
      <c r="F1007" s="1248" t="s">
        <v>4871</v>
      </c>
      <c r="G1007" s="111"/>
      <c r="H1007" s="1249">
        <v>45</v>
      </c>
      <c r="I1007" s="111" t="s">
        <v>1721</v>
      </c>
      <c r="J1007" s="1321" t="s">
        <v>5608</v>
      </c>
      <c r="K1007" s="162" t="s">
        <v>5610</v>
      </c>
      <c r="L1007" s="162" t="s">
        <v>5609</v>
      </c>
      <c r="M1007" s="111">
        <v>241.4</v>
      </c>
      <c r="N1007" s="111">
        <v>10863</v>
      </c>
      <c r="O1007" s="111"/>
      <c r="P1007" s="111"/>
      <c r="Q1007" s="111"/>
      <c r="R1007" s="111"/>
      <c r="S1007" s="1249">
        <v>15</v>
      </c>
      <c r="T1007" s="1250">
        <v>3621</v>
      </c>
      <c r="U1007" s="1250"/>
      <c r="V1007" s="1250"/>
      <c r="W1007" s="1251">
        <v>15</v>
      </c>
      <c r="X1007" s="1250">
        <v>3621</v>
      </c>
      <c r="Y1007" s="1250"/>
      <c r="Z1007" s="1250"/>
      <c r="AA1007" s="1250"/>
      <c r="AB1007" s="1250"/>
      <c r="AC1007" s="1250"/>
      <c r="AD1007" s="1250"/>
      <c r="AE1007" s="1249">
        <v>15</v>
      </c>
      <c r="AF1007" s="1250">
        <v>3621</v>
      </c>
      <c r="AG1007" s="111"/>
      <c r="AH1007" s="111"/>
      <c r="AI1007" s="111"/>
      <c r="AJ1007" s="111"/>
      <c r="AK1007" s="111"/>
      <c r="AL1007" s="111"/>
      <c r="AM1007" s="111">
        <v>10863</v>
      </c>
    </row>
    <row r="1008" spans="1:39" ht="15" customHeight="1" x14ac:dyDescent="0.25">
      <c r="A1008" s="1409"/>
      <c r="B1008" s="1409"/>
      <c r="C1008" s="1409"/>
      <c r="D1008" s="1409"/>
      <c r="E1008" s="1247"/>
      <c r="F1008" s="1248" t="s">
        <v>4872</v>
      </c>
      <c r="G1008" s="111"/>
      <c r="H1008" s="1249">
        <v>25</v>
      </c>
      <c r="I1008" s="111" t="s">
        <v>1721</v>
      </c>
      <c r="J1008" s="1321" t="s">
        <v>5608</v>
      </c>
      <c r="K1008" s="162" t="s">
        <v>5610</v>
      </c>
      <c r="L1008" s="162" t="s">
        <v>5609</v>
      </c>
      <c r="M1008" s="111">
        <v>434.52</v>
      </c>
      <c r="N1008" s="111">
        <v>10863</v>
      </c>
      <c r="O1008" s="111"/>
      <c r="P1008" s="111"/>
      <c r="Q1008" s="111"/>
      <c r="R1008" s="111"/>
      <c r="S1008" s="1249">
        <v>10</v>
      </c>
      <c r="T1008" s="1250">
        <v>3621</v>
      </c>
      <c r="U1008" s="1250"/>
      <c r="V1008" s="1250"/>
      <c r="W1008" s="1251">
        <v>10</v>
      </c>
      <c r="X1008" s="1250">
        <v>3621</v>
      </c>
      <c r="Y1008" s="1250"/>
      <c r="Z1008" s="1250"/>
      <c r="AA1008" s="1250"/>
      <c r="AB1008" s="1250"/>
      <c r="AC1008" s="1250"/>
      <c r="AD1008" s="1250"/>
      <c r="AE1008" s="1249">
        <v>5</v>
      </c>
      <c r="AF1008" s="1250">
        <v>3621</v>
      </c>
      <c r="AG1008" s="111"/>
      <c r="AH1008" s="111"/>
      <c r="AI1008" s="111"/>
      <c r="AJ1008" s="111"/>
      <c r="AK1008" s="111"/>
      <c r="AL1008" s="111"/>
      <c r="AM1008" s="111">
        <v>10863</v>
      </c>
    </row>
    <row r="1009" spans="1:39" ht="15" customHeight="1" x14ac:dyDescent="0.25">
      <c r="A1009" s="1409"/>
      <c r="B1009" s="1409"/>
      <c r="C1009" s="1409"/>
      <c r="D1009" s="1409"/>
      <c r="E1009" s="1247"/>
      <c r="F1009" s="1248" t="s">
        <v>4873</v>
      </c>
      <c r="G1009" s="111"/>
      <c r="H1009" s="1249">
        <v>25</v>
      </c>
      <c r="I1009" s="111" t="s">
        <v>1721</v>
      </c>
      <c r="J1009" s="1321" t="s">
        <v>5608</v>
      </c>
      <c r="K1009" s="162" t="s">
        <v>5610</v>
      </c>
      <c r="L1009" s="162" t="s">
        <v>5609</v>
      </c>
      <c r="M1009" s="111">
        <v>434.52</v>
      </c>
      <c r="N1009" s="111">
        <v>10863</v>
      </c>
      <c r="O1009" s="111"/>
      <c r="P1009" s="111"/>
      <c r="Q1009" s="111"/>
      <c r="R1009" s="111"/>
      <c r="S1009" s="1249">
        <v>10</v>
      </c>
      <c r="T1009" s="1250">
        <v>3621</v>
      </c>
      <c r="U1009" s="1250"/>
      <c r="V1009" s="1250"/>
      <c r="W1009" s="1251">
        <v>10</v>
      </c>
      <c r="X1009" s="1250">
        <v>3621</v>
      </c>
      <c r="Y1009" s="1250"/>
      <c r="Z1009" s="1250"/>
      <c r="AA1009" s="1250"/>
      <c r="AB1009" s="1250"/>
      <c r="AC1009" s="1250"/>
      <c r="AD1009" s="1250"/>
      <c r="AE1009" s="1249">
        <v>5</v>
      </c>
      <c r="AF1009" s="1250">
        <v>3621</v>
      </c>
      <c r="AG1009" s="111"/>
      <c r="AH1009" s="111"/>
      <c r="AI1009" s="111"/>
      <c r="AJ1009" s="111"/>
      <c r="AK1009" s="111"/>
      <c r="AL1009" s="111"/>
      <c r="AM1009" s="111">
        <v>10863</v>
      </c>
    </row>
    <row r="1010" spans="1:39" ht="15" customHeight="1" x14ac:dyDescent="0.25">
      <c r="A1010" s="1409"/>
      <c r="B1010" s="1409"/>
      <c r="C1010" s="1409"/>
      <c r="D1010" s="1409"/>
      <c r="E1010" s="1247"/>
      <c r="F1010" s="1248" t="s">
        <v>4874</v>
      </c>
      <c r="G1010" s="111"/>
      <c r="H1010" s="1249">
        <v>25</v>
      </c>
      <c r="I1010" s="111" t="s">
        <v>1721</v>
      </c>
      <c r="J1010" s="1321" t="s">
        <v>5608</v>
      </c>
      <c r="K1010" s="162" t="s">
        <v>5610</v>
      </c>
      <c r="L1010" s="162" t="s">
        <v>5609</v>
      </c>
      <c r="M1010" s="111">
        <v>434.52</v>
      </c>
      <c r="N1010" s="111">
        <v>10863</v>
      </c>
      <c r="O1010" s="111"/>
      <c r="P1010" s="111"/>
      <c r="Q1010" s="111"/>
      <c r="R1010" s="111"/>
      <c r="S1010" s="1249">
        <v>10</v>
      </c>
      <c r="T1010" s="1250">
        <v>3621</v>
      </c>
      <c r="U1010" s="1250"/>
      <c r="V1010" s="1250"/>
      <c r="W1010" s="1251">
        <v>10</v>
      </c>
      <c r="X1010" s="1250">
        <v>3621</v>
      </c>
      <c r="Y1010" s="1250"/>
      <c r="Z1010" s="1250"/>
      <c r="AA1010" s="1250"/>
      <c r="AB1010" s="1250"/>
      <c r="AC1010" s="1250"/>
      <c r="AD1010" s="1250"/>
      <c r="AE1010" s="1249">
        <v>5</v>
      </c>
      <c r="AF1010" s="1250">
        <v>3621</v>
      </c>
      <c r="AG1010" s="111"/>
      <c r="AH1010" s="111"/>
      <c r="AI1010" s="111"/>
      <c r="AJ1010" s="111"/>
      <c r="AK1010" s="111"/>
      <c r="AL1010" s="111"/>
      <c r="AM1010" s="111">
        <v>10863</v>
      </c>
    </row>
    <row r="1011" spans="1:39" ht="15" customHeight="1" x14ac:dyDescent="0.25">
      <c r="A1011" s="1409"/>
      <c r="B1011" s="1409"/>
      <c r="C1011" s="1409"/>
      <c r="D1011" s="1409"/>
      <c r="E1011" s="1247"/>
      <c r="F1011" s="1248" t="s">
        <v>4875</v>
      </c>
      <c r="G1011" s="111"/>
      <c r="H1011" s="1249">
        <v>25</v>
      </c>
      <c r="I1011" s="111" t="s">
        <v>1721</v>
      </c>
      <c r="J1011" s="1321" t="s">
        <v>5608</v>
      </c>
      <c r="K1011" s="162" t="s">
        <v>5610</v>
      </c>
      <c r="L1011" s="162" t="s">
        <v>5609</v>
      </c>
      <c r="M1011" s="111">
        <v>434.52</v>
      </c>
      <c r="N1011" s="111">
        <v>10863</v>
      </c>
      <c r="O1011" s="111"/>
      <c r="P1011" s="111"/>
      <c r="Q1011" s="111"/>
      <c r="R1011" s="111"/>
      <c r="S1011" s="1249">
        <v>10</v>
      </c>
      <c r="T1011" s="1250">
        <v>3621</v>
      </c>
      <c r="U1011" s="1250"/>
      <c r="V1011" s="1250"/>
      <c r="W1011" s="1251">
        <v>10</v>
      </c>
      <c r="X1011" s="1250">
        <v>3621</v>
      </c>
      <c r="Y1011" s="1250"/>
      <c r="Z1011" s="1250"/>
      <c r="AA1011" s="1250"/>
      <c r="AB1011" s="1250"/>
      <c r="AC1011" s="1250"/>
      <c r="AD1011" s="1250"/>
      <c r="AE1011" s="1249">
        <v>5</v>
      </c>
      <c r="AF1011" s="1250">
        <v>3621</v>
      </c>
      <c r="AG1011" s="111"/>
      <c r="AH1011" s="111"/>
      <c r="AI1011" s="111"/>
      <c r="AJ1011" s="111"/>
      <c r="AK1011" s="111"/>
      <c r="AL1011" s="111"/>
      <c r="AM1011" s="111">
        <v>10863</v>
      </c>
    </row>
    <row r="1012" spans="1:39" ht="15" customHeight="1" x14ac:dyDescent="0.25">
      <c r="A1012" s="1409"/>
      <c r="B1012" s="1409"/>
      <c r="C1012" s="1409"/>
      <c r="D1012" s="1409"/>
      <c r="E1012" s="1247"/>
      <c r="F1012" s="1248" t="s">
        <v>4876</v>
      </c>
      <c r="G1012" s="111"/>
      <c r="H1012" s="1249">
        <v>25</v>
      </c>
      <c r="I1012" s="111" t="s">
        <v>1721</v>
      </c>
      <c r="J1012" s="1321" t="s">
        <v>5608</v>
      </c>
      <c r="K1012" s="162" t="s">
        <v>5610</v>
      </c>
      <c r="L1012" s="162" t="s">
        <v>5609</v>
      </c>
      <c r="M1012" s="111">
        <v>434.52</v>
      </c>
      <c r="N1012" s="111">
        <v>10863</v>
      </c>
      <c r="O1012" s="111"/>
      <c r="P1012" s="111"/>
      <c r="Q1012" s="111"/>
      <c r="R1012" s="111"/>
      <c r="S1012" s="1249">
        <v>10</v>
      </c>
      <c r="T1012" s="1250">
        <v>3621</v>
      </c>
      <c r="U1012" s="1250"/>
      <c r="V1012" s="1250"/>
      <c r="W1012" s="1251">
        <v>10</v>
      </c>
      <c r="X1012" s="1250">
        <v>3621</v>
      </c>
      <c r="Y1012" s="1250"/>
      <c r="Z1012" s="1250"/>
      <c r="AA1012" s="1250"/>
      <c r="AB1012" s="1250"/>
      <c r="AC1012" s="1250"/>
      <c r="AD1012" s="1250"/>
      <c r="AE1012" s="1249">
        <v>5</v>
      </c>
      <c r="AF1012" s="1250">
        <v>3621</v>
      </c>
      <c r="AG1012" s="111"/>
      <c r="AH1012" s="111"/>
      <c r="AI1012" s="111"/>
      <c r="AJ1012" s="111"/>
      <c r="AK1012" s="111"/>
      <c r="AL1012" s="111"/>
      <c r="AM1012" s="111">
        <v>10863</v>
      </c>
    </row>
    <row r="1013" spans="1:39" ht="15" customHeight="1" x14ac:dyDescent="0.25">
      <c r="A1013" s="1409"/>
      <c r="B1013" s="1409"/>
      <c r="C1013" s="1409"/>
      <c r="D1013" s="1409"/>
      <c r="E1013" s="1247"/>
      <c r="F1013" s="1248" t="s">
        <v>4877</v>
      </c>
      <c r="G1013" s="111"/>
      <c r="H1013" s="1249">
        <v>25</v>
      </c>
      <c r="I1013" s="111" t="s">
        <v>1721</v>
      </c>
      <c r="J1013" s="1321" t="s">
        <v>5608</v>
      </c>
      <c r="K1013" s="162" t="s">
        <v>5610</v>
      </c>
      <c r="L1013" s="162" t="s">
        <v>5609</v>
      </c>
      <c r="M1013" s="111">
        <v>434.52</v>
      </c>
      <c r="N1013" s="111">
        <v>10863</v>
      </c>
      <c r="O1013" s="111"/>
      <c r="P1013" s="111"/>
      <c r="Q1013" s="111"/>
      <c r="R1013" s="111"/>
      <c r="S1013" s="1249">
        <v>10</v>
      </c>
      <c r="T1013" s="1250">
        <v>3621</v>
      </c>
      <c r="U1013" s="1250"/>
      <c r="V1013" s="1250"/>
      <c r="W1013" s="1251">
        <v>10</v>
      </c>
      <c r="X1013" s="1250">
        <v>3621</v>
      </c>
      <c r="Y1013" s="1250"/>
      <c r="Z1013" s="1250"/>
      <c r="AA1013" s="1250"/>
      <c r="AB1013" s="1250"/>
      <c r="AC1013" s="1250"/>
      <c r="AD1013" s="1250"/>
      <c r="AE1013" s="1249">
        <v>5</v>
      </c>
      <c r="AF1013" s="1250">
        <v>3621</v>
      </c>
      <c r="AG1013" s="111"/>
      <c r="AH1013" s="111"/>
      <c r="AI1013" s="111"/>
      <c r="AJ1013" s="111"/>
      <c r="AK1013" s="111"/>
      <c r="AL1013" s="111"/>
      <c r="AM1013" s="111">
        <v>10863</v>
      </c>
    </row>
    <row r="1014" spans="1:39" ht="15" customHeight="1" x14ac:dyDescent="0.25">
      <c r="A1014" s="1409"/>
      <c r="B1014" s="1409"/>
      <c r="C1014" s="1409"/>
      <c r="D1014" s="1409"/>
      <c r="E1014" s="1247"/>
      <c r="F1014" s="1248" t="s">
        <v>4878</v>
      </c>
      <c r="G1014" s="111"/>
      <c r="H1014" s="1249">
        <v>200</v>
      </c>
      <c r="I1014" s="111" t="s">
        <v>1827</v>
      </c>
      <c r="J1014" s="1321" t="s">
        <v>5608</v>
      </c>
      <c r="K1014" s="162" t="s">
        <v>5610</v>
      </c>
      <c r="L1014" s="162" t="s">
        <v>5609</v>
      </c>
      <c r="M1014" s="111">
        <v>87.19</v>
      </c>
      <c r="N1014" s="111">
        <v>17438</v>
      </c>
      <c r="O1014" s="111"/>
      <c r="P1014" s="111"/>
      <c r="Q1014" s="111"/>
      <c r="R1014" s="111"/>
      <c r="S1014" s="1249">
        <v>100</v>
      </c>
      <c r="T1014" s="1250">
        <v>5812.666666666667</v>
      </c>
      <c r="U1014" s="1250"/>
      <c r="V1014" s="1250"/>
      <c r="W1014" s="1251">
        <v>50</v>
      </c>
      <c r="X1014" s="1250">
        <v>5812.666666666667</v>
      </c>
      <c r="Y1014" s="1250"/>
      <c r="Z1014" s="1250"/>
      <c r="AA1014" s="1250"/>
      <c r="AB1014" s="1250"/>
      <c r="AC1014" s="1250"/>
      <c r="AD1014" s="1250"/>
      <c r="AE1014" s="1249">
        <v>50</v>
      </c>
      <c r="AF1014" s="1250">
        <v>5812.666666666667</v>
      </c>
      <c r="AG1014" s="111"/>
      <c r="AH1014" s="111"/>
      <c r="AI1014" s="111"/>
      <c r="AJ1014" s="111"/>
      <c r="AK1014" s="111"/>
      <c r="AL1014" s="111"/>
      <c r="AM1014" s="111">
        <v>17438</v>
      </c>
    </row>
    <row r="1015" spans="1:39" ht="15" customHeight="1" x14ac:dyDescent="0.25">
      <c r="A1015" s="1409"/>
      <c r="B1015" s="1409"/>
      <c r="C1015" s="1409"/>
      <c r="D1015" s="1409"/>
      <c r="E1015" s="1247"/>
      <c r="F1015" s="1248" t="s">
        <v>4879</v>
      </c>
      <c r="G1015" s="111"/>
      <c r="H1015" s="1249">
        <v>300</v>
      </c>
      <c r="I1015" s="111" t="s">
        <v>1721</v>
      </c>
      <c r="J1015" s="1321" t="s">
        <v>5608</v>
      </c>
      <c r="K1015" s="162" t="s">
        <v>5610</v>
      </c>
      <c r="L1015" s="162" t="s">
        <v>5609</v>
      </c>
      <c r="M1015" s="111">
        <v>80</v>
      </c>
      <c r="N1015" s="111">
        <v>24000</v>
      </c>
      <c r="O1015" s="111"/>
      <c r="P1015" s="111"/>
      <c r="Q1015" s="111"/>
      <c r="R1015" s="111"/>
      <c r="S1015" s="1249">
        <v>100</v>
      </c>
      <c r="T1015" s="1250">
        <v>8000</v>
      </c>
      <c r="U1015" s="1250"/>
      <c r="V1015" s="1250"/>
      <c r="W1015" s="1251">
        <v>100</v>
      </c>
      <c r="X1015" s="1250">
        <v>8000</v>
      </c>
      <c r="Y1015" s="1250"/>
      <c r="Z1015" s="1250"/>
      <c r="AA1015" s="1250"/>
      <c r="AB1015" s="1250"/>
      <c r="AC1015" s="1250"/>
      <c r="AD1015" s="1250"/>
      <c r="AE1015" s="1249">
        <v>100</v>
      </c>
      <c r="AF1015" s="1250">
        <v>8000</v>
      </c>
      <c r="AG1015" s="111"/>
      <c r="AH1015" s="111"/>
      <c r="AI1015" s="111"/>
      <c r="AJ1015" s="111"/>
      <c r="AK1015" s="111"/>
      <c r="AL1015" s="111"/>
      <c r="AM1015" s="111">
        <v>24000</v>
      </c>
    </row>
    <row r="1016" spans="1:39" ht="15" customHeight="1" x14ac:dyDescent="0.25">
      <c r="A1016" s="1409"/>
      <c r="B1016" s="1409"/>
      <c r="C1016" s="1409"/>
      <c r="D1016" s="1409"/>
      <c r="E1016" s="1247"/>
      <c r="F1016" s="1248" t="s">
        <v>4880</v>
      </c>
      <c r="G1016" s="111"/>
      <c r="H1016" s="1249">
        <v>300</v>
      </c>
      <c r="I1016" s="111" t="s">
        <v>1721</v>
      </c>
      <c r="J1016" s="1321" t="s">
        <v>5608</v>
      </c>
      <c r="K1016" s="162" t="s">
        <v>5610</v>
      </c>
      <c r="L1016" s="162" t="s">
        <v>5609</v>
      </c>
      <c r="M1016" s="111">
        <v>85</v>
      </c>
      <c r="N1016" s="111">
        <v>25500</v>
      </c>
      <c r="O1016" s="111"/>
      <c r="P1016" s="111"/>
      <c r="Q1016" s="111"/>
      <c r="R1016" s="111"/>
      <c r="S1016" s="1249">
        <v>100</v>
      </c>
      <c r="T1016" s="1250">
        <v>8500</v>
      </c>
      <c r="U1016" s="1250"/>
      <c r="V1016" s="1250"/>
      <c r="W1016" s="1251">
        <v>100</v>
      </c>
      <c r="X1016" s="1250">
        <v>8500</v>
      </c>
      <c r="Y1016" s="1250"/>
      <c r="Z1016" s="1250"/>
      <c r="AA1016" s="1250"/>
      <c r="AB1016" s="1250"/>
      <c r="AC1016" s="1250"/>
      <c r="AD1016" s="1250"/>
      <c r="AE1016" s="1249">
        <v>100</v>
      </c>
      <c r="AF1016" s="1250">
        <v>8500</v>
      </c>
      <c r="AG1016" s="111"/>
      <c r="AH1016" s="111"/>
      <c r="AI1016" s="111"/>
      <c r="AJ1016" s="111"/>
      <c r="AK1016" s="111"/>
      <c r="AL1016" s="111"/>
      <c r="AM1016" s="111">
        <v>25500</v>
      </c>
    </row>
    <row r="1017" spans="1:39" ht="15" customHeight="1" x14ac:dyDescent="0.25">
      <c r="A1017" s="1409"/>
      <c r="B1017" s="1409"/>
      <c r="C1017" s="1409"/>
      <c r="D1017" s="1409"/>
      <c r="E1017" s="1247"/>
      <c r="F1017" s="1248" t="s">
        <v>4881</v>
      </c>
      <c r="G1017" s="111"/>
      <c r="H1017" s="1249">
        <v>200</v>
      </c>
      <c r="I1017" s="111" t="s">
        <v>1721</v>
      </c>
      <c r="J1017" s="1321" t="s">
        <v>5608</v>
      </c>
      <c r="K1017" s="162" t="s">
        <v>5610</v>
      </c>
      <c r="L1017" s="162" t="s">
        <v>5609</v>
      </c>
      <c r="M1017" s="111">
        <v>120</v>
      </c>
      <c r="N1017" s="111">
        <v>24000</v>
      </c>
      <c r="O1017" s="111"/>
      <c r="P1017" s="111"/>
      <c r="Q1017" s="111"/>
      <c r="R1017" s="111"/>
      <c r="S1017" s="1249">
        <v>100</v>
      </c>
      <c r="T1017" s="1250">
        <v>8000</v>
      </c>
      <c r="U1017" s="1250"/>
      <c r="V1017" s="1250"/>
      <c r="W1017" s="1251">
        <v>50</v>
      </c>
      <c r="X1017" s="1250">
        <v>8000</v>
      </c>
      <c r="Y1017" s="1250"/>
      <c r="Z1017" s="1250"/>
      <c r="AA1017" s="1250"/>
      <c r="AB1017" s="1250"/>
      <c r="AC1017" s="1250"/>
      <c r="AD1017" s="1250"/>
      <c r="AE1017" s="1249">
        <v>50</v>
      </c>
      <c r="AF1017" s="1250">
        <v>8000</v>
      </c>
      <c r="AG1017" s="111"/>
      <c r="AH1017" s="111"/>
      <c r="AI1017" s="111"/>
      <c r="AJ1017" s="111"/>
      <c r="AK1017" s="111"/>
      <c r="AL1017" s="111"/>
      <c r="AM1017" s="111">
        <v>24000</v>
      </c>
    </row>
    <row r="1018" spans="1:39" ht="15" customHeight="1" x14ac:dyDescent="0.25">
      <c r="A1018" s="1409"/>
      <c r="B1018" s="1409"/>
      <c r="C1018" s="1409"/>
      <c r="D1018" s="1409"/>
      <c r="E1018" s="1247"/>
      <c r="F1018" s="1248" t="s">
        <v>4882</v>
      </c>
      <c r="G1018" s="111"/>
      <c r="H1018" s="1249">
        <v>200</v>
      </c>
      <c r="I1018" s="111" t="s">
        <v>1721</v>
      </c>
      <c r="J1018" s="1321" t="s">
        <v>5608</v>
      </c>
      <c r="K1018" s="162" t="s">
        <v>5610</v>
      </c>
      <c r="L1018" s="162" t="s">
        <v>5609</v>
      </c>
      <c r="M1018" s="111">
        <v>150</v>
      </c>
      <c r="N1018" s="111">
        <v>30000</v>
      </c>
      <c r="O1018" s="111"/>
      <c r="P1018" s="111"/>
      <c r="Q1018" s="111"/>
      <c r="R1018" s="111"/>
      <c r="S1018" s="1249">
        <v>100</v>
      </c>
      <c r="T1018" s="1250">
        <v>10000</v>
      </c>
      <c r="U1018" s="1250"/>
      <c r="V1018" s="1250"/>
      <c r="W1018" s="1251">
        <v>50</v>
      </c>
      <c r="X1018" s="1250">
        <v>10000</v>
      </c>
      <c r="Y1018" s="1250"/>
      <c r="Z1018" s="1250"/>
      <c r="AA1018" s="1250"/>
      <c r="AB1018" s="1250"/>
      <c r="AC1018" s="1250"/>
      <c r="AD1018" s="1250"/>
      <c r="AE1018" s="1249">
        <v>50</v>
      </c>
      <c r="AF1018" s="1250">
        <v>10000</v>
      </c>
      <c r="AG1018" s="111"/>
      <c r="AH1018" s="111"/>
      <c r="AI1018" s="111"/>
      <c r="AJ1018" s="111"/>
      <c r="AK1018" s="111"/>
      <c r="AL1018" s="111"/>
      <c r="AM1018" s="111">
        <v>30000</v>
      </c>
    </row>
    <row r="1019" spans="1:39" ht="15" customHeight="1" x14ac:dyDescent="0.25">
      <c r="A1019" s="1409"/>
      <c r="B1019" s="1409"/>
      <c r="C1019" s="1409"/>
      <c r="D1019" s="1409"/>
      <c r="E1019" s="1247"/>
      <c r="F1019" s="1248" t="s">
        <v>4883</v>
      </c>
      <c r="G1019" s="111"/>
      <c r="H1019" s="1249">
        <v>200</v>
      </c>
      <c r="I1019" s="111" t="s">
        <v>1721</v>
      </c>
      <c r="J1019" s="1321" t="s">
        <v>5608</v>
      </c>
      <c r="K1019" s="162" t="s">
        <v>5610</v>
      </c>
      <c r="L1019" s="162" t="s">
        <v>5609</v>
      </c>
      <c r="M1019" s="111">
        <v>150</v>
      </c>
      <c r="N1019" s="111">
        <v>30000</v>
      </c>
      <c r="O1019" s="111"/>
      <c r="P1019" s="111"/>
      <c r="Q1019" s="111"/>
      <c r="R1019" s="111"/>
      <c r="S1019" s="1249">
        <v>100</v>
      </c>
      <c r="T1019" s="1250">
        <v>10000</v>
      </c>
      <c r="U1019" s="1250"/>
      <c r="V1019" s="1250"/>
      <c r="W1019" s="1251">
        <v>50</v>
      </c>
      <c r="X1019" s="1250">
        <v>10000</v>
      </c>
      <c r="Y1019" s="1250"/>
      <c r="Z1019" s="1250"/>
      <c r="AA1019" s="1250"/>
      <c r="AB1019" s="1250"/>
      <c r="AC1019" s="1250"/>
      <c r="AD1019" s="1250"/>
      <c r="AE1019" s="1249">
        <v>50</v>
      </c>
      <c r="AF1019" s="1250">
        <v>10000</v>
      </c>
      <c r="AG1019" s="111"/>
      <c r="AH1019" s="111"/>
      <c r="AI1019" s="111"/>
      <c r="AJ1019" s="111"/>
      <c r="AK1019" s="111"/>
      <c r="AL1019" s="111"/>
      <c r="AM1019" s="111">
        <v>30000</v>
      </c>
    </row>
    <row r="1020" spans="1:39" ht="15" customHeight="1" x14ac:dyDescent="0.25">
      <c r="A1020" s="1409"/>
      <c r="B1020" s="1409"/>
      <c r="C1020" s="1409"/>
      <c r="D1020" s="1409"/>
      <c r="E1020" s="1247"/>
      <c r="F1020" s="1248" t="s">
        <v>4884</v>
      </c>
      <c r="G1020" s="111"/>
      <c r="H1020" s="1249">
        <v>200</v>
      </c>
      <c r="I1020" s="111" t="s">
        <v>1721</v>
      </c>
      <c r="J1020" s="1321" t="s">
        <v>5608</v>
      </c>
      <c r="K1020" s="162" t="s">
        <v>5610</v>
      </c>
      <c r="L1020" s="162" t="s">
        <v>5609</v>
      </c>
      <c r="M1020" s="111">
        <v>450</v>
      </c>
      <c r="N1020" s="111">
        <v>90000</v>
      </c>
      <c r="O1020" s="111"/>
      <c r="P1020" s="111"/>
      <c r="Q1020" s="111"/>
      <c r="R1020" s="111"/>
      <c r="S1020" s="1249">
        <v>100</v>
      </c>
      <c r="T1020" s="1250">
        <v>30000</v>
      </c>
      <c r="U1020" s="1250"/>
      <c r="V1020" s="1250"/>
      <c r="W1020" s="1251">
        <v>50</v>
      </c>
      <c r="X1020" s="1250">
        <v>30000</v>
      </c>
      <c r="Y1020" s="1250"/>
      <c r="Z1020" s="1250"/>
      <c r="AA1020" s="1250"/>
      <c r="AB1020" s="1250"/>
      <c r="AC1020" s="1250"/>
      <c r="AD1020" s="1250"/>
      <c r="AE1020" s="1249">
        <v>50</v>
      </c>
      <c r="AF1020" s="1250">
        <v>30000</v>
      </c>
      <c r="AG1020" s="111"/>
      <c r="AH1020" s="111"/>
      <c r="AI1020" s="111"/>
      <c r="AJ1020" s="111"/>
      <c r="AK1020" s="111"/>
      <c r="AL1020" s="111"/>
      <c r="AM1020" s="111">
        <v>90000</v>
      </c>
    </row>
    <row r="1021" spans="1:39" ht="15" customHeight="1" x14ac:dyDescent="0.25">
      <c r="A1021" s="1409"/>
      <c r="B1021" s="1409"/>
      <c r="C1021" s="1409"/>
      <c r="D1021" s="1409"/>
      <c r="E1021" s="1247"/>
      <c r="F1021" s="1248" t="s">
        <v>4885</v>
      </c>
      <c r="G1021" s="111"/>
      <c r="H1021" s="1249">
        <v>200</v>
      </c>
      <c r="I1021" s="111" t="s">
        <v>1721</v>
      </c>
      <c r="J1021" s="1321" t="s">
        <v>5608</v>
      </c>
      <c r="K1021" s="162" t="s">
        <v>5610</v>
      </c>
      <c r="L1021" s="162" t="s">
        <v>5609</v>
      </c>
      <c r="M1021" s="111">
        <v>150</v>
      </c>
      <c r="N1021" s="111">
        <v>30000</v>
      </c>
      <c r="O1021" s="111"/>
      <c r="P1021" s="111"/>
      <c r="Q1021" s="111"/>
      <c r="R1021" s="111"/>
      <c r="S1021" s="1249">
        <v>100</v>
      </c>
      <c r="T1021" s="1250">
        <v>10000</v>
      </c>
      <c r="U1021" s="1250"/>
      <c r="V1021" s="1250"/>
      <c r="W1021" s="1251">
        <v>50</v>
      </c>
      <c r="X1021" s="1250">
        <v>10000</v>
      </c>
      <c r="Y1021" s="1250"/>
      <c r="Z1021" s="1250"/>
      <c r="AA1021" s="1250"/>
      <c r="AB1021" s="1250"/>
      <c r="AC1021" s="1250"/>
      <c r="AD1021" s="1250"/>
      <c r="AE1021" s="1249">
        <v>50</v>
      </c>
      <c r="AF1021" s="1250">
        <v>10000</v>
      </c>
      <c r="AG1021" s="111"/>
      <c r="AH1021" s="111"/>
      <c r="AI1021" s="111"/>
      <c r="AJ1021" s="111"/>
      <c r="AK1021" s="111"/>
      <c r="AL1021" s="111"/>
      <c r="AM1021" s="111">
        <v>30000</v>
      </c>
    </row>
    <row r="1022" spans="1:39" ht="15" customHeight="1" x14ac:dyDescent="0.25">
      <c r="A1022" s="1409"/>
      <c r="B1022" s="1409"/>
      <c r="C1022" s="1409"/>
      <c r="D1022" s="1409"/>
      <c r="E1022" s="1247"/>
      <c r="F1022" s="1248" t="s">
        <v>4886</v>
      </c>
      <c r="G1022" s="111"/>
      <c r="H1022" s="1249">
        <v>200</v>
      </c>
      <c r="I1022" s="111" t="s">
        <v>1721</v>
      </c>
      <c r="J1022" s="1321" t="s">
        <v>5608</v>
      </c>
      <c r="K1022" s="162" t="s">
        <v>5610</v>
      </c>
      <c r="L1022" s="162" t="s">
        <v>5609</v>
      </c>
      <c r="M1022" s="111">
        <v>150</v>
      </c>
      <c r="N1022" s="111">
        <v>30000</v>
      </c>
      <c r="O1022" s="111"/>
      <c r="P1022" s="111"/>
      <c r="Q1022" s="111"/>
      <c r="R1022" s="111"/>
      <c r="S1022" s="1249">
        <v>100</v>
      </c>
      <c r="T1022" s="1250">
        <v>10000</v>
      </c>
      <c r="U1022" s="1250"/>
      <c r="V1022" s="1250"/>
      <c r="W1022" s="1251">
        <v>50</v>
      </c>
      <c r="X1022" s="1250">
        <v>10000</v>
      </c>
      <c r="Y1022" s="1250"/>
      <c r="Z1022" s="1250"/>
      <c r="AA1022" s="1250"/>
      <c r="AB1022" s="1250"/>
      <c r="AC1022" s="1250"/>
      <c r="AD1022" s="1250"/>
      <c r="AE1022" s="1249">
        <v>50</v>
      </c>
      <c r="AF1022" s="1250">
        <v>10000</v>
      </c>
      <c r="AG1022" s="111"/>
      <c r="AH1022" s="111"/>
      <c r="AI1022" s="111"/>
      <c r="AJ1022" s="111"/>
      <c r="AK1022" s="111"/>
      <c r="AL1022" s="111"/>
      <c r="AM1022" s="111">
        <v>30000</v>
      </c>
    </row>
    <row r="1023" spans="1:39" ht="15" customHeight="1" x14ac:dyDescent="0.25">
      <c r="A1023" s="1409"/>
      <c r="B1023" s="1409"/>
      <c r="C1023" s="1409"/>
      <c r="D1023" s="1409"/>
      <c r="E1023" s="1247"/>
      <c r="F1023" s="1248" t="s">
        <v>4887</v>
      </c>
      <c r="G1023" s="111"/>
      <c r="H1023" s="1249">
        <v>200</v>
      </c>
      <c r="I1023" s="111" t="s">
        <v>1721</v>
      </c>
      <c r="J1023" s="1321" t="s">
        <v>5608</v>
      </c>
      <c r="K1023" s="162" t="s">
        <v>5610</v>
      </c>
      <c r="L1023" s="162" t="s">
        <v>5609</v>
      </c>
      <c r="M1023" s="111">
        <v>450</v>
      </c>
      <c r="N1023" s="111">
        <v>90000</v>
      </c>
      <c r="O1023" s="111"/>
      <c r="P1023" s="111"/>
      <c r="Q1023" s="111"/>
      <c r="R1023" s="111"/>
      <c r="S1023" s="1249">
        <v>100</v>
      </c>
      <c r="T1023" s="1250">
        <v>30000</v>
      </c>
      <c r="U1023" s="1250"/>
      <c r="V1023" s="1250"/>
      <c r="W1023" s="1251">
        <v>50</v>
      </c>
      <c r="X1023" s="1250">
        <v>30000</v>
      </c>
      <c r="Y1023" s="1250"/>
      <c r="Z1023" s="1250"/>
      <c r="AA1023" s="1250"/>
      <c r="AB1023" s="1250"/>
      <c r="AC1023" s="1250"/>
      <c r="AD1023" s="1250"/>
      <c r="AE1023" s="1249">
        <v>50</v>
      </c>
      <c r="AF1023" s="1250">
        <v>30000</v>
      </c>
      <c r="AG1023" s="111"/>
      <c r="AH1023" s="111"/>
      <c r="AI1023" s="111"/>
      <c r="AJ1023" s="111"/>
      <c r="AK1023" s="111"/>
      <c r="AL1023" s="111"/>
      <c r="AM1023" s="111">
        <v>90000</v>
      </c>
    </row>
    <row r="1024" spans="1:39" ht="15" customHeight="1" x14ac:dyDescent="0.25">
      <c r="A1024" s="1409"/>
      <c r="B1024" s="1409"/>
      <c r="C1024" s="1409"/>
      <c r="D1024" s="1409"/>
      <c r="E1024" s="1247"/>
      <c r="F1024" s="1248" t="s">
        <v>4888</v>
      </c>
      <c r="G1024" s="111"/>
      <c r="H1024" s="1249">
        <v>200</v>
      </c>
      <c r="I1024" s="111" t="s">
        <v>1721</v>
      </c>
      <c r="J1024" s="1321" t="s">
        <v>5608</v>
      </c>
      <c r="K1024" s="162" t="s">
        <v>5610</v>
      </c>
      <c r="L1024" s="162" t="s">
        <v>5609</v>
      </c>
      <c r="M1024" s="111">
        <v>450</v>
      </c>
      <c r="N1024" s="111">
        <v>90000</v>
      </c>
      <c r="O1024" s="111"/>
      <c r="P1024" s="111"/>
      <c r="Q1024" s="111"/>
      <c r="R1024" s="111"/>
      <c r="S1024" s="1249">
        <v>100</v>
      </c>
      <c r="T1024" s="1250">
        <v>30000</v>
      </c>
      <c r="U1024" s="1250"/>
      <c r="V1024" s="1250"/>
      <c r="W1024" s="1251">
        <v>50</v>
      </c>
      <c r="X1024" s="1250">
        <v>30000</v>
      </c>
      <c r="Y1024" s="1250"/>
      <c r="Z1024" s="1250"/>
      <c r="AA1024" s="1250"/>
      <c r="AB1024" s="1250"/>
      <c r="AC1024" s="1250"/>
      <c r="AD1024" s="1250"/>
      <c r="AE1024" s="1249">
        <v>50</v>
      </c>
      <c r="AF1024" s="1250">
        <v>30000</v>
      </c>
      <c r="AG1024" s="111"/>
      <c r="AH1024" s="111"/>
      <c r="AI1024" s="111"/>
      <c r="AJ1024" s="111"/>
      <c r="AK1024" s="111"/>
      <c r="AL1024" s="111"/>
      <c r="AM1024" s="111">
        <v>90000</v>
      </c>
    </row>
    <row r="1025" spans="1:39" ht="15" customHeight="1" x14ac:dyDescent="0.25">
      <c r="A1025" s="1409"/>
      <c r="B1025" s="1409"/>
      <c r="C1025" s="1409"/>
      <c r="D1025" s="1409"/>
      <c r="E1025" s="1247"/>
      <c r="F1025" s="1248" t="s">
        <v>4889</v>
      </c>
      <c r="G1025" s="111"/>
      <c r="H1025" s="1249">
        <v>200</v>
      </c>
      <c r="I1025" s="111" t="s">
        <v>1721</v>
      </c>
      <c r="J1025" s="1321" t="s">
        <v>5608</v>
      </c>
      <c r="K1025" s="162" t="s">
        <v>5610</v>
      </c>
      <c r="L1025" s="162" t="s">
        <v>5609</v>
      </c>
      <c r="M1025" s="111">
        <v>450</v>
      </c>
      <c r="N1025" s="111">
        <v>90000</v>
      </c>
      <c r="O1025" s="111"/>
      <c r="P1025" s="111"/>
      <c r="Q1025" s="111"/>
      <c r="R1025" s="111"/>
      <c r="S1025" s="1249">
        <v>100</v>
      </c>
      <c r="T1025" s="1250">
        <v>30000</v>
      </c>
      <c r="U1025" s="1250"/>
      <c r="V1025" s="1250"/>
      <c r="W1025" s="1251">
        <v>50</v>
      </c>
      <c r="X1025" s="1250">
        <v>30000</v>
      </c>
      <c r="Y1025" s="1250"/>
      <c r="Z1025" s="1250"/>
      <c r="AA1025" s="1250"/>
      <c r="AB1025" s="1250"/>
      <c r="AC1025" s="1250"/>
      <c r="AD1025" s="1250"/>
      <c r="AE1025" s="1249">
        <v>50</v>
      </c>
      <c r="AF1025" s="1250">
        <v>30000</v>
      </c>
      <c r="AG1025" s="111"/>
      <c r="AH1025" s="111"/>
      <c r="AI1025" s="111"/>
      <c r="AJ1025" s="111"/>
      <c r="AK1025" s="111"/>
      <c r="AL1025" s="111"/>
      <c r="AM1025" s="111">
        <v>90000</v>
      </c>
    </row>
    <row r="1026" spans="1:39" ht="15" customHeight="1" x14ac:dyDescent="0.25">
      <c r="A1026" s="1409"/>
      <c r="B1026" s="1409"/>
      <c r="C1026" s="1409"/>
      <c r="D1026" s="1409"/>
      <c r="E1026" s="1247"/>
      <c r="F1026" s="1248" t="s">
        <v>4890</v>
      </c>
      <c r="G1026" s="111"/>
      <c r="H1026" s="1249">
        <v>200</v>
      </c>
      <c r="I1026" s="111" t="s">
        <v>1721</v>
      </c>
      <c r="J1026" s="1321" t="s">
        <v>5608</v>
      </c>
      <c r="K1026" s="162" t="s">
        <v>5610</v>
      </c>
      <c r="L1026" s="162" t="s">
        <v>5609</v>
      </c>
      <c r="M1026" s="111">
        <v>120</v>
      </c>
      <c r="N1026" s="111">
        <v>24000</v>
      </c>
      <c r="O1026" s="111"/>
      <c r="P1026" s="111"/>
      <c r="Q1026" s="111"/>
      <c r="R1026" s="111"/>
      <c r="S1026" s="1249">
        <v>100</v>
      </c>
      <c r="T1026" s="1250">
        <v>8000</v>
      </c>
      <c r="U1026" s="1250"/>
      <c r="V1026" s="1250"/>
      <c r="W1026" s="1251">
        <v>50</v>
      </c>
      <c r="X1026" s="1250">
        <v>8000</v>
      </c>
      <c r="Y1026" s="1250"/>
      <c r="Z1026" s="1250"/>
      <c r="AA1026" s="1250"/>
      <c r="AB1026" s="1250"/>
      <c r="AC1026" s="1250"/>
      <c r="AD1026" s="1250"/>
      <c r="AE1026" s="1249">
        <v>50</v>
      </c>
      <c r="AF1026" s="1250">
        <v>8000</v>
      </c>
      <c r="AG1026" s="111"/>
      <c r="AH1026" s="111"/>
      <c r="AI1026" s="111"/>
      <c r="AJ1026" s="111"/>
      <c r="AK1026" s="111"/>
      <c r="AL1026" s="111"/>
      <c r="AM1026" s="111">
        <v>24000</v>
      </c>
    </row>
    <row r="1027" spans="1:39" ht="15" customHeight="1" x14ac:dyDescent="0.25">
      <c r="A1027" s="1409"/>
      <c r="B1027" s="1409"/>
      <c r="C1027" s="1409"/>
      <c r="D1027" s="1409"/>
      <c r="E1027" s="1247"/>
      <c r="F1027" s="1248" t="s">
        <v>4891</v>
      </c>
      <c r="G1027" s="111"/>
      <c r="H1027" s="1249">
        <v>200</v>
      </c>
      <c r="I1027" s="111" t="s">
        <v>1721</v>
      </c>
      <c r="J1027" s="1321" t="s">
        <v>5608</v>
      </c>
      <c r="K1027" s="162" t="s">
        <v>5610</v>
      </c>
      <c r="L1027" s="162" t="s">
        <v>5609</v>
      </c>
      <c r="M1027" s="111">
        <v>52.32</v>
      </c>
      <c r="N1027" s="111">
        <v>10464</v>
      </c>
      <c r="O1027" s="111"/>
      <c r="P1027" s="111"/>
      <c r="Q1027" s="111"/>
      <c r="R1027" s="111"/>
      <c r="S1027" s="1249">
        <v>100</v>
      </c>
      <c r="T1027" s="1250">
        <v>3488</v>
      </c>
      <c r="U1027" s="1250"/>
      <c r="V1027" s="1250"/>
      <c r="W1027" s="1251">
        <v>50</v>
      </c>
      <c r="X1027" s="1250">
        <v>3488</v>
      </c>
      <c r="Y1027" s="1250"/>
      <c r="Z1027" s="1250"/>
      <c r="AA1027" s="1250"/>
      <c r="AB1027" s="1250"/>
      <c r="AC1027" s="1250"/>
      <c r="AD1027" s="1250"/>
      <c r="AE1027" s="1249">
        <v>50</v>
      </c>
      <c r="AF1027" s="1250">
        <v>3488</v>
      </c>
      <c r="AG1027" s="111"/>
      <c r="AH1027" s="111"/>
      <c r="AI1027" s="111"/>
      <c r="AJ1027" s="111"/>
      <c r="AK1027" s="111"/>
      <c r="AL1027" s="111"/>
      <c r="AM1027" s="111">
        <v>10464</v>
      </c>
    </row>
    <row r="1028" spans="1:39" ht="15" customHeight="1" x14ac:dyDescent="0.25">
      <c r="A1028" s="1409"/>
      <c r="B1028" s="1409"/>
      <c r="C1028" s="1409"/>
      <c r="D1028" s="1409"/>
      <c r="E1028" s="1247"/>
      <c r="F1028" s="1248" t="s">
        <v>4892</v>
      </c>
      <c r="G1028" s="111"/>
      <c r="H1028" s="1249">
        <v>200</v>
      </c>
      <c r="I1028" s="111" t="s">
        <v>1721</v>
      </c>
      <c r="J1028" s="1321" t="s">
        <v>5608</v>
      </c>
      <c r="K1028" s="162" t="s">
        <v>5610</v>
      </c>
      <c r="L1028" s="162" t="s">
        <v>5609</v>
      </c>
      <c r="M1028" s="111">
        <v>5.09</v>
      </c>
      <c r="N1028" s="111">
        <v>1018</v>
      </c>
      <c r="O1028" s="111"/>
      <c r="P1028" s="111"/>
      <c r="Q1028" s="111"/>
      <c r="R1028" s="111"/>
      <c r="S1028" s="1249">
        <v>100</v>
      </c>
      <c r="T1028" s="1250">
        <v>339.33333333333331</v>
      </c>
      <c r="U1028" s="1250"/>
      <c r="V1028" s="1250"/>
      <c r="W1028" s="1251">
        <v>50</v>
      </c>
      <c r="X1028" s="1250">
        <v>339.33333333333331</v>
      </c>
      <c r="Y1028" s="1250"/>
      <c r="Z1028" s="1250"/>
      <c r="AA1028" s="1250"/>
      <c r="AB1028" s="1250"/>
      <c r="AC1028" s="1250"/>
      <c r="AD1028" s="1250"/>
      <c r="AE1028" s="1249">
        <v>50</v>
      </c>
      <c r="AF1028" s="1250">
        <v>339.33333333333331</v>
      </c>
      <c r="AG1028" s="111"/>
      <c r="AH1028" s="111"/>
      <c r="AI1028" s="111"/>
      <c r="AJ1028" s="111"/>
      <c r="AK1028" s="111"/>
      <c r="AL1028" s="111"/>
      <c r="AM1028" s="111">
        <v>1018</v>
      </c>
    </row>
    <row r="1029" spans="1:39" ht="15" customHeight="1" x14ac:dyDescent="0.25">
      <c r="A1029" s="1409"/>
      <c r="B1029" s="1409"/>
      <c r="C1029" s="1409"/>
      <c r="D1029" s="1409"/>
      <c r="E1029" s="1247"/>
      <c r="F1029" s="1248" t="s">
        <v>4893</v>
      </c>
      <c r="G1029" s="111"/>
      <c r="H1029" s="1249">
        <v>200</v>
      </c>
      <c r="I1029" s="111" t="s">
        <v>1721</v>
      </c>
      <c r="J1029" s="1321" t="s">
        <v>5608</v>
      </c>
      <c r="K1029" s="162" t="s">
        <v>5610</v>
      </c>
      <c r="L1029" s="162" t="s">
        <v>5609</v>
      </c>
      <c r="M1029" s="111">
        <v>7.27</v>
      </c>
      <c r="N1029" s="111">
        <v>1454</v>
      </c>
      <c r="O1029" s="111"/>
      <c r="P1029" s="111"/>
      <c r="Q1029" s="111"/>
      <c r="R1029" s="111"/>
      <c r="S1029" s="1249">
        <v>100</v>
      </c>
      <c r="T1029" s="1250">
        <v>484.66666666666669</v>
      </c>
      <c r="U1029" s="1250"/>
      <c r="V1029" s="1250"/>
      <c r="W1029" s="1251">
        <v>50</v>
      </c>
      <c r="X1029" s="1250">
        <v>484.66666666666669</v>
      </c>
      <c r="Y1029" s="1250"/>
      <c r="Z1029" s="1250"/>
      <c r="AA1029" s="1250"/>
      <c r="AB1029" s="1250"/>
      <c r="AC1029" s="1250"/>
      <c r="AD1029" s="1250"/>
      <c r="AE1029" s="1249">
        <v>50</v>
      </c>
      <c r="AF1029" s="1250">
        <v>484.66666666666669</v>
      </c>
      <c r="AG1029" s="111"/>
      <c r="AH1029" s="111"/>
      <c r="AI1029" s="111"/>
      <c r="AJ1029" s="111"/>
      <c r="AK1029" s="111"/>
      <c r="AL1029" s="111"/>
      <c r="AM1029" s="111">
        <v>1454</v>
      </c>
    </row>
    <row r="1030" spans="1:39" ht="15" customHeight="1" x14ac:dyDescent="0.25">
      <c r="A1030" s="1409"/>
      <c r="B1030" s="1409"/>
      <c r="C1030" s="1409"/>
      <c r="D1030" s="1409"/>
      <c r="E1030" s="1247"/>
      <c r="F1030" s="1248" t="s">
        <v>4894</v>
      </c>
      <c r="G1030" s="111"/>
      <c r="H1030" s="1249">
        <v>200</v>
      </c>
      <c r="I1030" s="111" t="s">
        <v>1721</v>
      </c>
      <c r="J1030" s="1321" t="s">
        <v>5608</v>
      </c>
      <c r="K1030" s="162" t="s">
        <v>5610</v>
      </c>
      <c r="L1030" s="162" t="s">
        <v>5609</v>
      </c>
      <c r="M1030" s="111">
        <v>45</v>
      </c>
      <c r="N1030" s="111">
        <v>9000</v>
      </c>
      <c r="O1030" s="111"/>
      <c r="P1030" s="111"/>
      <c r="Q1030" s="111"/>
      <c r="R1030" s="111"/>
      <c r="S1030" s="1249">
        <v>100</v>
      </c>
      <c r="T1030" s="1250">
        <v>3000</v>
      </c>
      <c r="U1030" s="1250"/>
      <c r="V1030" s="1250"/>
      <c r="W1030" s="1251">
        <v>50</v>
      </c>
      <c r="X1030" s="1250">
        <v>3000</v>
      </c>
      <c r="Y1030" s="1250"/>
      <c r="Z1030" s="1250"/>
      <c r="AA1030" s="1250"/>
      <c r="AB1030" s="1250"/>
      <c r="AC1030" s="1250"/>
      <c r="AD1030" s="1250"/>
      <c r="AE1030" s="1249">
        <v>50</v>
      </c>
      <c r="AF1030" s="1250">
        <v>3000</v>
      </c>
      <c r="AG1030" s="111"/>
      <c r="AH1030" s="111"/>
      <c r="AI1030" s="111"/>
      <c r="AJ1030" s="111"/>
      <c r="AK1030" s="111"/>
      <c r="AL1030" s="111"/>
      <c r="AM1030" s="111">
        <v>9000</v>
      </c>
    </row>
    <row r="1031" spans="1:39" ht="15" customHeight="1" x14ac:dyDescent="0.25">
      <c r="A1031" s="1409"/>
      <c r="B1031" s="1409"/>
      <c r="C1031" s="1409"/>
      <c r="D1031" s="1409"/>
      <c r="E1031" s="1247"/>
      <c r="F1031" s="1248" t="s">
        <v>4895</v>
      </c>
      <c r="G1031" s="111"/>
      <c r="H1031" s="1249">
        <v>200</v>
      </c>
      <c r="I1031" s="111" t="s">
        <v>1721</v>
      </c>
      <c r="J1031" s="1321" t="s">
        <v>5608</v>
      </c>
      <c r="K1031" s="162" t="s">
        <v>5610</v>
      </c>
      <c r="L1031" s="162" t="s">
        <v>5609</v>
      </c>
      <c r="M1031" s="111">
        <v>50</v>
      </c>
      <c r="N1031" s="111">
        <v>10000</v>
      </c>
      <c r="O1031" s="111"/>
      <c r="P1031" s="111"/>
      <c r="Q1031" s="111"/>
      <c r="R1031" s="111"/>
      <c r="S1031" s="1249">
        <v>100</v>
      </c>
      <c r="T1031" s="1250">
        <v>3333.3333333333335</v>
      </c>
      <c r="U1031" s="1250"/>
      <c r="V1031" s="1250"/>
      <c r="W1031" s="1251">
        <v>50</v>
      </c>
      <c r="X1031" s="1250">
        <v>3333.3333333333335</v>
      </c>
      <c r="Y1031" s="1250"/>
      <c r="Z1031" s="1250"/>
      <c r="AA1031" s="1250"/>
      <c r="AB1031" s="1250"/>
      <c r="AC1031" s="1250"/>
      <c r="AD1031" s="1250"/>
      <c r="AE1031" s="1249">
        <v>50</v>
      </c>
      <c r="AF1031" s="1250">
        <v>3333.3333333333335</v>
      </c>
      <c r="AG1031" s="111"/>
      <c r="AH1031" s="111"/>
      <c r="AI1031" s="111"/>
      <c r="AJ1031" s="111"/>
      <c r="AK1031" s="111"/>
      <c r="AL1031" s="111"/>
      <c r="AM1031" s="111">
        <v>10000</v>
      </c>
    </row>
    <row r="1032" spans="1:39" ht="15" customHeight="1" x14ac:dyDescent="0.25">
      <c r="A1032" s="1409"/>
      <c r="B1032" s="1409"/>
      <c r="C1032" s="1409"/>
      <c r="D1032" s="1409"/>
      <c r="E1032" s="1247"/>
      <c r="F1032" s="1248" t="s">
        <v>4896</v>
      </c>
      <c r="G1032" s="111"/>
      <c r="H1032" s="1249">
        <v>200</v>
      </c>
      <c r="I1032" s="111" t="s">
        <v>1721</v>
      </c>
      <c r="J1032" s="1321" t="s">
        <v>5608</v>
      </c>
      <c r="K1032" s="162" t="s">
        <v>5610</v>
      </c>
      <c r="L1032" s="162" t="s">
        <v>5609</v>
      </c>
      <c r="M1032" s="111">
        <v>55</v>
      </c>
      <c r="N1032" s="111">
        <v>11000</v>
      </c>
      <c r="O1032" s="111"/>
      <c r="P1032" s="111"/>
      <c r="Q1032" s="111"/>
      <c r="R1032" s="111"/>
      <c r="S1032" s="1249">
        <v>100</v>
      </c>
      <c r="T1032" s="1250">
        <v>3666.6666666666665</v>
      </c>
      <c r="U1032" s="1250"/>
      <c r="V1032" s="1250"/>
      <c r="W1032" s="1251">
        <v>50</v>
      </c>
      <c r="X1032" s="1250">
        <v>3666.6666666666665</v>
      </c>
      <c r="Y1032" s="1250"/>
      <c r="Z1032" s="1250"/>
      <c r="AA1032" s="1250"/>
      <c r="AB1032" s="1250"/>
      <c r="AC1032" s="1250"/>
      <c r="AD1032" s="1250"/>
      <c r="AE1032" s="1249">
        <v>50</v>
      </c>
      <c r="AF1032" s="1250">
        <v>3666.6666666666665</v>
      </c>
      <c r="AG1032" s="111"/>
      <c r="AH1032" s="111"/>
      <c r="AI1032" s="111"/>
      <c r="AJ1032" s="111"/>
      <c r="AK1032" s="111"/>
      <c r="AL1032" s="111"/>
      <c r="AM1032" s="111">
        <v>11000</v>
      </c>
    </row>
    <row r="1033" spans="1:39" ht="15" customHeight="1" x14ac:dyDescent="0.25">
      <c r="A1033" s="1409"/>
      <c r="B1033" s="1409"/>
      <c r="C1033" s="1409"/>
      <c r="D1033" s="1409"/>
      <c r="E1033" s="1247"/>
      <c r="F1033" s="1248" t="s">
        <v>4897</v>
      </c>
      <c r="G1033" s="111"/>
      <c r="H1033" s="1249">
        <v>200</v>
      </c>
      <c r="I1033" s="111" t="s">
        <v>1721</v>
      </c>
      <c r="J1033" s="1321" t="s">
        <v>5608</v>
      </c>
      <c r="K1033" s="162" t="s">
        <v>5610</v>
      </c>
      <c r="L1033" s="162" t="s">
        <v>5609</v>
      </c>
      <c r="M1033" s="111">
        <v>60</v>
      </c>
      <c r="N1033" s="111">
        <v>12000</v>
      </c>
      <c r="O1033" s="111"/>
      <c r="P1033" s="111"/>
      <c r="Q1033" s="111"/>
      <c r="R1033" s="111"/>
      <c r="S1033" s="1249">
        <v>100</v>
      </c>
      <c r="T1033" s="1250">
        <v>4000</v>
      </c>
      <c r="U1033" s="1250"/>
      <c r="V1033" s="1250"/>
      <c r="W1033" s="1251">
        <v>50</v>
      </c>
      <c r="X1033" s="1250">
        <v>4000</v>
      </c>
      <c r="Y1033" s="1250"/>
      <c r="Z1033" s="1250"/>
      <c r="AA1033" s="1250"/>
      <c r="AB1033" s="1250"/>
      <c r="AC1033" s="1250"/>
      <c r="AD1033" s="1250"/>
      <c r="AE1033" s="1249">
        <v>50</v>
      </c>
      <c r="AF1033" s="1250">
        <v>4000</v>
      </c>
      <c r="AG1033" s="111"/>
      <c r="AH1033" s="111"/>
      <c r="AI1033" s="111"/>
      <c r="AJ1033" s="111"/>
      <c r="AK1033" s="111"/>
      <c r="AL1033" s="111"/>
      <c r="AM1033" s="111">
        <v>12000</v>
      </c>
    </row>
    <row r="1034" spans="1:39" ht="15" customHeight="1" x14ac:dyDescent="0.25">
      <c r="A1034" s="1409"/>
      <c r="B1034" s="1409"/>
      <c r="C1034" s="1409"/>
      <c r="D1034" s="1409"/>
      <c r="E1034" s="1247"/>
      <c r="F1034" s="1248" t="s">
        <v>4898</v>
      </c>
      <c r="G1034" s="111"/>
      <c r="H1034" s="1249">
        <v>200</v>
      </c>
      <c r="I1034" s="111" t="s">
        <v>1721</v>
      </c>
      <c r="J1034" s="1321" t="s">
        <v>5608</v>
      </c>
      <c r="K1034" s="162" t="s">
        <v>5610</v>
      </c>
      <c r="L1034" s="162" t="s">
        <v>5609</v>
      </c>
      <c r="M1034" s="111">
        <v>65</v>
      </c>
      <c r="N1034" s="111">
        <v>13000</v>
      </c>
      <c r="O1034" s="111"/>
      <c r="P1034" s="111"/>
      <c r="Q1034" s="111"/>
      <c r="R1034" s="111"/>
      <c r="S1034" s="1249">
        <v>100</v>
      </c>
      <c r="T1034" s="1250">
        <v>4333.333333333333</v>
      </c>
      <c r="U1034" s="1250"/>
      <c r="V1034" s="1250"/>
      <c r="W1034" s="1251">
        <v>50</v>
      </c>
      <c r="X1034" s="1250">
        <v>4333.333333333333</v>
      </c>
      <c r="Y1034" s="1250"/>
      <c r="Z1034" s="1250"/>
      <c r="AA1034" s="1250"/>
      <c r="AB1034" s="1250"/>
      <c r="AC1034" s="1250"/>
      <c r="AD1034" s="1250"/>
      <c r="AE1034" s="1249">
        <v>50</v>
      </c>
      <c r="AF1034" s="1250">
        <v>4333.333333333333</v>
      </c>
      <c r="AG1034" s="111"/>
      <c r="AH1034" s="111"/>
      <c r="AI1034" s="111"/>
      <c r="AJ1034" s="111"/>
      <c r="AK1034" s="111"/>
      <c r="AL1034" s="111"/>
      <c r="AM1034" s="111">
        <v>13000</v>
      </c>
    </row>
    <row r="1035" spans="1:39" ht="15" customHeight="1" x14ac:dyDescent="0.25">
      <c r="A1035" s="1409"/>
      <c r="B1035" s="1409"/>
      <c r="C1035" s="1409"/>
      <c r="D1035" s="1409"/>
      <c r="E1035" s="1247"/>
      <c r="F1035" s="1248" t="s">
        <v>4899</v>
      </c>
      <c r="G1035" s="111"/>
      <c r="H1035" s="1249">
        <v>200</v>
      </c>
      <c r="I1035" s="111" t="s">
        <v>1721</v>
      </c>
      <c r="J1035" s="1321" t="s">
        <v>5608</v>
      </c>
      <c r="K1035" s="162" t="s">
        <v>5610</v>
      </c>
      <c r="L1035" s="162" t="s">
        <v>5609</v>
      </c>
      <c r="M1035" s="111">
        <v>70</v>
      </c>
      <c r="N1035" s="111">
        <v>14000</v>
      </c>
      <c r="O1035" s="111"/>
      <c r="P1035" s="111"/>
      <c r="Q1035" s="111"/>
      <c r="R1035" s="111"/>
      <c r="S1035" s="1249">
        <v>100</v>
      </c>
      <c r="T1035" s="1250">
        <v>4666.666666666667</v>
      </c>
      <c r="U1035" s="1250"/>
      <c r="V1035" s="1250"/>
      <c r="W1035" s="1251">
        <v>50</v>
      </c>
      <c r="X1035" s="1250">
        <v>4666.666666666667</v>
      </c>
      <c r="Y1035" s="1250"/>
      <c r="Z1035" s="1250"/>
      <c r="AA1035" s="1250"/>
      <c r="AB1035" s="1250"/>
      <c r="AC1035" s="1250"/>
      <c r="AD1035" s="1250"/>
      <c r="AE1035" s="1249">
        <v>50</v>
      </c>
      <c r="AF1035" s="1250">
        <v>4666.666666666667</v>
      </c>
      <c r="AG1035" s="111"/>
      <c r="AH1035" s="111"/>
      <c r="AI1035" s="111"/>
      <c r="AJ1035" s="111"/>
      <c r="AK1035" s="111"/>
      <c r="AL1035" s="111"/>
      <c r="AM1035" s="111">
        <v>14000</v>
      </c>
    </row>
    <row r="1036" spans="1:39" ht="15" customHeight="1" x14ac:dyDescent="0.25">
      <c r="A1036" s="1409"/>
      <c r="B1036" s="1409"/>
      <c r="C1036" s="1409"/>
      <c r="D1036" s="1409"/>
      <c r="E1036" s="1247"/>
      <c r="F1036" s="1248" t="s">
        <v>4900</v>
      </c>
      <c r="G1036" s="111"/>
      <c r="H1036" s="1249">
        <v>400</v>
      </c>
      <c r="I1036" s="111" t="s">
        <v>1721</v>
      </c>
      <c r="J1036" s="1321" t="s">
        <v>5608</v>
      </c>
      <c r="K1036" s="162" t="s">
        <v>5610</v>
      </c>
      <c r="L1036" s="162" t="s">
        <v>5609</v>
      </c>
      <c r="M1036" s="111">
        <v>75</v>
      </c>
      <c r="N1036" s="111">
        <v>30000</v>
      </c>
      <c r="O1036" s="111"/>
      <c r="P1036" s="111"/>
      <c r="Q1036" s="111"/>
      <c r="R1036" s="111"/>
      <c r="S1036" s="1249">
        <v>200</v>
      </c>
      <c r="T1036" s="1250">
        <v>10000</v>
      </c>
      <c r="U1036" s="1250"/>
      <c r="V1036" s="1250"/>
      <c r="W1036" s="1251">
        <v>100</v>
      </c>
      <c r="X1036" s="1250">
        <v>10000</v>
      </c>
      <c r="Y1036" s="1250"/>
      <c r="Z1036" s="1250"/>
      <c r="AA1036" s="1250"/>
      <c r="AB1036" s="1250"/>
      <c r="AC1036" s="1250"/>
      <c r="AD1036" s="1250"/>
      <c r="AE1036" s="1249">
        <v>100</v>
      </c>
      <c r="AF1036" s="1250">
        <v>10000</v>
      </c>
      <c r="AG1036" s="111"/>
      <c r="AH1036" s="111"/>
      <c r="AI1036" s="111"/>
      <c r="AJ1036" s="111"/>
      <c r="AK1036" s="111"/>
      <c r="AL1036" s="111"/>
      <c r="AM1036" s="111">
        <v>30000</v>
      </c>
    </row>
    <row r="1037" spans="1:39" ht="15" customHeight="1" x14ac:dyDescent="0.25">
      <c r="A1037" s="1409"/>
      <c r="B1037" s="1409"/>
      <c r="C1037" s="1409"/>
      <c r="D1037" s="1409"/>
      <c r="E1037" s="1247"/>
      <c r="F1037" s="1248" t="s">
        <v>4901</v>
      </c>
      <c r="G1037" s="111"/>
      <c r="H1037" s="1249">
        <v>25</v>
      </c>
      <c r="I1037" s="111" t="s">
        <v>1725</v>
      </c>
      <c r="J1037" s="1321" t="s">
        <v>5608</v>
      </c>
      <c r="K1037" s="162" t="s">
        <v>5610</v>
      </c>
      <c r="L1037" s="162" t="s">
        <v>5609</v>
      </c>
      <c r="M1037" s="111">
        <v>434.52</v>
      </c>
      <c r="N1037" s="111">
        <v>10863</v>
      </c>
      <c r="O1037" s="111"/>
      <c r="P1037" s="111"/>
      <c r="Q1037" s="111"/>
      <c r="R1037" s="111"/>
      <c r="S1037" s="1249">
        <v>10</v>
      </c>
      <c r="T1037" s="1250">
        <v>3621</v>
      </c>
      <c r="U1037" s="1250"/>
      <c r="V1037" s="1250"/>
      <c r="W1037" s="1251">
        <v>10</v>
      </c>
      <c r="X1037" s="1250">
        <v>3621</v>
      </c>
      <c r="Y1037" s="1250"/>
      <c r="Z1037" s="1250"/>
      <c r="AA1037" s="1250"/>
      <c r="AB1037" s="1250"/>
      <c r="AC1037" s="1250"/>
      <c r="AD1037" s="1250"/>
      <c r="AE1037" s="1249">
        <v>5</v>
      </c>
      <c r="AF1037" s="1250">
        <v>3621</v>
      </c>
      <c r="AG1037" s="111"/>
      <c r="AH1037" s="111"/>
      <c r="AI1037" s="111"/>
      <c r="AJ1037" s="111"/>
      <c r="AK1037" s="111"/>
      <c r="AL1037" s="111"/>
      <c r="AM1037" s="111">
        <v>10863</v>
      </c>
    </row>
    <row r="1038" spans="1:39" ht="15" customHeight="1" x14ac:dyDescent="0.25">
      <c r="A1038" s="1409"/>
      <c r="B1038" s="1409"/>
      <c r="C1038" s="1409"/>
      <c r="D1038" s="1409"/>
      <c r="E1038" s="1247"/>
      <c r="F1038" s="1248" t="s">
        <v>4902</v>
      </c>
      <c r="G1038" s="111"/>
      <c r="H1038" s="1249">
        <v>25</v>
      </c>
      <c r="I1038" s="111" t="s">
        <v>1725</v>
      </c>
      <c r="J1038" s="1321" t="s">
        <v>5608</v>
      </c>
      <c r="K1038" s="162" t="s">
        <v>5610</v>
      </c>
      <c r="L1038" s="162" t="s">
        <v>5609</v>
      </c>
      <c r="M1038" s="111">
        <v>2607.12</v>
      </c>
      <c r="N1038" s="111">
        <v>65178</v>
      </c>
      <c r="O1038" s="111"/>
      <c r="P1038" s="111"/>
      <c r="Q1038" s="111"/>
      <c r="R1038" s="111"/>
      <c r="S1038" s="1249">
        <v>10</v>
      </c>
      <c r="T1038" s="1250">
        <v>21726</v>
      </c>
      <c r="U1038" s="1250"/>
      <c r="V1038" s="1250"/>
      <c r="W1038" s="1251">
        <v>10</v>
      </c>
      <c r="X1038" s="1250">
        <v>21726</v>
      </c>
      <c r="Y1038" s="1250"/>
      <c r="Z1038" s="1250"/>
      <c r="AA1038" s="1250"/>
      <c r="AB1038" s="1250"/>
      <c r="AC1038" s="1250"/>
      <c r="AD1038" s="1250"/>
      <c r="AE1038" s="1249">
        <v>5</v>
      </c>
      <c r="AF1038" s="1250">
        <v>21726</v>
      </c>
      <c r="AG1038" s="111"/>
      <c r="AH1038" s="111"/>
      <c r="AI1038" s="111"/>
      <c r="AJ1038" s="111"/>
      <c r="AK1038" s="111"/>
      <c r="AL1038" s="111"/>
      <c r="AM1038" s="111">
        <v>65178</v>
      </c>
    </row>
    <row r="1039" spans="1:39" ht="15" customHeight="1" x14ac:dyDescent="0.25">
      <c r="A1039" s="1409"/>
      <c r="B1039" s="1409"/>
      <c r="C1039" s="1409"/>
      <c r="D1039" s="1409"/>
      <c r="E1039" s="1247"/>
      <c r="F1039" s="1248" t="s">
        <v>4903</v>
      </c>
      <c r="G1039" s="111"/>
      <c r="H1039" s="1249">
        <v>200</v>
      </c>
      <c r="I1039" s="111" t="s">
        <v>1725</v>
      </c>
      <c r="J1039" s="1321" t="s">
        <v>5608</v>
      </c>
      <c r="K1039" s="162" t="s">
        <v>5610</v>
      </c>
      <c r="L1039" s="162" t="s">
        <v>5609</v>
      </c>
      <c r="M1039" s="111">
        <v>7.2659999999999991</v>
      </c>
      <c r="N1039" s="111">
        <v>1453.1999999999998</v>
      </c>
      <c r="O1039" s="111"/>
      <c r="P1039" s="111"/>
      <c r="Q1039" s="111"/>
      <c r="R1039" s="111"/>
      <c r="S1039" s="1249">
        <v>100</v>
      </c>
      <c r="T1039" s="1250">
        <v>484.39999999999992</v>
      </c>
      <c r="U1039" s="1250"/>
      <c r="V1039" s="1250"/>
      <c r="W1039" s="1251">
        <v>50</v>
      </c>
      <c r="X1039" s="1250">
        <v>484.39999999999992</v>
      </c>
      <c r="Y1039" s="1250"/>
      <c r="Z1039" s="1250"/>
      <c r="AA1039" s="1250"/>
      <c r="AB1039" s="1250"/>
      <c r="AC1039" s="1250"/>
      <c r="AD1039" s="1250"/>
      <c r="AE1039" s="1249">
        <v>50</v>
      </c>
      <c r="AF1039" s="1250">
        <v>484.39999999999992</v>
      </c>
      <c r="AG1039" s="111"/>
      <c r="AH1039" s="111"/>
      <c r="AI1039" s="111"/>
      <c r="AJ1039" s="111"/>
      <c r="AK1039" s="111"/>
      <c r="AL1039" s="111"/>
      <c r="AM1039" s="111">
        <v>1453.1999999999998</v>
      </c>
    </row>
    <row r="1040" spans="1:39" ht="15" customHeight="1" x14ac:dyDescent="0.25">
      <c r="A1040" s="1409"/>
      <c r="B1040" s="1409"/>
      <c r="C1040" s="1409"/>
      <c r="D1040" s="1409"/>
      <c r="E1040" s="1247"/>
      <c r="F1040" s="1248" t="s">
        <v>4904</v>
      </c>
      <c r="G1040" s="111"/>
      <c r="H1040" s="1249">
        <v>240</v>
      </c>
      <c r="I1040" s="111" t="s">
        <v>1725</v>
      </c>
      <c r="J1040" s="1321" t="s">
        <v>5608</v>
      </c>
      <c r="K1040" s="162" t="s">
        <v>5610</v>
      </c>
      <c r="L1040" s="162" t="s">
        <v>5609</v>
      </c>
      <c r="M1040" s="111">
        <v>8.4766666666666666</v>
      </c>
      <c r="N1040" s="111">
        <v>2034.4</v>
      </c>
      <c r="O1040" s="111"/>
      <c r="P1040" s="111"/>
      <c r="Q1040" s="111"/>
      <c r="R1040" s="111"/>
      <c r="S1040" s="1249">
        <v>100</v>
      </c>
      <c r="T1040" s="1250">
        <v>678.13333333333333</v>
      </c>
      <c r="U1040" s="1250"/>
      <c r="V1040" s="1250"/>
      <c r="W1040" s="1251">
        <v>90</v>
      </c>
      <c r="X1040" s="1250">
        <v>678.13333333333333</v>
      </c>
      <c r="Y1040" s="1250"/>
      <c r="Z1040" s="1250"/>
      <c r="AA1040" s="1250"/>
      <c r="AB1040" s="1250"/>
      <c r="AC1040" s="1250"/>
      <c r="AD1040" s="1250"/>
      <c r="AE1040" s="1249">
        <v>50</v>
      </c>
      <c r="AF1040" s="1250">
        <v>678.13333333333333</v>
      </c>
      <c r="AG1040" s="111"/>
      <c r="AH1040" s="111"/>
      <c r="AI1040" s="111"/>
      <c r="AJ1040" s="111"/>
      <c r="AK1040" s="111"/>
      <c r="AL1040" s="111"/>
      <c r="AM1040" s="111">
        <v>2034.4</v>
      </c>
    </row>
    <row r="1041" spans="1:39" ht="15" customHeight="1" x14ac:dyDescent="0.25">
      <c r="A1041" s="1409"/>
      <c r="B1041" s="1409"/>
      <c r="C1041" s="1409"/>
      <c r="D1041" s="1409"/>
      <c r="E1041" s="1247"/>
      <c r="F1041" s="1248" t="s">
        <v>4905</v>
      </c>
      <c r="G1041" s="111"/>
      <c r="H1041" s="1249">
        <v>25</v>
      </c>
      <c r="I1041" s="111" t="s">
        <v>1725</v>
      </c>
      <c r="J1041" s="1321" t="s">
        <v>5608</v>
      </c>
      <c r="K1041" s="162" t="s">
        <v>5610</v>
      </c>
      <c r="L1041" s="162" t="s">
        <v>5609</v>
      </c>
      <c r="M1041" s="111">
        <v>3476.16</v>
      </c>
      <c r="N1041" s="111">
        <v>86904</v>
      </c>
      <c r="O1041" s="111"/>
      <c r="P1041" s="111"/>
      <c r="Q1041" s="111"/>
      <c r="R1041" s="111"/>
      <c r="S1041" s="1249">
        <v>10</v>
      </c>
      <c r="T1041" s="1250">
        <v>28968</v>
      </c>
      <c r="U1041" s="1250"/>
      <c r="V1041" s="1250"/>
      <c r="W1041" s="1251">
        <v>10</v>
      </c>
      <c r="X1041" s="1250">
        <v>28968</v>
      </c>
      <c r="Y1041" s="1250"/>
      <c r="Z1041" s="1250"/>
      <c r="AA1041" s="1250"/>
      <c r="AB1041" s="1250"/>
      <c r="AC1041" s="1250"/>
      <c r="AD1041" s="1250"/>
      <c r="AE1041" s="1249">
        <v>5</v>
      </c>
      <c r="AF1041" s="1250">
        <v>28968</v>
      </c>
      <c r="AG1041" s="111"/>
      <c r="AH1041" s="111"/>
      <c r="AI1041" s="111"/>
      <c r="AJ1041" s="111"/>
      <c r="AK1041" s="111"/>
      <c r="AL1041" s="111"/>
      <c r="AM1041" s="111">
        <v>86904</v>
      </c>
    </row>
    <row r="1042" spans="1:39" ht="15" customHeight="1" x14ac:dyDescent="0.25">
      <c r="A1042" s="1409"/>
      <c r="B1042" s="1409"/>
      <c r="C1042" s="1409"/>
      <c r="D1042" s="1409"/>
      <c r="E1042" s="1247"/>
      <c r="F1042" s="1248" t="s">
        <v>4906</v>
      </c>
      <c r="G1042" s="111"/>
      <c r="H1042" s="1249">
        <v>3</v>
      </c>
      <c r="I1042" s="111" t="s">
        <v>1734</v>
      </c>
      <c r="J1042" s="1321" t="s">
        <v>5608</v>
      </c>
      <c r="K1042" s="162" t="s">
        <v>5610</v>
      </c>
      <c r="L1042" s="162" t="s">
        <v>5609</v>
      </c>
      <c r="M1042" s="111">
        <v>210</v>
      </c>
      <c r="N1042" s="111">
        <v>630</v>
      </c>
      <c r="O1042" s="111"/>
      <c r="P1042" s="111"/>
      <c r="Q1042" s="111"/>
      <c r="R1042" s="111"/>
      <c r="S1042" s="1249">
        <v>1</v>
      </c>
      <c r="T1042" s="1250">
        <v>210</v>
      </c>
      <c r="U1042" s="1250"/>
      <c r="V1042" s="1250"/>
      <c r="W1042" s="1251">
        <v>1</v>
      </c>
      <c r="X1042" s="1250">
        <v>210</v>
      </c>
      <c r="Y1042" s="1250"/>
      <c r="Z1042" s="1250"/>
      <c r="AA1042" s="1250"/>
      <c r="AB1042" s="1250"/>
      <c r="AC1042" s="1250"/>
      <c r="AD1042" s="1250"/>
      <c r="AE1042" s="1249">
        <v>1</v>
      </c>
      <c r="AF1042" s="1250">
        <v>210</v>
      </c>
      <c r="AG1042" s="111"/>
      <c r="AH1042" s="111"/>
      <c r="AI1042" s="111"/>
      <c r="AJ1042" s="111"/>
      <c r="AK1042" s="111"/>
      <c r="AL1042" s="111"/>
      <c r="AM1042" s="111">
        <v>630</v>
      </c>
    </row>
    <row r="1043" spans="1:39" ht="15" customHeight="1" x14ac:dyDescent="0.25">
      <c r="A1043" s="1409"/>
      <c r="B1043" s="1409"/>
      <c r="C1043" s="1409"/>
      <c r="D1043" s="1409"/>
      <c r="E1043" s="1247"/>
      <c r="F1043" s="1248" t="s">
        <v>4907</v>
      </c>
      <c r="G1043" s="111"/>
      <c r="H1043" s="1249">
        <v>25</v>
      </c>
      <c r="I1043" s="111" t="s">
        <v>1827</v>
      </c>
      <c r="J1043" s="1321" t="s">
        <v>5608</v>
      </c>
      <c r="K1043" s="162" t="s">
        <v>5610</v>
      </c>
      <c r="L1043" s="162" t="s">
        <v>5609</v>
      </c>
      <c r="M1043" s="111">
        <v>3476.16</v>
      </c>
      <c r="N1043" s="111">
        <v>86904</v>
      </c>
      <c r="O1043" s="111"/>
      <c r="P1043" s="111"/>
      <c r="Q1043" s="111"/>
      <c r="R1043" s="111"/>
      <c r="S1043" s="1249">
        <v>10</v>
      </c>
      <c r="T1043" s="1250">
        <v>28968</v>
      </c>
      <c r="U1043" s="1250"/>
      <c r="V1043" s="1250"/>
      <c r="W1043" s="1251">
        <v>10</v>
      </c>
      <c r="X1043" s="1250">
        <v>28968</v>
      </c>
      <c r="Y1043" s="1250"/>
      <c r="Z1043" s="1250"/>
      <c r="AA1043" s="1250"/>
      <c r="AB1043" s="1250"/>
      <c r="AC1043" s="1250"/>
      <c r="AD1043" s="1250"/>
      <c r="AE1043" s="1249">
        <v>5</v>
      </c>
      <c r="AF1043" s="1250">
        <v>28968</v>
      </c>
      <c r="AG1043" s="111"/>
      <c r="AH1043" s="111"/>
      <c r="AI1043" s="111"/>
      <c r="AJ1043" s="111"/>
      <c r="AK1043" s="111"/>
      <c r="AL1043" s="111"/>
      <c r="AM1043" s="111">
        <v>86904</v>
      </c>
    </row>
    <row r="1044" spans="1:39" ht="15" customHeight="1" x14ac:dyDescent="0.25">
      <c r="A1044" s="1409"/>
      <c r="B1044" s="1409"/>
      <c r="C1044" s="1409"/>
      <c r="D1044" s="1409"/>
      <c r="E1044" s="1247"/>
      <c r="F1044" s="1248" t="s">
        <v>4908</v>
      </c>
      <c r="G1044" s="111"/>
      <c r="H1044" s="1249">
        <v>150</v>
      </c>
      <c r="I1044" s="111" t="s">
        <v>1827</v>
      </c>
      <c r="J1044" s="1321" t="s">
        <v>5608</v>
      </c>
      <c r="K1044" s="162" t="s">
        <v>5610</v>
      </c>
      <c r="L1044" s="162" t="s">
        <v>5609</v>
      </c>
      <c r="M1044" s="111">
        <v>579.36</v>
      </c>
      <c r="N1044" s="111">
        <v>86904</v>
      </c>
      <c r="O1044" s="111"/>
      <c r="P1044" s="111"/>
      <c r="Q1044" s="111"/>
      <c r="R1044" s="111"/>
      <c r="S1044" s="1249">
        <v>50</v>
      </c>
      <c r="T1044" s="1250">
        <v>28968</v>
      </c>
      <c r="U1044" s="1250"/>
      <c r="V1044" s="1250"/>
      <c r="W1044" s="1251">
        <v>50</v>
      </c>
      <c r="X1044" s="1250">
        <v>28968</v>
      </c>
      <c r="Y1044" s="1250"/>
      <c r="Z1044" s="1250"/>
      <c r="AA1044" s="1250"/>
      <c r="AB1044" s="1250"/>
      <c r="AC1044" s="1250"/>
      <c r="AD1044" s="1250"/>
      <c r="AE1044" s="1249">
        <v>50</v>
      </c>
      <c r="AF1044" s="1250">
        <v>28968</v>
      </c>
      <c r="AG1044" s="111"/>
      <c r="AH1044" s="111"/>
      <c r="AI1044" s="111"/>
      <c r="AJ1044" s="111"/>
      <c r="AK1044" s="111"/>
      <c r="AL1044" s="111"/>
      <c r="AM1044" s="111">
        <v>86904</v>
      </c>
    </row>
    <row r="1045" spans="1:39" ht="15" customHeight="1" x14ac:dyDescent="0.25">
      <c r="A1045" s="1409"/>
      <c r="B1045" s="1409"/>
      <c r="C1045" s="1409"/>
      <c r="D1045" s="1409"/>
      <c r="E1045" s="1247"/>
      <c r="F1045" s="1248" t="s">
        <v>4909</v>
      </c>
      <c r="G1045" s="111"/>
      <c r="H1045" s="1249">
        <v>200</v>
      </c>
      <c r="I1045" s="111" t="s">
        <v>1827</v>
      </c>
      <c r="J1045" s="1321" t="s">
        <v>5608</v>
      </c>
      <c r="K1045" s="162" t="s">
        <v>5610</v>
      </c>
      <c r="L1045" s="162" t="s">
        <v>5609</v>
      </c>
      <c r="M1045" s="111">
        <v>434.52</v>
      </c>
      <c r="N1045" s="111">
        <v>86904</v>
      </c>
      <c r="O1045" s="111"/>
      <c r="P1045" s="111"/>
      <c r="Q1045" s="111"/>
      <c r="R1045" s="111"/>
      <c r="S1045" s="1249">
        <v>100</v>
      </c>
      <c r="T1045" s="1250">
        <v>28968</v>
      </c>
      <c r="U1045" s="1250"/>
      <c r="V1045" s="1250"/>
      <c r="W1045" s="1251">
        <v>50</v>
      </c>
      <c r="X1045" s="1250">
        <v>28968</v>
      </c>
      <c r="Y1045" s="1250"/>
      <c r="Z1045" s="1250"/>
      <c r="AA1045" s="1250"/>
      <c r="AB1045" s="1250"/>
      <c r="AC1045" s="1250"/>
      <c r="AD1045" s="1250"/>
      <c r="AE1045" s="1249">
        <v>50</v>
      </c>
      <c r="AF1045" s="1250">
        <v>28968</v>
      </c>
      <c r="AG1045" s="111"/>
      <c r="AH1045" s="111"/>
      <c r="AI1045" s="111"/>
      <c r="AJ1045" s="111"/>
      <c r="AK1045" s="111"/>
      <c r="AL1045" s="111"/>
      <c r="AM1045" s="111">
        <v>86904</v>
      </c>
    </row>
    <row r="1046" spans="1:39" ht="15" customHeight="1" x14ac:dyDescent="0.25">
      <c r="A1046" s="1409"/>
      <c r="B1046" s="1409"/>
      <c r="C1046" s="1409"/>
      <c r="D1046" s="1409"/>
      <c r="E1046" s="1247"/>
      <c r="F1046" s="1248" t="s">
        <v>4910</v>
      </c>
      <c r="G1046" s="111"/>
      <c r="H1046" s="1249">
        <v>240</v>
      </c>
      <c r="I1046" s="111" t="s">
        <v>4911</v>
      </c>
      <c r="J1046" s="1321" t="s">
        <v>5608</v>
      </c>
      <c r="K1046" s="162" t="s">
        <v>5610</v>
      </c>
      <c r="L1046" s="162" t="s">
        <v>5609</v>
      </c>
      <c r="M1046" s="111">
        <v>8.4766666666666666</v>
      </c>
      <c r="N1046" s="111">
        <v>2034.4</v>
      </c>
      <c r="O1046" s="111"/>
      <c r="P1046" s="111"/>
      <c r="Q1046" s="111"/>
      <c r="R1046" s="111"/>
      <c r="S1046" s="1249">
        <v>100</v>
      </c>
      <c r="T1046" s="1250">
        <v>678.13333333333333</v>
      </c>
      <c r="U1046" s="1250"/>
      <c r="V1046" s="1250"/>
      <c r="W1046" s="1251">
        <v>90</v>
      </c>
      <c r="X1046" s="1250">
        <v>678.13333333333333</v>
      </c>
      <c r="Y1046" s="1250"/>
      <c r="Z1046" s="1250"/>
      <c r="AA1046" s="1250"/>
      <c r="AB1046" s="1250"/>
      <c r="AC1046" s="1250"/>
      <c r="AD1046" s="1250"/>
      <c r="AE1046" s="1249">
        <v>50</v>
      </c>
      <c r="AF1046" s="1250">
        <v>678.13333333333333</v>
      </c>
      <c r="AG1046" s="111"/>
      <c r="AH1046" s="111"/>
      <c r="AI1046" s="111"/>
      <c r="AJ1046" s="111"/>
      <c r="AK1046" s="111"/>
      <c r="AL1046" s="111"/>
      <c r="AM1046" s="111">
        <v>2034.4</v>
      </c>
    </row>
    <row r="1047" spans="1:39" ht="15" customHeight="1" x14ac:dyDescent="0.25">
      <c r="A1047" s="1409"/>
      <c r="B1047" s="1409"/>
      <c r="C1047" s="1409"/>
      <c r="D1047" s="1409"/>
      <c r="E1047" s="1247"/>
      <c r="F1047" s="1248" t="s">
        <v>4912</v>
      </c>
      <c r="G1047" s="111"/>
      <c r="H1047" s="1249">
        <v>40</v>
      </c>
      <c r="I1047" s="111" t="s">
        <v>4911</v>
      </c>
      <c r="J1047" s="1321" t="s">
        <v>5608</v>
      </c>
      <c r="K1047" s="162" t="s">
        <v>5610</v>
      </c>
      <c r="L1047" s="162" t="s">
        <v>5609</v>
      </c>
      <c r="M1047" s="111">
        <v>42.14</v>
      </c>
      <c r="N1047" s="111">
        <v>1685.6</v>
      </c>
      <c r="O1047" s="111"/>
      <c r="P1047" s="111"/>
      <c r="Q1047" s="111"/>
      <c r="R1047" s="111"/>
      <c r="S1047" s="1249">
        <v>15</v>
      </c>
      <c r="T1047" s="1250">
        <v>561.86666666666667</v>
      </c>
      <c r="U1047" s="1250"/>
      <c r="V1047" s="1250"/>
      <c r="W1047" s="1251">
        <v>15</v>
      </c>
      <c r="X1047" s="1250">
        <v>561.86666666666667</v>
      </c>
      <c r="Y1047" s="1250"/>
      <c r="Z1047" s="1250"/>
      <c r="AA1047" s="1250"/>
      <c r="AB1047" s="1250"/>
      <c r="AC1047" s="1250"/>
      <c r="AD1047" s="1250"/>
      <c r="AE1047" s="1249">
        <v>10</v>
      </c>
      <c r="AF1047" s="1250">
        <v>561.86666666666667</v>
      </c>
      <c r="AG1047" s="111"/>
      <c r="AH1047" s="111"/>
      <c r="AI1047" s="111"/>
      <c r="AJ1047" s="111"/>
      <c r="AK1047" s="111"/>
      <c r="AL1047" s="111"/>
      <c r="AM1047" s="111">
        <v>1685.6</v>
      </c>
    </row>
    <row r="1048" spans="1:39" ht="15" customHeight="1" x14ac:dyDescent="0.25">
      <c r="A1048" s="1409"/>
      <c r="B1048" s="1409"/>
      <c r="C1048" s="1409"/>
      <c r="D1048" s="1409"/>
      <c r="E1048" s="1247"/>
      <c r="F1048" s="1248" t="s">
        <v>4912</v>
      </c>
      <c r="G1048" s="111"/>
      <c r="H1048" s="1249">
        <v>40</v>
      </c>
      <c r="I1048" s="111" t="s">
        <v>4911</v>
      </c>
      <c r="J1048" s="1321" t="s">
        <v>5608</v>
      </c>
      <c r="K1048" s="162" t="s">
        <v>5610</v>
      </c>
      <c r="L1048" s="162" t="s">
        <v>5609</v>
      </c>
      <c r="M1048" s="111">
        <v>159.86000000000001</v>
      </c>
      <c r="N1048" s="111">
        <v>6394.4000000000005</v>
      </c>
      <c r="O1048" s="111"/>
      <c r="P1048" s="111"/>
      <c r="Q1048" s="111"/>
      <c r="R1048" s="111"/>
      <c r="S1048" s="1249">
        <v>15</v>
      </c>
      <c r="T1048" s="1250">
        <v>2131.4666666666667</v>
      </c>
      <c r="U1048" s="1250"/>
      <c r="V1048" s="1250"/>
      <c r="W1048" s="1251">
        <v>15</v>
      </c>
      <c r="X1048" s="1250">
        <v>2131.4666666666667</v>
      </c>
      <c r="Y1048" s="1250"/>
      <c r="Z1048" s="1250"/>
      <c r="AA1048" s="1250"/>
      <c r="AB1048" s="1250"/>
      <c r="AC1048" s="1250"/>
      <c r="AD1048" s="1250"/>
      <c r="AE1048" s="1249">
        <v>10</v>
      </c>
      <c r="AF1048" s="1250">
        <v>2131.4666666666667</v>
      </c>
      <c r="AG1048" s="111"/>
      <c r="AH1048" s="111"/>
      <c r="AI1048" s="111"/>
      <c r="AJ1048" s="111"/>
      <c r="AK1048" s="111"/>
      <c r="AL1048" s="111"/>
      <c r="AM1048" s="111">
        <v>6394.4000000000005</v>
      </c>
    </row>
    <row r="1049" spans="1:39" ht="15" customHeight="1" x14ac:dyDescent="0.25">
      <c r="A1049" s="1409"/>
      <c r="B1049" s="1409"/>
      <c r="C1049" s="1409"/>
      <c r="D1049" s="1409"/>
      <c r="E1049" s="1247"/>
      <c r="F1049" s="1248" t="s">
        <v>4913</v>
      </c>
      <c r="G1049" s="111"/>
      <c r="H1049" s="1249">
        <v>40</v>
      </c>
      <c r="I1049" s="111" t="s">
        <v>4911</v>
      </c>
      <c r="J1049" s="1321" t="s">
        <v>5608</v>
      </c>
      <c r="K1049" s="162" t="s">
        <v>5610</v>
      </c>
      <c r="L1049" s="162" t="s">
        <v>5609</v>
      </c>
      <c r="M1049" s="111">
        <v>159.86000000000001</v>
      </c>
      <c r="N1049" s="111">
        <v>6394.4000000000005</v>
      </c>
      <c r="O1049" s="111"/>
      <c r="P1049" s="111"/>
      <c r="Q1049" s="111"/>
      <c r="R1049" s="111"/>
      <c r="S1049" s="1249">
        <v>15</v>
      </c>
      <c r="T1049" s="1250">
        <v>2131.4666666666667</v>
      </c>
      <c r="U1049" s="1250"/>
      <c r="V1049" s="1250"/>
      <c r="W1049" s="1251">
        <v>15</v>
      </c>
      <c r="X1049" s="1250">
        <v>2131.4666666666667</v>
      </c>
      <c r="Y1049" s="1250"/>
      <c r="Z1049" s="1250"/>
      <c r="AA1049" s="1250"/>
      <c r="AB1049" s="1250"/>
      <c r="AC1049" s="1250"/>
      <c r="AD1049" s="1250"/>
      <c r="AE1049" s="1249">
        <v>10</v>
      </c>
      <c r="AF1049" s="1250">
        <v>2131.4666666666667</v>
      </c>
      <c r="AG1049" s="111"/>
      <c r="AH1049" s="111"/>
      <c r="AI1049" s="111"/>
      <c r="AJ1049" s="111"/>
      <c r="AK1049" s="111"/>
      <c r="AL1049" s="111"/>
      <c r="AM1049" s="111">
        <v>6394.4000000000005</v>
      </c>
    </row>
    <row r="1050" spans="1:39" ht="15" customHeight="1" x14ac:dyDescent="0.25">
      <c r="A1050" s="1409"/>
      <c r="B1050" s="1409"/>
      <c r="C1050" s="1409"/>
      <c r="D1050" s="1409"/>
      <c r="E1050" s="1247"/>
      <c r="F1050" s="1248" t="s">
        <v>4914</v>
      </c>
      <c r="G1050" s="111"/>
      <c r="H1050" s="1249">
        <v>40</v>
      </c>
      <c r="I1050" s="111" t="s">
        <v>4911</v>
      </c>
      <c r="J1050" s="1321" t="s">
        <v>5608</v>
      </c>
      <c r="K1050" s="162" t="s">
        <v>5610</v>
      </c>
      <c r="L1050" s="162" t="s">
        <v>5609</v>
      </c>
      <c r="M1050" s="111">
        <v>159.86000000000001</v>
      </c>
      <c r="N1050" s="111">
        <v>6394.4000000000005</v>
      </c>
      <c r="O1050" s="111"/>
      <c r="P1050" s="111"/>
      <c r="Q1050" s="111"/>
      <c r="R1050" s="111"/>
      <c r="S1050" s="1249">
        <v>15</v>
      </c>
      <c r="T1050" s="1250">
        <v>2131.4666666666667</v>
      </c>
      <c r="U1050" s="1250"/>
      <c r="V1050" s="1250"/>
      <c r="W1050" s="1251">
        <v>15</v>
      </c>
      <c r="X1050" s="1250">
        <v>2131.4666666666667</v>
      </c>
      <c r="Y1050" s="1250"/>
      <c r="Z1050" s="1250"/>
      <c r="AA1050" s="1250"/>
      <c r="AB1050" s="1250"/>
      <c r="AC1050" s="1250"/>
      <c r="AD1050" s="1250"/>
      <c r="AE1050" s="1249">
        <v>10</v>
      </c>
      <c r="AF1050" s="1250">
        <v>2131.4666666666667</v>
      </c>
      <c r="AG1050" s="111"/>
      <c r="AH1050" s="111"/>
      <c r="AI1050" s="111"/>
      <c r="AJ1050" s="111"/>
      <c r="AK1050" s="111"/>
      <c r="AL1050" s="111"/>
      <c r="AM1050" s="111">
        <v>6394.4000000000005</v>
      </c>
    </row>
    <row r="1051" spans="1:39" ht="15" customHeight="1" x14ac:dyDescent="0.25">
      <c r="A1051" s="1409"/>
      <c r="B1051" s="1409"/>
      <c r="C1051" s="1409"/>
      <c r="D1051" s="1409"/>
      <c r="E1051" s="1247"/>
      <c r="F1051" s="1248" t="s">
        <v>4915</v>
      </c>
      <c r="G1051" s="111"/>
      <c r="H1051" s="1249">
        <v>40</v>
      </c>
      <c r="I1051" s="111" t="s">
        <v>4911</v>
      </c>
      <c r="J1051" s="1321" t="s">
        <v>5608</v>
      </c>
      <c r="K1051" s="162" t="s">
        <v>5610</v>
      </c>
      <c r="L1051" s="162" t="s">
        <v>5609</v>
      </c>
      <c r="M1051" s="111">
        <v>159.86000000000001</v>
      </c>
      <c r="N1051" s="111">
        <v>6394.4000000000005</v>
      </c>
      <c r="O1051" s="111"/>
      <c r="P1051" s="111"/>
      <c r="Q1051" s="111"/>
      <c r="R1051" s="111"/>
      <c r="S1051" s="1249">
        <v>15</v>
      </c>
      <c r="T1051" s="1250">
        <v>2131.4666666666667</v>
      </c>
      <c r="U1051" s="1250"/>
      <c r="V1051" s="1250"/>
      <c r="W1051" s="1251">
        <v>15</v>
      </c>
      <c r="X1051" s="1250">
        <v>2131.4666666666667</v>
      </c>
      <c r="Y1051" s="1250"/>
      <c r="Z1051" s="1250"/>
      <c r="AA1051" s="1250"/>
      <c r="AB1051" s="1250"/>
      <c r="AC1051" s="1250"/>
      <c r="AD1051" s="1250"/>
      <c r="AE1051" s="1249">
        <v>10</v>
      </c>
      <c r="AF1051" s="1250">
        <v>2131.4666666666667</v>
      </c>
      <c r="AG1051" s="111"/>
      <c r="AH1051" s="111"/>
      <c r="AI1051" s="111"/>
      <c r="AJ1051" s="111"/>
      <c r="AK1051" s="111"/>
      <c r="AL1051" s="111"/>
      <c r="AM1051" s="111">
        <v>6394.4000000000005</v>
      </c>
    </row>
    <row r="1052" spans="1:39" ht="15" customHeight="1" x14ac:dyDescent="0.25">
      <c r="A1052" s="1409"/>
      <c r="B1052" s="1409"/>
      <c r="C1052" s="1409"/>
      <c r="D1052" s="1409"/>
      <c r="E1052" s="1247"/>
      <c r="F1052" s="1248" t="s">
        <v>4916</v>
      </c>
      <c r="G1052" s="111"/>
      <c r="H1052" s="1249">
        <v>40</v>
      </c>
      <c r="I1052" s="111" t="s">
        <v>4911</v>
      </c>
      <c r="J1052" s="1321" t="s">
        <v>5608</v>
      </c>
      <c r="K1052" s="162" t="s">
        <v>5610</v>
      </c>
      <c r="L1052" s="162" t="s">
        <v>5609</v>
      </c>
      <c r="M1052" s="111">
        <v>43.6</v>
      </c>
      <c r="N1052" s="111">
        <v>1744</v>
      </c>
      <c r="O1052" s="111"/>
      <c r="P1052" s="111"/>
      <c r="Q1052" s="111"/>
      <c r="R1052" s="111"/>
      <c r="S1052" s="1249">
        <v>15</v>
      </c>
      <c r="T1052" s="1250">
        <v>581.33333333333337</v>
      </c>
      <c r="U1052" s="1250"/>
      <c r="V1052" s="1250"/>
      <c r="W1052" s="1251">
        <v>15</v>
      </c>
      <c r="X1052" s="1250">
        <v>581.33333333333337</v>
      </c>
      <c r="Y1052" s="1250"/>
      <c r="Z1052" s="1250"/>
      <c r="AA1052" s="1250"/>
      <c r="AB1052" s="1250"/>
      <c r="AC1052" s="1250"/>
      <c r="AD1052" s="1250"/>
      <c r="AE1052" s="1249">
        <v>10</v>
      </c>
      <c r="AF1052" s="1250">
        <v>581.33333333333337</v>
      </c>
      <c r="AG1052" s="111"/>
      <c r="AH1052" s="111"/>
      <c r="AI1052" s="111"/>
      <c r="AJ1052" s="111"/>
      <c r="AK1052" s="111"/>
      <c r="AL1052" s="111"/>
      <c r="AM1052" s="111">
        <v>1744</v>
      </c>
    </row>
    <row r="1053" spans="1:39" ht="15" customHeight="1" x14ac:dyDescent="0.25">
      <c r="A1053" s="1409"/>
      <c r="B1053" s="1409"/>
      <c r="C1053" s="1409"/>
      <c r="D1053" s="1409"/>
      <c r="E1053" s="1247"/>
      <c r="F1053" s="1248" t="s">
        <v>4917</v>
      </c>
      <c r="G1053" s="111"/>
      <c r="H1053" s="1249">
        <v>40</v>
      </c>
      <c r="I1053" s="111" t="s">
        <v>4911</v>
      </c>
      <c r="J1053" s="1321" t="s">
        <v>5608</v>
      </c>
      <c r="K1053" s="162" t="s">
        <v>5610</v>
      </c>
      <c r="L1053" s="162" t="s">
        <v>5609</v>
      </c>
      <c r="M1053" s="111">
        <v>24.71</v>
      </c>
      <c r="N1053" s="111">
        <v>988.40000000000009</v>
      </c>
      <c r="O1053" s="111"/>
      <c r="P1053" s="111"/>
      <c r="Q1053" s="111"/>
      <c r="R1053" s="111"/>
      <c r="S1053" s="1249">
        <v>15</v>
      </c>
      <c r="T1053" s="1250">
        <v>329.4666666666667</v>
      </c>
      <c r="U1053" s="1250"/>
      <c r="V1053" s="1250"/>
      <c r="W1053" s="1251">
        <v>15</v>
      </c>
      <c r="X1053" s="1250">
        <v>329.4666666666667</v>
      </c>
      <c r="Y1053" s="1250"/>
      <c r="Z1053" s="1250"/>
      <c r="AA1053" s="1250"/>
      <c r="AB1053" s="1250"/>
      <c r="AC1053" s="1250"/>
      <c r="AD1053" s="1250"/>
      <c r="AE1053" s="1249">
        <v>10</v>
      </c>
      <c r="AF1053" s="1250">
        <v>329.4666666666667</v>
      </c>
      <c r="AG1053" s="111"/>
      <c r="AH1053" s="111"/>
      <c r="AI1053" s="111"/>
      <c r="AJ1053" s="111"/>
      <c r="AK1053" s="111"/>
      <c r="AL1053" s="111"/>
      <c r="AM1053" s="111">
        <v>988.40000000000009</v>
      </c>
    </row>
    <row r="1054" spans="1:39" ht="15" customHeight="1" x14ac:dyDescent="0.25">
      <c r="A1054" s="1409"/>
      <c r="B1054" s="1409"/>
      <c r="C1054" s="1409"/>
      <c r="D1054" s="1409"/>
      <c r="E1054" s="1247"/>
      <c r="F1054" s="1248" t="s">
        <v>4918</v>
      </c>
      <c r="G1054" s="111"/>
      <c r="H1054" s="1249">
        <v>40</v>
      </c>
      <c r="I1054" s="111" t="s">
        <v>4911</v>
      </c>
      <c r="J1054" s="1321" t="s">
        <v>5608</v>
      </c>
      <c r="K1054" s="162" t="s">
        <v>5610</v>
      </c>
      <c r="L1054" s="162" t="s">
        <v>5609</v>
      </c>
      <c r="M1054" s="111">
        <v>20.350000000000001</v>
      </c>
      <c r="N1054" s="111">
        <v>814</v>
      </c>
      <c r="O1054" s="111"/>
      <c r="P1054" s="111"/>
      <c r="Q1054" s="111"/>
      <c r="R1054" s="111"/>
      <c r="S1054" s="1249">
        <v>15</v>
      </c>
      <c r="T1054" s="1250">
        <v>271.33333333333331</v>
      </c>
      <c r="U1054" s="1250"/>
      <c r="V1054" s="1250"/>
      <c r="W1054" s="1251">
        <v>15</v>
      </c>
      <c r="X1054" s="1250">
        <v>271.33333333333331</v>
      </c>
      <c r="Y1054" s="1250"/>
      <c r="Z1054" s="1250"/>
      <c r="AA1054" s="1250"/>
      <c r="AB1054" s="1250"/>
      <c r="AC1054" s="1250"/>
      <c r="AD1054" s="1250"/>
      <c r="AE1054" s="1249">
        <v>10</v>
      </c>
      <c r="AF1054" s="1250">
        <v>271.33333333333331</v>
      </c>
      <c r="AG1054" s="111"/>
      <c r="AH1054" s="111"/>
      <c r="AI1054" s="111"/>
      <c r="AJ1054" s="111"/>
      <c r="AK1054" s="111"/>
      <c r="AL1054" s="111"/>
      <c r="AM1054" s="111">
        <v>814</v>
      </c>
    </row>
    <row r="1055" spans="1:39" ht="15" customHeight="1" x14ac:dyDescent="0.25">
      <c r="A1055" s="1409"/>
      <c r="B1055" s="1409"/>
      <c r="C1055" s="1409"/>
      <c r="D1055" s="1409"/>
      <c r="E1055" s="1247"/>
      <c r="F1055" s="1248" t="s">
        <v>4919</v>
      </c>
      <c r="G1055" s="111"/>
      <c r="H1055" s="1249">
        <v>40</v>
      </c>
      <c r="I1055" s="111" t="s">
        <v>4911</v>
      </c>
      <c r="J1055" s="1321" t="s">
        <v>5608</v>
      </c>
      <c r="K1055" s="162" t="s">
        <v>5610</v>
      </c>
      <c r="L1055" s="162" t="s">
        <v>5609</v>
      </c>
      <c r="M1055" s="111">
        <v>17.440000000000001</v>
      </c>
      <c r="N1055" s="111">
        <v>697.6</v>
      </c>
      <c r="O1055" s="111"/>
      <c r="P1055" s="111"/>
      <c r="Q1055" s="111"/>
      <c r="R1055" s="111"/>
      <c r="S1055" s="1249">
        <v>15</v>
      </c>
      <c r="T1055" s="1250">
        <v>232.53333333333333</v>
      </c>
      <c r="U1055" s="1250"/>
      <c r="V1055" s="1250"/>
      <c r="W1055" s="1251">
        <v>15</v>
      </c>
      <c r="X1055" s="1250">
        <v>232.53333333333333</v>
      </c>
      <c r="Y1055" s="1250"/>
      <c r="Z1055" s="1250"/>
      <c r="AA1055" s="1250"/>
      <c r="AB1055" s="1250"/>
      <c r="AC1055" s="1250"/>
      <c r="AD1055" s="1250"/>
      <c r="AE1055" s="1249">
        <v>10</v>
      </c>
      <c r="AF1055" s="1250">
        <v>232.53333333333333</v>
      </c>
      <c r="AG1055" s="111"/>
      <c r="AH1055" s="111"/>
      <c r="AI1055" s="111"/>
      <c r="AJ1055" s="111"/>
      <c r="AK1055" s="111"/>
      <c r="AL1055" s="111"/>
      <c r="AM1055" s="111">
        <v>697.6</v>
      </c>
    </row>
    <row r="1056" spans="1:39" ht="15" customHeight="1" x14ac:dyDescent="0.25">
      <c r="A1056" s="1409"/>
      <c r="B1056" s="1409"/>
      <c r="C1056" s="1409"/>
      <c r="D1056" s="1409"/>
      <c r="E1056" s="1247"/>
      <c r="F1056" s="1248" t="s">
        <v>4920</v>
      </c>
      <c r="G1056" s="111"/>
      <c r="H1056" s="1249">
        <v>40</v>
      </c>
      <c r="I1056" s="111" t="s">
        <v>4911</v>
      </c>
      <c r="J1056" s="1321" t="s">
        <v>5608</v>
      </c>
      <c r="K1056" s="162" t="s">
        <v>5610</v>
      </c>
      <c r="L1056" s="162" t="s">
        <v>5609</v>
      </c>
      <c r="M1056" s="111">
        <v>26</v>
      </c>
      <c r="N1056" s="111">
        <v>1040</v>
      </c>
      <c r="O1056" s="111"/>
      <c r="P1056" s="111"/>
      <c r="Q1056" s="111"/>
      <c r="R1056" s="111"/>
      <c r="S1056" s="1249">
        <v>15</v>
      </c>
      <c r="T1056" s="1250">
        <v>346.66666666666669</v>
      </c>
      <c r="U1056" s="1250"/>
      <c r="V1056" s="1250"/>
      <c r="W1056" s="1251">
        <v>15</v>
      </c>
      <c r="X1056" s="1250">
        <v>346.66666666666669</v>
      </c>
      <c r="Y1056" s="1250"/>
      <c r="Z1056" s="1250"/>
      <c r="AA1056" s="1250"/>
      <c r="AB1056" s="1250"/>
      <c r="AC1056" s="1250"/>
      <c r="AD1056" s="1250"/>
      <c r="AE1056" s="1249">
        <v>10</v>
      </c>
      <c r="AF1056" s="1250">
        <v>346.66666666666669</v>
      </c>
      <c r="AG1056" s="111"/>
      <c r="AH1056" s="111"/>
      <c r="AI1056" s="111"/>
      <c r="AJ1056" s="111"/>
      <c r="AK1056" s="111"/>
      <c r="AL1056" s="111"/>
      <c r="AM1056" s="111">
        <v>1040</v>
      </c>
    </row>
    <row r="1057" spans="1:39" ht="15" customHeight="1" x14ac:dyDescent="0.25">
      <c r="A1057" s="1409"/>
      <c r="B1057" s="1409"/>
      <c r="C1057" s="1409"/>
      <c r="D1057" s="1409"/>
      <c r="E1057" s="1247"/>
      <c r="F1057" s="1248" t="s">
        <v>4921</v>
      </c>
      <c r="G1057" s="111"/>
      <c r="H1057" s="1249">
        <v>40</v>
      </c>
      <c r="I1057" s="111" t="s">
        <v>4911</v>
      </c>
      <c r="J1057" s="1321" t="s">
        <v>5608</v>
      </c>
      <c r="K1057" s="162" t="s">
        <v>5610</v>
      </c>
      <c r="L1057" s="162" t="s">
        <v>5609</v>
      </c>
      <c r="M1057" s="111">
        <v>26</v>
      </c>
      <c r="N1057" s="111">
        <v>1040</v>
      </c>
      <c r="O1057" s="111"/>
      <c r="P1057" s="111"/>
      <c r="Q1057" s="111"/>
      <c r="R1057" s="111"/>
      <c r="S1057" s="1249">
        <v>15</v>
      </c>
      <c r="T1057" s="1250">
        <v>346.66666666666669</v>
      </c>
      <c r="U1057" s="1250"/>
      <c r="V1057" s="1250"/>
      <c r="W1057" s="1251">
        <v>15</v>
      </c>
      <c r="X1057" s="1250">
        <v>346.66666666666669</v>
      </c>
      <c r="Y1057" s="1250"/>
      <c r="Z1057" s="1250"/>
      <c r="AA1057" s="1250"/>
      <c r="AB1057" s="1250"/>
      <c r="AC1057" s="1250"/>
      <c r="AD1057" s="1250"/>
      <c r="AE1057" s="1249">
        <v>10</v>
      </c>
      <c r="AF1057" s="1250">
        <v>346.66666666666669</v>
      </c>
      <c r="AG1057" s="111"/>
      <c r="AH1057" s="111"/>
      <c r="AI1057" s="111"/>
      <c r="AJ1057" s="111"/>
      <c r="AK1057" s="111"/>
      <c r="AL1057" s="111"/>
      <c r="AM1057" s="111">
        <v>1040</v>
      </c>
    </row>
    <row r="1058" spans="1:39" ht="15" customHeight="1" x14ac:dyDescent="0.25">
      <c r="A1058" s="1409"/>
      <c r="B1058" s="1409"/>
      <c r="C1058" s="1409"/>
      <c r="D1058" s="1409"/>
      <c r="E1058" s="1247"/>
      <c r="F1058" s="1248" t="s">
        <v>4922</v>
      </c>
      <c r="G1058" s="111"/>
      <c r="H1058" s="1249">
        <v>40</v>
      </c>
      <c r="I1058" s="111" t="s">
        <v>4911</v>
      </c>
      <c r="J1058" s="1321" t="s">
        <v>5608</v>
      </c>
      <c r="K1058" s="162" t="s">
        <v>5610</v>
      </c>
      <c r="L1058" s="162" t="s">
        <v>5609</v>
      </c>
      <c r="M1058" s="111">
        <v>26</v>
      </c>
      <c r="N1058" s="111">
        <v>1040</v>
      </c>
      <c r="O1058" s="111"/>
      <c r="P1058" s="111"/>
      <c r="Q1058" s="111"/>
      <c r="R1058" s="111"/>
      <c r="S1058" s="1249">
        <v>15</v>
      </c>
      <c r="T1058" s="1250">
        <v>346.66666666666669</v>
      </c>
      <c r="U1058" s="1250"/>
      <c r="V1058" s="1250"/>
      <c r="W1058" s="1251">
        <v>15</v>
      </c>
      <c r="X1058" s="1250">
        <v>346.66666666666669</v>
      </c>
      <c r="Y1058" s="1250"/>
      <c r="Z1058" s="1250"/>
      <c r="AA1058" s="1250"/>
      <c r="AB1058" s="1250"/>
      <c r="AC1058" s="1250"/>
      <c r="AD1058" s="1250"/>
      <c r="AE1058" s="1249">
        <v>10</v>
      </c>
      <c r="AF1058" s="1250">
        <v>346.66666666666669</v>
      </c>
      <c r="AG1058" s="111"/>
      <c r="AH1058" s="111"/>
      <c r="AI1058" s="111"/>
      <c r="AJ1058" s="111"/>
      <c r="AK1058" s="111"/>
      <c r="AL1058" s="111"/>
      <c r="AM1058" s="111">
        <v>1040</v>
      </c>
    </row>
    <row r="1059" spans="1:39" ht="15" customHeight="1" x14ac:dyDescent="0.25">
      <c r="A1059" s="1409"/>
      <c r="B1059" s="1409"/>
      <c r="C1059" s="1409"/>
      <c r="D1059" s="1409"/>
      <c r="E1059" s="1247"/>
      <c r="F1059" s="1248" t="s">
        <v>4923</v>
      </c>
      <c r="G1059" s="111"/>
      <c r="H1059" s="1249">
        <v>40</v>
      </c>
      <c r="I1059" s="111" t="s">
        <v>4911</v>
      </c>
      <c r="J1059" s="1321" t="s">
        <v>5608</v>
      </c>
      <c r="K1059" s="162" t="s">
        <v>5610</v>
      </c>
      <c r="L1059" s="162" t="s">
        <v>5609</v>
      </c>
      <c r="M1059" s="111">
        <v>26</v>
      </c>
      <c r="N1059" s="111">
        <v>1040</v>
      </c>
      <c r="O1059" s="111"/>
      <c r="P1059" s="111"/>
      <c r="Q1059" s="111"/>
      <c r="R1059" s="111"/>
      <c r="S1059" s="1249">
        <v>15</v>
      </c>
      <c r="T1059" s="1250">
        <v>346.66666666666669</v>
      </c>
      <c r="U1059" s="1250"/>
      <c r="V1059" s="1250"/>
      <c r="W1059" s="1251">
        <v>15</v>
      </c>
      <c r="X1059" s="1250">
        <v>346.66666666666669</v>
      </c>
      <c r="Y1059" s="1250"/>
      <c r="Z1059" s="1250"/>
      <c r="AA1059" s="1250"/>
      <c r="AB1059" s="1250"/>
      <c r="AC1059" s="1250"/>
      <c r="AD1059" s="1250"/>
      <c r="AE1059" s="1249">
        <v>10</v>
      </c>
      <c r="AF1059" s="1250">
        <v>346.66666666666669</v>
      </c>
      <c r="AG1059" s="111"/>
      <c r="AH1059" s="111"/>
      <c r="AI1059" s="111"/>
      <c r="AJ1059" s="111"/>
      <c r="AK1059" s="111"/>
      <c r="AL1059" s="111"/>
      <c r="AM1059" s="111">
        <v>1040</v>
      </c>
    </row>
    <row r="1060" spans="1:39" ht="15" customHeight="1" x14ac:dyDescent="0.25">
      <c r="A1060" s="1409"/>
      <c r="B1060" s="1409"/>
      <c r="C1060" s="1409"/>
      <c r="D1060" s="1409"/>
      <c r="E1060" s="1247"/>
      <c r="F1060" s="1248" t="s">
        <v>4924</v>
      </c>
      <c r="G1060" s="111"/>
      <c r="H1060" s="1249">
        <v>40</v>
      </c>
      <c r="I1060" s="111" t="s">
        <v>4911</v>
      </c>
      <c r="J1060" s="1321" t="s">
        <v>5608</v>
      </c>
      <c r="K1060" s="162" t="s">
        <v>5610</v>
      </c>
      <c r="L1060" s="162" t="s">
        <v>5609</v>
      </c>
      <c r="M1060" s="111">
        <v>26</v>
      </c>
      <c r="N1060" s="111">
        <v>1040</v>
      </c>
      <c r="O1060" s="111"/>
      <c r="P1060" s="111"/>
      <c r="Q1060" s="111"/>
      <c r="R1060" s="111"/>
      <c r="S1060" s="1249">
        <v>15</v>
      </c>
      <c r="T1060" s="1250">
        <v>346.66666666666669</v>
      </c>
      <c r="U1060" s="1250"/>
      <c r="V1060" s="1250"/>
      <c r="W1060" s="1251">
        <v>15</v>
      </c>
      <c r="X1060" s="1250">
        <v>346.66666666666669</v>
      </c>
      <c r="Y1060" s="1250"/>
      <c r="Z1060" s="1250"/>
      <c r="AA1060" s="1250"/>
      <c r="AB1060" s="1250"/>
      <c r="AC1060" s="1250"/>
      <c r="AD1060" s="1250"/>
      <c r="AE1060" s="1249">
        <v>10</v>
      </c>
      <c r="AF1060" s="1250">
        <v>346.66666666666669</v>
      </c>
      <c r="AG1060" s="111"/>
      <c r="AH1060" s="111"/>
      <c r="AI1060" s="111"/>
      <c r="AJ1060" s="111"/>
      <c r="AK1060" s="111"/>
      <c r="AL1060" s="111"/>
      <c r="AM1060" s="111">
        <v>1040</v>
      </c>
    </row>
    <row r="1061" spans="1:39" ht="15" customHeight="1" x14ac:dyDescent="0.25">
      <c r="A1061" s="1409"/>
      <c r="B1061" s="1409"/>
      <c r="C1061" s="1409"/>
      <c r="D1061" s="1409"/>
      <c r="E1061" s="1247"/>
      <c r="F1061" s="1248" t="s">
        <v>4925</v>
      </c>
      <c r="G1061" s="111"/>
      <c r="H1061" s="1249">
        <v>40</v>
      </c>
      <c r="I1061" s="111" t="s">
        <v>4911</v>
      </c>
      <c r="J1061" s="1321" t="s">
        <v>5608</v>
      </c>
      <c r="K1061" s="162" t="s">
        <v>5610</v>
      </c>
      <c r="L1061" s="162" t="s">
        <v>5609</v>
      </c>
      <c r="M1061" s="111">
        <v>26</v>
      </c>
      <c r="N1061" s="111">
        <v>1040</v>
      </c>
      <c r="O1061" s="111"/>
      <c r="P1061" s="111"/>
      <c r="Q1061" s="111"/>
      <c r="R1061" s="111"/>
      <c r="S1061" s="1249">
        <v>15</v>
      </c>
      <c r="T1061" s="1250">
        <v>346.66666666666669</v>
      </c>
      <c r="U1061" s="1250"/>
      <c r="V1061" s="1250"/>
      <c r="W1061" s="1251">
        <v>15</v>
      </c>
      <c r="X1061" s="1250">
        <v>346.66666666666669</v>
      </c>
      <c r="Y1061" s="1250"/>
      <c r="Z1061" s="1250"/>
      <c r="AA1061" s="1250"/>
      <c r="AB1061" s="1250"/>
      <c r="AC1061" s="1250"/>
      <c r="AD1061" s="1250"/>
      <c r="AE1061" s="1249">
        <v>10</v>
      </c>
      <c r="AF1061" s="1250">
        <v>346.66666666666669</v>
      </c>
      <c r="AG1061" s="111"/>
      <c r="AH1061" s="111"/>
      <c r="AI1061" s="111"/>
      <c r="AJ1061" s="111"/>
      <c r="AK1061" s="111"/>
      <c r="AL1061" s="111"/>
      <c r="AM1061" s="111">
        <v>1040</v>
      </c>
    </row>
    <row r="1062" spans="1:39" ht="15" customHeight="1" x14ac:dyDescent="0.25">
      <c r="A1062" s="1409"/>
      <c r="B1062" s="1409"/>
      <c r="C1062" s="1409"/>
      <c r="D1062" s="1409"/>
      <c r="E1062" s="1247"/>
      <c r="F1062" s="1248" t="s">
        <v>4925</v>
      </c>
      <c r="G1062" s="111"/>
      <c r="H1062" s="1249">
        <v>40</v>
      </c>
      <c r="I1062" s="111" t="s">
        <v>4911</v>
      </c>
      <c r="J1062" s="1321" t="s">
        <v>5608</v>
      </c>
      <c r="K1062" s="162" t="s">
        <v>5610</v>
      </c>
      <c r="L1062" s="162" t="s">
        <v>5609</v>
      </c>
      <c r="M1062" s="111">
        <v>26</v>
      </c>
      <c r="N1062" s="111">
        <v>1040</v>
      </c>
      <c r="O1062" s="111"/>
      <c r="P1062" s="111"/>
      <c r="Q1062" s="111"/>
      <c r="R1062" s="111"/>
      <c r="S1062" s="1249">
        <v>15</v>
      </c>
      <c r="T1062" s="1250">
        <v>346.66666666666669</v>
      </c>
      <c r="U1062" s="1250"/>
      <c r="V1062" s="1250"/>
      <c r="W1062" s="1251">
        <v>15</v>
      </c>
      <c r="X1062" s="1250">
        <v>346.66666666666669</v>
      </c>
      <c r="Y1062" s="1250"/>
      <c r="Z1062" s="1250"/>
      <c r="AA1062" s="1250"/>
      <c r="AB1062" s="1250"/>
      <c r="AC1062" s="1250"/>
      <c r="AD1062" s="1250"/>
      <c r="AE1062" s="1249">
        <v>10</v>
      </c>
      <c r="AF1062" s="1250">
        <v>346.66666666666669</v>
      </c>
      <c r="AG1062" s="111"/>
      <c r="AH1062" s="111"/>
      <c r="AI1062" s="111"/>
      <c r="AJ1062" s="111"/>
      <c r="AK1062" s="111"/>
      <c r="AL1062" s="111"/>
      <c r="AM1062" s="111">
        <v>1040</v>
      </c>
    </row>
    <row r="1063" spans="1:39" ht="15" customHeight="1" x14ac:dyDescent="0.25">
      <c r="A1063" s="1409"/>
      <c r="B1063" s="1409"/>
      <c r="C1063" s="1409"/>
      <c r="D1063" s="1409"/>
      <c r="E1063" s="1247"/>
      <c r="F1063" s="1248" t="s">
        <v>4925</v>
      </c>
      <c r="G1063" s="111"/>
      <c r="H1063" s="1249">
        <v>40</v>
      </c>
      <c r="I1063" s="111" t="s">
        <v>4911</v>
      </c>
      <c r="J1063" s="1321" t="s">
        <v>5608</v>
      </c>
      <c r="K1063" s="162" t="s">
        <v>5610</v>
      </c>
      <c r="L1063" s="162" t="s">
        <v>5609</v>
      </c>
      <c r="M1063" s="111">
        <v>26</v>
      </c>
      <c r="N1063" s="111">
        <v>1040</v>
      </c>
      <c r="O1063" s="111"/>
      <c r="P1063" s="111"/>
      <c r="Q1063" s="111"/>
      <c r="R1063" s="111"/>
      <c r="S1063" s="1249">
        <v>15</v>
      </c>
      <c r="T1063" s="1250">
        <v>346.66666666666669</v>
      </c>
      <c r="U1063" s="1250"/>
      <c r="V1063" s="1250"/>
      <c r="W1063" s="1251">
        <v>15</v>
      </c>
      <c r="X1063" s="1250">
        <v>346.66666666666669</v>
      </c>
      <c r="Y1063" s="1250"/>
      <c r="Z1063" s="1250"/>
      <c r="AA1063" s="1250"/>
      <c r="AB1063" s="1250"/>
      <c r="AC1063" s="1250"/>
      <c r="AD1063" s="1250"/>
      <c r="AE1063" s="1249">
        <v>10</v>
      </c>
      <c r="AF1063" s="1250">
        <v>346.66666666666669</v>
      </c>
      <c r="AG1063" s="111"/>
      <c r="AH1063" s="111"/>
      <c r="AI1063" s="111"/>
      <c r="AJ1063" s="111"/>
      <c r="AK1063" s="111"/>
      <c r="AL1063" s="111"/>
      <c r="AM1063" s="111">
        <v>1040</v>
      </c>
    </row>
    <row r="1064" spans="1:39" ht="15" customHeight="1" x14ac:dyDescent="0.25">
      <c r="A1064" s="1409"/>
      <c r="B1064" s="1409"/>
      <c r="C1064" s="1409"/>
      <c r="D1064" s="1409"/>
      <c r="E1064" s="1247"/>
      <c r="F1064" s="1248" t="s">
        <v>4926</v>
      </c>
      <c r="G1064" s="111"/>
      <c r="H1064" s="1249">
        <v>40</v>
      </c>
      <c r="I1064" s="111" t="s">
        <v>4911</v>
      </c>
      <c r="J1064" s="1321" t="s">
        <v>5608</v>
      </c>
      <c r="K1064" s="162" t="s">
        <v>5610</v>
      </c>
      <c r="L1064" s="162" t="s">
        <v>5609</v>
      </c>
      <c r="M1064" s="111">
        <v>19.5</v>
      </c>
      <c r="N1064" s="111">
        <v>780</v>
      </c>
      <c r="O1064" s="111"/>
      <c r="P1064" s="111"/>
      <c r="Q1064" s="111"/>
      <c r="R1064" s="111"/>
      <c r="S1064" s="1249">
        <v>15</v>
      </c>
      <c r="T1064" s="1250">
        <v>260</v>
      </c>
      <c r="U1064" s="1250"/>
      <c r="V1064" s="1250"/>
      <c r="W1064" s="1251">
        <v>15</v>
      </c>
      <c r="X1064" s="1250">
        <v>260</v>
      </c>
      <c r="Y1064" s="1250"/>
      <c r="Z1064" s="1250"/>
      <c r="AA1064" s="1250"/>
      <c r="AB1064" s="1250"/>
      <c r="AC1064" s="1250"/>
      <c r="AD1064" s="1250"/>
      <c r="AE1064" s="1249">
        <v>10</v>
      </c>
      <c r="AF1064" s="1250">
        <v>260</v>
      </c>
      <c r="AG1064" s="111"/>
      <c r="AH1064" s="111"/>
      <c r="AI1064" s="111"/>
      <c r="AJ1064" s="111"/>
      <c r="AK1064" s="111"/>
      <c r="AL1064" s="111"/>
      <c r="AM1064" s="111">
        <v>780</v>
      </c>
    </row>
    <row r="1065" spans="1:39" ht="15" customHeight="1" x14ac:dyDescent="0.25">
      <c r="A1065" s="1409"/>
      <c r="B1065" s="1409"/>
      <c r="C1065" s="1409"/>
      <c r="D1065" s="1409"/>
      <c r="E1065" s="1247"/>
      <c r="F1065" s="1248" t="s">
        <v>4927</v>
      </c>
      <c r="G1065" s="111"/>
      <c r="H1065" s="1249">
        <v>40</v>
      </c>
      <c r="I1065" s="111" t="s">
        <v>4911</v>
      </c>
      <c r="J1065" s="1321" t="s">
        <v>5608</v>
      </c>
      <c r="K1065" s="162" t="s">
        <v>5610</v>
      </c>
      <c r="L1065" s="162" t="s">
        <v>5609</v>
      </c>
      <c r="M1065" s="111">
        <v>19.5</v>
      </c>
      <c r="N1065" s="111">
        <v>780</v>
      </c>
      <c r="O1065" s="111"/>
      <c r="P1065" s="111"/>
      <c r="Q1065" s="111"/>
      <c r="R1065" s="111"/>
      <c r="S1065" s="1249">
        <v>15</v>
      </c>
      <c r="T1065" s="1250">
        <v>260</v>
      </c>
      <c r="U1065" s="1250"/>
      <c r="V1065" s="1250"/>
      <c r="W1065" s="1251">
        <v>15</v>
      </c>
      <c r="X1065" s="1250">
        <v>260</v>
      </c>
      <c r="Y1065" s="1250"/>
      <c r="Z1065" s="1250"/>
      <c r="AA1065" s="1250"/>
      <c r="AB1065" s="1250"/>
      <c r="AC1065" s="1250"/>
      <c r="AD1065" s="1250"/>
      <c r="AE1065" s="1249">
        <v>10</v>
      </c>
      <c r="AF1065" s="1250">
        <v>260</v>
      </c>
      <c r="AG1065" s="111"/>
      <c r="AH1065" s="111"/>
      <c r="AI1065" s="111"/>
      <c r="AJ1065" s="111"/>
      <c r="AK1065" s="111"/>
      <c r="AL1065" s="111"/>
      <c r="AM1065" s="111">
        <v>780</v>
      </c>
    </row>
    <row r="1066" spans="1:39" ht="15" customHeight="1" x14ac:dyDescent="0.25">
      <c r="A1066" s="1409"/>
      <c r="B1066" s="1409"/>
      <c r="C1066" s="1409"/>
      <c r="D1066" s="1409"/>
      <c r="E1066" s="1247"/>
      <c r="F1066" s="1248" t="s">
        <v>4928</v>
      </c>
      <c r="G1066" s="111"/>
      <c r="H1066" s="1249">
        <v>200</v>
      </c>
      <c r="I1066" s="111" t="s">
        <v>1827</v>
      </c>
      <c r="J1066" s="1321" t="s">
        <v>5608</v>
      </c>
      <c r="K1066" s="162" t="s">
        <v>5610</v>
      </c>
      <c r="L1066" s="162" t="s">
        <v>5609</v>
      </c>
      <c r="M1066" s="111">
        <v>434.52</v>
      </c>
      <c r="N1066" s="111">
        <v>86904</v>
      </c>
      <c r="O1066" s="111"/>
      <c r="P1066" s="111"/>
      <c r="Q1066" s="111"/>
      <c r="R1066" s="111"/>
      <c r="S1066" s="1249">
        <v>100</v>
      </c>
      <c r="T1066" s="1250">
        <v>28968</v>
      </c>
      <c r="U1066" s="1250"/>
      <c r="V1066" s="1250"/>
      <c r="W1066" s="1251">
        <v>50</v>
      </c>
      <c r="X1066" s="1250">
        <v>28968</v>
      </c>
      <c r="Y1066" s="1250"/>
      <c r="Z1066" s="1250"/>
      <c r="AA1066" s="1250"/>
      <c r="AB1066" s="1250"/>
      <c r="AC1066" s="1250"/>
      <c r="AD1066" s="1250"/>
      <c r="AE1066" s="1249">
        <v>50</v>
      </c>
      <c r="AF1066" s="1250">
        <v>28968</v>
      </c>
      <c r="AG1066" s="111"/>
      <c r="AH1066" s="111"/>
      <c r="AI1066" s="111"/>
      <c r="AJ1066" s="111"/>
      <c r="AK1066" s="111"/>
      <c r="AL1066" s="111"/>
      <c r="AM1066" s="111">
        <v>86904</v>
      </c>
    </row>
    <row r="1067" spans="1:39" ht="15" customHeight="1" x14ac:dyDescent="0.25">
      <c r="A1067" s="1409"/>
      <c r="B1067" s="1409"/>
      <c r="C1067" s="1409"/>
      <c r="D1067" s="1409"/>
      <c r="E1067" s="1247"/>
      <c r="F1067" s="1248" t="s">
        <v>4929</v>
      </c>
      <c r="G1067" s="111"/>
      <c r="H1067" s="1249">
        <v>40</v>
      </c>
      <c r="I1067" s="111" t="s">
        <v>4911</v>
      </c>
      <c r="J1067" s="1321" t="s">
        <v>5608</v>
      </c>
      <c r="K1067" s="162" t="s">
        <v>5610</v>
      </c>
      <c r="L1067" s="162" t="s">
        <v>5609</v>
      </c>
      <c r="M1067" s="111">
        <v>19.5</v>
      </c>
      <c r="N1067" s="111">
        <v>780</v>
      </c>
      <c r="O1067" s="111"/>
      <c r="P1067" s="111"/>
      <c r="Q1067" s="111"/>
      <c r="R1067" s="111"/>
      <c r="S1067" s="1249">
        <v>15</v>
      </c>
      <c r="T1067" s="1250">
        <v>260</v>
      </c>
      <c r="U1067" s="1250"/>
      <c r="V1067" s="1250"/>
      <c r="W1067" s="1251">
        <v>15</v>
      </c>
      <c r="X1067" s="1250">
        <v>260</v>
      </c>
      <c r="Y1067" s="1250"/>
      <c r="Z1067" s="1250"/>
      <c r="AA1067" s="1250"/>
      <c r="AB1067" s="1250"/>
      <c r="AC1067" s="1250"/>
      <c r="AD1067" s="1250"/>
      <c r="AE1067" s="1249">
        <v>10</v>
      </c>
      <c r="AF1067" s="1250">
        <v>260</v>
      </c>
      <c r="AG1067" s="111"/>
      <c r="AH1067" s="111"/>
      <c r="AI1067" s="111"/>
      <c r="AJ1067" s="111"/>
      <c r="AK1067" s="111"/>
      <c r="AL1067" s="111"/>
      <c r="AM1067" s="111">
        <v>780</v>
      </c>
    </row>
    <row r="1068" spans="1:39" ht="15" customHeight="1" x14ac:dyDescent="0.25">
      <c r="A1068" s="1409"/>
      <c r="B1068" s="1409"/>
      <c r="C1068" s="1409"/>
      <c r="D1068" s="1409"/>
      <c r="E1068" s="1247"/>
      <c r="F1068" s="1248" t="s">
        <v>4930</v>
      </c>
      <c r="G1068" s="111"/>
      <c r="H1068" s="1249">
        <v>30</v>
      </c>
      <c r="I1068" s="111" t="s">
        <v>4911</v>
      </c>
      <c r="J1068" s="1321" t="s">
        <v>5608</v>
      </c>
      <c r="K1068" s="162" t="s">
        <v>5610</v>
      </c>
      <c r="L1068" s="162" t="s">
        <v>5609</v>
      </c>
      <c r="M1068" s="111">
        <v>26</v>
      </c>
      <c r="N1068" s="111">
        <v>780</v>
      </c>
      <c r="O1068" s="111"/>
      <c r="P1068" s="111"/>
      <c r="Q1068" s="111"/>
      <c r="R1068" s="111"/>
      <c r="S1068" s="1249">
        <v>10</v>
      </c>
      <c r="T1068" s="1250">
        <v>260</v>
      </c>
      <c r="U1068" s="1250"/>
      <c r="V1068" s="1250"/>
      <c r="W1068" s="1251">
        <v>10</v>
      </c>
      <c r="X1068" s="1250">
        <v>260</v>
      </c>
      <c r="Y1068" s="1250"/>
      <c r="Z1068" s="1250"/>
      <c r="AA1068" s="1250"/>
      <c r="AB1068" s="1250"/>
      <c r="AC1068" s="1250"/>
      <c r="AD1068" s="1250"/>
      <c r="AE1068" s="1249">
        <v>10</v>
      </c>
      <c r="AF1068" s="1250">
        <v>260</v>
      </c>
      <c r="AG1068" s="111"/>
      <c r="AH1068" s="111"/>
      <c r="AI1068" s="111"/>
      <c r="AJ1068" s="111"/>
      <c r="AK1068" s="111"/>
      <c r="AL1068" s="111"/>
      <c r="AM1068" s="111">
        <v>780</v>
      </c>
    </row>
    <row r="1069" spans="1:39" ht="15" customHeight="1" x14ac:dyDescent="0.25">
      <c r="A1069" s="1409"/>
      <c r="B1069" s="1409"/>
      <c r="C1069" s="1409"/>
      <c r="D1069" s="1409"/>
      <c r="E1069" s="1247"/>
      <c r="F1069" s="1248" t="s">
        <v>4931</v>
      </c>
      <c r="G1069" s="111"/>
      <c r="H1069" s="1249">
        <v>30</v>
      </c>
      <c r="I1069" s="111" t="s">
        <v>4911</v>
      </c>
      <c r="J1069" s="1321" t="s">
        <v>5608</v>
      </c>
      <c r="K1069" s="162" t="s">
        <v>5610</v>
      </c>
      <c r="L1069" s="162" t="s">
        <v>5609</v>
      </c>
      <c r="M1069" s="111">
        <v>26</v>
      </c>
      <c r="N1069" s="111">
        <v>780</v>
      </c>
      <c r="O1069" s="111"/>
      <c r="P1069" s="111"/>
      <c r="Q1069" s="111"/>
      <c r="R1069" s="111"/>
      <c r="S1069" s="1249">
        <v>10</v>
      </c>
      <c r="T1069" s="1250">
        <v>260</v>
      </c>
      <c r="U1069" s="1250"/>
      <c r="V1069" s="1250"/>
      <c r="W1069" s="1251">
        <v>10</v>
      </c>
      <c r="X1069" s="1250">
        <v>260</v>
      </c>
      <c r="Y1069" s="1250"/>
      <c r="Z1069" s="1250"/>
      <c r="AA1069" s="1250"/>
      <c r="AB1069" s="1250"/>
      <c r="AC1069" s="1250"/>
      <c r="AD1069" s="1250"/>
      <c r="AE1069" s="1249">
        <v>10</v>
      </c>
      <c r="AF1069" s="1250">
        <v>260</v>
      </c>
      <c r="AG1069" s="111"/>
      <c r="AH1069" s="111"/>
      <c r="AI1069" s="111"/>
      <c r="AJ1069" s="111"/>
      <c r="AK1069" s="111"/>
      <c r="AL1069" s="111"/>
      <c r="AM1069" s="111">
        <v>780</v>
      </c>
    </row>
    <row r="1070" spans="1:39" ht="15" customHeight="1" x14ac:dyDescent="0.25">
      <c r="A1070" s="1409"/>
      <c r="B1070" s="1409"/>
      <c r="C1070" s="1409"/>
      <c r="D1070" s="1409"/>
      <c r="E1070" s="1247"/>
      <c r="F1070" s="1248" t="s">
        <v>4932</v>
      </c>
      <c r="G1070" s="111"/>
      <c r="H1070" s="1249">
        <v>30</v>
      </c>
      <c r="I1070" s="111" t="s">
        <v>4911</v>
      </c>
      <c r="J1070" s="1321" t="s">
        <v>5608</v>
      </c>
      <c r="K1070" s="162" t="s">
        <v>5610</v>
      </c>
      <c r="L1070" s="162" t="s">
        <v>5609</v>
      </c>
      <c r="M1070" s="111">
        <v>26</v>
      </c>
      <c r="N1070" s="111">
        <v>780</v>
      </c>
      <c r="O1070" s="111"/>
      <c r="P1070" s="111"/>
      <c r="Q1070" s="111"/>
      <c r="R1070" s="111"/>
      <c r="S1070" s="1249">
        <v>10</v>
      </c>
      <c r="T1070" s="1250">
        <v>260</v>
      </c>
      <c r="U1070" s="1250"/>
      <c r="V1070" s="1250"/>
      <c r="W1070" s="1251">
        <v>10</v>
      </c>
      <c r="X1070" s="1250">
        <v>260</v>
      </c>
      <c r="Y1070" s="1250"/>
      <c r="Z1070" s="1250"/>
      <c r="AA1070" s="1250"/>
      <c r="AB1070" s="1250"/>
      <c r="AC1070" s="1250"/>
      <c r="AD1070" s="1250"/>
      <c r="AE1070" s="1249">
        <v>10</v>
      </c>
      <c r="AF1070" s="1250">
        <v>260</v>
      </c>
      <c r="AG1070" s="111"/>
      <c r="AH1070" s="111"/>
      <c r="AI1070" s="111"/>
      <c r="AJ1070" s="111"/>
      <c r="AK1070" s="111"/>
      <c r="AL1070" s="111"/>
      <c r="AM1070" s="111">
        <v>780</v>
      </c>
    </row>
    <row r="1071" spans="1:39" ht="15" customHeight="1" x14ac:dyDescent="0.25">
      <c r="A1071" s="1409"/>
      <c r="B1071" s="1409"/>
      <c r="C1071" s="1409"/>
      <c r="D1071" s="1409"/>
      <c r="E1071" s="1247"/>
      <c r="F1071" s="1248" t="s">
        <v>4933</v>
      </c>
      <c r="G1071" s="111"/>
      <c r="H1071" s="1249">
        <v>30</v>
      </c>
      <c r="I1071" s="111" t="s">
        <v>4911</v>
      </c>
      <c r="J1071" s="1321" t="s">
        <v>5608</v>
      </c>
      <c r="K1071" s="162" t="s">
        <v>5610</v>
      </c>
      <c r="L1071" s="162" t="s">
        <v>5609</v>
      </c>
      <c r="M1071" s="111">
        <v>26</v>
      </c>
      <c r="N1071" s="111">
        <v>780</v>
      </c>
      <c r="O1071" s="111"/>
      <c r="P1071" s="111"/>
      <c r="Q1071" s="111"/>
      <c r="R1071" s="111"/>
      <c r="S1071" s="1249">
        <v>10</v>
      </c>
      <c r="T1071" s="1250">
        <v>260</v>
      </c>
      <c r="U1071" s="1250"/>
      <c r="V1071" s="1250"/>
      <c r="W1071" s="1251">
        <v>10</v>
      </c>
      <c r="X1071" s="1250">
        <v>260</v>
      </c>
      <c r="Y1071" s="1250"/>
      <c r="Z1071" s="1250"/>
      <c r="AA1071" s="1250"/>
      <c r="AB1071" s="1250"/>
      <c r="AC1071" s="1250"/>
      <c r="AD1071" s="1250"/>
      <c r="AE1071" s="1249">
        <v>10</v>
      </c>
      <c r="AF1071" s="1250">
        <v>260</v>
      </c>
      <c r="AG1071" s="111"/>
      <c r="AH1071" s="111"/>
      <c r="AI1071" s="111"/>
      <c r="AJ1071" s="111"/>
      <c r="AK1071" s="111"/>
      <c r="AL1071" s="111"/>
      <c r="AM1071" s="111">
        <v>780</v>
      </c>
    </row>
    <row r="1072" spans="1:39" ht="15" customHeight="1" x14ac:dyDescent="0.25">
      <c r="A1072" s="1409"/>
      <c r="B1072" s="1409"/>
      <c r="C1072" s="1409"/>
      <c r="D1072" s="1409"/>
      <c r="E1072" s="1247"/>
      <c r="F1072" s="1248" t="s">
        <v>4934</v>
      </c>
      <c r="G1072" s="111"/>
      <c r="H1072" s="1249">
        <v>30</v>
      </c>
      <c r="I1072" s="111" t="s">
        <v>4911</v>
      </c>
      <c r="J1072" s="1321" t="s">
        <v>5608</v>
      </c>
      <c r="K1072" s="162" t="s">
        <v>5610</v>
      </c>
      <c r="L1072" s="162" t="s">
        <v>5609</v>
      </c>
      <c r="M1072" s="111">
        <v>26</v>
      </c>
      <c r="N1072" s="111">
        <v>780</v>
      </c>
      <c r="O1072" s="111"/>
      <c r="P1072" s="111"/>
      <c r="Q1072" s="111"/>
      <c r="R1072" s="111"/>
      <c r="S1072" s="1249">
        <v>10</v>
      </c>
      <c r="T1072" s="1250">
        <v>260</v>
      </c>
      <c r="U1072" s="1250"/>
      <c r="V1072" s="1250"/>
      <c r="W1072" s="1251">
        <v>10</v>
      </c>
      <c r="X1072" s="1250">
        <v>260</v>
      </c>
      <c r="Y1072" s="1250"/>
      <c r="Z1072" s="1250"/>
      <c r="AA1072" s="1250"/>
      <c r="AB1072" s="1250"/>
      <c r="AC1072" s="1250"/>
      <c r="AD1072" s="1250"/>
      <c r="AE1072" s="1249">
        <v>10</v>
      </c>
      <c r="AF1072" s="1250">
        <v>260</v>
      </c>
      <c r="AG1072" s="111"/>
      <c r="AH1072" s="111"/>
      <c r="AI1072" s="111"/>
      <c r="AJ1072" s="111"/>
      <c r="AK1072" s="111"/>
      <c r="AL1072" s="111"/>
      <c r="AM1072" s="111">
        <v>780</v>
      </c>
    </row>
    <row r="1073" spans="1:39" ht="15" customHeight="1" x14ac:dyDescent="0.25">
      <c r="A1073" s="1409"/>
      <c r="B1073" s="1409"/>
      <c r="C1073" s="1409"/>
      <c r="D1073" s="1409"/>
      <c r="E1073" s="1247"/>
      <c r="F1073" s="1248" t="s">
        <v>4935</v>
      </c>
      <c r="G1073" s="111"/>
      <c r="H1073" s="1249">
        <v>30</v>
      </c>
      <c r="I1073" s="111" t="s">
        <v>4911</v>
      </c>
      <c r="J1073" s="1321" t="s">
        <v>5608</v>
      </c>
      <c r="K1073" s="162" t="s">
        <v>5610</v>
      </c>
      <c r="L1073" s="162" t="s">
        <v>5609</v>
      </c>
      <c r="M1073" s="111">
        <v>26</v>
      </c>
      <c r="N1073" s="111">
        <v>780</v>
      </c>
      <c r="O1073" s="111"/>
      <c r="P1073" s="111"/>
      <c r="Q1073" s="111"/>
      <c r="R1073" s="111"/>
      <c r="S1073" s="1249">
        <v>10</v>
      </c>
      <c r="T1073" s="1250">
        <v>260</v>
      </c>
      <c r="U1073" s="1250"/>
      <c r="V1073" s="1250"/>
      <c r="W1073" s="1251">
        <v>10</v>
      </c>
      <c r="X1073" s="1250">
        <v>260</v>
      </c>
      <c r="Y1073" s="1250"/>
      <c r="Z1073" s="1250"/>
      <c r="AA1073" s="1250"/>
      <c r="AB1073" s="1250"/>
      <c r="AC1073" s="1250"/>
      <c r="AD1073" s="1250"/>
      <c r="AE1073" s="1249">
        <v>10</v>
      </c>
      <c r="AF1073" s="1250">
        <v>260</v>
      </c>
      <c r="AG1073" s="111"/>
      <c r="AH1073" s="111"/>
      <c r="AI1073" s="111"/>
      <c r="AJ1073" s="111"/>
      <c r="AK1073" s="111"/>
      <c r="AL1073" s="111"/>
      <c r="AM1073" s="111">
        <v>780</v>
      </c>
    </row>
    <row r="1074" spans="1:39" ht="15" customHeight="1" x14ac:dyDescent="0.25">
      <c r="A1074" s="1409"/>
      <c r="B1074" s="1409"/>
      <c r="C1074" s="1409"/>
      <c r="D1074" s="1409"/>
      <c r="E1074" s="1247"/>
      <c r="F1074" s="1248" t="s">
        <v>4936</v>
      </c>
      <c r="G1074" s="111"/>
      <c r="H1074" s="1249">
        <v>30</v>
      </c>
      <c r="I1074" s="111" t="s">
        <v>4911</v>
      </c>
      <c r="J1074" s="1321" t="s">
        <v>5608</v>
      </c>
      <c r="K1074" s="162" t="s">
        <v>5610</v>
      </c>
      <c r="L1074" s="162" t="s">
        <v>5609</v>
      </c>
      <c r="M1074" s="111">
        <v>26</v>
      </c>
      <c r="N1074" s="111">
        <v>780</v>
      </c>
      <c r="O1074" s="111"/>
      <c r="P1074" s="111"/>
      <c r="Q1074" s="111"/>
      <c r="R1074" s="111"/>
      <c r="S1074" s="1249">
        <v>10</v>
      </c>
      <c r="T1074" s="1250">
        <v>260</v>
      </c>
      <c r="U1074" s="1250"/>
      <c r="V1074" s="1250"/>
      <c r="W1074" s="1251">
        <v>10</v>
      </c>
      <c r="X1074" s="1250">
        <v>260</v>
      </c>
      <c r="Y1074" s="1250"/>
      <c r="Z1074" s="1250"/>
      <c r="AA1074" s="1250"/>
      <c r="AB1074" s="1250"/>
      <c r="AC1074" s="1250"/>
      <c r="AD1074" s="1250"/>
      <c r="AE1074" s="1249">
        <v>10</v>
      </c>
      <c r="AF1074" s="1250">
        <v>260</v>
      </c>
      <c r="AG1074" s="111"/>
      <c r="AH1074" s="111"/>
      <c r="AI1074" s="111"/>
      <c r="AJ1074" s="111"/>
      <c r="AK1074" s="111"/>
      <c r="AL1074" s="111"/>
      <c r="AM1074" s="111">
        <v>780</v>
      </c>
    </row>
    <row r="1075" spans="1:39" ht="15" customHeight="1" x14ac:dyDescent="0.25">
      <c r="A1075" s="1409"/>
      <c r="B1075" s="1409"/>
      <c r="C1075" s="1409"/>
      <c r="D1075" s="1409"/>
      <c r="E1075" s="1247"/>
      <c r="F1075" s="1248" t="s">
        <v>4937</v>
      </c>
      <c r="G1075" s="111"/>
      <c r="H1075" s="1249">
        <v>30</v>
      </c>
      <c r="I1075" s="111" t="s">
        <v>4911</v>
      </c>
      <c r="J1075" s="1321" t="s">
        <v>5608</v>
      </c>
      <c r="K1075" s="162" t="s">
        <v>5610</v>
      </c>
      <c r="L1075" s="162" t="s">
        <v>5609</v>
      </c>
      <c r="M1075" s="111">
        <v>26</v>
      </c>
      <c r="N1075" s="111">
        <v>780</v>
      </c>
      <c r="O1075" s="111"/>
      <c r="P1075" s="111"/>
      <c r="Q1075" s="111"/>
      <c r="R1075" s="111"/>
      <c r="S1075" s="1249">
        <v>10</v>
      </c>
      <c r="T1075" s="1250">
        <v>260</v>
      </c>
      <c r="U1075" s="1250"/>
      <c r="V1075" s="1250"/>
      <c r="W1075" s="1251">
        <v>10</v>
      </c>
      <c r="X1075" s="1250">
        <v>260</v>
      </c>
      <c r="Y1075" s="1250"/>
      <c r="Z1075" s="1250"/>
      <c r="AA1075" s="1250"/>
      <c r="AB1075" s="1250"/>
      <c r="AC1075" s="1250"/>
      <c r="AD1075" s="1250"/>
      <c r="AE1075" s="1249">
        <v>10</v>
      </c>
      <c r="AF1075" s="1250">
        <v>260</v>
      </c>
      <c r="AG1075" s="111"/>
      <c r="AH1075" s="111"/>
      <c r="AI1075" s="111"/>
      <c r="AJ1075" s="111"/>
      <c r="AK1075" s="111"/>
      <c r="AL1075" s="111"/>
      <c r="AM1075" s="111">
        <v>780</v>
      </c>
    </row>
    <row r="1076" spans="1:39" ht="15" customHeight="1" x14ac:dyDescent="0.25">
      <c r="A1076" s="1409"/>
      <c r="B1076" s="1409"/>
      <c r="C1076" s="1409"/>
      <c r="D1076" s="1409"/>
      <c r="E1076" s="1247"/>
      <c r="F1076" s="1248" t="s">
        <v>4938</v>
      </c>
      <c r="G1076" s="111"/>
      <c r="H1076" s="1249">
        <v>30</v>
      </c>
      <c r="I1076" s="111" t="s">
        <v>4911</v>
      </c>
      <c r="J1076" s="1321" t="s">
        <v>5608</v>
      </c>
      <c r="K1076" s="162" t="s">
        <v>5610</v>
      </c>
      <c r="L1076" s="162" t="s">
        <v>5609</v>
      </c>
      <c r="M1076" s="111">
        <v>34.666666666666664</v>
      </c>
      <c r="N1076" s="111">
        <v>1040</v>
      </c>
      <c r="O1076" s="111"/>
      <c r="P1076" s="111"/>
      <c r="Q1076" s="111"/>
      <c r="R1076" s="111"/>
      <c r="S1076" s="1249">
        <v>10</v>
      </c>
      <c r="T1076" s="1250">
        <v>346.66666666666669</v>
      </c>
      <c r="U1076" s="1250"/>
      <c r="V1076" s="1250"/>
      <c r="W1076" s="1251">
        <v>10</v>
      </c>
      <c r="X1076" s="1250">
        <v>346.66666666666669</v>
      </c>
      <c r="Y1076" s="1250"/>
      <c r="Z1076" s="1250"/>
      <c r="AA1076" s="1250"/>
      <c r="AB1076" s="1250"/>
      <c r="AC1076" s="1250"/>
      <c r="AD1076" s="1250"/>
      <c r="AE1076" s="1249">
        <v>10</v>
      </c>
      <c r="AF1076" s="1250">
        <v>346.66666666666669</v>
      </c>
      <c r="AG1076" s="111"/>
      <c r="AH1076" s="111"/>
      <c r="AI1076" s="111"/>
      <c r="AJ1076" s="111"/>
      <c r="AK1076" s="111"/>
      <c r="AL1076" s="111"/>
      <c r="AM1076" s="111">
        <v>1040</v>
      </c>
    </row>
    <row r="1077" spans="1:39" ht="15" customHeight="1" x14ac:dyDescent="0.25">
      <c r="A1077" s="1409"/>
      <c r="B1077" s="1409"/>
      <c r="C1077" s="1409"/>
      <c r="D1077" s="1409"/>
      <c r="E1077" s="1247"/>
      <c r="F1077" s="1248" t="s">
        <v>4939</v>
      </c>
      <c r="G1077" s="111"/>
      <c r="H1077" s="1249">
        <v>30</v>
      </c>
      <c r="I1077" s="111" t="s">
        <v>4911</v>
      </c>
      <c r="J1077" s="1321" t="s">
        <v>5608</v>
      </c>
      <c r="K1077" s="162" t="s">
        <v>5610</v>
      </c>
      <c r="L1077" s="162" t="s">
        <v>5609</v>
      </c>
      <c r="M1077" s="111">
        <v>34.666666666666664</v>
      </c>
      <c r="N1077" s="111">
        <v>1040</v>
      </c>
      <c r="O1077" s="111"/>
      <c r="P1077" s="111"/>
      <c r="Q1077" s="111"/>
      <c r="R1077" s="111"/>
      <c r="S1077" s="1249">
        <v>10</v>
      </c>
      <c r="T1077" s="1250">
        <v>346.66666666666669</v>
      </c>
      <c r="U1077" s="1250"/>
      <c r="V1077" s="1250"/>
      <c r="W1077" s="1251">
        <v>10</v>
      </c>
      <c r="X1077" s="1250">
        <v>346.66666666666669</v>
      </c>
      <c r="Y1077" s="1250"/>
      <c r="Z1077" s="1250"/>
      <c r="AA1077" s="1250"/>
      <c r="AB1077" s="1250"/>
      <c r="AC1077" s="1250"/>
      <c r="AD1077" s="1250"/>
      <c r="AE1077" s="1249">
        <v>10</v>
      </c>
      <c r="AF1077" s="1250">
        <v>346.66666666666669</v>
      </c>
      <c r="AG1077" s="111"/>
      <c r="AH1077" s="111"/>
      <c r="AI1077" s="111"/>
      <c r="AJ1077" s="111"/>
      <c r="AK1077" s="111"/>
      <c r="AL1077" s="111"/>
      <c r="AM1077" s="111">
        <v>1040</v>
      </c>
    </row>
    <row r="1078" spans="1:39" ht="15" customHeight="1" x14ac:dyDescent="0.25">
      <c r="A1078" s="1409"/>
      <c r="B1078" s="1409"/>
      <c r="C1078" s="1409"/>
      <c r="D1078" s="1409"/>
      <c r="E1078" s="1247"/>
      <c r="F1078" s="1248" t="s">
        <v>4940</v>
      </c>
      <c r="G1078" s="111"/>
      <c r="H1078" s="1249">
        <v>30</v>
      </c>
      <c r="I1078" s="111" t="s">
        <v>4911</v>
      </c>
      <c r="J1078" s="1321" t="s">
        <v>5608</v>
      </c>
      <c r="K1078" s="162" t="s">
        <v>5610</v>
      </c>
      <c r="L1078" s="162" t="s">
        <v>5609</v>
      </c>
      <c r="M1078" s="111">
        <v>34.666666666666664</v>
      </c>
      <c r="N1078" s="111">
        <v>1040</v>
      </c>
      <c r="O1078" s="111"/>
      <c r="P1078" s="111"/>
      <c r="Q1078" s="111"/>
      <c r="R1078" s="111"/>
      <c r="S1078" s="1249">
        <v>10</v>
      </c>
      <c r="T1078" s="1250">
        <v>346.66666666666669</v>
      </c>
      <c r="U1078" s="1250"/>
      <c r="V1078" s="1250"/>
      <c r="W1078" s="1251">
        <v>10</v>
      </c>
      <c r="X1078" s="1250">
        <v>346.66666666666669</v>
      </c>
      <c r="Y1078" s="1250"/>
      <c r="Z1078" s="1250"/>
      <c r="AA1078" s="1250"/>
      <c r="AB1078" s="1250"/>
      <c r="AC1078" s="1250"/>
      <c r="AD1078" s="1250"/>
      <c r="AE1078" s="1249">
        <v>10</v>
      </c>
      <c r="AF1078" s="1250">
        <v>346.66666666666669</v>
      </c>
      <c r="AG1078" s="111"/>
      <c r="AH1078" s="111"/>
      <c r="AI1078" s="111"/>
      <c r="AJ1078" s="111"/>
      <c r="AK1078" s="111"/>
      <c r="AL1078" s="111"/>
      <c r="AM1078" s="111">
        <v>1040</v>
      </c>
    </row>
    <row r="1079" spans="1:39" ht="15" customHeight="1" x14ac:dyDescent="0.25">
      <c r="A1079" s="1409"/>
      <c r="B1079" s="1409"/>
      <c r="C1079" s="1409"/>
      <c r="D1079" s="1409"/>
      <c r="E1079" s="1247"/>
      <c r="F1079" s="1248" t="s">
        <v>4941</v>
      </c>
      <c r="G1079" s="111"/>
      <c r="H1079" s="1249">
        <v>40</v>
      </c>
      <c r="I1079" s="111" t="s">
        <v>4911</v>
      </c>
      <c r="J1079" s="1321" t="s">
        <v>5608</v>
      </c>
      <c r="K1079" s="162" t="s">
        <v>5610</v>
      </c>
      <c r="L1079" s="162" t="s">
        <v>5609</v>
      </c>
      <c r="M1079" s="111">
        <v>13</v>
      </c>
      <c r="N1079" s="111">
        <v>520</v>
      </c>
      <c r="O1079" s="111"/>
      <c r="P1079" s="111"/>
      <c r="Q1079" s="111"/>
      <c r="R1079" s="111"/>
      <c r="S1079" s="1249">
        <v>15</v>
      </c>
      <c r="T1079" s="1250">
        <v>173.33333333333334</v>
      </c>
      <c r="U1079" s="1250"/>
      <c r="V1079" s="1250"/>
      <c r="W1079" s="1251">
        <v>15</v>
      </c>
      <c r="X1079" s="1250">
        <v>173.33333333333334</v>
      </c>
      <c r="Y1079" s="1250"/>
      <c r="Z1079" s="1250"/>
      <c r="AA1079" s="1250"/>
      <c r="AB1079" s="1250"/>
      <c r="AC1079" s="1250"/>
      <c r="AD1079" s="1250"/>
      <c r="AE1079" s="1249">
        <v>10</v>
      </c>
      <c r="AF1079" s="1250">
        <v>173.33333333333334</v>
      </c>
      <c r="AG1079" s="111"/>
      <c r="AH1079" s="111"/>
      <c r="AI1079" s="111"/>
      <c r="AJ1079" s="111"/>
      <c r="AK1079" s="111"/>
      <c r="AL1079" s="111"/>
      <c r="AM1079" s="111">
        <v>520</v>
      </c>
    </row>
    <row r="1080" spans="1:39" ht="15" customHeight="1" x14ac:dyDescent="0.25">
      <c r="A1080" s="1409"/>
      <c r="B1080" s="1409"/>
      <c r="C1080" s="1409"/>
      <c r="D1080" s="1409"/>
      <c r="E1080" s="1247"/>
      <c r="F1080" s="1248" t="s">
        <v>4942</v>
      </c>
      <c r="G1080" s="111"/>
      <c r="H1080" s="1249">
        <v>40</v>
      </c>
      <c r="I1080" s="111" t="s">
        <v>4911</v>
      </c>
      <c r="J1080" s="1321" t="s">
        <v>5608</v>
      </c>
      <c r="K1080" s="162" t="s">
        <v>5610</v>
      </c>
      <c r="L1080" s="162" t="s">
        <v>5609</v>
      </c>
      <c r="M1080" s="111">
        <v>1192.04</v>
      </c>
      <c r="N1080" s="111">
        <v>47681.599999999999</v>
      </c>
      <c r="O1080" s="111"/>
      <c r="P1080" s="111"/>
      <c r="Q1080" s="111"/>
      <c r="R1080" s="111"/>
      <c r="S1080" s="1249">
        <v>15</v>
      </c>
      <c r="T1080" s="1250">
        <v>15893.866666666667</v>
      </c>
      <c r="U1080" s="1250"/>
      <c r="V1080" s="1250"/>
      <c r="W1080" s="1251">
        <v>15</v>
      </c>
      <c r="X1080" s="1250">
        <v>15893.866666666667</v>
      </c>
      <c r="Y1080" s="1250"/>
      <c r="Z1080" s="1250"/>
      <c r="AA1080" s="1250"/>
      <c r="AB1080" s="1250"/>
      <c r="AC1080" s="1250"/>
      <c r="AD1080" s="1250"/>
      <c r="AE1080" s="1249">
        <v>10</v>
      </c>
      <c r="AF1080" s="1250">
        <v>15893.866666666667</v>
      </c>
      <c r="AG1080" s="111"/>
      <c r="AH1080" s="111"/>
      <c r="AI1080" s="111"/>
      <c r="AJ1080" s="111"/>
      <c r="AK1080" s="111"/>
      <c r="AL1080" s="111"/>
      <c r="AM1080" s="111">
        <v>47681.599999999999</v>
      </c>
    </row>
    <row r="1081" spans="1:39" ht="15" customHeight="1" x14ac:dyDescent="0.25">
      <c r="A1081" s="1409"/>
      <c r="B1081" s="1409"/>
      <c r="C1081" s="1409"/>
      <c r="D1081" s="1409"/>
      <c r="E1081" s="1247"/>
      <c r="F1081" s="1248" t="s">
        <v>4943</v>
      </c>
      <c r="G1081" s="111"/>
      <c r="H1081" s="1249">
        <v>200</v>
      </c>
      <c r="I1081" s="111" t="s">
        <v>1827</v>
      </c>
      <c r="J1081" s="1321" t="s">
        <v>5608</v>
      </c>
      <c r="K1081" s="162" t="s">
        <v>5610</v>
      </c>
      <c r="L1081" s="162" t="s">
        <v>5609</v>
      </c>
      <c r="M1081" s="111">
        <v>434.52</v>
      </c>
      <c r="N1081" s="111">
        <v>86904</v>
      </c>
      <c r="O1081" s="111"/>
      <c r="P1081" s="111"/>
      <c r="Q1081" s="111"/>
      <c r="R1081" s="111"/>
      <c r="S1081" s="1249">
        <v>100</v>
      </c>
      <c r="T1081" s="1250">
        <v>28968</v>
      </c>
      <c r="U1081" s="1250"/>
      <c r="V1081" s="1250"/>
      <c r="W1081" s="1251">
        <v>50</v>
      </c>
      <c r="X1081" s="1250">
        <v>28968</v>
      </c>
      <c r="Y1081" s="1250"/>
      <c r="Z1081" s="1250"/>
      <c r="AA1081" s="1250"/>
      <c r="AB1081" s="1250"/>
      <c r="AC1081" s="1250"/>
      <c r="AD1081" s="1250"/>
      <c r="AE1081" s="1249">
        <v>50</v>
      </c>
      <c r="AF1081" s="1250">
        <v>28968</v>
      </c>
      <c r="AG1081" s="111"/>
      <c r="AH1081" s="111"/>
      <c r="AI1081" s="111"/>
      <c r="AJ1081" s="111"/>
      <c r="AK1081" s="111"/>
      <c r="AL1081" s="111"/>
      <c r="AM1081" s="111">
        <v>86904</v>
      </c>
    </row>
    <row r="1082" spans="1:39" ht="15" customHeight="1" x14ac:dyDescent="0.25">
      <c r="A1082" s="1409"/>
      <c r="B1082" s="1409"/>
      <c r="C1082" s="1409"/>
      <c r="D1082" s="1409"/>
      <c r="E1082" s="1247"/>
      <c r="F1082" s="1248" t="s">
        <v>4944</v>
      </c>
      <c r="G1082" s="111"/>
      <c r="H1082" s="1249">
        <v>200</v>
      </c>
      <c r="I1082" s="111" t="s">
        <v>1827</v>
      </c>
      <c r="J1082" s="1321" t="s">
        <v>5608</v>
      </c>
      <c r="K1082" s="162" t="s">
        <v>5610</v>
      </c>
      <c r="L1082" s="162" t="s">
        <v>5609</v>
      </c>
      <c r="M1082" s="111">
        <v>434.52</v>
      </c>
      <c r="N1082" s="111">
        <v>86904</v>
      </c>
      <c r="O1082" s="111"/>
      <c r="P1082" s="111"/>
      <c r="Q1082" s="111"/>
      <c r="R1082" s="111"/>
      <c r="S1082" s="1249">
        <v>100</v>
      </c>
      <c r="T1082" s="1250">
        <v>28968</v>
      </c>
      <c r="U1082" s="1250"/>
      <c r="V1082" s="1250"/>
      <c r="W1082" s="1251">
        <v>50</v>
      </c>
      <c r="X1082" s="1250">
        <v>28968</v>
      </c>
      <c r="Y1082" s="1250"/>
      <c r="Z1082" s="1250"/>
      <c r="AA1082" s="1250"/>
      <c r="AB1082" s="1250"/>
      <c r="AC1082" s="1250"/>
      <c r="AD1082" s="1250"/>
      <c r="AE1082" s="1249">
        <v>50</v>
      </c>
      <c r="AF1082" s="1250">
        <v>28968</v>
      </c>
      <c r="AG1082" s="111"/>
      <c r="AH1082" s="111"/>
      <c r="AI1082" s="111"/>
      <c r="AJ1082" s="111"/>
      <c r="AK1082" s="111"/>
      <c r="AL1082" s="111"/>
      <c r="AM1082" s="111">
        <v>86904</v>
      </c>
    </row>
    <row r="1083" spans="1:39" ht="15" customHeight="1" x14ac:dyDescent="0.25">
      <c r="A1083" s="1409"/>
      <c r="B1083" s="1409"/>
      <c r="C1083" s="1409"/>
      <c r="D1083" s="1409"/>
      <c r="E1083" s="1247"/>
      <c r="F1083" s="1248" t="s">
        <v>4945</v>
      </c>
      <c r="G1083" s="111"/>
      <c r="H1083" s="1249">
        <v>40</v>
      </c>
      <c r="I1083" s="111" t="s">
        <v>1721</v>
      </c>
      <c r="J1083" s="1321" t="s">
        <v>5608</v>
      </c>
      <c r="K1083" s="162" t="s">
        <v>5610</v>
      </c>
      <c r="L1083" s="162" t="s">
        <v>5609</v>
      </c>
      <c r="M1083" s="111">
        <v>20.75</v>
      </c>
      <c r="N1083" s="111">
        <v>830</v>
      </c>
      <c r="O1083" s="111"/>
      <c r="P1083" s="111"/>
      <c r="Q1083" s="111"/>
      <c r="R1083" s="111"/>
      <c r="S1083" s="1249">
        <v>15</v>
      </c>
      <c r="T1083" s="1250">
        <v>276.66666666666669</v>
      </c>
      <c r="U1083" s="1250"/>
      <c r="V1083" s="1250"/>
      <c r="W1083" s="1251">
        <v>15</v>
      </c>
      <c r="X1083" s="1250">
        <v>276.66666666666669</v>
      </c>
      <c r="Y1083" s="1250"/>
      <c r="Z1083" s="1250"/>
      <c r="AA1083" s="1250"/>
      <c r="AB1083" s="1250"/>
      <c r="AC1083" s="1250"/>
      <c r="AD1083" s="1250"/>
      <c r="AE1083" s="1249">
        <v>10</v>
      </c>
      <c r="AF1083" s="1250">
        <v>276.66666666666669</v>
      </c>
      <c r="AG1083" s="111"/>
      <c r="AH1083" s="111"/>
      <c r="AI1083" s="111"/>
      <c r="AJ1083" s="111"/>
      <c r="AK1083" s="111"/>
      <c r="AL1083" s="111"/>
      <c r="AM1083" s="111">
        <v>830</v>
      </c>
    </row>
    <row r="1084" spans="1:39" ht="15" customHeight="1" x14ac:dyDescent="0.25">
      <c r="A1084" s="1409"/>
      <c r="B1084" s="1409"/>
      <c r="C1084" s="1409"/>
      <c r="D1084" s="1409"/>
      <c r="E1084" s="1247"/>
      <c r="F1084" s="1248" t="s">
        <v>4946</v>
      </c>
      <c r="G1084" s="111"/>
      <c r="H1084" s="1249">
        <v>20</v>
      </c>
      <c r="I1084" s="111" t="s">
        <v>1721</v>
      </c>
      <c r="J1084" s="1321" t="s">
        <v>5608</v>
      </c>
      <c r="K1084" s="162" t="s">
        <v>5610</v>
      </c>
      <c r="L1084" s="162" t="s">
        <v>5609</v>
      </c>
      <c r="M1084" s="111">
        <v>106.43000000000002</v>
      </c>
      <c r="N1084" s="111">
        <v>2128.6000000000004</v>
      </c>
      <c r="O1084" s="111"/>
      <c r="P1084" s="111"/>
      <c r="Q1084" s="111"/>
      <c r="R1084" s="111"/>
      <c r="S1084" s="1249">
        <v>10</v>
      </c>
      <c r="T1084" s="1250">
        <v>709.53333333333342</v>
      </c>
      <c r="U1084" s="1250"/>
      <c r="V1084" s="1250"/>
      <c r="W1084" s="1251">
        <v>5</v>
      </c>
      <c r="X1084" s="1250">
        <v>709.53333333333342</v>
      </c>
      <c r="Y1084" s="1250"/>
      <c r="Z1084" s="1250"/>
      <c r="AA1084" s="1250"/>
      <c r="AB1084" s="1250"/>
      <c r="AC1084" s="1250"/>
      <c r="AD1084" s="1250"/>
      <c r="AE1084" s="1249">
        <v>5</v>
      </c>
      <c r="AF1084" s="1250">
        <v>709.53333333333342</v>
      </c>
      <c r="AG1084" s="111"/>
      <c r="AH1084" s="111"/>
      <c r="AI1084" s="111"/>
      <c r="AJ1084" s="111"/>
      <c r="AK1084" s="111"/>
      <c r="AL1084" s="111"/>
      <c r="AM1084" s="111">
        <v>2128.6000000000004</v>
      </c>
    </row>
    <row r="1085" spans="1:39" ht="15" customHeight="1" x14ac:dyDescent="0.25">
      <c r="A1085" s="1409"/>
      <c r="B1085" s="1409"/>
      <c r="C1085" s="1409"/>
      <c r="D1085" s="1409"/>
      <c r="E1085" s="1247"/>
      <c r="F1085" s="1248" t="s">
        <v>4947</v>
      </c>
      <c r="G1085" s="111"/>
      <c r="H1085" s="1249">
        <v>200</v>
      </c>
      <c r="I1085" s="111" t="s">
        <v>1827</v>
      </c>
      <c r="J1085" s="1321" t="s">
        <v>5608</v>
      </c>
      <c r="K1085" s="162" t="s">
        <v>5610</v>
      </c>
      <c r="L1085" s="162" t="s">
        <v>5609</v>
      </c>
      <c r="M1085" s="111">
        <v>434.52</v>
      </c>
      <c r="N1085" s="111">
        <v>86904</v>
      </c>
      <c r="O1085" s="111"/>
      <c r="P1085" s="111"/>
      <c r="Q1085" s="111"/>
      <c r="R1085" s="111"/>
      <c r="S1085" s="1249">
        <v>100</v>
      </c>
      <c r="T1085" s="1250">
        <v>28968</v>
      </c>
      <c r="U1085" s="1250"/>
      <c r="V1085" s="1250"/>
      <c r="W1085" s="1251">
        <v>50</v>
      </c>
      <c r="X1085" s="1250">
        <v>28968</v>
      </c>
      <c r="Y1085" s="1250"/>
      <c r="Z1085" s="1250"/>
      <c r="AA1085" s="1250"/>
      <c r="AB1085" s="1250"/>
      <c r="AC1085" s="1250"/>
      <c r="AD1085" s="1250"/>
      <c r="AE1085" s="1249">
        <v>50</v>
      </c>
      <c r="AF1085" s="1250">
        <v>28968</v>
      </c>
      <c r="AG1085" s="111"/>
      <c r="AH1085" s="111"/>
      <c r="AI1085" s="111"/>
      <c r="AJ1085" s="111"/>
      <c r="AK1085" s="111"/>
      <c r="AL1085" s="111"/>
      <c r="AM1085" s="111">
        <v>86904</v>
      </c>
    </row>
    <row r="1086" spans="1:39" ht="15" customHeight="1" x14ac:dyDescent="0.25">
      <c r="A1086" s="1409"/>
      <c r="B1086" s="1409"/>
      <c r="C1086" s="1409"/>
      <c r="D1086" s="1409"/>
      <c r="E1086" s="1247"/>
      <c r="F1086" s="1248" t="s">
        <v>4948</v>
      </c>
      <c r="G1086" s="111"/>
      <c r="H1086" s="1249">
        <v>200</v>
      </c>
      <c r="I1086" s="111" t="s">
        <v>1827</v>
      </c>
      <c r="J1086" s="1321" t="s">
        <v>5608</v>
      </c>
      <c r="K1086" s="162" t="s">
        <v>5610</v>
      </c>
      <c r="L1086" s="162" t="s">
        <v>5609</v>
      </c>
      <c r="M1086" s="111">
        <v>869.04</v>
      </c>
      <c r="N1086" s="111">
        <v>173808</v>
      </c>
      <c r="O1086" s="111"/>
      <c r="P1086" s="111"/>
      <c r="Q1086" s="111"/>
      <c r="R1086" s="111"/>
      <c r="S1086" s="1249">
        <v>100</v>
      </c>
      <c r="T1086" s="1250">
        <v>57936</v>
      </c>
      <c r="U1086" s="1250"/>
      <c r="V1086" s="1250"/>
      <c r="W1086" s="1251">
        <v>50</v>
      </c>
      <c r="X1086" s="1250">
        <v>57936</v>
      </c>
      <c r="Y1086" s="1250"/>
      <c r="Z1086" s="1250"/>
      <c r="AA1086" s="1250"/>
      <c r="AB1086" s="1250"/>
      <c r="AC1086" s="1250"/>
      <c r="AD1086" s="1250"/>
      <c r="AE1086" s="1249">
        <v>50</v>
      </c>
      <c r="AF1086" s="1250">
        <v>57936</v>
      </c>
      <c r="AG1086" s="111"/>
      <c r="AH1086" s="111"/>
      <c r="AI1086" s="111"/>
      <c r="AJ1086" s="111"/>
      <c r="AK1086" s="111"/>
      <c r="AL1086" s="111"/>
      <c r="AM1086" s="111">
        <v>173808</v>
      </c>
    </row>
    <row r="1087" spans="1:39" ht="15" customHeight="1" x14ac:dyDescent="0.25">
      <c r="A1087" s="1409"/>
      <c r="B1087" s="1409"/>
      <c r="C1087" s="1409"/>
      <c r="D1087" s="1409"/>
      <c r="E1087" s="1247"/>
      <c r="F1087" s="1248" t="s">
        <v>4949</v>
      </c>
      <c r="G1087" s="111"/>
      <c r="H1087" s="1249">
        <v>200</v>
      </c>
      <c r="I1087" s="111" t="s">
        <v>1827</v>
      </c>
      <c r="J1087" s="1321" t="s">
        <v>5608</v>
      </c>
      <c r="K1087" s="162" t="s">
        <v>5610</v>
      </c>
      <c r="L1087" s="162" t="s">
        <v>5609</v>
      </c>
      <c r="M1087" s="111">
        <v>52.32</v>
      </c>
      <c r="N1087" s="111">
        <v>10464</v>
      </c>
      <c r="O1087" s="111"/>
      <c r="P1087" s="111"/>
      <c r="Q1087" s="111"/>
      <c r="R1087" s="111"/>
      <c r="S1087" s="1249">
        <v>100</v>
      </c>
      <c r="T1087" s="1250">
        <v>3488</v>
      </c>
      <c r="U1087" s="1250"/>
      <c r="V1087" s="1250"/>
      <c r="W1087" s="1251">
        <v>50</v>
      </c>
      <c r="X1087" s="1250">
        <v>3488</v>
      </c>
      <c r="Y1087" s="1250"/>
      <c r="Z1087" s="1250"/>
      <c r="AA1087" s="1250"/>
      <c r="AB1087" s="1250"/>
      <c r="AC1087" s="1250"/>
      <c r="AD1087" s="1250"/>
      <c r="AE1087" s="1249">
        <v>50</v>
      </c>
      <c r="AF1087" s="1250">
        <v>3488</v>
      </c>
      <c r="AG1087" s="111"/>
      <c r="AH1087" s="111"/>
      <c r="AI1087" s="111"/>
      <c r="AJ1087" s="111"/>
      <c r="AK1087" s="111"/>
      <c r="AL1087" s="111"/>
      <c r="AM1087" s="111">
        <v>10464</v>
      </c>
    </row>
    <row r="1088" spans="1:39" ht="15" customHeight="1" x14ac:dyDescent="0.25">
      <c r="A1088" s="1409"/>
      <c r="B1088" s="1409"/>
      <c r="C1088" s="1409"/>
      <c r="D1088" s="1409"/>
      <c r="E1088" s="1247"/>
      <c r="F1088" s="1248" t="s">
        <v>4950</v>
      </c>
      <c r="G1088" s="111"/>
      <c r="H1088" s="1249">
        <v>200</v>
      </c>
      <c r="I1088" s="111" t="s">
        <v>1827</v>
      </c>
      <c r="J1088" s="1321" t="s">
        <v>5608</v>
      </c>
      <c r="K1088" s="162" t="s">
        <v>5610</v>
      </c>
      <c r="L1088" s="162" t="s">
        <v>5609</v>
      </c>
      <c r="M1088" s="111">
        <v>156.96</v>
      </c>
      <c r="N1088" s="111">
        <v>31392</v>
      </c>
      <c r="O1088" s="111"/>
      <c r="P1088" s="111"/>
      <c r="Q1088" s="111"/>
      <c r="R1088" s="111"/>
      <c r="S1088" s="1249">
        <v>100</v>
      </c>
      <c r="T1088" s="1250">
        <v>10464</v>
      </c>
      <c r="U1088" s="1250"/>
      <c r="V1088" s="1250"/>
      <c r="W1088" s="1251">
        <v>50</v>
      </c>
      <c r="X1088" s="1250">
        <v>10464</v>
      </c>
      <c r="Y1088" s="1250"/>
      <c r="Z1088" s="1250"/>
      <c r="AA1088" s="1250"/>
      <c r="AB1088" s="1250"/>
      <c r="AC1088" s="1250"/>
      <c r="AD1088" s="1250"/>
      <c r="AE1088" s="1249">
        <v>50</v>
      </c>
      <c r="AF1088" s="1250">
        <v>10464</v>
      </c>
      <c r="AG1088" s="111"/>
      <c r="AH1088" s="111"/>
      <c r="AI1088" s="111"/>
      <c r="AJ1088" s="111"/>
      <c r="AK1088" s="111"/>
      <c r="AL1088" s="111"/>
      <c r="AM1088" s="111">
        <v>31392</v>
      </c>
    </row>
    <row r="1089" spans="1:39" ht="15" customHeight="1" x14ac:dyDescent="0.25">
      <c r="A1089" s="1409"/>
      <c r="B1089" s="1409"/>
      <c r="C1089" s="1409"/>
      <c r="D1089" s="1409"/>
      <c r="E1089" s="1247"/>
      <c r="F1089" s="1248" t="s">
        <v>4951</v>
      </c>
      <c r="G1089" s="111"/>
      <c r="H1089" s="1249">
        <v>400</v>
      </c>
      <c r="I1089" s="111" t="s">
        <v>1827</v>
      </c>
      <c r="J1089" s="1321" t="s">
        <v>5608</v>
      </c>
      <c r="K1089" s="162" t="s">
        <v>5610</v>
      </c>
      <c r="L1089" s="162" t="s">
        <v>5609</v>
      </c>
      <c r="M1089" s="111">
        <v>78.48</v>
      </c>
      <c r="N1089" s="111">
        <v>31392</v>
      </c>
      <c r="O1089" s="111"/>
      <c r="P1089" s="111"/>
      <c r="Q1089" s="111"/>
      <c r="R1089" s="111"/>
      <c r="S1089" s="1249">
        <v>200</v>
      </c>
      <c r="T1089" s="1250">
        <v>10464</v>
      </c>
      <c r="U1089" s="1250"/>
      <c r="V1089" s="1250"/>
      <c r="W1089" s="1251">
        <v>100</v>
      </c>
      <c r="X1089" s="1250">
        <v>10464</v>
      </c>
      <c r="Y1089" s="1250"/>
      <c r="Z1089" s="1250"/>
      <c r="AA1089" s="1250"/>
      <c r="AB1089" s="1250"/>
      <c r="AC1089" s="1250"/>
      <c r="AD1089" s="1250"/>
      <c r="AE1089" s="1249">
        <v>100</v>
      </c>
      <c r="AF1089" s="1250">
        <v>10464</v>
      </c>
      <c r="AG1089" s="111"/>
      <c r="AH1089" s="111"/>
      <c r="AI1089" s="111"/>
      <c r="AJ1089" s="111"/>
      <c r="AK1089" s="111"/>
      <c r="AL1089" s="111"/>
      <c r="AM1089" s="111">
        <v>31392</v>
      </c>
    </row>
    <row r="1090" spans="1:39" ht="15" customHeight="1" x14ac:dyDescent="0.25">
      <c r="A1090" s="1409"/>
      <c r="B1090" s="1409"/>
      <c r="C1090" s="1409"/>
      <c r="D1090" s="1409"/>
      <c r="E1090" s="1247"/>
      <c r="F1090" s="1248" t="s">
        <v>4952</v>
      </c>
      <c r="G1090" s="111"/>
      <c r="H1090" s="1249">
        <v>200</v>
      </c>
      <c r="I1090" s="111" t="s">
        <v>1826</v>
      </c>
      <c r="J1090" s="1321" t="s">
        <v>5608</v>
      </c>
      <c r="K1090" s="162" t="s">
        <v>5610</v>
      </c>
      <c r="L1090" s="162" t="s">
        <v>5609</v>
      </c>
      <c r="M1090" s="111">
        <v>52.32</v>
      </c>
      <c r="N1090" s="111">
        <v>10464</v>
      </c>
      <c r="O1090" s="111"/>
      <c r="P1090" s="111"/>
      <c r="Q1090" s="111"/>
      <c r="R1090" s="111"/>
      <c r="S1090" s="1249">
        <v>100</v>
      </c>
      <c r="T1090" s="1250">
        <v>3488</v>
      </c>
      <c r="U1090" s="1250"/>
      <c r="V1090" s="1250"/>
      <c r="W1090" s="1251">
        <v>50</v>
      </c>
      <c r="X1090" s="1250">
        <v>3488</v>
      </c>
      <c r="Y1090" s="1250"/>
      <c r="Z1090" s="1250"/>
      <c r="AA1090" s="1250"/>
      <c r="AB1090" s="1250"/>
      <c r="AC1090" s="1250"/>
      <c r="AD1090" s="1250"/>
      <c r="AE1090" s="1249">
        <v>50</v>
      </c>
      <c r="AF1090" s="1250">
        <v>3488</v>
      </c>
      <c r="AG1090" s="111"/>
      <c r="AH1090" s="111"/>
      <c r="AI1090" s="111"/>
      <c r="AJ1090" s="111"/>
      <c r="AK1090" s="111"/>
      <c r="AL1090" s="111"/>
      <c r="AM1090" s="111">
        <v>10464</v>
      </c>
    </row>
    <row r="1091" spans="1:39" ht="15" customHeight="1" x14ac:dyDescent="0.25">
      <c r="A1091" s="1409"/>
      <c r="B1091" s="1409"/>
      <c r="C1091" s="1409"/>
      <c r="D1091" s="1409"/>
      <c r="E1091" s="1247"/>
      <c r="F1091" s="1248" t="s">
        <v>4953</v>
      </c>
      <c r="G1091" s="111"/>
      <c r="H1091" s="1249">
        <v>600</v>
      </c>
      <c r="I1091" s="111" t="s">
        <v>1826</v>
      </c>
      <c r="J1091" s="1321" t="s">
        <v>5608</v>
      </c>
      <c r="K1091" s="162" t="s">
        <v>5610</v>
      </c>
      <c r="L1091" s="162" t="s">
        <v>5609</v>
      </c>
      <c r="M1091" s="111">
        <v>17.440000000000001</v>
      </c>
      <c r="N1091" s="111">
        <v>10464</v>
      </c>
      <c r="O1091" s="111"/>
      <c r="P1091" s="111"/>
      <c r="Q1091" s="111"/>
      <c r="R1091" s="111"/>
      <c r="S1091" s="1249">
        <v>200</v>
      </c>
      <c r="T1091" s="1250">
        <v>3488</v>
      </c>
      <c r="U1091" s="1250"/>
      <c r="V1091" s="1250"/>
      <c r="W1091" s="1251">
        <v>200</v>
      </c>
      <c r="X1091" s="1250">
        <v>3488</v>
      </c>
      <c r="Y1091" s="1250"/>
      <c r="Z1091" s="1250"/>
      <c r="AA1091" s="1250"/>
      <c r="AB1091" s="1250"/>
      <c r="AC1091" s="1250"/>
      <c r="AD1091" s="1250"/>
      <c r="AE1091" s="1249">
        <v>200</v>
      </c>
      <c r="AF1091" s="1250">
        <v>3488</v>
      </c>
      <c r="AG1091" s="111"/>
      <c r="AH1091" s="111"/>
      <c r="AI1091" s="111"/>
      <c r="AJ1091" s="111"/>
      <c r="AK1091" s="111"/>
      <c r="AL1091" s="111"/>
      <c r="AM1091" s="111">
        <v>10464</v>
      </c>
    </row>
    <row r="1092" spans="1:39" ht="15" customHeight="1" x14ac:dyDescent="0.25">
      <c r="A1092" s="1409"/>
      <c r="B1092" s="1409"/>
      <c r="C1092" s="1409"/>
      <c r="D1092" s="1409"/>
      <c r="E1092" s="1247"/>
      <c r="F1092" s="1248" t="s">
        <v>4954</v>
      </c>
      <c r="G1092" s="111"/>
      <c r="H1092" s="1249">
        <v>600</v>
      </c>
      <c r="I1092" s="111" t="s">
        <v>1826</v>
      </c>
      <c r="J1092" s="1321" t="s">
        <v>5608</v>
      </c>
      <c r="K1092" s="162" t="s">
        <v>5610</v>
      </c>
      <c r="L1092" s="162" t="s">
        <v>5609</v>
      </c>
      <c r="M1092" s="111">
        <v>17.440000000000001</v>
      </c>
      <c r="N1092" s="111">
        <v>10464</v>
      </c>
      <c r="O1092" s="111"/>
      <c r="P1092" s="111"/>
      <c r="Q1092" s="111"/>
      <c r="R1092" s="111"/>
      <c r="S1092" s="1249">
        <v>200</v>
      </c>
      <c r="T1092" s="1250">
        <v>3488</v>
      </c>
      <c r="U1092" s="1250"/>
      <c r="V1092" s="1250"/>
      <c r="W1092" s="1251">
        <v>200</v>
      </c>
      <c r="X1092" s="1250">
        <v>3488</v>
      </c>
      <c r="Y1092" s="1250"/>
      <c r="Z1092" s="1250"/>
      <c r="AA1092" s="1250"/>
      <c r="AB1092" s="1250"/>
      <c r="AC1092" s="1250"/>
      <c r="AD1092" s="1250"/>
      <c r="AE1092" s="1249">
        <v>200</v>
      </c>
      <c r="AF1092" s="1250">
        <v>3488</v>
      </c>
      <c r="AG1092" s="111"/>
      <c r="AH1092" s="111"/>
      <c r="AI1092" s="111"/>
      <c r="AJ1092" s="111"/>
      <c r="AK1092" s="111"/>
      <c r="AL1092" s="111"/>
      <c r="AM1092" s="111">
        <v>10464</v>
      </c>
    </row>
    <row r="1093" spans="1:39" ht="15" customHeight="1" x14ac:dyDescent="0.25">
      <c r="A1093" s="1409"/>
      <c r="B1093" s="1409"/>
      <c r="C1093" s="1409"/>
      <c r="D1093" s="1409"/>
      <c r="E1093" s="1247"/>
      <c r="F1093" s="1248" t="s">
        <v>4955</v>
      </c>
      <c r="G1093" s="111"/>
      <c r="H1093" s="1249">
        <v>200</v>
      </c>
      <c r="I1093" s="111" t="s">
        <v>1826</v>
      </c>
      <c r="J1093" s="1321" t="s">
        <v>5608</v>
      </c>
      <c r="K1093" s="162" t="s">
        <v>5610</v>
      </c>
      <c r="L1093" s="162" t="s">
        <v>5609</v>
      </c>
      <c r="M1093" s="111">
        <v>52.32</v>
      </c>
      <c r="N1093" s="111">
        <v>10464</v>
      </c>
      <c r="O1093" s="111"/>
      <c r="P1093" s="111"/>
      <c r="Q1093" s="111"/>
      <c r="R1093" s="111"/>
      <c r="S1093" s="1249">
        <v>100</v>
      </c>
      <c r="T1093" s="1250">
        <v>3488</v>
      </c>
      <c r="U1093" s="1250"/>
      <c r="V1093" s="1250"/>
      <c r="W1093" s="1251">
        <v>50</v>
      </c>
      <c r="X1093" s="1250">
        <v>3488</v>
      </c>
      <c r="Y1093" s="1250"/>
      <c r="Z1093" s="1250"/>
      <c r="AA1093" s="1250"/>
      <c r="AB1093" s="1250"/>
      <c r="AC1093" s="1250"/>
      <c r="AD1093" s="1250"/>
      <c r="AE1093" s="1249">
        <v>50</v>
      </c>
      <c r="AF1093" s="1250">
        <v>3488</v>
      </c>
      <c r="AG1093" s="111"/>
      <c r="AH1093" s="111"/>
      <c r="AI1093" s="111"/>
      <c r="AJ1093" s="111"/>
      <c r="AK1093" s="111"/>
      <c r="AL1093" s="111"/>
      <c r="AM1093" s="111">
        <v>10464</v>
      </c>
    </row>
    <row r="1094" spans="1:39" ht="15" customHeight="1" x14ac:dyDescent="0.25">
      <c r="A1094" s="1409"/>
      <c r="B1094" s="1409"/>
      <c r="C1094" s="1409"/>
      <c r="D1094" s="1409"/>
      <c r="E1094" s="1247"/>
      <c r="F1094" s="1248" t="s">
        <v>4956</v>
      </c>
      <c r="G1094" s="111"/>
      <c r="H1094" s="1249">
        <v>200</v>
      </c>
      <c r="I1094" s="111" t="s">
        <v>1826</v>
      </c>
      <c r="J1094" s="1321" t="s">
        <v>5608</v>
      </c>
      <c r="K1094" s="162" t="s">
        <v>5610</v>
      </c>
      <c r="L1094" s="162" t="s">
        <v>5609</v>
      </c>
      <c r="M1094" s="111">
        <v>52.32</v>
      </c>
      <c r="N1094" s="111">
        <v>10464</v>
      </c>
      <c r="O1094" s="111"/>
      <c r="P1094" s="111"/>
      <c r="Q1094" s="111"/>
      <c r="R1094" s="111"/>
      <c r="S1094" s="1249">
        <v>100</v>
      </c>
      <c r="T1094" s="1250">
        <v>3488</v>
      </c>
      <c r="U1094" s="1250"/>
      <c r="V1094" s="1250"/>
      <c r="W1094" s="1251">
        <v>50</v>
      </c>
      <c r="X1094" s="1250">
        <v>3488</v>
      </c>
      <c r="Y1094" s="1250"/>
      <c r="Z1094" s="1250"/>
      <c r="AA1094" s="1250"/>
      <c r="AB1094" s="1250"/>
      <c r="AC1094" s="1250"/>
      <c r="AD1094" s="1250"/>
      <c r="AE1094" s="1249">
        <v>50</v>
      </c>
      <c r="AF1094" s="1250">
        <v>3488</v>
      </c>
      <c r="AG1094" s="111"/>
      <c r="AH1094" s="111"/>
      <c r="AI1094" s="111"/>
      <c r="AJ1094" s="111"/>
      <c r="AK1094" s="111"/>
      <c r="AL1094" s="111"/>
      <c r="AM1094" s="111">
        <v>10464</v>
      </c>
    </row>
    <row r="1095" spans="1:39" ht="15" customHeight="1" x14ac:dyDescent="0.25">
      <c r="A1095" s="1409"/>
      <c r="B1095" s="1409"/>
      <c r="C1095" s="1409"/>
      <c r="D1095" s="1409"/>
      <c r="E1095" s="1247"/>
      <c r="F1095" s="1248" t="s">
        <v>4957</v>
      </c>
      <c r="G1095" s="111"/>
      <c r="H1095" s="1249">
        <v>200</v>
      </c>
      <c r="I1095" s="111" t="s">
        <v>1826</v>
      </c>
      <c r="J1095" s="1321" t="s">
        <v>5608</v>
      </c>
      <c r="K1095" s="162" t="s">
        <v>5610</v>
      </c>
      <c r="L1095" s="162" t="s">
        <v>5609</v>
      </c>
      <c r="M1095" s="111">
        <v>52.32</v>
      </c>
      <c r="N1095" s="111">
        <v>10464</v>
      </c>
      <c r="O1095" s="111"/>
      <c r="P1095" s="111"/>
      <c r="Q1095" s="111"/>
      <c r="R1095" s="111"/>
      <c r="S1095" s="1249">
        <v>100</v>
      </c>
      <c r="T1095" s="1250">
        <v>3488</v>
      </c>
      <c r="U1095" s="1250"/>
      <c r="V1095" s="1250"/>
      <c r="W1095" s="1251">
        <v>50</v>
      </c>
      <c r="X1095" s="1250">
        <v>3488</v>
      </c>
      <c r="Y1095" s="1250"/>
      <c r="Z1095" s="1250"/>
      <c r="AA1095" s="1250"/>
      <c r="AB1095" s="1250"/>
      <c r="AC1095" s="1250"/>
      <c r="AD1095" s="1250"/>
      <c r="AE1095" s="1249">
        <v>50</v>
      </c>
      <c r="AF1095" s="1250">
        <v>3488</v>
      </c>
      <c r="AG1095" s="111"/>
      <c r="AH1095" s="111"/>
      <c r="AI1095" s="111"/>
      <c r="AJ1095" s="111"/>
      <c r="AK1095" s="111"/>
      <c r="AL1095" s="111"/>
      <c r="AM1095" s="111">
        <v>10464</v>
      </c>
    </row>
    <row r="1096" spans="1:39" ht="15" customHeight="1" x14ac:dyDescent="0.25">
      <c r="A1096" s="1409"/>
      <c r="B1096" s="1409"/>
      <c r="C1096" s="1409"/>
      <c r="D1096" s="1409"/>
      <c r="E1096" s="1247"/>
      <c r="F1096" s="1248" t="s">
        <v>4958</v>
      </c>
      <c r="G1096" s="111"/>
      <c r="H1096" s="1249">
        <v>200</v>
      </c>
      <c r="I1096" s="111" t="s">
        <v>1826</v>
      </c>
      <c r="J1096" s="1321" t="s">
        <v>5608</v>
      </c>
      <c r="K1096" s="162" t="s">
        <v>5610</v>
      </c>
      <c r="L1096" s="162" t="s">
        <v>5609</v>
      </c>
      <c r="M1096" s="111">
        <v>52.32</v>
      </c>
      <c r="N1096" s="111">
        <v>10464</v>
      </c>
      <c r="O1096" s="111"/>
      <c r="P1096" s="111"/>
      <c r="Q1096" s="111"/>
      <c r="R1096" s="111"/>
      <c r="S1096" s="1249">
        <v>100</v>
      </c>
      <c r="T1096" s="1250">
        <v>3488</v>
      </c>
      <c r="U1096" s="1250"/>
      <c r="V1096" s="1250"/>
      <c r="W1096" s="1251">
        <v>50</v>
      </c>
      <c r="X1096" s="1250">
        <v>3488</v>
      </c>
      <c r="Y1096" s="1250"/>
      <c r="Z1096" s="1250"/>
      <c r="AA1096" s="1250"/>
      <c r="AB1096" s="1250"/>
      <c r="AC1096" s="1250"/>
      <c r="AD1096" s="1250"/>
      <c r="AE1096" s="1249">
        <v>50</v>
      </c>
      <c r="AF1096" s="1250">
        <v>3488</v>
      </c>
      <c r="AG1096" s="111"/>
      <c r="AH1096" s="111"/>
      <c r="AI1096" s="111"/>
      <c r="AJ1096" s="111"/>
      <c r="AK1096" s="111"/>
      <c r="AL1096" s="111"/>
      <c r="AM1096" s="111">
        <v>10464</v>
      </c>
    </row>
    <row r="1097" spans="1:39" ht="15" customHeight="1" x14ac:dyDescent="0.25">
      <c r="A1097" s="1409"/>
      <c r="B1097" s="1409"/>
      <c r="C1097" s="1409"/>
      <c r="D1097" s="1409"/>
      <c r="E1097" s="1247"/>
      <c r="F1097" s="1248" t="s">
        <v>4959</v>
      </c>
      <c r="G1097" s="111"/>
      <c r="H1097" s="1249">
        <v>200</v>
      </c>
      <c r="I1097" s="111" t="s">
        <v>1826</v>
      </c>
      <c r="J1097" s="1321" t="s">
        <v>5608</v>
      </c>
      <c r="K1097" s="162" t="s">
        <v>5610</v>
      </c>
      <c r="L1097" s="162" t="s">
        <v>5609</v>
      </c>
      <c r="M1097" s="111">
        <v>52.32</v>
      </c>
      <c r="N1097" s="111">
        <v>10464</v>
      </c>
      <c r="O1097" s="111"/>
      <c r="P1097" s="111"/>
      <c r="Q1097" s="111"/>
      <c r="R1097" s="111"/>
      <c r="S1097" s="1249">
        <v>100</v>
      </c>
      <c r="T1097" s="1250">
        <v>3488</v>
      </c>
      <c r="U1097" s="1250"/>
      <c r="V1097" s="1250"/>
      <c r="W1097" s="1251">
        <v>50</v>
      </c>
      <c r="X1097" s="1250">
        <v>3488</v>
      </c>
      <c r="Y1097" s="1250"/>
      <c r="Z1097" s="1250"/>
      <c r="AA1097" s="1250"/>
      <c r="AB1097" s="1250"/>
      <c r="AC1097" s="1250"/>
      <c r="AD1097" s="1250"/>
      <c r="AE1097" s="1249">
        <v>50</v>
      </c>
      <c r="AF1097" s="1250">
        <v>3488</v>
      </c>
      <c r="AG1097" s="111"/>
      <c r="AH1097" s="111"/>
      <c r="AI1097" s="111"/>
      <c r="AJ1097" s="111"/>
      <c r="AK1097" s="111"/>
      <c r="AL1097" s="111"/>
      <c r="AM1097" s="111">
        <v>10464</v>
      </c>
    </row>
    <row r="1098" spans="1:39" ht="15" customHeight="1" x14ac:dyDescent="0.25">
      <c r="A1098" s="1409"/>
      <c r="B1098" s="1409"/>
      <c r="C1098" s="1409"/>
      <c r="D1098" s="1409"/>
      <c r="E1098" s="1247"/>
      <c r="F1098" s="1248" t="s">
        <v>4960</v>
      </c>
      <c r="G1098" s="111"/>
      <c r="H1098" s="1249">
        <v>200</v>
      </c>
      <c r="I1098" s="111" t="s">
        <v>1826</v>
      </c>
      <c r="J1098" s="1321" t="s">
        <v>5608</v>
      </c>
      <c r="K1098" s="162" t="s">
        <v>5610</v>
      </c>
      <c r="L1098" s="162" t="s">
        <v>5609</v>
      </c>
      <c r="M1098" s="111">
        <v>43.595999999999997</v>
      </c>
      <c r="N1098" s="111">
        <v>8719.1999999999989</v>
      </c>
      <c r="O1098" s="111"/>
      <c r="P1098" s="111"/>
      <c r="Q1098" s="111"/>
      <c r="R1098" s="111"/>
      <c r="S1098" s="1249">
        <v>100</v>
      </c>
      <c r="T1098" s="1250">
        <v>2906.3999999999996</v>
      </c>
      <c r="U1098" s="1250"/>
      <c r="V1098" s="1250"/>
      <c r="W1098" s="1251">
        <v>50</v>
      </c>
      <c r="X1098" s="1250">
        <v>2906.3999999999996</v>
      </c>
      <c r="Y1098" s="1250"/>
      <c r="Z1098" s="1250"/>
      <c r="AA1098" s="1250"/>
      <c r="AB1098" s="1250"/>
      <c r="AC1098" s="1250"/>
      <c r="AD1098" s="1250"/>
      <c r="AE1098" s="1249">
        <v>50</v>
      </c>
      <c r="AF1098" s="1250">
        <v>2906.3999999999996</v>
      </c>
      <c r="AG1098" s="111"/>
      <c r="AH1098" s="111"/>
      <c r="AI1098" s="111"/>
      <c r="AJ1098" s="111"/>
      <c r="AK1098" s="111"/>
      <c r="AL1098" s="111"/>
      <c r="AM1098" s="111">
        <v>8719.1999999999989</v>
      </c>
    </row>
    <row r="1099" spans="1:39" ht="15" customHeight="1" x14ac:dyDescent="0.25">
      <c r="A1099" s="1409"/>
      <c r="B1099" s="1409"/>
      <c r="C1099" s="1409"/>
      <c r="D1099" s="1409"/>
      <c r="E1099" s="1247"/>
      <c r="F1099" s="1248" t="s">
        <v>4961</v>
      </c>
      <c r="G1099" s="111"/>
      <c r="H1099" s="1249">
        <v>200</v>
      </c>
      <c r="I1099" s="111" t="s">
        <v>1826</v>
      </c>
      <c r="J1099" s="1321" t="s">
        <v>5608</v>
      </c>
      <c r="K1099" s="162" t="s">
        <v>5610</v>
      </c>
      <c r="L1099" s="162" t="s">
        <v>5609</v>
      </c>
      <c r="M1099" s="111">
        <v>43.595999999999997</v>
      </c>
      <c r="N1099" s="111">
        <v>8719.1999999999989</v>
      </c>
      <c r="O1099" s="111"/>
      <c r="P1099" s="111"/>
      <c r="Q1099" s="111"/>
      <c r="R1099" s="111"/>
      <c r="S1099" s="1249">
        <v>100</v>
      </c>
      <c r="T1099" s="1250">
        <v>2906.3999999999996</v>
      </c>
      <c r="U1099" s="1250"/>
      <c r="V1099" s="1250"/>
      <c r="W1099" s="1251">
        <v>50</v>
      </c>
      <c r="X1099" s="1250">
        <v>2906.3999999999996</v>
      </c>
      <c r="Y1099" s="1250"/>
      <c r="Z1099" s="1250"/>
      <c r="AA1099" s="1250"/>
      <c r="AB1099" s="1250"/>
      <c r="AC1099" s="1250"/>
      <c r="AD1099" s="1250"/>
      <c r="AE1099" s="1249">
        <v>50</v>
      </c>
      <c r="AF1099" s="1250">
        <v>2906.3999999999996</v>
      </c>
      <c r="AG1099" s="111"/>
      <c r="AH1099" s="111"/>
      <c r="AI1099" s="111"/>
      <c r="AJ1099" s="111"/>
      <c r="AK1099" s="111"/>
      <c r="AL1099" s="111"/>
      <c r="AM1099" s="111">
        <v>8719.1999999999989</v>
      </c>
    </row>
    <row r="1100" spans="1:39" ht="15" customHeight="1" x14ac:dyDescent="0.25">
      <c r="A1100" s="1409"/>
      <c r="B1100" s="1409"/>
      <c r="C1100" s="1409"/>
      <c r="D1100" s="1409"/>
      <c r="E1100" s="1247"/>
      <c r="F1100" s="1248" t="s">
        <v>4962</v>
      </c>
      <c r="G1100" s="111"/>
      <c r="H1100" s="1249">
        <v>200</v>
      </c>
      <c r="I1100" s="111" t="s">
        <v>1826</v>
      </c>
      <c r="J1100" s="1321" t="s">
        <v>5608</v>
      </c>
      <c r="K1100" s="162" t="s">
        <v>5610</v>
      </c>
      <c r="L1100" s="162" t="s">
        <v>5609</v>
      </c>
      <c r="M1100" s="111">
        <v>52.32</v>
      </c>
      <c r="N1100" s="111">
        <v>10464</v>
      </c>
      <c r="O1100" s="111"/>
      <c r="P1100" s="111"/>
      <c r="Q1100" s="111"/>
      <c r="R1100" s="111"/>
      <c r="S1100" s="1249">
        <v>100</v>
      </c>
      <c r="T1100" s="1250">
        <v>3488</v>
      </c>
      <c r="U1100" s="1250"/>
      <c r="V1100" s="1250"/>
      <c r="W1100" s="1251">
        <v>50</v>
      </c>
      <c r="X1100" s="1250">
        <v>3488</v>
      </c>
      <c r="Y1100" s="1250"/>
      <c r="Z1100" s="1250"/>
      <c r="AA1100" s="1250"/>
      <c r="AB1100" s="1250"/>
      <c r="AC1100" s="1250"/>
      <c r="AD1100" s="1250"/>
      <c r="AE1100" s="1249">
        <v>50</v>
      </c>
      <c r="AF1100" s="1250">
        <v>3488</v>
      </c>
      <c r="AG1100" s="111"/>
      <c r="AH1100" s="111"/>
      <c r="AI1100" s="111"/>
      <c r="AJ1100" s="111"/>
      <c r="AK1100" s="111"/>
      <c r="AL1100" s="111"/>
      <c r="AM1100" s="111">
        <v>10464</v>
      </c>
    </row>
    <row r="1101" spans="1:39" ht="15" customHeight="1" x14ac:dyDescent="0.25">
      <c r="A1101" s="1409"/>
      <c r="B1101" s="1409"/>
      <c r="C1101" s="1409"/>
      <c r="D1101" s="1409"/>
      <c r="E1101" s="1247"/>
      <c r="F1101" s="1248" t="s">
        <v>4963</v>
      </c>
      <c r="G1101" s="111"/>
      <c r="H1101" s="1249">
        <v>45</v>
      </c>
      <c r="I1101" s="111" t="s">
        <v>1826</v>
      </c>
      <c r="J1101" s="1321" t="s">
        <v>5608</v>
      </c>
      <c r="K1101" s="162" t="s">
        <v>5610</v>
      </c>
      <c r="L1101" s="162" t="s">
        <v>5609</v>
      </c>
      <c r="M1101" s="111">
        <v>52.32</v>
      </c>
      <c r="N1101" s="111">
        <v>2354.4</v>
      </c>
      <c r="O1101" s="111"/>
      <c r="P1101" s="111"/>
      <c r="Q1101" s="111"/>
      <c r="R1101" s="111"/>
      <c r="S1101" s="1249">
        <v>15</v>
      </c>
      <c r="T1101" s="1250">
        <v>784.80000000000007</v>
      </c>
      <c r="U1101" s="1250"/>
      <c r="V1101" s="1250"/>
      <c r="W1101" s="1251">
        <v>15</v>
      </c>
      <c r="X1101" s="1250">
        <v>784.80000000000007</v>
      </c>
      <c r="Y1101" s="1250"/>
      <c r="Z1101" s="1250"/>
      <c r="AA1101" s="1250"/>
      <c r="AB1101" s="1250"/>
      <c r="AC1101" s="1250"/>
      <c r="AD1101" s="1250"/>
      <c r="AE1101" s="1249">
        <v>15</v>
      </c>
      <c r="AF1101" s="1250">
        <v>784.80000000000007</v>
      </c>
      <c r="AG1101" s="111"/>
      <c r="AH1101" s="111"/>
      <c r="AI1101" s="111"/>
      <c r="AJ1101" s="111"/>
      <c r="AK1101" s="111"/>
      <c r="AL1101" s="111"/>
      <c r="AM1101" s="111">
        <v>2354.4</v>
      </c>
    </row>
    <row r="1102" spans="1:39" ht="15" customHeight="1" x14ac:dyDescent="0.25">
      <c r="A1102" s="1409"/>
      <c r="B1102" s="1409"/>
      <c r="C1102" s="1409"/>
      <c r="D1102" s="1409"/>
      <c r="E1102" s="1247"/>
      <c r="F1102" s="1248" t="s">
        <v>4964</v>
      </c>
      <c r="G1102" s="111"/>
      <c r="H1102" s="1249">
        <v>200</v>
      </c>
      <c r="I1102" s="111" t="s">
        <v>1827</v>
      </c>
      <c r="J1102" s="1321" t="s">
        <v>5608</v>
      </c>
      <c r="K1102" s="162" t="s">
        <v>5610</v>
      </c>
      <c r="L1102" s="162" t="s">
        <v>5609</v>
      </c>
      <c r="M1102" s="111">
        <v>97.766999999999996</v>
      </c>
      <c r="N1102" s="111">
        <v>19553.399999999998</v>
      </c>
      <c r="O1102" s="111"/>
      <c r="P1102" s="111"/>
      <c r="Q1102" s="111"/>
      <c r="R1102" s="111"/>
      <c r="S1102" s="1249">
        <v>100</v>
      </c>
      <c r="T1102" s="1250">
        <v>6517.7999999999993</v>
      </c>
      <c r="U1102" s="1250"/>
      <c r="V1102" s="1250"/>
      <c r="W1102" s="1251">
        <v>50</v>
      </c>
      <c r="X1102" s="1250">
        <v>6517.7999999999993</v>
      </c>
      <c r="Y1102" s="1250"/>
      <c r="Z1102" s="1250"/>
      <c r="AA1102" s="1250"/>
      <c r="AB1102" s="1250"/>
      <c r="AC1102" s="1250"/>
      <c r="AD1102" s="1250"/>
      <c r="AE1102" s="1249">
        <v>50</v>
      </c>
      <c r="AF1102" s="1250">
        <v>6517.7999999999993</v>
      </c>
      <c r="AG1102" s="111"/>
      <c r="AH1102" s="111"/>
      <c r="AI1102" s="111"/>
      <c r="AJ1102" s="111"/>
      <c r="AK1102" s="111"/>
      <c r="AL1102" s="111"/>
      <c r="AM1102" s="111">
        <v>19553.399999999998</v>
      </c>
    </row>
    <row r="1103" spans="1:39" ht="15" customHeight="1" x14ac:dyDescent="0.25">
      <c r="A1103" s="1409"/>
      <c r="B1103" s="1409"/>
      <c r="C1103" s="1409"/>
      <c r="D1103" s="1409"/>
      <c r="E1103" s="1247"/>
      <c r="F1103" s="1248"/>
      <c r="G1103" s="111"/>
      <c r="H1103" s="1249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249"/>
      <c r="T1103" s="1250"/>
      <c r="U1103" s="1250"/>
      <c r="V1103" s="1250"/>
      <c r="W1103" s="1251"/>
      <c r="X1103" s="1250"/>
      <c r="Y1103" s="1250"/>
      <c r="Z1103" s="1250"/>
      <c r="AA1103" s="1250"/>
      <c r="AB1103" s="1250"/>
      <c r="AC1103" s="1250"/>
      <c r="AD1103" s="1250"/>
      <c r="AE1103" s="1249"/>
      <c r="AF1103" s="1250"/>
      <c r="AG1103" s="111"/>
      <c r="AH1103" s="111"/>
      <c r="AI1103" s="111"/>
      <c r="AJ1103" s="111"/>
      <c r="AK1103" s="111"/>
      <c r="AL1103" s="111"/>
      <c r="AM1103" s="111"/>
    </row>
    <row r="1104" spans="1:39" ht="15" customHeight="1" x14ac:dyDescent="0.25">
      <c r="A1104" s="1409"/>
      <c r="B1104" s="1409"/>
      <c r="C1104" s="1409"/>
      <c r="D1104" s="1409"/>
      <c r="E1104" s="1218">
        <v>238</v>
      </c>
      <c r="F1104" s="1268" t="s">
        <v>547</v>
      </c>
      <c r="G1104" s="1218"/>
      <c r="H1104" s="1218"/>
      <c r="I1104" s="1218"/>
      <c r="J1104" s="1218"/>
      <c r="K1104" s="1218"/>
      <c r="L1104" s="1218"/>
      <c r="M1104" s="1218"/>
      <c r="N1104" s="1218"/>
      <c r="O1104" s="1218"/>
      <c r="P1104" s="1218"/>
      <c r="Q1104" s="1218"/>
      <c r="R1104" s="1218"/>
      <c r="S1104" s="1218"/>
      <c r="T1104" s="1218"/>
      <c r="U1104" s="1218"/>
      <c r="V1104" s="1218"/>
      <c r="W1104" s="1218"/>
      <c r="X1104" s="1218"/>
      <c r="Y1104" s="1218"/>
      <c r="Z1104" s="1218"/>
      <c r="AA1104" s="1218"/>
      <c r="AB1104" s="1218"/>
      <c r="AC1104" s="1218"/>
      <c r="AD1104" s="1218"/>
      <c r="AE1104" s="1218"/>
      <c r="AF1104" s="1218"/>
      <c r="AG1104" s="1218"/>
      <c r="AH1104" s="1218"/>
      <c r="AI1104" s="1218"/>
      <c r="AJ1104" s="1218"/>
      <c r="AK1104" s="1218"/>
      <c r="AL1104" s="1218"/>
      <c r="AM1104" s="1218"/>
    </row>
    <row r="1105" spans="1:39" ht="15" customHeight="1" x14ac:dyDescent="0.25">
      <c r="A1105" s="1409"/>
      <c r="B1105" s="1409"/>
      <c r="C1105" s="1409"/>
      <c r="D1105" s="1409"/>
      <c r="E1105" s="1247"/>
      <c r="F1105" s="1248"/>
      <c r="G1105" s="111"/>
      <c r="H1105" s="1249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249"/>
      <c r="T1105" s="1250"/>
      <c r="U1105" s="1250"/>
      <c r="V1105" s="1250"/>
      <c r="W1105" s="1251"/>
      <c r="X1105" s="1250"/>
      <c r="Y1105" s="1250"/>
      <c r="Z1105" s="1250"/>
      <c r="AA1105" s="1250"/>
      <c r="AB1105" s="1250"/>
      <c r="AC1105" s="1250"/>
      <c r="AD1105" s="1250"/>
      <c r="AE1105" s="1249"/>
      <c r="AF1105" s="1250"/>
      <c r="AG1105" s="111"/>
      <c r="AH1105" s="111"/>
      <c r="AI1105" s="111"/>
      <c r="AJ1105" s="111"/>
      <c r="AK1105" s="111"/>
      <c r="AL1105" s="111"/>
      <c r="AM1105" s="111"/>
    </row>
    <row r="1106" spans="1:39" ht="15" customHeight="1" x14ac:dyDescent="0.25">
      <c r="A1106" s="1409"/>
      <c r="B1106" s="1409"/>
      <c r="C1106" s="1409"/>
      <c r="D1106" s="1409"/>
      <c r="E1106" s="1261">
        <v>23801</v>
      </c>
      <c r="F1106" s="1262" t="s">
        <v>548</v>
      </c>
      <c r="G1106" s="1261"/>
      <c r="H1106" s="1261"/>
      <c r="I1106" s="1261"/>
      <c r="J1106" s="1261"/>
      <c r="K1106" s="1261"/>
      <c r="L1106" s="1261"/>
      <c r="M1106" s="1261"/>
      <c r="N1106" s="1261"/>
      <c r="O1106" s="1261"/>
      <c r="P1106" s="1261"/>
      <c r="Q1106" s="1261"/>
      <c r="R1106" s="1261"/>
      <c r="S1106" s="1261"/>
      <c r="T1106" s="1261"/>
      <c r="U1106" s="1261"/>
      <c r="V1106" s="1261"/>
      <c r="W1106" s="1261"/>
      <c r="X1106" s="1261"/>
      <c r="Y1106" s="1261"/>
      <c r="Z1106" s="1261"/>
      <c r="AA1106" s="1261"/>
      <c r="AB1106" s="1261"/>
      <c r="AC1106" s="1261"/>
      <c r="AD1106" s="1261"/>
      <c r="AE1106" s="1261"/>
      <c r="AF1106" s="1261"/>
      <c r="AG1106" s="1261"/>
      <c r="AH1106" s="1261"/>
      <c r="AI1106" s="1261"/>
      <c r="AJ1106" s="1261"/>
      <c r="AK1106" s="1261"/>
      <c r="AL1106" s="1261"/>
      <c r="AM1106" s="1261"/>
    </row>
    <row r="1107" spans="1:39" ht="15" customHeight="1" x14ac:dyDescent="0.25">
      <c r="A1107" s="1409"/>
      <c r="B1107" s="1409"/>
      <c r="C1107" s="1409"/>
      <c r="D1107" s="1409"/>
      <c r="E1107" s="1276"/>
      <c r="F1107" s="1248" t="s">
        <v>4965</v>
      </c>
      <c r="G1107" s="111"/>
      <c r="H1107" s="1249">
        <v>165</v>
      </c>
      <c r="I1107" s="111" t="s">
        <v>1721</v>
      </c>
      <c r="J1107" s="1321" t="s">
        <v>5608</v>
      </c>
      <c r="K1107" s="162" t="s">
        <v>5610</v>
      </c>
      <c r="L1107" s="162" t="s">
        <v>5609</v>
      </c>
      <c r="M1107" s="111">
        <v>0.66666666666666663</v>
      </c>
      <c r="N1107" s="111">
        <v>110</v>
      </c>
      <c r="O1107" s="111"/>
      <c r="P1107" s="111"/>
      <c r="Q1107" s="111"/>
      <c r="R1107" s="111"/>
      <c r="S1107" s="1249">
        <v>65</v>
      </c>
      <c r="T1107" s="1250">
        <v>36.666666666666664</v>
      </c>
      <c r="U1107" s="1250"/>
      <c r="V1107" s="1250"/>
      <c r="W1107" s="1251">
        <v>50</v>
      </c>
      <c r="X1107" s="1250">
        <v>36.666666666666664</v>
      </c>
      <c r="Y1107" s="1250"/>
      <c r="Z1107" s="1250"/>
      <c r="AA1107" s="1250"/>
      <c r="AB1107" s="1250"/>
      <c r="AC1107" s="1250"/>
      <c r="AD1107" s="1250"/>
      <c r="AE1107" s="1249">
        <v>50</v>
      </c>
      <c r="AF1107" s="1250">
        <v>36.666666666666664</v>
      </c>
      <c r="AG1107" s="111"/>
      <c r="AH1107" s="111"/>
      <c r="AI1107" s="111"/>
      <c r="AJ1107" s="111"/>
      <c r="AK1107" s="111"/>
      <c r="AL1107" s="111"/>
      <c r="AM1107" s="111">
        <v>110</v>
      </c>
    </row>
    <row r="1108" spans="1:39" ht="15" customHeight="1" x14ac:dyDescent="0.25">
      <c r="A1108" s="1409"/>
      <c r="B1108" s="1409"/>
      <c r="C1108" s="1409"/>
      <c r="D1108" s="1409"/>
      <c r="E1108" s="1276"/>
      <c r="F1108" s="1248" t="s">
        <v>4966</v>
      </c>
      <c r="G1108" s="111"/>
      <c r="H1108" s="1249">
        <v>144</v>
      </c>
      <c r="I1108" s="111" t="s">
        <v>1721</v>
      </c>
      <c r="J1108" s="1321" t="s">
        <v>5608</v>
      </c>
      <c r="K1108" s="162" t="s">
        <v>5610</v>
      </c>
      <c r="L1108" s="162" t="s">
        <v>5609</v>
      </c>
      <c r="M1108" s="111">
        <v>100</v>
      </c>
      <c r="N1108" s="111">
        <v>14400</v>
      </c>
      <c r="O1108" s="111"/>
      <c r="P1108" s="111"/>
      <c r="Q1108" s="111"/>
      <c r="R1108" s="111"/>
      <c r="S1108" s="1249">
        <v>50</v>
      </c>
      <c r="T1108" s="1250">
        <v>4800</v>
      </c>
      <c r="U1108" s="1250"/>
      <c r="V1108" s="1250"/>
      <c r="W1108" s="1251">
        <v>50</v>
      </c>
      <c r="X1108" s="1250">
        <v>4800</v>
      </c>
      <c r="Y1108" s="1250"/>
      <c r="Z1108" s="1250"/>
      <c r="AA1108" s="1250"/>
      <c r="AB1108" s="1250"/>
      <c r="AC1108" s="1250"/>
      <c r="AD1108" s="1250"/>
      <c r="AE1108" s="1249">
        <v>44</v>
      </c>
      <c r="AF1108" s="1250">
        <v>4800</v>
      </c>
      <c r="AG1108" s="111"/>
      <c r="AH1108" s="111"/>
      <c r="AI1108" s="111"/>
      <c r="AJ1108" s="111"/>
      <c r="AK1108" s="111"/>
      <c r="AL1108" s="111"/>
      <c r="AM1108" s="111">
        <v>14400</v>
      </c>
    </row>
    <row r="1109" spans="1:39" ht="15" customHeight="1" x14ac:dyDescent="0.25">
      <c r="A1109" s="1409"/>
      <c r="B1109" s="1409"/>
      <c r="C1109" s="1409"/>
      <c r="D1109" s="1409"/>
      <c r="E1109" s="1276"/>
      <c r="F1109" s="1248" t="s">
        <v>4967</v>
      </c>
      <c r="G1109" s="111"/>
      <c r="H1109" s="1249">
        <v>55</v>
      </c>
      <c r="I1109" s="111" t="s">
        <v>1721</v>
      </c>
      <c r="J1109" s="1321" t="s">
        <v>5608</v>
      </c>
      <c r="K1109" s="162" t="s">
        <v>5610</v>
      </c>
      <c r="L1109" s="162" t="s">
        <v>5609</v>
      </c>
      <c r="M1109" s="111">
        <v>105</v>
      </c>
      <c r="N1109" s="111">
        <v>5775</v>
      </c>
      <c r="O1109" s="111"/>
      <c r="P1109" s="111"/>
      <c r="Q1109" s="111"/>
      <c r="R1109" s="111"/>
      <c r="S1109" s="1249">
        <v>25</v>
      </c>
      <c r="T1109" s="1250">
        <v>1925</v>
      </c>
      <c r="U1109" s="1250"/>
      <c r="V1109" s="1250"/>
      <c r="W1109" s="1251">
        <v>20</v>
      </c>
      <c r="X1109" s="1250">
        <v>1925</v>
      </c>
      <c r="Y1109" s="1250"/>
      <c r="Z1109" s="1250"/>
      <c r="AA1109" s="1250"/>
      <c r="AB1109" s="1250"/>
      <c r="AC1109" s="1250"/>
      <c r="AD1109" s="1250"/>
      <c r="AE1109" s="1249">
        <v>10</v>
      </c>
      <c r="AF1109" s="1250">
        <v>1925</v>
      </c>
      <c r="AG1109" s="111"/>
      <c r="AH1109" s="111"/>
      <c r="AI1109" s="111"/>
      <c r="AJ1109" s="111"/>
      <c r="AK1109" s="111"/>
      <c r="AL1109" s="111"/>
      <c r="AM1109" s="111">
        <v>5775</v>
      </c>
    </row>
    <row r="1110" spans="1:39" ht="15" customHeight="1" x14ac:dyDescent="0.25">
      <c r="A1110" s="1409"/>
      <c r="B1110" s="1409"/>
      <c r="C1110" s="1409"/>
      <c r="D1110" s="1409"/>
      <c r="E1110" s="1276"/>
      <c r="F1110" s="1248" t="s">
        <v>4968</v>
      </c>
      <c r="G1110" s="111"/>
      <c r="H1110" s="1249">
        <v>55</v>
      </c>
      <c r="I1110" s="111" t="s">
        <v>1721</v>
      </c>
      <c r="J1110" s="1321" t="s">
        <v>5608</v>
      </c>
      <c r="K1110" s="162" t="s">
        <v>5610</v>
      </c>
      <c r="L1110" s="162" t="s">
        <v>5609</v>
      </c>
      <c r="M1110" s="111">
        <v>110</v>
      </c>
      <c r="N1110" s="111">
        <v>6050</v>
      </c>
      <c r="O1110" s="111"/>
      <c r="P1110" s="111"/>
      <c r="Q1110" s="111"/>
      <c r="R1110" s="111"/>
      <c r="S1110" s="1249">
        <v>25</v>
      </c>
      <c r="T1110" s="1250">
        <v>2016.6666666666667</v>
      </c>
      <c r="U1110" s="1250"/>
      <c r="V1110" s="1250"/>
      <c r="W1110" s="1251">
        <v>20</v>
      </c>
      <c r="X1110" s="1250">
        <v>2016.6666666666667</v>
      </c>
      <c r="Y1110" s="1250"/>
      <c r="Z1110" s="1250"/>
      <c r="AA1110" s="1250"/>
      <c r="AB1110" s="1250"/>
      <c r="AC1110" s="1250"/>
      <c r="AD1110" s="1250"/>
      <c r="AE1110" s="1249">
        <v>10</v>
      </c>
      <c r="AF1110" s="1250">
        <v>2016.6666666666667</v>
      </c>
      <c r="AG1110" s="111"/>
      <c r="AH1110" s="111"/>
      <c r="AI1110" s="111"/>
      <c r="AJ1110" s="111"/>
      <c r="AK1110" s="111"/>
      <c r="AL1110" s="111"/>
      <c r="AM1110" s="111">
        <v>6050</v>
      </c>
    </row>
    <row r="1111" spans="1:39" ht="15" customHeight="1" x14ac:dyDescent="0.25">
      <c r="A1111" s="1409"/>
      <c r="B1111" s="1409"/>
      <c r="C1111" s="1409"/>
      <c r="D1111" s="1409"/>
      <c r="E1111" s="1276"/>
      <c r="F1111" s="1248"/>
      <c r="G1111" s="111"/>
      <c r="H1111" s="1249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249"/>
      <c r="T1111" s="1250"/>
      <c r="U1111" s="1250"/>
      <c r="V1111" s="1250"/>
      <c r="W1111" s="1251"/>
      <c r="X1111" s="1250"/>
      <c r="Y1111" s="1250"/>
      <c r="Z1111" s="1250"/>
      <c r="AA1111" s="1250"/>
      <c r="AB1111" s="1250"/>
      <c r="AC1111" s="1250"/>
      <c r="AD1111" s="1250"/>
      <c r="AE1111" s="1249"/>
      <c r="AF1111" s="1250"/>
      <c r="AG1111" s="111"/>
      <c r="AH1111" s="111"/>
      <c r="AI1111" s="111"/>
      <c r="AJ1111" s="111"/>
      <c r="AK1111" s="111"/>
      <c r="AL1111" s="111"/>
      <c r="AM1111" s="111"/>
    </row>
    <row r="1112" spans="1:39" ht="15" customHeight="1" x14ac:dyDescent="0.25">
      <c r="A1112" s="1409"/>
      <c r="B1112" s="1409"/>
      <c r="C1112" s="1409"/>
      <c r="D1112" s="1409"/>
      <c r="E1112" s="1218">
        <v>239</v>
      </c>
      <c r="F1112" s="1268" t="s">
        <v>551</v>
      </c>
      <c r="G1112" s="1218"/>
      <c r="H1112" s="1218"/>
      <c r="I1112" s="1218"/>
      <c r="J1112" s="1218"/>
      <c r="K1112" s="1218"/>
      <c r="L1112" s="1218"/>
      <c r="M1112" s="1218"/>
      <c r="N1112" s="1218"/>
      <c r="O1112" s="1218"/>
      <c r="P1112" s="1218"/>
      <c r="Q1112" s="1218"/>
      <c r="R1112" s="1218"/>
      <c r="S1112" s="1218"/>
      <c r="T1112" s="1218"/>
      <c r="U1112" s="1218"/>
      <c r="V1112" s="1218"/>
      <c r="W1112" s="1218"/>
      <c r="X1112" s="1218"/>
      <c r="Y1112" s="1218"/>
      <c r="Z1112" s="1218"/>
      <c r="AA1112" s="1218"/>
      <c r="AB1112" s="1218"/>
      <c r="AC1112" s="1218"/>
      <c r="AD1112" s="1218"/>
      <c r="AE1112" s="1218"/>
      <c r="AF1112" s="1218"/>
      <c r="AG1112" s="1218"/>
      <c r="AH1112" s="1218"/>
      <c r="AI1112" s="1218"/>
      <c r="AJ1112" s="1218"/>
      <c r="AK1112" s="1218"/>
      <c r="AL1112" s="1218"/>
      <c r="AM1112" s="1218"/>
    </row>
    <row r="1113" spans="1:39" ht="15" customHeight="1" x14ac:dyDescent="0.25">
      <c r="A1113" s="1409"/>
      <c r="B1113" s="1409"/>
      <c r="C1113" s="1409"/>
      <c r="D1113" s="1409"/>
      <c r="E1113" s="1247"/>
      <c r="F1113" s="1248"/>
      <c r="G1113" s="111"/>
      <c r="H1113" s="1249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249"/>
      <c r="T1113" s="1250"/>
      <c r="U1113" s="1250"/>
      <c r="V1113" s="1250"/>
      <c r="W1113" s="1251"/>
      <c r="X1113" s="1250"/>
      <c r="Y1113" s="1250"/>
      <c r="Z1113" s="1250"/>
      <c r="AA1113" s="1250"/>
      <c r="AB1113" s="1250"/>
      <c r="AC1113" s="1250"/>
      <c r="AD1113" s="1250"/>
      <c r="AE1113" s="1249"/>
      <c r="AF1113" s="1250"/>
      <c r="AG1113" s="111"/>
      <c r="AH1113" s="111"/>
      <c r="AI1113" s="111"/>
      <c r="AJ1113" s="111"/>
      <c r="AK1113" s="111"/>
      <c r="AL1113" s="111"/>
      <c r="AM1113" s="111"/>
    </row>
    <row r="1114" spans="1:39" ht="15" customHeight="1" x14ac:dyDescent="0.25">
      <c r="A1114" s="1409"/>
      <c r="B1114" s="1409"/>
      <c r="C1114" s="1409"/>
      <c r="D1114" s="1409"/>
      <c r="E1114" s="1261">
        <v>23901</v>
      </c>
      <c r="F1114" s="1262" t="s">
        <v>552</v>
      </c>
      <c r="G1114" s="1261"/>
      <c r="H1114" s="1261"/>
      <c r="I1114" s="1261"/>
      <c r="J1114" s="1261"/>
      <c r="K1114" s="1261"/>
      <c r="L1114" s="1261"/>
      <c r="M1114" s="1261"/>
      <c r="N1114" s="1261"/>
      <c r="O1114" s="1261"/>
      <c r="P1114" s="1261"/>
      <c r="Q1114" s="1261"/>
      <c r="R1114" s="1261"/>
      <c r="S1114" s="1261"/>
      <c r="T1114" s="1261"/>
      <c r="U1114" s="1261"/>
      <c r="V1114" s="1261"/>
      <c r="W1114" s="1261"/>
      <c r="X1114" s="1261"/>
      <c r="Y1114" s="1261"/>
      <c r="Z1114" s="1261"/>
      <c r="AA1114" s="1261"/>
      <c r="AB1114" s="1261"/>
      <c r="AC1114" s="1261"/>
      <c r="AD1114" s="1261"/>
      <c r="AE1114" s="1261"/>
      <c r="AF1114" s="1261"/>
      <c r="AG1114" s="1261"/>
      <c r="AH1114" s="1261"/>
      <c r="AI1114" s="1261"/>
      <c r="AJ1114" s="1261"/>
      <c r="AK1114" s="1261"/>
      <c r="AL1114" s="1261"/>
      <c r="AM1114" s="1261"/>
    </row>
    <row r="1115" spans="1:39" ht="15" customHeight="1" x14ac:dyDescent="0.25">
      <c r="A1115" s="1409"/>
      <c r="B1115" s="1409"/>
      <c r="C1115" s="1409"/>
      <c r="D1115" s="1409"/>
      <c r="E1115" s="1247"/>
      <c r="F1115" s="1248" t="s">
        <v>4969</v>
      </c>
      <c r="G1115" s="111"/>
      <c r="H1115" s="1249">
        <v>60</v>
      </c>
      <c r="I1115" s="111" t="s">
        <v>1721</v>
      </c>
      <c r="J1115" s="1321" t="s">
        <v>5608</v>
      </c>
      <c r="K1115" s="162" t="s">
        <v>5610</v>
      </c>
      <c r="L1115" s="162" t="s">
        <v>5609</v>
      </c>
      <c r="M1115" s="111">
        <v>10</v>
      </c>
      <c r="N1115" s="111">
        <v>600</v>
      </c>
      <c r="O1115" s="111"/>
      <c r="P1115" s="111"/>
      <c r="Q1115" s="111"/>
      <c r="R1115" s="111"/>
      <c r="S1115" s="1249">
        <v>30</v>
      </c>
      <c r="T1115" s="1250">
        <v>200</v>
      </c>
      <c r="U1115" s="1250"/>
      <c r="V1115" s="1250"/>
      <c r="W1115" s="1251">
        <v>20</v>
      </c>
      <c r="X1115" s="1250">
        <v>200</v>
      </c>
      <c r="Y1115" s="1250"/>
      <c r="Z1115" s="1250"/>
      <c r="AA1115" s="1250"/>
      <c r="AB1115" s="1250"/>
      <c r="AC1115" s="1250"/>
      <c r="AD1115" s="1250"/>
      <c r="AE1115" s="1249">
        <v>10</v>
      </c>
      <c r="AF1115" s="1250">
        <v>200</v>
      </c>
      <c r="AG1115" s="111"/>
      <c r="AH1115" s="111"/>
      <c r="AI1115" s="111"/>
      <c r="AJ1115" s="111"/>
      <c r="AK1115" s="111"/>
      <c r="AL1115" s="111"/>
      <c r="AM1115" s="111">
        <v>600</v>
      </c>
    </row>
    <row r="1116" spans="1:39" ht="15" customHeight="1" x14ac:dyDescent="0.25">
      <c r="A1116" s="1409"/>
      <c r="B1116" s="1409"/>
      <c r="C1116" s="1409"/>
      <c r="D1116" s="1409"/>
      <c r="E1116" s="1247"/>
      <c r="F1116" s="1248" t="s">
        <v>4970</v>
      </c>
      <c r="G1116" s="111"/>
      <c r="H1116" s="1249">
        <v>150</v>
      </c>
      <c r="I1116" s="111" t="s">
        <v>1721</v>
      </c>
      <c r="J1116" s="1321" t="s">
        <v>5608</v>
      </c>
      <c r="K1116" s="162" t="s">
        <v>5610</v>
      </c>
      <c r="L1116" s="162" t="s">
        <v>5609</v>
      </c>
      <c r="M1116" s="111">
        <v>125</v>
      </c>
      <c r="N1116" s="111">
        <v>18750</v>
      </c>
      <c r="O1116" s="111"/>
      <c r="P1116" s="111"/>
      <c r="Q1116" s="111"/>
      <c r="R1116" s="111"/>
      <c r="S1116" s="1249">
        <v>50</v>
      </c>
      <c r="T1116" s="1250">
        <v>6250</v>
      </c>
      <c r="U1116" s="1250"/>
      <c r="V1116" s="1250"/>
      <c r="W1116" s="1251">
        <v>50</v>
      </c>
      <c r="X1116" s="1250">
        <v>6250</v>
      </c>
      <c r="Y1116" s="1250"/>
      <c r="Z1116" s="1250"/>
      <c r="AA1116" s="1250"/>
      <c r="AB1116" s="1250"/>
      <c r="AC1116" s="1250"/>
      <c r="AD1116" s="1250"/>
      <c r="AE1116" s="1249">
        <v>50</v>
      </c>
      <c r="AF1116" s="1250">
        <v>6250</v>
      </c>
      <c r="AG1116" s="111"/>
      <c r="AH1116" s="111"/>
      <c r="AI1116" s="111"/>
      <c r="AJ1116" s="111"/>
      <c r="AK1116" s="111"/>
      <c r="AL1116" s="111"/>
      <c r="AM1116" s="111">
        <v>18750</v>
      </c>
    </row>
    <row r="1117" spans="1:39" ht="15" customHeight="1" x14ac:dyDescent="0.25">
      <c r="A1117" s="1409"/>
      <c r="B1117" s="1409"/>
      <c r="C1117" s="1409"/>
      <c r="D1117" s="1409"/>
      <c r="E1117" s="1247"/>
      <c r="F1117" s="1248" t="s">
        <v>4971</v>
      </c>
      <c r="G1117" s="111"/>
      <c r="H1117" s="1249">
        <v>100</v>
      </c>
      <c r="I1117" s="111" t="s">
        <v>1721</v>
      </c>
      <c r="J1117" s="1321" t="s">
        <v>5608</v>
      </c>
      <c r="K1117" s="162" t="s">
        <v>5610</v>
      </c>
      <c r="L1117" s="162" t="s">
        <v>5609</v>
      </c>
      <c r="M1117" s="111">
        <v>10</v>
      </c>
      <c r="N1117" s="111">
        <v>1000</v>
      </c>
      <c r="O1117" s="111"/>
      <c r="P1117" s="111"/>
      <c r="Q1117" s="111"/>
      <c r="R1117" s="111"/>
      <c r="S1117" s="1249">
        <v>40</v>
      </c>
      <c r="T1117" s="1250">
        <v>333.33333333333331</v>
      </c>
      <c r="U1117" s="1250"/>
      <c r="V1117" s="1250"/>
      <c r="W1117" s="1251">
        <v>40</v>
      </c>
      <c r="X1117" s="1250">
        <v>333.33333333333331</v>
      </c>
      <c r="Y1117" s="1250"/>
      <c r="Z1117" s="1250"/>
      <c r="AA1117" s="1250"/>
      <c r="AB1117" s="1250"/>
      <c r="AC1117" s="1250"/>
      <c r="AD1117" s="1250"/>
      <c r="AE1117" s="1249">
        <v>20</v>
      </c>
      <c r="AF1117" s="1250">
        <v>333.33333333333331</v>
      </c>
      <c r="AG1117" s="111"/>
      <c r="AH1117" s="111"/>
      <c r="AI1117" s="111"/>
      <c r="AJ1117" s="111"/>
      <c r="AK1117" s="111"/>
      <c r="AL1117" s="111"/>
      <c r="AM1117" s="111">
        <v>1000</v>
      </c>
    </row>
    <row r="1118" spans="1:39" ht="15" customHeight="1" x14ac:dyDescent="0.25">
      <c r="A1118" s="1409"/>
      <c r="B1118" s="1409"/>
      <c r="C1118" s="1409"/>
      <c r="D1118" s="1409"/>
      <c r="E1118" s="1247"/>
      <c r="F1118" s="1248" t="s">
        <v>286</v>
      </c>
      <c r="G1118" s="111"/>
      <c r="H1118" s="1249">
        <v>288</v>
      </c>
      <c r="I1118" s="111" t="s">
        <v>1721</v>
      </c>
      <c r="J1118" s="1321" t="s">
        <v>5608</v>
      </c>
      <c r="K1118" s="162" t="s">
        <v>5610</v>
      </c>
      <c r="L1118" s="162" t="s">
        <v>5609</v>
      </c>
      <c r="M1118" s="111">
        <v>15</v>
      </c>
      <c r="N1118" s="111">
        <v>4320</v>
      </c>
      <c r="O1118" s="111"/>
      <c r="P1118" s="111"/>
      <c r="Q1118" s="111"/>
      <c r="R1118" s="111"/>
      <c r="S1118" s="1249">
        <v>100</v>
      </c>
      <c r="T1118" s="1250">
        <v>1440</v>
      </c>
      <c r="U1118" s="1250"/>
      <c r="V1118" s="1250"/>
      <c r="W1118" s="1251">
        <v>100</v>
      </c>
      <c r="X1118" s="1250">
        <v>1440</v>
      </c>
      <c r="Y1118" s="1250"/>
      <c r="Z1118" s="1250"/>
      <c r="AA1118" s="1250"/>
      <c r="AB1118" s="1250"/>
      <c r="AC1118" s="1250"/>
      <c r="AD1118" s="1250"/>
      <c r="AE1118" s="1249">
        <v>88</v>
      </c>
      <c r="AF1118" s="1250">
        <v>1440</v>
      </c>
      <c r="AG1118" s="111"/>
      <c r="AH1118" s="111"/>
      <c r="AI1118" s="111"/>
      <c r="AJ1118" s="111"/>
      <c r="AK1118" s="111"/>
      <c r="AL1118" s="111"/>
      <c r="AM1118" s="111">
        <v>4320</v>
      </c>
    </row>
    <row r="1119" spans="1:39" ht="15" customHeight="1" x14ac:dyDescent="0.25">
      <c r="A1119" s="1409"/>
      <c r="B1119" s="1409"/>
      <c r="C1119" s="1409"/>
      <c r="D1119" s="1409"/>
      <c r="E1119" s="1247"/>
      <c r="F1119" s="1248" t="s">
        <v>4619</v>
      </c>
      <c r="G1119" s="111"/>
      <c r="H1119" s="1249">
        <v>2000</v>
      </c>
      <c r="I1119" s="111" t="s">
        <v>1721</v>
      </c>
      <c r="J1119" s="1321" t="s">
        <v>5608</v>
      </c>
      <c r="K1119" s="162" t="s">
        <v>5610</v>
      </c>
      <c r="L1119" s="162" t="s">
        <v>5609</v>
      </c>
      <c r="M1119" s="111">
        <v>10</v>
      </c>
      <c r="N1119" s="111">
        <v>20000</v>
      </c>
      <c r="O1119" s="111"/>
      <c r="P1119" s="111"/>
      <c r="Q1119" s="111"/>
      <c r="R1119" s="111"/>
      <c r="S1119" s="1249">
        <v>800</v>
      </c>
      <c r="T1119" s="1250">
        <v>6666.666666666667</v>
      </c>
      <c r="U1119" s="1250"/>
      <c r="V1119" s="1250"/>
      <c r="W1119" s="1251">
        <v>800</v>
      </c>
      <c r="X1119" s="1250">
        <v>6666.666666666667</v>
      </c>
      <c r="Y1119" s="1250"/>
      <c r="Z1119" s="1250"/>
      <c r="AA1119" s="1250"/>
      <c r="AB1119" s="1250"/>
      <c r="AC1119" s="1250"/>
      <c r="AD1119" s="1250"/>
      <c r="AE1119" s="1249">
        <v>400</v>
      </c>
      <c r="AF1119" s="1250">
        <v>6666.666666666667</v>
      </c>
      <c r="AG1119" s="111"/>
      <c r="AH1119" s="111"/>
      <c r="AI1119" s="111"/>
      <c r="AJ1119" s="111"/>
      <c r="AK1119" s="111"/>
      <c r="AL1119" s="111"/>
      <c r="AM1119" s="111">
        <v>20000</v>
      </c>
    </row>
    <row r="1120" spans="1:39" ht="15" customHeight="1" x14ac:dyDescent="0.25">
      <c r="A1120" s="1409"/>
      <c r="B1120" s="1409"/>
      <c r="C1120" s="1409"/>
      <c r="D1120" s="1409"/>
      <c r="E1120" s="1247"/>
      <c r="F1120" s="1248" t="s">
        <v>4972</v>
      </c>
      <c r="G1120" s="111"/>
      <c r="H1120" s="1249">
        <v>200</v>
      </c>
      <c r="I1120" s="111" t="s">
        <v>1721</v>
      </c>
      <c r="J1120" s="1321" t="s">
        <v>5608</v>
      </c>
      <c r="K1120" s="162" t="s">
        <v>5610</v>
      </c>
      <c r="L1120" s="162" t="s">
        <v>5609</v>
      </c>
      <c r="M1120" s="111">
        <v>130</v>
      </c>
      <c r="N1120" s="111">
        <v>26000</v>
      </c>
      <c r="O1120" s="111"/>
      <c r="P1120" s="111"/>
      <c r="Q1120" s="111"/>
      <c r="R1120" s="111"/>
      <c r="S1120" s="1249">
        <v>100</v>
      </c>
      <c r="T1120" s="1250">
        <v>8666.6666666666661</v>
      </c>
      <c r="U1120" s="1250"/>
      <c r="V1120" s="1250"/>
      <c r="W1120" s="1251">
        <v>50</v>
      </c>
      <c r="X1120" s="1250">
        <v>8666.6666666666661</v>
      </c>
      <c r="Y1120" s="1250"/>
      <c r="Z1120" s="1250"/>
      <c r="AA1120" s="1250"/>
      <c r="AB1120" s="1250"/>
      <c r="AC1120" s="1250"/>
      <c r="AD1120" s="1250"/>
      <c r="AE1120" s="1249">
        <v>50</v>
      </c>
      <c r="AF1120" s="1250">
        <v>8666.6666666666661</v>
      </c>
      <c r="AG1120" s="111"/>
      <c r="AH1120" s="111"/>
      <c r="AI1120" s="111"/>
      <c r="AJ1120" s="111"/>
      <c r="AK1120" s="111"/>
      <c r="AL1120" s="111"/>
      <c r="AM1120" s="111">
        <v>26000</v>
      </c>
    </row>
    <row r="1121" spans="1:39" ht="15" customHeight="1" x14ac:dyDescent="0.25">
      <c r="A1121" s="1409"/>
      <c r="B1121" s="1409"/>
      <c r="C1121" s="1409"/>
      <c r="D1121" s="1409"/>
      <c r="E1121" s="1247"/>
      <c r="F1121" s="1248" t="s">
        <v>4973</v>
      </c>
      <c r="G1121" s="111"/>
      <c r="H1121" s="1249">
        <v>1000</v>
      </c>
      <c r="I1121" s="111" t="s">
        <v>1721</v>
      </c>
      <c r="J1121" s="1321" t="s">
        <v>5608</v>
      </c>
      <c r="K1121" s="162" t="s">
        <v>5610</v>
      </c>
      <c r="L1121" s="162" t="s">
        <v>5609</v>
      </c>
      <c r="M1121" s="111">
        <v>135</v>
      </c>
      <c r="N1121" s="111">
        <v>135000</v>
      </c>
      <c r="O1121" s="111"/>
      <c r="P1121" s="111"/>
      <c r="Q1121" s="111"/>
      <c r="R1121" s="111"/>
      <c r="S1121" s="1249">
        <v>400</v>
      </c>
      <c r="T1121" s="1250">
        <v>45000</v>
      </c>
      <c r="U1121" s="1250"/>
      <c r="V1121" s="1250"/>
      <c r="W1121" s="1251">
        <v>400</v>
      </c>
      <c r="X1121" s="1250">
        <v>45000</v>
      </c>
      <c r="Y1121" s="1250"/>
      <c r="Z1121" s="1250"/>
      <c r="AA1121" s="1250"/>
      <c r="AB1121" s="1250"/>
      <c r="AC1121" s="1250"/>
      <c r="AD1121" s="1250"/>
      <c r="AE1121" s="1249">
        <v>200</v>
      </c>
      <c r="AF1121" s="1250">
        <v>45000</v>
      </c>
      <c r="AG1121" s="111"/>
      <c r="AH1121" s="111"/>
      <c r="AI1121" s="111"/>
      <c r="AJ1121" s="111"/>
      <c r="AK1121" s="111"/>
      <c r="AL1121" s="111"/>
      <c r="AM1121" s="111">
        <v>135000</v>
      </c>
    </row>
    <row r="1122" spans="1:39" ht="15" customHeight="1" x14ac:dyDescent="0.25">
      <c r="A1122" s="1409"/>
      <c r="B1122" s="1409"/>
      <c r="C1122" s="1409"/>
      <c r="D1122" s="1409"/>
      <c r="E1122" s="1247"/>
      <c r="F1122" s="1248" t="s">
        <v>4974</v>
      </c>
      <c r="G1122" s="111"/>
      <c r="H1122" s="1249">
        <v>100</v>
      </c>
      <c r="I1122" s="111" t="s">
        <v>1721</v>
      </c>
      <c r="J1122" s="1321" t="s">
        <v>5608</v>
      </c>
      <c r="K1122" s="162" t="s">
        <v>5610</v>
      </c>
      <c r="L1122" s="162" t="s">
        <v>5609</v>
      </c>
      <c r="M1122" s="111">
        <v>30</v>
      </c>
      <c r="N1122" s="111">
        <v>3000</v>
      </c>
      <c r="O1122" s="111"/>
      <c r="P1122" s="111"/>
      <c r="Q1122" s="111"/>
      <c r="R1122" s="111"/>
      <c r="S1122" s="1249">
        <v>40</v>
      </c>
      <c r="T1122" s="1250">
        <v>1000</v>
      </c>
      <c r="U1122" s="1250"/>
      <c r="V1122" s="1250"/>
      <c r="W1122" s="1251">
        <v>40</v>
      </c>
      <c r="X1122" s="1250">
        <v>1000</v>
      </c>
      <c r="Y1122" s="1250"/>
      <c r="Z1122" s="1250"/>
      <c r="AA1122" s="1250"/>
      <c r="AB1122" s="1250"/>
      <c r="AC1122" s="1250"/>
      <c r="AD1122" s="1250"/>
      <c r="AE1122" s="1249">
        <v>20</v>
      </c>
      <c r="AF1122" s="1250">
        <v>1000</v>
      </c>
      <c r="AG1122" s="111"/>
      <c r="AH1122" s="111"/>
      <c r="AI1122" s="111"/>
      <c r="AJ1122" s="111"/>
      <c r="AK1122" s="111"/>
      <c r="AL1122" s="111"/>
      <c r="AM1122" s="111">
        <v>3000</v>
      </c>
    </row>
    <row r="1123" spans="1:39" ht="15" customHeight="1" x14ac:dyDescent="0.25">
      <c r="A1123" s="1409"/>
      <c r="B1123" s="1409"/>
      <c r="C1123" s="1409"/>
      <c r="D1123" s="1409"/>
      <c r="E1123" s="1247"/>
      <c r="F1123" s="1248" t="s">
        <v>4975</v>
      </c>
      <c r="G1123" s="111"/>
      <c r="H1123" s="1249">
        <v>100</v>
      </c>
      <c r="I1123" s="111" t="s">
        <v>1721</v>
      </c>
      <c r="J1123" s="1321" t="s">
        <v>5608</v>
      </c>
      <c r="K1123" s="162" t="s">
        <v>5610</v>
      </c>
      <c r="L1123" s="162" t="s">
        <v>5609</v>
      </c>
      <c r="M1123" s="111">
        <v>35</v>
      </c>
      <c r="N1123" s="111">
        <v>3500</v>
      </c>
      <c r="O1123" s="111"/>
      <c r="P1123" s="111"/>
      <c r="Q1123" s="111"/>
      <c r="R1123" s="111"/>
      <c r="S1123" s="1249">
        <v>40</v>
      </c>
      <c r="T1123" s="1250">
        <v>1166.6666666666667</v>
      </c>
      <c r="U1123" s="1250"/>
      <c r="V1123" s="1250"/>
      <c r="W1123" s="1251">
        <v>40</v>
      </c>
      <c r="X1123" s="1250">
        <v>1166.6666666666667</v>
      </c>
      <c r="Y1123" s="1250"/>
      <c r="Z1123" s="1250"/>
      <c r="AA1123" s="1250"/>
      <c r="AB1123" s="1250"/>
      <c r="AC1123" s="1250"/>
      <c r="AD1123" s="1250"/>
      <c r="AE1123" s="1249">
        <v>20</v>
      </c>
      <c r="AF1123" s="1250">
        <v>1166.6666666666667</v>
      </c>
      <c r="AG1123" s="111"/>
      <c r="AH1123" s="111"/>
      <c r="AI1123" s="111"/>
      <c r="AJ1123" s="111"/>
      <c r="AK1123" s="111"/>
      <c r="AL1123" s="111"/>
      <c r="AM1123" s="111">
        <v>3500</v>
      </c>
    </row>
    <row r="1124" spans="1:39" ht="15" customHeight="1" x14ac:dyDescent="0.25">
      <c r="A1124" s="1409"/>
      <c r="B1124" s="1409"/>
      <c r="C1124" s="1409"/>
      <c r="D1124" s="1409"/>
      <c r="E1124" s="1247"/>
      <c r="F1124" s="1248" t="s">
        <v>4976</v>
      </c>
      <c r="G1124" s="111"/>
      <c r="H1124" s="1249">
        <v>100</v>
      </c>
      <c r="I1124" s="111" t="s">
        <v>1721</v>
      </c>
      <c r="J1124" s="1321" t="s">
        <v>5608</v>
      </c>
      <c r="K1124" s="162" t="s">
        <v>5610</v>
      </c>
      <c r="L1124" s="162" t="s">
        <v>5609</v>
      </c>
      <c r="M1124" s="111">
        <v>40</v>
      </c>
      <c r="N1124" s="111">
        <v>4000</v>
      </c>
      <c r="O1124" s="111"/>
      <c r="P1124" s="111"/>
      <c r="Q1124" s="111"/>
      <c r="R1124" s="111"/>
      <c r="S1124" s="1249">
        <v>40</v>
      </c>
      <c r="T1124" s="1250">
        <v>1333.3333333333333</v>
      </c>
      <c r="U1124" s="1250"/>
      <c r="V1124" s="1250"/>
      <c r="W1124" s="1251">
        <v>40</v>
      </c>
      <c r="X1124" s="1250">
        <v>1333.3333333333333</v>
      </c>
      <c r="Y1124" s="1250"/>
      <c r="Z1124" s="1250"/>
      <c r="AA1124" s="1250"/>
      <c r="AB1124" s="1250"/>
      <c r="AC1124" s="1250"/>
      <c r="AD1124" s="1250"/>
      <c r="AE1124" s="1249">
        <v>20</v>
      </c>
      <c r="AF1124" s="1250">
        <v>1333.3333333333333</v>
      </c>
      <c r="AG1124" s="111"/>
      <c r="AH1124" s="111"/>
      <c r="AI1124" s="111"/>
      <c r="AJ1124" s="111"/>
      <c r="AK1124" s="111"/>
      <c r="AL1124" s="111"/>
      <c r="AM1124" s="111">
        <v>4000</v>
      </c>
    </row>
    <row r="1125" spans="1:39" ht="15" customHeight="1" x14ac:dyDescent="0.25">
      <c r="A1125" s="1409"/>
      <c r="B1125" s="1409"/>
      <c r="C1125" s="1409"/>
      <c r="D1125" s="1409"/>
      <c r="E1125" s="1247"/>
      <c r="F1125" s="1248" t="s">
        <v>4977</v>
      </c>
      <c r="G1125" s="111"/>
      <c r="H1125" s="1249">
        <v>100</v>
      </c>
      <c r="I1125" s="111" t="s">
        <v>1721</v>
      </c>
      <c r="J1125" s="1321" t="s">
        <v>5608</v>
      </c>
      <c r="K1125" s="162" t="s">
        <v>5610</v>
      </c>
      <c r="L1125" s="162" t="s">
        <v>5609</v>
      </c>
      <c r="M1125" s="111">
        <v>45</v>
      </c>
      <c r="N1125" s="111">
        <v>4500</v>
      </c>
      <c r="O1125" s="111"/>
      <c r="P1125" s="111"/>
      <c r="Q1125" s="111"/>
      <c r="R1125" s="111"/>
      <c r="S1125" s="1249">
        <v>40</v>
      </c>
      <c r="T1125" s="1250">
        <v>1500</v>
      </c>
      <c r="U1125" s="1250"/>
      <c r="V1125" s="1250"/>
      <c r="W1125" s="1251">
        <v>40</v>
      </c>
      <c r="X1125" s="1250">
        <v>1500</v>
      </c>
      <c r="Y1125" s="1250"/>
      <c r="Z1125" s="1250"/>
      <c r="AA1125" s="1250"/>
      <c r="AB1125" s="1250"/>
      <c r="AC1125" s="1250"/>
      <c r="AD1125" s="1250"/>
      <c r="AE1125" s="1249">
        <v>20</v>
      </c>
      <c r="AF1125" s="1250">
        <v>1500</v>
      </c>
      <c r="AG1125" s="111"/>
      <c r="AH1125" s="111"/>
      <c r="AI1125" s="111"/>
      <c r="AJ1125" s="111"/>
      <c r="AK1125" s="111"/>
      <c r="AL1125" s="111"/>
      <c r="AM1125" s="111">
        <v>4500</v>
      </c>
    </row>
    <row r="1126" spans="1:39" ht="15" customHeight="1" x14ac:dyDescent="0.25">
      <c r="A1126" s="1409"/>
      <c r="B1126" s="1409"/>
      <c r="C1126" s="1409"/>
      <c r="D1126" s="1409"/>
      <c r="E1126" s="1247"/>
      <c r="F1126" s="1248" t="s">
        <v>4978</v>
      </c>
      <c r="G1126" s="111"/>
      <c r="H1126" s="1249">
        <v>100</v>
      </c>
      <c r="I1126" s="111" t="s">
        <v>1721</v>
      </c>
      <c r="J1126" s="1321" t="s">
        <v>5608</v>
      </c>
      <c r="K1126" s="162" t="s">
        <v>5610</v>
      </c>
      <c r="L1126" s="162" t="s">
        <v>5609</v>
      </c>
      <c r="M1126" s="111">
        <v>50</v>
      </c>
      <c r="N1126" s="111">
        <v>5000</v>
      </c>
      <c r="O1126" s="111"/>
      <c r="P1126" s="111"/>
      <c r="Q1126" s="111"/>
      <c r="R1126" s="111"/>
      <c r="S1126" s="1249">
        <v>40</v>
      </c>
      <c r="T1126" s="1250">
        <v>1666.6666666666667</v>
      </c>
      <c r="U1126" s="1250"/>
      <c r="V1126" s="1250"/>
      <c r="W1126" s="1251">
        <v>40</v>
      </c>
      <c r="X1126" s="1250">
        <v>1666.6666666666667</v>
      </c>
      <c r="Y1126" s="1250"/>
      <c r="Z1126" s="1250"/>
      <c r="AA1126" s="1250"/>
      <c r="AB1126" s="1250"/>
      <c r="AC1126" s="1250"/>
      <c r="AD1126" s="1250"/>
      <c r="AE1126" s="1249">
        <v>20</v>
      </c>
      <c r="AF1126" s="1250">
        <v>1666.6666666666667</v>
      </c>
      <c r="AG1126" s="111"/>
      <c r="AH1126" s="111"/>
      <c r="AI1126" s="111"/>
      <c r="AJ1126" s="111"/>
      <c r="AK1126" s="111"/>
      <c r="AL1126" s="111"/>
      <c r="AM1126" s="111">
        <v>5000</v>
      </c>
    </row>
    <row r="1127" spans="1:39" ht="15" customHeight="1" x14ac:dyDescent="0.25">
      <c r="A1127" s="1409"/>
      <c r="B1127" s="1409"/>
      <c r="C1127" s="1409"/>
      <c r="D1127" s="1409"/>
      <c r="E1127" s="1247"/>
      <c r="F1127" s="1248" t="s">
        <v>4979</v>
      </c>
      <c r="G1127" s="111"/>
      <c r="H1127" s="1249">
        <v>100</v>
      </c>
      <c r="I1127" s="111" t="s">
        <v>1721</v>
      </c>
      <c r="J1127" s="1321" t="s">
        <v>5608</v>
      </c>
      <c r="K1127" s="162" t="s">
        <v>5610</v>
      </c>
      <c r="L1127" s="162" t="s">
        <v>5609</v>
      </c>
      <c r="M1127" s="111">
        <v>55</v>
      </c>
      <c r="N1127" s="111">
        <v>5500</v>
      </c>
      <c r="O1127" s="111"/>
      <c r="P1127" s="111"/>
      <c r="Q1127" s="111"/>
      <c r="R1127" s="111"/>
      <c r="S1127" s="1249">
        <v>40</v>
      </c>
      <c r="T1127" s="1250">
        <v>1833.3333333333333</v>
      </c>
      <c r="U1127" s="1250"/>
      <c r="V1127" s="1250"/>
      <c r="W1127" s="1251">
        <v>40</v>
      </c>
      <c r="X1127" s="1250">
        <v>1833.3333333333333</v>
      </c>
      <c r="Y1127" s="1250"/>
      <c r="Z1127" s="1250"/>
      <c r="AA1127" s="1250"/>
      <c r="AB1127" s="1250"/>
      <c r="AC1127" s="1250"/>
      <c r="AD1127" s="1250"/>
      <c r="AE1127" s="1249">
        <v>20</v>
      </c>
      <c r="AF1127" s="1250">
        <v>1833.3333333333333</v>
      </c>
      <c r="AG1127" s="111"/>
      <c r="AH1127" s="111"/>
      <c r="AI1127" s="111"/>
      <c r="AJ1127" s="111"/>
      <c r="AK1127" s="111"/>
      <c r="AL1127" s="111"/>
      <c r="AM1127" s="111">
        <v>5500</v>
      </c>
    </row>
    <row r="1128" spans="1:39" ht="15" customHeight="1" x14ac:dyDescent="0.25">
      <c r="A1128" s="1409"/>
      <c r="B1128" s="1409"/>
      <c r="C1128" s="1409"/>
      <c r="D1128" s="1409"/>
      <c r="E1128" s="1247"/>
      <c r="F1128" s="1248" t="s">
        <v>4980</v>
      </c>
      <c r="G1128" s="111"/>
      <c r="H1128" s="1249">
        <v>100</v>
      </c>
      <c r="I1128" s="111" t="s">
        <v>1721</v>
      </c>
      <c r="J1128" s="1321" t="s">
        <v>5608</v>
      </c>
      <c r="K1128" s="162" t="s">
        <v>5610</v>
      </c>
      <c r="L1128" s="162" t="s">
        <v>5609</v>
      </c>
      <c r="M1128" s="111">
        <v>60</v>
      </c>
      <c r="N1128" s="111">
        <v>6000</v>
      </c>
      <c r="O1128" s="111"/>
      <c r="P1128" s="111"/>
      <c r="Q1128" s="111"/>
      <c r="R1128" s="111"/>
      <c r="S1128" s="1249">
        <v>40</v>
      </c>
      <c r="T1128" s="1250">
        <v>2000</v>
      </c>
      <c r="U1128" s="1250"/>
      <c r="V1128" s="1250"/>
      <c r="W1128" s="1251">
        <v>40</v>
      </c>
      <c r="X1128" s="1250">
        <v>2000</v>
      </c>
      <c r="Y1128" s="1250"/>
      <c r="Z1128" s="1250"/>
      <c r="AA1128" s="1250"/>
      <c r="AB1128" s="1250"/>
      <c r="AC1128" s="1250"/>
      <c r="AD1128" s="1250"/>
      <c r="AE1128" s="1249">
        <v>20</v>
      </c>
      <c r="AF1128" s="1250">
        <v>2000</v>
      </c>
      <c r="AG1128" s="111"/>
      <c r="AH1128" s="111"/>
      <c r="AI1128" s="111"/>
      <c r="AJ1128" s="111"/>
      <c r="AK1128" s="111"/>
      <c r="AL1128" s="111"/>
      <c r="AM1128" s="111">
        <v>6000</v>
      </c>
    </row>
    <row r="1129" spans="1:39" ht="15" customHeight="1" x14ac:dyDescent="0.25">
      <c r="A1129" s="1409"/>
      <c r="B1129" s="1409"/>
      <c r="C1129" s="1409"/>
      <c r="D1129" s="1409"/>
      <c r="E1129" s="1247"/>
      <c r="F1129" s="1248" t="s">
        <v>4981</v>
      </c>
      <c r="G1129" s="111"/>
      <c r="H1129" s="1249">
        <v>100</v>
      </c>
      <c r="I1129" s="111" t="s">
        <v>1721</v>
      </c>
      <c r="J1129" s="1321" t="s">
        <v>5608</v>
      </c>
      <c r="K1129" s="162" t="s">
        <v>5610</v>
      </c>
      <c r="L1129" s="162" t="s">
        <v>5609</v>
      </c>
      <c r="M1129" s="111">
        <v>65</v>
      </c>
      <c r="N1129" s="111">
        <v>6500</v>
      </c>
      <c r="O1129" s="111"/>
      <c r="P1129" s="111"/>
      <c r="Q1129" s="111"/>
      <c r="R1129" s="111"/>
      <c r="S1129" s="1249">
        <v>40</v>
      </c>
      <c r="T1129" s="1250">
        <v>2166.6666666666665</v>
      </c>
      <c r="U1129" s="1250"/>
      <c r="V1129" s="1250"/>
      <c r="W1129" s="1251">
        <v>40</v>
      </c>
      <c r="X1129" s="1250">
        <v>2166.6666666666665</v>
      </c>
      <c r="Y1129" s="1250"/>
      <c r="Z1129" s="1250"/>
      <c r="AA1129" s="1250"/>
      <c r="AB1129" s="1250"/>
      <c r="AC1129" s="1250"/>
      <c r="AD1129" s="1250"/>
      <c r="AE1129" s="1249">
        <v>20</v>
      </c>
      <c r="AF1129" s="1250">
        <v>2166.6666666666665</v>
      </c>
      <c r="AG1129" s="111"/>
      <c r="AH1129" s="111"/>
      <c r="AI1129" s="111"/>
      <c r="AJ1129" s="111"/>
      <c r="AK1129" s="111"/>
      <c r="AL1129" s="111"/>
      <c r="AM1129" s="111">
        <v>6500</v>
      </c>
    </row>
    <row r="1130" spans="1:39" ht="15" customHeight="1" x14ac:dyDescent="0.25">
      <c r="A1130" s="1409"/>
      <c r="B1130" s="1409"/>
      <c r="C1130" s="1409"/>
      <c r="D1130" s="1409"/>
      <c r="E1130" s="1247"/>
      <c r="F1130" s="1248" t="s">
        <v>4982</v>
      </c>
      <c r="G1130" s="111"/>
      <c r="H1130" s="1249">
        <v>100</v>
      </c>
      <c r="I1130" s="111" t="s">
        <v>1721</v>
      </c>
      <c r="J1130" s="1321" t="s">
        <v>5608</v>
      </c>
      <c r="K1130" s="162" t="s">
        <v>5610</v>
      </c>
      <c r="L1130" s="162" t="s">
        <v>5609</v>
      </c>
      <c r="M1130" s="111">
        <v>55</v>
      </c>
      <c r="N1130" s="111">
        <v>5500</v>
      </c>
      <c r="O1130" s="111"/>
      <c r="P1130" s="111"/>
      <c r="Q1130" s="111"/>
      <c r="R1130" s="111"/>
      <c r="S1130" s="1249">
        <v>40</v>
      </c>
      <c r="T1130" s="1250">
        <v>1833.3333333333333</v>
      </c>
      <c r="U1130" s="1250"/>
      <c r="V1130" s="1250"/>
      <c r="W1130" s="1251">
        <v>40</v>
      </c>
      <c r="X1130" s="1250">
        <v>1833.3333333333333</v>
      </c>
      <c r="Y1130" s="1250"/>
      <c r="Z1130" s="1250"/>
      <c r="AA1130" s="1250"/>
      <c r="AB1130" s="1250"/>
      <c r="AC1130" s="1250"/>
      <c r="AD1130" s="1250"/>
      <c r="AE1130" s="1249">
        <v>20</v>
      </c>
      <c r="AF1130" s="1250">
        <v>1833.3333333333333</v>
      </c>
      <c r="AG1130" s="111"/>
      <c r="AH1130" s="111"/>
      <c r="AI1130" s="111"/>
      <c r="AJ1130" s="111"/>
      <c r="AK1130" s="111"/>
      <c r="AL1130" s="111"/>
      <c r="AM1130" s="111">
        <v>5500</v>
      </c>
    </row>
    <row r="1131" spans="1:39" ht="15" customHeight="1" x14ac:dyDescent="0.25">
      <c r="A1131" s="1409"/>
      <c r="B1131" s="1409"/>
      <c r="C1131" s="1409"/>
      <c r="D1131" s="1409"/>
      <c r="E1131" s="1247"/>
      <c r="F1131" s="1248" t="s">
        <v>4983</v>
      </c>
      <c r="G1131" s="111"/>
      <c r="H1131" s="1249">
        <v>100</v>
      </c>
      <c r="I1131" s="111" t="s">
        <v>1721</v>
      </c>
      <c r="J1131" s="1321" t="s">
        <v>5608</v>
      </c>
      <c r="K1131" s="162" t="s">
        <v>5610</v>
      </c>
      <c r="L1131" s="162" t="s">
        <v>5609</v>
      </c>
      <c r="M1131" s="111">
        <v>55</v>
      </c>
      <c r="N1131" s="111">
        <v>5500</v>
      </c>
      <c r="O1131" s="111"/>
      <c r="P1131" s="111"/>
      <c r="Q1131" s="111"/>
      <c r="R1131" s="111"/>
      <c r="S1131" s="1249">
        <v>40</v>
      </c>
      <c r="T1131" s="1250">
        <v>1833.3333333333333</v>
      </c>
      <c r="U1131" s="1250"/>
      <c r="V1131" s="1250"/>
      <c r="W1131" s="1251">
        <v>40</v>
      </c>
      <c r="X1131" s="1250">
        <v>1833.3333333333333</v>
      </c>
      <c r="Y1131" s="1250"/>
      <c r="Z1131" s="1250"/>
      <c r="AA1131" s="1250"/>
      <c r="AB1131" s="1250"/>
      <c r="AC1131" s="1250"/>
      <c r="AD1131" s="1250"/>
      <c r="AE1131" s="1249">
        <v>20</v>
      </c>
      <c r="AF1131" s="1250">
        <v>1833.3333333333333</v>
      </c>
      <c r="AG1131" s="111"/>
      <c r="AH1131" s="111"/>
      <c r="AI1131" s="111"/>
      <c r="AJ1131" s="111"/>
      <c r="AK1131" s="111"/>
      <c r="AL1131" s="111"/>
      <c r="AM1131" s="111">
        <v>5500</v>
      </c>
    </row>
    <row r="1132" spans="1:39" ht="15" customHeight="1" x14ac:dyDescent="0.25">
      <c r="A1132" s="1409"/>
      <c r="B1132" s="1409"/>
      <c r="C1132" s="1409"/>
      <c r="D1132" s="1409"/>
      <c r="E1132" s="1247"/>
      <c r="F1132" s="1248" t="s">
        <v>4984</v>
      </c>
      <c r="G1132" s="111"/>
      <c r="H1132" s="1249">
        <v>100</v>
      </c>
      <c r="I1132" s="111" t="s">
        <v>1721</v>
      </c>
      <c r="J1132" s="1321" t="s">
        <v>5608</v>
      </c>
      <c r="K1132" s="162" t="s">
        <v>5610</v>
      </c>
      <c r="L1132" s="162" t="s">
        <v>5609</v>
      </c>
      <c r="M1132" s="111">
        <v>70</v>
      </c>
      <c r="N1132" s="111">
        <v>7000</v>
      </c>
      <c r="O1132" s="111"/>
      <c r="P1132" s="111"/>
      <c r="Q1132" s="111"/>
      <c r="R1132" s="111"/>
      <c r="S1132" s="1249">
        <v>40</v>
      </c>
      <c r="T1132" s="1250">
        <v>2333.3333333333335</v>
      </c>
      <c r="U1132" s="1250"/>
      <c r="V1132" s="1250"/>
      <c r="W1132" s="1251">
        <v>40</v>
      </c>
      <c r="X1132" s="1250">
        <v>2333.3333333333335</v>
      </c>
      <c r="Y1132" s="1250"/>
      <c r="Z1132" s="1250"/>
      <c r="AA1132" s="1250"/>
      <c r="AB1132" s="1250"/>
      <c r="AC1132" s="1250"/>
      <c r="AD1132" s="1250"/>
      <c r="AE1132" s="1249">
        <v>20</v>
      </c>
      <c r="AF1132" s="1250">
        <v>2333.3333333333335</v>
      </c>
      <c r="AG1132" s="111"/>
      <c r="AH1132" s="111"/>
      <c r="AI1132" s="111"/>
      <c r="AJ1132" s="111"/>
      <c r="AK1132" s="111"/>
      <c r="AL1132" s="111"/>
      <c r="AM1132" s="111">
        <v>7000</v>
      </c>
    </row>
    <row r="1133" spans="1:39" ht="15" customHeight="1" x14ac:dyDescent="0.25">
      <c r="A1133" s="1409"/>
      <c r="B1133" s="1409"/>
      <c r="C1133" s="1409"/>
      <c r="D1133" s="1409"/>
      <c r="E1133" s="1247"/>
      <c r="F1133" s="1248" t="s">
        <v>4985</v>
      </c>
      <c r="G1133" s="111"/>
      <c r="H1133" s="1249">
        <v>100</v>
      </c>
      <c r="I1133" s="111" t="s">
        <v>1721</v>
      </c>
      <c r="J1133" s="1321" t="s">
        <v>5608</v>
      </c>
      <c r="K1133" s="162" t="s">
        <v>5610</v>
      </c>
      <c r="L1133" s="162" t="s">
        <v>5609</v>
      </c>
      <c r="M1133" s="111">
        <v>75</v>
      </c>
      <c r="N1133" s="111">
        <v>7500</v>
      </c>
      <c r="O1133" s="111"/>
      <c r="P1133" s="111"/>
      <c r="Q1133" s="111"/>
      <c r="R1133" s="111"/>
      <c r="S1133" s="1249">
        <v>40</v>
      </c>
      <c r="T1133" s="1250">
        <v>2500</v>
      </c>
      <c r="U1133" s="1250"/>
      <c r="V1133" s="1250"/>
      <c r="W1133" s="1251">
        <v>40</v>
      </c>
      <c r="X1133" s="1250">
        <v>2500</v>
      </c>
      <c r="Y1133" s="1250"/>
      <c r="Z1133" s="1250"/>
      <c r="AA1133" s="1250"/>
      <c r="AB1133" s="1250"/>
      <c r="AC1133" s="1250"/>
      <c r="AD1133" s="1250"/>
      <c r="AE1133" s="1249">
        <v>20</v>
      </c>
      <c r="AF1133" s="1250">
        <v>2500</v>
      </c>
      <c r="AG1133" s="111"/>
      <c r="AH1133" s="111"/>
      <c r="AI1133" s="111"/>
      <c r="AJ1133" s="111"/>
      <c r="AK1133" s="111"/>
      <c r="AL1133" s="111"/>
      <c r="AM1133" s="111">
        <v>7500</v>
      </c>
    </row>
    <row r="1134" spans="1:39" ht="15" customHeight="1" x14ac:dyDescent="0.25">
      <c r="A1134" s="1409"/>
      <c r="B1134" s="1409"/>
      <c r="C1134" s="1409"/>
      <c r="D1134" s="1409"/>
      <c r="E1134" s="1247"/>
      <c r="F1134" s="1248" t="s">
        <v>4986</v>
      </c>
      <c r="G1134" s="111"/>
      <c r="H1134" s="1249">
        <v>100</v>
      </c>
      <c r="I1134" s="111" t="s">
        <v>1721</v>
      </c>
      <c r="J1134" s="1321" t="s">
        <v>5608</v>
      </c>
      <c r="K1134" s="162" t="s">
        <v>5610</v>
      </c>
      <c r="L1134" s="162" t="s">
        <v>5609</v>
      </c>
      <c r="M1134" s="111">
        <v>60</v>
      </c>
      <c r="N1134" s="111">
        <v>6000</v>
      </c>
      <c r="O1134" s="111"/>
      <c r="P1134" s="111"/>
      <c r="Q1134" s="111"/>
      <c r="R1134" s="111"/>
      <c r="S1134" s="1249">
        <v>40</v>
      </c>
      <c r="T1134" s="1250">
        <v>2000</v>
      </c>
      <c r="U1134" s="1250"/>
      <c r="V1134" s="1250"/>
      <c r="W1134" s="1251">
        <v>40</v>
      </c>
      <c r="X1134" s="1250">
        <v>2000</v>
      </c>
      <c r="Y1134" s="1250"/>
      <c r="Z1134" s="1250"/>
      <c r="AA1134" s="1250"/>
      <c r="AB1134" s="1250"/>
      <c r="AC1134" s="1250"/>
      <c r="AD1134" s="1250"/>
      <c r="AE1134" s="1249">
        <v>20</v>
      </c>
      <c r="AF1134" s="1250">
        <v>2000</v>
      </c>
      <c r="AG1134" s="111"/>
      <c r="AH1134" s="111"/>
      <c r="AI1134" s="111"/>
      <c r="AJ1134" s="111"/>
      <c r="AK1134" s="111"/>
      <c r="AL1134" s="111"/>
      <c r="AM1134" s="111">
        <v>6000</v>
      </c>
    </row>
    <row r="1135" spans="1:39" ht="15" customHeight="1" x14ac:dyDescent="0.25">
      <c r="A1135" s="1409"/>
      <c r="B1135" s="1409"/>
      <c r="C1135" s="1409"/>
      <c r="D1135" s="1409"/>
      <c r="E1135" s="1247"/>
      <c r="F1135" s="1248" t="s">
        <v>4987</v>
      </c>
      <c r="G1135" s="111"/>
      <c r="H1135" s="1249">
        <v>100</v>
      </c>
      <c r="I1135" s="111" t="s">
        <v>1721</v>
      </c>
      <c r="J1135" s="1321" t="s">
        <v>5608</v>
      </c>
      <c r="K1135" s="162" t="s">
        <v>5610</v>
      </c>
      <c r="L1135" s="162" t="s">
        <v>5609</v>
      </c>
      <c r="M1135" s="111">
        <v>60</v>
      </c>
      <c r="N1135" s="111">
        <v>6000</v>
      </c>
      <c r="O1135" s="111"/>
      <c r="P1135" s="111"/>
      <c r="Q1135" s="111"/>
      <c r="R1135" s="111"/>
      <c r="S1135" s="1249">
        <v>40</v>
      </c>
      <c r="T1135" s="1250">
        <v>2000</v>
      </c>
      <c r="U1135" s="1250"/>
      <c r="V1135" s="1250"/>
      <c r="W1135" s="1251">
        <v>40</v>
      </c>
      <c r="X1135" s="1250">
        <v>2000</v>
      </c>
      <c r="Y1135" s="1250"/>
      <c r="Z1135" s="1250"/>
      <c r="AA1135" s="1250"/>
      <c r="AB1135" s="1250"/>
      <c r="AC1135" s="1250"/>
      <c r="AD1135" s="1250"/>
      <c r="AE1135" s="1249">
        <v>20</v>
      </c>
      <c r="AF1135" s="1250">
        <v>2000</v>
      </c>
      <c r="AG1135" s="111"/>
      <c r="AH1135" s="111"/>
      <c r="AI1135" s="111"/>
      <c r="AJ1135" s="111"/>
      <c r="AK1135" s="111"/>
      <c r="AL1135" s="111"/>
      <c r="AM1135" s="111">
        <v>6000</v>
      </c>
    </row>
    <row r="1136" spans="1:39" ht="15" customHeight="1" x14ac:dyDescent="0.25">
      <c r="A1136" s="1409"/>
      <c r="B1136" s="1409"/>
      <c r="C1136" s="1409"/>
      <c r="D1136" s="1409"/>
      <c r="E1136" s="1247"/>
      <c r="F1136" s="1248" t="s">
        <v>4988</v>
      </c>
      <c r="G1136" s="111"/>
      <c r="H1136" s="1249">
        <v>100</v>
      </c>
      <c r="I1136" s="111" t="s">
        <v>1721</v>
      </c>
      <c r="J1136" s="1321" t="s">
        <v>5608</v>
      </c>
      <c r="K1136" s="162" t="s">
        <v>5610</v>
      </c>
      <c r="L1136" s="162" t="s">
        <v>5609</v>
      </c>
      <c r="M1136" s="111">
        <v>55</v>
      </c>
      <c r="N1136" s="111">
        <v>5500</v>
      </c>
      <c r="O1136" s="111"/>
      <c r="P1136" s="111"/>
      <c r="Q1136" s="111"/>
      <c r="R1136" s="111"/>
      <c r="S1136" s="1249">
        <v>40</v>
      </c>
      <c r="T1136" s="1250">
        <v>1833.3333333333333</v>
      </c>
      <c r="U1136" s="1250"/>
      <c r="V1136" s="1250"/>
      <c r="W1136" s="1251">
        <v>40</v>
      </c>
      <c r="X1136" s="1250">
        <v>1833.3333333333333</v>
      </c>
      <c r="Y1136" s="1250"/>
      <c r="Z1136" s="1250"/>
      <c r="AA1136" s="1250"/>
      <c r="AB1136" s="1250"/>
      <c r="AC1136" s="1250"/>
      <c r="AD1136" s="1250"/>
      <c r="AE1136" s="1249">
        <v>20</v>
      </c>
      <c r="AF1136" s="1250">
        <v>1833.3333333333333</v>
      </c>
      <c r="AG1136" s="111"/>
      <c r="AH1136" s="111"/>
      <c r="AI1136" s="111"/>
      <c r="AJ1136" s="111"/>
      <c r="AK1136" s="111"/>
      <c r="AL1136" s="111"/>
      <c r="AM1136" s="111">
        <v>5500</v>
      </c>
    </row>
    <row r="1137" spans="1:39" ht="15" customHeight="1" x14ac:dyDescent="0.25">
      <c r="A1137" s="1409"/>
      <c r="B1137" s="1409"/>
      <c r="C1137" s="1409"/>
      <c r="D1137" s="1409"/>
      <c r="E1137" s="1247"/>
      <c r="F1137" s="1248" t="s">
        <v>4989</v>
      </c>
      <c r="G1137" s="111"/>
      <c r="H1137" s="1249">
        <v>100</v>
      </c>
      <c r="I1137" s="111" t="s">
        <v>1721</v>
      </c>
      <c r="J1137" s="1321" t="s">
        <v>5608</v>
      </c>
      <c r="K1137" s="162" t="s">
        <v>5610</v>
      </c>
      <c r="L1137" s="162" t="s">
        <v>5609</v>
      </c>
      <c r="M1137" s="111">
        <v>60</v>
      </c>
      <c r="N1137" s="111">
        <v>6000</v>
      </c>
      <c r="O1137" s="111"/>
      <c r="P1137" s="111"/>
      <c r="Q1137" s="111"/>
      <c r="R1137" s="111"/>
      <c r="S1137" s="1249">
        <v>40</v>
      </c>
      <c r="T1137" s="1250">
        <v>2000</v>
      </c>
      <c r="U1137" s="1250"/>
      <c r="V1137" s="1250"/>
      <c r="W1137" s="1251">
        <v>40</v>
      </c>
      <c r="X1137" s="1250">
        <v>2000</v>
      </c>
      <c r="Y1137" s="1250"/>
      <c r="Z1137" s="1250"/>
      <c r="AA1137" s="1250"/>
      <c r="AB1137" s="1250"/>
      <c r="AC1137" s="1250"/>
      <c r="AD1137" s="1250"/>
      <c r="AE1137" s="1249">
        <v>20</v>
      </c>
      <c r="AF1137" s="1250">
        <v>2000</v>
      </c>
      <c r="AG1137" s="111"/>
      <c r="AH1137" s="111"/>
      <c r="AI1137" s="111"/>
      <c r="AJ1137" s="111"/>
      <c r="AK1137" s="111"/>
      <c r="AL1137" s="111"/>
      <c r="AM1137" s="111">
        <v>6000</v>
      </c>
    </row>
    <row r="1138" spans="1:39" ht="15" customHeight="1" x14ac:dyDescent="0.25">
      <c r="A1138" s="1409"/>
      <c r="B1138" s="1409"/>
      <c r="C1138" s="1409"/>
      <c r="D1138" s="1409"/>
      <c r="E1138" s="1247"/>
      <c r="F1138" s="1248" t="s">
        <v>4990</v>
      </c>
      <c r="G1138" s="111"/>
      <c r="H1138" s="1249">
        <v>100</v>
      </c>
      <c r="I1138" s="111" t="s">
        <v>1721</v>
      </c>
      <c r="J1138" s="1321" t="s">
        <v>5608</v>
      </c>
      <c r="K1138" s="162" t="s">
        <v>5610</v>
      </c>
      <c r="L1138" s="162" t="s">
        <v>5609</v>
      </c>
      <c r="M1138" s="111">
        <v>70</v>
      </c>
      <c r="N1138" s="111">
        <v>7000</v>
      </c>
      <c r="O1138" s="111"/>
      <c r="P1138" s="111"/>
      <c r="Q1138" s="111"/>
      <c r="R1138" s="111"/>
      <c r="S1138" s="1249">
        <v>40</v>
      </c>
      <c r="T1138" s="1250">
        <v>2333.3333333333335</v>
      </c>
      <c r="U1138" s="1250"/>
      <c r="V1138" s="1250"/>
      <c r="W1138" s="1251">
        <v>40</v>
      </c>
      <c r="X1138" s="1250">
        <v>2333.3333333333335</v>
      </c>
      <c r="Y1138" s="1250"/>
      <c r="Z1138" s="1250"/>
      <c r="AA1138" s="1250"/>
      <c r="AB1138" s="1250"/>
      <c r="AC1138" s="1250"/>
      <c r="AD1138" s="1250"/>
      <c r="AE1138" s="1249">
        <v>20</v>
      </c>
      <c r="AF1138" s="1250">
        <v>2333.3333333333335</v>
      </c>
      <c r="AG1138" s="111"/>
      <c r="AH1138" s="111"/>
      <c r="AI1138" s="111"/>
      <c r="AJ1138" s="111"/>
      <c r="AK1138" s="111"/>
      <c r="AL1138" s="111"/>
      <c r="AM1138" s="111">
        <v>7000</v>
      </c>
    </row>
    <row r="1139" spans="1:39" ht="15" customHeight="1" x14ac:dyDescent="0.25">
      <c r="A1139" s="1409"/>
      <c r="B1139" s="1409"/>
      <c r="C1139" s="1409"/>
      <c r="D1139" s="1409"/>
      <c r="E1139" s="1247"/>
      <c r="F1139" s="1248" t="s">
        <v>4991</v>
      </c>
      <c r="G1139" s="111"/>
      <c r="H1139" s="1249">
        <v>100</v>
      </c>
      <c r="I1139" s="111" t="s">
        <v>1721</v>
      </c>
      <c r="J1139" s="1321" t="s">
        <v>5608</v>
      </c>
      <c r="K1139" s="162" t="s">
        <v>5610</v>
      </c>
      <c r="L1139" s="162" t="s">
        <v>5609</v>
      </c>
      <c r="M1139" s="111">
        <v>70</v>
      </c>
      <c r="N1139" s="111">
        <v>7000</v>
      </c>
      <c r="O1139" s="111"/>
      <c r="P1139" s="111"/>
      <c r="Q1139" s="111"/>
      <c r="R1139" s="111"/>
      <c r="S1139" s="1249">
        <v>40</v>
      </c>
      <c r="T1139" s="1250">
        <v>2333.3333333333335</v>
      </c>
      <c r="U1139" s="1250"/>
      <c r="V1139" s="1250"/>
      <c r="W1139" s="1251">
        <v>40</v>
      </c>
      <c r="X1139" s="1250">
        <v>2333.3333333333335</v>
      </c>
      <c r="Y1139" s="1250"/>
      <c r="Z1139" s="1250"/>
      <c r="AA1139" s="1250"/>
      <c r="AB1139" s="1250"/>
      <c r="AC1139" s="1250"/>
      <c r="AD1139" s="1250"/>
      <c r="AE1139" s="1249">
        <v>20</v>
      </c>
      <c r="AF1139" s="1250">
        <v>2333.3333333333335</v>
      </c>
      <c r="AG1139" s="111"/>
      <c r="AH1139" s="111"/>
      <c r="AI1139" s="111"/>
      <c r="AJ1139" s="111"/>
      <c r="AK1139" s="111"/>
      <c r="AL1139" s="111"/>
      <c r="AM1139" s="111">
        <v>7000</v>
      </c>
    </row>
    <row r="1140" spans="1:39" ht="15" customHeight="1" x14ac:dyDescent="0.25">
      <c r="A1140" s="1409"/>
      <c r="B1140" s="1409"/>
      <c r="C1140" s="1409"/>
      <c r="D1140" s="1409"/>
      <c r="E1140" s="1276"/>
      <c r="F1140" s="1248"/>
      <c r="G1140" s="111"/>
      <c r="H1140" s="1249"/>
      <c r="I1140" s="111"/>
      <c r="J1140" s="111"/>
      <c r="K1140" s="111"/>
      <c r="L1140" s="111"/>
      <c r="M1140" s="111"/>
      <c r="N1140" s="111"/>
      <c r="O1140" s="111"/>
      <c r="P1140" s="111"/>
      <c r="Q1140" s="111"/>
      <c r="R1140" s="111"/>
      <c r="S1140" s="1249"/>
      <c r="T1140" s="1250"/>
      <c r="U1140" s="1250"/>
      <c r="V1140" s="1250"/>
      <c r="W1140" s="1251"/>
      <c r="X1140" s="1250"/>
      <c r="Y1140" s="1250"/>
      <c r="Z1140" s="1250"/>
      <c r="AA1140" s="1250"/>
      <c r="AB1140" s="1250"/>
      <c r="AC1140" s="1250"/>
      <c r="AD1140" s="1250"/>
      <c r="AE1140" s="1249"/>
      <c r="AF1140" s="1250"/>
      <c r="AG1140" s="111"/>
      <c r="AH1140" s="111"/>
      <c r="AI1140" s="111"/>
      <c r="AJ1140" s="111"/>
      <c r="AK1140" s="111"/>
      <c r="AL1140" s="111"/>
      <c r="AM1140" s="111"/>
    </row>
    <row r="1141" spans="1:39" ht="15" customHeight="1" x14ac:dyDescent="0.25">
      <c r="A1141" s="1409"/>
      <c r="B1141" s="1409"/>
      <c r="C1141" s="1409"/>
      <c r="D1141" s="1409"/>
      <c r="E1141" s="1261">
        <v>23902</v>
      </c>
      <c r="F1141" s="1262" t="s">
        <v>553</v>
      </c>
      <c r="G1141" s="1261"/>
      <c r="H1141" s="1261"/>
      <c r="I1141" s="1261"/>
      <c r="J1141" s="1261"/>
      <c r="K1141" s="1261"/>
      <c r="L1141" s="1261"/>
      <c r="M1141" s="1261"/>
      <c r="N1141" s="1261"/>
      <c r="O1141" s="1261"/>
      <c r="P1141" s="1261"/>
      <c r="Q1141" s="1261"/>
      <c r="R1141" s="1261"/>
      <c r="S1141" s="1261"/>
      <c r="T1141" s="1261"/>
      <c r="U1141" s="1261"/>
      <c r="V1141" s="1261"/>
      <c r="W1141" s="1261"/>
      <c r="X1141" s="1261"/>
      <c r="Y1141" s="1261"/>
      <c r="Z1141" s="1261"/>
      <c r="AA1141" s="1261"/>
      <c r="AB1141" s="1261"/>
      <c r="AC1141" s="1261"/>
      <c r="AD1141" s="1261"/>
      <c r="AE1141" s="1261"/>
      <c r="AF1141" s="1261"/>
      <c r="AG1141" s="1261"/>
      <c r="AH1141" s="1261"/>
      <c r="AI1141" s="1261"/>
      <c r="AJ1141" s="1261"/>
      <c r="AK1141" s="1261"/>
      <c r="AL1141" s="1261"/>
      <c r="AM1141" s="1261"/>
    </row>
    <row r="1142" spans="1:39" ht="15" customHeight="1" x14ac:dyDescent="0.25">
      <c r="A1142" s="1409"/>
      <c r="B1142" s="1409"/>
      <c r="C1142" s="1409"/>
      <c r="D1142" s="1409"/>
      <c r="E1142" s="1276"/>
      <c r="F1142" s="1248" t="s">
        <v>4992</v>
      </c>
      <c r="G1142" s="111"/>
      <c r="H1142" s="1249">
        <v>90</v>
      </c>
      <c r="I1142" s="111" t="s">
        <v>1721</v>
      </c>
      <c r="J1142" s="1321" t="s">
        <v>5608</v>
      </c>
      <c r="K1142" s="162" t="s">
        <v>5610</v>
      </c>
      <c r="L1142" s="162" t="s">
        <v>5609</v>
      </c>
      <c r="M1142" s="111">
        <v>29.060000000000002</v>
      </c>
      <c r="N1142" s="111">
        <v>2615.4</v>
      </c>
      <c r="O1142" s="111"/>
      <c r="P1142" s="111"/>
      <c r="Q1142" s="111"/>
      <c r="R1142" s="111"/>
      <c r="S1142" s="1249">
        <v>50</v>
      </c>
      <c r="T1142" s="1250">
        <v>871.80000000000007</v>
      </c>
      <c r="U1142" s="1250"/>
      <c r="V1142" s="1250"/>
      <c r="W1142" s="1251">
        <v>20</v>
      </c>
      <c r="X1142" s="1250">
        <v>871.80000000000007</v>
      </c>
      <c r="Y1142" s="1250"/>
      <c r="Z1142" s="1250"/>
      <c r="AA1142" s="1250"/>
      <c r="AB1142" s="1250"/>
      <c r="AC1142" s="1250"/>
      <c r="AD1142" s="1250"/>
      <c r="AE1142" s="1249">
        <v>20</v>
      </c>
      <c r="AF1142" s="1250">
        <v>871.80000000000007</v>
      </c>
      <c r="AG1142" s="111"/>
      <c r="AH1142" s="111"/>
      <c r="AI1142" s="111"/>
      <c r="AJ1142" s="111"/>
      <c r="AK1142" s="111"/>
      <c r="AL1142" s="111"/>
      <c r="AM1142" s="111">
        <v>2615.4</v>
      </c>
    </row>
    <row r="1143" spans="1:39" ht="15" customHeight="1" x14ac:dyDescent="0.25">
      <c r="A1143" s="1409"/>
      <c r="B1143" s="1409"/>
      <c r="C1143" s="1409"/>
      <c r="D1143" s="1409"/>
      <c r="E1143" s="1276"/>
      <c r="F1143" s="1248" t="s">
        <v>4993</v>
      </c>
      <c r="G1143" s="111"/>
      <c r="H1143" s="1249">
        <v>5</v>
      </c>
      <c r="I1143" s="111" t="s">
        <v>1721</v>
      </c>
      <c r="J1143" s="1321" t="s">
        <v>5608</v>
      </c>
      <c r="K1143" s="162" t="s">
        <v>5610</v>
      </c>
      <c r="L1143" s="162" t="s">
        <v>5609</v>
      </c>
      <c r="M1143" s="111">
        <v>5</v>
      </c>
      <c r="N1143" s="111">
        <v>25</v>
      </c>
      <c r="O1143" s="111"/>
      <c r="P1143" s="111"/>
      <c r="Q1143" s="111"/>
      <c r="R1143" s="111"/>
      <c r="S1143" s="1249">
        <v>2</v>
      </c>
      <c r="T1143" s="1250">
        <v>8.3333333333333339</v>
      </c>
      <c r="U1143" s="1250"/>
      <c r="V1143" s="1250"/>
      <c r="W1143" s="1251">
        <v>2</v>
      </c>
      <c r="X1143" s="1250">
        <v>8.3333333333333339</v>
      </c>
      <c r="Y1143" s="1250"/>
      <c r="Z1143" s="1250"/>
      <c r="AA1143" s="1250"/>
      <c r="AB1143" s="1250"/>
      <c r="AC1143" s="1250"/>
      <c r="AD1143" s="1250"/>
      <c r="AE1143" s="1249">
        <v>1</v>
      </c>
      <c r="AF1143" s="1250">
        <v>8.3333333333333339</v>
      </c>
      <c r="AG1143" s="111"/>
      <c r="AH1143" s="111"/>
      <c r="AI1143" s="111"/>
      <c r="AJ1143" s="111"/>
      <c r="AK1143" s="111"/>
      <c r="AL1143" s="111"/>
      <c r="AM1143" s="111">
        <v>25</v>
      </c>
    </row>
    <row r="1144" spans="1:39" ht="15" customHeight="1" x14ac:dyDescent="0.25">
      <c r="A1144" s="1409"/>
      <c r="B1144" s="1409"/>
      <c r="C1144" s="1409"/>
      <c r="D1144" s="1409"/>
      <c r="E1144" s="1276"/>
      <c r="F1144" s="1248" t="s">
        <v>4994</v>
      </c>
      <c r="G1144" s="111"/>
      <c r="H1144" s="1249">
        <v>200</v>
      </c>
      <c r="I1144" s="111" t="s">
        <v>1721</v>
      </c>
      <c r="J1144" s="1321" t="s">
        <v>5608</v>
      </c>
      <c r="K1144" s="162" t="s">
        <v>5610</v>
      </c>
      <c r="L1144" s="162" t="s">
        <v>5609</v>
      </c>
      <c r="M1144" s="111">
        <v>5</v>
      </c>
      <c r="N1144" s="111">
        <v>1000</v>
      </c>
      <c r="O1144" s="111"/>
      <c r="P1144" s="111"/>
      <c r="Q1144" s="111"/>
      <c r="R1144" s="111"/>
      <c r="S1144" s="1249">
        <v>100</v>
      </c>
      <c r="T1144" s="1250">
        <v>333.33333333333331</v>
      </c>
      <c r="U1144" s="1250"/>
      <c r="V1144" s="1250"/>
      <c r="W1144" s="1251">
        <v>50</v>
      </c>
      <c r="X1144" s="1250">
        <v>333.33333333333331</v>
      </c>
      <c r="Y1144" s="1250"/>
      <c r="Z1144" s="1250"/>
      <c r="AA1144" s="1250"/>
      <c r="AB1144" s="1250"/>
      <c r="AC1144" s="1250"/>
      <c r="AD1144" s="1250"/>
      <c r="AE1144" s="1249">
        <v>50</v>
      </c>
      <c r="AF1144" s="1250">
        <v>333.33333333333331</v>
      </c>
      <c r="AG1144" s="111"/>
      <c r="AH1144" s="111"/>
      <c r="AI1144" s="111"/>
      <c r="AJ1144" s="111"/>
      <c r="AK1144" s="111"/>
      <c r="AL1144" s="111"/>
      <c r="AM1144" s="111">
        <v>1000</v>
      </c>
    </row>
    <row r="1145" spans="1:39" ht="15" customHeight="1" x14ac:dyDescent="0.25">
      <c r="A1145" s="1409"/>
      <c r="B1145" s="1409"/>
      <c r="C1145" s="1409"/>
      <c r="D1145" s="1409"/>
      <c r="E1145" s="1276"/>
      <c r="F1145" s="1248" t="s">
        <v>4995</v>
      </c>
      <c r="G1145" s="111"/>
      <c r="H1145" s="1249">
        <v>200</v>
      </c>
      <c r="I1145" s="111" t="s">
        <v>1721</v>
      </c>
      <c r="J1145" s="1321" t="s">
        <v>5608</v>
      </c>
      <c r="K1145" s="162" t="s">
        <v>5610</v>
      </c>
      <c r="L1145" s="162" t="s">
        <v>5609</v>
      </c>
      <c r="M1145" s="111">
        <v>5</v>
      </c>
      <c r="N1145" s="111">
        <v>1000</v>
      </c>
      <c r="O1145" s="111"/>
      <c r="P1145" s="111"/>
      <c r="Q1145" s="111"/>
      <c r="R1145" s="111"/>
      <c r="S1145" s="1249">
        <v>100</v>
      </c>
      <c r="T1145" s="1250">
        <v>333.33333333333331</v>
      </c>
      <c r="U1145" s="1250"/>
      <c r="V1145" s="1250"/>
      <c r="W1145" s="1251">
        <v>50</v>
      </c>
      <c r="X1145" s="1250">
        <v>333.33333333333331</v>
      </c>
      <c r="Y1145" s="1250"/>
      <c r="Z1145" s="1250"/>
      <c r="AA1145" s="1250"/>
      <c r="AB1145" s="1250"/>
      <c r="AC1145" s="1250"/>
      <c r="AD1145" s="1250"/>
      <c r="AE1145" s="1249">
        <v>50</v>
      </c>
      <c r="AF1145" s="1250">
        <v>333.33333333333331</v>
      </c>
      <c r="AG1145" s="111"/>
      <c r="AH1145" s="111"/>
      <c r="AI1145" s="111"/>
      <c r="AJ1145" s="111"/>
      <c r="AK1145" s="111"/>
      <c r="AL1145" s="111"/>
      <c r="AM1145" s="111">
        <v>1000</v>
      </c>
    </row>
    <row r="1146" spans="1:39" ht="15" customHeight="1" x14ac:dyDescent="0.25">
      <c r="A1146" s="1409"/>
      <c r="B1146" s="1409"/>
      <c r="C1146" s="1409"/>
      <c r="D1146" s="1409"/>
      <c r="E1146" s="1276"/>
      <c r="F1146" s="1248" t="s">
        <v>4996</v>
      </c>
      <c r="G1146" s="111"/>
      <c r="H1146" s="1249">
        <v>200</v>
      </c>
      <c r="I1146" s="111" t="s">
        <v>1721</v>
      </c>
      <c r="J1146" s="1321" t="s">
        <v>5608</v>
      </c>
      <c r="K1146" s="162" t="s">
        <v>5610</v>
      </c>
      <c r="L1146" s="162" t="s">
        <v>5609</v>
      </c>
      <c r="M1146" s="111">
        <v>5</v>
      </c>
      <c r="N1146" s="111">
        <v>1000</v>
      </c>
      <c r="O1146" s="111"/>
      <c r="P1146" s="111"/>
      <c r="Q1146" s="111"/>
      <c r="R1146" s="111"/>
      <c r="S1146" s="1249">
        <v>100</v>
      </c>
      <c r="T1146" s="1250">
        <v>333.33333333333331</v>
      </c>
      <c r="U1146" s="1250"/>
      <c r="V1146" s="1250"/>
      <c r="W1146" s="1251">
        <v>50</v>
      </c>
      <c r="X1146" s="1250">
        <v>333.33333333333331</v>
      </c>
      <c r="Y1146" s="1250"/>
      <c r="Z1146" s="1250"/>
      <c r="AA1146" s="1250"/>
      <c r="AB1146" s="1250"/>
      <c r="AC1146" s="1250"/>
      <c r="AD1146" s="1250"/>
      <c r="AE1146" s="1249">
        <v>50</v>
      </c>
      <c r="AF1146" s="1250">
        <v>333.33333333333331</v>
      </c>
      <c r="AG1146" s="111"/>
      <c r="AH1146" s="111"/>
      <c r="AI1146" s="111"/>
      <c r="AJ1146" s="111"/>
      <c r="AK1146" s="111"/>
      <c r="AL1146" s="111"/>
      <c r="AM1146" s="111">
        <v>1000</v>
      </c>
    </row>
    <row r="1147" spans="1:39" ht="15" customHeight="1" x14ac:dyDescent="0.25">
      <c r="A1147" s="1409"/>
      <c r="B1147" s="1409"/>
      <c r="C1147" s="1409"/>
      <c r="D1147" s="1409"/>
      <c r="E1147" s="1276"/>
      <c r="F1147" s="1248" t="s">
        <v>4997</v>
      </c>
      <c r="G1147" s="111"/>
      <c r="H1147" s="1249">
        <v>200</v>
      </c>
      <c r="I1147" s="111" t="s">
        <v>1721</v>
      </c>
      <c r="J1147" s="1321" t="s">
        <v>5608</v>
      </c>
      <c r="K1147" s="162" t="s">
        <v>5610</v>
      </c>
      <c r="L1147" s="162" t="s">
        <v>5609</v>
      </c>
      <c r="M1147" s="111">
        <v>5</v>
      </c>
      <c r="N1147" s="111">
        <v>1000</v>
      </c>
      <c r="O1147" s="111"/>
      <c r="P1147" s="111"/>
      <c r="Q1147" s="111"/>
      <c r="R1147" s="111"/>
      <c r="S1147" s="1249">
        <v>100</v>
      </c>
      <c r="T1147" s="1250">
        <v>333.33333333333331</v>
      </c>
      <c r="U1147" s="1250"/>
      <c r="V1147" s="1250"/>
      <c r="W1147" s="1251">
        <v>50</v>
      </c>
      <c r="X1147" s="1250">
        <v>333.33333333333331</v>
      </c>
      <c r="Y1147" s="1250"/>
      <c r="Z1147" s="1250"/>
      <c r="AA1147" s="1250"/>
      <c r="AB1147" s="1250"/>
      <c r="AC1147" s="1250"/>
      <c r="AD1147" s="1250"/>
      <c r="AE1147" s="1249">
        <v>50</v>
      </c>
      <c r="AF1147" s="1250">
        <v>333.33333333333331</v>
      </c>
      <c r="AG1147" s="111"/>
      <c r="AH1147" s="111"/>
      <c r="AI1147" s="111"/>
      <c r="AJ1147" s="111"/>
      <c r="AK1147" s="111"/>
      <c r="AL1147" s="111"/>
      <c r="AM1147" s="111">
        <v>1000</v>
      </c>
    </row>
    <row r="1148" spans="1:39" ht="15" customHeight="1" x14ac:dyDescent="0.25">
      <c r="A1148" s="1409"/>
      <c r="B1148" s="1409"/>
      <c r="C1148" s="1409"/>
      <c r="D1148" s="1409"/>
      <c r="E1148" s="1276"/>
      <c r="F1148" s="1248" t="s">
        <v>4998</v>
      </c>
      <c r="G1148" s="111"/>
      <c r="H1148" s="1249">
        <v>200</v>
      </c>
      <c r="I1148" s="111" t="s">
        <v>1721</v>
      </c>
      <c r="J1148" s="1321" t="s">
        <v>5608</v>
      </c>
      <c r="K1148" s="162" t="s">
        <v>5610</v>
      </c>
      <c r="L1148" s="162" t="s">
        <v>5609</v>
      </c>
      <c r="M1148" s="111">
        <v>5</v>
      </c>
      <c r="N1148" s="111">
        <v>1000</v>
      </c>
      <c r="O1148" s="111"/>
      <c r="P1148" s="111"/>
      <c r="Q1148" s="111"/>
      <c r="R1148" s="111"/>
      <c r="S1148" s="1249">
        <v>100</v>
      </c>
      <c r="T1148" s="1250">
        <v>333.33333333333331</v>
      </c>
      <c r="U1148" s="1250"/>
      <c r="V1148" s="1250"/>
      <c r="W1148" s="1251">
        <v>50</v>
      </c>
      <c r="X1148" s="1250">
        <v>333.33333333333331</v>
      </c>
      <c r="Y1148" s="1250"/>
      <c r="Z1148" s="1250"/>
      <c r="AA1148" s="1250"/>
      <c r="AB1148" s="1250"/>
      <c r="AC1148" s="1250"/>
      <c r="AD1148" s="1250"/>
      <c r="AE1148" s="1249">
        <v>50</v>
      </c>
      <c r="AF1148" s="1250">
        <v>333.33333333333331</v>
      </c>
      <c r="AG1148" s="111"/>
      <c r="AH1148" s="111"/>
      <c r="AI1148" s="111"/>
      <c r="AJ1148" s="111"/>
      <c r="AK1148" s="111"/>
      <c r="AL1148" s="111"/>
      <c r="AM1148" s="111">
        <v>1000</v>
      </c>
    </row>
    <row r="1149" spans="1:39" ht="15" customHeight="1" x14ac:dyDescent="0.25">
      <c r="A1149" s="1409"/>
      <c r="B1149" s="1409"/>
      <c r="C1149" s="1409"/>
      <c r="D1149" s="1409"/>
      <c r="E1149" s="1276"/>
      <c r="F1149" s="1248" t="s">
        <v>4999</v>
      </c>
      <c r="G1149" s="111"/>
      <c r="H1149" s="1249">
        <v>200</v>
      </c>
      <c r="I1149" s="111" t="s">
        <v>1721</v>
      </c>
      <c r="J1149" s="1321" t="s">
        <v>5608</v>
      </c>
      <c r="K1149" s="162" t="s">
        <v>5610</v>
      </c>
      <c r="L1149" s="162" t="s">
        <v>5609</v>
      </c>
      <c r="M1149" s="111">
        <v>5</v>
      </c>
      <c r="N1149" s="111">
        <v>1000</v>
      </c>
      <c r="O1149" s="111"/>
      <c r="P1149" s="111"/>
      <c r="Q1149" s="111"/>
      <c r="R1149" s="111"/>
      <c r="S1149" s="1249">
        <v>100</v>
      </c>
      <c r="T1149" s="1250">
        <v>333.33333333333331</v>
      </c>
      <c r="U1149" s="1250"/>
      <c r="V1149" s="1250"/>
      <c r="W1149" s="1251">
        <v>50</v>
      </c>
      <c r="X1149" s="1250">
        <v>333.33333333333331</v>
      </c>
      <c r="Y1149" s="1250"/>
      <c r="Z1149" s="1250"/>
      <c r="AA1149" s="1250"/>
      <c r="AB1149" s="1250"/>
      <c r="AC1149" s="1250"/>
      <c r="AD1149" s="1250"/>
      <c r="AE1149" s="1249">
        <v>50</v>
      </c>
      <c r="AF1149" s="1250">
        <v>333.33333333333331</v>
      </c>
      <c r="AG1149" s="111"/>
      <c r="AH1149" s="111"/>
      <c r="AI1149" s="111"/>
      <c r="AJ1149" s="111"/>
      <c r="AK1149" s="111"/>
      <c r="AL1149" s="111"/>
      <c r="AM1149" s="111">
        <v>1000</v>
      </c>
    </row>
    <row r="1150" spans="1:39" ht="15" customHeight="1" x14ac:dyDescent="0.25">
      <c r="A1150" s="1409"/>
      <c r="B1150" s="1409"/>
      <c r="C1150" s="1409"/>
      <c r="D1150" s="1409"/>
      <c r="E1150" s="1276"/>
      <c r="F1150" s="1248" t="s">
        <v>5000</v>
      </c>
      <c r="G1150" s="111"/>
      <c r="H1150" s="1249">
        <v>200</v>
      </c>
      <c r="I1150" s="111" t="s">
        <v>1721</v>
      </c>
      <c r="J1150" s="1321" t="s">
        <v>5608</v>
      </c>
      <c r="K1150" s="162" t="s">
        <v>5610</v>
      </c>
      <c r="L1150" s="162" t="s">
        <v>5609</v>
      </c>
      <c r="M1150" s="111">
        <v>5</v>
      </c>
      <c r="N1150" s="111">
        <v>1000</v>
      </c>
      <c r="O1150" s="111"/>
      <c r="P1150" s="111"/>
      <c r="Q1150" s="111"/>
      <c r="R1150" s="111"/>
      <c r="S1150" s="1249">
        <v>100</v>
      </c>
      <c r="T1150" s="1250">
        <v>333.33333333333331</v>
      </c>
      <c r="U1150" s="1250"/>
      <c r="V1150" s="1250"/>
      <c r="W1150" s="1251">
        <v>50</v>
      </c>
      <c r="X1150" s="1250">
        <v>333.33333333333331</v>
      </c>
      <c r="Y1150" s="1250"/>
      <c r="Z1150" s="1250"/>
      <c r="AA1150" s="1250"/>
      <c r="AB1150" s="1250"/>
      <c r="AC1150" s="1250"/>
      <c r="AD1150" s="1250"/>
      <c r="AE1150" s="1249">
        <v>50</v>
      </c>
      <c r="AF1150" s="1250">
        <v>333.33333333333331</v>
      </c>
      <c r="AG1150" s="111"/>
      <c r="AH1150" s="111"/>
      <c r="AI1150" s="111"/>
      <c r="AJ1150" s="111"/>
      <c r="AK1150" s="111"/>
      <c r="AL1150" s="111"/>
      <c r="AM1150" s="111">
        <v>1000</v>
      </c>
    </row>
    <row r="1151" spans="1:39" ht="15" customHeight="1" x14ac:dyDescent="0.25">
      <c r="A1151" s="1409"/>
      <c r="B1151" s="1409"/>
      <c r="C1151" s="1409"/>
      <c r="D1151" s="1409"/>
      <c r="E1151" s="1276"/>
      <c r="F1151" s="1248" t="s">
        <v>5001</v>
      </c>
      <c r="G1151" s="111"/>
      <c r="H1151" s="1249">
        <v>200</v>
      </c>
      <c r="I1151" s="111" t="s">
        <v>1721</v>
      </c>
      <c r="J1151" s="1321" t="s">
        <v>5608</v>
      </c>
      <c r="K1151" s="162" t="s">
        <v>5610</v>
      </c>
      <c r="L1151" s="162" t="s">
        <v>5609</v>
      </c>
      <c r="M1151" s="111">
        <v>5</v>
      </c>
      <c r="N1151" s="111">
        <v>1000</v>
      </c>
      <c r="O1151" s="111"/>
      <c r="P1151" s="111"/>
      <c r="Q1151" s="111"/>
      <c r="R1151" s="111"/>
      <c r="S1151" s="1249">
        <v>100</v>
      </c>
      <c r="T1151" s="1250">
        <v>333.33333333333331</v>
      </c>
      <c r="U1151" s="1250"/>
      <c r="V1151" s="1250"/>
      <c r="W1151" s="1251">
        <v>50</v>
      </c>
      <c r="X1151" s="1250">
        <v>333.33333333333331</v>
      </c>
      <c r="Y1151" s="1250"/>
      <c r="Z1151" s="1250"/>
      <c r="AA1151" s="1250"/>
      <c r="AB1151" s="1250"/>
      <c r="AC1151" s="1250"/>
      <c r="AD1151" s="1250"/>
      <c r="AE1151" s="1249">
        <v>50</v>
      </c>
      <c r="AF1151" s="1250">
        <v>333.33333333333331</v>
      </c>
      <c r="AG1151" s="111"/>
      <c r="AH1151" s="111"/>
      <c r="AI1151" s="111"/>
      <c r="AJ1151" s="111"/>
      <c r="AK1151" s="111"/>
      <c r="AL1151" s="111"/>
      <c r="AM1151" s="111">
        <v>1000</v>
      </c>
    </row>
    <row r="1152" spans="1:39" ht="15" customHeight="1" x14ac:dyDescent="0.25">
      <c r="A1152" s="1409"/>
      <c r="B1152" s="1409"/>
      <c r="C1152" s="1409"/>
      <c r="D1152" s="1409"/>
      <c r="E1152" s="1276"/>
      <c r="F1152" s="1248" t="s">
        <v>5002</v>
      </c>
      <c r="G1152" s="111"/>
      <c r="H1152" s="1249">
        <v>400</v>
      </c>
      <c r="I1152" s="111" t="s">
        <v>1721</v>
      </c>
      <c r="J1152" s="1321" t="s">
        <v>5608</v>
      </c>
      <c r="K1152" s="162" t="s">
        <v>5610</v>
      </c>
      <c r="L1152" s="162" t="s">
        <v>5609</v>
      </c>
      <c r="M1152" s="111">
        <v>5</v>
      </c>
      <c r="N1152" s="111">
        <v>2000</v>
      </c>
      <c r="O1152" s="111"/>
      <c r="P1152" s="111"/>
      <c r="Q1152" s="111"/>
      <c r="R1152" s="111"/>
      <c r="S1152" s="1249">
        <v>200</v>
      </c>
      <c r="T1152" s="1250">
        <v>666.66666666666663</v>
      </c>
      <c r="U1152" s="1250"/>
      <c r="V1152" s="1250"/>
      <c r="W1152" s="1251">
        <v>100</v>
      </c>
      <c r="X1152" s="1250">
        <v>666.66666666666663</v>
      </c>
      <c r="Y1152" s="1250"/>
      <c r="Z1152" s="1250"/>
      <c r="AA1152" s="1250"/>
      <c r="AB1152" s="1250"/>
      <c r="AC1152" s="1250"/>
      <c r="AD1152" s="1250"/>
      <c r="AE1152" s="1249">
        <v>100</v>
      </c>
      <c r="AF1152" s="1250">
        <v>666.66666666666663</v>
      </c>
      <c r="AG1152" s="111"/>
      <c r="AH1152" s="111"/>
      <c r="AI1152" s="111"/>
      <c r="AJ1152" s="111"/>
      <c r="AK1152" s="111"/>
      <c r="AL1152" s="111"/>
      <c r="AM1152" s="111">
        <v>2000</v>
      </c>
    </row>
    <row r="1153" spans="1:39" ht="15" customHeight="1" x14ac:dyDescent="0.25">
      <c r="A1153" s="1409"/>
      <c r="B1153" s="1409"/>
      <c r="C1153" s="1409"/>
      <c r="D1153" s="1409"/>
      <c r="E1153" s="1276"/>
      <c r="F1153" s="1248" t="s">
        <v>5003</v>
      </c>
      <c r="G1153" s="111"/>
      <c r="H1153" s="1249">
        <v>200</v>
      </c>
      <c r="I1153" s="111" t="s">
        <v>1721</v>
      </c>
      <c r="J1153" s="1321" t="s">
        <v>5608</v>
      </c>
      <c r="K1153" s="162" t="s">
        <v>5610</v>
      </c>
      <c r="L1153" s="162" t="s">
        <v>5609</v>
      </c>
      <c r="M1153" s="111">
        <v>5</v>
      </c>
      <c r="N1153" s="111">
        <v>1000</v>
      </c>
      <c r="O1153" s="111"/>
      <c r="P1153" s="111"/>
      <c r="Q1153" s="111"/>
      <c r="R1153" s="111"/>
      <c r="S1153" s="1249">
        <v>100</v>
      </c>
      <c r="T1153" s="1250">
        <v>333.33333333333331</v>
      </c>
      <c r="U1153" s="1250"/>
      <c r="V1153" s="1250"/>
      <c r="W1153" s="1251">
        <v>50</v>
      </c>
      <c r="X1153" s="1250">
        <v>333.33333333333331</v>
      </c>
      <c r="Y1153" s="1250"/>
      <c r="Z1153" s="1250"/>
      <c r="AA1153" s="1250"/>
      <c r="AB1153" s="1250"/>
      <c r="AC1153" s="1250"/>
      <c r="AD1153" s="1250"/>
      <c r="AE1153" s="1249">
        <v>50</v>
      </c>
      <c r="AF1153" s="1250">
        <v>333.33333333333331</v>
      </c>
      <c r="AG1153" s="111"/>
      <c r="AH1153" s="111"/>
      <c r="AI1153" s="111"/>
      <c r="AJ1153" s="111"/>
      <c r="AK1153" s="111"/>
      <c r="AL1153" s="111"/>
      <c r="AM1153" s="111">
        <v>1000</v>
      </c>
    </row>
    <row r="1154" spans="1:39" ht="15" customHeight="1" x14ac:dyDescent="0.25">
      <c r="A1154" s="1409"/>
      <c r="B1154" s="1409"/>
      <c r="C1154" s="1409"/>
      <c r="D1154" s="1409"/>
      <c r="E1154" s="1276"/>
      <c r="F1154" s="1248" t="s">
        <v>5004</v>
      </c>
      <c r="G1154" s="111"/>
      <c r="H1154" s="1249">
        <v>600</v>
      </c>
      <c r="I1154" s="111" t="s">
        <v>1721</v>
      </c>
      <c r="J1154" s="1321" t="s">
        <v>5608</v>
      </c>
      <c r="K1154" s="162" t="s">
        <v>5610</v>
      </c>
      <c r="L1154" s="162" t="s">
        <v>5609</v>
      </c>
      <c r="M1154" s="111">
        <v>5</v>
      </c>
      <c r="N1154" s="111">
        <v>3000</v>
      </c>
      <c r="O1154" s="111"/>
      <c r="P1154" s="111"/>
      <c r="Q1154" s="111"/>
      <c r="R1154" s="111"/>
      <c r="S1154" s="1249">
        <v>200</v>
      </c>
      <c r="T1154" s="1250">
        <v>1000</v>
      </c>
      <c r="U1154" s="1250"/>
      <c r="V1154" s="1250"/>
      <c r="W1154" s="1251">
        <v>200</v>
      </c>
      <c r="X1154" s="1250">
        <v>1000</v>
      </c>
      <c r="Y1154" s="1250"/>
      <c r="Z1154" s="1250"/>
      <c r="AA1154" s="1250"/>
      <c r="AB1154" s="1250"/>
      <c r="AC1154" s="1250"/>
      <c r="AD1154" s="1250"/>
      <c r="AE1154" s="1249">
        <v>200</v>
      </c>
      <c r="AF1154" s="1250">
        <v>1000</v>
      </c>
      <c r="AG1154" s="111"/>
      <c r="AH1154" s="111"/>
      <c r="AI1154" s="111"/>
      <c r="AJ1154" s="111"/>
      <c r="AK1154" s="111"/>
      <c r="AL1154" s="111"/>
      <c r="AM1154" s="111">
        <v>3000</v>
      </c>
    </row>
    <row r="1155" spans="1:39" ht="15" customHeight="1" x14ac:dyDescent="0.25">
      <c r="A1155" s="1409"/>
      <c r="B1155" s="1409"/>
      <c r="C1155" s="1409"/>
      <c r="D1155" s="1409"/>
      <c r="E1155" s="1276"/>
      <c r="F1155" s="1248" t="s">
        <v>5005</v>
      </c>
      <c r="G1155" s="111"/>
      <c r="H1155" s="1249">
        <v>600</v>
      </c>
      <c r="I1155" s="111" t="s">
        <v>1721</v>
      </c>
      <c r="J1155" s="1321" t="s">
        <v>5608</v>
      </c>
      <c r="K1155" s="162" t="s">
        <v>5610</v>
      </c>
      <c r="L1155" s="162" t="s">
        <v>5609</v>
      </c>
      <c r="M1155" s="111">
        <v>5</v>
      </c>
      <c r="N1155" s="111">
        <v>3000</v>
      </c>
      <c r="O1155" s="111"/>
      <c r="P1155" s="111"/>
      <c r="Q1155" s="111"/>
      <c r="R1155" s="111"/>
      <c r="S1155" s="1249">
        <v>200</v>
      </c>
      <c r="T1155" s="1250">
        <v>1000</v>
      </c>
      <c r="U1155" s="1250"/>
      <c r="V1155" s="1250"/>
      <c r="W1155" s="1251">
        <v>200</v>
      </c>
      <c r="X1155" s="1250">
        <v>1000</v>
      </c>
      <c r="Y1155" s="1250"/>
      <c r="Z1155" s="1250"/>
      <c r="AA1155" s="1250"/>
      <c r="AB1155" s="1250"/>
      <c r="AC1155" s="1250"/>
      <c r="AD1155" s="1250"/>
      <c r="AE1155" s="1249">
        <v>200</v>
      </c>
      <c r="AF1155" s="1250">
        <v>1000</v>
      </c>
      <c r="AG1155" s="111"/>
      <c r="AH1155" s="111"/>
      <c r="AI1155" s="111"/>
      <c r="AJ1155" s="111"/>
      <c r="AK1155" s="111"/>
      <c r="AL1155" s="111"/>
      <c r="AM1155" s="111">
        <v>3000</v>
      </c>
    </row>
    <row r="1156" spans="1:39" ht="15" customHeight="1" x14ac:dyDescent="0.25">
      <c r="A1156" s="1409"/>
      <c r="B1156" s="1409"/>
      <c r="C1156" s="1409"/>
      <c r="D1156" s="1409"/>
      <c r="E1156" s="1276"/>
      <c r="F1156" s="1248" t="s">
        <v>5006</v>
      </c>
      <c r="G1156" s="111"/>
      <c r="H1156" s="1249">
        <v>200</v>
      </c>
      <c r="I1156" s="111" t="s">
        <v>1721</v>
      </c>
      <c r="J1156" s="1321" t="s">
        <v>5608</v>
      </c>
      <c r="K1156" s="162" t="s">
        <v>5610</v>
      </c>
      <c r="L1156" s="162" t="s">
        <v>5609</v>
      </c>
      <c r="M1156" s="111">
        <v>22</v>
      </c>
      <c r="N1156" s="111">
        <v>4400</v>
      </c>
      <c r="O1156" s="111"/>
      <c r="P1156" s="111"/>
      <c r="Q1156" s="111"/>
      <c r="R1156" s="111"/>
      <c r="S1156" s="1249">
        <v>100</v>
      </c>
      <c r="T1156" s="1250">
        <v>1466.6666666666667</v>
      </c>
      <c r="U1156" s="1250"/>
      <c r="V1156" s="1250"/>
      <c r="W1156" s="1251">
        <v>50</v>
      </c>
      <c r="X1156" s="1250">
        <v>1466.6666666666667</v>
      </c>
      <c r="Y1156" s="1250"/>
      <c r="Z1156" s="1250"/>
      <c r="AA1156" s="1250"/>
      <c r="AB1156" s="1250"/>
      <c r="AC1156" s="1250"/>
      <c r="AD1156" s="1250"/>
      <c r="AE1156" s="1249">
        <v>50</v>
      </c>
      <c r="AF1156" s="1250">
        <v>1466.6666666666667</v>
      </c>
      <c r="AG1156" s="111"/>
      <c r="AH1156" s="111"/>
      <c r="AI1156" s="111"/>
      <c r="AJ1156" s="111"/>
      <c r="AK1156" s="111"/>
      <c r="AL1156" s="111"/>
      <c r="AM1156" s="111">
        <v>4400</v>
      </c>
    </row>
    <row r="1157" spans="1:39" ht="15" customHeight="1" x14ac:dyDescent="0.25">
      <c r="A1157" s="1409"/>
      <c r="B1157" s="1409"/>
      <c r="C1157" s="1409"/>
      <c r="D1157" s="1409"/>
      <c r="E1157" s="1276"/>
      <c r="F1157" s="1248" t="s">
        <v>5007</v>
      </c>
      <c r="G1157" s="111"/>
      <c r="H1157" s="1249">
        <v>80</v>
      </c>
      <c r="I1157" s="111" t="s">
        <v>1721</v>
      </c>
      <c r="J1157" s="1321" t="s">
        <v>5608</v>
      </c>
      <c r="K1157" s="162" t="s">
        <v>5610</v>
      </c>
      <c r="L1157" s="162" t="s">
        <v>5609</v>
      </c>
      <c r="M1157" s="111">
        <v>22</v>
      </c>
      <c r="N1157" s="111">
        <v>1760</v>
      </c>
      <c r="O1157" s="111"/>
      <c r="P1157" s="111"/>
      <c r="Q1157" s="111"/>
      <c r="R1157" s="111"/>
      <c r="S1157" s="1249">
        <v>40</v>
      </c>
      <c r="T1157" s="1250">
        <v>586.66666666666663</v>
      </c>
      <c r="U1157" s="1250"/>
      <c r="V1157" s="1250"/>
      <c r="W1157" s="1251">
        <v>40</v>
      </c>
      <c r="X1157" s="1250">
        <v>586.66666666666663</v>
      </c>
      <c r="Y1157" s="1250"/>
      <c r="Z1157" s="1250"/>
      <c r="AA1157" s="1250"/>
      <c r="AB1157" s="1250"/>
      <c r="AC1157" s="1250"/>
      <c r="AD1157" s="1250"/>
      <c r="AE1157" s="1249">
        <v>0</v>
      </c>
      <c r="AF1157" s="1250">
        <v>586.66666666666663</v>
      </c>
      <c r="AG1157" s="111"/>
      <c r="AH1157" s="111"/>
      <c r="AI1157" s="111"/>
      <c r="AJ1157" s="111"/>
      <c r="AK1157" s="111"/>
      <c r="AL1157" s="111"/>
      <c r="AM1157" s="111">
        <v>1760</v>
      </c>
    </row>
    <row r="1158" spans="1:39" ht="15" customHeight="1" x14ac:dyDescent="0.25">
      <c r="A1158" s="1409"/>
      <c r="B1158" s="1409"/>
      <c r="C1158" s="1409"/>
      <c r="D1158" s="1409"/>
      <c r="E1158" s="1276"/>
      <c r="F1158" s="1248" t="s">
        <v>5008</v>
      </c>
      <c r="G1158" s="111"/>
      <c r="H1158" s="1249">
        <v>100</v>
      </c>
      <c r="I1158" s="111" t="s">
        <v>1721</v>
      </c>
      <c r="J1158" s="1321" t="s">
        <v>5608</v>
      </c>
      <c r="K1158" s="162" t="s">
        <v>5610</v>
      </c>
      <c r="L1158" s="162" t="s">
        <v>5609</v>
      </c>
      <c r="M1158" s="111">
        <v>22</v>
      </c>
      <c r="N1158" s="111">
        <v>2200</v>
      </c>
      <c r="O1158" s="111"/>
      <c r="P1158" s="111"/>
      <c r="Q1158" s="111"/>
      <c r="R1158" s="111"/>
      <c r="S1158" s="1249">
        <v>40</v>
      </c>
      <c r="T1158" s="1250">
        <v>733.33333333333337</v>
      </c>
      <c r="U1158" s="1250"/>
      <c r="V1158" s="1250"/>
      <c r="W1158" s="1251">
        <v>40</v>
      </c>
      <c r="X1158" s="1250">
        <v>733.33333333333337</v>
      </c>
      <c r="Y1158" s="1250"/>
      <c r="Z1158" s="1250"/>
      <c r="AA1158" s="1250"/>
      <c r="AB1158" s="1250"/>
      <c r="AC1158" s="1250"/>
      <c r="AD1158" s="1250"/>
      <c r="AE1158" s="1249">
        <v>20</v>
      </c>
      <c r="AF1158" s="1250">
        <v>733.33333333333337</v>
      </c>
      <c r="AG1158" s="111"/>
      <c r="AH1158" s="111"/>
      <c r="AI1158" s="111"/>
      <c r="AJ1158" s="111"/>
      <c r="AK1158" s="111"/>
      <c r="AL1158" s="111"/>
      <c r="AM1158" s="111">
        <v>2200</v>
      </c>
    </row>
    <row r="1159" spans="1:39" ht="15" customHeight="1" x14ac:dyDescent="0.25">
      <c r="A1159" s="1409"/>
      <c r="B1159" s="1409"/>
      <c r="C1159" s="1409"/>
      <c r="D1159" s="1409"/>
      <c r="E1159" s="1276"/>
      <c r="F1159" s="1248" t="s">
        <v>5009</v>
      </c>
      <c r="G1159" s="111"/>
      <c r="H1159" s="1249">
        <v>100</v>
      </c>
      <c r="I1159" s="111" t="s">
        <v>1721</v>
      </c>
      <c r="J1159" s="1321" t="s">
        <v>5608</v>
      </c>
      <c r="K1159" s="162" t="s">
        <v>5610</v>
      </c>
      <c r="L1159" s="162" t="s">
        <v>5609</v>
      </c>
      <c r="M1159" s="111">
        <v>22</v>
      </c>
      <c r="N1159" s="111">
        <v>2200</v>
      </c>
      <c r="O1159" s="111"/>
      <c r="P1159" s="111"/>
      <c r="Q1159" s="111"/>
      <c r="R1159" s="111"/>
      <c r="S1159" s="1249">
        <v>40</v>
      </c>
      <c r="T1159" s="1250">
        <v>733.33333333333337</v>
      </c>
      <c r="U1159" s="1250"/>
      <c r="V1159" s="1250"/>
      <c r="W1159" s="1251">
        <v>40</v>
      </c>
      <c r="X1159" s="1250">
        <v>733.33333333333337</v>
      </c>
      <c r="Y1159" s="1250"/>
      <c r="Z1159" s="1250"/>
      <c r="AA1159" s="1250"/>
      <c r="AB1159" s="1250"/>
      <c r="AC1159" s="1250"/>
      <c r="AD1159" s="1250"/>
      <c r="AE1159" s="1249">
        <v>20</v>
      </c>
      <c r="AF1159" s="1250">
        <v>733.33333333333337</v>
      </c>
      <c r="AG1159" s="111"/>
      <c r="AH1159" s="111"/>
      <c r="AI1159" s="111"/>
      <c r="AJ1159" s="111"/>
      <c r="AK1159" s="111"/>
      <c r="AL1159" s="111"/>
      <c r="AM1159" s="111">
        <v>2200</v>
      </c>
    </row>
    <row r="1160" spans="1:39" ht="15" customHeight="1" x14ac:dyDescent="0.25">
      <c r="A1160" s="1409"/>
      <c r="B1160" s="1409"/>
      <c r="C1160" s="1409"/>
      <c r="D1160" s="1409"/>
      <c r="E1160" s="1276"/>
      <c r="F1160" s="1248" t="s">
        <v>5010</v>
      </c>
      <c r="G1160" s="111"/>
      <c r="H1160" s="1249">
        <v>80</v>
      </c>
      <c r="I1160" s="111" t="s">
        <v>1721</v>
      </c>
      <c r="J1160" s="1321" t="s">
        <v>5608</v>
      </c>
      <c r="K1160" s="162" t="s">
        <v>5610</v>
      </c>
      <c r="L1160" s="162" t="s">
        <v>5609</v>
      </c>
      <c r="M1160" s="111">
        <v>22</v>
      </c>
      <c r="N1160" s="111">
        <v>1760</v>
      </c>
      <c r="O1160" s="111"/>
      <c r="P1160" s="111"/>
      <c r="Q1160" s="111"/>
      <c r="R1160" s="111"/>
      <c r="S1160" s="1249">
        <v>40</v>
      </c>
      <c r="T1160" s="1250">
        <v>586.66666666666663</v>
      </c>
      <c r="U1160" s="1250"/>
      <c r="V1160" s="1250"/>
      <c r="W1160" s="1251">
        <v>40</v>
      </c>
      <c r="X1160" s="1250">
        <v>586.66666666666663</v>
      </c>
      <c r="Y1160" s="1250"/>
      <c r="Z1160" s="1250"/>
      <c r="AA1160" s="1250"/>
      <c r="AB1160" s="1250"/>
      <c r="AC1160" s="1250"/>
      <c r="AD1160" s="1250"/>
      <c r="AE1160" s="1249">
        <v>0</v>
      </c>
      <c r="AF1160" s="1250">
        <v>586.66666666666663</v>
      </c>
      <c r="AG1160" s="111"/>
      <c r="AH1160" s="111"/>
      <c r="AI1160" s="111"/>
      <c r="AJ1160" s="111"/>
      <c r="AK1160" s="111"/>
      <c r="AL1160" s="111"/>
      <c r="AM1160" s="111">
        <v>1760</v>
      </c>
    </row>
    <row r="1161" spans="1:39" ht="15" customHeight="1" x14ac:dyDescent="0.25">
      <c r="A1161" s="1409"/>
      <c r="B1161" s="1409"/>
      <c r="C1161" s="1409"/>
      <c r="D1161" s="1409"/>
      <c r="E1161" s="1276"/>
      <c r="F1161" s="1248" t="s">
        <v>5011</v>
      </c>
      <c r="G1161" s="111"/>
      <c r="H1161" s="1249">
        <v>80</v>
      </c>
      <c r="I1161" s="111" t="s">
        <v>1721</v>
      </c>
      <c r="J1161" s="1321" t="s">
        <v>5608</v>
      </c>
      <c r="K1161" s="162" t="s">
        <v>5610</v>
      </c>
      <c r="L1161" s="162" t="s">
        <v>5609</v>
      </c>
      <c r="M1161" s="111">
        <v>22</v>
      </c>
      <c r="N1161" s="111">
        <v>1760</v>
      </c>
      <c r="O1161" s="111"/>
      <c r="P1161" s="111"/>
      <c r="Q1161" s="111"/>
      <c r="R1161" s="111"/>
      <c r="S1161" s="1249">
        <v>40</v>
      </c>
      <c r="T1161" s="1250">
        <v>586.66666666666663</v>
      </c>
      <c r="U1161" s="1250"/>
      <c r="V1161" s="1250"/>
      <c r="W1161" s="1251">
        <v>40</v>
      </c>
      <c r="X1161" s="1250">
        <v>586.66666666666663</v>
      </c>
      <c r="Y1161" s="1250"/>
      <c r="Z1161" s="1250"/>
      <c r="AA1161" s="1250"/>
      <c r="AB1161" s="1250"/>
      <c r="AC1161" s="1250"/>
      <c r="AD1161" s="1250"/>
      <c r="AE1161" s="1249">
        <v>0</v>
      </c>
      <c r="AF1161" s="1250">
        <v>586.66666666666663</v>
      </c>
      <c r="AG1161" s="111"/>
      <c r="AH1161" s="111"/>
      <c r="AI1161" s="111"/>
      <c r="AJ1161" s="111"/>
      <c r="AK1161" s="111"/>
      <c r="AL1161" s="111"/>
      <c r="AM1161" s="111">
        <v>1760</v>
      </c>
    </row>
    <row r="1162" spans="1:39" ht="15" customHeight="1" x14ac:dyDescent="0.25">
      <c r="A1162" s="1409"/>
      <c r="B1162" s="1409"/>
      <c r="C1162" s="1409"/>
      <c r="D1162" s="1409"/>
      <c r="E1162" s="1276"/>
      <c r="F1162" s="1248" t="s">
        <v>5012</v>
      </c>
      <c r="G1162" s="111"/>
      <c r="H1162" s="1249">
        <v>80</v>
      </c>
      <c r="I1162" s="111" t="s">
        <v>1721</v>
      </c>
      <c r="J1162" s="1321" t="s">
        <v>5608</v>
      </c>
      <c r="K1162" s="162" t="s">
        <v>5610</v>
      </c>
      <c r="L1162" s="162" t="s">
        <v>5609</v>
      </c>
      <c r="M1162" s="111">
        <v>22</v>
      </c>
      <c r="N1162" s="111">
        <v>1760</v>
      </c>
      <c r="O1162" s="111"/>
      <c r="P1162" s="111"/>
      <c r="Q1162" s="111"/>
      <c r="R1162" s="111"/>
      <c r="S1162" s="1249">
        <v>40</v>
      </c>
      <c r="T1162" s="1250">
        <v>586.66666666666663</v>
      </c>
      <c r="U1162" s="1250"/>
      <c r="V1162" s="1250"/>
      <c r="W1162" s="1251">
        <v>40</v>
      </c>
      <c r="X1162" s="1250">
        <v>586.66666666666663</v>
      </c>
      <c r="Y1162" s="1250"/>
      <c r="Z1162" s="1250"/>
      <c r="AA1162" s="1250"/>
      <c r="AB1162" s="1250"/>
      <c r="AC1162" s="1250"/>
      <c r="AD1162" s="1250"/>
      <c r="AE1162" s="1249">
        <v>0</v>
      </c>
      <c r="AF1162" s="1250">
        <v>586.66666666666663</v>
      </c>
      <c r="AG1162" s="111"/>
      <c r="AH1162" s="111"/>
      <c r="AI1162" s="111"/>
      <c r="AJ1162" s="111"/>
      <c r="AK1162" s="111"/>
      <c r="AL1162" s="111"/>
      <c r="AM1162" s="111">
        <v>1760</v>
      </c>
    </row>
    <row r="1163" spans="1:39" ht="15" customHeight="1" x14ac:dyDescent="0.25">
      <c r="A1163" s="1409"/>
      <c r="B1163" s="1409"/>
      <c r="C1163" s="1409"/>
      <c r="D1163" s="1409"/>
      <c r="E1163" s="1276"/>
      <c r="F1163" s="1248" t="s">
        <v>5013</v>
      </c>
      <c r="G1163" s="111"/>
      <c r="H1163" s="1249">
        <v>80</v>
      </c>
      <c r="I1163" s="111" t="s">
        <v>1721</v>
      </c>
      <c r="J1163" s="1321" t="s">
        <v>5608</v>
      </c>
      <c r="K1163" s="162" t="s">
        <v>5610</v>
      </c>
      <c r="L1163" s="162" t="s">
        <v>5609</v>
      </c>
      <c r="M1163" s="111">
        <v>22</v>
      </c>
      <c r="N1163" s="111">
        <v>1760</v>
      </c>
      <c r="O1163" s="111"/>
      <c r="P1163" s="111"/>
      <c r="Q1163" s="111"/>
      <c r="R1163" s="111"/>
      <c r="S1163" s="1249">
        <v>40</v>
      </c>
      <c r="T1163" s="1250">
        <v>586.66666666666663</v>
      </c>
      <c r="U1163" s="1250"/>
      <c r="V1163" s="1250"/>
      <c r="W1163" s="1251">
        <v>40</v>
      </c>
      <c r="X1163" s="1250">
        <v>586.66666666666663</v>
      </c>
      <c r="Y1163" s="1250"/>
      <c r="Z1163" s="1250"/>
      <c r="AA1163" s="1250"/>
      <c r="AB1163" s="1250"/>
      <c r="AC1163" s="1250"/>
      <c r="AD1163" s="1250"/>
      <c r="AE1163" s="1249">
        <v>0</v>
      </c>
      <c r="AF1163" s="1250">
        <v>586.66666666666663</v>
      </c>
      <c r="AG1163" s="111"/>
      <c r="AH1163" s="111"/>
      <c r="AI1163" s="111"/>
      <c r="AJ1163" s="111"/>
      <c r="AK1163" s="111"/>
      <c r="AL1163" s="111"/>
      <c r="AM1163" s="111">
        <v>1760</v>
      </c>
    </row>
    <row r="1164" spans="1:39" ht="15" customHeight="1" x14ac:dyDescent="0.25">
      <c r="A1164" s="1409"/>
      <c r="B1164" s="1409"/>
      <c r="C1164" s="1409"/>
      <c r="D1164" s="1409"/>
      <c r="E1164" s="1276"/>
      <c r="F1164" s="1248" t="s">
        <v>5014</v>
      </c>
      <c r="G1164" s="111"/>
      <c r="H1164" s="1249">
        <v>80</v>
      </c>
      <c r="I1164" s="111" t="s">
        <v>1721</v>
      </c>
      <c r="J1164" s="1321" t="s">
        <v>5608</v>
      </c>
      <c r="K1164" s="162" t="s">
        <v>5610</v>
      </c>
      <c r="L1164" s="162" t="s">
        <v>5609</v>
      </c>
      <c r="M1164" s="111">
        <v>22</v>
      </c>
      <c r="N1164" s="111">
        <v>1760</v>
      </c>
      <c r="O1164" s="111"/>
      <c r="P1164" s="111"/>
      <c r="Q1164" s="111"/>
      <c r="R1164" s="111"/>
      <c r="S1164" s="1249">
        <v>40</v>
      </c>
      <c r="T1164" s="1250">
        <v>586.66666666666663</v>
      </c>
      <c r="U1164" s="1250"/>
      <c r="V1164" s="1250"/>
      <c r="W1164" s="1251">
        <v>40</v>
      </c>
      <c r="X1164" s="1250">
        <v>586.66666666666663</v>
      </c>
      <c r="Y1164" s="1250"/>
      <c r="Z1164" s="1250"/>
      <c r="AA1164" s="1250"/>
      <c r="AB1164" s="1250"/>
      <c r="AC1164" s="1250"/>
      <c r="AD1164" s="1250"/>
      <c r="AE1164" s="1249">
        <v>0</v>
      </c>
      <c r="AF1164" s="1250">
        <v>586.66666666666663</v>
      </c>
      <c r="AG1164" s="111"/>
      <c r="AH1164" s="111"/>
      <c r="AI1164" s="111"/>
      <c r="AJ1164" s="111"/>
      <c r="AK1164" s="111"/>
      <c r="AL1164" s="111"/>
      <c r="AM1164" s="111">
        <v>1760</v>
      </c>
    </row>
    <row r="1165" spans="1:39" ht="15" customHeight="1" x14ac:dyDescent="0.25">
      <c r="A1165" s="1409"/>
      <c r="B1165" s="1409"/>
      <c r="C1165" s="1409"/>
      <c r="D1165" s="1409"/>
      <c r="E1165" s="1276"/>
      <c r="F1165" s="1248" t="s">
        <v>5015</v>
      </c>
      <c r="G1165" s="111"/>
      <c r="H1165" s="1249">
        <v>80</v>
      </c>
      <c r="I1165" s="111" t="s">
        <v>1721</v>
      </c>
      <c r="J1165" s="1321" t="s">
        <v>5608</v>
      </c>
      <c r="K1165" s="162" t="s">
        <v>5610</v>
      </c>
      <c r="L1165" s="162" t="s">
        <v>5609</v>
      </c>
      <c r="M1165" s="111">
        <v>22</v>
      </c>
      <c r="N1165" s="111">
        <v>1760</v>
      </c>
      <c r="O1165" s="111"/>
      <c r="P1165" s="111"/>
      <c r="Q1165" s="111"/>
      <c r="R1165" s="111"/>
      <c r="S1165" s="1249">
        <v>40</v>
      </c>
      <c r="T1165" s="1250">
        <v>586.66666666666663</v>
      </c>
      <c r="U1165" s="1250"/>
      <c r="V1165" s="1250"/>
      <c r="W1165" s="1251">
        <v>40</v>
      </c>
      <c r="X1165" s="1250">
        <v>586.66666666666663</v>
      </c>
      <c r="Y1165" s="1250"/>
      <c r="Z1165" s="1250"/>
      <c r="AA1165" s="1250"/>
      <c r="AB1165" s="1250"/>
      <c r="AC1165" s="1250"/>
      <c r="AD1165" s="1250"/>
      <c r="AE1165" s="1249">
        <v>0</v>
      </c>
      <c r="AF1165" s="1250">
        <v>586.66666666666663</v>
      </c>
      <c r="AG1165" s="111"/>
      <c r="AH1165" s="111"/>
      <c r="AI1165" s="111"/>
      <c r="AJ1165" s="111"/>
      <c r="AK1165" s="111"/>
      <c r="AL1165" s="111"/>
      <c r="AM1165" s="111">
        <v>1760</v>
      </c>
    </row>
    <row r="1166" spans="1:39" ht="15" customHeight="1" x14ac:dyDescent="0.25">
      <c r="A1166" s="1409"/>
      <c r="B1166" s="1409"/>
      <c r="C1166" s="1409"/>
      <c r="D1166" s="1409"/>
      <c r="E1166" s="1276"/>
      <c r="F1166" s="1248" t="s">
        <v>5016</v>
      </c>
      <c r="G1166" s="111"/>
      <c r="H1166" s="1249">
        <v>80</v>
      </c>
      <c r="I1166" s="111" t="s">
        <v>1721</v>
      </c>
      <c r="J1166" s="1321" t="s">
        <v>5608</v>
      </c>
      <c r="K1166" s="162" t="s">
        <v>5610</v>
      </c>
      <c r="L1166" s="162" t="s">
        <v>5609</v>
      </c>
      <c r="M1166" s="111">
        <v>22</v>
      </c>
      <c r="N1166" s="111">
        <v>1760</v>
      </c>
      <c r="O1166" s="111"/>
      <c r="P1166" s="111"/>
      <c r="Q1166" s="111"/>
      <c r="R1166" s="111"/>
      <c r="S1166" s="1249">
        <v>40</v>
      </c>
      <c r="T1166" s="1250">
        <v>586.66666666666663</v>
      </c>
      <c r="U1166" s="1250"/>
      <c r="V1166" s="1250"/>
      <c r="W1166" s="1251">
        <v>40</v>
      </c>
      <c r="X1166" s="1250">
        <v>586.66666666666663</v>
      </c>
      <c r="Y1166" s="1250"/>
      <c r="Z1166" s="1250"/>
      <c r="AA1166" s="1250"/>
      <c r="AB1166" s="1250"/>
      <c r="AC1166" s="1250"/>
      <c r="AD1166" s="1250"/>
      <c r="AE1166" s="1249">
        <v>0</v>
      </c>
      <c r="AF1166" s="1250">
        <v>586.66666666666663</v>
      </c>
      <c r="AG1166" s="111"/>
      <c r="AH1166" s="111"/>
      <c r="AI1166" s="111"/>
      <c r="AJ1166" s="111"/>
      <c r="AK1166" s="111"/>
      <c r="AL1166" s="111"/>
      <c r="AM1166" s="111">
        <v>1760</v>
      </c>
    </row>
    <row r="1167" spans="1:39" ht="15" customHeight="1" x14ac:dyDescent="0.25">
      <c r="A1167" s="1409"/>
      <c r="B1167" s="1409"/>
      <c r="C1167" s="1409"/>
      <c r="D1167" s="1409"/>
      <c r="E1167" s="1276"/>
      <c r="F1167" s="1248" t="s">
        <v>5017</v>
      </c>
      <c r="G1167" s="111"/>
      <c r="H1167" s="1249">
        <v>80</v>
      </c>
      <c r="I1167" s="111" t="s">
        <v>1721</v>
      </c>
      <c r="J1167" s="1321" t="s">
        <v>5608</v>
      </c>
      <c r="K1167" s="162" t="s">
        <v>5610</v>
      </c>
      <c r="L1167" s="162" t="s">
        <v>5609</v>
      </c>
      <c r="M1167" s="111">
        <v>22</v>
      </c>
      <c r="N1167" s="111">
        <v>1760</v>
      </c>
      <c r="O1167" s="111"/>
      <c r="P1167" s="111"/>
      <c r="Q1167" s="111"/>
      <c r="R1167" s="111"/>
      <c r="S1167" s="1249">
        <v>40</v>
      </c>
      <c r="T1167" s="1250">
        <v>586.66666666666663</v>
      </c>
      <c r="U1167" s="1250"/>
      <c r="V1167" s="1250"/>
      <c r="W1167" s="1251">
        <v>40</v>
      </c>
      <c r="X1167" s="1250">
        <v>586.66666666666663</v>
      </c>
      <c r="Y1167" s="1250"/>
      <c r="Z1167" s="1250"/>
      <c r="AA1167" s="1250"/>
      <c r="AB1167" s="1250"/>
      <c r="AC1167" s="1250"/>
      <c r="AD1167" s="1250"/>
      <c r="AE1167" s="1249">
        <v>0</v>
      </c>
      <c r="AF1167" s="1250">
        <v>586.66666666666663</v>
      </c>
      <c r="AG1167" s="111"/>
      <c r="AH1167" s="111"/>
      <c r="AI1167" s="111"/>
      <c r="AJ1167" s="111"/>
      <c r="AK1167" s="111"/>
      <c r="AL1167" s="111"/>
      <c r="AM1167" s="111">
        <v>1760</v>
      </c>
    </row>
    <row r="1168" spans="1:39" ht="15" customHeight="1" x14ac:dyDescent="0.25">
      <c r="A1168" s="1409"/>
      <c r="B1168" s="1409"/>
      <c r="C1168" s="1409"/>
      <c r="D1168" s="1409"/>
      <c r="E1168" s="1276"/>
      <c r="F1168" s="1248" t="s">
        <v>5018</v>
      </c>
      <c r="G1168" s="111"/>
      <c r="H1168" s="1249">
        <v>80</v>
      </c>
      <c r="I1168" s="111" t="s">
        <v>1721</v>
      </c>
      <c r="J1168" s="1321" t="s">
        <v>5608</v>
      </c>
      <c r="K1168" s="162" t="s">
        <v>5610</v>
      </c>
      <c r="L1168" s="162" t="s">
        <v>5609</v>
      </c>
      <c r="M1168" s="111">
        <v>22</v>
      </c>
      <c r="N1168" s="111">
        <v>1760</v>
      </c>
      <c r="O1168" s="111"/>
      <c r="P1168" s="111"/>
      <c r="Q1168" s="111"/>
      <c r="R1168" s="111"/>
      <c r="S1168" s="1249">
        <v>40</v>
      </c>
      <c r="T1168" s="1250">
        <v>586.66666666666663</v>
      </c>
      <c r="U1168" s="1250"/>
      <c r="V1168" s="1250"/>
      <c r="W1168" s="1251">
        <v>40</v>
      </c>
      <c r="X1168" s="1250">
        <v>586.66666666666663</v>
      </c>
      <c r="Y1168" s="1250"/>
      <c r="Z1168" s="1250"/>
      <c r="AA1168" s="1250"/>
      <c r="AB1168" s="1250"/>
      <c r="AC1168" s="1250"/>
      <c r="AD1168" s="1250"/>
      <c r="AE1168" s="1249">
        <v>0</v>
      </c>
      <c r="AF1168" s="1250">
        <v>586.66666666666663</v>
      </c>
      <c r="AG1168" s="111"/>
      <c r="AH1168" s="111"/>
      <c r="AI1168" s="111"/>
      <c r="AJ1168" s="111"/>
      <c r="AK1168" s="111"/>
      <c r="AL1168" s="111"/>
      <c r="AM1168" s="111">
        <v>1760</v>
      </c>
    </row>
    <row r="1169" spans="1:39" ht="15" customHeight="1" x14ac:dyDescent="0.25">
      <c r="A1169" s="1409"/>
      <c r="B1169" s="1409"/>
      <c r="C1169" s="1409"/>
      <c r="D1169" s="1409"/>
      <c r="E1169" s="1276"/>
      <c r="F1169" s="1248" t="s">
        <v>5019</v>
      </c>
      <c r="G1169" s="111"/>
      <c r="H1169" s="1249">
        <v>80</v>
      </c>
      <c r="I1169" s="111" t="s">
        <v>1721</v>
      </c>
      <c r="J1169" s="1321" t="s">
        <v>5608</v>
      </c>
      <c r="K1169" s="162" t="s">
        <v>5610</v>
      </c>
      <c r="L1169" s="162" t="s">
        <v>5609</v>
      </c>
      <c r="M1169" s="111">
        <v>22</v>
      </c>
      <c r="N1169" s="111">
        <v>1760</v>
      </c>
      <c r="O1169" s="111"/>
      <c r="P1169" s="111"/>
      <c r="Q1169" s="111"/>
      <c r="R1169" s="111"/>
      <c r="S1169" s="1249">
        <v>40</v>
      </c>
      <c r="T1169" s="1250">
        <v>586.66666666666663</v>
      </c>
      <c r="U1169" s="1250"/>
      <c r="V1169" s="1250"/>
      <c r="W1169" s="1251">
        <v>40</v>
      </c>
      <c r="X1169" s="1250">
        <v>586.66666666666663</v>
      </c>
      <c r="Y1169" s="1250"/>
      <c r="Z1169" s="1250"/>
      <c r="AA1169" s="1250"/>
      <c r="AB1169" s="1250"/>
      <c r="AC1169" s="1250"/>
      <c r="AD1169" s="1250"/>
      <c r="AE1169" s="1249">
        <v>0</v>
      </c>
      <c r="AF1169" s="1250">
        <v>586.66666666666663</v>
      </c>
      <c r="AG1169" s="111"/>
      <c r="AH1169" s="111"/>
      <c r="AI1169" s="111"/>
      <c r="AJ1169" s="111"/>
      <c r="AK1169" s="111"/>
      <c r="AL1169" s="111"/>
      <c r="AM1169" s="111">
        <v>1760</v>
      </c>
    </row>
    <row r="1170" spans="1:39" ht="15" customHeight="1" x14ac:dyDescent="0.25">
      <c r="A1170" s="1409"/>
      <c r="B1170" s="1409"/>
      <c r="C1170" s="1409"/>
      <c r="D1170" s="1409"/>
      <c r="E1170" s="1276"/>
      <c r="F1170" s="1248" t="s">
        <v>5020</v>
      </c>
      <c r="G1170" s="111"/>
      <c r="H1170" s="1249">
        <v>80</v>
      </c>
      <c r="I1170" s="111" t="s">
        <v>1721</v>
      </c>
      <c r="J1170" s="1321" t="s">
        <v>5608</v>
      </c>
      <c r="K1170" s="162" t="s">
        <v>5610</v>
      </c>
      <c r="L1170" s="162" t="s">
        <v>5609</v>
      </c>
      <c r="M1170" s="111">
        <v>22</v>
      </c>
      <c r="N1170" s="111">
        <v>1760</v>
      </c>
      <c r="O1170" s="111"/>
      <c r="P1170" s="111"/>
      <c r="Q1170" s="111"/>
      <c r="R1170" s="111"/>
      <c r="S1170" s="1249">
        <v>40</v>
      </c>
      <c r="T1170" s="1250">
        <v>586.66666666666663</v>
      </c>
      <c r="U1170" s="1250"/>
      <c r="V1170" s="1250"/>
      <c r="W1170" s="1251">
        <v>40</v>
      </c>
      <c r="X1170" s="1250">
        <v>586.66666666666663</v>
      </c>
      <c r="Y1170" s="1250"/>
      <c r="Z1170" s="1250"/>
      <c r="AA1170" s="1250"/>
      <c r="AB1170" s="1250"/>
      <c r="AC1170" s="1250"/>
      <c r="AD1170" s="1250"/>
      <c r="AE1170" s="1249">
        <v>0</v>
      </c>
      <c r="AF1170" s="1250">
        <v>586.66666666666663</v>
      </c>
      <c r="AG1170" s="111"/>
      <c r="AH1170" s="111"/>
      <c r="AI1170" s="111"/>
      <c r="AJ1170" s="111"/>
      <c r="AK1170" s="111"/>
      <c r="AL1170" s="111"/>
      <c r="AM1170" s="111">
        <v>1760</v>
      </c>
    </row>
    <row r="1171" spans="1:39" ht="15" customHeight="1" x14ac:dyDescent="0.25">
      <c r="A1171" s="1409"/>
      <c r="B1171" s="1409"/>
      <c r="C1171" s="1409"/>
      <c r="D1171" s="1409"/>
      <c r="E1171" s="1276"/>
      <c r="F1171" s="1248" t="s">
        <v>5021</v>
      </c>
      <c r="G1171" s="111"/>
      <c r="H1171" s="1249">
        <v>100</v>
      </c>
      <c r="I1171" s="111" t="s">
        <v>1721</v>
      </c>
      <c r="J1171" s="1321" t="s">
        <v>5608</v>
      </c>
      <c r="K1171" s="162" t="s">
        <v>5610</v>
      </c>
      <c r="L1171" s="162" t="s">
        <v>5609</v>
      </c>
      <c r="M1171" s="111">
        <v>30</v>
      </c>
      <c r="N1171" s="111">
        <v>3000</v>
      </c>
      <c r="O1171" s="111"/>
      <c r="P1171" s="111"/>
      <c r="Q1171" s="111"/>
      <c r="R1171" s="111"/>
      <c r="S1171" s="1249">
        <v>40</v>
      </c>
      <c r="T1171" s="1250">
        <v>1000</v>
      </c>
      <c r="U1171" s="1250"/>
      <c r="V1171" s="1250"/>
      <c r="W1171" s="1251">
        <v>40</v>
      </c>
      <c r="X1171" s="1250">
        <v>1000</v>
      </c>
      <c r="Y1171" s="1250"/>
      <c r="Z1171" s="1250"/>
      <c r="AA1171" s="1250"/>
      <c r="AB1171" s="1250"/>
      <c r="AC1171" s="1250"/>
      <c r="AD1171" s="1250"/>
      <c r="AE1171" s="1249">
        <v>20</v>
      </c>
      <c r="AF1171" s="1250">
        <v>1000</v>
      </c>
      <c r="AG1171" s="111"/>
      <c r="AH1171" s="111"/>
      <c r="AI1171" s="111"/>
      <c r="AJ1171" s="111"/>
      <c r="AK1171" s="111"/>
      <c r="AL1171" s="111"/>
      <c r="AM1171" s="111">
        <v>3000</v>
      </c>
    </row>
    <row r="1172" spans="1:39" ht="15" customHeight="1" x14ac:dyDescent="0.25">
      <c r="A1172" s="1409"/>
      <c r="B1172" s="1409"/>
      <c r="C1172" s="1409"/>
      <c r="D1172" s="1409"/>
      <c r="E1172" s="1247"/>
      <c r="F1172" s="1248"/>
      <c r="G1172" s="111"/>
      <c r="H1172" s="1249"/>
      <c r="I1172" s="111"/>
      <c r="J1172" s="111"/>
      <c r="K1172" s="111"/>
      <c r="L1172" s="111"/>
      <c r="M1172" s="111"/>
      <c r="N1172" s="111"/>
      <c r="O1172" s="111"/>
      <c r="P1172" s="111"/>
      <c r="Q1172" s="111"/>
      <c r="R1172" s="111"/>
      <c r="S1172" s="1249"/>
      <c r="T1172" s="1250"/>
      <c r="U1172" s="1250"/>
      <c r="V1172" s="1250"/>
      <c r="W1172" s="1251"/>
      <c r="X1172" s="1250"/>
      <c r="Y1172" s="1250"/>
      <c r="Z1172" s="1250"/>
      <c r="AA1172" s="1250"/>
      <c r="AB1172" s="1250"/>
      <c r="AC1172" s="1250"/>
      <c r="AD1172" s="1250"/>
      <c r="AE1172" s="1249"/>
      <c r="AF1172" s="1250"/>
      <c r="AG1172" s="111"/>
      <c r="AH1172" s="111"/>
      <c r="AI1172" s="111"/>
      <c r="AJ1172" s="111"/>
      <c r="AK1172" s="111"/>
      <c r="AL1172" s="111"/>
      <c r="AM1172" s="111"/>
    </row>
    <row r="1173" spans="1:39" ht="36" customHeight="1" x14ac:dyDescent="0.25">
      <c r="A1173" s="1409"/>
      <c r="B1173" s="1409"/>
      <c r="C1173" s="1409"/>
      <c r="D1173" s="1409"/>
      <c r="E1173" s="1204">
        <v>2400</v>
      </c>
      <c r="F1173" s="1274" t="s">
        <v>557</v>
      </c>
      <c r="G1173" s="1204"/>
      <c r="H1173" s="1204"/>
      <c r="I1173" s="1204"/>
      <c r="J1173" s="1204"/>
      <c r="K1173" s="1204"/>
      <c r="L1173" s="1204"/>
      <c r="M1173" s="1204"/>
      <c r="N1173" s="1204"/>
      <c r="O1173" s="1204"/>
      <c r="P1173" s="1204"/>
      <c r="Q1173" s="1204"/>
      <c r="R1173" s="1204"/>
      <c r="S1173" s="1204"/>
      <c r="T1173" s="1204"/>
      <c r="U1173" s="1204"/>
      <c r="V1173" s="1204"/>
      <c r="W1173" s="1204"/>
      <c r="X1173" s="1204"/>
      <c r="Y1173" s="1204"/>
      <c r="Z1173" s="1204"/>
      <c r="AA1173" s="1204"/>
      <c r="AB1173" s="1204"/>
      <c r="AC1173" s="1204"/>
      <c r="AD1173" s="1204"/>
      <c r="AE1173" s="1204"/>
      <c r="AF1173" s="1204"/>
      <c r="AG1173" s="1204"/>
      <c r="AH1173" s="1204"/>
      <c r="AI1173" s="1204"/>
      <c r="AJ1173" s="1204"/>
      <c r="AK1173" s="1204"/>
      <c r="AL1173" s="1204"/>
      <c r="AM1173" s="1204"/>
    </row>
    <row r="1174" spans="1:39" ht="15" customHeight="1" x14ac:dyDescent="0.25">
      <c r="A1174" s="1409"/>
      <c r="B1174" s="1409"/>
      <c r="C1174" s="1409"/>
      <c r="D1174" s="1409"/>
      <c r="E1174" s="1218">
        <v>241</v>
      </c>
      <c r="F1174" s="1268" t="s">
        <v>558</v>
      </c>
      <c r="G1174" s="1218"/>
      <c r="H1174" s="1218"/>
      <c r="I1174" s="1218"/>
      <c r="J1174" s="1218"/>
      <c r="K1174" s="1218"/>
      <c r="L1174" s="1218"/>
      <c r="M1174" s="1218"/>
      <c r="N1174" s="1218"/>
      <c r="O1174" s="1218"/>
      <c r="P1174" s="1218"/>
      <c r="Q1174" s="1218"/>
      <c r="R1174" s="1218"/>
      <c r="S1174" s="1218"/>
      <c r="T1174" s="1218"/>
      <c r="U1174" s="1218"/>
      <c r="V1174" s="1218"/>
      <c r="W1174" s="1218"/>
      <c r="X1174" s="1218"/>
      <c r="Y1174" s="1218"/>
      <c r="Z1174" s="1218"/>
      <c r="AA1174" s="1218"/>
      <c r="AB1174" s="1218"/>
      <c r="AC1174" s="1218"/>
      <c r="AD1174" s="1218"/>
      <c r="AE1174" s="1218"/>
      <c r="AF1174" s="1218"/>
      <c r="AG1174" s="1218"/>
      <c r="AH1174" s="1218"/>
      <c r="AI1174" s="1218"/>
      <c r="AJ1174" s="1218"/>
      <c r="AK1174" s="1218"/>
      <c r="AL1174" s="1218"/>
      <c r="AM1174" s="1218"/>
    </row>
    <row r="1175" spans="1:39" ht="15" customHeight="1" x14ac:dyDescent="0.25">
      <c r="A1175" s="1409"/>
      <c r="B1175" s="1409"/>
      <c r="C1175" s="1409"/>
      <c r="D1175" s="1409"/>
      <c r="E1175" s="1247"/>
      <c r="F1175" s="1248"/>
      <c r="G1175" s="111"/>
      <c r="H1175" s="1249"/>
      <c r="I1175" s="111"/>
      <c r="J1175" s="111"/>
      <c r="K1175" s="111"/>
      <c r="L1175" s="111"/>
      <c r="M1175" s="111"/>
      <c r="N1175" s="111"/>
      <c r="O1175" s="111"/>
      <c r="P1175" s="111"/>
      <c r="Q1175" s="111"/>
      <c r="R1175" s="111"/>
      <c r="S1175" s="1249"/>
      <c r="T1175" s="1250"/>
      <c r="U1175" s="1250"/>
      <c r="V1175" s="1250"/>
      <c r="W1175" s="1251"/>
      <c r="X1175" s="1250"/>
      <c r="Y1175" s="1250"/>
      <c r="Z1175" s="1250"/>
      <c r="AA1175" s="1250"/>
      <c r="AB1175" s="1250"/>
      <c r="AC1175" s="1250"/>
      <c r="AD1175" s="1250"/>
      <c r="AE1175" s="1249"/>
      <c r="AF1175" s="1250"/>
      <c r="AG1175" s="111"/>
      <c r="AH1175" s="111"/>
      <c r="AI1175" s="111"/>
      <c r="AJ1175" s="111"/>
      <c r="AK1175" s="111"/>
      <c r="AL1175" s="111"/>
      <c r="AM1175" s="111"/>
    </row>
    <row r="1176" spans="1:39" ht="15" customHeight="1" x14ac:dyDescent="0.25">
      <c r="A1176" s="1409"/>
      <c r="B1176" s="1409"/>
      <c r="C1176" s="1409"/>
      <c r="D1176" s="1409"/>
      <c r="E1176" s="1261">
        <v>24102</v>
      </c>
      <c r="F1176" s="1262" t="s">
        <v>560</v>
      </c>
      <c r="G1176" s="1261"/>
      <c r="H1176" s="1261"/>
      <c r="I1176" s="1261"/>
      <c r="J1176" s="1261"/>
      <c r="K1176" s="1261"/>
      <c r="L1176" s="1261"/>
      <c r="M1176" s="1261"/>
      <c r="N1176" s="1261"/>
      <c r="O1176" s="1261"/>
      <c r="P1176" s="1261"/>
      <c r="Q1176" s="1261"/>
      <c r="R1176" s="1261"/>
      <c r="S1176" s="1261"/>
      <c r="T1176" s="1261"/>
      <c r="U1176" s="1261"/>
      <c r="V1176" s="1261"/>
      <c r="W1176" s="1261"/>
      <c r="X1176" s="1261"/>
      <c r="Y1176" s="1261"/>
      <c r="Z1176" s="1261"/>
      <c r="AA1176" s="1261"/>
      <c r="AB1176" s="1261"/>
      <c r="AC1176" s="1261"/>
      <c r="AD1176" s="1261"/>
      <c r="AE1176" s="1261"/>
      <c r="AF1176" s="1261"/>
      <c r="AG1176" s="1261"/>
      <c r="AH1176" s="1261"/>
      <c r="AI1176" s="1261"/>
      <c r="AJ1176" s="1261"/>
      <c r="AK1176" s="1261"/>
      <c r="AL1176" s="1261"/>
      <c r="AM1176" s="1261"/>
    </row>
    <row r="1177" spans="1:39" ht="15" customHeight="1" x14ac:dyDescent="0.25">
      <c r="A1177" s="1409"/>
      <c r="B1177" s="1409"/>
      <c r="C1177" s="1409"/>
      <c r="D1177" s="1409"/>
      <c r="E1177" s="1247"/>
      <c r="F1177" s="1248" t="s">
        <v>2953</v>
      </c>
      <c r="G1177" s="111"/>
      <c r="H1177" s="1249">
        <v>1</v>
      </c>
      <c r="I1177" s="111" t="s">
        <v>1827</v>
      </c>
      <c r="J1177" s="1321" t="s">
        <v>5608</v>
      </c>
      <c r="K1177" s="162" t="s">
        <v>5610</v>
      </c>
      <c r="L1177" s="162" t="s">
        <v>5609</v>
      </c>
      <c r="M1177" s="111">
        <v>21.6</v>
      </c>
      <c r="N1177" s="111">
        <v>21.6</v>
      </c>
      <c r="O1177" s="111"/>
      <c r="P1177" s="111"/>
      <c r="Q1177" s="111"/>
      <c r="R1177" s="111"/>
      <c r="S1177" s="1249">
        <v>1</v>
      </c>
      <c r="T1177" s="1250">
        <v>7.2</v>
      </c>
      <c r="U1177" s="1250"/>
      <c r="V1177" s="1250"/>
      <c r="W1177" s="1251">
        <v>0</v>
      </c>
      <c r="X1177" s="1250">
        <v>7.2</v>
      </c>
      <c r="Y1177" s="1250"/>
      <c r="Z1177" s="1250"/>
      <c r="AA1177" s="1250"/>
      <c r="AB1177" s="1250"/>
      <c r="AC1177" s="1250"/>
      <c r="AD1177" s="1250"/>
      <c r="AE1177" s="1249">
        <v>0</v>
      </c>
      <c r="AF1177" s="1250">
        <v>7.2</v>
      </c>
      <c r="AG1177" s="111"/>
      <c r="AH1177" s="111"/>
      <c r="AI1177" s="111"/>
      <c r="AJ1177" s="111"/>
      <c r="AK1177" s="111"/>
      <c r="AL1177" s="111"/>
      <c r="AM1177" s="111">
        <v>21.6</v>
      </c>
    </row>
    <row r="1178" spans="1:39" ht="15" customHeight="1" x14ac:dyDescent="0.25">
      <c r="A1178" s="1409"/>
      <c r="B1178" s="1409"/>
      <c r="C1178" s="1409"/>
      <c r="D1178" s="1409"/>
      <c r="E1178" s="1247"/>
      <c r="F1178" s="1248" t="s">
        <v>2953</v>
      </c>
      <c r="G1178" s="111"/>
      <c r="H1178" s="1249">
        <v>10</v>
      </c>
      <c r="I1178" s="111" t="s">
        <v>5022</v>
      </c>
      <c r="J1178" s="1321" t="s">
        <v>5608</v>
      </c>
      <c r="K1178" s="162" t="s">
        <v>5610</v>
      </c>
      <c r="L1178" s="162" t="s">
        <v>5609</v>
      </c>
      <c r="M1178" s="111">
        <v>200</v>
      </c>
      <c r="N1178" s="111">
        <v>2000</v>
      </c>
      <c r="O1178" s="111"/>
      <c r="P1178" s="111"/>
      <c r="Q1178" s="111"/>
      <c r="R1178" s="111"/>
      <c r="S1178" s="1249">
        <v>5</v>
      </c>
      <c r="T1178" s="1250">
        <v>666.66666666666663</v>
      </c>
      <c r="U1178" s="1250"/>
      <c r="V1178" s="1250"/>
      <c r="W1178" s="1251">
        <v>5</v>
      </c>
      <c r="X1178" s="1250">
        <v>666.66666666666663</v>
      </c>
      <c r="Y1178" s="1250"/>
      <c r="Z1178" s="1250"/>
      <c r="AA1178" s="1250"/>
      <c r="AB1178" s="1250"/>
      <c r="AC1178" s="1250"/>
      <c r="AD1178" s="1250"/>
      <c r="AE1178" s="1249">
        <v>0</v>
      </c>
      <c r="AF1178" s="1250">
        <v>666.66666666666663</v>
      </c>
      <c r="AG1178" s="111"/>
      <c r="AH1178" s="111"/>
      <c r="AI1178" s="111"/>
      <c r="AJ1178" s="111"/>
      <c r="AK1178" s="111"/>
      <c r="AL1178" s="111"/>
      <c r="AM1178" s="111">
        <v>2000</v>
      </c>
    </row>
    <row r="1179" spans="1:39" ht="15" customHeight="1" x14ac:dyDescent="0.25">
      <c r="A1179" s="1409"/>
      <c r="B1179" s="1409"/>
      <c r="C1179" s="1409"/>
      <c r="D1179" s="1409"/>
      <c r="E1179" s="1247"/>
      <c r="F1179" s="1248" t="s">
        <v>2955</v>
      </c>
      <c r="G1179" s="111"/>
      <c r="H1179" s="1249">
        <v>6</v>
      </c>
      <c r="I1179" s="111" t="s">
        <v>5023</v>
      </c>
      <c r="J1179" s="1321" t="s">
        <v>5608</v>
      </c>
      <c r="K1179" s="162" t="s">
        <v>5610</v>
      </c>
      <c r="L1179" s="162" t="s">
        <v>5609</v>
      </c>
      <c r="M1179" s="111">
        <v>3500</v>
      </c>
      <c r="N1179" s="111">
        <v>21000</v>
      </c>
      <c r="O1179" s="111"/>
      <c r="P1179" s="111"/>
      <c r="Q1179" s="111"/>
      <c r="R1179" s="111"/>
      <c r="S1179" s="1249">
        <v>2</v>
      </c>
      <c r="T1179" s="1250">
        <v>7000</v>
      </c>
      <c r="U1179" s="1250"/>
      <c r="V1179" s="1250"/>
      <c r="W1179" s="1251">
        <v>2</v>
      </c>
      <c r="X1179" s="1250">
        <v>7000</v>
      </c>
      <c r="Y1179" s="1250"/>
      <c r="Z1179" s="1250"/>
      <c r="AA1179" s="1250"/>
      <c r="AB1179" s="1250"/>
      <c r="AC1179" s="1250"/>
      <c r="AD1179" s="1250"/>
      <c r="AE1179" s="1249">
        <v>2</v>
      </c>
      <c r="AF1179" s="1250">
        <v>7000</v>
      </c>
      <c r="AG1179" s="111"/>
      <c r="AH1179" s="111"/>
      <c r="AI1179" s="111"/>
      <c r="AJ1179" s="111"/>
      <c r="AK1179" s="111"/>
      <c r="AL1179" s="111"/>
      <c r="AM1179" s="111">
        <v>21000</v>
      </c>
    </row>
    <row r="1180" spans="1:39" ht="15" customHeight="1" x14ac:dyDescent="0.25">
      <c r="A1180" s="1409"/>
      <c r="B1180" s="1409"/>
      <c r="C1180" s="1409"/>
      <c r="D1180" s="1409"/>
      <c r="E1180" s="1247"/>
      <c r="F1180" s="1248" t="s">
        <v>5024</v>
      </c>
      <c r="G1180" s="111"/>
      <c r="H1180" s="1249">
        <v>20</v>
      </c>
      <c r="I1180" s="111" t="s">
        <v>5022</v>
      </c>
      <c r="J1180" s="1321" t="s">
        <v>5608</v>
      </c>
      <c r="K1180" s="162" t="s">
        <v>5610</v>
      </c>
      <c r="L1180" s="162" t="s">
        <v>5609</v>
      </c>
      <c r="M1180" s="111">
        <v>200</v>
      </c>
      <c r="N1180" s="111">
        <v>4000</v>
      </c>
      <c r="O1180" s="111"/>
      <c r="P1180" s="111"/>
      <c r="Q1180" s="111"/>
      <c r="R1180" s="111"/>
      <c r="S1180" s="1249">
        <v>10</v>
      </c>
      <c r="T1180" s="1250">
        <v>1333.3333333333333</v>
      </c>
      <c r="U1180" s="1250"/>
      <c r="V1180" s="1250"/>
      <c r="W1180" s="1251">
        <v>5</v>
      </c>
      <c r="X1180" s="1250">
        <v>1333.3333333333333</v>
      </c>
      <c r="Y1180" s="1250"/>
      <c r="Z1180" s="1250"/>
      <c r="AA1180" s="1250"/>
      <c r="AB1180" s="1250"/>
      <c r="AC1180" s="1250"/>
      <c r="AD1180" s="1250"/>
      <c r="AE1180" s="1249">
        <v>5</v>
      </c>
      <c r="AF1180" s="1250">
        <v>1333.3333333333333</v>
      </c>
      <c r="AG1180" s="111"/>
      <c r="AH1180" s="111"/>
      <c r="AI1180" s="111"/>
      <c r="AJ1180" s="111"/>
      <c r="AK1180" s="111"/>
      <c r="AL1180" s="111"/>
      <c r="AM1180" s="111">
        <v>4000</v>
      </c>
    </row>
    <row r="1181" spans="1:39" ht="15" customHeight="1" x14ac:dyDescent="0.25">
      <c r="A1181" s="1409"/>
      <c r="B1181" s="1409"/>
      <c r="C1181" s="1409"/>
      <c r="D1181" s="1409"/>
      <c r="E1181" s="1247"/>
      <c r="F1181" s="1248" t="s">
        <v>2957</v>
      </c>
      <c r="G1181" s="111"/>
      <c r="H1181" s="1249">
        <v>3</v>
      </c>
      <c r="I1181" s="111" t="s">
        <v>5023</v>
      </c>
      <c r="J1181" s="1321" t="s">
        <v>5608</v>
      </c>
      <c r="K1181" s="162" t="s">
        <v>5610</v>
      </c>
      <c r="L1181" s="162" t="s">
        <v>5609</v>
      </c>
      <c r="M1181" s="111">
        <v>3000</v>
      </c>
      <c r="N1181" s="111">
        <v>9000</v>
      </c>
      <c r="O1181" s="111"/>
      <c r="P1181" s="111"/>
      <c r="Q1181" s="111"/>
      <c r="R1181" s="111"/>
      <c r="S1181" s="1249">
        <v>1</v>
      </c>
      <c r="T1181" s="1250">
        <v>3000</v>
      </c>
      <c r="U1181" s="1250"/>
      <c r="V1181" s="1250"/>
      <c r="W1181" s="1251">
        <v>1</v>
      </c>
      <c r="X1181" s="1250">
        <v>3000</v>
      </c>
      <c r="Y1181" s="1250"/>
      <c r="Z1181" s="1250"/>
      <c r="AA1181" s="1250"/>
      <c r="AB1181" s="1250"/>
      <c r="AC1181" s="1250"/>
      <c r="AD1181" s="1250"/>
      <c r="AE1181" s="1249">
        <v>1</v>
      </c>
      <c r="AF1181" s="1250">
        <v>3000</v>
      </c>
      <c r="AG1181" s="111"/>
      <c r="AH1181" s="111"/>
      <c r="AI1181" s="111"/>
      <c r="AJ1181" s="111"/>
      <c r="AK1181" s="111"/>
      <c r="AL1181" s="111"/>
      <c r="AM1181" s="111">
        <v>9000</v>
      </c>
    </row>
    <row r="1182" spans="1:39" ht="15" customHeight="1" x14ac:dyDescent="0.25">
      <c r="A1182" s="1409"/>
      <c r="B1182" s="1409"/>
      <c r="C1182" s="1409"/>
      <c r="D1182" s="1409"/>
      <c r="E1182" s="1247"/>
      <c r="F1182" s="1248" t="s">
        <v>5025</v>
      </c>
      <c r="G1182" s="111"/>
      <c r="H1182" s="1249">
        <v>4</v>
      </c>
      <c r="I1182" s="111" t="s">
        <v>5023</v>
      </c>
      <c r="J1182" s="1321" t="s">
        <v>5608</v>
      </c>
      <c r="K1182" s="162" t="s">
        <v>5610</v>
      </c>
      <c r="L1182" s="162" t="s">
        <v>5609</v>
      </c>
      <c r="M1182" s="111">
        <v>1500</v>
      </c>
      <c r="N1182" s="111">
        <v>6000</v>
      </c>
      <c r="O1182" s="111"/>
      <c r="P1182" s="111"/>
      <c r="Q1182" s="111"/>
      <c r="R1182" s="111"/>
      <c r="S1182" s="1249">
        <v>2</v>
      </c>
      <c r="T1182" s="1250">
        <v>2000</v>
      </c>
      <c r="U1182" s="1250"/>
      <c r="V1182" s="1250"/>
      <c r="W1182" s="1251">
        <v>1</v>
      </c>
      <c r="X1182" s="1250">
        <v>2000</v>
      </c>
      <c r="Y1182" s="1250"/>
      <c r="Z1182" s="1250"/>
      <c r="AA1182" s="1250"/>
      <c r="AB1182" s="1250"/>
      <c r="AC1182" s="1250"/>
      <c r="AD1182" s="1250"/>
      <c r="AE1182" s="1249">
        <v>1</v>
      </c>
      <c r="AF1182" s="1250">
        <v>2000</v>
      </c>
      <c r="AG1182" s="111"/>
      <c r="AH1182" s="111"/>
      <c r="AI1182" s="111"/>
      <c r="AJ1182" s="111"/>
      <c r="AK1182" s="111"/>
      <c r="AL1182" s="111"/>
      <c r="AM1182" s="111">
        <v>6000</v>
      </c>
    </row>
    <row r="1183" spans="1:39" ht="15" customHeight="1" x14ac:dyDescent="0.25">
      <c r="A1183" s="1409"/>
      <c r="B1183" s="1409"/>
      <c r="C1183" s="1409"/>
      <c r="D1183" s="1409"/>
      <c r="E1183" s="1247"/>
      <c r="F1183" s="1248" t="s">
        <v>5026</v>
      </c>
      <c r="G1183" s="111"/>
      <c r="H1183" s="1249">
        <v>4</v>
      </c>
      <c r="I1183" s="111" t="s">
        <v>1721</v>
      </c>
      <c r="J1183" s="1321" t="s">
        <v>5608</v>
      </c>
      <c r="K1183" s="162" t="s">
        <v>5610</v>
      </c>
      <c r="L1183" s="162" t="s">
        <v>5609</v>
      </c>
      <c r="M1183" s="111">
        <v>140</v>
      </c>
      <c r="N1183" s="111">
        <v>560</v>
      </c>
      <c r="O1183" s="111"/>
      <c r="P1183" s="111"/>
      <c r="Q1183" s="111"/>
      <c r="R1183" s="111"/>
      <c r="S1183" s="1249">
        <v>2</v>
      </c>
      <c r="T1183" s="1250">
        <v>186.66666666666666</v>
      </c>
      <c r="U1183" s="1250"/>
      <c r="V1183" s="1250"/>
      <c r="W1183" s="1251">
        <v>1</v>
      </c>
      <c r="X1183" s="1250">
        <v>186.66666666666666</v>
      </c>
      <c r="Y1183" s="1250"/>
      <c r="Z1183" s="1250"/>
      <c r="AA1183" s="1250"/>
      <c r="AB1183" s="1250"/>
      <c r="AC1183" s="1250"/>
      <c r="AD1183" s="1250"/>
      <c r="AE1183" s="1249">
        <v>1</v>
      </c>
      <c r="AF1183" s="1250">
        <v>186.66666666666666</v>
      </c>
      <c r="AG1183" s="111"/>
      <c r="AH1183" s="111"/>
      <c r="AI1183" s="111"/>
      <c r="AJ1183" s="111"/>
      <c r="AK1183" s="111"/>
      <c r="AL1183" s="111"/>
      <c r="AM1183" s="111">
        <v>560</v>
      </c>
    </row>
    <row r="1184" spans="1:39" ht="15" customHeight="1" x14ac:dyDescent="0.25">
      <c r="A1184" s="1409"/>
      <c r="B1184" s="1409"/>
      <c r="C1184" s="1409"/>
      <c r="D1184" s="1409"/>
      <c r="E1184" s="1247"/>
      <c r="F1184" s="1248" t="s">
        <v>5027</v>
      </c>
      <c r="G1184" s="111"/>
      <c r="H1184" s="1249">
        <v>40</v>
      </c>
      <c r="I1184" s="111" t="s">
        <v>5028</v>
      </c>
      <c r="J1184" s="1321" t="s">
        <v>5608</v>
      </c>
      <c r="K1184" s="162" t="s">
        <v>5610</v>
      </c>
      <c r="L1184" s="162" t="s">
        <v>5609</v>
      </c>
      <c r="M1184" s="111">
        <v>200</v>
      </c>
      <c r="N1184" s="111">
        <v>8000</v>
      </c>
      <c r="O1184" s="111"/>
      <c r="P1184" s="111"/>
      <c r="Q1184" s="111"/>
      <c r="R1184" s="111"/>
      <c r="S1184" s="1249">
        <v>15</v>
      </c>
      <c r="T1184" s="1250">
        <v>2666.6666666666665</v>
      </c>
      <c r="U1184" s="1250"/>
      <c r="V1184" s="1250"/>
      <c r="W1184" s="1251">
        <v>15</v>
      </c>
      <c r="X1184" s="1250">
        <v>2666.6666666666665</v>
      </c>
      <c r="Y1184" s="1250"/>
      <c r="Z1184" s="1250"/>
      <c r="AA1184" s="1250"/>
      <c r="AB1184" s="1250"/>
      <c r="AC1184" s="1250"/>
      <c r="AD1184" s="1250"/>
      <c r="AE1184" s="1249">
        <v>10</v>
      </c>
      <c r="AF1184" s="1250">
        <v>2666.6666666666665</v>
      </c>
      <c r="AG1184" s="111"/>
      <c r="AH1184" s="111"/>
      <c r="AI1184" s="111"/>
      <c r="AJ1184" s="111"/>
      <c r="AK1184" s="111"/>
      <c r="AL1184" s="111"/>
      <c r="AM1184" s="111">
        <v>8000</v>
      </c>
    </row>
    <row r="1185" spans="1:39" ht="15" customHeight="1" x14ac:dyDescent="0.25">
      <c r="A1185" s="1409"/>
      <c r="B1185" s="1409"/>
      <c r="C1185" s="1409"/>
      <c r="D1185" s="1409"/>
      <c r="E1185" s="1247"/>
      <c r="F1185" s="1248" t="s">
        <v>2954</v>
      </c>
      <c r="G1185" s="111"/>
      <c r="H1185" s="1249">
        <v>48</v>
      </c>
      <c r="I1185" s="111" t="s">
        <v>1767</v>
      </c>
      <c r="J1185" s="1321" t="s">
        <v>5608</v>
      </c>
      <c r="K1185" s="162" t="s">
        <v>5610</v>
      </c>
      <c r="L1185" s="162" t="s">
        <v>5609</v>
      </c>
      <c r="M1185" s="111">
        <v>197.81964000000002</v>
      </c>
      <c r="N1185" s="111">
        <v>9495.3427200000006</v>
      </c>
      <c r="O1185" s="111"/>
      <c r="P1185" s="111"/>
      <c r="Q1185" s="111"/>
      <c r="R1185" s="111"/>
      <c r="S1185" s="1249">
        <v>20</v>
      </c>
      <c r="T1185" s="1250">
        <v>3165.1142400000003</v>
      </c>
      <c r="U1185" s="1250"/>
      <c r="V1185" s="1250"/>
      <c r="W1185" s="1251">
        <v>18</v>
      </c>
      <c r="X1185" s="1250">
        <v>3165.1142400000003</v>
      </c>
      <c r="Y1185" s="1250"/>
      <c r="Z1185" s="1250"/>
      <c r="AA1185" s="1250"/>
      <c r="AB1185" s="1250"/>
      <c r="AC1185" s="1250"/>
      <c r="AD1185" s="1250"/>
      <c r="AE1185" s="1249">
        <v>10</v>
      </c>
      <c r="AF1185" s="1250">
        <v>3165.1142400000003</v>
      </c>
      <c r="AG1185" s="111"/>
      <c r="AH1185" s="111"/>
      <c r="AI1185" s="111"/>
      <c r="AJ1185" s="111"/>
      <c r="AK1185" s="111"/>
      <c r="AL1185" s="111"/>
      <c r="AM1185" s="111">
        <v>9495.3427200000006</v>
      </c>
    </row>
    <row r="1186" spans="1:39" ht="15" customHeight="1" x14ac:dyDescent="0.25">
      <c r="A1186" s="1409"/>
      <c r="B1186" s="1409"/>
      <c r="C1186" s="1409"/>
      <c r="D1186" s="1409"/>
      <c r="E1186" s="1247"/>
      <c r="F1186" s="1248" t="s">
        <v>2955</v>
      </c>
      <c r="G1186" s="111"/>
      <c r="H1186" s="1249">
        <v>1</v>
      </c>
      <c r="I1186" s="111" t="s">
        <v>2958</v>
      </c>
      <c r="J1186" s="1321" t="s">
        <v>5608</v>
      </c>
      <c r="K1186" s="162" t="s">
        <v>5610</v>
      </c>
      <c r="L1186" s="162" t="s">
        <v>5609</v>
      </c>
      <c r="M1186" s="111">
        <v>540</v>
      </c>
      <c r="N1186" s="111">
        <v>540</v>
      </c>
      <c r="O1186" s="111"/>
      <c r="P1186" s="111"/>
      <c r="Q1186" s="111"/>
      <c r="R1186" s="111"/>
      <c r="S1186" s="1249">
        <v>1</v>
      </c>
      <c r="T1186" s="1250">
        <v>180</v>
      </c>
      <c r="U1186" s="1250"/>
      <c r="V1186" s="1250"/>
      <c r="W1186" s="1251">
        <v>0</v>
      </c>
      <c r="X1186" s="1250">
        <v>180</v>
      </c>
      <c r="Y1186" s="1250"/>
      <c r="Z1186" s="1250"/>
      <c r="AA1186" s="1250"/>
      <c r="AB1186" s="1250"/>
      <c r="AC1186" s="1250"/>
      <c r="AD1186" s="1250"/>
      <c r="AE1186" s="1249">
        <v>0</v>
      </c>
      <c r="AF1186" s="1250">
        <v>180</v>
      </c>
      <c r="AG1186" s="111"/>
      <c r="AH1186" s="111"/>
      <c r="AI1186" s="111"/>
      <c r="AJ1186" s="111"/>
      <c r="AK1186" s="111"/>
      <c r="AL1186" s="111"/>
      <c r="AM1186" s="111">
        <v>540</v>
      </c>
    </row>
    <row r="1187" spans="1:39" ht="15" customHeight="1" x14ac:dyDescent="0.25">
      <c r="A1187" s="1409"/>
      <c r="B1187" s="1409"/>
      <c r="C1187" s="1409"/>
      <c r="D1187" s="1409"/>
      <c r="E1187" s="1247"/>
      <c r="F1187" s="1248" t="s">
        <v>2956</v>
      </c>
      <c r="G1187" s="111"/>
      <c r="H1187" s="1249">
        <v>1</v>
      </c>
      <c r="I1187" s="111" t="s">
        <v>2959</v>
      </c>
      <c r="J1187" s="1321" t="s">
        <v>5608</v>
      </c>
      <c r="K1187" s="162" t="s">
        <v>5610</v>
      </c>
      <c r="L1187" s="162" t="s">
        <v>5609</v>
      </c>
      <c r="M1187" s="111">
        <v>107.12</v>
      </c>
      <c r="N1187" s="111">
        <v>107.12</v>
      </c>
      <c r="O1187" s="111"/>
      <c r="P1187" s="111"/>
      <c r="Q1187" s="111"/>
      <c r="R1187" s="111"/>
      <c r="S1187" s="1249">
        <v>1</v>
      </c>
      <c r="T1187" s="1250">
        <v>35.706666666666671</v>
      </c>
      <c r="U1187" s="1250"/>
      <c r="V1187" s="1250"/>
      <c r="W1187" s="1251">
        <v>0</v>
      </c>
      <c r="X1187" s="1250">
        <v>35.706666666666671</v>
      </c>
      <c r="Y1187" s="1250"/>
      <c r="Z1187" s="1250"/>
      <c r="AA1187" s="1250"/>
      <c r="AB1187" s="1250"/>
      <c r="AC1187" s="1250"/>
      <c r="AD1187" s="1250"/>
      <c r="AE1187" s="1249">
        <v>0</v>
      </c>
      <c r="AF1187" s="1250">
        <v>35.706666666666671</v>
      </c>
      <c r="AG1187" s="111"/>
      <c r="AH1187" s="111"/>
      <c r="AI1187" s="111"/>
      <c r="AJ1187" s="111"/>
      <c r="AK1187" s="111"/>
      <c r="AL1187" s="111"/>
      <c r="AM1187" s="111">
        <v>107.12</v>
      </c>
    </row>
    <row r="1188" spans="1:39" ht="15" customHeight="1" x14ac:dyDescent="0.25">
      <c r="A1188" s="1409"/>
      <c r="B1188" s="1409"/>
      <c r="C1188" s="1409"/>
      <c r="D1188" s="1409"/>
      <c r="E1188" s="1247"/>
      <c r="F1188" s="1248" t="s">
        <v>2957</v>
      </c>
      <c r="G1188" s="111"/>
      <c r="H1188" s="1249">
        <v>1</v>
      </c>
      <c r="I1188" s="111" t="s">
        <v>2958</v>
      </c>
      <c r="J1188" s="1321" t="s">
        <v>5608</v>
      </c>
      <c r="K1188" s="162" t="s">
        <v>5610</v>
      </c>
      <c r="L1188" s="162" t="s">
        <v>5609</v>
      </c>
      <c r="M1188" s="111">
        <v>540</v>
      </c>
      <c r="N1188" s="111">
        <v>540</v>
      </c>
      <c r="O1188" s="111"/>
      <c r="P1188" s="111"/>
      <c r="Q1188" s="111"/>
      <c r="R1188" s="111"/>
      <c r="S1188" s="1249">
        <v>1</v>
      </c>
      <c r="T1188" s="1250">
        <v>180</v>
      </c>
      <c r="U1188" s="1250"/>
      <c r="V1188" s="1250"/>
      <c r="W1188" s="1251">
        <v>0</v>
      </c>
      <c r="X1188" s="1250">
        <v>180</v>
      </c>
      <c r="Y1188" s="1250"/>
      <c r="Z1188" s="1250"/>
      <c r="AA1188" s="1250"/>
      <c r="AB1188" s="1250"/>
      <c r="AC1188" s="1250"/>
      <c r="AD1188" s="1250"/>
      <c r="AE1188" s="1249">
        <v>0</v>
      </c>
      <c r="AF1188" s="1250">
        <v>180</v>
      </c>
      <c r="AG1188" s="111"/>
      <c r="AH1188" s="111"/>
      <c r="AI1188" s="111"/>
      <c r="AJ1188" s="111"/>
      <c r="AK1188" s="111"/>
      <c r="AL1188" s="111"/>
      <c r="AM1188" s="111">
        <v>540</v>
      </c>
    </row>
    <row r="1189" spans="1:39" ht="15" customHeight="1" x14ac:dyDescent="0.25">
      <c r="A1189" s="1409"/>
      <c r="B1189" s="1409"/>
      <c r="C1189" s="1409"/>
      <c r="D1189" s="1409"/>
      <c r="E1189" s="1247"/>
      <c r="F1189" s="1248"/>
      <c r="G1189" s="111"/>
      <c r="H1189" s="1249"/>
      <c r="I1189" s="111"/>
      <c r="J1189" s="111"/>
      <c r="K1189" s="111"/>
      <c r="L1189" s="111"/>
      <c r="M1189" s="111"/>
      <c r="N1189" s="111"/>
      <c r="O1189" s="111"/>
      <c r="P1189" s="111"/>
      <c r="Q1189" s="111"/>
      <c r="R1189" s="111"/>
      <c r="S1189" s="1249"/>
      <c r="T1189" s="1250"/>
      <c r="U1189" s="1250"/>
      <c r="V1189" s="1250"/>
      <c r="W1189" s="1251"/>
      <c r="X1189" s="1250"/>
      <c r="Y1189" s="1250"/>
      <c r="Z1189" s="1250"/>
      <c r="AA1189" s="1250"/>
      <c r="AB1189" s="1250"/>
      <c r="AC1189" s="1250"/>
      <c r="AD1189" s="1250"/>
      <c r="AE1189" s="1249"/>
      <c r="AF1189" s="1250"/>
      <c r="AG1189" s="111"/>
      <c r="AH1189" s="111"/>
      <c r="AI1189" s="111"/>
      <c r="AJ1189" s="111"/>
      <c r="AK1189" s="111"/>
      <c r="AL1189" s="111"/>
      <c r="AM1189" s="111"/>
    </row>
    <row r="1190" spans="1:39" ht="15" customHeight="1" x14ac:dyDescent="0.25">
      <c r="A1190" s="1409"/>
      <c r="B1190" s="1409"/>
      <c r="C1190" s="1409"/>
      <c r="D1190" s="1409"/>
      <c r="E1190" s="1261">
        <v>24103</v>
      </c>
      <c r="F1190" s="1262" t="s">
        <v>561</v>
      </c>
      <c r="G1190" s="1261"/>
      <c r="H1190" s="1261"/>
      <c r="I1190" s="1261"/>
      <c r="J1190" s="1261"/>
      <c r="K1190" s="1261"/>
      <c r="L1190" s="1261"/>
      <c r="M1190" s="1261"/>
      <c r="N1190" s="1261"/>
      <c r="O1190" s="1261"/>
      <c r="P1190" s="1261"/>
      <c r="Q1190" s="1261"/>
      <c r="R1190" s="1261"/>
      <c r="S1190" s="1261"/>
      <c r="T1190" s="1261"/>
      <c r="U1190" s="1261"/>
      <c r="V1190" s="1261"/>
      <c r="W1190" s="1261"/>
      <c r="X1190" s="1261"/>
      <c r="Y1190" s="1261"/>
      <c r="Z1190" s="1261"/>
      <c r="AA1190" s="1261"/>
      <c r="AB1190" s="1261"/>
      <c r="AC1190" s="1261"/>
      <c r="AD1190" s="1261"/>
      <c r="AE1190" s="1261"/>
      <c r="AF1190" s="1261"/>
      <c r="AG1190" s="1261"/>
      <c r="AH1190" s="1261"/>
      <c r="AI1190" s="1261"/>
      <c r="AJ1190" s="1261"/>
      <c r="AK1190" s="1261"/>
      <c r="AL1190" s="1261"/>
      <c r="AM1190" s="1261"/>
    </row>
    <row r="1191" spans="1:39" ht="15" customHeight="1" x14ac:dyDescent="0.25">
      <c r="A1191" s="1409"/>
      <c r="B1191" s="1409"/>
      <c r="C1191" s="1409"/>
      <c r="D1191" s="1409"/>
      <c r="E1191" s="1247"/>
      <c r="F1191" s="1248" t="s">
        <v>5029</v>
      </c>
      <c r="G1191" s="111"/>
      <c r="H1191" s="1249">
        <v>70</v>
      </c>
      <c r="I1191" s="111" t="s">
        <v>5028</v>
      </c>
      <c r="J1191" s="1321" t="s">
        <v>5608</v>
      </c>
      <c r="K1191" s="162" t="s">
        <v>5610</v>
      </c>
      <c r="L1191" s="162" t="s">
        <v>5609</v>
      </c>
      <c r="M1191" s="111">
        <v>70</v>
      </c>
      <c r="N1191" s="111">
        <v>4900</v>
      </c>
      <c r="O1191" s="111"/>
      <c r="P1191" s="111"/>
      <c r="Q1191" s="111"/>
      <c r="R1191" s="111"/>
      <c r="S1191" s="1249">
        <v>30</v>
      </c>
      <c r="T1191" s="1250">
        <v>1633.3333333333333</v>
      </c>
      <c r="U1191" s="1250"/>
      <c r="V1191" s="1250"/>
      <c r="W1191" s="1251">
        <v>30</v>
      </c>
      <c r="X1191" s="1250">
        <v>1633.3333333333333</v>
      </c>
      <c r="Y1191" s="1250"/>
      <c r="Z1191" s="1250"/>
      <c r="AA1191" s="1250"/>
      <c r="AB1191" s="1250"/>
      <c r="AC1191" s="1250"/>
      <c r="AD1191" s="1250"/>
      <c r="AE1191" s="1249">
        <v>10</v>
      </c>
      <c r="AF1191" s="1250">
        <v>1633.3333333333333</v>
      </c>
      <c r="AG1191" s="111"/>
      <c r="AH1191" s="111"/>
      <c r="AI1191" s="111"/>
      <c r="AJ1191" s="111"/>
      <c r="AK1191" s="111"/>
      <c r="AL1191" s="111"/>
      <c r="AM1191" s="111">
        <v>4900</v>
      </c>
    </row>
    <row r="1192" spans="1:39" ht="15" customHeight="1" x14ac:dyDescent="0.25">
      <c r="A1192" s="1409"/>
      <c r="B1192" s="1409"/>
      <c r="C1192" s="1409"/>
      <c r="D1192" s="1409"/>
      <c r="E1192" s="1247"/>
      <c r="F1192" s="1248" t="s">
        <v>5030</v>
      </c>
      <c r="G1192" s="111"/>
      <c r="H1192" s="1249">
        <v>2000</v>
      </c>
      <c r="I1192" s="111" t="s">
        <v>1721</v>
      </c>
      <c r="J1192" s="1321" t="s">
        <v>5608</v>
      </c>
      <c r="K1192" s="162" t="s">
        <v>5610</v>
      </c>
      <c r="L1192" s="162" t="s">
        <v>5609</v>
      </c>
      <c r="M1192" s="111">
        <v>5</v>
      </c>
      <c r="N1192" s="111">
        <v>10000</v>
      </c>
      <c r="O1192" s="111"/>
      <c r="P1192" s="111"/>
      <c r="Q1192" s="111"/>
      <c r="R1192" s="111"/>
      <c r="S1192" s="1249">
        <v>800</v>
      </c>
      <c r="T1192" s="1250">
        <v>3333.3333333333335</v>
      </c>
      <c r="U1192" s="1250"/>
      <c r="V1192" s="1250"/>
      <c r="W1192" s="1251">
        <v>800</v>
      </c>
      <c r="X1192" s="1250">
        <v>3333.3333333333335</v>
      </c>
      <c r="Y1192" s="1250"/>
      <c r="Z1192" s="1250"/>
      <c r="AA1192" s="1250"/>
      <c r="AB1192" s="1250"/>
      <c r="AC1192" s="1250"/>
      <c r="AD1192" s="1250"/>
      <c r="AE1192" s="1249">
        <v>400</v>
      </c>
      <c r="AF1192" s="1250">
        <v>3333.3333333333335</v>
      </c>
      <c r="AG1192" s="111"/>
      <c r="AH1192" s="111"/>
      <c r="AI1192" s="111"/>
      <c r="AJ1192" s="111"/>
      <c r="AK1192" s="111"/>
      <c r="AL1192" s="111"/>
      <c r="AM1192" s="111">
        <v>10000</v>
      </c>
    </row>
    <row r="1193" spans="1:39" ht="15" customHeight="1" x14ac:dyDescent="0.25">
      <c r="A1193" s="1409"/>
      <c r="B1193" s="1409"/>
      <c r="C1193" s="1409"/>
      <c r="D1193" s="1409"/>
      <c r="E1193" s="1247"/>
      <c r="F1193" s="1248"/>
      <c r="G1193" s="111"/>
      <c r="H1193" s="1249"/>
      <c r="I1193" s="111"/>
      <c r="J1193" s="111"/>
      <c r="K1193" s="111"/>
      <c r="L1193" s="111"/>
      <c r="M1193" s="111"/>
      <c r="N1193" s="111"/>
      <c r="O1193" s="111"/>
      <c r="P1193" s="111"/>
      <c r="Q1193" s="111"/>
      <c r="R1193" s="111"/>
      <c r="S1193" s="1249"/>
      <c r="T1193" s="1250"/>
      <c r="U1193" s="1250"/>
      <c r="V1193" s="1250"/>
      <c r="W1193" s="1251"/>
      <c r="X1193" s="1250"/>
      <c r="Y1193" s="1250"/>
      <c r="Z1193" s="1250"/>
      <c r="AA1193" s="1250"/>
      <c r="AB1193" s="1250"/>
      <c r="AC1193" s="1250"/>
      <c r="AD1193" s="1250"/>
      <c r="AE1193" s="1249"/>
      <c r="AF1193" s="1250"/>
      <c r="AG1193" s="111"/>
      <c r="AH1193" s="111"/>
      <c r="AI1193" s="111"/>
      <c r="AJ1193" s="111"/>
      <c r="AK1193" s="111"/>
      <c r="AL1193" s="111"/>
      <c r="AM1193" s="111"/>
    </row>
    <row r="1194" spans="1:39" ht="15" customHeight="1" x14ac:dyDescent="0.25">
      <c r="A1194" s="1409"/>
      <c r="B1194" s="1409"/>
      <c r="C1194" s="1409"/>
      <c r="D1194" s="1409"/>
      <c r="E1194" s="1218">
        <v>242</v>
      </c>
      <c r="F1194" s="1268" t="s">
        <v>562</v>
      </c>
      <c r="G1194" s="1218"/>
      <c r="H1194" s="1218"/>
      <c r="I1194" s="1218"/>
      <c r="J1194" s="1218"/>
      <c r="K1194" s="1218"/>
      <c r="L1194" s="1218"/>
      <c r="M1194" s="1218"/>
      <c r="N1194" s="1218"/>
      <c r="O1194" s="1218"/>
      <c r="P1194" s="1218"/>
      <c r="Q1194" s="1218"/>
      <c r="R1194" s="1218"/>
      <c r="S1194" s="1218"/>
      <c r="T1194" s="1218"/>
      <c r="U1194" s="1218"/>
      <c r="V1194" s="1218"/>
      <c r="W1194" s="1218"/>
      <c r="X1194" s="1218"/>
      <c r="Y1194" s="1218"/>
      <c r="Z1194" s="1218"/>
      <c r="AA1194" s="1218"/>
      <c r="AB1194" s="1218"/>
      <c r="AC1194" s="1218"/>
      <c r="AD1194" s="1218"/>
      <c r="AE1194" s="1218"/>
      <c r="AF1194" s="1218"/>
      <c r="AG1194" s="1218"/>
      <c r="AH1194" s="1218"/>
      <c r="AI1194" s="1218"/>
      <c r="AJ1194" s="1218"/>
      <c r="AK1194" s="1218"/>
      <c r="AL1194" s="1218"/>
      <c r="AM1194" s="1218"/>
    </row>
    <row r="1195" spans="1:39" ht="15" customHeight="1" x14ac:dyDescent="0.25">
      <c r="A1195" s="1409"/>
      <c r="B1195" s="1409"/>
      <c r="C1195" s="1409"/>
      <c r="D1195" s="1409"/>
      <c r="E1195" s="1247"/>
      <c r="F1195" s="1248"/>
      <c r="G1195" s="111"/>
      <c r="H1195" s="1249"/>
      <c r="I1195" s="111"/>
      <c r="J1195" s="111"/>
      <c r="K1195" s="111"/>
      <c r="L1195" s="111"/>
      <c r="M1195" s="111"/>
      <c r="N1195" s="111"/>
      <c r="O1195" s="111"/>
      <c r="P1195" s="111"/>
      <c r="Q1195" s="111"/>
      <c r="R1195" s="111"/>
      <c r="S1195" s="1249"/>
      <c r="T1195" s="1250"/>
      <c r="U1195" s="1250"/>
      <c r="V1195" s="1250"/>
      <c r="W1195" s="1251"/>
      <c r="X1195" s="1250"/>
      <c r="Y1195" s="1250"/>
      <c r="Z1195" s="1250"/>
      <c r="AA1195" s="1250"/>
      <c r="AB1195" s="1250"/>
      <c r="AC1195" s="1250"/>
      <c r="AD1195" s="1250"/>
      <c r="AE1195" s="1249"/>
      <c r="AF1195" s="1250"/>
      <c r="AG1195" s="111"/>
      <c r="AH1195" s="111"/>
      <c r="AI1195" s="111"/>
      <c r="AJ1195" s="111"/>
      <c r="AK1195" s="111"/>
      <c r="AL1195" s="111"/>
      <c r="AM1195" s="111"/>
    </row>
    <row r="1196" spans="1:39" ht="15" customHeight="1" x14ac:dyDescent="0.25">
      <c r="A1196" s="1409"/>
      <c r="B1196" s="1409"/>
      <c r="C1196" s="1409"/>
      <c r="D1196" s="1409"/>
      <c r="E1196" s="1261">
        <v>24201</v>
      </c>
      <c r="F1196" s="1262" t="s">
        <v>562</v>
      </c>
      <c r="G1196" s="1261"/>
      <c r="H1196" s="1261"/>
      <c r="I1196" s="1261"/>
      <c r="J1196" s="1261"/>
      <c r="K1196" s="1261"/>
      <c r="L1196" s="1261"/>
      <c r="M1196" s="1261"/>
      <c r="N1196" s="1261"/>
      <c r="O1196" s="1261"/>
      <c r="P1196" s="1261"/>
      <c r="Q1196" s="1261"/>
      <c r="R1196" s="1261"/>
      <c r="S1196" s="1261"/>
      <c r="T1196" s="1261"/>
      <c r="U1196" s="1261"/>
      <c r="V1196" s="1261"/>
      <c r="W1196" s="1261"/>
      <c r="X1196" s="1261"/>
      <c r="Y1196" s="1261"/>
      <c r="Z1196" s="1261"/>
      <c r="AA1196" s="1261"/>
      <c r="AB1196" s="1261"/>
      <c r="AC1196" s="1261"/>
      <c r="AD1196" s="1261"/>
      <c r="AE1196" s="1261"/>
      <c r="AF1196" s="1261"/>
      <c r="AG1196" s="1261"/>
      <c r="AH1196" s="1261"/>
      <c r="AI1196" s="1261"/>
      <c r="AJ1196" s="1261"/>
      <c r="AK1196" s="1261"/>
      <c r="AL1196" s="1261"/>
      <c r="AM1196" s="1261"/>
    </row>
    <row r="1197" spans="1:39" ht="15" customHeight="1" x14ac:dyDescent="0.25">
      <c r="A1197" s="1409"/>
      <c r="B1197" s="1409"/>
      <c r="C1197" s="1409"/>
      <c r="D1197" s="1409"/>
      <c r="E1197" s="1247"/>
      <c r="F1197" s="1248" t="s">
        <v>5031</v>
      </c>
      <c r="G1197" s="111"/>
      <c r="H1197" s="1249">
        <v>6</v>
      </c>
      <c r="I1197" s="111" t="s">
        <v>5032</v>
      </c>
      <c r="J1197" s="1321" t="s">
        <v>5608</v>
      </c>
      <c r="K1197" s="162" t="s">
        <v>5610</v>
      </c>
      <c r="L1197" s="162" t="s">
        <v>5609</v>
      </c>
      <c r="M1197" s="111">
        <v>406.53359999999998</v>
      </c>
      <c r="N1197" s="111">
        <v>2439.2015999999999</v>
      </c>
      <c r="O1197" s="111"/>
      <c r="P1197" s="111"/>
      <c r="Q1197" s="111"/>
      <c r="R1197" s="111"/>
      <c r="S1197" s="1249">
        <v>2</v>
      </c>
      <c r="T1197" s="1250">
        <v>813.06719999999996</v>
      </c>
      <c r="U1197" s="1250"/>
      <c r="V1197" s="1250"/>
      <c r="W1197" s="1251">
        <v>2</v>
      </c>
      <c r="X1197" s="1250">
        <v>813.06719999999996</v>
      </c>
      <c r="Y1197" s="1250"/>
      <c r="Z1197" s="1250"/>
      <c r="AA1197" s="1250"/>
      <c r="AB1197" s="1250"/>
      <c r="AC1197" s="1250"/>
      <c r="AD1197" s="1250"/>
      <c r="AE1197" s="1249">
        <v>2</v>
      </c>
      <c r="AF1197" s="1250">
        <v>813.06719999999996</v>
      </c>
      <c r="AG1197" s="111"/>
      <c r="AH1197" s="111"/>
      <c r="AI1197" s="111"/>
      <c r="AJ1197" s="111"/>
      <c r="AK1197" s="111"/>
      <c r="AL1197" s="111"/>
      <c r="AM1197" s="111">
        <v>2439.2015999999999</v>
      </c>
    </row>
    <row r="1198" spans="1:39" ht="15" customHeight="1" x14ac:dyDescent="0.25">
      <c r="A1198" s="1409"/>
      <c r="B1198" s="1409"/>
      <c r="C1198" s="1409"/>
      <c r="D1198" s="1409"/>
      <c r="E1198" s="1247"/>
      <c r="F1198" s="1248" t="s">
        <v>5033</v>
      </c>
      <c r="G1198" s="111"/>
      <c r="H1198" s="1249">
        <v>28</v>
      </c>
      <c r="I1198" s="111" t="s">
        <v>5032</v>
      </c>
      <c r="J1198" s="1321" t="s">
        <v>5608</v>
      </c>
      <c r="K1198" s="162" t="s">
        <v>5610</v>
      </c>
      <c r="L1198" s="162" t="s">
        <v>5609</v>
      </c>
      <c r="M1198" s="111">
        <v>383.9863678571428</v>
      </c>
      <c r="N1198" s="111">
        <v>10751.618299999998</v>
      </c>
      <c r="O1198" s="111"/>
      <c r="P1198" s="111"/>
      <c r="Q1198" s="111"/>
      <c r="R1198" s="111"/>
      <c r="S1198" s="1249">
        <v>10</v>
      </c>
      <c r="T1198" s="1250">
        <v>3583.8727666666659</v>
      </c>
      <c r="U1198" s="1250"/>
      <c r="V1198" s="1250"/>
      <c r="W1198" s="1251">
        <v>10</v>
      </c>
      <c r="X1198" s="1250">
        <v>3583.8727666666659</v>
      </c>
      <c r="Y1198" s="1250"/>
      <c r="Z1198" s="1250"/>
      <c r="AA1198" s="1250"/>
      <c r="AB1198" s="1250"/>
      <c r="AC1198" s="1250"/>
      <c r="AD1198" s="1250"/>
      <c r="AE1198" s="1249">
        <v>8</v>
      </c>
      <c r="AF1198" s="1250">
        <v>3583.8727666666659</v>
      </c>
      <c r="AG1198" s="111"/>
      <c r="AH1198" s="111"/>
      <c r="AI1198" s="111"/>
      <c r="AJ1198" s="111"/>
      <c r="AK1198" s="111"/>
      <c r="AL1198" s="111"/>
      <c r="AM1198" s="111">
        <v>10751.618299999998</v>
      </c>
    </row>
    <row r="1199" spans="1:39" ht="15" customHeight="1" x14ac:dyDescent="0.25">
      <c r="A1199" s="1409"/>
      <c r="B1199" s="1409"/>
      <c r="C1199" s="1409"/>
      <c r="D1199" s="1409"/>
      <c r="E1199" s="1247"/>
      <c r="F1199" s="1248" t="s">
        <v>3259</v>
      </c>
      <c r="G1199" s="111"/>
      <c r="H1199" s="1249">
        <v>28</v>
      </c>
      <c r="I1199" s="111" t="s">
        <v>5032</v>
      </c>
      <c r="J1199" s="1321" t="s">
        <v>5608</v>
      </c>
      <c r="K1199" s="162" t="s">
        <v>5610</v>
      </c>
      <c r="L1199" s="162" t="s">
        <v>5609</v>
      </c>
      <c r="M1199" s="111">
        <v>253.10354285714286</v>
      </c>
      <c r="N1199" s="111">
        <v>7086.8991999999998</v>
      </c>
      <c r="O1199" s="111"/>
      <c r="P1199" s="111"/>
      <c r="Q1199" s="111"/>
      <c r="R1199" s="111"/>
      <c r="S1199" s="1249">
        <v>10</v>
      </c>
      <c r="T1199" s="1250">
        <v>2362.2997333333333</v>
      </c>
      <c r="U1199" s="1250"/>
      <c r="V1199" s="1250"/>
      <c r="W1199" s="1251">
        <v>10</v>
      </c>
      <c r="X1199" s="1250">
        <v>2362.2997333333333</v>
      </c>
      <c r="Y1199" s="1250"/>
      <c r="Z1199" s="1250"/>
      <c r="AA1199" s="1250"/>
      <c r="AB1199" s="1250"/>
      <c r="AC1199" s="1250"/>
      <c r="AD1199" s="1250"/>
      <c r="AE1199" s="1249">
        <v>8</v>
      </c>
      <c r="AF1199" s="1250">
        <v>2362.2997333333333</v>
      </c>
      <c r="AG1199" s="111"/>
      <c r="AH1199" s="111"/>
      <c r="AI1199" s="111"/>
      <c r="AJ1199" s="111"/>
      <c r="AK1199" s="111"/>
      <c r="AL1199" s="111"/>
      <c r="AM1199" s="111">
        <v>7086.8991999999998</v>
      </c>
    </row>
    <row r="1200" spans="1:39" ht="15" customHeight="1" x14ac:dyDescent="0.25">
      <c r="A1200" s="1409"/>
      <c r="B1200" s="1409"/>
      <c r="C1200" s="1409"/>
      <c r="D1200" s="1409"/>
      <c r="E1200" s="1247"/>
      <c r="F1200" s="1248" t="s">
        <v>5034</v>
      </c>
      <c r="G1200" s="111"/>
      <c r="H1200" s="1249">
        <v>9</v>
      </c>
      <c r="I1200" s="111" t="s">
        <v>5032</v>
      </c>
      <c r="J1200" s="1321" t="s">
        <v>5608</v>
      </c>
      <c r="K1200" s="162" t="s">
        <v>5610</v>
      </c>
      <c r="L1200" s="162" t="s">
        <v>5609</v>
      </c>
      <c r="M1200" s="111">
        <v>192.93119999999999</v>
      </c>
      <c r="N1200" s="111">
        <v>1736.3807999999999</v>
      </c>
      <c r="O1200" s="111"/>
      <c r="P1200" s="111"/>
      <c r="Q1200" s="111"/>
      <c r="R1200" s="111"/>
      <c r="S1200" s="1249">
        <v>5</v>
      </c>
      <c r="T1200" s="1250">
        <v>578.79359999999997</v>
      </c>
      <c r="U1200" s="1250"/>
      <c r="V1200" s="1250"/>
      <c r="W1200" s="1251">
        <v>2</v>
      </c>
      <c r="X1200" s="1250">
        <v>578.79359999999997</v>
      </c>
      <c r="Y1200" s="1250"/>
      <c r="Z1200" s="1250"/>
      <c r="AA1200" s="1250"/>
      <c r="AB1200" s="1250"/>
      <c r="AC1200" s="1250"/>
      <c r="AD1200" s="1250"/>
      <c r="AE1200" s="1249">
        <v>2</v>
      </c>
      <c r="AF1200" s="1250">
        <v>578.79359999999997</v>
      </c>
      <c r="AG1200" s="111"/>
      <c r="AH1200" s="111"/>
      <c r="AI1200" s="111"/>
      <c r="AJ1200" s="111"/>
      <c r="AK1200" s="111"/>
      <c r="AL1200" s="111"/>
      <c r="AM1200" s="111">
        <v>1736.3807999999999</v>
      </c>
    </row>
    <row r="1201" spans="1:39" ht="15" customHeight="1" x14ac:dyDescent="0.25">
      <c r="A1201" s="1409"/>
      <c r="B1201" s="1409"/>
      <c r="C1201" s="1409"/>
      <c r="D1201" s="1409"/>
      <c r="E1201" s="1247"/>
      <c r="F1201" s="1248" t="s">
        <v>5035</v>
      </c>
      <c r="G1201" s="111"/>
      <c r="H1201" s="1249">
        <v>15</v>
      </c>
      <c r="I1201" s="111" t="s">
        <v>5032</v>
      </c>
      <c r="J1201" s="1321" t="s">
        <v>5608</v>
      </c>
      <c r="K1201" s="162" t="s">
        <v>5610</v>
      </c>
      <c r="L1201" s="162" t="s">
        <v>5609</v>
      </c>
      <c r="M1201" s="111">
        <v>195</v>
      </c>
      <c r="N1201" s="111">
        <v>2925</v>
      </c>
      <c r="O1201" s="111"/>
      <c r="P1201" s="111"/>
      <c r="Q1201" s="111"/>
      <c r="R1201" s="111"/>
      <c r="S1201" s="1249">
        <v>5</v>
      </c>
      <c r="T1201" s="1250">
        <v>975</v>
      </c>
      <c r="U1201" s="1250"/>
      <c r="V1201" s="1250"/>
      <c r="W1201" s="1251">
        <v>5</v>
      </c>
      <c r="X1201" s="1250">
        <v>975</v>
      </c>
      <c r="Y1201" s="1250"/>
      <c r="Z1201" s="1250"/>
      <c r="AA1201" s="1250"/>
      <c r="AB1201" s="1250"/>
      <c r="AC1201" s="1250"/>
      <c r="AD1201" s="1250"/>
      <c r="AE1201" s="1249">
        <v>5</v>
      </c>
      <c r="AF1201" s="1250">
        <v>975</v>
      </c>
      <c r="AG1201" s="111"/>
      <c r="AH1201" s="111"/>
      <c r="AI1201" s="111"/>
      <c r="AJ1201" s="111"/>
      <c r="AK1201" s="111"/>
      <c r="AL1201" s="111"/>
      <c r="AM1201" s="111">
        <v>2925</v>
      </c>
    </row>
    <row r="1202" spans="1:39" ht="15" customHeight="1" x14ac:dyDescent="0.25">
      <c r="A1202" s="1409"/>
      <c r="B1202" s="1409"/>
      <c r="C1202" s="1409"/>
      <c r="D1202" s="1409"/>
      <c r="E1202" s="1247"/>
      <c r="F1202" s="1248"/>
      <c r="G1202" s="111"/>
      <c r="H1202" s="1249"/>
      <c r="I1202" s="111"/>
      <c r="J1202" s="111"/>
      <c r="K1202" s="111"/>
      <c r="L1202" s="111"/>
      <c r="M1202" s="111"/>
      <c r="N1202" s="111"/>
      <c r="O1202" s="111"/>
      <c r="P1202" s="111"/>
      <c r="Q1202" s="111"/>
      <c r="R1202" s="111"/>
      <c r="S1202" s="1249"/>
      <c r="T1202" s="1250"/>
      <c r="U1202" s="1250"/>
      <c r="V1202" s="1250"/>
      <c r="W1202" s="1251"/>
      <c r="X1202" s="1250"/>
      <c r="Y1202" s="1250"/>
      <c r="Z1202" s="1250"/>
      <c r="AA1202" s="1250"/>
      <c r="AB1202" s="1250"/>
      <c r="AC1202" s="1250"/>
      <c r="AD1202" s="1250"/>
      <c r="AE1202" s="1249"/>
      <c r="AF1202" s="1250"/>
      <c r="AG1202" s="111"/>
      <c r="AH1202" s="111"/>
      <c r="AI1202" s="111"/>
      <c r="AJ1202" s="111"/>
      <c r="AK1202" s="111"/>
      <c r="AL1202" s="111"/>
      <c r="AM1202" s="111"/>
    </row>
    <row r="1203" spans="1:39" ht="15" customHeight="1" x14ac:dyDescent="0.25">
      <c r="A1203" s="1409"/>
      <c r="B1203" s="1409"/>
      <c r="C1203" s="1409"/>
      <c r="D1203" s="1409"/>
      <c r="E1203" s="1218">
        <v>243</v>
      </c>
      <c r="F1203" s="1268" t="s">
        <v>563</v>
      </c>
      <c r="G1203" s="1218"/>
      <c r="H1203" s="1218"/>
      <c r="I1203" s="1218"/>
      <c r="J1203" s="1218"/>
      <c r="K1203" s="1218"/>
      <c r="L1203" s="1218"/>
      <c r="M1203" s="1218"/>
      <c r="N1203" s="1218"/>
      <c r="O1203" s="1218"/>
      <c r="P1203" s="1218"/>
      <c r="Q1203" s="1218"/>
      <c r="R1203" s="1218"/>
      <c r="S1203" s="1218"/>
      <c r="T1203" s="1218"/>
      <c r="U1203" s="1218"/>
      <c r="V1203" s="1218"/>
      <c r="W1203" s="1218"/>
      <c r="X1203" s="1218"/>
      <c r="Y1203" s="1218"/>
      <c r="Z1203" s="1218"/>
      <c r="AA1203" s="1218"/>
      <c r="AB1203" s="1218"/>
      <c r="AC1203" s="1218"/>
      <c r="AD1203" s="1218"/>
      <c r="AE1203" s="1218"/>
      <c r="AF1203" s="1218"/>
      <c r="AG1203" s="1218"/>
      <c r="AH1203" s="1218"/>
      <c r="AI1203" s="1218"/>
      <c r="AJ1203" s="1218"/>
      <c r="AK1203" s="1218"/>
      <c r="AL1203" s="1218"/>
      <c r="AM1203" s="1218"/>
    </row>
    <row r="1204" spans="1:39" ht="15" customHeight="1" x14ac:dyDescent="0.25">
      <c r="A1204" s="1409"/>
      <c r="B1204" s="1409"/>
      <c r="C1204" s="1409"/>
      <c r="D1204" s="1409"/>
      <c r="E1204" s="1277"/>
      <c r="F1204" s="1248"/>
      <c r="G1204" s="111"/>
      <c r="H1204" s="1249"/>
      <c r="I1204" s="111"/>
      <c r="J1204" s="111"/>
      <c r="K1204" s="111"/>
      <c r="L1204" s="111"/>
      <c r="M1204" s="111"/>
      <c r="N1204" s="111"/>
      <c r="O1204" s="111"/>
      <c r="P1204" s="111"/>
      <c r="Q1204" s="111"/>
      <c r="R1204" s="111"/>
      <c r="S1204" s="1249"/>
      <c r="T1204" s="1250"/>
      <c r="U1204" s="1250"/>
      <c r="V1204" s="1250"/>
      <c r="W1204" s="1251"/>
      <c r="X1204" s="1250"/>
      <c r="Y1204" s="1250"/>
      <c r="Z1204" s="1250"/>
      <c r="AA1204" s="1250"/>
      <c r="AB1204" s="1250"/>
      <c r="AC1204" s="1250"/>
      <c r="AD1204" s="1250"/>
      <c r="AE1204" s="1249"/>
      <c r="AF1204" s="1250"/>
      <c r="AG1204" s="111"/>
      <c r="AH1204" s="111"/>
      <c r="AI1204" s="111"/>
      <c r="AJ1204" s="111"/>
      <c r="AK1204" s="111"/>
      <c r="AL1204" s="111"/>
      <c r="AM1204" s="111"/>
    </row>
    <row r="1205" spans="1:39" ht="15" customHeight="1" x14ac:dyDescent="0.25">
      <c r="A1205" s="1409"/>
      <c r="B1205" s="1409"/>
      <c r="C1205" s="1409"/>
      <c r="D1205" s="1409"/>
      <c r="E1205" s="1271">
        <v>24301</v>
      </c>
      <c r="F1205" s="1272" t="s">
        <v>563</v>
      </c>
      <c r="G1205" s="1273"/>
      <c r="H1205" s="1273"/>
      <c r="I1205" s="1273"/>
      <c r="J1205" s="1273"/>
      <c r="K1205" s="1273"/>
      <c r="L1205" s="1273"/>
      <c r="M1205" s="1273"/>
      <c r="N1205" s="1273"/>
      <c r="O1205" s="1273"/>
      <c r="P1205" s="1273"/>
      <c r="Q1205" s="1273"/>
      <c r="R1205" s="1273"/>
      <c r="S1205" s="1273"/>
      <c r="T1205" s="1273"/>
      <c r="U1205" s="1273"/>
      <c r="V1205" s="1273"/>
      <c r="W1205" s="1273"/>
      <c r="X1205" s="1273"/>
      <c r="Y1205" s="1273"/>
      <c r="Z1205" s="1273"/>
      <c r="AA1205" s="1273"/>
      <c r="AB1205" s="1273"/>
      <c r="AC1205" s="1273"/>
      <c r="AD1205" s="1273"/>
      <c r="AE1205" s="1273"/>
      <c r="AF1205" s="1273"/>
      <c r="AG1205" s="1273"/>
      <c r="AH1205" s="1273"/>
      <c r="AI1205" s="1273"/>
      <c r="AJ1205" s="1273"/>
      <c r="AK1205" s="1273"/>
      <c r="AL1205" s="1273"/>
      <c r="AM1205" s="1273"/>
    </row>
    <row r="1206" spans="1:39" ht="15" customHeight="1" x14ac:dyDescent="0.25">
      <c r="A1206" s="1409"/>
      <c r="B1206" s="1409"/>
      <c r="C1206" s="1409"/>
      <c r="D1206" s="1409"/>
      <c r="E1206" s="1247"/>
      <c r="F1206" s="1248" t="s">
        <v>5036</v>
      </c>
      <c r="G1206" s="111"/>
      <c r="H1206" s="1249">
        <v>3</v>
      </c>
      <c r="I1206" s="111" t="s">
        <v>5032</v>
      </c>
      <c r="J1206" s="1321" t="s">
        <v>5608</v>
      </c>
      <c r="K1206" s="162" t="s">
        <v>5610</v>
      </c>
      <c r="L1206" s="162" t="s">
        <v>5609</v>
      </c>
      <c r="M1206" s="111">
        <v>100</v>
      </c>
      <c r="N1206" s="111">
        <v>300</v>
      </c>
      <c r="O1206" s="111"/>
      <c r="P1206" s="111"/>
      <c r="Q1206" s="111"/>
      <c r="R1206" s="111"/>
      <c r="S1206" s="1249">
        <v>1</v>
      </c>
      <c r="T1206" s="1250">
        <v>100</v>
      </c>
      <c r="U1206" s="1250"/>
      <c r="V1206" s="1250"/>
      <c r="W1206" s="1251">
        <v>1</v>
      </c>
      <c r="X1206" s="1250">
        <v>100</v>
      </c>
      <c r="Y1206" s="1250"/>
      <c r="Z1206" s="1250"/>
      <c r="AA1206" s="1250"/>
      <c r="AB1206" s="1250"/>
      <c r="AC1206" s="1250"/>
      <c r="AD1206" s="1250"/>
      <c r="AE1206" s="1249">
        <v>1</v>
      </c>
      <c r="AF1206" s="1250">
        <v>100</v>
      </c>
      <c r="AG1206" s="111"/>
      <c r="AH1206" s="111"/>
      <c r="AI1206" s="111"/>
      <c r="AJ1206" s="111"/>
      <c r="AK1206" s="111"/>
      <c r="AL1206" s="111"/>
      <c r="AM1206" s="111">
        <v>300</v>
      </c>
    </row>
    <row r="1207" spans="1:39" ht="15" customHeight="1" x14ac:dyDescent="0.25">
      <c r="A1207" s="1409"/>
      <c r="B1207" s="1409"/>
      <c r="C1207" s="1409"/>
      <c r="D1207" s="1409"/>
      <c r="E1207" s="1247"/>
      <c r="F1207" s="1248" t="s">
        <v>5037</v>
      </c>
      <c r="G1207" s="111"/>
      <c r="H1207" s="1249">
        <v>3</v>
      </c>
      <c r="I1207" s="111" t="s">
        <v>1721</v>
      </c>
      <c r="J1207" s="1321" t="s">
        <v>5608</v>
      </c>
      <c r="K1207" s="162" t="s">
        <v>5610</v>
      </c>
      <c r="L1207" s="162" t="s">
        <v>5609</v>
      </c>
      <c r="M1207" s="111">
        <v>406.53359999999998</v>
      </c>
      <c r="N1207" s="111">
        <v>1219.6007999999999</v>
      </c>
      <c r="O1207" s="111"/>
      <c r="P1207" s="111"/>
      <c r="Q1207" s="111"/>
      <c r="R1207" s="111"/>
      <c r="S1207" s="1249">
        <v>1</v>
      </c>
      <c r="T1207" s="1250">
        <v>406.53359999999998</v>
      </c>
      <c r="U1207" s="1250"/>
      <c r="V1207" s="1250"/>
      <c r="W1207" s="1251">
        <v>1</v>
      </c>
      <c r="X1207" s="1250">
        <v>406.53359999999998</v>
      </c>
      <c r="Y1207" s="1250"/>
      <c r="Z1207" s="1250"/>
      <c r="AA1207" s="1250"/>
      <c r="AB1207" s="1250"/>
      <c r="AC1207" s="1250"/>
      <c r="AD1207" s="1250"/>
      <c r="AE1207" s="1249">
        <v>1</v>
      </c>
      <c r="AF1207" s="1250">
        <v>406.53359999999998</v>
      </c>
      <c r="AG1207" s="111"/>
      <c r="AH1207" s="111"/>
      <c r="AI1207" s="111"/>
      <c r="AJ1207" s="111"/>
      <c r="AK1207" s="111"/>
      <c r="AL1207" s="111"/>
      <c r="AM1207" s="111">
        <v>1219.6007999999999</v>
      </c>
    </row>
    <row r="1208" spans="1:39" ht="15" customHeight="1" x14ac:dyDescent="0.25">
      <c r="A1208" s="1409"/>
      <c r="B1208" s="1409"/>
      <c r="C1208" s="1409"/>
      <c r="D1208" s="1409"/>
      <c r="E1208" s="1247"/>
      <c r="F1208" s="1248" t="s">
        <v>2960</v>
      </c>
      <c r="G1208" s="111"/>
      <c r="H1208" s="1249">
        <v>1</v>
      </c>
      <c r="I1208" s="111" t="s">
        <v>5032</v>
      </c>
      <c r="J1208" s="1321" t="s">
        <v>5608</v>
      </c>
      <c r="K1208" s="162" t="s">
        <v>5610</v>
      </c>
      <c r="L1208" s="162" t="s">
        <v>5609</v>
      </c>
      <c r="M1208" s="111">
        <v>75.600000000000009</v>
      </c>
      <c r="N1208" s="111">
        <v>75.600000000000009</v>
      </c>
      <c r="O1208" s="111"/>
      <c r="P1208" s="111"/>
      <c r="Q1208" s="111"/>
      <c r="R1208" s="111"/>
      <c r="S1208" s="1249">
        <v>1</v>
      </c>
      <c r="T1208" s="1250">
        <v>25.200000000000003</v>
      </c>
      <c r="U1208" s="1250"/>
      <c r="V1208" s="1250"/>
      <c r="W1208" s="1251">
        <v>0</v>
      </c>
      <c r="X1208" s="1250">
        <v>25.200000000000003</v>
      </c>
      <c r="Y1208" s="1250"/>
      <c r="Z1208" s="1250"/>
      <c r="AA1208" s="1250"/>
      <c r="AB1208" s="1250"/>
      <c r="AC1208" s="1250"/>
      <c r="AD1208" s="1250"/>
      <c r="AE1208" s="1249">
        <v>0</v>
      </c>
      <c r="AF1208" s="1250">
        <v>25.200000000000003</v>
      </c>
      <c r="AG1208" s="111"/>
      <c r="AH1208" s="111"/>
      <c r="AI1208" s="111"/>
      <c r="AJ1208" s="111"/>
      <c r="AK1208" s="111"/>
      <c r="AL1208" s="111"/>
      <c r="AM1208" s="111">
        <v>75.600000000000009</v>
      </c>
    </row>
    <row r="1209" spans="1:39" ht="15" customHeight="1" x14ac:dyDescent="0.25">
      <c r="A1209" s="1409"/>
      <c r="B1209" s="1409"/>
      <c r="C1209" s="1409"/>
      <c r="D1209" s="1409"/>
      <c r="E1209" s="1247"/>
      <c r="F1209" s="1248" t="s">
        <v>2961</v>
      </c>
      <c r="G1209" s="111"/>
      <c r="H1209" s="1249">
        <v>10</v>
      </c>
      <c r="I1209" s="111" t="s">
        <v>5032</v>
      </c>
      <c r="J1209" s="1321" t="s">
        <v>5608</v>
      </c>
      <c r="K1209" s="162" t="s">
        <v>5610</v>
      </c>
      <c r="L1209" s="162" t="s">
        <v>5609</v>
      </c>
      <c r="M1209" s="111">
        <v>192.44</v>
      </c>
      <c r="N1209" s="111">
        <v>1924.4</v>
      </c>
      <c r="O1209" s="111"/>
      <c r="P1209" s="111"/>
      <c r="Q1209" s="111"/>
      <c r="R1209" s="111"/>
      <c r="S1209" s="1249">
        <v>5</v>
      </c>
      <c r="T1209" s="1250">
        <v>641.4666666666667</v>
      </c>
      <c r="U1209" s="1250"/>
      <c r="V1209" s="1250"/>
      <c r="W1209" s="1251">
        <v>5</v>
      </c>
      <c r="X1209" s="1250">
        <v>641.4666666666667</v>
      </c>
      <c r="Y1209" s="1250"/>
      <c r="Z1209" s="1250"/>
      <c r="AA1209" s="1250"/>
      <c r="AB1209" s="1250"/>
      <c r="AC1209" s="1250"/>
      <c r="AD1209" s="1250"/>
      <c r="AE1209" s="1249">
        <v>0</v>
      </c>
      <c r="AF1209" s="1250">
        <v>641.4666666666667</v>
      </c>
      <c r="AG1209" s="111"/>
      <c r="AH1209" s="111"/>
      <c r="AI1209" s="111"/>
      <c r="AJ1209" s="111"/>
      <c r="AK1209" s="111"/>
      <c r="AL1209" s="111"/>
      <c r="AM1209" s="111">
        <v>1924.4</v>
      </c>
    </row>
    <row r="1210" spans="1:39" ht="15" customHeight="1" x14ac:dyDescent="0.25">
      <c r="A1210" s="1409"/>
      <c r="B1210" s="1409"/>
      <c r="C1210" s="1409"/>
      <c r="D1210" s="1409"/>
      <c r="E1210" s="1247"/>
      <c r="F1210" s="1248"/>
      <c r="G1210" s="111"/>
      <c r="H1210" s="1249"/>
      <c r="I1210" s="111"/>
      <c r="J1210" s="111"/>
      <c r="K1210" s="111"/>
      <c r="L1210" s="111"/>
      <c r="M1210" s="111"/>
      <c r="N1210" s="111"/>
      <c r="O1210" s="111"/>
      <c r="P1210" s="111"/>
      <c r="Q1210" s="111"/>
      <c r="R1210" s="111"/>
      <c r="S1210" s="1249"/>
      <c r="T1210" s="1250"/>
      <c r="U1210" s="1250"/>
      <c r="V1210" s="1250"/>
      <c r="W1210" s="1251"/>
      <c r="X1210" s="1250"/>
      <c r="Y1210" s="1250"/>
      <c r="Z1210" s="1250"/>
      <c r="AA1210" s="1250"/>
      <c r="AB1210" s="1250"/>
      <c r="AC1210" s="1250"/>
      <c r="AD1210" s="1250"/>
      <c r="AE1210" s="1249"/>
      <c r="AF1210" s="1250"/>
      <c r="AG1210" s="111"/>
      <c r="AH1210" s="111"/>
      <c r="AI1210" s="111"/>
      <c r="AJ1210" s="111"/>
      <c r="AK1210" s="111"/>
      <c r="AL1210" s="111"/>
      <c r="AM1210" s="111"/>
    </row>
    <row r="1211" spans="1:39" ht="15" customHeight="1" x14ac:dyDescent="0.25">
      <c r="A1211" s="1409"/>
      <c r="B1211" s="1409"/>
      <c r="C1211" s="1409"/>
      <c r="D1211" s="1409"/>
      <c r="E1211" s="1218">
        <v>244</v>
      </c>
      <c r="F1211" s="1268" t="s">
        <v>564</v>
      </c>
      <c r="G1211" s="1218"/>
      <c r="H1211" s="1218"/>
      <c r="I1211" s="1218"/>
      <c r="J1211" s="1218"/>
      <c r="K1211" s="1218"/>
      <c r="L1211" s="1218"/>
      <c r="M1211" s="1218"/>
      <c r="N1211" s="1218"/>
      <c r="O1211" s="1218"/>
      <c r="P1211" s="1218"/>
      <c r="Q1211" s="1218"/>
      <c r="R1211" s="1218"/>
      <c r="S1211" s="1218"/>
      <c r="T1211" s="1218"/>
      <c r="U1211" s="1218"/>
      <c r="V1211" s="1218"/>
      <c r="W1211" s="1218"/>
      <c r="X1211" s="1218"/>
      <c r="Y1211" s="1218"/>
      <c r="Z1211" s="1218"/>
      <c r="AA1211" s="1218"/>
      <c r="AB1211" s="1218"/>
      <c r="AC1211" s="1218"/>
      <c r="AD1211" s="1218"/>
      <c r="AE1211" s="1218"/>
      <c r="AF1211" s="1218"/>
      <c r="AG1211" s="1218"/>
      <c r="AH1211" s="1218"/>
      <c r="AI1211" s="1218"/>
      <c r="AJ1211" s="1218"/>
      <c r="AK1211" s="1218"/>
      <c r="AL1211" s="1218"/>
      <c r="AM1211" s="1218"/>
    </row>
    <row r="1212" spans="1:39" ht="15" customHeight="1" x14ac:dyDescent="0.25">
      <c r="A1212" s="1409"/>
      <c r="B1212" s="1409"/>
      <c r="C1212" s="1409"/>
      <c r="D1212" s="1409"/>
      <c r="E1212" s="1247"/>
      <c r="F1212" s="1248"/>
      <c r="G1212" s="111"/>
      <c r="H1212" s="1249"/>
      <c r="I1212" s="111"/>
      <c r="J1212" s="111"/>
      <c r="K1212" s="111"/>
      <c r="L1212" s="111"/>
      <c r="M1212" s="111"/>
      <c r="N1212" s="111"/>
      <c r="O1212" s="111"/>
      <c r="P1212" s="111"/>
      <c r="Q1212" s="111"/>
      <c r="R1212" s="111"/>
      <c r="S1212" s="1249"/>
      <c r="T1212" s="1250"/>
      <c r="U1212" s="1250"/>
      <c r="V1212" s="1250"/>
      <c r="W1212" s="1251"/>
      <c r="X1212" s="1250"/>
      <c r="Y1212" s="1250"/>
      <c r="Z1212" s="1250"/>
      <c r="AA1212" s="1250"/>
      <c r="AB1212" s="1250"/>
      <c r="AC1212" s="1250"/>
      <c r="AD1212" s="1250"/>
      <c r="AE1212" s="1249"/>
      <c r="AF1212" s="1250"/>
      <c r="AG1212" s="111"/>
      <c r="AH1212" s="111"/>
      <c r="AI1212" s="111"/>
      <c r="AJ1212" s="111"/>
      <c r="AK1212" s="111"/>
      <c r="AL1212" s="111"/>
      <c r="AM1212" s="111"/>
    </row>
    <row r="1213" spans="1:39" ht="15" customHeight="1" x14ac:dyDescent="0.25">
      <c r="A1213" s="1409"/>
      <c r="B1213" s="1409"/>
      <c r="C1213" s="1409"/>
      <c r="D1213" s="1409"/>
      <c r="E1213" s="1261">
        <v>24401</v>
      </c>
      <c r="F1213" s="1262" t="s">
        <v>564</v>
      </c>
      <c r="G1213" s="1261"/>
      <c r="H1213" s="1261"/>
      <c r="I1213" s="1261"/>
      <c r="J1213" s="1261"/>
      <c r="K1213" s="1261"/>
      <c r="L1213" s="1261"/>
      <c r="M1213" s="1261"/>
      <c r="N1213" s="1261"/>
      <c r="O1213" s="1261"/>
      <c r="P1213" s="1261"/>
      <c r="Q1213" s="1261"/>
      <c r="R1213" s="1261"/>
      <c r="S1213" s="1261"/>
      <c r="T1213" s="1261"/>
      <c r="U1213" s="1261"/>
      <c r="V1213" s="1261"/>
      <c r="W1213" s="1261"/>
      <c r="X1213" s="1261"/>
      <c r="Y1213" s="1261"/>
      <c r="Z1213" s="1261"/>
      <c r="AA1213" s="1261"/>
      <c r="AB1213" s="1261"/>
      <c r="AC1213" s="1261"/>
      <c r="AD1213" s="1261"/>
      <c r="AE1213" s="1261"/>
      <c r="AF1213" s="1261"/>
      <c r="AG1213" s="1261"/>
      <c r="AH1213" s="1261"/>
      <c r="AI1213" s="1261"/>
      <c r="AJ1213" s="1261"/>
      <c r="AK1213" s="1261"/>
      <c r="AL1213" s="1261"/>
      <c r="AM1213" s="1261"/>
    </row>
    <row r="1214" spans="1:39" ht="15" customHeight="1" x14ac:dyDescent="0.25">
      <c r="A1214" s="1409"/>
      <c r="B1214" s="1409"/>
      <c r="C1214" s="1409"/>
      <c r="D1214" s="1409"/>
      <c r="E1214" s="1247"/>
      <c r="F1214" s="1248" t="s">
        <v>5038</v>
      </c>
      <c r="G1214" s="111"/>
      <c r="H1214" s="1249">
        <v>1</v>
      </c>
      <c r="I1214" s="111" t="s">
        <v>1721</v>
      </c>
      <c r="J1214" s="1321" t="s">
        <v>5608</v>
      </c>
      <c r="K1214" s="162" t="s">
        <v>5610</v>
      </c>
      <c r="L1214" s="162" t="s">
        <v>5609</v>
      </c>
      <c r="M1214" s="111">
        <v>1500</v>
      </c>
      <c r="N1214" s="111">
        <v>1500</v>
      </c>
      <c r="O1214" s="111"/>
      <c r="P1214" s="111"/>
      <c r="Q1214" s="111"/>
      <c r="R1214" s="111"/>
      <c r="S1214" s="1249">
        <v>1</v>
      </c>
      <c r="T1214" s="1250">
        <v>500</v>
      </c>
      <c r="U1214" s="1250"/>
      <c r="V1214" s="1250"/>
      <c r="W1214" s="1251">
        <v>0</v>
      </c>
      <c r="X1214" s="1250">
        <v>500</v>
      </c>
      <c r="Y1214" s="1250"/>
      <c r="Z1214" s="1250"/>
      <c r="AA1214" s="1250"/>
      <c r="AB1214" s="1250"/>
      <c r="AC1214" s="1250"/>
      <c r="AD1214" s="1250"/>
      <c r="AE1214" s="1249">
        <v>0</v>
      </c>
      <c r="AF1214" s="1250">
        <v>500</v>
      </c>
      <c r="AG1214" s="111"/>
      <c r="AH1214" s="111"/>
      <c r="AI1214" s="111"/>
      <c r="AJ1214" s="111"/>
      <c r="AK1214" s="111"/>
      <c r="AL1214" s="111"/>
      <c r="AM1214" s="111">
        <v>1500</v>
      </c>
    </row>
    <row r="1215" spans="1:39" ht="15" customHeight="1" x14ac:dyDescent="0.25">
      <c r="A1215" s="1409"/>
      <c r="B1215" s="1409"/>
      <c r="C1215" s="1409"/>
      <c r="D1215" s="1409"/>
      <c r="E1215" s="1247"/>
      <c r="F1215" s="1248" t="s">
        <v>5039</v>
      </c>
      <c r="G1215" s="111"/>
      <c r="H1215" s="1249">
        <v>1</v>
      </c>
      <c r="I1215" s="111" t="s">
        <v>1721</v>
      </c>
      <c r="J1215" s="1321" t="s">
        <v>5608</v>
      </c>
      <c r="K1215" s="162" t="s">
        <v>5610</v>
      </c>
      <c r="L1215" s="162" t="s">
        <v>5609</v>
      </c>
      <c r="M1215" s="111">
        <v>1500</v>
      </c>
      <c r="N1215" s="111">
        <v>1500</v>
      </c>
      <c r="O1215" s="111"/>
      <c r="P1215" s="111"/>
      <c r="Q1215" s="111"/>
      <c r="R1215" s="111"/>
      <c r="S1215" s="1249">
        <v>1</v>
      </c>
      <c r="T1215" s="1250">
        <v>500</v>
      </c>
      <c r="U1215" s="1250"/>
      <c r="V1215" s="1250"/>
      <c r="W1215" s="1251">
        <v>0</v>
      </c>
      <c r="X1215" s="1250">
        <v>500</v>
      </c>
      <c r="Y1215" s="1250"/>
      <c r="Z1215" s="1250"/>
      <c r="AA1215" s="1250"/>
      <c r="AB1215" s="1250"/>
      <c r="AC1215" s="1250"/>
      <c r="AD1215" s="1250"/>
      <c r="AE1215" s="1249">
        <v>0</v>
      </c>
      <c r="AF1215" s="1250">
        <v>500</v>
      </c>
      <c r="AG1215" s="111"/>
      <c r="AH1215" s="111"/>
      <c r="AI1215" s="111"/>
      <c r="AJ1215" s="111"/>
      <c r="AK1215" s="111"/>
      <c r="AL1215" s="111"/>
      <c r="AM1215" s="111">
        <v>1500</v>
      </c>
    </row>
    <row r="1216" spans="1:39" ht="15" customHeight="1" x14ac:dyDescent="0.25">
      <c r="A1216" s="1409"/>
      <c r="B1216" s="1409"/>
      <c r="C1216" s="1409"/>
      <c r="D1216" s="1409"/>
      <c r="E1216" s="1247"/>
      <c r="F1216" s="1248" t="s">
        <v>5040</v>
      </c>
      <c r="G1216" s="111"/>
      <c r="H1216" s="1249">
        <v>10</v>
      </c>
      <c r="I1216" s="111" t="s">
        <v>5041</v>
      </c>
      <c r="J1216" s="111"/>
      <c r="K1216" s="111"/>
      <c r="L1216" s="111"/>
      <c r="M1216" s="111">
        <v>900</v>
      </c>
      <c r="N1216" s="111">
        <v>9000</v>
      </c>
      <c r="O1216" s="111"/>
      <c r="P1216" s="111"/>
      <c r="Q1216" s="111"/>
      <c r="R1216" s="111"/>
      <c r="S1216" s="1249">
        <v>5</v>
      </c>
      <c r="T1216" s="1250"/>
      <c r="U1216" s="1250"/>
      <c r="V1216" s="1250"/>
      <c r="W1216" s="1251">
        <v>5</v>
      </c>
      <c r="X1216" s="1250"/>
      <c r="Y1216" s="1250"/>
      <c r="Z1216" s="1250"/>
      <c r="AA1216" s="1250"/>
      <c r="AB1216" s="1250"/>
      <c r="AC1216" s="1250"/>
      <c r="AD1216" s="1250"/>
      <c r="AE1216" s="1249">
        <v>0</v>
      </c>
      <c r="AF1216" s="1250"/>
      <c r="AG1216" s="111"/>
      <c r="AH1216" s="111"/>
      <c r="AI1216" s="111"/>
      <c r="AJ1216" s="111"/>
      <c r="AK1216" s="111"/>
      <c r="AL1216" s="111"/>
      <c r="AM1216" s="111">
        <v>9000</v>
      </c>
    </row>
    <row r="1217" spans="1:39" ht="15" customHeight="1" x14ac:dyDescent="0.25">
      <c r="A1217" s="1409"/>
      <c r="B1217" s="1409"/>
      <c r="C1217" s="1409"/>
      <c r="D1217" s="1409"/>
      <c r="E1217" s="1271">
        <v>24402</v>
      </c>
      <c r="F1217" s="1272" t="s">
        <v>565</v>
      </c>
      <c r="G1217" s="1273"/>
      <c r="H1217" s="1273"/>
      <c r="I1217" s="1273"/>
      <c r="J1217" s="1273"/>
      <c r="K1217" s="1273"/>
      <c r="L1217" s="1273"/>
      <c r="M1217" s="1273"/>
      <c r="N1217" s="1273"/>
      <c r="O1217" s="1273"/>
      <c r="P1217" s="1273"/>
      <c r="Q1217" s="1273"/>
      <c r="R1217" s="1273"/>
      <c r="S1217" s="1273"/>
      <c r="T1217" s="1273"/>
      <c r="U1217" s="1273"/>
      <c r="V1217" s="1273"/>
      <c r="W1217" s="1273"/>
      <c r="X1217" s="1273"/>
      <c r="Y1217" s="1273"/>
      <c r="Z1217" s="1273"/>
      <c r="AA1217" s="1273"/>
      <c r="AB1217" s="1273"/>
      <c r="AC1217" s="1273"/>
      <c r="AD1217" s="1273"/>
      <c r="AE1217" s="1273"/>
      <c r="AF1217" s="1273"/>
      <c r="AG1217" s="1273"/>
      <c r="AH1217" s="1273"/>
      <c r="AI1217" s="1273"/>
      <c r="AJ1217" s="1273"/>
      <c r="AK1217" s="1273"/>
      <c r="AL1217" s="1273"/>
      <c r="AM1217" s="1273"/>
    </row>
    <row r="1218" spans="1:39" ht="15" customHeight="1" x14ac:dyDescent="0.25">
      <c r="A1218" s="1409"/>
      <c r="B1218" s="1409"/>
      <c r="C1218" s="1409"/>
      <c r="D1218" s="1409"/>
      <c r="E1218" s="1247"/>
      <c r="F1218" s="1248" t="s">
        <v>5042</v>
      </c>
      <c r="G1218" s="111"/>
      <c r="H1218" s="1249">
        <v>6</v>
      </c>
      <c r="I1218" s="111"/>
      <c r="J1218" s="1321" t="s">
        <v>5608</v>
      </c>
      <c r="K1218" s="162" t="s">
        <v>5610</v>
      </c>
      <c r="L1218" s="162" t="s">
        <v>5609</v>
      </c>
      <c r="M1218" s="111">
        <v>1700</v>
      </c>
      <c r="N1218" s="111">
        <v>10200</v>
      </c>
      <c r="O1218" s="111"/>
      <c r="P1218" s="111"/>
      <c r="Q1218" s="111"/>
      <c r="R1218" s="111"/>
      <c r="S1218" s="1249">
        <v>2</v>
      </c>
      <c r="T1218" s="1250">
        <v>3400</v>
      </c>
      <c r="U1218" s="1250"/>
      <c r="V1218" s="1250"/>
      <c r="W1218" s="1251">
        <v>2</v>
      </c>
      <c r="X1218" s="1250">
        <v>3400</v>
      </c>
      <c r="Y1218" s="1250"/>
      <c r="Z1218" s="1250"/>
      <c r="AA1218" s="1250"/>
      <c r="AB1218" s="1250"/>
      <c r="AC1218" s="1250"/>
      <c r="AD1218" s="1250"/>
      <c r="AE1218" s="1249">
        <v>2</v>
      </c>
      <c r="AF1218" s="1250">
        <v>3400</v>
      </c>
      <c r="AG1218" s="111"/>
      <c r="AH1218" s="111"/>
      <c r="AI1218" s="111"/>
      <c r="AJ1218" s="111"/>
      <c r="AK1218" s="111"/>
      <c r="AL1218" s="111"/>
      <c r="AM1218" s="111">
        <v>10200</v>
      </c>
    </row>
    <row r="1219" spans="1:39" ht="15" customHeight="1" x14ac:dyDescent="0.25">
      <c r="A1219" s="1409"/>
      <c r="B1219" s="1409"/>
      <c r="C1219" s="1409"/>
      <c r="D1219" s="1409"/>
      <c r="E1219" s="1247"/>
      <c r="F1219" s="1248"/>
      <c r="G1219" s="111"/>
      <c r="H1219" s="1249"/>
      <c r="I1219" s="111"/>
      <c r="J1219" s="111"/>
      <c r="K1219" s="111"/>
      <c r="L1219" s="111"/>
      <c r="M1219" s="111"/>
      <c r="N1219" s="111"/>
      <c r="O1219" s="111"/>
      <c r="P1219" s="111"/>
      <c r="Q1219" s="111"/>
      <c r="R1219" s="111"/>
      <c r="S1219" s="1249"/>
      <c r="T1219" s="1250"/>
      <c r="U1219" s="1250"/>
      <c r="V1219" s="1250"/>
      <c r="W1219" s="1251"/>
      <c r="X1219" s="1250"/>
      <c r="Y1219" s="1250"/>
      <c r="Z1219" s="1250"/>
      <c r="AA1219" s="1250"/>
      <c r="AB1219" s="1250"/>
      <c r="AC1219" s="1250"/>
      <c r="AD1219" s="1250"/>
      <c r="AE1219" s="1249"/>
      <c r="AF1219" s="1250"/>
      <c r="AG1219" s="111"/>
      <c r="AH1219" s="111"/>
      <c r="AI1219" s="111"/>
      <c r="AJ1219" s="111"/>
      <c r="AK1219" s="111"/>
      <c r="AL1219" s="111"/>
      <c r="AM1219" s="111"/>
    </row>
    <row r="1220" spans="1:39" ht="15" customHeight="1" x14ac:dyDescent="0.25">
      <c r="A1220" s="1409"/>
      <c r="B1220" s="1409"/>
      <c r="C1220" s="1409"/>
      <c r="D1220" s="1409"/>
      <c r="E1220" s="1261">
        <v>24404</v>
      </c>
      <c r="F1220" s="1262" t="s">
        <v>564</v>
      </c>
      <c r="G1220" s="1261"/>
      <c r="H1220" s="1261"/>
      <c r="I1220" s="1261"/>
      <c r="J1220" s="1261"/>
      <c r="K1220" s="1261"/>
      <c r="L1220" s="1261"/>
      <c r="M1220" s="1261"/>
      <c r="N1220" s="1261"/>
      <c r="O1220" s="1261"/>
      <c r="P1220" s="1261"/>
      <c r="Q1220" s="1261"/>
      <c r="R1220" s="1261"/>
      <c r="S1220" s="1261"/>
      <c r="T1220" s="1261"/>
      <c r="U1220" s="1261"/>
      <c r="V1220" s="1261"/>
      <c r="W1220" s="1261"/>
      <c r="X1220" s="1261"/>
      <c r="Y1220" s="1261"/>
      <c r="Z1220" s="1261"/>
      <c r="AA1220" s="1261"/>
      <c r="AB1220" s="1261"/>
      <c r="AC1220" s="1261"/>
      <c r="AD1220" s="1261"/>
      <c r="AE1220" s="1261"/>
      <c r="AF1220" s="1261"/>
      <c r="AG1220" s="1261"/>
      <c r="AH1220" s="1261"/>
      <c r="AI1220" s="1261"/>
      <c r="AJ1220" s="1261"/>
      <c r="AK1220" s="1261"/>
      <c r="AL1220" s="1261"/>
      <c r="AM1220" s="1261"/>
    </row>
    <row r="1221" spans="1:39" ht="15" customHeight="1" x14ac:dyDescent="0.25">
      <c r="A1221" s="1409"/>
      <c r="B1221" s="1409"/>
      <c r="C1221" s="1409"/>
      <c r="D1221" s="1409"/>
      <c r="E1221" s="1278"/>
      <c r="F1221" s="1248" t="s">
        <v>2962</v>
      </c>
      <c r="G1221" s="111"/>
      <c r="H1221" s="1249">
        <v>1</v>
      </c>
      <c r="I1221" s="111" t="s">
        <v>1721</v>
      </c>
      <c r="J1221" s="1321" t="s">
        <v>5608</v>
      </c>
      <c r="K1221" s="162" t="s">
        <v>5610</v>
      </c>
      <c r="L1221" s="162" t="s">
        <v>5609</v>
      </c>
      <c r="M1221" s="111">
        <v>1247.4000000000001</v>
      </c>
      <c r="N1221" s="111">
        <v>1247.4000000000001</v>
      </c>
      <c r="O1221" s="111"/>
      <c r="P1221" s="111"/>
      <c r="Q1221" s="111"/>
      <c r="R1221" s="111"/>
      <c r="S1221" s="1249">
        <v>1</v>
      </c>
      <c r="T1221" s="1250">
        <v>415.8</v>
      </c>
      <c r="U1221" s="1250"/>
      <c r="V1221" s="1250"/>
      <c r="W1221" s="1251">
        <v>0</v>
      </c>
      <c r="X1221" s="1250">
        <v>415.8</v>
      </c>
      <c r="Y1221" s="1250"/>
      <c r="Z1221" s="1250"/>
      <c r="AA1221" s="1250"/>
      <c r="AB1221" s="1250"/>
      <c r="AC1221" s="1250"/>
      <c r="AD1221" s="1250"/>
      <c r="AE1221" s="1249">
        <v>0</v>
      </c>
      <c r="AF1221" s="1250">
        <v>415.8</v>
      </c>
      <c r="AG1221" s="111"/>
      <c r="AH1221" s="111"/>
      <c r="AI1221" s="111"/>
      <c r="AJ1221" s="111"/>
      <c r="AK1221" s="111"/>
      <c r="AL1221" s="111"/>
      <c r="AM1221" s="111">
        <v>1247.4000000000001</v>
      </c>
    </row>
    <row r="1222" spans="1:39" ht="15" customHeight="1" x14ac:dyDescent="0.25">
      <c r="A1222" s="1409"/>
      <c r="B1222" s="1409"/>
      <c r="C1222" s="1409"/>
      <c r="D1222" s="1409"/>
      <c r="E1222" s="1278"/>
      <c r="F1222" s="1248" t="s">
        <v>2963</v>
      </c>
      <c r="G1222" s="111"/>
      <c r="H1222" s="1249">
        <v>1</v>
      </c>
      <c r="I1222" s="111" t="s">
        <v>1721</v>
      </c>
      <c r="J1222" s="1321" t="s">
        <v>5608</v>
      </c>
      <c r="K1222" s="162" t="s">
        <v>5610</v>
      </c>
      <c r="L1222" s="162" t="s">
        <v>5609</v>
      </c>
      <c r="M1222" s="111">
        <v>1174.1199999999999</v>
      </c>
      <c r="N1222" s="111">
        <v>1174.1199999999999</v>
      </c>
      <c r="O1222" s="111"/>
      <c r="P1222" s="111"/>
      <c r="Q1222" s="111"/>
      <c r="R1222" s="111"/>
      <c r="S1222" s="1249">
        <v>1</v>
      </c>
      <c r="T1222" s="1250">
        <v>391.37333333333328</v>
      </c>
      <c r="U1222" s="1250"/>
      <c r="V1222" s="1250"/>
      <c r="W1222" s="1251">
        <v>0</v>
      </c>
      <c r="X1222" s="1250">
        <v>391.37333333333328</v>
      </c>
      <c r="Y1222" s="1250"/>
      <c r="Z1222" s="1250"/>
      <c r="AA1222" s="1250"/>
      <c r="AB1222" s="1250"/>
      <c r="AC1222" s="1250"/>
      <c r="AD1222" s="1250"/>
      <c r="AE1222" s="1249">
        <v>0</v>
      </c>
      <c r="AF1222" s="1250">
        <v>391.37333333333328</v>
      </c>
      <c r="AG1222" s="111"/>
      <c r="AH1222" s="111"/>
      <c r="AI1222" s="111"/>
      <c r="AJ1222" s="111"/>
      <c r="AK1222" s="111"/>
      <c r="AL1222" s="111"/>
      <c r="AM1222" s="111">
        <v>1174.1199999999999</v>
      </c>
    </row>
    <row r="1223" spans="1:39" ht="15" customHeight="1" x14ac:dyDescent="0.25">
      <c r="A1223" s="1409"/>
      <c r="B1223" s="1409"/>
      <c r="C1223" s="1409"/>
      <c r="D1223" s="1409"/>
      <c r="E1223" s="1278"/>
      <c r="F1223" s="1248" t="s">
        <v>2964</v>
      </c>
      <c r="G1223" s="111"/>
      <c r="H1223" s="1249">
        <v>1</v>
      </c>
      <c r="I1223" s="111" t="s">
        <v>1721</v>
      </c>
      <c r="J1223" s="1321" t="s">
        <v>5608</v>
      </c>
      <c r="K1223" s="162" t="s">
        <v>5610</v>
      </c>
      <c r="L1223" s="162" t="s">
        <v>5609</v>
      </c>
      <c r="M1223" s="111">
        <v>1247.4000000000001</v>
      </c>
      <c r="N1223" s="111">
        <v>1247.4000000000001</v>
      </c>
      <c r="O1223" s="111"/>
      <c r="P1223" s="111"/>
      <c r="Q1223" s="111"/>
      <c r="R1223" s="111"/>
      <c r="S1223" s="1249">
        <v>1</v>
      </c>
      <c r="T1223" s="1250">
        <v>415.8</v>
      </c>
      <c r="U1223" s="1250"/>
      <c r="V1223" s="1250"/>
      <c r="W1223" s="1251">
        <v>0</v>
      </c>
      <c r="X1223" s="1250">
        <v>415.8</v>
      </c>
      <c r="Y1223" s="1250"/>
      <c r="Z1223" s="1250"/>
      <c r="AA1223" s="1250"/>
      <c r="AB1223" s="1250"/>
      <c r="AC1223" s="1250"/>
      <c r="AD1223" s="1250"/>
      <c r="AE1223" s="1249">
        <v>0</v>
      </c>
      <c r="AF1223" s="1250">
        <v>415.8</v>
      </c>
      <c r="AG1223" s="111"/>
      <c r="AH1223" s="111"/>
      <c r="AI1223" s="111"/>
      <c r="AJ1223" s="111"/>
      <c r="AK1223" s="111"/>
      <c r="AL1223" s="111"/>
      <c r="AM1223" s="111">
        <v>1247.4000000000001</v>
      </c>
    </row>
    <row r="1224" spans="1:39" ht="15" customHeight="1" x14ac:dyDescent="0.25">
      <c r="A1224" s="1409"/>
      <c r="B1224" s="1409"/>
      <c r="C1224" s="1409"/>
      <c r="D1224" s="1409"/>
      <c r="E1224" s="1247"/>
      <c r="F1224" s="1248"/>
      <c r="G1224" s="111"/>
      <c r="H1224" s="1249"/>
      <c r="I1224" s="111"/>
      <c r="J1224" s="111"/>
      <c r="K1224" s="111"/>
      <c r="L1224" s="111"/>
      <c r="M1224" s="111"/>
      <c r="N1224" s="111"/>
      <c r="O1224" s="111"/>
      <c r="P1224" s="111"/>
      <c r="Q1224" s="111"/>
      <c r="R1224" s="111"/>
      <c r="S1224" s="1249"/>
      <c r="T1224" s="1250"/>
      <c r="U1224" s="1250"/>
      <c r="V1224" s="1250"/>
      <c r="W1224" s="1251"/>
      <c r="X1224" s="1250"/>
      <c r="Y1224" s="1250"/>
      <c r="Z1224" s="1250"/>
      <c r="AA1224" s="1250"/>
      <c r="AB1224" s="1250"/>
      <c r="AC1224" s="1250"/>
      <c r="AD1224" s="1250"/>
      <c r="AE1224" s="1249"/>
      <c r="AF1224" s="1250"/>
      <c r="AG1224" s="111"/>
      <c r="AH1224" s="111"/>
      <c r="AI1224" s="111"/>
      <c r="AJ1224" s="111"/>
      <c r="AK1224" s="111"/>
      <c r="AL1224" s="111"/>
      <c r="AM1224" s="111"/>
    </row>
    <row r="1225" spans="1:39" ht="15" customHeight="1" x14ac:dyDescent="0.25">
      <c r="A1225" s="1409"/>
      <c r="B1225" s="1409"/>
      <c r="C1225" s="1409"/>
      <c r="D1225" s="1409"/>
      <c r="E1225" s="1218">
        <v>245</v>
      </c>
      <c r="F1225" s="1268" t="s">
        <v>566</v>
      </c>
      <c r="G1225" s="1218"/>
      <c r="H1225" s="1218"/>
      <c r="I1225" s="1218"/>
      <c r="J1225" s="1218"/>
      <c r="K1225" s="1218"/>
      <c r="L1225" s="1218"/>
      <c r="M1225" s="1218"/>
      <c r="N1225" s="1218"/>
      <c r="O1225" s="1218"/>
      <c r="P1225" s="1218"/>
      <c r="Q1225" s="1218"/>
      <c r="R1225" s="1218"/>
      <c r="S1225" s="1218"/>
      <c r="T1225" s="1218"/>
      <c r="U1225" s="1218"/>
      <c r="V1225" s="1218"/>
      <c r="W1225" s="1218"/>
      <c r="X1225" s="1218"/>
      <c r="Y1225" s="1218"/>
      <c r="Z1225" s="1218"/>
      <c r="AA1225" s="1218"/>
      <c r="AB1225" s="1218"/>
      <c r="AC1225" s="1218"/>
      <c r="AD1225" s="1218"/>
      <c r="AE1225" s="1218"/>
      <c r="AF1225" s="1218"/>
      <c r="AG1225" s="1218"/>
      <c r="AH1225" s="1218"/>
      <c r="AI1225" s="1218"/>
      <c r="AJ1225" s="1218"/>
      <c r="AK1225" s="1218"/>
      <c r="AL1225" s="1218"/>
      <c r="AM1225" s="1218"/>
    </row>
    <row r="1226" spans="1:39" ht="15" customHeight="1" x14ac:dyDescent="0.25">
      <c r="A1226" s="1409"/>
      <c r="B1226" s="1409"/>
      <c r="C1226" s="1409"/>
      <c r="D1226" s="1409"/>
      <c r="E1226" s="1247"/>
      <c r="F1226" s="1248"/>
      <c r="G1226" s="111"/>
      <c r="H1226" s="1249"/>
      <c r="I1226" s="111"/>
      <c r="J1226" s="111"/>
      <c r="K1226" s="111"/>
      <c r="L1226" s="111"/>
      <c r="M1226" s="111"/>
      <c r="N1226" s="111"/>
      <c r="O1226" s="111"/>
      <c r="P1226" s="111"/>
      <c r="Q1226" s="111"/>
      <c r="R1226" s="111"/>
      <c r="S1226" s="1249"/>
      <c r="T1226" s="1250"/>
      <c r="U1226" s="1250"/>
      <c r="V1226" s="1250"/>
      <c r="W1226" s="1251"/>
      <c r="X1226" s="1250"/>
      <c r="Y1226" s="1250"/>
      <c r="Z1226" s="1250"/>
      <c r="AA1226" s="1250"/>
      <c r="AB1226" s="1250"/>
      <c r="AC1226" s="1250"/>
      <c r="AD1226" s="1250"/>
      <c r="AE1226" s="1249"/>
      <c r="AF1226" s="1250"/>
      <c r="AG1226" s="111"/>
      <c r="AH1226" s="111"/>
      <c r="AI1226" s="111"/>
      <c r="AJ1226" s="111"/>
      <c r="AK1226" s="111"/>
      <c r="AL1226" s="111"/>
      <c r="AM1226" s="111"/>
    </row>
    <row r="1227" spans="1:39" ht="15" customHeight="1" x14ac:dyDescent="0.25">
      <c r="A1227" s="1409"/>
      <c r="B1227" s="1409"/>
      <c r="C1227" s="1409"/>
      <c r="D1227" s="1409"/>
      <c r="E1227" s="1261">
        <v>24503</v>
      </c>
      <c r="F1227" s="1262" t="s">
        <v>569</v>
      </c>
      <c r="G1227" s="1261"/>
      <c r="H1227" s="1261"/>
      <c r="I1227" s="1261"/>
      <c r="J1227" s="1261"/>
      <c r="K1227" s="1261"/>
      <c r="L1227" s="1261"/>
      <c r="M1227" s="1261"/>
      <c r="N1227" s="1261"/>
      <c r="O1227" s="1261"/>
      <c r="P1227" s="1261"/>
      <c r="Q1227" s="1261"/>
      <c r="R1227" s="1261"/>
      <c r="S1227" s="1261"/>
      <c r="T1227" s="1261"/>
      <c r="U1227" s="1261"/>
      <c r="V1227" s="1261"/>
      <c r="W1227" s="1261"/>
      <c r="X1227" s="1261"/>
      <c r="Y1227" s="1261"/>
      <c r="Z1227" s="1261"/>
      <c r="AA1227" s="1261"/>
      <c r="AB1227" s="1261"/>
      <c r="AC1227" s="1261"/>
      <c r="AD1227" s="1261"/>
      <c r="AE1227" s="1261"/>
      <c r="AF1227" s="1261"/>
      <c r="AG1227" s="1261"/>
      <c r="AH1227" s="1261"/>
      <c r="AI1227" s="1261"/>
      <c r="AJ1227" s="1261"/>
      <c r="AK1227" s="1261"/>
      <c r="AL1227" s="1261"/>
      <c r="AM1227" s="1261"/>
    </row>
    <row r="1228" spans="1:39" ht="15" customHeight="1" x14ac:dyDescent="0.25">
      <c r="A1228" s="1409"/>
      <c r="B1228" s="1409"/>
      <c r="C1228" s="1409"/>
      <c r="D1228" s="1409"/>
      <c r="E1228" s="1247"/>
      <c r="F1228" s="1248" t="s">
        <v>5043</v>
      </c>
      <c r="G1228" s="111"/>
      <c r="H1228" s="1249">
        <v>7</v>
      </c>
      <c r="I1228" s="111"/>
      <c r="J1228" s="1321" t="s">
        <v>5608</v>
      </c>
      <c r="K1228" s="162" t="s">
        <v>5610</v>
      </c>
      <c r="L1228" s="162" t="s">
        <v>5609</v>
      </c>
      <c r="M1228" s="111">
        <v>1000</v>
      </c>
      <c r="N1228" s="111">
        <v>7000</v>
      </c>
      <c r="O1228" s="111"/>
      <c r="P1228" s="111"/>
      <c r="Q1228" s="111"/>
      <c r="R1228" s="111"/>
      <c r="S1228" s="1249">
        <v>3</v>
      </c>
      <c r="T1228" s="1250">
        <v>2333.3333333333335</v>
      </c>
      <c r="U1228" s="1250"/>
      <c r="V1228" s="1250"/>
      <c r="W1228" s="1251">
        <v>2</v>
      </c>
      <c r="X1228" s="1250">
        <v>2333.3333333333335</v>
      </c>
      <c r="Y1228" s="1250"/>
      <c r="Z1228" s="1250"/>
      <c r="AA1228" s="1250"/>
      <c r="AB1228" s="1250"/>
      <c r="AC1228" s="1250"/>
      <c r="AD1228" s="1250"/>
      <c r="AE1228" s="1249">
        <v>2</v>
      </c>
      <c r="AF1228" s="1250">
        <v>2333.3333333333335</v>
      </c>
      <c r="AG1228" s="111"/>
      <c r="AH1228" s="111"/>
      <c r="AI1228" s="111"/>
      <c r="AJ1228" s="111"/>
      <c r="AK1228" s="111"/>
      <c r="AL1228" s="111"/>
      <c r="AM1228" s="111">
        <v>7000</v>
      </c>
    </row>
    <row r="1229" spans="1:39" ht="15" customHeight="1" x14ac:dyDescent="0.25">
      <c r="A1229" s="1409"/>
      <c r="B1229" s="1409"/>
      <c r="C1229" s="1409"/>
      <c r="D1229" s="1409"/>
      <c r="E1229" s="1247"/>
      <c r="F1229" s="1248" t="s">
        <v>5044</v>
      </c>
      <c r="G1229" s="111"/>
      <c r="H1229" s="1249">
        <v>5</v>
      </c>
      <c r="I1229" s="111"/>
      <c r="J1229" s="1321" t="s">
        <v>5608</v>
      </c>
      <c r="K1229" s="162" t="s">
        <v>5610</v>
      </c>
      <c r="L1229" s="162" t="s">
        <v>5609</v>
      </c>
      <c r="M1229" s="111">
        <v>2000</v>
      </c>
      <c r="N1229" s="111">
        <v>10000</v>
      </c>
      <c r="O1229" s="111"/>
      <c r="P1229" s="111"/>
      <c r="Q1229" s="111"/>
      <c r="R1229" s="111"/>
      <c r="S1229" s="1249">
        <v>2</v>
      </c>
      <c r="T1229" s="1250">
        <v>3333.3333333333335</v>
      </c>
      <c r="U1229" s="1250"/>
      <c r="V1229" s="1250"/>
      <c r="W1229" s="1251">
        <v>2</v>
      </c>
      <c r="X1229" s="1250">
        <v>3333.3333333333335</v>
      </c>
      <c r="Y1229" s="1250"/>
      <c r="Z1229" s="1250"/>
      <c r="AA1229" s="1250"/>
      <c r="AB1229" s="1250"/>
      <c r="AC1229" s="1250"/>
      <c r="AD1229" s="1250"/>
      <c r="AE1229" s="1249">
        <v>1</v>
      </c>
      <c r="AF1229" s="1250">
        <v>3333.3333333333335</v>
      </c>
      <c r="AG1229" s="111"/>
      <c r="AH1229" s="111"/>
      <c r="AI1229" s="111"/>
      <c r="AJ1229" s="111"/>
      <c r="AK1229" s="111"/>
      <c r="AL1229" s="111"/>
      <c r="AM1229" s="111">
        <v>10000</v>
      </c>
    </row>
    <row r="1230" spans="1:39" ht="15" customHeight="1" x14ac:dyDescent="0.25">
      <c r="A1230" s="1409"/>
      <c r="B1230" s="1409"/>
      <c r="C1230" s="1409"/>
      <c r="D1230" s="1409"/>
      <c r="E1230" s="1247"/>
      <c r="F1230" s="1248"/>
      <c r="G1230" s="111"/>
      <c r="H1230" s="1249"/>
      <c r="I1230" s="111"/>
      <c r="J1230" s="111"/>
      <c r="K1230" s="111"/>
      <c r="L1230" s="111"/>
      <c r="M1230" s="111"/>
      <c r="N1230" s="111"/>
      <c r="O1230" s="111"/>
      <c r="P1230" s="111"/>
      <c r="Q1230" s="111"/>
      <c r="R1230" s="111"/>
      <c r="S1230" s="1249"/>
      <c r="T1230" s="1250"/>
      <c r="U1230" s="1250"/>
      <c r="V1230" s="1250"/>
      <c r="W1230" s="1251"/>
      <c r="X1230" s="1250"/>
      <c r="Y1230" s="1250"/>
      <c r="Z1230" s="1250"/>
      <c r="AA1230" s="1250"/>
      <c r="AB1230" s="1250"/>
      <c r="AC1230" s="1250"/>
      <c r="AD1230" s="1250"/>
      <c r="AE1230" s="1249"/>
      <c r="AF1230" s="1250"/>
      <c r="AG1230" s="111"/>
      <c r="AH1230" s="111"/>
      <c r="AI1230" s="111"/>
      <c r="AJ1230" s="111"/>
      <c r="AK1230" s="111"/>
      <c r="AL1230" s="111"/>
      <c r="AM1230" s="111"/>
    </row>
    <row r="1231" spans="1:39" ht="15" customHeight="1" x14ac:dyDescent="0.25">
      <c r="A1231" s="1409"/>
      <c r="B1231" s="1409"/>
      <c r="C1231" s="1409"/>
      <c r="D1231" s="1409"/>
      <c r="E1231" s="1218">
        <v>246</v>
      </c>
      <c r="F1231" s="1268" t="s">
        <v>570</v>
      </c>
      <c r="G1231" s="1218"/>
      <c r="H1231" s="1218"/>
      <c r="I1231" s="1218"/>
      <c r="J1231" s="1218"/>
      <c r="K1231" s="1218"/>
      <c r="L1231" s="1218"/>
      <c r="M1231" s="1218"/>
      <c r="N1231" s="1218"/>
      <c r="O1231" s="1218"/>
      <c r="P1231" s="1218"/>
      <c r="Q1231" s="1218"/>
      <c r="R1231" s="1218"/>
      <c r="S1231" s="1218"/>
      <c r="T1231" s="1218"/>
      <c r="U1231" s="1218"/>
      <c r="V1231" s="1218"/>
      <c r="W1231" s="1218"/>
      <c r="X1231" s="1218"/>
      <c r="Y1231" s="1218"/>
      <c r="Z1231" s="1218"/>
      <c r="AA1231" s="1218"/>
      <c r="AB1231" s="1218"/>
      <c r="AC1231" s="1218"/>
      <c r="AD1231" s="1218"/>
      <c r="AE1231" s="1218"/>
      <c r="AF1231" s="1218"/>
      <c r="AG1231" s="1218"/>
      <c r="AH1231" s="1218"/>
      <c r="AI1231" s="1218"/>
      <c r="AJ1231" s="1218"/>
      <c r="AK1231" s="1218"/>
      <c r="AL1231" s="1218"/>
      <c r="AM1231" s="1218"/>
    </row>
    <row r="1232" spans="1:39" ht="15" customHeight="1" x14ac:dyDescent="0.25">
      <c r="A1232" s="1409"/>
      <c r="B1232" s="1409"/>
      <c r="C1232" s="1409"/>
      <c r="D1232" s="1409"/>
      <c r="E1232" s="1247"/>
      <c r="F1232" s="1248"/>
      <c r="G1232" s="111"/>
      <c r="H1232" s="1249"/>
      <c r="I1232" s="111"/>
      <c r="J1232" s="111"/>
      <c r="K1232" s="111"/>
      <c r="L1232" s="111"/>
      <c r="M1232" s="111"/>
      <c r="N1232" s="111"/>
      <c r="O1232" s="111"/>
      <c r="P1232" s="111"/>
      <c r="Q1232" s="111"/>
      <c r="R1232" s="111"/>
      <c r="S1232" s="1249"/>
      <c r="T1232" s="1250"/>
      <c r="U1232" s="1250"/>
      <c r="V1232" s="1250"/>
      <c r="W1232" s="1251"/>
      <c r="X1232" s="1250"/>
      <c r="Y1232" s="1250"/>
      <c r="Z1232" s="1250"/>
      <c r="AA1232" s="1250"/>
      <c r="AB1232" s="1250"/>
      <c r="AC1232" s="1250"/>
      <c r="AD1232" s="1250"/>
      <c r="AE1232" s="1249"/>
      <c r="AF1232" s="1250"/>
      <c r="AG1232" s="111"/>
      <c r="AH1232" s="111"/>
      <c r="AI1232" s="111"/>
      <c r="AJ1232" s="111"/>
      <c r="AK1232" s="111"/>
      <c r="AL1232" s="111"/>
      <c r="AM1232" s="111"/>
    </row>
    <row r="1233" spans="1:39" ht="15" customHeight="1" x14ac:dyDescent="0.25">
      <c r="A1233" s="1409"/>
      <c r="B1233" s="1409"/>
      <c r="C1233" s="1409"/>
      <c r="D1233" s="1409"/>
      <c r="E1233" s="1261">
        <v>24601</v>
      </c>
      <c r="F1233" s="1262" t="s">
        <v>571</v>
      </c>
      <c r="G1233" s="1261"/>
      <c r="H1233" s="1261"/>
      <c r="I1233" s="1261"/>
      <c r="J1233" s="1261"/>
      <c r="K1233" s="1261"/>
      <c r="L1233" s="1261"/>
      <c r="M1233" s="1261"/>
      <c r="N1233" s="1261"/>
      <c r="O1233" s="1261"/>
      <c r="P1233" s="1261"/>
      <c r="Q1233" s="1261"/>
      <c r="R1233" s="1261"/>
      <c r="S1233" s="1261"/>
      <c r="T1233" s="1261"/>
      <c r="U1233" s="1261"/>
      <c r="V1233" s="1261"/>
      <c r="W1233" s="1261"/>
      <c r="X1233" s="1261"/>
      <c r="Y1233" s="1261"/>
      <c r="Z1233" s="1261"/>
      <c r="AA1233" s="1261"/>
      <c r="AB1233" s="1261"/>
      <c r="AC1233" s="1261"/>
      <c r="AD1233" s="1261"/>
      <c r="AE1233" s="1261"/>
      <c r="AF1233" s="1261"/>
      <c r="AG1233" s="1261"/>
      <c r="AH1233" s="1261"/>
      <c r="AI1233" s="1261"/>
      <c r="AJ1233" s="1261"/>
      <c r="AK1233" s="1261"/>
      <c r="AL1233" s="1261"/>
      <c r="AM1233" s="1261"/>
    </row>
    <row r="1234" spans="1:39" ht="15" customHeight="1" x14ac:dyDescent="0.25">
      <c r="A1234" s="1409"/>
      <c r="B1234" s="1409"/>
      <c r="C1234" s="1409"/>
      <c r="D1234" s="1409"/>
      <c r="E1234" s="1247"/>
      <c r="F1234" s="1248" t="s">
        <v>5045</v>
      </c>
      <c r="G1234" s="111"/>
      <c r="H1234" s="1249">
        <v>25</v>
      </c>
      <c r="I1234" s="111" t="s">
        <v>1721</v>
      </c>
      <c r="J1234" s="1321" t="s">
        <v>5608</v>
      </c>
      <c r="K1234" s="162" t="s">
        <v>5610</v>
      </c>
      <c r="L1234" s="162" t="s">
        <v>5609</v>
      </c>
      <c r="M1234" s="111">
        <v>41.36</v>
      </c>
      <c r="N1234" s="111">
        <v>1034</v>
      </c>
      <c r="O1234" s="111"/>
      <c r="P1234" s="111"/>
      <c r="Q1234" s="111"/>
      <c r="R1234" s="111"/>
      <c r="S1234" s="1249">
        <v>10</v>
      </c>
      <c r="T1234" s="1250">
        <v>344.66666666666669</v>
      </c>
      <c r="U1234" s="1250"/>
      <c r="V1234" s="1250"/>
      <c r="W1234" s="1251">
        <v>10</v>
      </c>
      <c r="X1234" s="1250">
        <v>344.66666666666669</v>
      </c>
      <c r="Y1234" s="1250"/>
      <c r="Z1234" s="1250"/>
      <c r="AA1234" s="1250"/>
      <c r="AB1234" s="1250"/>
      <c r="AC1234" s="1250"/>
      <c r="AD1234" s="1250"/>
      <c r="AE1234" s="1249">
        <v>5</v>
      </c>
      <c r="AF1234" s="1250">
        <v>344.66666666666669</v>
      </c>
      <c r="AG1234" s="111"/>
      <c r="AH1234" s="111"/>
      <c r="AI1234" s="111"/>
      <c r="AJ1234" s="111"/>
      <c r="AK1234" s="111"/>
      <c r="AL1234" s="111"/>
      <c r="AM1234" s="111">
        <v>1034</v>
      </c>
    </row>
    <row r="1235" spans="1:39" ht="15" customHeight="1" x14ac:dyDescent="0.25">
      <c r="A1235" s="1409"/>
      <c r="B1235" s="1409"/>
      <c r="C1235" s="1409"/>
      <c r="D1235" s="1409"/>
      <c r="E1235" s="1247"/>
      <c r="F1235" s="1248" t="s">
        <v>1087</v>
      </c>
      <c r="G1235" s="111"/>
      <c r="H1235" s="1249">
        <v>3</v>
      </c>
      <c r="I1235" s="111" t="s">
        <v>1725</v>
      </c>
      <c r="J1235" s="1321" t="s">
        <v>5608</v>
      </c>
      <c r="K1235" s="162" t="s">
        <v>5610</v>
      </c>
      <c r="L1235" s="162" t="s">
        <v>5609</v>
      </c>
      <c r="M1235" s="111">
        <v>95.04</v>
      </c>
      <c r="N1235" s="111">
        <v>285.12</v>
      </c>
      <c r="O1235" s="111"/>
      <c r="P1235" s="111"/>
      <c r="Q1235" s="111"/>
      <c r="R1235" s="111"/>
      <c r="S1235" s="1249">
        <v>1</v>
      </c>
      <c r="T1235" s="1250">
        <v>95.04</v>
      </c>
      <c r="U1235" s="1250"/>
      <c r="V1235" s="1250"/>
      <c r="W1235" s="1251">
        <v>1</v>
      </c>
      <c r="X1235" s="1250">
        <v>95.04</v>
      </c>
      <c r="Y1235" s="1250"/>
      <c r="Z1235" s="1250"/>
      <c r="AA1235" s="1250"/>
      <c r="AB1235" s="1250"/>
      <c r="AC1235" s="1250"/>
      <c r="AD1235" s="1250"/>
      <c r="AE1235" s="1249">
        <v>1</v>
      </c>
      <c r="AF1235" s="1250">
        <v>95.04</v>
      </c>
      <c r="AG1235" s="111"/>
      <c r="AH1235" s="111"/>
      <c r="AI1235" s="111"/>
      <c r="AJ1235" s="111"/>
      <c r="AK1235" s="111"/>
      <c r="AL1235" s="111"/>
      <c r="AM1235" s="111">
        <v>285.12</v>
      </c>
    </row>
    <row r="1236" spans="1:39" ht="15" customHeight="1" x14ac:dyDescent="0.25">
      <c r="A1236" s="1409"/>
      <c r="B1236" s="1409"/>
      <c r="C1236" s="1409"/>
      <c r="D1236" s="1409"/>
      <c r="E1236" s="1247"/>
      <c r="F1236" s="1248" t="s">
        <v>5046</v>
      </c>
      <c r="G1236" s="111"/>
      <c r="H1236" s="1249">
        <v>2</v>
      </c>
      <c r="I1236" s="111" t="s">
        <v>1721</v>
      </c>
      <c r="J1236" s="1321" t="s">
        <v>5608</v>
      </c>
      <c r="K1236" s="162" t="s">
        <v>5610</v>
      </c>
      <c r="L1236" s="162" t="s">
        <v>5609</v>
      </c>
      <c r="M1236" s="111">
        <v>35.64</v>
      </c>
      <c r="N1236" s="111">
        <v>71.28</v>
      </c>
      <c r="O1236" s="111"/>
      <c r="P1236" s="111"/>
      <c r="Q1236" s="111"/>
      <c r="R1236" s="111"/>
      <c r="S1236" s="1249">
        <v>2</v>
      </c>
      <c r="T1236" s="1250">
        <v>23.76</v>
      </c>
      <c r="U1236" s="1250"/>
      <c r="V1236" s="1250"/>
      <c r="W1236" s="1251">
        <v>0</v>
      </c>
      <c r="X1236" s="1250">
        <v>23.76</v>
      </c>
      <c r="Y1236" s="1250"/>
      <c r="Z1236" s="1250"/>
      <c r="AA1236" s="1250"/>
      <c r="AB1236" s="1250"/>
      <c r="AC1236" s="1250"/>
      <c r="AD1236" s="1250"/>
      <c r="AE1236" s="1249">
        <v>0</v>
      </c>
      <c r="AF1236" s="1250">
        <v>23.76</v>
      </c>
      <c r="AG1236" s="111"/>
      <c r="AH1236" s="111"/>
      <c r="AI1236" s="111"/>
      <c r="AJ1236" s="111"/>
      <c r="AK1236" s="111"/>
      <c r="AL1236" s="111"/>
      <c r="AM1236" s="111">
        <v>71.28</v>
      </c>
    </row>
    <row r="1237" spans="1:39" ht="15" customHeight="1" x14ac:dyDescent="0.25">
      <c r="A1237" s="1409"/>
      <c r="B1237" s="1409"/>
      <c r="C1237" s="1409"/>
      <c r="D1237" s="1409"/>
      <c r="E1237" s="1247"/>
      <c r="F1237" s="1248" t="s">
        <v>1263</v>
      </c>
      <c r="G1237" s="111"/>
      <c r="H1237" s="1249">
        <v>6</v>
      </c>
      <c r="I1237" s="111" t="s">
        <v>1721</v>
      </c>
      <c r="J1237" s="1321" t="s">
        <v>5608</v>
      </c>
      <c r="K1237" s="162" t="s">
        <v>5610</v>
      </c>
      <c r="L1237" s="162" t="s">
        <v>5609</v>
      </c>
      <c r="M1237" s="111">
        <v>19.720000000000002</v>
      </c>
      <c r="N1237" s="111">
        <v>118.32000000000002</v>
      </c>
      <c r="O1237" s="111"/>
      <c r="P1237" s="111"/>
      <c r="Q1237" s="111"/>
      <c r="R1237" s="111"/>
      <c r="S1237" s="1249">
        <v>2</v>
      </c>
      <c r="T1237" s="1250">
        <v>39.440000000000005</v>
      </c>
      <c r="U1237" s="1250"/>
      <c r="V1237" s="1250"/>
      <c r="W1237" s="1251">
        <v>2</v>
      </c>
      <c r="X1237" s="1250">
        <v>39.440000000000005</v>
      </c>
      <c r="Y1237" s="1250"/>
      <c r="Z1237" s="1250"/>
      <c r="AA1237" s="1250"/>
      <c r="AB1237" s="1250"/>
      <c r="AC1237" s="1250"/>
      <c r="AD1237" s="1250"/>
      <c r="AE1237" s="1249">
        <v>2</v>
      </c>
      <c r="AF1237" s="1250">
        <v>39.440000000000005</v>
      </c>
      <c r="AG1237" s="111"/>
      <c r="AH1237" s="111"/>
      <c r="AI1237" s="111"/>
      <c r="AJ1237" s="111"/>
      <c r="AK1237" s="111"/>
      <c r="AL1237" s="111"/>
      <c r="AM1237" s="111">
        <v>118.32000000000001</v>
      </c>
    </row>
    <row r="1238" spans="1:39" ht="15" customHeight="1" x14ac:dyDescent="0.25">
      <c r="A1238" s="1409"/>
      <c r="B1238" s="1409"/>
      <c r="C1238" s="1409"/>
      <c r="D1238" s="1409"/>
      <c r="E1238" s="1247"/>
      <c r="F1238" s="1248" t="s">
        <v>5047</v>
      </c>
      <c r="G1238" s="111"/>
      <c r="H1238" s="1249">
        <v>3</v>
      </c>
      <c r="I1238" s="111" t="s">
        <v>1721</v>
      </c>
      <c r="J1238" s="1321" t="s">
        <v>5608</v>
      </c>
      <c r="K1238" s="162" t="s">
        <v>5610</v>
      </c>
      <c r="L1238" s="162" t="s">
        <v>5609</v>
      </c>
      <c r="M1238" s="111">
        <v>24.81</v>
      </c>
      <c r="N1238" s="111">
        <v>74.429999999999993</v>
      </c>
      <c r="O1238" s="111"/>
      <c r="P1238" s="111"/>
      <c r="Q1238" s="111"/>
      <c r="R1238" s="111"/>
      <c r="S1238" s="1249">
        <v>1</v>
      </c>
      <c r="T1238" s="1250">
        <v>24.81</v>
      </c>
      <c r="U1238" s="1250"/>
      <c r="V1238" s="1250"/>
      <c r="W1238" s="1251">
        <v>1</v>
      </c>
      <c r="X1238" s="1250">
        <v>24.81</v>
      </c>
      <c r="Y1238" s="1250"/>
      <c r="Z1238" s="1250"/>
      <c r="AA1238" s="1250"/>
      <c r="AB1238" s="1250"/>
      <c r="AC1238" s="1250"/>
      <c r="AD1238" s="1250"/>
      <c r="AE1238" s="1249">
        <v>1</v>
      </c>
      <c r="AF1238" s="1250">
        <v>24.81</v>
      </c>
      <c r="AG1238" s="111"/>
      <c r="AH1238" s="111"/>
      <c r="AI1238" s="111"/>
      <c r="AJ1238" s="111"/>
      <c r="AK1238" s="111"/>
      <c r="AL1238" s="111"/>
      <c r="AM1238" s="111">
        <v>74.429999999999993</v>
      </c>
    </row>
    <row r="1239" spans="1:39" ht="15" customHeight="1" x14ac:dyDescent="0.25">
      <c r="A1239" s="1409"/>
      <c r="B1239" s="1409"/>
      <c r="C1239" s="1409"/>
      <c r="D1239" s="1409"/>
      <c r="E1239" s="1247"/>
      <c r="F1239" s="1248" t="s">
        <v>5048</v>
      </c>
      <c r="G1239" s="111"/>
      <c r="H1239" s="1249">
        <v>8</v>
      </c>
      <c r="I1239" s="111" t="s">
        <v>1721</v>
      </c>
      <c r="J1239" s="1321" t="s">
        <v>5608</v>
      </c>
      <c r="K1239" s="162" t="s">
        <v>5610</v>
      </c>
      <c r="L1239" s="162" t="s">
        <v>5609</v>
      </c>
      <c r="M1239" s="111">
        <v>40.629949999999994</v>
      </c>
      <c r="N1239" s="111">
        <v>325.03959999999995</v>
      </c>
      <c r="O1239" s="111"/>
      <c r="P1239" s="111"/>
      <c r="Q1239" s="111"/>
      <c r="R1239" s="111"/>
      <c r="S1239" s="1249">
        <v>4</v>
      </c>
      <c r="T1239" s="1250">
        <v>108.34653333333331</v>
      </c>
      <c r="U1239" s="1250"/>
      <c r="V1239" s="1250"/>
      <c r="W1239" s="1251">
        <v>2</v>
      </c>
      <c r="X1239" s="1250">
        <v>108.34653333333331</v>
      </c>
      <c r="Y1239" s="1250"/>
      <c r="Z1239" s="1250"/>
      <c r="AA1239" s="1250"/>
      <c r="AB1239" s="1250"/>
      <c r="AC1239" s="1250"/>
      <c r="AD1239" s="1250"/>
      <c r="AE1239" s="1249">
        <v>2</v>
      </c>
      <c r="AF1239" s="1250">
        <v>108.34653333333331</v>
      </c>
      <c r="AG1239" s="111"/>
      <c r="AH1239" s="111"/>
      <c r="AI1239" s="111"/>
      <c r="AJ1239" s="111"/>
      <c r="AK1239" s="111"/>
      <c r="AL1239" s="111"/>
      <c r="AM1239" s="111">
        <v>325.03959999999995</v>
      </c>
    </row>
    <row r="1240" spans="1:39" ht="15" customHeight="1" x14ac:dyDescent="0.25">
      <c r="A1240" s="1409"/>
      <c r="B1240" s="1409"/>
      <c r="C1240" s="1409"/>
      <c r="D1240" s="1409"/>
      <c r="E1240" s="1247"/>
      <c r="F1240" s="1248" t="s">
        <v>5049</v>
      </c>
      <c r="G1240" s="111"/>
      <c r="H1240" s="1249">
        <v>5</v>
      </c>
      <c r="I1240" s="111" t="s">
        <v>1721</v>
      </c>
      <c r="J1240" s="1321" t="s">
        <v>5608</v>
      </c>
      <c r="K1240" s="162" t="s">
        <v>5610</v>
      </c>
      <c r="L1240" s="162" t="s">
        <v>5609</v>
      </c>
      <c r="M1240" s="111">
        <v>120</v>
      </c>
      <c r="N1240" s="111">
        <v>600</v>
      </c>
      <c r="O1240" s="111"/>
      <c r="P1240" s="111"/>
      <c r="Q1240" s="111"/>
      <c r="R1240" s="111"/>
      <c r="S1240" s="1249">
        <v>2</v>
      </c>
      <c r="T1240" s="1250">
        <v>200</v>
      </c>
      <c r="U1240" s="1250"/>
      <c r="V1240" s="1250"/>
      <c r="W1240" s="1251">
        <v>2</v>
      </c>
      <c r="X1240" s="1250">
        <v>200</v>
      </c>
      <c r="Y1240" s="1250"/>
      <c r="Z1240" s="1250"/>
      <c r="AA1240" s="1250"/>
      <c r="AB1240" s="1250"/>
      <c r="AC1240" s="1250"/>
      <c r="AD1240" s="1250"/>
      <c r="AE1240" s="1249">
        <v>1</v>
      </c>
      <c r="AF1240" s="1250">
        <v>200</v>
      </c>
      <c r="AG1240" s="111"/>
      <c r="AH1240" s="111"/>
      <c r="AI1240" s="111"/>
      <c r="AJ1240" s="111"/>
      <c r="AK1240" s="111"/>
      <c r="AL1240" s="111"/>
      <c r="AM1240" s="111">
        <v>600</v>
      </c>
    </row>
    <row r="1241" spans="1:39" ht="15" customHeight="1" x14ac:dyDescent="0.25">
      <c r="A1241" s="1409"/>
      <c r="B1241" s="1409"/>
      <c r="C1241" s="1409"/>
      <c r="D1241" s="1409"/>
      <c r="E1241" s="1247"/>
      <c r="F1241" s="1248" t="s">
        <v>1202</v>
      </c>
      <c r="G1241" s="111"/>
      <c r="H1241" s="1249">
        <v>37</v>
      </c>
      <c r="I1241" s="111" t="s">
        <v>1721</v>
      </c>
      <c r="J1241" s="1321" t="s">
        <v>5608</v>
      </c>
      <c r="K1241" s="162" t="s">
        <v>5610</v>
      </c>
      <c r="L1241" s="162" t="s">
        <v>5609</v>
      </c>
      <c r="M1241" s="111">
        <v>55.120691891891894</v>
      </c>
      <c r="N1241" s="111">
        <v>2039.4656</v>
      </c>
      <c r="O1241" s="111"/>
      <c r="P1241" s="111"/>
      <c r="Q1241" s="111"/>
      <c r="R1241" s="111"/>
      <c r="S1241" s="1249">
        <v>15</v>
      </c>
      <c r="T1241" s="1250">
        <v>679.82186666666666</v>
      </c>
      <c r="U1241" s="1250"/>
      <c r="V1241" s="1250"/>
      <c r="W1241" s="1251">
        <v>12</v>
      </c>
      <c r="X1241" s="1250">
        <v>679.82186666666666</v>
      </c>
      <c r="Y1241" s="1250"/>
      <c r="Z1241" s="1250"/>
      <c r="AA1241" s="1250"/>
      <c r="AB1241" s="1250"/>
      <c r="AC1241" s="1250"/>
      <c r="AD1241" s="1250"/>
      <c r="AE1241" s="1249">
        <v>10</v>
      </c>
      <c r="AF1241" s="1250">
        <v>679.82186666666666</v>
      </c>
      <c r="AG1241" s="111"/>
      <c r="AH1241" s="111"/>
      <c r="AI1241" s="111"/>
      <c r="AJ1241" s="111"/>
      <c r="AK1241" s="111"/>
      <c r="AL1241" s="111"/>
      <c r="AM1241" s="111">
        <v>2039.4656</v>
      </c>
    </row>
    <row r="1242" spans="1:39" ht="15" customHeight="1" x14ac:dyDescent="0.25">
      <c r="A1242" s="1409"/>
      <c r="B1242" s="1409"/>
      <c r="C1242" s="1409"/>
      <c r="D1242" s="1409"/>
      <c r="E1242" s="1247"/>
      <c r="F1242" s="1248" t="s">
        <v>5050</v>
      </c>
      <c r="G1242" s="111"/>
      <c r="H1242" s="1249">
        <v>5</v>
      </c>
      <c r="I1242" s="111" t="s">
        <v>1721</v>
      </c>
      <c r="J1242" s="1321" t="s">
        <v>5608</v>
      </c>
      <c r="K1242" s="162" t="s">
        <v>5610</v>
      </c>
      <c r="L1242" s="162" t="s">
        <v>5609</v>
      </c>
      <c r="M1242" s="111">
        <v>100</v>
      </c>
      <c r="N1242" s="111">
        <v>500</v>
      </c>
      <c r="O1242" s="111"/>
      <c r="P1242" s="111"/>
      <c r="Q1242" s="111"/>
      <c r="R1242" s="111"/>
      <c r="S1242" s="1249">
        <v>2</v>
      </c>
      <c r="T1242" s="1250">
        <v>166.66666666666666</v>
      </c>
      <c r="U1242" s="1250"/>
      <c r="V1242" s="1250"/>
      <c r="W1242" s="1251">
        <v>2</v>
      </c>
      <c r="X1242" s="1250">
        <v>166.66666666666666</v>
      </c>
      <c r="Y1242" s="1250"/>
      <c r="Z1242" s="1250"/>
      <c r="AA1242" s="1250"/>
      <c r="AB1242" s="1250"/>
      <c r="AC1242" s="1250"/>
      <c r="AD1242" s="1250"/>
      <c r="AE1242" s="1249">
        <v>1</v>
      </c>
      <c r="AF1242" s="1250">
        <v>166.66666666666666</v>
      </c>
      <c r="AG1242" s="111"/>
      <c r="AH1242" s="111"/>
      <c r="AI1242" s="111"/>
      <c r="AJ1242" s="111"/>
      <c r="AK1242" s="111"/>
      <c r="AL1242" s="111"/>
      <c r="AM1242" s="111">
        <v>500</v>
      </c>
    </row>
    <row r="1243" spans="1:39" ht="15" customHeight="1" x14ac:dyDescent="0.25">
      <c r="A1243" s="1409"/>
      <c r="B1243" s="1409"/>
      <c r="C1243" s="1409"/>
      <c r="D1243" s="1409"/>
      <c r="E1243" s="1247"/>
      <c r="F1243" s="1248" t="s">
        <v>5051</v>
      </c>
      <c r="G1243" s="111"/>
      <c r="H1243" s="1249">
        <v>5</v>
      </c>
      <c r="I1243" s="111" t="s">
        <v>1721</v>
      </c>
      <c r="J1243" s="1321" t="s">
        <v>5608</v>
      </c>
      <c r="K1243" s="162" t="s">
        <v>5610</v>
      </c>
      <c r="L1243" s="162" t="s">
        <v>5609</v>
      </c>
      <c r="M1243" s="111">
        <v>100</v>
      </c>
      <c r="N1243" s="111">
        <v>500</v>
      </c>
      <c r="O1243" s="111"/>
      <c r="P1243" s="111"/>
      <c r="Q1243" s="111"/>
      <c r="R1243" s="111"/>
      <c r="S1243" s="1249">
        <v>2</v>
      </c>
      <c r="T1243" s="1250">
        <v>166.66666666666666</v>
      </c>
      <c r="U1243" s="1250"/>
      <c r="V1243" s="1250"/>
      <c r="W1243" s="1251">
        <v>2</v>
      </c>
      <c r="X1243" s="1250">
        <v>166.66666666666666</v>
      </c>
      <c r="Y1243" s="1250"/>
      <c r="Z1243" s="1250"/>
      <c r="AA1243" s="1250"/>
      <c r="AB1243" s="1250"/>
      <c r="AC1243" s="1250"/>
      <c r="AD1243" s="1250"/>
      <c r="AE1243" s="1249">
        <v>1</v>
      </c>
      <c r="AF1243" s="1250">
        <v>166.66666666666666</v>
      </c>
      <c r="AG1243" s="111"/>
      <c r="AH1243" s="111"/>
      <c r="AI1243" s="111"/>
      <c r="AJ1243" s="111"/>
      <c r="AK1243" s="111"/>
      <c r="AL1243" s="111"/>
      <c r="AM1243" s="111">
        <v>500</v>
      </c>
    </row>
    <row r="1244" spans="1:39" ht="15" customHeight="1" x14ac:dyDescent="0.25">
      <c r="A1244" s="1409"/>
      <c r="B1244" s="1409"/>
      <c r="C1244" s="1409"/>
      <c r="D1244" s="1409"/>
      <c r="E1244" s="1247"/>
      <c r="F1244" s="1248" t="s">
        <v>577</v>
      </c>
      <c r="G1244" s="111"/>
      <c r="H1244" s="1249">
        <v>16</v>
      </c>
      <c r="I1244" s="111" t="s">
        <v>1721</v>
      </c>
      <c r="J1244" s="1321" t="s">
        <v>5608</v>
      </c>
      <c r="K1244" s="162" t="s">
        <v>5610</v>
      </c>
      <c r="L1244" s="162" t="s">
        <v>5609</v>
      </c>
      <c r="M1244" s="111">
        <v>303.29680000000002</v>
      </c>
      <c r="N1244" s="111">
        <v>4852.7488000000003</v>
      </c>
      <c r="O1244" s="111"/>
      <c r="P1244" s="111"/>
      <c r="Q1244" s="111"/>
      <c r="R1244" s="111"/>
      <c r="S1244" s="1249">
        <v>6</v>
      </c>
      <c r="T1244" s="1250">
        <v>1617.5829333333334</v>
      </c>
      <c r="U1244" s="1250"/>
      <c r="V1244" s="1250"/>
      <c r="W1244" s="1251">
        <v>5</v>
      </c>
      <c r="X1244" s="1250">
        <v>1617.5829333333334</v>
      </c>
      <c r="Y1244" s="1250"/>
      <c r="Z1244" s="1250"/>
      <c r="AA1244" s="1250"/>
      <c r="AB1244" s="1250"/>
      <c r="AC1244" s="1250"/>
      <c r="AD1244" s="1250"/>
      <c r="AE1244" s="1249">
        <v>5</v>
      </c>
      <c r="AF1244" s="1250">
        <v>1617.5829333333334</v>
      </c>
      <c r="AG1244" s="111"/>
      <c r="AH1244" s="111"/>
      <c r="AI1244" s="111"/>
      <c r="AJ1244" s="111"/>
      <c r="AK1244" s="111"/>
      <c r="AL1244" s="111"/>
      <c r="AM1244" s="111">
        <v>4852.7488000000003</v>
      </c>
    </row>
    <row r="1245" spans="1:39" ht="15" customHeight="1" x14ac:dyDescent="0.25">
      <c r="A1245" s="1409"/>
      <c r="B1245" s="1409"/>
      <c r="C1245" s="1409"/>
      <c r="D1245" s="1409"/>
      <c r="E1245" s="1247"/>
      <c r="F1245" s="1248" t="s">
        <v>5052</v>
      </c>
      <c r="G1245" s="111"/>
      <c r="H1245" s="1249">
        <v>3</v>
      </c>
      <c r="I1245" s="111" t="s">
        <v>1721</v>
      </c>
      <c r="J1245" s="1321" t="s">
        <v>5608</v>
      </c>
      <c r="K1245" s="162" t="s">
        <v>5610</v>
      </c>
      <c r="L1245" s="162" t="s">
        <v>5609</v>
      </c>
      <c r="M1245" s="111">
        <v>250</v>
      </c>
      <c r="N1245" s="111">
        <v>750</v>
      </c>
      <c r="O1245" s="111"/>
      <c r="P1245" s="111"/>
      <c r="Q1245" s="111"/>
      <c r="R1245" s="111"/>
      <c r="S1245" s="1249">
        <v>1</v>
      </c>
      <c r="T1245" s="1250">
        <v>250</v>
      </c>
      <c r="U1245" s="1250"/>
      <c r="V1245" s="1250"/>
      <c r="W1245" s="1251">
        <v>1</v>
      </c>
      <c r="X1245" s="1250">
        <v>250</v>
      </c>
      <c r="Y1245" s="1250"/>
      <c r="Z1245" s="1250"/>
      <c r="AA1245" s="1250"/>
      <c r="AB1245" s="1250"/>
      <c r="AC1245" s="1250"/>
      <c r="AD1245" s="1250"/>
      <c r="AE1245" s="1249">
        <v>1</v>
      </c>
      <c r="AF1245" s="1250">
        <v>250</v>
      </c>
      <c r="AG1245" s="111"/>
      <c r="AH1245" s="111"/>
      <c r="AI1245" s="111"/>
      <c r="AJ1245" s="111"/>
      <c r="AK1245" s="111"/>
      <c r="AL1245" s="111"/>
      <c r="AM1245" s="111">
        <v>750</v>
      </c>
    </row>
    <row r="1246" spans="1:39" ht="15" customHeight="1" x14ac:dyDescent="0.25">
      <c r="A1246" s="1409"/>
      <c r="B1246" s="1409"/>
      <c r="C1246" s="1409"/>
      <c r="D1246" s="1409"/>
      <c r="E1246" s="1247"/>
      <c r="F1246" s="1248" t="s">
        <v>1216</v>
      </c>
      <c r="G1246" s="111"/>
      <c r="H1246" s="1249">
        <v>1</v>
      </c>
      <c r="I1246" s="111" t="s">
        <v>1725</v>
      </c>
      <c r="J1246" s="1321" t="s">
        <v>5608</v>
      </c>
      <c r="K1246" s="162" t="s">
        <v>5610</v>
      </c>
      <c r="L1246" s="162" t="s">
        <v>5609</v>
      </c>
      <c r="M1246" s="111">
        <v>206.71</v>
      </c>
      <c r="N1246" s="111">
        <v>206.71</v>
      </c>
      <c r="O1246" s="111"/>
      <c r="P1246" s="111"/>
      <c r="Q1246" s="111"/>
      <c r="R1246" s="111"/>
      <c r="S1246" s="1249">
        <v>1</v>
      </c>
      <c r="T1246" s="1250">
        <v>68.903333333333336</v>
      </c>
      <c r="U1246" s="1250"/>
      <c r="V1246" s="1250"/>
      <c r="W1246" s="1251">
        <v>0</v>
      </c>
      <c r="X1246" s="1250">
        <v>68.903333333333336</v>
      </c>
      <c r="Y1246" s="1250"/>
      <c r="Z1246" s="1250"/>
      <c r="AA1246" s="1250"/>
      <c r="AB1246" s="1250"/>
      <c r="AC1246" s="1250"/>
      <c r="AD1246" s="1250"/>
      <c r="AE1246" s="1249">
        <v>0</v>
      </c>
      <c r="AF1246" s="1250">
        <v>68.903333333333336</v>
      </c>
      <c r="AG1246" s="111"/>
      <c r="AH1246" s="111"/>
      <c r="AI1246" s="111"/>
      <c r="AJ1246" s="111"/>
      <c r="AK1246" s="111"/>
      <c r="AL1246" s="111"/>
      <c r="AM1246" s="111">
        <v>206.71</v>
      </c>
    </row>
    <row r="1247" spans="1:39" ht="15" customHeight="1" x14ac:dyDescent="0.25">
      <c r="A1247" s="1409"/>
      <c r="B1247" s="1409"/>
      <c r="C1247" s="1409"/>
      <c r="D1247" s="1409"/>
      <c r="E1247" s="1247"/>
      <c r="F1247" s="1248" t="s">
        <v>5053</v>
      </c>
      <c r="G1247" s="111"/>
      <c r="H1247" s="1249">
        <v>1</v>
      </c>
      <c r="I1247" s="111" t="s">
        <v>1721</v>
      </c>
      <c r="J1247" s="1321" t="s">
        <v>5608</v>
      </c>
      <c r="K1247" s="162" t="s">
        <v>5610</v>
      </c>
      <c r="L1247" s="162" t="s">
        <v>5609</v>
      </c>
      <c r="M1247" s="111">
        <v>327.58999999999997</v>
      </c>
      <c r="N1247" s="111">
        <v>327.58999999999997</v>
      </c>
      <c r="O1247" s="111"/>
      <c r="P1247" s="111"/>
      <c r="Q1247" s="111"/>
      <c r="R1247" s="111"/>
      <c r="S1247" s="1249">
        <v>1</v>
      </c>
      <c r="T1247" s="1250">
        <v>109.19666666666666</v>
      </c>
      <c r="U1247" s="1250"/>
      <c r="V1247" s="1250"/>
      <c r="W1247" s="1251">
        <v>0</v>
      </c>
      <c r="X1247" s="1250">
        <v>109.19666666666666</v>
      </c>
      <c r="Y1247" s="1250"/>
      <c r="Z1247" s="1250"/>
      <c r="AA1247" s="1250"/>
      <c r="AB1247" s="1250"/>
      <c r="AC1247" s="1250"/>
      <c r="AD1247" s="1250"/>
      <c r="AE1247" s="1249">
        <v>0</v>
      </c>
      <c r="AF1247" s="1250">
        <v>109.19666666666666</v>
      </c>
      <c r="AG1247" s="111"/>
      <c r="AH1247" s="111"/>
      <c r="AI1247" s="111"/>
      <c r="AJ1247" s="111"/>
      <c r="AK1247" s="111"/>
      <c r="AL1247" s="111"/>
      <c r="AM1247" s="111">
        <v>327.58999999999997</v>
      </c>
    </row>
    <row r="1248" spans="1:39" ht="15" customHeight="1" x14ac:dyDescent="0.25">
      <c r="A1248" s="1409"/>
      <c r="B1248" s="1409"/>
      <c r="C1248" s="1409"/>
      <c r="D1248" s="1409"/>
      <c r="E1248" s="1247"/>
      <c r="F1248" s="1248" t="s">
        <v>5054</v>
      </c>
      <c r="G1248" s="111"/>
      <c r="H1248" s="1249">
        <v>10</v>
      </c>
      <c r="I1248" s="111" t="s">
        <v>1721</v>
      </c>
      <c r="J1248" s="1321" t="s">
        <v>5608</v>
      </c>
      <c r="K1248" s="162" t="s">
        <v>5610</v>
      </c>
      <c r="L1248" s="162" t="s">
        <v>5609</v>
      </c>
      <c r="M1248" s="111">
        <v>118.96599999999998</v>
      </c>
      <c r="N1248" s="111">
        <v>1189.6599999999999</v>
      </c>
      <c r="O1248" s="111"/>
      <c r="P1248" s="111"/>
      <c r="Q1248" s="111"/>
      <c r="R1248" s="111"/>
      <c r="S1248" s="1249">
        <v>5</v>
      </c>
      <c r="T1248" s="1250">
        <v>396.55333333333328</v>
      </c>
      <c r="U1248" s="1250"/>
      <c r="V1248" s="1250"/>
      <c r="W1248" s="1251">
        <v>5</v>
      </c>
      <c r="X1248" s="1250">
        <v>396.55333333333328</v>
      </c>
      <c r="Y1248" s="1250"/>
      <c r="Z1248" s="1250"/>
      <c r="AA1248" s="1250"/>
      <c r="AB1248" s="1250"/>
      <c r="AC1248" s="1250"/>
      <c r="AD1248" s="1250"/>
      <c r="AE1248" s="1249">
        <v>0</v>
      </c>
      <c r="AF1248" s="1250">
        <v>396.55333333333328</v>
      </c>
      <c r="AG1248" s="111"/>
      <c r="AH1248" s="111"/>
      <c r="AI1248" s="111"/>
      <c r="AJ1248" s="111"/>
      <c r="AK1248" s="111"/>
      <c r="AL1248" s="111"/>
      <c r="AM1248" s="111">
        <v>1189.6599999999999</v>
      </c>
    </row>
    <row r="1249" spans="1:39" ht="15" customHeight="1" x14ac:dyDescent="0.25">
      <c r="A1249" s="1409"/>
      <c r="B1249" s="1409"/>
      <c r="C1249" s="1409"/>
      <c r="D1249" s="1409"/>
      <c r="E1249" s="1247"/>
      <c r="F1249" s="1248" t="s">
        <v>5055</v>
      </c>
      <c r="G1249" s="111"/>
      <c r="H1249" s="1249">
        <v>10</v>
      </c>
      <c r="I1249" s="111" t="s">
        <v>1721</v>
      </c>
      <c r="J1249" s="1321" t="s">
        <v>5608</v>
      </c>
      <c r="K1249" s="162" t="s">
        <v>5610</v>
      </c>
      <c r="L1249" s="162" t="s">
        <v>5609</v>
      </c>
      <c r="M1249" s="111">
        <v>140.39360000000002</v>
      </c>
      <c r="N1249" s="111">
        <v>1403.9360000000001</v>
      </c>
      <c r="O1249" s="111"/>
      <c r="P1249" s="111"/>
      <c r="Q1249" s="111"/>
      <c r="R1249" s="111"/>
      <c r="S1249" s="1249">
        <v>5</v>
      </c>
      <c r="T1249" s="1250">
        <v>467.9786666666667</v>
      </c>
      <c r="U1249" s="1250"/>
      <c r="V1249" s="1250"/>
      <c r="W1249" s="1251">
        <v>5</v>
      </c>
      <c r="X1249" s="1250">
        <v>467.9786666666667</v>
      </c>
      <c r="Y1249" s="1250"/>
      <c r="Z1249" s="1250"/>
      <c r="AA1249" s="1250"/>
      <c r="AB1249" s="1250"/>
      <c r="AC1249" s="1250"/>
      <c r="AD1249" s="1250"/>
      <c r="AE1249" s="1249">
        <v>0</v>
      </c>
      <c r="AF1249" s="1250">
        <v>467.9786666666667</v>
      </c>
      <c r="AG1249" s="111"/>
      <c r="AH1249" s="111"/>
      <c r="AI1249" s="111"/>
      <c r="AJ1249" s="111"/>
      <c r="AK1249" s="111"/>
      <c r="AL1249" s="111"/>
      <c r="AM1249" s="111">
        <v>1403.9360000000001</v>
      </c>
    </row>
    <row r="1250" spans="1:39" ht="15" customHeight="1" x14ac:dyDescent="0.25">
      <c r="A1250" s="1409"/>
      <c r="B1250" s="1409"/>
      <c r="C1250" s="1409"/>
      <c r="D1250" s="1409"/>
      <c r="E1250" s="1247"/>
      <c r="F1250" s="1248" t="s">
        <v>5056</v>
      </c>
      <c r="G1250" s="111"/>
      <c r="H1250" s="1249">
        <v>1</v>
      </c>
      <c r="I1250" s="111" t="s">
        <v>1721</v>
      </c>
      <c r="J1250" s="1321" t="s">
        <v>5608</v>
      </c>
      <c r="K1250" s="162" t="s">
        <v>5610</v>
      </c>
      <c r="L1250" s="162" t="s">
        <v>5609</v>
      </c>
      <c r="M1250" s="111">
        <v>95.580000000000013</v>
      </c>
      <c r="N1250" s="111">
        <v>95.580000000000013</v>
      </c>
      <c r="O1250" s="111"/>
      <c r="P1250" s="111"/>
      <c r="Q1250" s="111"/>
      <c r="R1250" s="111"/>
      <c r="S1250" s="1249">
        <v>1</v>
      </c>
      <c r="T1250" s="1250">
        <v>31.860000000000003</v>
      </c>
      <c r="U1250" s="1250"/>
      <c r="V1250" s="1250"/>
      <c r="W1250" s="1251">
        <v>0</v>
      </c>
      <c r="X1250" s="1250">
        <v>31.860000000000003</v>
      </c>
      <c r="Y1250" s="1250"/>
      <c r="Z1250" s="1250"/>
      <c r="AA1250" s="1250"/>
      <c r="AB1250" s="1250"/>
      <c r="AC1250" s="1250"/>
      <c r="AD1250" s="1250"/>
      <c r="AE1250" s="1249">
        <v>0</v>
      </c>
      <c r="AF1250" s="1250">
        <v>31.860000000000003</v>
      </c>
      <c r="AG1250" s="111"/>
      <c r="AH1250" s="111"/>
      <c r="AI1250" s="111"/>
      <c r="AJ1250" s="111"/>
      <c r="AK1250" s="111"/>
      <c r="AL1250" s="111"/>
      <c r="AM1250" s="111">
        <v>95.580000000000013</v>
      </c>
    </row>
    <row r="1251" spans="1:39" ht="15" customHeight="1" x14ac:dyDescent="0.25">
      <c r="A1251" s="1409"/>
      <c r="B1251" s="1409"/>
      <c r="C1251" s="1409"/>
      <c r="D1251" s="1409"/>
      <c r="E1251" s="1247"/>
      <c r="F1251" s="1248" t="s">
        <v>5057</v>
      </c>
      <c r="G1251" s="111"/>
      <c r="H1251" s="1249">
        <v>5</v>
      </c>
      <c r="I1251" s="111" t="s">
        <v>1721</v>
      </c>
      <c r="J1251" s="1321" t="s">
        <v>5608</v>
      </c>
      <c r="K1251" s="162" t="s">
        <v>5610</v>
      </c>
      <c r="L1251" s="162" t="s">
        <v>5609</v>
      </c>
      <c r="M1251" s="111">
        <v>335.48599999999999</v>
      </c>
      <c r="N1251" s="111">
        <v>1677.4299999999998</v>
      </c>
      <c r="O1251" s="111"/>
      <c r="P1251" s="111"/>
      <c r="Q1251" s="111"/>
      <c r="R1251" s="111"/>
      <c r="S1251" s="1249">
        <v>2</v>
      </c>
      <c r="T1251" s="1250">
        <v>559.14333333333332</v>
      </c>
      <c r="U1251" s="1250"/>
      <c r="V1251" s="1250"/>
      <c r="W1251" s="1251">
        <v>2</v>
      </c>
      <c r="X1251" s="1250">
        <v>559.14333333333332</v>
      </c>
      <c r="Y1251" s="1250"/>
      <c r="Z1251" s="1250"/>
      <c r="AA1251" s="1250"/>
      <c r="AB1251" s="1250"/>
      <c r="AC1251" s="1250"/>
      <c r="AD1251" s="1250"/>
      <c r="AE1251" s="1249">
        <v>1</v>
      </c>
      <c r="AF1251" s="1250">
        <v>559.14333333333332</v>
      </c>
      <c r="AG1251" s="111"/>
      <c r="AH1251" s="111"/>
      <c r="AI1251" s="111"/>
      <c r="AJ1251" s="111"/>
      <c r="AK1251" s="111"/>
      <c r="AL1251" s="111"/>
      <c r="AM1251" s="111">
        <v>1677.43</v>
      </c>
    </row>
    <row r="1252" spans="1:39" ht="15" customHeight="1" x14ac:dyDescent="0.25">
      <c r="A1252" s="1409"/>
      <c r="B1252" s="1409"/>
      <c r="C1252" s="1409"/>
      <c r="D1252" s="1409"/>
      <c r="E1252" s="1247"/>
      <c r="F1252" s="1248" t="s">
        <v>5058</v>
      </c>
      <c r="G1252" s="111"/>
      <c r="H1252" s="1249">
        <v>4</v>
      </c>
      <c r="I1252" s="111" t="s">
        <v>1721</v>
      </c>
      <c r="J1252" s="1321" t="s">
        <v>5608</v>
      </c>
      <c r="K1252" s="162" t="s">
        <v>5610</v>
      </c>
      <c r="L1252" s="162" t="s">
        <v>5609</v>
      </c>
      <c r="M1252" s="111">
        <v>450</v>
      </c>
      <c r="N1252" s="111">
        <v>1800</v>
      </c>
      <c r="O1252" s="111"/>
      <c r="P1252" s="111"/>
      <c r="Q1252" s="111"/>
      <c r="R1252" s="111"/>
      <c r="S1252" s="1249">
        <v>2</v>
      </c>
      <c r="T1252" s="1250">
        <v>600</v>
      </c>
      <c r="U1252" s="1250"/>
      <c r="V1252" s="1250"/>
      <c r="W1252" s="1251">
        <v>1</v>
      </c>
      <c r="X1252" s="1250">
        <v>600</v>
      </c>
      <c r="Y1252" s="1250"/>
      <c r="Z1252" s="1250"/>
      <c r="AA1252" s="1250"/>
      <c r="AB1252" s="1250"/>
      <c r="AC1252" s="1250"/>
      <c r="AD1252" s="1250"/>
      <c r="AE1252" s="1249">
        <v>1</v>
      </c>
      <c r="AF1252" s="1250">
        <v>600</v>
      </c>
      <c r="AG1252" s="111"/>
      <c r="AH1252" s="111"/>
      <c r="AI1252" s="111"/>
      <c r="AJ1252" s="111"/>
      <c r="AK1252" s="111"/>
      <c r="AL1252" s="111"/>
      <c r="AM1252" s="111">
        <v>1800</v>
      </c>
    </row>
    <row r="1253" spans="1:39" ht="15" customHeight="1" x14ac:dyDescent="0.25">
      <c r="A1253" s="1409"/>
      <c r="B1253" s="1409"/>
      <c r="C1253" s="1409"/>
      <c r="D1253" s="1409"/>
      <c r="E1253" s="1247"/>
      <c r="F1253" s="1248" t="s">
        <v>5059</v>
      </c>
      <c r="G1253" s="111"/>
      <c r="H1253" s="1249">
        <v>4</v>
      </c>
      <c r="I1253" s="111" t="s">
        <v>1721</v>
      </c>
      <c r="J1253" s="1321" t="s">
        <v>5608</v>
      </c>
      <c r="K1253" s="162" t="s">
        <v>5610</v>
      </c>
      <c r="L1253" s="162" t="s">
        <v>5609</v>
      </c>
      <c r="M1253" s="111">
        <v>450</v>
      </c>
      <c r="N1253" s="111">
        <v>1800</v>
      </c>
      <c r="O1253" s="111"/>
      <c r="P1253" s="111"/>
      <c r="Q1253" s="111"/>
      <c r="R1253" s="111"/>
      <c r="S1253" s="1249">
        <v>2</v>
      </c>
      <c r="T1253" s="1250">
        <v>600</v>
      </c>
      <c r="U1253" s="1250"/>
      <c r="V1253" s="1250"/>
      <c r="W1253" s="1251">
        <v>1</v>
      </c>
      <c r="X1253" s="1250">
        <v>600</v>
      </c>
      <c r="Y1253" s="1250"/>
      <c r="Z1253" s="1250"/>
      <c r="AA1253" s="1250"/>
      <c r="AB1253" s="1250"/>
      <c r="AC1253" s="1250"/>
      <c r="AD1253" s="1250"/>
      <c r="AE1253" s="1249">
        <v>1</v>
      </c>
      <c r="AF1253" s="1250">
        <v>600</v>
      </c>
      <c r="AG1253" s="111"/>
      <c r="AH1253" s="111"/>
      <c r="AI1253" s="111"/>
      <c r="AJ1253" s="111"/>
      <c r="AK1253" s="111"/>
      <c r="AL1253" s="111"/>
      <c r="AM1253" s="111">
        <v>1800</v>
      </c>
    </row>
    <row r="1254" spans="1:39" ht="15" customHeight="1" x14ac:dyDescent="0.25">
      <c r="A1254" s="1409"/>
      <c r="B1254" s="1409"/>
      <c r="C1254" s="1409"/>
      <c r="D1254" s="1409"/>
      <c r="E1254" s="1247"/>
      <c r="F1254" s="1248" t="s">
        <v>5060</v>
      </c>
      <c r="G1254" s="111"/>
      <c r="H1254" s="1249">
        <v>4</v>
      </c>
      <c r="I1254" s="111" t="s">
        <v>2600</v>
      </c>
      <c r="J1254" s="1321" t="s">
        <v>5608</v>
      </c>
      <c r="K1254" s="162" t="s">
        <v>5610</v>
      </c>
      <c r="L1254" s="162" t="s">
        <v>5609</v>
      </c>
      <c r="M1254" s="111">
        <v>788.8</v>
      </c>
      <c r="N1254" s="111">
        <v>3155.2</v>
      </c>
      <c r="O1254" s="111"/>
      <c r="P1254" s="111"/>
      <c r="Q1254" s="111"/>
      <c r="R1254" s="111"/>
      <c r="S1254" s="1249">
        <v>2</v>
      </c>
      <c r="T1254" s="1250">
        <v>1051.7333333333333</v>
      </c>
      <c r="U1254" s="1250"/>
      <c r="V1254" s="1250"/>
      <c r="W1254" s="1251">
        <v>1</v>
      </c>
      <c r="X1254" s="1250">
        <v>1051.7333333333333</v>
      </c>
      <c r="Y1254" s="1250"/>
      <c r="Z1254" s="1250"/>
      <c r="AA1254" s="1250"/>
      <c r="AB1254" s="1250"/>
      <c r="AC1254" s="1250"/>
      <c r="AD1254" s="1250"/>
      <c r="AE1254" s="1249">
        <v>1</v>
      </c>
      <c r="AF1254" s="1250">
        <v>1051.7333333333333</v>
      </c>
      <c r="AG1254" s="111"/>
      <c r="AH1254" s="111"/>
      <c r="AI1254" s="111"/>
      <c r="AJ1254" s="111"/>
      <c r="AK1254" s="111"/>
      <c r="AL1254" s="111"/>
      <c r="AM1254" s="111">
        <v>3155.2</v>
      </c>
    </row>
    <row r="1255" spans="1:39" ht="15" customHeight="1" x14ac:dyDescent="0.25">
      <c r="A1255" s="1409"/>
      <c r="B1255" s="1409"/>
      <c r="C1255" s="1409"/>
      <c r="D1255" s="1409"/>
      <c r="E1255" s="1247"/>
      <c r="F1255" s="1248" t="s">
        <v>5061</v>
      </c>
      <c r="G1255" s="111"/>
      <c r="H1255" s="1249">
        <v>2</v>
      </c>
      <c r="I1255" s="111" t="s">
        <v>2600</v>
      </c>
      <c r="J1255" s="1321" t="s">
        <v>5608</v>
      </c>
      <c r="K1255" s="162" t="s">
        <v>5610</v>
      </c>
      <c r="L1255" s="162" t="s">
        <v>5609</v>
      </c>
      <c r="M1255" s="111">
        <v>661.19999999999993</v>
      </c>
      <c r="N1255" s="111">
        <v>1322.3999999999999</v>
      </c>
      <c r="O1255" s="111"/>
      <c r="P1255" s="111"/>
      <c r="Q1255" s="111"/>
      <c r="R1255" s="111"/>
      <c r="S1255" s="1249">
        <v>2</v>
      </c>
      <c r="T1255" s="1250">
        <v>440.79999999999995</v>
      </c>
      <c r="U1255" s="1250"/>
      <c r="V1255" s="1250"/>
      <c r="W1255" s="1251">
        <v>0</v>
      </c>
      <c r="X1255" s="1250">
        <v>440.79999999999995</v>
      </c>
      <c r="Y1255" s="1250"/>
      <c r="Z1255" s="1250"/>
      <c r="AA1255" s="1250"/>
      <c r="AB1255" s="1250"/>
      <c r="AC1255" s="1250"/>
      <c r="AD1255" s="1250"/>
      <c r="AE1255" s="1249">
        <v>0</v>
      </c>
      <c r="AF1255" s="1250">
        <v>440.79999999999995</v>
      </c>
      <c r="AG1255" s="111"/>
      <c r="AH1255" s="111"/>
      <c r="AI1255" s="111"/>
      <c r="AJ1255" s="111"/>
      <c r="AK1255" s="111"/>
      <c r="AL1255" s="111"/>
      <c r="AM1255" s="111">
        <v>1322.3999999999999</v>
      </c>
    </row>
    <row r="1256" spans="1:39" ht="15" customHeight="1" x14ac:dyDescent="0.25">
      <c r="A1256" s="1409"/>
      <c r="B1256" s="1409"/>
      <c r="C1256" s="1409"/>
      <c r="D1256" s="1409"/>
      <c r="E1256" s="1247"/>
      <c r="F1256" s="1248" t="s">
        <v>2733</v>
      </c>
      <c r="G1256" s="111"/>
      <c r="H1256" s="1249">
        <v>25</v>
      </c>
      <c r="I1256" s="111" t="s">
        <v>1749</v>
      </c>
      <c r="J1256" s="1321" t="s">
        <v>5608</v>
      </c>
      <c r="K1256" s="162" t="s">
        <v>5610</v>
      </c>
      <c r="L1256" s="162" t="s">
        <v>5609</v>
      </c>
      <c r="M1256" s="111">
        <v>264.47999999999996</v>
      </c>
      <c r="N1256" s="111">
        <v>6611.9999999999991</v>
      </c>
      <c r="O1256" s="111"/>
      <c r="P1256" s="111"/>
      <c r="Q1256" s="111"/>
      <c r="R1256" s="111"/>
      <c r="S1256" s="1249">
        <v>10</v>
      </c>
      <c r="T1256" s="1250">
        <v>2203.9999999999995</v>
      </c>
      <c r="U1256" s="1250"/>
      <c r="V1256" s="1250"/>
      <c r="W1256" s="1251">
        <v>10</v>
      </c>
      <c r="X1256" s="1250">
        <v>2203.9999999999995</v>
      </c>
      <c r="Y1256" s="1250"/>
      <c r="Z1256" s="1250"/>
      <c r="AA1256" s="1250"/>
      <c r="AB1256" s="1250"/>
      <c r="AC1256" s="1250"/>
      <c r="AD1256" s="1250"/>
      <c r="AE1256" s="1249">
        <v>5</v>
      </c>
      <c r="AF1256" s="1250">
        <v>2203.9999999999995</v>
      </c>
      <c r="AG1256" s="111"/>
      <c r="AH1256" s="111"/>
      <c r="AI1256" s="111"/>
      <c r="AJ1256" s="111"/>
      <c r="AK1256" s="111"/>
      <c r="AL1256" s="111"/>
      <c r="AM1256" s="111">
        <v>6611.9999999999991</v>
      </c>
    </row>
    <row r="1257" spans="1:39" ht="15" customHeight="1" x14ac:dyDescent="0.25">
      <c r="A1257" s="1409"/>
      <c r="B1257" s="1409"/>
      <c r="C1257" s="1409"/>
      <c r="D1257" s="1409"/>
      <c r="E1257" s="1247"/>
      <c r="F1257" s="1248" t="s">
        <v>5062</v>
      </c>
      <c r="G1257" s="111"/>
      <c r="H1257" s="1249">
        <v>15</v>
      </c>
      <c r="I1257" s="111" t="s">
        <v>1749</v>
      </c>
      <c r="J1257" s="1321" t="s">
        <v>5608</v>
      </c>
      <c r="K1257" s="162" t="s">
        <v>5610</v>
      </c>
      <c r="L1257" s="162" t="s">
        <v>5609</v>
      </c>
      <c r="M1257" s="111">
        <v>942.96399999999994</v>
      </c>
      <c r="N1257" s="111">
        <v>14144.46</v>
      </c>
      <c r="O1257" s="111"/>
      <c r="P1257" s="111"/>
      <c r="Q1257" s="111"/>
      <c r="R1257" s="111"/>
      <c r="S1257" s="1249">
        <v>5</v>
      </c>
      <c r="T1257" s="1250">
        <v>4714.82</v>
      </c>
      <c r="U1257" s="1250"/>
      <c r="V1257" s="1250"/>
      <c r="W1257" s="1251">
        <v>5</v>
      </c>
      <c r="X1257" s="1250">
        <v>4714.82</v>
      </c>
      <c r="Y1257" s="1250"/>
      <c r="Z1257" s="1250"/>
      <c r="AA1257" s="1250"/>
      <c r="AB1257" s="1250"/>
      <c r="AC1257" s="1250"/>
      <c r="AD1257" s="1250"/>
      <c r="AE1257" s="1249">
        <v>5</v>
      </c>
      <c r="AF1257" s="1250">
        <v>4714.82</v>
      </c>
      <c r="AG1257" s="111"/>
      <c r="AH1257" s="111"/>
      <c r="AI1257" s="111"/>
      <c r="AJ1257" s="111"/>
      <c r="AK1257" s="111"/>
      <c r="AL1257" s="111"/>
      <c r="AM1257" s="111">
        <v>14144.46</v>
      </c>
    </row>
    <row r="1258" spans="1:39" ht="15" customHeight="1" x14ac:dyDescent="0.25">
      <c r="A1258" s="1409"/>
      <c r="B1258" s="1409"/>
      <c r="C1258" s="1409"/>
      <c r="D1258" s="1409"/>
      <c r="E1258" s="1247"/>
      <c r="F1258" s="1248" t="s">
        <v>5063</v>
      </c>
      <c r="G1258" s="111"/>
      <c r="H1258" s="1249">
        <v>1</v>
      </c>
      <c r="I1258" s="111" t="s">
        <v>2599</v>
      </c>
      <c r="J1258" s="1321" t="s">
        <v>5608</v>
      </c>
      <c r="K1258" s="162" t="s">
        <v>5610</v>
      </c>
      <c r="L1258" s="162" t="s">
        <v>5609</v>
      </c>
      <c r="M1258" s="111">
        <v>809.65679999999998</v>
      </c>
      <c r="N1258" s="111">
        <v>809.65679999999998</v>
      </c>
      <c r="O1258" s="111"/>
      <c r="P1258" s="111"/>
      <c r="Q1258" s="111"/>
      <c r="R1258" s="111"/>
      <c r="S1258" s="1249">
        <v>1</v>
      </c>
      <c r="T1258" s="1250">
        <v>269.88560000000001</v>
      </c>
      <c r="U1258" s="1250"/>
      <c r="V1258" s="1250"/>
      <c r="W1258" s="1251">
        <v>0</v>
      </c>
      <c r="X1258" s="1250">
        <v>269.88560000000001</v>
      </c>
      <c r="Y1258" s="1250"/>
      <c r="Z1258" s="1250"/>
      <c r="AA1258" s="1250"/>
      <c r="AB1258" s="1250"/>
      <c r="AC1258" s="1250"/>
      <c r="AD1258" s="1250"/>
      <c r="AE1258" s="1249">
        <v>0</v>
      </c>
      <c r="AF1258" s="1250">
        <v>269.88560000000001</v>
      </c>
      <c r="AG1258" s="111"/>
      <c r="AH1258" s="111"/>
      <c r="AI1258" s="111"/>
      <c r="AJ1258" s="111"/>
      <c r="AK1258" s="111"/>
      <c r="AL1258" s="111"/>
      <c r="AM1258" s="111">
        <v>809.65679999999998</v>
      </c>
    </row>
    <row r="1259" spans="1:39" ht="15" customHeight="1" x14ac:dyDescent="0.25">
      <c r="A1259" s="1409"/>
      <c r="B1259" s="1409"/>
      <c r="C1259" s="1409"/>
      <c r="D1259" s="1409"/>
      <c r="E1259" s="1247"/>
      <c r="F1259" s="1248" t="s">
        <v>1207</v>
      </c>
      <c r="G1259" s="111"/>
      <c r="H1259" s="1249">
        <v>1</v>
      </c>
      <c r="I1259" s="111" t="s">
        <v>1721</v>
      </c>
      <c r="J1259" s="1321" t="s">
        <v>5608</v>
      </c>
      <c r="K1259" s="162" t="s">
        <v>5610</v>
      </c>
      <c r="L1259" s="162" t="s">
        <v>5609</v>
      </c>
      <c r="M1259" s="111">
        <v>220.49</v>
      </c>
      <c r="N1259" s="111">
        <v>220.49</v>
      </c>
      <c r="O1259" s="111"/>
      <c r="P1259" s="111"/>
      <c r="Q1259" s="111"/>
      <c r="R1259" s="111"/>
      <c r="S1259" s="1249">
        <v>1</v>
      </c>
      <c r="T1259" s="1250">
        <v>73.49666666666667</v>
      </c>
      <c r="U1259" s="1250"/>
      <c r="V1259" s="1250"/>
      <c r="W1259" s="1251">
        <v>0</v>
      </c>
      <c r="X1259" s="1250">
        <v>73.49666666666667</v>
      </c>
      <c r="Y1259" s="1250"/>
      <c r="Z1259" s="1250"/>
      <c r="AA1259" s="1250"/>
      <c r="AB1259" s="1250"/>
      <c r="AC1259" s="1250"/>
      <c r="AD1259" s="1250"/>
      <c r="AE1259" s="1249">
        <v>0</v>
      </c>
      <c r="AF1259" s="1250">
        <v>73.49666666666667</v>
      </c>
      <c r="AG1259" s="111"/>
      <c r="AH1259" s="111"/>
      <c r="AI1259" s="111"/>
      <c r="AJ1259" s="111"/>
      <c r="AK1259" s="111"/>
      <c r="AL1259" s="111"/>
      <c r="AM1259" s="111">
        <v>220.49</v>
      </c>
    </row>
    <row r="1260" spans="1:39" ht="15" customHeight="1" x14ac:dyDescent="0.25">
      <c r="A1260" s="1409"/>
      <c r="B1260" s="1409"/>
      <c r="C1260" s="1409"/>
      <c r="D1260" s="1409"/>
      <c r="E1260" s="1247"/>
      <c r="F1260" s="1248" t="s">
        <v>5064</v>
      </c>
      <c r="G1260" s="111"/>
      <c r="H1260" s="1249">
        <v>20</v>
      </c>
      <c r="I1260" s="111" t="s">
        <v>1721</v>
      </c>
      <c r="J1260" s="1321" t="s">
        <v>5608</v>
      </c>
      <c r="K1260" s="162" t="s">
        <v>5610</v>
      </c>
      <c r="L1260" s="162" t="s">
        <v>5609</v>
      </c>
      <c r="M1260" s="111">
        <v>150</v>
      </c>
      <c r="N1260" s="111">
        <v>3000</v>
      </c>
      <c r="O1260" s="111"/>
      <c r="P1260" s="111"/>
      <c r="Q1260" s="111"/>
      <c r="R1260" s="111"/>
      <c r="S1260" s="1249">
        <v>10</v>
      </c>
      <c r="T1260" s="1250">
        <v>1000</v>
      </c>
      <c r="U1260" s="1250"/>
      <c r="V1260" s="1250"/>
      <c r="W1260" s="1251">
        <v>5</v>
      </c>
      <c r="X1260" s="1250">
        <v>1000</v>
      </c>
      <c r="Y1260" s="1250"/>
      <c r="Z1260" s="1250"/>
      <c r="AA1260" s="1250"/>
      <c r="AB1260" s="1250"/>
      <c r="AC1260" s="1250"/>
      <c r="AD1260" s="1250"/>
      <c r="AE1260" s="1249">
        <v>5</v>
      </c>
      <c r="AF1260" s="1250">
        <v>1000</v>
      </c>
      <c r="AG1260" s="111"/>
      <c r="AH1260" s="111"/>
      <c r="AI1260" s="111"/>
      <c r="AJ1260" s="111"/>
      <c r="AK1260" s="111"/>
      <c r="AL1260" s="111"/>
      <c r="AM1260" s="111">
        <v>3000</v>
      </c>
    </row>
    <row r="1261" spans="1:39" ht="30.75" customHeight="1" x14ac:dyDescent="0.25">
      <c r="A1261" s="1409"/>
      <c r="B1261" s="1409"/>
      <c r="C1261" s="1409"/>
      <c r="D1261" s="1409"/>
      <c r="E1261" s="1247"/>
      <c r="F1261" s="1287" t="s">
        <v>5065</v>
      </c>
      <c r="G1261" s="111"/>
      <c r="H1261" s="1249">
        <v>1</v>
      </c>
      <c r="I1261" s="111" t="s">
        <v>1721</v>
      </c>
      <c r="J1261" s="1321" t="s">
        <v>5608</v>
      </c>
      <c r="K1261" s="162" t="s">
        <v>5610</v>
      </c>
      <c r="L1261" s="162" t="s">
        <v>5609</v>
      </c>
      <c r="M1261" s="111">
        <v>369.83</v>
      </c>
      <c r="N1261" s="111">
        <v>369.83</v>
      </c>
      <c r="O1261" s="111"/>
      <c r="P1261" s="111"/>
      <c r="Q1261" s="111"/>
      <c r="R1261" s="111"/>
      <c r="S1261" s="1249">
        <v>1</v>
      </c>
      <c r="T1261" s="1250">
        <v>123.27666666666666</v>
      </c>
      <c r="U1261" s="1250"/>
      <c r="V1261" s="1250"/>
      <c r="W1261" s="1251">
        <v>0</v>
      </c>
      <c r="X1261" s="1250">
        <v>123.27666666666666</v>
      </c>
      <c r="Y1261" s="1250"/>
      <c r="Z1261" s="1250"/>
      <c r="AA1261" s="1250"/>
      <c r="AB1261" s="1250"/>
      <c r="AC1261" s="1250"/>
      <c r="AD1261" s="1250"/>
      <c r="AE1261" s="1249">
        <v>0</v>
      </c>
      <c r="AF1261" s="1250">
        <v>123.27666666666666</v>
      </c>
      <c r="AG1261" s="111"/>
      <c r="AH1261" s="111"/>
      <c r="AI1261" s="111"/>
      <c r="AJ1261" s="111"/>
      <c r="AK1261" s="111"/>
      <c r="AL1261" s="111"/>
      <c r="AM1261" s="111">
        <v>369.83</v>
      </c>
    </row>
    <row r="1262" spans="1:39" ht="15" customHeight="1" x14ac:dyDescent="0.25">
      <c r="A1262" s="1409"/>
      <c r="B1262" s="1409"/>
      <c r="C1262" s="1409"/>
      <c r="D1262" s="1409"/>
      <c r="E1262" s="1247"/>
      <c r="F1262" s="1248" t="s">
        <v>5066</v>
      </c>
      <c r="G1262" s="111"/>
      <c r="H1262" s="1249">
        <v>230</v>
      </c>
      <c r="I1262" s="111" t="s">
        <v>1721</v>
      </c>
      <c r="J1262" s="1321" t="s">
        <v>5608</v>
      </c>
      <c r="K1262" s="162" t="s">
        <v>5610</v>
      </c>
      <c r="L1262" s="162" t="s">
        <v>5609</v>
      </c>
      <c r="M1262" s="111">
        <v>41.341773913043482</v>
      </c>
      <c r="N1262" s="111">
        <v>9508.6080000000002</v>
      </c>
      <c r="O1262" s="111"/>
      <c r="P1262" s="111"/>
      <c r="Q1262" s="111"/>
      <c r="R1262" s="111"/>
      <c r="S1262" s="1249">
        <v>100</v>
      </c>
      <c r="T1262" s="1250">
        <v>3169.5360000000001</v>
      </c>
      <c r="U1262" s="1250"/>
      <c r="V1262" s="1250"/>
      <c r="W1262" s="1251">
        <v>80</v>
      </c>
      <c r="X1262" s="1250">
        <v>3169.5360000000001</v>
      </c>
      <c r="Y1262" s="1250"/>
      <c r="Z1262" s="1250"/>
      <c r="AA1262" s="1250"/>
      <c r="AB1262" s="1250"/>
      <c r="AC1262" s="1250"/>
      <c r="AD1262" s="1250"/>
      <c r="AE1262" s="1249">
        <v>50</v>
      </c>
      <c r="AF1262" s="1250">
        <v>3169.5360000000001</v>
      </c>
      <c r="AG1262" s="111"/>
      <c r="AH1262" s="111"/>
      <c r="AI1262" s="111"/>
      <c r="AJ1262" s="111"/>
      <c r="AK1262" s="111"/>
      <c r="AL1262" s="111"/>
      <c r="AM1262" s="111">
        <v>9508.6080000000002</v>
      </c>
    </row>
    <row r="1263" spans="1:39" ht="15" customHeight="1" x14ac:dyDescent="0.25">
      <c r="A1263" s="1409"/>
      <c r="B1263" s="1409"/>
      <c r="C1263" s="1409"/>
      <c r="D1263" s="1409"/>
      <c r="E1263" s="1279"/>
      <c r="F1263" s="1248" t="s">
        <v>5067</v>
      </c>
      <c r="G1263" s="111"/>
      <c r="H1263" s="1249">
        <v>4</v>
      </c>
      <c r="I1263" s="111" t="s">
        <v>1721</v>
      </c>
      <c r="J1263" s="1321" t="s">
        <v>5608</v>
      </c>
      <c r="K1263" s="162" t="s">
        <v>5610</v>
      </c>
      <c r="L1263" s="162" t="s">
        <v>5609</v>
      </c>
      <c r="M1263" s="111">
        <v>1000</v>
      </c>
      <c r="N1263" s="111">
        <v>4000</v>
      </c>
      <c r="O1263" s="111"/>
      <c r="P1263" s="111"/>
      <c r="Q1263" s="111"/>
      <c r="R1263" s="111"/>
      <c r="S1263" s="1249">
        <v>2</v>
      </c>
      <c r="T1263" s="1250">
        <v>1333.3333333333333</v>
      </c>
      <c r="U1263" s="1250"/>
      <c r="V1263" s="1250"/>
      <c r="W1263" s="1251">
        <v>1</v>
      </c>
      <c r="X1263" s="1250">
        <v>1333.3333333333333</v>
      </c>
      <c r="Y1263" s="1250"/>
      <c r="Z1263" s="1250"/>
      <c r="AA1263" s="1250"/>
      <c r="AB1263" s="1250"/>
      <c r="AC1263" s="1250"/>
      <c r="AD1263" s="1250"/>
      <c r="AE1263" s="1249">
        <v>1</v>
      </c>
      <c r="AF1263" s="1250">
        <v>1333.3333333333333</v>
      </c>
      <c r="AG1263" s="111"/>
      <c r="AH1263" s="111"/>
      <c r="AI1263" s="111"/>
      <c r="AJ1263" s="111"/>
      <c r="AK1263" s="111"/>
      <c r="AL1263" s="111"/>
      <c r="AM1263" s="111">
        <v>4000</v>
      </c>
    </row>
    <row r="1264" spans="1:39" ht="15" customHeight="1" x14ac:dyDescent="0.25">
      <c r="A1264" s="1409"/>
      <c r="B1264" s="1409"/>
      <c r="C1264" s="1409"/>
      <c r="D1264" s="1409"/>
      <c r="E1264" s="1279"/>
      <c r="F1264" s="1248" t="s">
        <v>580</v>
      </c>
      <c r="G1264" s="111"/>
      <c r="H1264" s="1249">
        <v>10</v>
      </c>
      <c r="I1264" s="111" t="s">
        <v>1721</v>
      </c>
      <c r="J1264" s="1321" t="s">
        <v>5608</v>
      </c>
      <c r="K1264" s="162" t="s">
        <v>5610</v>
      </c>
      <c r="L1264" s="162" t="s">
        <v>5609</v>
      </c>
      <c r="M1264" s="111">
        <v>241.16399999999999</v>
      </c>
      <c r="N1264" s="111">
        <v>2411.64</v>
      </c>
      <c r="O1264" s="111"/>
      <c r="P1264" s="111"/>
      <c r="Q1264" s="111"/>
      <c r="R1264" s="111"/>
      <c r="S1264" s="1249">
        <v>5</v>
      </c>
      <c r="T1264" s="1250">
        <v>803.88</v>
      </c>
      <c r="U1264" s="1250"/>
      <c r="V1264" s="1250"/>
      <c r="W1264" s="1251">
        <v>5</v>
      </c>
      <c r="X1264" s="1250">
        <v>803.88</v>
      </c>
      <c r="Y1264" s="1250"/>
      <c r="Z1264" s="1250"/>
      <c r="AA1264" s="1250"/>
      <c r="AB1264" s="1250"/>
      <c r="AC1264" s="1250"/>
      <c r="AD1264" s="1250"/>
      <c r="AE1264" s="1249">
        <v>0</v>
      </c>
      <c r="AF1264" s="1250">
        <v>803.88</v>
      </c>
      <c r="AG1264" s="111"/>
      <c r="AH1264" s="111"/>
      <c r="AI1264" s="111"/>
      <c r="AJ1264" s="111"/>
      <c r="AK1264" s="111"/>
      <c r="AL1264" s="111"/>
      <c r="AM1264" s="111">
        <v>2411.64</v>
      </c>
    </row>
    <row r="1265" spans="1:39" ht="15" customHeight="1" x14ac:dyDescent="0.25">
      <c r="A1265" s="1409"/>
      <c r="B1265" s="1409"/>
      <c r="C1265" s="1409"/>
      <c r="D1265" s="1409"/>
      <c r="E1265" s="1279"/>
      <c r="F1265" s="1248" t="s">
        <v>1214</v>
      </c>
      <c r="G1265" s="111"/>
      <c r="H1265" s="1249">
        <v>15</v>
      </c>
      <c r="I1265" s="111" t="s">
        <v>1721</v>
      </c>
      <c r="J1265" s="1321" t="s">
        <v>5608</v>
      </c>
      <c r="K1265" s="162" t="s">
        <v>5610</v>
      </c>
      <c r="L1265" s="162" t="s">
        <v>5609</v>
      </c>
      <c r="M1265" s="111">
        <v>165.36959999999999</v>
      </c>
      <c r="N1265" s="111">
        <v>2480.5439999999999</v>
      </c>
      <c r="O1265" s="111"/>
      <c r="P1265" s="111"/>
      <c r="Q1265" s="111"/>
      <c r="R1265" s="111"/>
      <c r="S1265" s="1249">
        <v>5</v>
      </c>
      <c r="T1265" s="1250">
        <v>826.84799999999996</v>
      </c>
      <c r="U1265" s="1250"/>
      <c r="V1265" s="1250"/>
      <c r="W1265" s="1251">
        <v>5</v>
      </c>
      <c r="X1265" s="1250">
        <v>826.84799999999996</v>
      </c>
      <c r="Y1265" s="1250"/>
      <c r="Z1265" s="1250"/>
      <c r="AA1265" s="1250"/>
      <c r="AB1265" s="1250"/>
      <c r="AC1265" s="1250"/>
      <c r="AD1265" s="1250"/>
      <c r="AE1265" s="1249">
        <v>5</v>
      </c>
      <c r="AF1265" s="1250">
        <v>826.84799999999996</v>
      </c>
      <c r="AG1265" s="111"/>
      <c r="AH1265" s="111"/>
      <c r="AI1265" s="111"/>
      <c r="AJ1265" s="111"/>
      <c r="AK1265" s="111"/>
      <c r="AL1265" s="111"/>
      <c r="AM1265" s="111">
        <v>2480.5439999999999</v>
      </c>
    </row>
    <row r="1266" spans="1:39" ht="15" customHeight="1" x14ac:dyDescent="0.25">
      <c r="A1266" s="1409"/>
      <c r="B1266" s="1409"/>
      <c r="C1266" s="1409"/>
      <c r="D1266" s="1409"/>
      <c r="E1266" s="1279"/>
      <c r="F1266" s="1248" t="s">
        <v>5068</v>
      </c>
      <c r="G1266" s="111"/>
      <c r="H1266" s="1249">
        <v>4</v>
      </c>
      <c r="I1266" s="111" t="s">
        <v>1721</v>
      </c>
      <c r="J1266" s="1321" t="s">
        <v>5608</v>
      </c>
      <c r="K1266" s="162" t="s">
        <v>5610</v>
      </c>
      <c r="L1266" s="162" t="s">
        <v>5609</v>
      </c>
      <c r="M1266" s="111">
        <v>400</v>
      </c>
      <c r="N1266" s="111">
        <v>1600</v>
      </c>
      <c r="O1266" s="111"/>
      <c r="P1266" s="111"/>
      <c r="Q1266" s="111"/>
      <c r="R1266" s="111"/>
      <c r="S1266" s="1249">
        <v>2</v>
      </c>
      <c r="T1266" s="1250">
        <v>533.33333333333337</v>
      </c>
      <c r="U1266" s="1250"/>
      <c r="V1266" s="1250"/>
      <c r="W1266" s="1251">
        <v>1</v>
      </c>
      <c r="X1266" s="1250">
        <v>533.33333333333337</v>
      </c>
      <c r="Y1266" s="1250"/>
      <c r="Z1266" s="1250"/>
      <c r="AA1266" s="1250"/>
      <c r="AB1266" s="1250"/>
      <c r="AC1266" s="1250"/>
      <c r="AD1266" s="1250"/>
      <c r="AE1266" s="1249">
        <v>1</v>
      </c>
      <c r="AF1266" s="1250">
        <v>533.33333333333337</v>
      </c>
      <c r="AG1266" s="111"/>
      <c r="AH1266" s="111"/>
      <c r="AI1266" s="111"/>
      <c r="AJ1266" s="111"/>
      <c r="AK1266" s="111"/>
      <c r="AL1266" s="111"/>
      <c r="AM1266" s="111">
        <v>1600</v>
      </c>
    </row>
    <row r="1267" spans="1:39" ht="15" customHeight="1" x14ac:dyDescent="0.25">
      <c r="A1267" s="1409"/>
      <c r="B1267" s="1409"/>
      <c r="C1267" s="1409"/>
      <c r="D1267" s="1409"/>
      <c r="E1267" s="1279"/>
      <c r="F1267" s="1248" t="s">
        <v>5069</v>
      </c>
      <c r="G1267" s="111"/>
      <c r="H1267" s="1249">
        <v>20</v>
      </c>
      <c r="I1267" s="111" t="s">
        <v>1734</v>
      </c>
      <c r="J1267" s="1321" t="s">
        <v>5608</v>
      </c>
      <c r="K1267" s="162" t="s">
        <v>5610</v>
      </c>
      <c r="L1267" s="162" t="s">
        <v>5609</v>
      </c>
      <c r="M1267" s="111">
        <v>35</v>
      </c>
      <c r="N1267" s="111">
        <v>700</v>
      </c>
      <c r="O1267" s="111"/>
      <c r="P1267" s="111"/>
      <c r="Q1267" s="111"/>
      <c r="R1267" s="111"/>
      <c r="S1267" s="1249">
        <v>10</v>
      </c>
      <c r="T1267" s="1250">
        <v>233.33333333333334</v>
      </c>
      <c r="U1267" s="1250"/>
      <c r="V1267" s="1250"/>
      <c r="W1267" s="1251">
        <v>5</v>
      </c>
      <c r="X1267" s="1250">
        <v>233.33333333333334</v>
      </c>
      <c r="Y1267" s="1250"/>
      <c r="Z1267" s="1250"/>
      <c r="AA1267" s="1250"/>
      <c r="AB1267" s="1250"/>
      <c r="AC1267" s="1250"/>
      <c r="AD1267" s="1250"/>
      <c r="AE1267" s="1249">
        <v>5</v>
      </c>
      <c r="AF1267" s="1250">
        <v>233.33333333333334</v>
      </c>
      <c r="AG1267" s="111"/>
      <c r="AH1267" s="111"/>
      <c r="AI1267" s="111"/>
      <c r="AJ1267" s="111"/>
      <c r="AK1267" s="111"/>
      <c r="AL1267" s="111"/>
      <c r="AM1267" s="111">
        <v>700</v>
      </c>
    </row>
    <row r="1268" spans="1:39" ht="15" customHeight="1" x14ac:dyDescent="0.25">
      <c r="A1268" s="1409"/>
      <c r="B1268" s="1409"/>
      <c r="C1268" s="1409"/>
      <c r="D1268" s="1409"/>
      <c r="E1268" s="1279"/>
      <c r="F1268" s="1248" t="s">
        <v>1197</v>
      </c>
      <c r="G1268" s="111"/>
      <c r="H1268" s="1249">
        <v>6</v>
      </c>
      <c r="I1268" s="111" t="s">
        <v>1734</v>
      </c>
      <c r="J1268" s="1321" t="s">
        <v>5608</v>
      </c>
      <c r="K1268" s="162" t="s">
        <v>5610</v>
      </c>
      <c r="L1268" s="162" t="s">
        <v>5609</v>
      </c>
      <c r="M1268" s="111">
        <v>5374.5119999999997</v>
      </c>
      <c r="N1268" s="111">
        <v>32247.072</v>
      </c>
      <c r="O1268" s="111"/>
      <c r="P1268" s="111"/>
      <c r="Q1268" s="111"/>
      <c r="R1268" s="111"/>
      <c r="S1268" s="1249">
        <v>2</v>
      </c>
      <c r="T1268" s="1250">
        <v>10749.023999999999</v>
      </c>
      <c r="U1268" s="1250"/>
      <c r="V1268" s="1250"/>
      <c r="W1268" s="1251">
        <v>2</v>
      </c>
      <c r="X1268" s="1250">
        <v>10749.023999999999</v>
      </c>
      <c r="Y1268" s="1250"/>
      <c r="Z1268" s="1250"/>
      <c r="AA1268" s="1250"/>
      <c r="AB1268" s="1250"/>
      <c r="AC1268" s="1250"/>
      <c r="AD1268" s="1250"/>
      <c r="AE1268" s="1249">
        <v>2</v>
      </c>
      <c r="AF1268" s="1250">
        <v>10749.023999999999</v>
      </c>
      <c r="AG1268" s="111"/>
      <c r="AH1268" s="111"/>
      <c r="AI1268" s="111"/>
      <c r="AJ1268" s="111"/>
      <c r="AK1268" s="111"/>
      <c r="AL1268" s="111"/>
      <c r="AM1268" s="111">
        <v>32247.072</v>
      </c>
    </row>
    <row r="1269" spans="1:39" ht="15" customHeight="1" x14ac:dyDescent="0.25">
      <c r="A1269" s="1409"/>
      <c r="B1269" s="1409"/>
      <c r="C1269" s="1409"/>
      <c r="D1269" s="1409"/>
      <c r="E1269" s="1279"/>
      <c r="F1269" s="1248" t="s">
        <v>1198</v>
      </c>
      <c r="G1269" s="111"/>
      <c r="H1269" s="1249">
        <v>6</v>
      </c>
      <c r="I1269" s="111" t="s">
        <v>1734</v>
      </c>
      <c r="J1269" s="1321" t="s">
        <v>5608</v>
      </c>
      <c r="K1269" s="162" t="s">
        <v>5610</v>
      </c>
      <c r="L1269" s="162" t="s">
        <v>5609</v>
      </c>
      <c r="M1269" s="111">
        <v>3996.4320000000007</v>
      </c>
      <c r="N1269" s="111">
        <v>23978.592000000004</v>
      </c>
      <c r="O1269" s="111"/>
      <c r="P1269" s="111"/>
      <c r="Q1269" s="111"/>
      <c r="R1269" s="111"/>
      <c r="S1269" s="1249">
        <v>2</v>
      </c>
      <c r="T1269" s="1250">
        <v>7992.8640000000014</v>
      </c>
      <c r="U1269" s="1250"/>
      <c r="V1269" s="1250"/>
      <c r="W1269" s="1251">
        <v>2</v>
      </c>
      <c r="X1269" s="1250">
        <v>7992.8640000000014</v>
      </c>
      <c r="Y1269" s="1250"/>
      <c r="Z1269" s="1250"/>
      <c r="AA1269" s="1250"/>
      <c r="AB1269" s="1250"/>
      <c r="AC1269" s="1250"/>
      <c r="AD1269" s="1250"/>
      <c r="AE1269" s="1249">
        <v>2</v>
      </c>
      <c r="AF1269" s="1250">
        <v>7992.8640000000014</v>
      </c>
      <c r="AG1269" s="111"/>
      <c r="AH1269" s="111"/>
      <c r="AI1269" s="111"/>
      <c r="AJ1269" s="111"/>
      <c r="AK1269" s="111"/>
      <c r="AL1269" s="111"/>
      <c r="AM1269" s="111">
        <v>23978.592000000004</v>
      </c>
    </row>
    <row r="1270" spans="1:39" ht="15" customHeight="1" x14ac:dyDescent="0.25">
      <c r="A1270" s="1409"/>
      <c r="B1270" s="1409"/>
      <c r="C1270" s="1409"/>
      <c r="D1270" s="1409"/>
      <c r="E1270" s="1280"/>
      <c r="F1270" s="1248" t="s">
        <v>576</v>
      </c>
      <c r="G1270" s="111"/>
      <c r="H1270" s="1249">
        <v>12</v>
      </c>
      <c r="I1270" s="111" t="s">
        <v>1721</v>
      </c>
      <c r="J1270" s="1321" t="s">
        <v>5608</v>
      </c>
      <c r="K1270" s="162" t="s">
        <v>5610</v>
      </c>
      <c r="L1270" s="162" t="s">
        <v>5609</v>
      </c>
      <c r="M1270" s="111">
        <v>268.72560000000004</v>
      </c>
      <c r="N1270" s="111">
        <v>3224.7072000000007</v>
      </c>
      <c r="O1270" s="111"/>
      <c r="P1270" s="111"/>
      <c r="Q1270" s="111"/>
      <c r="R1270" s="111"/>
      <c r="S1270" s="1249">
        <v>5</v>
      </c>
      <c r="T1270" s="1250">
        <v>1074.9024000000002</v>
      </c>
      <c r="U1270" s="1250"/>
      <c r="V1270" s="1250"/>
      <c r="W1270" s="1251">
        <v>5</v>
      </c>
      <c r="X1270" s="1250">
        <v>1074.9024000000002</v>
      </c>
      <c r="Y1270" s="1250"/>
      <c r="Z1270" s="1250"/>
      <c r="AA1270" s="1250"/>
      <c r="AB1270" s="1250"/>
      <c r="AC1270" s="1250"/>
      <c r="AD1270" s="1250"/>
      <c r="AE1270" s="1249">
        <v>2</v>
      </c>
      <c r="AF1270" s="1250">
        <v>1074.9024000000002</v>
      </c>
      <c r="AG1270" s="111"/>
      <c r="AH1270" s="111"/>
      <c r="AI1270" s="111"/>
      <c r="AJ1270" s="111"/>
      <c r="AK1270" s="111"/>
      <c r="AL1270" s="111"/>
      <c r="AM1270" s="111">
        <v>3224.7072000000007</v>
      </c>
    </row>
    <row r="1271" spans="1:39" ht="15" customHeight="1" x14ac:dyDescent="0.25">
      <c r="A1271" s="1409"/>
      <c r="B1271" s="1409"/>
      <c r="C1271" s="1409"/>
      <c r="D1271" s="1409"/>
      <c r="E1271" s="1280"/>
      <c r="F1271" s="1248" t="s">
        <v>1200</v>
      </c>
      <c r="G1271" s="111"/>
      <c r="H1271" s="1249">
        <v>1</v>
      </c>
      <c r="I1271" s="111" t="s">
        <v>1734</v>
      </c>
      <c r="J1271" s="1321" t="s">
        <v>5608</v>
      </c>
      <c r="K1271" s="162" t="s">
        <v>5610</v>
      </c>
      <c r="L1271" s="162" t="s">
        <v>5609</v>
      </c>
      <c r="M1271" s="111">
        <v>3100.68</v>
      </c>
      <c r="N1271" s="111">
        <v>3100.68</v>
      </c>
      <c r="O1271" s="111"/>
      <c r="P1271" s="111"/>
      <c r="Q1271" s="111"/>
      <c r="R1271" s="111"/>
      <c r="S1271" s="1249">
        <v>1</v>
      </c>
      <c r="T1271" s="1250">
        <v>1033.56</v>
      </c>
      <c r="U1271" s="1250"/>
      <c r="V1271" s="1250"/>
      <c r="W1271" s="1251">
        <v>0</v>
      </c>
      <c r="X1271" s="1250">
        <v>1033.56</v>
      </c>
      <c r="Y1271" s="1250"/>
      <c r="Z1271" s="1250"/>
      <c r="AA1271" s="1250"/>
      <c r="AB1271" s="1250"/>
      <c r="AC1271" s="1250"/>
      <c r="AD1271" s="1250"/>
      <c r="AE1271" s="1249">
        <v>0</v>
      </c>
      <c r="AF1271" s="1250">
        <v>1033.56</v>
      </c>
      <c r="AG1271" s="111"/>
      <c r="AH1271" s="111"/>
      <c r="AI1271" s="111"/>
      <c r="AJ1271" s="111"/>
      <c r="AK1271" s="111"/>
      <c r="AL1271" s="111"/>
      <c r="AM1271" s="111">
        <v>3100.68</v>
      </c>
    </row>
    <row r="1272" spans="1:39" ht="15" customHeight="1" x14ac:dyDescent="0.25">
      <c r="A1272" s="1409"/>
      <c r="B1272" s="1409"/>
      <c r="C1272" s="1409"/>
      <c r="D1272" s="1409"/>
      <c r="E1272" s="1280"/>
      <c r="F1272" s="1248" t="s">
        <v>2966</v>
      </c>
      <c r="G1272" s="111"/>
      <c r="H1272" s="1249">
        <v>3</v>
      </c>
      <c r="I1272" s="111" t="s">
        <v>1721</v>
      </c>
      <c r="J1272" s="1321" t="s">
        <v>5608</v>
      </c>
      <c r="K1272" s="162" t="s">
        <v>5610</v>
      </c>
      <c r="L1272" s="162" t="s">
        <v>5609</v>
      </c>
      <c r="M1272" s="111">
        <v>751.68</v>
      </c>
      <c r="N1272" s="111">
        <v>2255.04</v>
      </c>
      <c r="O1272" s="111"/>
      <c r="P1272" s="111"/>
      <c r="Q1272" s="111"/>
      <c r="R1272" s="111"/>
      <c r="S1272" s="1249">
        <v>1</v>
      </c>
      <c r="T1272" s="1250">
        <v>751.68</v>
      </c>
      <c r="U1272" s="1250"/>
      <c r="V1272" s="1250"/>
      <c r="W1272" s="1251">
        <v>1</v>
      </c>
      <c r="X1272" s="1250">
        <v>751.68</v>
      </c>
      <c r="Y1272" s="1250"/>
      <c r="Z1272" s="1250"/>
      <c r="AA1272" s="1250"/>
      <c r="AB1272" s="1250"/>
      <c r="AC1272" s="1250"/>
      <c r="AD1272" s="1250"/>
      <c r="AE1272" s="1249">
        <v>1</v>
      </c>
      <c r="AF1272" s="1250">
        <v>751.68</v>
      </c>
      <c r="AG1272" s="111"/>
      <c r="AH1272" s="111"/>
      <c r="AI1272" s="111"/>
      <c r="AJ1272" s="111"/>
      <c r="AK1272" s="111"/>
      <c r="AL1272" s="111"/>
      <c r="AM1272" s="111">
        <v>2255.04</v>
      </c>
    </row>
    <row r="1273" spans="1:39" ht="15" customHeight="1" x14ac:dyDescent="0.25">
      <c r="A1273" s="1409"/>
      <c r="B1273" s="1409"/>
      <c r="C1273" s="1409"/>
      <c r="D1273" s="1409"/>
      <c r="E1273" s="1280"/>
      <c r="F1273" s="1248" t="s">
        <v>1201</v>
      </c>
      <c r="G1273" s="111"/>
      <c r="H1273" s="1249">
        <v>4</v>
      </c>
      <c r="I1273" s="111" t="s">
        <v>1734</v>
      </c>
      <c r="J1273" s="1321" t="s">
        <v>5608</v>
      </c>
      <c r="K1273" s="162" t="s">
        <v>5610</v>
      </c>
      <c r="L1273" s="162" t="s">
        <v>5609</v>
      </c>
      <c r="M1273" s="111">
        <v>1773.3039480000002</v>
      </c>
      <c r="N1273" s="111">
        <v>7093.2157920000009</v>
      </c>
      <c r="O1273" s="111"/>
      <c r="P1273" s="111"/>
      <c r="Q1273" s="111"/>
      <c r="R1273" s="111"/>
      <c r="S1273" s="1249">
        <v>2</v>
      </c>
      <c r="T1273" s="1250">
        <v>2364.4052640000004</v>
      </c>
      <c r="U1273" s="1250"/>
      <c r="V1273" s="1250"/>
      <c r="W1273" s="1251">
        <v>1</v>
      </c>
      <c r="X1273" s="1250">
        <v>2364.4052640000004</v>
      </c>
      <c r="Y1273" s="1250"/>
      <c r="Z1273" s="1250"/>
      <c r="AA1273" s="1250"/>
      <c r="AB1273" s="1250"/>
      <c r="AC1273" s="1250"/>
      <c r="AD1273" s="1250"/>
      <c r="AE1273" s="1249">
        <v>1</v>
      </c>
      <c r="AF1273" s="1250">
        <v>2364.4052640000004</v>
      </c>
      <c r="AG1273" s="111"/>
      <c r="AH1273" s="111"/>
      <c r="AI1273" s="111"/>
      <c r="AJ1273" s="111"/>
      <c r="AK1273" s="111"/>
      <c r="AL1273" s="111"/>
      <c r="AM1273" s="111">
        <v>7093.2157920000009</v>
      </c>
    </row>
    <row r="1274" spans="1:39" ht="15" customHeight="1" x14ac:dyDescent="0.25">
      <c r="A1274" s="1409"/>
      <c r="B1274" s="1409"/>
      <c r="C1274" s="1409"/>
      <c r="D1274" s="1409"/>
      <c r="E1274" s="1280"/>
      <c r="F1274" s="1248" t="s">
        <v>1210</v>
      </c>
      <c r="G1274" s="111"/>
      <c r="H1274" s="1249">
        <v>2</v>
      </c>
      <c r="I1274" s="111" t="s">
        <v>1721</v>
      </c>
      <c r="J1274" s="1321" t="s">
        <v>5608</v>
      </c>
      <c r="K1274" s="162" t="s">
        <v>5610</v>
      </c>
      <c r="L1274" s="162" t="s">
        <v>5609</v>
      </c>
      <c r="M1274" s="111">
        <v>20.671199999999999</v>
      </c>
      <c r="N1274" s="111">
        <v>41.342399999999998</v>
      </c>
      <c r="O1274" s="111"/>
      <c r="P1274" s="111"/>
      <c r="Q1274" s="111"/>
      <c r="R1274" s="111"/>
      <c r="S1274" s="1249">
        <v>2</v>
      </c>
      <c r="T1274" s="1250">
        <v>13.780799999999999</v>
      </c>
      <c r="U1274" s="1250"/>
      <c r="V1274" s="1250"/>
      <c r="W1274" s="1251">
        <v>0</v>
      </c>
      <c r="X1274" s="1250">
        <v>13.780799999999999</v>
      </c>
      <c r="Y1274" s="1250"/>
      <c r="Z1274" s="1250"/>
      <c r="AA1274" s="1250"/>
      <c r="AB1274" s="1250"/>
      <c r="AC1274" s="1250"/>
      <c r="AD1274" s="1250"/>
      <c r="AE1274" s="1249">
        <v>0</v>
      </c>
      <c r="AF1274" s="1250">
        <v>13.780799999999999</v>
      </c>
      <c r="AG1274" s="111"/>
      <c r="AH1274" s="111"/>
      <c r="AI1274" s="111"/>
      <c r="AJ1274" s="111"/>
      <c r="AK1274" s="111"/>
      <c r="AL1274" s="111"/>
      <c r="AM1274" s="111">
        <v>41.342399999999998</v>
      </c>
    </row>
    <row r="1275" spans="1:39" ht="15" customHeight="1" x14ac:dyDescent="0.25">
      <c r="A1275" s="1409"/>
      <c r="B1275" s="1409"/>
      <c r="C1275" s="1409"/>
      <c r="D1275" s="1409"/>
      <c r="E1275" s="1280"/>
      <c r="F1275" s="1248" t="s">
        <v>2969</v>
      </c>
      <c r="G1275" s="111"/>
      <c r="H1275" s="1249">
        <v>1</v>
      </c>
      <c r="I1275" s="111" t="s">
        <v>1721</v>
      </c>
      <c r="J1275" s="1321" t="s">
        <v>5608</v>
      </c>
      <c r="K1275" s="162" t="s">
        <v>5610</v>
      </c>
      <c r="L1275" s="162" t="s">
        <v>5609</v>
      </c>
      <c r="M1275" s="111">
        <v>17.82</v>
      </c>
      <c r="N1275" s="111">
        <v>17.82</v>
      </c>
      <c r="O1275" s="111"/>
      <c r="P1275" s="111"/>
      <c r="Q1275" s="111"/>
      <c r="R1275" s="111"/>
      <c r="S1275" s="1249">
        <v>1</v>
      </c>
      <c r="T1275" s="1250">
        <v>5.94</v>
      </c>
      <c r="U1275" s="1250"/>
      <c r="V1275" s="1250"/>
      <c r="W1275" s="1251">
        <v>0</v>
      </c>
      <c r="X1275" s="1250">
        <v>5.94</v>
      </c>
      <c r="Y1275" s="1250"/>
      <c r="Z1275" s="1250"/>
      <c r="AA1275" s="1250"/>
      <c r="AB1275" s="1250"/>
      <c r="AC1275" s="1250"/>
      <c r="AD1275" s="1250"/>
      <c r="AE1275" s="1249">
        <v>0</v>
      </c>
      <c r="AF1275" s="1250">
        <v>5.94</v>
      </c>
      <c r="AG1275" s="111"/>
      <c r="AH1275" s="111"/>
      <c r="AI1275" s="111"/>
      <c r="AJ1275" s="111"/>
      <c r="AK1275" s="111"/>
      <c r="AL1275" s="111"/>
      <c r="AM1275" s="111">
        <v>17.82</v>
      </c>
    </row>
    <row r="1276" spans="1:39" ht="15" customHeight="1" x14ac:dyDescent="0.25">
      <c r="A1276" s="1409"/>
      <c r="B1276" s="1409"/>
      <c r="C1276" s="1409"/>
      <c r="D1276" s="1409"/>
      <c r="E1276" s="1280"/>
      <c r="F1276" s="1248" t="s">
        <v>2971</v>
      </c>
      <c r="G1276" s="111"/>
      <c r="H1276" s="1249">
        <v>1</v>
      </c>
      <c r="I1276" s="111" t="s">
        <v>1721</v>
      </c>
      <c r="J1276" s="1321" t="s">
        <v>5608</v>
      </c>
      <c r="K1276" s="162" t="s">
        <v>5610</v>
      </c>
      <c r="L1276" s="162" t="s">
        <v>5609</v>
      </c>
      <c r="M1276" s="111">
        <v>85.315679999999986</v>
      </c>
      <c r="N1276" s="111">
        <v>85.315679999999986</v>
      </c>
      <c r="O1276" s="111"/>
      <c r="P1276" s="111"/>
      <c r="Q1276" s="111"/>
      <c r="R1276" s="111"/>
      <c r="S1276" s="1249">
        <v>1</v>
      </c>
      <c r="T1276" s="1250">
        <v>28.438559999999995</v>
      </c>
      <c r="U1276" s="1250"/>
      <c r="V1276" s="1250"/>
      <c r="W1276" s="1251">
        <v>0</v>
      </c>
      <c r="X1276" s="1250">
        <v>28.438559999999995</v>
      </c>
      <c r="Y1276" s="1250"/>
      <c r="Z1276" s="1250"/>
      <c r="AA1276" s="1250"/>
      <c r="AB1276" s="1250"/>
      <c r="AC1276" s="1250"/>
      <c r="AD1276" s="1250"/>
      <c r="AE1276" s="1249">
        <v>0</v>
      </c>
      <c r="AF1276" s="1250">
        <v>28.438559999999995</v>
      </c>
      <c r="AG1276" s="111"/>
      <c r="AH1276" s="111"/>
      <c r="AI1276" s="111"/>
      <c r="AJ1276" s="111"/>
      <c r="AK1276" s="111"/>
      <c r="AL1276" s="111"/>
      <c r="AM1276" s="111">
        <v>85.315679999999986</v>
      </c>
    </row>
    <row r="1277" spans="1:39" ht="15" customHeight="1" x14ac:dyDescent="0.25">
      <c r="A1277" s="1409"/>
      <c r="B1277" s="1409"/>
      <c r="C1277" s="1409"/>
      <c r="D1277" s="1409"/>
      <c r="E1277" s="1280"/>
      <c r="F1277" s="1248" t="s">
        <v>2968</v>
      </c>
      <c r="G1277" s="111"/>
      <c r="H1277" s="1249">
        <v>1</v>
      </c>
      <c r="I1277" s="111" t="s">
        <v>1721</v>
      </c>
      <c r="J1277" s="1321" t="s">
        <v>5608</v>
      </c>
      <c r="K1277" s="162" t="s">
        <v>5610</v>
      </c>
      <c r="L1277" s="162" t="s">
        <v>5609</v>
      </c>
      <c r="M1277" s="111">
        <v>112.86</v>
      </c>
      <c r="N1277" s="111">
        <v>112.86</v>
      </c>
      <c r="O1277" s="111"/>
      <c r="P1277" s="111"/>
      <c r="Q1277" s="111"/>
      <c r="R1277" s="111"/>
      <c r="S1277" s="1249">
        <v>1</v>
      </c>
      <c r="T1277" s="1250">
        <v>37.619999999999997</v>
      </c>
      <c r="U1277" s="1250"/>
      <c r="V1277" s="1250"/>
      <c r="W1277" s="1251">
        <v>0</v>
      </c>
      <c r="X1277" s="1250">
        <v>37.619999999999997</v>
      </c>
      <c r="Y1277" s="1250"/>
      <c r="Z1277" s="1250"/>
      <c r="AA1277" s="1250"/>
      <c r="AB1277" s="1250"/>
      <c r="AC1277" s="1250"/>
      <c r="AD1277" s="1250"/>
      <c r="AE1277" s="1249">
        <v>0</v>
      </c>
      <c r="AF1277" s="1250">
        <v>37.619999999999997</v>
      </c>
      <c r="AG1277" s="111"/>
      <c r="AH1277" s="111"/>
      <c r="AI1277" s="111"/>
      <c r="AJ1277" s="111"/>
      <c r="AK1277" s="111"/>
      <c r="AL1277" s="111"/>
      <c r="AM1277" s="111">
        <v>112.86</v>
      </c>
    </row>
    <row r="1278" spans="1:39" ht="15" customHeight="1" x14ac:dyDescent="0.25">
      <c r="A1278" s="1409"/>
      <c r="B1278" s="1409"/>
      <c r="C1278" s="1409"/>
      <c r="D1278" s="1409"/>
      <c r="E1278" s="1280"/>
      <c r="F1278" s="1248" t="s">
        <v>578</v>
      </c>
      <c r="G1278" s="111"/>
      <c r="H1278" s="1249">
        <v>6</v>
      </c>
      <c r="I1278" s="111" t="s">
        <v>1721</v>
      </c>
      <c r="J1278" s="1321" t="s">
        <v>5608</v>
      </c>
      <c r="K1278" s="162" t="s">
        <v>5610</v>
      </c>
      <c r="L1278" s="162" t="s">
        <v>5609</v>
      </c>
      <c r="M1278" s="111">
        <v>130.91760000000002</v>
      </c>
      <c r="N1278" s="111">
        <v>785.50560000000019</v>
      </c>
      <c r="O1278" s="111"/>
      <c r="P1278" s="111"/>
      <c r="Q1278" s="111"/>
      <c r="R1278" s="111"/>
      <c r="S1278" s="1249">
        <v>2</v>
      </c>
      <c r="T1278" s="1250">
        <v>261.83520000000004</v>
      </c>
      <c r="U1278" s="1250"/>
      <c r="V1278" s="1250"/>
      <c r="W1278" s="1251">
        <v>2</v>
      </c>
      <c r="X1278" s="1250">
        <v>261.83520000000004</v>
      </c>
      <c r="Y1278" s="1250"/>
      <c r="Z1278" s="1250"/>
      <c r="AA1278" s="1250"/>
      <c r="AB1278" s="1250"/>
      <c r="AC1278" s="1250"/>
      <c r="AD1278" s="1250"/>
      <c r="AE1278" s="1249">
        <v>2</v>
      </c>
      <c r="AF1278" s="1250">
        <v>261.83520000000004</v>
      </c>
      <c r="AG1278" s="111"/>
      <c r="AH1278" s="111"/>
      <c r="AI1278" s="111"/>
      <c r="AJ1278" s="111"/>
      <c r="AK1278" s="111"/>
      <c r="AL1278" s="111"/>
      <c r="AM1278" s="111">
        <v>785.50560000000019</v>
      </c>
    </row>
    <row r="1279" spans="1:39" ht="15" customHeight="1" x14ac:dyDescent="0.25">
      <c r="A1279" s="1409"/>
      <c r="B1279" s="1409"/>
      <c r="C1279" s="1409"/>
      <c r="D1279" s="1409"/>
      <c r="E1279" s="1280"/>
      <c r="F1279" s="1248" t="s">
        <v>1203</v>
      </c>
      <c r="G1279" s="111"/>
      <c r="H1279" s="1249">
        <v>8</v>
      </c>
      <c r="I1279" s="111" t="s">
        <v>1721</v>
      </c>
      <c r="J1279" s="1321" t="s">
        <v>5608</v>
      </c>
      <c r="K1279" s="162" t="s">
        <v>5610</v>
      </c>
      <c r="L1279" s="162" t="s">
        <v>5609</v>
      </c>
      <c r="M1279" s="111">
        <v>661.47839999999997</v>
      </c>
      <c r="N1279" s="111">
        <v>5291.8271999999997</v>
      </c>
      <c r="O1279" s="111"/>
      <c r="P1279" s="111"/>
      <c r="Q1279" s="111"/>
      <c r="R1279" s="111"/>
      <c r="S1279" s="1249">
        <v>4</v>
      </c>
      <c r="T1279" s="1250">
        <v>1763.9423999999999</v>
      </c>
      <c r="U1279" s="1250"/>
      <c r="V1279" s="1250"/>
      <c r="W1279" s="1251">
        <v>2</v>
      </c>
      <c r="X1279" s="1250">
        <v>1763.9423999999999</v>
      </c>
      <c r="Y1279" s="1250"/>
      <c r="Z1279" s="1250"/>
      <c r="AA1279" s="1250"/>
      <c r="AB1279" s="1250"/>
      <c r="AC1279" s="1250"/>
      <c r="AD1279" s="1250"/>
      <c r="AE1279" s="1249">
        <v>2</v>
      </c>
      <c r="AF1279" s="1250">
        <v>1763.9423999999999</v>
      </c>
      <c r="AG1279" s="111"/>
      <c r="AH1279" s="111"/>
      <c r="AI1279" s="111"/>
      <c r="AJ1279" s="111"/>
      <c r="AK1279" s="111"/>
      <c r="AL1279" s="111"/>
      <c r="AM1279" s="111">
        <v>5291.8271999999997</v>
      </c>
    </row>
    <row r="1280" spans="1:39" ht="15" customHeight="1" x14ac:dyDescent="0.25">
      <c r="A1280" s="1409"/>
      <c r="B1280" s="1409"/>
      <c r="C1280" s="1409"/>
      <c r="D1280" s="1409"/>
      <c r="E1280" s="1280"/>
      <c r="F1280" s="1248" t="s">
        <v>5070</v>
      </c>
      <c r="G1280" s="111"/>
      <c r="H1280" s="1249">
        <v>50</v>
      </c>
      <c r="I1280" s="111" t="s">
        <v>1721</v>
      </c>
      <c r="J1280" s="1321" t="s">
        <v>5608</v>
      </c>
      <c r="K1280" s="162" t="s">
        <v>5610</v>
      </c>
      <c r="L1280" s="162" t="s">
        <v>5609</v>
      </c>
      <c r="M1280" s="111">
        <v>130.91999999999999</v>
      </c>
      <c r="N1280" s="111">
        <v>6545.9999999999991</v>
      </c>
      <c r="O1280" s="111"/>
      <c r="P1280" s="111"/>
      <c r="Q1280" s="111"/>
      <c r="R1280" s="111"/>
      <c r="S1280" s="1249">
        <v>20</v>
      </c>
      <c r="T1280" s="1250">
        <v>2181.9999999999995</v>
      </c>
      <c r="U1280" s="1250"/>
      <c r="V1280" s="1250"/>
      <c r="W1280" s="1251">
        <v>20</v>
      </c>
      <c r="X1280" s="1250">
        <v>2181.9999999999995</v>
      </c>
      <c r="Y1280" s="1250"/>
      <c r="Z1280" s="1250"/>
      <c r="AA1280" s="1250"/>
      <c r="AB1280" s="1250"/>
      <c r="AC1280" s="1250"/>
      <c r="AD1280" s="1250"/>
      <c r="AE1280" s="1249">
        <v>10</v>
      </c>
      <c r="AF1280" s="1250">
        <v>2181.9999999999995</v>
      </c>
      <c r="AG1280" s="111"/>
      <c r="AH1280" s="111"/>
      <c r="AI1280" s="111"/>
      <c r="AJ1280" s="111"/>
      <c r="AK1280" s="111"/>
      <c r="AL1280" s="111"/>
      <c r="AM1280" s="111">
        <v>6545.9999999999991</v>
      </c>
    </row>
    <row r="1281" spans="1:39" ht="15" customHeight="1" x14ac:dyDescent="0.25">
      <c r="A1281" s="1409"/>
      <c r="B1281" s="1409"/>
      <c r="C1281" s="1409"/>
      <c r="D1281" s="1409"/>
      <c r="E1281" s="1280"/>
      <c r="F1281" s="1248" t="s">
        <v>2973</v>
      </c>
      <c r="G1281" s="111"/>
      <c r="H1281" s="1249">
        <v>1</v>
      </c>
      <c r="I1281" s="111" t="s">
        <v>1721</v>
      </c>
      <c r="J1281" s="1321" t="s">
        <v>5608</v>
      </c>
      <c r="K1281" s="162" t="s">
        <v>5610</v>
      </c>
      <c r="L1281" s="162" t="s">
        <v>5609</v>
      </c>
      <c r="M1281" s="111">
        <v>1050</v>
      </c>
      <c r="N1281" s="111">
        <v>1050</v>
      </c>
      <c r="O1281" s="111"/>
      <c r="P1281" s="111"/>
      <c r="Q1281" s="111"/>
      <c r="R1281" s="111"/>
      <c r="S1281" s="1249">
        <v>1</v>
      </c>
      <c r="T1281" s="1250">
        <v>350</v>
      </c>
      <c r="U1281" s="1250"/>
      <c r="V1281" s="1250"/>
      <c r="W1281" s="1251">
        <v>0</v>
      </c>
      <c r="X1281" s="1250">
        <v>350</v>
      </c>
      <c r="Y1281" s="1250"/>
      <c r="Z1281" s="1250"/>
      <c r="AA1281" s="1250"/>
      <c r="AB1281" s="1250"/>
      <c r="AC1281" s="1250"/>
      <c r="AD1281" s="1250"/>
      <c r="AE1281" s="1249">
        <v>0</v>
      </c>
      <c r="AF1281" s="1250">
        <v>350</v>
      </c>
      <c r="AG1281" s="111"/>
      <c r="AH1281" s="111"/>
      <c r="AI1281" s="111"/>
      <c r="AJ1281" s="111"/>
      <c r="AK1281" s="111"/>
      <c r="AL1281" s="111"/>
      <c r="AM1281" s="111">
        <v>1050</v>
      </c>
    </row>
    <row r="1282" spans="1:39" ht="15" customHeight="1" x14ac:dyDescent="0.25">
      <c r="A1282" s="1409"/>
      <c r="B1282" s="1409"/>
      <c r="C1282" s="1409"/>
      <c r="D1282" s="1409"/>
      <c r="E1282" s="1280"/>
      <c r="F1282" s="1248" t="s">
        <v>2965</v>
      </c>
      <c r="G1282" s="111"/>
      <c r="H1282" s="1249">
        <v>1</v>
      </c>
      <c r="I1282" s="111" t="s">
        <v>1721</v>
      </c>
      <c r="J1282" s="1321" t="s">
        <v>5608</v>
      </c>
      <c r="K1282" s="162" t="s">
        <v>5610</v>
      </c>
      <c r="L1282" s="162" t="s">
        <v>5609</v>
      </c>
      <c r="M1282" s="111">
        <v>972.00000000000011</v>
      </c>
      <c r="N1282" s="111">
        <v>972.00000000000011</v>
      </c>
      <c r="O1282" s="111"/>
      <c r="P1282" s="111"/>
      <c r="Q1282" s="111"/>
      <c r="R1282" s="111"/>
      <c r="S1282" s="1249">
        <v>1</v>
      </c>
      <c r="T1282" s="1250">
        <v>324.00000000000006</v>
      </c>
      <c r="U1282" s="1250"/>
      <c r="V1282" s="1250"/>
      <c r="W1282" s="1251">
        <v>0</v>
      </c>
      <c r="X1282" s="1250">
        <v>324.00000000000006</v>
      </c>
      <c r="Y1282" s="1250"/>
      <c r="Z1282" s="1250"/>
      <c r="AA1282" s="1250"/>
      <c r="AB1282" s="1250"/>
      <c r="AC1282" s="1250"/>
      <c r="AD1282" s="1250"/>
      <c r="AE1282" s="1249">
        <v>0</v>
      </c>
      <c r="AF1282" s="1250">
        <v>324.00000000000006</v>
      </c>
      <c r="AG1282" s="111"/>
      <c r="AH1282" s="111"/>
      <c r="AI1282" s="111"/>
      <c r="AJ1282" s="111"/>
      <c r="AK1282" s="111"/>
      <c r="AL1282" s="111"/>
      <c r="AM1282" s="111">
        <v>972.00000000000011</v>
      </c>
    </row>
    <row r="1283" spans="1:39" ht="15" customHeight="1" x14ac:dyDescent="0.25">
      <c r="A1283" s="1409"/>
      <c r="B1283" s="1409"/>
      <c r="C1283" s="1409"/>
      <c r="D1283" s="1409"/>
      <c r="E1283" s="1279"/>
      <c r="F1283" s="1248" t="s">
        <v>2967</v>
      </c>
      <c r="G1283" s="111"/>
      <c r="H1283" s="1249">
        <v>1</v>
      </c>
      <c r="I1283" s="111" t="s">
        <v>1721</v>
      </c>
      <c r="J1283" s="1321" t="s">
        <v>5608</v>
      </c>
      <c r="K1283" s="162" t="s">
        <v>5610</v>
      </c>
      <c r="L1283" s="162" t="s">
        <v>5609</v>
      </c>
      <c r="M1283" s="111">
        <v>205.19611199999997</v>
      </c>
      <c r="N1283" s="111">
        <v>205.19611199999997</v>
      </c>
      <c r="O1283" s="111"/>
      <c r="P1283" s="111"/>
      <c r="Q1283" s="111"/>
      <c r="R1283" s="111"/>
      <c r="S1283" s="1249">
        <v>1</v>
      </c>
      <c r="T1283" s="1250">
        <v>68.398703999999995</v>
      </c>
      <c r="U1283" s="1250"/>
      <c r="V1283" s="1250"/>
      <c r="W1283" s="1251">
        <v>0</v>
      </c>
      <c r="X1283" s="1250">
        <v>68.398703999999995</v>
      </c>
      <c r="Y1283" s="1250"/>
      <c r="Z1283" s="1250"/>
      <c r="AA1283" s="1250"/>
      <c r="AB1283" s="1250"/>
      <c r="AC1283" s="1250"/>
      <c r="AD1283" s="1250"/>
      <c r="AE1283" s="1249">
        <v>0</v>
      </c>
      <c r="AF1283" s="1250">
        <v>68.398703999999995</v>
      </c>
      <c r="AG1283" s="111"/>
      <c r="AH1283" s="111"/>
      <c r="AI1283" s="111"/>
      <c r="AJ1283" s="111"/>
      <c r="AK1283" s="111"/>
      <c r="AL1283" s="111"/>
      <c r="AM1283" s="111">
        <v>205.19611199999997</v>
      </c>
    </row>
    <row r="1284" spans="1:39" ht="15" customHeight="1" x14ac:dyDescent="0.25">
      <c r="A1284" s="1409"/>
      <c r="B1284" s="1409"/>
      <c r="C1284" s="1409"/>
      <c r="D1284" s="1409"/>
      <c r="E1284" s="1279"/>
      <c r="F1284" s="1248" t="s">
        <v>2974</v>
      </c>
      <c r="G1284" s="111"/>
      <c r="H1284" s="1249">
        <v>1</v>
      </c>
      <c r="I1284" s="111" t="s">
        <v>1721</v>
      </c>
      <c r="J1284" s="1321" t="s">
        <v>5608</v>
      </c>
      <c r="K1284" s="162" t="s">
        <v>5610</v>
      </c>
      <c r="L1284" s="162" t="s">
        <v>5609</v>
      </c>
      <c r="M1284" s="111">
        <v>212.976</v>
      </c>
      <c r="N1284" s="111">
        <v>212.976</v>
      </c>
      <c r="O1284" s="111"/>
      <c r="P1284" s="111"/>
      <c r="Q1284" s="111"/>
      <c r="R1284" s="111"/>
      <c r="S1284" s="1249">
        <v>1</v>
      </c>
      <c r="T1284" s="1250">
        <v>70.992000000000004</v>
      </c>
      <c r="U1284" s="1250"/>
      <c r="V1284" s="1250"/>
      <c r="W1284" s="1251">
        <v>0</v>
      </c>
      <c r="X1284" s="1250">
        <v>70.992000000000004</v>
      </c>
      <c r="Y1284" s="1250"/>
      <c r="Z1284" s="1250"/>
      <c r="AA1284" s="1250"/>
      <c r="AB1284" s="1250"/>
      <c r="AC1284" s="1250"/>
      <c r="AD1284" s="1250"/>
      <c r="AE1284" s="1249">
        <v>0</v>
      </c>
      <c r="AF1284" s="1250">
        <v>70.992000000000004</v>
      </c>
      <c r="AG1284" s="111"/>
      <c r="AH1284" s="111"/>
      <c r="AI1284" s="111"/>
      <c r="AJ1284" s="111"/>
      <c r="AK1284" s="111"/>
      <c r="AL1284" s="111"/>
      <c r="AM1284" s="111">
        <v>212.976</v>
      </c>
    </row>
    <row r="1285" spans="1:39" ht="15" customHeight="1" x14ac:dyDescent="0.25">
      <c r="A1285" s="1409"/>
      <c r="B1285" s="1409"/>
      <c r="C1285" s="1409"/>
      <c r="D1285" s="1409"/>
      <c r="E1285" s="1279"/>
      <c r="F1285" s="1248" t="s">
        <v>1204</v>
      </c>
      <c r="G1285" s="111"/>
      <c r="H1285" s="1249">
        <v>15</v>
      </c>
      <c r="I1285" s="111" t="s">
        <v>1721</v>
      </c>
      <c r="J1285" s="1321" t="s">
        <v>5608</v>
      </c>
      <c r="K1285" s="162" t="s">
        <v>5610</v>
      </c>
      <c r="L1285" s="162" t="s">
        <v>5609</v>
      </c>
      <c r="M1285" s="111">
        <v>248.05440000000004</v>
      </c>
      <c r="N1285" s="111">
        <v>3720.8160000000007</v>
      </c>
      <c r="O1285" s="111"/>
      <c r="P1285" s="111"/>
      <c r="Q1285" s="111"/>
      <c r="R1285" s="111"/>
      <c r="S1285" s="1249">
        <v>5</v>
      </c>
      <c r="T1285" s="1250">
        <v>1240.2720000000002</v>
      </c>
      <c r="U1285" s="1250"/>
      <c r="V1285" s="1250"/>
      <c r="W1285" s="1251">
        <v>5</v>
      </c>
      <c r="X1285" s="1250">
        <v>1240.2720000000002</v>
      </c>
      <c r="Y1285" s="1250"/>
      <c r="Z1285" s="1250"/>
      <c r="AA1285" s="1250"/>
      <c r="AB1285" s="1250"/>
      <c r="AC1285" s="1250"/>
      <c r="AD1285" s="1250"/>
      <c r="AE1285" s="1249">
        <v>5</v>
      </c>
      <c r="AF1285" s="1250">
        <v>1240.2720000000002</v>
      </c>
      <c r="AG1285" s="111"/>
      <c r="AH1285" s="111"/>
      <c r="AI1285" s="111"/>
      <c r="AJ1285" s="111"/>
      <c r="AK1285" s="111"/>
      <c r="AL1285" s="111"/>
      <c r="AM1285" s="111">
        <v>3720.8160000000007</v>
      </c>
    </row>
    <row r="1286" spans="1:39" ht="15" customHeight="1" x14ac:dyDescent="0.25">
      <c r="A1286" s="1409"/>
      <c r="B1286" s="1409"/>
      <c r="C1286" s="1409"/>
      <c r="D1286" s="1409"/>
      <c r="E1286" s="1279"/>
      <c r="F1286" s="1248" t="s">
        <v>2975</v>
      </c>
      <c r="G1286" s="111"/>
      <c r="H1286" s="1249">
        <v>1</v>
      </c>
      <c r="I1286" s="111" t="s">
        <v>1721</v>
      </c>
      <c r="J1286" s="1321" t="s">
        <v>5608</v>
      </c>
      <c r="K1286" s="162" t="s">
        <v>5610</v>
      </c>
      <c r="L1286" s="162" t="s">
        <v>5609</v>
      </c>
      <c r="M1286" s="111">
        <v>213</v>
      </c>
      <c r="N1286" s="111">
        <v>213</v>
      </c>
      <c r="O1286" s="111"/>
      <c r="P1286" s="111"/>
      <c r="Q1286" s="111"/>
      <c r="R1286" s="111"/>
      <c r="S1286" s="1249">
        <v>1</v>
      </c>
      <c r="T1286" s="1250">
        <v>71</v>
      </c>
      <c r="U1286" s="1250"/>
      <c r="V1286" s="1250"/>
      <c r="W1286" s="1251">
        <v>0</v>
      </c>
      <c r="X1286" s="1250">
        <v>71</v>
      </c>
      <c r="Y1286" s="1250"/>
      <c r="Z1286" s="1250"/>
      <c r="AA1286" s="1250"/>
      <c r="AB1286" s="1250"/>
      <c r="AC1286" s="1250"/>
      <c r="AD1286" s="1250"/>
      <c r="AE1286" s="1249">
        <v>0</v>
      </c>
      <c r="AF1286" s="1250">
        <v>71</v>
      </c>
      <c r="AG1286" s="111"/>
      <c r="AH1286" s="111"/>
      <c r="AI1286" s="111"/>
      <c r="AJ1286" s="111"/>
      <c r="AK1286" s="111"/>
      <c r="AL1286" s="111"/>
      <c r="AM1286" s="111">
        <v>213</v>
      </c>
    </row>
    <row r="1287" spans="1:39" ht="15" customHeight="1" x14ac:dyDescent="0.25">
      <c r="A1287" s="1409"/>
      <c r="B1287" s="1409"/>
      <c r="C1287" s="1409"/>
      <c r="D1287" s="1409"/>
      <c r="E1287" s="1279"/>
      <c r="F1287" s="1248" t="s">
        <v>579</v>
      </c>
      <c r="G1287" s="111"/>
      <c r="H1287" s="1249">
        <v>2</v>
      </c>
      <c r="I1287" s="111" t="s">
        <v>1721</v>
      </c>
      <c r="J1287" s="1321" t="s">
        <v>5608</v>
      </c>
      <c r="K1287" s="162" t="s">
        <v>5610</v>
      </c>
      <c r="L1287" s="162" t="s">
        <v>5609</v>
      </c>
      <c r="M1287" s="111">
        <v>330.73919999999998</v>
      </c>
      <c r="N1287" s="111">
        <v>661.47839999999997</v>
      </c>
      <c r="O1287" s="111"/>
      <c r="P1287" s="111"/>
      <c r="Q1287" s="111"/>
      <c r="R1287" s="111"/>
      <c r="S1287" s="1249">
        <v>2</v>
      </c>
      <c r="T1287" s="1250">
        <v>220.49279999999999</v>
      </c>
      <c r="U1287" s="1250"/>
      <c r="V1287" s="1250"/>
      <c r="W1287" s="1251">
        <v>0</v>
      </c>
      <c r="X1287" s="1250">
        <v>220.49279999999999</v>
      </c>
      <c r="Y1287" s="1250"/>
      <c r="Z1287" s="1250"/>
      <c r="AA1287" s="1250"/>
      <c r="AB1287" s="1250"/>
      <c r="AC1287" s="1250"/>
      <c r="AD1287" s="1250"/>
      <c r="AE1287" s="1249">
        <v>0</v>
      </c>
      <c r="AF1287" s="1250">
        <v>220.49279999999999</v>
      </c>
      <c r="AG1287" s="111"/>
      <c r="AH1287" s="111"/>
      <c r="AI1287" s="111"/>
      <c r="AJ1287" s="111"/>
      <c r="AK1287" s="111"/>
      <c r="AL1287" s="111"/>
      <c r="AM1287" s="111">
        <v>661.47839999999997</v>
      </c>
    </row>
    <row r="1288" spans="1:39" ht="15" customHeight="1" x14ac:dyDescent="0.25">
      <c r="A1288" s="1409"/>
      <c r="B1288" s="1409"/>
      <c r="C1288" s="1409"/>
      <c r="D1288" s="1409"/>
      <c r="E1288" s="1279"/>
      <c r="F1288" s="1248" t="s">
        <v>1213</v>
      </c>
      <c r="G1288" s="111"/>
      <c r="H1288" s="1249">
        <v>4</v>
      </c>
      <c r="I1288" s="111" t="s">
        <v>1721</v>
      </c>
      <c r="J1288" s="1321" t="s">
        <v>5608</v>
      </c>
      <c r="K1288" s="162" t="s">
        <v>5610</v>
      </c>
      <c r="L1288" s="162" t="s">
        <v>5609</v>
      </c>
      <c r="M1288" s="111">
        <v>902.64240000000018</v>
      </c>
      <c r="N1288" s="111">
        <v>3610.5696000000007</v>
      </c>
      <c r="O1288" s="111"/>
      <c r="P1288" s="111"/>
      <c r="Q1288" s="111"/>
      <c r="R1288" s="111"/>
      <c r="S1288" s="1249">
        <v>2</v>
      </c>
      <c r="T1288" s="1250">
        <v>1203.5232000000003</v>
      </c>
      <c r="U1288" s="1250"/>
      <c r="V1288" s="1250"/>
      <c r="W1288" s="1251">
        <v>1</v>
      </c>
      <c r="X1288" s="1250">
        <v>1203.5232000000003</v>
      </c>
      <c r="Y1288" s="1250"/>
      <c r="Z1288" s="1250"/>
      <c r="AA1288" s="1250"/>
      <c r="AB1288" s="1250"/>
      <c r="AC1288" s="1250"/>
      <c r="AD1288" s="1250"/>
      <c r="AE1288" s="1249">
        <v>1</v>
      </c>
      <c r="AF1288" s="1250">
        <v>1203.5232000000003</v>
      </c>
      <c r="AG1288" s="111"/>
      <c r="AH1288" s="111"/>
      <c r="AI1288" s="111"/>
      <c r="AJ1288" s="111"/>
      <c r="AK1288" s="111"/>
      <c r="AL1288" s="111"/>
      <c r="AM1288" s="111">
        <v>3610.5696000000007</v>
      </c>
    </row>
    <row r="1289" spans="1:39" ht="15" customHeight="1" x14ac:dyDescent="0.25">
      <c r="A1289" s="1409"/>
      <c r="B1289" s="1409"/>
      <c r="C1289" s="1409"/>
      <c r="D1289" s="1409"/>
      <c r="E1289" s="1279"/>
      <c r="F1289" s="1248" t="s">
        <v>580</v>
      </c>
      <c r="G1289" s="111"/>
      <c r="H1289" s="1249">
        <v>40</v>
      </c>
      <c r="I1289" s="111" t="s">
        <v>1721</v>
      </c>
      <c r="J1289" s="1321" t="s">
        <v>5608</v>
      </c>
      <c r="K1289" s="162" t="s">
        <v>5610</v>
      </c>
      <c r="L1289" s="162" t="s">
        <v>5609</v>
      </c>
      <c r="M1289" s="111">
        <v>241.16400000000004</v>
      </c>
      <c r="N1289" s="111">
        <v>9646.5600000000013</v>
      </c>
      <c r="O1289" s="111"/>
      <c r="P1289" s="111"/>
      <c r="Q1289" s="111"/>
      <c r="R1289" s="111"/>
      <c r="S1289" s="1249">
        <v>15</v>
      </c>
      <c r="T1289" s="1250">
        <v>3215.5200000000004</v>
      </c>
      <c r="U1289" s="1250"/>
      <c r="V1289" s="1250"/>
      <c r="W1289" s="1251">
        <v>15</v>
      </c>
      <c r="X1289" s="1250">
        <v>3215.5200000000004</v>
      </c>
      <c r="Y1289" s="1250"/>
      <c r="Z1289" s="1250"/>
      <c r="AA1289" s="1250"/>
      <c r="AB1289" s="1250"/>
      <c r="AC1289" s="1250"/>
      <c r="AD1289" s="1250"/>
      <c r="AE1289" s="1249">
        <v>10</v>
      </c>
      <c r="AF1289" s="1250">
        <v>3215.5200000000004</v>
      </c>
      <c r="AG1289" s="111"/>
      <c r="AH1289" s="111"/>
      <c r="AI1289" s="111"/>
      <c r="AJ1289" s="111"/>
      <c r="AK1289" s="111"/>
      <c r="AL1289" s="111"/>
      <c r="AM1289" s="111">
        <v>9646.5600000000013</v>
      </c>
    </row>
    <row r="1290" spans="1:39" ht="15" customHeight="1" x14ac:dyDescent="0.25">
      <c r="A1290" s="1409"/>
      <c r="B1290" s="1409"/>
      <c r="C1290" s="1409"/>
      <c r="D1290" s="1409"/>
      <c r="E1290" s="1279"/>
      <c r="F1290" s="1248" t="s">
        <v>5071</v>
      </c>
      <c r="G1290" s="111"/>
      <c r="H1290" s="1249">
        <v>1</v>
      </c>
      <c r="I1290" s="111" t="s">
        <v>1721</v>
      </c>
      <c r="J1290" s="1321" t="s">
        <v>5608</v>
      </c>
      <c r="K1290" s="162" t="s">
        <v>5610</v>
      </c>
      <c r="L1290" s="162" t="s">
        <v>5609</v>
      </c>
      <c r="M1290" s="111">
        <v>62.013600000000011</v>
      </c>
      <c r="N1290" s="111">
        <v>62.013600000000011</v>
      </c>
      <c r="O1290" s="111"/>
      <c r="P1290" s="111"/>
      <c r="Q1290" s="111"/>
      <c r="R1290" s="111"/>
      <c r="S1290" s="1249">
        <v>1</v>
      </c>
      <c r="T1290" s="1250">
        <v>20.671200000000002</v>
      </c>
      <c r="U1290" s="1250"/>
      <c r="V1290" s="1250"/>
      <c r="W1290" s="1251">
        <v>0</v>
      </c>
      <c r="X1290" s="1250">
        <v>20.671200000000002</v>
      </c>
      <c r="Y1290" s="1250"/>
      <c r="Z1290" s="1250"/>
      <c r="AA1290" s="1250"/>
      <c r="AB1290" s="1250"/>
      <c r="AC1290" s="1250"/>
      <c r="AD1290" s="1250"/>
      <c r="AE1290" s="1249">
        <v>0</v>
      </c>
      <c r="AF1290" s="1250">
        <v>20.671200000000002</v>
      </c>
      <c r="AG1290" s="111"/>
      <c r="AH1290" s="111"/>
      <c r="AI1290" s="111"/>
      <c r="AJ1290" s="111"/>
      <c r="AK1290" s="111"/>
      <c r="AL1290" s="111"/>
      <c r="AM1290" s="111">
        <v>62.013600000000011</v>
      </c>
    </row>
    <row r="1291" spans="1:39" ht="15" customHeight="1" x14ac:dyDescent="0.25">
      <c r="A1291" s="1409"/>
      <c r="B1291" s="1409"/>
      <c r="C1291" s="1409"/>
      <c r="D1291" s="1409"/>
      <c r="E1291" s="1279"/>
      <c r="F1291" s="1248" t="s">
        <v>2976</v>
      </c>
      <c r="G1291" s="111"/>
      <c r="H1291" s="1249">
        <v>1</v>
      </c>
      <c r="I1291" s="111" t="s">
        <v>1721</v>
      </c>
      <c r="J1291" s="1321" t="s">
        <v>5608</v>
      </c>
      <c r="K1291" s="162" t="s">
        <v>5610</v>
      </c>
      <c r="L1291" s="162" t="s">
        <v>5609</v>
      </c>
      <c r="M1291" s="111">
        <v>22.678812000000001</v>
      </c>
      <c r="N1291" s="111">
        <v>22.678812000000001</v>
      </c>
      <c r="O1291" s="111"/>
      <c r="P1291" s="111"/>
      <c r="Q1291" s="111"/>
      <c r="R1291" s="111"/>
      <c r="S1291" s="1249">
        <v>1</v>
      </c>
      <c r="T1291" s="1250">
        <v>7.5596040000000002</v>
      </c>
      <c r="U1291" s="1250"/>
      <c r="V1291" s="1250"/>
      <c r="W1291" s="1251">
        <v>0</v>
      </c>
      <c r="X1291" s="1250">
        <v>7.5596040000000002</v>
      </c>
      <c r="Y1291" s="1250"/>
      <c r="Z1291" s="1250"/>
      <c r="AA1291" s="1250"/>
      <c r="AB1291" s="1250"/>
      <c r="AC1291" s="1250"/>
      <c r="AD1291" s="1250"/>
      <c r="AE1291" s="1249">
        <v>0</v>
      </c>
      <c r="AF1291" s="1250">
        <v>7.5596040000000002</v>
      </c>
      <c r="AG1291" s="111"/>
      <c r="AH1291" s="111"/>
      <c r="AI1291" s="111"/>
      <c r="AJ1291" s="111"/>
      <c r="AK1291" s="111"/>
      <c r="AL1291" s="111"/>
      <c r="AM1291" s="111">
        <v>22.678812000000001</v>
      </c>
    </row>
    <row r="1292" spans="1:39" ht="15" customHeight="1" x14ac:dyDescent="0.25">
      <c r="A1292" s="1409"/>
      <c r="B1292" s="1409"/>
      <c r="C1292" s="1409"/>
      <c r="D1292" s="1409"/>
      <c r="E1292" s="1279"/>
      <c r="F1292" s="1248" t="s">
        <v>1209</v>
      </c>
      <c r="G1292" s="111"/>
      <c r="H1292" s="1249">
        <v>2</v>
      </c>
      <c r="I1292" s="111" t="s">
        <v>1721</v>
      </c>
      <c r="J1292" s="1321" t="s">
        <v>5608</v>
      </c>
      <c r="K1292" s="162" t="s">
        <v>5610</v>
      </c>
      <c r="L1292" s="162" t="s">
        <v>5609</v>
      </c>
      <c r="M1292" s="111">
        <v>992.21760000000017</v>
      </c>
      <c r="N1292" s="111">
        <v>1984.4352000000003</v>
      </c>
      <c r="O1292" s="111"/>
      <c r="P1292" s="111"/>
      <c r="Q1292" s="111"/>
      <c r="R1292" s="111"/>
      <c r="S1292" s="1249">
        <v>2</v>
      </c>
      <c r="T1292" s="1250">
        <v>661.47840000000008</v>
      </c>
      <c r="U1292" s="1250"/>
      <c r="V1292" s="1250"/>
      <c r="W1292" s="1251">
        <v>0</v>
      </c>
      <c r="X1292" s="1250">
        <v>661.47840000000008</v>
      </c>
      <c r="Y1292" s="1250"/>
      <c r="Z1292" s="1250"/>
      <c r="AA1292" s="1250"/>
      <c r="AB1292" s="1250"/>
      <c r="AC1292" s="1250"/>
      <c r="AD1292" s="1250"/>
      <c r="AE1292" s="1249">
        <v>0</v>
      </c>
      <c r="AF1292" s="1250">
        <v>661.47840000000008</v>
      </c>
      <c r="AG1292" s="111"/>
      <c r="AH1292" s="111"/>
      <c r="AI1292" s="111"/>
      <c r="AJ1292" s="111"/>
      <c r="AK1292" s="111"/>
      <c r="AL1292" s="111"/>
      <c r="AM1292" s="111">
        <v>1984.4352000000003</v>
      </c>
    </row>
    <row r="1293" spans="1:39" ht="15" customHeight="1" x14ac:dyDescent="0.25">
      <c r="A1293" s="1409"/>
      <c r="B1293" s="1409"/>
      <c r="C1293" s="1409"/>
      <c r="D1293" s="1409"/>
      <c r="E1293" s="1279"/>
      <c r="F1293" s="1248" t="s">
        <v>5072</v>
      </c>
      <c r="G1293" s="111"/>
      <c r="H1293" s="1249">
        <v>60</v>
      </c>
      <c r="I1293" s="111" t="s">
        <v>1721</v>
      </c>
      <c r="J1293" s="1321" t="s">
        <v>5608</v>
      </c>
      <c r="K1293" s="162" t="s">
        <v>5610</v>
      </c>
      <c r="L1293" s="162" t="s">
        <v>5609</v>
      </c>
      <c r="M1293" s="111">
        <v>241.16</v>
      </c>
      <c r="N1293" s="111">
        <v>14469.6</v>
      </c>
      <c r="O1293" s="111"/>
      <c r="P1293" s="111"/>
      <c r="Q1293" s="111"/>
      <c r="R1293" s="111"/>
      <c r="S1293" s="1249">
        <v>30</v>
      </c>
      <c r="T1293" s="1250">
        <v>4823.2</v>
      </c>
      <c r="U1293" s="1250"/>
      <c r="V1293" s="1250"/>
      <c r="W1293" s="1251">
        <v>20</v>
      </c>
      <c r="X1293" s="1250">
        <v>4823.2</v>
      </c>
      <c r="Y1293" s="1250"/>
      <c r="Z1293" s="1250"/>
      <c r="AA1293" s="1250"/>
      <c r="AB1293" s="1250"/>
      <c r="AC1293" s="1250"/>
      <c r="AD1293" s="1250"/>
      <c r="AE1293" s="1249">
        <v>10</v>
      </c>
      <c r="AF1293" s="1250">
        <v>4823.2</v>
      </c>
      <c r="AG1293" s="111"/>
      <c r="AH1293" s="111"/>
      <c r="AI1293" s="111"/>
      <c r="AJ1293" s="111"/>
      <c r="AK1293" s="111"/>
      <c r="AL1293" s="111"/>
      <c r="AM1293" s="111">
        <v>14469.6</v>
      </c>
    </row>
    <row r="1294" spans="1:39" ht="15" customHeight="1" x14ac:dyDescent="0.25">
      <c r="A1294" s="1409"/>
      <c r="B1294" s="1409"/>
      <c r="C1294" s="1409"/>
      <c r="D1294" s="1409"/>
      <c r="E1294" s="1279"/>
      <c r="F1294" s="1248"/>
      <c r="G1294" s="111"/>
      <c r="H1294" s="1249"/>
      <c r="I1294" s="111"/>
      <c r="J1294" s="111"/>
      <c r="K1294" s="111"/>
      <c r="L1294" s="111"/>
      <c r="M1294" s="111"/>
      <c r="N1294" s="111"/>
      <c r="O1294" s="111"/>
      <c r="P1294" s="111"/>
      <c r="Q1294" s="111"/>
      <c r="R1294" s="111"/>
      <c r="S1294" s="1249"/>
      <c r="T1294" s="1250"/>
      <c r="U1294" s="1250"/>
      <c r="V1294" s="1250"/>
      <c r="W1294" s="1251"/>
      <c r="X1294" s="1250"/>
      <c r="Y1294" s="1250"/>
      <c r="Z1294" s="1250"/>
      <c r="AA1294" s="1250"/>
      <c r="AB1294" s="1250"/>
      <c r="AC1294" s="1250"/>
      <c r="AD1294" s="1250"/>
      <c r="AE1294" s="1249"/>
      <c r="AF1294" s="1250"/>
      <c r="AG1294" s="111"/>
      <c r="AH1294" s="111"/>
      <c r="AI1294" s="111"/>
      <c r="AJ1294" s="111"/>
      <c r="AK1294" s="111"/>
      <c r="AL1294" s="111"/>
      <c r="AM1294" s="111"/>
    </row>
    <row r="1295" spans="1:39" ht="15" customHeight="1" x14ac:dyDescent="0.25">
      <c r="A1295" s="1409"/>
      <c r="B1295" s="1409"/>
      <c r="C1295" s="1409"/>
      <c r="D1295" s="1409"/>
      <c r="E1295" s="1261">
        <v>24603</v>
      </c>
      <c r="F1295" s="1262" t="s">
        <v>583</v>
      </c>
      <c r="G1295" s="1261"/>
      <c r="H1295" s="1261"/>
      <c r="I1295" s="1261"/>
      <c r="J1295" s="1261"/>
      <c r="K1295" s="1261"/>
      <c r="L1295" s="1261"/>
      <c r="M1295" s="1261"/>
      <c r="N1295" s="1261"/>
      <c r="O1295" s="1261"/>
      <c r="P1295" s="1261"/>
      <c r="Q1295" s="1261"/>
      <c r="R1295" s="1261"/>
      <c r="S1295" s="1261"/>
      <c r="T1295" s="1261"/>
      <c r="U1295" s="1261"/>
      <c r="V1295" s="1261"/>
      <c r="W1295" s="1261"/>
      <c r="X1295" s="1261"/>
      <c r="Y1295" s="1261"/>
      <c r="Z1295" s="1261"/>
      <c r="AA1295" s="1261"/>
      <c r="AB1295" s="1261"/>
      <c r="AC1295" s="1261"/>
      <c r="AD1295" s="1261"/>
      <c r="AE1295" s="1261"/>
      <c r="AF1295" s="1261"/>
      <c r="AG1295" s="1261"/>
      <c r="AH1295" s="1261"/>
      <c r="AI1295" s="1261"/>
      <c r="AJ1295" s="1261"/>
      <c r="AK1295" s="1261"/>
      <c r="AL1295" s="1261"/>
      <c r="AM1295" s="1261"/>
    </row>
    <row r="1296" spans="1:39" ht="15" customHeight="1" x14ac:dyDescent="0.25">
      <c r="A1296" s="1409"/>
      <c r="B1296" s="1409"/>
      <c r="C1296" s="1409"/>
      <c r="D1296" s="1409"/>
      <c r="E1296" s="1279"/>
      <c r="F1296" s="1248" t="s">
        <v>5073</v>
      </c>
      <c r="G1296" s="111"/>
      <c r="H1296" s="1249">
        <v>64</v>
      </c>
      <c r="I1296" s="111" t="s">
        <v>1721</v>
      </c>
      <c r="J1296" s="1321" t="s">
        <v>5608</v>
      </c>
      <c r="K1296" s="162" t="s">
        <v>5610</v>
      </c>
      <c r="L1296" s="162" t="s">
        <v>5609</v>
      </c>
      <c r="M1296" s="111">
        <v>40.999545750000003</v>
      </c>
      <c r="N1296" s="111">
        <v>2623.9709280000002</v>
      </c>
      <c r="O1296" s="111"/>
      <c r="P1296" s="111"/>
      <c r="Q1296" s="111"/>
      <c r="R1296" s="111"/>
      <c r="S1296" s="1249">
        <v>34</v>
      </c>
      <c r="T1296" s="1250">
        <v>874.6569760000001</v>
      </c>
      <c r="U1296" s="1250"/>
      <c r="V1296" s="1250"/>
      <c r="W1296" s="1251">
        <v>20</v>
      </c>
      <c r="X1296" s="1250">
        <v>874.6569760000001</v>
      </c>
      <c r="Y1296" s="1250"/>
      <c r="Z1296" s="1250"/>
      <c r="AA1296" s="1250"/>
      <c r="AB1296" s="1250"/>
      <c r="AC1296" s="1250"/>
      <c r="AD1296" s="1250"/>
      <c r="AE1296" s="1249">
        <v>10</v>
      </c>
      <c r="AF1296" s="1250">
        <v>874.6569760000001</v>
      </c>
      <c r="AG1296" s="111"/>
      <c r="AH1296" s="111"/>
      <c r="AI1296" s="111"/>
      <c r="AJ1296" s="111"/>
      <c r="AK1296" s="111"/>
      <c r="AL1296" s="111"/>
      <c r="AM1296" s="111">
        <v>2623.9709280000002</v>
      </c>
    </row>
    <row r="1297" spans="1:39" ht="15" customHeight="1" x14ac:dyDescent="0.25">
      <c r="A1297" s="1409"/>
      <c r="B1297" s="1409"/>
      <c r="C1297" s="1409"/>
      <c r="D1297" s="1409"/>
      <c r="E1297" s="1279"/>
      <c r="F1297" s="1248" t="s">
        <v>5074</v>
      </c>
      <c r="G1297" s="111"/>
      <c r="H1297" s="1249">
        <v>4</v>
      </c>
      <c r="I1297" s="111" t="s">
        <v>1721</v>
      </c>
      <c r="J1297" s="1321" t="s">
        <v>5608</v>
      </c>
      <c r="K1297" s="162" t="s">
        <v>5610</v>
      </c>
      <c r="L1297" s="162" t="s">
        <v>5609</v>
      </c>
      <c r="M1297" s="111">
        <v>400</v>
      </c>
      <c r="N1297" s="111">
        <v>1600</v>
      </c>
      <c r="O1297" s="111"/>
      <c r="P1297" s="111"/>
      <c r="Q1297" s="111"/>
      <c r="R1297" s="111"/>
      <c r="S1297" s="1249">
        <v>2</v>
      </c>
      <c r="T1297" s="1250">
        <v>533.33333333333337</v>
      </c>
      <c r="U1297" s="1250"/>
      <c r="V1297" s="1250"/>
      <c r="W1297" s="1251">
        <v>1</v>
      </c>
      <c r="X1297" s="1250">
        <v>533.33333333333337</v>
      </c>
      <c r="Y1297" s="1250"/>
      <c r="Z1297" s="1250"/>
      <c r="AA1297" s="1250"/>
      <c r="AB1297" s="1250"/>
      <c r="AC1297" s="1250"/>
      <c r="AD1297" s="1250"/>
      <c r="AE1297" s="1249">
        <v>1</v>
      </c>
      <c r="AF1297" s="1250">
        <v>533.33333333333337</v>
      </c>
      <c r="AG1297" s="111"/>
      <c r="AH1297" s="111"/>
      <c r="AI1297" s="111"/>
      <c r="AJ1297" s="111"/>
      <c r="AK1297" s="111"/>
      <c r="AL1297" s="111"/>
      <c r="AM1297" s="111">
        <v>1600</v>
      </c>
    </row>
    <row r="1298" spans="1:39" ht="15" customHeight="1" x14ac:dyDescent="0.25">
      <c r="A1298" s="1409"/>
      <c r="B1298" s="1409"/>
      <c r="C1298" s="1409"/>
      <c r="D1298" s="1409"/>
      <c r="E1298" s="1279"/>
      <c r="F1298" s="1248" t="s">
        <v>1268</v>
      </c>
      <c r="G1298" s="111"/>
      <c r="H1298" s="1249">
        <v>20</v>
      </c>
      <c r="I1298" s="111" t="s">
        <v>1721</v>
      </c>
      <c r="J1298" s="1321" t="s">
        <v>5608</v>
      </c>
      <c r="K1298" s="162" t="s">
        <v>5610</v>
      </c>
      <c r="L1298" s="162" t="s">
        <v>5609</v>
      </c>
      <c r="M1298" s="111">
        <v>62.013600000000011</v>
      </c>
      <c r="N1298" s="111">
        <v>1240.2720000000002</v>
      </c>
      <c r="O1298" s="111"/>
      <c r="P1298" s="111"/>
      <c r="Q1298" s="111"/>
      <c r="R1298" s="111"/>
      <c r="S1298" s="1249">
        <v>10</v>
      </c>
      <c r="T1298" s="1250">
        <v>413.42400000000004</v>
      </c>
      <c r="U1298" s="1250"/>
      <c r="V1298" s="1250"/>
      <c r="W1298" s="1251">
        <v>5</v>
      </c>
      <c r="X1298" s="1250">
        <v>413.42400000000004</v>
      </c>
      <c r="Y1298" s="1250"/>
      <c r="Z1298" s="1250"/>
      <c r="AA1298" s="1250"/>
      <c r="AB1298" s="1250"/>
      <c r="AC1298" s="1250"/>
      <c r="AD1298" s="1250"/>
      <c r="AE1298" s="1249">
        <v>5</v>
      </c>
      <c r="AF1298" s="1250">
        <v>413.42400000000004</v>
      </c>
      <c r="AG1298" s="111"/>
      <c r="AH1298" s="111"/>
      <c r="AI1298" s="111"/>
      <c r="AJ1298" s="111"/>
      <c r="AK1298" s="111"/>
      <c r="AL1298" s="111"/>
      <c r="AM1298" s="111">
        <v>1240.2720000000002</v>
      </c>
    </row>
    <row r="1299" spans="1:39" ht="15" customHeight="1" x14ac:dyDescent="0.25">
      <c r="A1299" s="1409"/>
      <c r="B1299" s="1409"/>
      <c r="C1299" s="1409"/>
      <c r="D1299" s="1409"/>
      <c r="E1299" s="1279"/>
      <c r="F1299" s="1248" t="s">
        <v>1087</v>
      </c>
      <c r="G1299" s="111"/>
      <c r="H1299" s="1249">
        <v>20</v>
      </c>
      <c r="I1299" s="111" t="s">
        <v>1725</v>
      </c>
      <c r="J1299" s="1321" t="s">
        <v>5608</v>
      </c>
      <c r="K1299" s="162" t="s">
        <v>5610</v>
      </c>
      <c r="L1299" s="162" t="s">
        <v>5609</v>
      </c>
      <c r="M1299" s="111">
        <v>110.24640000000002</v>
      </c>
      <c r="N1299" s="111">
        <v>2204.9280000000003</v>
      </c>
      <c r="O1299" s="111"/>
      <c r="P1299" s="111"/>
      <c r="Q1299" s="111"/>
      <c r="R1299" s="111"/>
      <c r="S1299" s="1249">
        <v>10</v>
      </c>
      <c r="T1299" s="1250">
        <v>734.97600000000011</v>
      </c>
      <c r="U1299" s="1250"/>
      <c r="V1299" s="1250"/>
      <c r="W1299" s="1251">
        <v>5</v>
      </c>
      <c r="X1299" s="1250">
        <v>734.97600000000011</v>
      </c>
      <c r="Y1299" s="1250"/>
      <c r="Z1299" s="1250"/>
      <c r="AA1299" s="1250"/>
      <c r="AB1299" s="1250"/>
      <c r="AC1299" s="1250"/>
      <c r="AD1299" s="1250"/>
      <c r="AE1299" s="1249">
        <v>5</v>
      </c>
      <c r="AF1299" s="1250">
        <v>734.97600000000011</v>
      </c>
      <c r="AG1299" s="111"/>
      <c r="AH1299" s="111"/>
      <c r="AI1299" s="111"/>
      <c r="AJ1299" s="111"/>
      <c r="AK1299" s="111"/>
      <c r="AL1299" s="111"/>
      <c r="AM1299" s="111">
        <v>2204.9280000000003</v>
      </c>
    </row>
    <row r="1300" spans="1:39" ht="15" customHeight="1" x14ac:dyDescent="0.25">
      <c r="A1300" s="1409"/>
      <c r="B1300" s="1409"/>
      <c r="C1300" s="1409"/>
      <c r="D1300" s="1409"/>
      <c r="E1300" s="1279"/>
      <c r="F1300" s="1248" t="s">
        <v>1088</v>
      </c>
      <c r="G1300" s="111"/>
      <c r="H1300" s="1249">
        <v>20</v>
      </c>
      <c r="I1300" s="111" t="s">
        <v>1725</v>
      </c>
      <c r="J1300" s="1321" t="s">
        <v>5608</v>
      </c>
      <c r="K1300" s="162" t="s">
        <v>5610</v>
      </c>
      <c r="L1300" s="162" t="s">
        <v>5609</v>
      </c>
      <c r="M1300" s="111">
        <v>206.71199999999999</v>
      </c>
      <c r="N1300" s="111">
        <v>4134.24</v>
      </c>
      <c r="O1300" s="111"/>
      <c r="P1300" s="111"/>
      <c r="Q1300" s="111"/>
      <c r="R1300" s="111"/>
      <c r="S1300" s="1249">
        <v>10</v>
      </c>
      <c r="T1300" s="1250">
        <v>1378.08</v>
      </c>
      <c r="U1300" s="1250"/>
      <c r="V1300" s="1250"/>
      <c r="W1300" s="1251">
        <v>5</v>
      </c>
      <c r="X1300" s="1250">
        <v>1378.08</v>
      </c>
      <c r="Y1300" s="1250"/>
      <c r="Z1300" s="1250"/>
      <c r="AA1300" s="1250"/>
      <c r="AB1300" s="1250"/>
      <c r="AC1300" s="1250"/>
      <c r="AD1300" s="1250"/>
      <c r="AE1300" s="1249">
        <v>5</v>
      </c>
      <c r="AF1300" s="1250">
        <v>1378.08</v>
      </c>
      <c r="AG1300" s="111"/>
      <c r="AH1300" s="111"/>
      <c r="AI1300" s="111"/>
      <c r="AJ1300" s="111"/>
      <c r="AK1300" s="111"/>
      <c r="AL1300" s="111"/>
      <c r="AM1300" s="111">
        <v>4134.24</v>
      </c>
    </row>
    <row r="1301" spans="1:39" ht="15" customHeight="1" x14ac:dyDescent="0.25">
      <c r="A1301" s="1409"/>
      <c r="B1301" s="1409"/>
      <c r="C1301" s="1409"/>
      <c r="D1301" s="1409"/>
      <c r="E1301" s="1279"/>
      <c r="F1301" s="1248" t="s">
        <v>5075</v>
      </c>
      <c r="G1301" s="111"/>
      <c r="H1301" s="1249">
        <v>60</v>
      </c>
      <c r="I1301" s="111" t="s">
        <v>1827</v>
      </c>
      <c r="J1301" s="1321" t="s">
        <v>5608</v>
      </c>
      <c r="K1301" s="162" t="s">
        <v>5610</v>
      </c>
      <c r="L1301" s="162" t="s">
        <v>5609</v>
      </c>
      <c r="M1301" s="111">
        <v>300</v>
      </c>
      <c r="N1301" s="111">
        <v>18000</v>
      </c>
      <c r="O1301" s="111"/>
      <c r="P1301" s="111"/>
      <c r="Q1301" s="111"/>
      <c r="R1301" s="111"/>
      <c r="S1301" s="1249">
        <v>30</v>
      </c>
      <c r="T1301" s="1250">
        <v>6000</v>
      </c>
      <c r="U1301" s="1250"/>
      <c r="V1301" s="1250"/>
      <c r="W1301" s="1251">
        <v>20</v>
      </c>
      <c r="X1301" s="1250">
        <v>6000</v>
      </c>
      <c r="Y1301" s="1250"/>
      <c r="Z1301" s="1250"/>
      <c r="AA1301" s="1250"/>
      <c r="AB1301" s="1250"/>
      <c r="AC1301" s="1250"/>
      <c r="AD1301" s="1250"/>
      <c r="AE1301" s="1249">
        <v>10</v>
      </c>
      <c r="AF1301" s="1250">
        <v>6000</v>
      </c>
      <c r="AG1301" s="111"/>
      <c r="AH1301" s="111"/>
      <c r="AI1301" s="111"/>
      <c r="AJ1301" s="111"/>
      <c r="AK1301" s="111"/>
      <c r="AL1301" s="111"/>
      <c r="AM1301" s="111">
        <v>18000</v>
      </c>
    </row>
    <row r="1302" spans="1:39" ht="15" customHeight="1" x14ac:dyDescent="0.25">
      <c r="A1302" s="1409"/>
      <c r="B1302" s="1409"/>
      <c r="C1302" s="1409"/>
      <c r="D1302" s="1409"/>
      <c r="E1302" s="1279"/>
      <c r="F1302" s="1248" t="s">
        <v>5076</v>
      </c>
      <c r="G1302" s="111"/>
      <c r="H1302" s="1249">
        <v>1</v>
      </c>
      <c r="I1302" s="111" t="s">
        <v>1721</v>
      </c>
      <c r="J1302" s="1321" t="s">
        <v>5608</v>
      </c>
      <c r="K1302" s="162" t="s">
        <v>5610</v>
      </c>
      <c r="L1302" s="162" t="s">
        <v>5609</v>
      </c>
      <c r="M1302" s="111">
        <v>41.029199999999996</v>
      </c>
      <c r="N1302" s="111">
        <v>41.029199999999996</v>
      </c>
      <c r="O1302" s="111"/>
      <c r="P1302" s="111"/>
      <c r="Q1302" s="111"/>
      <c r="R1302" s="111"/>
      <c r="S1302" s="1249">
        <v>1</v>
      </c>
      <c r="T1302" s="1250">
        <v>13.676399999999999</v>
      </c>
      <c r="U1302" s="1250"/>
      <c r="V1302" s="1250"/>
      <c r="W1302" s="1251">
        <v>0</v>
      </c>
      <c r="X1302" s="1250">
        <v>13.676399999999999</v>
      </c>
      <c r="Y1302" s="1250"/>
      <c r="Z1302" s="1250"/>
      <c r="AA1302" s="1250"/>
      <c r="AB1302" s="1250"/>
      <c r="AC1302" s="1250"/>
      <c r="AD1302" s="1250"/>
      <c r="AE1302" s="1249">
        <v>0</v>
      </c>
      <c r="AF1302" s="1250">
        <v>13.676399999999999</v>
      </c>
      <c r="AG1302" s="111"/>
      <c r="AH1302" s="111"/>
      <c r="AI1302" s="111"/>
      <c r="AJ1302" s="111"/>
      <c r="AK1302" s="111"/>
      <c r="AL1302" s="111"/>
      <c r="AM1302" s="111">
        <v>41.029199999999996</v>
      </c>
    </row>
    <row r="1303" spans="1:39" ht="15" customHeight="1" x14ac:dyDescent="0.25">
      <c r="A1303" s="1409"/>
      <c r="B1303" s="1409"/>
      <c r="C1303" s="1409"/>
      <c r="D1303" s="1409"/>
      <c r="E1303" s="1279"/>
      <c r="F1303" s="1248" t="s">
        <v>5077</v>
      </c>
      <c r="G1303" s="111"/>
      <c r="H1303" s="1249">
        <v>1</v>
      </c>
      <c r="I1303" s="111" t="s">
        <v>1721</v>
      </c>
      <c r="J1303" s="1321" t="s">
        <v>5608</v>
      </c>
      <c r="K1303" s="162" t="s">
        <v>5610</v>
      </c>
      <c r="L1303" s="162" t="s">
        <v>5609</v>
      </c>
      <c r="M1303" s="111">
        <v>32.397407999999999</v>
      </c>
      <c r="N1303" s="111">
        <v>32.397407999999999</v>
      </c>
      <c r="O1303" s="111"/>
      <c r="P1303" s="111"/>
      <c r="Q1303" s="111"/>
      <c r="R1303" s="111"/>
      <c r="S1303" s="1249">
        <v>1</v>
      </c>
      <c r="T1303" s="1250">
        <v>10.799135999999999</v>
      </c>
      <c r="U1303" s="1250"/>
      <c r="V1303" s="1250"/>
      <c r="W1303" s="1251">
        <v>0</v>
      </c>
      <c r="X1303" s="1250">
        <v>10.799135999999999</v>
      </c>
      <c r="Y1303" s="1250"/>
      <c r="Z1303" s="1250"/>
      <c r="AA1303" s="1250"/>
      <c r="AB1303" s="1250"/>
      <c r="AC1303" s="1250"/>
      <c r="AD1303" s="1250"/>
      <c r="AE1303" s="1249">
        <v>0</v>
      </c>
      <c r="AF1303" s="1250">
        <v>10.799135999999999</v>
      </c>
      <c r="AG1303" s="111"/>
      <c r="AH1303" s="111"/>
      <c r="AI1303" s="111"/>
      <c r="AJ1303" s="111"/>
      <c r="AK1303" s="111"/>
      <c r="AL1303" s="111"/>
      <c r="AM1303" s="111">
        <v>32.397407999999999</v>
      </c>
    </row>
    <row r="1304" spans="1:39" ht="15" customHeight="1" x14ac:dyDescent="0.25">
      <c r="A1304" s="1409"/>
      <c r="B1304" s="1409"/>
      <c r="C1304" s="1409"/>
      <c r="D1304" s="1409"/>
      <c r="E1304" s="1279"/>
      <c r="F1304" s="1248" t="s">
        <v>5078</v>
      </c>
      <c r="G1304" s="111"/>
      <c r="H1304" s="1249">
        <v>1</v>
      </c>
      <c r="I1304" s="111" t="s">
        <v>1721</v>
      </c>
      <c r="J1304" s="1321" t="s">
        <v>5608</v>
      </c>
      <c r="K1304" s="162" t="s">
        <v>5610</v>
      </c>
      <c r="L1304" s="162" t="s">
        <v>5609</v>
      </c>
      <c r="M1304" s="111">
        <v>48.596111999999998</v>
      </c>
      <c r="N1304" s="111">
        <v>48.596111999999998</v>
      </c>
      <c r="O1304" s="111"/>
      <c r="P1304" s="111"/>
      <c r="Q1304" s="111"/>
      <c r="R1304" s="111"/>
      <c r="S1304" s="1249">
        <v>1</v>
      </c>
      <c r="T1304" s="1250">
        <v>16.198703999999999</v>
      </c>
      <c r="U1304" s="1250"/>
      <c r="V1304" s="1250"/>
      <c r="W1304" s="1251">
        <v>0</v>
      </c>
      <c r="X1304" s="1250">
        <v>16.198703999999999</v>
      </c>
      <c r="Y1304" s="1250"/>
      <c r="Z1304" s="1250"/>
      <c r="AA1304" s="1250"/>
      <c r="AB1304" s="1250"/>
      <c r="AC1304" s="1250"/>
      <c r="AD1304" s="1250"/>
      <c r="AE1304" s="1249">
        <v>0</v>
      </c>
      <c r="AF1304" s="1250">
        <v>16.198703999999999</v>
      </c>
      <c r="AG1304" s="111"/>
      <c r="AH1304" s="111"/>
      <c r="AI1304" s="111"/>
      <c r="AJ1304" s="111"/>
      <c r="AK1304" s="111"/>
      <c r="AL1304" s="111"/>
      <c r="AM1304" s="111">
        <v>48.596111999999998</v>
      </c>
    </row>
    <row r="1305" spans="1:39" ht="15" customHeight="1" x14ac:dyDescent="0.25">
      <c r="A1305" s="1409"/>
      <c r="B1305" s="1409"/>
      <c r="C1305" s="1409"/>
      <c r="D1305" s="1409"/>
      <c r="E1305" s="1279"/>
      <c r="F1305" s="1248" t="s">
        <v>5079</v>
      </c>
      <c r="G1305" s="111"/>
      <c r="H1305" s="1249">
        <v>1</v>
      </c>
      <c r="I1305" s="111" t="s">
        <v>1721</v>
      </c>
      <c r="J1305" s="1321" t="s">
        <v>5608</v>
      </c>
      <c r="K1305" s="162" t="s">
        <v>5610</v>
      </c>
      <c r="L1305" s="162" t="s">
        <v>5609</v>
      </c>
      <c r="M1305" s="111">
        <v>166.32</v>
      </c>
      <c r="N1305" s="111">
        <v>166.32</v>
      </c>
      <c r="O1305" s="111"/>
      <c r="P1305" s="111"/>
      <c r="Q1305" s="111"/>
      <c r="R1305" s="111"/>
      <c r="S1305" s="1249">
        <v>1</v>
      </c>
      <c r="T1305" s="1250">
        <v>55.44</v>
      </c>
      <c r="U1305" s="1250"/>
      <c r="V1305" s="1250"/>
      <c r="W1305" s="1251">
        <v>0</v>
      </c>
      <c r="X1305" s="1250">
        <v>55.44</v>
      </c>
      <c r="Y1305" s="1250"/>
      <c r="Z1305" s="1250"/>
      <c r="AA1305" s="1250"/>
      <c r="AB1305" s="1250"/>
      <c r="AC1305" s="1250"/>
      <c r="AD1305" s="1250"/>
      <c r="AE1305" s="1249">
        <v>0</v>
      </c>
      <c r="AF1305" s="1250">
        <v>55.44</v>
      </c>
      <c r="AG1305" s="111"/>
      <c r="AH1305" s="111"/>
      <c r="AI1305" s="111"/>
      <c r="AJ1305" s="111"/>
      <c r="AK1305" s="111"/>
      <c r="AL1305" s="111"/>
      <c r="AM1305" s="111">
        <v>166.32</v>
      </c>
    </row>
    <row r="1306" spans="1:39" ht="15" customHeight="1" x14ac:dyDescent="0.25">
      <c r="A1306" s="1409"/>
      <c r="B1306" s="1409"/>
      <c r="C1306" s="1409"/>
      <c r="D1306" s="1409"/>
      <c r="E1306" s="1279"/>
      <c r="F1306" s="1248" t="s">
        <v>5080</v>
      </c>
      <c r="G1306" s="111"/>
      <c r="H1306" s="1249">
        <v>3</v>
      </c>
      <c r="I1306" s="111" t="s">
        <v>1721</v>
      </c>
      <c r="J1306" s="1321" t="s">
        <v>5608</v>
      </c>
      <c r="K1306" s="162" t="s">
        <v>5610</v>
      </c>
      <c r="L1306" s="162" t="s">
        <v>5609</v>
      </c>
      <c r="M1306" s="111">
        <v>330.74</v>
      </c>
      <c r="N1306" s="111">
        <v>992.22</v>
      </c>
      <c r="O1306" s="111"/>
      <c r="P1306" s="111"/>
      <c r="Q1306" s="111"/>
      <c r="R1306" s="111"/>
      <c r="S1306" s="1249">
        <v>1</v>
      </c>
      <c r="T1306" s="1250">
        <v>330.74</v>
      </c>
      <c r="U1306" s="1250"/>
      <c r="V1306" s="1250"/>
      <c r="W1306" s="1251">
        <v>1</v>
      </c>
      <c r="X1306" s="1250">
        <v>330.74</v>
      </c>
      <c r="Y1306" s="1250"/>
      <c r="Z1306" s="1250"/>
      <c r="AA1306" s="1250"/>
      <c r="AB1306" s="1250"/>
      <c r="AC1306" s="1250"/>
      <c r="AD1306" s="1250"/>
      <c r="AE1306" s="1249">
        <v>1</v>
      </c>
      <c r="AF1306" s="1250">
        <v>330.74</v>
      </c>
      <c r="AG1306" s="111"/>
      <c r="AH1306" s="111"/>
      <c r="AI1306" s="111"/>
      <c r="AJ1306" s="111"/>
      <c r="AK1306" s="111"/>
      <c r="AL1306" s="111"/>
      <c r="AM1306" s="111">
        <v>992.22</v>
      </c>
    </row>
    <row r="1307" spans="1:39" ht="15" customHeight="1" x14ac:dyDescent="0.25">
      <c r="A1307" s="1409"/>
      <c r="B1307" s="1409"/>
      <c r="C1307" s="1409"/>
      <c r="D1307" s="1409"/>
      <c r="E1307" s="1279"/>
      <c r="F1307" s="1248" t="s">
        <v>5081</v>
      </c>
      <c r="G1307" s="111"/>
      <c r="H1307" s="1249">
        <v>3</v>
      </c>
      <c r="I1307" s="111" t="s">
        <v>1721</v>
      </c>
      <c r="J1307" s="1321" t="s">
        <v>5608</v>
      </c>
      <c r="K1307" s="162" t="s">
        <v>5610</v>
      </c>
      <c r="L1307" s="162" t="s">
        <v>5609</v>
      </c>
      <c r="M1307" s="111">
        <v>902.64</v>
      </c>
      <c r="N1307" s="111">
        <v>2707.92</v>
      </c>
      <c r="O1307" s="111"/>
      <c r="P1307" s="111"/>
      <c r="Q1307" s="111"/>
      <c r="R1307" s="111"/>
      <c r="S1307" s="1249">
        <v>1</v>
      </c>
      <c r="T1307" s="1250">
        <v>902.64</v>
      </c>
      <c r="U1307" s="1250"/>
      <c r="V1307" s="1250"/>
      <c r="W1307" s="1251">
        <v>1</v>
      </c>
      <c r="X1307" s="1250">
        <v>902.64</v>
      </c>
      <c r="Y1307" s="1250"/>
      <c r="Z1307" s="1250"/>
      <c r="AA1307" s="1250"/>
      <c r="AB1307" s="1250"/>
      <c r="AC1307" s="1250"/>
      <c r="AD1307" s="1250"/>
      <c r="AE1307" s="1249">
        <v>1</v>
      </c>
      <c r="AF1307" s="1250">
        <v>902.64</v>
      </c>
      <c r="AG1307" s="111"/>
      <c r="AH1307" s="111"/>
      <c r="AI1307" s="111"/>
      <c r="AJ1307" s="111"/>
      <c r="AK1307" s="111"/>
      <c r="AL1307" s="111"/>
      <c r="AM1307" s="111">
        <v>2707.92</v>
      </c>
    </row>
    <row r="1308" spans="1:39" ht="15" customHeight="1" x14ac:dyDescent="0.25">
      <c r="A1308" s="1409"/>
      <c r="B1308" s="1409"/>
      <c r="C1308" s="1409"/>
      <c r="D1308" s="1409"/>
      <c r="E1308" s="1281"/>
      <c r="F1308" s="1248"/>
      <c r="G1308" s="111"/>
      <c r="H1308" s="1249"/>
      <c r="I1308" s="111"/>
      <c r="J1308" s="111"/>
      <c r="K1308" s="111"/>
      <c r="L1308" s="111"/>
      <c r="M1308" s="111"/>
      <c r="N1308" s="111"/>
      <c r="O1308" s="111"/>
      <c r="P1308" s="111"/>
      <c r="Q1308" s="111"/>
      <c r="R1308" s="111"/>
      <c r="S1308" s="1249"/>
      <c r="T1308" s="1250"/>
      <c r="U1308" s="1250"/>
      <c r="V1308" s="1250"/>
      <c r="W1308" s="1251"/>
      <c r="X1308" s="1250"/>
      <c r="Y1308" s="1250"/>
      <c r="Z1308" s="1250"/>
      <c r="AA1308" s="1250"/>
      <c r="AB1308" s="1250"/>
      <c r="AC1308" s="1250"/>
      <c r="AD1308" s="1250"/>
      <c r="AE1308" s="1249"/>
      <c r="AF1308" s="1250"/>
      <c r="AG1308" s="111"/>
      <c r="AH1308" s="111"/>
      <c r="AI1308" s="111"/>
      <c r="AJ1308" s="111"/>
      <c r="AK1308" s="111"/>
      <c r="AL1308" s="111"/>
      <c r="AM1308" s="111"/>
    </row>
    <row r="1309" spans="1:39" ht="15" customHeight="1" x14ac:dyDescent="0.25">
      <c r="A1309" s="1409"/>
      <c r="B1309" s="1409"/>
      <c r="C1309" s="1409"/>
      <c r="D1309" s="1409"/>
      <c r="E1309" s="1282">
        <v>247</v>
      </c>
      <c r="F1309" s="1283" t="s">
        <v>584</v>
      </c>
      <c r="G1309" s="1284"/>
      <c r="H1309" s="1284"/>
      <c r="I1309" s="1284"/>
      <c r="J1309" s="1284"/>
      <c r="K1309" s="1284"/>
      <c r="L1309" s="1284"/>
      <c r="M1309" s="1284"/>
      <c r="N1309" s="1284"/>
      <c r="O1309" s="1284"/>
      <c r="P1309" s="1284"/>
      <c r="Q1309" s="1284"/>
      <c r="R1309" s="1284"/>
      <c r="S1309" s="1284"/>
      <c r="T1309" s="1284"/>
      <c r="U1309" s="1284"/>
      <c r="V1309" s="1284"/>
      <c r="W1309" s="1284"/>
      <c r="X1309" s="1284"/>
      <c r="Y1309" s="1284"/>
      <c r="Z1309" s="1284"/>
      <c r="AA1309" s="1284"/>
      <c r="AB1309" s="1284"/>
      <c r="AC1309" s="1284"/>
      <c r="AD1309" s="1284"/>
      <c r="AE1309" s="1284"/>
      <c r="AF1309" s="1284"/>
      <c r="AG1309" s="1284"/>
      <c r="AH1309" s="1284"/>
      <c r="AI1309" s="1284"/>
      <c r="AJ1309" s="1284"/>
      <c r="AK1309" s="1284"/>
      <c r="AL1309" s="1284"/>
      <c r="AM1309" s="1284"/>
    </row>
    <row r="1310" spans="1:39" ht="15" customHeight="1" x14ac:dyDescent="0.25">
      <c r="A1310" s="1409"/>
      <c r="B1310" s="1409"/>
      <c r="C1310" s="1409"/>
      <c r="D1310" s="1409"/>
      <c r="E1310" s="1247"/>
      <c r="F1310" s="1248"/>
      <c r="G1310" s="111"/>
      <c r="H1310" s="1249"/>
      <c r="I1310" s="111"/>
      <c r="J1310" s="111"/>
      <c r="K1310" s="111"/>
      <c r="L1310" s="111"/>
      <c r="M1310" s="111"/>
      <c r="N1310" s="111"/>
      <c r="O1310" s="111"/>
      <c r="P1310" s="111"/>
      <c r="Q1310" s="111"/>
      <c r="R1310" s="111"/>
      <c r="S1310" s="1249"/>
      <c r="T1310" s="1250"/>
      <c r="U1310" s="1250"/>
      <c r="V1310" s="1250"/>
      <c r="W1310" s="1251"/>
      <c r="X1310" s="1250"/>
      <c r="Y1310" s="1250"/>
      <c r="Z1310" s="1250"/>
      <c r="AA1310" s="1250"/>
      <c r="AB1310" s="1250"/>
      <c r="AC1310" s="1250"/>
      <c r="AD1310" s="1250"/>
      <c r="AE1310" s="1249"/>
      <c r="AF1310" s="1250"/>
      <c r="AG1310" s="111"/>
      <c r="AH1310" s="111"/>
      <c r="AI1310" s="111"/>
      <c r="AJ1310" s="111"/>
      <c r="AK1310" s="111"/>
      <c r="AL1310" s="111"/>
      <c r="AM1310" s="111"/>
    </row>
    <row r="1311" spans="1:39" ht="15" customHeight="1" x14ac:dyDescent="0.25">
      <c r="A1311" s="1409"/>
      <c r="B1311" s="1409"/>
      <c r="C1311" s="1409"/>
      <c r="D1311" s="1409"/>
      <c r="E1311" s="1261">
        <v>24702</v>
      </c>
      <c r="F1311" s="1262" t="s">
        <v>586</v>
      </c>
      <c r="G1311" s="1261"/>
      <c r="H1311" s="1261"/>
      <c r="I1311" s="1261"/>
      <c r="J1311" s="1261"/>
      <c r="K1311" s="1261"/>
      <c r="L1311" s="1261"/>
      <c r="M1311" s="1261"/>
      <c r="N1311" s="1261"/>
      <c r="O1311" s="1261"/>
      <c r="P1311" s="1261"/>
      <c r="Q1311" s="1261"/>
      <c r="R1311" s="1261"/>
      <c r="S1311" s="1261"/>
      <c r="T1311" s="1261"/>
      <c r="U1311" s="1261"/>
      <c r="V1311" s="1261"/>
      <c r="W1311" s="1261"/>
      <c r="X1311" s="1261"/>
      <c r="Y1311" s="1261"/>
      <c r="Z1311" s="1261"/>
      <c r="AA1311" s="1261"/>
      <c r="AB1311" s="1261"/>
      <c r="AC1311" s="1261"/>
      <c r="AD1311" s="1261"/>
      <c r="AE1311" s="1261"/>
      <c r="AF1311" s="1261"/>
      <c r="AG1311" s="1261"/>
      <c r="AH1311" s="1261"/>
      <c r="AI1311" s="1261"/>
      <c r="AJ1311" s="1261"/>
      <c r="AK1311" s="1261"/>
      <c r="AL1311" s="1261"/>
      <c r="AM1311" s="1261"/>
    </row>
    <row r="1312" spans="1:39" ht="15" customHeight="1" x14ac:dyDescent="0.25">
      <c r="A1312" s="1409"/>
      <c r="B1312" s="1409"/>
      <c r="C1312" s="1409"/>
      <c r="D1312" s="1409"/>
      <c r="E1312" s="1247"/>
      <c r="F1312" s="1248" t="s">
        <v>5082</v>
      </c>
      <c r="G1312" s="111"/>
      <c r="H1312" s="1249">
        <v>2</v>
      </c>
      <c r="I1312" s="111" t="s">
        <v>1873</v>
      </c>
      <c r="J1312" s="1321" t="s">
        <v>5608</v>
      </c>
      <c r="K1312" s="162" t="s">
        <v>5610</v>
      </c>
      <c r="L1312" s="162" t="s">
        <v>5609</v>
      </c>
      <c r="M1312" s="111">
        <v>25</v>
      </c>
      <c r="N1312" s="111">
        <v>50</v>
      </c>
      <c r="O1312" s="111"/>
      <c r="P1312" s="111"/>
      <c r="Q1312" s="111"/>
      <c r="R1312" s="111"/>
      <c r="S1312" s="1249">
        <v>2</v>
      </c>
      <c r="T1312" s="1250">
        <v>16.666666666666668</v>
      </c>
      <c r="U1312" s="1250"/>
      <c r="V1312" s="1250"/>
      <c r="W1312" s="1251">
        <v>0</v>
      </c>
      <c r="X1312" s="1250">
        <v>16.666666666666668</v>
      </c>
      <c r="Y1312" s="1250"/>
      <c r="Z1312" s="1250"/>
      <c r="AA1312" s="1250"/>
      <c r="AB1312" s="1250"/>
      <c r="AC1312" s="1250"/>
      <c r="AD1312" s="1250"/>
      <c r="AE1312" s="1249">
        <v>0</v>
      </c>
      <c r="AF1312" s="1250">
        <v>16.666666666666668</v>
      </c>
      <c r="AG1312" s="111"/>
      <c r="AH1312" s="111"/>
      <c r="AI1312" s="111"/>
      <c r="AJ1312" s="111"/>
      <c r="AK1312" s="111"/>
      <c r="AL1312" s="111"/>
      <c r="AM1312" s="111">
        <v>50</v>
      </c>
    </row>
    <row r="1313" spans="1:39" ht="15" customHeight="1" x14ac:dyDescent="0.25">
      <c r="A1313" s="1409"/>
      <c r="B1313" s="1409"/>
      <c r="C1313" s="1409"/>
      <c r="D1313" s="1409"/>
      <c r="E1313" s="1247"/>
      <c r="F1313" s="1248" t="s">
        <v>1220</v>
      </c>
      <c r="G1313" s="111"/>
      <c r="H1313" s="1249">
        <v>6</v>
      </c>
      <c r="I1313" s="111" t="s">
        <v>1721</v>
      </c>
      <c r="J1313" s="1321" t="s">
        <v>5608</v>
      </c>
      <c r="K1313" s="162" t="s">
        <v>5610</v>
      </c>
      <c r="L1313" s="162" t="s">
        <v>5609</v>
      </c>
      <c r="M1313" s="111">
        <v>82.682400000000001</v>
      </c>
      <c r="N1313" s="111">
        <v>496.09440000000001</v>
      </c>
      <c r="O1313" s="111"/>
      <c r="P1313" s="111"/>
      <c r="Q1313" s="111"/>
      <c r="R1313" s="111"/>
      <c r="S1313" s="1249">
        <v>2</v>
      </c>
      <c r="T1313" s="1250">
        <v>165.3648</v>
      </c>
      <c r="U1313" s="1250"/>
      <c r="V1313" s="1250"/>
      <c r="W1313" s="1251">
        <v>2</v>
      </c>
      <c r="X1313" s="1250">
        <v>165.3648</v>
      </c>
      <c r="Y1313" s="1250"/>
      <c r="Z1313" s="1250"/>
      <c r="AA1313" s="1250"/>
      <c r="AB1313" s="1250"/>
      <c r="AC1313" s="1250"/>
      <c r="AD1313" s="1250"/>
      <c r="AE1313" s="1249">
        <v>2</v>
      </c>
      <c r="AF1313" s="1250">
        <v>165.3648</v>
      </c>
      <c r="AG1313" s="111"/>
      <c r="AH1313" s="111"/>
      <c r="AI1313" s="111"/>
      <c r="AJ1313" s="111"/>
      <c r="AK1313" s="111"/>
      <c r="AL1313" s="111"/>
      <c r="AM1313" s="111">
        <v>496.09440000000001</v>
      </c>
    </row>
    <row r="1314" spans="1:39" ht="15" customHeight="1" x14ac:dyDescent="0.25">
      <c r="A1314" s="1409"/>
      <c r="B1314" s="1409"/>
      <c r="C1314" s="1409"/>
      <c r="D1314" s="1409"/>
      <c r="E1314" s="1247"/>
      <c r="F1314" s="1248" t="s">
        <v>5083</v>
      </c>
      <c r="G1314" s="111"/>
      <c r="H1314" s="1249">
        <v>2</v>
      </c>
      <c r="I1314" s="111" t="s">
        <v>1721</v>
      </c>
      <c r="J1314" s="1321" t="s">
        <v>5608</v>
      </c>
      <c r="K1314" s="162" t="s">
        <v>5610</v>
      </c>
      <c r="L1314" s="162" t="s">
        <v>5609</v>
      </c>
      <c r="M1314" s="111">
        <v>227.38320000000004</v>
      </c>
      <c r="N1314" s="111">
        <v>454.76640000000009</v>
      </c>
      <c r="O1314" s="111"/>
      <c r="P1314" s="111"/>
      <c r="Q1314" s="111"/>
      <c r="R1314" s="111"/>
      <c r="S1314" s="1249">
        <v>2</v>
      </c>
      <c r="T1314" s="1250">
        <v>151.58880000000002</v>
      </c>
      <c r="U1314" s="1250"/>
      <c r="V1314" s="1250"/>
      <c r="W1314" s="1251">
        <v>0</v>
      </c>
      <c r="X1314" s="1250">
        <v>151.58880000000002</v>
      </c>
      <c r="Y1314" s="1250"/>
      <c r="Z1314" s="1250"/>
      <c r="AA1314" s="1250"/>
      <c r="AB1314" s="1250"/>
      <c r="AC1314" s="1250"/>
      <c r="AD1314" s="1250"/>
      <c r="AE1314" s="1249">
        <v>0</v>
      </c>
      <c r="AF1314" s="1250">
        <v>151.58880000000002</v>
      </c>
      <c r="AG1314" s="111"/>
      <c r="AH1314" s="111"/>
      <c r="AI1314" s="111"/>
      <c r="AJ1314" s="111"/>
      <c r="AK1314" s="111"/>
      <c r="AL1314" s="111"/>
      <c r="AM1314" s="111">
        <v>454.76640000000009</v>
      </c>
    </row>
    <row r="1315" spans="1:39" ht="15" customHeight="1" x14ac:dyDescent="0.25">
      <c r="A1315" s="1409"/>
      <c r="B1315" s="1409"/>
      <c r="C1315" s="1409"/>
      <c r="D1315" s="1409"/>
      <c r="E1315" s="1247"/>
      <c r="F1315" s="1248" t="s">
        <v>1219</v>
      </c>
      <c r="G1315" s="111"/>
      <c r="H1315" s="1249">
        <v>7</v>
      </c>
      <c r="I1315" s="111" t="s">
        <v>1721</v>
      </c>
      <c r="J1315" s="1321" t="s">
        <v>5608</v>
      </c>
      <c r="K1315" s="162" t="s">
        <v>5610</v>
      </c>
      <c r="L1315" s="162" t="s">
        <v>5609</v>
      </c>
      <c r="M1315" s="111">
        <v>23.338697142857143</v>
      </c>
      <c r="N1315" s="111">
        <v>163.37088</v>
      </c>
      <c r="O1315" s="111"/>
      <c r="P1315" s="111"/>
      <c r="Q1315" s="111"/>
      <c r="R1315" s="111"/>
      <c r="S1315" s="1249">
        <v>3</v>
      </c>
      <c r="T1315" s="1250">
        <v>54.456960000000002</v>
      </c>
      <c r="U1315" s="1250"/>
      <c r="V1315" s="1250"/>
      <c r="W1315" s="1251">
        <v>2</v>
      </c>
      <c r="X1315" s="1250">
        <v>54.456960000000002</v>
      </c>
      <c r="Y1315" s="1250"/>
      <c r="Z1315" s="1250"/>
      <c r="AA1315" s="1250"/>
      <c r="AB1315" s="1250"/>
      <c r="AC1315" s="1250"/>
      <c r="AD1315" s="1250"/>
      <c r="AE1315" s="1249">
        <v>2</v>
      </c>
      <c r="AF1315" s="1250">
        <v>54.456960000000002</v>
      </c>
      <c r="AG1315" s="111"/>
      <c r="AH1315" s="111"/>
      <c r="AI1315" s="111"/>
      <c r="AJ1315" s="111"/>
      <c r="AK1315" s="111"/>
      <c r="AL1315" s="111"/>
      <c r="AM1315" s="111">
        <v>163.37088</v>
      </c>
    </row>
    <row r="1316" spans="1:39" ht="15" customHeight="1" x14ac:dyDescent="0.25">
      <c r="A1316" s="1409"/>
      <c r="B1316" s="1409"/>
      <c r="C1316" s="1409"/>
      <c r="D1316" s="1409"/>
      <c r="E1316" s="1247"/>
      <c r="F1316" s="1248" t="s">
        <v>5084</v>
      </c>
      <c r="G1316" s="111"/>
      <c r="H1316" s="1249">
        <v>12</v>
      </c>
      <c r="I1316" s="111" t="s">
        <v>1827</v>
      </c>
      <c r="J1316" s="1321" t="s">
        <v>5608</v>
      </c>
      <c r="K1316" s="162" t="s">
        <v>5610</v>
      </c>
      <c r="L1316" s="162" t="s">
        <v>5609</v>
      </c>
      <c r="M1316" s="111">
        <v>75.793666666666681</v>
      </c>
      <c r="N1316" s="111">
        <v>909.52400000000011</v>
      </c>
      <c r="O1316" s="111"/>
      <c r="P1316" s="111"/>
      <c r="Q1316" s="111"/>
      <c r="R1316" s="111"/>
      <c r="S1316" s="1249">
        <v>5</v>
      </c>
      <c r="T1316" s="1250">
        <v>303.17466666666672</v>
      </c>
      <c r="U1316" s="1250"/>
      <c r="V1316" s="1250"/>
      <c r="W1316" s="1251">
        <v>5</v>
      </c>
      <c r="X1316" s="1250">
        <v>303.17466666666672</v>
      </c>
      <c r="Y1316" s="1250"/>
      <c r="Z1316" s="1250"/>
      <c r="AA1316" s="1250"/>
      <c r="AB1316" s="1250"/>
      <c r="AC1316" s="1250"/>
      <c r="AD1316" s="1250"/>
      <c r="AE1316" s="1249">
        <v>2</v>
      </c>
      <c r="AF1316" s="1250">
        <v>303.17466666666672</v>
      </c>
      <c r="AG1316" s="111"/>
      <c r="AH1316" s="111"/>
      <c r="AI1316" s="111"/>
      <c r="AJ1316" s="111"/>
      <c r="AK1316" s="111"/>
      <c r="AL1316" s="111"/>
      <c r="AM1316" s="111">
        <v>909.52400000000011</v>
      </c>
    </row>
    <row r="1317" spans="1:39" ht="15" customHeight="1" x14ac:dyDescent="0.25">
      <c r="A1317" s="1409"/>
      <c r="B1317" s="1409"/>
      <c r="C1317" s="1409"/>
      <c r="D1317" s="1409"/>
      <c r="E1317" s="1247"/>
      <c r="F1317" s="1248" t="s">
        <v>5085</v>
      </c>
      <c r="G1317" s="111"/>
      <c r="H1317" s="1249">
        <v>7</v>
      </c>
      <c r="I1317" s="111" t="s">
        <v>1827</v>
      </c>
      <c r="J1317" s="1321" t="s">
        <v>5608</v>
      </c>
      <c r="K1317" s="162" t="s">
        <v>5610</v>
      </c>
      <c r="L1317" s="162" t="s">
        <v>5609</v>
      </c>
      <c r="M1317" s="111">
        <v>179.1502857142857</v>
      </c>
      <c r="N1317" s="111">
        <v>1254.0519999999999</v>
      </c>
      <c r="O1317" s="111"/>
      <c r="P1317" s="111"/>
      <c r="Q1317" s="111"/>
      <c r="R1317" s="111"/>
      <c r="S1317" s="1249">
        <v>3</v>
      </c>
      <c r="T1317" s="1250">
        <v>418.01733333333328</v>
      </c>
      <c r="U1317" s="1250"/>
      <c r="V1317" s="1250"/>
      <c r="W1317" s="1251">
        <v>2</v>
      </c>
      <c r="X1317" s="1250">
        <v>418.01733333333328</v>
      </c>
      <c r="Y1317" s="1250"/>
      <c r="Z1317" s="1250"/>
      <c r="AA1317" s="1250"/>
      <c r="AB1317" s="1250"/>
      <c r="AC1317" s="1250"/>
      <c r="AD1317" s="1250"/>
      <c r="AE1317" s="1249">
        <v>2</v>
      </c>
      <c r="AF1317" s="1250">
        <v>418.01733333333328</v>
      </c>
      <c r="AG1317" s="111"/>
      <c r="AH1317" s="111"/>
      <c r="AI1317" s="111"/>
      <c r="AJ1317" s="111"/>
      <c r="AK1317" s="111"/>
      <c r="AL1317" s="111"/>
      <c r="AM1317" s="111">
        <v>1254.0519999999999</v>
      </c>
    </row>
    <row r="1318" spans="1:39" ht="15" customHeight="1" x14ac:dyDescent="0.25">
      <c r="A1318" s="1409"/>
      <c r="B1318" s="1409"/>
      <c r="C1318" s="1409"/>
      <c r="D1318" s="1409"/>
      <c r="E1318" s="1247"/>
      <c r="F1318" s="1248" t="s">
        <v>1224</v>
      </c>
      <c r="G1318" s="111"/>
      <c r="H1318" s="1249">
        <v>3</v>
      </c>
      <c r="I1318" s="111" t="s">
        <v>1776</v>
      </c>
      <c r="J1318" s="1321" t="s">
        <v>5608</v>
      </c>
      <c r="K1318" s="162" t="s">
        <v>5610</v>
      </c>
      <c r="L1318" s="162" t="s">
        <v>5609</v>
      </c>
      <c r="M1318" s="111">
        <v>406.53359999999998</v>
      </c>
      <c r="N1318" s="111">
        <v>1219.6007999999999</v>
      </c>
      <c r="O1318" s="111"/>
      <c r="P1318" s="111"/>
      <c r="Q1318" s="111"/>
      <c r="R1318" s="111"/>
      <c r="S1318" s="1249">
        <v>1</v>
      </c>
      <c r="T1318" s="1250">
        <v>406.53359999999998</v>
      </c>
      <c r="U1318" s="1250"/>
      <c r="V1318" s="1250"/>
      <c r="W1318" s="1251">
        <v>1</v>
      </c>
      <c r="X1318" s="1250">
        <v>406.53359999999998</v>
      </c>
      <c r="Y1318" s="1250"/>
      <c r="Z1318" s="1250"/>
      <c r="AA1318" s="1250"/>
      <c r="AB1318" s="1250"/>
      <c r="AC1318" s="1250"/>
      <c r="AD1318" s="1250"/>
      <c r="AE1318" s="1249">
        <v>1</v>
      </c>
      <c r="AF1318" s="1250">
        <v>406.53359999999998</v>
      </c>
      <c r="AG1318" s="111"/>
      <c r="AH1318" s="111"/>
      <c r="AI1318" s="111"/>
      <c r="AJ1318" s="111"/>
      <c r="AK1318" s="111"/>
      <c r="AL1318" s="111"/>
      <c r="AM1318" s="111">
        <v>1219.6007999999999</v>
      </c>
    </row>
    <row r="1319" spans="1:39" ht="15" customHeight="1" x14ac:dyDescent="0.25">
      <c r="A1319" s="1409"/>
      <c r="B1319" s="1409"/>
      <c r="C1319" s="1409"/>
      <c r="D1319" s="1409"/>
      <c r="E1319" s="1247"/>
      <c r="F1319" s="1248" t="s">
        <v>2987</v>
      </c>
      <c r="G1319" s="111"/>
      <c r="H1319" s="1249">
        <v>32</v>
      </c>
      <c r="I1319" s="111" t="s">
        <v>1776</v>
      </c>
      <c r="J1319" s="1321" t="s">
        <v>5608</v>
      </c>
      <c r="K1319" s="162" t="s">
        <v>5610</v>
      </c>
      <c r="L1319" s="162" t="s">
        <v>5609</v>
      </c>
      <c r="M1319" s="111">
        <v>226.40200000000004</v>
      </c>
      <c r="N1319" s="111">
        <v>7244.8640000000014</v>
      </c>
      <c r="O1319" s="111"/>
      <c r="P1319" s="111"/>
      <c r="Q1319" s="111"/>
      <c r="R1319" s="111"/>
      <c r="S1319" s="1249">
        <v>12</v>
      </c>
      <c r="T1319" s="1250">
        <v>2414.954666666667</v>
      </c>
      <c r="U1319" s="1250"/>
      <c r="V1319" s="1250"/>
      <c r="W1319" s="1251">
        <v>10</v>
      </c>
      <c r="X1319" s="1250">
        <v>2414.954666666667</v>
      </c>
      <c r="Y1319" s="1250"/>
      <c r="Z1319" s="1250"/>
      <c r="AA1319" s="1250"/>
      <c r="AB1319" s="1250"/>
      <c r="AC1319" s="1250"/>
      <c r="AD1319" s="1250"/>
      <c r="AE1319" s="1249">
        <v>10</v>
      </c>
      <c r="AF1319" s="1250">
        <v>2414.954666666667</v>
      </c>
      <c r="AG1319" s="111"/>
      <c r="AH1319" s="111"/>
      <c r="AI1319" s="111"/>
      <c r="AJ1319" s="111"/>
      <c r="AK1319" s="111"/>
      <c r="AL1319" s="111"/>
      <c r="AM1319" s="111">
        <v>7244.8640000000014</v>
      </c>
    </row>
    <row r="1320" spans="1:39" ht="15" customHeight="1" x14ac:dyDescent="0.25">
      <c r="A1320" s="1409"/>
      <c r="B1320" s="1409"/>
      <c r="C1320" s="1409"/>
      <c r="D1320" s="1409"/>
      <c r="E1320" s="1247"/>
      <c r="F1320" s="1248" t="s">
        <v>5086</v>
      </c>
      <c r="G1320" s="111"/>
      <c r="H1320" s="1249">
        <v>1</v>
      </c>
      <c r="I1320" s="111" t="s">
        <v>1776</v>
      </c>
      <c r="J1320" s="1321" t="s">
        <v>5608</v>
      </c>
      <c r="K1320" s="162" t="s">
        <v>5610</v>
      </c>
      <c r="L1320" s="162" t="s">
        <v>5609</v>
      </c>
      <c r="M1320" s="111">
        <v>2273.83</v>
      </c>
      <c r="N1320" s="111">
        <v>2273.83</v>
      </c>
      <c r="O1320" s="111"/>
      <c r="P1320" s="111"/>
      <c r="Q1320" s="111"/>
      <c r="R1320" s="111"/>
      <c r="S1320" s="1249">
        <v>1</v>
      </c>
      <c r="T1320" s="1250">
        <v>757.94333333333327</v>
      </c>
      <c r="U1320" s="1250"/>
      <c r="V1320" s="1250"/>
      <c r="W1320" s="1251">
        <v>0</v>
      </c>
      <c r="X1320" s="1250">
        <v>757.94333333333327</v>
      </c>
      <c r="Y1320" s="1250"/>
      <c r="Z1320" s="1250"/>
      <c r="AA1320" s="1250"/>
      <c r="AB1320" s="1250"/>
      <c r="AC1320" s="1250"/>
      <c r="AD1320" s="1250"/>
      <c r="AE1320" s="1249">
        <v>0</v>
      </c>
      <c r="AF1320" s="1250">
        <v>757.94333333333327</v>
      </c>
      <c r="AG1320" s="111"/>
      <c r="AH1320" s="111"/>
      <c r="AI1320" s="111"/>
      <c r="AJ1320" s="111"/>
      <c r="AK1320" s="111"/>
      <c r="AL1320" s="111"/>
      <c r="AM1320" s="111">
        <v>2273.83</v>
      </c>
    </row>
    <row r="1321" spans="1:39" ht="15" customHeight="1" x14ac:dyDescent="0.25">
      <c r="A1321" s="1409"/>
      <c r="B1321" s="1409"/>
      <c r="C1321" s="1409"/>
      <c r="D1321" s="1409"/>
      <c r="E1321" s="1247"/>
      <c r="F1321" s="1248" t="s">
        <v>5087</v>
      </c>
      <c r="G1321" s="111"/>
      <c r="H1321" s="1249">
        <v>2</v>
      </c>
      <c r="I1321" s="111" t="s">
        <v>1776</v>
      </c>
      <c r="J1321" s="1321" t="s">
        <v>5608</v>
      </c>
      <c r="K1321" s="162" t="s">
        <v>5610</v>
      </c>
      <c r="L1321" s="162" t="s">
        <v>5609</v>
      </c>
      <c r="M1321" s="111">
        <v>2273.8320000000003</v>
      </c>
      <c r="N1321" s="111">
        <v>4547.6640000000007</v>
      </c>
      <c r="O1321" s="111"/>
      <c r="P1321" s="111"/>
      <c r="Q1321" s="111"/>
      <c r="R1321" s="111"/>
      <c r="S1321" s="1249">
        <v>2</v>
      </c>
      <c r="T1321" s="1250">
        <v>1515.8880000000001</v>
      </c>
      <c r="U1321" s="1250"/>
      <c r="V1321" s="1250"/>
      <c r="W1321" s="1251">
        <v>0</v>
      </c>
      <c r="X1321" s="1250">
        <v>1515.8880000000001</v>
      </c>
      <c r="Y1321" s="1250"/>
      <c r="Z1321" s="1250"/>
      <c r="AA1321" s="1250"/>
      <c r="AB1321" s="1250"/>
      <c r="AC1321" s="1250"/>
      <c r="AD1321" s="1250"/>
      <c r="AE1321" s="1249">
        <v>0</v>
      </c>
      <c r="AF1321" s="1250">
        <v>1515.8880000000001</v>
      </c>
      <c r="AG1321" s="111"/>
      <c r="AH1321" s="111"/>
      <c r="AI1321" s="111"/>
      <c r="AJ1321" s="111"/>
      <c r="AK1321" s="111"/>
      <c r="AL1321" s="111"/>
      <c r="AM1321" s="111">
        <v>4547.6640000000007</v>
      </c>
    </row>
    <row r="1322" spans="1:39" ht="15" customHeight="1" x14ac:dyDescent="0.25">
      <c r="A1322" s="1409"/>
      <c r="B1322" s="1409"/>
      <c r="C1322" s="1409"/>
      <c r="D1322" s="1409"/>
      <c r="E1322" s="1247"/>
      <c r="F1322" s="1248" t="s">
        <v>5088</v>
      </c>
      <c r="G1322" s="111"/>
      <c r="H1322" s="1249">
        <v>8</v>
      </c>
      <c r="I1322" s="111" t="s">
        <v>1721</v>
      </c>
      <c r="J1322" s="1321" t="s">
        <v>5608</v>
      </c>
      <c r="K1322" s="162" t="s">
        <v>5610</v>
      </c>
      <c r="L1322" s="162" t="s">
        <v>5609</v>
      </c>
      <c r="M1322" s="111">
        <v>1171.3680000000002</v>
      </c>
      <c r="N1322" s="111">
        <v>9370.9440000000013</v>
      </c>
      <c r="O1322" s="111"/>
      <c r="P1322" s="111"/>
      <c r="Q1322" s="111"/>
      <c r="R1322" s="111"/>
      <c r="S1322" s="1249">
        <v>4</v>
      </c>
      <c r="T1322" s="1250">
        <v>3123.6480000000006</v>
      </c>
      <c r="U1322" s="1250"/>
      <c r="V1322" s="1250"/>
      <c r="W1322" s="1251">
        <v>2</v>
      </c>
      <c r="X1322" s="1250">
        <v>3123.6480000000006</v>
      </c>
      <c r="Y1322" s="1250"/>
      <c r="Z1322" s="1250"/>
      <c r="AA1322" s="1250"/>
      <c r="AB1322" s="1250"/>
      <c r="AC1322" s="1250"/>
      <c r="AD1322" s="1250"/>
      <c r="AE1322" s="1249">
        <v>2</v>
      </c>
      <c r="AF1322" s="1250">
        <v>3123.6480000000006</v>
      </c>
      <c r="AG1322" s="111"/>
      <c r="AH1322" s="111"/>
      <c r="AI1322" s="111"/>
      <c r="AJ1322" s="111"/>
      <c r="AK1322" s="111"/>
      <c r="AL1322" s="111"/>
      <c r="AM1322" s="111">
        <v>9370.9440000000013</v>
      </c>
    </row>
    <row r="1323" spans="1:39" ht="15" customHeight="1" x14ac:dyDescent="0.25">
      <c r="A1323" s="1409"/>
      <c r="B1323" s="1409"/>
      <c r="C1323" s="1409"/>
      <c r="D1323" s="1409"/>
      <c r="E1323" s="1247"/>
      <c r="F1323" s="1248" t="s">
        <v>5089</v>
      </c>
      <c r="G1323" s="111"/>
      <c r="H1323" s="1249">
        <v>2</v>
      </c>
      <c r="I1323" s="111" t="s">
        <v>1721</v>
      </c>
      <c r="J1323" s="1321" t="s">
        <v>5608</v>
      </c>
      <c r="K1323" s="162" t="s">
        <v>5610</v>
      </c>
      <c r="L1323" s="162" t="s">
        <v>5609</v>
      </c>
      <c r="M1323" s="111">
        <v>3651.9120000000007</v>
      </c>
      <c r="N1323" s="111">
        <v>7303.8240000000014</v>
      </c>
      <c r="O1323" s="111"/>
      <c r="P1323" s="111"/>
      <c r="Q1323" s="111"/>
      <c r="R1323" s="111"/>
      <c r="S1323" s="1249">
        <v>2</v>
      </c>
      <c r="T1323" s="1250">
        <v>2434.6080000000006</v>
      </c>
      <c r="U1323" s="1250"/>
      <c r="V1323" s="1250"/>
      <c r="W1323" s="1251">
        <v>0</v>
      </c>
      <c r="X1323" s="1250">
        <v>2434.6080000000006</v>
      </c>
      <c r="Y1323" s="1250"/>
      <c r="Z1323" s="1250"/>
      <c r="AA1323" s="1250"/>
      <c r="AB1323" s="1250"/>
      <c r="AC1323" s="1250"/>
      <c r="AD1323" s="1250"/>
      <c r="AE1323" s="1249">
        <v>0</v>
      </c>
      <c r="AF1323" s="1250">
        <v>2434.6080000000006</v>
      </c>
      <c r="AG1323" s="111"/>
      <c r="AH1323" s="111"/>
      <c r="AI1323" s="111"/>
      <c r="AJ1323" s="111"/>
      <c r="AK1323" s="111"/>
      <c r="AL1323" s="111"/>
      <c r="AM1323" s="111">
        <v>7303.8240000000014</v>
      </c>
    </row>
    <row r="1324" spans="1:39" ht="15" customHeight="1" x14ac:dyDescent="0.25">
      <c r="A1324" s="1409"/>
      <c r="B1324" s="1409"/>
      <c r="C1324" s="1409"/>
      <c r="D1324" s="1409"/>
      <c r="E1324" s="1247"/>
      <c r="F1324" s="1248" t="s">
        <v>5090</v>
      </c>
      <c r="G1324" s="111"/>
      <c r="H1324" s="1249">
        <v>100</v>
      </c>
      <c r="I1324" s="111" t="s">
        <v>1721</v>
      </c>
      <c r="J1324" s="1321" t="s">
        <v>5608</v>
      </c>
      <c r="K1324" s="162" t="s">
        <v>5610</v>
      </c>
      <c r="L1324" s="162" t="s">
        <v>5609</v>
      </c>
      <c r="M1324" s="111">
        <v>5.5123200000000008</v>
      </c>
      <c r="N1324" s="111">
        <v>551.23200000000008</v>
      </c>
      <c r="O1324" s="111"/>
      <c r="P1324" s="111"/>
      <c r="Q1324" s="111"/>
      <c r="R1324" s="111"/>
      <c r="S1324" s="1249">
        <v>40</v>
      </c>
      <c r="T1324" s="1250">
        <v>183.74400000000003</v>
      </c>
      <c r="U1324" s="1250"/>
      <c r="V1324" s="1250"/>
      <c r="W1324" s="1251">
        <v>40</v>
      </c>
      <c r="X1324" s="1250">
        <v>183.74400000000003</v>
      </c>
      <c r="Y1324" s="1250"/>
      <c r="Z1324" s="1250"/>
      <c r="AA1324" s="1250"/>
      <c r="AB1324" s="1250"/>
      <c r="AC1324" s="1250"/>
      <c r="AD1324" s="1250"/>
      <c r="AE1324" s="1249">
        <v>20</v>
      </c>
      <c r="AF1324" s="1250">
        <v>183.74400000000003</v>
      </c>
      <c r="AG1324" s="111"/>
      <c r="AH1324" s="111"/>
      <c r="AI1324" s="111"/>
      <c r="AJ1324" s="111"/>
      <c r="AK1324" s="111"/>
      <c r="AL1324" s="111"/>
      <c r="AM1324" s="111">
        <v>551.23200000000008</v>
      </c>
    </row>
    <row r="1325" spans="1:39" ht="15" customHeight="1" x14ac:dyDescent="0.25">
      <c r="A1325" s="1409"/>
      <c r="B1325" s="1409"/>
      <c r="C1325" s="1409"/>
      <c r="D1325" s="1409"/>
      <c r="E1325" s="1247"/>
      <c r="F1325" s="1248" t="s">
        <v>5091</v>
      </c>
      <c r="G1325" s="111"/>
      <c r="H1325" s="1249">
        <v>4</v>
      </c>
      <c r="I1325" s="111" t="s">
        <v>1725</v>
      </c>
      <c r="J1325" s="1321" t="s">
        <v>5608</v>
      </c>
      <c r="K1325" s="162" t="s">
        <v>5610</v>
      </c>
      <c r="L1325" s="162" t="s">
        <v>5609</v>
      </c>
      <c r="M1325" s="111">
        <v>172.26</v>
      </c>
      <c r="N1325" s="111">
        <v>689.04</v>
      </c>
      <c r="O1325" s="111"/>
      <c r="P1325" s="111"/>
      <c r="Q1325" s="111"/>
      <c r="R1325" s="111"/>
      <c r="S1325" s="1249">
        <v>2</v>
      </c>
      <c r="T1325" s="1250">
        <v>229.67999999999998</v>
      </c>
      <c r="U1325" s="1250"/>
      <c r="V1325" s="1250"/>
      <c r="W1325" s="1251">
        <v>1</v>
      </c>
      <c r="X1325" s="1250">
        <v>229.67999999999998</v>
      </c>
      <c r="Y1325" s="1250"/>
      <c r="Z1325" s="1250"/>
      <c r="AA1325" s="1250"/>
      <c r="AB1325" s="1250"/>
      <c r="AC1325" s="1250"/>
      <c r="AD1325" s="1250"/>
      <c r="AE1325" s="1249">
        <v>1</v>
      </c>
      <c r="AF1325" s="1250">
        <v>229.67999999999998</v>
      </c>
      <c r="AG1325" s="111"/>
      <c r="AH1325" s="111"/>
      <c r="AI1325" s="111"/>
      <c r="AJ1325" s="111"/>
      <c r="AK1325" s="111"/>
      <c r="AL1325" s="111"/>
      <c r="AM1325" s="111">
        <v>689.04</v>
      </c>
    </row>
    <row r="1326" spans="1:39" ht="15" customHeight="1" x14ac:dyDescent="0.25">
      <c r="A1326" s="1409"/>
      <c r="B1326" s="1409"/>
      <c r="C1326" s="1409"/>
      <c r="D1326" s="1409"/>
      <c r="E1326" s="1247"/>
      <c r="F1326" s="1248" t="s">
        <v>1221</v>
      </c>
      <c r="G1326" s="111"/>
      <c r="H1326" s="1249">
        <v>100</v>
      </c>
      <c r="I1326" s="111" t="s">
        <v>1721</v>
      </c>
      <c r="J1326" s="1321" t="s">
        <v>5608</v>
      </c>
      <c r="K1326" s="162" t="s">
        <v>5610</v>
      </c>
      <c r="L1326" s="162" t="s">
        <v>5609</v>
      </c>
      <c r="M1326" s="111">
        <v>1.6536959999999998</v>
      </c>
      <c r="N1326" s="111">
        <v>165.36959999999999</v>
      </c>
      <c r="O1326" s="111"/>
      <c r="P1326" s="111"/>
      <c r="Q1326" s="111"/>
      <c r="R1326" s="111"/>
      <c r="S1326" s="1249">
        <v>40</v>
      </c>
      <c r="T1326" s="1250">
        <v>55.123199999999997</v>
      </c>
      <c r="U1326" s="1250"/>
      <c r="V1326" s="1250"/>
      <c r="W1326" s="1251">
        <v>40</v>
      </c>
      <c r="X1326" s="1250">
        <v>55.123199999999997</v>
      </c>
      <c r="Y1326" s="1250"/>
      <c r="Z1326" s="1250"/>
      <c r="AA1326" s="1250"/>
      <c r="AB1326" s="1250"/>
      <c r="AC1326" s="1250"/>
      <c r="AD1326" s="1250"/>
      <c r="AE1326" s="1249">
        <v>20</v>
      </c>
      <c r="AF1326" s="1250">
        <v>55.123199999999997</v>
      </c>
      <c r="AG1326" s="111"/>
      <c r="AH1326" s="111"/>
      <c r="AI1326" s="111"/>
      <c r="AJ1326" s="111"/>
      <c r="AK1326" s="111"/>
      <c r="AL1326" s="111"/>
      <c r="AM1326" s="111">
        <v>165.36959999999999</v>
      </c>
    </row>
    <row r="1327" spans="1:39" ht="15" customHeight="1" x14ac:dyDescent="0.25">
      <c r="A1327" s="1409"/>
      <c r="B1327" s="1409"/>
      <c r="C1327" s="1409"/>
      <c r="D1327" s="1409"/>
      <c r="E1327" s="1247"/>
      <c r="F1327" s="1248" t="s">
        <v>2982</v>
      </c>
      <c r="G1327" s="111"/>
      <c r="H1327" s="1249">
        <v>1</v>
      </c>
      <c r="I1327" s="111" t="s">
        <v>1721</v>
      </c>
      <c r="J1327" s="1321" t="s">
        <v>5608</v>
      </c>
      <c r="K1327" s="162" t="s">
        <v>5610</v>
      </c>
      <c r="L1327" s="162" t="s">
        <v>5609</v>
      </c>
      <c r="M1327" s="111">
        <v>41.91</v>
      </c>
      <c r="N1327" s="111">
        <v>41.91</v>
      </c>
      <c r="O1327" s="111"/>
      <c r="P1327" s="111"/>
      <c r="Q1327" s="111"/>
      <c r="R1327" s="111"/>
      <c r="S1327" s="1249">
        <v>1</v>
      </c>
      <c r="T1327" s="1250">
        <v>13.969999999999999</v>
      </c>
      <c r="U1327" s="1250"/>
      <c r="V1327" s="1250"/>
      <c r="W1327" s="1251">
        <v>0</v>
      </c>
      <c r="X1327" s="1250">
        <v>13.969999999999999</v>
      </c>
      <c r="Y1327" s="1250"/>
      <c r="Z1327" s="1250"/>
      <c r="AA1327" s="1250"/>
      <c r="AB1327" s="1250"/>
      <c r="AC1327" s="1250"/>
      <c r="AD1327" s="1250"/>
      <c r="AE1327" s="1249">
        <v>0</v>
      </c>
      <c r="AF1327" s="1250">
        <v>13.969999999999999</v>
      </c>
      <c r="AG1327" s="111"/>
      <c r="AH1327" s="111"/>
      <c r="AI1327" s="111"/>
      <c r="AJ1327" s="111"/>
      <c r="AK1327" s="111"/>
      <c r="AL1327" s="111"/>
      <c r="AM1327" s="111">
        <v>41.91</v>
      </c>
    </row>
    <row r="1328" spans="1:39" ht="15" customHeight="1" x14ac:dyDescent="0.25">
      <c r="A1328" s="1409"/>
      <c r="B1328" s="1409"/>
      <c r="C1328" s="1409"/>
      <c r="D1328" s="1409"/>
      <c r="E1328" s="1247"/>
      <c r="F1328" s="1248" t="s">
        <v>2983</v>
      </c>
      <c r="G1328" s="111"/>
      <c r="H1328" s="1249">
        <v>1</v>
      </c>
      <c r="I1328" s="111" t="s">
        <v>1721</v>
      </c>
      <c r="J1328" s="1321" t="s">
        <v>5608</v>
      </c>
      <c r="K1328" s="162" t="s">
        <v>5610</v>
      </c>
      <c r="L1328" s="162" t="s">
        <v>5609</v>
      </c>
      <c r="M1328" s="111">
        <v>302.21640000000002</v>
      </c>
      <c r="N1328" s="111">
        <v>302.21640000000002</v>
      </c>
      <c r="O1328" s="111"/>
      <c r="P1328" s="111"/>
      <c r="Q1328" s="111"/>
      <c r="R1328" s="111"/>
      <c r="S1328" s="1249">
        <v>1</v>
      </c>
      <c r="T1328" s="1250">
        <v>100.73880000000001</v>
      </c>
      <c r="U1328" s="1250"/>
      <c r="V1328" s="1250"/>
      <c r="W1328" s="1251">
        <v>0</v>
      </c>
      <c r="X1328" s="1250">
        <v>100.73880000000001</v>
      </c>
      <c r="Y1328" s="1250"/>
      <c r="Z1328" s="1250"/>
      <c r="AA1328" s="1250"/>
      <c r="AB1328" s="1250"/>
      <c r="AC1328" s="1250"/>
      <c r="AD1328" s="1250"/>
      <c r="AE1328" s="1249">
        <v>0</v>
      </c>
      <c r="AF1328" s="1250">
        <v>100.73880000000001</v>
      </c>
      <c r="AG1328" s="111"/>
      <c r="AH1328" s="111"/>
      <c r="AI1328" s="111"/>
      <c r="AJ1328" s="111"/>
      <c r="AK1328" s="111"/>
      <c r="AL1328" s="111"/>
      <c r="AM1328" s="111">
        <v>302.21640000000002</v>
      </c>
    </row>
    <row r="1329" spans="1:39" ht="15" customHeight="1" x14ac:dyDescent="0.25">
      <c r="A1329" s="1409"/>
      <c r="B1329" s="1409"/>
      <c r="C1329" s="1409"/>
      <c r="D1329" s="1409"/>
      <c r="E1329" s="1247"/>
      <c r="F1329" s="1248" t="s">
        <v>2984</v>
      </c>
      <c r="G1329" s="111"/>
      <c r="H1329" s="1249">
        <v>1</v>
      </c>
      <c r="I1329" s="111" t="s">
        <v>1721</v>
      </c>
      <c r="J1329" s="1321" t="s">
        <v>5608</v>
      </c>
      <c r="K1329" s="162" t="s">
        <v>5610</v>
      </c>
      <c r="L1329" s="162" t="s">
        <v>5609</v>
      </c>
      <c r="M1329" s="111">
        <v>81.540000000000006</v>
      </c>
      <c r="N1329" s="111">
        <v>81.540000000000006</v>
      </c>
      <c r="O1329" s="111"/>
      <c r="P1329" s="111"/>
      <c r="Q1329" s="111"/>
      <c r="R1329" s="111"/>
      <c r="S1329" s="1249">
        <v>1</v>
      </c>
      <c r="T1329" s="1250">
        <v>27.180000000000003</v>
      </c>
      <c r="U1329" s="1250"/>
      <c r="V1329" s="1250"/>
      <c r="W1329" s="1251">
        <v>0</v>
      </c>
      <c r="X1329" s="1250">
        <v>27.180000000000003</v>
      </c>
      <c r="Y1329" s="1250"/>
      <c r="Z1329" s="1250"/>
      <c r="AA1329" s="1250"/>
      <c r="AB1329" s="1250"/>
      <c r="AC1329" s="1250"/>
      <c r="AD1329" s="1250"/>
      <c r="AE1329" s="1249">
        <v>0</v>
      </c>
      <c r="AF1329" s="1250">
        <v>27.180000000000003</v>
      </c>
      <c r="AG1329" s="111"/>
      <c r="AH1329" s="111"/>
      <c r="AI1329" s="111"/>
      <c r="AJ1329" s="111"/>
      <c r="AK1329" s="111"/>
      <c r="AL1329" s="111"/>
      <c r="AM1329" s="111">
        <v>81.540000000000006</v>
      </c>
    </row>
    <row r="1330" spans="1:39" ht="15" customHeight="1" x14ac:dyDescent="0.25">
      <c r="A1330" s="1409"/>
      <c r="B1330" s="1409"/>
      <c r="C1330" s="1409"/>
      <c r="D1330" s="1409"/>
      <c r="E1330" s="1247"/>
      <c r="F1330" s="1248" t="s">
        <v>2985</v>
      </c>
      <c r="G1330" s="111"/>
      <c r="H1330" s="1249">
        <v>1</v>
      </c>
      <c r="I1330" s="111" t="s">
        <v>1721</v>
      </c>
      <c r="J1330" s="1321" t="s">
        <v>5608</v>
      </c>
      <c r="K1330" s="162" t="s">
        <v>5610</v>
      </c>
      <c r="L1330" s="162" t="s">
        <v>5609</v>
      </c>
      <c r="M1330" s="111">
        <v>21.38</v>
      </c>
      <c r="N1330" s="111">
        <v>21.38</v>
      </c>
      <c r="O1330" s="111"/>
      <c r="P1330" s="111"/>
      <c r="Q1330" s="111"/>
      <c r="R1330" s="111"/>
      <c r="S1330" s="1249">
        <v>1</v>
      </c>
      <c r="T1330" s="1250">
        <v>7.126666666666666</v>
      </c>
      <c r="U1330" s="1250"/>
      <c r="V1330" s="1250"/>
      <c r="W1330" s="1251">
        <v>0</v>
      </c>
      <c r="X1330" s="1250">
        <v>7.126666666666666</v>
      </c>
      <c r="Y1330" s="1250"/>
      <c r="Z1330" s="1250"/>
      <c r="AA1330" s="1250"/>
      <c r="AB1330" s="1250"/>
      <c r="AC1330" s="1250"/>
      <c r="AD1330" s="1250"/>
      <c r="AE1330" s="1249">
        <v>0</v>
      </c>
      <c r="AF1330" s="1250">
        <v>7.126666666666666</v>
      </c>
      <c r="AG1330" s="111"/>
      <c r="AH1330" s="111"/>
      <c r="AI1330" s="111"/>
      <c r="AJ1330" s="111"/>
      <c r="AK1330" s="111"/>
      <c r="AL1330" s="111"/>
      <c r="AM1330" s="111">
        <v>21.38</v>
      </c>
    </row>
    <row r="1331" spans="1:39" ht="15" customHeight="1" x14ac:dyDescent="0.25">
      <c r="A1331" s="1409"/>
      <c r="B1331" s="1409"/>
      <c r="C1331" s="1409"/>
      <c r="D1331" s="1409"/>
      <c r="E1331" s="1247"/>
      <c r="F1331" s="1248" t="s">
        <v>2986</v>
      </c>
      <c r="G1331" s="111"/>
      <c r="H1331" s="1249">
        <v>1</v>
      </c>
      <c r="I1331" s="111" t="s">
        <v>1721</v>
      </c>
      <c r="J1331" s="1321" t="s">
        <v>5608</v>
      </c>
      <c r="K1331" s="162" t="s">
        <v>5610</v>
      </c>
      <c r="L1331" s="162" t="s">
        <v>5609</v>
      </c>
      <c r="M1331" s="111">
        <v>59.395248000000002</v>
      </c>
      <c r="N1331" s="111">
        <v>59.395248000000002</v>
      </c>
      <c r="O1331" s="111"/>
      <c r="P1331" s="111"/>
      <c r="Q1331" s="111"/>
      <c r="R1331" s="111"/>
      <c r="S1331" s="1249">
        <v>1</v>
      </c>
      <c r="T1331" s="1250">
        <v>19.798416</v>
      </c>
      <c r="U1331" s="1250"/>
      <c r="V1331" s="1250"/>
      <c r="W1331" s="1251">
        <v>0</v>
      </c>
      <c r="X1331" s="1250">
        <v>19.798416</v>
      </c>
      <c r="Y1331" s="1250"/>
      <c r="Z1331" s="1250"/>
      <c r="AA1331" s="1250"/>
      <c r="AB1331" s="1250"/>
      <c r="AC1331" s="1250"/>
      <c r="AD1331" s="1250"/>
      <c r="AE1331" s="1249">
        <v>0</v>
      </c>
      <c r="AF1331" s="1250">
        <v>19.798416</v>
      </c>
      <c r="AG1331" s="111"/>
      <c r="AH1331" s="111"/>
      <c r="AI1331" s="111"/>
      <c r="AJ1331" s="111"/>
      <c r="AK1331" s="111"/>
      <c r="AL1331" s="111"/>
      <c r="AM1331" s="111">
        <v>59.395248000000002</v>
      </c>
    </row>
    <row r="1332" spans="1:39" ht="15" customHeight="1" x14ac:dyDescent="0.25">
      <c r="A1332" s="1409"/>
      <c r="B1332" s="1409"/>
      <c r="C1332" s="1409"/>
      <c r="D1332" s="1409"/>
      <c r="E1332" s="1247"/>
      <c r="F1332" s="1248" t="s">
        <v>2988</v>
      </c>
      <c r="G1332" s="111"/>
      <c r="H1332" s="1249">
        <v>1</v>
      </c>
      <c r="I1332" s="111" t="s">
        <v>1721</v>
      </c>
      <c r="J1332" s="1321" t="s">
        <v>5608</v>
      </c>
      <c r="K1332" s="162" t="s">
        <v>5610</v>
      </c>
      <c r="L1332" s="162" t="s">
        <v>5609</v>
      </c>
      <c r="M1332" s="111">
        <v>53.46</v>
      </c>
      <c r="N1332" s="111">
        <v>53.46</v>
      </c>
      <c r="O1332" s="111"/>
      <c r="P1332" s="111"/>
      <c r="Q1332" s="111"/>
      <c r="R1332" s="111"/>
      <c r="S1332" s="1249">
        <v>1</v>
      </c>
      <c r="T1332" s="1250">
        <v>17.82</v>
      </c>
      <c r="U1332" s="1250"/>
      <c r="V1332" s="1250"/>
      <c r="W1332" s="1251">
        <v>0</v>
      </c>
      <c r="X1332" s="1250">
        <v>17.82</v>
      </c>
      <c r="Y1332" s="1250"/>
      <c r="Z1332" s="1250"/>
      <c r="AA1332" s="1250"/>
      <c r="AB1332" s="1250"/>
      <c r="AC1332" s="1250"/>
      <c r="AD1332" s="1250"/>
      <c r="AE1332" s="1249">
        <v>0</v>
      </c>
      <c r="AF1332" s="1250">
        <v>17.82</v>
      </c>
      <c r="AG1332" s="111"/>
      <c r="AH1332" s="111"/>
      <c r="AI1332" s="111"/>
      <c r="AJ1332" s="111"/>
      <c r="AK1332" s="111"/>
      <c r="AL1332" s="111"/>
      <c r="AM1332" s="111">
        <v>53.46</v>
      </c>
    </row>
    <row r="1333" spans="1:39" ht="15" customHeight="1" x14ac:dyDescent="0.25">
      <c r="A1333" s="1409"/>
      <c r="B1333" s="1409"/>
      <c r="C1333" s="1409"/>
      <c r="D1333" s="1409"/>
      <c r="E1333" s="1247"/>
      <c r="F1333" s="1248" t="s">
        <v>2989</v>
      </c>
      <c r="G1333" s="111"/>
      <c r="H1333" s="1249">
        <v>1</v>
      </c>
      <c r="I1333" s="111" t="s">
        <v>1721</v>
      </c>
      <c r="J1333" s="1321" t="s">
        <v>5608</v>
      </c>
      <c r="K1333" s="162" t="s">
        <v>5610</v>
      </c>
      <c r="L1333" s="162" t="s">
        <v>5609</v>
      </c>
      <c r="M1333" s="111">
        <v>514.1400000000001</v>
      </c>
      <c r="N1333" s="111">
        <v>514.1400000000001</v>
      </c>
      <c r="O1333" s="111"/>
      <c r="P1333" s="111"/>
      <c r="Q1333" s="111"/>
      <c r="R1333" s="111"/>
      <c r="S1333" s="1249">
        <v>1</v>
      </c>
      <c r="T1333" s="1250">
        <v>171.38000000000002</v>
      </c>
      <c r="U1333" s="1250"/>
      <c r="V1333" s="1250"/>
      <c r="W1333" s="1251">
        <v>0</v>
      </c>
      <c r="X1333" s="1250">
        <v>171.38000000000002</v>
      </c>
      <c r="Y1333" s="1250"/>
      <c r="Z1333" s="1250"/>
      <c r="AA1333" s="1250"/>
      <c r="AB1333" s="1250"/>
      <c r="AC1333" s="1250"/>
      <c r="AD1333" s="1250"/>
      <c r="AE1333" s="1249">
        <v>0</v>
      </c>
      <c r="AF1333" s="1250">
        <v>171.38000000000002</v>
      </c>
      <c r="AG1333" s="111"/>
      <c r="AH1333" s="111"/>
      <c r="AI1333" s="111"/>
      <c r="AJ1333" s="111"/>
      <c r="AK1333" s="111"/>
      <c r="AL1333" s="111"/>
      <c r="AM1333" s="111">
        <v>514.1400000000001</v>
      </c>
    </row>
    <row r="1334" spans="1:39" ht="15" customHeight="1" x14ac:dyDescent="0.25">
      <c r="A1334" s="1409"/>
      <c r="B1334" s="1409"/>
      <c r="C1334" s="1409"/>
      <c r="D1334" s="1409"/>
      <c r="E1334" s="1247"/>
      <c r="F1334" s="1248" t="s">
        <v>2990</v>
      </c>
      <c r="G1334" s="111"/>
      <c r="H1334" s="1249">
        <v>1</v>
      </c>
      <c r="I1334" s="111" t="s">
        <v>1721</v>
      </c>
      <c r="J1334" s="1321" t="s">
        <v>5608</v>
      </c>
      <c r="K1334" s="162" t="s">
        <v>5610</v>
      </c>
      <c r="L1334" s="162" t="s">
        <v>5609</v>
      </c>
      <c r="M1334" s="111">
        <v>723.6</v>
      </c>
      <c r="N1334" s="111">
        <v>723.6</v>
      </c>
      <c r="O1334" s="111"/>
      <c r="P1334" s="111"/>
      <c r="Q1334" s="111"/>
      <c r="R1334" s="111"/>
      <c r="S1334" s="1249">
        <v>1</v>
      </c>
      <c r="T1334" s="1250">
        <v>241.20000000000002</v>
      </c>
      <c r="U1334" s="1250"/>
      <c r="V1334" s="1250"/>
      <c r="W1334" s="1251">
        <v>0</v>
      </c>
      <c r="X1334" s="1250">
        <v>241.20000000000002</v>
      </c>
      <c r="Y1334" s="1250"/>
      <c r="Z1334" s="1250"/>
      <c r="AA1334" s="1250"/>
      <c r="AB1334" s="1250"/>
      <c r="AC1334" s="1250"/>
      <c r="AD1334" s="1250"/>
      <c r="AE1334" s="1249">
        <v>0</v>
      </c>
      <c r="AF1334" s="1250">
        <v>241.20000000000002</v>
      </c>
      <c r="AG1334" s="111"/>
      <c r="AH1334" s="111"/>
      <c r="AI1334" s="111"/>
      <c r="AJ1334" s="111"/>
      <c r="AK1334" s="111"/>
      <c r="AL1334" s="111"/>
      <c r="AM1334" s="111">
        <v>723.6</v>
      </c>
    </row>
    <row r="1335" spans="1:39" ht="15" customHeight="1" x14ac:dyDescent="0.25">
      <c r="A1335" s="1409"/>
      <c r="B1335" s="1409"/>
      <c r="C1335" s="1409"/>
      <c r="D1335" s="1409"/>
      <c r="E1335" s="1247"/>
      <c r="F1335" s="1248" t="s">
        <v>2991</v>
      </c>
      <c r="G1335" s="111"/>
      <c r="H1335" s="1249">
        <v>1</v>
      </c>
      <c r="I1335" s="111" t="s">
        <v>1721</v>
      </c>
      <c r="J1335" s="1321" t="s">
        <v>5608</v>
      </c>
      <c r="K1335" s="162" t="s">
        <v>5610</v>
      </c>
      <c r="L1335" s="162" t="s">
        <v>5609</v>
      </c>
      <c r="M1335" s="111">
        <v>432</v>
      </c>
      <c r="N1335" s="111">
        <v>432</v>
      </c>
      <c r="O1335" s="111"/>
      <c r="P1335" s="111"/>
      <c r="Q1335" s="111"/>
      <c r="R1335" s="111"/>
      <c r="S1335" s="1249">
        <v>1</v>
      </c>
      <c r="T1335" s="1250">
        <v>144</v>
      </c>
      <c r="U1335" s="1250"/>
      <c r="V1335" s="1250"/>
      <c r="W1335" s="1251">
        <v>0</v>
      </c>
      <c r="X1335" s="1250">
        <v>144</v>
      </c>
      <c r="Y1335" s="1250"/>
      <c r="Z1335" s="1250"/>
      <c r="AA1335" s="1250"/>
      <c r="AB1335" s="1250"/>
      <c r="AC1335" s="1250"/>
      <c r="AD1335" s="1250"/>
      <c r="AE1335" s="1249">
        <v>0</v>
      </c>
      <c r="AF1335" s="1250">
        <v>144</v>
      </c>
      <c r="AG1335" s="111"/>
      <c r="AH1335" s="111"/>
      <c r="AI1335" s="111"/>
      <c r="AJ1335" s="111"/>
      <c r="AK1335" s="111"/>
      <c r="AL1335" s="111"/>
      <c r="AM1335" s="111">
        <v>432</v>
      </c>
    </row>
    <row r="1336" spans="1:39" ht="15" customHeight="1" x14ac:dyDescent="0.25">
      <c r="A1336" s="1409"/>
      <c r="B1336" s="1409"/>
      <c r="C1336" s="1409"/>
      <c r="D1336" s="1409"/>
      <c r="E1336" s="1276"/>
      <c r="F1336" s="1248"/>
      <c r="G1336" s="111"/>
      <c r="H1336" s="1249"/>
      <c r="I1336" s="111"/>
      <c r="J1336" s="111"/>
      <c r="K1336" s="111"/>
      <c r="L1336" s="111"/>
      <c r="M1336" s="111"/>
      <c r="N1336" s="111"/>
      <c r="O1336" s="111"/>
      <c r="P1336" s="111"/>
      <c r="Q1336" s="111"/>
      <c r="R1336" s="111"/>
      <c r="S1336" s="1249"/>
      <c r="T1336" s="1250"/>
      <c r="U1336" s="1250"/>
      <c r="V1336" s="1250"/>
      <c r="W1336" s="1251"/>
      <c r="X1336" s="1250"/>
      <c r="Y1336" s="1250"/>
      <c r="Z1336" s="1250"/>
      <c r="AA1336" s="1250"/>
      <c r="AB1336" s="1250"/>
      <c r="AC1336" s="1250"/>
      <c r="AD1336" s="1250"/>
      <c r="AE1336" s="1249"/>
      <c r="AF1336" s="1250"/>
      <c r="AG1336" s="111"/>
      <c r="AH1336" s="111"/>
      <c r="AI1336" s="111"/>
      <c r="AJ1336" s="111"/>
      <c r="AK1336" s="111"/>
      <c r="AL1336" s="111"/>
      <c r="AM1336" s="111"/>
    </row>
    <row r="1337" spans="1:39" ht="15" customHeight="1" x14ac:dyDescent="0.25">
      <c r="A1337" s="1409"/>
      <c r="B1337" s="1409"/>
      <c r="C1337" s="1409"/>
      <c r="D1337" s="1409"/>
      <c r="E1337" s="1261">
        <v>24703</v>
      </c>
      <c r="F1337" s="1262" t="s">
        <v>587</v>
      </c>
      <c r="G1337" s="1261"/>
      <c r="H1337" s="1261"/>
      <c r="I1337" s="1261"/>
      <c r="J1337" s="1261"/>
      <c r="K1337" s="1261"/>
      <c r="L1337" s="1261"/>
      <c r="M1337" s="1261"/>
      <c r="N1337" s="1261"/>
      <c r="O1337" s="1261"/>
      <c r="P1337" s="1261"/>
      <c r="Q1337" s="1261"/>
      <c r="R1337" s="1261"/>
      <c r="S1337" s="1261"/>
      <c r="T1337" s="1261"/>
      <c r="U1337" s="1261"/>
      <c r="V1337" s="1261"/>
      <c r="W1337" s="1261"/>
      <c r="X1337" s="1261"/>
      <c r="Y1337" s="1261"/>
      <c r="Z1337" s="1261"/>
      <c r="AA1337" s="1261"/>
      <c r="AB1337" s="1261"/>
      <c r="AC1337" s="1261"/>
      <c r="AD1337" s="1261"/>
      <c r="AE1337" s="1261"/>
      <c r="AF1337" s="1261"/>
      <c r="AG1337" s="1261"/>
      <c r="AH1337" s="1261"/>
      <c r="AI1337" s="1261"/>
      <c r="AJ1337" s="1261"/>
      <c r="AK1337" s="1261"/>
      <c r="AL1337" s="1261"/>
      <c r="AM1337" s="1261"/>
    </row>
    <row r="1338" spans="1:39" ht="15" customHeight="1" x14ac:dyDescent="0.25">
      <c r="A1338" s="1409"/>
      <c r="B1338" s="1409"/>
      <c r="C1338" s="1409"/>
      <c r="D1338" s="1409"/>
      <c r="E1338" s="1247"/>
      <c r="F1338" s="1248" t="s">
        <v>5092</v>
      </c>
      <c r="G1338" s="111"/>
      <c r="H1338" s="1249">
        <v>20</v>
      </c>
      <c r="I1338" s="111" t="s">
        <v>1721</v>
      </c>
      <c r="J1338" s="1321" t="s">
        <v>5608</v>
      </c>
      <c r="K1338" s="162" t="s">
        <v>5610</v>
      </c>
      <c r="L1338" s="162" t="s">
        <v>5609</v>
      </c>
      <c r="M1338" s="111">
        <v>13.780600000000002</v>
      </c>
      <c r="N1338" s="111">
        <v>275.61200000000002</v>
      </c>
      <c r="O1338" s="111"/>
      <c r="P1338" s="111"/>
      <c r="Q1338" s="111"/>
      <c r="R1338" s="111"/>
      <c r="S1338" s="1249">
        <v>10</v>
      </c>
      <c r="T1338" s="1250">
        <v>91.870666666666679</v>
      </c>
      <c r="U1338" s="1250"/>
      <c r="V1338" s="1250"/>
      <c r="W1338" s="1251">
        <v>5</v>
      </c>
      <c r="X1338" s="1250">
        <v>91.870666666666679</v>
      </c>
      <c r="Y1338" s="1250"/>
      <c r="Z1338" s="1250"/>
      <c r="AA1338" s="1250"/>
      <c r="AB1338" s="1250"/>
      <c r="AC1338" s="1250"/>
      <c r="AD1338" s="1250"/>
      <c r="AE1338" s="1249">
        <v>5</v>
      </c>
      <c r="AF1338" s="1250">
        <v>91.870666666666679</v>
      </c>
      <c r="AG1338" s="111"/>
      <c r="AH1338" s="111"/>
      <c r="AI1338" s="111"/>
      <c r="AJ1338" s="111"/>
      <c r="AK1338" s="111"/>
      <c r="AL1338" s="111"/>
      <c r="AM1338" s="111">
        <v>275.61200000000002</v>
      </c>
    </row>
    <row r="1339" spans="1:39" ht="15" customHeight="1" x14ac:dyDescent="0.25">
      <c r="A1339" s="1409"/>
      <c r="B1339" s="1409"/>
      <c r="C1339" s="1409"/>
      <c r="D1339" s="1409"/>
      <c r="E1339" s="1247"/>
      <c r="F1339" s="1248" t="s">
        <v>1231</v>
      </c>
      <c r="G1339" s="111"/>
      <c r="H1339" s="1249">
        <v>19</v>
      </c>
      <c r="I1339" s="111" t="s">
        <v>1721</v>
      </c>
      <c r="J1339" s="1321" t="s">
        <v>5608</v>
      </c>
      <c r="K1339" s="162" t="s">
        <v>5610</v>
      </c>
      <c r="L1339" s="162" t="s">
        <v>5609</v>
      </c>
      <c r="M1339" s="111">
        <v>7.2529473684210535</v>
      </c>
      <c r="N1339" s="111">
        <v>137.80600000000001</v>
      </c>
      <c r="O1339" s="111"/>
      <c r="P1339" s="111"/>
      <c r="Q1339" s="111"/>
      <c r="R1339" s="111"/>
      <c r="S1339" s="1249">
        <v>10</v>
      </c>
      <c r="T1339" s="1250">
        <v>45.93533333333334</v>
      </c>
      <c r="U1339" s="1250"/>
      <c r="V1339" s="1250"/>
      <c r="W1339" s="1251">
        <v>5</v>
      </c>
      <c r="X1339" s="1250">
        <v>45.93533333333334</v>
      </c>
      <c r="Y1339" s="1250"/>
      <c r="Z1339" s="1250"/>
      <c r="AA1339" s="1250"/>
      <c r="AB1339" s="1250"/>
      <c r="AC1339" s="1250"/>
      <c r="AD1339" s="1250"/>
      <c r="AE1339" s="1249">
        <v>4</v>
      </c>
      <c r="AF1339" s="1250">
        <v>45.93533333333334</v>
      </c>
      <c r="AG1339" s="111"/>
      <c r="AH1339" s="111"/>
      <c r="AI1339" s="111"/>
      <c r="AJ1339" s="111"/>
      <c r="AK1339" s="111"/>
      <c r="AL1339" s="111"/>
      <c r="AM1339" s="111">
        <v>137.80600000000001</v>
      </c>
    </row>
    <row r="1340" spans="1:39" ht="15" customHeight="1" x14ac:dyDescent="0.25">
      <c r="A1340" s="1409"/>
      <c r="B1340" s="1409"/>
      <c r="C1340" s="1409"/>
      <c r="D1340" s="1409"/>
      <c r="E1340" s="1247"/>
      <c r="F1340" s="1248" t="s">
        <v>5093</v>
      </c>
      <c r="G1340" s="111"/>
      <c r="H1340" s="1249">
        <v>31</v>
      </c>
      <c r="I1340" s="111" t="s">
        <v>1827</v>
      </c>
      <c r="J1340" s="1321" t="s">
        <v>5608</v>
      </c>
      <c r="K1340" s="162" t="s">
        <v>5610</v>
      </c>
      <c r="L1340" s="162" t="s">
        <v>5609</v>
      </c>
      <c r="M1340" s="111">
        <v>82.684645161290319</v>
      </c>
      <c r="N1340" s="111">
        <v>2563.2239999999997</v>
      </c>
      <c r="O1340" s="111"/>
      <c r="P1340" s="111"/>
      <c r="Q1340" s="111"/>
      <c r="R1340" s="111"/>
      <c r="S1340" s="1249">
        <v>11</v>
      </c>
      <c r="T1340" s="1250">
        <v>854.4079999999999</v>
      </c>
      <c r="U1340" s="1250"/>
      <c r="V1340" s="1250"/>
      <c r="W1340" s="1251">
        <v>10</v>
      </c>
      <c r="X1340" s="1250">
        <v>854.4079999999999</v>
      </c>
      <c r="Y1340" s="1250"/>
      <c r="Z1340" s="1250"/>
      <c r="AA1340" s="1250"/>
      <c r="AB1340" s="1250"/>
      <c r="AC1340" s="1250"/>
      <c r="AD1340" s="1250"/>
      <c r="AE1340" s="1249">
        <v>10</v>
      </c>
      <c r="AF1340" s="1250">
        <v>854.4079999999999</v>
      </c>
      <c r="AG1340" s="111"/>
      <c r="AH1340" s="111"/>
      <c r="AI1340" s="111"/>
      <c r="AJ1340" s="111"/>
      <c r="AK1340" s="111"/>
      <c r="AL1340" s="111"/>
      <c r="AM1340" s="111">
        <v>2563.2239999999997</v>
      </c>
    </row>
    <row r="1341" spans="1:39" ht="15" customHeight="1" x14ac:dyDescent="0.25">
      <c r="A1341" s="1409"/>
      <c r="B1341" s="1409"/>
      <c r="C1341" s="1409"/>
      <c r="D1341" s="1409"/>
      <c r="E1341" s="1247"/>
      <c r="F1341" s="1248" t="s">
        <v>1233</v>
      </c>
      <c r="G1341" s="111"/>
      <c r="H1341" s="1249">
        <v>3</v>
      </c>
      <c r="I1341" s="111" t="s">
        <v>5022</v>
      </c>
      <c r="J1341" s="1321" t="s">
        <v>5608</v>
      </c>
      <c r="K1341" s="162" t="s">
        <v>5610</v>
      </c>
      <c r="L1341" s="162" t="s">
        <v>5609</v>
      </c>
      <c r="M1341" s="111">
        <v>957.76560000000006</v>
      </c>
      <c r="N1341" s="111">
        <v>2873.2968000000001</v>
      </c>
      <c r="O1341" s="111"/>
      <c r="P1341" s="111"/>
      <c r="Q1341" s="111"/>
      <c r="R1341" s="111"/>
      <c r="S1341" s="1249">
        <v>1</v>
      </c>
      <c r="T1341" s="1250">
        <v>957.76560000000006</v>
      </c>
      <c r="U1341" s="1250"/>
      <c r="V1341" s="1250"/>
      <c r="W1341" s="1251">
        <v>1</v>
      </c>
      <c r="X1341" s="1250">
        <v>957.76560000000006</v>
      </c>
      <c r="Y1341" s="1250"/>
      <c r="Z1341" s="1250"/>
      <c r="AA1341" s="1250"/>
      <c r="AB1341" s="1250"/>
      <c r="AC1341" s="1250"/>
      <c r="AD1341" s="1250"/>
      <c r="AE1341" s="1249">
        <v>1</v>
      </c>
      <c r="AF1341" s="1250">
        <v>957.76560000000006</v>
      </c>
      <c r="AG1341" s="111"/>
      <c r="AH1341" s="111"/>
      <c r="AI1341" s="111"/>
      <c r="AJ1341" s="111"/>
      <c r="AK1341" s="111"/>
      <c r="AL1341" s="111"/>
      <c r="AM1341" s="111">
        <v>2873.2968000000001</v>
      </c>
    </row>
    <row r="1342" spans="1:39" ht="15" customHeight="1" x14ac:dyDescent="0.25">
      <c r="A1342" s="1409"/>
      <c r="B1342" s="1409"/>
      <c r="C1342" s="1409"/>
      <c r="D1342" s="1409"/>
      <c r="E1342" s="1247"/>
      <c r="F1342" s="1248" t="s">
        <v>5094</v>
      </c>
      <c r="G1342" s="111"/>
      <c r="H1342" s="1249">
        <v>1</v>
      </c>
      <c r="I1342" s="111" t="s">
        <v>5022</v>
      </c>
      <c r="J1342" s="1321" t="s">
        <v>5608</v>
      </c>
      <c r="K1342" s="162" t="s">
        <v>5610</v>
      </c>
      <c r="L1342" s="162" t="s">
        <v>5609</v>
      </c>
      <c r="M1342" s="111">
        <v>409.32</v>
      </c>
      <c r="N1342" s="111">
        <v>409.32</v>
      </c>
      <c r="O1342" s="111"/>
      <c r="P1342" s="111"/>
      <c r="Q1342" s="111"/>
      <c r="R1342" s="111"/>
      <c r="S1342" s="1249">
        <v>1</v>
      </c>
      <c r="T1342" s="1250">
        <v>136.44</v>
      </c>
      <c r="U1342" s="1250"/>
      <c r="V1342" s="1250"/>
      <c r="W1342" s="1251">
        <v>0</v>
      </c>
      <c r="X1342" s="1250">
        <v>136.44</v>
      </c>
      <c r="Y1342" s="1250"/>
      <c r="Z1342" s="1250"/>
      <c r="AA1342" s="1250"/>
      <c r="AB1342" s="1250"/>
      <c r="AC1342" s="1250"/>
      <c r="AD1342" s="1250"/>
      <c r="AE1342" s="1249">
        <v>0</v>
      </c>
      <c r="AF1342" s="1250">
        <v>136.44</v>
      </c>
      <c r="AG1342" s="111"/>
      <c r="AH1342" s="111"/>
      <c r="AI1342" s="111"/>
      <c r="AJ1342" s="111"/>
      <c r="AK1342" s="111"/>
      <c r="AL1342" s="111"/>
      <c r="AM1342" s="111">
        <v>409.32</v>
      </c>
    </row>
    <row r="1343" spans="1:39" ht="15" customHeight="1" x14ac:dyDescent="0.25">
      <c r="A1343" s="1409"/>
      <c r="B1343" s="1409"/>
      <c r="C1343" s="1409"/>
      <c r="D1343" s="1409"/>
      <c r="E1343" s="1247"/>
      <c r="F1343" s="1248" t="s">
        <v>5095</v>
      </c>
      <c r="G1343" s="111"/>
      <c r="H1343" s="1249">
        <v>1</v>
      </c>
      <c r="I1343" s="111" t="s">
        <v>5022</v>
      </c>
      <c r="J1343" s="1321" t="s">
        <v>5608</v>
      </c>
      <c r="K1343" s="162" t="s">
        <v>5610</v>
      </c>
      <c r="L1343" s="162" t="s">
        <v>5609</v>
      </c>
      <c r="M1343" s="111">
        <v>822.96</v>
      </c>
      <c r="N1343" s="111">
        <v>822.96</v>
      </c>
      <c r="O1343" s="111"/>
      <c r="P1343" s="111"/>
      <c r="Q1343" s="111"/>
      <c r="R1343" s="111"/>
      <c r="S1343" s="1249">
        <v>1</v>
      </c>
      <c r="T1343" s="1250">
        <v>274.32</v>
      </c>
      <c r="U1343" s="1250"/>
      <c r="V1343" s="1250"/>
      <c r="W1343" s="1251">
        <v>0</v>
      </c>
      <c r="X1343" s="1250">
        <v>274.32</v>
      </c>
      <c r="Y1343" s="1250"/>
      <c r="Z1343" s="1250"/>
      <c r="AA1343" s="1250"/>
      <c r="AB1343" s="1250"/>
      <c r="AC1343" s="1250"/>
      <c r="AD1343" s="1250"/>
      <c r="AE1343" s="1249">
        <v>0</v>
      </c>
      <c r="AF1343" s="1250">
        <v>274.32</v>
      </c>
      <c r="AG1343" s="111"/>
      <c r="AH1343" s="111"/>
      <c r="AI1343" s="111"/>
      <c r="AJ1343" s="111"/>
      <c r="AK1343" s="111"/>
      <c r="AL1343" s="111"/>
      <c r="AM1343" s="111">
        <v>822.96</v>
      </c>
    </row>
    <row r="1344" spans="1:39" ht="15" customHeight="1" x14ac:dyDescent="0.25">
      <c r="A1344" s="1409"/>
      <c r="B1344" s="1409"/>
      <c r="C1344" s="1409"/>
      <c r="D1344" s="1409"/>
      <c r="E1344" s="1247"/>
      <c r="F1344" s="1248" t="s">
        <v>5096</v>
      </c>
      <c r="G1344" s="111"/>
      <c r="H1344" s="1249">
        <v>4</v>
      </c>
      <c r="I1344" s="111" t="s">
        <v>5022</v>
      </c>
      <c r="J1344" s="1321" t="s">
        <v>5608</v>
      </c>
      <c r="K1344" s="162" t="s">
        <v>5610</v>
      </c>
      <c r="L1344" s="162" t="s">
        <v>5609</v>
      </c>
      <c r="M1344" s="111">
        <v>1171.3680000000002</v>
      </c>
      <c r="N1344" s="111">
        <v>4685.4720000000007</v>
      </c>
      <c r="O1344" s="111"/>
      <c r="P1344" s="111"/>
      <c r="Q1344" s="111"/>
      <c r="R1344" s="111"/>
      <c r="S1344" s="1249">
        <v>2</v>
      </c>
      <c r="T1344" s="1250">
        <v>1561.8240000000003</v>
      </c>
      <c r="U1344" s="1250"/>
      <c r="V1344" s="1250"/>
      <c r="W1344" s="1251">
        <v>1</v>
      </c>
      <c r="X1344" s="1250">
        <v>1561.8240000000003</v>
      </c>
      <c r="Y1344" s="1250"/>
      <c r="Z1344" s="1250"/>
      <c r="AA1344" s="1250"/>
      <c r="AB1344" s="1250"/>
      <c r="AC1344" s="1250"/>
      <c r="AD1344" s="1250"/>
      <c r="AE1344" s="1249">
        <v>1</v>
      </c>
      <c r="AF1344" s="1250">
        <v>1561.8240000000003</v>
      </c>
      <c r="AG1344" s="111"/>
      <c r="AH1344" s="111"/>
      <c r="AI1344" s="111"/>
      <c r="AJ1344" s="111"/>
      <c r="AK1344" s="111"/>
      <c r="AL1344" s="111"/>
      <c r="AM1344" s="111">
        <v>4685.4720000000007</v>
      </c>
    </row>
    <row r="1345" spans="1:39" ht="15" customHeight="1" x14ac:dyDescent="0.25">
      <c r="A1345" s="1409"/>
      <c r="B1345" s="1409"/>
      <c r="C1345" s="1409"/>
      <c r="D1345" s="1409"/>
      <c r="E1345" s="1247"/>
      <c r="F1345" s="1248" t="s">
        <v>5097</v>
      </c>
      <c r="G1345" s="111"/>
      <c r="H1345" s="1249">
        <v>4</v>
      </c>
      <c r="I1345" s="111" t="s">
        <v>1721</v>
      </c>
      <c r="J1345" s="1321" t="s">
        <v>5608</v>
      </c>
      <c r="K1345" s="162" t="s">
        <v>5610</v>
      </c>
      <c r="L1345" s="162" t="s">
        <v>5609</v>
      </c>
      <c r="M1345" s="111">
        <v>1171.3680000000002</v>
      </c>
      <c r="N1345" s="111">
        <v>4685.4720000000007</v>
      </c>
      <c r="O1345" s="111"/>
      <c r="P1345" s="111"/>
      <c r="Q1345" s="111"/>
      <c r="R1345" s="111"/>
      <c r="S1345" s="1249">
        <v>2</v>
      </c>
      <c r="T1345" s="1250">
        <v>1561.8240000000003</v>
      </c>
      <c r="U1345" s="1250"/>
      <c r="V1345" s="1250"/>
      <c r="W1345" s="1251">
        <v>1</v>
      </c>
      <c r="X1345" s="1250">
        <v>1561.8240000000003</v>
      </c>
      <c r="Y1345" s="1250"/>
      <c r="Z1345" s="1250"/>
      <c r="AA1345" s="1250"/>
      <c r="AB1345" s="1250"/>
      <c r="AC1345" s="1250"/>
      <c r="AD1345" s="1250"/>
      <c r="AE1345" s="1249">
        <v>1</v>
      </c>
      <c r="AF1345" s="1250">
        <v>1561.8240000000003</v>
      </c>
      <c r="AG1345" s="111"/>
      <c r="AH1345" s="111"/>
      <c r="AI1345" s="111"/>
      <c r="AJ1345" s="111"/>
      <c r="AK1345" s="111"/>
      <c r="AL1345" s="111"/>
      <c r="AM1345" s="111">
        <v>4685.4720000000007</v>
      </c>
    </row>
    <row r="1346" spans="1:39" ht="15" customHeight="1" x14ac:dyDescent="0.25">
      <c r="A1346" s="1409"/>
      <c r="B1346" s="1409"/>
      <c r="C1346" s="1409"/>
      <c r="D1346" s="1409"/>
      <c r="E1346" s="1247"/>
      <c r="F1346" s="1248" t="s">
        <v>5098</v>
      </c>
      <c r="G1346" s="111"/>
      <c r="H1346" s="1249">
        <v>10</v>
      </c>
      <c r="I1346" s="111" t="s">
        <v>1827</v>
      </c>
      <c r="J1346" s="1321" t="s">
        <v>5608</v>
      </c>
      <c r="K1346" s="162" t="s">
        <v>5610</v>
      </c>
      <c r="L1346" s="162" t="s">
        <v>5609</v>
      </c>
      <c r="M1346" s="111">
        <v>151.58880000000002</v>
      </c>
      <c r="N1346" s="111">
        <v>1515.8880000000001</v>
      </c>
      <c r="O1346" s="111"/>
      <c r="P1346" s="111"/>
      <c r="Q1346" s="111"/>
      <c r="R1346" s="111"/>
      <c r="S1346" s="1249">
        <v>5</v>
      </c>
      <c r="T1346" s="1250">
        <v>505.29600000000005</v>
      </c>
      <c r="U1346" s="1250"/>
      <c r="V1346" s="1250"/>
      <c r="W1346" s="1251">
        <v>5</v>
      </c>
      <c r="X1346" s="1250">
        <v>505.29600000000005</v>
      </c>
      <c r="Y1346" s="1250"/>
      <c r="Z1346" s="1250"/>
      <c r="AA1346" s="1250"/>
      <c r="AB1346" s="1250"/>
      <c r="AC1346" s="1250"/>
      <c r="AD1346" s="1250"/>
      <c r="AE1346" s="1249">
        <v>0</v>
      </c>
      <c r="AF1346" s="1250">
        <v>505.29600000000005</v>
      </c>
      <c r="AG1346" s="111"/>
      <c r="AH1346" s="111"/>
      <c r="AI1346" s="111"/>
      <c r="AJ1346" s="111"/>
      <c r="AK1346" s="111"/>
      <c r="AL1346" s="111"/>
      <c r="AM1346" s="111">
        <v>1515.8880000000001</v>
      </c>
    </row>
    <row r="1347" spans="1:39" ht="15" customHeight="1" x14ac:dyDescent="0.25">
      <c r="A1347" s="1409"/>
      <c r="B1347" s="1409"/>
      <c r="C1347" s="1409"/>
      <c r="D1347" s="1409"/>
      <c r="E1347" s="1247"/>
      <c r="F1347" s="1248" t="s">
        <v>2993</v>
      </c>
      <c r="G1347" s="111"/>
      <c r="H1347" s="1249">
        <v>1</v>
      </c>
      <c r="I1347" s="111" t="s">
        <v>1721</v>
      </c>
      <c r="J1347" s="1321" t="s">
        <v>5608</v>
      </c>
      <c r="K1347" s="162" t="s">
        <v>5610</v>
      </c>
      <c r="L1347" s="162" t="s">
        <v>5609</v>
      </c>
      <c r="M1347" s="111">
        <v>26.997840000000004</v>
      </c>
      <c r="N1347" s="111">
        <v>26.997840000000004</v>
      </c>
      <c r="O1347" s="111"/>
      <c r="P1347" s="111"/>
      <c r="Q1347" s="111"/>
      <c r="R1347" s="111"/>
      <c r="S1347" s="1249">
        <v>1</v>
      </c>
      <c r="T1347" s="1250">
        <v>8.9992800000000006</v>
      </c>
      <c r="U1347" s="1250"/>
      <c r="V1347" s="1250"/>
      <c r="W1347" s="1251">
        <v>0</v>
      </c>
      <c r="X1347" s="1250">
        <v>8.9992800000000006</v>
      </c>
      <c r="Y1347" s="1250"/>
      <c r="Z1347" s="1250"/>
      <c r="AA1347" s="1250"/>
      <c r="AB1347" s="1250"/>
      <c r="AC1347" s="1250"/>
      <c r="AD1347" s="1250"/>
      <c r="AE1347" s="1249">
        <v>0</v>
      </c>
      <c r="AF1347" s="1250">
        <v>8.9992800000000006</v>
      </c>
      <c r="AG1347" s="111"/>
      <c r="AH1347" s="111"/>
      <c r="AI1347" s="111"/>
      <c r="AJ1347" s="111"/>
      <c r="AK1347" s="111"/>
      <c r="AL1347" s="111"/>
      <c r="AM1347" s="111">
        <v>26.997840000000004</v>
      </c>
    </row>
    <row r="1348" spans="1:39" ht="15" customHeight="1" x14ac:dyDescent="0.25">
      <c r="A1348" s="1409"/>
      <c r="B1348" s="1409"/>
      <c r="C1348" s="1409"/>
      <c r="D1348" s="1409"/>
      <c r="E1348" s="1247"/>
      <c r="F1348" s="1248" t="s">
        <v>2994</v>
      </c>
      <c r="G1348" s="111"/>
      <c r="H1348" s="1249">
        <v>1</v>
      </c>
      <c r="I1348" s="111" t="s">
        <v>1721</v>
      </c>
      <c r="J1348" s="1321" t="s">
        <v>5608</v>
      </c>
      <c r="K1348" s="162" t="s">
        <v>5610</v>
      </c>
      <c r="L1348" s="162" t="s">
        <v>5609</v>
      </c>
      <c r="M1348" s="111">
        <v>11.88</v>
      </c>
      <c r="N1348" s="111">
        <v>11.88</v>
      </c>
      <c r="O1348" s="111"/>
      <c r="P1348" s="111"/>
      <c r="Q1348" s="111"/>
      <c r="R1348" s="111"/>
      <c r="S1348" s="1249">
        <v>1</v>
      </c>
      <c r="T1348" s="1250">
        <v>3.9600000000000004</v>
      </c>
      <c r="U1348" s="1250"/>
      <c r="V1348" s="1250"/>
      <c r="W1348" s="1251">
        <v>0</v>
      </c>
      <c r="X1348" s="1250">
        <v>3.9600000000000004</v>
      </c>
      <c r="Y1348" s="1250"/>
      <c r="Z1348" s="1250"/>
      <c r="AA1348" s="1250"/>
      <c r="AB1348" s="1250"/>
      <c r="AC1348" s="1250"/>
      <c r="AD1348" s="1250"/>
      <c r="AE1348" s="1249">
        <v>0</v>
      </c>
      <c r="AF1348" s="1250">
        <v>3.9600000000000004</v>
      </c>
      <c r="AG1348" s="111"/>
      <c r="AH1348" s="111"/>
      <c r="AI1348" s="111"/>
      <c r="AJ1348" s="111"/>
      <c r="AK1348" s="111"/>
      <c r="AL1348" s="111"/>
      <c r="AM1348" s="111">
        <v>11.88</v>
      </c>
    </row>
    <row r="1349" spans="1:39" ht="15" customHeight="1" x14ac:dyDescent="0.25">
      <c r="A1349" s="1409"/>
      <c r="B1349" s="1409"/>
      <c r="C1349" s="1409"/>
      <c r="D1349" s="1409"/>
      <c r="E1349" s="1247"/>
      <c r="F1349" s="1248" t="s">
        <v>2995</v>
      </c>
      <c r="G1349" s="111"/>
      <c r="H1349" s="1249">
        <v>1</v>
      </c>
      <c r="I1349" s="111" t="s">
        <v>1721</v>
      </c>
      <c r="J1349" s="1321" t="s">
        <v>5608</v>
      </c>
      <c r="K1349" s="162" t="s">
        <v>5610</v>
      </c>
      <c r="L1349" s="162" t="s">
        <v>5609</v>
      </c>
      <c r="M1349" s="111">
        <v>7.13</v>
      </c>
      <c r="N1349" s="111">
        <v>7.13</v>
      </c>
      <c r="O1349" s="111"/>
      <c r="P1349" s="111"/>
      <c r="Q1349" s="111"/>
      <c r="R1349" s="111"/>
      <c r="S1349" s="1249">
        <v>1</v>
      </c>
      <c r="T1349" s="1250">
        <v>2.3766666666666665</v>
      </c>
      <c r="U1349" s="1250"/>
      <c r="V1349" s="1250"/>
      <c r="W1349" s="1251">
        <v>0</v>
      </c>
      <c r="X1349" s="1250">
        <v>2.3766666666666665</v>
      </c>
      <c r="Y1349" s="1250"/>
      <c r="Z1349" s="1250"/>
      <c r="AA1349" s="1250"/>
      <c r="AB1349" s="1250"/>
      <c r="AC1349" s="1250"/>
      <c r="AD1349" s="1250"/>
      <c r="AE1349" s="1249">
        <v>0</v>
      </c>
      <c r="AF1349" s="1250">
        <v>2.3766666666666665</v>
      </c>
      <c r="AG1349" s="111"/>
      <c r="AH1349" s="111"/>
      <c r="AI1349" s="111"/>
      <c r="AJ1349" s="111"/>
      <c r="AK1349" s="111"/>
      <c r="AL1349" s="111"/>
      <c r="AM1349" s="111">
        <v>7.13</v>
      </c>
    </row>
    <row r="1350" spans="1:39" ht="15" customHeight="1" x14ac:dyDescent="0.25">
      <c r="A1350" s="1409"/>
      <c r="B1350" s="1409"/>
      <c r="C1350" s="1409"/>
      <c r="D1350" s="1409"/>
      <c r="E1350" s="1247"/>
      <c r="F1350" s="1248" t="s">
        <v>2996</v>
      </c>
      <c r="G1350" s="111"/>
      <c r="H1350" s="1249">
        <v>1</v>
      </c>
      <c r="I1350" s="111" t="s">
        <v>1721</v>
      </c>
      <c r="J1350" s="1321" t="s">
        <v>5608</v>
      </c>
      <c r="K1350" s="162" t="s">
        <v>5610</v>
      </c>
      <c r="L1350" s="162" t="s">
        <v>5609</v>
      </c>
      <c r="M1350" s="111">
        <v>269.990928</v>
      </c>
      <c r="N1350" s="111">
        <v>269.990928</v>
      </c>
      <c r="O1350" s="111"/>
      <c r="P1350" s="111"/>
      <c r="Q1350" s="111"/>
      <c r="R1350" s="111"/>
      <c r="S1350" s="1249">
        <v>1</v>
      </c>
      <c r="T1350" s="1250">
        <v>89.996976000000004</v>
      </c>
      <c r="U1350" s="1250"/>
      <c r="V1350" s="1250"/>
      <c r="W1350" s="1251">
        <v>0</v>
      </c>
      <c r="X1350" s="1250">
        <v>89.996976000000004</v>
      </c>
      <c r="Y1350" s="1250"/>
      <c r="Z1350" s="1250"/>
      <c r="AA1350" s="1250"/>
      <c r="AB1350" s="1250"/>
      <c r="AC1350" s="1250"/>
      <c r="AD1350" s="1250"/>
      <c r="AE1350" s="1249">
        <v>0</v>
      </c>
      <c r="AF1350" s="1250">
        <v>89.996976000000004</v>
      </c>
      <c r="AG1350" s="111"/>
      <c r="AH1350" s="111"/>
      <c r="AI1350" s="111"/>
      <c r="AJ1350" s="111"/>
      <c r="AK1350" s="111"/>
      <c r="AL1350" s="111"/>
      <c r="AM1350" s="111">
        <v>269.990928</v>
      </c>
    </row>
    <row r="1351" spans="1:39" ht="15" customHeight="1" x14ac:dyDescent="0.25">
      <c r="A1351" s="1409"/>
      <c r="B1351" s="1409"/>
      <c r="C1351" s="1409"/>
      <c r="D1351" s="1409"/>
      <c r="E1351" s="1247"/>
      <c r="F1351" s="1248"/>
      <c r="G1351" s="111"/>
      <c r="H1351" s="1249"/>
      <c r="I1351" s="111"/>
      <c r="J1351" s="111"/>
      <c r="K1351" s="111"/>
      <c r="L1351" s="111"/>
      <c r="M1351" s="111"/>
      <c r="N1351" s="111"/>
      <c r="O1351" s="111"/>
      <c r="P1351" s="111"/>
      <c r="Q1351" s="111"/>
      <c r="R1351" s="111"/>
      <c r="S1351" s="1249"/>
      <c r="T1351" s="1250"/>
      <c r="U1351" s="1250"/>
      <c r="V1351" s="1250"/>
      <c r="W1351" s="1251"/>
      <c r="X1351" s="1250"/>
      <c r="Y1351" s="1250"/>
      <c r="Z1351" s="1250"/>
      <c r="AA1351" s="1250"/>
      <c r="AB1351" s="1250"/>
      <c r="AC1351" s="1250"/>
      <c r="AD1351" s="1250"/>
      <c r="AE1351" s="1249"/>
      <c r="AF1351" s="1250"/>
      <c r="AG1351" s="111"/>
      <c r="AH1351" s="111"/>
      <c r="AI1351" s="111"/>
      <c r="AJ1351" s="111"/>
      <c r="AK1351" s="111"/>
      <c r="AL1351" s="111"/>
      <c r="AM1351" s="111"/>
    </row>
    <row r="1352" spans="1:39" ht="15" customHeight="1" x14ac:dyDescent="0.25">
      <c r="A1352" s="1409"/>
      <c r="B1352" s="1409"/>
      <c r="C1352" s="1409"/>
      <c r="D1352" s="1409"/>
      <c r="E1352" s="1261">
        <v>24704</v>
      </c>
      <c r="F1352" s="1262" t="s">
        <v>588</v>
      </c>
      <c r="G1352" s="1261"/>
      <c r="H1352" s="1261"/>
      <c r="I1352" s="1261"/>
      <c r="J1352" s="1261"/>
      <c r="K1352" s="1261"/>
      <c r="L1352" s="1261"/>
      <c r="M1352" s="1261"/>
      <c r="N1352" s="1261"/>
      <c r="O1352" s="1261"/>
      <c r="P1352" s="1261"/>
      <c r="Q1352" s="1261"/>
      <c r="R1352" s="1261"/>
      <c r="S1352" s="1261"/>
      <c r="T1352" s="1261"/>
      <c r="U1352" s="1261"/>
      <c r="V1352" s="1261"/>
      <c r="W1352" s="1261"/>
      <c r="X1352" s="1261"/>
      <c r="Y1352" s="1261"/>
      <c r="Z1352" s="1261"/>
      <c r="AA1352" s="1261"/>
      <c r="AB1352" s="1261"/>
      <c r="AC1352" s="1261"/>
      <c r="AD1352" s="1261"/>
      <c r="AE1352" s="1261"/>
      <c r="AF1352" s="1261"/>
      <c r="AG1352" s="1261"/>
      <c r="AH1352" s="1261"/>
      <c r="AI1352" s="1261"/>
      <c r="AJ1352" s="1261"/>
      <c r="AK1352" s="1261"/>
      <c r="AL1352" s="1261"/>
      <c r="AM1352" s="1261"/>
    </row>
    <row r="1353" spans="1:39" ht="15" customHeight="1" x14ac:dyDescent="0.25">
      <c r="A1353" s="1409"/>
      <c r="B1353" s="1409"/>
      <c r="C1353" s="1409"/>
      <c r="D1353" s="1409"/>
      <c r="E1353" s="1247"/>
      <c r="F1353" s="1248" t="s">
        <v>5099</v>
      </c>
      <c r="G1353" s="111"/>
      <c r="H1353" s="1249">
        <v>2</v>
      </c>
      <c r="I1353" s="111" t="s">
        <v>1721</v>
      </c>
      <c r="J1353" s="1321" t="s">
        <v>5608</v>
      </c>
      <c r="K1353" s="162" t="s">
        <v>5610</v>
      </c>
      <c r="L1353" s="162" t="s">
        <v>5609</v>
      </c>
      <c r="M1353" s="111">
        <v>6148</v>
      </c>
      <c r="N1353" s="111">
        <v>12296</v>
      </c>
      <c r="O1353" s="111"/>
      <c r="P1353" s="111"/>
      <c r="Q1353" s="111"/>
      <c r="R1353" s="111"/>
      <c r="S1353" s="1249">
        <v>2</v>
      </c>
      <c r="T1353" s="1250">
        <v>4098.666666666667</v>
      </c>
      <c r="U1353" s="1250"/>
      <c r="V1353" s="1250"/>
      <c r="W1353" s="1251">
        <v>0</v>
      </c>
      <c r="X1353" s="1250">
        <v>4098.666666666667</v>
      </c>
      <c r="Y1353" s="1250"/>
      <c r="Z1353" s="1250"/>
      <c r="AA1353" s="1250"/>
      <c r="AB1353" s="1250"/>
      <c r="AC1353" s="1250"/>
      <c r="AD1353" s="1250"/>
      <c r="AE1353" s="1249">
        <v>0</v>
      </c>
      <c r="AF1353" s="1250">
        <v>4098.666666666667</v>
      </c>
      <c r="AG1353" s="111"/>
      <c r="AH1353" s="111"/>
      <c r="AI1353" s="111"/>
      <c r="AJ1353" s="111"/>
      <c r="AK1353" s="111"/>
      <c r="AL1353" s="111"/>
      <c r="AM1353" s="111">
        <v>12296</v>
      </c>
    </row>
    <row r="1354" spans="1:39" ht="15" customHeight="1" x14ac:dyDescent="0.25">
      <c r="A1354" s="1409"/>
      <c r="B1354" s="1409"/>
      <c r="C1354" s="1409"/>
      <c r="D1354" s="1409"/>
      <c r="E1354" s="1247"/>
      <c r="F1354" s="1248" t="s">
        <v>5100</v>
      </c>
      <c r="G1354" s="111"/>
      <c r="H1354" s="1249">
        <v>4</v>
      </c>
      <c r="I1354" s="111" t="s">
        <v>1721</v>
      </c>
      <c r="J1354" s="1321" t="s">
        <v>5608</v>
      </c>
      <c r="K1354" s="162" t="s">
        <v>5610</v>
      </c>
      <c r="L1354" s="162" t="s">
        <v>5609</v>
      </c>
      <c r="M1354" s="111">
        <v>3651.91</v>
      </c>
      <c r="N1354" s="111">
        <v>14607.64</v>
      </c>
      <c r="O1354" s="111"/>
      <c r="P1354" s="111"/>
      <c r="Q1354" s="111"/>
      <c r="R1354" s="111"/>
      <c r="S1354" s="1249">
        <v>2</v>
      </c>
      <c r="T1354" s="1250">
        <v>4869.2133333333331</v>
      </c>
      <c r="U1354" s="1250"/>
      <c r="V1354" s="1250"/>
      <c r="W1354" s="1251">
        <v>1</v>
      </c>
      <c r="X1354" s="1250">
        <v>4869.2133333333331</v>
      </c>
      <c r="Y1354" s="1250"/>
      <c r="Z1354" s="1250"/>
      <c r="AA1354" s="1250"/>
      <c r="AB1354" s="1250"/>
      <c r="AC1354" s="1250"/>
      <c r="AD1354" s="1250"/>
      <c r="AE1354" s="1249">
        <v>1</v>
      </c>
      <c r="AF1354" s="1250">
        <v>4869.2133333333331</v>
      </c>
      <c r="AG1354" s="111"/>
      <c r="AH1354" s="111"/>
      <c r="AI1354" s="111"/>
      <c r="AJ1354" s="111"/>
      <c r="AK1354" s="111"/>
      <c r="AL1354" s="111"/>
      <c r="AM1354" s="111">
        <v>14607.64</v>
      </c>
    </row>
    <row r="1355" spans="1:39" ht="15" customHeight="1" x14ac:dyDescent="0.25">
      <c r="A1355" s="1409"/>
      <c r="B1355" s="1409"/>
      <c r="C1355" s="1409"/>
      <c r="D1355" s="1409"/>
      <c r="E1355" s="1247"/>
      <c r="F1355" s="1248"/>
      <c r="G1355" s="111"/>
      <c r="H1355" s="1249"/>
      <c r="I1355" s="111"/>
      <c r="J1355" s="111"/>
      <c r="K1355" s="111"/>
      <c r="L1355" s="111"/>
      <c r="M1355" s="111"/>
      <c r="N1355" s="111"/>
      <c r="O1355" s="111"/>
      <c r="P1355" s="111"/>
      <c r="Q1355" s="111"/>
      <c r="R1355" s="111"/>
      <c r="S1355" s="1249"/>
      <c r="T1355" s="1250"/>
      <c r="U1355" s="1250"/>
      <c r="V1355" s="1250"/>
      <c r="W1355" s="1251"/>
      <c r="X1355" s="1250"/>
      <c r="Y1355" s="1250"/>
      <c r="Z1355" s="1250"/>
      <c r="AA1355" s="1250"/>
      <c r="AB1355" s="1250"/>
      <c r="AC1355" s="1250"/>
      <c r="AD1355" s="1250"/>
      <c r="AE1355" s="1249"/>
      <c r="AF1355" s="1250"/>
      <c r="AG1355" s="111"/>
      <c r="AH1355" s="111"/>
      <c r="AI1355" s="111"/>
      <c r="AJ1355" s="111"/>
      <c r="AK1355" s="111"/>
      <c r="AL1355" s="111"/>
      <c r="AM1355" s="111"/>
    </row>
    <row r="1356" spans="1:39" ht="15" customHeight="1" x14ac:dyDescent="0.25">
      <c r="A1356" s="1409"/>
      <c r="B1356" s="1409"/>
      <c r="C1356" s="1409"/>
      <c r="D1356" s="1409"/>
      <c r="E1356" s="1218">
        <v>248</v>
      </c>
      <c r="F1356" s="1268" t="s">
        <v>589</v>
      </c>
      <c r="G1356" s="1218"/>
      <c r="H1356" s="1218"/>
      <c r="I1356" s="1218"/>
      <c r="J1356" s="1218"/>
      <c r="K1356" s="1218"/>
      <c r="L1356" s="1218"/>
      <c r="M1356" s="1218"/>
      <c r="N1356" s="1218"/>
      <c r="O1356" s="1218"/>
      <c r="P1356" s="1218"/>
      <c r="Q1356" s="1218"/>
      <c r="R1356" s="1218"/>
      <c r="S1356" s="1218"/>
      <c r="T1356" s="1218"/>
      <c r="U1356" s="1218"/>
      <c r="V1356" s="1218"/>
      <c r="W1356" s="1218"/>
      <c r="X1356" s="1218"/>
      <c r="Y1356" s="1218"/>
      <c r="Z1356" s="1218"/>
      <c r="AA1356" s="1218"/>
      <c r="AB1356" s="1218"/>
      <c r="AC1356" s="1218"/>
      <c r="AD1356" s="1218"/>
      <c r="AE1356" s="1218"/>
      <c r="AF1356" s="1218"/>
      <c r="AG1356" s="1218"/>
      <c r="AH1356" s="1218"/>
      <c r="AI1356" s="1218"/>
      <c r="AJ1356" s="1218"/>
      <c r="AK1356" s="1218"/>
      <c r="AL1356" s="1218"/>
      <c r="AM1356" s="1218"/>
    </row>
    <row r="1357" spans="1:39" ht="15" customHeight="1" x14ac:dyDescent="0.25">
      <c r="A1357" s="1409"/>
      <c r="B1357" s="1409"/>
      <c r="C1357" s="1409"/>
      <c r="D1357" s="1409"/>
      <c r="E1357" s="1247"/>
      <c r="F1357" s="1248"/>
      <c r="G1357" s="111"/>
      <c r="H1357" s="1249"/>
      <c r="I1357" s="111"/>
      <c r="J1357" s="111"/>
      <c r="K1357" s="111"/>
      <c r="L1357" s="111"/>
      <c r="M1357" s="111"/>
      <c r="N1357" s="111"/>
      <c r="O1357" s="111"/>
      <c r="P1357" s="111"/>
      <c r="Q1357" s="111"/>
      <c r="R1357" s="111"/>
      <c r="S1357" s="1249"/>
      <c r="T1357" s="1250"/>
      <c r="U1357" s="1250"/>
      <c r="V1357" s="1250"/>
      <c r="W1357" s="1251"/>
      <c r="X1357" s="1250"/>
      <c r="Y1357" s="1250"/>
      <c r="Z1357" s="1250"/>
      <c r="AA1357" s="1250"/>
      <c r="AB1357" s="1250"/>
      <c r="AC1357" s="1250"/>
      <c r="AD1357" s="1250"/>
      <c r="AE1357" s="1249"/>
      <c r="AF1357" s="1250"/>
      <c r="AG1357" s="111"/>
      <c r="AH1357" s="111"/>
      <c r="AI1357" s="111"/>
      <c r="AJ1357" s="111"/>
      <c r="AK1357" s="111"/>
      <c r="AL1357" s="111"/>
      <c r="AM1357" s="111"/>
    </row>
    <row r="1358" spans="1:39" ht="15" customHeight="1" x14ac:dyDescent="0.25">
      <c r="A1358" s="1409"/>
      <c r="B1358" s="1409"/>
      <c r="C1358" s="1409"/>
      <c r="D1358" s="1409"/>
      <c r="E1358" s="1261">
        <v>24801</v>
      </c>
      <c r="F1358" s="1262" t="s">
        <v>590</v>
      </c>
      <c r="G1358" s="1261"/>
      <c r="H1358" s="1261"/>
      <c r="I1358" s="1261"/>
      <c r="J1358" s="1261"/>
      <c r="K1358" s="1261"/>
      <c r="L1358" s="1261"/>
      <c r="M1358" s="1261"/>
      <c r="N1358" s="1261"/>
      <c r="O1358" s="1261"/>
      <c r="P1358" s="1261"/>
      <c r="Q1358" s="1261"/>
      <c r="R1358" s="1261"/>
      <c r="S1358" s="1261"/>
      <c r="T1358" s="1261"/>
      <c r="U1358" s="1261"/>
      <c r="V1358" s="1261"/>
      <c r="W1358" s="1261"/>
      <c r="X1358" s="1261"/>
      <c r="Y1358" s="1261"/>
      <c r="Z1358" s="1261"/>
      <c r="AA1358" s="1261"/>
      <c r="AB1358" s="1261"/>
      <c r="AC1358" s="1261"/>
      <c r="AD1358" s="1261"/>
      <c r="AE1358" s="1261"/>
      <c r="AF1358" s="1261"/>
      <c r="AG1358" s="1261"/>
      <c r="AH1358" s="1261"/>
      <c r="AI1358" s="1261"/>
      <c r="AJ1358" s="1261"/>
      <c r="AK1358" s="1261"/>
      <c r="AL1358" s="1261"/>
      <c r="AM1358" s="1261"/>
    </row>
    <row r="1359" spans="1:39" ht="15" customHeight="1" x14ac:dyDescent="0.25">
      <c r="A1359" s="1409"/>
      <c r="B1359" s="1409"/>
      <c r="C1359" s="1409"/>
      <c r="D1359" s="1409"/>
      <c r="E1359" s="1247"/>
      <c r="F1359" s="1248" t="s">
        <v>2997</v>
      </c>
      <c r="G1359" s="111"/>
      <c r="H1359" s="1249">
        <v>1</v>
      </c>
      <c r="I1359" s="111" t="s">
        <v>1721</v>
      </c>
      <c r="J1359" s="1321" t="s">
        <v>5608</v>
      </c>
      <c r="K1359" s="162" t="s">
        <v>5610</v>
      </c>
      <c r="L1359" s="162" t="s">
        <v>5609</v>
      </c>
      <c r="M1359" s="111">
        <v>500</v>
      </c>
      <c r="N1359" s="111">
        <v>500</v>
      </c>
      <c r="O1359" s="111"/>
      <c r="P1359" s="111"/>
      <c r="Q1359" s="111"/>
      <c r="R1359" s="111"/>
      <c r="S1359" s="1249">
        <v>1</v>
      </c>
      <c r="T1359" s="1250">
        <v>166.66666666666666</v>
      </c>
      <c r="U1359" s="1250"/>
      <c r="V1359" s="1250"/>
      <c r="W1359" s="1251">
        <v>0</v>
      </c>
      <c r="X1359" s="1250">
        <v>166.66666666666666</v>
      </c>
      <c r="Y1359" s="1250"/>
      <c r="Z1359" s="1250"/>
      <c r="AA1359" s="1250"/>
      <c r="AB1359" s="1250"/>
      <c r="AC1359" s="1250"/>
      <c r="AD1359" s="1250"/>
      <c r="AE1359" s="1249">
        <v>0</v>
      </c>
      <c r="AF1359" s="1250">
        <v>166.66666666666666</v>
      </c>
      <c r="AG1359" s="111"/>
      <c r="AH1359" s="111"/>
      <c r="AI1359" s="111"/>
      <c r="AJ1359" s="111"/>
      <c r="AK1359" s="111"/>
      <c r="AL1359" s="111"/>
      <c r="AM1359" s="111">
        <v>500</v>
      </c>
    </row>
    <row r="1360" spans="1:39" ht="15" customHeight="1" x14ac:dyDescent="0.25">
      <c r="A1360" s="1409"/>
      <c r="B1360" s="1409"/>
      <c r="C1360" s="1409"/>
      <c r="D1360" s="1409"/>
      <c r="E1360" s="1247"/>
      <c r="F1360" s="1248" t="s">
        <v>5101</v>
      </c>
      <c r="G1360" s="111"/>
      <c r="H1360" s="1249">
        <v>6</v>
      </c>
      <c r="I1360" s="111" t="s">
        <v>1721</v>
      </c>
      <c r="J1360" s="1321" t="s">
        <v>5608</v>
      </c>
      <c r="K1360" s="162" t="s">
        <v>5610</v>
      </c>
      <c r="L1360" s="162" t="s">
        <v>5609</v>
      </c>
      <c r="M1360" s="111">
        <v>1873.1679999999999</v>
      </c>
      <c r="N1360" s="111">
        <v>11239.008</v>
      </c>
      <c r="O1360" s="111"/>
      <c r="P1360" s="111"/>
      <c r="Q1360" s="111"/>
      <c r="R1360" s="111"/>
      <c r="S1360" s="1249">
        <v>2</v>
      </c>
      <c r="T1360" s="1250">
        <v>3746.3359999999998</v>
      </c>
      <c r="U1360" s="1250"/>
      <c r="V1360" s="1250"/>
      <c r="W1360" s="1251">
        <v>2</v>
      </c>
      <c r="X1360" s="1250">
        <v>3746.3359999999998</v>
      </c>
      <c r="Y1360" s="1250"/>
      <c r="Z1360" s="1250"/>
      <c r="AA1360" s="1250"/>
      <c r="AB1360" s="1250"/>
      <c r="AC1360" s="1250"/>
      <c r="AD1360" s="1250"/>
      <c r="AE1360" s="1249">
        <v>2</v>
      </c>
      <c r="AF1360" s="1250">
        <v>3746.3359999999998</v>
      </c>
      <c r="AG1360" s="111"/>
      <c r="AH1360" s="111"/>
      <c r="AI1360" s="111"/>
      <c r="AJ1360" s="111"/>
      <c r="AK1360" s="111"/>
      <c r="AL1360" s="111"/>
      <c r="AM1360" s="111">
        <v>11239.008</v>
      </c>
    </row>
    <row r="1361" spans="1:39" ht="15" customHeight="1" x14ac:dyDescent="0.25">
      <c r="A1361" s="1409"/>
      <c r="B1361" s="1409"/>
      <c r="C1361" s="1409"/>
      <c r="D1361" s="1409"/>
      <c r="E1361" s="1247"/>
      <c r="F1361" s="1248" t="s">
        <v>5102</v>
      </c>
      <c r="G1361" s="111"/>
      <c r="H1361" s="1249">
        <v>1</v>
      </c>
      <c r="I1361" s="111" t="s">
        <v>1721</v>
      </c>
      <c r="J1361" s="1321" t="s">
        <v>5608</v>
      </c>
      <c r="K1361" s="162" t="s">
        <v>5610</v>
      </c>
      <c r="L1361" s="162" t="s">
        <v>5609</v>
      </c>
      <c r="M1361" s="111">
        <v>1192.48</v>
      </c>
      <c r="N1361" s="111">
        <v>1192.48</v>
      </c>
      <c r="O1361" s="111"/>
      <c r="P1361" s="111"/>
      <c r="Q1361" s="111"/>
      <c r="R1361" s="111"/>
      <c r="S1361" s="1249">
        <v>1</v>
      </c>
      <c r="T1361" s="1250">
        <v>397.49333333333334</v>
      </c>
      <c r="U1361" s="1250"/>
      <c r="V1361" s="1250"/>
      <c r="W1361" s="1251">
        <v>0</v>
      </c>
      <c r="X1361" s="1250">
        <v>397.49333333333334</v>
      </c>
      <c r="Y1361" s="1250"/>
      <c r="Z1361" s="1250"/>
      <c r="AA1361" s="1250"/>
      <c r="AB1361" s="1250"/>
      <c r="AC1361" s="1250"/>
      <c r="AD1361" s="1250"/>
      <c r="AE1361" s="1249">
        <v>0</v>
      </c>
      <c r="AF1361" s="1250">
        <v>397.49333333333334</v>
      </c>
      <c r="AG1361" s="111"/>
      <c r="AH1361" s="111"/>
      <c r="AI1361" s="111"/>
      <c r="AJ1361" s="111"/>
      <c r="AK1361" s="111"/>
      <c r="AL1361" s="111"/>
      <c r="AM1361" s="111">
        <v>1192.48</v>
      </c>
    </row>
    <row r="1362" spans="1:39" ht="15" customHeight="1" x14ac:dyDescent="0.25">
      <c r="A1362" s="1409"/>
      <c r="B1362" s="1409"/>
      <c r="C1362" s="1409"/>
      <c r="D1362" s="1409"/>
      <c r="E1362" s="1285"/>
      <c r="F1362" s="1248"/>
      <c r="G1362" s="111"/>
      <c r="H1362" s="1249"/>
      <c r="I1362" s="111"/>
      <c r="J1362" s="111"/>
      <c r="K1362" s="111"/>
      <c r="L1362" s="111"/>
      <c r="M1362" s="111"/>
      <c r="N1362" s="111"/>
      <c r="O1362" s="111"/>
      <c r="P1362" s="111"/>
      <c r="Q1362" s="111"/>
      <c r="R1362" s="111"/>
      <c r="S1362" s="1249"/>
      <c r="T1362" s="1250"/>
      <c r="U1362" s="1250"/>
      <c r="V1362" s="1250"/>
      <c r="W1362" s="1251"/>
      <c r="X1362" s="1250"/>
      <c r="Y1362" s="1250"/>
      <c r="Z1362" s="1250"/>
      <c r="AA1362" s="1250"/>
      <c r="AB1362" s="1250"/>
      <c r="AC1362" s="1250"/>
      <c r="AD1362" s="1250"/>
      <c r="AE1362" s="1249"/>
      <c r="AF1362" s="1250"/>
      <c r="AG1362" s="111"/>
      <c r="AH1362" s="111"/>
      <c r="AI1362" s="111"/>
      <c r="AJ1362" s="111"/>
      <c r="AK1362" s="111"/>
      <c r="AL1362" s="111"/>
      <c r="AM1362" s="111"/>
    </row>
    <row r="1363" spans="1:39" ht="15" customHeight="1" x14ac:dyDescent="0.25">
      <c r="A1363" s="1409"/>
      <c r="B1363" s="1409"/>
      <c r="C1363" s="1409"/>
      <c r="D1363" s="1409"/>
      <c r="E1363" s="1261">
        <v>24803</v>
      </c>
      <c r="F1363" s="1262" t="s">
        <v>595</v>
      </c>
      <c r="G1363" s="1261"/>
      <c r="H1363" s="1261"/>
      <c r="I1363" s="1261"/>
      <c r="J1363" s="1261"/>
      <c r="K1363" s="1261"/>
      <c r="L1363" s="1261"/>
      <c r="M1363" s="1261"/>
      <c r="N1363" s="1261"/>
      <c r="O1363" s="1261"/>
      <c r="P1363" s="1261"/>
      <c r="Q1363" s="1261"/>
      <c r="R1363" s="1261"/>
      <c r="S1363" s="1261"/>
      <c r="T1363" s="1261"/>
      <c r="U1363" s="1261"/>
      <c r="V1363" s="1261"/>
      <c r="W1363" s="1261"/>
      <c r="X1363" s="1261"/>
      <c r="Y1363" s="1261"/>
      <c r="Z1363" s="1261"/>
      <c r="AA1363" s="1261"/>
      <c r="AB1363" s="1261"/>
      <c r="AC1363" s="1261"/>
      <c r="AD1363" s="1261"/>
      <c r="AE1363" s="1261"/>
      <c r="AF1363" s="1261"/>
      <c r="AG1363" s="1261"/>
      <c r="AH1363" s="1261"/>
      <c r="AI1363" s="1261"/>
      <c r="AJ1363" s="1261"/>
      <c r="AK1363" s="1261"/>
      <c r="AL1363" s="1261"/>
      <c r="AM1363" s="1261"/>
    </row>
    <row r="1364" spans="1:39" ht="15" customHeight="1" x14ac:dyDescent="0.25">
      <c r="A1364" s="1409"/>
      <c r="B1364" s="1409"/>
      <c r="C1364" s="1409"/>
      <c r="D1364" s="1409"/>
      <c r="E1364" s="1285"/>
      <c r="F1364" s="1248" t="s">
        <v>2998</v>
      </c>
      <c r="G1364" s="111"/>
      <c r="H1364" s="1249">
        <v>6</v>
      </c>
      <c r="I1364" s="111" t="s">
        <v>1826</v>
      </c>
      <c r="J1364" s="1321" t="s">
        <v>5608</v>
      </c>
      <c r="K1364" s="162" t="s">
        <v>5610</v>
      </c>
      <c r="L1364" s="162" t="s">
        <v>5609</v>
      </c>
      <c r="M1364" s="111">
        <v>32.400000000000006</v>
      </c>
      <c r="N1364" s="111">
        <v>194.40000000000003</v>
      </c>
      <c r="O1364" s="111"/>
      <c r="P1364" s="111"/>
      <c r="Q1364" s="111"/>
      <c r="R1364" s="111"/>
      <c r="S1364" s="1249">
        <v>2</v>
      </c>
      <c r="T1364" s="1250">
        <v>64.800000000000011</v>
      </c>
      <c r="U1364" s="1250"/>
      <c r="V1364" s="1250"/>
      <c r="W1364" s="1251">
        <v>2</v>
      </c>
      <c r="X1364" s="1250">
        <v>64.800000000000011</v>
      </c>
      <c r="Y1364" s="1250"/>
      <c r="Z1364" s="1250"/>
      <c r="AA1364" s="1250"/>
      <c r="AB1364" s="1250"/>
      <c r="AC1364" s="1250"/>
      <c r="AD1364" s="1250"/>
      <c r="AE1364" s="1249">
        <v>2</v>
      </c>
      <c r="AF1364" s="1250">
        <v>64.800000000000011</v>
      </c>
      <c r="AG1364" s="111"/>
      <c r="AH1364" s="111"/>
      <c r="AI1364" s="111"/>
      <c r="AJ1364" s="111"/>
      <c r="AK1364" s="111"/>
      <c r="AL1364" s="111"/>
      <c r="AM1364" s="111">
        <v>194.40000000000003</v>
      </c>
    </row>
    <row r="1365" spans="1:39" ht="15" customHeight="1" x14ac:dyDescent="0.25">
      <c r="A1365" s="1409"/>
      <c r="B1365" s="1409"/>
      <c r="C1365" s="1409"/>
      <c r="D1365" s="1409"/>
      <c r="E1365" s="1285"/>
      <c r="F1365" s="1248"/>
      <c r="G1365" s="111"/>
      <c r="H1365" s="1249"/>
      <c r="I1365" s="111"/>
      <c r="J1365" s="111"/>
      <c r="K1365" s="111"/>
      <c r="L1365" s="111"/>
      <c r="M1365" s="111"/>
      <c r="N1365" s="111"/>
      <c r="O1365" s="111"/>
      <c r="P1365" s="111"/>
      <c r="Q1365" s="111"/>
      <c r="R1365" s="111"/>
      <c r="S1365" s="1249"/>
      <c r="T1365" s="1250"/>
      <c r="U1365" s="1250"/>
      <c r="V1365" s="1250"/>
      <c r="W1365" s="1251"/>
      <c r="X1365" s="1250"/>
      <c r="Y1365" s="1250"/>
      <c r="Z1365" s="1250"/>
      <c r="AA1365" s="1250"/>
      <c r="AB1365" s="1250"/>
      <c r="AC1365" s="1250"/>
      <c r="AD1365" s="1250"/>
      <c r="AE1365" s="1249"/>
      <c r="AF1365" s="1250"/>
      <c r="AG1365" s="111"/>
      <c r="AH1365" s="111"/>
      <c r="AI1365" s="111"/>
      <c r="AJ1365" s="111"/>
      <c r="AK1365" s="111"/>
      <c r="AL1365" s="111"/>
      <c r="AM1365" s="111"/>
    </row>
    <row r="1366" spans="1:39" ht="15" customHeight="1" x14ac:dyDescent="0.25">
      <c r="A1366" s="1409"/>
      <c r="B1366" s="1409"/>
      <c r="C1366" s="1409"/>
      <c r="D1366" s="1409"/>
      <c r="E1366" s="1261">
        <v>24804</v>
      </c>
      <c r="F1366" s="1262" t="s">
        <v>596</v>
      </c>
      <c r="G1366" s="1261"/>
      <c r="H1366" s="1261"/>
      <c r="I1366" s="1261"/>
      <c r="J1366" s="1261"/>
      <c r="K1366" s="1261"/>
      <c r="L1366" s="1261"/>
      <c r="M1366" s="1261"/>
      <c r="N1366" s="1261"/>
      <c r="O1366" s="1261"/>
      <c r="P1366" s="1261"/>
      <c r="Q1366" s="1261"/>
      <c r="R1366" s="1261"/>
      <c r="S1366" s="1261"/>
      <c r="T1366" s="1261"/>
      <c r="U1366" s="1261"/>
      <c r="V1366" s="1261"/>
      <c r="W1366" s="1261"/>
      <c r="X1366" s="1261"/>
      <c r="Y1366" s="1261"/>
      <c r="Z1366" s="1261"/>
      <c r="AA1366" s="1261"/>
      <c r="AB1366" s="1261"/>
      <c r="AC1366" s="1261"/>
      <c r="AD1366" s="1261"/>
      <c r="AE1366" s="1261"/>
      <c r="AF1366" s="1261"/>
      <c r="AG1366" s="1261"/>
      <c r="AH1366" s="1261"/>
      <c r="AI1366" s="1261"/>
      <c r="AJ1366" s="1261"/>
      <c r="AK1366" s="1261"/>
      <c r="AL1366" s="1261"/>
      <c r="AM1366" s="1261"/>
    </row>
    <row r="1367" spans="1:39" ht="15" customHeight="1" x14ac:dyDescent="0.25">
      <c r="A1367" s="1409"/>
      <c r="B1367" s="1409"/>
      <c r="C1367" s="1409"/>
      <c r="D1367" s="1409"/>
      <c r="E1367" s="1285"/>
      <c r="F1367" s="1248" t="s">
        <v>5103</v>
      </c>
      <c r="G1367" s="111"/>
      <c r="H1367" s="1249">
        <v>10</v>
      </c>
      <c r="I1367" s="111" t="s">
        <v>1721</v>
      </c>
      <c r="J1367" s="1321" t="s">
        <v>5608</v>
      </c>
      <c r="K1367" s="162" t="s">
        <v>5610</v>
      </c>
      <c r="L1367" s="162" t="s">
        <v>5609</v>
      </c>
      <c r="M1367" s="111">
        <v>757.94</v>
      </c>
      <c r="N1367" s="111">
        <v>7579.4000000000005</v>
      </c>
      <c r="O1367" s="111"/>
      <c r="P1367" s="111"/>
      <c r="Q1367" s="111"/>
      <c r="R1367" s="111"/>
      <c r="S1367" s="1249">
        <v>5</v>
      </c>
      <c r="T1367" s="1250">
        <v>2526.4666666666667</v>
      </c>
      <c r="U1367" s="1250"/>
      <c r="V1367" s="1250"/>
      <c r="W1367" s="1251">
        <v>5</v>
      </c>
      <c r="X1367" s="1250">
        <v>2526.4666666666667</v>
      </c>
      <c r="Y1367" s="1250"/>
      <c r="Z1367" s="1250"/>
      <c r="AA1367" s="1250"/>
      <c r="AB1367" s="1250"/>
      <c r="AC1367" s="1250"/>
      <c r="AD1367" s="1250"/>
      <c r="AE1367" s="1249">
        <v>0</v>
      </c>
      <c r="AF1367" s="1250">
        <v>2526.4666666666667</v>
      </c>
      <c r="AG1367" s="111"/>
      <c r="AH1367" s="111"/>
      <c r="AI1367" s="111"/>
      <c r="AJ1367" s="111"/>
      <c r="AK1367" s="111"/>
      <c r="AL1367" s="111"/>
      <c r="AM1367" s="111">
        <v>7579.4000000000005</v>
      </c>
    </row>
    <row r="1368" spans="1:39" ht="15" customHeight="1" x14ac:dyDescent="0.25">
      <c r="A1368" s="1409"/>
      <c r="B1368" s="1409"/>
      <c r="C1368" s="1409"/>
      <c r="D1368" s="1409"/>
      <c r="E1368" s="1285"/>
      <c r="F1368" s="1248"/>
      <c r="G1368" s="111"/>
      <c r="H1368" s="1249"/>
      <c r="I1368" s="111"/>
      <c r="J1368" s="111"/>
      <c r="K1368" s="111"/>
      <c r="L1368" s="111"/>
      <c r="M1368" s="111"/>
      <c r="N1368" s="111"/>
      <c r="O1368" s="111"/>
      <c r="P1368" s="111"/>
      <c r="Q1368" s="111"/>
      <c r="R1368" s="111"/>
      <c r="S1368" s="1249"/>
      <c r="T1368" s="1250"/>
      <c r="U1368" s="1250"/>
      <c r="V1368" s="1250"/>
      <c r="W1368" s="1251"/>
      <c r="X1368" s="1250"/>
      <c r="Y1368" s="1250"/>
      <c r="Z1368" s="1250"/>
      <c r="AA1368" s="1250"/>
      <c r="AB1368" s="1250"/>
      <c r="AC1368" s="1250"/>
      <c r="AD1368" s="1250"/>
      <c r="AE1368" s="1249"/>
      <c r="AF1368" s="1250"/>
      <c r="AG1368" s="111"/>
      <c r="AH1368" s="111"/>
      <c r="AI1368" s="111"/>
      <c r="AJ1368" s="111"/>
      <c r="AK1368" s="111"/>
      <c r="AL1368" s="111"/>
      <c r="AM1368" s="111"/>
    </row>
    <row r="1369" spans="1:39" ht="15" customHeight="1" x14ac:dyDescent="0.25">
      <c r="A1369" s="1409"/>
      <c r="B1369" s="1409"/>
      <c r="C1369" s="1409"/>
      <c r="D1369" s="1409"/>
      <c r="E1369" s="1261">
        <v>24807</v>
      </c>
      <c r="F1369" s="1262" t="s">
        <v>599</v>
      </c>
      <c r="G1369" s="1261"/>
      <c r="H1369" s="1261"/>
      <c r="I1369" s="1261"/>
      <c r="J1369" s="1261"/>
      <c r="K1369" s="1261"/>
      <c r="L1369" s="1261"/>
      <c r="M1369" s="1261"/>
      <c r="N1369" s="1261"/>
      <c r="O1369" s="1261"/>
      <c r="P1369" s="1261"/>
      <c r="Q1369" s="1261"/>
      <c r="R1369" s="1261"/>
      <c r="S1369" s="1261"/>
      <c r="T1369" s="1261"/>
      <c r="U1369" s="1261"/>
      <c r="V1369" s="1261"/>
      <c r="W1369" s="1261"/>
      <c r="X1369" s="1261"/>
      <c r="Y1369" s="1261"/>
      <c r="Z1369" s="1261"/>
      <c r="AA1369" s="1261"/>
      <c r="AB1369" s="1261"/>
      <c r="AC1369" s="1261"/>
      <c r="AD1369" s="1261"/>
      <c r="AE1369" s="1261"/>
      <c r="AF1369" s="1261"/>
      <c r="AG1369" s="1261"/>
      <c r="AH1369" s="1261"/>
      <c r="AI1369" s="1261"/>
      <c r="AJ1369" s="1261"/>
      <c r="AK1369" s="1261"/>
      <c r="AL1369" s="1261"/>
      <c r="AM1369" s="1261"/>
    </row>
    <row r="1370" spans="1:39" ht="15" customHeight="1" x14ac:dyDescent="0.25">
      <c r="A1370" s="1409"/>
      <c r="B1370" s="1409"/>
      <c r="C1370" s="1409"/>
      <c r="D1370" s="1409"/>
      <c r="E1370" s="1247"/>
      <c r="F1370" s="1248" t="s">
        <v>5104</v>
      </c>
      <c r="G1370" s="111"/>
      <c r="H1370" s="1249">
        <v>10</v>
      </c>
      <c r="I1370" s="111" t="s">
        <v>1721</v>
      </c>
      <c r="J1370" s="1321" t="s">
        <v>5608</v>
      </c>
      <c r="K1370" s="162" t="s">
        <v>5610</v>
      </c>
      <c r="L1370" s="162" t="s">
        <v>5609</v>
      </c>
      <c r="M1370" s="111">
        <v>20</v>
      </c>
      <c r="N1370" s="111">
        <v>200</v>
      </c>
      <c r="O1370" s="111"/>
      <c r="P1370" s="111"/>
      <c r="Q1370" s="111"/>
      <c r="R1370" s="111"/>
      <c r="S1370" s="1249">
        <v>5</v>
      </c>
      <c r="T1370" s="1250">
        <v>66.666666666666671</v>
      </c>
      <c r="U1370" s="1250"/>
      <c r="V1370" s="1250"/>
      <c r="W1370" s="1251">
        <v>5</v>
      </c>
      <c r="X1370" s="1250">
        <v>66.666666666666671</v>
      </c>
      <c r="Y1370" s="1250"/>
      <c r="Z1370" s="1250"/>
      <c r="AA1370" s="1250"/>
      <c r="AB1370" s="1250"/>
      <c r="AC1370" s="1250"/>
      <c r="AD1370" s="1250"/>
      <c r="AE1370" s="1249">
        <v>0</v>
      </c>
      <c r="AF1370" s="1250">
        <v>66.666666666666671</v>
      </c>
      <c r="AG1370" s="111"/>
      <c r="AH1370" s="111"/>
      <c r="AI1370" s="111"/>
      <c r="AJ1370" s="111"/>
      <c r="AK1370" s="111"/>
      <c r="AL1370" s="111"/>
      <c r="AM1370" s="111">
        <v>200</v>
      </c>
    </row>
    <row r="1371" spans="1:39" ht="15" customHeight="1" x14ac:dyDescent="0.25">
      <c r="A1371" s="1409"/>
      <c r="B1371" s="1409"/>
      <c r="C1371" s="1409"/>
      <c r="D1371" s="1409"/>
      <c r="E1371" s="1247"/>
      <c r="F1371" s="1248" t="s">
        <v>5105</v>
      </c>
      <c r="G1371" s="111"/>
      <c r="H1371" s="1249">
        <v>10</v>
      </c>
      <c r="I1371" s="111" t="s">
        <v>1721</v>
      </c>
      <c r="J1371" s="1321" t="s">
        <v>5608</v>
      </c>
      <c r="K1371" s="162" t="s">
        <v>5610</v>
      </c>
      <c r="L1371" s="162" t="s">
        <v>5609</v>
      </c>
      <c r="M1371" s="111">
        <v>20.671199999999999</v>
      </c>
      <c r="N1371" s="111">
        <v>206.71199999999999</v>
      </c>
      <c r="O1371" s="111"/>
      <c r="P1371" s="111"/>
      <c r="Q1371" s="111"/>
      <c r="R1371" s="111"/>
      <c r="S1371" s="1249">
        <v>5</v>
      </c>
      <c r="T1371" s="1250">
        <v>68.903999999999996</v>
      </c>
      <c r="U1371" s="1250"/>
      <c r="V1371" s="1250"/>
      <c r="W1371" s="1251">
        <v>5</v>
      </c>
      <c r="X1371" s="1250">
        <v>68.903999999999996</v>
      </c>
      <c r="Y1371" s="1250"/>
      <c r="Z1371" s="1250"/>
      <c r="AA1371" s="1250"/>
      <c r="AB1371" s="1250"/>
      <c r="AC1371" s="1250"/>
      <c r="AD1371" s="1250"/>
      <c r="AE1371" s="1249">
        <v>0</v>
      </c>
      <c r="AF1371" s="1250">
        <v>68.903999999999996</v>
      </c>
      <c r="AG1371" s="111"/>
      <c r="AH1371" s="111"/>
      <c r="AI1371" s="111"/>
      <c r="AJ1371" s="111"/>
      <c r="AK1371" s="111"/>
      <c r="AL1371" s="111"/>
      <c r="AM1371" s="111">
        <v>206.71199999999999</v>
      </c>
    </row>
    <row r="1372" spans="1:39" ht="15" customHeight="1" x14ac:dyDescent="0.25">
      <c r="A1372" s="1409"/>
      <c r="B1372" s="1409"/>
      <c r="C1372" s="1409"/>
      <c r="D1372" s="1409"/>
      <c r="E1372" s="1247"/>
      <c r="F1372" s="1248" t="s">
        <v>1249</v>
      </c>
      <c r="G1372" s="111"/>
      <c r="H1372" s="1249">
        <v>8</v>
      </c>
      <c r="I1372" s="111" t="s">
        <v>1721</v>
      </c>
      <c r="J1372" s="1321" t="s">
        <v>5608</v>
      </c>
      <c r="K1372" s="162" t="s">
        <v>5610</v>
      </c>
      <c r="L1372" s="162" t="s">
        <v>5609</v>
      </c>
      <c r="M1372" s="111">
        <v>6.8904000000000005</v>
      </c>
      <c r="N1372" s="111">
        <v>55.123200000000004</v>
      </c>
      <c r="O1372" s="111"/>
      <c r="P1372" s="111"/>
      <c r="Q1372" s="111"/>
      <c r="R1372" s="111"/>
      <c r="S1372" s="1249">
        <v>4</v>
      </c>
      <c r="T1372" s="1250">
        <v>18.374400000000001</v>
      </c>
      <c r="U1372" s="1250"/>
      <c r="V1372" s="1250"/>
      <c r="W1372" s="1251">
        <v>2</v>
      </c>
      <c r="X1372" s="1250">
        <v>18.374400000000001</v>
      </c>
      <c r="Y1372" s="1250"/>
      <c r="Z1372" s="1250"/>
      <c r="AA1372" s="1250"/>
      <c r="AB1372" s="1250"/>
      <c r="AC1372" s="1250"/>
      <c r="AD1372" s="1250"/>
      <c r="AE1372" s="1249">
        <v>2</v>
      </c>
      <c r="AF1372" s="1250">
        <v>18.374400000000001</v>
      </c>
      <c r="AG1372" s="111"/>
      <c r="AH1372" s="111"/>
      <c r="AI1372" s="111"/>
      <c r="AJ1372" s="111"/>
      <c r="AK1372" s="111"/>
      <c r="AL1372" s="111"/>
      <c r="AM1372" s="111">
        <v>55.123200000000004</v>
      </c>
    </row>
    <row r="1373" spans="1:39" ht="15" customHeight="1" x14ac:dyDescent="0.25">
      <c r="A1373" s="1409"/>
      <c r="B1373" s="1409"/>
      <c r="C1373" s="1409"/>
      <c r="D1373" s="1409"/>
      <c r="E1373" s="1247"/>
      <c r="F1373" s="1248" t="s">
        <v>5106</v>
      </c>
      <c r="G1373" s="111"/>
      <c r="H1373" s="1249">
        <v>10</v>
      </c>
      <c r="I1373" s="111" t="s">
        <v>1721</v>
      </c>
      <c r="J1373" s="1321" t="s">
        <v>5608</v>
      </c>
      <c r="K1373" s="162" t="s">
        <v>5610</v>
      </c>
      <c r="L1373" s="162" t="s">
        <v>5609</v>
      </c>
      <c r="M1373" s="111">
        <v>16.536960000000001</v>
      </c>
      <c r="N1373" s="111">
        <v>165.36959999999999</v>
      </c>
      <c r="O1373" s="111"/>
      <c r="P1373" s="111"/>
      <c r="Q1373" s="111"/>
      <c r="R1373" s="111"/>
      <c r="S1373" s="1249">
        <v>5</v>
      </c>
      <c r="T1373" s="1250">
        <v>55.123199999999997</v>
      </c>
      <c r="U1373" s="1250"/>
      <c r="V1373" s="1250"/>
      <c r="W1373" s="1251">
        <v>5</v>
      </c>
      <c r="X1373" s="1250">
        <v>55.123199999999997</v>
      </c>
      <c r="Y1373" s="1250"/>
      <c r="Z1373" s="1250"/>
      <c r="AA1373" s="1250"/>
      <c r="AB1373" s="1250"/>
      <c r="AC1373" s="1250"/>
      <c r="AD1373" s="1250"/>
      <c r="AE1373" s="1249">
        <v>0</v>
      </c>
      <c r="AF1373" s="1250">
        <v>55.123199999999997</v>
      </c>
      <c r="AG1373" s="111"/>
      <c r="AH1373" s="111"/>
      <c r="AI1373" s="111"/>
      <c r="AJ1373" s="111"/>
      <c r="AK1373" s="111"/>
      <c r="AL1373" s="111"/>
      <c r="AM1373" s="111">
        <v>165.36959999999999</v>
      </c>
    </row>
    <row r="1374" spans="1:39" ht="15" customHeight="1" x14ac:dyDescent="0.25">
      <c r="A1374" s="1409"/>
      <c r="B1374" s="1409"/>
      <c r="C1374" s="1409"/>
      <c r="D1374" s="1409"/>
      <c r="E1374" s="1247"/>
      <c r="F1374" s="1248" t="s">
        <v>5107</v>
      </c>
      <c r="G1374" s="111"/>
      <c r="H1374" s="1249">
        <v>20</v>
      </c>
      <c r="I1374" s="111" t="s">
        <v>1721</v>
      </c>
      <c r="J1374" s="1321" t="s">
        <v>5608</v>
      </c>
      <c r="K1374" s="162" t="s">
        <v>5610</v>
      </c>
      <c r="L1374" s="162" t="s">
        <v>5609</v>
      </c>
      <c r="M1374" s="111">
        <v>35</v>
      </c>
      <c r="N1374" s="111">
        <v>700</v>
      </c>
      <c r="O1374" s="111"/>
      <c r="P1374" s="111"/>
      <c r="Q1374" s="111"/>
      <c r="R1374" s="111"/>
      <c r="S1374" s="1249">
        <v>10</v>
      </c>
      <c r="T1374" s="1250">
        <v>233.33333333333334</v>
      </c>
      <c r="U1374" s="1250"/>
      <c r="V1374" s="1250"/>
      <c r="W1374" s="1251">
        <v>5</v>
      </c>
      <c r="X1374" s="1250">
        <v>233.33333333333334</v>
      </c>
      <c r="Y1374" s="1250"/>
      <c r="Z1374" s="1250"/>
      <c r="AA1374" s="1250"/>
      <c r="AB1374" s="1250"/>
      <c r="AC1374" s="1250"/>
      <c r="AD1374" s="1250"/>
      <c r="AE1374" s="1249">
        <v>5</v>
      </c>
      <c r="AF1374" s="1250">
        <v>233.33333333333334</v>
      </c>
      <c r="AG1374" s="111"/>
      <c r="AH1374" s="111"/>
      <c r="AI1374" s="111"/>
      <c r="AJ1374" s="111"/>
      <c r="AK1374" s="111"/>
      <c r="AL1374" s="111"/>
      <c r="AM1374" s="111">
        <v>700</v>
      </c>
    </row>
    <row r="1375" spans="1:39" ht="15" customHeight="1" x14ac:dyDescent="0.25">
      <c r="A1375" s="1409"/>
      <c r="B1375" s="1409"/>
      <c r="C1375" s="1409"/>
      <c r="D1375" s="1409"/>
      <c r="E1375" s="1247"/>
      <c r="F1375" s="1248" t="s">
        <v>5108</v>
      </c>
      <c r="G1375" s="111"/>
      <c r="H1375" s="1249">
        <v>10</v>
      </c>
      <c r="I1375" s="111" t="s">
        <v>1721</v>
      </c>
      <c r="J1375" s="1321" t="s">
        <v>5608</v>
      </c>
      <c r="K1375" s="162" t="s">
        <v>5610</v>
      </c>
      <c r="L1375" s="162" t="s">
        <v>5609</v>
      </c>
      <c r="M1375" s="111">
        <v>16.536960000000001</v>
      </c>
      <c r="N1375" s="111">
        <v>165.36959999999999</v>
      </c>
      <c r="O1375" s="111"/>
      <c r="P1375" s="111"/>
      <c r="Q1375" s="111"/>
      <c r="R1375" s="111"/>
      <c r="S1375" s="1249">
        <v>5</v>
      </c>
      <c r="T1375" s="1250">
        <v>55.123199999999997</v>
      </c>
      <c r="U1375" s="1250"/>
      <c r="V1375" s="1250"/>
      <c r="W1375" s="1251">
        <v>5</v>
      </c>
      <c r="X1375" s="1250">
        <v>55.123199999999997</v>
      </c>
      <c r="Y1375" s="1250"/>
      <c r="Z1375" s="1250"/>
      <c r="AA1375" s="1250"/>
      <c r="AB1375" s="1250"/>
      <c r="AC1375" s="1250"/>
      <c r="AD1375" s="1250"/>
      <c r="AE1375" s="1249">
        <v>0</v>
      </c>
      <c r="AF1375" s="1250">
        <v>55.123199999999997</v>
      </c>
      <c r="AG1375" s="111"/>
      <c r="AH1375" s="111"/>
      <c r="AI1375" s="111"/>
      <c r="AJ1375" s="111"/>
      <c r="AK1375" s="111"/>
      <c r="AL1375" s="111"/>
      <c r="AM1375" s="111">
        <v>165.36959999999999</v>
      </c>
    </row>
    <row r="1376" spans="1:39" ht="15" customHeight="1" x14ac:dyDescent="0.25">
      <c r="A1376" s="1409"/>
      <c r="B1376" s="1409"/>
      <c r="C1376" s="1409"/>
      <c r="D1376" s="1409"/>
      <c r="E1376" s="1247"/>
      <c r="F1376" s="1248" t="s">
        <v>5109</v>
      </c>
      <c r="G1376" s="111"/>
      <c r="H1376" s="1249">
        <v>10</v>
      </c>
      <c r="I1376" s="111" t="s">
        <v>1721</v>
      </c>
      <c r="J1376" s="1321" t="s">
        <v>5608</v>
      </c>
      <c r="K1376" s="162" t="s">
        <v>5610</v>
      </c>
      <c r="L1376" s="162" t="s">
        <v>5609</v>
      </c>
      <c r="M1376" s="111">
        <v>8.2684800000000003</v>
      </c>
      <c r="N1376" s="111">
        <v>82.684799999999996</v>
      </c>
      <c r="O1376" s="111"/>
      <c r="P1376" s="111"/>
      <c r="Q1376" s="111"/>
      <c r="R1376" s="111"/>
      <c r="S1376" s="1249">
        <v>5</v>
      </c>
      <c r="T1376" s="1250">
        <v>27.561599999999999</v>
      </c>
      <c r="U1376" s="1250"/>
      <c r="V1376" s="1250"/>
      <c r="W1376" s="1251">
        <v>5</v>
      </c>
      <c r="X1376" s="1250">
        <v>27.561599999999999</v>
      </c>
      <c r="Y1376" s="1250"/>
      <c r="Z1376" s="1250"/>
      <c r="AA1376" s="1250"/>
      <c r="AB1376" s="1250"/>
      <c r="AC1376" s="1250"/>
      <c r="AD1376" s="1250"/>
      <c r="AE1376" s="1249">
        <v>0</v>
      </c>
      <c r="AF1376" s="1250">
        <v>27.561599999999999</v>
      </c>
      <c r="AG1376" s="111"/>
      <c r="AH1376" s="111"/>
      <c r="AI1376" s="111"/>
      <c r="AJ1376" s="111"/>
      <c r="AK1376" s="111"/>
      <c r="AL1376" s="111"/>
      <c r="AM1376" s="111">
        <v>82.684799999999996</v>
      </c>
    </row>
    <row r="1377" spans="1:39" ht="15" customHeight="1" x14ac:dyDescent="0.25">
      <c r="A1377" s="1409"/>
      <c r="B1377" s="1409"/>
      <c r="C1377" s="1409"/>
      <c r="D1377" s="1409"/>
      <c r="E1377" s="1247"/>
      <c r="F1377" s="1248" t="s">
        <v>5110</v>
      </c>
      <c r="G1377" s="111"/>
      <c r="H1377" s="1249">
        <v>10</v>
      </c>
      <c r="I1377" s="111" t="s">
        <v>1721</v>
      </c>
      <c r="J1377" s="1321" t="s">
        <v>5608</v>
      </c>
      <c r="K1377" s="162" t="s">
        <v>5610</v>
      </c>
      <c r="L1377" s="162" t="s">
        <v>5609</v>
      </c>
      <c r="M1377" s="111">
        <v>13.780800000000003</v>
      </c>
      <c r="N1377" s="111">
        <v>137.80800000000002</v>
      </c>
      <c r="O1377" s="111"/>
      <c r="P1377" s="111"/>
      <c r="Q1377" s="111"/>
      <c r="R1377" s="111"/>
      <c r="S1377" s="1249">
        <v>5</v>
      </c>
      <c r="T1377" s="1250">
        <v>45.936000000000007</v>
      </c>
      <c r="U1377" s="1250"/>
      <c r="V1377" s="1250"/>
      <c r="W1377" s="1251">
        <v>5</v>
      </c>
      <c r="X1377" s="1250">
        <v>45.936000000000007</v>
      </c>
      <c r="Y1377" s="1250"/>
      <c r="Z1377" s="1250"/>
      <c r="AA1377" s="1250"/>
      <c r="AB1377" s="1250"/>
      <c r="AC1377" s="1250"/>
      <c r="AD1377" s="1250"/>
      <c r="AE1377" s="1249">
        <v>0</v>
      </c>
      <c r="AF1377" s="1250">
        <v>45.936000000000007</v>
      </c>
      <c r="AG1377" s="111"/>
      <c r="AH1377" s="111"/>
      <c r="AI1377" s="111"/>
      <c r="AJ1377" s="111"/>
      <c r="AK1377" s="111"/>
      <c r="AL1377" s="111"/>
      <c r="AM1377" s="111">
        <v>137.80800000000002</v>
      </c>
    </row>
    <row r="1378" spans="1:39" ht="15" customHeight="1" x14ac:dyDescent="0.25">
      <c r="A1378" s="1409"/>
      <c r="B1378" s="1409"/>
      <c r="C1378" s="1409"/>
      <c r="D1378" s="1409"/>
      <c r="E1378" s="1247"/>
      <c r="F1378" s="1248" t="s">
        <v>5111</v>
      </c>
      <c r="G1378" s="111"/>
      <c r="H1378" s="1249">
        <v>10</v>
      </c>
      <c r="I1378" s="111" t="s">
        <v>1721</v>
      </c>
      <c r="J1378" s="1321" t="s">
        <v>5608</v>
      </c>
      <c r="K1378" s="162" t="s">
        <v>5610</v>
      </c>
      <c r="L1378" s="162" t="s">
        <v>5609</v>
      </c>
      <c r="M1378" s="111">
        <v>20.671199999999999</v>
      </c>
      <c r="N1378" s="111">
        <v>206.71199999999999</v>
      </c>
      <c r="O1378" s="111"/>
      <c r="P1378" s="111"/>
      <c r="Q1378" s="111"/>
      <c r="R1378" s="111"/>
      <c r="S1378" s="1249">
        <v>5</v>
      </c>
      <c r="T1378" s="1250">
        <v>68.903999999999996</v>
      </c>
      <c r="U1378" s="1250"/>
      <c r="V1378" s="1250"/>
      <c r="W1378" s="1251">
        <v>5</v>
      </c>
      <c r="X1378" s="1250">
        <v>68.903999999999996</v>
      </c>
      <c r="Y1378" s="1250"/>
      <c r="Z1378" s="1250"/>
      <c r="AA1378" s="1250"/>
      <c r="AB1378" s="1250"/>
      <c r="AC1378" s="1250"/>
      <c r="AD1378" s="1250"/>
      <c r="AE1378" s="1249">
        <v>0</v>
      </c>
      <c r="AF1378" s="1250">
        <v>68.903999999999996</v>
      </c>
      <c r="AG1378" s="111"/>
      <c r="AH1378" s="111"/>
      <c r="AI1378" s="111"/>
      <c r="AJ1378" s="111"/>
      <c r="AK1378" s="111"/>
      <c r="AL1378" s="111"/>
      <c r="AM1378" s="111">
        <v>206.71199999999999</v>
      </c>
    </row>
    <row r="1379" spans="1:39" ht="15" customHeight="1" x14ac:dyDescent="0.25">
      <c r="A1379" s="1409"/>
      <c r="B1379" s="1409"/>
      <c r="C1379" s="1409"/>
      <c r="D1379" s="1409"/>
      <c r="E1379" s="1247"/>
      <c r="F1379" s="1248" t="s">
        <v>5112</v>
      </c>
      <c r="G1379" s="111"/>
      <c r="H1379" s="1249">
        <v>10</v>
      </c>
      <c r="I1379" s="111" t="s">
        <v>1721</v>
      </c>
      <c r="J1379" s="1321" t="s">
        <v>5608</v>
      </c>
      <c r="K1379" s="162" t="s">
        <v>5610</v>
      </c>
      <c r="L1379" s="162" t="s">
        <v>5609</v>
      </c>
      <c r="M1379" s="111">
        <v>12.40272</v>
      </c>
      <c r="N1379" s="111">
        <v>124.02720000000001</v>
      </c>
      <c r="O1379" s="111"/>
      <c r="P1379" s="111"/>
      <c r="Q1379" s="111"/>
      <c r="R1379" s="111"/>
      <c r="S1379" s="1249">
        <v>5</v>
      </c>
      <c r="T1379" s="1250">
        <v>41.342400000000005</v>
      </c>
      <c r="U1379" s="1250"/>
      <c r="V1379" s="1250"/>
      <c r="W1379" s="1251">
        <v>5</v>
      </c>
      <c r="X1379" s="1250">
        <v>41.342400000000005</v>
      </c>
      <c r="Y1379" s="1250"/>
      <c r="Z1379" s="1250"/>
      <c r="AA1379" s="1250"/>
      <c r="AB1379" s="1250"/>
      <c r="AC1379" s="1250"/>
      <c r="AD1379" s="1250"/>
      <c r="AE1379" s="1249">
        <v>0</v>
      </c>
      <c r="AF1379" s="1250">
        <v>41.342400000000005</v>
      </c>
      <c r="AG1379" s="111"/>
      <c r="AH1379" s="111"/>
      <c r="AI1379" s="111"/>
      <c r="AJ1379" s="111"/>
      <c r="AK1379" s="111"/>
      <c r="AL1379" s="111"/>
      <c r="AM1379" s="111">
        <v>124.02720000000001</v>
      </c>
    </row>
    <row r="1380" spans="1:39" ht="15" customHeight="1" x14ac:dyDescent="0.25">
      <c r="A1380" s="1409"/>
      <c r="B1380" s="1409"/>
      <c r="C1380" s="1409"/>
      <c r="D1380" s="1409"/>
      <c r="E1380" s="1247"/>
      <c r="F1380" s="1248" t="s">
        <v>5113</v>
      </c>
      <c r="G1380" s="111"/>
      <c r="H1380" s="1249">
        <v>10</v>
      </c>
      <c r="I1380" s="111" t="s">
        <v>1721</v>
      </c>
      <c r="J1380" s="1321" t="s">
        <v>5608</v>
      </c>
      <c r="K1380" s="162" t="s">
        <v>5610</v>
      </c>
      <c r="L1380" s="162" t="s">
        <v>5609</v>
      </c>
      <c r="M1380" s="111">
        <v>34.452000000000005</v>
      </c>
      <c r="N1380" s="111">
        <v>344.52000000000004</v>
      </c>
      <c r="O1380" s="111"/>
      <c r="P1380" s="111"/>
      <c r="Q1380" s="111"/>
      <c r="R1380" s="111"/>
      <c r="S1380" s="1249">
        <v>5</v>
      </c>
      <c r="T1380" s="1250">
        <v>114.84000000000002</v>
      </c>
      <c r="U1380" s="1250"/>
      <c r="V1380" s="1250"/>
      <c r="W1380" s="1251">
        <v>5</v>
      </c>
      <c r="X1380" s="1250">
        <v>114.84000000000002</v>
      </c>
      <c r="Y1380" s="1250"/>
      <c r="Z1380" s="1250"/>
      <c r="AA1380" s="1250"/>
      <c r="AB1380" s="1250"/>
      <c r="AC1380" s="1250"/>
      <c r="AD1380" s="1250"/>
      <c r="AE1380" s="1249">
        <v>0</v>
      </c>
      <c r="AF1380" s="1250">
        <v>114.84000000000002</v>
      </c>
      <c r="AG1380" s="111"/>
      <c r="AH1380" s="111"/>
      <c r="AI1380" s="111"/>
      <c r="AJ1380" s="111"/>
      <c r="AK1380" s="111"/>
      <c r="AL1380" s="111"/>
      <c r="AM1380" s="111">
        <v>344.52000000000004</v>
      </c>
    </row>
    <row r="1381" spans="1:39" ht="15" customHeight="1" x14ac:dyDescent="0.25">
      <c r="A1381" s="1409"/>
      <c r="B1381" s="1409"/>
      <c r="C1381" s="1409"/>
      <c r="D1381" s="1409"/>
      <c r="E1381" s="1247"/>
      <c r="F1381" s="1248" t="s">
        <v>5114</v>
      </c>
      <c r="G1381" s="111"/>
      <c r="H1381" s="1249">
        <v>2</v>
      </c>
      <c r="I1381" s="111" t="s">
        <v>1734</v>
      </c>
      <c r="J1381" s="1321" t="s">
        <v>5608</v>
      </c>
      <c r="K1381" s="162" t="s">
        <v>5610</v>
      </c>
      <c r="L1381" s="162" t="s">
        <v>5609</v>
      </c>
      <c r="M1381" s="111">
        <v>1700</v>
      </c>
      <c r="N1381" s="111">
        <v>3400</v>
      </c>
      <c r="O1381" s="111"/>
      <c r="P1381" s="111"/>
      <c r="Q1381" s="111"/>
      <c r="R1381" s="111"/>
      <c r="S1381" s="1249">
        <v>2</v>
      </c>
      <c r="T1381" s="1250">
        <v>1133.3333333333333</v>
      </c>
      <c r="U1381" s="1250"/>
      <c r="V1381" s="1250"/>
      <c r="W1381" s="1251">
        <v>0</v>
      </c>
      <c r="X1381" s="1250">
        <v>1133.3333333333333</v>
      </c>
      <c r="Y1381" s="1250"/>
      <c r="Z1381" s="1250"/>
      <c r="AA1381" s="1250"/>
      <c r="AB1381" s="1250"/>
      <c r="AC1381" s="1250"/>
      <c r="AD1381" s="1250"/>
      <c r="AE1381" s="1249">
        <v>0</v>
      </c>
      <c r="AF1381" s="1250">
        <v>1133.3333333333333</v>
      </c>
      <c r="AG1381" s="111"/>
      <c r="AH1381" s="111"/>
      <c r="AI1381" s="111"/>
      <c r="AJ1381" s="111"/>
      <c r="AK1381" s="111"/>
      <c r="AL1381" s="111"/>
      <c r="AM1381" s="111">
        <v>3400</v>
      </c>
    </row>
    <row r="1382" spans="1:39" ht="15" customHeight="1" x14ac:dyDescent="0.25">
      <c r="A1382" s="1409"/>
      <c r="B1382" s="1409"/>
      <c r="C1382" s="1409"/>
      <c r="D1382" s="1409"/>
      <c r="E1382" s="1247"/>
      <c r="F1382" s="1248" t="s">
        <v>5115</v>
      </c>
      <c r="G1382" s="111"/>
      <c r="H1382" s="1249">
        <v>50</v>
      </c>
      <c r="I1382" s="111" t="s">
        <v>1721</v>
      </c>
      <c r="J1382" s="1321" t="s">
        <v>5608</v>
      </c>
      <c r="K1382" s="162" t="s">
        <v>5610</v>
      </c>
      <c r="L1382" s="162" t="s">
        <v>5609</v>
      </c>
      <c r="M1382" s="111">
        <v>82.68</v>
      </c>
      <c r="N1382" s="111">
        <v>4134</v>
      </c>
      <c r="O1382" s="111"/>
      <c r="P1382" s="111"/>
      <c r="Q1382" s="111"/>
      <c r="R1382" s="111"/>
      <c r="S1382" s="1249">
        <v>20</v>
      </c>
      <c r="T1382" s="1250">
        <v>1378</v>
      </c>
      <c r="U1382" s="1250"/>
      <c r="V1382" s="1250"/>
      <c r="W1382" s="1251">
        <v>20</v>
      </c>
      <c r="X1382" s="1250">
        <v>1378</v>
      </c>
      <c r="Y1382" s="1250"/>
      <c r="Z1382" s="1250"/>
      <c r="AA1382" s="1250"/>
      <c r="AB1382" s="1250"/>
      <c r="AC1382" s="1250"/>
      <c r="AD1382" s="1250"/>
      <c r="AE1382" s="1249">
        <v>10</v>
      </c>
      <c r="AF1382" s="1250">
        <v>1378</v>
      </c>
      <c r="AG1382" s="111"/>
      <c r="AH1382" s="111"/>
      <c r="AI1382" s="111"/>
      <c r="AJ1382" s="111"/>
      <c r="AK1382" s="111"/>
      <c r="AL1382" s="111"/>
      <c r="AM1382" s="111">
        <v>4134</v>
      </c>
    </row>
    <row r="1383" spans="1:39" ht="15" customHeight="1" x14ac:dyDescent="0.25">
      <c r="A1383" s="1409"/>
      <c r="B1383" s="1409"/>
      <c r="C1383" s="1409"/>
      <c r="D1383" s="1409"/>
      <c r="E1383" s="1247"/>
      <c r="F1383" s="1248" t="s">
        <v>5116</v>
      </c>
      <c r="G1383" s="111"/>
      <c r="H1383" s="1249">
        <v>1</v>
      </c>
      <c r="I1383" s="111" t="s">
        <v>1734</v>
      </c>
      <c r="J1383" s="1321" t="s">
        <v>5608</v>
      </c>
      <c r="K1383" s="162" t="s">
        <v>5610</v>
      </c>
      <c r="L1383" s="162" t="s">
        <v>5609</v>
      </c>
      <c r="M1383" s="111">
        <v>64.77</v>
      </c>
      <c r="N1383" s="111">
        <v>64.77</v>
      </c>
      <c r="O1383" s="111"/>
      <c r="P1383" s="111"/>
      <c r="Q1383" s="111"/>
      <c r="R1383" s="111"/>
      <c r="S1383" s="1249">
        <v>1</v>
      </c>
      <c r="T1383" s="1250">
        <v>21.59</v>
      </c>
      <c r="U1383" s="1250"/>
      <c r="V1383" s="1250"/>
      <c r="W1383" s="1251">
        <v>0</v>
      </c>
      <c r="X1383" s="1250">
        <v>21.59</v>
      </c>
      <c r="Y1383" s="1250"/>
      <c r="Z1383" s="1250"/>
      <c r="AA1383" s="1250"/>
      <c r="AB1383" s="1250"/>
      <c r="AC1383" s="1250"/>
      <c r="AD1383" s="1250"/>
      <c r="AE1383" s="1249">
        <v>0</v>
      </c>
      <c r="AF1383" s="1250">
        <v>21.59</v>
      </c>
      <c r="AG1383" s="111"/>
      <c r="AH1383" s="111"/>
      <c r="AI1383" s="111"/>
      <c r="AJ1383" s="111"/>
      <c r="AK1383" s="111"/>
      <c r="AL1383" s="111"/>
      <c r="AM1383" s="111">
        <v>64.77</v>
      </c>
    </row>
    <row r="1384" spans="1:39" ht="15" customHeight="1" x14ac:dyDescent="0.25">
      <c r="A1384" s="1409"/>
      <c r="B1384" s="1409"/>
      <c r="C1384" s="1409"/>
      <c r="D1384" s="1409"/>
      <c r="E1384" s="1247"/>
      <c r="F1384" s="1248" t="s">
        <v>5117</v>
      </c>
      <c r="G1384" s="111"/>
      <c r="H1384" s="1249">
        <v>24</v>
      </c>
      <c r="I1384" s="111" t="s">
        <v>1721</v>
      </c>
      <c r="J1384" s="1321" t="s">
        <v>5608</v>
      </c>
      <c r="K1384" s="162" t="s">
        <v>5610</v>
      </c>
      <c r="L1384" s="162" t="s">
        <v>5609</v>
      </c>
      <c r="M1384" s="111">
        <v>82.683999999999997</v>
      </c>
      <c r="N1384" s="111">
        <v>1984.4159999999999</v>
      </c>
      <c r="O1384" s="111"/>
      <c r="P1384" s="111"/>
      <c r="Q1384" s="111"/>
      <c r="R1384" s="111"/>
      <c r="S1384" s="1249">
        <v>14</v>
      </c>
      <c r="T1384" s="1250">
        <v>661.47199999999998</v>
      </c>
      <c r="U1384" s="1250"/>
      <c r="V1384" s="1250"/>
      <c r="W1384" s="1251">
        <v>5</v>
      </c>
      <c r="X1384" s="1250">
        <v>661.47199999999998</v>
      </c>
      <c r="Y1384" s="1250"/>
      <c r="Z1384" s="1250"/>
      <c r="AA1384" s="1250"/>
      <c r="AB1384" s="1250"/>
      <c r="AC1384" s="1250"/>
      <c r="AD1384" s="1250"/>
      <c r="AE1384" s="1249">
        <v>5</v>
      </c>
      <c r="AF1384" s="1250">
        <v>661.47199999999998</v>
      </c>
      <c r="AG1384" s="111"/>
      <c r="AH1384" s="111"/>
      <c r="AI1384" s="111"/>
      <c r="AJ1384" s="111"/>
      <c r="AK1384" s="111"/>
      <c r="AL1384" s="111"/>
      <c r="AM1384" s="111">
        <v>1984.4159999999999</v>
      </c>
    </row>
    <row r="1385" spans="1:39" ht="15" customHeight="1" x14ac:dyDescent="0.25">
      <c r="A1385" s="1409"/>
      <c r="B1385" s="1409"/>
      <c r="C1385" s="1409"/>
      <c r="D1385" s="1409"/>
      <c r="E1385" s="1247"/>
      <c r="F1385" s="1248" t="s">
        <v>5118</v>
      </c>
      <c r="G1385" s="111"/>
      <c r="H1385" s="1249">
        <v>22</v>
      </c>
      <c r="I1385" s="111" t="s">
        <v>1721</v>
      </c>
      <c r="J1385" s="1321" t="s">
        <v>5608</v>
      </c>
      <c r="K1385" s="162" t="s">
        <v>5610</v>
      </c>
      <c r="L1385" s="162" t="s">
        <v>5609</v>
      </c>
      <c r="M1385" s="111">
        <v>89.575636363636363</v>
      </c>
      <c r="N1385" s="111">
        <v>1970.664</v>
      </c>
      <c r="O1385" s="111"/>
      <c r="P1385" s="111"/>
      <c r="Q1385" s="111"/>
      <c r="R1385" s="111"/>
      <c r="S1385" s="1249">
        <v>12</v>
      </c>
      <c r="T1385" s="1250">
        <v>656.88800000000003</v>
      </c>
      <c r="U1385" s="1250"/>
      <c r="V1385" s="1250"/>
      <c r="W1385" s="1251">
        <v>5</v>
      </c>
      <c r="X1385" s="1250">
        <v>656.88800000000003</v>
      </c>
      <c r="Y1385" s="1250"/>
      <c r="Z1385" s="1250"/>
      <c r="AA1385" s="1250"/>
      <c r="AB1385" s="1250"/>
      <c r="AC1385" s="1250"/>
      <c r="AD1385" s="1250"/>
      <c r="AE1385" s="1249">
        <v>5</v>
      </c>
      <c r="AF1385" s="1250">
        <v>656.88800000000003</v>
      </c>
      <c r="AG1385" s="111"/>
      <c r="AH1385" s="111"/>
      <c r="AI1385" s="111"/>
      <c r="AJ1385" s="111"/>
      <c r="AK1385" s="111"/>
      <c r="AL1385" s="111"/>
      <c r="AM1385" s="111">
        <v>1970.664</v>
      </c>
    </row>
    <row r="1386" spans="1:39" ht="15" customHeight="1" x14ac:dyDescent="0.25">
      <c r="A1386" s="1409"/>
      <c r="B1386" s="1409"/>
      <c r="C1386" s="1409"/>
      <c r="D1386" s="1409"/>
      <c r="E1386" s="1247"/>
      <c r="F1386" s="1248" t="s">
        <v>5119</v>
      </c>
      <c r="G1386" s="111"/>
      <c r="H1386" s="1249">
        <v>3</v>
      </c>
      <c r="I1386" s="111" t="s">
        <v>1721</v>
      </c>
      <c r="J1386" s="1321" t="s">
        <v>5608</v>
      </c>
      <c r="K1386" s="162" t="s">
        <v>5610</v>
      </c>
      <c r="L1386" s="162" t="s">
        <v>5609</v>
      </c>
      <c r="M1386" s="111">
        <v>64.77</v>
      </c>
      <c r="N1386" s="111">
        <v>194.31</v>
      </c>
      <c r="O1386" s="111"/>
      <c r="P1386" s="111"/>
      <c r="Q1386" s="111"/>
      <c r="R1386" s="111"/>
      <c r="S1386" s="1249">
        <v>1</v>
      </c>
      <c r="T1386" s="1250">
        <v>64.77</v>
      </c>
      <c r="U1386" s="1250"/>
      <c r="V1386" s="1250"/>
      <c r="W1386" s="1251">
        <v>1</v>
      </c>
      <c r="X1386" s="1250">
        <v>64.77</v>
      </c>
      <c r="Y1386" s="1250"/>
      <c r="Z1386" s="1250"/>
      <c r="AA1386" s="1250"/>
      <c r="AB1386" s="1250"/>
      <c r="AC1386" s="1250"/>
      <c r="AD1386" s="1250"/>
      <c r="AE1386" s="1249">
        <v>1</v>
      </c>
      <c r="AF1386" s="1250">
        <v>64.77</v>
      </c>
      <c r="AG1386" s="111"/>
      <c r="AH1386" s="111"/>
      <c r="AI1386" s="111"/>
      <c r="AJ1386" s="111"/>
      <c r="AK1386" s="111"/>
      <c r="AL1386" s="111"/>
      <c r="AM1386" s="111">
        <v>194.31</v>
      </c>
    </row>
    <row r="1387" spans="1:39" ht="15" customHeight="1" x14ac:dyDescent="0.25">
      <c r="A1387" s="1409"/>
      <c r="B1387" s="1409"/>
      <c r="C1387" s="1409"/>
      <c r="D1387" s="1409"/>
      <c r="E1387" s="1247"/>
      <c r="F1387" s="1248" t="s">
        <v>5120</v>
      </c>
      <c r="G1387" s="111"/>
      <c r="H1387" s="1249">
        <v>1</v>
      </c>
      <c r="I1387" s="111" t="s">
        <v>1721</v>
      </c>
      <c r="J1387" s="1321" t="s">
        <v>5608</v>
      </c>
      <c r="K1387" s="162" t="s">
        <v>5610</v>
      </c>
      <c r="L1387" s="162" t="s">
        <v>5609</v>
      </c>
      <c r="M1387" s="111">
        <v>1000</v>
      </c>
      <c r="N1387" s="111">
        <v>1000</v>
      </c>
      <c r="O1387" s="111"/>
      <c r="P1387" s="111"/>
      <c r="Q1387" s="111"/>
      <c r="R1387" s="111"/>
      <c r="S1387" s="1249">
        <v>1</v>
      </c>
      <c r="T1387" s="1250">
        <v>333.33333333333331</v>
      </c>
      <c r="U1387" s="1250"/>
      <c r="V1387" s="1250"/>
      <c r="W1387" s="1251">
        <v>0</v>
      </c>
      <c r="X1387" s="1250">
        <v>333.33333333333331</v>
      </c>
      <c r="Y1387" s="1250"/>
      <c r="Z1387" s="1250"/>
      <c r="AA1387" s="1250"/>
      <c r="AB1387" s="1250"/>
      <c r="AC1387" s="1250"/>
      <c r="AD1387" s="1250"/>
      <c r="AE1387" s="1249">
        <v>0</v>
      </c>
      <c r="AF1387" s="1250">
        <v>333.33333333333331</v>
      </c>
      <c r="AG1387" s="111"/>
      <c r="AH1387" s="111"/>
      <c r="AI1387" s="111"/>
      <c r="AJ1387" s="111"/>
      <c r="AK1387" s="111"/>
      <c r="AL1387" s="111"/>
      <c r="AM1387" s="111">
        <v>1000</v>
      </c>
    </row>
    <row r="1388" spans="1:39" ht="15" customHeight="1" x14ac:dyDescent="0.25">
      <c r="A1388" s="1409"/>
      <c r="B1388" s="1409"/>
      <c r="C1388" s="1409"/>
      <c r="D1388" s="1409"/>
      <c r="E1388" s="1247"/>
      <c r="F1388" s="1248" t="s">
        <v>5121</v>
      </c>
      <c r="G1388" s="111"/>
      <c r="H1388" s="1249">
        <v>20</v>
      </c>
      <c r="I1388" s="111" t="s">
        <v>1721</v>
      </c>
      <c r="J1388" s="1321" t="s">
        <v>5608</v>
      </c>
      <c r="K1388" s="162" t="s">
        <v>5610</v>
      </c>
      <c r="L1388" s="162" t="s">
        <v>5609</v>
      </c>
      <c r="M1388" s="111">
        <v>20</v>
      </c>
      <c r="N1388" s="111">
        <v>400</v>
      </c>
      <c r="O1388" s="111"/>
      <c r="P1388" s="111"/>
      <c r="Q1388" s="111"/>
      <c r="R1388" s="111"/>
      <c r="S1388" s="1249">
        <v>10</v>
      </c>
      <c r="T1388" s="1250">
        <v>133.33333333333334</v>
      </c>
      <c r="U1388" s="1250"/>
      <c r="V1388" s="1250"/>
      <c r="W1388" s="1251">
        <v>5</v>
      </c>
      <c r="X1388" s="1250">
        <v>133.33333333333334</v>
      </c>
      <c r="Y1388" s="1250"/>
      <c r="Z1388" s="1250"/>
      <c r="AA1388" s="1250"/>
      <c r="AB1388" s="1250"/>
      <c r="AC1388" s="1250"/>
      <c r="AD1388" s="1250"/>
      <c r="AE1388" s="1249">
        <v>5</v>
      </c>
      <c r="AF1388" s="1250">
        <v>133.33333333333334</v>
      </c>
      <c r="AG1388" s="111"/>
      <c r="AH1388" s="111"/>
      <c r="AI1388" s="111"/>
      <c r="AJ1388" s="111"/>
      <c r="AK1388" s="111"/>
      <c r="AL1388" s="111"/>
      <c r="AM1388" s="111">
        <v>400</v>
      </c>
    </row>
    <row r="1389" spans="1:39" ht="15" customHeight="1" x14ac:dyDescent="0.25">
      <c r="A1389" s="1409"/>
      <c r="B1389" s="1409"/>
      <c r="C1389" s="1409"/>
      <c r="D1389" s="1409"/>
      <c r="E1389" s="1247"/>
      <c r="F1389" s="1248" t="s">
        <v>5122</v>
      </c>
      <c r="G1389" s="111"/>
      <c r="H1389" s="1249">
        <v>8</v>
      </c>
      <c r="I1389" s="111" t="s">
        <v>1721</v>
      </c>
      <c r="J1389" s="1321" t="s">
        <v>5608</v>
      </c>
      <c r="K1389" s="162" t="s">
        <v>5610</v>
      </c>
      <c r="L1389" s="162" t="s">
        <v>5609</v>
      </c>
      <c r="M1389" s="111">
        <v>20.671199999999999</v>
      </c>
      <c r="N1389" s="111">
        <v>165.36959999999999</v>
      </c>
      <c r="O1389" s="111"/>
      <c r="P1389" s="111"/>
      <c r="Q1389" s="111"/>
      <c r="R1389" s="111"/>
      <c r="S1389" s="1249">
        <v>4</v>
      </c>
      <c r="T1389" s="1250">
        <v>55.123199999999997</v>
      </c>
      <c r="U1389" s="1250"/>
      <c r="V1389" s="1250"/>
      <c r="W1389" s="1251">
        <v>2</v>
      </c>
      <c r="X1389" s="1250">
        <v>55.123199999999997</v>
      </c>
      <c r="Y1389" s="1250"/>
      <c r="Z1389" s="1250"/>
      <c r="AA1389" s="1250"/>
      <c r="AB1389" s="1250"/>
      <c r="AC1389" s="1250"/>
      <c r="AD1389" s="1250"/>
      <c r="AE1389" s="1249">
        <v>2</v>
      </c>
      <c r="AF1389" s="1250">
        <v>55.123199999999997</v>
      </c>
      <c r="AG1389" s="111"/>
      <c r="AH1389" s="111"/>
      <c r="AI1389" s="111"/>
      <c r="AJ1389" s="111"/>
      <c r="AK1389" s="111"/>
      <c r="AL1389" s="111"/>
      <c r="AM1389" s="111">
        <v>165.36959999999999</v>
      </c>
    </row>
    <row r="1390" spans="1:39" ht="15" customHeight="1" x14ac:dyDescent="0.25">
      <c r="A1390" s="1409"/>
      <c r="B1390" s="1409"/>
      <c r="C1390" s="1409"/>
      <c r="D1390" s="1409"/>
      <c r="E1390" s="1247"/>
      <c r="F1390" s="1248" t="s">
        <v>5123</v>
      </c>
      <c r="G1390" s="111"/>
      <c r="H1390" s="1249">
        <v>8</v>
      </c>
      <c r="I1390" s="111" t="s">
        <v>1721</v>
      </c>
      <c r="J1390" s="1321" t="s">
        <v>5608</v>
      </c>
      <c r="K1390" s="162" t="s">
        <v>5610</v>
      </c>
      <c r="L1390" s="162" t="s">
        <v>5609</v>
      </c>
      <c r="M1390" s="111">
        <v>11.024640000000002</v>
      </c>
      <c r="N1390" s="111">
        <v>88.197120000000012</v>
      </c>
      <c r="O1390" s="111"/>
      <c r="P1390" s="111"/>
      <c r="Q1390" s="111"/>
      <c r="R1390" s="111"/>
      <c r="S1390" s="1249">
        <v>4</v>
      </c>
      <c r="T1390" s="1250">
        <v>29.399040000000003</v>
      </c>
      <c r="U1390" s="1250"/>
      <c r="V1390" s="1250"/>
      <c r="W1390" s="1251">
        <v>2</v>
      </c>
      <c r="X1390" s="1250">
        <v>29.399040000000003</v>
      </c>
      <c r="Y1390" s="1250"/>
      <c r="Z1390" s="1250"/>
      <c r="AA1390" s="1250"/>
      <c r="AB1390" s="1250"/>
      <c r="AC1390" s="1250"/>
      <c r="AD1390" s="1250"/>
      <c r="AE1390" s="1249">
        <v>2</v>
      </c>
      <c r="AF1390" s="1250">
        <v>29.399040000000003</v>
      </c>
      <c r="AG1390" s="111"/>
      <c r="AH1390" s="111"/>
      <c r="AI1390" s="111"/>
      <c r="AJ1390" s="111"/>
      <c r="AK1390" s="111"/>
      <c r="AL1390" s="111"/>
      <c r="AM1390" s="111">
        <v>88.197120000000012</v>
      </c>
    </row>
    <row r="1391" spans="1:39" ht="15" customHeight="1" x14ac:dyDescent="0.25">
      <c r="A1391" s="1409"/>
      <c r="B1391" s="1409"/>
      <c r="C1391" s="1409"/>
      <c r="D1391" s="1409"/>
      <c r="E1391" s="1247"/>
      <c r="F1391" s="1248" t="s">
        <v>5124</v>
      </c>
      <c r="G1391" s="111"/>
      <c r="H1391" s="1249">
        <v>4</v>
      </c>
      <c r="I1391" s="111" t="s">
        <v>1721</v>
      </c>
      <c r="J1391" s="1321" t="s">
        <v>5608</v>
      </c>
      <c r="K1391" s="162" t="s">
        <v>5610</v>
      </c>
      <c r="L1391" s="162" t="s">
        <v>5609</v>
      </c>
      <c r="M1391" s="111">
        <v>117.13680000000002</v>
      </c>
      <c r="N1391" s="111">
        <v>468.54720000000009</v>
      </c>
      <c r="O1391" s="111"/>
      <c r="P1391" s="111"/>
      <c r="Q1391" s="111"/>
      <c r="R1391" s="111"/>
      <c r="S1391" s="1249">
        <v>2</v>
      </c>
      <c r="T1391" s="1250">
        <v>156.18240000000003</v>
      </c>
      <c r="U1391" s="1250"/>
      <c r="V1391" s="1250"/>
      <c r="W1391" s="1251">
        <v>1</v>
      </c>
      <c r="X1391" s="1250">
        <v>156.18240000000003</v>
      </c>
      <c r="Y1391" s="1250"/>
      <c r="Z1391" s="1250"/>
      <c r="AA1391" s="1250"/>
      <c r="AB1391" s="1250"/>
      <c r="AC1391" s="1250"/>
      <c r="AD1391" s="1250"/>
      <c r="AE1391" s="1249">
        <v>1</v>
      </c>
      <c r="AF1391" s="1250">
        <v>156.18240000000003</v>
      </c>
      <c r="AG1391" s="111"/>
      <c r="AH1391" s="111"/>
      <c r="AI1391" s="111"/>
      <c r="AJ1391" s="111"/>
      <c r="AK1391" s="111"/>
      <c r="AL1391" s="111"/>
      <c r="AM1391" s="111">
        <v>468.54720000000009</v>
      </c>
    </row>
    <row r="1392" spans="1:39" ht="15" customHeight="1" x14ac:dyDescent="0.25">
      <c r="A1392" s="1409"/>
      <c r="B1392" s="1409"/>
      <c r="C1392" s="1409"/>
      <c r="D1392" s="1409"/>
      <c r="E1392" s="1247"/>
      <c r="F1392" s="1248" t="s">
        <v>5125</v>
      </c>
      <c r="G1392" s="111"/>
      <c r="H1392" s="1249">
        <v>8</v>
      </c>
      <c r="I1392" s="111" t="s">
        <v>1721</v>
      </c>
      <c r="J1392" s="1321" t="s">
        <v>5608</v>
      </c>
      <c r="K1392" s="162" t="s">
        <v>5610</v>
      </c>
      <c r="L1392" s="162" t="s">
        <v>5609</v>
      </c>
      <c r="M1392" s="111">
        <v>482.32800000000009</v>
      </c>
      <c r="N1392" s="111">
        <v>3858.6240000000007</v>
      </c>
      <c r="O1392" s="111"/>
      <c r="P1392" s="111"/>
      <c r="Q1392" s="111"/>
      <c r="R1392" s="111"/>
      <c r="S1392" s="1249">
        <v>4</v>
      </c>
      <c r="T1392" s="1250">
        <v>1286.2080000000003</v>
      </c>
      <c r="U1392" s="1250"/>
      <c r="V1392" s="1250"/>
      <c r="W1392" s="1251">
        <v>2</v>
      </c>
      <c r="X1392" s="1250">
        <v>1286.2080000000003</v>
      </c>
      <c r="Y1392" s="1250"/>
      <c r="Z1392" s="1250"/>
      <c r="AA1392" s="1250"/>
      <c r="AB1392" s="1250"/>
      <c r="AC1392" s="1250"/>
      <c r="AD1392" s="1250"/>
      <c r="AE1392" s="1249">
        <v>2</v>
      </c>
      <c r="AF1392" s="1250">
        <v>1286.2080000000003</v>
      </c>
      <c r="AG1392" s="111"/>
      <c r="AH1392" s="111"/>
      <c r="AI1392" s="111"/>
      <c r="AJ1392" s="111"/>
      <c r="AK1392" s="111"/>
      <c r="AL1392" s="111"/>
      <c r="AM1392" s="111">
        <v>3858.6240000000007</v>
      </c>
    </row>
    <row r="1393" spans="1:39" ht="15" customHeight="1" x14ac:dyDescent="0.25">
      <c r="A1393" s="1409"/>
      <c r="B1393" s="1409"/>
      <c r="C1393" s="1409"/>
      <c r="D1393" s="1409"/>
      <c r="E1393" s="1247"/>
      <c r="F1393" s="1248" t="s">
        <v>5126</v>
      </c>
      <c r="G1393" s="111"/>
      <c r="H1393" s="1249">
        <v>4</v>
      </c>
      <c r="I1393" s="111" t="s">
        <v>1721</v>
      </c>
      <c r="J1393" s="1321" t="s">
        <v>5608</v>
      </c>
      <c r="K1393" s="162" t="s">
        <v>5610</v>
      </c>
      <c r="L1393" s="162" t="s">
        <v>5609</v>
      </c>
      <c r="M1393" s="111">
        <v>199.82159999999999</v>
      </c>
      <c r="N1393" s="111">
        <v>799.28639999999996</v>
      </c>
      <c r="O1393" s="111"/>
      <c r="P1393" s="111"/>
      <c r="Q1393" s="111"/>
      <c r="R1393" s="111"/>
      <c r="S1393" s="1249">
        <v>2</v>
      </c>
      <c r="T1393" s="1250">
        <v>266.42879999999997</v>
      </c>
      <c r="U1393" s="1250"/>
      <c r="V1393" s="1250"/>
      <c r="W1393" s="1251">
        <v>1</v>
      </c>
      <c r="X1393" s="1250">
        <v>266.42879999999997</v>
      </c>
      <c r="Y1393" s="1250"/>
      <c r="Z1393" s="1250"/>
      <c r="AA1393" s="1250"/>
      <c r="AB1393" s="1250"/>
      <c r="AC1393" s="1250"/>
      <c r="AD1393" s="1250"/>
      <c r="AE1393" s="1249">
        <v>1</v>
      </c>
      <c r="AF1393" s="1250">
        <v>266.42879999999997</v>
      </c>
      <c r="AG1393" s="111"/>
      <c r="AH1393" s="111"/>
      <c r="AI1393" s="111"/>
      <c r="AJ1393" s="111"/>
      <c r="AK1393" s="111"/>
      <c r="AL1393" s="111"/>
      <c r="AM1393" s="111">
        <v>799.28639999999996</v>
      </c>
    </row>
    <row r="1394" spans="1:39" ht="15" customHeight="1" x14ac:dyDescent="0.25">
      <c r="A1394" s="1409"/>
      <c r="B1394" s="1409"/>
      <c r="C1394" s="1409"/>
      <c r="D1394" s="1409"/>
      <c r="E1394" s="1247"/>
      <c r="F1394" s="1248" t="s">
        <v>1250</v>
      </c>
      <c r="G1394" s="111"/>
      <c r="H1394" s="1249">
        <v>8</v>
      </c>
      <c r="I1394" s="111" t="s">
        <v>1721</v>
      </c>
      <c r="J1394" s="1321" t="s">
        <v>5608</v>
      </c>
      <c r="K1394" s="162" t="s">
        <v>5610</v>
      </c>
      <c r="L1394" s="162" t="s">
        <v>5609</v>
      </c>
      <c r="M1394" s="111">
        <v>199.82159999999999</v>
      </c>
      <c r="N1394" s="111">
        <v>1598.5727999999999</v>
      </c>
      <c r="O1394" s="111"/>
      <c r="P1394" s="111"/>
      <c r="Q1394" s="111"/>
      <c r="R1394" s="111"/>
      <c r="S1394" s="1249">
        <v>4</v>
      </c>
      <c r="T1394" s="1250">
        <v>532.85759999999993</v>
      </c>
      <c r="U1394" s="1250"/>
      <c r="V1394" s="1250"/>
      <c r="W1394" s="1251">
        <v>2</v>
      </c>
      <c r="X1394" s="1250">
        <v>532.85759999999993</v>
      </c>
      <c r="Y1394" s="1250"/>
      <c r="Z1394" s="1250"/>
      <c r="AA1394" s="1250"/>
      <c r="AB1394" s="1250"/>
      <c r="AC1394" s="1250"/>
      <c r="AD1394" s="1250"/>
      <c r="AE1394" s="1249">
        <v>2</v>
      </c>
      <c r="AF1394" s="1250">
        <v>532.85759999999993</v>
      </c>
      <c r="AG1394" s="111"/>
      <c r="AH1394" s="111"/>
      <c r="AI1394" s="111"/>
      <c r="AJ1394" s="111"/>
      <c r="AK1394" s="111"/>
      <c r="AL1394" s="111"/>
      <c r="AM1394" s="111">
        <v>1598.5727999999999</v>
      </c>
    </row>
    <row r="1395" spans="1:39" ht="15" customHeight="1" x14ac:dyDescent="0.25">
      <c r="A1395" s="1409"/>
      <c r="B1395" s="1409"/>
      <c r="C1395" s="1409"/>
      <c r="D1395" s="1409"/>
      <c r="E1395" s="1247"/>
      <c r="F1395" s="1248" t="s">
        <v>5127</v>
      </c>
      <c r="G1395" s="111"/>
      <c r="H1395" s="1249">
        <v>7</v>
      </c>
      <c r="I1395" s="111" t="s">
        <v>1721</v>
      </c>
      <c r="J1395" s="1321" t="s">
        <v>5608</v>
      </c>
      <c r="K1395" s="162" t="s">
        <v>5610</v>
      </c>
      <c r="L1395" s="162" t="s">
        <v>5609</v>
      </c>
      <c r="M1395" s="111">
        <v>400</v>
      </c>
      <c r="N1395" s="111">
        <v>2800</v>
      </c>
      <c r="O1395" s="111"/>
      <c r="P1395" s="111"/>
      <c r="Q1395" s="111"/>
      <c r="R1395" s="111"/>
      <c r="S1395" s="1249">
        <v>3</v>
      </c>
      <c r="T1395" s="1250">
        <v>933.33333333333337</v>
      </c>
      <c r="U1395" s="1250"/>
      <c r="V1395" s="1250"/>
      <c r="W1395" s="1251">
        <v>2</v>
      </c>
      <c r="X1395" s="1250">
        <v>933.33333333333337</v>
      </c>
      <c r="Y1395" s="1250"/>
      <c r="Z1395" s="1250"/>
      <c r="AA1395" s="1250"/>
      <c r="AB1395" s="1250"/>
      <c r="AC1395" s="1250"/>
      <c r="AD1395" s="1250"/>
      <c r="AE1395" s="1249">
        <v>2</v>
      </c>
      <c r="AF1395" s="1250">
        <v>933.33333333333337</v>
      </c>
      <c r="AG1395" s="111"/>
      <c r="AH1395" s="111"/>
      <c r="AI1395" s="111"/>
      <c r="AJ1395" s="111"/>
      <c r="AK1395" s="111"/>
      <c r="AL1395" s="111"/>
      <c r="AM1395" s="111">
        <v>2800</v>
      </c>
    </row>
    <row r="1396" spans="1:39" ht="15" customHeight="1" x14ac:dyDescent="0.25">
      <c r="A1396" s="1409"/>
      <c r="B1396" s="1409"/>
      <c r="C1396" s="1409"/>
      <c r="D1396" s="1409"/>
      <c r="E1396" s="1247"/>
      <c r="F1396" s="1248" t="s">
        <v>5128</v>
      </c>
      <c r="G1396" s="111"/>
      <c r="H1396" s="1249">
        <v>4</v>
      </c>
      <c r="I1396" s="111" t="s">
        <v>1721</v>
      </c>
      <c r="J1396" s="1321" t="s">
        <v>5608</v>
      </c>
      <c r="K1396" s="162" t="s">
        <v>5610</v>
      </c>
      <c r="L1396" s="162" t="s">
        <v>5609</v>
      </c>
      <c r="M1396" s="111">
        <v>600</v>
      </c>
      <c r="N1396" s="111">
        <v>2400</v>
      </c>
      <c r="O1396" s="111"/>
      <c r="P1396" s="111"/>
      <c r="Q1396" s="111"/>
      <c r="R1396" s="111"/>
      <c r="S1396" s="1249">
        <v>2</v>
      </c>
      <c r="T1396" s="1250">
        <v>800</v>
      </c>
      <c r="U1396" s="1250"/>
      <c r="V1396" s="1250"/>
      <c r="W1396" s="1251">
        <v>1</v>
      </c>
      <c r="X1396" s="1250">
        <v>800</v>
      </c>
      <c r="Y1396" s="1250"/>
      <c r="Z1396" s="1250"/>
      <c r="AA1396" s="1250"/>
      <c r="AB1396" s="1250"/>
      <c r="AC1396" s="1250"/>
      <c r="AD1396" s="1250"/>
      <c r="AE1396" s="1249">
        <v>1</v>
      </c>
      <c r="AF1396" s="1250">
        <v>800</v>
      </c>
      <c r="AG1396" s="111"/>
      <c r="AH1396" s="111"/>
      <c r="AI1396" s="111"/>
      <c r="AJ1396" s="111"/>
      <c r="AK1396" s="111"/>
      <c r="AL1396" s="111"/>
      <c r="AM1396" s="111">
        <v>2400</v>
      </c>
    </row>
    <row r="1397" spans="1:39" ht="15" customHeight="1" x14ac:dyDescent="0.25">
      <c r="A1397" s="1409"/>
      <c r="B1397" s="1409"/>
      <c r="C1397" s="1409"/>
      <c r="D1397" s="1409"/>
      <c r="E1397" s="1247"/>
      <c r="F1397" s="1248" t="s">
        <v>5129</v>
      </c>
      <c r="G1397" s="111"/>
      <c r="H1397" s="1249">
        <v>8</v>
      </c>
      <c r="I1397" s="111" t="s">
        <v>1721</v>
      </c>
      <c r="J1397" s="1321" t="s">
        <v>5608</v>
      </c>
      <c r="K1397" s="162" t="s">
        <v>5610</v>
      </c>
      <c r="L1397" s="162" t="s">
        <v>5609</v>
      </c>
      <c r="M1397" s="111">
        <v>300</v>
      </c>
      <c r="N1397" s="111">
        <v>2400</v>
      </c>
      <c r="O1397" s="111"/>
      <c r="P1397" s="111"/>
      <c r="Q1397" s="111"/>
      <c r="R1397" s="111"/>
      <c r="S1397" s="1249">
        <v>4</v>
      </c>
      <c r="T1397" s="1250">
        <v>800</v>
      </c>
      <c r="U1397" s="1250"/>
      <c r="V1397" s="1250"/>
      <c r="W1397" s="1251">
        <v>2</v>
      </c>
      <c r="X1397" s="1250">
        <v>800</v>
      </c>
      <c r="Y1397" s="1250"/>
      <c r="Z1397" s="1250"/>
      <c r="AA1397" s="1250"/>
      <c r="AB1397" s="1250"/>
      <c r="AC1397" s="1250"/>
      <c r="AD1397" s="1250"/>
      <c r="AE1397" s="1249">
        <v>2</v>
      </c>
      <c r="AF1397" s="1250">
        <v>800</v>
      </c>
      <c r="AG1397" s="111"/>
      <c r="AH1397" s="111"/>
      <c r="AI1397" s="111"/>
      <c r="AJ1397" s="111"/>
      <c r="AK1397" s="111"/>
      <c r="AL1397" s="111"/>
      <c r="AM1397" s="111">
        <v>2400</v>
      </c>
    </row>
    <row r="1398" spans="1:39" ht="15" customHeight="1" x14ac:dyDescent="0.25">
      <c r="A1398" s="1409"/>
      <c r="B1398" s="1409"/>
      <c r="C1398" s="1409"/>
      <c r="D1398" s="1409"/>
      <c r="E1398" s="1247"/>
      <c r="F1398" s="1248" t="s">
        <v>5130</v>
      </c>
      <c r="G1398" s="111"/>
      <c r="H1398" s="1249">
        <v>8</v>
      </c>
      <c r="I1398" s="111" t="s">
        <v>1721</v>
      </c>
      <c r="J1398" s="1321" t="s">
        <v>5608</v>
      </c>
      <c r="K1398" s="162" t="s">
        <v>5610</v>
      </c>
      <c r="L1398" s="162" t="s">
        <v>5609</v>
      </c>
      <c r="M1398" s="111">
        <v>700</v>
      </c>
      <c r="N1398" s="111">
        <v>5600</v>
      </c>
      <c r="O1398" s="111"/>
      <c r="P1398" s="111"/>
      <c r="Q1398" s="111"/>
      <c r="R1398" s="111"/>
      <c r="S1398" s="1249">
        <v>4</v>
      </c>
      <c r="T1398" s="1250">
        <v>1866.6666666666667</v>
      </c>
      <c r="U1398" s="1250"/>
      <c r="V1398" s="1250"/>
      <c r="W1398" s="1251">
        <v>2</v>
      </c>
      <c r="X1398" s="1250">
        <v>1866.6666666666667</v>
      </c>
      <c r="Y1398" s="1250"/>
      <c r="Z1398" s="1250"/>
      <c r="AA1398" s="1250"/>
      <c r="AB1398" s="1250"/>
      <c r="AC1398" s="1250"/>
      <c r="AD1398" s="1250"/>
      <c r="AE1398" s="1249">
        <v>2</v>
      </c>
      <c r="AF1398" s="1250">
        <v>1866.6666666666667</v>
      </c>
      <c r="AG1398" s="111"/>
      <c r="AH1398" s="111"/>
      <c r="AI1398" s="111"/>
      <c r="AJ1398" s="111"/>
      <c r="AK1398" s="111"/>
      <c r="AL1398" s="111"/>
      <c r="AM1398" s="111">
        <v>5600</v>
      </c>
    </row>
    <row r="1399" spans="1:39" ht="15" customHeight="1" x14ac:dyDescent="0.25">
      <c r="A1399" s="1409"/>
      <c r="B1399" s="1409"/>
      <c r="C1399" s="1409"/>
      <c r="D1399" s="1409"/>
      <c r="E1399" s="1247"/>
      <c r="F1399" s="1248" t="s">
        <v>5131</v>
      </c>
      <c r="G1399" s="111"/>
      <c r="H1399" s="1249">
        <v>4</v>
      </c>
      <c r="I1399" s="111" t="s">
        <v>1721</v>
      </c>
      <c r="J1399" s="1321" t="s">
        <v>5608</v>
      </c>
      <c r="K1399" s="162" t="s">
        <v>5610</v>
      </c>
      <c r="L1399" s="162" t="s">
        <v>5609</v>
      </c>
      <c r="M1399" s="111">
        <v>900</v>
      </c>
      <c r="N1399" s="111">
        <v>3600</v>
      </c>
      <c r="O1399" s="111"/>
      <c r="P1399" s="111"/>
      <c r="Q1399" s="111"/>
      <c r="R1399" s="111"/>
      <c r="S1399" s="1249">
        <v>2</v>
      </c>
      <c r="T1399" s="1250">
        <v>1200</v>
      </c>
      <c r="U1399" s="1250"/>
      <c r="V1399" s="1250"/>
      <c r="W1399" s="1251">
        <v>1</v>
      </c>
      <c r="X1399" s="1250">
        <v>1200</v>
      </c>
      <c r="Y1399" s="1250"/>
      <c r="Z1399" s="1250"/>
      <c r="AA1399" s="1250"/>
      <c r="AB1399" s="1250"/>
      <c r="AC1399" s="1250"/>
      <c r="AD1399" s="1250"/>
      <c r="AE1399" s="1249">
        <v>1</v>
      </c>
      <c r="AF1399" s="1250">
        <v>1200</v>
      </c>
      <c r="AG1399" s="111"/>
      <c r="AH1399" s="111"/>
      <c r="AI1399" s="111"/>
      <c r="AJ1399" s="111"/>
      <c r="AK1399" s="111"/>
      <c r="AL1399" s="111"/>
      <c r="AM1399" s="111">
        <v>3600</v>
      </c>
    </row>
    <row r="1400" spans="1:39" ht="15" customHeight="1" x14ac:dyDescent="0.25">
      <c r="A1400" s="1409"/>
      <c r="B1400" s="1409"/>
      <c r="C1400" s="1409"/>
      <c r="D1400" s="1409"/>
      <c r="E1400" s="1247"/>
      <c r="F1400" s="1248" t="s">
        <v>2999</v>
      </c>
      <c r="G1400" s="111"/>
      <c r="H1400" s="1249">
        <v>1</v>
      </c>
      <c r="I1400" s="111" t="s">
        <v>3011</v>
      </c>
      <c r="J1400" s="1321" t="s">
        <v>5608</v>
      </c>
      <c r="K1400" s="162" t="s">
        <v>5610</v>
      </c>
      <c r="L1400" s="162" t="s">
        <v>5609</v>
      </c>
      <c r="M1400" s="111">
        <v>59.860000000000014</v>
      </c>
      <c r="N1400" s="111">
        <v>59.860000000000014</v>
      </c>
      <c r="O1400" s="111"/>
      <c r="P1400" s="111"/>
      <c r="Q1400" s="111"/>
      <c r="R1400" s="111"/>
      <c r="S1400" s="1249">
        <v>1</v>
      </c>
      <c r="T1400" s="1250">
        <v>19.953333333333337</v>
      </c>
      <c r="U1400" s="1250"/>
      <c r="V1400" s="1250"/>
      <c r="W1400" s="1251">
        <v>0</v>
      </c>
      <c r="X1400" s="1250">
        <v>19.953333333333337</v>
      </c>
      <c r="Y1400" s="1250"/>
      <c r="Z1400" s="1250"/>
      <c r="AA1400" s="1250"/>
      <c r="AB1400" s="1250"/>
      <c r="AC1400" s="1250"/>
      <c r="AD1400" s="1250"/>
      <c r="AE1400" s="1249">
        <v>0</v>
      </c>
      <c r="AF1400" s="1250">
        <v>19.953333333333337</v>
      </c>
      <c r="AG1400" s="111"/>
      <c r="AH1400" s="111"/>
      <c r="AI1400" s="111"/>
      <c r="AJ1400" s="111"/>
      <c r="AK1400" s="111"/>
      <c r="AL1400" s="111"/>
      <c r="AM1400" s="111">
        <v>59.860000000000014</v>
      </c>
    </row>
    <row r="1401" spans="1:39" ht="15" customHeight="1" x14ac:dyDescent="0.25">
      <c r="A1401" s="1409"/>
      <c r="B1401" s="1409"/>
      <c r="C1401" s="1409"/>
      <c r="D1401" s="1409"/>
      <c r="E1401" s="1247"/>
      <c r="F1401" s="1248" t="s">
        <v>3000</v>
      </c>
      <c r="G1401" s="111"/>
      <c r="H1401" s="1249">
        <v>1</v>
      </c>
      <c r="I1401" s="111" t="s">
        <v>3011</v>
      </c>
      <c r="J1401" s="1321" t="s">
        <v>5608</v>
      </c>
      <c r="K1401" s="162" t="s">
        <v>5610</v>
      </c>
      <c r="L1401" s="162" t="s">
        <v>5609</v>
      </c>
      <c r="M1401" s="111">
        <v>41.040000000000006</v>
      </c>
      <c r="N1401" s="111">
        <v>41.040000000000006</v>
      </c>
      <c r="O1401" s="111"/>
      <c r="P1401" s="111"/>
      <c r="Q1401" s="111"/>
      <c r="R1401" s="111"/>
      <c r="S1401" s="1249">
        <v>1</v>
      </c>
      <c r="T1401" s="1250">
        <v>13.680000000000001</v>
      </c>
      <c r="U1401" s="1250"/>
      <c r="V1401" s="1250"/>
      <c r="W1401" s="1251">
        <v>0</v>
      </c>
      <c r="X1401" s="1250">
        <v>13.680000000000001</v>
      </c>
      <c r="Y1401" s="1250"/>
      <c r="Z1401" s="1250"/>
      <c r="AA1401" s="1250"/>
      <c r="AB1401" s="1250"/>
      <c r="AC1401" s="1250"/>
      <c r="AD1401" s="1250"/>
      <c r="AE1401" s="1249">
        <v>0</v>
      </c>
      <c r="AF1401" s="1250">
        <v>13.680000000000001</v>
      </c>
      <c r="AG1401" s="111"/>
      <c r="AH1401" s="111"/>
      <c r="AI1401" s="111"/>
      <c r="AJ1401" s="111"/>
      <c r="AK1401" s="111"/>
      <c r="AL1401" s="111"/>
      <c r="AM1401" s="111">
        <v>41.040000000000006</v>
      </c>
    </row>
    <row r="1402" spans="1:39" ht="15" customHeight="1" x14ac:dyDescent="0.25">
      <c r="A1402" s="1409"/>
      <c r="B1402" s="1409"/>
      <c r="C1402" s="1409"/>
      <c r="D1402" s="1409"/>
      <c r="E1402" s="1247"/>
      <c r="F1402" s="1248" t="s">
        <v>3001</v>
      </c>
      <c r="G1402" s="111"/>
      <c r="H1402" s="1249">
        <v>1</v>
      </c>
      <c r="I1402" s="111" t="s">
        <v>1767</v>
      </c>
      <c r="J1402" s="1321" t="s">
        <v>5608</v>
      </c>
      <c r="K1402" s="162" t="s">
        <v>5610</v>
      </c>
      <c r="L1402" s="162" t="s">
        <v>5609</v>
      </c>
      <c r="M1402" s="111">
        <v>37.796976000000001</v>
      </c>
      <c r="N1402" s="111">
        <v>37.796976000000001</v>
      </c>
      <c r="O1402" s="111"/>
      <c r="P1402" s="111"/>
      <c r="Q1402" s="111"/>
      <c r="R1402" s="111"/>
      <c r="S1402" s="1249">
        <v>1</v>
      </c>
      <c r="T1402" s="1250">
        <v>12.598992000000001</v>
      </c>
      <c r="U1402" s="1250"/>
      <c r="V1402" s="1250"/>
      <c r="W1402" s="1251">
        <v>0</v>
      </c>
      <c r="X1402" s="1250">
        <v>12.598992000000001</v>
      </c>
      <c r="Y1402" s="1250"/>
      <c r="Z1402" s="1250"/>
      <c r="AA1402" s="1250"/>
      <c r="AB1402" s="1250"/>
      <c r="AC1402" s="1250"/>
      <c r="AD1402" s="1250"/>
      <c r="AE1402" s="1249">
        <v>0</v>
      </c>
      <c r="AF1402" s="1250">
        <v>12.598992000000001</v>
      </c>
      <c r="AG1402" s="111"/>
      <c r="AH1402" s="111"/>
      <c r="AI1402" s="111"/>
      <c r="AJ1402" s="111"/>
      <c r="AK1402" s="111"/>
      <c r="AL1402" s="111"/>
      <c r="AM1402" s="111">
        <v>37.796976000000001</v>
      </c>
    </row>
    <row r="1403" spans="1:39" ht="15" customHeight="1" x14ac:dyDescent="0.25">
      <c r="A1403" s="1409"/>
      <c r="B1403" s="1409"/>
      <c r="C1403" s="1409"/>
      <c r="D1403" s="1409"/>
      <c r="E1403" s="1247"/>
      <c r="F1403" s="1248" t="s">
        <v>3002</v>
      </c>
      <c r="G1403" s="111"/>
      <c r="H1403" s="1249">
        <v>1</v>
      </c>
      <c r="I1403" s="111" t="s">
        <v>1767</v>
      </c>
      <c r="J1403" s="1321" t="s">
        <v>5608</v>
      </c>
      <c r="K1403" s="162" t="s">
        <v>5610</v>
      </c>
      <c r="L1403" s="162" t="s">
        <v>5609</v>
      </c>
      <c r="M1403" s="111">
        <v>79.866000000000014</v>
      </c>
      <c r="N1403" s="111">
        <v>79.866000000000014</v>
      </c>
      <c r="O1403" s="111"/>
      <c r="P1403" s="111"/>
      <c r="Q1403" s="111"/>
      <c r="R1403" s="111"/>
      <c r="S1403" s="1249">
        <v>1</v>
      </c>
      <c r="T1403" s="1250">
        <v>26.622000000000003</v>
      </c>
      <c r="U1403" s="1250"/>
      <c r="V1403" s="1250"/>
      <c r="W1403" s="1251">
        <v>0</v>
      </c>
      <c r="X1403" s="1250">
        <v>26.622000000000003</v>
      </c>
      <c r="Y1403" s="1250"/>
      <c r="Z1403" s="1250"/>
      <c r="AA1403" s="1250"/>
      <c r="AB1403" s="1250"/>
      <c r="AC1403" s="1250"/>
      <c r="AD1403" s="1250"/>
      <c r="AE1403" s="1249">
        <v>0</v>
      </c>
      <c r="AF1403" s="1250">
        <v>26.622000000000003</v>
      </c>
      <c r="AG1403" s="111"/>
      <c r="AH1403" s="111"/>
      <c r="AI1403" s="111"/>
      <c r="AJ1403" s="111"/>
      <c r="AK1403" s="111"/>
      <c r="AL1403" s="111"/>
      <c r="AM1403" s="111">
        <v>79.866000000000014</v>
      </c>
    </row>
    <row r="1404" spans="1:39" ht="15" customHeight="1" x14ac:dyDescent="0.25">
      <c r="A1404" s="1409"/>
      <c r="B1404" s="1409"/>
      <c r="C1404" s="1409"/>
      <c r="D1404" s="1409"/>
      <c r="E1404" s="1247"/>
      <c r="F1404" s="1248" t="s">
        <v>3003</v>
      </c>
      <c r="G1404" s="111"/>
      <c r="H1404" s="1249">
        <v>1</v>
      </c>
      <c r="I1404" s="111" t="s">
        <v>1767</v>
      </c>
      <c r="J1404" s="1321" t="s">
        <v>5608</v>
      </c>
      <c r="K1404" s="162" t="s">
        <v>5610</v>
      </c>
      <c r="L1404" s="162" t="s">
        <v>5609</v>
      </c>
      <c r="M1404" s="111">
        <v>77.22</v>
      </c>
      <c r="N1404" s="111">
        <v>77.22</v>
      </c>
      <c r="O1404" s="111"/>
      <c r="P1404" s="111"/>
      <c r="Q1404" s="111"/>
      <c r="R1404" s="111"/>
      <c r="S1404" s="1249">
        <v>1</v>
      </c>
      <c r="T1404" s="1250">
        <v>25.74</v>
      </c>
      <c r="U1404" s="1250"/>
      <c r="V1404" s="1250"/>
      <c r="W1404" s="1251">
        <v>0</v>
      </c>
      <c r="X1404" s="1250">
        <v>25.74</v>
      </c>
      <c r="Y1404" s="1250"/>
      <c r="Z1404" s="1250"/>
      <c r="AA1404" s="1250"/>
      <c r="AB1404" s="1250"/>
      <c r="AC1404" s="1250"/>
      <c r="AD1404" s="1250"/>
      <c r="AE1404" s="1249">
        <v>0</v>
      </c>
      <c r="AF1404" s="1250">
        <v>25.74</v>
      </c>
      <c r="AG1404" s="111"/>
      <c r="AH1404" s="111"/>
      <c r="AI1404" s="111"/>
      <c r="AJ1404" s="111"/>
      <c r="AK1404" s="111"/>
      <c r="AL1404" s="111"/>
      <c r="AM1404" s="111">
        <v>77.22</v>
      </c>
    </row>
    <row r="1405" spans="1:39" ht="15" customHeight="1" x14ac:dyDescent="0.25">
      <c r="A1405" s="1409"/>
      <c r="B1405" s="1409"/>
      <c r="C1405" s="1409"/>
      <c r="D1405" s="1409"/>
      <c r="E1405" s="1247"/>
      <c r="F1405" s="1248" t="s">
        <v>3004</v>
      </c>
      <c r="G1405" s="111"/>
      <c r="H1405" s="1249">
        <v>1</v>
      </c>
      <c r="I1405" s="111" t="s">
        <v>1767</v>
      </c>
      <c r="J1405" s="1321" t="s">
        <v>5608</v>
      </c>
      <c r="K1405" s="162" t="s">
        <v>5610</v>
      </c>
      <c r="L1405" s="162" t="s">
        <v>5609</v>
      </c>
      <c r="M1405" s="111">
        <v>6.4152000000000005</v>
      </c>
      <c r="N1405" s="111">
        <v>6.4152000000000005</v>
      </c>
      <c r="O1405" s="111"/>
      <c r="P1405" s="111"/>
      <c r="Q1405" s="111"/>
      <c r="R1405" s="111"/>
      <c r="S1405" s="1249">
        <v>1</v>
      </c>
      <c r="T1405" s="1250">
        <v>2.1384000000000003</v>
      </c>
      <c r="U1405" s="1250"/>
      <c r="V1405" s="1250"/>
      <c r="W1405" s="1251">
        <v>0</v>
      </c>
      <c r="X1405" s="1250">
        <v>2.1384000000000003</v>
      </c>
      <c r="Y1405" s="1250"/>
      <c r="Z1405" s="1250"/>
      <c r="AA1405" s="1250"/>
      <c r="AB1405" s="1250"/>
      <c r="AC1405" s="1250"/>
      <c r="AD1405" s="1250"/>
      <c r="AE1405" s="1249">
        <v>0</v>
      </c>
      <c r="AF1405" s="1250">
        <v>2.1384000000000003</v>
      </c>
      <c r="AG1405" s="111"/>
      <c r="AH1405" s="111"/>
      <c r="AI1405" s="111"/>
      <c r="AJ1405" s="111"/>
      <c r="AK1405" s="111"/>
      <c r="AL1405" s="111"/>
      <c r="AM1405" s="111">
        <v>6.4152000000000005</v>
      </c>
    </row>
    <row r="1406" spans="1:39" ht="15" customHeight="1" x14ac:dyDescent="0.25">
      <c r="A1406" s="1409"/>
      <c r="B1406" s="1409"/>
      <c r="C1406" s="1409"/>
      <c r="D1406" s="1409"/>
      <c r="E1406" s="1247"/>
      <c r="F1406" s="1248" t="s">
        <v>3005</v>
      </c>
      <c r="G1406" s="111"/>
      <c r="H1406" s="1249">
        <v>1</v>
      </c>
      <c r="I1406" s="111" t="s">
        <v>1767</v>
      </c>
      <c r="J1406" s="1321" t="s">
        <v>5608</v>
      </c>
      <c r="K1406" s="162" t="s">
        <v>5610</v>
      </c>
      <c r="L1406" s="162" t="s">
        <v>5609</v>
      </c>
      <c r="M1406" s="111">
        <v>71.259264000000002</v>
      </c>
      <c r="N1406" s="111">
        <v>71.259264000000002</v>
      </c>
      <c r="O1406" s="111"/>
      <c r="P1406" s="111"/>
      <c r="Q1406" s="111"/>
      <c r="R1406" s="111"/>
      <c r="S1406" s="1249">
        <v>1</v>
      </c>
      <c r="T1406" s="1250">
        <v>23.753088000000002</v>
      </c>
      <c r="U1406" s="1250"/>
      <c r="V1406" s="1250"/>
      <c r="W1406" s="1251">
        <v>0</v>
      </c>
      <c r="X1406" s="1250">
        <v>23.753088000000002</v>
      </c>
      <c r="Y1406" s="1250"/>
      <c r="Z1406" s="1250"/>
      <c r="AA1406" s="1250"/>
      <c r="AB1406" s="1250"/>
      <c r="AC1406" s="1250"/>
      <c r="AD1406" s="1250"/>
      <c r="AE1406" s="1249">
        <v>0</v>
      </c>
      <c r="AF1406" s="1250">
        <v>23.753088000000002</v>
      </c>
      <c r="AG1406" s="111"/>
      <c r="AH1406" s="111"/>
      <c r="AI1406" s="111"/>
      <c r="AJ1406" s="111"/>
      <c r="AK1406" s="111"/>
      <c r="AL1406" s="111"/>
      <c r="AM1406" s="111">
        <v>71.259264000000002</v>
      </c>
    </row>
    <row r="1407" spans="1:39" ht="15" customHeight="1" x14ac:dyDescent="0.25">
      <c r="A1407" s="1409"/>
      <c r="B1407" s="1409"/>
      <c r="C1407" s="1409"/>
      <c r="D1407" s="1409"/>
      <c r="E1407" s="1247"/>
      <c r="F1407" s="1248" t="s">
        <v>3006</v>
      </c>
      <c r="G1407" s="111"/>
      <c r="H1407" s="1249">
        <v>1</v>
      </c>
      <c r="I1407" s="111" t="s">
        <v>1767</v>
      </c>
      <c r="J1407" s="1321" t="s">
        <v>5608</v>
      </c>
      <c r="K1407" s="162" t="s">
        <v>5610</v>
      </c>
      <c r="L1407" s="162" t="s">
        <v>5609</v>
      </c>
      <c r="M1407" s="111">
        <v>77.22</v>
      </c>
      <c r="N1407" s="111">
        <v>77.22</v>
      </c>
      <c r="O1407" s="111"/>
      <c r="P1407" s="111"/>
      <c r="Q1407" s="111"/>
      <c r="R1407" s="111"/>
      <c r="S1407" s="1249">
        <v>1</v>
      </c>
      <c r="T1407" s="1250">
        <v>25.74</v>
      </c>
      <c r="U1407" s="1250"/>
      <c r="V1407" s="1250"/>
      <c r="W1407" s="1251">
        <v>0</v>
      </c>
      <c r="X1407" s="1250">
        <v>25.74</v>
      </c>
      <c r="Y1407" s="1250"/>
      <c r="Z1407" s="1250"/>
      <c r="AA1407" s="1250"/>
      <c r="AB1407" s="1250"/>
      <c r="AC1407" s="1250"/>
      <c r="AD1407" s="1250"/>
      <c r="AE1407" s="1249">
        <v>0</v>
      </c>
      <c r="AF1407" s="1250">
        <v>25.74</v>
      </c>
      <c r="AG1407" s="111"/>
      <c r="AH1407" s="111"/>
      <c r="AI1407" s="111"/>
      <c r="AJ1407" s="111"/>
      <c r="AK1407" s="111"/>
      <c r="AL1407" s="111"/>
      <c r="AM1407" s="111">
        <v>77.22</v>
      </c>
    </row>
    <row r="1408" spans="1:39" ht="15" customHeight="1" x14ac:dyDescent="0.25">
      <c r="A1408" s="1409"/>
      <c r="B1408" s="1409"/>
      <c r="C1408" s="1409"/>
      <c r="D1408" s="1409"/>
      <c r="E1408" s="1247"/>
      <c r="F1408" s="1248" t="s">
        <v>3007</v>
      </c>
      <c r="G1408" s="111"/>
      <c r="H1408" s="1249">
        <v>1</v>
      </c>
      <c r="I1408" s="111" t="s">
        <v>3012</v>
      </c>
      <c r="J1408" s="1321" t="s">
        <v>5608</v>
      </c>
      <c r="K1408" s="162" t="s">
        <v>5610</v>
      </c>
      <c r="L1408" s="162" t="s">
        <v>5609</v>
      </c>
      <c r="M1408" s="111">
        <v>25.380000000000003</v>
      </c>
      <c r="N1408" s="111">
        <v>25.380000000000003</v>
      </c>
      <c r="O1408" s="111"/>
      <c r="P1408" s="111"/>
      <c r="Q1408" s="111"/>
      <c r="R1408" s="111"/>
      <c r="S1408" s="1249">
        <v>1</v>
      </c>
      <c r="T1408" s="1250">
        <v>8.4600000000000009</v>
      </c>
      <c r="U1408" s="1250"/>
      <c r="V1408" s="1250"/>
      <c r="W1408" s="1251">
        <v>0</v>
      </c>
      <c r="X1408" s="1250">
        <v>8.4600000000000009</v>
      </c>
      <c r="Y1408" s="1250"/>
      <c r="Z1408" s="1250"/>
      <c r="AA1408" s="1250"/>
      <c r="AB1408" s="1250"/>
      <c r="AC1408" s="1250"/>
      <c r="AD1408" s="1250"/>
      <c r="AE1408" s="1249">
        <v>0</v>
      </c>
      <c r="AF1408" s="1250">
        <v>8.4600000000000009</v>
      </c>
      <c r="AG1408" s="111"/>
      <c r="AH1408" s="111"/>
      <c r="AI1408" s="111"/>
      <c r="AJ1408" s="111"/>
      <c r="AK1408" s="111"/>
      <c r="AL1408" s="111"/>
      <c r="AM1408" s="111">
        <v>25.380000000000003</v>
      </c>
    </row>
    <row r="1409" spans="1:39" ht="15" customHeight="1" x14ac:dyDescent="0.25">
      <c r="A1409" s="1409"/>
      <c r="B1409" s="1409"/>
      <c r="C1409" s="1409"/>
      <c r="D1409" s="1409"/>
      <c r="E1409" s="1247"/>
      <c r="F1409" s="1248" t="s">
        <v>3008</v>
      </c>
      <c r="G1409" s="111"/>
      <c r="H1409" s="1249">
        <v>1</v>
      </c>
      <c r="I1409" s="111" t="s">
        <v>3012</v>
      </c>
      <c r="J1409" s="1321" t="s">
        <v>5608</v>
      </c>
      <c r="K1409" s="162" t="s">
        <v>5610</v>
      </c>
      <c r="L1409" s="162" t="s">
        <v>5609</v>
      </c>
      <c r="M1409" s="111">
        <v>27</v>
      </c>
      <c r="N1409" s="111">
        <v>27</v>
      </c>
      <c r="O1409" s="111"/>
      <c r="P1409" s="111"/>
      <c r="Q1409" s="111"/>
      <c r="R1409" s="111"/>
      <c r="S1409" s="1249">
        <v>1</v>
      </c>
      <c r="T1409" s="1250">
        <v>9</v>
      </c>
      <c r="U1409" s="1250"/>
      <c r="V1409" s="1250"/>
      <c r="W1409" s="1251">
        <v>0</v>
      </c>
      <c r="X1409" s="1250">
        <v>9</v>
      </c>
      <c r="Y1409" s="1250"/>
      <c r="Z1409" s="1250"/>
      <c r="AA1409" s="1250"/>
      <c r="AB1409" s="1250"/>
      <c r="AC1409" s="1250"/>
      <c r="AD1409" s="1250"/>
      <c r="AE1409" s="1249">
        <v>0</v>
      </c>
      <c r="AF1409" s="1250">
        <v>9</v>
      </c>
      <c r="AG1409" s="111"/>
      <c r="AH1409" s="111"/>
      <c r="AI1409" s="111"/>
      <c r="AJ1409" s="111"/>
      <c r="AK1409" s="111"/>
      <c r="AL1409" s="111"/>
      <c r="AM1409" s="111">
        <v>27</v>
      </c>
    </row>
    <row r="1410" spans="1:39" ht="15" customHeight="1" x14ac:dyDescent="0.25">
      <c r="A1410" s="1409"/>
      <c r="B1410" s="1409"/>
      <c r="C1410" s="1409"/>
      <c r="D1410" s="1409"/>
      <c r="E1410" s="1247"/>
      <c r="F1410" s="1248" t="s">
        <v>3009</v>
      </c>
      <c r="G1410" s="111"/>
      <c r="H1410" s="1249">
        <v>1</v>
      </c>
      <c r="I1410" s="111" t="s">
        <v>3012</v>
      </c>
      <c r="J1410" s="1321" t="s">
        <v>5608</v>
      </c>
      <c r="K1410" s="162" t="s">
        <v>5610</v>
      </c>
      <c r="L1410" s="162" t="s">
        <v>5609</v>
      </c>
      <c r="M1410" s="111">
        <v>32.400000000000006</v>
      </c>
      <c r="N1410" s="111">
        <v>32.400000000000006</v>
      </c>
      <c r="O1410" s="111"/>
      <c r="P1410" s="111"/>
      <c r="Q1410" s="111"/>
      <c r="R1410" s="111"/>
      <c r="S1410" s="1249">
        <v>1</v>
      </c>
      <c r="T1410" s="1250">
        <v>10.800000000000002</v>
      </c>
      <c r="U1410" s="1250"/>
      <c r="V1410" s="1250"/>
      <c r="W1410" s="1251">
        <v>0</v>
      </c>
      <c r="X1410" s="1250">
        <v>10.800000000000002</v>
      </c>
      <c r="Y1410" s="1250"/>
      <c r="Z1410" s="1250"/>
      <c r="AA1410" s="1250"/>
      <c r="AB1410" s="1250"/>
      <c r="AC1410" s="1250"/>
      <c r="AD1410" s="1250"/>
      <c r="AE1410" s="1249">
        <v>0</v>
      </c>
      <c r="AF1410" s="1250">
        <v>10.800000000000002</v>
      </c>
      <c r="AG1410" s="111"/>
      <c r="AH1410" s="111"/>
      <c r="AI1410" s="111"/>
      <c r="AJ1410" s="111"/>
      <c r="AK1410" s="111"/>
      <c r="AL1410" s="111"/>
      <c r="AM1410" s="111">
        <v>32.400000000000006</v>
      </c>
    </row>
    <row r="1411" spans="1:39" ht="15" customHeight="1" x14ac:dyDescent="0.25">
      <c r="A1411" s="1409"/>
      <c r="B1411" s="1409"/>
      <c r="C1411" s="1409"/>
      <c r="D1411" s="1409"/>
      <c r="E1411" s="1247"/>
      <c r="F1411" s="1248" t="s">
        <v>3010</v>
      </c>
      <c r="G1411" s="111"/>
      <c r="H1411" s="1249">
        <v>1</v>
      </c>
      <c r="I1411" s="111" t="s">
        <v>1767</v>
      </c>
      <c r="J1411" s="1321" t="s">
        <v>5608</v>
      </c>
      <c r="K1411" s="162" t="s">
        <v>5610</v>
      </c>
      <c r="L1411" s="162" t="s">
        <v>5609</v>
      </c>
      <c r="M1411" s="111">
        <v>333.72</v>
      </c>
      <c r="N1411" s="111">
        <v>333.72</v>
      </c>
      <c r="O1411" s="111"/>
      <c r="P1411" s="111"/>
      <c r="Q1411" s="111"/>
      <c r="R1411" s="111"/>
      <c r="S1411" s="1249">
        <v>1</v>
      </c>
      <c r="T1411" s="1250">
        <v>111.24000000000001</v>
      </c>
      <c r="U1411" s="1250"/>
      <c r="V1411" s="1250"/>
      <c r="W1411" s="1251">
        <v>0</v>
      </c>
      <c r="X1411" s="1250">
        <v>111.24000000000001</v>
      </c>
      <c r="Y1411" s="1250"/>
      <c r="Z1411" s="1250"/>
      <c r="AA1411" s="1250"/>
      <c r="AB1411" s="1250"/>
      <c r="AC1411" s="1250"/>
      <c r="AD1411" s="1250"/>
      <c r="AE1411" s="1249">
        <v>0</v>
      </c>
      <c r="AF1411" s="1250">
        <v>111.24000000000001</v>
      </c>
      <c r="AG1411" s="111"/>
      <c r="AH1411" s="111"/>
      <c r="AI1411" s="111"/>
      <c r="AJ1411" s="111"/>
      <c r="AK1411" s="111"/>
      <c r="AL1411" s="111"/>
      <c r="AM1411" s="111">
        <v>333.72</v>
      </c>
    </row>
    <row r="1412" spans="1:39" ht="15" customHeight="1" x14ac:dyDescent="0.25">
      <c r="A1412" s="1409"/>
      <c r="B1412" s="1409"/>
      <c r="C1412" s="1409"/>
      <c r="D1412" s="1409"/>
      <c r="E1412" s="1247"/>
      <c r="F1412" s="1248"/>
      <c r="G1412" s="111"/>
      <c r="H1412" s="1249"/>
      <c r="I1412" s="111"/>
      <c r="J1412" s="111"/>
      <c r="K1412" s="111"/>
      <c r="L1412" s="111"/>
      <c r="M1412" s="111"/>
      <c r="N1412" s="111"/>
      <c r="O1412" s="111"/>
      <c r="P1412" s="111"/>
      <c r="Q1412" s="111"/>
      <c r="R1412" s="111"/>
      <c r="S1412" s="1249"/>
      <c r="T1412" s="1250"/>
      <c r="U1412" s="1250"/>
      <c r="V1412" s="1250"/>
      <c r="W1412" s="1251"/>
      <c r="X1412" s="1250"/>
      <c r="Y1412" s="1250"/>
      <c r="Z1412" s="1250"/>
      <c r="AA1412" s="1250"/>
      <c r="AB1412" s="1250"/>
      <c r="AC1412" s="1250"/>
      <c r="AD1412" s="1250"/>
      <c r="AE1412" s="1249"/>
      <c r="AF1412" s="1250"/>
      <c r="AG1412" s="111"/>
      <c r="AH1412" s="111"/>
      <c r="AI1412" s="111"/>
      <c r="AJ1412" s="111"/>
      <c r="AK1412" s="111"/>
      <c r="AL1412" s="111"/>
      <c r="AM1412" s="111"/>
    </row>
    <row r="1413" spans="1:39" ht="15" customHeight="1" x14ac:dyDescent="0.25">
      <c r="A1413" s="1409"/>
      <c r="B1413" s="1409"/>
      <c r="C1413" s="1409"/>
      <c r="D1413" s="1409"/>
      <c r="E1413" s="1218">
        <v>249</v>
      </c>
      <c r="F1413" s="1268" t="s">
        <v>601</v>
      </c>
      <c r="G1413" s="1218"/>
      <c r="H1413" s="1218"/>
      <c r="I1413" s="1218"/>
      <c r="J1413" s="1218"/>
      <c r="K1413" s="1218"/>
      <c r="L1413" s="1218"/>
      <c r="M1413" s="1218"/>
      <c r="N1413" s="1218"/>
      <c r="O1413" s="1218"/>
      <c r="P1413" s="1218"/>
      <c r="Q1413" s="1218"/>
      <c r="R1413" s="1218"/>
      <c r="S1413" s="1218"/>
      <c r="T1413" s="1218"/>
      <c r="U1413" s="1218"/>
      <c r="V1413" s="1218"/>
      <c r="W1413" s="1218"/>
      <c r="X1413" s="1218"/>
      <c r="Y1413" s="1218"/>
      <c r="Z1413" s="1218"/>
      <c r="AA1413" s="1218"/>
      <c r="AB1413" s="1218"/>
      <c r="AC1413" s="1218"/>
      <c r="AD1413" s="1218"/>
      <c r="AE1413" s="1218"/>
      <c r="AF1413" s="1218"/>
      <c r="AG1413" s="1218"/>
      <c r="AH1413" s="1218"/>
      <c r="AI1413" s="1218"/>
      <c r="AJ1413" s="1218"/>
      <c r="AK1413" s="1218"/>
      <c r="AL1413" s="1218"/>
      <c r="AM1413" s="1218"/>
    </row>
    <row r="1414" spans="1:39" ht="15" customHeight="1" x14ac:dyDescent="0.25">
      <c r="A1414" s="1409"/>
      <c r="B1414" s="1409"/>
      <c r="C1414" s="1409"/>
      <c r="D1414" s="1409"/>
      <c r="E1414" s="1247"/>
      <c r="F1414" s="1248"/>
      <c r="G1414" s="111"/>
      <c r="H1414" s="1249"/>
      <c r="I1414" s="111"/>
      <c r="J1414" s="111"/>
      <c r="K1414" s="111"/>
      <c r="L1414" s="111"/>
      <c r="M1414" s="111"/>
      <c r="N1414" s="111"/>
      <c r="O1414" s="111"/>
      <c r="P1414" s="111"/>
      <c r="Q1414" s="111"/>
      <c r="R1414" s="111"/>
      <c r="S1414" s="1249"/>
      <c r="T1414" s="1250"/>
      <c r="U1414" s="1250"/>
      <c r="V1414" s="1250"/>
      <c r="W1414" s="1251"/>
      <c r="X1414" s="1250"/>
      <c r="Y1414" s="1250"/>
      <c r="Z1414" s="1250"/>
      <c r="AA1414" s="1250"/>
      <c r="AB1414" s="1250"/>
      <c r="AC1414" s="1250"/>
      <c r="AD1414" s="1250"/>
      <c r="AE1414" s="1249"/>
      <c r="AF1414" s="1250"/>
      <c r="AG1414" s="111"/>
      <c r="AH1414" s="111"/>
      <c r="AI1414" s="111"/>
      <c r="AJ1414" s="111"/>
      <c r="AK1414" s="111"/>
      <c r="AL1414" s="111"/>
      <c r="AM1414" s="111"/>
    </row>
    <row r="1415" spans="1:39" ht="15" customHeight="1" x14ac:dyDescent="0.25">
      <c r="A1415" s="1409"/>
      <c r="B1415" s="1409"/>
      <c r="C1415" s="1409"/>
      <c r="D1415" s="1409"/>
      <c r="E1415" s="1261">
        <v>24901</v>
      </c>
      <c r="F1415" s="1262" t="s">
        <v>602</v>
      </c>
      <c r="G1415" s="1261"/>
      <c r="H1415" s="1261"/>
      <c r="I1415" s="1261"/>
      <c r="J1415" s="1261"/>
      <c r="K1415" s="1261"/>
      <c r="L1415" s="1261"/>
      <c r="M1415" s="1261"/>
      <c r="N1415" s="1261"/>
      <c r="O1415" s="1261"/>
      <c r="P1415" s="1261"/>
      <c r="Q1415" s="1261"/>
      <c r="R1415" s="1261"/>
      <c r="S1415" s="1261"/>
      <c r="T1415" s="1261"/>
      <c r="U1415" s="1261"/>
      <c r="V1415" s="1261"/>
      <c r="W1415" s="1261"/>
      <c r="X1415" s="1261"/>
      <c r="Y1415" s="1261"/>
      <c r="Z1415" s="1261"/>
      <c r="AA1415" s="1261"/>
      <c r="AB1415" s="1261"/>
      <c r="AC1415" s="1261"/>
      <c r="AD1415" s="1261"/>
      <c r="AE1415" s="1261"/>
      <c r="AF1415" s="1261"/>
      <c r="AG1415" s="1261"/>
      <c r="AH1415" s="1261"/>
      <c r="AI1415" s="1261"/>
      <c r="AJ1415" s="1261"/>
      <c r="AK1415" s="1261"/>
      <c r="AL1415" s="1261"/>
      <c r="AM1415" s="1261"/>
    </row>
    <row r="1416" spans="1:39" ht="15" customHeight="1" x14ac:dyDescent="0.25">
      <c r="A1416" s="1409"/>
      <c r="B1416" s="1409"/>
      <c r="C1416" s="1409"/>
      <c r="D1416" s="1409"/>
      <c r="E1416" s="1247"/>
      <c r="F1416" s="1248" t="s">
        <v>5132</v>
      </c>
      <c r="G1416" s="111"/>
      <c r="H1416" s="1249">
        <v>7</v>
      </c>
      <c r="I1416" s="111" t="s">
        <v>1721</v>
      </c>
      <c r="J1416" s="1321" t="s">
        <v>5608</v>
      </c>
      <c r="K1416" s="162" t="s">
        <v>5610</v>
      </c>
      <c r="L1416" s="162" t="s">
        <v>5609</v>
      </c>
      <c r="M1416" s="111">
        <v>10.200000000000001</v>
      </c>
      <c r="N1416" s="111">
        <v>71.400000000000006</v>
      </c>
      <c r="O1416" s="111"/>
      <c r="P1416" s="111"/>
      <c r="Q1416" s="111"/>
      <c r="R1416" s="111"/>
      <c r="S1416" s="1249">
        <v>3</v>
      </c>
      <c r="T1416" s="1250">
        <v>23.8</v>
      </c>
      <c r="U1416" s="1250"/>
      <c r="V1416" s="1250"/>
      <c r="W1416" s="1251">
        <v>2</v>
      </c>
      <c r="X1416" s="1250">
        <v>23.8</v>
      </c>
      <c r="Y1416" s="1250"/>
      <c r="Z1416" s="1250"/>
      <c r="AA1416" s="1250"/>
      <c r="AB1416" s="1250"/>
      <c r="AC1416" s="1250"/>
      <c r="AD1416" s="1250"/>
      <c r="AE1416" s="1249">
        <v>2</v>
      </c>
      <c r="AF1416" s="1250">
        <v>23.8</v>
      </c>
      <c r="AG1416" s="111"/>
      <c r="AH1416" s="111"/>
      <c r="AI1416" s="111"/>
      <c r="AJ1416" s="111"/>
      <c r="AK1416" s="111"/>
      <c r="AL1416" s="111"/>
      <c r="AM1416" s="111">
        <v>71.400000000000006</v>
      </c>
    </row>
    <row r="1417" spans="1:39" ht="15" customHeight="1" x14ac:dyDescent="0.25">
      <c r="A1417" s="1409"/>
      <c r="B1417" s="1409"/>
      <c r="C1417" s="1409"/>
      <c r="D1417" s="1409"/>
      <c r="E1417" s="1247"/>
      <c r="F1417" s="1248" t="s">
        <v>1265</v>
      </c>
      <c r="G1417" s="111"/>
      <c r="H1417" s="1249">
        <v>19</v>
      </c>
      <c r="I1417" s="111" t="s">
        <v>1721</v>
      </c>
      <c r="J1417" s="1321" t="s">
        <v>5608</v>
      </c>
      <c r="K1417" s="162" t="s">
        <v>5610</v>
      </c>
      <c r="L1417" s="162" t="s">
        <v>5609</v>
      </c>
      <c r="M1417" s="111">
        <v>41.341263157894737</v>
      </c>
      <c r="N1417" s="111">
        <v>785.48400000000004</v>
      </c>
      <c r="O1417" s="111"/>
      <c r="P1417" s="111"/>
      <c r="Q1417" s="111"/>
      <c r="R1417" s="111"/>
      <c r="S1417" s="1249">
        <v>10</v>
      </c>
      <c r="T1417" s="1250">
        <v>261.82800000000003</v>
      </c>
      <c r="U1417" s="1250"/>
      <c r="V1417" s="1250"/>
      <c r="W1417" s="1251">
        <v>5</v>
      </c>
      <c r="X1417" s="1250">
        <v>261.82800000000003</v>
      </c>
      <c r="Y1417" s="1250"/>
      <c r="Z1417" s="1250"/>
      <c r="AA1417" s="1250"/>
      <c r="AB1417" s="1250"/>
      <c r="AC1417" s="1250"/>
      <c r="AD1417" s="1250"/>
      <c r="AE1417" s="1249">
        <v>4</v>
      </c>
      <c r="AF1417" s="1250">
        <v>261.82800000000003</v>
      </c>
      <c r="AG1417" s="111"/>
      <c r="AH1417" s="111"/>
      <c r="AI1417" s="111"/>
      <c r="AJ1417" s="111"/>
      <c r="AK1417" s="111"/>
      <c r="AL1417" s="111"/>
      <c r="AM1417" s="111">
        <v>785.48400000000004</v>
      </c>
    </row>
    <row r="1418" spans="1:39" ht="15" customHeight="1" x14ac:dyDescent="0.25">
      <c r="A1418" s="1409"/>
      <c r="B1418" s="1409"/>
      <c r="C1418" s="1409"/>
      <c r="D1418" s="1409"/>
      <c r="E1418" s="1247"/>
      <c r="F1418" s="1248" t="s">
        <v>1263</v>
      </c>
      <c r="G1418" s="111"/>
      <c r="H1418" s="1249">
        <v>8</v>
      </c>
      <c r="I1418" s="111" t="s">
        <v>1721</v>
      </c>
      <c r="J1418" s="1321" t="s">
        <v>5608</v>
      </c>
      <c r="K1418" s="162" t="s">
        <v>5610</v>
      </c>
      <c r="L1418" s="162" t="s">
        <v>5609</v>
      </c>
      <c r="M1418" s="111">
        <v>20.671199999999999</v>
      </c>
      <c r="N1418" s="111">
        <v>165.36959999999999</v>
      </c>
      <c r="O1418" s="111"/>
      <c r="P1418" s="111"/>
      <c r="Q1418" s="111"/>
      <c r="R1418" s="111"/>
      <c r="S1418" s="1249">
        <v>4</v>
      </c>
      <c r="T1418" s="1250">
        <v>55.123199999999997</v>
      </c>
      <c r="U1418" s="1250"/>
      <c r="V1418" s="1250"/>
      <c r="W1418" s="1251">
        <v>2</v>
      </c>
      <c r="X1418" s="1250">
        <v>55.123199999999997</v>
      </c>
      <c r="Y1418" s="1250"/>
      <c r="Z1418" s="1250"/>
      <c r="AA1418" s="1250"/>
      <c r="AB1418" s="1250"/>
      <c r="AC1418" s="1250"/>
      <c r="AD1418" s="1250"/>
      <c r="AE1418" s="1249">
        <v>2</v>
      </c>
      <c r="AF1418" s="1250">
        <v>55.123199999999997</v>
      </c>
      <c r="AG1418" s="111"/>
      <c r="AH1418" s="111"/>
      <c r="AI1418" s="111"/>
      <c r="AJ1418" s="111"/>
      <c r="AK1418" s="111"/>
      <c r="AL1418" s="111"/>
      <c r="AM1418" s="111">
        <v>165.36959999999999</v>
      </c>
    </row>
    <row r="1419" spans="1:39" ht="15" customHeight="1" x14ac:dyDescent="0.25">
      <c r="A1419" s="1409"/>
      <c r="B1419" s="1409"/>
      <c r="C1419" s="1409"/>
      <c r="D1419" s="1409"/>
      <c r="E1419" s="1247"/>
      <c r="F1419" s="1248" t="s">
        <v>5133</v>
      </c>
      <c r="G1419" s="111"/>
      <c r="H1419" s="1249">
        <v>30</v>
      </c>
      <c r="I1419" s="111" t="s">
        <v>1721</v>
      </c>
      <c r="J1419" s="1321" t="s">
        <v>5608</v>
      </c>
      <c r="K1419" s="162" t="s">
        <v>5610</v>
      </c>
      <c r="L1419" s="162" t="s">
        <v>5609</v>
      </c>
      <c r="M1419" s="111">
        <v>15.236666666666668</v>
      </c>
      <c r="N1419" s="111">
        <v>457.1</v>
      </c>
      <c r="O1419" s="111"/>
      <c r="P1419" s="111"/>
      <c r="Q1419" s="111"/>
      <c r="R1419" s="111"/>
      <c r="S1419" s="1249">
        <v>10</v>
      </c>
      <c r="T1419" s="1250">
        <v>152.36666666666667</v>
      </c>
      <c r="U1419" s="1250"/>
      <c r="V1419" s="1250"/>
      <c r="W1419" s="1251">
        <v>10</v>
      </c>
      <c r="X1419" s="1250">
        <v>152.36666666666667</v>
      </c>
      <c r="Y1419" s="1250"/>
      <c r="Z1419" s="1250"/>
      <c r="AA1419" s="1250"/>
      <c r="AB1419" s="1250"/>
      <c r="AC1419" s="1250"/>
      <c r="AD1419" s="1250"/>
      <c r="AE1419" s="1249">
        <v>10</v>
      </c>
      <c r="AF1419" s="1250">
        <v>152.36666666666667</v>
      </c>
      <c r="AG1419" s="111"/>
      <c r="AH1419" s="111"/>
      <c r="AI1419" s="111"/>
      <c r="AJ1419" s="111"/>
      <c r="AK1419" s="111"/>
      <c r="AL1419" s="111"/>
      <c r="AM1419" s="111">
        <v>457.1</v>
      </c>
    </row>
    <row r="1420" spans="1:39" ht="15" customHeight="1" x14ac:dyDescent="0.25">
      <c r="A1420" s="1409"/>
      <c r="B1420" s="1409"/>
      <c r="C1420" s="1409"/>
      <c r="D1420" s="1409"/>
      <c r="E1420" s="1247"/>
      <c r="F1420" s="1248" t="s">
        <v>5134</v>
      </c>
      <c r="G1420" s="111"/>
      <c r="H1420" s="1249">
        <v>20</v>
      </c>
      <c r="I1420" s="111" t="s">
        <v>1721</v>
      </c>
      <c r="J1420" s="1321" t="s">
        <v>5608</v>
      </c>
      <c r="K1420" s="162" t="s">
        <v>5610</v>
      </c>
      <c r="L1420" s="162" t="s">
        <v>5609</v>
      </c>
      <c r="M1420" s="111">
        <v>15.6</v>
      </c>
      <c r="N1420" s="111">
        <v>312</v>
      </c>
      <c r="O1420" s="111"/>
      <c r="P1420" s="111"/>
      <c r="Q1420" s="111"/>
      <c r="R1420" s="111"/>
      <c r="S1420" s="1249">
        <v>10</v>
      </c>
      <c r="T1420" s="1250">
        <v>104</v>
      </c>
      <c r="U1420" s="1250"/>
      <c r="V1420" s="1250"/>
      <c r="W1420" s="1251">
        <v>5</v>
      </c>
      <c r="X1420" s="1250">
        <v>104</v>
      </c>
      <c r="Y1420" s="1250"/>
      <c r="Z1420" s="1250"/>
      <c r="AA1420" s="1250"/>
      <c r="AB1420" s="1250"/>
      <c r="AC1420" s="1250"/>
      <c r="AD1420" s="1250"/>
      <c r="AE1420" s="1249">
        <v>5</v>
      </c>
      <c r="AF1420" s="1250">
        <v>104</v>
      </c>
      <c r="AG1420" s="111"/>
      <c r="AH1420" s="111"/>
      <c r="AI1420" s="111"/>
      <c r="AJ1420" s="111"/>
      <c r="AK1420" s="111"/>
      <c r="AL1420" s="111"/>
      <c r="AM1420" s="111">
        <v>312</v>
      </c>
    </row>
    <row r="1421" spans="1:39" ht="15" customHeight="1" x14ac:dyDescent="0.25">
      <c r="A1421" s="1409"/>
      <c r="B1421" s="1409"/>
      <c r="C1421" s="1409"/>
      <c r="D1421" s="1409"/>
      <c r="E1421" s="1247"/>
      <c r="F1421" s="1248" t="s">
        <v>5135</v>
      </c>
      <c r="G1421" s="111"/>
      <c r="H1421" s="1249">
        <v>15</v>
      </c>
      <c r="I1421" s="111" t="s">
        <v>1721</v>
      </c>
      <c r="J1421" s="1321" t="s">
        <v>5608</v>
      </c>
      <c r="K1421" s="162" t="s">
        <v>5610</v>
      </c>
      <c r="L1421" s="162" t="s">
        <v>5609</v>
      </c>
      <c r="M1421" s="111">
        <v>30</v>
      </c>
      <c r="N1421" s="111">
        <v>450</v>
      </c>
      <c r="O1421" s="111"/>
      <c r="P1421" s="111"/>
      <c r="Q1421" s="111"/>
      <c r="R1421" s="111"/>
      <c r="S1421" s="1249">
        <v>5</v>
      </c>
      <c r="T1421" s="1250">
        <v>150</v>
      </c>
      <c r="U1421" s="1250"/>
      <c r="V1421" s="1250"/>
      <c r="W1421" s="1251">
        <v>5</v>
      </c>
      <c r="X1421" s="1250">
        <v>150</v>
      </c>
      <c r="Y1421" s="1250"/>
      <c r="Z1421" s="1250"/>
      <c r="AA1421" s="1250"/>
      <c r="AB1421" s="1250"/>
      <c r="AC1421" s="1250"/>
      <c r="AD1421" s="1250"/>
      <c r="AE1421" s="1249">
        <v>5</v>
      </c>
      <c r="AF1421" s="1250">
        <v>150</v>
      </c>
      <c r="AG1421" s="111"/>
      <c r="AH1421" s="111"/>
      <c r="AI1421" s="111"/>
      <c r="AJ1421" s="111"/>
      <c r="AK1421" s="111"/>
      <c r="AL1421" s="111"/>
      <c r="AM1421" s="111">
        <v>450</v>
      </c>
    </row>
    <row r="1422" spans="1:39" ht="15" customHeight="1" x14ac:dyDescent="0.25">
      <c r="A1422" s="1409"/>
      <c r="B1422" s="1409"/>
      <c r="C1422" s="1409"/>
      <c r="D1422" s="1409"/>
      <c r="E1422" s="1247"/>
      <c r="F1422" s="1248" t="s">
        <v>5136</v>
      </c>
      <c r="G1422" s="111"/>
      <c r="H1422" s="1249">
        <v>20</v>
      </c>
      <c r="I1422" s="111" t="s">
        <v>1721</v>
      </c>
      <c r="J1422" s="1321" t="s">
        <v>5608</v>
      </c>
      <c r="K1422" s="162" t="s">
        <v>5610</v>
      </c>
      <c r="L1422" s="162" t="s">
        <v>5609</v>
      </c>
      <c r="M1422" s="111">
        <v>15.6</v>
      </c>
      <c r="N1422" s="111">
        <v>312</v>
      </c>
      <c r="O1422" s="111"/>
      <c r="P1422" s="111"/>
      <c r="Q1422" s="111"/>
      <c r="R1422" s="111"/>
      <c r="S1422" s="1249">
        <v>10</v>
      </c>
      <c r="T1422" s="1250">
        <v>104</v>
      </c>
      <c r="U1422" s="1250"/>
      <c r="V1422" s="1250"/>
      <c r="W1422" s="1251">
        <v>5</v>
      </c>
      <c r="X1422" s="1250">
        <v>104</v>
      </c>
      <c r="Y1422" s="1250"/>
      <c r="Z1422" s="1250"/>
      <c r="AA1422" s="1250"/>
      <c r="AB1422" s="1250"/>
      <c r="AC1422" s="1250"/>
      <c r="AD1422" s="1250"/>
      <c r="AE1422" s="1249">
        <v>5</v>
      </c>
      <c r="AF1422" s="1250">
        <v>104</v>
      </c>
      <c r="AG1422" s="111"/>
      <c r="AH1422" s="111"/>
      <c r="AI1422" s="111"/>
      <c r="AJ1422" s="111"/>
      <c r="AK1422" s="111"/>
      <c r="AL1422" s="111"/>
      <c r="AM1422" s="111">
        <v>312</v>
      </c>
    </row>
    <row r="1423" spans="1:39" ht="15" customHeight="1" x14ac:dyDescent="0.25">
      <c r="A1423" s="1409"/>
      <c r="B1423" s="1409"/>
      <c r="C1423" s="1409"/>
      <c r="D1423" s="1409"/>
      <c r="E1423" s="1247"/>
      <c r="F1423" s="1248" t="s">
        <v>5137</v>
      </c>
      <c r="G1423" s="111"/>
      <c r="H1423" s="1249">
        <v>2</v>
      </c>
      <c r="I1423" s="111" t="s">
        <v>1721</v>
      </c>
      <c r="J1423" s="1321" t="s">
        <v>5608</v>
      </c>
      <c r="K1423" s="162" t="s">
        <v>5610</v>
      </c>
      <c r="L1423" s="162" t="s">
        <v>5609</v>
      </c>
      <c r="M1423" s="111">
        <v>62.64</v>
      </c>
      <c r="N1423" s="111">
        <v>125.28</v>
      </c>
      <c r="O1423" s="111"/>
      <c r="P1423" s="111"/>
      <c r="Q1423" s="111"/>
      <c r="R1423" s="111"/>
      <c r="S1423" s="1249">
        <v>2</v>
      </c>
      <c r="T1423" s="1250">
        <v>41.76</v>
      </c>
      <c r="U1423" s="1250"/>
      <c r="V1423" s="1250"/>
      <c r="W1423" s="1251">
        <v>0</v>
      </c>
      <c r="X1423" s="1250">
        <v>41.76</v>
      </c>
      <c r="Y1423" s="1250"/>
      <c r="Z1423" s="1250"/>
      <c r="AA1423" s="1250"/>
      <c r="AB1423" s="1250"/>
      <c r="AC1423" s="1250"/>
      <c r="AD1423" s="1250"/>
      <c r="AE1423" s="1249">
        <v>0</v>
      </c>
      <c r="AF1423" s="1250">
        <v>41.76</v>
      </c>
      <c r="AG1423" s="111"/>
      <c r="AH1423" s="111"/>
      <c r="AI1423" s="111"/>
      <c r="AJ1423" s="111"/>
      <c r="AK1423" s="111"/>
      <c r="AL1423" s="111"/>
      <c r="AM1423" s="111">
        <v>125.28</v>
      </c>
    </row>
    <row r="1424" spans="1:39" ht="15" customHeight="1" x14ac:dyDescent="0.25">
      <c r="A1424" s="1409"/>
      <c r="B1424" s="1409"/>
      <c r="C1424" s="1409"/>
      <c r="D1424" s="1409"/>
      <c r="E1424" s="1247"/>
      <c r="F1424" s="1248" t="s">
        <v>5138</v>
      </c>
      <c r="G1424" s="111"/>
      <c r="H1424" s="1249">
        <v>3</v>
      </c>
      <c r="I1424" s="111" t="s">
        <v>1721</v>
      </c>
      <c r="J1424" s="1321" t="s">
        <v>5608</v>
      </c>
      <c r="K1424" s="162" t="s">
        <v>5610</v>
      </c>
      <c r="L1424" s="162" t="s">
        <v>5609</v>
      </c>
      <c r="M1424" s="111">
        <v>70.149999999999991</v>
      </c>
      <c r="N1424" s="111">
        <v>210.45</v>
      </c>
      <c r="O1424" s="111"/>
      <c r="P1424" s="111"/>
      <c r="Q1424" s="111"/>
      <c r="R1424" s="111"/>
      <c r="S1424" s="1249">
        <v>1</v>
      </c>
      <c r="T1424" s="1250">
        <v>70.149999999999991</v>
      </c>
      <c r="U1424" s="1250"/>
      <c r="V1424" s="1250"/>
      <c r="W1424" s="1251">
        <v>1</v>
      </c>
      <c r="X1424" s="1250">
        <v>70.149999999999991</v>
      </c>
      <c r="Y1424" s="1250"/>
      <c r="Z1424" s="1250"/>
      <c r="AA1424" s="1250"/>
      <c r="AB1424" s="1250"/>
      <c r="AC1424" s="1250"/>
      <c r="AD1424" s="1250"/>
      <c r="AE1424" s="1249">
        <v>1</v>
      </c>
      <c r="AF1424" s="1250">
        <v>70.149999999999991</v>
      </c>
      <c r="AG1424" s="111"/>
      <c r="AH1424" s="111"/>
      <c r="AI1424" s="111"/>
      <c r="AJ1424" s="111"/>
      <c r="AK1424" s="111"/>
      <c r="AL1424" s="111"/>
      <c r="AM1424" s="111">
        <v>210.45</v>
      </c>
    </row>
    <row r="1425" spans="1:39" ht="15" customHeight="1" x14ac:dyDescent="0.25">
      <c r="A1425" s="1409"/>
      <c r="B1425" s="1409"/>
      <c r="C1425" s="1409"/>
      <c r="D1425" s="1409"/>
      <c r="E1425" s="1247"/>
      <c r="F1425" s="1248" t="s">
        <v>5139</v>
      </c>
      <c r="G1425" s="111"/>
      <c r="H1425" s="1249">
        <v>3</v>
      </c>
      <c r="I1425" s="111" t="s">
        <v>1721</v>
      </c>
      <c r="J1425" s="1321" t="s">
        <v>5608</v>
      </c>
      <c r="K1425" s="162" t="s">
        <v>5610</v>
      </c>
      <c r="L1425" s="162" t="s">
        <v>5609</v>
      </c>
      <c r="M1425" s="111">
        <v>70.149999999999991</v>
      </c>
      <c r="N1425" s="111">
        <v>210.45</v>
      </c>
      <c r="O1425" s="111"/>
      <c r="P1425" s="111"/>
      <c r="Q1425" s="111"/>
      <c r="R1425" s="111"/>
      <c r="S1425" s="1249">
        <v>1</v>
      </c>
      <c r="T1425" s="1250">
        <v>70.149999999999991</v>
      </c>
      <c r="U1425" s="1250"/>
      <c r="V1425" s="1250"/>
      <c r="W1425" s="1251">
        <v>1</v>
      </c>
      <c r="X1425" s="1250">
        <v>70.149999999999991</v>
      </c>
      <c r="Y1425" s="1250"/>
      <c r="Z1425" s="1250"/>
      <c r="AA1425" s="1250"/>
      <c r="AB1425" s="1250"/>
      <c r="AC1425" s="1250"/>
      <c r="AD1425" s="1250"/>
      <c r="AE1425" s="1249">
        <v>1</v>
      </c>
      <c r="AF1425" s="1250">
        <v>70.149999999999991</v>
      </c>
      <c r="AG1425" s="111"/>
      <c r="AH1425" s="111"/>
      <c r="AI1425" s="111"/>
      <c r="AJ1425" s="111"/>
      <c r="AK1425" s="111"/>
      <c r="AL1425" s="111"/>
      <c r="AM1425" s="111">
        <v>210.45</v>
      </c>
    </row>
    <row r="1426" spans="1:39" ht="15" customHeight="1" x14ac:dyDescent="0.25">
      <c r="A1426" s="1409"/>
      <c r="B1426" s="1409"/>
      <c r="C1426" s="1409"/>
      <c r="D1426" s="1409"/>
      <c r="E1426" s="1247"/>
      <c r="F1426" s="1248" t="s">
        <v>603</v>
      </c>
      <c r="G1426" s="111"/>
      <c r="H1426" s="1249">
        <v>8</v>
      </c>
      <c r="I1426" s="111" t="s">
        <v>1725</v>
      </c>
      <c r="J1426" s="1321" t="s">
        <v>5608</v>
      </c>
      <c r="K1426" s="162" t="s">
        <v>5610</v>
      </c>
      <c r="L1426" s="162" t="s">
        <v>5609</v>
      </c>
      <c r="M1426" s="111">
        <v>507.87000000000006</v>
      </c>
      <c r="N1426" s="111">
        <v>4062.9600000000005</v>
      </c>
      <c r="O1426" s="111"/>
      <c r="P1426" s="111"/>
      <c r="Q1426" s="111"/>
      <c r="R1426" s="111"/>
      <c r="S1426" s="1249">
        <v>4</v>
      </c>
      <c r="T1426" s="1250">
        <v>1354.3200000000002</v>
      </c>
      <c r="U1426" s="1250"/>
      <c r="V1426" s="1250"/>
      <c r="W1426" s="1251">
        <v>2</v>
      </c>
      <c r="X1426" s="1250">
        <v>1354.3200000000002</v>
      </c>
      <c r="Y1426" s="1250"/>
      <c r="Z1426" s="1250"/>
      <c r="AA1426" s="1250"/>
      <c r="AB1426" s="1250"/>
      <c r="AC1426" s="1250"/>
      <c r="AD1426" s="1250"/>
      <c r="AE1426" s="1249">
        <v>2</v>
      </c>
      <c r="AF1426" s="1250">
        <v>1354.3200000000002</v>
      </c>
      <c r="AG1426" s="111"/>
      <c r="AH1426" s="111"/>
      <c r="AI1426" s="111"/>
      <c r="AJ1426" s="111"/>
      <c r="AK1426" s="111"/>
      <c r="AL1426" s="111"/>
      <c r="AM1426" s="111">
        <v>4062.9600000000005</v>
      </c>
    </row>
    <row r="1427" spans="1:39" ht="15" customHeight="1" x14ac:dyDescent="0.25">
      <c r="A1427" s="1409"/>
      <c r="B1427" s="1409"/>
      <c r="C1427" s="1409"/>
      <c r="D1427" s="1409"/>
      <c r="E1427" s="1247"/>
      <c r="F1427" s="1248" t="s">
        <v>1267</v>
      </c>
      <c r="G1427" s="111"/>
      <c r="H1427" s="1249">
        <v>7</v>
      </c>
      <c r="I1427" s="111" t="s">
        <v>1725</v>
      </c>
      <c r="J1427" s="1321" t="s">
        <v>5608</v>
      </c>
      <c r="K1427" s="162" t="s">
        <v>5610</v>
      </c>
      <c r="L1427" s="162" t="s">
        <v>5609</v>
      </c>
      <c r="M1427" s="111">
        <v>1033.5600000000002</v>
      </c>
      <c r="N1427" s="111">
        <v>7234.920000000001</v>
      </c>
      <c r="O1427" s="111"/>
      <c r="P1427" s="111"/>
      <c r="Q1427" s="111"/>
      <c r="R1427" s="111"/>
      <c r="S1427" s="1249">
        <v>3</v>
      </c>
      <c r="T1427" s="1250">
        <v>2411.6400000000003</v>
      </c>
      <c r="U1427" s="1250"/>
      <c r="V1427" s="1250"/>
      <c r="W1427" s="1251">
        <v>2</v>
      </c>
      <c r="X1427" s="1250">
        <v>2411.6400000000003</v>
      </c>
      <c r="Y1427" s="1250"/>
      <c r="Z1427" s="1250"/>
      <c r="AA1427" s="1250"/>
      <c r="AB1427" s="1250"/>
      <c r="AC1427" s="1250"/>
      <c r="AD1427" s="1250"/>
      <c r="AE1427" s="1249">
        <v>2</v>
      </c>
      <c r="AF1427" s="1250">
        <v>2411.6400000000003</v>
      </c>
      <c r="AG1427" s="111"/>
      <c r="AH1427" s="111"/>
      <c r="AI1427" s="111"/>
      <c r="AJ1427" s="111"/>
      <c r="AK1427" s="111"/>
      <c r="AL1427" s="111"/>
      <c r="AM1427" s="111">
        <v>7234.920000000001</v>
      </c>
    </row>
    <row r="1428" spans="1:39" ht="15" customHeight="1" x14ac:dyDescent="0.25">
      <c r="A1428" s="1409"/>
      <c r="B1428" s="1409"/>
      <c r="C1428" s="1409"/>
      <c r="D1428" s="1409"/>
      <c r="E1428" s="1247"/>
      <c r="F1428" s="1248" t="s">
        <v>5140</v>
      </c>
      <c r="G1428" s="111"/>
      <c r="H1428" s="1249">
        <v>4</v>
      </c>
      <c r="I1428" s="111" t="s">
        <v>1721</v>
      </c>
      <c r="J1428" s="1321" t="s">
        <v>5608</v>
      </c>
      <c r="K1428" s="162" t="s">
        <v>5610</v>
      </c>
      <c r="L1428" s="162" t="s">
        <v>5609</v>
      </c>
      <c r="M1428" s="111">
        <v>89.58</v>
      </c>
      <c r="N1428" s="111">
        <v>358.32</v>
      </c>
      <c r="O1428" s="111"/>
      <c r="P1428" s="111"/>
      <c r="Q1428" s="111"/>
      <c r="R1428" s="111"/>
      <c r="S1428" s="1249">
        <v>2</v>
      </c>
      <c r="T1428" s="1250">
        <v>119.44</v>
      </c>
      <c r="U1428" s="1250"/>
      <c r="V1428" s="1250"/>
      <c r="W1428" s="1251">
        <v>1</v>
      </c>
      <c r="X1428" s="1250">
        <v>119.44</v>
      </c>
      <c r="Y1428" s="1250"/>
      <c r="Z1428" s="1250"/>
      <c r="AA1428" s="1250"/>
      <c r="AB1428" s="1250"/>
      <c r="AC1428" s="1250"/>
      <c r="AD1428" s="1250"/>
      <c r="AE1428" s="1249">
        <v>1</v>
      </c>
      <c r="AF1428" s="1250">
        <v>119.44</v>
      </c>
      <c r="AG1428" s="111"/>
      <c r="AH1428" s="111"/>
      <c r="AI1428" s="111"/>
      <c r="AJ1428" s="111"/>
      <c r="AK1428" s="111"/>
      <c r="AL1428" s="111"/>
      <c r="AM1428" s="111">
        <v>358.32</v>
      </c>
    </row>
    <row r="1429" spans="1:39" ht="15" customHeight="1" x14ac:dyDescent="0.25">
      <c r="A1429" s="1409"/>
      <c r="B1429" s="1409"/>
      <c r="C1429" s="1409"/>
      <c r="D1429" s="1409"/>
      <c r="E1429" s="1247"/>
      <c r="F1429" s="1248" t="s">
        <v>3013</v>
      </c>
      <c r="G1429" s="111"/>
      <c r="H1429" s="1249">
        <v>1</v>
      </c>
      <c r="I1429" s="111" t="s">
        <v>1721</v>
      </c>
      <c r="J1429" s="1321" t="s">
        <v>5608</v>
      </c>
      <c r="K1429" s="162" t="s">
        <v>5610</v>
      </c>
      <c r="L1429" s="162" t="s">
        <v>5609</v>
      </c>
      <c r="M1429" s="111">
        <v>16.197839999999999</v>
      </c>
      <c r="N1429" s="111">
        <v>16.197839999999999</v>
      </c>
      <c r="O1429" s="111"/>
      <c r="P1429" s="111"/>
      <c r="Q1429" s="111"/>
      <c r="R1429" s="111"/>
      <c r="S1429" s="1249">
        <v>1</v>
      </c>
      <c r="T1429" s="1250">
        <v>5.3992800000000001</v>
      </c>
      <c r="U1429" s="1250"/>
      <c r="V1429" s="1250"/>
      <c r="W1429" s="1251">
        <v>0</v>
      </c>
      <c r="X1429" s="1250">
        <v>5.3992800000000001</v>
      </c>
      <c r="Y1429" s="1250"/>
      <c r="Z1429" s="1250"/>
      <c r="AA1429" s="1250"/>
      <c r="AB1429" s="1250"/>
      <c r="AC1429" s="1250"/>
      <c r="AD1429" s="1250"/>
      <c r="AE1429" s="1249">
        <v>0</v>
      </c>
      <c r="AF1429" s="1250">
        <v>5.3992800000000001</v>
      </c>
      <c r="AG1429" s="111"/>
      <c r="AH1429" s="111"/>
      <c r="AI1429" s="111"/>
      <c r="AJ1429" s="111"/>
      <c r="AK1429" s="111"/>
      <c r="AL1429" s="111"/>
      <c r="AM1429" s="111">
        <v>16.197839999999999</v>
      </c>
    </row>
    <row r="1430" spans="1:39" ht="15" customHeight="1" x14ac:dyDescent="0.25">
      <c r="A1430" s="1409"/>
      <c r="B1430" s="1409"/>
      <c r="C1430" s="1409"/>
      <c r="D1430" s="1409"/>
      <c r="E1430" s="1247"/>
      <c r="F1430" s="1248" t="s">
        <v>3014</v>
      </c>
      <c r="G1430" s="111"/>
      <c r="H1430" s="1249">
        <v>1</v>
      </c>
      <c r="I1430" s="111" t="s">
        <v>1721</v>
      </c>
      <c r="J1430" s="1321" t="s">
        <v>5608</v>
      </c>
      <c r="K1430" s="162" t="s">
        <v>5610</v>
      </c>
      <c r="L1430" s="162" t="s">
        <v>5609</v>
      </c>
      <c r="M1430" s="111">
        <v>35.64</v>
      </c>
      <c r="N1430" s="111">
        <v>35.64</v>
      </c>
      <c r="O1430" s="111"/>
      <c r="P1430" s="111"/>
      <c r="Q1430" s="111"/>
      <c r="R1430" s="111"/>
      <c r="S1430" s="1249">
        <v>1</v>
      </c>
      <c r="T1430" s="1250">
        <v>11.88</v>
      </c>
      <c r="U1430" s="1250"/>
      <c r="V1430" s="1250"/>
      <c r="W1430" s="1251">
        <v>0</v>
      </c>
      <c r="X1430" s="1250">
        <v>11.88</v>
      </c>
      <c r="Y1430" s="1250"/>
      <c r="Z1430" s="1250"/>
      <c r="AA1430" s="1250"/>
      <c r="AB1430" s="1250"/>
      <c r="AC1430" s="1250"/>
      <c r="AD1430" s="1250"/>
      <c r="AE1430" s="1249">
        <v>0</v>
      </c>
      <c r="AF1430" s="1250">
        <v>11.88</v>
      </c>
      <c r="AG1430" s="111"/>
      <c r="AH1430" s="111"/>
      <c r="AI1430" s="111"/>
      <c r="AJ1430" s="111"/>
      <c r="AK1430" s="111"/>
      <c r="AL1430" s="111"/>
      <c r="AM1430" s="111">
        <v>35.64</v>
      </c>
    </row>
    <row r="1431" spans="1:39" ht="15" customHeight="1" x14ac:dyDescent="0.25">
      <c r="A1431" s="1409"/>
      <c r="B1431" s="1409"/>
      <c r="C1431" s="1409"/>
      <c r="D1431" s="1409"/>
      <c r="E1431" s="1247"/>
      <c r="F1431" s="1248" t="s">
        <v>3015</v>
      </c>
      <c r="G1431" s="111"/>
      <c r="H1431" s="1249">
        <v>1</v>
      </c>
      <c r="I1431" s="111" t="s">
        <v>1721</v>
      </c>
      <c r="J1431" s="1321" t="s">
        <v>5608</v>
      </c>
      <c r="K1431" s="162" t="s">
        <v>5610</v>
      </c>
      <c r="L1431" s="162" t="s">
        <v>5609</v>
      </c>
      <c r="M1431" s="111">
        <v>148.5</v>
      </c>
      <c r="N1431" s="111">
        <v>148.5</v>
      </c>
      <c r="O1431" s="111"/>
      <c r="P1431" s="111"/>
      <c r="Q1431" s="111"/>
      <c r="R1431" s="111"/>
      <c r="S1431" s="1249">
        <v>1</v>
      </c>
      <c r="T1431" s="1250">
        <v>49.5</v>
      </c>
      <c r="U1431" s="1250"/>
      <c r="V1431" s="1250"/>
      <c r="W1431" s="1251">
        <v>0</v>
      </c>
      <c r="X1431" s="1250">
        <v>49.5</v>
      </c>
      <c r="Y1431" s="1250"/>
      <c r="Z1431" s="1250"/>
      <c r="AA1431" s="1250"/>
      <c r="AB1431" s="1250"/>
      <c r="AC1431" s="1250"/>
      <c r="AD1431" s="1250"/>
      <c r="AE1431" s="1249">
        <v>0</v>
      </c>
      <c r="AF1431" s="1250">
        <v>49.5</v>
      </c>
      <c r="AG1431" s="111"/>
      <c r="AH1431" s="111"/>
      <c r="AI1431" s="111"/>
      <c r="AJ1431" s="111"/>
      <c r="AK1431" s="111"/>
      <c r="AL1431" s="111"/>
      <c r="AM1431" s="111">
        <v>148.5</v>
      </c>
    </row>
    <row r="1432" spans="1:39" ht="15" customHeight="1" x14ac:dyDescent="0.25">
      <c r="A1432" s="1409"/>
      <c r="B1432" s="1409"/>
      <c r="C1432" s="1409"/>
      <c r="D1432" s="1409"/>
      <c r="E1432" s="1247"/>
      <c r="F1432" s="1248" t="s">
        <v>3016</v>
      </c>
      <c r="G1432" s="111"/>
      <c r="H1432" s="1249">
        <v>1</v>
      </c>
      <c r="I1432" s="111" t="s">
        <v>1725</v>
      </c>
      <c r="J1432" s="1321" t="s">
        <v>5608</v>
      </c>
      <c r="K1432" s="162" t="s">
        <v>5610</v>
      </c>
      <c r="L1432" s="162" t="s">
        <v>5609</v>
      </c>
      <c r="M1432" s="111">
        <v>42.871727999999997</v>
      </c>
      <c r="N1432" s="111">
        <v>42.871727999999997</v>
      </c>
      <c r="O1432" s="111"/>
      <c r="P1432" s="111"/>
      <c r="Q1432" s="111"/>
      <c r="R1432" s="111"/>
      <c r="S1432" s="1249">
        <v>1</v>
      </c>
      <c r="T1432" s="1250">
        <v>14.290576</v>
      </c>
      <c r="U1432" s="1250"/>
      <c r="V1432" s="1250"/>
      <c r="W1432" s="1251">
        <v>0</v>
      </c>
      <c r="X1432" s="1250">
        <v>14.290576</v>
      </c>
      <c r="Y1432" s="1250"/>
      <c r="Z1432" s="1250"/>
      <c r="AA1432" s="1250"/>
      <c r="AB1432" s="1250"/>
      <c r="AC1432" s="1250"/>
      <c r="AD1432" s="1250"/>
      <c r="AE1432" s="1249">
        <v>0</v>
      </c>
      <c r="AF1432" s="1250">
        <v>14.290576</v>
      </c>
      <c r="AG1432" s="111"/>
      <c r="AH1432" s="111"/>
      <c r="AI1432" s="111"/>
      <c r="AJ1432" s="111"/>
      <c r="AK1432" s="111"/>
      <c r="AL1432" s="111"/>
      <c r="AM1432" s="111">
        <v>42.871727999999997</v>
      </c>
    </row>
    <row r="1433" spans="1:39" ht="15" customHeight="1" x14ac:dyDescent="0.25">
      <c r="A1433" s="1409"/>
      <c r="B1433" s="1409"/>
      <c r="C1433" s="1409"/>
      <c r="D1433" s="1409"/>
      <c r="E1433" s="1247"/>
      <c r="F1433" s="1248" t="s">
        <v>3017</v>
      </c>
      <c r="G1433" s="111"/>
      <c r="H1433" s="1249">
        <v>1</v>
      </c>
      <c r="I1433" s="111" t="s">
        <v>1721</v>
      </c>
      <c r="J1433" s="1321" t="s">
        <v>5608</v>
      </c>
      <c r="K1433" s="162" t="s">
        <v>5610</v>
      </c>
      <c r="L1433" s="162" t="s">
        <v>5609</v>
      </c>
      <c r="M1433" s="111">
        <v>12.51</v>
      </c>
      <c r="N1433" s="111">
        <v>12.51</v>
      </c>
      <c r="O1433" s="111"/>
      <c r="P1433" s="111"/>
      <c r="Q1433" s="111"/>
      <c r="R1433" s="111"/>
      <c r="S1433" s="1249">
        <v>1</v>
      </c>
      <c r="T1433" s="1250">
        <v>4.17</v>
      </c>
      <c r="U1433" s="1250"/>
      <c r="V1433" s="1250"/>
      <c r="W1433" s="1251">
        <v>0</v>
      </c>
      <c r="X1433" s="1250">
        <v>4.17</v>
      </c>
      <c r="Y1433" s="1250"/>
      <c r="Z1433" s="1250"/>
      <c r="AA1433" s="1250"/>
      <c r="AB1433" s="1250"/>
      <c r="AC1433" s="1250"/>
      <c r="AD1433" s="1250"/>
      <c r="AE1433" s="1249">
        <v>0</v>
      </c>
      <c r="AF1433" s="1250">
        <v>4.17</v>
      </c>
      <c r="AG1433" s="111"/>
      <c r="AH1433" s="111"/>
      <c r="AI1433" s="111"/>
      <c r="AJ1433" s="111"/>
      <c r="AK1433" s="111"/>
      <c r="AL1433" s="111"/>
      <c r="AM1433" s="111">
        <v>12.51</v>
      </c>
    </row>
    <row r="1434" spans="1:39" ht="15" customHeight="1" x14ac:dyDescent="0.25">
      <c r="A1434" s="1409"/>
      <c r="B1434" s="1409"/>
      <c r="C1434" s="1409"/>
      <c r="D1434" s="1409"/>
      <c r="E1434" s="1247"/>
      <c r="F1434" s="1248" t="s">
        <v>3018</v>
      </c>
      <c r="G1434" s="111"/>
      <c r="H1434" s="1249">
        <v>1</v>
      </c>
      <c r="I1434" s="111" t="s">
        <v>1721</v>
      </c>
      <c r="J1434" s="1321" t="s">
        <v>5608</v>
      </c>
      <c r="K1434" s="162" t="s">
        <v>5610</v>
      </c>
      <c r="L1434" s="162" t="s">
        <v>5609</v>
      </c>
      <c r="M1434" s="111">
        <v>10.799136000000001</v>
      </c>
      <c r="N1434" s="111">
        <v>10.799136000000001</v>
      </c>
      <c r="O1434" s="111"/>
      <c r="P1434" s="111"/>
      <c r="Q1434" s="111"/>
      <c r="R1434" s="111"/>
      <c r="S1434" s="1249">
        <v>1</v>
      </c>
      <c r="T1434" s="1250">
        <v>3.5997120000000002</v>
      </c>
      <c r="U1434" s="1250"/>
      <c r="V1434" s="1250"/>
      <c r="W1434" s="1251">
        <v>0</v>
      </c>
      <c r="X1434" s="1250">
        <v>3.5997120000000002</v>
      </c>
      <c r="Y1434" s="1250"/>
      <c r="Z1434" s="1250"/>
      <c r="AA1434" s="1250"/>
      <c r="AB1434" s="1250"/>
      <c r="AC1434" s="1250"/>
      <c r="AD1434" s="1250"/>
      <c r="AE1434" s="1249">
        <v>0</v>
      </c>
      <c r="AF1434" s="1250">
        <v>3.5997120000000002</v>
      </c>
      <c r="AG1434" s="111"/>
      <c r="AH1434" s="111"/>
      <c r="AI1434" s="111"/>
      <c r="AJ1434" s="111"/>
      <c r="AK1434" s="111"/>
      <c r="AL1434" s="111"/>
      <c r="AM1434" s="111">
        <v>10.799136000000001</v>
      </c>
    </row>
    <row r="1435" spans="1:39" ht="15" customHeight="1" x14ac:dyDescent="0.25">
      <c r="A1435" s="1409"/>
      <c r="B1435" s="1409"/>
      <c r="C1435" s="1409"/>
      <c r="D1435" s="1409"/>
      <c r="E1435" s="1247"/>
      <c r="F1435" s="1248"/>
      <c r="G1435" s="111"/>
      <c r="H1435" s="1249"/>
      <c r="I1435" s="111"/>
      <c r="J1435" s="111"/>
      <c r="K1435" s="111"/>
      <c r="L1435" s="111"/>
      <c r="M1435" s="111"/>
      <c r="N1435" s="111"/>
      <c r="O1435" s="111"/>
      <c r="P1435" s="111"/>
      <c r="Q1435" s="111"/>
      <c r="R1435" s="111"/>
      <c r="S1435" s="1249"/>
      <c r="T1435" s="1250"/>
      <c r="U1435" s="1250"/>
      <c r="V1435" s="1250"/>
      <c r="W1435" s="1251"/>
      <c r="X1435" s="1250"/>
      <c r="Y1435" s="1250"/>
      <c r="Z1435" s="1250"/>
      <c r="AA1435" s="1250"/>
      <c r="AB1435" s="1250"/>
      <c r="AC1435" s="1250"/>
      <c r="AD1435" s="1250"/>
      <c r="AE1435" s="1249"/>
      <c r="AF1435" s="1250"/>
      <c r="AG1435" s="111"/>
      <c r="AH1435" s="111"/>
      <c r="AI1435" s="111"/>
      <c r="AJ1435" s="111"/>
      <c r="AK1435" s="111"/>
      <c r="AL1435" s="111"/>
      <c r="AM1435" s="111"/>
    </row>
    <row r="1436" spans="1:39" ht="15" customHeight="1" x14ac:dyDescent="0.25">
      <c r="A1436" s="1409"/>
      <c r="B1436" s="1409"/>
      <c r="C1436" s="1409"/>
      <c r="D1436" s="1409"/>
      <c r="E1436" s="1261">
        <v>24904</v>
      </c>
      <c r="F1436" s="1262" t="s">
        <v>607</v>
      </c>
      <c r="G1436" s="1261"/>
      <c r="H1436" s="1261"/>
      <c r="I1436" s="1261"/>
      <c r="J1436" s="1261"/>
      <c r="K1436" s="1261"/>
      <c r="L1436" s="1261"/>
      <c r="M1436" s="1261"/>
      <c r="N1436" s="1261"/>
      <c r="O1436" s="1261"/>
      <c r="P1436" s="1261"/>
      <c r="Q1436" s="1261"/>
      <c r="R1436" s="1261"/>
      <c r="S1436" s="1261"/>
      <c r="T1436" s="1261"/>
      <c r="U1436" s="1261"/>
      <c r="V1436" s="1261"/>
      <c r="W1436" s="1261"/>
      <c r="X1436" s="1261"/>
      <c r="Y1436" s="1261"/>
      <c r="Z1436" s="1261"/>
      <c r="AA1436" s="1261"/>
      <c r="AB1436" s="1261"/>
      <c r="AC1436" s="1261"/>
      <c r="AD1436" s="1261"/>
      <c r="AE1436" s="1261"/>
      <c r="AF1436" s="1261"/>
      <c r="AG1436" s="1261"/>
      <c r="AH1436" s="1261"/>
      <c r="AI1436" s="1261"/>
      <c r="AJ1436" s="1261"/>
      <c r="AK1436" s="1261"/>
      <c r="AL1436" s="1261"/>
      <c r="AM1436" s="1261"/>
    </row>
    <row r="1437" spans="1:39" ht="15" customHeight="1" x14ac:dyDescent="0.25">
      <c r="A1437" s="1409"/>
      <c r="B1437" s="1409"/>
      <c r="C1437" s="1409"/>
      <c r="D1437" s="1409"/>
      <c r="E1437" s="1247"/>
      <c r="F1437" s="1248" t="s">
        <v>1534</v>
      </c>
      <c r="G1437" s="111"/>
      <c r="H1437" s="1249">
        <v>15</v>
      </c>
      <c r="I1437" s="111" t="s">
        <v>1721</v>
      </c>
      <c r="J1437" s="1321" t="s">
        <v>5608</v>
      </c>
      <c r="K1437" s="162" t="s">
        <v>5610</v>
      </c>
      <c r="L1437" s="162" t="s">
        <v>5609</v>
      </c>
      <c r="M1437" s="111">
        <v>117.14</v>
      </c>
      <c r="N1437" s="111">
        <v>1757.1</v>
      </c>
      <c r="O1437" s="111"/>
      <c r="P1437" s="111"/>
      <c r="Q1437" s="111"/>
      <c r="R1437" s="111"/>
      <c r="S1437" s="1249">
        <v>5</v>
      </c>
      <c r="T1437" s="1250">
        <v>585.69999999999993</v>
      </c>
      <c r="U1437" s="1250"/>
      <c r="V1437" s="1250"/>
      <c r="W1437" s="1251">
        <v>5</v>
      </c>
      <c r="X1437" s="1250">
        <v>585.69999999999993</v>
      </c>
      <c r="Y1437" s="1250"/>
      <c r="Z1437" s="1250"/>
      <c r="AA1437" s="1250"/>
      <c r="AB1437" s="1250"/>
      <c r="AC1437" s="1250"/>
      <c r="AD1437" s="1250"/>
      <c r="AE1437" s="1249">
        <v>5</v>
      </c>
      <c r="AF1437" s="1250">
        <v>585.69999999999993</v>
      </c>
      <c r="AG1437" s="111"/>
      <c r="AH1437" s="111"/>
      <c r="AI1437" s="111"/>
      <c r="AJ1437" s="111"/>
      <c r="AK1437" s="111"/>
      <c r="AL1437" s="111"/>
      <c r="AM1437" s="111">
        <v>1757.1</v>
      </c>
    </row>
    <row r="1438" spans="1:39" ht="15" customHeight="1" x14ac:dyDescent="0.25">
      <c r="A1438" s="1409"/>
      <c r="B1438" s="1409"/>
      <c r="C1438" s="1409"/>
      <c r="D1438" s="1409"/>
      <c r="E1438" s="1247"/>
      <c r="F1438" s="1248" t="s">
        <v>5141</v>
      </c>
      <c r="G1438" s="111"/>
      <c r="H1438" s="1249">
        <v>4</v>
      </c>
      <c r="I1438" s="111" t="s">
        <v>1721</v>
      </c>
      <c r="J1438" s="1321" t="s">
        <v>5608</v>
      </c>
      <c r="K1438" s="162" t="s">
        <v>5610</v>
      </c>
      <c r="L1438" s="162" t="s">
        <v>5609</v>
      </c>
      <c r="M1438" s="111">
        <v>165.36959999999999</v>
      </c>
      <c r="N1438" s="111">
        <v>661.47839999999997</v>
      </c>
      <c r="O1438" s="111"/>
      <c r="P1438" s="111"/>
      <c r="Q1438" s="111"/>
      <c r="R1438" s="111"/>
      <c r="S1438" s="1249">
        <v>2</v>
      </c>
      <c r="T1438" s="1250">
        <v>220.49279999999999</v>
      </c>
      <c r="U1438" s="1250"/>
      <c r="V1438" s="1250"/>
      <c r="W1438" s="1251">
        <v>1</v>
      </c>
      <c r="X1438" s="1250">
        <v>220.49279999999999</v>
      </c>
      <c r="Y1438" s="1250"/>
      <c r="Z1438" s="1250"/>
      <c r="AA1438" s="1250"/>
      <c r="AB1438" s="1250"/>
      <c r="AC1438" s="1250"/>
      <c r="AD1438" s="1250"/>
      <c r="AE1438" s="1249">
        <v>1</v>
      </c>
      <c r="AF1438" s="1250">
        <v>220.49279999999999</v>
      </c>
      <c r="AG1438" s="111"/>
      <c r="AH1438" s="111"/>
      <c r="AI1438" s="111"/>
      <c r="AJ1438" s="111"/>
      <c r="AK1438" s="111"/>
      <c r="AL1438" s="111"/>
      <c r="AM1438" s="111">
        <v>661.47839999999997</v>
      </c>
    </row>
    <row r="1439" spans="1:39" ht="15" customHeight="1" x14ac:dyDescent="0.25">
      <c r="A1439" s="1409"/>
      <c r="B1439" s="1409"/>
      <c r="C1439" s="1409"/>
      <c r="D1439" s="1409"/>
      <c r="E1439" s="1247"/>
      <c r="F1439" s="1248" t="s">
        <v>5142</v>
      </c>
      <c r="G1439" s="111"/>
      <c r="H1439" s="1249">
        <v>4</v>
      </c>
      <c r="I1439" s="111" t="s">
        <v>1721</v>
      </c>
      <c r="J1439" s="1321" t="s">
        <v>5608</v>
      </c>
      <c r="K1439" s="162" t="s">
        <v>5610</v>
      </c>
      <c r="L1439" s="162" t="s">
        <v>5609</v>
      </c>
      <c r="M1439" s="111">
        <v>172.26</v>
      </c>
      <c r="N1439" s="111">
        <v>689.04</v>
      </c>
      <c r="O1439" s="111"/>
      <c r="P1439" s="111"/>
      <c r="Q1439" s="111"/>
      <c r="R1439" s="111"/>
      <c r="S1439" s="1249">
        <v>2</v>
      </c>
      <c r="T1439" s="1250">
        <v>229.67999999999998</v>
      </c>
      <c r="U1439" s="1250"/>
      <c r="V1439" s="1250"/>
      <c r="W1439" s="1251">
        <v>1</v>
      </c>
      <c r="X1439" s="1250">
        <v>229.67999999999998</v>
      </c>
      <c r="Y1439" s="1250"/>
      <c r="Z1439" s="1250"/>
      <c r="AA1439" s="1250"/>
      <c r="AB1439" s="1250"/>
      <c r="AC1439" s="1250"/>
      <c r="AD1439" s="1250"/>
      <c r="AE1439" s="1249">
        <v>1</v>
      </c>
      <c r="AF1439" s="1250">
        <v>229.67999999999998</v>
      </c>
      <c r="AG1439" s="111"/>
      <c r="AH1439" s="111"/>
      <c r="AI1439" s="111"/>
      <c r="AJ1439" s="111"/>
      <c r="AK1439" s="111"/>
      <c r="AL1439" s="111"/>
      <c r="AM1439" s="111">
        <v>689.04</v>
      </c>
    </row>
    <row r="1440" spans="1:39" ht="15" customHeight="1" x14ac:dyDescent="0.25">
      <c r="A1440" s="1409"/>
      <c r="B1440" s="1409"/>
      <c r="C1440" s="1409"/>
      <c r="D1440" s="1409"/>
      <c r="E1440" s="1247"/>
      <c r="F1440" s="1248" t="s">
        <v>1271</v>
      </c>
      <c r="G1440" s="111"/>
      <c r="H1440" s="1249">
        <v>4</v>
      </c>
      <c r="I1440" s="111" t="s">
        <v>1721</v>
      </c>
      <c r="J1440" s="1321" t="s">
        <v>5608</v>
      </c>
      <c r="K1440" s="162" t="s">
        <v>5610</v>
      </c>
      <c r="L1440" s="162" t="s">
        <v>5609</v>
      </c>
      <c r="M1440" s="111">
        <v>165.36959999999999</v>
      </c>
      <c r="N1440" s="111">
        <v>661.47839999999997</v>
      </c>
      <c r="O1440" s="111"/>
      <c r="P1440" s="111"/>
      <c r="Q1440" s="111"/>
      <c r="R1440" s="111"/>
      <c r="S1440" s="1249">
        <v>2</v>
      </c>
      <c r="T1440" s="1250">
        <v>220.49279999999999</v>
      </c>
      <c r="U1440" s="1250"/>
      <c r="V1440" s="1250"/>
      <c r="W1440" s="1251">
        <v>1</v>
      </c>
      <c r="X1440" s="1250">
        <v>220.49279999999999</v>
      </c>
      <c r="Y1440" s="1250"/>
      <c r="Z1440" s="1250"/>
      <c r="AA1440" s="1250"/>
      <c r="AB1440" s="1250"/>
      <c r="AC1440" s="1250"/>
      <c r="AD1440" s="1250"/>
      <c r="AE1440" s="1249">
        <v>1</v>
      </c>
      <c r="AF1440" s="1250">
        <v>220.49279999999999</v>
      </c>
      <c r="AG1440" s="111"/>
      <c r="AH1440" s="111"/>
      <c r="AI1440" s="111"/>
      <c r="AJ1440" s="111"/>
      <c r="AK1440" s="111"/>
      <c r="AL1440" s="111"/>
      <c r="AM1440" s="111">
        <v>661.47839999999997</v>
      </c>
    </row>
    <row r="1441" spans="1:39" ht="15" customHeight="1" x14ac:dyDescent="0.25">
      <c r="A1441" s="1409"/>
      <c r="B1441" s="1409"/>
      <c r="C1441" s="1409"/>
      <c r="D1441" s="1409"/>
      <c r="E1441" s="1247"/>
      <c r="F1441" s="1248" t="s">
        <v>1276</v>
      </c>
      <c r="G1441" s="111"/>
      <c r="H1441" s="1249">
        <v>4</v>
      </c>
      <c r="I1441" s="111" t="s">
        <v>1721</v>
      </c>
      <c r="J1441" s="1321" t="s">
        <v>5608</v>
      </c>
      <c r="K1441" s="162" t="s">
        <v>5610</v>
      </c>
      <c r="L1441" s="162" t="s">
        <v>5609</v>
      </c>
      <c r="M1441" s="111">
        <v>165.36959999999999</v>
      </c>
      <c r="N1441" s="111">
        <v>661.47839999999997</v>
      </c>
      <c r="O1441" s="111"/>
      <c r="P1441" s="111"/>
      <c r="Q1441" s="111"/>
      <c r="R1441" s="111"/>
      <c r="S1441" s="1249">
        <v>2</v>
      </c>
      <c r="T1441" s="1250">
        <v>220.49279999999999</v>
      </c>
      <c r="U1441" s="1250"/>
      <c r="V1441" s="1250"/>
      <c r="W1441" s="1251">
        <v>1</v>
      </c>
      <c r="X1441" s="1250">
        <v>220.49279999999999</v>
      </c>
      <c r="Y1441" s="1250"/>
      <c r="Z1441" s="1250"/>
      <c r="AA1441" s="1250"/>
      <c r="AB1441" s="1250"/>
      <c r="AC1441" s="1250"/>
      <c r="AD1441" s="1250"/>
      <c r="AE1441" s="1249">
        <v>1</v>
      </c>
      <c r="AF1441" s="1250">
        <v>220.49279999999999</v>
      </c>
      <c r="AG1441" s="111"/>
      <c r="AH1441" s="111"/>
      <c r="AI1441" s="111"/>
      <c r="AJ1441" s="111"/>
      <c r="AK1441" s="111"/>
      <c r="AL1441" s="111"/>
      <c r="AM1441" s="111">
        <v>661.47839999999997</v>
      </c>
    </row>
    <row r="1442" spans="1:39" ht="15" customHeight="1" x14ac:dyDescent="0.25">
      <c r="A1442" s="1409"/>
      <c r="B1442" s="1409"/>
      <c r="C1442" s="1409"/>
      <c r="D1442" s="1409"/>
      <c r="E1442" s="1247"/>
      <c r="F1442" s="1248" t="s">
        <v>1277</v>
      </c>
      <c r="G1442" s="111"/>
      <c r="H1442" s="1249">
        <v>4</v>
      </c>
      <c r="I1442" s="111" t="s">
        <v>1721</v>
      </c>
      <c r="J1442" s="1321" t="s">
        <v>5608</v>
      </c>
      <c r="K1442" s="162" t="s">
        <v>5610</v>
      </c>
      <c r="L1442" s="162" t="s">
        <v>5609</v>
      </c>
      <c r="M1442" s="111">
        <v>165.36959999999999</v>
      </c>
      <c r="N1442" s="111">
        <v>661.47839999999997</v>
      </c>
      <c r="O1442" s="111"/>
      <c r="P1442" s="111"/>
      <c r="Q1442" s="111"/>
      <c r="R1442" s="111"/>
      <c r="S1442" s="1249">
        <v>2</v>
      </c>
      <c r="T1442" s="1250">
        <v>220.49279999999999</v>
      </c>
      <c r="U1442" s="1250"/>
      <c r="V1442" s="1250"/>
      <c r="W1442" s="1251">
        <v>1</v>
      </c>
      <c r="X1442" s="1250">
        <v>220.49279999999999</v>
      </c>
      <c r="Y1442" s="1250"/>
      <c r="Z1442" s="1250"/>
      <c r="AA1442" s="1250"/>
      <c r="AB1442" s="1250"/>
      <c r="AC1442" s="1250"/>
      <c r="AD1442" s="1250"/>
      <c r="AE1442" s="1249">
        <v>1</v>
      </c>
      <c r="AF1442" s="1250">
        <v>220.49279999999999</v>
      </c>
      <c r="AG1442" s="111"/>
      <c r="AH1442" s="111"/>
      <c r="AI1442" s="111"/>
      <c r="AJ1442" s="111"/>
      <c r="AK1442" s="111"/>
      <c r="AL1442" s="111"/>
      <c r="AM1442" s="111">
        <v>661.47839999999997</v>
      </c>
    </row>
    <row r="1443" spans="1:39" ht="15" customHeight="1" x14ac:dyDescent="0.25">
      <c r="A1443" s="1409"/>
      <c r="B1443" s="1409"/>
      <c r="C1443" s="1409"/>
      <c r="D1443" s="1409"/>
      <c r="E1443" s="1247"/>
      <c r="F1443" s="1248" t="s">
        <v>5143</v>
      </c>
      <c r="G1443" s="111"/>
      <c r="H1443" s="1249">
        <v>4</v>
      </c>
      <c r="I1443" s="111" t="s">
        <v>1721</v>
      </c>
      <c r="J1443" s="1321" t="s">
        <v>5608</v>
      </c>
      <c r="K1443" s="162" t="s">
        <v>5610</v>
      </c>
      <c r="L1443" s="162" t="s">
        <v>5609</v>
      </c>
      <c r="M1443" s="111">
        <v>165.36959999999999</v>
      </c>
      <c r="N1443" s="111">
        <v>661.47839999999997</v>
      </c>
      <c r="O1443" s="111"/>
      <c r="P1443" s="111"/>
      <c r="Q1443" s="111"/>
      <c r="R1443" s="111"/>
      <c r="S1443" s="1249">
        <v>2</v>
      </c>
      <c r="T1443" s="1250">
        <v>220.49279999999999</v>
      </c>
      <c r="U1443" s="1250"/>
      <c r="V1443" s="1250"/>
      <c r="W1443" s="1251">
        <v>1</v>
      </c>
      <c r="X1443" s="1250">
        <v>220.49279999999999</v>
      </c>
      <c r="Y1443" s="1250"/>
      <c r="Z1443" s="1250"/>
      <c r="AA1443" s="1250"/>
      <c r="AB1443" s="1250"/>
      <c r="AC1443" s="1250"/>
      <c r="AD1443" s="1250"/>
      <c r="AE1443" s="1249">
        <v>1</v>
      </c>
      <c r="AF1443" s="1250">
        <v>220.49279999999999</v>
      </c>
      <c r="AG1443" s="111"/>
      <c r="AH1443" s="111"/>
      <c r="AI1443" s="111"/>
      <c r="AJ1443" s="111"/>
      <c r="AK1443" s="111"/>
      <c r="AL1443" s="111"/>
      <c r="AM1443" s="111">
        <v>661.47839999999997</v>
      </c>
    </row>
    <row r="1444" spans="1:39" ht="15" customHeight="1" x14ac:dyDescent="0.25">
      <c r="A1444" s="1409"/>
      <c r="B1444" s="1409"/>
      <c r="C1444" s="1409"/>
      <c r="D1444" s="1409"/>
      <c r="E1444" s="1247"/>
      <c r="F1444" s="1248" t="s">
        <v>5144</v>
      </c>
      <c r="G1444" s="111"/>
      <c r="H1444" s="1249">
        <v>3</v>
      </c>
      <c r="I1444" s="111" t="s">
        <v>1736</v>
      </c>
      <c r="J1444" s="1321" t="s">
        <v>5608</v>
      </c>
      <c r="K1444" s="162" t="s">
        <v>5610</v>
      </c>
      <c r="L1444" s="162" t="s">
        <v>5609</v>
      </c>
      <c r="M1444" s="111">
        <v>158.68</v>
      </c>
      <c r="N1444" s="111">
        <v>476.04</v>
      </c>
      <c r="O1444" s="111"/>
      <c r="P1444" s="111"/>
      <c r="Q1444" s="111"/>
      <c r="R1444" s="111"/>
      <c r="S1444" s="1249">
        <v>1</v>
      </c>
      <c r="T1444" s="1250">
        <v>158.68</v>
      </c>
      <c r="U1444" s="1250"/>
      <c r="V1444" s="1250"/>
      <c r="W1444" s="1251">
        <v>1</v>
      </c>
      <c r="X1444" s="1250">
        <v>158.68</v>
      </c>
      <c r="Y1444" s="1250"/>
      <c r="Z1444" s="1250"/>
      <c r="AA1444" s="1250"/>
      <c r="AB1444" s="1250"/>
      <c r="AC1444" s="1250"/>
      <c r="AD1444" s="1250"/>
      <c r="AE1444" s="1249">
        <v>1</v>
      </c>
      <c r="AF1444" s="1250">
        <v>158.68</v>
      </c>
      <c r="AG1444" s="111"/>
      <c r="AH1444" s="111"/>
      <c r="AI1444" s="111"/>
      <c r="AJ1444" s="111"/>
      <c r="AK1444" s="111"/>
      <c r="AL1444" s="111"/>
      <c r="AM1444" s="111">
        <v>476.04</v>
      </c>
    </row>
    <row r="1445" spans="1:39" ht="15" customHeight="1" x14ac:dyDescent="0.25">
      <c r="A1445" s="1409"/>
      <c r="B1445" s="1409"/>
      <c r="C1445" s="1409"/>
      <c r="D1445" s="1409"/>
      <c r="E1445" s="1247"/>
      <c r="F1445" s="1248" t="s">
        <v>1274</v>
      </c>
      <c r="G1445" s="111"/>
      <c r="H1445" s="1249">
        <v>30</v>
      </c>
      <c r="I1445" s="111" t="s">
        <v>1736</v>
      </c>
      <c r="J1445" s="1321" t="s">
        <v>5608</v>
      </c>
      <c r="K1445" s="162" t="s">
        <v>5610</v>
      </c>
      <c r="L1445" s="162" t="s">
        <v>5609</v>
      </c>
      <c r="M1445" s="111">
        <v>496.10880000000009</v>
      </c>
      <c r="N1445" s="111">
        <v>14883.264000000003</v>
      </c>
      <c r="O1445" s="111"/>
      <c r="P1445" s="111"/>
      <c r="Q1445" s="111"/>
      <c r="R1445" s="111"/>
      <c r="S1445" s="1249">
        <v>10</v>
      </c>
      <c r="T1445" s="1250">
        <v>4961.0880000000006</v>
      </c>
      <c r="U1445" s="1250"/>
      <c r="V1445" s="1250"/>
      <c r="W1445" s="1251">
        <v>10</v>
      </c>
      <c r="X1445" s="1250">
        <v>4961.0880000000006</v>
      </c>
      <c r="Y1445" s="1250"/>
      <c r="Z1445" s="1250"/>
      <c r="AA1445" s="1250"/>
      <c r="AB1445" s="1250"/>
      <c r="AC1445" s="1250"/>
      <c r="AD1445" s="1250"/>
      <c r="AE1445" s="1249">
        <v>10</v>
      </c>
      <c r="AF1445" s="1250">
        <v>4961.0880000000006</v>
      </c>
      <c r="AG1445" s="111"/>
      <c r="AH1445" s="111"/>
      <c r="AI1445" s="111"/>
      <c r="AJ1445" s="111"/>
      <c r="AK1445" s="111"/>
      <c r="AL1445" s="111"/>
      <c r="AM1445" s="111">
        <v>14883.264000000003</v>
      </c>
    </row>
    <row r="1446" spans="1:39" ht="15" customHeight="1" x14ac:dyDescent="0.25">
      <c r="A1446" s="1409"/>
      <c r="B1446" s="1409"/>
      <c r="C1446" s="1409"/>
      <c r="D1446" s="1409"/>
      <c r="E1446" s="1247"/>
      <c r="F1446" s="1248" t="s">
        <v>609</v>
      </c>
      <c r="G1446" s="111"/>
      <c r="H1446" s="1249">
        <v>40</v>
      </c>
      <c r="I1446" s="111" t="s">
        <v>1736</v>
      </c>
      <c r="J1446" s="1321" t="s">
        <v>5608</v>
      </c>
      <c r="K1446" s="162" t="s">
        <v>5610</v>
      </c>
      <c r="L1446" s="162" t="s">
        <v>5609</v>
      </c>
      <c r="M1446" s="111">
        <v>365.19119999999998</v>
      </c>
      <c r="N1446" s="111">
        <v>14607.647999999999</v>
      </c>
      <c r="O1446" s="111"/>
      <c r="P1446" s="111"/>
      <c r="Q1446" s="111"/>
      <c r="R1446" s="111"/>
      <c r="S1446" s="1249">
        <v>15</v>
      </c>
      <c r="T1446" s="1250">
        <v>4869.2159999999994</v>
      </c>
      <c r="U1446" s="1250"/>
      <c r="V1446" s="1250"/>
      <c r="W1446" s="1251">
        <v>15</v>
      </c>
      <c r="X1446" s="1250">
        <v>4869.2159999999994</v>
      </c>
      <c r="Y1446" s="1250"/>
      <c r="Z1446" s="1250"/>
      <c r="AA1446" s="1250"/>
      <c r="AB1446" s="1250"/>
      <c r="AC1446" s="1250"/>
      <c r="AD1446" s="1250"/>
      <c r="AE1446" s="1249">
        <v>10</v>
      </c>
      <c r="AF1446" s="1250">
        <v>4869.2159999999994</v>
      </c>
      <c r="AG1446" s="111"/>
      <c r="AH1446" s="111"/>
      <c r="AI1446" s="111"/>
      <c r="AJ1446" s="111"/>
      <c r="AK1446" s="111"/>
      <c r="AL1446" s="111"/>
      <c r="AM1446" s="111">
        <v>14607.647999999999</v>
      </c>
    </row>
    <row r="1447" spans="1:39" ht="15" customHeight="1" x14ac:dyDescent="0.25">
      <c r="A1447" s="1409"/>
      <c r="B1447" s="1409"/>
      <c r="C1447" s="1409"/>
      <c r="D1447" s="1409"/>
      <c r="E1447" s="1247"/>
      <c r="F1447" s="1248" t="s">
        <v>5145</v>
      </c>
      <c r="G1447" s="111"/>
      <c r="H1447" s="1249">
        <v>3</v>
      </c>
      <c r="I1447" s="111" t="s">
        <v>4044</v>
      </c>
      <c r="J1447" s="1321" t="s">
        <v>5608</v>
      </c>
      <c r="K1447" s="162" t="s">
        <v>5610</v>
      </c>
      <c r="L1447" s="162" t="s">
        <v>5609</v>
      </c>
      <c r="M1447" s="111">
        <v>1722.5999999999997</v>
      </c>
      <c r="N1447" s="111">
        <v>5167.7999999999993</v>
      </c>
      <c r="O1447" s="111"/>
      <c r="P1447" s="111"/>
      <c r="Q1447" s="111"/>
      <c r="R1447" s="111"/>
      <c r="S1447" s="1249">
        <v>1</v>
      </c>
      <c r="T1447" s="1250">
        <v>1722.5999999999997</v>
      </c>
      <c r="U1447" s="1250"/>
      <c r="V1447" s="1250"/>
      <c r="W1447" s="1251">
        <v>1</v>
      </c>
      <c r="X1447" s="1250">
        <v>1722.5999999999997</v>
      </c>
      <c r="Y1447" s="1250"/>
      <c r="Z1447" s="1250"/>
      <c r="AA1447" s="1250"/>
      <c r="AB1447" s="1250"/>
      <c r="AC1447" s="1250"/>
      <c r="AD1447" s="1250"/>
      <c r="AE1447" s="1249">
        <v>1</v>
      </c>
      <c r="AF1447" s="1250">
        <v>1722.5999999999997</v>
      </c>
      <c r="AG1447" s="111"/>
      <c r="AH1447" s="111"/>
      <c r="AI1447" s="111"/>
      <c r="AJ1447" s="111"/>
      <c r="AK1447" s="111"/>
      <c r="AL1447" s="111"/>
      <c r="AM1447" s="111">
        <v>5167.7999999999993</v>
      </c>
    </row>
    <row r="1448" spans="1:39" ht="15" customHeight="1" x14ac:dyDescent="0.25">
      <c r="A1448" s="1409"/>
      <c r="B1448" s="1409"/>
      <c r="C1448" s="1409"/>
      <c r="D1448" s="1409"/>
      <c r="E1448" s="1247"/>
      <c r="F1448" s="1248" t="s">
        <v>610</v>
      </c>
      <c r="G1448" s="111"/>
      <c r="H1448" s="1249">
        <v>24</v>
      </c>
      <c r="I1448" s="111" t="s">
        <v>4044</v>
      </c>
      <c r="J1448" s="1321" t="s">
        <v>5608</v>
      </c>
      <c r="K1448" s="162" t="s">
        <v>5610</v>
      </c>
      <c r="L1448" s="162" t="s">
        <v>5609</v>
      </c>
      <c r="M1448" s="111">
        <v>1713.3087500000001</v>
      </c>
      <c r="N1448" s="111">
        <v>41119.410000000003</v>
      </c>
      <c r="O1448" s="111"/>
      <c r="P1448" s="111"/>
      <c r="Q1448" s="111"/>
      <c r="R1448" s="111"/>
      <c r="S1448" s="1249">
        <v>14</v>
      </c>
      <c r="T1448" s="1250">
        <v>13706.470000000001</v>
      </c>
      <c r="U1448" s="1250"/>
      <c r="V1448" s="1250"/>
      <c r="W1448" s="1251">
        <v>5</v>
      </c>
      <c r="X1448" s="1250">
        <v>13706.470000000001</v>
      </c>
      <c r="Y1448" s="1250"/>
      <c r="Z1448" s="1250"/>
      <c r="AA1448" s="1250"/>
      <c r="AB1448" s="1250"/>
      <c r="AC1448" s="1250"/>
      <c r="AD1448" s="1250"/>
      <c r="AE1448" s="1249">
        <v>5</v>
      </c>
      <c r="AF1448" s="1250">
        <v>13706.470000000001</v>
      </c>
      <c r="AG1448" s="111"/>
      <c r="AH1448" s="111"/>
      <c r="AI1448" s="111"/>
      <c r="AJ1448" s="111"/>
      <c r="AK1448" s="111"/>
      <c r="AL1448" s="111"/>
      <c r="AM1448" s="111">
        <v>41119.410000000003</v>
      </c>
    </row>
    <row r="1449" spans="1:39" ht="15" customHeight="1" x14ac:dyDescent="0.25">
      <c r="A1449" s="1409"/>
      <c r="B1449" s="1409"/>
      <c r="C1449" s="1409"/>
      <c r="D1449" s="1409"/>
      <c r="E1449" s="1247"/>
      <c r="F1449" s="1248" t="s">
        <v>1279</v>
      </c>
      <c r="G1449" s="111"/>
      <c r="H1449" s="1249">
        <v>10</v>
      </c>
      <c r="I1449" s="111" t="s">
        <v>1827</v>
      </c>
      <c r="J1449" s="1321" t="s">
        <v>5608</v>
      </c>
      <c r="K1449" s="162" t="s">
        <v>5610</v>
      </c>
      <c r="L1449" s="162" t="s">
        <v>5609</v>
      </c>
      <c r="M1449" s="111">
        <v>358.30079999999998</v>
      </c>
      <c r="N1449" s="111">
        <v>3583.0079999999998</v>
      </c>
      <c r="O1449" s="111"/>
      <c r="P1449" s="111"/>
      <c r="Q1449" s="111"/>
      <c r="R1449" s="111"/>
      <c r="S1449" s="1249">
        <v>5</v>
      </c>
      <c r="T1449" s="1250">
        <v>1194.336</v>
      </c>
      <c r="U1449" s="1250"/>
      <c r="V1449" s="1250"/>
      <c r="W1449" s="1251">
        <v>5</v>
      </c>
      <c r="X1449" s="1250">
        <v>1194.336</v>
      </c>
      <c r="Y1449" s="1250"/>
      <c r="Z1449" s="1250"/>
      <c r="AA1449" s="1250"/>
      <c r="AB1449" s="1250"/>
      <c r="AC1449" s="1250"/>
      <c r="AD1449" s="1250"/>
      <c r="AE1449" s="1249">
        <v>0</v>
      </c>
      <c r="AF1449" s="1250">
        <v>1194.336</v>
      </c>
      <c r="AG1449" s="111"/>
      <c r="AH1449" s="111"/>
      <c r="AI1449" s="111"/>
      <c r="AJ1449" s="111"/>
      <c r="AK1449" s="111"/>
      <c r="AL1449" s="111"/>
      <c r="AM1449" s="111">
        <v>3583.0079999999998</v>
      </c>
    </row>
    <row r="1450" spans="1:39" ht="15" customHeight="1" x14ac:dyDescent="0.25">
      <c r="A1450" s="1409"/>
      <c r="B1450" s="1409"/>
      <c r="C1450" s="1409"/>
      <c r="D1450" s="1409"/>
      <c r="E1450" s="1247"/>
      <c r="F1450" s="1248" t="s">
        <v>1269</v>
      </c>
      <c r="G1450" s="111"/>
      <c r="H1450" s="1249">
        <v>6</v>
      </c>
      <c r="I1450" s="111" t="s">
        <v>1736</v>
      </c>
      <c r="J1450" s="1321" t="s">
        <v>5608</v>
      </c>
      <c r="K1450" s="162" t="s">
        <v>5610</v>
      </c>
      <c r="L1450" s="162" t="s">
        <v>5609</v>
      </c>
      <c r="M1450" s="111">
        <v>234.27360000000007</v>
      </c>
      <c r="N1450" s="111">
        <v>1405.6416000000004</v>
      </c>
      <c r="O1450" s="111"/>
      <c r="P1450" s="111"/>
      <c r="Q1450" s="111"/>
      <c r="R1450" s="111"/>
      <c r="S1450" s="1249">
        <v>2</v>
      </c>
      <c r="T1450" s="1250">
        <v>468.54720000000015</v>
      </c>
      <c r="U1450" s="1250"/>
      <c r="V1450" s="1250"/>
      <c r="W1450" s="1251">
        <v>2</v>
      </c>
      <c r="X1450" s="1250">
        <v>468.54720000000015</v>
      </c>
      <c r="Y1450" s="1250"/>
      <c r="Z1450" s="1250"/>
      <c r="AA1450" s="1250"/>
      <c r="AB1450" s="1250"/>
      <c r="AC1450" s="1250"/>
      <c r="AD1450" s="1250"/>
      <c r="AE1450" s="1249">
        <v>2</v>
      </c>
      <c r="AF1450" s="1250">
        <v>468.54720000000015</v>
      </c>
      <c r="AG1450" s="111"/>
      <c r="AH1450" s="111"/>
      <c r="AI1450" s="111"/>
      <c r="AJ1450" s="111"/>
      <c r="AK1450" s="111"/>
      <c r="AL1450" s="111"/>
      <c r="AM1450" s="111">
        <v>1405.6416000000004</v>
      </c>
    </row>
    <row r="1451" spans="1:39" ht="15" customHeight="1" x14ac:dyDescent="0.25">
      <c r="A1451" s="1409"/>
      <c r="B1451" s="1409"/>
      <c r="C1451" s="1409"/>
      <c r="D1451" s="1409"/>
      <c r="E1451" s="1247"/>
      <c r="F1451" s="1248" t="s">
        <v>1281</v>
      </c>
      <c r="G1451" s="111"/>
      <c r="H1451" s="1249">
        <v>6</v>
      </c>
      <c r="I1451" s="111" t="s">
        <v>1721</v>
      </c>
      <c r="J1451" s="1321" t="s">
        <v>5608</v>
      </c>
      <c r="K1451" s="162" t="s">
        <v>5610</v>
      </c>
      <c r="L1451" s="162" t="s">
        <v>5609</v>
      </c>
      <c r="M1451" s="111">
        <v>303.17760000000004</v>
      </c>
      <c r="N1451" s="111">
        <v>1819.0656000000004</v>
      </c>
      <c r="O1451" s="111"/>
      <c r="P1451" s="111"/>
      <c r="Q1451" s="111"/>
      <c r="R1451" s="111"/>
      <c r="S1451" s="1249">
        <v>2</v>
      </c>
      <c r="T1451" s="1250">
        <v>606.35520000000008</v>
      </c>
      <c r="U1451" s="1250"/>
      <c r="V1451" s="1250"/>
      <c r="W1451" s="1251">
        <v>2</v>
      </c>
      <c r="X1451" s="1250">
        <v>606.35520000000008</v>
      </c>
      <c r="Y1451" s="1250"/>
      <c r="Z1451" s="1250"/>
      <c r="AA1451" s="1250"/>
      <c r="AB1451" s="1250"/>
      <c r="AC1451" s="1250"/>
      <c r="AD1451" s="1250"/>
      <c r="AE1451" s="1249">
        <v>2</v>
      </c>
      <c r="AF1451" s="1250">
        <v>606.35520000000008</v>
      </c>
      <c r="AG1451" s="111"/>
      <c r="AH1451" s="111"/>
      <c r="AI1451" s="111"/>
      <c r="AJ1451" s="111"/>
      <c r="AK1451" s="111"/>
      <c r="AL1451" s="111"/>
      <c r="AM1451" s="111">
        <v>1819.0656000000004</v>
      </c>
    </row>
    <row r="1452" spans="1:39" ht="15" customHeight="1" x14ac:dyDescent="0.25">
      <c r="A1452" s="1409"/>
      <c r="B1452" s="1409"/>
      <c r="C1452" s="1409"/>
      <c r="D1452" s="1409"/>
      <c r="E1452" s="1247"/>
      <c r="F1452" s="1248" t="s">
        <v>611</v>
      </c>
      <c r="G1452" s="111"/>
      <c r="H1452" s="1249">
        <v>7</v>
      </c>
      <c r="I1452" s="111" t="s">
        <v>1721</v>
      </c>
      <c r="J1452" s="1321" t="s">
        <v>5608</v>
      </c>
      <c r="K1452" s="162" t="s">
        <v>5610</v>
      </c>
      <c r="L1452" s="162" t="s">
        <v>5609</v>
      </c>
      <c r="M1452" s="111">
        <v>232.23702857142865</v>
      </c>
      <c r="N1452" s="111">
        <v>1625.6592000000005</v>
      </c>
      <c r="O1452" s="111"/>
      <c r="P1452" s="111"/>
      <c r="Q1452" s="111"/>
      <c r="R1452" s="111"/>
      <c r="S1452" s="1249">
        <v>3</v>
      </c>
      <c r="T1452" s="1250">
        <v>541.88640000000021</v>
      </c>
      <c r="U1452" s="1250"/>
      <c r="V1452" s="1250"/>
      <c r="W1452" s="1251">
        <v>2</v>
      </c>
      <c r="X1452" s="1250">
        <v>541.88640000000021</v>
      </c>
      <c r="Y1452" s="1250"/>
      <c r="Z1452" s="1250"/>
      <c r="AA1452" s="1250"/>
      <c r="AB1452" s="1250"/>
      <c r="AC1452" s="1250"/>
      <c r="AD1452" s="1250"/>
      <c r="AE1452" s="1249">
        <v>2</v>
      </c>
      <c r="AF1452" s="1250">
        <v>541.88640000000021</v>
      </c>
      <c r="AG1452" s="111"/>
      <c r="AH1452" s="111"/>
      <c r="AI1452" s="111"/>
      <c r="AJ1452" s="111"/>
      <c r="AK1452" s="111"/>
      <c r="AL1452" s="111"/>
      <c r="AM1452" s="111">
        <v>1625.6592000000005</v>
      </c>
    </row>
    <row r="1453" spans="1:39" ht="15" customHeight="1" x14ac:dyDescent="0.25">
      <c r="A1453" s="1409"/>
      <c r="B1453" s="1409"/>
      <c r="C1453" s="1409"/>
      <c r="D1453" s="1409"/>
      <c r="E1453" s="1247"/>
      <c r="F1453" s="1248" t="s">
        <v>5146</v>
      </c>
      <c r="G1453" s="111"/>
      <c r="H1453" s="1249">
        <v>2</v>
      </c>
      <c r="I1453" s="111" t="s">
        <v>1736</v>
      </c>
      <c r="J1453" s="1321" t="s">
        <v>5608</v>
      </c>
      <c r="K1453" s="162" t="s">
        <v>5610</v>
      </c>
      <c r="L1453" s="162" t="s">
        <v>5609</v>
      </c>
      <c r="M1453" s="111">
        <v>350</v>
      </c>
      <c r="N1453" s="111">
        <v>700</v>
      </c>
      <c r="O1453" s="111"/>
      <c r="P1453" s="111"/>
      <c r="Q1453" s="111"/>
      <c r="R1453" s="111"/>
      <c r="S1453" s="1249">
        <v>2</v>
      </c>
      <c r="T1453" s="1250">
        <v>233.33333333333334</v>
      </c>
      <c r="U1453" s="1250"/>
      <c r="V1453" s="1250"/>
      <c r="W1453" s="1251">
        <v>0</v>
      </c>
      <c r="X1453" s="1250">
        <v>233.33333333333334</v>
      </c>
      <c r="Y1453" s="1250"/>
      <c r="Z1453" s="1250"/>
      <c r="AA1453" s="1250"/>
      <c r="AB1453" s="1250"/>
      <c r="AC1453" s="1250"/>
      <c r="AD1453" s="1250"/>
      <c r="AE1453" s="1249">
        <v>0</v>
      </c>
      <c r="AF1453" s="1250">
        <v>233.33333333333334</v>
      </c>
      <c r="AG1453" s="111"/>
      <c r="AH1453" s="111"/>
      <c r="AI1453" s="111"/>
      <c r="AJ1453" s="111"/>
      <c r="AK1453" s="111"/>
      <c r="AL1453" s="111"/>
      <c r="AM1453" s="111">
        <v>700</v>
      </c>
    </row>
    <row r="1454" spans="1:39" ht="15" customHeight="1" x14ac:dyDescent="0.25">
      <c r="A1454" s="1409"/>
      <c r="B1454" s="1409"/>
      <c r="C1454" s="1409"/>
      <c r="D1454" s="1409"/>
      <c r="E1454" s="1247"/>
      <c r="F1454" s="1248" t="s">
        <v>5147</v>
      </c>
      <c r="G1454" s="111"/>
      <c r="H1454" s="1249">
        <v>2</v>
      </c>
      <c r="I1454" s="111" t="s">
        <v>1736</v>
      </c>
      <c r="J1454" s="1321" t="s">
        <v>5608</v>
      </c>
      <c r="K1454" s="162" t="s">
        <v>5610</v>
      </c>
      <c r="L1454" s="162" t="s">
        <v>5609</v>
      </c>
      <c r="M1454" s="111">
        <v>350</v>
      </c>
      <c r="N1454" s="111">
        <v>700</v>
      </c>
      <c r="O1454" s="111"/>
      <c r="P1454" s="111"/>
      <c r="Q1454" s="111"/>
      <c r="R1454" s="111"/>
      <c r="S1454" s="1249">
        <v>2</v>
      </c>
      <c r="T1454" s="1250">
        <v>233.33333333333334</v>
      </c>
      <c r="U1454" s="1250"/>
      <c r="V1454" s="1250"/>
      <c r="W1454" s="1251">
        <v>0</v>
      </c>
      <c r="X1454" s="1250">
        <v>233.33333333333334</v>
      </c>
      <c r="Y1454" s="1250"/>
      <c r="Z1454" s="1250"/>
      <c r="AA1454" s="1250"/>
      <c r="AB1454" s="1250"/>
      <c r="AC1454" s="1250"/>
      <c r="AD1454" s="1250"/>
      <c r="AE1454" s="1249">
        <v>0</v>
      </c>
      <c r="AF1454" s="1250">
        <v>233.33333333333334</v>
      </c>
      <c r="AG1454" s="111"/>
      <c r="AH1454" s="111"/>
      <c r="AI1454" s="111"/>
      <c r="AJ1454" s="111"/>
      <c r="AK1454" s="111"/>
      <c r="AL1454" s="111"/>
      <c r="AM1454" s="111">
        <v>700</v>
      </c>
    </row>
    <row r="1455" spans="1:39" ht="15" customHeight="1" x14ac:dyDescent="0.25">
      <c r="A1455" s="1409"/>
      <c r="B1455" s="1409"/>
      <c r="C1455" s="1409"/>
      <c r="D1455" s="1409"/>
      <c r="E1455" s="1247"/>
      <c r="F1455" s="1248" t="s">
        <v>5148</v>
      </c>
      <c r="G1455" s="111"/>
      <c r="H1455" s="1249">
        <v>1</v>
      </c>
      <c r="I1455" s="111" t="s">
        <v>4044</v>
      </c>
      <c r="J1455" s="1321" t="s">
        <v>5608</v>
      </c>
      <c r="K1455" s="162" t="s">
        <v>5610</v>
      </c>
      <c r="L1455" s="162" t="s">
        <v>5609</v>
      </c>
      <c r="M1455" s="111">
        <v>2215</v>
      </c>
      <c r="N1455" s="111">
        <v>2215</v>
      </c>
      <c r="O1455" s="111"/>
      <c r="P1455" s="111"/>
      <c r="Q1455" s="111"/>
      <c r="R1455" s="111"/>
      <c r="S1455" s="1249">
        <v>1</v>
      </c>
      <c r="T1455" s="1250">
        <v>738.33333333333337</v>
      </c>
      <c r="U1455" s="1250"/>
      <c r="V1455" s="1250"/>
      <c r="W1455" s="1251">
        <v>0</v>
      </c>
      <c r="X1455" s="1250">
        <v>738.33333333333337</v>
      </c>
      <c r="Y1455" s="1250"/>
      <c r="Z1455" s="1250"/>
      <c r="AA1455" s="1250"/>
      <c r="AB1455" s="1250"/>
      <c r="AC1455" s="1250"/>
      <c r="AD1455" s="1250"/>
      <c r="AE1455" s="1249">
        <v>0</v>
      </c>
      <c r="AF1455" s="1250">
        <v>738.33333333333337</v>
      </c>
      <c r="AG1455" s="111"/>
      <c r="AH1455" s="111"/>
      <c r="AI1455" s="111"/>
      <c r="AJ1455" s="111"/>
      <c r="AK1455" s="111"/>
      <c r="AL1455" s="111"/>
      <c r="AM1455" s="111">
        <v>2215</v>
      </c>
    </row>
    <row r="1456" spans="1:39" ht="15" customHeight="1" x14ac:dyDescent="0.25">
      <c r="A1456" s="1409"/>
      <c r="B1456" s="1409"/>
      <c r="C1456" s="1409"/>
      <c r="D1456" s="1409"/>
      <c r="E1456" s="1247"/>
      <c r="F1456" s="1248" t="s">
        <v>5149</v>
      </c>
      <c r="G1456" s="111"/>
      <c r="H1456" s="1249">
        <v>43</v>
      </c>
      <c r="I1456" s="111" t="s">
        <v>4044</v>
      </c>
      <c r="J1456" s="1321" t="s">
        <v>5608</v>
      </c>
      <c r="K1456" s="162" t="s">
        <v>5610</v>
      </c>
      <c r="L1456" s="162" t="s">
        <v>5609</v>
      </c>
      <c r="M1456" s="111">
        <v>1627.2372093023255</v>
      </c>
      <c r="N1456" s="111">
        <v>69971.199999999997</v>
      </c>
      <c r="O1456" s="111"/>
      <c r="P1456" s="111"/>
      <c r="Q1456" s="111"/>
      <c r="R1456" s="111"/>
      <c r="S1456" s="1249">
        <v>20</v>
      </c>
      <c r="T1456" s="1250">
        <v>23323.733333333334</v>
      </c>
      <c r="U1456" s="1250"/>
      <c r="V1456" s="1250"/>
      <c r="W1456" s="1251">
        <v>13</v>
      </c>
      <c r="X1456" s="1250">
        <v>23323.733333333334</v>
      </c>
      <c r="Y1456" s="1250"/>
      <c r="Z1456" s="1250"/>
      <c r="AA1456" s="1250"/>
      <c r="AB1456" s="1250"/>
      <c r="AC1456" s="1250"/>
      <c r="AD1456" s="1250"/>
      <c r="AE1456" s="1249">
        <v>10</v>
      </c>
      <c r="AF1456" s="1250">
        <v>23323.733333333334</v>
      </c>
      <c r="AG1456" s="111"/>
      <c r="AH1456" s="111"/>
      <c r="AI1456" s="111"/>
      <c r="AJ1456" s="111"/>
      <c r="AK1456" s="111"/>
      <c r="AL1456" s="111"/>
      <c r="AM1456" s="111">
        <v>69971.199999999997</v>
      </c>
    </row>
    <row r="1457" spans="1:39" ht="15" customHeight="1" x14ac:dyDescent="0.25">
      <c r="A1457" s="1409"/>
      <c r="B1457" s="1409"/>
      <c r="C1457" s="1409"/>
      <c r="D1457" s="1409"/>
      <c r="E1457" s="1247"/>
      <c r="F1457" s="1248" t="s">
        <v>5150</v>
      </c>
      <c r="G1457" s="111"/>
      <c r="H1457" s="1249">
        <v>12</v>
      </c>
      <c r="I1457" s="111" t="s">
        <v>4044</v>
      </c>
      <c r="J1457" s="1321" t="s">
        <v>5608</v>
      </c>
      <c r="K1457" s="162" t="s">
        <v>5610</v>
      </c>
      <c r="L1457" s="162" t="s">
        <v>5609</v>
      </c>
      <c r="M1457" s="111">
        <v>1722.5999999999997</v>
      </c>
      <c r="N1457" s="111">
        <v>20671.199999999997</v>
      </c>
      <c r="O1457" s="111"/>
      <c r="P1457" s="111"/>
      <c r="Q1457" s="111"/>
      <c r="R1457" s="111"/>
      <c r="S1457" s="1249">
        <v>5</v>
      </c>
      <c r="T1457" s="1250">
        <v>6890.3999999999987</v>
      </c>
      <c r="U1457" s="1250"/>
      <c r="V1457" s="1250"/>
      <c r="W1457" s="1251">
        <v>5</v>
      </c>
      <c r="X1457" s="1250">
        <v>6890.3999999999987</v>
      </c>
      <c r="Y1457" s="1250"/>
      <c r="Z1457" s="1250"/>
      <c r="AA1457" s="1250"/>
      <c r="AB1457" s="1250"/>
      <c r="AC1457" s="1250"/>
      <c r="AD1457" s="1250"/>
      <c r="AE1457" s="1249">
        <v>2</v>
      </c>
      <c r="AF1457" s="1250">
        <v>6890.3999999999987</v>
      </c>
      <c r="AG1457" s="111"/>
      <c r="AH1457" s="111"/>
      <c r="AI1457" s="111"/>
      <c r="AJ1457" s="111"/>
      <c r="AK1457" s="111"/>
      <c r="AL1457" s="111"/>
      <c r="AM1457" s="111">
        <v>20671.199999999997</v>
      </c>
    </row>
    <row r="1458" spans="1:39" ht="15" customHeight="1" x14ac:dyDescent="0.25">
      <c r="A1458" s="1409"/>
      <c r="B1458" s="1409"/>
      <c r="C1458" s="1409"/>
      <c r="D1458" s="1409"/>
      <c r="E1458" s="1247"/>
      <c r="F1458" s="1248" t="s">
        <v>5151</v>
      </c>
      <c r="G1458" s="111"/>
      <c r="H1458" s="1249">
        <v>10</v>
      </c>
      <c r="I1458" s="111" t="s">
        <v>4044</v>
      </c>
      <c r="J1458" s="1321" t="s">
        <v>5608</v>
      </c>
      <c r="K1458" s="162" t="s">
        <v>5610</v>
      </c>
      <c r="L1458" s="162" t="s">
        <v>5609</v>
      </c>
      <c r="M1458" s="111">
        <v>400</v>
      </c>
      <c r="N1458" s="111">
        <v>4000</v>
      </c>
      <c r="O1458" s="111"/>
      <c r="P1458" s="111"/>
      <c r="Q1458" s="111"/>
      <c r="R1458" s="111"/>
      <c r="S1458" s="1249">
        <v>5</v>
      </c>
      <c r="T1458" s="1250">
        <v>1333.3333333333333</v>
      </c>
      <c r="U1458" s="1250"/>
      <c r="V1458" s="1250"/>
      <c r="W1458" s="1251">
        <v>5</v>
      </c>
      <c r="X1458" s="1250">
        <v>1333.3333333333333</v>
      </c>
      <c r="Y1458" s="1250"/>
      <c r="Z1458" s="1250"/>
      <c r="AA1458" s="1250"/>
      <c r="AB1458" s="1250"/>
      <c r="AC1458" s="1250"/>
      <c r="AD1458" s="1250"/>
      <c r="AE1458" s="1249">
        <v>0</v>
      </c>
      <c r="AF1458" s="1250">
        <v>1333.3333333333333</v>
      </c>
      <c r="AG1458" s="111"/>
      <c r="AH1458" s="111"/>
      <c r="AI1458" s="111"/>
      <c r="AJ1458" s="111"/>
      <c r="AK1458" s="111"/>
      <c r="AL1458" s="111"/>
      <c r="AM1458" s="111">
        <v>4000</v>
      </c>
    </row>
    <row r="1459" spans="1:39" ht="15" customHeight="1" x14ac:dyDescent="0.25">
      <c r="A1459" s="1409"/>
      <c r="B1459" s="1409"/>
      <c r="C1459" s="1409"/>
      <c r="D1459" s="1409"/>
      <c r="E1459" s="1247"/>
      <c r="F1459" s="1248" t="s">
        <v>613</v>
      </c>
      <c r="G1459" s="111"/>
      <c r="H1459" s="1249">
        <v>18</v>
      </c>
      <c r="I1459" s="111" t="s">
        <v>4044</v>
      </c>
      <c r="J1459" s="1321" t="s">
        <v>5608</v>
      </c>
      <c r="K1459" s="162" t="s">
        <v>5610</v>
      </c>
      <c r="L1459" s="162" t="s">
        <v>5609</v>
      </c>
      <c r="M1459" s="111">
        <v>2059.3155555555559</v>
      </c>
      <c r="N1459" s="111">
        <v>37067.680000000008</v>
      </c>
      <c r="O1459" s="111"/>
      <c r="P1459" s="111"/>
      <c r="Q1459" s="111"/>
      <c r="R1459" s="111"/>
      <c r="S1459" s="1249">
        <v>8</v>
      </c>
      <c r="T1459" s="1250">
        <v>12355.893333333335</v>
      </c>
      <c r="U1459" s="1250"/>
      <c r="V1459" s="1250"/>
      <c r="W1459" s="1251">
        <v>5</v>
      </c>
      <c r="X1459" s="1250">
        <v>12355.893333333335</v>
      </c>
      <c r="Y1459" s="1250"/>
      <c r="Z1459" s="1250"/>
      <c r="AA1459" s="1250"/>
      <c r="AB1459" s="1250"/>
      <c r="AC1459" s="1250"/>
      <c r="AD1459" s="1250"/>
      <c r="AE1459" s="1249">
        <v>5</v>
      </c>
      <c r="AF1459" s="1250">
        <v>12355.893333333335</v>
      </c>
      <c r="AG1459" s="111"/>
      <c r="AH1459" s="111"/>
      <c r="AI1459" s="111"/>
      <c r="AJ1459" s="111"/>
      <c r="AK1459" s="111"/>
      <c r="AL1459" s="111"/>
      <c r="AM1459" s="111">
        <v>37067.680000000008</v>
      </c>
    </row>
    <row r="1460" spans="1:39" ht="15" customHeight="1" x14ac:dyDescent="0.25">
      <c r="A1460" s="1409"/>
      <c r="B1460" s="1409"/>
      <c r="C1460" s="1409"/>
      <c r="D1460" s="1409"/>
      <c r="E1460" s="1247"/>
      <c r="F1460" s="1248" t="s">
        <v>5152</v>
      </c>
      <c r="G1460" s="111"/>
      <c r="H1460" s="1249">
        <v>18</v>
      </c>
      <c r="I1460" s="111" t="s">
        <v>4044</v>
      </c>
      <c r="J1460" s="1321" t="s">
        <v>5608</v>
      </c>
      <c r="K1460" s="162" t="s">
        <v>5610</v>
      </c>
      <c r="L1460" s="162" t="s">
        <v>5609</v>
      </c>
      <c r="M1460" s="111">
        <v>4145</v>
      </c>
      <c r="N1460" s="111">
        <v>74610</v>
      </c>
      <c r="O1460" s="111"/>
      <c r="P1460" s="111"/>
      <c r="Q1460" s="111"/>
      <c r="R1460" s="111"/>
      <c r="S1460" s="1249">
        <v>8</v>
      </c>
      <c r="T1460" s="1250">
        <v>24870</v>
      </c>
      <c r="U1460" s="1250"/>
      <c r="V1460" s="1250"/>
      <c r="W1460" s="1251">
        <v>5</v>
      </c>
      <c r="X1460" s="1250">
        <v>24870</v>
      </c>
      <c r="Y1460" s="1250"/>
      <c r="Z1460" s="1250"/>
      <c r="AA1460" s="1250"/>
      <c r="AB1460" s="1250"/>
      <c r="AC1460" s="1250"/>
      <c r="AD1460" s="1250"/>
      <c r="AE1460" s="1249">
        <v>5</v>
      </c>
      <c r="AF1460" s="1250">
        <v>24870</v>
      </c>
      <c r="AG1460" s="111"/>
      <c r="AH1460" s="111"/>
      <c r="AI1460" s="111"/>
      <c r="AJ1460" s="111"/>
      <c r="AK1460" s="111"/>
      <c r="AL1460" s="111"/>
      <c r="AM1460" s="111">
        <v>74610</v>
      </c>
    </row>
    <row r="1461" spans="1:39" ht="15" customHeight="1" x14ac:dyDescent="0.25">
      <c r="A1461" s="1409"/>
      <c r="B1461" s="1409"/>
      <c r="C1461" s="1409"/>
      <c r="D1461" s="1409"/>
      <c r="E1461" s="1247"/>
      <c r="F1461" s="1248" t="s">
        <v>5153</v>
      </c>
      <c r="G1461" s="111"/>
      <c r="H1461" s="1249">
        <v>5</v>
      </c>
      <c r="I1461" s="111" t="s">
        <v>1721</v>
      </c>
      <c r="J1461" s="1321" t="s">
        <v>5608</v>
      </c>
      <c r="K1461" s="162" t="s">
        <v>5610</v>
      </c>
      <c r="L1461" s="162" t="s">
        <v>5609</v>
      </c>
      <c r="M1461" s="111">
        <v>3402</v>
      </c>
      <c r="N1461" s="111">
        <v>17010</v>
      </c>
      <c r="O1461" s="111"/>
      <c r="P1461" s="111"/>
      <c r="Q1461" s="111"/>
      <c r="R1461" s="111"/>
      <c r="S1461" s="1249">
        <v>2</v>
      </c>
      <c r="T1461" s="1250">
        <v>5670</v>
      </c>
      <c r="U1461" s="1250"/>
      <c r="V1461" s="1250"/>
      <c r="W1461" s="1251">
        <v>2</v>
      </c>
      <c r="X1461" s="1250">
        <v>5670</v>
      </c>
      <c r="Y1461" s="1250"/>
      <c r="Z1461" s="1250"/>
      <c r="AA1461" s="1250"/>
      <c r="AB1461" s="1250"/>
      <c r="AC1461" s="1250"/>
      <c r="AD1461" s="1250"/>
      <c r="AE1461" s="1249">
        <v>1</v>
      </c>
      <c r="AF1461" s="1250">
        <v>5670</v>
      </c>
      <c r="AG1461" s="111"/>
      <c r="AH1461" s="111"/>
      <c r="AI1461" s="111"/>
      <c r="AJ1461" s="111"/>
      <c r="AK1461" s="111"/>
      <c r="AL1461" s="111"/>
      <c r="AM1461" s="111">
        <v>17010</v>
      </c>
    </row>
    <row r="1462" spans="1:39" ht="15" customHeight="1" x14ac:dyDescent="0.25">
      <c r="A1462" s="1409"/>
      <c r="B1462" s="1409"/>
      <c r="C1462" s="1409"/>
      <c r="D1462" s="1409"/>
      <c r="E1462" s="1247"/>
      <c r="F1462" s="1248" t="s">
        <v>1532</v>
      </c>
      <c r="G1462" s="111"/>
      <c r="H1462" s="1249">
        <v>4</v>
      </c>
      <c r="I1462" s="111" t="s">
        <v>1721</v>
      </c>
      <c r="J1462" s="1321" t="s">
        <v>5608</v>
      </c>
      <c r="K1462" s="162" t="s">
        <v>5610</v>
      </c>
      <c r="L1462" s="162" t="s">
        <v>5609</v>
      </c>
      <c r="M1462" s="111">
        <v>344.52</v>
      </c>
      <c r="N1462" s="111">
        <v>1378.08</v>
      </c>
      <c r="O1462" s="111"/>
      <c r="P1462" s="111"/>
      <c r="Q1462" s="111"/>
      <c r="R1462" s="111"/>
      <c r="S1462" s="1249">
        <v>2</v>
      </c>
      <c r="T1462" s="1250">
        <v>459.35999999999996</v>
      </c>
      <c r="U1462" s="1250"/>
      <c r="V1462" s="1250"/>
      <c r="W1462" s="1251">
        <v>1</v>
      </c>
      <c r="X1462" s="1250">
        <v>459.35999999999996</v>
      </c>
      <c r="Y1462" s="1250"/>
      <c r="Z1462" s="1250"/>
      <c r="AA1462" s="1250"/>
      <c r="AB1462" s="1250"/>
      <c r="AC1462" s="1250"/>
      <c r="AD1462" s="1250"/>
      <c r="AE1462" s="1249">
        <v>1</v>
      </c>
      <c r="AF1462" s="1250">
        <v>459.35999999999996</v>
      </c>
      <c r="AG1462" s="111"/>
      <c r="AH1462" s="111"/>
      <c r="AI1462" s="111"/>
      <c r="AJ1462" s="111"/>
      <c r="AK1462" s="111"/>
      <c r="AL1462" s="111"/>
      <c r="AM1462" s="111">
        <v>1378.08</v>
      </c>
    </row>
    <row r="1463" spans="1:39" ht="15" customHeight="1" x14ac:dyDescent="0.25">
      <c r="A1463" s="1409"/>
      <c r="B1463" s="1409"/>
      <c r="C1463" s="1409"/>
      <c r="D1463" s="1409"/>
      <c r="E1463" s="1247"/>
      <c r="F1463" s="1248" t="s">
        <v>5154</v>
      </c>
      <c r="G1463" s="111"/>
      <c r="H1463" s="1249">
        <v>1</v>
      </c>
      <c r="I1463" s="111" t="s">
        <v>1736</v>
      </c>
      <c r="J1463" s="1321" t="s">
        <v>5608</v>
      </c>
      <c r="K1463" s="162" t="s">
        <v>5610</v>
      </c>
      <c r="L1463" s="162" t="s">
        <v>5609</v>
      </c>
      <c r="M1463" s="111">
        <v>285.12</v>
      </c>
      <c r="N1463" s="111">
        <v>285.12</v>
      </c>
      <c r="O1463" s="111"/>
      <c r="P1463" s="111"/>
      <c r="Q1463" s="111"/>
      <c r="R1463" s="111"/>
      <c r="S1463" s="1249">
        <v>1</v>
      </c>
      <c r="T1463" s="1250">
        <v>95.04</v>
      </c>
      <c r="U1463" s="1250"/>
      <c r="V1463" s="1250"/>
      <c r="W1463" s="1251">
        <v>0</v>
      </c>
      <c r="X1463" s="1250">
        <v>95.04</v>
      </c>
      <c r="Y1463" s="1250"/>
      <c r="Z1463" s="1250"/>
      <c r="AA1463" s="1250"/>
      <c r="AB1463" s="1250"/>
      <c r="AC1463" s="1250"/>
      <c r="AD1463" s="1250"/>
      <c r="AE1463" s="1249">
        <v>0</v>
      </c>
      <c r="AF1463" s="1250">
        <v>95.04</v>
      </c>
      <c r="AG1463" s="111"/>
      <c r="AH1463" s="111"/>
      <c r="AI1463" s="111"/>
      <c r="AJ1463" s="111"/>
      <c r="AK1463" s="111"/>
      <c r="AL1463" s="111"/>
      <c r="AM1463" s="111">
        <v>285.12</v>
      </c>
    </row>
    <row r="1464" spans="1:39" ht="15" customHeight="1" x14ac:dyDescent="0.25">
      <c r="A1464" s="1409"/>
      <c r="B1464" s="1409"/>
      <c r="C1464" s="1409"/>
      <c r="D1464" s="1409"/>
      <c r="E1464" s="1247"/>
      <c r="F1464" s="1248" t="s">
        <v>5155</v>
      </c>
      <c r="G1464" s="111"/>
      <c r="H1464" s="1249">
        <v>10</v>
      </c>
      <c r="I1464" s="111" t="s">
        <v>1734</v>
      </c>
      <c r="J1464" s="1321" t="s">
        <v>5608</v>
      </c>
      <c r="K1464" s="162" t="s">
        <v>5610</v>
      </c>
      <c r="L1464" s="162" t="s">
        <v>5609</v>
      </c>
      <c r="M1464" s="111">
        <v>1648.9</v>
      </c>
      <c r="N1464" s="111">
        <v>16489</v>
      </c>
      <c r="O1464" s="111"/>
      <c r="P1464" s="111"/>
      <c r="Q1464" s="111"/>
      <c r="R1464" s="111"/>
      <c r="S1464" s="1249">
        <v>5</v>
      </c>
      <c r="T1464" s="1250">
        <v>5496.333333333333</v>
      </c>
      <c r="U1464" s="1250"/>
      <c r="V1464" s="1250"/>
      <c r="W1464" s="1251">
        <v>5</v>
      </c>
      <c r="X1464" s="1250">
        <v>5496.333333333333</v>
      </c>
      <c r="Y1464" s="1250"/>
      <c r="Z1464" s="1250"/>
      <c r="AA1464" s="1250"/>
      <c r="AB1464" s="1250"/>
      <c r="AC1464" s="1250"/>
      <c r="AD1464" s="1250"/>
      <c r="AE1464" s="1249">
        <v>0</v>
      </c>
      <c r="AF1464" s="1250">
        <v>5496.333333333333</v>
      </c>
      <c r="AG1464" s="111"/>
      <c r="AH1464" s="111"/>
      <c r="AI1464" s="111"/>
      <c r="AJ1464" s="111"/>
      <c r="AK1464" s="111"/>
      <c r="AL1464" s="111"/>
      <c r="AM1464" s="111">
        <v>16489</v>
      </c>
    </row>
    <row r="1465" spans="1:39" ht="15" customHeight="1" x14ac:dyDescent="0.25">
      <c r="A1465" s="1409"/>
      <c r="B1465" s="1409"/>
      <c r="C1465" s="1409"/>
      <c r="D1465" s="1409"/>
      <c r="E1465" s="1247"/>
      <c r="F1465" s="1248" t="s">
        <v>5156</v>
      </c>
      <c r="G1465" s="111"/>
      <c r="H1465" s="1249">
        <v>7</v>
      </c>
      <c r="I1465" s="111" t="s">
        <v>1736</v>
      </c>
      <c r="J1465" s="1321" t="s">
        <v>5608</v>
      </c>
      <c r="K1465" s="162" t="s">
        <v>5610</v>
      </c>
      <c r="L1465" s="162" t="s">
        <v>5609</v>
      </c>
      <c r="M1465" s="111">
        <v>156.6</v>
      </c>
      <c r="N1465" s="111">
        <v>1096.2</v>
      </c>
      <c r="O1465" s="111"/>
      <c r="P1465" s="111"/>
      <c r="Q1465" s="111"/>
      <c r="R1465" s="111"/>
      <c r="S1465" s="1249">
        <v>3</v>
      </c>
      <c r="T1465" s="1250">
        <v>365.40000000000003</v>
      </c>
      <c r="U1465" s="1250"/>
      <c r="V1465" s="1250"/>
      <c r="W1465" s="1251">
        <v>2</v>
      </c>
      <c r="X1465" s="1250">
        <v>365.40000000000003</v>
      </c>
      <c r="Y1465" s="1250"/>
      <c r="Z1465" s="1250"/>
      <c r="AA1465" s="1250"/>
      <c r="AB1465" s="1250"/>
      <c r="AC1465" s="1250"/>
      <c r="AD1465" s="1250"/>
      <c r="AE1465" s="1249">
        <v>2</v>
      </c>
      <c r="AF1465" s="1250">
        <v>365.40000000000003</v>
      </c>
      <c r="AG1465" s="111"/>
      <c r="AH1465" s="111"/>
      <c r="AI1465" s="111"/>
      <c r="AJ1465" s="111"/>
      <c r="AK1465" s="111"/>
      <c r="AL1465" s="111"/>
      <c r="AM1465" s="111">
        <v>1096.2</v>
      </c>
    </row>
    <row r="1466" spans="1:39" ht="15" customHeight="1" x14ac:dyDescent="0.25">
      <c r="A1466" s="1409"/>
      <c r="B1466" s="1409"/>
      <c r="C1466" s="1409"/>
      <c r="D1466" s="1409"/>
      <c r="E1466" s="1247"/>
      <c r="F1466" s="1248" t="s">
        <v>1742</v>
      </c>
      <c r="G1466" s="111"/>
      <c r="H1466" s="1249">
        <v>160</v>
      </c>
      <c r="I1466" s="111" t="s">
        <v>1736</v>
      </c>
      <c r="J1466" s="1321" t="s">
        <v>5608</v>
      </c>
      <c r="K1466" s="162" t="s">
        <v>5610</v>
      </c>
      <c r="L1466" s="162" t="s">
        <v>5609</v>
      </c>
      <c r="M1466" s="111">
        <v>75.790000000000006</v>
      </c>
      <c r="N1466" s="111">
        <v>12126.400000000001</v>
      </c>
      <c r="O1466" s="111"/>
      <c r="P1466" s="111"/>
      <c r="Q1466" s="111"/>
      <c r="R1466" s="111"/>
      <c r="S1466" s="1249">
        <v>60</v>
      </c>
      <c r="T1466" s="1250">
        <v>4042.1333333333337</v>
      </c>
      <c r="U1466" s="1250"/>
      <c r="V1466" s="1250"/>
      <c r="W1466" s="1251">
        <v>50</v>
      </c>
      <c r="X1466" s="1250">
        <v>4042.1333333333337</v>
      </c>
      <c r="Y1466" s="1250"/>
      <c r="Z1466" s="1250"/>
      <c r="AA1466" s="1250"/>
      <c r="AB1466" s="1250"/>
      <c r="AC1466" s="1250"/>
      <c r="AD1466" s="1250"/>
      <c r="AE1466" s="1249">
        <v>50</v>
      </c>
      <c r="AF1466" s="1250">
        <v>4042.1333333333337</v>
      </c>
      <c r="AG1466" s="111"/>
      <c r="AH1466" s="111"/>
      <c r="AI1466" s="111"/>
      <c r="AJ1466" s="111"/>
      <c r="AK1466" s="111"/>
      <c r="AL1466" s="111"/>
      <c r="AM1466" s="111">
        <v>12126.400000000001</v>
      </c>
    </row>
    <row r="1467" spans="1:39" ht="15" customHeight="1" x14ac:dyDescent="0.25">
      <c r="A1467" s="1409"/>
      <c r="B1467" s="1409"/>
      <c r="C1467" s="1409"/>
      <c r="D1467" s="1409"/>
      <c r="E1467" s="1247"/>
      <c r="F1467" s="1248" t="s">
        <v>5157</v>
      </c>
      <c r="G1467" s="111"/>
      <c r="H1467" s="1249">
        <v>3</v>
      </c>
      <c r="I1467" s="111" t="s">
        <v>1736</v>
      </c>
      <c r="J1467" s="1321" t="s">
        <v>5608</v>
      </c>
      <c r="K1467" s="162" t="s">
        <v>5610</v>
      </c>
      <c r="L1467" s="162" t="s">
        <v>5609</v>
      </c>
      <c r="M1467" s="111">
        <v>350.78</v>
      </c>
      <c r="N1467" s="111">
        <v>1052.3399999999999</v>
      </c>
      <c r="O1467" s="111"/>
      <c r="P1467" s="111"/>
      <c r="Q1467" s="111"/>
      <c r="R1467" s="111"/>
      <c r="S1467" s="1249">
        <v>1</v>
      </c>
      <c r="T1467" s="1250">
        <v>350.78</v>
      </c>
      <c r="U1467" s="1250"/>
      <c r="V1467" s="1250"/>
      <c r="W1467" s="1251">
        <v>1</v>
      </c>
      <c r="X1467" s="1250">
        <v>350.78</v>
      </c>
      <c r="Y1467" s="1250"/>
      <c r="Z1467" s="1250"/>
      <c r="AA1467" s="1250"/>
      <c r="AB1467" s="1250"/>
      <c r="AC1467" s="1250"/>
      <c r="AD1467" s="1250"/>
      <c r="AE1467" s="1249">
        <v>1</v>
      </c>
      <c r="AF1467" s="1250">
        <v>350.78</v>
      </c>
      <c r="AG1467" s="111"/>
      <c r="AH1467" s="111"/>
      <c r="AI1467" s="111"/>
      <c r="AJ1467" s="111"/>
      <c r="AK1467" s="111"/>
      <c r="AL1467" s="111"/>
      <c r="AM1467" s="111">
        <v>1052.3399999999999</v>
      </c>
    </row>
    <row r="1468" spans="1:39" ht="15" customHeight="1" x14ac:dyDescent="0.25">
      <c r="A1468" s="1409"/>
      <c r="B1468" s="1409"/>
      <c r="C1468" s="1409"/>
      <c r="D1468" s="1409"/>
      <c r="E1468" s="1247"/>
      <c r="F1468" s="1248" t="s">
        <v>3019</v>
      </c>
      <c r="G1468" s="111"/>
      <c r="H1468" s="1249">
        <v>1</v>
      </c>
      <c r="I1468" s="111" t="s">
        <v>1736</v>
      </c>
      <c r="J1468" s="1321" t="s">
        <v>5608</v>
      </c>
      <c r="K1468" s="162" t="s">
        <v>5610</v>
      </c>
      <c r="L1468" s="162" t="s">
        <v>5609</v>
      </c>
      <c r="M1468" s="111">
        <v>314.82</v>
      </c>
      <c r="N1468" s="111">
        <v>314.82</v>
      </c>
      <c r="O1468" s="111"/>
      <c r="P1468" s="111"/>
      <c r="Q1468" s="111"/>
      <c r="R1468" s="111"/>
      <c r="S1468" s="1249">
        <v>1</v>
      </c>
      <c r="T1468" s="1250">
        <v>104.94</v>
      </c>
      <c r="U1468" s="1250"/>
      <c r="V1468" s="1250"/>
      <c r="W1468" s="1251">
        <v>0</v>
      </c>
      <c r="X1468" s="1250">
        <v>104.94</v>
      </c>
      <c r="Y1468" s="1250"/>
      <c r="Z1468" s="1250"/>
      <c r="AA1468" s="1250"/>
      <c r="AB1468" s="1250"/>
      <c r="AC1468" s="1250"/>
      <c r="AD1468" s="1250"/>
      <c r="AE1468" s="1249">
        <v>0</v>
      </c>
      <c r="AF1468" s="1250">
        <v>104.94</v>
      </c>
      <c r="AG1468" s="111"/>
      <c r="AH1468" s="111"/>
      <c r="AI1468" s="111"/>
      <c r="AJ1468" s="111"/>
      <c r="AK1468" s="111"/>
      <c r="AL1468" s="111"/>
      <c r="AM1468" s="111">
        <v>314.82</v>
      </c>
    </row>
    <row r="1469" spans="1:39" ht="15" customHeight="1" x14ac:dyDescent="0.25">
      <c r="A1469" s="1409"/>
      <c r="B1469" s="1409"/>
      <c r="C1469" s="1409"/>
      <c r="D1469" s="1409"/>
      <c r="E1469" s="1247"/>
      <c r="F1469" s="1248" t="s">
        <v>3020</v>
      </c>
      <c r="G1469" s="111"/>
      <c r="H1469" s="1249">
        <v>1</v>
      </c>
      <c r="I1469" s="111" t="s">
        <v>1721</v>
      </c>
      <c r="J1469" s="1321" t="s">
        <v>5608</v>
      </c>
      <c r="K1469" s="162" t="s">
        <v>5610</v>
      </c>
      <c r="L1469" s="162" t="s">
        <v>5609</v>
      </c>
      <c r="M1469" s="111">
        <v>100.98</v>
      </c>
      <c r="N1469" s="111">
        <v>100.98</v>
      </c>
      <c r="O1469" s="111"/>
      <c r="P1469" s="111"/>
      <c r="Q1469" s="111"/>
      <c r="R1469" s="111"/>
      <c r="S1469" s="1249">
        <v>1</v>
      </c>
      <c r="T1469" s="1250">
        <v>33.660000000000004</v>
      </c>
      <c r="U1469" s="1250"/>
      <c r="V1469" s="1250"/>
      <c r="W1469" s="1251">
        <v>0</v>
      </c>
      <c r="X1469" s="1250">
        <v>33.660000000000004</v>
      </c>
      <c r="Y1469" s="1250"/>
      <c r="Z1469" s="1250"/>
      <c r="AA1469" s="1250"/>
      <c r="AB1469" s="1250"/>
      <c r="AC1469" s="1250"/>
      <c r="AD1469" s="1250"/>
      <c r="AE1469" s="1249">
        <v>0</v>
      </c>
      <c r="AF1469" s="1250">
        <v>33.660000000000004</v>
      </c>
      <c r="AG1469" s="111"/>
      <c r="AH1469" s="111"/>
      <c r="AI1469" s="111"/>
      <c r="AJ1469" s="111"/>
      <c r="AK1469" s="111"/>
      <c r="AL1469" s="111"/>
      <c r="AM1469" s="111">
        <v>100.98</v>
      </c>
    </row>
    <row r="1470" spans="1:39" ht="15" customHeight="1" x14ac:dyDescent="0.25">
      <c r="A1470" s="1409"/>
      <c r="B1470" s="1409"/>
      <c r="C1470" s="1409"/>
      <c r="D1470" s="1409"/>
      <c r="E1470" s="1247"/>
      <c r="F1470" s="1248" t="s">
        <v>1741</v>
      </c>
      <c r="G1470" s="111"/>
      <c r="H1470" s="1249">
        <v>2</v>
      </c>
      <c r="I1470" s="111" t="s">
        <v>1736</v>
      </c>
      <c r="J1470" s="1321" t="s">
        <v>5608</v>
      </c>
      <c r="K1470" s="162" t="s">
        <v>5610</v>
      </c>
      <c r="L1470" s="162" t="s">
        <v>5609</v>
      </c>
      <c r="M1470" s="111">
        <v>65.34</v>
      </c>
      <c r="N1470" s="111">
        <v>130.68</v>
      </c>
      <c r="O1470" s="111"/>
      <c r="P1470" s="111"/>
      <c r="Q1470" s="111"/>
      <c r="R1470" s="111"/>
      <c r="S1470" s="1249">
        <v>2</v>
      </c>
      <c r="T1470" s="1250">
        <v>43.56</v>
      </c>
      <c r="U1470" s="1250"/>
      <c r="V1470" s="1250"/>
      <c r="W1470" s="1251">
        <v>0</v>
      </c>
      <c r="X1470" s="1250">
        <v>43.56</v>
      </c>
      <c r="Y1470" s="1250"/>
      <c r="Z1470" s="1250"/>
      <c r="AA1470" s="1250"/>
      <c r="AB1470" s="1250"/>
      <c r="AC1470" s="1250"/>
      <c r="AD1470" s="1250"/>
      <c r="AE1470" s="1249">
        <v>0</v>
      </c>
      <c r="AF1470" s="1250">
        <v>43.56</v>
      </c>
      <c r="AG1470" s="111"/>
      <c r="AH1470" s="111"/>
      <c r="AI1470" s="111"/>
      <c r="AJ1470" s="111"/>
      <c r="AK1470" s="111"/>
      <c r="AL1470" s="111"/>
      <c r="AM1470" s="111">
        <v>130.68</v>
      </c>
    </row>
    <row r="1471" spans="1:39" ht="15" customHeight="1" x14ac:dyDescent="0.25">
      <c r="A1471" s="1409"/>
      <c r="B1471" s="1409"/>
      <c r="C1471" s="1409"/>
      <c r="D1471" s="1409"/>
      <c r="E1471" s="1247"/>
      <c r="F1471" s="1248" t="s">
        <v>5158</v>
      </c>
      <c r="G1471" s="111"/>
      <c r="H1471" s="1249">
        <v>5</v>
      </c>
      <c r="I1471" s="111" t="s">
        <v>1721</v>
      </c>
      <c r="J1471" s="1321" t="s">
        <v>5608</v>
      </c>
      <c r="K1471" s="162" t="s">
        <v>5610</v>
      </c>
      <c r="L1471" s="162" t="s">
        <v>5609</v>
      </c>
      <c r="M1471" s="111">
        <v>117.14000000000001</v>
      </c>
      <c r="N1471" s="111">
        <v>585.70000000000005</v>
      </c>
      <c r="O1471" s="111"/>
      <c r="P1471" s="111"/>
      <c r="Q1471" s="111"/>
      <c r="R1471" s="111"/>
      <c r="S1471" s="1249">
        <v>2</v>
      </c>
      <c r="T1471" s="1250">
        <v>195.23333333333335</v>
      </c>
      <c r="U1471" s="1250"/>
      <c r="V1471" s="1250"/>
      <c r="W1471" s="1251">
        <v>2</v>
      </c>
      <c r="X1471" s="1250">
        <v>195.23333333333335</v>
      </c>
      <c r="Y1471" s="1250"/>
      <c r="Z1471" s="1250"/>
      <c r="AA1471" s="1250"/>
      <c r="AB1471" s="1250"/>
      <c r="AC1471" s="1250"/>
      <c r="AD1471" s="1250"/>
      <c r="AE1471" s="1249">
        <v>1</v>
      </c>
      <c r="AF1471" s="1250">
        <v>195.23333333333335</v>
      </c>
      <c r="AG1471" s="111"/>
      <c r="AH1471" s="111"/>
      <c r="AI1471" s="111"/>
      <c r="AJ1471" s="111"/>
      <c r="AK1471" s="111"/>
      <c r="AL1471" s="111"/>
      <c r="AM1471" s="111">
        <v>585.70000000000005</v>
      </c>
    </row>
    <row r="1472" spans="1:39" ht="15" customHeight="1" x14ac:dyDescent="0.25">
      <c r="A1472" s="1409"/>
      <c r="B1472" s="1409"/>
      <c r="C1472" s="1409"/>
      <c r="D1472" s="1409"/>
      <c r="E1472" s="1247"/>
      <c r="F1472" s="1248" t="s">
        <v>3021</v>
      </c>
      <c r="G1472" s="111"/>
      <c r="H1472" s="1249">
        <v>5</v>
      </c>
      <c r="I1472" s="111" t="s">
        <v>1721</v>
      </c>
      <c r="J1472" s="1321" t="s">
        <v>5608</v>
      </c>
      <c r="K1472" s="162" t="s">
        <v>5610</v>
      </c>
      <c r="L1472" s="162" t="s">
        <v>5609</v>
      </c>
      <c r="M1472" s="111">
        <v>100.58</v>
      </c>
      <c r="N1472" s="111">
        <v>502.9</v>
      </c>
      <c r="O1472" s="111"/>
      <c r="P1472" s="111"/>
      <c r="Q1472" s="111"/>
      <c r="R1472" s="111"/>
      <c r="S1472" s="1249">
        <v>2</v>
      </c>
      <c r="T1472" s="1250">
        <v>167.63333333333333</v>
      </c>
      <c r="U1472" s="1250"/>
      <c r="V1472" s="1250"/>
      <c r="W1472" s="1251">
        <v>2</v>
      </c>
      <c r="X1472" s="1250">
        <v>167.63333333333333</v>
      </c>
      <c r="Y1472" s="1250"/>
      <c r="Z1472" s="1250"/>
      <c r="AA1472" s="1250"/>
      <c r="AB1472" s="1250"/>
      <c r="AC1472" s="1250"/>
      <c r="AD1472" s="1250"/>
      <c r="AE1472" s="1249">
        <v>1</v>
      </c>
      <c r="AF1472" s="1250">
        <v>167.63333333333333</v>
      </c>
      <c r="AG1472" s="111"/>
      <c r="AH1472" s="111"/>
      <c r="AI1472" s="111"/>
      <c r="AJ1472" s="111"/>
      <c r="AK1472" s="111"/>
      <c r="AL1472" s="111"/>
      <c r="AM1472" s="111">
        <v>502.9</v>
      </c>
    </row>
    <row r="1473" spans="1:39" ht="15" customHeight="1" x14ac:dyDescent="0.25">
      <c r="A1473" s="1409"/>
      <c r="B1473" s="1409"/>
      <c r="C1473" s="1409"/>
      <c r="D1473" s="1409"/>
      <c r="E1473" s="1247"/>
      <c r="F1473" s="1248" t="s">
        <v>3022</v>
      </c>
      <c r="G1473" s="111"/>
      <c r="H1473" s="1249">
        <v>1</v>
      </c>
      <c r="I1473" s="111" t="s">
        <v>1721</v>
      </c>
      <c r="J1473" s="1321" t="s">
        <v>5608</v>
      </c>
      <c r="K1473" s="162" t="s">
        <v>5610</v>
      </c>
      <c r="L1473" s="162" t="s">
        <v>5609</v>
      </c>
      <c r="M1473" s="111">
        <v>97.192223999999996</v>
      </c>
      <c r="N1473" s="111">
        <v>97.192223999999996</v>
      </c>
      <c r="O1473" s="111"/>
      <c r="P1473" s="111"/>
      <c r="Q1473" s="111"/>
      <c r="R1473" s="111"/>
      <c r="S1473" s="1249">
        <v>1</v>
      </c>
      <c r="T1473" s="1250">
        <v>32.397407999999999</v>
      </c>
      <c r="U1473" s="1250"/>
      <c r="V1473" s="1250"/>
      <c r="W1473" s="1251">
        <v>0</v>
      </c>
      <c r="X1473" s="1250">
        <v>32.397407999999999</v>
      </c>
      <c r="Y1473" s="1250"/>
      <c r="Z1473" s="1250"/>
      <c r="AA1473" s="1250"/>
      <c r="AB1473" s="1250"/>
      <c r="AC1473" s="1250"/>
      <c r="AD1473" s="1250"/>
      <c r="AE1473" s="1249">
        <v>0</v>
      </c>
      <c r="AF1473" s="1250">
        <v>32.397407999999999</v>
      </c>
      <c r="AG1473" s="111"/>
      <c r="AH1473" s="111"/>
      <c r="AI1473" s="111"/>
      <c r="AJ1473" s="111"/>
      <c r="AK1473" s="111"/>
      <c r="AL1473" s="111"/>
      <c r="AM1473" s="111">
        <v>97.192223999999996</v>
      </c>
    </row>
    <row r="1474" spans="1:39" ht="15" customHeight="1" x14ac:dyDescent="0.25">
      <c r="A1474" s="1409"/>
      <c r="B1474" s="1409"/>
      <c r="C1474" s="1409"/>
      <c r="D1474" s="1409"/>
      <c r="E1474" s="1247"/>
      <c r="F1474" s="1248" t="s">
        <v>3024</v>
      </c>
      <c r="G1474" s="111"/>
      <c r="H1474" s="1249">
        <v>1</v>
      </c>
      <c r="I1474" s="111" t="s">
        <v>1721</v>
      </c>
      <c r="J1474" s="1321" t="s">
        <v>5608</v>
      </c>
      <c r="K1474" s="162" t="s">
        <v>5610</v>
      </c>
      <c r="L1474" s="162" t="s">
        <v>5609</v>
      </c>
      <c r="M1474" s="111">
        <v>700</v>
      </c>
      <c r="N1474" s="111">
        <v>700</v>
      </c>
      <c r="O1474" s="111"/>
      <c r="P1474" s="111"/>
      <c r="Q1474" s="111"/>
      <c r="R1474" s="111"/>
      <c r="S1474" s="1249">
        <v>1</v>
      </c>
      <c r="T1474" s="1250">
        <v>233.33333333333334</v>
      </c>
      <c r="U1474" s="1250"/>
      <c r="V1474" s="1250"/>
      <c r="W1474" s="1251">
        <v>0</v>
      </c>
      <c r="X1474" s="1250">
        <v>233.33333333333334</v>
      </c>
      <c r="Y1474" s="1250"/>
      <c r="Z1474" s="1250"/>
      <c r="AA1474" s="1250"/>
      <c r="AB1474" s="1250"/>
      <c r="AC1474" s="1250"/>
      <c r="AD1474" s="1250"/>
      <c r="AE1474" s="1249">
        <v>0</v>
      </c>
      <c r="AF1474" s="1250">
        <v>233.33333333333334</v>
      </c>
      <c r="AG1474" s="111"/>
      <c r="AH1474" s="111"/>
      <c r="AI1474" s="111"/>
      <c r="AJ1474" s="111"/>
      <c r="AK1474" s="111"/>
      <c r="AL1474" s="111"/>
      <c r="AM1474" s="111">
        <v>700</v>
      </c>
    </row>
    <row r="1475" spans="1:39" ht="15" customHeight="1" x14ac:dyDescent="0.25">
      <c r="A1475" s="1409"/>
      <c r="B1475" s="1409"/>
      <c r="C1475" s="1409"/>
      <c r="D1475" s="1409"/>
      <c r="E1475" s="1247"/>
      <c r="F1475" s="1248" t="s">
        <v>3025</v>
      </c>
      <c r="G1475" s="111"/>
      <c r="H1475" s="1249">
        <v>1</v>
      </c>
      <c r="I1475" s="111" t="s">
        <v>1721</v>
      </c>
      <c r="J1475" s="1321" t="s">
        <v>5608</v>
      </c>
      <c r="K1475" s="162" t="s">
        <v>5610</v>
      </c>
      <c r="L1475" s="162" t="s">
        <v>5609</v>
      </c>
      <c r="M1475" s="111">
        <v>2793.96</v>
      </c>
      <c r="N1475" s="111">
        <v>2793.96</v>
      </c>
      <c r="O1475" s="111"/>
      <c r="P1475" s="111"/>
      <c r="Q1475" s="111"/>
      <c r="R1475" s="111"/>
      <c r="S1475" s="1249">
        <v>1</v>
      </c>
      <c r="T1475" s="1250">
        <v>931.32</v>
      </c>
      <c r="U1475" s="1250"/>
      <c r="V1475" s="1250"/>
      <c r="W1475" s="1251">
        <v>0</v>
      </c>
      <c r="X1475" s="1250">
        <v>931.32</v>
      </c>
      <c r="Y1475" s="1250"/>
      <c r="Z1475" s="1250"/>
      <c r="AA1475" s="1250"/>
      <c r="AB1475" s="1250"/>
      <c r="AC1475" s="1250"/>
      <c r="AD1475" s="1250"/>
      <c r="AE1475" s="1249">
        <v>0</v>
      </c>
      <c r="AF1475" s="1250">
        <v>931.32</v>
      </c>
      <c r="AG1475" s="111"/>
      <c r="AH1475" s="111"/>
      <c r="AI1475" s="111"/>
      <c r="AJ1475" s="111"/>
      <c r="AK1475" s="111"/>
      <c r="AL1475" s="111"/>
      <c r="AM1475" s="111">
        <v>2793.96</v>
      </c>
    </row>
    <row r="1476" spans="1:39" ht="15" customHeight="1" x14ac:dyDescent="0.25">
      <c r="A1476" s="1409"/>
      <c r="B1476" s="1409"/>
      <c r="C1476" s="1409"/>
      <c r="D1476" s="1409"/>
      <c r="E1476" s="1247"/>
      <c r="F1476" s="1248" t="s">
        <v>3026</v>
      </c>
      <c r="G1476" s="111"/>
      <c r="H1476" s="1249">
        <v>1</v>
      </c>
      <c r="I1476" s="111" t="s">
        <v>1721</v>
      </c>
      <c r="J1476" s="1321" t="s">
        <v>5608</v>
      </c>
      <c r="K1476" s="162" t="s">
        <v>5610</v>
      </c>
      <c r="L1476" s="162" t="s">
        <v>5609</v>
      </c>
      <c r="M1476" s="111">
        <v>48.602376000000007</v>
      </c>
      <c r="N1476" s="111">
        <v>48.602376000000007</v>
      </c>
      <c r="O1476" s="111"/>
      <c r="P1476" s="111"/>
      <c r="Q1476" s="111"/>
      <c r="R1476" s="111"/>
      <c r="S1476" s="1249">
        <v>1</v>
      </c>
      <c r="T1476" s="1250">
        <v>16.200792000000003</v>
      </c>
      <c r="U1476" s="1250"/>
      <c r="V1476" s="1250"/>
      <c r="W1476" s="1251">
        <v>0</v>
      </c>
      <c r="X1476" s="1250">
        <v>16.200792000000003</v>
      </c>
      <c r="Y1476" s="1250"/>
      <c r="Z1476" s="1250"/>
      <c r="AA1476" s="1250"/>
      <c r="AB1476" s="1250"/>
      <c r="AC1476" s="1250"/>
      <c r="AD1476" s="1250"/>
      <c r="AE1476" s="1249">
        <v>0</v>
      </c>
      <c r="AF1476" s="1250">
        <v>16.200792000000003</v>
      </c>
      <c r="AG1476" s="111"/>
      <c r="AH1476" s="111"/>
      <c r="AI1476" s="111"/>
      <c r="AJ1476" s="111"/>
      <c r="AK1476" s="111"/>
      <c r="AL1476" s="111"/>
      <c r="AM1476" s="111">
        <v>48.602376000000007</v>
      </c>
    </row>
    <row r="1477" spans="1:39" ht="15" customHeight="1" x14ac:dyDescent="0.25">
      <c r="A1477" s="1409"/>
      <c r="B1477" s="1409"/>
      <c r="C1477" s="1409"/>
      <c r="D1477" s="1409"/>
      <c r="E1477" s="1247"/>
      <c r="F1477" s="1248" t="s">
        <v>3027</v>
      </c>
      <c r="G1477" s="111"/>
      <c r="H1477" s="1249">
        <v>1</v>
      </c>
      <c r="I1477" s="111" t="s">
        <v>1721</v>
      </c>
      <c r="J1477" s="1321" t="s">
        <v>5608</v>
      </c>
      <c r="K1477" s="162" t="s">
        <v>5610</v>
      </c>
      <c r="L1477" s="162" t="s">
        <v>5609</v>
      </c>
      <c r="M1477" s="111">
        <v>243.54</v>
      </c>
      <c r="N1477" s="111">
        <v>243.54</v>
      </c>
      <c r="O1477" s="111"/>
      <c r="P1477" s="111"/>
      <c r="Q1477" s="111"/>
      <c r="R1477" s="111"/>
      <c r="S1477" s="1249">
        <v>1</v>
      </c>
      <c r="T1477" s="1250">
        <v>81.179999999999993</v>
      </c>
      <c r="U1477" s="1250"/>
      <c r="V1477" s="1250"/>
      <c r="W1477" s="1251">
        <v>0</v>
      </c>
      <c r="X1477" s="1250">
        <v>81.179999999999993</v>
      </c>
      <c r="Y1477" s="1250"/>
      <c r="Z1477" s="1250"/>
      <c r="AA1477" s="1250"/>
      <c r="AB1477" s="1250"/>
      <c r="AC1477" s="1250"/>
      <c r="AD1477" s="1250"/>
      <c r="AE1477" s="1249">
        <v>0</v>
      </c>
      <c r="AF1477" s="1250">
        <v>81.179999999999993</v>
      </c>
      <c r="AG1477" s="111"/>
      <c r="AH1477" s="111"/>
      <c r="AI1477" s="111"/>
      <c r="AJ1477" s="111"/>
      <c r="AK1477" s="111"/>
      <c r="AL1477" s="111"/>
      <c r="AM1477" s="111">
        <v>243.54</v>
      </c>
    </row>
    <row r="1478" spans="1:39" ht="15" customHeight="1" x14ac:dyDescent="0.25">
      <c r="A1478" s="1409"/>
      <c r="B1478" s="1409"/>
      <c r="C1478" s="1409"/>
      <c r="D1478" s="1409"/>
      <c r="E1478" s="1247"/>
      <c r="F1478" s="1248" t="s">
        <v>3028</v>
      </c>
      <c r="G1478" s="111"/>
      <c r="H1478" s="1249">
        <v>1</v>
      </c>
      <c r="I1478" s="111" t="s">
        <v>1736</v>
      </c>
      <c r="J1478" s="1321" t="s">
        <v>5608</v>
      </c>
      <c r="K1478" s="162" t="s">
        <v>5610</v>
      </c>
      <c r="L1478" s="162" t="s">
        <v>5609</v>
      </c>
      <c r="M1478" s="111">
        <v>314</v>
      </c>
      <c r="N1478" s="111">
        <v>314</v>
      </c>
      <c r="O1478" s="111"/>
      <c r="P1478" s="111"/>
      <c r="Q1478" s="111"/>
      <c r="R1478" s="111"/>
      <c r="S1478" s="1249">
        <v>1</v>
      </c>
      <c r="T1478" s="1250">
        <v>104.66666666666667</v>
      </c>
      <c r="U1478" s="1250"/>
      <c r="V1478" s="1250"/>
      <c r="W1478" s="1251">
        <v>0</v>
      </c>
      <c r="X1478" s="1250">
        <v>104.66666666666667</v>
      </c>
      <c r="Y1478" s="1250"/>
      <c r="Z1478" s="1250"/>
      <c r="AA1478" s="1250"/>
      <c r="AB1478" s="1250"/>
      <c r="AC1478" s="1250"/>
      <c r="AD1478" s="1250"/>
      <c r="AE1478" s="1249">
        <v>0</v>
      </c>
      <c r="AF1478" s="1250">
        <v>104.66666666666667</v>
      </c>
      <c r="AG1478" s="111"/>
      <c r="AH1478" s="111"/>
      <c r="AI1478" s="111"/>
      <c r="AJ1478" s="111"/>
      <c r="AK1478" s="111"/>
      <c r="AL1478" s="111"/>
      <c r="AM1478" s="111">
        <v>314</v>
      </c>
    </row>
    <row r="1479" spans="1:39" ht="15" customHeight="1" x14ac:dyDescent="0.25">
      <c r="A1479" s="1409"/>
      <c r="B1479" s="1409"/>
      <c r="C1479" s="1409"/>
      <c r="D1479" s="1409"/>
      <c r="E1479" s="1247"/>
      <c r="F1479" s="1248" t="s">
        <v>3029</v>
      </c>
      <c r="G1479" s="111"/>
      <c r="H1479" s="1249">
        <v>1</v>
      </c>
      <c r="I1479" s="111" t="s">
        <v>2100</v>
      </c>
      <c r="J1479" s="1321" t="s">
        <v>5608</v>
      </c>
      <c r="K1479" s="162" t="s">
        <v>5610</v>
      </c>
      <c r="L1479" s="162" t="s">
        <v>5609</v>
      </c>
      <c r="M1479" s="111">
        <v>81.006047999999993</v>
      </c>
      <c r="N1479" s="111">
        <v>81.006047999999993</v>
      </c>
      <c r="O1479" s="111"/>
      <c r="P1479" s="111"/>
      <c r="Q1479" s="111"/>
      <c r="R1479" s="111"/>
      <c r="S1479" s="1249">
        <v>1</v>
      </c>
      <c r="T1479" s="1250">
        <v>27.002015999999998</v>
      </c>
      <c r="U1479" s="1250"/>
      <c r="V1479" s="1250"/>
      <c r="W1479" s="1251">
        <v>0</v>
      </c>
      <c r="X1479" s="1250">
        <v>27.002015999999998</v>
      </c>
      <c r="Y1479" s="1250"/>
      <c r="Z1479" s="1250"/>
      <c r="AA1479" s="1250"/>
      <c r="AB1479" s="1250"/>
      <c r="AC1479" s="1250"/>
      <c r="AD1479" s="1250"/>
      <c r="AE1479" s="1249">
        <v>0</v>
      </c>
      <c r="AF1479" s="1250">
        <v>27.002015999999998</v>
      </c>
      <c r="AG1479" s="111"/>
      <c r="AH1479" s="111"/>
      <c r="AI1479" s="111"/>
      <c r="AJ1479" s="111"/>
      <c r="AK1479" s="111"/>
      <c r="AL1479" s="111"/>
      <c r="AM1479" s="111">
        <v>81.006047999999993</v>
      </c>
    </row>
    <row r="1480" spans="1:39" ht="15" customHeight="1" x14ac:dyDescent="0.25">
      <c r="A1480" s="1409"/>
      <c r="B1480" s="1409"/>
      <c r="C1480" s="1409"/>
      <c r="D1480" s="1409"/>
      <c r="E1480" s="1247"/>
      <c r="F1480" s="1248" t="s">
        <v>3030</v>
      </c>
      <c r="G1480" s="111"/>
      <c r="H1480" s="1249">
        <v>1</v>
      </c>
      <c r="I1480" s="111" t="s">
        <v>2100</v>
      </c>
      <c r="J1480" s="1321" t="s">
        <v>5608</v>
      </c>
      <c r="K1480" s="162" t="s">
        <v>5610</v>
      </c>
      <c r="L1480" s="162" t="s">
        <v>5609</v>
      </c>
      <c r="M1480" s="111">
        <v>157.22514719999998</v>
      </c>
      <c r="N1480" s="111">
        <v>157.22514719999998</v>
      </c>
      <c r="O1480" s="111"/>
      <c r="P1480" s="111"/>
      <c r="Q1480" s="111"/>
      <c r="R1480" s="111"/>
      <c r="S1480" s="1249">
        <v>1</v>
      </c>
      <c r="T1480" s="1250">
        <v>52.408382399999994</v>
      </c>
      <c r="U1480" s="1250"/>
      <c r="V1480" s="1250"/>
      <c r="W1480" s="1251">
        <v>0</v>
      </c>
      <c r="X1480" s="1250">
        <v>52.408382399999994</v>
      </c>
      <c r="Y1480" s="1250"/>
      <c r="Z1480" s="1250"/>
      <c r="AA1480" s="1250"/>
      <c r="AB1480" s="1250"/>
      <c r="AC1480" s="1250"/>
      <c r="AD1480" s="1250"/>
      <c r="AE1480" s="1249">
        <v>0</v>
      </c>
      <c r="AF1480" s="1250">
        <v>52.408382399999994</v>
      </c>
      <c r="AG1480" s="111"/>
      <c r="AH1480" s="111"/>
      <c r="AI1480" s="111"/>
      <c r="AJ1480" s="111"/>
      <c r="AK1480" s="111"/>
      <c r="AL1480" s="111"/>
      <c r="AM1480" s="111">
        <v>157.22514719999998</v>
      </c>
    </row>
    <row r="1481" spans="1:39" ht="15" customHeight="1" x14ac:dyDescent="0.25">
      <c r="A1481" s="1409"/>
      <c r="B1481" s="1409"/>
      <c r="C1481" s="1409"/>
      <c r="D1481" s="1409"/>
      <c r="E1481" s="1247"/>
      <c r="F1481" s="1248"/>
      <c r="G1481" s="111"/>
      <c r="H1481" s="1249"/>
      <c r="I1481" s="111"/>
      <c r="J1481" s="111"/>
      <c r="K1481" s="111"/>
      <c r="L1481" s="111"/>
      <c r="M1481" s="111"/>
      <c r="N1481" s="111"/>
      <c r="O1481" s="111"/>
      <c r="P1481" s="111"/>
      <c r="Q1481" s="111"/>
      <c r="R1481" s="111"/>
      <c r="S1481" s="1249"/>
      <c r="T1481" s="1250"/>
      <c r="U1481" s="1250"/>
      <c r="V1481" s="1250"/>
      <c r="W1481" s="1251"/>
      <c r="X1481" s="1250"/>
      <c r="Y1481" s="1250"/>
      <c r="Z1481" s="1250"/>
      <c r="AA1481" s="1250"/>
      <c r="AB1481" s="1250"/>
      <c r="AC1481" s="1250"/>
      <c r="AD1481" s="1250"/>
      <c r="AE1481" s="1249"/>
      <c r="AF1481" s="1250"/>
      <c r="AG1481" s="111"/>
      <c r="AH1481" s="111"/>
      <c r="AI1481" s="111"/>
      <c r="AJ1481" s="111"/>
      <c r="AK1481" s="111"/>
      <c r="AL1481" s="111"/>
      <c r="AM1481" s="111"/>
    </row>
    <row r="1482" spans="1:39" ht="15" customHeight="1" x14ac:dyDescent="0.25">
      <c r="A1482" s="1409"/>
      <c r="B1482" s="1409"/>
      <c r="C1482" s="1409"/>
      <c r="D1482" s="1409"/>
      <c r="E1482" s="1218">
        <v>251</v>
      </c>
      <c r="F1482" s="1268" t="s">
        <v>614</v>
      </c>
      <c r="G1482" s="1218"/>
      <c r="H1482" s="1218"/>
      <c r="I1482" s="1218"/>
      <c r="J1482" s="1218"/>
      <c r="K1482" s="1218"/>
      <c r="L1482" s="1218"/>
      <c r="M1482" s="1218"/>
      <c r="N1482" s="1218"/>
      <c r="O1482" s="1218"/>
      <c r="P1482" s="1218"/>
      <c r="Q1482" s="1218"/>
      <c r="R1482" s="1218"/>
      <c r="S1482" s="1218"/>
      <c r="T1482" s="1218"/>
      <c r="U1482" s="1218"/>
      <c r="V1482" s="1218"/>
      <c r="W1482" s="1218"/>
      <c r="X1482" s="1218"/>
      <c r="Y1482" s="1218"/>
      <c r="Z1482" s="1218"/>
      <c r="AA1482" s="1218"/>
      <c r="AB1482" s="1218"/>
      <c r="AC1482" s="1218"/>
      <c r="AD1482" s="1218"/>
      <c r="AE1482" s="1218"/>
      <c r="AF1482" s="1218"/>
      <c r="AG1482" s="1218"/>
      <c r="AH1482" s="1218"/>
      <c r="AI1482" s="1218"/>
      <c r="AJ1482" s="1218"/>
      <c r="AK1482" s="1218"/>
      <c r="AL1482" s="1218"/>
      <c r="AM1482" s="1218"/>
    </row>
    <row r="1483" spans="1:39" ht="15" customHeight="1" x14ac:dyDescent="0.25">
      <c r="A1483" s="1409"/>
      <c r="B1483" s="1409"/>
      <c r="C1483" s="1409"/>
      <c r="D1483" s="1409"/>
      <c r="E1483" s="1247"/>
      <c r="F1483" s="1248"/>
      <c r="G1483" s="111"/>
      <c r="H1483" s="1249"/>
      <c r="I1483" s="111"/>
      <c r="J1483" s="111"/>
      <c r="K1483" s="111"/>
      <c r="L1483" s="111"/>
      <c r="M1483" s="111"/>
      <c r="N1483" s="111"/>
      <c r="O1483" s="111"/>
      <c r="P1483" s="111"/>
      <c r="Q1483" s="111"/>
      <c r="R1483" s="111"/>
      <c r="S1483" s="1249"/>
      <c r="T1483" s="1250"/>
      <c r="U1483" s="1250"/>
      <c r="V1483" s="1250"/>
      <c r="W1483" s="1251"/>
      <c r="X1483" s="1250"/>
      <c r="Y1483" s="1250"/>
      <c r="Z1483" s="1250"/>
      <c r="AA1483" s="1250"/>
      <c r="AB1483" s="1250"/>
      <c r="AC1483" s="1250"/>
      <c r="AD1483" s="1250"/>
      <c r="AE1483" s="1249"/>
      <c r="AF1483" s="1250"/>
      <c r="AG1483" s="111"/>
      <c r="AH1483" s="111"/>
      <c r="AI1483" s="111"/>
      <c r="AJ1483" s="111"/>
      <c r="AK1483" s="111"/>
      <c r="AL1483" s="111"/>
      <c r="AM1483" s="111"/>
    </row>
    <row r="1484" spans="1:39" ht="15" customHeight="1" x14ac:dyDescent="0.25">
      <c r="A1484" s="1409"/>
      <c r="B1484" s="1409"/>
      <c r="C1484" s="1409"/>
      <c r="D1484" s="1409"/>
      <c r="E1484" s="1261">
        <v>25101</v>
      </c>
      <c r="F1484" s="1262" t="s">
        <v>615</v>
      </c>
      <c r="G1484" s="1261"/>
      <c r="H1484" s="1261"/>
      <c r="I1484" s="1261"/>
      <c r="J1484" s="1261"/>
      <c r="K1484" s="1261"/>
      <c r="L1484" s="1261"/>
      <c r="M1484" s="1261"/>
      <c r="N1484" s="1261"/>
      <c r="O1484" s="1261"/>
      <c r="P1484" s="1261"/>
      <c r="Q1484" s="1261"/>
      <c r="R1484" s="1261"/>
      <c r="S1484" s="1261"/>
      <c r="T1484" s="1261"/>
      <c r="U1484" s="1261"/>
      <c r="V1484" s="1261"/>
      <c r="W1484" s="1261"/>
      <c r="X1484" s="1261"/>
      <c r="Y1484" s="1261"/>
      <c r="Z1484" s="1261"/>
      <c r="AA1484" s="1261"/>
      <c r="AB1484" s="1261"/>
      <c r="AC1484" s="1261"/>
      <c r="AD1484" s="1261"/>
      <c r="AE1484" s="1261"/>
      <c r="AF1484" s="1261"/>
      <c r="AG1484" s="1261"/>
      <c r="AH1484" s="1261"/>
      <c r="AI1484" s="1261"/>
      <c r="AJ1484" s="1261"/>
      <c r="AK1484" s="1261"/>
      <c r="AL1484" s="1261"/>
      <c r="AM1484" s="1261"/>
    </row>
    <row r="1485" spans="1:39" ht="15" customHeight="1" x14ac:dyDescent="0.25">
      <c r="A1485" s="1409"/>
      <c r="B1485" s="1409"/>
      <c r="C1485" s="1409"/>
      <c r="D1485" s="1409"/>
      <c r="E1485" s="1247"/>
      <c r="F1485" s="1248" t="s">
        <v>3033</v>
      </c>
      <c r="G1485" s="111"/>
      <c r="H1485" s="1249">
        <v>2</v>
      </c>
      <c r="I1485" s="111" t="s">
        <v>2321</v>
      </c>
      <c r="J1485" s="1321" t="s">
        <v>5608</v>
      </c>
      <c r="K1485" s="162" t="s">
        <v>5610</v>
      </c>
      <c r="L1485" s="162" t="s">
        <v>5609</v>
      </c>
      <c r="M1485" s="111">
        <v>500</v>
      </c>
      <c r="N1485" s="111">
        <v>1000</v>
      </c>
      <c r="O1485" s="111"/>
      <c r="P1485" s="111"/>
      <c r="Q1485" s="111"/>
      <c r="R1485" s="111"/>
      <c r="S1485" s="1249">
        <v>2</v>
      </c>
      <c r="T1485" s="1250">
        <v>333.33333333333331</v>
      </c>
      <c r="U1485" s="1250"/>
      <c r="V1485" s="1250"/>
      <c r="W1485" s="1251">
        <v>0</v>
      </c>
      <c r="X1485" s="1250">
        <v>333.33333333333331</v>
      </c>
      <c r="Y1485" s="1250"/>
      <c r="Z1485" s="1250"/>
      <c r="AA1485" s="1250"/>
      <c r="AB1485" s="1250"/>
      <c r="AC1485" s="1250"/>
      <c r="AD1485" s="1250"/>
      <c r="AE1485" s="1249">
        <v>0</v>
      </c>
      <c r="AF1485" s="1250">
        <v>333.33333333333331</v>
      </c>
      <c r="AG1485" s="111"/>
      <c r="AH1485" s="111"/>
      <c r="AI1485" s="111"/>
      <c r="AJ1485" s="111"/>
      <c r="AK1485" s="111"/>
      <c r="AL1485" s="111"/>
      <c r="AM1485" s="111">
        <v>1000</v>
      </c>
    </row>
    <row r="1486" spans="1:39" ht="15" customHeight="1" x14ac:dyDescent="0.25">
      <c r="A1486" s="1409"/>
      <c r="B1486" s="1409"/>
      <c r="C1486" s="1409"/>
      <c r="D1486" s="1409"/>
      <c r="E1486" s="1247"/>
      <c r="F1486" s="1248"/>
      <c r="G1486" s="111"/>
      <c r="H1486" s="1249"/>
      <c r="I1486" s="111"/>
      <c r="J1486" s="111"/>
      <c r="K1486" s="111"/>
      <c r="L1486" s="111"/>
      <c r="M1486" s="111"/>
      <c r="N1486" s="111"/>
      <c r="O1486" s="111"/>
      <c r="P1486" s="111"/>
      <c r="Q1486" s="111"/>
      <c r="R1486" s="111"/>
      <c r="S1486" s="1249"/>
      <c r="T1486" s="1250"/>
      <c r="U1486" s="1250"/>
      <c r="V1486" s="1250"/>
      <c r="W1486" s="1251"/>
      <c r="X1486" s="1250"/>
      <c r="Y1486" s="1250"/>
      <c r="Z1486" s="1250"/>
      <c r="AA1486" s="1250"/>
      <c r="AB1486" s="1250"/>
      <c r="AC1486" s="1250"/>
      <c r="AD1486" s="1250"/>
      <c r="AE1486" s="1249"/>
      <c r="AF1486" s="1250"/>
      <c r="AG1486" s="111"/>
      <c r="AH1486" s="111"/>
      <c r="AI1486" s="111"/>
      <c r="AJ1486" s="111"/>
      <c r="AK1486" s="111"/>
      <c r="AL1486" s="111"/>
      <c r="AM1486" s="111"/>
    </row>
    <row r="1487" spans="1:39" ht="15" customHeight="1" x14ac:dyDescent="0.25">
      <c r="A1487" s="1409"/>
      <c r="B1487" s="1409"/>
      <c r="C1487" s="1409"/>
      <c r="D1487" s="1409"/>
      <c r="E1487" s="1261">
        <v>25102</v>
      </c>
      <c r="F1487" s="1262" t="s">
        <v>616</v>
      </c>
      <c r="G1487" s="1261"/>
      <c r="H1487" s="1261"/>
      <c r="I1487" s="1261"/>
      <c r="J1487" s="1261"/>
      <c r="K1487" s="1261"/>
      <c r="L1487" s="1261"/>
      <c r="M1487" s="1261"/>
      <c r="N1487" s="1261"/>
      <c r="O1487" s="1261"/>
      <c r="P1487" s="1261"/>
      <c r="Q1487" s="1261"/>
      <c r="R1487" s="1261"/>
      <c r="S1487" s="1261"/>
      <c r="T1487" s="1261"/>
      <c r="U1487" s="1261"/>
      <c r="V1487" s="1261"/>
      <c r="W1487" s="1261"/>
      <c r="X1487" s="1261"/>
      <c r="Y1487" s="1261"/>
      <c r="Z1487" s="1261"/>
      <c r="AA1487" s="1261"/>
      <c r="AB1487" s="1261"/>
      <c r="AC1487" s="1261"/>
      <c r="AD1487" s="1261"/>
      <c r="AE1487" s="1261"/>
      <c r="AF1487" s="1261"/>
      <c r="AG1487" s="1261"/>
      <c r="AH1487" s="1261"/>
      <c r="AI1487" s="1261"/>
      <c r="AJ1487" s="1261"/>
      <c r="AK1487" s="1261"/>
      <c r="AL1487" s="1261"/>
      <c r="AM1487" s="1261"/>
    </row>
    <row r="1488" spans="1:39" ht="15" customHeight="1" x14ac:dyDescent="0.25">
      <c r="A1488" s="1409"/>
      <c r="B1488" s="1409"/>
      <c r="C1488" s="1409"/>
      <c r="D1488" s="1409"/>
      <c r="E1488" s="1247"/>
      <c r="F1488" s="1248" t="s">
        <v>5159</v>
      </c>
      <c r="G1488" s="111"/>
      <c r="H1488" s="1249">
        <v>16</v>
      </c>
      <c r="I1488" s="111" t="s">
        <v>1736</v>
      </c>
      <c r="J1488" s="1321" t="s">
        <v>5608</v>
      </c>
      <c r="K1488" s="162" t="s">
        <v>5610</v>
      </c>
      <c r="L1488" s="162" t="s">
        <v>5609</v>
      </c>
      <c r="M1488" s="111">
        <v>103.98224999999999</v>
      </c>
      <c r="N1488" s="111">
        <v>1663.7159999999999</v>
      </c>
      <c r="O1488" s="111"/>
      <c r="P1488" s="111"/>
      <c r="Q1488" s="111"/>
      <c r="R1488" s="111"/>
      <c r="S1488" s="1249">
        <v>6</v>
      </c>
      <c r="T1488" s="1250">
        <v>554.572</v>
      </c>
      <c r="U1488" s="1250"/>
      <c r="V1488" s="1250"/>
      <c r="W1488" s="1251">
        <v>5</v>
      </c>
      <c r="X1488" s="1250">
        <v>554.572</v>
      </c>
      <c r="Y1488" s="1250"/>
      <c r="Z1488" s="1250"/>
      <c r="AA1488" s="1250"/>
      <c r="AB1488" s="1250"/>
      <c r="AC1488" s="1250"/>
      <c r="AD1488" s="1250"/>
      <c r="AE1488" s="1249">
        <v>5</v>
      </c>
      <c r="AF1488" s="1250">
        <v>554.572</v>
      </c>
      <c r="AG1488" s="111"/>
      <c r="AH1488" s="111"/>
      <c r="AI1488" s="111"/>
      <c r="AJ1488" s="111"/>
      <c r="AK1488" s="111"/>
      <c r="AL1488" s="111"/>
      <c r="AM1488" s="111">
        <v>1663.7159999999999</v>
      </c>
    </row>
    <row r="1489" spans="1:39" ht="15" customHeight="1" x14ac:dyDescent="0.25">
      <c r="A1489" s="1409"/>
      <c r="B1489" s="1409"/>
      <c r="C1489" s="1409"/>
      <c r="D1489" s="1409"/>
      <c r="E1489" s="1285"/>
      <c r="F1489" s="1248" t="s">
        <v>1875</v>
      </c>
      <c r="G1489" s="111"/>
      <c r="H1489" s="1249">
        <v>16</v>
      </c>
      <c r="I1489" s="111" t="s">
        <v>1721</v>
      </c>
      <c r="J1489" s="1321" t="s">
        <v>5608</v>
      </c>
      <c r="K1489" s="162" t="s">
        <v>5610</v>
      </c>
      <c r="L1489" s="162" t="s">
        <v>5609</v>
      </c>
      <c r="M1489" s="111">
        <v>286.64064000000002</v>
      </c>
      <c r="N1489" s="111">
        <v>4586.2502400000003</v>
      </c>
      <c r="O1489" s="111"/>
      <c r="P1489" s="111"/>
      <c r="Q1489" s="111"/>
      <c r="R1489" s="111"/>
      <c r="S1489" s="1249">
        <v>6</v>
      </c>
      <c r="T1489" s="1250">
        <v>1528.75008</v>
      </c>
      <c r="U1489" s="1250"/>
      <c r="V1489" s="1250"/>
      <c r="W1489" s="1251">
        <v>5</v>
      </c>
      <c r="X1489" s="1250">
        <v>1528.75008</v>
      </c>
      <c r="Y1489" s="1250"/>
      <c r="Z1489" s="1250"/>
      <c r="AA1489" s="1250"/>
      <c r="AB1489" s="1250"/>
      <c r="AC1489" s="1250"/>
      <c r="AD1489" s="1250"/>
      <c r="AE1489" s="1249">
        <v>5</v>
      </c>
      <c r="AF1489" s="1250">
        <v>1528.75008</v>
      </c>
      <c r="AG1489" s="111"/>
      <c r="AH1489" s="111"/>
      <c r="AI1489" s="111"/>
      <c r="AJ1489" s="111"/>
      <c r="AK1489" s="111"/>
      <c r="AL1489" s="111"/>
      <c r="AM1489" s="111">
        <v>4586.2502400000003</v>
      </c>
    </row>
    <row r="1490" spans="1:39" ht="15" customHeight="1" x14ac:dyDescent="0.25">
      <c r="A1490" s="1409"/>
      <c r="B1490" s="1409"/>
      <c r="C1490" s="1409"/>
      <c r="D1490" s="1409"/>
      <c r="E1490" s="1285"/>
      <c r="F1490" s="1248" t="s">
        <v>1450</v>
      </c>
      <c r="G1490" s="111"/>
      <c r="H1490" s="1249">
        <v>4</v>
      </c>
      <c r="I1490" s="111" t="s">
        <v>2443</v>
      </c>
      <c r="J1490" s="1321" t="s">
        <v>5608</v>
      </c>
      <c r="K1490" s="162" t="s">
        <v>5610</v>
      </c>
      <c r="L1490" s="162" t="s">
        <v>5609</v>
      </c>
      <c r="M1490" s="111">
        <v>1067.3520000000001</v>
      </c>
      <c r="N1490" s="111">
        <v>4269.4080000000004</v>
      </c>
      <c r="O1490" s="111"/>
      <c r="P1490" s="111"/>
      <c r="Q1490" s="111"/>
      <c r="R1490" s="111"/>
      <c r="S1490" s="1249">
        <v>2</v>
      </c>
      <c r="T1490" s="1250">
        <v>1423.1360000000002</v>
      </c>
      <c r="U1490" s="1250"/>
      <c r="V1490" s="1250"/>
      <c r="W1490" s="1251">
        <v>1</v>
      </c>
      <c r="X1490" s="1250">
        <v>1423.1360000000002</v>
      </c>
      <c r="Y1490" s="1250"/>
      <c r="Z1490" s="1250"/>
      <c r="AA1490" s="1250"/>
      <c r="AB1490" s="1250"/>
      <c r="AC1490" s="1250"/>
      <c r="AD1490" s="1250"/>
      <c r="AE1490" s="1249">
        <v>1</v>
      </c>
      <c r="AF1490" s="1250">
        <v>1423.1360000000002</v>
      </c>
      <c r="AG1490" s="111"/>
      <c r="AH1490" s="111"/>
      <c r="AI1490" s="111"/>
      <c r="AJ1490" s="111"/>
      <c r="AK1490" s="111"/>
      <c r="AL1490" s="111"/>
      <c r="AM1490" s="111">
        <v>4269.4080000000004</v>
      </c>
    </row>
    <row r="1491" spans="1:39" ht="15" customHeight="1" x14ac:dyDescent="0.25">
      <c r="A1491" s="1409"/>
      <c r="B1491" s="1409"/>
      <c r="C1491" s="1409"/>
      <c r="D1491" s="1409"/>
      <c r="E1491" s="1285"/>
      <c r="F1491" s="1248" t="s">
        <v>1742</v>
      </c>
      <c r="G1491" s="111"/>
      <c r="H1491" s="1249">
        <v>8</v>
      </c>
      <c r="I1491" s="111" t="s">
        <v>1721</v>
      </c>
      <c r="J1491" s="1321" t="s">
        <v>5608</v>
      </c>
      <c r="K1491" s="162" t="s">
        <v>5610</v>
      </c>
      <c r="L1491" s="162" t="s">
        <v>5609</v>
      </c>
      <c r="M1491" s="111">
        <v>13</v>
      </c>
      <c r="N1491" s="111">
        <v>104</v>
      </c>
      <c r="O1491" s="111"/>
      <c r="P1491" s="111"/>
      <c r="Q1491" s="111"/>
      <c r="R1491" s="111"/>
      <c r="S1491" s="1249">
        <v>4</v>
      </c>
      <c r="T1491" s="1250">
        <v>34.666666666666664</v>
      </c>
      <c r="U1491" s="1250"/>
      <c r="V1491" s="1250"/>
      <c r="W1491" s="1251">
        <v>2</v>
      </c>
      <c r="X1491" s="1250">
        <v>34.666666666666664</v>
      </c>
      <c r="Y1491" s="1250"/>
      <c r="Z1491" s="1250"/>
      <c r="AA1491" s="1250"/>
      <c r="AB1491" s="1250"/>
      <c r="AC1491" s="1250"/>
      <c r="AD1491" s="1250"/>
      <c r="AE1491" s="1249">
        <v>2</v>
      </c>
      <c r="AF1491" s="1250">
        <v>34.666666666666664</v>
      </c>
      <c r="AG1491" s="111"/>
      <c r="AH1491" s="111"/>
      <c r="AI1491" s="111"/>
      <c r="AJ1491" s="111"/>
      <c r="AK1491" s="111"/>
      <c r="AL1491" s="111"/>
      <c r="AM1491" s="111">
        <v>104</v>
      </c>
    </row>
    <row r="1492" spans="1:39" ht="15" customHeight="1" x14ac:dyDescent="0.25">
      <c r="A1492" s="1409"/>
      <c r="B1492" s="1409"/>
      <c r="C1492" s="1409"/>
      <c r="D1492" s="1409"/>
      <c r="E1492" s="1285"/>
      <c r="F1492" s="1248" t="s">
        <v>5160</v>
      </c>
      <c r="G1492" s="111"/>
      <c r="H1492" s="1249">
        <v>20</v>
      </c>
      <c r="I1492" s="111" t="s">
        <v>1736</v>
      </c>
      <c r="J1492" s="1321" t="s">
        <v>5608</v>
      </c>
      <c r="K1492" s="162" t="s">
        <v>5610</v>
      </c>
      <c r="L1492" s="162" t="s">
        <v>5609</v>
      </c>
      <c r="M1492" s="111">
        <v>103.97999999999999</v>
      </c>
      <c r="N1492" s="111">
        <v>2079.6</v>
      </c>
      <c r="O1492" s="111"/>
      <c r="P1492" s="111"/>
      <c r="Q1492" s="111"/>
      <c r="R1492" s="111"/>
      <c r="S1492" s="1249">
        <v>10</v>
      </c>
      <c r="T1492" s="1250">
        <v>693.19999999999993</v>
      </c>
      <c r="U1492" s="1250"/>
      <c r="V1492" s="1250"/>
      <c r="W1492" s="1251">
        <v>5</v>
      </c>
      <c r="X1492" s="1250">
        <v>693.19999999999993</v>
      </c>
      <c r="Y1492" s="1250"/>
      <c r="Z1492" s="1250"/>
      <c r="AA1492" s="1250"/>
      <c r="AB1492" s="1250"/>
      <c r="AC1492" s="1250"/>
      <c r="AD1492" s="1250"/>
      <c r="AE1492" s="1249">
        <v>5</v>
      </c>
      <c r="AF1492" s="1250">
        <v>693.19999999999993</v>
      </c>
      <c r="AG1492" s="111"/>
      <c r="AH1492" s="111"/>
      <c r="AI1492" s="111"/>
      <c r="AJ1492" s="111"/>
      <c r="AK1492" s="111"/>
      <c r="AL1492" s="111"/>
      <c r="AM1492" s="111">
        <v>2079.6</v>
      </c>
    </row>
    <row r="1493" spans="1:39" ht="15" customHeight="1" x14ac:dyDescent="0.25">
      <c r="A1493" s="1409"/>
      <c r="B1493" s="1409"/>
      <c r="C1493" s="1409"/>
      <c r="D1493" s="1409"/>
      <c r="E1493" s="1285"/>
      <c r="F1493" s="1248" t="s">
        <v>3034</v>
      </c>
      <c r="G1493" s="111"/>
      <c r="H1493" s="1249">
        <v>6</v>
      </c>
      <c r="I1493" s="111" t="s">
        <v>2321</v>
      </c>
      <c r="J1493" s="1321" t="s">
        <v>5608</v>
      </c>
      <c r="K1493" s="162" t="s">
        <v>5610</v>
      </c>
      <c r="L1493" s="162" t="s">
        <v>5609</v>
      </c>
      <c r="M1493" s="111">
        <v>103.98</v>
      </c>
      <c r="N1493" s="111">
        <v>623.88</v>
      </c>
      <c r="O1493" s="111"/>
      <c r="P1493" s="111"/>
      <c r="Q1493" s="111"/>
      <c r="R1493" s="111"/>
      <c r="S1493" s="1249">
        <v>2</v>
      </c>
      <c r="T1493" s="1250">
        <v>207.96</v>
      </c>
      <c r="U1493" s="1250"/>
      <c r="V1493" s="1250"/>
      <c r="W1493" s="1251">
        <v>2</v>
      </c>
      <c r="X1493" s="1250">
        <v>207.96</v>
      </c>
      <c r="Y1493" s="1250"/>
      <c r="Z1493" s="1250"/>
      <c r="AA1493" s="1250"/>
      <c r="AB1493" s="1250"/>
      <c r="AC1493" s="1250"/>
      <c r="AD1493" s="1250"/>
      <c r="AE1493" s="1249">
        <v>2</v>
      </c>
      <c r="AF1493" s="1250">
        <v>207.96</v>
      </c>
      <c r="AG1493" s="111"/>
      <c r="AH1493" s="111"/>
      <c r="AI1493" s="111"/>
      <c r="AJ1493" s="111"/>
      <c r="AK1493" s="111"/>
      <c r="AL1493" s="111"/>
      <c r="AM1493" s="111">
        <v>623.88</v>
      </c>
    </row>
    <row r="1494" spans="1:39" ht="15" customHeight="1" x14ac:dyDescent="0.25">
      <c r="A1494" s="1409"/>
      <c r="B1494" s="1409"/>
      <c r="C1494" s="1409"/>
      <c r="D1494" s="1409"/>
      <c r="E1494" s="1285"/>
      <c r="F1494" s="1248" t="s">
        <v>3035</v>
      </c>
      <c r="G1494" s="111"/>
      <c r="H1494" s="1249">
        <v>1</v>
      </c>
      <c r="I1494" s="111" t="s">
        <v>2443</v>
      </c>
      <c r="J1494" s="1321" t="s">
        <v>5608</v>
      </c>
      <c r="K1494" s="162" t="s">
        <v>5610</v>
      </c>
      <c r="L1494" s="162" t="s">
        <v>5609</v>
      </c>
      <c r="M1494" s="111">
        <v>344.42</v>
      </c>
      <c r="N1494" s="111">
        <v>344.42</v>
      </c>
      <c r="O1494" s="111"/>
      <c r="P1494" s="111"/>
      <c r="Q1494" s="111"/>
      <c r="R1494" s="111"/>
      <c r="S1494" s="1249">
        <v>1</v>
      </c>
      <c r="T1494" s="1250">
        <v>114.80666666666667</v>
      </c>
      <c r="U1494" s="1250"/>
      <c r="V1494" s="1250"/>
      <c r="W1494" s="1251">
        <v>0</v>
      </c>
      <c r="X1494" s="1250">
        <v>114.80666666666667</v>
      </c>
      <c r="Y1494" s="1250"/>
      <c r="Z1494" s="1250"/>
      <c r="AA1494" s="1250"/>
      <c r="AB1494" s="1250"/>
      <c r="AC1494" s="1250"/>
      <c r="AD1494" s="1250"/>
      <c r="AE1494" s="1249">
        <v>0</v>
      </c>
      <c r="AF1494" s="1250">
        <v>114.80666666666667</v>
      </c>
      <c r="AG1494" s="111"/>
      <c r="AH1494" s="111"/>
      <c r="AI1494" s="111"/>
      <c r="AJ1494" s="111"/>
      <c r="AK1494" s="111"/>
      <c r="AL1494" s="111"/>
      <c r="AM1494" s="111">
        <v>344.42</v>
      </c>
    </row>
    <row r="1495" spans="1:39" ht="15" customHeight="1" x14ac:dyDescent="0.25">
      <c r="A1495" s="1409"/>
      <c r="B1495" s="1409"/>
      <c r="C1495" s="1409"/>
      <c r="D1495" s="1409"/>
      <c r="E1495" s="1285"/>
      <c r="F1495" s="1248" t="s">
        <v>2735</v>
      </c>
      <c r="G1495" s="111"/>
      <c r="H1495" s="1249">
        <v>1</v>
      </c>
      <c r="I1495" s="111" t="s">
        <v>5161</v>
      </c>
      <c r="J1495" s="1321" t="s">
        <v>5608</v>
      </c>
      <c r="K1495" s="162" t="s">
        <v>5610</v>
      </c>
      <c r="L1495" s="162" t="s">
        <v>5609</v>
      </c>
      <c r="M1495" s="111">
        <v>2320</v>
      </c>
      <c r="N1495" s="111">
        <v>2320</v>
      </c>
      <c r="O1495" s="111"/>
      <c r="P1495" s="111"/>
      <c r="Q1495" s="111"/>
      <c r="R1495" s="111"/>
      <c r="S1495" s="1249">
        <v>1</v>
      </c>
      <c r="T1495" s="1250">
        <v>773.33333333333337</v>
      </c>
      <c r="U1495" s="1250"/>
      <c r="V1495" s="1250"/>
      <c r="W1495" s="1251">
        <v>0</v>
      </c>
      <c r="X1495" s="1250">
        <v>773.33333333333337</v>
      </c>
      <c r="Y1495" s="1250"/>
      <c r="Z1495" s="1250"/>
      <c r="AA1495" s="1250"/>
      <c r="AB1495" s="1250"/>
      <c r="AC1495" s="1250"/>
      <c r="AD1495" s="1250"/>
      <c r="AE1495" s="1249">
        <v>0</v>
      </c>
      <c r="AF1495" s="1250">
        <v>773.33333333333337</v>
      </c>
      <c r="AG1495" s="111"/>
      <c r="AH1495" s="111"/>
      <c r="AI1495" s="111"/>
      <c r="AJ1495" s="111"/>
      <c r="AK1495" s="111"/>
      <c r="AL1495" s="111"/>
      <c r="AM1495" s="111">
        <v>2320</v>
      </c>
    </row>
    <row r="1496" spans="1:39" ht="15" customHeight="1" x14ac:dyDescent="0.25">
      <c r="A1496" s="1409"/>
      <c r="B1496" s="1409"/>
      <c r="C1496" s="1409"/>
      <c r="D1496" s="1409"/>
      <c r="E1496" s="1285"/>
      <c r="F1496" s="1248" t="s">
        <v>5162</v>
      </c>
      <c r="G1496" s="111"/>
      <c r="H1496" s="1249">
        <v>24</v>
      </c>
      <c r="I1496" s="111" t="s">
        <v>1721</v>
      </c>
      <c r="J1496" s="1321" t="s">
        <v>5608</v>
      </c>
      <c r="K1496" s="162" t="s">
        <v>5610</v>
      </c>
      <c r="L1496" s="162" t="s">
        <v>5609</v>
      </c>
      <c r="M1496" s="111">
        <v>87.7</v>
      </c>
      <c r="N1496" s="111">
        <v>2104.8000000000002</v>
      </c>
      <c r="O1496" s="111"/>
      <c r="P1496" s="111"/>
      <c r="Q1496" s="111"/>
      <c r="R1496" s="111"/>
      <c r="S1496" s="1249">
        <v>14</v>
      </c>
      <c r="T1496" s="1250">
        <v>701.6</v>
      </c>
      <c r="U1496" s="1250"/>
      <c r="V1496" s="1250"/>
      <c r="W1496" s="1251">
        <v>5</v>
      </c>
      <c r="X1496" s="1250">
        <v>701.6</v>
      </c>
      <c r="Y1496" s="1250"/>
      <c r="Z1496" s="1250"/>
      <c r="AA1496" s="1250"/>
      <c r="AB1496" s="1250"/>
      <c r="AC1496" s="1250"/>
      <c r="AD1496" s="1250"/>
      <c r="AE1496" s="1249">
        <v>5</v>
      </c>
      <c r="AF1496" s="1250">
        <v>701.6</v>
      </c>
      <c r="AG1496" s="111"/>
      <c r="AH1496" s="111"/>
      <c r="AI1496" s="111"/>
      <c r="AJ1496" s="111"/>
      <c r="AK1496" s="111"/>
      <c r="AL1496" s="111"/>
      <c r="AM1496" s="111">
        <v>2104.8000000000002</v>
      </c>
    </row>
    <row r="1497" spans="1:39" ht="15" customHeight="1" x14ac:dyDescent="0.25">
      <c r="A1497" s="1409"/>
      <c r="B1497" s="1409"/>
      <c r="C1497" s="1409"/>
      <c r="D1497" s="1409"/>
      <c r="E1497" s="1285"/>
      <c r="F1497" s="1248" t="s">
        <v>2734</v>
      </c>
      <c r="G1497" s="111"/>
      <c r="H1497" s="1249">
        <v>32</v>
      </c>
      <c r="I1497" s="111" t="s">
        <v>1721</v>
      </c>
      <c r="J1497" s="1321" t="s">
        <v>5608</v>
      </c>
      <c r="K1497" s="162" t="s">
        <v>5610</v>
      </c>
      <c r="L1497" s="162" t="s">
        <v>5609</v>
      </c>
      <c r="M1497" s="111">
        <v>76.095999999999989</v>
      </c>
      <c r="N1497" s="111">
        <v>2435.0719999999997</v>
      </c>
      <c r="O1497" s="111"/>
      <c r="P1497" s="111"/>
      <c r="Q1497" s="111"/>
      <c r="R1497" s="111"/>
      <c r="S1497" s="1249">
        <v>12</v>
      </c>
      <c r="T1497" s="1250">
        <v>811.69066666666652</v>
      </c>
      <c r="U1497" s="1250"/>
      <c r="V1497" s="1250"/>
      <c r="W1497" s="1251">
        <v>10</v>
      </c>
      <c r="X1497" s="1250">
        <v>811.69066666666652</v>
      </c>
      <c r="Y1497" s="1250"/>
      <c r="Z1497" s="1250"/>
      <c r="AA1497" s="1250"/>
      <c r="AB1497" s="1250"/>
      <c r="AC1497" s="1250"/>
      <c r="AD1497" s="1250"/>
      <c r="AE1497" s="1249">
        <v>10</v>
      </c>
      <c r="AF1497" s="1250">
        <v>811.69066666666652</v>
      </c>
      <c r="AG1497" s="111"/>
      <c r="AH1497" s="111"/>
      <c r="AI1497" s="111"/>
      <c r="AJ1497" s="111"/>
      <c r="AK1497" s="111"/>
      <c r="AL1497" s="111"/>
      <c r="AM1497" s="111">
        <v>2435.0719999999997</v>
      </c>
    </row>
    <row r="1498" spans="1:39" ht="15" customHeight="1" x14ac:dyDescent="0.25">
      <c r="A1498" s="1409"/>
      <c r="B1498" s="1409"/>
      <c r="C1498" s="1409"/>
      <c r="D1498" s="1409"/>
      <c r="E1498" s="1285"/>
      <c r="F1498" s="1248"/>
      <c r="G1498" s="111"/>
      <c r="H1498" s="1249"/>
      <c r="I1498" s="111"/>
      <c r="J1498" s="111"/>
      <c r="K1498" s="111"/>
      <c r="L1498" s="111"/>
      <c r="M1498" s="111"/>
      <c r="N1498" s="111"/>
      <c r="O1498" s="111"/>
      <c r="P1498" s="111"/>
      <c r="Q1498" s="111"/>
      <c r="R1498" s="111"/>
      <c r="S1498" s="1249"/>
      <c r="T1498" s="1250"/>
      <c r="U1498" s="1250"/>
      <c r="V1498" s="1250"/>
      <c r="W1498" s="1251"/>
      <c r="X1498" s="1250"/>
      <c r="Y1498" s="1250"/>
      <c r="Z1498" s="1250"/>
      <c r="AA1498" s="1250"/>
      <c r="AB1498" s="1250"/>
      <c r="AC1498" s="1250"/>
      <c r="AD1498" s="1250"/>
      <c r="AE1498" s="1249"/>
      <c r="AF1498" s="1250"/>
      <c r="AG1498" s="111"/>
      <c r="AH1498" s="111"/>
      <c r="AI1498" s="111"/>
      <c r="AJ1498" s="111"/>
      <c r="AK1498" s="111"/>
      <c r="AL1498" s="111"/>
      <c r="AM1498" s="111"/>
    </row>
    <row r="1499" spans="1:39" ht="15" customHeight="1" x14ac:dyDescent="0.25">
      <c r="A1499" s="1409"/>
      <c r="B1499" s="1409"/>
      <c r="C1499" s="1409"/>
      <c r="D1499" s="1409"/>
      <c r="E1499" s="1218">
        <v>252</v>
      </c>
      <c r="F1499" s="1268" t="s">
        <v>618</v>
      </c>
      <c r="G1499" s="1218"/>
      <c r="H1499" s="1218"/>
      <c r="I1499" s="1218"/>
      <c r="J1499" s="1218"/>
      <c r="K1499" s="1218"/>
      <c r="L1499" s="1218"/>
      <c r="M1499" s="1218"/>
      <c r="N1499" s="1218"/>
      <c r="O1499" s="1218"/>
      <c r="P1499" s="1218"/>
      <c r="Q1499" s="1218"/>
      <c r="R1499" s="1218"/>
      <c r="S1499" s="1218"/>
      <c r="T1499" s="1218"/>
      <c r="U1499" s="1218"/>
      <c r="V1499" s="1218"/>
      <c r="W1499" s="1218"/>
      <c r="X1499" s="1218"/>
      <c r="Y1499" s="1218"/>
      <c r="Z1499" s="1218"/>
      <c r="AA1499" s="1218"/>
      <c r="AB1499" s="1218"/>
      <c r="AC1499" s="1218"/>
      <c r="AD1499" s="1218"/>
      <c r="AE1499" s="1218"/>
      <c r="AF1499" s="1218"/>
      <c r="AG1499" s="1218"/>
      <c r="AH1499" s="1218"/>
      <c r="AI1499" s="1218"/>
      <c r="AJ1499" s="1218"/>
      <c r="AK1499" s="1218"/>
      <c r="AL1499" s="1218"/>
      <c r="AM1499" s="1218"/>
    </row>
    <row r="1500" spans="1:39" ht="15" customHeight="1" x14ac:dyDescent="0.25">
      <c r="A1500" s="1409"/>
      <c r="B1500" s="1409"/>
      <c r="C1500" s="1409"/>
      <c r="D1500" s="1409"/>
      <c r="E1500" s="1247"/>
      <c r="F1500" s="1248"/>
      <c r="G1500" s="111"/>
      <c r="H1500" s="1249"/>
      <c r="I1500" s="111"/>
      <c r="J1500" s="111"/>
      <c r="K1500" s="111"/>
      <c r="L1500" s="111"/>
      <c r="M1500" s="111"/>
      <c r="N1500" s="111"/>
      <c r="O1500" s="111"/>
      <c r="P1500" s="111"/>
      <c r="Q1500" s="111"/>
      <c r="R1500" s="111"/>
      <c r="S1500" s="1249"/>
      <c r="T1500" s="1250"/>
      <c r="U1500" s="1250"/>
      <c r="V1500" s="1250"/>
      <c r="W1500" s="1251"/>
      <c r="X1500" s="1250"/>
      <c r="Y1500" s="1250"/>
      <c r="Z1500" s="1250"/>
      <c r="AA1500" s="1250"/>
      <c r="AB1500" s="1250"/>
      <c r="AC1500" s="1250"/>
      <c r="AD1500" s="1250"/>
      <c r="AE1500" s="1249"/>
      <c r="AF1500" s="1250"/>
      <c r="AG1500" s="111"/>
      <c r="AH1500" s="111"/>
      <c r="AI1500" s="111"/>
      <c r="AJ1500" s="111"/>
      <c r="AK1500" s="111"/>
      <c r="AL1500" s="111"/>
      <c r="AM1500" s="111"/>
    </row>
    <row r="1501" spans="1:39" ht="15" customHeight="1" x14ac:dyDescent="0.25">
      <c r="A1501" s="1409"/>
      <c r="B1501" s="1409"/>
      <c r="C1501" s="1409"/>
      <c r="D1501" s="1409"/>
      <c r="E1501" s="1261">
        <v>25201</v>
      </c>
      <c r="F1501" s="1262" t="s">
        <v>618</v>
      </c>
      <c r="G1501" s="1261"/>
      <c r="H1501" s="1261"/>
      <c r="I1501" s="1261"/>
      <c r="J1501" s="1261"/>
      <c r="K1501" s="1261"/>
      <c r="L1501" s="1261"/>
      <c r="M1501" s="1261"/>
      <c r="N1501" s="1261"/>
      <c r="O1501" s="1261"/>
      <c r="P1501" s="1261"/>
      <c r="Q1501" s="1261"/>
      <c r="R1501" s="1261"/>
      <c r="S1501" s="1261"/>
      <c r="T1501" s="1261"/>
      <c r="U1501" s="1261"/>
      <c r="V1501" s="1261"/>
      <c r="W1501" s="1261"/>
      <c r="X1501" s="1261"/>
      <c r="Y1501" s="1261"/>
      <c r="Z1501" s="1261"/>
      <c r="AA1501" s="1261"/>
      <c r="AB1501" s="1261"/>
      <c r="AC1501" s="1261"/>
      <c r="AD1501" s="1261"/>
      <c r="AE1501" s="1261"/>
      <c r="AF1501" s="1261"/>
      <c r="AG1501" s="1261"/>
      <c r="AH1501" s="1261"/>
      <c r="AI1501" s="1261"/>
      <c r="AJ1501" s="1261"/>
      <c r="AK1501" s="1261"/>
      <c r="AL1501" s="1261"/>
      <c r="AM1501" s="1261"/>
    </row>
    <row r="1502" spans="1:39" ht="15" customHeight="1" x14ac:dyDescent="0.25">
      <c r="A1502" s="1409"/>
      <c r="B1502" s="1409"/>
      <c r="C1502" s="1409"/>
      <c r="D1502" s="1409"/>
      <c r="E1502" s="1247"/>
      <c r="F1502" s="1248" t="s">
        <v>5163</v>
      </c>
      <c r="G1502" s="111"/>
      <c r="H1502" s="1249">
        <v>10</v>
      </c>
      <c r="I1502" s="111" t="s">
        <v>1736</v>
      </c>
      <c r="J1502" s="1321" t="s">
        <v>5608</v>
      </c>
      <c r="K1502" s="162" t="s">
        <v>5610</v>
      </c>
      <c r="L1502" s="162" t="s">
        <v>5609</v>
      </c>
      <c r="M1502" s="111">
        <v>406.53</v>
      </c>
      <c r="N1502" s="111">
        <v>4065.2999999999997</v>
      </c>
      <c r="O1502" s="111"/>
      <c r="P1502" s="111"/>
      <c r="Q1502" s="111"/>
      <c r="R1502" s="111"/>
      <c r="S1502" s="1249">
        <v>5</v>
      </c>
      <c r="T1502" s="1250">
        <v>1355.1</v>
      </c>
      <c r="U1502" s="1250"/>
      <c r="V1502" s="1250"/>
      <c r="W1502" s="1251">
        <v>5</v>
      </c>
      <c r="X1502" s="1250">
        <v>1355.1</v>
      </c>
      <c r="Y1502" s="1250"/>
      <c r="Z1502" s="1250"/>
      <c r="AA1502" s="1250"/>
      <c r="AB1502" s="1250"/>
      <c r="AC1502" s="1250"/>
      <c r="AD1502" s="1250"/>
      <c r="AE1502" s="1249">
        <v>0</v>
      </c>
      <c r="AF1502" s="1250">
        <v>1355.1</v>
      </c>
      <c r="AG1502" s="111"/>
      <c r="AH1502" s="111"/>
      <c r="AI1502" s="111"/>
      <c r="AJ1502" s="111"/>
      <c r="AK1502" s="111"/>
      <c r="AL1502" s="111"/>
      <c r="AM1502" s="111">
        <v>4065.2999999999997</v>
      </c>
    </row>
    <row r="1503" spans="1:39" ht="15" customHeight="1" x14ac:dyDescent="0.25">
      <c r="A1503" s="1409"/>
      <c r="B1503" s="1409"/>
      <c r="C1503" s="1409"/>
      <c r="D1503" s="1409"/>
      <c r="E1503" s="1247"/>
      <c r="F1503" s="1248" t="s">
        <v>5164</v>
      </c>
      <c r="G1503" s="111"/>
      <c r="H1503" s="1249">
        <v>9</v>
      </c>
      <c r="I1503" s="111" t="s">
        <v>1721</v>
      </c>
      <c r="J1503" s="1321" t="s">
        <v>5608</v>
      </c>
      <c r="K1503" s="162" t="s">
        <v>5610</v>
      </c>
      <c r="L1503" s="162" t="s">
        <v>5609</v>
      </c>
      <c r="M1503" s="111">
        <v>600</v>
      </c>
      <c r="N1503" s="111">
        <v>5400</v>
      </c>
      <c r="O1503" s="111"/>
      <c r="P1503" s="111"/>
      <c r="Q1503" s="111"/>
      <c r="R1503" s="111"/>
      <c r="S1503" s="1249">
        <v>5</v>
      </c>
      <c r="T1503" s="1250">
        <v>1800</v>
      </c>
      <c r="U1503" s="1250"/>
      <c r="V1503" s="1250"/>
      <c r="W1503" s="1251">
        <v>2</v>
      </c>
      <c r="X1503" s="1250">
        <v>1800</v>
      </c>
      <c r="Y1503" s="1250"/>
      <c r="Z1503" s="1250"/>
      <c r="AA1503" s="1250"/>
      <c r="AB1503" s="1250"/>
      <c r="AC1503" s="1250"/>
      <c r="AD1503" s="1250"/>
      <c r="AE1503" s="1249">
        <v>2</v>
      </c>
      <c r="AF1503" s="1250">
        <v>1800</v>
      </c>
      <c r="AG1503" s="111"/>
      <c r="AH1503" s="111"/>
      <c r="AI1503" s="111"/>
      <c r="AJ1503" s="111"/>
      <c r="AK1503" s="111"/>
      <c r="AL1503" s="111"/>
      <c r="AM1503" s="111">
        <v>5400</v>
      </c>
    </row>
    <row r="1504" spans="1:39" ht="15" customHeight="1" x14ac:dyDescent="0.25">
      <c r="A1504" s="1409"/>
      <c r="B1504" s="1409"/>
      <c r="C1504" s="1409"/>
      <c r="D1504" s="1409"/>
      <c r="E1504" s="1247"/>
      <c r="F1504" s="1248" t="s">
        <v>3040</v>
      </c>
      <c r="G1504" s="111"/>
      <c r="H1504" s="1249">
        <v>6</v>
      </c>
      <c r="I1504" s="111" t="s">
        <v>1721</v>
      </c>
      <c r="J1504" s="1321" t="s">
        <v>5608</v>
      </c>
      <c r="K1504" s="162" t="s">
        <v>5610</v>
      </c>
      <c r="L1504" s="162" t="s">
        <v>5609</v>
      </c>
      <c r="M1504" s="111">
        <v>200</v>
      </c>
      <c r="N1504" s="111">
        <v>1200</v>
      </c>
      <c r="O1504" s="111"/>
      <c r="P1504" s="111"/>
      <c r="Q1504" s="111"/>
      <c r="R1504" s="111"/>
      <c r="S1504" s="1249">
        <v>2</v>
      </c>
      <c r="T1504" s="1250">
        <v>400</v>
      </c>
      <c r="U1504" s="1250"/>
      <c r="V1504" s="1250"/>
      <c r="W1504" s="1251">
        <v>2</v>
      </c>
      <c r="X1504" s="1250">
        <v>400</v>
      </c>
      <c r="Y1504" s="1250"/>
      <c r="Z1504" s="1250"/>
      <c r="AA1504" s="1250"/>
      <c r="AB1504" s="1250"/>
      <c r="AC1504" s="1250"/>
      <c r="AD1504" s="1250"/>
      <c r="AE1504" s="1249">
        <v>2</v>
      </c>
      <c r="AF1504" s="1250">
        <v>400</v>
      </c>
      <c r="AG1504" s="111"/>
      <c r="AH1504" s="111"/>
      <c r="AI1504" s="111"/>
      <c r="AJ1504" s="111"/>
      <c r="AK1504" s="111"/>
      <c r="AL1504" s="111"/>
      <c r="AM1504" s="111">
        <v>1200</v>
      </c>
    </row>
    <row r="1505" spans="1:39" ht="15" customHeight="1" x14ac:dyDescent="0.25">
      <c r="A1505" s="1409"/>
      <c r="B1505" s="1409"/>
      <c r="C1505" s="1409"/>
      <c r="D1505" s="1409"/>
      <c r="E1505" s="1247"/>
      <c r="F1505" s="1248" t="s">
        <v>5165</v>
      </c>
      <c r="G1505" s="111"/>
      <c r="H1505" s="1249">
        <v>22</v>
      </c>
      <c r="I1505" s="111" t="s">
        <v>1721</v>
      </c>
      <c r="J1505" s="1321" t="s">
        <v>5608</v>
      </c>
      <c r="K1505" s="162" t="s">
        <v>5610</v>
      </c>
      <c r="L1505" s="162" t="s">
        <v>5609</v>
      </c>
      <c r="M1505" s="111">
        <v>500</v>
      </c>
      <c r="N1505" s="111">
        <v>11000</v>
      </c>
      <c r="O1505" s="111"/>
      <c r="P1505" s="111"/>
      <c r="Q1505" s="111"/>
      <c r="R1505" s="111"/>
      <c r="S1505" s="1249">
        <v>12</v>
      </c>
      <c r="T1505" s="1250">
        <v>3666.6666666666665</v>
      </c>
      <c r="U1505" s="1250"/>
      <c r="V1505" s="1250"/>
      <c r="W1505" s="1251">
        <v>5</v>
      </c>
      <c r="X1505" s="1250">
        <v>3666.6666666666665</v>
      </c>
      <c r="Y1505" s="1250"/>
      <c r="Z1505" s="1250"/>
      <c r="AA1505" s="1250"/>
      <c r="AB1505" s="1250"/>
      <c r="AC1505" s="1250"/>
      <c r="AD1505" s="1250"/>
      <c r="AE1505" s="1249">
        <v>5</v>
      </c>
      <c r="AF1505" s="1250">
        <v>3666.6666666666665</v>
      </c>
      <c r="AG1505" s="111"/>
      <c r="AH1505" s="111"/>
      <c r="AI1505" s="111"/>
      <c r="AJ1505" s="111"/>
      <c r="AK1505" s="111"/>
      <c r="AL1505" s="111"/>
      <c r="AM1505" s="111">
        <v>11000</v>
      </c>
    </row>
    <row r="1506" spans="1:39" ht="15" customHeight="1" x14ac:dyDescent="0.25">
      <c r="A1506" s="1409"/>
      <c r="B1506" s="1409"/>
      <c r="C1506" s="1409"/>
      <c r="D1506" s="1409"/>
      <c r="E1506" s="1247"/>
      <c r="F1506" s="1248" t="s">
        <v>5166</v>
      </c>
      <c r="G1506" s="111"/>
      <c r="H1506" s="1249">
        <v>7</v>
      </c>
      <c r="I1506" s="111" t="s">
        <v>1721</v>
      </c>
      <c r="J1506" s="1321" t="s">
        <v>5608</v>
      </c>
      <c r="K1506" s="162" t="s">
        <v>5610</v>
      </c>
      <c r="L1506" s="162" t="s">
        <v>5609</v>
      </c>
      <c r="M1506" s="111">
        <v>225</v>
      </c>
      <c r="N1506" s="111">
        <v>1575</v>
      </c>
      <c r="O1506" s="111"/>
      <c r="P1506" s="111"/>
      <c r="Q1506" s="111"/>
      <c r="R1506" s="111"/>
      <c r="S1506" s="1249">
        <v>3</v>
      </c>
      <c r="T1506" s="1250">
        <v>525</v>
      </c>
      <c r="U1506" s="1250"/>
      <c r="V1506" s="1250"/>
      <c r="W1506" s="1251">
        <v>2</v>
      </c>
      <c r="X1506" s="1250">
        <v>525</v>
      </c>
      <c r="Y1506" s="1250"/>
      <c r="Z1506" s="1250"/>
      <c r="AA1506" s="1250"/>
      <c r="AB1506" s="1250"/>
      <c r="AC1506" s="1250"/>
      <c r="AD1506" s="1250"/>
      <c r="AE1506" s="1249">
        <v>2</v>
      </c>
      <c r="AF1506" s="1250">
        <v>525</v>
      </c>
      <c r="AG1506" s="111"/>
      <c r="AH1506" s="111"/>
      <c r="AI1506" s="111"/>
      <c r="AJ1506" s="111"/>
      <c r="AK1506" s="111"/>
      <c r="AL1506" s="111"/>
      <c r="AM1506" s="111">
        <v>1575</v>
      </c>
    </row>
    <row r="1507" spans="1:39" ht="15" customHeight="1" x14ac:dyDescent="0.25">
      <c r="A1507" s="1409"/>
      <c r="B1507" s="1409"/>
      <c r="C1507" s="1409"/>
      <c r="D1507" s="1409"/>
      <c r="E1507" s="1247"/>
      <c r="F1507" s="1248"/>
      <c r="G1507" s="111"/>
      <c r="H1507" s="1249"/>
      <c r="I1507" s="111"/>
      <c r="J1507" s="111"/>
      <c r="K1507" s="111"/>
      <c r="L1507" s="111"/>
      <c r="M1507" s="111"/>
      <c r="N1507" s="111"/>
      <c r="O1507" s="111"/>
      <c r="P1507" s="111"/>
      <c r="Q1507" s="111"/>
      <c r="R1507" s="111"/>
      <c r="S1507" s="1249"/>
      <c r="T1507" s="1250"/>
      <c r="U1507" s="1250"/>
      <c r="V1507" s="1250"/>
      <c r="W1507" s="1251"/>
      <c r="X1507" s="1250"/>
      <c r="Y1507" s="1250"/>
      <c r="Z1507" s="1250"/>
      <c r="AA1507" s="1250"/>
      <c r="AB1507" s="1250"/>
      <c r="AC1507" s="1250"/>
      <c r="AD1507" s="1250"/>
      <c r="AE1507" s="1249"/>
      <c r="AF1507" s="1250"/>
      <c r="AG1507" s="111"/>
      <c r="AH1507" s="111"/>
      <c r="AI1507" s="111"/>
      <c r="AJ1507" s="111"/>
      <c r="AK1507" s="111"/>
      <c r="AL1507" s="111"/>
      <c r="AM1507" s="111"/>
    </row>
    <row r="1508" spans="1:39" ht="15" customHeight="1" x14ac:dyDescent="0.25">
      <c r="A1508" s="1409"/>
      <c r="B1508" s="1409"/>
      <c r="C1508" s="1409"/>
      <c r="D1508" s="1409"/>
      <c r="E1508" s="1261">
        <v>25201</v>
      </c>
      <c r="F1508" s="1262" t="s">
        <v>618</v>
      </c>
      <c r="G1508" s="1261"/>
      <c r="H1508" s="1261"/>
      <c r="I1508" s="1261"/>
      <c r="J1508" s="1261"/>
      <c r="K1508" s="1261"/>
      <c r="L1508" s="1261"/>
      <c r="M1508" s="1261"/>
      <c r="N1508" s="1261"/>
      <c r="O1508" s="1261"/>
      <c r="P1508" s="1261"/>
      <c r="Q1508" s="1261"/>
      <c r="R1508" s="1261"/>
      <c r="S1508" s="1261"/>
      <c r="T1508" s="1261"/>
      <c r="U1508" s="1261"/>
      <c r="V1508" s="1261"/>
      <c r="W1508" s="1261"/>
      <c r="X1508" s="1261"/>
      <c r="Y1508" s="1261"/>
      <c r="Z1508" s="1261"/>
      <c r="AA1508" s="1261"/>
      <c r="AB1508" s="1261"/>
      <c r="AC1508" s="1261"/>
      <c r="AD1508" s="1261"/>
      <c r="AE1508" s="1261"/>
      <c r="AF1508" s="1261"/>
      <c r="AG1508" s="1261"/>
      <c r="AH1508" s="1261"/>
      <c r="AI1508" s="1261"/>
      <c r="AJ1508" s="1261"/>
      <c r="AK1508" s="1261"/>
      <c r="AL1508" s="1261"/>
      <c r="AM1508" s="1261"/>
    </row>
    <row r="1509" spans="1:39" ht="15" customHeight="1" x14ac:dyDescent="0.25">
      <c r="A1509" s="1409"/>
      <c r="B1509" s="1409"/>
      <c r="C1509" s="1409"/>
      <c r="D1509" s="1409"/>
      <c r="E1509" s="1270"/>
      <c r="F1509" s="1248" t="s">
        <v>3037</v>
      </c>
      <c r="G1509" s="111"/>
      <c r="H1509" s="1249">
        <v>1</v>
      </c>
      <c r="I1509" s="111" t="s">
        <v>3451</v>
      </c>
      <c r="J1509" s="1321" t="s">
        <v>5608</v>
      </c>
      <c r="K1509" s="162" t="s">
        <v>5610</v>
      </c>
      <c r="L1509" s="162" t="s">
        <v>5609</v>
      </c>
      <c r="M1509" s="111">
        <v>71.28</v>
      </c>
      <c r="N1509" s="111">
        <v>71.28</v>
      </c>
      <c r="O1509" s="111"/>
      <c r="P1509" s="111"/>
      <c r="Q1509" s="111"/>
      <c r="R1509" s="111"/>
      <c r="S1509" s="1249">
        <v>1</v>
      </c>
      <c r="T1509" s="1250">
        <v>23.76</v>
      </c>
      <c r="U1509" s="1250"/>
      <c r="V1509" s="1250"/>
      <c r="W1509" s="1251">
        <v>0</v>
      </c>
      <c r="X1509" s="1250">
        <v>23.76</v>
      </c>
      <c r="Y1509" s="1250"/>
      <c r="Z1509" s="1250"/>
      <c r="AA1509" s="1250"/>
      <c r="AB1509" s="1250"/>
      <c r="AC1509" s="1250"/>
      <c r="AD1509" s="1250"/>
      <c r="AE1509" s="1249">
        <v>0</v>
      </c>
      <c r="AF1509" s="1250">
        <v>23.76</v>
      </c>
      <c r="AG1509" s="111"/>
      <c r="AH1509" s="111"/>
      <c r="AI1509" s="111"/>
      <c r="AJ1509" s="111"/>
      <c r="AK1509" s="111"/>
      <c r="AL1509" s="111"/>
      <c r="AM1509" s="111">
        <v>71.28</v>
      </c>
    </row>
    <row r="1510" spans="1:39" ht="15" customHeight="1" x14ac:dyDescent="0.25">
      <c r="A1510" s="1409"/>
      <c r="B1510" s="1409"/>
      <c r="C1510" s="1409"/>
      <c r="D1510" s="1409"/>
      <c r="E1510" s="1270"/>
      <c r="F1510" s="1248" t="s">
        <v>3038</v>
      </c>
      <c r="G1510" s="111"/>
      <c r="H1510" s="1249">
        <v>1</v>
      </c>
      <c r="I1510" s="111" t="s">
        <v>2100</v>
      </c>
      <c r="J1510" s="1321" t="s">
        <v>5608</v>
      </c>
      <c r="K1510" s="162" t="s">
        <v>5610</v>
      </c>
      <c r="L1510" s="162" t="s">
        <v>5609</v>
      </c>
      <c r="M1510" s="111">
        <v>324</v>
      </c>
      <c r="N1510" s="111">
        <v>324</v>
      </c>
      <c r="O1510" s="111"/>
      <c r="P1510" s="111"/>
      <c r="Q1510" s="111"/>
      <c r="R1510" s="111"/>
      <c r="S1510" s="1249">
        <v>1</v>
      </c>
      <c r="T1510" s="1250">
        <v>108</v>
      </c>
      <c r="U1510" s="1250"/>
      <c r="V1510" s="1250"/>
      <c r="W1510" s="1251">
        <v>0</v>
      </c>
      <c r="X1510" s="1250">
        <v>108</v>
      </c>
      <c r="Y1510" s="1250"/>
      <c r="Z1510" s="1250"/>
      <c r="AA1510" s="1250"/>
      <c r="AB1510" s="1250"/>
      <c r="AC1510" s="1250"/>
      <c r="AD1510" s="1250"/>
      <c r="AE1510" s="1249">
        <v>0</v>
      </c>
      <c r="AF1510" s="1250">
        <v>108</v>
      </c>
      <c r="AG1510" s="111"/>
      <c r="AH1510" s="111"/>
      <c r="AI1510" s="111"/>
      <c r="AJ1510" s="111"/>
      <c r="AK1510" s="111"/>
      <c r="AL1510" s="111"/>
      <c r="AM1510" s="111">
        <v>324</v>
      </c>
    </row>
    <row r="1511" spans="1:39" ht="15" customHeight="1" x14ac:dyDescent="0.25">
      <c r="A1511" s="1409"/>
      <c r="B1511" s="1409"/>
      <c r="C1511" s="1409"/>
      <c r="D1511" s="1409"/>
      <c r="E1511" s="1270"/>
      <c r="F1511" s="1248" t="s">
        <v>3039</v>
      </c>
      <c r="G1511" s="111"/>
      <c r="H1511" s="1249">
        <v>1</v>
      </c>
      <c r="I1511" s="111" t="s">
        <v>5032</v>
      </c>
      <c r="J1511" s="1321" t="s">
        <v>5608</v>
      </c>
      <c r="K1511" s="162" t="s">
        <v>5610</v>
      </c>
      <c r="L1511" s="162" t="s">
        <v>5609</v>
      </c>
      <c r="M1511" s="111">
        <v>178.20000000000002</v>
      </c>
      <c r="N1511" s="111">
        <v>178.20000000000002</v>
      </c>
      <c r="O1511" s="111"/>
      <c r="P1511" s="111"/>
      <c r="Q1511" s="111"/>
      <c r="R1511" s="111"/>
      <c r="S1511" s="1249">
        <v>1</v>
      </c>
      <c r="T1511" s="1250">
        <v>59.400000000000006</v>
      </c>
      <c r="U1511" s="1250"/>
      <c r="V1511" s="1250"/>
      <c r="W1511" s="1251">
        <v>0</v>
      </c>
      <c r="X1511" s="1250">
        <v>59.400000000000006</v>
      </c>
      <c r="Y1511" s="1250"/>
      <c r="Z1511" s="1250"/>
      <c r="AA1511" s="1250"/>
      <c r="AB1511" s="1250"/>
      <c r="AC1511" s="1250"/>
      <c r="AD1511" s="1250"/>
      <c r="AE1511" s="1249">
        <v>0</v>
      </c>
      <c r="AF1511" s="1250">
        <v>59.400000000000006</v>
      </c>
      <c r="AG1511" s="111"/>
      <c r="AH1511" s="111"/>
      <c r="AI1511" s="111"/>
      <c r="AJ1511" s="111"/>
      <c r="AK1511" s="111"/>
      <c r="AL1511" s="111"/>
      <c r="AM1511" s="111">
        <v>178.20000000000002</v>
      </c>
    </row>
    <row r="1512" spans="1:39" ht="15" customHeight="1" x14ac:dyDescent="0.25">
      <c r="A1512" s="1409"/>
      <c r="B1512" s="1409"/>
      <c r="C1512" s="1409"/>
      <c r="D1512" s="1409"/>
      <c r="E1512" s="1270"/>
      <c r="F1512" s="1248" t="s">
        <v>3040</v>
      </c>
      <c r="G1512" s="111"/>
      <c r="H1512" s="1249">
        <v>1</v>
      </c>
      <c r="I1512" s="111" t="s">
        <v>5032</v>
      </c>
      <c r="J1512" s="1321" t="s">
        <v>5608</v>
      </c>
      <c r="K1512" s="162" t="s">
        <v>5610</v>
      </c>
      <c r="L1512" s="162" t="s">
        <v>5609</v>
      </c>
      <c r="M1512" s="111">
        <v>1026.52</v>
      </c>
      <c r="N1512" s="111">
        <v>1026.52</v>
      </c>
      <c r="O1512" s="111"/>
      <c r="P1512" s="111"/>
      <c r="Q1512" s="111"/>
      <c r="R1512" s="111"/>
      <c r="S1512" s="1249">
        <v>1</v>
      </c>
      <c r="T1512" s="1250">
        <v>342.17333333333335</v>
      </c>
      <c r="U1512" s="1250"/>
      <c r="V1512" s="1250"/>
      <c r="W1512" s="1251">
        <v>0</v>
      </c>
      <c r="X1512" s="1250">
        <v>342.17333333333335</v>
      </c>
      <c r="Y1512" s="1250"/>
      <c r="Z1512" s="1250"/>
      <c r="AA1512" s="1250"/>
      <c r="AB1512" s="1250"/>
      <c r="AC1512" s="1250"/>
      <c r="AD1512" s="1250"/>
      <c r="AE1512" s="1249">
        <v>0</v>
      </c>
      <c r="AF1512" s="1250">
        <v>342.17333333333335</v>
      </c>
      <c r="AG1512" s="111"/>
      <c r="AH1512" s="111"/>
      <c r="AI1512" s="111"/>
      <c r="AJ1512" s="111"/>
      <c r="AK1512" s="111"/>
      <c r="AL1512" s="111"/>
      <c r="AM1512" s="111">
        <v>1026.52</v>
      </c>
    </row>
    <row r="1513" spans="1:39" ht="15" customHeight="1" x14ac:dyDescent="0.25">
      <c r="A1513" s="1409"/>
      <c r="B1513" s="1409"/>
      <c r="C1513" s="1409"/>
      <c r="D1513" s="1409"/>
      <c r="E1513" s="1285"/>
      <c r="F1513" s="1248"/>
      <c r="G1513" s="111"/>
      <c r="H1513" s="1249"/>
      <c r="I1513" s="111"/>
      <c r="J1513" s="111"/>
      <c r="K1513" s="111"/>
      <c r="L1513" s="111"/>
      <c r="M1513" s="111"/>
      <c r="N1513" s="111"/>
      <c r="O1513" s="111"/>
      <c r="P1513" s="111"/>
      <c r="Q1513" s="111"/>
      <c r="R1513" s="111"/>
      <c r="S1513" s="1249"/>
      <c r="T1513" s="1250"/>
      <c r="U1513" s="1250"/>
      <c r="V1513" s="1250"/>
      <c r="W1513" s="1251"/>
      <c r="X1513" s="1250"/>
      <c r="Y1513" s="1250"/>
      <c r="Z1513" s="1250"/>
      <c r="AA1513" s="1250"/>
      <c r="AB1513" s="1250"/>
      <c r="AC1513" s="1250"/>
      <c r="AD1513" s="1250"/>
      <c r="AE1513" s="1249"/>
      <c r="AF1513" s="1250"/>
      <c r="AG1513" s="111"/>
      <c r="AH1513" s="111"/>
      <c r="AI1513" s="111"/>
      <c r="AJ1513" s="111"/>
      <c r="AK1513" s="111"/>
      <c r="AL1513" s="111"/>
      <c r="AM1513" s="111"/>
    </row>
    <row r="1514" spans="1:39" ht="15" customHeight="1" x14ac:dyDescent="0.25">
      <c r="A1514" s="1409"/>
      <c r="B1514" s="1409"/>
      <c r="C1514" s="1409"/>
      <c r="D1514" s="1409"/>
      <c r="E1514" s="1218">
        <v>253</v>
      </c>
      <c r="F1514" s="1268" t="s">
        <v>619</v>
      </c>
      <c r="G1514" s="1218"/>
      <c r="H1514" s="1218"/>
      <c r="I1514" s="1218"/>
      <c r="J1514" s="1218"/>
      <c r="K1514" s="1218"/>
      <c r="L1514" s="1218"/>
      <c r="M1514" s="1218"/>
      <c r="N1514" s="1218"/>
      <c r="O1514" s="1218"/>
      <c r="P1514" s="1218"/>
      <c r="Q1514" s="1218"/>
      <c r="R1514" s="1218"/>
      <c r="S1514" s="1218"/>
      <c r="T1514" s="1218"/>
      <c r="U1514" s="1218"/>
      <c r="V1514" s="1218"/>
      <c r="W1514" s="1218"/>
      <c r="X1514" s="1218"/>
      <c r="Y1514" s="1218"/>
      <c r="Z1514" s="1218"/>
      <c r="AA1514" s="1218"/>
      <c r="AB1514" s="1218"/>
      <c r="AC1514" s="1218"/>
      <c r="AD1514" s="1218"/>
      <c r="AE1514" s="1218"/>
      <c r="AF1514" s="1218"/>
      <c r="AG1514" s="1218"/>
      <c r="AH1514" s="1218"/>
      <c r="AI1514" s="1218"/>
      <c r="AJ1514" s="1218"/>
      <c r="AK1514" s="1218"/>
      <c r="AL1514" s="1218"/>
      <c r="AM1514" s="1218"/>
    </row>
    <row r="1515" spans="1:39" ht="15" customHeight="1" x14ac:dyDescent="0.25">
      <c r="A1515" s="1409"/>
      <c r="B1515" s="1409"/>
      <c r="C1515" s="1409"/>
      <c r="D1515" s="1409"/>
      <c r="E1515" s="1247"/>
      <c r="F1515" s="1248"/>
      <c r="G1515" s="111"/>
      <c r="H1515" s="1249"/>
      <c r="I1515" s="111"/>
      <c r="J1515" s="111"/>
      <c r="K1515" s="111"/>
      <c r="L1515" s="111"/>
      <c r="M1515" s="111"/>
      <c r="N1515" s="111"/>
      <c r="O1515" s="111"/>
      <c r="P1515" s="111"/>
      <c r="Q1515" s="111"/>
      <c r="R1515" s="111"/>
      <c r="S1515" s="1249"/>
      <c r="T1515" s="1250"/>
      <c r="U1515" s="1250"/>
      <c r="V1515" s="1250"/>
      <c r="W1515" s="1251"/>
      <c r="X1515" s="1250"/>
      <c r="Y1515" s="1250"/>
      <c r="Z1515" s="1250"/>
      <c r="AA1515" s="1250"/>
      <c r="AB1515" s="1250"/>
      <c r="AC1515" s="1250"/>
      <c r="AD1515" s="1250"/>
      <c r="AE1515" s="1249"/>
      <c r="AF1515" s="1250"/>
      <c r="AG1515" s="111"/>
      <c r="AH1515" s="111"/>
      <c r="AI1515" s="111"/>
      <c r="AJ1515" s="111"/>
      <c r="AK1515" s="111"/>
      <c r="AL1515" s="111"/>
      <c r="AM1515" s="111"/>
    </row>
    <row r="1516" spans="1:39" ht="15" customHeight="1" x14ac:dyDescent="0.25">
      <c r="A1516" s="1409"/>
      <c r="B1516" s="1409"/>
      <c r="C1516" s="1409"/>
      <c r="D1516" s="1409"/>
      <c r="E1516" s="1261">
        <v>25301</v>
      </c>
      <c r="F1516" s="1262" t="s">
        <v>620</v>
      </c>
      <c r="G1516" s="1261"/>
      <c r="H1516" s="1261"/>
      <c r="I1516" s="1261"/>
      <c r="J1516" s="1261"/>
      <c r="K1516" s="1261"/>
      <c r="L1516" s="1261"/>
      <c r="M1516" s="1261"/>
      <c r="N1516" s="1261"/>
      <c r="O1516" s="1261"/>
      <c r="P1516" s="1261"/>
      <c r="Q1516" s="1261"/>
      <c r="R1516" s="1261"/>
      <c r="S1516" s="1261"/>
      <c r="T1516" s="1261"/>
      <c r="U1516" s="1261"/>
      <c r="V1516" s="1261"/>
      <c r="W1516" s="1261"/>
      <c r="X1516" s="1261"/>
      <c r="Y1516" s="1261"/>
      <c r="Z1516" s="1261"/>
      <c r="AA1516" s="1261"/>
      <c r="AB1516" s="1261"/>
      <c r="AC1516" s="1261"/>
      <c r="AD1516" s="1261"/>
      <c r="AE1516" s="1261"/>
      <c r="AF1516" s="1261"/>
      <c r="AG1516" s="1261"/>
      <c r="AH1516" s="1261"/>
      <c r="AI1516" s="1261"/>
      <c r="AJ1516" s="1261"/>
      <c r="AK1516" s="1261"/>
      <c r="AL1516" s="1261"/>
      <c r="AM1516" s="1261"/>
    </row>
    <row r="1517" spans="1:39" ht="15" customHeight="1" x14ac:dyDescent="0.25">
      <c r="A1517" s="1409"/>
      <c r="B1517" s="1409"/>
      <c r="C1517" s="1409"/>
      <c r="D1517" s="1409"/>
      <c r="E1517" s="1247"/>
      <c r="F1517" s="1248" t="s">
        <v>5167</v>
      </c>
      <c r="G1517" s="111"/>
      <c r="H1517" s="1249">
        <v>5</v>
      </c>
      <c r="I1517" s="111" t="s">
        <v>1722</v>
      </c>
      <c r="J1517" s="1321" t="s">
        <v>5608</v>
      </c>
      <c r="K1517" s="162" t="s">
        <v>5610</v>
      </c>
      <c r="L1517" s="162" t="s">
        <v>5609</v>
      </c>
      <c r="M1517" s="111">
        <v>18.79</v>
      </c>
      <c r="N1517" s="111">
        <v>93.949999999999989</v>
      </c>
      <c r="O1517" s="111"/>
      <c r="P1517" s="111"/>
      <c r="Q1517" s="111"/>
      <c r="R1517" s="111"/>
      <c r="S1517" s="1249">
        <v>2</v>
      </c>
      <c r="T1517" s="1250">
        <v>31.316666666666663</v>
      </c>
      <c r="U1517" s="1250"/>
      <c r="V1517" s="1250"/>
      <c r="W1517" s="1251">
        <v>2</v>
      </c>
      <c r="X1517" s="1250">
        <v>31.316666666666663</v>
      </c>
      <c r="Y1517" s="1250"/>
      <c r="Z1517" s="1250"/>
      <c r="AA1517" s="1250"/>
      <c r="AB1517" s="1250"/>
      <c r="AC1517" s="1250"/>
      <c r="AD1517" s="1250"/>
      <c r="AE1517" s="1249">
        <v>1</v>
      </c>
      <c r="AF1517" s="1250">
        <v>31.316666666666663</v>
      </c>
      <c r="AG1517" s="111"/>
      <c r="AH1517" s="111"/>
      <c r="AI1517" s="111"/>
      <c r="AJ1517" s="111"/>
      <c r="AK1517" s="111"/>
      <c r="AL1517" s="111"/>
      <c r="AM1517" s="111">
        <v>93.949999999999989</v>
      </c>
    </row>
    <row r="1518" spans="1:39" ht="15" customHeight="1" x14ac:dyDescent="0.25">
      <c r="A1518" s="1409"/>
      <c r="B1518" s="1409"/>
      <c r="C1518" s="1409"/>
      <c r="D1518" s="1409"/>
      <c r="E1518" s="1247"/>
      <c r="F1518" s="1248" t="s">
        <v>1545</v>
      </c>
      <c r="G1518" s="111"/>
      <c r="H1518" s="1249">
        <v>4</v>
      </c>
      <c r="I1518" s="111" t="s">
        <v>1722</v>
      </c>
      <c r="J1518" s="1321" t="s">
        <v>5608</v>
      </c>
      <c r="K1518" s="162" t="s">
        <v>5610</v>
      </c>
      <c r="L1518" s="162" t="s">
        <v>5609</v>
      </c>
      <c r="M1518" s="111">
        <v>19.829999999999998</v>
      </c>
      <c r="N1518" s="111">
        <v>79.319999999999993</v>
      </c>
      <c r="O1518" s="111"/>
      <c r="P1518" s="111"/>
      <c r="Q1518" s="111"/>
      <c r="R1518" s="111"/>
      <c r="S1518" s="1249">
        <v>2</v>
      </c>
      <c r="T1518" s="1250">
        <v>26.439999999999998</v>
      </c>
      <c r="U1518" s="1250"/>
      <c r="V1518" s="1250"/>
      <c r="W1518" s="1251">
        <v>1</v>
      </c>
      <c r="X1518" s="1250">
        <v>26.439999999999998</v>
      </c>
      <c r="Y1518" s="1250"/>
      <c r="Z1518" s="1250"/>
      <c r="AA1518" s="1250"/>
      <c r="AB1518" s="1250"/>
      <c r="AC1518" s="1250"/>
      <c r="AD1518" s="1250"/>
      <c r="AE1518" s="1249">
        <v>1</v>
      </c>
      <c r="AF1518" s="1250">
        <v>26.439999999999998</v>
      </c>
      <c r="AG1518" s="111"/>
      <c r="AH1518" s="111"/>
      <c r="AI1518" s="111"/>
      <c r="AJ1518" s="111"/>
      <c r="AK1518" s="111"/>
      <c r="AL1518" s="111"/>
      <c r="AM1518" s="111">
        <v>79.319999999999993</v>
      </c>
    </row>
    <row r="1519" spans="1:39" ht="15" customHeight="1" x14ac:dyDescent="0.25">
      <c r="A1519" s="1409"/>
      <c r="B1519" s="1409"/>
      <c r="C1519" s="1409"/>
      <c r="D1519" s="1409"/>
      <c r="E1519" s="1247"/>
      <c r="F1519" s="1248" t="s">
        <v>5168</v>
      </c>
      <c r="G1519" s="111"/>
      <c r="H1519" s="1249">
        <v>4</v>
      </c>
      <c r="I1519" s="111" t="s">
        <v>2321</v>
      </c>
      <c r="J1519" s="1321" t="s">
        <v>5608</v>
      </c>
      <c r="K1519" s="162" t="s">
        <v>5610</v>
      </c>
      <c r="L1519" s="162" t="s">
        <v>5609</v>
      </c>
      <c r="M1519" s="111">
        <v>88.56</v>
      </c>
      <c r="N1519" s="111">
        <v>354.24</v>
      </c>
      <c r="O1519" s="111"/>
      <c r="P1519" s="111"/>
      <c r="Q1519" s="111"/>
      <c r="R1519" s="111"/>
      <c r="S1519" s="1249">
        <v>2</v>
      </c>
      <c r="T1519" s="1250">
        <v>118.08</v>
      </c>
      <c r="U1519" s="1250"/>
      <c r="V1519" s="1250"/>
      <c r="W1519" s="1251">
        <v>1</v>
      </c>
      <c r="X1519" s="1250">
        <v>118.08</v>
      </c>
      <c r="Y1519" s="1250"/>
      <c r="Z1519" s="1250"/>
      <c r="AA1519" s="1250"/>
      <c r="AB1519" s="1250"/>
      <c r="AC1519" s="1250"/>
      <c r="AD1519" s="1250"/>
      <c r="AE1519" s="1249">
        <v>1</v>
      </c>
      <c r="AF1519" s="1250">
        <v>118.08</v>
      </c>
      <c r="AG1519" s="111"/>
      <c r="AH1519" s="111"/>
      <c r="AI1519" s="111"/>
      <c r="AJ1519" s="111"/>
      <c r="AK1519" s="111"/>
      <c r="AL1519" s="111"/>
      <c r="AM1519" s="111">
        <v>354.24</v>
      </c>
    </row>
    <row r="1520" spans="1:39" ht="15" customHeight="1" x14ac:dyDescent="0.25">
      <c r="A1520" s="1409"/>
      <c r="B1520" s="1409"/>
      <c r="C1520" s="1409"/>
      <c r="D1520" s="1409"/>
      <c r="E1520" s="1247"/>
      <c r="F1520" s="1248" t="s">
        <v>5169</v>
      </c>
      <c r="G1520" s="111"/>
      <c r="H1520" s="1249">
        <v>4</v>
      </c>
      <c r="I1520" s="111" t="s">
        <v>2321</v>
      </c>
      <c r="J1520" s="1321" t="s">
        <v>5608</v>
      </c>
      <c r="K1520" s="162" t="s">
        <v>5610</v>
      </c>
      <c r="L1520" s="162" t="s">
        <v>5609</v>
      </c>
      <c r="M1520" s="111">
        <v>69.06</v>
      </c>
      <c r="N1520" s="111">
        <v>276.24</v>
      </c>
      <c r="O1520" s="111"/>
      <c r="P1520" s="111"/>
      <c r="Q1520" s="111"/>
      <c r="R1520" s="111"/>
      <c r="S1520" s="1249">
        <v>2</v>
      </c>
      <c r="T1520" s="1250">
        <v>92.08</v>
      </c>
      <c r="U1520" s="1250"/>
      <c r="V1520" s="1250"/>
      <c r="W1520" s="1251">
        <v>1</v>
      </c>
      <c r="X1520" s="1250">
        <v>92.08</v>
      </c>
      <c r="Y1520" s="1250"/>
      <c r="Z1520" s="1250"/>
      <c r="AA1520" s="1250"/>
      <c r="AB1520" s="1250"/>
      <c r="AC1520" s="1250"/>
      <c r="AD1520" s="1250"/>
      <c r="AE1520" s="1249">
        <v>1</v>
      </c>
      <c r="AF1520" s="1250">
        <v>92.08</v>
      </c>
      <c r="AG1520" s="111"/>
      <c r="AH1520" s="111"/>
      <c r="AI1520" s="111"/>
      <c r="AJ1520" s="111"/>
      <c r="AK1520" s="111"/>
      <c r="AL1520" s="111"/>
      <c r="AM1520" s="111">
        <v>276.24</v>
      </c>
    </row>
    <row r="1521" spans="1:39" ht="15" customHeight="1" x14ac:dyDescent="0.25">
      <c r="A1521" s="1409"/>
      <c r="B1521" s="1409"/>
      <c r="C1521" s="1409"/>
      <c r="D1521" s="1409"/>
      <c r="E1521" s="1247"/>
      <c r="F1521" s="1248" t="s">
        <v>5170</v>
      </c>
      <c r="G1521" s="111"/>
      <c r="H1521" s="1249">
        <v>4</v>
      </c>
      <c r="I1521" s="111" t="s">
        <v>2321</v>
      </c>
      <c r="J1521" s="1321" t="s">
        <v>5608</v>
      </c>
      <c r="K1521" s="162" t="s">
        <v>5610</v>
      </c>
      <c r="L1521" s="162" t="s">
        <v>5609</v>
      </c>
      <c r="M1521" s="111">
        <v>85.7</v>
      </c>
      <c r="N1521" s="111">
        <v>342.8</v>
      </c>
      <c r="O1521" s="111"/>
      <c r="P1521" s="111"/>
      <c r="Q1521" s="111"/>
      <c r="R1521" s="111"/>
      <c r="S1521" s="1249">
        <v>2</v>
      </c>
      <c r="T1521" s="1250">
        <v>114.26666666666667</v>
      </c>
      <c r="U1521" s="1250"/>
      <c r="V1521" s="1250"/>
      <c r="W1521" s="1251">
        <v>1</v>
      </c>
      <c r="X1521" s="1250">
        <v>114.26666666666667</v>
      </c>
      <c r="Y1521" s="1250"/>
      <c r="Z1521" s="1250"/>
      <c r="AA1521" s="1250"/>
      <c r="AB1521" s="1250"/>
      <c r="AC1521" s="1250"/>
      <c r="AD1521" s="1250"/>
      <c r="AE1521" s="1249">
        <v>1</v>
      </c>
      <c r="AF1521" s="1250">
        <v>114.26666666666667</v>
      </c>
      <c r="AG1521" s="111"/>
      <c r="AH1521" s="111"/>
      <c r="AI1521" s="111"/>
      <c r="AJ1521" s="111"/>
      <c r="AK1521" s="111"/>
      <c r="AL1521" s="111"/>
      <c r="AM1521" s="111">
        <v>342.8</v>
      </c>
    </row>
    <row r="1522" spans="1:39" ht="15" customHeight="1" x14ac:dyDescent="0.25">
      <c r="A1522" s="1409"/>
      <c r="B1522" s="1409"/>
      <c r="C1522" s="1409"/>
      <c r="D1522" s="1409"/>
      <c r="E1522" s="1247"/>
      <c r="F1522" s="1248" t="s">
        <v>5171</v>
      </c>
      <c r="G1522" s="111"/>
      <c r="H1522" s="1249">
        <v>10</v>
      </c>
      <c r="I1522" s="111" t="s">
        <v>1722</v>
      </c>
      <c r="J1522" s="1321" t="s">
        <v>5608</v>
      </c>
      <c r="K1522" s="162" t="s">
        <v>5610</v>
      </c>
      <c r="L1522" s="162" t="s">
        <v>5609</v>
      </c>
      <c r="M1522" s="111">
        <v>112.75</v>
      </c>
      <c r="N1522" s="111">
        <v>1127.5</v>
      </c>
      <c r="O1522" s="111"/>
      <c r="P1522" s="111"/>
      <c r="Q1522" s="111"/>
      <c r="R1522" s="111"/>
      <c r="S1522" s="1249">
        <v>5</v>
      </c>
      <c r="T1522" s="1250">
        <v>375.83333333333331</v>
      </c>
      <c r="U1522" s="1250"/>
      <c r="V1522" s="1250"/>
      <c r="W1522" s="1251">
        <v>5</v>
      </c>
      <c r="X1522" s="1250">
        <v>375.83333333333331</v>
      </c>
      <c r="Y1522" s="1250"/>
      <c r="Z1522" s="1250"/>
      <c r="AA1522" s="1250"/>
      <c r="AB1522" s="1250"/>
      <c r="AC1522" s="1250"/>
      <c r="AD1522" s="1250"/>
      <c r="AE1522" s="1249">
        <v>0</v>
      </c>
      <c r="AF1522" s="1250">
        <v>375.83333333333331</v>
      </c>
      <c r="AG1522" s="111"/>
      <c r="AH1522" s="111"/>
      <c r="AI1522" s="111"/>
      <c r="AJ1522" s="111"/>
      <c r="AK1522" s="111"/>
      <c r="AL1522" s="111"/>
      <c r="AM1522" s="111">
        <v>1127.5</v>
      </c>
    </row>
    <row r="1523" spans="1:39" ht="15" customHeight="1" x14ac:dyDescent="0.25">
      <c r="A1523" s="1409"/>
      <c r="B1523" s="1409"/>
      <c r="C1523" s="1409"/>
      <c r="D1523" s="1409"/>
      <c r="E1523" s="1247"/>
      <c r="F1523" s="1248" t="s">
        <v>5172</v>
      </c>
      <c r="G1523" s="111"/>
      <c r="H1523" s="1249">
        <v>10</v>
      </c>
      <c r="I1523" s="111" t="s">
        <v>1722</v>
      </c>
      <c r="J1523" s="1321" t="s">
        <v>5608</v>
      </c>
      <c r="K1523" s="162" t="s">
        <v>5610</v>
      </c>
      <c r="L1523" s="162" t="s">
        <v>5609</v>
      </c>
      <c r="M1523" s="111">
        <v>93.96</v>
      </c>
      <c r="N1523" s="111">
        <v>939.59999999999991</v>
      </c>
      <c r="O1523" s="111"/>
      <c r="P1523" s="111"/>
      <c r="Q1523" s="111"/>
      <c r="R1523" s="111"/>
      <c r="S1523" s="1249">
        <v>5</v>
      </c>
      <c r="T1523" s="1250">
        <v>313.2</v>
      </c>
      <c r="U1523" s="1250"/>
      <c r="V1523" s="1250"/>
      <c r="W1523" s="1251">
        <v>5</v>
      </c>
      <c r="X1523" s="1250">
        <v>313.2</v>
      </c>
      <c r="Y1523" s="1250"/>
      <c r="Z1523" s="1250"/>
      <c r="AA1523" s="1250"/>
      <c r="AB1523" s="1250"/>
      <c r="AC1523" s="1250"/>
      <c r="AD1523" s="1250"/>
      <c r="AE1523" s="1249">
        <v>0</v>
      </c>
      <c r="AF1523" s="1250">
        <v>313.2</v>
      </c>
      <c r="AG1523" s="111"/>
      <c r="AH1523" s="111"/>
      <c r="AI1523" s="111"/>
      <c r="AJ1523" s="111"/>
      <c r="AK1523" s="111"/>
      <c r="AL1523" s="111"/>
      <c r="AM1523" s="111">
        <v>939.59999999999991</v>
      </c>
    </row>
    <row r="1524" spans="1:39" ht="15" customHeight="1" x14ac:dyDescent="0.25">
      <c r="A1524" s="1409"/>
      <c r="B1524" s="1409"/>
      <c r="C1524" s="1409"/>
      <c r="D1524" s="1409"/>
      <c r="E1524" s="1247"/>
      <c r="F1524" s="1248" t="s">
        <v>5173</v>
      </c>
      <c r="G1524" s="111"/>
      <c r="H1524" s="1249">
        <v>10</v>
      </c>
      <c r="I1524" s="111" t="s">
        <v>1722</v>
      </c>
      <c r="J1524" s="1321" t="s">
        <v>5608</v>
      </c>
      <c r="K1524" s="162" t="s">
        <v>5610</v>
      </c>
      <c r="L1524" s="162" t="s">
        <v>5609</v>
      </c>
      <c r="M1524" s="111">
        <v>68.900000000000006</v>
      </c>
      <c r="N1524" s="111">
        <v>689</v>
      </c>
      <c r="O1524" s="111"/>
      <c r="P1524" s="111"/>
      <c r="Q1524" s="111"/>
      <c r="R1524" s="111"/>
      <c r="S1524" s="1249">
        <v>5</v>
      </c>
      <c r="T1524" s="1250">
        <v>229.66666666666666</v>
      </c>
      <c r="U1524" s="1250"/>
      <c r="V1524" s="1250"/>
      <c r="W1524" s="1251">
        <v>5</v>
      </c>
      <c r="X1524" s="1250">
        <v>229.66666666666666</v>
      </c>
      <c r="Y1524" s="1250"/>
      <c r="Z1524" s="1250"/>
      <c r="AA1524" s="1250"/>
      <c r="AB1524" s="1250"/>
      <c r="AC1524" s="1250"/>
      <c r="AD1524" s="1250"/>
      <c r="AE1524" s="1249">
        <v>0</v>
      </c>
      <c r="AF1524" s="1250">
        <v>229.66666666666666</v>
      </c>
      <c r="AG1524" s="111"/>
      <c r="AH1524" s="111"/>
      <c r="AI1524" s="111"/>
      <c r="AJ1524" s="111"/>
      <c r="AK1524" s="111"/>
      <c r="AL1524" s="111"/>
      <c r="AM1524" s="111">
        <v>689</v>
      </c>
    </row>
    <row r="1525" spans="1:39" ht="15" customHeight="1" x14ac:dyDescent="0.25">
      <c r="A1525" s="1409"/>
      <c r="B1525" s="1409"/>
      <c r="C1525" s="1409"/>
      <c r="D1525" s="1409"/>
      <c r="E1525" s="1247"/>
      <c r="F1525" s="1248" t="s">
        <v>2310</v>
      </c>
      <c r="G1525" s="111"/>
      <c r="H1525" s="1249">
        <v>10</v>
      </c>
      <c r="I1525" s="111" t="s">
        <v>1722</v>
      </c>
      <c r="J1525" s="1321" t="s">
        <v>5608</v>
      </c>
      <c r="K1525" s="162" t="s">
        <v>5610</v>
      </c>
      <c r="L1525" s="162" t="s">
        <v>5609</v>
      </c>
      <c r="M1525" s="111">
        <v>37.58</v>
      </c>
      <c r="N1525" s="111">
        <v>375.79999999999995</v>
      </c>
      <c r="O1525" s="111"/>
      <c r="P1525" s="111"/>
      <c r="Q1525" s="111"/>
      <c r="R1525" s="111"/>
      <c r="S1525" s="1249">
        <v>5</v>
      </c>
      <c r="T1525" s="1250">
        <v>125.26666666666665</v>
      </c>
      <c r="U1525" s="1250"/>
      <c r="V1525" s="1250"/>
      <c r="W1525" s="1251">
        <v>5</v>
      </c>
      <c r="X1525" s="1250">
        <v>125.26666666666665</v>
      </c>
      <c r="Y1525" s="1250"/>
      <c r="Z1525" s="1250"/>
      <c r="AA1525" s="1250"/>
      <c r="AB1525" s="1250"/>
      <c r="AC1525" s="1250"/>
      <c r="AD1525" s="1250"/>
      <c r="AE1525" s="1249">
        <v>0</v>
      </c>
      <c r="AF1525" s="1250">
        <v>125.26666666666665</v>
      </c>
      <c r="AG1525" s="111"/>
      <c r="AH1525" s="111"/>
      <c r="AI1525" s="111"/>
      <c r="AJ1525" s="111"/>
      <c r="AK1525" s="111"/>
      <c r="AL1525" s="111"/>
      <c r="AM1525" s="111">
        <v>375.79999999999995</v>
      </c>
    </row>
    <row r="1526" spans="1:39" ht="15" customHeight="1" x14ac:dyDescent="0.25">
      <c r="A1526" s="1409"/>
      <c r="B1526" s="1409"/>
      <c r="C1526" s="1409"/>
      <c r="D1526" s="1409"/>
      <c r="E1526" s="1247"/>
      <c r="F1526" s="1248" t="s">
        <v>5174</v>
      </c>
      <c r="G1526" s="111"/>
      <c r="H1526" s="1249">
        <v>5</v>
      </c>
      <c r="I1526" s="111" t="s">
        <v>1722</v>
      </c>
      <c r="J1526" s="1321" t="s">
        <v>5608</v>
      </c>
      <c r="K1526" s="162" t="s">
        <v>5610</v>
      </c>
      <c r="L1526" s="162" t="s">
        <v>5609</v>
      </c>
      <c r="M1526" s="111">
        <v>682.78</v>
      </c>
      <c r="N1526" s="111">
        <v>3413.8999999999996</v>
      </c>
      <c r="O1526" s="111"/>
      <c r="P1526" s="111"/>
      <c r="Q1526" s="111"/>
      <c r="R1526" s="111"/>
      <c r="S1526" s="1249">
        <v>2</v>
      </c>
      <c r="T1526" s="1250">
        <v>1137.9666666666665</v>
      </c>
      <c r="U1526" s="1250"/>
      <c r="V1526" s="1250"/>
      <c r="W1526" s="1251">
        <v>2</v>
      </c>
      <c r="X1526" s="1250">
        <v>1137.9666666666665</v>
      </c>
      <c r="Y1526" s="1250"/>
      <c r="Z1526" s="1250"/>
      <c r="AA1526" s="1250"/>
      <c r="AB1526" s="1250"/>
      <c r="AC1526" s="1250"/>
      <c r="AD1526" s="1250"/>
      <c r="AE1526" s="1249">
        <v>1</v>
      </c>
      <c r="AF1526" s="1250">
        <v>1137.9666666666665</v>
      </c>
      <c r="AG1526" s="111"/>
      <c r="AH1526" s="111"/>
      <c r="AI1526" s="111"/>
      <c r="AJ1526" s="111"/>
      <c r="AK1526" s="111"/>
      <c r="AL1526" s="111"/>
      <c r="AM1526" s="111">
        <v>3413.8999999999996</v>
      </c>
    </row>
    <row r="1527" spans="1:39" ht="15" customHeight="1" x14ac:dyDescent="0.25">
      <c r="A1527" s="1409"/>
      <c r="B1527" s="1409"/>
      <c r="C1527" s="1409"/>
      <c r="D1527" s="1409"/>
      <c r="E1527" s="1247"/>
      <c r="F1527" s="1248" t="s">
        <v>5175</v>
      </c>
      <c r="G1527" s="111"/>
      <c r="H1527" s="1249">
        <v>5</v>
      </c>
      <c r="I1527" s="111" t="s">
        <v>1722</v>
      </c>
      <c r="J1527" s="1321" t="s">
        <v>5608</v>
      </c>
      <c r="K1527" s="162" t="s">
        <v>5610</v>
      </c>
      <c r="L1527" s="162" t="s">
        <v>5609</v>
      </c>
      <c r="M1527" s="111">
        <v>47.61</v>
      </c>
      <c r="N1527" s="111">
        <v>238.05</v>
      </c>
      <c r="O1527" s="111"/>
      <c r="P1527" s="111"/>
      <c r="Q1527" s="111"/>
      <c r="R1527" s="111"/>
      <c r="S1527" s="1249">
        <v>2</v>
      </c>
      <c r="T1527" s="1250">
        <v>79.350000000000009</v>
      </c>
      <c r="U1527" s="1250"/>
      <c r="V1527" s="1250"/>
      <c r="W1527" s="1251">
        <v>2</v>
      </c>
      <c r="X1527" s="1250">
        <v>79.350000000000009</v>
      </c>
      <c r="Y1527" s="1250"/>
      <c r="Z1527" s="1250"/>
      <c r="AA1527" s="1250"/>
      <c r="AB1527" s="1250"/>
      <c r="AC1527" s="1250"/>
      <c r="AD1527" s="1250"/>
      <c r="AE1527" s="1249">
        <v>1</v>
      </c>
      <c r="AF1527" s="1250">
        <v>79.350000000000009</v>
      </c>
      <c r="AG1527" s="111"/>
      <c r="AH1527" s="111"/>
      <c r="AI1527" s="111"/>
      <c r="AJ1527" s="111"/>
      <c r="AK1527" s="111"/>
      <c r="AL1527" s="111"/>
      <c r="AM1527" s="111">
        <v>238.05</v>
      </c>
    </row>
    <row r="1528" spans="1:39" ht="15" customHeight="1" x14ac:dyDescent="0.25">
      <c r="A1528" s="1409"/>
      <c r="B1528" s="1409"/>
      <c r="C1528" s="1409"/>
      <c r="D1528" s="1409"/>
      <c r="E1528" s="1247"/>
      <c r="F1528" s="1248" t="s">
        <v>5176</v>
      </c>
      <c r="G1528" s="111"/>
      <c r="H1528" s="1249">
        <v>25</v>
      </c>
      <c r="I1528" s="111" t="s">
        <v>1722</v>
      </c>
      <c r="J1528" s="1321" t="s">
        <v>5608</v>
      </c>
      <c r="K1528" s="162" t="s">
        <v>5610</v>
      </c>
      <c r="L1528" s="162" t="s">
        <v>5609</v>
      </c>
      <c r="M1528" s="111">
        <v>62.64</v>
      </c>
      <c r="N1528" s="111">
        <v>1566</v>
      </c>
      <c r="O1528" s="111"/>
      <c r="P1528" s="111"/>
      <c r="Q1528" s="111"/>
      <c r="R1528" s="111"/>
      <c r="S1528" s="1249">
        <v>10</v>
      </c>
      <c r="T1528" s="1250">
        <v>522</v>
      </c>
      <c r="U1528" s="1250"/>
      <c r="V1528" s="1250"/>
      <c r="W1528" s="1251">
        <v>10</v>
      </c>
      <c r="X1528" s="1250">
        <v>522</v>
      </c>
      <c r="Y1528" s="1250"/>
      <c r="Z1528" s="1250"/>
      <c r="AA1528" s="1250"/>
      <c r="AB1528" s="1250"/>
      <c r="AC1528" s="1250"/>
      <c r="AD1528" s="1250"/>
      <c r="AE1528" s="1249">
        <v>5</v>
      </c>
      <c r="AF1528" s="1250">
        <v>522</v>
      </c>
      <c r="AG1528" s="111"/>
      <c r="AH1528" s="111"/>
      <c r="AI1528" s="111"/>
      <c r="AJ1528" s="111"/>
      <c r="AK1528" s="111"/>
      <c r="AL1528" s="111"/>
      <c r="AM1528" s="111">
        <v>1566</v>
      </c>
    </row>
    <row r="1529" spans="1:39" ht="15" customHeight="1" x14ac:dyDescent="0.25">
      <c r="A1529" s="1409"/>
      <c r="B1529" s="1409"/>
      <c r="C1529" s="1409"/>
      <c r="D1529" s="1409"/>
      <c r="E1529" s="1247"/>
      <c r="F1529" s="1248" t="s">
        <v>5177</v>
      </c>
      <c r="G1529" s="111"/>
      <c r="H1529" s="1249">
        <v>3</v>
      </c>
      <c r="I1529" s="111" t="s">
        <v>1722</v>
      </c>
      <c r="J1529" s="1321" t="s">
        <v>5608</v>
      </c>
      <c r="K1529" s="162" t="s">
        <v>5610</v>
      </c>
      <c r="L1529" s="162" t="s">
        <v>5609</v>
      </c>
      <c r="M1529" s="111">
        <v>97.719999999999985</v>
      </c>
      <c r="N1529" s="111">
        <v>293.15999999999997</v>
      </c>
      <c r="O1529" s="111"/>
      <c r="P1529" s="111"/>
      <c r="Q1529" s="111"/>
      <c r="R1529" s="111"/>
      <c r="S1529" s="1249">
        <v>1</v>
      </c>
      <c r="T1529" s="1250">
        <v>97.719999999999985</v>
      </c>
      <c r="U1529" s="1250"/>
      <c r="V1529" s="1250"/>
      <c r="W1529" s="1251">
        <v>1</v>
      </c>
      <c r="X1529" s="1250">
        <v>97.719999999999985</v>
      </c>
      <c r="Y1529" s="1250"/>
      <c r="Z1529" s="1250"/>
      <c r="AA1529" s="1250"/>
      <c r="AB1529" s="1250"/>
      <c r="AC1529" s="1250"/>
      <c r="AD1529" s="1250"/>
      <c r="AE1529" s="1249">
        <v>1</v>
      </c>
      <c r="AF1529" s="1250">
        <v>97.719999999999985</v>
      </c>
      <c r="AG1529" s="111"/>
      <c r="AH1529" s="111"/>
      <c r="AI1529" s="111"/>
      <c r="AJ1529" s="111"/>
      <c r="AK1529" s="111"/>
      <c r="AL1529" s="111"/>
      <c r="AM1529" s="111">
        <v>293.15999999999997</v>
      </c>
    </row>
    <row r="1530" spans="1:39" ht="15" customHeight="1" x14ac:dyDescent="0.25">
      <c r="A1530" s="1409"/>
      <c r="B1530" s="1409"/>
      <c r="C1530" s="1409"/>
      <c r="D1530" s="1409"/>
      <c r="E1530" s="1247"/>
      <c r="F1530" s="1248" t="s">
        <v>1542</v>
      </c>
      <c r="G1530" s="111"/>
      <c r="H1530" s="1249">
        <v>4</v>
      </c>
      <c r="I1530" s="111" t="s">
        <v>1722</v>
      </c>
      <c r="J1530" s="1321" t="s">
        <v>5608</v>
      </c>
      <c r="K1530" s="162" t="s">
        <v>5610</v>
      </c>
      <c r="L1530" s="162" t="s">
        <v>5609</v>
      </c>
      <c r="M1530" s="111">
        <v>43.85</v>
      </c>
      <c r="N1530" s="111">
        <v>175.4</v>
      </c>
      <c r="O1530" s="111"/>
      <c r="P1530" s="111"/>
      <c r="Q1530" s="111"/>
      <c r="R1530" s="111"/>
      <c r="S1530" s="1249">
        <v>2</v>
      </c>
      <c r="T1530" s="1250">
        <v>58.466666666666669</v>
      </c>
      <c r="U1530" s="1250"/>
      <c r="V1530" s="1250"/>
      <c r="W1530" s="1251">
        <v>1</v>
      </c>
      <c r="X1530" s="1250">
        <v>58.466666666666669</v>
      </c>
      <c r="Y1530" s="1250"/>
      <c r="Z1530" s="1250"/>
      <c r="AA1530" s="1250"/>
      <c r="AB1530" s="1250"/>
      <c r="AC1530" s="1250"/>
      <c r="AD1530" s="1250"/>
      <c r="AE1530" s="1249">
        <v>1</v>
      </c>
      <c r="AF1530" s="1250">
        <v>58.466666666666669</v>
      </c>
      <c r="AG1530" s="111"/>
      <c r="AH1530" s="111"/>
      <c r="AI1530" s="111"/>
      <c r="AJ1530" s="111"/>
      <c r="AK1530" s="111"/>
      <c r="AL1530" s="111"/>
      <c r="AM1530" s="111">
        <v>175.4</v>
      </c>
    </row>
    <row r="1531" spans="1:39" ht="15" customHeight="1" x14ac:dyDescent="0.25">
      <c r="A1531" s="1409"/>
      <c r="B1531" s="1409"/>
      <c r="C1531" s="1409"/>
      <c r="D1531" s="1409"/>
      <c r="E1531" s="1247"/>
      <c r="F1531" s="1248" t="s">
        <v>5178</v>
      </c>
      <c r="G1531" s="111"/>
      <c r="H1531" s="1249">
        <v>3</v>
      </c>
      <c r="I1531" s="111" t="s">
        <v>1722</v>
      </c>
      <c r="J1531" s="1321" t="s">
        <v>5608</v>
      </c>
      <c r="K1531" s="162" t="s">
        <v>5610</v>
      </c>
      <c r="L1531" s="162" t="s">
        <v>5609</v>
      </c>
      <c r="M1531" s="111">
        <v>50.109999999999992</v>
      </c>
      <c r="N1531" s="111">
        <v>150.32999999999998</v>
      </c>
      <c r="O1531" s="111"/>
      <c r="P1531" s="111"/>
      <c r="Q1531" s="111"/>
      <c r="R1531" s="111"/>
      <c r="S1531" s="1249">
        <v>1</v>
      </c>
      <c r="T1531" s="1250">
        <v>50.109999999999992</v>
      </c>
      <c r="U1531" s="1250"/>
      <c r="V1531" s="1250"/>
      <c r="W1531" s="1251">
        <v>1</v>
      </c>
      <c r="X1531" s="1250">
        <v>50.109999999999992</v>
      </c>
      <c r="Y1531" s="1250"/>
      <c r="Z1531" s="1250"/>
      <c r="AA1531" s="1250"/>
      <c r="AB1531" s="1250"/>
      <c r="AC1531" s="1250"/>
      <c r="AD1531" s="1250"/>
      <c r="AE1531" s="1249">
        <v>1</v>
      </c>
      <c r="AF1531" s="1250">
        <v>50.109999999999992</v>
      </c>
      <c r="AG1531" s="111"/>
      <c r="AH1531" s="111"/>
      <c r="AI1531" s="111"/>
      <c r="AJ1531" s="111"/>
      <c r="AK1531" s="111"/>
      <c r="AL1531" s="111"/>
      <c r="AM1531" s="111">
        <v>150.32999999999998</v>
      </c>
    </row>
    <row r="1532" spans="1:39" ht="15" customHeight="1" x14ac:dyDescent="0.25">
      <c r="A1532" s="1409"/>
      <c r="B1532" s="1409"/>
      <c r="C1532" s="1409"/>
      <c r="D1532" s="1409"/>
      <c r="E1532" s="1247"/>
      <c r="F1532" s="1248" t="s">
        <v>5179</v>
      </c>
      <c r="G1532" s="111"/>
      <c r="H1532" s="1249">
        <v>3</v>
      </c>
      <c r="I1532" s="111" t="s">
        <v>1722</v>
      </c>
      <c r="J1532" s="1321" t="s">
        <v>5608</v>
      </c>
      <c r="K1532" s="162" t="s">
        <v>5610</v>
      </c>
      <c r="L1532" s="162" t="s">
        <v>5609</v>
      </c>
      <c r="M1532" s="111">
        <v>50.109999999999992</v>
      </c>
      <c r="N1532" s="111">
        <v>150.32999999999998</v>
      </c>
      <c r="O1532" s="111"/>
      <c r="P1532" s="111"/>
      <c r="Q1532" s="111"/>
      <c r="R1532" s="111"/>
      <c r="S1532" s="1249">
        <v>1</v>
      </c>
      <c r="T1532" s="1250">
        <v>50.109999999999992</v>
      </c>
      <c r="U1532" s="1250"/>
      <c r="V1532" s="1250"/>
      <c r="W1532" s="1251">
        <v>1</v>
      </c>
      <c r="X1532" s="1250">
        <v>50.109999999999992</v>
      </c>
      <c r="Y1532" s="1250"/>
      <c r="Z1532" s="1250"/>
      <c r="AA1532" s="1250"/>
      <c r="AB1532" s="1250"/>
      <c r="AC1532" s="1250"/>
      <c r="AD1532" s="1250"/>
      <c r="AE1532" s="1249">
        <v>1</v>
      </c>
      <c r="AF1532" s="1250">
        <v>50.109999999999992</v>
      </c>
      <c r="AG1532" s="111"/>
      <c r="AH1532" s="111"/>
      <c r="AI1532" s="111"/>
      <c r="AJ1532" s="111"/>
      <c r="AK1532" s="111"/>
      <c r="AL1532" s="111"/>
      <c r="AM1532" s="111">
        <v>150.32999999999998</v>
      </c>
    </row>
    <row r="1533" spans="1:39" ht="15" customHeight="1" x14ac:dyDescent="0.25">
      <c r="A1533" s="1409"/>
      <c r="B1533" s="1409"/>
      <c r="C1533" s="1409"/>
      <c r="D1533" s="1409"/>
      <c r="E1533" s="1247"/>
      <c r="F1533" s="1248" t="s">
        <v>5180</v>
      </c>
      <c r="G1533" s="111"/>
      <c r="H1533" s="1249">
        <v>2</v>
      </c>
      <c r="I1533" s="111" t="s">
        <v>1722</v>
      </c>
      <c r="J1533" s="1321" t="s">
        <v>5608</v>
      </c>
      <c r="K1533" s="162" t="s">
        <v>5610</v>
      </c>
      <c r="L1533" s="162" t="s">
        <v>5609</v>
      </c>
      <c r="M1533" s="111">
        <v>52.32</v>
      </c>
      <c r="N1533" s="111">
        <v>104.64</v>
      </c>
      <c r="O1533" s="111"/>
      <c r="P1533" s="111"/>
      <c r="Q1533" s="111"/>
      <c r="R1533" s="111"/>
      <c r="S1533" s="1249">
        <v>2</v>
      </c>
      <c r="T1533" s="1250">
        <v>34.880000000000003</v>
      </c>
      <c r="U1533" s="1250"/>
      <c r="V1533" s="1250"/>
      <c r="W1533" s="1251">
        <v>0</v>
      </c>
      <c r="X1533" s="1250">
        <v>34.880000000000003</v>
      </c>
      <c r="Y1533" s="1250"/>
      <c r="Z1533" s="1250"/>
      <c r="AA1533" s="1250"/>
      <c r="AB1533" s="1250"/>
      <c r="AC1533" s="1250"/>
      <c r="AD1533" s="1250"/>
      <c r="AE1533" s="1249">
        <v>0</v>
      </c>
      <c r="AF1533" s="1250">
        <v>34.880000000000003</v>
      </c>
      <c r="AG1533" s="111"/>
      <c r="AH1533" s="111"/>
      <c r="AI1533" s="111"/>
      <c r="AJ1533" s="111"/>
      <c r="AK1533" s="111"/>
      <c r="AL1533" s="111"/>
      <c r="AM1533" s="111">
        <v>104.64</v>
      </c>
    </row>
    <row r="1534" spans="1:39" ht="15" customHeight="1" x14ac:dyDescent="0.25">
      <c r="A1534" s="1409"/>
      <c r="B1534" s="1409"/>
      <c r="C1534" s="1409"/>
      <c r="D1534" s="1409"/>
      <c r="E1534" s="1247"/>
      <c r="F1534" s="1248" t="s">
        <v>5181</v>
      </c>
      <c r="G1534" s="111"/>
      <c r="H1534" s="1249">
        <v>3</v>
      </c>
      <c r="I1534" s="111" t="s">
        <v>1722</v>
      </c>
      <c r="J1534" s="1321" t="s">
        <v>5608</v>
      </c>
      <c r="K1534" s="162" t="s">
        <v>5610</v>
      </c>
      <c r="L1534" s="162" t="s">
        <v>5609</v>
      </c>
      <c r="M1534" s="111">
        <v>60.13</v>
      </c>
      <c r="N1534" s="111">
        <v>180.39000000000001</v>
      </c>
      <c r="O1534" s="111"/>
      <c r="P1534" s="111"/>
      <c r="Q1534" s="111"/>
      <c r="R1534" s="111"/>
      <c r="S1534" s="1249">
        <v>1</v>
      </c>
      <c r="T1534" s="1250">
        <v>60.13</v>
      </c>
      <c r="U1534" s="1250"/>
      <c r="V1534" s="1250"/>
      <c r="W1534" s="1251">
        <v>1</v>
      </c>
      <c r="X1534" s="1250">
        <v>60.13</v>
      </c>
      <c r="Y1534" s="1250"/>
      <c r="Z1534" s="1250"/>
      <c r="AA1534" s="1250"/>
      <c r="AB1534" s="1250"/>
      <c r="AC1534" s="1250"/>
      <c r="AD1534" s="1250"/>
      <c r="AE1534" s="1249">
        <v>1</v>
      </c>
      <c r="AF1534" s="1250">
        <v>60.13</v>
      </c>
      <c r="AG1534" s="111"/>
      <c r="AH1534" s="111"/>
      <c r="AI1534" s="111"/>
      <c r="AJ1534" s="111"/>
      <c r="AK1534" s="111"/>
      <c r="AL1534" s="111"/>
      <c r="AM1534" s="111">
        <v>180.39000000000001</v>
      </c>
    </row>
    <row r="1535" spans="1:39" ht="15" customHeight="1" x14ac:dyDescent="0.25">
      <c r="A1535" s="1409"/>
      <c r="B1535" s="1409"/>
      <c r="C1535" s="1409"/>
      <c r="D1535" s="1409"/>
      <c r="E1535" s="1247"/>
      <c r="F1535" s="1248" t="s">
        <v>5182</v>
      </c>
      <c r="G1535" s="111"/>
      <c r="H1535" s="1249">
        <v>3</v>
      </c>
      <c r="I1535" s="111" t="s">
        <v>1722</v>
      </c>
      <c r="J1535" s="1321" t="s">
        <v>5608</v>
      </c>
      <c r="K1535" s="162" t="s">
        <v>5610</v>
      </c>
      <c r="L1535" s="162" t="s">
        <v>5609</v>
      </c>
      <c r="M1535" s="111">
        <v>65.150000000000006</v>
      </c>
      <c r="N1535" s="111">
        <v>195.45000000000002</v>
      </c>
      <c r="O1535" s="111"/>
      <c r="P1535" s="111"/>
      <c r="Q1535" s="111"/>
      <c r="R1535" s="111"/>
      <c r="S1535" s="1249">
        <v>1</v>
      </c>
      <c r="T1535" s="1250">
        <v>65.150000000000006</v>
      </c>
      <c r="U1535" s="1250"/>
      <c r="V1535" s="1250"/>
      <c r="W1535" s="1251">
        <v>1</v>
      </c>
      <c r="X1535" s="1250">
        <v>65.150000000000006</v>
      </c>
      <c r="Y1535" s="1250"/>
      <c r="Z1535" s="1250"/>
      <c r="AA1535" s="1250"/>
      <c r="AB1535" s="1250"/>
      <c r="AC1535" s="1250"/>
      <c r="AD1535" s="1250"/>
      <c r="AE1535" s="1249">
        <v>1</v>
      </c>
      <c r="AF1535" s="1250">
        <v>65.150000000000006</v>
      </c>
      <c r="AG1535" s="111"/>
      <c r="AH1535" s="111"/>
      <c r="AI1535" s="111"/>
      <c r="AJ1535" s="111"/>
      <c r="AK1535" s="111"/>
      <c r="AL1535" s="111"/>
      <c r="AM1535" s="111">
        <v>195.45000000000002</v>
      </c>
    </row>
    <row r="1536" spans="1:39" ht="15" customHeight="1" x14ac:dyDescent="0.25">
      <c r="A1536" s="1409"/>
      <c r="B1536" s="1409"/>
      <c r="C1536" s="1409"/>
      <c r="D1536" s="1409"/>
      <c r="E1536" s="1247"/>
      <c r="F1536" s="1248" t="s">
        <v>5183</v>
      </c>
      <c r="G1536" s="111"/>
      <c r="H1536" s="1249">
        <v>3</v>
      </c>
      <c r="I1536" s="111" t="s">
        <v>1722</v>
      </c>
      <c r="J1536" s="1321" t="s">
        <v>5608</v>
      </c>
      <c r="K1536" s="162" t="s">
        <v>5610</v>
      </c>
      <c r="L1536" s="162" t="s">
        <v>5609</v>
      </c>
      <c r="M1536" s="111">
        <v>60.13</v>
      </c>
      <c r="N1536" s="111">
        <v>180.39000000000001</v>
      </c>
      <c r="O1536" s="111"/>
      <c r="P1536" s="111"/>
      <c r="Q1536" s="111"/>
      <c r="R1536" s="111"/>
      <c r="S1536" s="1249">
        <v>1</v>
      </c>
      <c r="T1536" s="1250">
        <v>60.13</v>
      </c>
      <c r="U1536" s="1250"/>
      <c r="V1536" s="1250"/>
      <c r="W1536" s="1251">
        <v>1</v>
      </c>
      <c r="X1536" s="1250">
        <v>60.13</v>
      </c>
      <c r="Y1536" s="1250"/>
      <c r="Z1536" s="1250"/>
      <c r="AA1536" s="1250"/>
      <c r="AB1536" s="1250"/>
      <c r="AC1536" s="1250"/>
      <c r="AD1536" s="1250"/>
      <c r="AE1536" s="1249">
        <v>1</v>
      </c>
      <c r="AF1536" s="1250">
        <v>60.13</v>
      </c>
      <c r="AG1536" s="111"/>
      <c r="AH1536" s="111"/>
      <c r="AI1536" s="111"/>
      <c r="AJ1536" s="111"/>
      <c r="AK1536" s="111"/>
      <c r="AL1536" s="111"/>
      <c r="AM1536" s="111">
        <v>180.39000000000001</v>
      </c>
    </row>
    <row r="1537" spans="1:39" ht="15" customHeight="1" x14ac:dyDescent="0.25">
      <c r="A1537" s="1409"/>
      <c r="B1537" s="1409"/>
      <c r="C1537" s="1409"/>
      <c r="D1537" s="1409"/>
      <c r="E1537" s="1247"/>
      <c r="F1537" s="1248" t="s">
        <v>5184</v>
      </c>
      <c r="G1537" s="111"/>
      <c r="H1537" s="1249">
        <v>3</v>
      </c>
      <c r="I1537" s="111" t="s">
        <v>1722</v>
      </c>
      <c r="J1537" s="1321" t="s">
        <v>5608</v>
      </c>
      <c r="K1537" s="162" t="s">
        <v>5610</v>
      </c>
      <c r="L1537" s="162" t="s">
        <v>5609</v>
      </c>
      <c r="M1537" s="111">
        <v>53.87</v>
      </c>
      <c r="N1537" s="111">
        <v>161.60999999999999</v>
      </c>
      <c r="O1537" s="111"/>
      <c r="P1537" s="111"/>
      <c r="Q1537" s="111"/>
      <c r="R1537" s="111"/>
      <c r="S1537" s="1249">
        <v>1</v>
      </c>
      <c r="T1537" s="1250">
        <v>53.87</v>
      </c>
      <c r="U1537" s="1250"/>
      <c r="V1537" s="1250"/>
      <c r="W1537" s="1251">
        <v>1</v>
      </c>
      <c r="X1537" s="1250">
        <v>53.87</v>
      </c>
      <c r="Y1537" s="1250"/>
      <c r="Z1537" s="1250"/>
      <c r="AA1537" s="1250"/>
      <c r="AB1537" s="1250"/>
      <c r="AC1537" s="1250"/>
      <c r="AD1537" s="1250"/>
      <c r="AE1537" s="1249">
        <v>1</v>
      </c>
      <c r="AF1537" s="1250">
        <v>53.87</v>
      </c>
      <c r="AG1537" s="111"/>
      <c r="AH1537" s="111"/>
      <c r="AI1537" s="111"/>
      <c r="AJ1537" s="111"/>
      <c r="AK1537" s="111"/>
      <c r="AL1537" s="111"/>
      <c r="AM1537" s="111">
        <v>161.60999999999999</v>
      </c>
    </row>
    <row r="1538" spans="1:39" ht="15" customHeight="1" x14ac:dyDescent="0.25">
      <c r="A1538" s="1409"/>
      <c r="B1538" s="1409"/>
      <c r="C1538" s="1409"/>
      <c r="D1538" s="1409"/>
      <c r="E1538" s="1247"/>
      <c r="F1538" s="1248" t="s">
        <v>5185</v>
      </c>
      <c r="G1538" s="111"/>
      <c r="H1538" s="1249">
        <v>3</v>
      </c>
      <c r="I1538" s="111" t="s">
        <v>1722</v>
      </c>
      <c r="J1538" s="1321" t="s">
        <v>5608</v>
      </c>
      <c r="K1538" s="162" t="s">
        <v>5610</v>
      </c>
      <c r="L1538" s="162" t="s">
        <v>5609</v>
      </c>
      <c r="M1538" s="111">
        <v>81.430000000000007</v>
      </c>
      <c r="N1538" s="111">
        <v>244.29000000000002</v>
      </c>
      <c r="O1538" s="111"/>
      <c r="P1538" s="111"/>
      <c r="Q1538" s="111"/>
      <c r="R1538" s="111"/>
      <c r="S1538" s="1249">
        <v>1</v>
      </c>
      <c r="T1538" s="1250">
        <v>81.430000000000007</v>
      </c>
      <c r="U1538" s="1250"/>
      <c r="V1538" s="1250"/>
      <c r="W1538" s="1251">
        <v>1</v>
      </c>
      <c r="X1538" s="1250">
        <v>81.430000000000007</v>
      </c>
      <c r="Y1538" s="1250"/>
      <c r="Z1538" s="1250"/>
      <c r="AA1538" s="1250"/>
      <c r="AB1538" s="1250"/>
      <c r="AC1538" s="1250"/>
      <c r="AD1538" s="1250"/>
      <c r="AE1538" s="1249">
        <v>1</v>
      </c>
      <c r="AF1538" s="1250">
        <v>81.430000000000007</v>
      </c>
      <c r="AG1538" s="111"/>
      <c r="AH1538" s="111"/>
      <c r="AI1538" s="111"/>
      <c r="AJ1538" s="111"/>
      <c r="AK1538" s="111"/>
      <c r="AL1538" s="111"/>
      <c r="AM1538" s="111">
        <v>244.29000000000002</v>
      </c>
    </row>
    <row r="1539" spans="1:39" ht="15" customHeight="1" x14ac:dyDescent="0.25">
      <c r="A1539" s="1409"/>
      <c r="B1539" s="1409"/>
      <c r="C1539" s="1409"/>
      <c r="D1539" s="1409"/>
      <c r="E1539" s="1247"/>
      <c r="F1539" s="1248" t="s">
        <v>1550</v>
      </c>
      <c r="G1539" s="111"/>
      <c r="H1539" s="1249">
        <v>3</v>
      </c>
      <c r="I1539" s="111" t="s">
        <v>1722</v>
      </c>
      <c r="J1539" s="1321" t="s">
        <v>5608</v>
      </c>
      <c r="K1539" s="162" t="s">
        <v>5610</v>
      </c>
      <c r="L1539" s="162" t="s">
        <v>5609</v>
      </c>
      <c r="M1539" s="111">
        <v>72.66</v>
      </c>
      <c r="N1539" s="111">
        <v>217.98</v>
      </c>
      <c r="O1539" s="111"/>
      <c r="P1539" s="111"/>
      <c r="Q1539" s="111"/>
      <c r="R1539" s="111"/>
      <c r="S1539" s="1249">
        <v>1</v>
      </c>
      <c r="T1539" s="1250">
        <v>72.66</v>
      </c>
      <c r="U1539" s="1250"/>
      <c r="V1539" s="1250"/>
      <c r="W1539" s="1251">
        <v>1</v>
      </c>
      <c r="X1539" s="1250">
        <v>72.66</v>
      </c>
      <c r="Y1539" s="1250"/>
      <c r="Z1539" s="1250"/>
      <c r="AA1539" s="1250"/>
      <c r="AB1539" s="1250"/>
      <c r="AC1539" s="1250"/>
      <c r="AD1539" s="1250"/>
      <c r="AE1539" s="1249">
        <v>1</v>
      </c>
      <c r="AF1539" s="1250">
        <v>72.66</v>
      </c>
      <c r="AG1539" s="111"/>
      <c r="AH1539" s="111"/>
      <c r="AI1539" s="111"/>
      <c r="AJ1539" s="111"/>
      <c r="AK1539" s="111"/>
      <c r="AL1539" s="111"/>
      <c r="AM1539" s="111">
        <v>217.98</v>
      </c>
    </row>
    <row r="1540" spans="1:39" ht="15" customHeight="1" x14ac:dyDescent="0.25">
      <c r="A1540" s="1409"/>
      <c r="B1540" s="1409"/>
      <c r="C1540" s="1409"/>
      <c r="D1540" s="1409"/>
      <c r="E1540" s="1247"/>
      <c r="F1540" s="1248" t="s">
        <v>1551</v>
      </c>
      <c r="G1540" s="111"/>
      <c r="H1540" s="1249">
        <v>25</v>
      </c>
      <c r="I1540" s="111" t="s">
        <v>1722</v>
      </c>
      <c r="J1540" s="1321" t="s">
        <v>5608</v>
      </c>
      <c r="K1540" s="162" t="s">
        <v>5610</v>
      </c>
      <c r="L1540" s="162" t="s">
        <v>5609</v>
      </c>
      <c r="M1540" s="111">
        <v>23.802815999999996</v>
      </c>
      <c r="N1540" s="111">
        <v>595.07039999999995</v>
      </c>
      <c r="O1540" s="111"/>
      <c r="P1540" s="111"/>
      <c r="Q1540" s="111"/>
      <c r="R1540" s="111"/>
      <c r="S1540" s="1249">
        <v>10</v>
      </c>
      <c r="T1540" s="1250">
        <v>198.35679999999999</v>
      </c>
      <c r="U1540" s="1250"/>
      <c r="V1540" s="1250"/>
      <c r="W1540" s="1251">
        <v>10</v>
      </c>
      <c r="X1540" s="1250">
        <v>198.35679999999999</v>
      </c>
      <c r="Y1540" s="1250"/>
      <c r="Z1540" s="1250"/>
      <c r="AA1540" s="1250"/>
      <c r="AB1540" s="1250"/>
      <c r="AC1540" s="1250"/>
      <c r="AD1540" s="1250"/>
      <c r="AE1540" s="1249">
        <v>5</v>
      </c>
      <c r="AF1540" s="1250">
        <v>198.35679999999999</v>
      </c>
      <c r="AG1540" s="111"/>
      <c r="AH1540" s="111"/>
      <c r="AI1540" s="111"/>
      <c r="AJ1540" s="111"/>
      <c r="AK1540" s="111"/>
      <c r="AL1540" s="111"/>
      <c r="AM1540" s="111">
        <v>595.07039999999995</v>
      </c>
    </row>
    <row r="1541" spans="1:39" ht="15" customHeight="1" x14ac:dyDescent="0.25">
      <c r="A1541" s="1409"/>
      <c r="B1541" s="1409"/>
      <c r="C1541" s="1409"/>
      <c r="D1541" s="1409"/>
      <c r="E1541" s="1247"/>
      <c r="F1541" s="1248" t="s">
        <v>5186</v>
      </c>
      <c r="G1541" s="111"/>
      <c r="H1541" s="1249">
        <v>3</v>
      </c>
      <c r="I1541" s="111" t="s">
        <v>1722</v>
      </c>
      <c r="J1541" s="1321" t="s">
        <v>5608</v>
      </c>
      <c r="K1541" s="162" t="s">
        <v>5610</v>
      </c>
      <c r="L1541" s="162" t="s">
        <v>5609</v>
      </c>
      <c r="M1541" s="111">
        <v>56.38</v>
      </c>
      <c r="N1541" s="111">
        <v>169.14000000000001</v>
      </c>
      <c r="O1541" s="111"/>
      <c r="P1541" s="111"/>
      <c r="Q1541" s="111"/>
      <c r="R1541" s="111"/>
      <c r="S1541" s="1249">
        <v>1</v>
      </c>
      <c r="T1541" s="1250">
        <v>56.38</v>
      </c>
      <c r="U1541" s="1250"/>
      <c r="V1541" s="1250"/>
      <c r="W1541" s="1251">
        <v>1</v>
      </c>
      <c r="X1541" s="1250">
        <v>56.38</v>
      </c>
      <c r="Y1541" s="1250"/>
      <c r="Z1541" s="1250"/>
      <c r="AA1541" s="1250"/>
      <c r="AB1541" s="1250"/>
      <c r="AC1541" s="1250"/>
      <c r="AD1541" s="1250"/>
      <c r="AE1541" s="1249">
        <v>1</v>
      </c>
      <c r="AF1541" s="1250">
        <v>56.38</v>
      </c>
      <c r="AG1541" s="111"/>
      <c r="AH1541" s="111"/>
      <c r="AI1541" s="111"/>
      <c r="AJ1541" s="111"/>
      <c r="AK1541" s="111"/>
      <c r="AL1541" s="111"/>
      <c r="AM1541" s="111">
        <v>169.14000000000001</v>
      </c>
    </row>
    <row r="1542" spans="1:39" ht="15" customHeight="1" x14ac:dyDescent="0.25">
      <c r="A1542" s="1409"/>
      <c r="B1542" s="1409"/>
      <c r="C1542" s="1409"/>
      <c r="D1542" s="1409"/>
      <c r="E1542" s="1247"/>
      <c r="F1542" s="1248" t="s">
        <v>5187</v>
      </c>
      <c r="G1542" s="111"/>
      <c r="H1542" s="1249">
        <v>3</v>
      </c>
      <c r="I1542" s="111" t="s">
        <v>1722</v>
      </c>
      <c r="J1542" s="1321" t="s">
        <v>5608</v>
      </c>
      <c r="K1542" s="162" t="s">
        <v>5610</v>
      </c>
      <c r="L1542" s="162" t="s">
        <v>5609</v>
      </c>
      <c r="M1542" s="111">
        <v>81.430000000000007</v>
      </c>
      <c r="N1542" s="111">
        <v>244.29000000000002</v>
      </c>
      <c r="O1542" s="111"/>
      <c r="P1542" s="111"/>
      <c r="Q1542" s="111"/>
      <c r="R1542" s="111"/>
      <c r="S1542" s="1249">
        <v>1</v>
      </c>
      <c r="T1542" s="1250">
        <v>81.430000000000007</v>
      </c>
      <c r="U1542" s="1250"/>
      <c r="V1542" s="1250"/>
      <c r="W1542" s="1251">
        <v>1</v>
      </c>
      <c r="X1542" s="1250">
        <v>81.430000000000007</v>
      </c>
      <c r="Y1542" s="1250"/>
      <c r="Z1542" s="1250"/>
      <c r="AA1542" s="1250"/>
      <c r="AB1542" s="1250"/>
      <c r="AC1542" s="1250"/>
      <c r="AD1542" s="1250"/>
      <c r="AE1542" s="1249">
        <v>1</v>
      </c>
      <c r="AF1542" s="1250">
        <v>81.430000000000007</v>
      </c>
      <c r="AG1542" s="111"/>
      <c r="AH1542" s="111"/>
      <c r="AI1542" s="111"/>
      <c r="AJ1542" s="111"/>
      <c r="AK1542" s="111"/>
      <c r="AL1542" s="111"/>
      <c r="AM1542" s="111">
        <v>244.29000000000002</v>
      </c>
    </row>
    <row r="1543" spans="1:39" ht="15" customHeight="1" x14ac:dyDescent="0.25">
      <c r="A1543" s="1409"/>
      <c r="B1543" s="1409"/>
      <c r="C1543" s="1409"/>
      <c r="D1543" s="1409"/>
      <c r="E1543" s="1247"/>
      <c r="F1543" s="1248" t="s">
        <v>1554</v>
      </c>
      <c r="G1543" s="111"/>
      <c r="H1543" s="1249">
        <v>10</v>
      </c>
      <c r="I1543" s="111" t="s">
        <v>2321</v>
      </c>
      <c r="J1543" s="1321" t="s">
        <v>5608</v>
      </c>
      <c r="K1543" s="162" t="s">
        <v>5610</v>
      </c>
      <c r="L1543" s="162" t="s">
        <v>5609</v>
      </c>
      <c r="M1543" s="111">
        <v>50.11</v>
      </c>
      <c r="N1543" s="111">
        <v>501.1</v>
      </c>
      <c r="O1543" s="111"/>
      <c r="P1543" s="111"/>
      <c r="Q1543" s="111"/>
      <c r="R1543" s="111"/>
      <c r="S1543" s="1249">
        <v>5</v>
      </c>
      <c r="T1543" s="1250">
        <v>167.03333333333333</v>
      </c>
      <c r="U1543" s="1250"/>
      <c r="V1543" s="1250"/>
      <c r="W1543" s="1251">
        <v>5</v>
      </c>
      <c r="X1543" s="1250">
        <v>167.03333333333333</v>
      </c>
      <c r="Y1543" s="1250"/>
      <c r="Z1543" s="1250"/>
      <c r="AA1543" s="1250"/>
      <c r="AB1543" s="1250"/>
      <c r="AC1543" s="1250"/>
      <c r="AD1543" s="1250"/>
      <c r="AE1543" s="1249">
        <v>0</v>
      </c>
      <c r="AF1543" s="1250">
        <v>167.03333333333333</v>
      </c>
      <c r="AG1543" s="111"/>
      <c r="AH1543" s="111"/>
      <c r="AI1543" s="111"/>
      <c r="AJ1543" s="111"/>
      <c r="AK1543" s="111"/>
      <c r="AL1543" s="111"/>
      <c r="AM1543" s="111">
        <v>501.1</v>
      </c>
    </row>
    <row r="1544" spans="1:39" ht="15" customHeight="1" x14ac:dyDescent="0.25">
      <c r="A1544" s="1409"/>
      <c r="B1544" s="1409"/>
      <c r="C1544" s="1409"/>
      <c r="D1544" s="1409"/>
      <c r="E1544" s="1247"/>
      <c r="F1544" s="1248" t="s">
        <v>5188</v>
      </c>
      <c r="G1544" s="111"/>
      <c r="H1544" s="1249">
        <v>2</v>
      </c>
      <c r="I1544" s="111" t="s">
        <v>1722</v>
      </c>
      <c r="J1544" s="1321" t="s">
        <v>5608</v>
      </c>
      <c r="K1544" s="162" t="s">
        <v>5610</v>
      </c>
      <c r="L1544" s="162" t="s">
        <v>5609</v>
      </c>
      <c r="M1544" s="111">
        <v>28.81</v>
      </c>
      <c r="N1544" s="111">
        <v>57.62</v>
      </c>
      <c r="O1544" s="111"/>
      <c r="P1544" s="111"/>
      <c r="Q1544" s="111"/>
      <c r="R1544" s="111"/>
      <c r="S1544" s="1249">
        <v>2</v>
      </c>
      <c r="T1544" s="1250">
        <v>19.206666666666667</v>
      </c>
      <c r="U1544" s="1250"/>
      <c r="V1544" s="1250"/>
      <c r="W1544" s="1251">
        <v>0</v>
      </c>
      <c r="X1544" s="1250">
        <v>19.206666666666667</v>
      </c>
      <c r="Y1544" s="1250"/>
      <c r="Z1544" s="1250"/>
      <c r="AA1544" s="1250"/>
      <c r="AB1544" s="1250"/>
      <c r="AC1544" s="1250"/>
      <c r="AD1544" s="1250"/>
      <c r="AE1544" s="1249">
        <v>0</v>
      </c>
      <c r="AF1544" s="1250">
        <v>19.206666666666667</v>
      </c>
      <c r="AG1544" s="111"/>
      <c r="AH1544" s="111"/>
      <c r="AI1544" s="111"/>
      <c r="AJ1544" s="111"/>
      <c r="AK1544" s="111"/>
      <c r="AL1544" s="111"/>
      <c r="AM1544" s="111">
        <v>57.62</v>
      </c>
    </row>
    <row r="1545" spans="1:39" ht="15" customHeight="1" x14ac:dyDescent="0.25">
      <c r="A1545" s="1409"/>
      <c r="B1545" s="1409"/>
      <c r="C1545" s="1409"/>
      <c r="D1545" s="1409"/>
      <c r="E1545" s="1247"/>
      <c r="F1545" s="1248" t="s">
        <v>5189</v>
      </c>
      <c r="G1545" s="111"/>
      <c r="H1545" s="1249">
        <v>5</v>
      </c>
      <c r="I1545" s="111" t="s">
        <v>1722</v>
      </c>
      <c r="J1545" s="1321" t="s">
        <v>5608</v>
      </c>
      <c r="K1545" s="162" t="s">
        <v>5610</v>
      </c>
      <c r="L1545" s="162" t="s">
        <v>5609</v>
      </c>
      <c r="M1545" s="111">
        <v>48.86</v>
      </c>
      <c r="N1545" s="111">
        <v>244.3</v>
      </c>
      <c r="O1545" s="111"/>
      <c r="P1545" s="111"/>
      <c r="Q1545" s="111"/>
      <c r="R1545" s="111"/>
      <c r="S1545" s="1249">
        <v>2</v>
      </c>
      <c r="T1545" s="1250">
        <v>81.433333333333337</v>
      </c>
      <c r="U1545" s="1250"/>
      <c r="V1545" s="1250"/>
      <c r="W1545" s="1251">
        <v>2</v>
      </c>
      <c r="X1545" s="1250">
        <v>81.433333333333337</v>
      </c>
      <c r="Y1545" s="1250"/>
      <c r="Z1545" s="1250"/>
      <c r="AA1545" s="1250"/>
      <c r="AB1545" s="1250"/>
      <c r="AC1545" s="1250"/>
      <c r="AD1545" s="1250"/>
      <c r="AE1545" s="1249">
        <v>1</v>
      </c>
      <c r="AF1545" s="1250">
        <v>81.433333333333337</v>
      </c>
      <c r="AG1545" s="111"/>
      <c r="AH1545" s="111"/>
      <c r="AI1545" s="111"/>
      <c r="AJ1545" s="111"/>
      <c r="AK1545" s="111"/>
      <c r="AL1545" s="111"/>
      <c r="AM1545" s="111">
        <v>244.3</v>
      </c>
    </row>
    <row r="1546" spans="1:39" ht="15" customHeight="1" x14ac:dyDescent="0.25">
      <c r="A1546" s="1409"/>
      <c r="B1546" s="1409"/>
      <c r="C1546" s="1409"/>
      <c r="D1546" s="1409"/>
      <c r="E1546" s="1247"/>
      <c r="F1546" s="1248" t="s">
        <v>5190</v>
      </c>
      <c r="G1546" s="111"/>
      <c r="H1546" s="1249">
        <v>27</v>
      </c>
      <c r="I1546" s="111" t="s">
        <v>1722</v>
      </c>
      <c r="J1546" s="1321" t="s">
        <v>5608</v>
      </c>
      <c r="K1546" s="162" t="s">
        <v>5610</v>
      </c>
      <c r="L1546" s="162" t="s">
        <v>5609</v>
      </c>
      <c r="M1546" s="111">
        <v>43.848370370370368</v>
      </c>
      <c r="N1546" s="111">
        <v>1183.9059999999999</v>
      </c>
      <c r="O1546" s="111"/>
      <c r="P1546" s="111"/>
      <c r="Q1546" s="111"/>
      <c r="R1546" s="111"/>
      <c r="S1546" s="1249">
        <v>10</v>
      </c>
      <c r="T1546" s="1250">
        <v>394.63533333333334</v>
      </c>
      <c r="U1546" s="1250"/>
      <c r="V1546" s="1250"/>
      <c r="W1546" s="1251">
        <v>10</v>
      </c>
      <c r="X1546" s="1250">
        <v>394.63533333333334</v>
      </c>
      <c r="Y1546" s="1250"/>
      <c r="Z1546" s="1250"/>
      <c r="AA1546" s="1250"/>
      <c r="AB1546" s="1250"/>
      <c r="AC1546" s="1250"/>
      <c r="AD1546" s="1250"/>
      <c r="AE1546" s="1249">
        <v>7</v>
      </c>
      <c r="AF1546" s="1250">
        <v>394.63533333333334</v>
      </c>
      <c r="AG1546" s="111"/>
      <c r="AH1546" s="111"/>
      <c r="AI1546" s="111"/>
      <c r="AJ1546" s="111"/>
      <c r="AK1546" s="111"/>
      <c r="AL1546" s="111"/>
      <c r="AM1546" s="111">
        <v>1183.9059999999999</v>
      </c>
    </row>
    <row r="1547" spans="1:39" ht="15" customHeight="1" x14ac:dyDescent="0.25">
      <c r="A1547" s="1409"/>
      <c r="B1547" s="1409"/>
      <c r="C1547" s="1409"/>
      <c r="D1547" s="1409"/>
      <c r="E1547" s="1247"/>
      <c r="F1547" s="1248" t="s">
        <v>5191</v>
      </c>
      <c r="G1547" s="111"/>
      <c r="H1547" s="1249">
        <v>5</v>
      </c>
      <c r="I1547" s="111" t="s">
        <v>1722</v>
      </c>
      <c r="J1547" s="1321" t="s">
        <v>5608</v>
      </c>
      <c r="K1547" s="162" t="s">
        <v>5610</v>
      </c>
      <c r="L1547" s="162" t="s">
        <v>5609</v>
      </c>
      <c r="M1547" s="111">
        <v>17.54</v>
      </c>
      <c r="N1547" s="111">
        <v>87.699999999999989</v>
      </c>
      <c r="O1547" s="111"/>
      <c r="P1547" s="111"/>
      <c r="Q1547" s="111"/>
      <c r="R1547" s="111"/>
      <c r="S1547" s="1249">
        <v>2</v>
      </c>
      <c r="T1547" s="1250">
        <v>29.233333333333331</v>
      </c>
      <c r="U1547" s="1250"/>
      <c r="V1547" s="1250"/>
      <c r="W1547" s="1251">
        <v>2</v>
      </c>
      <c r="X1547" s="1250">
        <v>29.233333333333331</v>
      </c>
      <c r="Y1547" s="1250"/>
      <c r="Z1547" s="1250"/>
      <c r="AA1547" s="1250"/>
      <c r="AB1547" s="1250"/>
      <c r="AC1547" s="1250"/>
      <c r="AD1547" s="1250"/>
      <c r="AE1547" s="1249">
        <v>1</v>
      </c>
      <c r="AF1547" s="1250">
        <v>29.233333333333331</v>
      </c>
      <c r="AG1547" s="111"/>
      <c r="AH1547" s="111"/>
      <c r="AI1547" s="111"/>
      <c r="AJ1547" s="111"/>
      <c r="AK1547" s="111"/>
      <c r="AL1547" s="111"/>
      <c r="AM1547" s="111">
        <v>87.699999999999989</v>
      </c>
    </row>
    <row r="1548" spans="1:39" ht="15" customHeight="1" x14ac:dyDescent="0.25">
      <c r="A1548" s="1409"/>
      <c r="B1548" s="1409"/>
      <c r="C1548" s="1409"/>
      <c r="D1548" s="1409"/>
      <c r="E1548" s="1247"/>
      <c r="F1548" s="1248" t="s">
        <v>5192</v>
      </c>
      <c r="G1548" s="111"/>
      <c r="H1548" s="1249">
        <v>2</v>
      </c>
      <c r="I1548" s="111" t="s">
        <v>1722</v>
      </c>
      <c r="J1548" s="1321" t="s">
        <v>5608</v>
      </c>
      <c r="K1548" s="162" t="s">
        <v>5610</v>
      </c>
      <c r="L1548" s="162" t="s">
        <v>5609</v>
      </c>
      <c r="M1548" s="111">
        <v>43.85</v>
      </c>
      <c r="N1548" s="111">
        <v>87.7</v>
      </c>
      <c r="O1548" s="111"/>
      <c r="P1548" s="111"/>
      <c r="Q1548" s="111"/>
      <c r="R1548" s="111"/>
      <c r="S1548" s="1249">
        <v>2</v>
      </c>
      <c r="T1548" s="1250">
        <v>29.233333333333334</v>
      </c>
      <c r="U1548" s="1250"/>
      <c r="V1548" s="1250"/>
      <c r="W1548" s="1251">
        <v>0</v>
      </c>
      <c r="X1548" s="1250">
        <v>29.233333333333334</v>
      </c>
      <c r="Y1548" s="1250"/>
      <c r="Z1548" s="1250"/>
      <c r="AA1548" s="1250"/>
      <c r="AB1548" s="1250"/>
      <c r="AC1548" s="1250"/>
      <c r="AD1548" s="1250"/>
      <c r="AE1548" s="1249">
        <v>0</v>
      </c>
      <c r="AF1548" s="1250">
        <v>29.233333333333334</v>
      </c>
      <c r="AG1548" s="111"/>
      <c r="AH1548" s="111"/>
      <c r="AI1548" s="111"/>
      <c r="AJ1548" s="111"/>
      <c r="AK1548" s="111"/>
      <c r="AL1548" s="111"/>
      <c r="AM1548" s="111">
        <v>87.7</v>
      </c>
    </row>
    <row r="1549" spans="1:39" ht="15" customHeight="1" x14ac:dyDescent="0.25">
      <c r="A1549" s="1409"/>
      <c r="B1549" s="1409"/>
      <c r="C1549" s="1409"/>
      <c r="D1549" s="1409"/>
      <c r="E1549" s="1247"/>
      <c r="F1549" s="1248" t="s">
        <v>5193</v>
      </c>
      <c r="G1549" s="111"/>
      <c r="H1549" s="1249">
        <v>1</v>
      </c>
      <c r="I1549" s="111" t="s">
        <v>1722</v>
      </c>
      <c r="J1549" s="1321" t="s">
        <v>5608</v>
      </c>
      <c r="K1549" s="162" t="s">
        <v>5610</v>
      </c>
      <c r="L1549" s="162" t="s">
        <v>5609</v>
      </c>
      <c r="M1549" s="111">
        <v>25.06</v>
      </c>
      <c r="N1549" s="111">
        <v>25.06</v>
      </c>
      <c r="O1549" s="111"/>
      <c r="P1549" s="111"/>
      <c r="Q1549" s="111"/>
      <c r="R1549" s="111"/>
      <c r="S1549" s="1249">
        <v>1</v>
      </c>
      <c r="T1549" s="1250">
        <v>8.3533333333333335</v>
      </c>
      <c r="U1549" s="1250"/>
      <c r="V1549" s="1250"/>
      <c r="W1549" s="1251">
        <v>0</v>
      </c>
      <c r="X1549" s="1250">
        <v>8.3533333333333335</v>
      </c>
      <c r="Y1549" s="1250"/>
      <c r="Z1549" s="1250"/>
      <c r="AA1549" s="1250"/>
      <c r="AB1549" s="1250"/>
      <c r="AC1549" s="1250"/>
      <c r="AD1549" s="1250"/>
      <c r="AE1549" s="1249">
        <v>0</v>
      </c>
      <c r="AF1549" s="1250">
        <v>8.3533333333333335</v>
      </c>
      <c r="AG1549" s="111"/>
      <c r="AH1549" s="111"/>
      <c r="AI1549" s="111"/>
      <c r="AJ1549" s="111"/>
      <c r="AK1549" s="111"/>
      <c r="AL1549" s="111"/>
      <c r="AM1549" s="111">
        <v>25.06</v>
      </c>
    </row>
    <row r="1550" spans="1:39" ht="15" customHeight="1" x14ac:dyDescent="0.25">
      <c r="A1550" s="1409"/>
      <c r="B1550" s="1409"/>
      <c r="C1550" s="1409"/>
      <c r="D1550" s="1409"/>
      <c r="E1550" s="1247"/>
      <c r="F1550" s="1248" t="s">
        <v>5194</v>
      </c>
      <c r="G1550" s="111"/>
      <c r="H1550" s="1249">
        <v>3</v>
      </c>
      <c r="I1550" s="111" t="s">
        <v>1722</v>
      </c>
      <c r="J1550" s="1321" t="s">
        <v>5608</v>
      </c>
      <c r="K1550" s="162" t="s">
        <v>5610</v>
      </c>
      <c r="L1550" s="162" t="s">
        <v>5609</v>
      </c>
      <c r="M1550" s="111">
        <v>43.85</v>
      </c>
      <c r="N1550" s="111">
        <v>131.55000000000001</v>
      </c>
      <c r="O1550" s="111"/>
      <c r="P1550" s="111"/>
      <c r="Q1550" s="111"/>
      <c r="R1550" s="111"/>
      <c r="S1550" s="1249">
        <v>1</v>
      </c>
      <c r="T1550" s="1250">
        <v>43.85</v>
      </c>
      <c r="U1550" s="1250"/>
      <c r="V1550" s="1250"/>
      <c r="W1550" s="1251">
        <v>1</v>
      </c>
      <c r="X1550" s="1250">
        <v>43.85</v>
      </c>
      <c r="Y1550" s="1250"/>
      <c r="Z1550" s="1250"/>
      <c r="AA1550" s="1250"/>
      <c r="AB1550" s="1250"/>
      <c r="AC1550" s="1250"/>
      <c r="AD1550" s="1250"/>
      <c r="AE1550" s="1249">
        <v>1</v>
      </c>
      <c r="AF1550" s="1250">
        <v>43.85</v>
      </c>
      <c r="AG1550" s="111"/>
      <c r="AH1550" s="111"/>
      <c r="AI1550" s="111"/>
      <c r="AJ1550" s="111"/>
      <c r="AK1550" s="111"/>
      <c r="AL1550" s="111"/>
      <c r="AM1550" s="111">
        <v>131.55000000000001</v>
      </c>
    </row>
    <row r="1551" spans="1:39" ht="15" customHeight="1" x14ac:dyDescent="0.25">
      <c r="A1551" s="1409"/>
      <c r="B1551" s="1409"/>
      <c r="C1551" s="1409"/>
      <c r="D1551" s="1409"/>
      <c r="E1551" s="1247"/>
      <c r="F1551" s="1248" t="s">
        <v>2739</v>
      </c>
      <c r="G1551" s="111"/>
      <c r="H1551" s="1249">
        <v>22</v>
      </c>
      <c r="I1551" s="111" t="s">
        <v>1722</v>
      </c>
      <c r="J1551" s="1321" t="s">
        <v>5608</v>
      </c>
      <c r="K1551" s="162" t="s">
        <v>5610</v>
      </c>
      <c r="L1551" s="162" t="s">
        <v>5609</v>
      </c>
      <c r="M1551" s="111">
        <v>43.847999999999992</v>
      </c>
      <c r="N1551" s="111">
        <v>964.65599999999984</v>
      </c>
      <c r="O1551" s="111"/>
      <c r="P1551" s="111"/>
      <c r="Q1551" s="111"/>
      <c r="R1551" s="111"/>
      <c r="S1551" s="1249">
        <v>12</v>
      </c>
      <c r="T1551" s="1250">
        <v>321.55199999999996</v>
      </c>
      <c r="U1551" s="1250"/>
      <c r="V1551" s="1250"/>
      <c r="W1551" s="1251">
        <v>5</v>
      </c>
      <c r="X1551" s="1250">
        <v>321.55199999999996</v>
      </c>
      <c r="Y1551" s="1250"/>
      <c r="Z1551" s="1250"/>
      <c r="AA1551" s="1250"/>
      <c r="AB1551" s="1250"/>
      <c r="AC1551" s="1250"/>
      <c r="AD1551" s="1250"/>
      <c r="AE1551" s="1249">
        <v>5</v>
      </c>
      <c r="AF1551" s="1250">
        <v>321.55199999999996</v>
      </c>
      <c r="AG1551" s="111"/>
      <c r="AH1551" s="111"/>
      <c r="AI1551" s="111"/>
      <c r="AJ1551" s="111"/>
      <c r="AK1551" s="111"/>
      <c r="AL1551" s="111"/>
      <c r="AM1551" s="111">
        <v>964.65599999999984</v>
      </c>
    </row>
    <row r="1552" spans="1:39" ht="15" customHeight="1" x14ac:dyDescent="0.25">
      <c r="A1552" s="1409"/>
      <c r="B1552" s="1409"/>
      <c r="C1552" s="1409"/>
      <c r="D1552" s="1409"/>
      <c r="E1552" s="1247"/>
      <c r="F1552" s="1248" t="s">
        <v>1563</v>
      </c>
      <c r="G1552" s="111"/>
      <c r="H1552" s="1249">
        <v>5</v>
      </c>
      <c r="I1552" s="111" t="s">
        <v>1722</v>
      </c>
      <c r="J1552" s="1321" t="s">
        <v>5608</v>
      </c>
      <c r="K1552" s="162" t="s">
        <v>5610</v>
      </c>
      <c r="L1552" s="162" t="s">
        <v>5609</v>
      </c>
      <c r="M1552" s="111">
        <v>43.85</v>
      </c>
      <c r="N1552" s="111">
        <v>219.25</v>
      </c>
      <c r="O1552" s="111"/>
      <c r="P1552" s="111"/>
      <c r="Q1552" s="111"/>
      <c r="R1552" s="111"/>
      <c r="S1552" s="1249">
        <v>2</v>
      </c>
      <c r="T1552" s="1250">
        <v>73.083333333333329</v>
      </c>
      <c r="U1552" s="1250"/>
      <c r="V1552" s="1250"/>
      <c r="W1552" s="1251">
        <v>2</v>
      </c>
      <c r="X1552" s="1250">
        <v>73.083333333333329</v>
      </c>
      <c r="Y1552" s="1250"/>
      <c r="Z1552" s="1250"/>
      <c r="AA1552" s="1250"/>
      <c r="AB1552" s="1250"/>
      <c r="AC1552" s="1250"/>
      <c r="AD1552" s="1250"/>
      <c r="AE1552" s="1249">
        <v>1</v>
      </c>
      <c r="AF1552" s="1250">
        <v>73.083333333333329</v>
      </c>
      <c r="AG1552" s="111"/>
      <c r="AH1552" s="111"/>
      <c r="AI1552" s="111"/>
      <c r="AJ1552" s="111"/>
      <c r="AK1552" s="111"/>
      <c r="AL1552" s="111"/>
      <c r="AM1552" s="111">
        <v>219.25</v>
      </c>
    </row>
    <row r="1553" spans="1:39" ht="15" customHeight="1" x14ac:dyDescent="0.25">
      <c r="A1553" s="1409"/>
      <c r="B1553" s="1409"/>
      <c r="C1553" s="1409"/>
      <c r="D1553" s="1409"/>
      <c r="E1553" s="1247"/>
      <c r="F1553" s="1248" t="s">
        <v>1564</v>
      </c>
      <c r="G1553" s="111"/>
      <c r="H1553" s="1249">
        <v>5</v>
      </c>
      <c r="I1553" s="111" t="s">
        <v>1722</v>
      </c>
      <c r="J1553" s="1321" t="s">
        <v>5608</v>
      </c>
      <c r="K1553" s="162" t="s">
        <v>5610</v>
      </c>
      <c r="L1553" s="162" t="s">
        <v>5609</v>
      </c>
      <c r="M1553" s="111">
        <v>25.06</v>
      </c>
      <c r="N1553" s="111">
        <v>125.3</v>
      </c>
      <c r="O1553" s="111"/>
      <c r="P1553" s="111"/>
      <c r="Q1553" s="111"/>
      <c r="R1553" s="111"/>
      <c r="S1553" s="1249">
        <v>2</v>
      </c>
      <c r="T1553" s="1250">
        <v>41.766666666666666</v>
      </c>
      <c r="U1553" s="1250"/>
      <c r="V1553" s="1250"/>
      <c r="W1553" s="1251">
        <v>2</v>
      </c>
      <c r="X1553" s="1250">
        <v>41.766666666666666</v>
      </c>
      <c r="Y1553" s="1250"/>
      <c r="Z1553" s="1250"/>
      <c r="AA1553" s="1250"/>
      <c r="AB1553" s="1250"/>
      <c r="AC1553" s="1250"/>
      <c r="AD1553" s="1250"/>
      <c r="AE1553" s="1249">
        <v>1</v>
      </c>
      <c r="AF1553" s="1250">
        <v>41.766666666666666</v>
      </c>
      <c r="AG1553" s="111"/>
      <c r="AH1553" s="111"/>
      <c r="AI1553" s="111"/>
      <c r="AJ1553" s="111"/>
      <c r="AK1553" s="111"/>
      <c r="AL1553" s="111"/>
      <c r="AM1553" s="111">
        <v>125.3</v>
      </c>
    </row>
    <row r="1554" spans="1:39" ht="15" customHeight="1" x14ac:dyDescent="0.25">
      <c r="A1554" s="1409"/>
      <c r="B1554" s="1409"/>
      <c r="C1554" s="1409"/>
      <c r="D1554" s="1409"/>
      <c r="E1554" s="1247"/>
      <c r="F1554" s="1248" t="s">
        <v>1565</v>
      </c>
      <c r="G1554" s="111"/>
      <c r="H1554" s="1249">
        <v>35</v>
      </c>
      <c r="I1554" s="111" t="s">
        <v>1722</v>
      </c>
      <c r="J1554" s="1321" t="s">
        <v>5608</v>
      </c>
      <c r="K1554" s="162" t="s">
        <v>5610</v>
      </c>
      <c r="L1554" s="162" t="s">
        <v>5609</v>
      </c>
      <c r="M1554" s="111">
        <v>24.876571428571431</v>
      </c>
      <c r="N1554" s="111">
        <v>870.68000000000006</v>
      </c>
      <c r="O1554" s="111"/>
      <c r="P1554" s="111"/>
      <c r="Q1554" s="111"/>
      <c r="R1554" s="111"/>
      <c r="S1554" s="1249">
        <v>15</v>
      </c>
      <c r="T1554" s="1250">
        <v>290.22666666666669</v>
      </c>
      <c r="U1554" s="1250"/>
      <c r="V1554" s="1250"/>
      <c r="W1554" s="1251">
        <v>15</v>
      </c>
      <c r="X1554" s="1250">
        <v>290.22666666666669</v>
      </c>
      <c r="Y1554" s="1250"/>
      <c r="Z1554" s="1250"/>
      <c r="AA1554" s="1250"/>
      <c r="AB1554" s="1250"/>
      <c r="AC1554" s="1250"/>
      <c r="AD1554" s="1250"/>
      <c r="AE1554" s="1249">
        <v>5</v>
      </c>
      <c r="AF1554" s="1250">
        <v>290.22666666666669</v>
      </c>
      <c r="AG1554" s="111"/>
      <c r="AH1554" s="111"/>
      <c r="AI1554" s="111"/>
      <c r="AJ1554" s="111"/>
      <c r="AK1554" s="111"/>
      <c r="AL1554" s="111"/>
      <c r="AM1554" s="111">
        <v>870.68000000000006</v>
      </c>
    </row>
    <row r="1555" spans="1:39" ht="15" customHeight="1" x14ac:dyDescent="0.25">
      <c r="A1555" s="1409"/>
      <c r="B1555" s="1409"/>
      <c r="C1555" s="1409"/>
      <c r="D1555" s="1409"/>
      <c r="E1555" s="1247"/>
      <c r="F1555" s="1248" t="s">
        <v>1566</v>
      </c>
      <c r="G1555" s="111"/>
      <c r="H1555" s="1249">
        <v>35</v>
      </c>
      <c r="I1555" s="111" t="s">
        <v>1722</v>
      </c>
      <c r="J1555" s="1321" t="s">
        <v>5608</v>
      </c>
      <c r="K1555" s="162" t="s">
        <v>5610</v>
      </c>
      <c r="L1555" s="162" t="s">
        <v>5609</v>
      </c>
      <c r="M1555" s="111">
        <v>23.098457142857139</v>
      </c>
      <c r="N1555" s="111">
        <v>808.44599999999991</v>
      </c>
      <c r="O1555" s="111"/>
      <c r="P1555" s="111"/>
      <c r="Q1555" s="111"/>
      <c r="R1555" s="111"/>
      <c r="S1555" s="1249">
        <v>15</v>
      </c>
      <c r="T1555" s="1250">
        <v>269.48199999999997</v>
      </c>
      <c r="U1555" s="1250"/>
      <c r="V1555" s="1250"/>
      <c r="W1555" s="1251">
        <v>15</v>
      </c>
      <c r="X1555" s="1250">
        <v>269.48199999999997</v>
      </c>
      <c r="Y1555" s="1250"/>
      <c r="Z1555" s="1250"/>
      <c r="AA1555" s="1250"/>
      <c r="AB1555" s="1250"/>
      <c r="AC1555" s="1250"/>
      <c r="AD1555" s="1250"/>
      <c r="AE1555" s="1249">
        <v>5</v>
      </c>
      <c r="AF1555" s="1250">
        <v>269.48199999999997</v>
      </c>
      <c r="AG1555" s="111"/>
      <c r="AH1555" s="111"/>
      <c r="AI1555" s="111"/>
      <c r="AJ1555" s="111"/>
      <c r="AK1555" s="111"/>
      <c r="AL1555" s="111"/>
      <c r="AM1555" s="111">
        <v>808.44599999999991</v>
      </c>
    </row>
    <row r="1556" spans="1:39" ht="15" customHeight="1" x14ac:dyDescent="0.25">
      <c r="A1556" s="1409"/>
      <c r="B1556" s="1409"/>
      <c r="C1556" s="1409"/>
      <c r="D1556" s="1409"/>
      <c r="E1556" s="1247"/>
      <c r="F1556" s="1248" t="s">
        <v>1567</v>
      </c>
      <c r="G1556" s="111"/>
      <c r="H1556" s="1249">
        <v>2</v>
      </c>
      <c r="I1556" s="111" t="s">
        <v>2321</v>
      </c>
      <c r="J1556" s="1321" t="s">
        <v>5608</v>
      </c>
      <c r="K1556" s="162" t="s">
        <v>5610</v>
      </c>
      <c r="L1556" s="162" t="s">
        <v>5609</v>
      </c>
      <c r="M1556" s="111">
        <v>47.61</v>
      </c>
      <c r="N1556" s="111">
        <v>95.22</v>
      </c>
      <c r="O1556" s="111"/>
      <c r="P1556" s="111"/>
      <c r="Q1556" s="111"/>
      <c r="R1556" s="111"/>
      <c r="S1556" s="1249">
        <v>2</v>
      </c>
      <c r="T1556" s="1250">
        <v>31.74</v>
      </c>
      <c r="U1556" s="1250"/>
      <c r="V1556" s="1250"/>
      <c r="W1556" s="1251">
        <v>0</v>
      </c>
      <c r="X1556" s="1250">
        <v>31.74</v>
      </c>
      <c r="Y1556" s="1250"/>
      <c r="Z1556" s="1250"/>
      <c r="AA1556" s="1250"/>
      <c r="AB1556" s="1250"/>
      <c r="AC1556" s="1250"/>
      <c r="AD1556" s="1250"/>
      <c r="AE1556" s="1249">
        <v>0</v>
      </c>
      <c r="AF1556" s="1250">
        <v>31.74</v>
      </c>
      <c r="AG1556" s="111"/>
      <c r="AH1556" s="111"/>
      <c r="AI1556" s="111"/>
      <c r="AJ1556" s="111"/>
      <c r="AK1556" s="111"/>
      <c r="AL1556" s="111"/>
      <c r="AM1556" s="111">
        <v>95.22</v>
      </c>
    </row>
    <row r="1557" spans="1:39" ht="15" customHeight="1" x14ac:dyDescent="0.25">
      <c r="A1557" s="1409"/>
      <c r="B1557" s="1409"/>
      <c r="C1557" s="1409"/>
      <c r="D1557" s="1409"/>
      <c r="E1557" s="1247"/>
      <c r="F1557" s="1248" t="s">
        <v>1568</v>
      </c>
      <c r="G1557" s="111"/>
      <c r="H1557" s="1249">
        <v>2</v>
      </c>
      <c r="I1557" s="111" t="s">
        <v>1722</v>
      </c>
      <c r="J1557" s="1321" t="s">
        <v>5608</v>
      </c>
      <c r="K1557" s="162" t="s">
        <v>5610</v>
      </c>
      <c r="L1557" s="162" t="s">
        <v>5609</v>
      </c>
      <c r="M1557" s="111">
        <v>47.61</v>
      </c>
      <c r="N1557" s="111">
        <v>95.22</v>
      </c>
      <c r="O1557" s="111"/>
      <c r="P1557" s="111"/>
      <c r="Q1557" s="111"/>
      <c r="R1557" s="111"/>
      <c r="S1557" s="1249">
        <v>2</v>
      </c>
      <c r="T1557" s="1250">
        <v>31.74</v>
      </c>
      <c r="U1557" s="1250"/>
      <c r="V1557" s="1250"/>
      <c r="W1557" s="1251">
        <v>0</v>
      </c>
      <c r="X1557" s="1250">
        <v>31.74</v>
      </c>
      <c r="Y1557" s="1250"/>
      <c r="Z1557" s="1250"/>
      <c r="AA1557" s="1250"/>
      <c r="AB1557" s="1250"/>
      <c r="AC1557" s="1250"/>
      <c r="AD1557" s="1250"/>
      <c r="AE1557" s="1249">
        <v>0</v>
      </c>
      <c r="AF1557" s="1250">
        <v>31.74</v>
      </c>
      <c r="AG1557" s="111"/>
      <c r="AH1557" s="111"/>
      <c r="AI1557" s="111"/>
      <c r="AJ1557" s="111"/>
      <c r="AK1557" s="111"/>
      <c r="AL1557" s="111"/>
      <c r="AM1557" s="111">
        <v>95.22</v>
      </c>
    </row>
    <row r="1558" spans="1:39" ht="15" customHeight="1" x14ac:dyDescent="0.25">
      <c r="A1558" s="1409"/>
      <c r="B1558" s="1409"/>
      <c r="C1558" s="1409"/>
      <c r="D1558" s="1409"/>
      <c r="E1558" s="1247"/>
      <c r="F1558" s="1248" t="s">
        <v>5195</v>
      </c>
      <c r="G1558" s="111"/>
      <c r="H1558" s="1249">
        <v>2</v>
      </c>
      <c r="I1558" s="111" t="s">
        <v>1722</v>
      </c>
      <c r="J1558" s="1321" t="s">
        <v>5608</v>
      </c>
      <c r="K1558" s="162" t="s">
        <v>5610</v>
      </c>
      <c r="L1558" s="162" t="s">
        <v>5609</v>
      </c>
      <c r="M1558" s="111">
        <v>47.61</v>
      </c>
      <c r="N1558" s="111">
        <v>95.22</v>
      </c>
      <c r="O1558" s="111"/>
      <c r="P1558" s="111"/>
      <c r="Q1558" s="111"/>
      <c r="R1558" s="111"/>
      <c r="S1558" s="1249">
        <v>2</v>
      </c>
      <c r="T1558" s="1250">
        <v>31.74</v>
      </c>
      <c r="U1558" s="1250"/>
      <c r="V1558" s="1250"/>
      <c r="W1558" s="1251">
        <v>0</v>
      </c>
      <c r="X1558" s="1250">
        <v>31.74</v>
      </c>
      <c r="Y1558" s="1250"/>
      <c r="Z1558" s="1250"/>
      <c r="AA1558" s="1250"/>
      <c r="AB1558" s="1250"/>
      <c r="AC1558" s="1250"/>
      <c r="AD1558" s="1250"/>
      <c r="AE1558" s="1249">
        <v>0</v>
      </c>
      <c r="AF1558" s="1250">
        <v>31.74</v>
      </c>
      <c r="AG1558" s="111"/>
      <c r="AH1558" s="111"/>
      <c r="AI1558" s="111"/>
      <c r="AJ1558" s="111"/>
      <c r="AK1558" s="111"/>
      <c r="AL1558" s="111"/>
      <c r="AM1558" s="111">
        <v>95.22</v>
      </c>
    </row>
    <row r="1559" spans="1:39" ht="15" customHeight="1" x14ac:dyDescent="0.25">
      <c r="A1559" s="1409"/>
      <c r="B1559" s="1409"/>
      <c r="C1559" s="1409"/>
      <c r="D1559" s="1409"/>
      <c r="E1559" s="1247"/>
      <c r="F1559" s="1248" t="s">
        <v>1569</v>
      </c>
      <c r="G1559" s="111"/>
      <c r="H1559" s="1249">
        <v>5</v>
      </c>
      <c r="I1559" s="111" t="s">
        <v>1722</v>
      </c>
      <c r="J1559" s="1321" t="s">
        <v>5608</v>
      </c>
      <c r="K1559" s="162" t="s">
        <v>5610</v>
      </c>
      <c r="L1559" s="162" t="s">
        <v>5609</v>
      </c>
      <c r="M1559" s="111">
        <v>31.32</v>
      </c>
      <c r="N1559" s="111">
        <v>156.6</v>
      </c>
      <c r="O1559" s="111"/>
      <c r="P1559" s="111"/>
      <c r="Q1559" s="111"/>
      <c r="R1559" s="111"/>
      <c r="S1559" s="1249">
        <v>2</v>
      </c>
      <c r="T1559" s="1250">
        <v>52.199999999999996</v>
      </c>
      <c r="U1559" s="1250"/>
      <c r="V1559" s="1250"/>
      <c r="W1559" s="1251">
        <v>2</v>
      </c>
      <c r="X1559" s="1250">
        <v>52.199999999999996</v>
      </c>
      <c r="Y1559" s="1250"/>
      <c r="Z1559" s="1250"/>
      <c r="AA1559" s="1250"/>
      <c r="AB1559" s="1250"/>
      <c r="AC1559" s="1250"/>
      <c r="AD1559" s="1250"/>
      <c r="AE1559" s="1249">
        <v>1</v>
      </c>
      <c r="AF1559" s="1250">
        <v>52.199999999999996</v>
      </c>
      <c r="AG1559" s="111"/>
      <c r="AH1559" s="111"/>
      <c r="AI1559" s="111"/>
      <c r="AJ1559" s="111"/>
      <c r="AK1559" s="111"/>
      <c r="AL1559" s="111"/>
      <c r="AM1559" s="111">
        <v>156.6</v>
      </c>
    </row>
    <row r="1560" spans="1:39" ht="15" customHeight="1" x14ac:dyDescent="0.25">
      <c r="A1560" s="1409"/>
      <c r="B1560" s="1409"/>
      <c r="C1560" s="1409"/>
      <c r="D1560" s="1409"/>
      <c r="E1560" s="1247"/>
      <c r="F1560" s="1248" t="s">
        <v>5196</v>
      </c>
      <c r="G1560" s="111"/>
      <c r="H1560" s="1249">
        <v>4</v>
      </c>
      <c r="I1560" s="111" t="s">
        <v>2321</v>
      </c>
      <c r="J1560" s="1321" t="s">
        <v>5608</v>
      </c>
      <c r="K1560" s="162" t="s">
        <v>5610</v>
      </c>
      <c r="L1560" s="162" t="s">
        <v>5609</v>
      </c>
      <c r="M1560" s="111">
        <v>86.4</v>
      </c>
      <c r="N1560" s="111">
        <v>345.6</v>
      </c>
      <c r="O1560" s="111"/>
      <c r="P1560" s="111"/>
      <c r="Q1560" s="111"/>
      <c r="R1560" s="111"/>
      <c r="S1560" s="1249">
        <v>2</v>
      </c>
      <c r="T1560" s="1250">
        <v>115.2</v>
      </c>
      <c r="U1560" s="1250"/>
      <c r="V1560" s="1250"/>
      <c r="W1560" s="1251">
        <v>1</v>
      </c>
      <c r="X1560" s="1250">
        <v>115.2</v>
      </c>
      <c r="Y1560" s="1250"/>
      <c r="Z1560" s="1250"/>
      <c r="AA1560" s="1250"/>
      <c r="AB1560" s="1250"/>
      <c r="AC1560" s="1250"/>
      <c r="AD1560" s="1250"/>
      <c r="AE1560" s="1249">
        <v>1</v>
      </c>
      <c r="AF1560" s="1250">
        <v>115.2</v>
      </c>
      <c r="AG1560" s="111"/>
      <c r="AH1560" s="111"/>
      <c r="AI1560" s="111"/>
      <c r="AJ1560" s="111"/>
      <c r="AK1560" s="111"/>
      <c r="AL1560" s="111"/>
      <c r="AM1560" s="111">
        <v>345.6</v>
      </c>
    </row>
    <row r="1561" spans="1:39" ht="15" customHeight="1" x14ac:dyDescent="0.25">
      <c r="A1561" s="1409"/>
      <c r="B1561" s="1409"/>
      <c r="C1561" s="1409"/>
      <c r="D1561" s="1409"/>
      <c r="E1561" s="1247"/>
      <c r="F1561" s="1248" t="s">
        <v>5197</v>
      </c>
      <c r="G1561" s="111"/>
      <c r="H1561" s="1249">
        <v>4</v>
      </c>
      <c r="I1561" s="111" t="s">
        <v>2321</v>
      </c>
      <c r="J1561" s="1321" t="s">
        <v>5608</v>
      </c>
      <c r="K1561" s="162" t="s">
        <v>5610</v>
      </c>
      <c r="L1561" s="162" t="s">
        <v>5609</v>
      </c>
      <c r="M1561" s="111">
        <v>48.06</v>
      </c>
      <c r="N1561" s="111">
        <v>192.24</v>
      </c>
      <c r="O1561" s="111"/>
      <c r="P1561" s="111"/>
      <c r="Q1561" s="111"/>
      <c r="R1561" s="111"/>
      <c r="S1561" s="1249">
        <v>2</v>
      </c>
      <c r="T1561" s="1250">
        <v>64.08</v>
      </c>
      <c r="U1561" s="1250"/>
      <c r="V1561" s="1250"/>
      <c r="W1561" s="1251">
        <v>1</v>
      </c>
      <c r="X1561" s="1250">
        <v>64.08</v>
      </c>
      <c r="Y1561" s="1250"/>
      <c r="Z1561" s="1250"/>
      <c r="AA1561" s="1250"/>
      <c r="AB1561" s="1250"/>
      <c r="AC1561" s="1250"/>
      <c r="AD1561" s="1250"/>
      <c r="AE1561" s="1249">
        <v>1</v>
      </c>
      <c r="AF1561" s="1250">
        <v>64.08</v>
      </c>
      <c r="AG1561" s="111"/>
      <c r="AH1561" s="111"/>
      <c r="AI1561" s="111"/>
      <c r="AJ1561" s="111"/>
      <c r="AK1561" s="111"/>
      <c r="AL1561" s="111"/>
      <c r="AM1561" s="111">
        <v>192.24</v>
      </c>
    </row>
    <row r="1562" spans="1:39" ht="15" customHeight="1" x14ac:dyDescent="0.25">
      <c r="A1562" s="1409"/>
      <c r="B1562" s="1409"/>
      <c r="C1562" s="1409"/>
      <c r="D1562" s="1409"/>
      <c r="E1562" s="1247"/>
      <c r="F1562" s="1248" t="s">
        <v>5198</v>
      </c>
      <c r="G1562" s="111"/>
      <c r="H1562" s="1249">
        <v>4</v>
      </c>
      <c r="I1562" s="111" t="s">
        <v>2321</v>
      </c>
      <c r="J1562" s="1321" t="s">
        <v>5608</v>
      </c>
      <c r="K1562" s="162" t="s">
        <v>5610</v>
      </c>
      <c r="L1562" s="162" t="s">
        <v>5609</v>
      </c>
      <c r="M1562" s="111">
        <v>43.2</v>
      </c>
      <c r="N1562" s="111">
        <v>172.8</v>
      </c>
      <c r="O1562" s="111"/>
      <c r="P1562" s="111"/>
      <c r="Q1562" s="111"/>
      <c r="R1562" s="111"/>
      <c r="S1562" s="1249">
        <v>2</v>
      </c>
      <c r="T1562" s="1250">
        <v>57.6</v>
      </c>
      <c r="U1562" s="1250"/>
      <c r="V1562" s="1250"/>
      <c r="W1562" s="1251">
        <v>1</v>
      </c>
      <c r="X1562" s="1250">
        <v>57.6</v>
      </c>
      <c r="Y1562" s="1250"/>
      <c r="Z1562" s="1250"/>
      <c r="AA1562" s="1250"/>
      <c r="AB1562" s="1250"/>
      <c r="AC1562" s="1250"/>
      <c r="AD1562" s="1250"/>
      <c r="AE1562" s="1249">
        <v>1</v>
      </c>
      <c r="AF1562" s="1250">
        <v>57.6</v>
      </c>
      <c r="AG1562" s="111"/>
      <c r="AH1562" s="111"/>
      <c r="AI1562" s="111"/>
      <c r="AJ1562" s="111"/>
      <c r="AK1562" s="111"/>
      <c r="AL1562" s="111"/>
      <c r="AM1562" s="111">
        <v>172.8</v>
      </c>
    </row>
    <row r="1563" spans="1:39" ht="15" customHeight="1" x14ac:dyDescent="0.25">
      <c r="A1563" s="1409"/>
      <c r="B1563" s="1409"/>
      <c r="C1563" s="1409"/>
      <c r="D1563" s="1409"/>
      <c r="E1563" s="1247"/>
      <c r="F1563" s="1248" t="s">
        <v>5199</v>
      </c>
      <c r="G1563" s="111"/>
      <c r="H1563" s="1249">
        <v>4</v>
      </c>
      <c r="I1563" s="111" t="s">
        <v>2321</v>
      </c>
      <c r="J1563" s="1321" t="s">
        <v>5608</v>
      </c>
      <c r="K1563" s="162" t="s">
        <v>5610</v>
      </c>
      <c r="L1563" s="162" t="s">
        <v>5609</v>
      </c>
      <c r="M1563" s="111">
        <v>112</v>
      </c>
      <c r="N1563" s="111">
        <v>448</v>
      </c>
      <c r="O1563" s="111"/>
      <c r="P1563" s="111"/>
      <c r="Q1563" s="111"/>
      <c r="R1563" s="111"/>
      <c r="S1563" s="1249">
        <v>2</v>
      </c>
      <c r="T1563" s="1250">
        <v>149.33333333333334</v>
      </c>
      <c r="U1563" s="1250"/>
      <c r="V1563" s="1250"/>
      <c r="W1563" s="1251">
        <v>1</v>
      </c>
      <c r="X1563" s="1250">
        <v>149.33333333333334</v>
      </c>
      <c r="Y1563" s="1250"/>
      <c r="Z1563" s="1250"/>
      <c r="AA1563" s="1250"/>
      <c r="AB1563" s="1250"/>
      <c r="AC1563" s="1250"/>
      <c r="AD1563" s="1250"/>
      <c r="AE1563" s="1249">
        <v>1</v>
      </c>
      <c r="AF1563" s="1250">
        <v>149.33333333333334</v>
      </c>
      <c r="AG1563" s="111"/>
      <c r="AH1563" s="111"/>
      <c r="AI1563" s="111"/>
      <c r="AJ1563" s="111"/>
      <c r="AK1563" s="111"/>
      <c r="AL1563" s="111"/>
      <c r="AM1563" s="111">
        <v>448</v>
      </c>
    </row>
    <row r="1564" spans="1:39" ht="15" customHeight="1" x14ac:dyDescent="0.25">
      <c r="A1564" s="1409"/>
      <c r="B1564" s="1409"/>
      <c r="C1564" s="1409"/>
      <c r="D1564" s="1409"/>
      <c r="E1564" s="1247"/>
      <c r="F1564" s="1248" t="s">
        <v>5200</v>
      </c>
      <c r="G1564" s="111"/>
      <c r="H1564" s="1249">
        <v>4</v>
      </c>
      <c r="I1564" s="111" t="s">
        <v>2321</v>
      </c>
      <c r="J1564" s="1321" t="s">
        <v>5608</v>
      </c>
      <c r="K1564" s="162" t="s">
        <v>5610</v>
      </c>
      <c r="L1564" s="162" t="s">
        <v>5609</v>
      </c>
      <c r="M1564" s="111">
        <v>43.8</v>
      </c>
      <c r="N1564" s="111">
        <v>175.2</v>
      </c>
      <c r="O1564" s="111"/>
      <c r="P1564" s="111"/>
      <c r="Q1564" s="111"/>
      <c r="R1564" s="111"/>
      <c r="S1564" s="1249">
        <v>2</v>
      </c>
      <c r="T1564" s="1250">
        <v>58.4</v>
      </c>
      <c r="U1564" s="1250"/>
      <c r="V1564" s="1250"/>
      <c r="W1564" s="1251">
        <v>1</v>
      </c>
      <c r="X1564" s="1250">
        <v>58.4</v>
      </c>
      <c r="Y1564" s="1250"/>
      <c r="Z1564" s="1250"/>
      <c r="AA1564" s="1250"/>
      <c r="AB1564" s="1250"/>
      <c r="AC1564" s="1250"/>
      <c r="AD1564" s="1250"/>
      <c r="AE1564" s="1249">
        <v>1</v>
      </c>
      <c r="AF1564" s="1250">
        <v>58.4</v>
      </c>
      <c r="AG1564" s="111"/>
      <c r="AH1564" s="111"/>
      <c r="AI1564" s="111"/>
      <c r="AJ1564" s="111"/>
      <c r="AK1564" s="111"/>
      <c r="AL1564" s="111"/>
      <c r="AM1564" s="111">
        <v>175.2</v>
      </c>
    </row>
    <row r="1565" spans="1:39" ht="26.25" customHeight="1" x14ac:dyDescent="0.25">
      <c r="A1565" s="1409"/>
      <c r="B1565" s="1409"/>
      <c r="C1565" s="1409"/>
      <c r="D1565" s="1409"/>
      <c r="E1565" s="1247"/>
      <c r="F1565" s="1287" t="s">
        <v>5201</v>
      </c>
      <c r="G1565" s="111"/>
      <c r="H1565" s="1249">
        <v>4</v>
      </c>
      <c r="I1565" s="111" t="s">
        <v>2321</v>
      </c>
      <c r="J1565" s="1321" t="s">
        <v>5608</v>
      </c>
      <c r="K1565" s="162" t="s">
        <v>5610</v>
      </c>
      <c r="L1565" s="162" t="s">
        <v>5609</v>
      </c>
      <c r="M1565" s="111">
        <v>64.8</v>
      </c>
      <c r="N1565" s="111">
        <v>259.2</v>
      </c>
      <c r="O1565" s="111"/>
      <c r="P1565" s="111"/>
      <c r="Q1565" s="111"/>
      <c r="R1565" s="111"/>
      <c r="S1565" s="1249">
        <v>2</v>
      </c>
      <c r="T1565" s="1250">
        <v>86.399999999999991</v>
      </c>
      <c r="U1565" s="1250"/>
      <c r="V1565" s="1250"/>
      <c r="W1565" s="1251">
        <v>1</v>
      </c>
      <c r="X1565" s="1250">
        <v>86.399999999999991</v>
      </c>
      <c r="Y1565" s="1250"/>
      <c r="Z1565" s="1250"/>
      <c r="AA1565" s="1250"/>
      <c r="AB1565" s="1250"/>
      <c r="AC1565" s="1250"/>
      <c r="AD1565" s="1250"/>
      <c r="AE1565" s="1249">
        <v>1</v>
      </c>
      <c r="AF1565" s="1250">
        <v>86.399999999999991</v>
      </c>
      <c r="AG1565" s="111"/>
      <c r="AH1565" s="111"/>
      <c r="AI1565" s="111"/>
      <c r="AJ1565" s="111"/>
      <c r="AK1565" s="111"/>
      <c r="AL1565" s="111"/>
      <c r="AM1565" s="111">
        <v>259.2</v>
      </c>
    </row>
    <row r="1566" spans="1:39" ht="15" customHeight="1" x14ac:dyDescent="0.25">
      <c r="A1566" s="1409"/>
      <c r="B1566" s="1409"/>
      <c r="C1566" s="1409"/>
      <c r="D1566" s="1409"/>
      <c r="E1566" s="1247"/>
      <c r="F1566" s="1248" t="s">
        <v>5202</v>
      </c>
      <c r="G1566" s="111"/>
      <c r="H1566" s="1249">
        <v>3</v>
      </c>
      <c r="I1566" s="111" t="s">
        <v>1721</v>
      </c>
      <c r="J1566" s="1321" t="s">
        <v>5608</v>
      </c>
      <c r="K1566" s="162" t="s">
        <v>5610</v>
      </c>
      <c r="L1566" s="162" t="s">
        <v>5609</v>
      </c>
      <c r="M1566" s="111">
        <v>54.080000000000005</v>
      </c>
      <c r="N1566" s="111">
        <v>162.24</v>
      </c>
      <c r="O1566" s="111"/>
      <c r="P1566" s="111"/>
      <c r="Q1566" s="111"/>
      <c r="R1566" s="111"/>
      <c r="S1566" s="1249">
        <v>1</v>
      </c>
      <c r="T1566" s="1250">
        <v>54.080000000000005</v>
      </c>
      <c r="U1566" s="1250"/>
      <c r="V1566" s="1250"/>
      <c r="W1566" s="1251">
        <v>1</v>
      </c>
      <c r="X1566" s="1250">
        <v>54.080000000000005</v>
      </c>
      <c r="Y1566" s="1250"/>
      <c r="Z1566" s="1250"/>
      <c r="AA1566" s="1250"/>
      <c r="AB1566" s="1250"/>
      <c r="AC1566" s="1250"/>
      <c r="AD1566" s="1250"/>
      <c r="AE1566" s="1249">
        <v>1</v>
      </c>
      <c r="AF1566" s="1250">
        <v>54.080000000000005</v>
      </c>
      <c r="AG1566" s="111"/>
      <c r="AH1566" s="111"/>
      <c r="AI1566" s="111"/>
      <c r="AJ1566" s="111"/>
      <c r="AK1566" s="111"/>
      <c r="AL1566" s="111"/>
      <c r="AM1566" s="111">
        <v>162.24</v>
      </c>
    </row>
    <row r="1567" spans="1:39" ht="15" customHeight="1" x14ac:dyDescent="0.25">
      <c r="A1567" s="1409"/>
      <c r="B1567" s="1409"/>
      <c r="C1567" s="1409"/>
      <c r="D1567" s="1409"/>
      <c r="E1567" s="1247"/>
      <c r="F1567" s="1248" t="s">
        <v>623</v>
      </c>
      <c r="G1567" s="111"/>
      <c r="H1567" s="1249">
        <v>9</v>
      </c>
      <c r="I1567" s="111" t="s">
        <v>2321</v>
      </c>
      <c r="J1567" s="1321" t="s">
        <v>5608</v>
      </c>
      <c r="K1567" s="162" t="s">
        <v>5610</v>
      </c>
      <c r="L1567" s="162" t="s">
        <v>5609</v>
      </c>
      <c r="M1567" s="111">
        <v>45.864444444444445</v>
      </c>
      <c r="N1567" s="111">
        <v>412.78</v>
      </c>
      <c r="O1567" s="111"/>
      <c r="P1567" s="111"/>
      <c r="Q1567" s="111"/>
      <c r="R1567" s="111"/>
      <c r="S1567" s="1249">
        <v>5</v>
      </c>
      <c r="T1567" s="1250">
        <v>137.59333333333333</v>
      </c>
      <c r="U1567" s="1250"/>
      <c r="V1567" s="1250"/>
      <c r="W1567" s="1251">
        <v>2</v>
      </c>
      <c r="X1567" s="1250">
        <v>137.59333333333333</v>
      </c>
      <c r="Y1567" s="1250"/>
      <c r="Z1567" s="1250"/>
      <c r="AA1567" s="1250"/>
      <c r="AB1567" s="1250"/>
      <c r="AC1567" s="1250"/>
      <c r="AD1567" s="1250"/>
      <c r="AE1567" s="1249">
        <v>2</v>
      </c>
      <c r="AF1567" s="1250">
        <v>137.59333333333333</v>
      </c>
      <c r="AG1567" s="111"/>
      <c r="AH1567" s="111"/>
      <c r="AI1567" s="111"/>
      <c r="AJ1567" s="111"/>
      <c r="AK1567" s="111"/>
      <c r="AL1567" s="111"/>
      <c r="AM1567" s="111">
        <v>412.78</v>
      </c>
    </row>
    <row r="1568" spans="1:39" ht="15" customHeight="1" x14ac:dyDescent="0.25">
      <c r="A1568" s="1409"/>
      <c r="B1568" s="1409"/>
      <c r="C1568" s="1409"/>
      <c r="D1568" s="1409"/>
      <c r="E1568" s="1247"/>
      <c r="F1568" s="1248" t="s">
        <v>1558</v>
      </c>
      <c r="G1568" s="111"/>
      <c r="H1568" s="1249">
        <v>10</v>
      </c>
      <c r="I1568" s="111" t="s">
        <v>1722</v>
      </c>
      <c r="J1568" s="1321" t="s">
        <v>5608</v>
      </c>
      <c r="K1568" s="162" t="s">
        <v>5610</v>
      </c>
      <c r="L1568" s="162" t="s">
        <v>5609</v>
      </c>
      <c r="M1568" s="111">
        <v>22.16</v>
      </c>
      <c r="N1568" s="111">
        <v>221.6</v>
      </c>
      <c r="O1568" s="111"/>
      <c r="P1568" s="111"/>
      <c r="Q1568" s="111"/>
      <c r="R1568" s="111"/>
      <c r="S1568" s="1249">
        <v>5</v>
      </c>
      <c r="T1568" s="1250">
        <v>73.86666666666666</v>
      </c>
      <c r="U1568" s="1250"/>
      <c r="V1568" s="1250"/>
      <c r="W1568" s="1251">
        <v>5</v>
      </c>
      <c r="X1568" s="1250">
        <v>73.86666666666666</v>
      </c>
      <c r="Y1568" s="1250"/>
      <c r="Z1568" s="1250"/>
      <c r="AA1568" s="1250"/>
      <c r="AB1568" s="1250"/>
      <c r="AC1568" s="1250"/>
      <c r="AD1568" s="1250"/>
      <c r="AE1568" s="1249">
        <v>0</v>
      </c>
      <c r="AF1568" s="1250">
        <v>73.86666666666666</v>
      </c>
      <c r="AG1568" s="111"/>
      <c r="AH1568" s="111"/>
      <c r="AI1568" s="111"/>
      <c r="AJ1568" s="111"/>
      <c r="AK1568" s="111"/>
      <c r="AL1568" s="111"/>
      <c r="AM1568" s="111">
        <v>221.6</v>
      </c>
    </row>
    <row r="1569" spans="1:39" ht="15" customHeight="1" x14ac:dyDescent="0.25">
      <c r="A1569" s="1409"/>
      <c r="B1569" s="1409"/>
      <c r="C1569" s="1409"/>
      <c r="D1569" s="1409"/>
      <c r="E1569" s="1247"/>
      <c r="F1569" s="1248" t="s">
        <v>1539</v>
      </c>
      <c r="G1569" s="111"/>
      <c r="H1569" s="1249">
        <v>4</v>
      </c>
      <c r="I1569" s="111" t="s">
        <v>2321</v>
      </c>
      <c r="J1569" s="1321" t="s">
        <v>5608</v>
      </c>
      <c r="K1569" s="162" t="s">
        <v>5610</v>
      </c>
      <c r="L1569" s="162" t="s">
        <v>5609</v>
      </c>
      <c r="M1569" s="111">
        <v>43.2</v>
      </c>
      <c r="N1569" s="111">
        <v>172.8</v>
      </c>
      <c r="O1569" s="111"/>
      <c r="P1569" s="111"/>
      <c r="Q1569" s="111"/>
      <c r="R1569" s="111"/>
      <c r="S1569" s="1249">
        <v>2</v>
      </c>
      <c r="T1569" s="1250">
        <v>57.6</v>
      </c>
      <c r="U1569" s="1250"/>
      <c r="V1569" s="1250"/>
      <c r="W1569" s="1251">
        <v>1</v>
      </c>
      <c r="X1569" s="1250">
        <v>57.6</v>
      </c>
      <c r="Y1569" s="1250"/>
      <c r="Z1569" s="1250"/>
      <c r="AA1569" s="1250"/>
      <c r="AB1569" s="1250"/>
      <c r="AC1569" s="1250"/>
      <c r="AD1569" s="1250"/>
      <c r="AE1569" s="1249">
        <v>1</v>
      </c>
      <c r="AF1569" s="1250">
        <v>57.6</v>
      </c>
      <c r="AG1569" s="111"/>
      <c r="AH1569" s="111"/>
      <c r="AI1569" s="111"/>
      <c r="AJ1569" s="111"/>
      <c r="AK1569" s="111"/>
      <c r="AL1569" s="111"/>
      <c r="AM1569" s="111">
        <v>172.8</v>
      </c>
    </row>
    <row r="1570" spans="1:39" ht="15" customHeight="1" x14ac:dyDescent="0.25">
      <c r="A1570" s="1409"/>
      <c r="B1570" s="1409"/>
      <c r="C1570" s="1409"/>
      <c r="D1570" s="1409"/>
      <c r="E1570" s="1247"/>
      <c r="F1570" s="1248" t="s">
        <v>5203</v>
      </c>
      <c r="G1570" s="111"/>
      <c r="H1570" s="1249">
        <v>4</v>
      </c>
      <c r="I1570" s="111" t="s">
        <v>2321</v>
      </c>
      <c r="J1570" s="1321" t="s">
        <v>5608</v>
      </c>
      <c r="K1570" s="162" t="s">
        <v>5610</v>
      </c>
      <c r="L1570" s="162" t="s">
        <v>5609</v>
      </c>
      <c r="M1570" s="111">
        <v>41.04</v>
      </c>
      <c r="N1570" s="111">
        <v>164.16</v>
      </c>
      <c r="O1570" s="111"/>
      <c r="P1570" s="111"/>
      <c r="Q1570" s="111"/>
      <c r="R1570" s="111"/>
      <c r="S1570" s="1249">
        <v>2</v>
      </c>
      <c r="T1570" s="1250">
        <v>54.72</v>
      </c>
      <c r="U1570" s="1250"/>
      <c r="V1570" s="1250"/>
      <c r="W1570" s="1251">
        <v>1</v>
      </c>
      <c r="X1570" s="1250">
        <v>54.72</v>
      </c>
      <c r="Y1570" s="1250"/>
      <c r="Z1570" s="1250"/>
      <c r="AA1570" s="1250"/>
      <c r="AB1570" s="1250"/>
      <c r="AC1570" s="1250"/>
      <c r="AD1570" s="1250"/>
      <c r="AE1570" s="1249">
        <v>1</v>
      </c>
      <c r="AF1570" s="1250">
        <v>54.72</v>
      </c>
      <c r="AG1570" s="111"/>
      <c r="AH1570" s="111"/>
      <c r="AI1570" s="111"/>
      <c r="AJ1570" s="111"/>
      <c r="AK1570" s="111"/>
      <c r="AL1570" s="111"/>
      <c r="AM1570" s="111">
        <v>164.16</v>
      </c>
    </row>
    <row r="1571" spans="1:39" ht="15" customHeight="1" x14ac:dyDescent="0.25">
      <c r="A1571" s="1409"/>
      <c r="B1571" s="1409"/>
      <c r="C1571" s="1409"/>
      <c r="D1571" s="1409"/>
      <c r="E1571" s="1247"/>
      <c r="F1571" s="1248" t="s">
        <v>1462</v>
      </c>
      <c r="G1571" s="111"/>
      <c r="H1571" s="1249">
        <v>4</v>
      </c>
      <c r="I1571" s="111" t="s">
        <v>2321</v>
      </c>
      <c r="J1571" s="1321" t="s">
        <v>5608</v>
      </c>
      <c r="K1571" s="162" t="s">
        <v>5610</v>
      </c>
      <c r="L1571" s="162" t="s">
        <v>5609</v>
      </c>
      <c r="M1571" s="111">
        <v>42.12</v>
      </c>
      <c r="N1571" s="111">
        <v>168.48</v>
      </c>
      <c r="O1571" s="111"/>
      <c r="P1571" s="111"/>
      <c r="Q1571" s="111"/>
      <c r="R1571" s="111"/>
      <c r="S1571" s="1249">
        <v>2</v>
      </c>
      <c r="T1571" s="1250">
        <v>56.16</v>
      </c>
      <c r="U1571" s="1250"/>
      <c r="V1571" s="1250"/>
      <c r="W1571" s="1251">
        <v>1</v>
      </c>
      <c r="X1571" s="1250">
        <v>56.16</v>
      </c>
      <c r="Y1571" s="1250"/>
      <c r="Z1571" s="1250"/>
      <c r="AA1571" s="1250"/>
      <c r="AB1571" s="1250"/>
      <c r="AC1571" s="1250"/>
      <c r="AD1571" s="1250"/>
      <c r="AE1571" s="1249">
        <v>1</v>
      </c>
      <c r="AF1571" s="1250">
        <v>56.16</v>
      </c>
      <c r="AG1571" s="111"/>
      <c r="AH1571" s="111"/>
      <c r="AI1571" s="111"/>
      <c r="AJ1571" s="111"/>
      <c r="AK1571" s="111"/>
      <c r="AL1571" s="111"/>
      <c r="AM1571" s="111">
        <v>168.48</v>
      </c>
    </row>
    <row r="1572" spans="1:39" ht="15" customHeight="1" x14ac:dyDescent="0.25">
      <c r="A1572" s="1409"/>
      <c r="B1572" s="1409"/>
      <c r="C1572" s="1409"/>
      <c r="D1572" s="1409"/>
      <c r="E1572" s="1247"/>
      <c r="F1572" s="1248" t="s">
        <v>5204</v>
      </c>
      <c r="G1572" s="111"/>
      <c r="H1572" s="1249">
        <v>2</v>
      </c>
      <c r="I1572" s="111" t="s">
        <v>2321</v>
      </c>
      <c r="J1572" s="1321" t="s">
        <v>5608</v>
      </c>
      <c r="K1572" s="162" t="s">
        <v>5610</v>
      </c>
      <c r="L1572" s="162" t="s">
        <v>5609</v>
      </c>
      <c r="M1572" s="111">
        <v>37.799999999999997</v>
      </c>
      <c r="N1572" s="111">
        <v>75.599999999999994</v>
      </c>
      <c r="O1572" s="111"/>
      <c r="P1572" s="111"/>
      <c r="Q1572" s="111"/>
      <c r="R1572" s="111"/>
      <c r="S1572" s="1249">
        <v>2</v>
      </c>
      <c r="T1572" s="1250">
        <v>25.2</v>
      </c>
      <c r="U1572" s="1250"/>
      <c r="V1572" s="1250"/>
      <c r="W1572" s="1251">
        <v>0</v>
      </c>
      <c r="X1572" s="1250">
        <v>25.2</v>
      </c>
      <c r="Y1572" s="1250"/>
      <c r="Z1572" s="1250"/>
      <c r="AA1572" s="1250"/>
      <c r="AB1572" s="1250"/>
      <c r="AC1572" s="1250"/>
      <c r="AD1572" s="1250"/>
      <c r="AE1572" s="1249">
        <v>0</v>
      </c>
      <c r="AF1572" s="1250">
        <v>25.2</v>
      </c>
      <c r="AG1572" s="111"/>
      <c r="AH1572" s="111"/>
      <c r="AI1572" s="111"/>
      <c r="AJ1572" s="111"/>
      <c r="AK1572" s="111"/>
      <c r="AL1572" s="111"/>
      <c r="AM1572" s="111">
        <v>75.599999999999994</v>
      </c>
    </row>
    <row r="1573" spans="1:39" ht="15" customHeight="1" x14ac:dyDescent="0.25">
      <c r="A1573" s="1409"/>
      <c r="B1573" s="1409"/>
      <c r="C1573" s="1409"/>
      <c r="D1573" s="1409"/>
      <c r="E1573" s="1247"/>
      <c r="F1573" s="1248" t="s">
        <v>5205</v>
      </c>
      <c r="G1573" s="111"/>
      <c r="H1573" s="1249">
        <v>5</v>
      </c>
      <c r="I1573" s="111" t="s">
        <v>1722</v>
      </c>
      <c r="J1573" s="1321" t="s">
        <v>5608</v>
      </c>
      <c r="K1573" s="162" t="s">
        <v>5610</v>
      </c>
      <c r="L1573" s="162" t="s">
        <v>5609</v>
      </c>
      <c r="M1573" s="111">
        <v>41.34</v>
      </c>
      <c r="N1573" s="111">
        <v>206.70000000000002</v>
      </c>
      <c r="O1573" s="111"/>
      <c r="P1573" s="111"/>
      <c r="Q1573" s="111"/>
      <c r="R1573" s="111"/>
      <c r="S1573" s="1249">
        <v>2</v>
      </c>
      <c r="T1573" s="1250">
        <v>68.900000000000006</v>
      </c>
      <c r="U1573" s="1250"/>
      <c r="V1573" s="1250"/>
      <c r="W1573" s="1251">
        <v>2</v>
      </c>
      <c r="X1573" s="1250">
        <v>68.900000000000006</v>
      </c>
      <c r="Y1573" s="1250"/>
      <c r="Z1573" s="1250"/>
      <c r="AA1573" s="1250"/>
      <c r="AB1573" s="1250"/>
      <c r="AC1573" s="1250"/>
      <c r="AD1573" s="1250"/>
      <c r="AE1573" s="1249">
        <v>1</v>
      </c>
      <c r="AF1573" s="1250">
        <v>68.900000000000006</v>
      </c>
      <c r="AG1573" s="111"/>
      <c r="AH1573" s="111"/>
      <c r="AI1573" s="111"/>
      <c r="AJ1573" s="111"/>
      <c r="AK1573" s="111"/>
      <c r="AL1573" s="111"/>
      <c r="AM1573" s="111">
        <v>206.70000000000002</v>
      </c>
    </row>
    <row r="1574" spans="1:39" ht="15" customHeight="1" x14ac:dyDescent="0.25">
      <c r="A1574" s="1409"/>
      <c r="B1574" s="1409"/>
      <c r="C1574" s="1409"/>
      <c r="D1574" s="1409"/>
      <c r="E1574" s="1247"/>
      <c r="F1574" s="1248" t="s">
        <v>627</v>
      </c>
      <c r="G1574" s="111"/>
      <c r="H1574" s="1249">
        <v>1</v>
      </c>
      <c r="I1574" s="111" t="s">
        <v>1722</v>
      </c>
      <c r="J1574" s="1321" t="s">
        <v>5608</v>
      </c>
      <c r="K1574" s="162" t="s">
        <v>5610</v>
      </c>
      <c r="L1574" s="162" t="s">
        <v>5609</v>
      </c>
      <c r="M1574" s="111">
        <v>219.24</v>
      </c>
      <c r="N1574" s="111">
        <v>219.24</v>
      </c>
      <c r="O1574" s="111"/>
      <c r="P1574" s="111"/>
      <c r="Q1574" s="111"/>
      <c r="R1574" s="111"/>
      <c r="S1574" s="1249">
        <v>1</v>
      </c>
      <c r="T1574" s="1250">
        <v>73.08</v>
      </c>
      <c r="U1574" s="1250"/>
      <c r="V1574" s="1250"/>
      <c r="W1574" s="1251">
        <v>0</v>
      </c>
      <c r="X1574" s="1250">
        <v>73.08</v>
      </c>
      <c r="Y1574" s="1250"/>
      <c r="Z1574" s="1250"/>
      <c r="AA1574" s="1250"/>
      <c r="AB1574" s="1250"/>
      <c r="AC1574" s="1250"/>
      <c r="AD1574" s="1250"/>
      <c r="AE1574" s="1249">
        <v>0</v>
      </c>
      <c r="AF1574" s="1250">
        <v>73.08</v>
      </c>
      <c r="AG1574" s="111"/>
      <c r="AH1574" s="111"/>
      <c r="AI1574" s="111"/>
      <c r="AJ1574" s="111"/>
      <c r="AK1574" s="111"/>
      <c r="AL1574" s="111"/>
      <c r="AM1574" s="111">
        <v>219.24</v>
      </c>
    </row>
    <row r="1575" spans="1:39" ht="15" customHeight="1" x14ac:dyDescent="0.25">
      <c r="A1575" s="1409"/>
      <c r="B1575" s="1409"/>
      <c r="C1575" s="1409"/>
      <c r="D1575" s="1409"/>
      <c r="E1575" s="1247"/>
      <c r="F1575" s="1248" t="s">
        <v>5206</v>
      </c>
      <c r="G1575" s="111"/>
      <c r="H1575" s="1249">
        <v>5</v>
      </c>
      <c r="I1575" s="111" t="s">
        <v>1722</v>
      </c>
      <c r="J1575" s="1321" t="s">
        <v>5608</v>
      </c>
      <c r="K1575" s="162" t="s">
        <v>5610</v>
      </c>
      <c r="L1575" s="162" t="s">
        <v>5609</v>
      </c>
      <c r="M1575" s="111">
        <v>50.11</v>
      </c>
      <c r="N1575" s="111">
        <v>250.55</v>
      </c>
      <c r="O1575" s="111"/>
      <c r="P1575" s="111"/>
      <c r="Q1575" s="111"/>
      <c r="R1575" s="111"/>
      <c r="S1575" s="1249">
        <v>2</v>
      </c>
      <c r="T1575" s="1250">
        <v>83.516666666666666</v>
      </c>
      <c r="U1575" s="1250"/>
      <c r="V1575" s="1250"/>
      <c r="W1575" s="1251">
        <v>2</v>
      </c>
      <c r="X1575" s="1250">
        <v>83.516666666666666</v>
      </c>
      <c r="Y1575" s="1250"/>
      <c r="Z1575" s="1250"/>
      <c r="AA1575" s="1250"/>
      <c r="AB1575" s="1250"/>
      <c r="AC1575" s="1250"/>
      <c r="AD1575" s="1250"/>
      <c r="AE1575" s="1249">
        <v>1</v>
      </c>
      <c r="AF1575" s="1250">
        <v>83.516666666666666</v>
      </c>
      <c r="AG1575" s="111"/>
      <c r="AH1575" s="111"/>
      <c r="AI1575" s="111"/>
      <c r="AJ1575" s="111"/>
      <c r="AK1575" s="111"/>
      <c r="AL1575" s="111"/>
      <c r="AM1575" s="111">
        <v>250.55</v>
      </c>
    </row>
    <row r="1576" spans="1:39" ht="15" customHeight="1" x14ac:dyDescent="0.25">
      <c r="A1576" s="1409"/>
      <c r="B1576" s="1409"/>
      <c r="C1576" s="1409"/>
      <c r="D1576" s="1409"/>
      <c r="E1576" s="1247"/>
      <c r="F1576" s="1248" t="s">
        <v>3042</v>
      </c>
      <c r="G1576" s="111"/>
      <c r="H1576" s="1249">
        <v>1</v>
      </c>
      <c r="I1576" s="111" t="s">
        <v>1721</v>
      </c>
      <c r="J1576" s="1321" t="s">
        <v>5608</v>
      </c>
      <c r="K1576" s="162" t="s">
        <v>5610</v>
      </c>
      <c r="L1576" s="162" t="s">
        <v>5609</v>
      </c>
      <c r="M1576" s="111">
        <v>280.8</v>
      </c>
      <c r="N1576" s="111">
        <v>280.8</v>
      </c>
      <c r="O1576" s="111"/>
      <c r="P1576" s="111"/>
      <c r="Q1576" s="111"/>
      <c r="R1576" s="111"/>
      <c r="S1576" s="1249">
        <v>1</v>
      </c>
      <c r="T1576" s="1250">
        <v>93.600000000000009</v>
      </c>
      <c r="U1576" s="1250"/>
      <c r="V1576" s="1250"/>
      <c r="W1576" s="1251">
        <v>0</v>
      </c>
      <c r="X1576" s="1250">
        <v>93.600000000000009</v>
      </c>
      <c r="Y1576" s="1250"/>
      <c r="Z1576" s="1250"/>
      <c r="AA1576" s="1250"/>
      <c r="AB1576" s="1250"/>
      <c r="AC1576" s="1250"/>
      <c r="AD1576" s="1250"/>
      <c r="AE1576" s="1249">
        <v>0</v>
      </c>
      <c r="AF1576" s="1250">
        <v>93.600000000000009</v>
      </c>
      <c r="AG1576" s="111"/>
      <c r="AH1576" s="111"/>
      <c r="AI1576" s="111"/>
      <c r="AJ1576" s="111"/>
      <c r="AK1576" s="111"/>
      <c r="AL1576" s="111"/>
      <c r="AM1576" s="111">
        <v>280.8</v>
      </c>
    </row>
    <row r="1577" spans="1:39" ht="15" customHeight="1" x14ac:dyDescent="0.25">
      <c r="A1577" s="1409"/>
      <c r="B1577" s="1409"/>
      <c r="C1577" s="1409"/>
      <c r="D1577" s="1409"/>
      <c r="E1577" s="1247"/>
      <c r="F1577" s="1248" t="s">
        <v>3043</v>
      </c>
      <c r="G1577" s="111"/>
      <c r="H1577" s="1249">
        <v>1</v>
      </c>
      <c r="I1577" s="111" t="s">
        <v>1721</v>
      </c>
      <c r="J1577" s="1321" t="s">
        <v>5608</v>
      </c>
      <c r="K1577" s="162" t="s">
        <v>5610</v>
      </c>
      <c r="L1577" s="162" t="s">
        <v>5609</v>
      </c>
      <c r="M1577" s="111">
        <v>1457.25</v>
      </c>
      <c r="N1577" s="111">
        <v>1457.25</v>
      </c>
      <c r="O1577" s="111"/>
      <c r="P1577" s="111"/>
      <c r="Q1577" s="111"/>
      <c r="R1577" s="111"/>
      <c r="S1577" s="1249">
        <v>1</v>
      </c>
      <c r="T1577" s="1250">
        <v>485.75</v>
      </c>
      <c r="U1577" s="1250"/>
      <c r="V1577" s="1250"/>
      <c r="W1577" s="1251">
        <v>0</v>
      </c>
      <c r="X1577" s="1250">
        <v>485.75</v>
      </c>
      <c r="Y1577" s="1250"/>
      <c r="Z1577" s="1250"/>
      <c r="AA1577" s="1250"/>
      <c r="AB1577" s="1250"/>
      <c r="AC1577" s="1250"/>
      <c r="AD1577" s="1250"/>
      <c r="AE1577" s="1249">
        <v>0</v>
      </c>
      <c r="AF1577" s="1250">
        <v>485.75</v>
      </c>
      <c r="AG1577" s="111"/>
      <c r="AH1577" s="111"/>
      <c r="AI1577" s="111"/>
      <c r="AJ1577" s="111"/>
      <c r="AK1577" s="111"/>
      <c r="AL1577" s="111"/>
      <c r="AM1577" s="111">
        <v>1457.25</v>
      </c>
    </row>
    <row r="1578" spans="1:39" ht="15" customHeight="1" x14ac:dyDescent="0.25">
      <c r="A1578" s="1409"/>
      <c r="B1578" s="1409"/>
      <c r="C1578" s="1409"/>
      <c r="D1578" s="1409"/>
      <c r="E1578" s="1247"/>
      <c r="F1578" s="1248" t="s">
        <v>3044</v>
      </c>
      <c r="G1578" s="111"/>
      <c r="H1578" s="1249">
        <v>1</v>
      </c>
      <c r="I1578" s="111" t="s">
        <v>1721</v>
      </c>
      <c r="J1578" s="1321" t="s">
        <v>5608</v>
      </c>
      <c r="K1578" s="162" t="s">
        <v>5610</v>
      </c>
      <c r="L1578" s="162" t="s">
        <v>5609</v>
      </c>
      <c r="M1578" s="111">
        <v>687.99600000000009</v>
      </c>
      <c r="N1578" s="111">
        <v>687.99600000000009</v>
      </c>
      <c r="O1578" s="111"/>
      <c r="P1578" s="111"/>
      <c r="Q1578" s="111"/>
      <c r="R1578" s="111"/>
      <c r="S1578" s="1249">
        <v>1</v>
      </c>
      <c r="T1578" s="1250">
        <v>229.33200000000002</v>
      </c>
      <c r="U1578" s="1250"/>
      <c r="V1578" s="1250"/>
      <c r="W1578" s="1251">
        <v>0</v>
      </c>
      <c r="X1578" s="1250">
        <v>229.33200000000002</v>
      </c>
      <c r="Y1578" s="1250"/>
      <c r="Z1578" s="1250"/>
      <c r="AA1578" s="1250"/>
      <c r="AB1578" s="1250"/>
      <c r="AC1578" s="1250"/>
      <c r="AD1578" s="1250"/>
      <c r="AE1578" s="1249">
        <v>0</v>
      </c>
      <c r="AF1578" s="1250">
        <v>229.33200000000002</v>
      </c>
      <c r="AG1578" s="111"/>
      <c r="AH1578" s="111"/>
      <c r="AI1578" s="111"/>
      <c r="AJ1578" s="111"/>
      <c r="AK1578" s="111"/>
      <c r="AL1578" s="111"/>
      <c r="AM1578" s="111">
        <v>687.99600000000009</v>
      </c>
    </row>
    <row r="1579" spans="1:39" ht="15" customHeight="1" x14ac:dyDescent="0.25">
      <c r="A1579" s="1409"/>
      <c r="B1579" s="1409"/>
      <c r="C1579" s="1409"/>
      <c r="D1579" s="1409"/>
      <c r="E1579" s="1247"/>
      <c r="F1579" s="1248" t="s">
        <v>3045</v>
      </c>
      <c r="G1579" s="111"/>
      <c r="H1579" s="1249">
        <v>1</v>
      </c>
      <c r="I1579" s="111" t="s">
        <v>1721</v>
      </c>
      <c r="J1579" s="1321" t="s">
        <v>5608</v>
      </c>
      <c r="K1579" s="162" t="s">
        <v>5610</v>
      </c>
      <c r="L1579" s="162" t="s">
        <v>5609</v>
      </c>
      <c r="M1579" s="111">
        <v>497.00199999999995</v>
      </c>
      <c r="N1579" s="111">
        <v>497.00199999999995</v>
      </c>
      <c r="O1579" s="111"/>
      <c r="P1579" s="111"/>
      <c r="Q1579" s="111"/>
      <c r="R1579" s="111"/>
      <c r="S1579" s="1249">
        <v>1</v>
      </c>
      <c r="T1579" s="1250">
        <v>165.66733333333332</v>
      </c>
      <c r="U1579" s="1250"/>
      <c r="V1579" s="1250"/>
      <c r="W1579" s="1251">
        <v>0</v>
      </c>
      <c r="X1579" s="1250">
        <v>165.66733333333332</v>
      </c>
      <c r="Y1579" s="1250"/>
      <c r="Z1579" s="1250"/>
      <c r="AA1579" s="1250"/>
      <c r="AB1579" s="1250"/>
      <c r="AC1579" s="1250"/>
      <c r="AD1579" s="1250"/>
      <c r="AE1579" s="1249">
        <v>0</v>
      </c>
      <c r="AF1579" s="1250">
        <v>165.66733333333332</v>
      </c>
      <c r="AG1579" s="111"/>
      <c r="AH1579" s="111"/>
      <c r="AI1579" s="111"/>
      <c r="AJ1579" s="111"/>
      <c r="AK1579" s="111"/>
      <c r="AL1579" s="111"/>
      <c r="AM1579" s="111">
        <v>497.00199999999995</v>
      </c>
    </row>
    <row r="1580" spans="1:39" ht="15" customHeight="1" x14ac:dyDescent="0.25">
      <c r="A1580" s="1409"/>
      <c r="B1580" s="1409"/>
      <c r="C1580" s="1409"/>
      <c r="D1580" s="1409"/>
      <c r="E1580" s="1247"/>
      <c r="F1580" s="1248" t="s">
        <v>2740</v>
      </c>
      <c r="G1580" s="111"/>
      <c r="H1580" s="1249">
        <v>15</v>
      </c>
      <c r="I1580" s="111" t="s">
        <v>1722</v>
      </c>
      <c r="J1580" s="1321" t="s">
        <v>5608</v>
      </c>
      <c r="K1580" s="162" t="s">
        <v>5610</v>
      </c>
      <c r="L1580" s="162" t="s">
        <v>5609</v>
      </c>
      <c r="M1580" s="111">
        <v>72.662399999999991</v>
      </c>
      <c r="N1580" s="111">
        <v>1089.9359999999999</v>
      </c>
      <c r="O1580" s="111"/>
      <c r="P1580" s="111"/>
      <c r="Q1580" s="111"/>
      <c r="R1580" s="111"/>
      <c r="S1580" s="1249">
        <v>5</v>
      </c>
      <c r="T1580" s="1250">
        <v>363.31199999999995</v>
      </c>
      <c r="U1580" s="1250"/>
      <c r="V1580" s="1250"/>
      <c r="W1580" s="1251">
        <v>5</v>
      </c>
      <c r="X1580" s="1250">
        <v>363.31199999999995</v>
      </c>
      <c r="Y1580" s="1250"/>
      <c r="Z1580" s="1250"/>
      <c r="AA1580" s="1250"/>
      <c r="AB1580" s="1250"/>
      <c r="AC1580" s="1250"/>
      <c r="AD1580" s="1250"/>
      <c r="AE1580" s="1249">
        <v>5</v>
      </c>
      <c r="AF1580" s="1250">
        <v>363.31199999999995</v>
      </c>
      <c r="AG1580" s="111"/>
      <c r="AH1580" s="111"/>
      <c r="AI1580" s="111"/>
      <c r="AJ1580" s="111"/>
      <c r="AK1580" s="111"/>
      <c r="AL1580" s="111"/>
      <c r="AM1580" s="111">
        <v>1089.9359999999999</v>
      </c>
    </row>
    <row r="1581" spans="1:39" ht="15" customHeight="1" x14ac:dyDescent="0.25">
      <c r="A1581" s="1409"/>
      <c r="B1581" s="1409"/>
      <c r="C1581" s="1409"/>
      <c r="D1581" s="1409"/>
      <c r="E1581" s="1247"/>
      <c r="F1581" s="1248" t="s">
        <v>2741</v>
      </c>
      <c r="G1581" s="111"/>
      <c r="H1581" s="1249">
        <v>5</v>
      </c>
      <c r="I1581" s="111" t="s">
        <v>1722</v>
      </c>
      <c r="J1581" s="1321" t="s">
        <v>5608</v>
      </c>
      <c r="K1581" s="162" t="s">
        <v>5610</v>
      </c>
      <c r="L1581" s="162" t="s">
        <v>5609</v>
      </c>
      <c r="M1581" s="111">
        <v>20.346</v>
      </c>
      <c r="N1581" s="111">
        <v>101.73</v>
      </c>
      <c r="O1581" s="111"/>
      <c r="P1581" s="111"/>
      <c r="Q1581" s="111"/>
      <c r="R1581" s="111"/>
      <c r="S1581" s="1249">
        <v>2</v>
      </c>
      <c r="T1581" s="1250">
        <v>33.910000000000004</v>
      </c>
      <c r="U1581" s="1250"/>
      <c r="V1581" s="1250"/>
      <c r="W1581" s="1251">
        <v>2</v>
      </c>
      <c r="X1581" s="1250">
        <v>33.910000000000004</v>
      </c>
      <c r="Y1581" s="1250"/>
      <c r="Z1581" s="1250"/>
      <c r="AA1581" s="1250"/>
      <c r="AB1581" s="1250"/>
      <c r="AC1581" s="1250"/>
      <c r="AD1581" s="1250"/>
      <c r="AE1581" s="1249">
        <v>1</v>
      </c>
      <c r="AF1581" s="1250">
        <v>33.910000000000004</v>
      </c>
      <c r="AG1581" s="111"/>
      <c r="AH1581" s="111"/>
      <c r="AI1581" s="111"/>
      <c r="AJ1581" s="111"/>
      <c r="AK1581" s="111"/>
      <c r="AL1581" s="111"/>
      <c r="AM1581" s="111">
        <v>101.73</v>
      </c>
    </row>
    <row r="1582" spans="1:39" ht="15" customHeight="1" x14ac:dyDescent="0.25">
      <c r="A1582" s="1409"/>
      <c r="B1582" s="1409"/>
      <c r="C1582" s="1409"/>
      <c r="D1582" s="1409"/>
      <c r="E1582" s="1247"/>
      <c r="F1582" s="1248" t="s">
        <v>2742</v>
      </c>
      <c r="G1582" s="111"/>
      <c r="H1582" s="1249">
        <v>15</v>
      </c>
      <c r="I1582" s="111" t="s">
        <v>1722</v>
      </c>
      <c r="J1582" s="1321" t="s">
        <v>5608</v>
      </c>
      <c r="K1582" s="162" t="s">
        <v>5610</v>
      </c>
      <c r="L1582" s="162" t="s">
        <v>5609</v>
      </c>
      <c r="M1582" s="111">
        <v>20.346399999999999</v>
      </c>
      <c r="N1582" s="111">
        <v>305.19599999999997</v>
      </c>
      <c r="O1582" s="111"/>
      <c r="P1582" s="111"/>
      <c r="Q1582" s="111"/>
      <c r="R1582" s="111"/>
      <c r="S1582" s="1249">
        <v>5</v>
      </c>
      <c r="T1582" s="1250">
        <v>101.73199999999999</v>
      </c>
      <c r="U1582" s="1250"/>
      <c r="V1582" s="1250"/>
      <c r="W1582" s="1251">
        <v>5</v>
      </c>
      <c r="X1582" s="1250">
        <v>101.73199999999999</v>
      </c>
      <c r="Y1582" s="1250"/>
      <c r="Z1582" s="1250"/>
      <c r="AA1582" s="1250"/>
      <c r="AB1582" s="1250"/>
      <c r="AC1582" s="1250"/>
      <c r="AD1582" s="1250"/>
      <c r="AE1582" s="1249">
        <v>5</v>
      </c>
      <c r="AF1582" s="1250">
        <v>101.73199999999999</v>
      </c>
      <c r="AG1582" s="111"/>
      <c r="AH1582" s="111"/>
      <c r="AI1582" s="111"/>
      <c r="AJ1582" s="111"/>
      <c r="AK1582" s="111"/>
      <c r="AL1582" s="111"/>
      <c r="AM1582" s="111">
        <v>305.19599999999997</v>
      </c>
    </row>
    <row r="1583" spans="1:39" ht="15" customHeight="1" x14ac:dyDescent="0.25">
      <c r="A1583" s="1409"/>
      <c r="B1583" s="1409"/>
      <c r="C1583" s="1409"/>
      <c r="D1583" s="1409"/>
      <c r="E1583" s="1247"/>
      <c r="F1583" s="1248" t="s">
        <v>2743</v>
      </c>
      <c r="G1583" s="111"/>
      <c r="H1583" s="1249">
        <v>15</v>
      </c>
      <c r="I1583" s="111" t="s">
        <v>1722</v>
      </c>
      <c r="J1583" s="1321" t="s">
        <v>5608</v>
      </c>
      <c r="K1583" s="162" t="s">
        <v>5610</v>
      </c>
      <c r="L1583" s="162" t="s">
        <v>5609</v>
      </c>
      <c r="M1583" s="111">
        <v>20.346399999999999</v>
      </c>
      <c r="N1583" s="111">
        <v>305.19599999999997</v>
      </c>
      <c r="O1583" s="111"/>
      <c r="P1583" s="111"/>
      <c r="Q1583" s="111"/>
      <c r="R1583" s="111"/>
      <c r="S1583" s="1249">
        <v>5</v>
      </c>
      <c r="T1583" s="1250">
        <v>101.73199999999999</v>
      </c>
      <c r="U1583" s="1250"/>
      <c r="V1583" s="1250"/>
      <c r="W1583" s="1251">
        <v>5</v>
      </c>
      <c r="X1583" s="1250">
        <v>101.73199999999999</v>
      </c>
      <c r="Y1583" s="1250"/>
      <c r="Z1583" s="1250"/>
      <c r="AA1583" s="1250"/>
      <c r="AB1583" s="1250"/>
      <c r="AC1583" s="1250"/>
      <c r="AD1583" s="1250"/>
      <c r="AE1583" s="1249">
        <v>5</v>
      </c>
      <c r="AF1583" s="1250">
        <v>101.73199999999999</v>
      </c>
      <c r="AG1583" s="111"/>
      <c r="AH1583" s="111"/>
      <c r="AI1583" s="111"/>
      <c r="AJ1583" s="111"/>
      <c r="AK1583" s="111"/>
      <c r="AL1583" s="111"/>
      <c r="AM1583" s="111">
        <v>305.19599999999997</v>
      </c>
    </row>
    <row r="1584" spans="1:39" ht="15" customHeight="1" x14ac:dyDescent="0.25">
      <c r="A1584" s="1409"/>
      <c r="B1584" s="1409"/>
      <c r="C1584" s="1409"/>
      <c r="D1584" s="1409"/>
      <c r="E1584" s="1247"/>
      <c r="F1584" s="1248" t="s">
        <v>5207</v>
      </c>
      <c r="G1584" s="111"/>
      <c r="H1584" s="1249">
        <v>12</v>
      </c>
      <c r="I1584" s="111" t="s">
        <v>1722</v>
      </c>
      <c r="J1584" s="1321" t="s">
        <v>5608</v>
      </c>
      <c r="K1584" s="162" t="s">
        <v>5610</v>
      </c>
      <c r="L1584" s="162" t="s">
        <v>5609</v>
      </c>
      <c r="M1584" s="111">
        <v>19.710833333333333</v>
      </c>
      <c r="N1584" s="111">
        <v>236.53</v>
      </c>
      <c r="O1584" s="111"/>
      <c r="P1584" s="111"/>
      <c r="Q1584" s="111"/>
      <c r="R1584" s="111"/>
      <c r="S1584" s="1249">
        <v>5</v>
      </c>
      <c r="T1584" s="1250">
        <v>78.843333333333334</v>
      </c>
      <c r="U1584" s="1250"/>
      <c r="V1584" s="1250"/>
      <c r="W1584" s="1251">
        <v>5</v>
      </c>
      <c r="X1584" s="1250">
        <v>78.843333333333334</v>
      </c>
      <c r="Y1584" s="1250"/>
      <c r="Z1584" s="1250"/>
      <c r="AA1584" s="1250"/>
      <c r="AB1584" s="1250"/>
      <c r="AC1584" s="1250"/>
      <c r="AD1584" s="1250"/>
      <c r="AE1584" s="1249">
        <v>2</v>
      </c>
      <c r="AF1584" s="1250">
        <v>78.843333333333334</v>
      </c>
      <c r="AG1584" s="111"/>
      <c r="AH1584" s="111"/>
      <c r="AI1584" s="111"/>
      <c r="AJ1584" s="111"/>
      <c r="AK1584" s="111"/>
      <c r="AL1584" s="111"/>
      <c r="AM1584" s="111">
        <v>236.53</v>
      </c>
    </row>
    <row r="1585" spans="1:39" ht="15" customHeight="1" x14ac:dyDescent="0.25">
      <c r="A1585" s="1409"/>
      <c r="B1585" s="1409"/>
      <c r="C1585" s="1409"/>
      <c r="D1585" s="1409"/>
      <c r="E1585" s="1247"/>
      <c r="F1585" s="1248" t="s">
        <v>2746</v>
      </c>
      <c r="G1585" s="111"/>
      <c r="H1585" s="1249">
        <v>10</v>
      </c>
      <c r="I1585" s="111" t="s">
        <v>2321</v>
      </c>
      <c r="J1585" s="1321" t="s">
        <v>5608</v>
      </c>
      <c r="K1585" s="162" t="s">
        <v>5610</v>
      </c>
      <c r="L1585" s="162" t="s">
        <v>5609</v>
      </c>
      <c r="M1585" s="111">
        <v>440.8</v>
      </c>
      <c r="N1585" s="111">
        <v>4408</v>
      </c>
      <c r="O1585" s="111"/>
      <c r="P1585" s="111"/>
      <c r="Q1585" s="111"/>
      <c r="R1585" s="111"/>
      <c r="S1585" s="1249">
        <v>5</v>
      </c>
      <c r="T1585" s="1250">
        <v>1469.3333333333333</v>
      </c>
      <c r="U1585" s="1250"/>
      <c r="V1585" s="1250"/>
      <c r="W1585" s="1251">
        <v>5</v>
      </c>
      <c r="X1585" s="1250">
        <v>1469.3333333333333</v>
      </c>
      <c r="Y1585" s="1250"/>
      <c r="Z1585" s="1250"/>
      <c r="AA1585" s="1250"/>
      <c r="AB1585" s="1250"/>
      <c r="AC1585" s="1250"/>
      <c r="AD1585" s="1250"/>
      <c r="AE1585" s="1249">
        <v>0</v>
      </c>
      <c r="AF1585" s="1250">
        <v>1469.3333333333333</v>
      </c>
      <c r="AG1585" s="111"/>
      <c r="AH1585" s="111"/>
      <c r="AI1585" s="111"/>
      <c r="AJ1585" s="111"/>
      <c r="AK1585" s="111"/>
      <c r="AL1585" s="111"/>
      <c r="AM1585" s="111">
        <v>4408</v>
      </c>
    </row>
    <row r="1586" spans="1:39" ht="15" customHeight="1" x14ac:dyDescent="0.25">
      <c r="A1586" s="1409"/>
      <c r="B1586" s="1409"/>
      <c r="C1586" s="1409"/>
      <c r="D1586" s="1409"/>
      <c r="E1586" s="1247"/>
      <c r="F1586" s="1248" t="s">
        <v>2747</v>
      </c>
      <c r="G1586" s="111"/>
      <c r="H1586" s="1249">
        <v>15</v>
      </c>
      <c r="I1586" s="111" t="s">
        <v>1722</v>
      </c>
      <c r="J1586" s="1321" t="s">
        <v>5608</v>
      </c>
      <c r="K1586" s="162" t="s">
        <v>5610</v>
      </c>
      <c r="L1586" s="162" t="s">
        <v>5609</v>
      </c>
      <c r="M1586" s="111">
        <v>46.4</v>
      </c>
      <c r="N1586" s="111">
        <v>696</v>
      </c>
      <c r="O1586" s="111"/>
      <c r="P1586" s="111"/>
      <c r="Q1586" s="111"/>
      <c r="R1586" s="111"/>
      <c r="S1586" s="1249">
        <v>5</v>
      </c>
      <c r="T1586" s="1250">
        <v>232</v>
      </c>
      <c r="U1586" s="1250"/>
      <c r="V1586" s="1250"/>
      <c r="W1586" s="1251">
        <v>5</v>
      </c>
      <c r="X1586" s="1250">
        <v>232</v>
      </c>
      <c r="Y1586" s="1250"/>
      <c r="Z1586" s="1250"/>
      <c r="AA1586" s="1250"/>
      <c r="AB1586" s="1250"/>
      <c r="AC1586" s="1250"/>
      <c r="AD1586" s="1250"/>
      <c r="AE1586" s="1249">
        <v>5</v>
      </c>
      <c r="AF1586" s="1250">
        <v>232</v>
      </c>
      <c r="AG1586" s="111"/>
      <c r="AH1586" s="111"/>
      <c r="AI1586" s="111"/>
      <c r="AJ1586" s="111"/>
      <c r="AK1586" s="111"/>
      <c r="AL1586" s="111"/>
      <c r="AM1586" s="111">
        <v>696</v>
      </c>
    </row>
    <row r="1587" spans="1:39" ht="15" customHeight="1" x14ac:dyDescent="0.25">
      <c r="A1587" s="1409"/>
      <c r="B1587" s="1409"/>
      <c r="C1587" s="1409"/>
      <c r="D1587" s="1409"/>
      <c r="E1587" s="1247"/>
      <c r="F1587" s="1248" t="s">
        <v>2748</v>
      </c>
      <c r="G1587" s="111"/>
      <c r="H1587" s="1249">
        <v>10</v>
      </c>
      <c r="I1587" s="111" t="s">
        <v>1722</v>
      </c>
      <c r="J1587" s="1321" t="s">
        <v>5608</v>
      </c>
      <c r="K1587" s="162" t="s">
        <v>5610</v>
      </c>
      <c r="L1587" s="162" t="s">
        <v>5609</v>
      </c>
      <c r="M1587" s="111">
        <v>290</v>
      </c>
      <c r="N1587" s="111">
        <v>2900</v>
      </c>
      <c r="O1587" s="111"/>
      <c r="P1587" s="111"/>
      <c r="Q1587" s="111"/>
      <c r="R1587" s="111"/>
      <c r="S1587" s="1249">
        <v>5</v>
      </c>
      <c r="T1587" s="1250">
        <v>966.66666666666663</v>
      </c>
      <c r="U1587" s="1250"/>
      <c r="V1587" s="1250"/>
      <c r="W1587" s="1251">
        <v>5</v>
      </c>
      <c r="X1587" s="1250">
        <v>966.66666666666663</v>
      </c>
      <c r="Y1587" s="1250"/>
      <c r="Z1587" s="1250"/>
      <c r="AA1587" s="1250"/>
      <c r="AB1587" s="1250"/>
      <c r="AC1587" s="1250"/>
      <c r="AD1587" s="1250"/>
      <c r="AE1587" s="1249">
        <v>0</v>
      </c>
      <c r="AF1587" s="1250">
        <v>966.66666666666663</v>
      </c>
      <c r="AG1587" s="111"/>
      <c r="AH1587" s="111"/>
      <c r="AI1587" s="111"/>
      <c r="AJ1587" s="111"/>
      <c r="AK1587" s="111"/>
      <c r="AL1587" s="111"/>
      <c r="AM1587" s="111">
        <v>2900</v>
      </c>
    </row>
    <row r="1588" spans="1:39" ht="15" customHeight="1" x14ac:dyDescent="0.25">
      <c r="A1588" s="1409"/>
      <c r="B1588" s="1409"/>
      <c r="C1588" s="1409"/>
      <c r="D1588" s="1409"/>
      <c r="E1588" s="1247"/>
      <c r="F1588" s="1248" t="s">
        <v>2749</v>
      </c>
      <c r="G1588" s="111"/>
      <c r="H1588" s="1249">
        <v>10</v>
      </c>
      <c r="I1588" s="111" t="s">
        <v>1722</v>
      </c>
      <c r="J1588" s="1321" t="s">
        <v>5608</v>
      </c>
      <c r="K1588" s="162" t="s">
        <v>5610</v>
      </c>
      <c r="L1588" s="162" t="s">
        <v>5609</v>
      </c>
      <c r="M1588" s="111">
        <v>682.77599999999995</v>
      </c>
      <c r="N1588" s="111">
        <v>6827.7599999999993</v>
      </c>
      <c r="O1588" s="111"/>
      <c r="P1588" s="111"/>
      <c r="Q1588" s="111"/>
      <c r="R1588" s="111"/>
      <c r="S1588" s="1249">
        <v>5</v>
      </c>
      <c r="T1588" s="1250">
        <v>2275.9199999999996</v>
      </c>
      <c r="U1588" s="1250"/>
      <c r="V1588" s="1250"/>
      <c r="W1588" s="1251">
        <v>5</v>
      </c>
      <c r="X1588" s="1250">
        <v>2275.9199999999996</v>
      </c>
      <c r="Y1588" s="1250"/>
      <c r="Z1588" s="1250"/>
      <c r="AA1588" s="1250"/>
      <c r="AB1588" s="1250"/>
      <c r="AC1588" s="1250"/>
      <c r="AD1588" s="1250"/>
      <c r="AE1588" s="1249">
        <v>0</v>
      </c>
      <c r="AF1588" s="1250">
        <v>2275.9199999999996</v>
      </c>
      <c r="AG1588" s="111"/>
      <c r="AH1588" s="111"/>
      <c r="AI1588" s="111"/>
      <c r="AJ1588" s="111"/>
      <c r="AK1588" s="111"/>
      <c r="AL1588" s="111"/>
      <c r="AM1588" s="111">
        <v>6827.7599999999993</v>
      </c>
    </row>
    <row r="1589" spans="1:39" ht="15" customHeight="1" x14ac:dyDescent="0.25">
      <c r="A1589" s="1409"/>
      <c r="B1589" s="1409"/>
      <c r="C1589" s="1409"/>
      <c r="D1589" s="1409"/>
      <c r="E1589" s="1247"/>
      <c r="F1589" s="1248"/>
      <c r="G1589" s="111"/>
      <c r="H1589" s="1249"/>
      <c r="I1589" s="111"/>
      <c r="J1589" s="111"/>
      <c r="K1589" s="111"/>
      <c r="L1589" s="111"/>
      <c r="M1589" s="111"/>
      <c r="N1589" s="111"/>
      <c r="O1589" s="111"/>
      <c r="P1589" s="111"/>
      <c r="Q1589" s="111"/>
      <c r="R1589" s="111"/>
      <c r="S1589" s="1249"/>
      <c r="T1589" s="1250"/>
      <c r="U1589" s="1250"/>
      <c r="V1589" s="1250"/>
      <c r="W1589" s="1251"/>
      <c r="X1589" s="1250"/>
      <c r="Y1589" s="1250"/>
      <c r="Z1589" s="1250"/>
      <c r="AA1589" s="1250"/>
      <c r="AB1589" s="1250"/>
      <c r="AC1589" s="1250"/>
      <c r="AD1589" s="1250"/>
      <c r="AE1589" s="1249"/>
      <c r="AF1589" s="1250"/>
      <c r="AG1589" s="111"/>
      <c r="AH1589" s="111"/>
      <c r="AI1589" s="111"/>
      <c r="AJ1589" s="111"/>
      <c r="AK1589" s="111"/>
      <c r="AL1589" s="111"/>
      <c r="AM1589" s="111"/>
    </row>
    <row r="1590" spans="1:39" ht="15" customHeight="1" x14ac:dyDescent="0.25">
      <c r="A1590" s="1409"/>
      <c r="B1590" s="1409"/>
      <c r="C1590" s="1409"/>
      <c r="D1590" s="1409"/>
      <c r="E1590" s="1261">
        <v>25302</v>
      </c>
      <c r="F1590" s="1262" t="s">
        <v>5208</v>
      </c>
      <c r="G1590" s="1261"/>
      <c r="H1590" s="1261"/>
      <c r="I1590" s="1261"/>
      <c r="J1590" s="1261"/>
      <c r="K1590" s="1261"/>
      <c r="L1590" s="1261"/>
      <c r="M1590" s="1261"/>
      <c r="N1590" s="1261"/>
      <c r="O1590" s="1261"/>
      <c r="P1590" s="1261"/>
      <c r="Q1590" s="1261"/>
      <c r="R1590" s="1261"/>
      <c r="S1590" s="1261"/>
      <c r="T1590" s="1261"/>
      <c r="U1590" s="1261"/>
      <c r="V1590" s="1261"/>
      <c r="W1590" s="1261"/>
      <c r="X1590" s="1261"/>
      <c r="Y1590" s="1261"/>
      <c r="Z1590" s="1261"/>
      <c r="AA1590" s="1261"/>
      <c r="AB1590" s="1261"/>
      <c r="AC1590" s="1261"/>
      <c r="AD1590" s="1261"/>
      <c r="AE1590" s="1261"/>
      <c r="AF1590" s="1261"/>
      <c r="AG1590" s="1261"/>
      <c r="AH1590" s="1261"/>
      <c r="AI1590" s="1261"/>
      <c r="AJ1590" s="1261"/>
      <c r="AK1590" s="1261"/>
      <c r="AL1590" s="1261"/>
      <c r="AM1590" s="1261"/>
    </row>
    <row r="1591" spans="1:39" ht="15" customHeight="1" x14ac:dyDescent="0.25">
      <c r="A1591" s="1409"/>
      <c r="B1591" s="1409"/>
      <c r="C1591" s="1409"/>
      <c r="D1591" s="1409"/>
      <c r="E1591" s="1247"/>
      <c r="F1591" s="1248" t="s">
        <v>3047</v>
      </c>
      <c r="G1591" s="111"/>
      <c r="H1591" s="1249">
        <v>1</v>
      </c>
      <c r="I1591" s="111" t="s">
        <v>1721</v>
      </c>
      <c r="J1591" s="1321" t="s">
        <v>5608</v>
      </c>
      <c r="K1591" s="162" t="s">
        <v>5610</v>
      </c>
      <c r="L1591" s="162" t="s">
        <v>5609</v>
      </c>
      <c r="M1591" s="111">
        <v>18.36</v>
      </c>
      <c r="N1591" s="111">
        <v>18.36</v>
      </c>
      <c r="O1591" s="111"/>
      <c r="P1591" s="111"/>
      <c r="Q1591" s="111"/>
      <c r="R1591" s="111"/>
      <c r="S1591" s="1249">
        <v>1</v>
      </c>
      <c r="T1591" s="1250">
        <v>6.12</v>
      </c>
      <c r="U1591" s="1250"/>
      <c r="V1591" s="1250"/>
      <c r="W1591" s="1251">
        <v>0</v>
      </c>
      <c r="X1591" s="1250">
        <v>6.12</v>
      </c>
      <c r="Y1591" s="1250"/>
      <c r="Z1591" s="1250"/>
      <c r="AA1591" s="1250"/>
      <c r="AB1591" s="1250"/>
      <c r="AC1591" s="1250"/>
      <c r="AD1591" s="1250"/>
      <c r="AE1591" s="1249">
        <v>0</v>
      </c>
      <c r="AF1591" s="1250">
        <v>6.12</v>
      </c>
      <c r="AG1591" s="111"/>
      <c r="AH1591" s="111"/>
      <c r="AI1591" s="111"/>
      <c r="AJ1591" s="111"/>
      <c r="AK1591" s="111"/>
      <c r="AL1591" s="111"/>
      <c r="AM1591" s="111">
        <v>18.36</v>
      </c>
    </row>
    <row r="1592" spans="1:39" ht="15" customHeight="1" x14ac:dyDescent="0.25">
      <c r="A1592" s="1409"/>
      <c r="B1592" s="1409"/>
      <c r="C1592" s="1409"/>
      <c r="D1592" s="1409"/>
      <c r="E1592" s="1247"/>
      <c r="F1592" s="1248" t="s">
        <v>3048</v>
      </c>
      <c r="G1592" s="111"/>
      <c r="H1592" s="1249">
        <v>1</v>
      </c>
      <c r="I1592" s="111" t="s">
        <v>1721</v>
      </c>
      <c r="J1592" s="1321" t="s">
        <v>5608</v>
      </c>
      <c r="K1592" s="162" t="s">
        <v>5610</v>
      </c>
      <c r="L1592" s="162" t="s">
        <v>5609</v>
      </c>
      <c r="M1592" s="111">
        <v>41.04</v>
      </c>
      <c r="N1592" s="111">
        <v>41.04</v>
      </c>
      <c r="O1592" s="111"/>
      <c r="P1592" s="111"/>
      <c r="Q1592" s="111"/>
      <c r="R1592" s="111"/>
      <c r="S1592" s="1249">
        <v>1</v>
      </c>
      <c r="T1592" s="1250">
        <v>13.68</v>
      </c>
      <c r="U1592" s="1250"/>
      <c r="V1592" s="1250"/>
      <c r="W1592" s="1251">
        <v>0</v>
      </c>
      <c r="X1592" s="1250">
        <v>13.68</v>
      </c>
      <c r="Y1592" s="1250"/>
      <c r="Z1592" s="1250"/>
      <c r="AA1592" s="1250"/>
      <c r="AB1592" s="1250"/>
      <c r="AC1592" s="1250"/>
      <c r="AD1592" s="1250"/>
      <c r="AE1592" s="1249">
        <v>0</v>
      </c>
      <c r="AF1592" s="1250">
        <v>13.68</v>
      </c>
      <c r="AG1592" s="111"/>
      <c r="AH1592" s="111"/>
      <c r="AI1592" s="111"/>
      <c r="AJ1592" s="111"/>
      <c r="AK1592" s="111"/>
      <c r="AL1592" s="111"/>
      <c r="AM1592" s="111">
        <v>41.04</v>
      </c>
    </row>
    <row r="1593" spans="1:39" ht="15" customHeight="1" x14ac:dyDescent="0.25">
      <c r="A1593" s="1409"/>
      <c r="B1593" s="1409"/>
      <c r="C1593" s="1409"/>
      <c r="D1593" s="1409"/>
      <c r="E1593" s="1247"/>
      <c r="F1593" s="1248" t="s">
        <v>3049</v>
      </c>
      <c r="G1593" s="111"/>
      <c r="H1593" s="1249">
        <v>1</v>
      </c>
      <c r="I1593" s="111" t="s">
        <v>1721</v>
      </c>
      <c r="J1593" s="1321" t="s">
        <v>5608</v>
      </c>
      <c r="K1593" s="162" t="s">
        <v>5610</v>
      </c>
      <c r="L1593" s="162" t="s">
        <v>5609</v>
      </c>
      <c r="M1593" s="111">
        <v>28.35</v>
      </c>
      <c r="N1593" s="111">
        <v>28.35</v>
      </c>
      <c r="O1593" s="111"/>
      <c r="P1593" s="111"/>
      <c r="Q1593" s="111"/>
      <c r="R1593" s="111"/>
      <c r="S1593" s="1249">
        <v>1</v>
      </c>
      <c r="T1593" s="1250">
        <v>9.4500000000000011</v>
      </c>
      <c r="U1593" s="1250"/>
      <c r="V1593" s="1250"/>
      <c r="W1593" s="1251">
        <v>0</v>
      </c>
      <c r="X1593" s="1250">
        <v>9.4500000000000011</v>
      </c>
      <c r="Y1593" s="1250"/>
      <c r="Z1593" s="1250"/>
      <c r="AA1593" s="1250"/>
      <c r="AB1593" s="1250"/>
      <c r="AC1593" s="1250"/>
      <c r="AD1593" s="1250"/>
      <c r="AE1593" s="1249">
        <v>0</v>
      </c>
      <c r="AF1593" s="1250">
        <v>9.4500000000000011</v>
      </c>
      <c r="AG1593" s="111"/>
      <c r="AH1593" s="111"/>
      <c r="AI1593" s="111"/>
      <c r="AJ1593" s="111"/>
      <c r="AK1593" s="111"/>
      <c r="AL1593" s="111"/>
      <c r="AM1593" s="111">
        <v>28.35</v>
      </c>
    </row>
    <row r="1594" spans="1:39" ht="15" customHeight="1" x14ac:dyDescent="0.25">
      <c r="A1594" s="1409"/>
      <c r="B1594" s="1409"/>
      <c r="C1594" s="1409"/>
      <c r="D1594" s="1409"/>
      <c r="E1594" s="1247"/>
      <c r="F1594" s="1248" t="s">
        <v>3050</v>
      </c>
      <c r="G1594" s="111"/>
      <c r="H1594" s="1249">
        <v>1</v>
      </c>
      <c r="I1594" s="111" t="s">
        <v>1721</v>
      </c>
      <c r="J1594" s="1321" t="s">
        <v>5608</v>
      </c>
      <c r="K1594" s="162" t="s">
        <v>5610</v>
      </c>
      <c r="L1594" s="162" t="s">
        <v>5609</v>
      </c>
      <c r="M1594" s="111">
        <v>19.440000000000001</v>
      </c>
      <c r="N1594" s="111">
        <v>19.440000000000001</v>
      </c>
      <c r="O1594" s="111"/>
      <c r="P1594" s="111"/>
      <c r="Q1594" s="111"/>
      <c r="R1594" s="111"/>
      <c r="S1594" s="1249">
        <v>1</v>
      </c>
      <c r="T1594" s="1250">
        <v>6.48</v>
      </c>
      <c r="U1594" s="1250"/>
      <c r="V1594" s="1250"/>
      <c r="W1594" s="1251">
        <v>0</v>
      </c>
      <c r="X1594" s="1250">
        <v>6.48</v>
      </c>
      <c r="Y1594" s="1250"/>
      <c r="Z1594" s="1250"/>
      <c r="AA1594" s="1250"/>
      <c r="AB1594" s="1250"/>
      <c r="AC1594" s="1250"/>
      <c r="AD1594" s="1250"/>
      <c r="AE1594" s="1249">
        <v>0</v>
      </c>
      <c r="AF1594" s="1250">
        <v>6.48</v>
      </c>
      <c r="AG1594" s="111"/>
      <c r="AH1594" s="111"/>
      <c r="AI1594" s="111"/>
      <c r="AJ1594" s="111"/>
      <c r="AK1594" s="111"/>
      <c r="AL1594" s="111"/>
      <c r="AM1594" s="111">
        <v>19.440000000000001</v>
      </c>
    </row>
    <row r="1595" spans="1:39" ht="15" customHeight="1" x14ac:dyDescent="0.25">
      <c r="A1595" s="1409"/>
      <c r="B1595" s="1409"/>
      <c r="C1595" s="1409"/>
      <c r="D1595" s="1409"/>
      <c r="E1595" s="1247"/>
      <c r="F1595" s="1248" t="s">
        <v>3051</v>
      </c>
      <c r="G1595" s="111"/>
      <c r="H1595" s="1249">
        <v>1</v>
      </c>
      <c r="I1595" s="111" t="s">
        <v>1721</v>
      </c>
      <c r="J1595" s="1321" t="s">
        <v>5608</v>
      </c>
      <c r="K1595" s="162" t="s">
        <v>5610</v>
      </c>
      <c r="L1595" s="162" t="s">
        <v>5609</v>
      </c>
      <c r="M1595" s="111">
        <v>24.3</v>
      </c>
      <c r="N1595" s="111">
        <v>24.3</v>
      </c>
      <c r="O1595" s="111"/>
      <c r="P1595" s="111"/>
      <c r="Q1595" s="111"/>
      <c r="R1595" s="111"/>
      <c r="S1595" s="1249">
        <v>1</v>
      </c>
      <c r="T1595" s="1250">
        <v>8.1</v>
      </c>
      <c r="U1595" s="1250"/>
      <c r="V1595" s="1250"/>
      <c r="W1595" s="1251">
        <v>0</v>
      </c>
      <c r="X1595" s="1250">
        <v>8.1</v>
      </c>
      <c r="Y1595" s="1250"/>
      <c r="Z1595" s="1250"/>
      <c r="AA1595" s="1250"/>
      <c r="AB1595" s="1250"/>
      <c r="AC1595" s="1250"/>
      <c r="AD1595" s="1250"/>
      <c r="AE1595" s="1249">
        <v>0</v>
      </c>
      <c r="AF1595" s="1250">
        <v>8.1</v>
      </c>
      <c r="AG1595" s="111"/>
      <c r="AH1595" s="111"/>
      <c r="AI1595" s="111"/>
      <c r="AJ1595" s="111"/>
      <c r="AK1595" s="111"/>
      <c r="AL1595" s="111"/>
      <c r="AM1595" s="111">
        <v>24.3</v>
      </c>
    </row>
    <row r="1596" spans="1:39" ht="15" customHeight="1" x14ac:dyDescent="0.25">
      <c r="A1596" s="1409"/>
      <c r="B1596" s="1409"/>
      <c r="C1596" s="1409"/>
      <c r="D1596" s="1409"/>
      <c r="E1596" s="1247"/>
      <c r="F1596" s="1248" t="s">
        <v>3052</v>
      </c>
      <c r="G1596" s="111"/>
      <c r="H1596" s="1249">
        <v>1</v>
      </c>
      <c r="I1596" s="111" t="s">
        <v>1721</v>
      </c>
      <c r="J1596" s="1321" t="s">
        <v>5608</v>
      </c>
      <c r="K1596" s="162" t="s">
        <v>5610</v>
      </c>
      <c r="L1596" s="162" t="s">
        <v>5609</v>
      </c>
      <c r="M1596" s="111">
        <v>7.2900000000000009</v>
      </c>
      <c r="N1596" s="111">
        <v>7.2900000000000009</v>
      </c>
      <c r="O1596" s="111"/>
      <c r="P1596" s="111"/>
      <c r="Q1596" s="111"/>
      <c r="R1596" s="111"/>
      <c r="S1596" s="1249">
        <v>1</v>
      </c>
      <c r="T1596" s="1250">
        <v>2.4300000000000002</v>
      </c>
      <c r="U1596" s="1250"/>
      <c r="V1596" s="1250"/>
      <c r="W1596" s="1251">
        <v>0</v>
      </c>
      <c r="X1596" s="1250">
        <v>2.4300000000000002</v>
      </c>
      <c r="Y1596" s="1250"/>
      <c r="Z1596" s="1250"/>
      <c r="AA1596" s="1250"/>
      <c r="AB1596" s="1250"/>
      <c r="AC1596" s="1250"/>
      <c r="AD1596" s="1250"/>
      <c r="AE1596" s="1249">
        <v>0</v>
      </c>
      <c r="AF1596" s="1250">
        <v>2.4300000000000002</v>
      </c>
      <c r="AG1596" s="111"/>
      <c r="AH1596" s="111"/>
      <c r="AI1596" s="111"/>
      <c r="AJ1596" s="111"/>
      <c r="AK1596" s="111"/>
      <c r="AL1596" s="111"/>
      <c r="AM1596" s="111">
        <v>7.2900000000000009</v>
      </c>
    </row>
    <row r="1597" spans="1:39" ht="15" customHeight="1" x14ac:dyDescent="0.25">
      <c r="A1597" s="1409"/>
      <c r="B1597" s="1409"/>
      <c r="C1597" s="1409"/>
      <c r="D1597" s="1409"/>
      <c r="E1597" s="1247"/>
      <c r="F1597" s="1248" t="s">
        <v>3053</v>
      </c>
      <c r="G1597" s="111"/>
      <c r="H1597" s="1249">
        <v>1</v>
      </c>
      <c r="I1597" s="111" t="s">
        <v>1721</v>
      </c>
      <c r="J1597" s="1321" t="s">
        <v>5608</v>
      </c>
      <c r="K1597" s="162" t="s">
        <v>5610</v>
      </c>
      <c r="L1597" s="162" t="s">
        <v>5609</v>
      </c>
      <c r="M1597" s="111">
        <v>28.35</v>
      </c>
      <c r="N1597" s="111">
        <v>28.35</v>
      </c>
      <c r="O1597" s="111"/>
      <c r="P1597" s="111"/>
      <c r="Q1597" s="111"/>
      <c r="R1597" s="111"/>
      <c r="S1597" s="1249">
        <v>1</v>
      </c>
      <c r="T1597" s="1250">
        <v>9.4500000000000011</v>
      </c>
      <c r="U1597" s="1250"/>
      <c r="V1597" s="1250"/>
      <c r="W1597" s="1251">
        <v>0</v>
      </c>
      <c r="X1597" s="1250">
        <v>9.4500000000000011</v>
      </c>
      <c r="Y1597" s="1250"/>
      <c r="Z1597" s="1250"/>
      <c r="AA1597" s="1250"/>
      <c r="AB1597" s="1250"/>
      <c r="AC1597" s="1250"/>
      <c r="AD1597" s="1250"/>
      <c r="AE1597" s="1249">
        <v>0</v>
      </c>
      <c r="AF1597" s="1250">
        <v>9.4500000000000011</v>
      </c>
      <c r="AG1597" s="111"/>
      <c r="AH1597" s="111"/>
      <c r="AI1597" s="111"/>
      <c r="AJ1597" s="111"/>
      <c r="AK1597" s="111"/>
      <c r="AL1597" s="111"/>
      <c r="AM1597" s="111">
        <v>28.35</v>
      </c>
    </row>
    <row r="1598" spans="1:39" ht="15" customHeight="1" x14ac:dyDescent="0.25">
      <c r="A1598" s="1409"/>
      <c r="B1598" s="1409"/>
      <c r="C1598" s="1409"/>
      <c r="D1598" s="1409"/>
      <c r="E1598" s="1247"/>
      <c r="F1598" s="1248" t="s">
        <v>3054</v>
      </c>
      <c r="G1598" s="111"/>
      <c r="H1598" s="1249">
        <v>1</v>
      </c>
      <c r="I1598" s="111" t="s">
        <v>1721</v>
      </c>
      <c r="J1598" s="1321" t="s">
        <v>5608</v>
      </c>
      <c r="K1598" s="162" t="s">
        <v>5610</v>
      </c>
      <c r="L1598" s="162" t="s">
        <v>5609</v>
      </c>
      <c r="M1598" s="111">
        <v>20.52</v>
      </c>
      <c r="N1598" s="111">
        <v>20.52</v>
      </c>
      <c r="O1598" s="111"/>
      <c r="P1598" s="111"/>
      <c r="Q1598" s="111"/>
      <c r="R1598" s="111"/>
      <c r="S1598" s="1249">
        <v>1</v>
      </c>
      <c r="T1598" s="1250">
        <v>6.84</v>
      </c>
      <c r="U1598" s="1250"/>
      <c r="V1598" s="1250"/>
      <c r="W1598" s="1251">
        <v>0</v>
      </c>
      <c r="X1598" s="1250">
        <v>6.84</v>
      </c>
      <c r="Y1598" s="1250"/>
      <c r="Z1598" s="1250"/>
      <c r="AA1598" s="1250"/>
      <c r="AB1598" s="1250"/>
      <c r="AC1598" s="1250"/>
      <c r="AD1598" s="1250"/>
      <c r="AE1598" s="1249">
        <v>0</v>
      </c>
      <c r="AF1598" s="1250">
        <v>6.84</v>
      </c>
      <c r="AG1598" s="111"/>
      <c r="AH1598" s="111"/>
      <c r="AI1598" s="111"/>
      <c r="AJ1598" s="111"/>
      <c r="AK1598" s="111"/>
      <c r="AL1598" s="111"/>
      <c r="AM1598" s="111">
        <v>20.52</v>
      </c>
    </row>
    <row r="1599" spans="1:39" ht="15" customHeight="1" x14ac:dyDescent="0.25">
      <c r="A1599" s="1409"/>
      <c r="B1599" s="1409"/>
      <c r="C1599" s="1409"/>
      <c r="D1599" s="1409"/>
      <c r="E1599" s="1247"/>
      <c r="F1599" s="1248" t="s">
        <v>3055</v>
      </c>
      <c r="G1599" s="111"/>
      <c r="H1599" s="1249">
        <v>1</v>
      </c>
      <c r="I1599" s="111" t="s">
        <v>1721</v>
      </c>
      <c r="J1599" s="1321" t="s">
        <v>5608</v>
      </c>
      <c r="K1599" s="162" t="s">
        <v>5610</v>
      </c>
      <c r="L1599" s="162" t="s">
        <v>5609</v>
      </c>
      <c r="M1599" s="111">
        <v>20.52</v>
      </c>
      <c r="N1599" s="111">
        <v>20.52</v>
      </c>
      <c r="O1599" s="111"/>
      <c r="P1599" s="111"/>
      <c r="Q1599" s="111"/>
      <c r="R1599" s="111"/>
      <c r="S1599" s="1249">
        <v>1</v>
      </c>
      <c r="T1599" s="1250">
        <v>6.84</v>
      </c>
      <c r="U1599" s="1250"/>
      <c r="V1599" s="1250"/>
      <c r="W1599" s="1251">
        <v>0</v>
      </c>
      <c r="X1599" s="1250">
        <v>6.84</v>
      </c>
      <c r="Y1599" s="1250"/>
      <c r="Z1599" s="1250"/>
      <c r="AA1599" s="1250"/>
      <c r="AB1599" s="1250"/>
      <c r="AC1599" s="1250"/>
      <c r="AD1599" s="1250"/>
      <c r="AE1599" s="1249">
        <v>0</v>
      </c>
      <c r="AF1599" s="1250">
        <v>6.84</v>
      </c>
      <c r="AG1599" s="111"/>
      <c r="AH1599" s="111"/>
      <c r="AI1599" s="111"/>
      <c r="AJ1599" s="111"/>
      <c r="AK1599" s="111"/>
      <c r="AL1599" s="111"/>
      <c r="AM1599" s="111">
        <v>20.52</v>
      </c>
    </row>
    <row r="1600" spans="1:39" ht="15" customHeight="1" x14ac:dyDescent="0.25">
      <c r="A1600" s="1409"/>
      <c r="B1600" s="1409"/>
      <c r="C1600" s="1409"/>
      <c r="D1600" s="1409"/>
      <c r="E1600" s="1247"/>
      <c r="F1600" s="1248" t="s">
        <v>3056</v>
      </c>
      <c r="G1600" s="111"/>
      <c r="H1600" s="1249">
        <v>1</v>
      </c>
      <c r="I1600" s="111" t="s">
        <v>1721</v>
      </c>
      <c r="J1600" s="1321" t="s">
        <v>5608</v>
      </c>
      <c r="K1600" s="162" t="s">
        <v>5610</v>
      </c>
      <c r="L1600" s="162" t="s">
        <v>5609</v>
      </c>
      <c r="M1600" s="111">
        <v>35.64</v>
      </c>
      <c r="N1600" s="111">
        <v>35.64</v>
      </c>
      <c r="O1600" s="111"/>
      <c r="P1600" s="111"/>
      <c r="Q1600" s="111"/>
      <c r="R1600" s="111"/>
      <c r="S1600" s="1249">
        <v>1</v>
      </c>
      <c r="T1600" s="1250">
        <v>11.88</v>
      </c>
      <c r="U1600" s="1250"/>
      <c r="V1600" s="1250"/>
      <c r="W1600" s="1251">
        <v>0</v>
      </c>
      <c r="X1600" s="1250">
        <v>11.88</v>
      </c>
      <c r="Y1600" s="1250"/>
      <c r="Z1600" s="1250"/>
      <c r="AA1600" s="1250"/>
      <c r="AB1600" s="1250"/>
      <c r="AC1600" s="1250"/>
      <c r="AD1600" s="1250"/>
      <c r="AE1600" s="1249">
        <v>0</v>
      </c>
      <c r="AF1600" s="1250">
        <v>11.88</v>
      </c>
      <c r="AG1600" s="111"/>
      <c r="AH1600" s="111"/>
      <c r="AI1600" s="111"/>
      <c r="AJ1600" s="111"/>
      <c r="AK1600" s="111"/>
      <c r="AL1600" s="111"/>
      <c r="AM1600" s="111">
        <v>35.64</v>
      </c>
    </row>
    <row r="1601" spans="1:39" ht="15" customHeight="1" x14ac:dyDescent="0.25">
      <c r="A1601" s="1409"/>
      <c r="B1601" s="1409"/>
      <c r="C1601" s="1409"/>
      <c r="D1601" s="1409"/>
      <c r="E1601" s="1247"/>
      <c r="F1601" s="1248" t="s">
        <v>3057</v>
      </c>
      <c r="G1601" s="111"/>
      <c r="H1601" s="1249">
        <v>1</v>
      </c>
      <c r="I1601" s="111" t="s">
        <v>1721</v>
      </c>
      <c r="J1601" s="1321" t="s">
        <v>5608</v>
      </c>
      <c r="K1601" s="162" t="s">
        <v>5610</v>
      </c>
      <c r="L1601" s="162" t="s">
        <v>5609</v>
      </c>
      <c r="M1601" s="111">
        <v>12.96</v>
      </c>
      <c r="N1601" s="111">
        <v>12.96</v>
      </c>
      <c r="O1601" s="111"/>
      <c r="P1601" s="111"/>
      <c r="Q1601" s="111"/>
      <c r="R1601" s="111"/>
      <c r="S1601" s="1249">
        <v>1</v>
      </c>
      <c r="T1601" s="1250">
        <v>4.32</v>
      </c>
      <c r="U1601" s="1250"/>
      <c r="V1601" s="1250"/>
      <c r="W1601" s="1251">
        <v>0</v>
      </c>
      <c r="X1601" s="1250">
        <v>4.32</v>
      </c>
      <c r="Y1601" s="1250"/>
      <c r="Z1601" s="1250"/>
      <c r="AA1601" s="1250"/>
      <c r="AB1601" s="1250"/>
      <c r="AC1601" s="1250"/>
      <c r="AD1601" s="1250"/>
      <c r="AE1601" s="1249">
        <v>0</v>
      </c>
      <c r="AF1601" s="1250">
        <v>4.32</v>
      </c>
      <c r="AG1601" s="111"/>
      <c r="AH1601" s="111"/>
      <c r="AI1601" s="111"/>
      <c r="AJ1601" s="111"/>
      <c r="AK1601" s="111"/>
      <c r="AL1601" s="111"/>
      <c r="AM1601" s="111">
        <v>12.96</v>
      </c>
    </row>
    <row r="1602" spans="1:39" ht="15" customHeight="1" x14ac:dyDescent="0.25">
      <c r="A1602" s="1409"/>
      <c r="B1602" s="1409"/>
      <c r="C1602" s="1409"/>
      <c r="D1602" s="1409"/>
      <c r="E1602" s="1247"/>
      <c r="F1602" s="1248" t="s">
        <v>3058</v>
      </c>
      <c r="G1602" s="111"/>
      <c r="H1602" s="1249">
        <v>1</v>
      </c>
      <c r="I1602" s="111" t="s">
        <v>1721</v>
      </c>
      <c r="J1602" s="1321" t="s">
        <v>5608</v>
      </c>
      <c r="K1602" s="162" t="s">
        <v>5610</v>
      </c>
      <c r="L1602" s="162" t="s">
        <v>5609</v>
      </c>
      <c r="M1602" s="111">
        <v>20.52</v>
      </c>
      <c r="N1602" s="111">
        <v>20.52</v>
      </c>
      <c r="O1602" s="111"/>
      <c r="P1602" s="111"/>
      <c r="Q1602" s="111"/>
      <c r="R1602" s="111"/>
      <c r="S1602" s="1249">
        <v>1</v>
      </c>
      <c r="T1602" s="1250">
        <v>6.84</v>
      </c>
      <c r="U1602" s="1250"/>
      <c r="V1602" s="1250"/>
      <c r="W1602" s="1251">
        <v>0</v>
      </c>
      <c r="X1602" s="1250">
        <v>6.84</v>
      </c>
      <c r="Y1602" s="1250"/>
      <c r="Z1602" s="1250"/>
      <c r="AA1602" s="1250"/>
      <c r="AB1602" s="1250"/>
      <c r="AC1602" s="1250"/>
      <c r="AD1602" s="1250"/>
      <c r="AE1602" s="1249">
        <v>0</v>
      </c>
      <c r="AF1602" s="1250">
        <v>6.84</v>
      </c>
      <c r="AG1602" s="111"/>
      <c r="AH1602" s="111"/>
      <c r="AI1602" s="111"/>
      <c r="AJ1602" s="111"/>
      <c r="AK1602" s="111"/>
      <c r="AL1602" s="111"/>
      <c r="AM1602" s="111">
        <v>20.52</v>
      </c>
    </row>
    <row r="1603" spans="1:39" ht="15" customHeight="1" x14ac:dyDescent="0.25">
      <c r="A1603" s="1409"/>
      <c r="B1603" s="1409"/>
      <c r="C1603" s="1409"/>
      <c r="D1603" s="1409"/>
      <c r="E1603" s="1247"/>
      <c r="F1603" s="1248" t="s">
        <v>3059</v>
      </c>
      <c r="G1603" s="111"/>
      <c r="H1603" s="1249">
        <v>1</v>
      </c>
      <c r="I1603" s="111" t="s">
        <v>1721</v>
      </c>
      <c r="J1603" s="1321" t="s">
        <v>5608</v>
      </c>
      <c r="K1603" s="162" t="s">
        <v>5610</v>
      </c>
      <c r="L1603" s="162" t="s">
        <v>5609</v>
      </c>
      <c r="M1603" s="111">
        <v>8.1000000000000014</v>
      </c>
      <c r="N1603" s="111">
        <v>8.1000000000000014</v>
      </c>
      <c r="O1603" s="111"/>
      <c r="P1603" s="111"/>
      <c r="Q1603" s="111"/>
      <c r="R1603" s="111"/>
      <c r="S1603" s="1249">
        <v>1</v>
      </c>
      <c r="T1603" s="1250">
        <v>2.7000000000000006</v>
      </c>
      <c r="U1603" s="1250"/>
      <c r="V1603" s="1250"/>
      <c r="W1603" s="1251">
        <v>0</v>
      </c>
      <c r="X1603" s="1250">
        <v>2.7000000000000006</v>
      </c>
      <c r="Y1603" s="1250"/>
      <c r="Z1603" s="1250"/>
      <c r="AA1603" s="1250"/>
      <c r="AB1603" s="1250"/>
      <c r="AC1603" s="1250"/>
      <c r="AD1603" s="1250"/>
      <c r="AE1603" s="1249">
        <v>0</v>
      </c>
      <c r="AF1603" s="1250">
        <v>2.7000000000000006</v>
      </c>
      <c r="AG1603" s="111"/>
      <c r="AH1603" s="111"/>
      <c r="AI1603" s="111"/>
      <c r="AJ1603" s="111"/>
      <c r="AK1603" s="111"/>
      <c r="AL1603" s="111"/>
      <c r="AM1603" s="111">
        <v>8.1000000000000014</v>
      </c>
    </row>
    <row r="1604" spans="1:39" ht="15" customHeight="1" x14ac:dyDescent="0.25">
      <c r="A1604" s="1409"/>
      <c r="B1604" s="1409"/>
      <c r="C1604" s="1409"/>
      <c r="D1604" s="1409"/>
      <c r="E1604" s="1247"/>
      <c r="F1604" s="1248" t="s">
        <v>3060</v>
      </c>
      <c r="G1604" s="111"/>
      <c r="H1604" s="1249">
        <v>1</v>
      </c>
      <c r="I1604" s="111" t="s">
        <v>1721</v>
      </c>
      <c r="J1604" s="1321" t="s">
        <v>5608</v>
      </c>
      <c r="K1604" s="162" t="s">
        <v>5610</v>
      </c>
      <c r="L1604" s="162" t="s">
        <v>5609</v>
      </c>
      <c r="M1604" s="111">
        <v>32.4</v>
      </c>
      <c r="N1604" s="111">
        <v>32.4</v>
      </c>
      <c r="O1604" s="111"/>
      <c r="P1604" s="111"/>
      <c r="Q1604" s="111"/>
      <c r="R1604" s="111"/>
      <c r="S1604" s="1249">
        <v>1</v>
      </c>
      <c r="T1604" s="1250">
        <v>10.799999999999999</v>
      </c>
      <c r="U1604" s="1250"/>
      <c r="V1604" s="1250"/>
      <c r="W1604" s="1251">
        <v>0</v>
      </c>
      <c r="X1604" s="1250">
        <v>10.799999999999999</v>
      </c>
      <c r="Y1604" s="1250"/>
      <c r="Z1604" s="1250"/>
      <c r="AA1604" s="1250"/>
      <c r="AB1604" s="1250"/>
      <c r="AC1604" s="1250"/>
      <c r="AD1604" s="1250"/>
      <c r="AE1604" s="1249">
        <v>0</v>
      </c>
      <c r="AF1604" s="1250">
        <v>10.799999999999999</v>
      </c>
      <c r="AG1604" s="111"/>
      <c r="AH1604" s="111"/>
      <c r="AI1604" s="111"/>
      <c r="AJ1604" s="111"/>
      <c r="AK1604" s="111"/>
      <c r="AL1604" s="111"/>
      <c r="AM1604" s="111">
        <v>32.4</v>
      </c>
    </row>
    <row r="1605" spans="1:39" ht="15" customHeight="1" x14ac:dyDescent="0.25">
      <c r="A1605" s="1409"/>
      <c r="B1605" s="1409"/>
      <c r="C1605" s="1409"/>
      <c r="D1605" s="1409"/>
      <c r="E1605" s="1247"/>
      <c r="F1605" s="1248" t="s">
        <v>3061</v>
      </c>
      <c r="G1605" s="111"/>
      <c r="H1605" s="1249">
        <v>1</v>
      </c>
      <c r="I1605" s="111" t="s">
        <v>1721</v>
      </c>
      <c r="J1605" s="1321" t="s">
        <v>5608</v>
      </c>
      <c r="K1605" s="162" t="s">
        <v>5610</v>
      </c>
      <c r="L1605" s="162" t="s">
        <v>5609</v>
      </c>
      <c r="M1605" s="111">
        <v>15.12</v>
      </c>
      <c r="N1605" s="111">
        <v>15.12</v>
      </c>
      <c r="O1605" s="111"/>
      <c r="P1605" s="111"/>
      <c r="Q1605" s="111"/>
      <c r="R1605" s="111"/>
      <c r="S1605" s="1249">
        <v>1</v>
      </c>
      <c r="T1605" s="1250">
        <v>5.04</v>
      </c>
      <c r="U1605" s="1250"/>
      <c r="V1605" s="1250"/>
      <c r="W1605" s="1251">
        <v>0</v>
      </c>
      <c r="X1605" s="1250">
        <v>5.04</v>
      </c>
      <c r="Y1605" s="1250"/>
      <c r="Z1605" s="1250"/>
      <c r="AA1605" s="1250"/>
      <c r="AB1605" s="1250"/>
      <c r="AC1605" s="1250"/>
      <c r="AD1605" s="1250"/>
      <c r="AE1605" s="1249">
        <v>0</v>
      </c>
      <c r="AF1605" s="1250">
        <v>5.04</v>
      </c>
      <c r="AG1605" s="111"/>
      <c r="AH1605" s="111"/>
      <c r="AI1605" s="111"/>
      <c r="AJ1605" s="111"/>
      <c r="AK1605" s="111"/>
      <c r="AL1605" s="111"/>
      <c r="AM1605" s="111">
        <v>15.12</v>
      </c>
    </row>
    <row r="1606" spans="1:39" ht="15" customHeight="1" x14ac:dyDescent="0.25">
      <c r="A1606" s="1409"/>
      <c r="B1606" s="1409"/>
      <c r="C1606" s="1409"/>
      <c r="D1606" s="1409"/>
      <c r="E1606" s="1247"/>
      <c r="F1606" s="1248" t="s">
        <v>3062</v>
      </c>
      <c r="G1606" s="111"/>
      <c r="H1606" s="1249">
        <v>1</v>
      </c>
      <c r="I1606" s="111" t="s">
        <v>1721</v>
      </c>
      <c r="J1606" s="1321" t="s">
        <v>5608</v>
      </c>
      <c r="K1606" s="162" t="s">
        <v>5610</v>
      </c>
      <c r="L1606" s="162" t="s">
        <v>5609</v>
      </c>
      <c r="M1606" s="111">
        <v>24.3</v>
      </c>
      <c r="N1606" s="111">
        <v>24.3</v>
      </c>
      <c r="O1606" s="111"/>
      <c r="P1606" s="111"/>
      <c r="Q1606" s="111"/>
      <c r="R1606" s="111"/>
      <c r="S1606" s="1249">
        <v>1</v>
      </c>
      <c r="T1606" s="1250">
        <v>8.1</v>
      </c>
      <c r="U1606" s="1250"/>
      <c r="V1606" s="1250"/>
      <c r="W1606" s="1251">
        <v>0</v>
      </c>
      <c r="X1606" s="1250">
        <v>8.1</v>
      </c>
      <c r="Y1606" s="1250"/>
      <c r="Z1606" s="1250"/>
      <c r="AA1606" s="1250"/>
      <c r="AB1606" s="1250"/>
      <c r="AC1606" s="1250"/>
      <c r="AD1606" s="1250"/>
      <c r="AE1606" s="1249">
        <v>0</v>
      </c>
      <c r="AF1606" s="1250">
        <v>8.1</v>
      </c>
      <c r="AG1606" s="111"/>
      <c r="AH1606" s="111"/>
      <c r="AI1606" s="111"/>
      <c r="AJ1606" s="111"/>
      <c r="AK1606" s="111"/>
      <c r="AL1606" s="111"/>
      <c r="AM1606" s="111">
        <v>24.3</v>
      </c>
    </row>
    <row r="1607" spans="1:39" ht="15" customHeight="1" x14ac:dyDescent="0.25">
      <c r="A1607" s="1409"/>
      <c r="B1607" s="1409"/>
      <c r="C1607" s="1409"/>
      <c r="D1607" s="1409"/>
      <c r="E1607" s="1247"/>
      <c r="F1607" s="1248" t="s">
        <v>3063</v>
      </c>
      <c r="G1607" s="111"/>
      <c r="H1607" s="1249">
        <v>1</v>
      </c>
      <c r="I1607" s="111" t="s">
        <v>1721</v>
      </c>
      <c r="J1607" s="1321" t="s">
        <v>5608</v>
      </c>
      <c r="K1607" s="162" t="s">
        <v>5610</v>
      </c>
      <c r="L1607" s="162" t="s">
        <v>5609</v>
      </c>
      <c r="M1607" s="111">
        <v>23.490000000000002</v>
      </c>
      <c r="N1607" s="111">
        <v>23.490000000000002</v>
      </c>
      <c r="O1607" s="111"/>
      <c r="P1607" s="111"/>
      <c r="Q1607" s="111"/>
      <c r="R1607" s="111"/>
      <c r="S1607" s="1249">
        <v>1</v>
      </c>
      <c r="T1607" s="1250">
        <v>7.830000000000001</v>
      </c>
      <c r="U1607" s="1250"/>
      <c r="V1607" s="1250"/>
      <c r="W1607" s="1251">
        <v>0</v>
      </c>
      <c r="X1607" s="1250">
        <v>7.830000000000001</v>
      </c>
      <c r="Y1607" s="1250"/>
      <c r="Z1607" s="1250"/>
      <c r="AA1607" s="1250"/>
      <c r="AB1607" s="1250"/>
      <c r="AC1607" s="1250"/>
      <c r="AD1607" s="1250"/>
      <c r="AE1607" s="1249">
        <v>0</v>
      </c>
      <c r="AF1607" s="1250">
        <v>7.830000000000001</v>
      </c>
      <c r="AG1607" s="111"/>
      <c r="AH1607" s="111"/>
      <c r="AI1607" s="111"/>
      <c r="AJ1607" s="111"/>
      <c r="AK1607" s="111"/>
      <c r="AL1607" s="111"/>
      <c r="AM1607" s="111">
        <v>23.490000000000002</v>
      </c>
    </row>
    <row r="1608" spans="1:39" ht="15" customHeight="1" x14ac:dyDescent="0.25">
      <c r="A1608" s="1409"/>
      <c r="B1608" s="1409"/>
      <c r="C1608" s="1409"/>
      <c r="D1608" s="1409"/>
      <c r="E1608" s="1247"/>
      <c r="F1608" s="1248" t="s">
        <v>3063</v>
      </c>
      <c r="G1608" s="111"/>
      <c r="H1608" s="1249">
        <v>1</v>
      </c>
      <c r="I1608" s="111" t="s">
        <v>1721</v>
      </c>
      <c r="J1608" s="1321" t="s">
        <v>5608</v>
      </c>
      <c r="K1608" s="162" t="s">
        <v>5610</v>
      </c>
      <c r="L1608" s="162" t="s">
        <v>5609</v>
      </c>
      <c r="M1608" s="111">
        <v>23.490000000000002</v>
      </c>
      <c r="N1608" s="111">
        <v>23.490000000000002</v>
      </c>
      <c r="O1608" s="111"/>
      <c r="P1608" s="111"/>
      <c r="Q1608" s="111"/>
      <c r="R1608" s="111"/>
      <c r="S1608" s="1249">
        <v>1</v>
      </c>
      <c r="T1608" s="1250">
        <v>7.830000000000001</v>
      </c>
      <c r="U1608" s="1250"/>
      <c r="V1608" s="1250"/>
      <c r="W1608" s="1251">
        <v>0</v>
      </c>
      <c r="X1608" s="1250">
        <v>7.830000000000001</v>
      </c>
      <c r="Y1608" s="1250"/>
      <c r="Z1608" s="1250"/>
      <c r="AA1608" s="1250"/>
      <c r="AB1608" s="1250"/>
      <c r="AC1608" s="1250"/>
      <c r="AD1608" s="1250"/>
      <c r="AE1608" s="1249">
        <v>0</v>
      </c>
      <c r="AF1608" s="1250">
        <v>7.830000000000001</v>
      </c>
      <c r="AG1608" s="111"/>
      <c r="AH1608" s="111"/>
      <c r="AI1608" s="111"/>
      <c r="AJ1608" s="111"/>
      <c r="AK1608" s="111"/>
      <c r="AL1608" s="111"/>
      <c r="AM1608" s="111">
        <v>23.490000000000002</v>
      </c>
    </row>
    <row r="1609" spans="1:39" ht="15" customHeight="1" x14ac:dyDescent="0.25">
      <c r="A1609" s="1409"/>
      <c r="B1609" s="1409"/>
      <c r="C1609" s="1409"/>
      <c r="D1609" s="1409"/>
      <c r="E1609" s="1247"/>
      <c r="F1609" s="1248" t="s">
        <v>3064</v>
      </c>
      <c r="G1609" s="111"/>
      <c r="H1609" s="1249">
        <v>1</v>
      </c>
      <c r="I1609" s="111" t="s">
        <v>1721</v>
      </c>
      <c r="J1609" s="1321" t="s">
        <v>5608</v>
      </c>
      <c r="K1609" s="162" t="s">
        <v>5610</v>
      </c>
      <c r="L1609" s="162" t="s">
        <v>5609</v>
      </c>
      <c r="M1609" s="111">
        <v>11.34</v>
      </c>
      <c r="N1609" s="111">
        <v>11.34</v>
      </c>
      <c r="O1609" s="111"/>
      <c r="P1609" s="111"/>
      <c r="Q1609" s="111"/>
      <c r="R1609" s="111"/>
      <c r="S1609" s="1249">
        <v>1</v>
      </c>
      <c r="T1609" s="1250">
        <v>3.78</v>
      </c>
      <c r="U1609" s="1250"/>
      <c r="V1609" s="1250"/>
      <c r="W1609" s="1251">
        <v>0</v>
      </c>
      <c r="X1609" s="1250">
        <v>3.78</v>
      </c>
      <c r="Y1609" s="1250"/>
      <c r="Z1609" s="1250"/>
      <c r="AA1609" s="1250"/>
      <c r="AB1609" s="1250"/>
      <c r="AC1609" s="1250"/>
      <c r="AD1609" s="1250"/>
      <c r="AE1609" s="1249">
        <v>0</v>
      </c>
      <c r="AF1609" s="1250">
        <v>3.78</v>
      </c>
      <c r="AG1609" s="111"/>
      <c r="AH1609" s="111"/>
      <c r="AI1609" s="111"/>
      <c r="AJ1609" s="111"/>
      <c r="AK1609" s="111"/>
      <c r="AL1609" s="111"/>
      <c r="AM1609" s="111">
        <v>11.34</v>
      </c>
    </row>
    <row r="1610" spans="1:39" ht="15" customHeight="1" x14ac:dyDescent="0.25">
      <c r="A1610" s="1409"/>
      <c r="B1610" s="1409"/>
      <c r="C1610" s="1409"/>
      <c r="D1610" s="1409"/>
      <c r="E1610" s="1247"/>
      <c r="F1610" s="1248" t="s">
        <v>3065</v>
      </c>
      <c r="G1610" s="111"/>
      <c r="H1610" s="1249">
        <v>1</v>
      </c>
      <c r="I1610" s="111" t="s">
        <v>1721</v>
      </c>
      <c r="J1610" s="1321" t="s">
        <v>5608</v>
      </c>
      <c r="K1610" s="162" t="s">
        <v>5610</v>
      </c>
      <c r="L1610" s="162" t="s">
        <v>5609</v>
      </c>
      <c r="M1610" s="111">
        <v>19.440000000000001</v>
      </c>
      <c r="N1610" s="111">
        <v>19.440000000000001</v>
      </c>
      <c r="O1610" s="111"/>
      <c r="P1610" s="111"/>
      <c r="Q1610" s="111"/>
      <c r="R1610" s="111"/>
      <c r="S1610" s="1249">
        <v>1</v>
      </c>
      <c r="T1610" s="1250">
        <v>6.48</v>
      </c>
      <c r="U1610" s="1250"/>
      <c r="V1610" s="1250"/>
      <c r="W1610" s="1251">
        <v>0</v>
      </c>
      <c r="X1610" s="1250">
        <v>6.48</v>
      </c>
      <c r="Y1610" s="1250"/>
      <c r="Z1610" s="1250"/>
      <c r="AA1610" s="1250"/>
      <c r="AB1610" s="1250"/>
      <c r="AC1610" s="1250"/>
      <c r="AD1610" s="1250"/>
      <c r="AE1610" s="1249">
        <v>0</v>
      </c>
      <c r="AF1610" s="1250">
        <v>6.48</v>
      </c>
      <c r="AG1610" s="111"/>
      <c r="AH1610" s="111"/>
      <c r="AI1610" s="111"/>
      <c r="AJ1610" s="111"/>
      <c r="AK1610" s="111"/>
      <c r="AL1610" s="111"/>
      <c r="AM1610" s="111">
        <v>19.440000000000001</v>
      </c>
    </row>
    <row r="1611" spans="1:39" ht="15" customHeight="1" x14ac:dyDescent="0.25">
      <c r="A1611" s="1409"/>
      <c r="B1611" s="1409"/>
      <c r="C1611" s="1409"/>
      <c r="D1611" s="1409"/>
      <c r="E1611" s="1247"/>
      <c r="F1611" s="1248" t="s">
        <v>3066</v>
      </c>
      <c r="G1611" s="111"/>
      <c r="H1611" s="1249">
        <v>1</v>
      </c>
      <c r="I1611" s="111" t="s">
        <v>1721</v>
      </c>
      <c r="J1611" s="1321" t="s">
        <v>5608</v>
      </c>
      <c r="K1611" s="162" t="s">
        <v>5610</v>
      </c>
      <c r="L1611" s="162" t="s">
        <v>5609</v>
      </c>
      <c r="M1611" s="111">
        <v>8.91</v>
      </c>
      <c r="N1611" s="111">
        <v>8.91</v>
      </c>
      <c r="O1611" s="111"/>
      <c r="P1611" s="111"/>
      <c r="Q1611" s="111"/>
      <c r="R1611" s="111"/>
      <c r="S1611" s="1249">
        <v>1</v>
      </c>
      <c r="T1611" s="1250">
        <v>2.97</v>
      </c>
      <c r="U1611" s="1250"/>
      <c r="V1611" s="1250"/>
      <c r="W1611" s="1251">
        <v>0</v>
      </c>
      <c r="X1611" s="1250">
        <v>2.97</v>
      </c>
      <c r="Y1611" s="1250"/>
      <c r="Z1611" s="1250"/>
      <c r="AA1611" s="1250"/>
      <c r="AB1611" s="1250"/>
      <c r="AC1611" s="1250"/>
      <c r="AD1611" s="1250"/>
      <c r="AE1611" s="1249">
        <v>0</v>
      </c>
      <c r="AF1611" s="1250">
        <v>2.97</v>
      </c>
      <c r="AG1611" s="111"/>
      <c r="AH1611" s="111"/>
      <c r="AI1611" s="111"/>
      <c r="AJ1611" s="111"/>
      <c r="AK1611" s="111"/>
      <c r="AL1611" s="111"/>
      <c r="AM1611" s="111">
        <v>8.91</v>
      </c>
    </row>
    <row r="1612" spans="1:39" ht="15" customHeight="1" x14ac:dyDescent="0.25">
      <c r="A1612" s="1409"/>
      <c r="B1612" s="1409"/>
      <c r="C1612" s="1409"/>
      <c r="D1612" s="1409"/>
      <c r="E1612" s="1247"/>
      <c r="F1612" s="1248"/>
      <c r="G1612" s="111"/>
      <c r="H1612" s="1249"/>
      <c r="I1612" s="111"/>
      <c r="J1612" s="111"/>
      <c r="K1612" s="111"/>
      <c r="L1612" s="111"/>
      <c r="M1612" s="111"/>
      <c r="N1612" s="111"/>
      <c r="O1612" s="111"/>
      <c r="P1612" s="111"/>
      <c r="Q1612" s="111"/>
      <c r="R1612" s="111"/>
      <c r="S1612" s="1249"/>
      <c r="T1612" s="1250"/>
      <c r="U1612" s="1250"/>
      <c r="V1612" s="1250"/>
      <c r="W1612" s="1251"/>
      <c r="X1612" s="1250"/>
      <c r="Y1612" s="1250"/>
      <c r="Z1612" s="1250"/>
      <c r="AA1612" s="1250"/>
      <c r="AB1612" s="1250"/>
      <c r="AC1612" s="1250"/>
      <c r="AD1612" s="1250"/>
      <c r="AE1612" s="1249"/>
      <c r="AF1612" s="1250"/>
      <c r="AG1612" s="111"/>
      <c r="AH1612" s="111"/>
      <c r="AI1612" s="111"/>
      <c r="AJ1612" s="111"/>
      <c r="AK1612" s="111"/>
      <c r="AL1612" s="111"/>
      <c r="AM1612" s="111"/>
    </row>
    <row r="1613" spans="1:39" ht="15" customHeight="1" x14ac:dyDescent="0.25">
      <c r="A1613" s="1409"/>
      <c r="B1613" s="1409"/>
      <c r="C1613" s="1409"/>
      <c r="D1613" s="1409"/>
      <c r="E1613" s="1218">
        <v>254</v>
      </c>
      <c r="F1613" s="1268" t="s">
        <v>629</v>
      </c>
      <c r="G1613" s="1218"/>
      <c r="H1613" s="1218"/>
      <c r="I1613" s="1218"/>
      <c r="J1613" s="1218"/>
      <c r="K1613" s="1218"/>
      <c r="L1613" s="1218"/>
      <c r="M1613" s="1218"/>
      <c r="N1613" s="1218"/>
      <c r="O1613" s="1218"/>
      <c r="P1613" s="1218"/>
      <c r="Q1613" s="1218"/>
      <c r="R1613" s="1218"/>
      <c r="S1613" s="1218"/>
      <c r="T1613" s="1218"/>
      <c r="U1613" s="1218"/>
      <c r="V1613" s="1218"/>
      <c r="W1613" s="1218"/>
      <c r="X1613" s="1218"/>
      <c r="Y1613" s="1218"/>
      <c r="Z1613" s="1218"/>
      <c r="AA1613" s="1218"/>
      <c r="AB1613" s="1218"/>
      <c r="AC1613" s="1218"/>
      <c r="AD1613" s="1218"/>
      <c r="AE1613" s="1218"/>
      <c r="AF1613" s="1218"/>
      <c r="AG1613" s="1218"/>
      <c r="AH1613" s="1218"/>
      <c r="AI1613" s="1218"/>
      <c r="AJ1613" s="1218"/>
      <c r="AK1613" s="1218"/>
      <c r="AL1613" s="1218"/>
      <c r="AM1613" s="1218"/>
    </row>
    <row r="1614" spans="1:39" ht="15" customHeight="1" x14ac:dyDescent="0.25">
      <c r="A1614" s="1409"/>
      <c r="B1614" s="1409"/>
      <c r="C1614" s="1409"/>
      <c r="D1614" s="1409"/>
      <c r="E1614" s="1247"/>
      <c r="F1614" s="1248"/>
      <c r="G1614" s="111"/>
      <c r="H1614" s="1249"/>
      <c r="I1614" s="111"/>
      <c r="J1614" s="111"/>
      <c r="K1614" s="111"/>
      <c r="L1614" s="111"/>
      <c r="M1614" s="111"/>
      <c r="N1614" s="111"/>
      <c r="O1614" s="111"/>
      <c r="P1614" s="111"/>
      <c r="Q1614" s="111"/>
      <c r="R1614" s="111"/>
      <c r="S1614" s="1249"/>
      <c r="T1614" s="1250"/>
      <c r="U1614" s="1250"/>
      <c r="V1614" s="1250"/>
      <c r="W1614" s="1251"/>
      <c r="X1614" s="1250"/>
      <c r="Y1614" s="1250"/>
      <c r="Z1614" s="1250"/>
      <c r="AA1614" s="1250"/>
      <c r="AB1614" s="1250"/>
      <c r="AC1614" s="1250"/>
      <c r="AD1614" s="1250"/>
      <c r="AE1614" s="1249"/>
      <c r="AF1614" s="1250"/>
      <c r="AG1614" s="111"/>
      <c r="AH1614" s="111"/>
      <c r="AI1614" s="111"/>
      <c r="AJ1614" s="111"/>
      <c r="AK1614" s="111"/>
      <c r="AL1614" s="111"/>
      <c r="AM1614" s="111"/>
    </row>
    <row r="1615" spans="1:39" ht="15" customHeight="1" x14ac:dyDescent="0.25">
      <c r="A1615" s="1409"/>
      <c r="B1615" s="1409"/>
      <c r="C1615" s="1409"/>
      <c r="D1615" s="1409"/>
      <c r="E1615" s="1261">
        <v>25401</v>
      </c>
      <c r="F1615" s="1262" t="s">
        <v>630</v>
      </c>
      <c r="G1615" s="1261"/>
      <c r="H1615" s="1261"/>
      <c r="I1615" s="1261"/>
      <c r="J1615" s="1261"/>
      <c r="K1615" s="1261"/>
      <c r="L1615" s="1261"/>
      <c r="M1615" s="1261"/>
      <c r="N1615" s="1261"/>
      <c r="O1615" s="1261"/>
      <c r="P1615" s="1261"/>
      <c r="Q1615" s="1261"/>
      <c r="R1615" s="1261"/>
      <c r="S1615" s="1261"/>
      <c r="T1615" s="1261"/>
      <c r="U1615" s="1261"/>
      <c r="V1615" s="1261"/>
      <c r="W1615" s="1261"/>
      <c r="X1615" s="1261"/>
      <c r="Y1615" s="1261"/>
      <c r="Z1615" s="1261"/>
      <c r="AA1615" s="1261"/>
      <c r="AB1615" s="1261"/>
      <c r="AC1615" s="1261"/>
      <c r="AD1615" s="1261"/>
      <c r="AE1615" s="1261"/>
      <c r="AF1615" s="1261"/>
      <c r="AG1615" s="1261"/>
      <c r="AH1615" s="1261"/>
      <c r="AI1615" s="1261"/>
      <c r="AJ1615" s="1261"/>
      <c r="AK1615" s="1261"/>
      <c r="AL1615" s="1261"/>
      <c r="AM1615" s="1261"/>
    </row>
    <row r="1616" spans="1:39" ht="15" customHeight="1" x14ac:dyDescent="0.25">
      <c r="A1616" s="1409"/>
      <c r="B1616" s="1409"/>
      <c r="C1616" s="1409"/>
      <c r="D1616" s="1409"/>
      <c r="E1616" s="1247"/>
      <c r="F1616" s="1248" t="s">
        <v>3067</v>
      </c>
      <c r="G1616" s="111"/>
      <c r="H1616" s="1249">
        <v>1</v>
      </c>
      <c r="I1616" s="111" t="s">
        <v>1721</v>
      </c>
      <c r="J1616" s="1321" t="s">
        <v>5608</v>
      </c>
      <c r="K1616" s="162" t="s">
        <v>5610</v>
      </c>
      <c r="L1616" s="162" t="s">
        <v>5609</v>
      </c>
      <c r="M1616" s="111">
        <v>864</v>
      </c>
      <c r="N1616" s="111">
        <v>864</v>
      </c>
      <c r="O1616" s="111"/>
      <c r="P1616" s="111"/>
      <c r="Q1616" s="111"/>
      <c r="R1616" s="111"/>
      <c r="S1616" s="1249">
        <v>1</v>
      </c>
      <c r="T1616" s="1250">
        <v>288</v>
      </c>
      <c r="U1616" s="1250"/>
      <c r="V1616" s="1250"/>
      <c r="W1616" s="1251">
        <v>0</v>
      </c>
      <c r="X1616" s="1250">
        <v>288</v>
      </c>
      <c r="Y1616" s="1250"/>
      <c r="Z1616" s="1250"/>
      <c r="AA1616" s="1250"/>
      <c r="AB1616" s="1250"/>
      <c r="AC1616" s="1250"/>
      <c r="AD1616" s="1250"/>
      <c r="AE1616" s="1249">
        <v>0</v>
      </c>
      <c r="AF1616" s="1250">
        <v>288</v>
      </c>
      <c r="AG1616" s="111"/>
      <c r="AH1616" s="111"/>
      <c r="AI1616" s="111"/>
      <c r="AJ1616" s="111"/>
      <c r="AK1616" s="111"/>
      <c r="AL1616" s="111"/>
      <c r="AM1616" s="111">
        <v>864</v>
      </c>
    </row>
    <row r="1617" spans="1:39" ht="15" customHeight="1" x14ac:dyDescent="0.25">
      <c r="A1617" s="1409"/>
      <c r="B1617" s="1409"/>
      <c r="C1617" s="1409"/>
      <c r="D1617" s="1409"/>
      <c r="E1617" s="1247"/>
      <c r="F1617" s="1248" t="s">
        <v>5209</v>
      </c>
      <c r="G1617" s="111"/>
      <c r="H1617" s="1249">
        <v>1</v>
      </c>
      <c r="I1617" s="111" t="s">
        <v>1721</v>
      </c>
      <c r="J1617" s="1321" t="s">
        <v>5608</v>
      </c>
      <c r="K1617" s="162" t="s">
        <v>5610</v>
      </c>
      <c r="L1617" s="162" t="s">
        <v>5609</v>
      </c>
      <c r="M1617" s="111">
        <v>810.83999999999992</v>
      </c>
      <c r="N1617" s="111">
        <v>810.83999999999992</v>
      </c>
      <c r="O1617" s="111"/>
      <c r="P1617" s="111"/>
      <c r="Q1617" s="111"/>
      <c r="R1617" s="111"/>
      <c r="S1617" s="1249">
        <v>1</v>
      </c>
      <c r="T1617" s="1250">
        <v>270.27999999999997</v>
      </c>
      <c r="U1617" s="1250"/>
      <c r="V1617" s="1250"/>
      <c r="W1617" s="1251">
        <v>0</v>
      </c>
      <c r="X1617" s="1250">
        <v>270.27999999999997</v>
      </c>
      <c r="Y1617" s="1250"/>
      <c r="Z1617" s="1250"/>
      <c r="AA1617" s="1250"/>
      <c r="AB1617" s="1250"/>
      <c r="AC1617" s="1250"/>
      <c r="AD1617" s="1250"/>
      <c r="AE1617" s="1249">
        <v>0</v>
      </c>
      <c r="AF1617" s="1250">
        <v>270.27999999999997</v>
      </c>
      <c r="AG1617" s="111"/>
      <c r="AH1617" s="111"/>
      <c r="AI1617" s="111"/>
      <c r="AJ1617" s="111"/>
      <c r="AK1617" s="111"/>
      <c r="AL1617" s="111"/>
      <c r="AM1617" s="111">
        <v>810.83999999999992</v>
      </c>
    </row>
    <row r="1618" spans="1:39" ht="15" customHeight="1" x14ac:dyDescent="0.25">
      <c r="A1618" s="1409"/>
      <c r="B1618" s="1409"/>
      <c r="C1618" s="1409"/>
      <c r="D1618" s="1409"/>
      <c r="E1618" s="1247"/>
      <c r="F1618" s="1248"/>
      <c r="G1618" s="111"/>
      <c r="H1618" s="1249"/>
      <c r="I1618" s="111"/>
      <c r="J1618" s="111"/>
      <c r="K1618" s="111"/>
      <c r="L1618" s="111"/>
      <c r="M1618" s="111"/>
      <c r="N1618" s="111"/>
      <c r="O1618" s="111"/>
      <c r="P1618" s="111"/>
      <c r="Q1618" s="111"/>
      <c r="R1618" s="111"/>
      <c r="S1618" s="1249"/>
      <c r="T1618" s="1250"/>
      <c r="U1618" s="1250"/>
      <c r="V1618" s="1250"/>
      <c r="W1618" s="1251"/>
      <c r="X1618" s="1250"/>
      <c r="Y1618" s="1250"/>
      <c r="Z1618" s="1250"/>
      <c r="AA1618" s="1250"/>
      <c r="AB1618" s="1250"/>
      <c r="AC1618" s="1250"/>
      <c r="AD1618" s="1250"/>
      <c r="AE1618" s="1249"/>
      <c r="AF1618" s="1250"/>
      <c r="AG1618" s="111"/>
      <c r="AH1618" s="111"/>
      <c r="AI1618" s="111"/>
      <c r="AJ1618" s="111"/>
      <c r="AK1618" s="111"/>
      <c r="AL1618" s="111"/>
      <c r="AM1618" s="111"/>
    </row>
    <row r="1619" spans="1:39" ht="15" customHeight="1" x14ac:dyDescent="0.25">
      <c r="A1619" s="1409"/>
      <c r="B1619" s="1409"/>
      <c r="C1619" s="1409"/>
      <c r="D1619" s="1409"/>
      <c r="E1619" s="1261">
        <v>25402</v>
      </c>
      <c r="F1619" s="1262" t="s">
        <v>632</v>
      </c>
      <c r="G1619" s="1261"/>
      <c r="H1619" s="1261"/>
      <c r="I1619" s="1261"/>
      <c r="J1619" s="1261"/>
      <c r="K1619" s="1261"/>
      <c r="L1619" s="1261"/>
      <c r="M1619" s="1261"/>
      <c r="N1619" s="1261"/>
      <c r="O1619" s="1261"/>
      <c r="P1619" s="1261"/>
      <c r="Q1619" s="1261"/>
      <c r="R1619" s="1261"/>
      <c r="S1619" s="1261"/>
      <c r="T1619" s="1261"/>
      <c r="U1619" s="1261"/>
      <c r="V1619" s="1261"/>
      <c r="W1619" s="1261"/>
      <c r="X1619" s="1261"/>
      <c r="Y1619" s="1261"/>
      <c r="Z1619" s="1261"/>
      <c r="AA1619" s="1261"/>
      <c r="AB1619" s="1261"/>
      <c r="AC1619" s="1261"/>
      <c r="AD1619" s="1261"/>
      <c r="AE1619" s="1261"/>
      <c r="AF1619" s="1261"/>
      <c r="AG1619" s="1261"/>
      <c r="AH1619" s="1261"/>
      <c r="AI1619" s="1261"/>
      <c r="AJ1619" s="1261"/>
      <c r="AK1619" s="1261"/>
      <c r="AL1619" s="1261"/>
      <c r="AM1619" s="1261"/>
    </row>
    <row r="1620" spans="1:39" ht="15" customHeight="1" x14ac:dyDescent="0.25">
      <c r="A1620" s="1409"/>
      <c r="B1620" s="1409"/>
      <c r="C1620" s="1409"/>
      <c r="D1620" s="1409"/>
      <c r="E1620" s="1247"/>
      <c r="F1620" s="1248" t="s">
        <v>5210</v>
      </c>
      <c r="G1620" s="111"/>
      <c r="H1620" s="1249">
        <v>8</v>
      </c>
      <c r="I1620" s="111" t="s">
        <v>1722</v>
      </c>
      <c r="J1620" s="1321" t="s">
        <v>5608</v>
      </c>
      <c r="K1620" s="162" t="s">
        <v>5610</v>
      </c>
      <c r="L1620" s="162" t="s">
        <v>5609</v>
      </c>
      <c r="M1620" s="111">
        <v>46.495999999999995</v>
      </c>
      <c r="N1620" s="111">
        <v>371.96799999999996</v>
      </c>
      <c r="O1620" s="111"/>
      <c r="P1620" s="111"/>
      <c r="Q1620" s="111"/>
      <c r="R1620" s="111"/>
      <c r="S1620" s="1249">
        <v>4</v>
      </c>
      <c r="T1620" s="1250">
        <v>123.98933333333332</v>
      </c>
      <c r="U1620" s="1250"/>
      <c r="V1620" s="1250"/>
      <c r="W1620" s="1251">
        <v>2</v>
      </c>
      <c r="X1620" s="1250">
        <v>123.98933333333332</v>
      </c>
      <c r="Y1620" s="1250"/>
      <c r="Z1620" s="1250"/>
      <c r="AA1620" s="1250"/>
      <c r="AB1620" s="1250"/>
      <c r="AC1620" s="1250"/>
      <c r="AD1620" s="1250"/>
      <c r="AE1620" s="1249">
        <v>2</v>
      </c>
      <c r="AF1620" s="1250">
        <v>123.98933333333332</v>
      </c>
      <c r="AG1620" s="111"/>
      <c r="AH1620" s="111"/>
      <c r="AI1620" s="111"/>
      <c r="AJ1620" s="111"/>
      <c r="AK1620" s="111"/>
      <c r="AL1620" s="111"/>
      <c r="AM1620" s="111">
        <v>371.96799999999996</v>
      </c>
    </row>
    <row r="1621" spans="1:39" ht="15" customHeight="1" x14ac:dyDescent="0.25">
      <c r="A1621" s="1409"/>
      <c r="B1621" s="1409"/>
      <c r="C1621" s="1409"/>
      <c r="D1621" s="1409"/>
      <c r="E1621" s="1247"/>
      <c r="F1621" s="1248" t="s">
        <v>5211</v>
      </c>
      <c r="G1621" s="111"/>
      <c r="H1621" s="1249">
        <v>14</v>
      </c>
      <c r="I1621" s="111" t="s">
        <v>1722</v>
      </c>
      <c r="J1621" s="1321" t="s">
        <v>5608</v>
      </c>
      <c r="K1621" s="162" t="s">
        <v>5610</v>
      </c>
      <c r="L1621" s="162" t="s">
        <v>5609</v>
      </c>
      <c r="M1621" s="111">
        <v>40.396428571428565</v>
      </c>
      <c r="N1621" s="111">
        <v>565.54999999999995</v>
      </c>
      <c r="O1621" s="111"/>
      <c r="P1621" s="111"/>
      <c r="Q1621" s="111"/>
      <c r="R1621" s="111"/>
      <c r="S1621" s="1249">
        <v>5</v>
      </c>
      <c r="T1621" s="1250">
        <v>188.51666666666665</v>
      </c>
      <c r="U1621" s="1250"/>
      <c r="V1621" s="1250"/>
      <c r="W1621" s="1251">
        <v>5</v>
      </c>
      <c r="X1621" s="1250">
        <v>188.51666666666665</v>
      </c>
      <c r="Y1621" s="1250"/>
      <c r="Z1621" s="1250"/>
      <c r="AA1621" s="1250"/>
      <c r="AB1621" s="1250"/>
      <c r="AC1621" s="1250"/>
      <c r="AD1621" s="1250"/>
      <c r="AE1621" s="1249">
        <v>4</v>
      </c>
      <c r="AF1621" s="1250">
        <v>188.51666666666665</v>
      </c>
      <c r="AG1621" s="111"/>
      <c r="AH1621" s="111"/>
      <c r="AI1621" s="111"/>
      <c r="AJ1621" s="111"/>
      <c r="AK1621" s="111"/>
      <c r="AL1621" s="111"/>
      <c r="AM1621" s="111">
        <v>565.54999999999995</v>
      </c>
    </row>
    <row r="1622" spans="1:39" ht="15" customHeight="1" x14ac:dyDescent="0.25">
      <c r="A1622" s="1409"/>
      <c r="B1622" s="1409"/>
      <c r="C1622" s="1409"/>
      <c r="D1622" s="1409"/>
      <c r="E1622" s="1247"/>
      <c r="F1622" s="1248" t="s">
        <v>5212</v>
      </c>
      <c r="G1622" s="111"/>
      <c r="H1622" s="1249">
        <v>1</v>
      </c>
      <c r="I1622" s="111" t="s">
        <v>1722</v>
      </c>
      <c r="J1622" s="1321" t="s">
        <v>5608</v>
      </c>
      <c r="K1622" s="162" t="s">
        <v>5610</v>
      </c>
      <c r="L1622" s="162" t="s">
        <v>5609</v>
      </c>
      <c r="M1622" s="111">
        <v>161.33000000000001</v>
      </c>
      <c r="N1622" s="111">
        <v>161.33000000000001</v>
      </c>
      <c r="O1622" s="111"/>
      <c r="P1622" s="111"/>
      <c r="Q1622" s="111"/>
      <c r="R1622" s="111"/>
      <c r="S1622" s="1249">
        <v>1</v>
      </c>
      <c r="T1622" s="1250">
        <v>53.776666666666671</v>
      </c>
      <c r="U1622" s="1250"/>
      <c r="V1622" s="1250"/>
      <c r="W1622" s="1251">
        <v>0</v>
      </c>
      <c r="X1622" s="1250">
        <v>53.776666666666671</v>
      </c>
      <c r="Y1622" s="1250"/>
      <c r="Z1622" s="1250"/>
      <c r="AA1622" s="1250"/>
      <c r="AB1622" s="1250"/>
      <c r="AC1622" s="1250"/>
      <c r="AD1622" s="1250"/>
      <c r="AE1622" s="1249">
        <v>0</v>
      </c>
      <c r="AF1622" s="1250">
        <v>53.776666666666671</v>
      </c>
      <c r="AG1622" s="111"/>
      <c r="AH1622" s="111"/>
      <c r="AI1622" s="111"/>
      <c r="AJ1622" s="111"/>
      <c r="AK1622" s="111"/>
      <c r="AL1622" s="111"/>
      <c r="AM1622" s="111">
        <v>161.33000000000001</v>
      </c>
    </row>
    <row r="1623" spans="1:39" ht="15" customHeight="1" x14ac:dyDescent="0.25">
      <c r="A1623" s="1409"/>
      <c r="B1623" s="1409"/>
      <c r="C1623" s="1409"/>
      <c r="D1623" s="1409"/>
      <c r="E1623" s="1247"/>
      <c r="F1623" s="1248" t="s">
        <v>3077</v>
      </c>
      <c r="G1623" s="111"/>
      <c r="H1623" s="1249">
        <v>1</v>
      </c>
      <c r="I1623" s="111" t="s">
        <v>1721</v>
      </c>
      <c r="J1623" s="1321" t="s">
        <v>5608</v>
      </c>
      <c r="K1623" s="162" t="s">
        <v>5610</v>
      </c>
      <c r="L1623" s="162" t="s">
        <v>5609</v>
      </c>
      <c r="M1623" s="111">
        <v>1013.9</v>
      </c>
      <c r="N1623" s="111">
        <v>1013.9</v>
      </c>
      <c r="O1623" s="111"/>
      <c r="P1623" s="111"/>
      <c r="Q1623" s="111"/>
      <c r="R1623" s="111"/>
      <c r="S1623" s="1249">
        <v>1</v>
      </c>
      <c r="T1623" s="1250">
        <v>337.96666666666664</v>
      </c>
      <c r="U1623" s="1250"/>
      <c r="V1623" s="1250"/>
      <c r="W1623" s="1251">
        <v>0</v>
      </c>
      <c r="X1623" s="1250">
        <v>337.96666666666664</v>
      </c>
      <c r="Y1623" s="1250"/>
      <c r="Z1623" s="1250"/>
      <c r="AA1623" s="1250"/>
      <c r="AB1623" s="1250"/>
      <c r="AC1623" s="1250"/>
      <c r="AD1623" s="1250"/>
      <c r="AE1623" s="1249">
        <v>0</v>
      </c>
      <c r="AF1623" s="1250">
        <v>337.96666666666664</v>
      </c>
      <c r="AG1623" s="111"/>
      <c r="AH1623" s="111"/>
      <c r="AI1623" s="111"/>
      <c r="AJ1623" s="111"/>
      <c r="AK1623" s="111"/>
      <c r="AL1623" s="111"/>
      <c r="AM1623" s="111">
        <v>1013.9</v>
      </c>
    </row>
    <row r="1624" spans="1:39" ht="15" customHeight="1" x14ac:dyDescent="0.25">
      <c r="A1624" s="1409"/>
      <c r="B1624" s="1409"/>
      <c r="C1624" s="1409"/>
      <c r="D1624" s="1409"/>
      <c r="E1624" s="1247"/>
      <c r="F1624" s="1248" t="s">
        <v>3078</v>
      </c>
      <c r="G1624" s="111"/>
      <c r="H1624" s="1249">
        <v>1</v>
      </c>
      <c r="I1624" s="111" t="s">
        <v>1721</v>
      </c>
      <c r="J1624" s="1321" t="s">
        <v>5608</v>
      </c>
      <c r="K1624" s="162" t="s">
        <v>5610</v>
      </c>
      <c r="L1624" s="162" t="s">
        <v>5609</v>
      </c>
      <c r="M1624" s="111">
        <v>226.79438400000001</v>
      </c>
      <c r="N1624" s="111">
        <v>226.79438400000001</v>
      </c>
      <c r="O1624" s="111"/>
      <c r="P1624" s="111"/>
      <c r="Q1624" s="111"/>
      <c r="R1624" s="111"/>
      <c r="S1624" s="1249">
        <v>1</v>
      </c>
      <c r="T1624" s="1250">
        <v>75.598128000000003</v>
      </c>
      <c r="U1624" s="1250"/>
      <c r="V1624" s="1250"/>
      <c r="W1624" s="1251">
        <v>0</v>
      </c>
      <c r="X1624" s="1250">
        <v>75.598128000000003</v>
      </c>
      <c r="Y1624" s="1250"/>
      <c r="Z1624" s="1250"/>
      <c r="AA1624" s="1250"/>
      <c r="AB1624" s="1250"/>
      <c r="AC1624" s="1250"/>
      <c r="AD1624" s="1250"/>
      <c r="AE1624" s="1249">
        <v>0</v>
      </c>
      <c r="AF1624" s="1250">
        <v>75.598128000000003</v>
      </c>
      <c r="AG1624" s="111"/>
      <c r="AH1624" s="111"/>
      <c r="AI1624" s="111"/>
      <c r="AJ1624" s="111"/>
      <c r="AK1624" s="111"/>
      <c r="AL1624" s="111"/>
      <c r="AM1624" s="111">
        <v>226.79438400000001</v>
      </c>
    </row>
    <row r="1625" spans="1:39" ht="15" customHeight="1" x14ac:dyDescent="0.25">
      <c r="A1625" s="1409"/>
      <c r="B1625" s="1409"/>
      <c r="C1625" s="1409"/>
      <c r="D1625" s="1409"/>
      <c r="E1625" s="1247"/>
      <c r="F1625" s="1248" t="s">
        <v>3079</v>
      </c>
      <c r="G1625" s="111"/>
      <c r="H1625" s="1249">
        <v>1</v>
      </c>
      <c r="I1625" s="111" t="s">
        <v>1721</v>
      </c>
      <c r="J1625" s="1321" t="s">
        <v>5608</v>
      </c>
      <c r="K1625" s="162" t="s">
        <v>5610</v>
      </c>
      <c r="L1625" s="162" t="s">
        <v>5609</v>
      </c>
      <c r="M1625" s="111">
        <v>1021.05</v>
      </c>
      <c r="N1625" s="111">
        <v>1021.05</v>
      </c>
      <c r="O1625" s="111"/>
      <c r="P1625" s="111"/>
      <c r="Q1625" s="111"/>
      <c r="R1625" s="111"/>
      <c r="S1625" s="1249">
        <v>1</v>
      </c>
      <c r="T1625" s="1250">
        <v>340.34999999999997</v>
      </c>
      <c r="U1625" s="1250"/>
      <c r="V1625" s="1250"/>
      <c r="W1625" s="1251">
        <v>0</v>
      </c>
      <c r="X1625" s="1250">
        <v>340.34999999999997</v>
      </c>
      <c r="Y1625" s="1250"/>
      <c r="Z1625" s="1250"/>
      <c r="AA1625" s="1250"/>
      <c r="AB1625" s="1250"/>
      <c r="AC1625" s="1250"/>
      <c r="AD1625" s="1250"/>
      <c r="AE1625" s="1249">
        <v>0</v>
      </c>
      <c r="AF1625" s="1250">
        <v>340.34999999999997</v>
      </c>
      <c r="AG1625" s="111"/>
      <c r="AH1625" s="111"/>
      <c r="AI1625" s="111"/>
      <c r="AJ1625" s="111"/>
      <c r="AK1625" s="111"/>
      <c r="AL1625" s="111"/>
      <c r="AM1625" s="111">
        <v>1021.05</v>
      </c>
    </row>
    <row r="1626" spans="1:39" ht="15" customHeight="1" x14ac:dyDescent="0.25">
      <c r="A1626" s="1409"/>
      <c r="B1626" s="1409"/>
      <c r="C1626" s="1409"/>
      <c r="D1626" s="1409"/>
      <c r="E1626" s="1247"/>
      <c r="F1626" s="1248" t="s">
        <v>3080</v>
      </c>
      <c r="G1626" s="111"/>
      <c r="H1626" s="1249">
        <v>1</v>
      </c>
      <c r="I1626" s="111" t="s">
        <v>1721</v>
      </c>
      <c r="J1626" s="1321" t="s">
        <v>5608</v>
      </c>
      <c r="K1626" s="162" t="s">
        <v>5610</v>
      </c>
      <c r="L1626" s="162" t="s">
        <v>5609</v>
      </c>
      <c r="M1626" s="111">
        <v>92.858400000000017</v>
      </c>
      <c r="N1626" s="111">
        <v>92.858400000000017</v>
      </c>
      <c r="O1626" s="111"/>
      <c r="P1626" s="111"/>
      <c r="Q1626" s="111"/>
      <c r="R1626" s="111"/>
      <c r="S1626" s="1249">
        <v>1</v>
      </c>
      <c r="T1626" s="1250">
        <v>30.952800000000007</v>
      </c>
      <c r="U1626" s="1250"/>
      <c r="V1626" s="1250"/>
      <c r="W1626" s="1251">
        <v>0</v>
      </c>
      <c r="X1626" s="1250">
        <v>30.952800000000007</v>
      </c>
      <c r="Y1626" s="1250"/>
      <c r="Z1626" s="1250"/>
      <c r="AA1626" s="1250"/>
      <c r="AB1626" s="1250"/>
      <c r="AC1626" s="1250"/>
      <c r="AD1626" s="1250"/>
      <c r="AE1626" s="1249">
        <v>0</v>
      </c>
      <c r="AF1626" s="1250">
        <v>30.952800000000007</v>
      </c>
      <c r="AG1626" s="111"/>
      <c r="AH1626" s="111"/>
      <c r="AI1626" s="111"/>
      <c r="AJ1626" s="111"/>
      <c r="AK1626" s="111"/>
      <c r="AL1626" s="111"/>
      <c r="AM1626" s="111">
        <v>92.858400000000017</v>
      </c>
    </row>
    <row r="1627" spans="1:39" ht="15" customHeight="1" x14ac:dyDescent="0.25">
      <c r="A1627" s="1409"/>
      <c r="B1627" s="1409"/>
      <c r="C1627" s="1409"/>
      <c r="D1627" s="1409"/>
      <c r="E1627" s="1247"/>
      <c r="F1627" s="1248" t="s">
        <v>3081</v>
      </c>
      <c r="G1627" s="111"/>
      <c r="H1627" s="1249">
        <v>1</v>
      </c>
      <c r="I1627" s="111" t="s">
        <v>1721</v>
      </c>
      <c r="J1627" s="1321" t="s">
        <v>5608</v>
      </c>
      <c r="K1627" s="162" t="s">
        <v>5610</v>
      </c>
      <c r="L1627" s="162" t="s">
        <v>5609</v>
      </c>
      <c r="M1627" s="111">
        <v>143.64000000000001</v>
      </c>
      <c r="N1627" s="111">
        <v>143.64000000000001</v>
      </c>
      <c r="O1627" s="111"/>
      <c r="P1627" s="111"/>
      <c r="Q1627" s="111"/>
      <c r="R1627" s="111"/>
      <c r="S1627" s="1249">
        <v>1</v>
      </c>
      <c r="T1627" s="1250">
        <v>47.88</v>
      </c>
      <c r="U1627" s="1250"/>
      <c r="V1627" s="1250"/>
      <c r="W1627" s="1251">
        <v>0</v>
      </c>
      <c r="X1627" s="1250">
        <v>47.88</v>
      </c>
      <c r="Y1627" s="1250"/>
      <c r="Z1627" s="1250"/>
      <c r="AA1627" s="1250"/>
      <c r="AB1627" s="1250"/>
      <c r="AC1627" s="1250"/>
      <c r="AD1627" s="1250"/>
      <c r="AE1627" s="1249">
        <v>0</v>
      </c>
      <c r="AF1627" s="1250">
        <v>47.88</v>
      </c>
      <c r="AG1627" s="111"/>
      <c r="AH1627" s="111"/>
      <c r="AI1627" s="111"/>
      <c r="AJ1627" s="111"/>
      <c r="AK1627" s="111"/>
      <c r="AL1627" s="111"/>
      <c r="AM1627" s="111">
        <v>143.64000000000001</v>
      </c>
    </row>
    <row r="1628" spans="1:39" ht="15" customHeight="1" x14ac:dyDescent="0.25">
      <c r="A1628" s="1409"/>
      <c r="B1628" s="1409"/>
      <c r="C1628" s="1409"/>
      <c r="D1628" s="1409"/>
      <c r="E1628" s="1247"/>
      <c r="F1628" s="1248" t="s">
        <v>3082</v>
      </c>
      <c r="G1628" s="111"/>
      <c r="H1628" s="1249">
        <v>1</v>
      </c>
      <c r="I1628" s="111" t="s">
        <v>1721</v>
      </c>
      <c r="J1628" s="1321" t="s">
        <v>5608</v>
      </c>
      <c r="K1628" s="162" t="s">
        <v>5610</v>
      </c>
      <c r="L1628" s="162" t="s">
        <v>5609</v>
      </c>
      <c r="M1628" s="111">
        <v>250.92</v>
      </c>
      <c r="N1628" s="111">
        <v>250.92</v>
      </c>
      <c r="O1628" s="111"/>
      <c r="P1628" s="111"/>
      <c r="Q1628" s="111"/>
      <c r="R1628" s="111"/>
      <c r="S1628" s="1249">
        <v>1</v>
      </c>
      <c r="T1628" s="1250">
        <v>83.64</v>
      </c>
      <c r="U1628" s="1250"/>
      <c r="V1628" s="1250"/>
      <c r="W1628" s="1251">
        <v>0</v>
      </c>
      <c r="X1628" s="1250">
        <v>83.64</v>
      </c>
      <c r="Y1628" s="1250"/>
      <c r="Z1628" s="1250"/>
      <c r="AA1628" s="1250"/>
      <c r="AB1628" s="1250"/>
      <c r="AC1628" s="1250"/>
      <c r="AD1628" s="1250"/>
      <c r="AE1628" s="1249">
        <v>0</v>
      </c>
      <c r="AF1628" s="1250">
        <v>83.64</v>
      </c>
      <c r="AG1628" s="111"/>
      <c r="AH1628" s="111"/>
      <c r="AI1628" s="111"/>
      <c r="AJ1628" s="111"/>
      <c r="AK1628" s="111"/>
      <c r="AL1628" s="111"/>
      <c r="AM1628" s="111">
        <v>250.92</v>
      </c>
    </row>
    <row r="1629" spans="1:39" ht="15" customHeight="1" x14ac:dyDescent="0.25">
      <c r="A1629" s="1409"/>
      <c r="B1629" s="1409"/>
      <c r="C1629" s="1409"/>
      <c r="D1629" s="1409"/>
      <c r="E1629" s="1247"/>
      <c r="F1629" s="1248" t="s">
        <v>3083</v>
      </c>
      <c r="G1629" s="111"/>
      <c r="H1629" s="1249">
        <v>1</v>
      </c>
      <c r="I1629" s="111" t="s">
        <v>1721</v>
      </c>
      <c r="J1629" s="1321" t="s">
        <v>5608</v>
      </c>
      <c r="K1629" s="162" t="s">
        <v>5610</v>
      </c>
      <c r="L1629" s="162" t="s">
        <v>5609</v>
      </c>
      <c r="M1629" s="111">
        <v>85.64</v>
      </c>
      <c r="N1629" s="111">
        <v>85.64</v>
      </c>
      <c r="O1629" s="111"/>
      <c r="P1629" s="111"/>
      <c r="Q1629" s="111"/>
      <c r="R1629" s="111"/>
      <c r="S1629" s="1249">
        <v>1</v>
      </c>
      <c r="T1629" s="1250">
        <v>28.546666666666667</v>
      </c>
      <c r="U1629" s="1250"/>
      <c r="V1629" s="1250"/>
      <c r="W1629" s="1251">
        <v>0</v>
      </c>
      <c r="X1629" s="1250">
        <v>28.546666666666667</v>
      </c>
      <c r="Y1629" s="1250"/>
      <c r="Z1629" s="1250"/>
      <c r="AA1629" s="1250"/>
      <c r="AB1629" s="1250"/>
      <c r="AC1629" s="1250"/>
      <c r="AD1629" s="1250"/>
      <c r="AE1629" s="1249">
        <v>0</v>
      </c>
      <c r="AF1629" s="1250">
        <v>28.546666666666667</v>
      </c>
      <c r="AG1629" s="111"/>
      <c r="AH1629" s="111"/>
      <c r="AI1629" s="111"/>
      <c r="AJ1629" s="111"/>
      <c r="AK1629" s="111"/>
      <c r="AL1629" s="111"/>
      <c r="AM1629" s="111">
        <v>85.64</v>
      </c>
    </row>
    <row r="1630" spans="1:39" ht="15" customHeight="1" x14ac:dyDescent="0.25">
      <c r="A1630" s="1409"/>
      <c r="B1630" s="1409"/>
      <c r="C1630" s="1409"/>
      <c r="D1630" s="1409"/>
      <c r="E1630" s="1247"/>
      <c r="F1630" s="1248" t="s">
        <v>3084</v>
      </c>
      <c r="G1630" s="111"/>
      <c r="H1630" s="1249">
        <v>1</v>
      </c>
      <c r="I1630" s="111" t="s">
        <v>2321</v>
      </c>
      <c r="J1630" s="1321" t="s">
        <v>5608</v>
      </c>
      <c r="K1630" s="162" t="s">
        <v>5610</v>
      </c>
      <c r="L1630" s="162" t="s">
        <v>5609</v>
      </c>
      <c r="M1630" s="111">
        <v>122.52</v>
      </c>
      <c r="N1630" s="111">
        <v>122.52</v>
      </c>
      <c r="O1630" s="111"/>
      <c r="P1630" s="111"/>
      <c r="Q1630" s="111"/>
      <c r="R1630" s="111"/>
      <c r="S1630" s="1249">
        <v>1</v>
      </c>
      <c r="T1630" s="1250">
        <v>40.839999999999996</v>
      </c>
      <c r="U1630" s="1250"/>
      <c r="V1630" s="1250"/>
      <c r="W1630" s="1251">
        <v>0</v>
      </c>
      <c r="X1630" s="1250">
        <v>40.839999999999996</v>
      </c>
      <c r="Y1630" s="1250"/>
      <c r="Z1630" s="1250"/>
      <c r="AA1630" s="1250"/>
      <c r="AB1630" s="1250"/>
      <c r="AC1630" s="1250"/>
      <c r="AD1630" s="1250"/>
      <c r="AE1630" s="1249">
        <v>0</v>
      </c>
      <c r="AF1630" s="1250">
        <v>40.839999999999996</v>
      </c>
      <c r="AG1630" s="111"/>
      <c r="AH1630" s="111"/>
      <c r="AI1630" s="111"/>
      <c r="AJ1630" s="111"/>
      <c r="AK1630" s="111"/>
      <c r="AL1630" s="111"/>
      <c r="AM1630" s="111">
        <v>122.52</v>
      </c>
    </row>
    <row r="1631" spans="1:39" ht="15" customHeight="1" x14ac:dyDescent="0.25">
      <c r="A1631" s="1409"/>
      <c r="B1631" s="1409"/>
      <c r="C1631" s="1409"/>
      <c r="D1631" s="1409"/>
      <c r="E1631" s="1247"/>
      <c r="F1631" s="1248" t="s">
        <v>5213</v>
      </c>
      <c r="G1631" s="111"/>
      <c r="H1631" s="1249">
        <v>10</v>
      </c>
      <c r="I1631" s="111" t="s">
        <v>2321</v>
      </c>
      <c r="J1631" s="1321" t="s">
        <v>5608</v>
      </c>
      <c r="K1631" s="162" t="s">
        <v>5610</v>
      </c>
      <c r="L1631" s="162" t="s">
        <v>5609</v>
      </c>
      <c r="M1631" s="111">
        <v>40.823999999999998</v>
      </c>
      <c r="N1631" s="111">
        <v>408.24</v>
      </c>
      <c r="O1631" s="111"/>
      <c r="P1631" s="111"/>
      <c r="Q1631" s="111"/>
      <c r="R1631" s="111"/>
      <c r="S1631" s="1249">
        <v>5</v>
      </c>
      <c r="T1631" s="1250">
        <v>136.07999999999998</v>
      </c>
      <c r="U1631" s="1250"/>
      <c r="V1631" s="1250"/>
      <c r="W1631" s="1251">
        <v>5</v>
      </c>
      <c r="X1631" s="1250">
        <v>136.07999999999998</v>
      </c>
      <c r="Y1631" s="1250"/>
      <c r="Z1631" s="1250"/>
      <c r="AA1631" s="1250"/>
      <c r="AB1631" s="1250"/>
      <c r="AC1631" s="1250"/>
      <c r="AD1631" s="1250"/>
      <c r="AE1631" s="1249">
        <v>0</v>
      </c>
      <c r="AF1631" s="1250">
        <v>136.07999999999998</v>
      </c>
      <c r="AG1631" s="111"/>
      <c r="AH1631" s="111"/>
      <c r="AI1631" s="111"/>
      <c r="AJ1631" s="111"/>
      <c r="AK1631" s="111"/>
      <c r="AL1631" s="111"/>
      <c r="AM1631" s="111">
        <v>408.23999999999995</v>
      </c>
    </row>
    <row r="1632" spans="1:39" ht="15" customHeight="1" x14ac:dyDescent="0.25">
      <c r="A1632" s="1409"/>
      <c r="B1632" s="1409"/>
      <c r="C1632" s="1409"/>
      <c r="D1632" s="1409"/>
      <c r="E1632" s="1247"/>
      <c r="F1632" s="1248" t="s">
        <v>2330</v>
      </c>
      <c r="G1632" s="111"/>
      <c r="H1632" s="1249">
        <v>5</v>
      </c>
      <c r="I1632" s="111" t="s">
        <v>1873</v>
      </c>
      <c r="J1632" s="1321" t="s">
        <v>5608</v>
      </c>
      <c r="K1632" s="162" t="s">
        <v>5610</v>
      </c>
      <c r="L1632" s="162" t="s">
        <v>5609</v>
      </c>
      <c r="M1632" s="111">
        <v>26.48</v>
      </c>
      <c r="N1632" s="111">
        <v>132.4</v>
      </c>
      <c r="O1632" s="111"/>
      <c r="P1632" s="111"/>
      <c r="Q1632" s="111"/>
      <c r="R1632" s="111"/>
      <c r="S1632" s="1249">
        <v>2</v>
      </c>
      <c r="T1632" s="1250">
        <v>44.133333333333333</v>
      </c>
      <c r="U1632" s="1250"/>
      <c r="V1632" s="1250"/>
      <c r="W1632" s="1251">
        <v>2</v>
      </c>
      <c r="X1632" s="1250">
        <v>44.133333333333333</v>
      </c>
      <c r="Y1632" s="1250"/>
      <c r="Z1632" s="1250"/>
      <c r="AA1632" s="1250"/>
      <c r="AB1632" s="1250"/>
      <c r="AC1632" s="1250"/>
      <c r="AD1632" s="1250"/>
      <c r="AE1632" s="1249">
        <v>1</v>
      </c>
      <c r="AF1632" s="1250">
        <v>44.133333333333333</v>
      </c>
      <c r="AG1632" s="111"/>
      <c r="AH1632" s="111"/>
      <c r="AI1632" s="111"/>
      <c r="AJ1632" s="111"/>
      <c r="AK1632" s="111"/>
      <c r="AL1632" s="111"/>
      <c r="AM1632" s="111">
        <v>132.4</v>
      </c>
    </row>
    <row r="1633" spans="1:39" ht="15" customHeight="1" x14ac:dyDescent="0.25">
      <c r="A1633" s="1409"/>
      <c r="B1633" s="1409"/>
      <c r="C1633" s="1409"/>
      <c r="D1633" s="1409"/>
      <c r="E1633" s="1247"/>
      <c r="F1633" s="1248" t="s">
        <v>4471</v>
      </c>
      <c r="G1633" s="111"/>
      <c r="H1633" s="1249">
        <v>19</v>
      </c>
      <c r="I1633" s="111" t="s">
        <v>1725</v>
      </c>
      <c r="J1633" s="1321" t="s">
        <v>5608</v>
      </c>
      <c r="K1633" s="162" t="s">
        <v>5610</v>
      </c>
      <c r="L1633" s="162" t="s">
        <v>5609</v>
      </c>
      <c r="M1633" s="111">
        <v>103.85982063157896</v>
      </c>
      <c r="N1633" s="111">
        <v>1973.3365920000001</v>
      </c>
      <c r="O1633" s="111"/>
      <c r="P1633" s="111"/>
      <c r="Q1633" s="111"/>
      <c r="R1633" s="111"/>
      <c r="S1633" s="1249">
        <v>10</v>
      </c>
      <c r="T1633" s="1250">
        <v>657.778864</v>
      </c>
      <c r="U1633" s="1250"/>
      <c r="V1633" s="1250"/>
      <c r="W1633" s="1251">
        <v>5</v>
      </c>
      <c r="X1633" s="1250">
        <v>657.778864</v>
      </c>
      <c r="Y1633" s="1250"/>
      <c r="Z1633" s="1250"/>
      <c r="AA1633" s="1250"/>
      <c r="AB1633" s="1250"/>
      <c r="AC1633" s="1250"/>
      <c r="AD1633" s="1250"/>
      <c r="AE1633" s="1249">
        <v>4</v>
      </c>
      <c r="AF1633" s="1250">
        <v>657.778864</v>
      </c>
      <c r="AG1633" s="111"/>
      <c r="AH1633" s="111"/>
      <c r="AI1633" s="111"/>
      <c r="AJ1633" s="111"/>
      <c r="AK1633" s="111"/>
      <c r="AL1633" s="111"/>
      <c r="AM1633" s="111">
        <v>1973.3365920000001</v>
      </c>
    </row>
    <row r="1634" spans="1:39" ht="15" customHeight="1" x14ac:dyDescent="0.25">
      <c r="A1634" s="1409"/>
      <c r="B1634" s="1409"/>
      <c r="C1634" s="1409"/>
      <c r="D1634" s="1409"/>
      <c r="E1634" s="1247"/>
      <c r="F1634" s="1248" t="s">
        <v>3086</v>
      </c>
      <c r="G1634" s="111"/>
      <c r="H1634" s="1249">
        <v>1</v>
      </c>
      <c r="I1634" s="111" t="s">
        <v>1721</v>
      </c>
      <c r="J1634" s="1321" t="s">
        <v>5608</v>
      </c>
      <c r="K1634" s="162" t="s">
        <v>5610</v>
      </c>
      <c r="L1634" s="162" t="s">
        <v>5609</v>
      </c>
      <c r="M1634" s="111">
        <v>717.22799999999995</v>
      </c>
      <c r="N1634" s="111">
        <v>717.22799999999995</v>
      </c>
      <c r="O1634" s="111"/>
      <c r="P1634" s="111"/>
      <c r="Q1634" s="111"/>
      <c r="R1634" s="111"/>
      <c r="S1634" s="1249">
        <v>1</v>
      </c>
      <c r="T1634" s="1250">
        <v>239.07599999999999</v>
      </c>
      <c r="U1634" s="1250"/>
      <c r="V1634" s="1250"/>
      <c r="W1634" s="1251">
        <v>0</v>
      </c>
      <c r="X1634" s="1250">
        <v>239.07599999999999</v>
      </c>
      <c r="Y1634" s="1250"/>
      <c r="Z1634" s="1250"/>
      <c r="AA1634" s="1250"/>
      <c r="AB1634" s="1250"/>
      <c r="AC1634" s="1250"/>
      <c r="AD1634" s="1250"/>
      <c r="AE1634" s="1249">
        <v>0</v>
      </c>
      <c r="AF1634" s="1250">
        <v>239.07599999999999</v>
      </c>
      <c r="AG1634" s="111"/>
      <c r="AH1634" s="111"/>
      <c r="AI1634" s="111"/>
      <c r="AJ1634" s="111"/>
      <c r="AK1634" s="111"/>
      <c r="AL1634" s="111"/>
      <c r="AM1634" s="111">
        <v>717.22799999999995</v>
      </c>
    </row>
    <row r="1635" spans="1:39" ht="15" customHeight="1" x14ac:dyDescent="0.25">
      <c r="A1635" s="1409"/>
      <c r="B1635" s="1409"/>
      <c r="C1635" s="1409"/>
      <c r="D1635" s="1409"/>
      <c r="E1635" s="1247"/>
      <c r="F1635" s="1248" t="s">
        <v>3087</v>
      </c>
      <c r="G1635" s="111"/>
      <c r="H1635" s="1249">
        <v>1</v>
      </c>
      <c r="I1635" s="111" t="s">
        <v>2321</v>
      </c>
      <c r="J1635" s="1321" t="s">
        <v>5608</v>
      </c>
      <c r="K1635" s="162" t="s">
        <v>5610</v>
      </c>
      <c r="L1635" s="162" t="s">
        <v>5609</v>
      </c>
      <c r="M1635" s="111">
        <v>498.15000000000003</v>
      </c>
      <c r="N1635" s="111">
        <v>498.15000000000003</v>
      </c>
      <c r="O1635" s="111"/>
      <c r="P1635" s="111"/>
      <c r="Q1635" s="111"/>
      <c r="R1635" s="111"/>
      <c r="S1635" s="1249">
        <v>1</v>
      </c>
      <c r="T1635" s="1250">
        <v>166.05</v>
      </c>
      <c r="U1635" s="1250"/>
      <c r="V1635" s="1250"/>
      <c r="W1635" s="1251">
        <v>0</v>
      </c>
      <c r="X1635" s="1250">
        <v>166.05</v>
      </c>
      <c r="Y1635" s="1250"/>
      <c r="Z1635" s="1250"/>
      <c r="AA1635" s="1250"/>
      <c r="AB1635" s="1250"/>
      <c r="AC1635" s="1250"/>
      <c r="AD1635" s="1250"/>
      <c r="AE1635" s="1249">
        <v>0</v>
      </c>
      <c r="AF1635" s="1250">
        <v>166.05</v>
      </c>
      <c r="AG1635" s="111"/>
      <c r="AH1635" s="111"/>
      <c r="AI1635" s="111"/>
      <c r="AJ1635" s="111"/>
      <c r="AK1635" s="111"/>
      <c r="AL1635" s="111"/>
      <c r="AM1635" s="111">
        <v>498.15000000000003</v>
      </c>
    </row>
    <row r="1636" spans="1:39" ht="15" customHeight="1" x14ac:dyDescent="0.25">
      <c r="A1636" s="1409"/>
      <c r="B1636" s="1409"/>
      <c r="C1636" s="1409"/>
      <c r="D1636" s="1409"/>
      <c r="E1636" s="1247"/>
      <c r="F1636" s="1248" t="s">
        <v>3088</v>
      </c>
      <c r="G1636" s="111"/>
      <c r="H1636" s="1249">
        <v>1</v>
      </c>
      <c r="I1636" s="111" t="s">
        <v>1721</v>
      </c>
      <c r="J1636" s="1321" t="s">
        <v>5608</v>
      </c>
      <c r="K1636" s="162" t="s">
        <v>5610</v>
      </c>
      <c r="L1636" s="162" t="s">
        <v>5609</v>
      </c>
      <c r="M1636" s="111">
        <v>809.23</v>
      </c>
      <c r="N1636" s="111">
        <v>809.23</v>
      </c>
      <c r="O1636" s="111"/>
      <c r="P1636" s="111"/>
      <c r="Q1636" s="111"/>
      <c r="R1636" s="111"/>
      <c r="S1636" s="1249">
        <v>1</v>
      </c>
      <c r="T1636" s="1250">
        <v>269.74333333333334</v>
      </c>
      <c r="U1636" s="1250"/>
      <c r="V1636" s="1250"/>
      <c r="W1636" s="1251">
        <v>0</v>
      </c>
      <c r="X1636" s="1250">
        <v>269.74333333333334</v>
      </c>
      <c r="Y1636" s="1250"/>
      <c r="Z1636" s="1250"/>
      <c r="AA1636" s="1250"/>
      <c r="AB1636" s="1250"/>
      <c r="AC1636" s="1250"/>
      <c r="AD1636" s="1250"/>
      <c r="AE1636" s="1249">
        <v>0</v>
      </c>
      <c r="AF1636" s="1250">
        <v>269.74333333333334</v>
      </c>
      <c r="AG1636" s="111"/>
      <c r="AH1636" s="111"/>
      <c r="AI1636" s="111"/>
      <c r="AJ1636" s="111"/>
      <c r="AK1636" s="111"/>
      <c r="AL1636" s="111"/>
      <c r="AM1636" s="111">
        <v>809.23</v>
      </c>
    </row>
    <row r="1637" spans="1:39" ht="15" customHeight="1" x14ac:dyDescent="0.25">
      <c r="A1637" s="1409"/>
      <c r="B1637" s="1409"/>
      <c r="C1637" s="1409"/>
      <c r="D1637" s="1409"/>
      <c r="E1637" s="1247"/>
      <c r="F1637" s="1248" t="s">
        <v>3089</v>
      </c>
      <c r="G1637" s="111"/>
      <c r="H1637" s="1249">
        <v>1</v>
      </c>
      <c r="I1637" s="111" t="s">
        <v>1721</v>
      </c>
      <c r="J1637" s="1321" t="s">
        <v>5608</v>
      </c>
      <c r="K1637" s="162" t="s">
        <v>5610</v>
      </c>
      <c r="L1637" s="162" t="s">
        <v>5609</v>
      </c>
      <c r="M1637" s="111">
        <v>156.60000000000002</v>
      </c>
      <c r="N1637" s="111">
        <v>156.60000000000002</v>
      </c>
      <c r="O1637" s="111"/>
      <c r="P1637" s="111"/>
      <c r="Q1637" s="111"/>
      <c r="R1637" s="111"/>
      <c r="S1637" s="1249">
        <v>1</v>
      </c>
      <c r="T1637" s="1250">
        <v>52.20000000000001</v>
      </c>
      <c r="U1637" s="1250"/>
      <c r="V1637" s="1250"/>
      <c r="W1637" s="1251">
        <v>0</v>
      </c>
      <c r="X1637" s="1250">
        <v>52.20000000000001</v>
      </c>
      <c r="Y1637" s="1250"/>
      <c r="Z1637" s="1250"/>
      <c r="AA1637" s="1250"/>
      <c r="AB1637" s="1250"/>
      <c r="AC1637" s="1250"/>
      <c r="AD1637" s="1250"/>
      <c r="AE1637" s="1249">
        <v>0</v>
      </c>
      <c r="AF1637" s="1250">
        <v>52.20000000000001</v>
      </c>
      <c r="AG1637" s="111"/>
      <c r="AH1637" s="111"/>
      <c r="AI1637" s="111"/>
      <c r="AJ1637" s="111"/>
      <c r="AK1637" s="111"/>
      <c r="AL1637" s="111"/>
      <c r="AM1637" s="111">
        <v>156.60000000000002</v>
      </c>
    </row>
    <row r="1638" spans="1:39" ht="33.75" customHeight="1" x14ac:dyDescent="0.25">
      <c r="A1638" s="1409"/>
      <c r="B1638" s="1409"/>
      <c r="C1638" s="1409"/>
      <c r="D1638" s="1409"/>
      <c r="E1638" s="1247"/>
      <c r="F1638" s="1287" t="s">
        <v>5214</v>
      </c>
      <c r="G1638" s="111"/>
      <c r="H1638" s="1249">
        <v>3</v>
      </c>
      <c r="I1638" s="111" t="s">
        <v>1721</v>
      </c>
      <c r="J1638" s="1321" t="s">
        <v>5608</v>
      </c>
      <c r="K1638" s="162" t="s">
        <v>5610</v>
      </c>
      <c r="L1638" s="162" t="s">
        <v>5609</v>
      </c>
      <c r="M1638" s="111">
        <v>100.74373333333334</v>
      </c>
      <c r="N1638" s="111">
        <v>302.2312</v>
      </c>
      <c r="O1638" s="111"/>
      <c r="P1638" s="111"/>
      <c r="Q1638" s="111"/>
      <c r="R1638" s="111"/>
      <c r="S1638" s="1249">
        <v>1</v>
      </c>
      <c r="T1638" s="1250">
        <v>100.74373333333334</v>
      </c>
      <c r="U1638" s="1250"/>
      <c r="V1638" s="1250"/>
      <c r="W1638" s="1251">
        <v>1</v>
      </c>
      <c r="X1638" s="1250">
        <v>100.74373333333334</v>
      </c>
      <c r="Y1638" s="1250"/>
      <c r="Z1638" s="1250"/>
      <c r="AA1638" s="1250"/>
      <c r="AB1638" s="1250"/>
      <c r="AC1638" s="1250"/>
      <c r="AD1638" s="1250"/>
      <c r="AE1638" s="1249">
        <v>1</v>
      </c>
      <c r="AF1638" s="1250">
        <v>100.74373333333334</v>
      </c>
      <c r="AG1638" s="111"/>
      <c r="AH1638" s="111"/>
      <c r="AI1638" s="111"/>
      <c r="AJ1638" s="111"/>
      <c r="AK1638" s="111"/>
      <c r="AL1638" s="111"/>
      <c r="AM1638" s="111">
        <v>302.2312</v>
      </c>
    </row>
    <row r="1639" spans="1:39" ht="15" customHeight="1" x14ac:dyDescent="0.25">
      <c r="A1639" s="1409"/>
      <c r="B1639" s="1409"/>
      <c r="C1639" s="1409"/>
      <c r="D1639" s="1409"/>
      <c r="E1639" s="1247"/>
      <c r="F1639" s="1248" t="s">
        <v>3091</v>
      </c>
      <c r="G1639" s="111"/>
      <c r="H1639" s="1249">
        <v>1</v>
      </c>
      <c r="I1639" s="111" t="s">
        <v>1721</v>
      </c>
      <c r="J1639" s="1321" t="s">
        <v>5608</v>
      </c>
      <c r="K1639" s="162" t="s">
        <v>5610</v>
      </c>
      <c r="L1639" s="162" t="s">
        <v>5609</v>
      </c>
      <c r="M1639" s="111">
        <v>56.075327999999992</v>
      </c>
      <c r="N1639" s="111">
        <v>56.075327999999992</v>
      </c>
      <c r="O1639" s="111"/>
      <c r="P1639" s="111"/>
      <c r="Q1639" s="111"/>
      <c r="R1639" s="111"/>
      <c r="S1639" s="1249">
        <v>1</v>
      </c>
      <c r="T1639" s="1250">
        <v>18.691775999999997</v>
      </c>
      <c r="U1639" s="1250"/>
      <c r="V1639" s="1250"/>
      <c r="W1639" s="1251">
        <v>0</v>
      </c>
      <c r="X1639" s="1250">
        <v>18.691775999999997</v>
      </c>
      <c r="Y1639" s="1250"/>
      <c r="Z1639" s="1250"/>
      <c r="AA1639" s="1250"/>
      <c r="AB1639" s="1250"/>
      <c r="AC1639" s="1250"/>
      <c r="AD1639" s="1250"/>
      <c r="AE1639" s="1249">
        <v>0</v>
      </c>
      <c r="AF1639" s="1250">
        <v>18.691775999999997</v>
      </c>
      <c r="AG1639" s="111"/>
      <c r="AH1639" s="111"/>
      <c r="AI1639" s="111"/>
      <c r="AJ1639" s="111"/>
      <c r="AK1639" s="111"/>
      <c r="AL1639" s="111"/>
      <c r="AM1639" s="111">
        <v>56.075327999999992</v>
      </c>
    </row>
    <row r="1640" spans="1:39" ht="15" customHeight="1" x14ac:dyDescent="0.25">
      <c r="A1640" s="1409"/>
      <c r="B1640" s="1409"/>
      <c r="C1640" s="1409"/>
      <c r="D1640" s="1409"/>
      <c r="E1640" s="1247"/>
      <c r="F1640" s="1248" t="s">
        <v>3092</v>
      </c>
      <c r="G1640" s="111"/>
      <c r="H1640" s="1249">
        <v>1</v>
      </c>
      <c r="I1640" s="111" t="s">
        <v>1721</v>
      </c>
      <c r="J1640" s="1321" t="s">
        <v>5608</v>
      </c>
      <c r="K1640" s="162" t="s">
        <v>5610</v>
      </c>
      <c r="L1640" s="162" t="s">
        <v>5609</v>
      </c>
      <c r="M1640" s="111">
        <v>71.121456000000009</v>
      </c>
      <c r="N1640" s="111">
        <v>71.121456000000009</v>
      </c>
      <c r="O1640" s="111"/>
      <c r="P1640" s="111"/>
      <c r="Q1640" s="111"/>
      <c r="R1640" s="111"/>
      <c r="S1640" s="1249">
        <v>1</v>
      </c>
      <c r="T1640" s="1250">
        <v>23.707152000000004</v>
      </c>
      <c r="U1640" s="1250"/>
      <c r="V1640" s="1250"/>
      <c r="W1640" s="1251">
        <v>0</v>
      </c>
      <c r="X1640" s="1250">
        <v>23.707152000000004</v>
      </c>
      <c r="Y1640" s="1250"/>
      <c r="Z1640" s="1250"/>
      <c r="AA1640" s="1250"/>
      <c r="AB1640" s="1250"/>
      <c r="AC1640" s="1250"/>
      <c r="AD1640" s="1250"/>
      <c r="AE1640" s="1249">
        <v>0</v>
      </c>
      <c r="AF1640" s="1250">
        <v>23.707152000000004</v>
      </c>
      <c r="AG1640" s="111"/>
      <c r="AH1640" s="111"/>
      <c r="AI1640" s="111"/>
      <c r="AJ1640" s="111"/>
      <c r="AK1640" s="111"/>
      <c r="AL1640" s="111"/>
      <c r="AM1640" s="111">
        <v>71.121456000000009</v>
      </c>
    </row>
    <row r="1641" spans="1:39" ht="15" customHeight="1" x14ac:dyDescent="0.25">
      <c r="A1641" s="1409"/>
      <c r="B1641" s="1409"/>
      <c r="C1641" s="1409"/>
      <c r="D1641" s="1409"/>
      <c r="E1641" s="1247"/>
      <c r="F1641" s="1248" t="s">
        <v>3093</v>
      </c>
      <c r="G1641" s="111"/>
      <c r="H1641" s="1249">
        <v>1</v>
      </c>
      <c r="I1641" s="111" t="s">
        <v>1721</v>
      </c>
      <c r="J1641" s="1321" t="s">
        <v>5608</v>
      </c>
      <c r="K1641" s="162" t="s">
        <v>5610</v>
      </c>
      <c r="L1641" s="162" t="s">
        <v>5609</v>
      </c>
      <c r="M1641" s="111">
        <v>124.68</v>
      </c>
      <c r="N1641" s="111">
        <v>124.68</v>
      </c>
      <c r="O1641" s="111"/>
      <c r="P1641" s="111"/>
      <c r="Q1641" s="111"/>
      <c r="R1641" s="111"/>
      <c r="S1641" s="1249">
        <v>1</v>
      </c>
      <c r="T1641" s="1250">
        <v>41.56</v>
      </c>
      <c r="U1641" s="1250"/>
      <c r="V1641" s="1250"/>
      <c r="W1641" s="1251">
        <v>0</v>
      </c>
      <c r="X1641" s="1250">
        <v>41.56</v>
      </c>
      <c r="Y1641" s="1250"/>
      <c r="Z1641" s="1250"/>
      <c r="AA1641" s="1250"/>
      <c r="AB1641" s="1250"/>
      <c r="AC1641" s="1250"/>
      <c r="AD1641" s="1250"/>
      <c r="AE1641" s="1249">
        <v>0</v>
      </c>
      <c r="AF1641" s="1250">
        <v>41.56</v>
      </c>
      <c r="AG1641" s="111"/>
      <c r="AH1641" s="111"/>
      <c r="AI1641" s="111"/>
      <c r="AJ1641" s="111"/>
      <c r="AK1641" s="111"/>
      <c r="AL1641" s="111"/>
      <c r="AM1641" s="111">
        <v>124.68</v>
      </c>
    </row>
    <row r="1642" spans="1:39" ht="15" customHeight="1" x14ac:dyDescent="0.25">
      <c r="A1642" s="1409"/>
      <c r="B1642" s="1409"/>
      <c r="C1642" s="1409"/>
      <c r="D1642" s="1409"/>
      <c r="E1642" s="1247"/>
      <c r="F1642" s="1248" t="s">
        <v>5215</v>
      </c>
      <c r="G1642" s="111"/>
      <c r="H1642" s="1249">
        <v>1</v>
      </c>
      <c r="I1642" s="111" t="s">
        <v>1721</v>
      </c>
      <c r="J1642" s="1321" t="s">
        <v>5608</v>
      </c>
      <c r="K1642" s="162" t="s">
        <v>5610</v>
      </c>
      <c r="L1642" s="162" t="s">
        <v>5609</v>
      </c>
      <c r="M1642" s="111">
        <v>583.20000000000005</v>
      </c>
      <c r="N1642" s="111">
        <v>583.20000000000005</v>
      </c>
      <c r="O1642" s="111"/>
      <c r="P1642" s="111"/>
      <c r="Q1642" s="111"/>
      <c r="R1642" s="111"/>
      <c r="S1642" s="1249">
        <v>1</v>
      </c>
      <c r="T1642" s="1250">
        <v>194.4</v>
      </c>
      <c r="U1642" s="1250"/>
      <c r="V1642" s="1250"/>
      <c r="W1642" s="1251">
        <v>0</v>
      </c>
      <c r="X1642" s="1250">
        <v>194.4</v>
      </c>
      <c r="Y1642" s="1250"/>
      <c r="Z1642" s="1250"/>
      <c r="AA1642" s="1250"/>
      <c r="AB1642" s="1250"/>
      <c r="AC1642" s="1250"/>
      <c r="AD1642" s="1250"/>
      <c r="AE1642" s="1249">
        <v>0</v>
      </c>
      <c r="AF1642" s="1250">
        <v>194.4</v>
      </c>
      <c r="AG1642" s="111"/>
      <c r="AH1642" s="111"/>
      <c r="AI1642" s="111"/>
      <c r="AJ1642" s="111"/>
      <c r="AK1642" s="111"/>
      <c r="AL1642" s="111"/>
      <c r="AM1642" s="111">
        <v>583.20000000000005</v>
      </c>
    </row>
    <row r="1643" spans="1:39" ht="15" customHeight="1" x14ac:dyDescent="0.25">
      <c r="A1643" s="1409"/>
      <c r="B1643" s="1409"/>
      <c r="C1643" s="1409"/>
      <c r="D1643" s="1409"/>
      <c r="E1643" s="1247"/>
      <c r="F1643" s="1248" t="s">
        <v>3094</v>
      </c>
      <c r="G1643" s="111"/>
      <c r="H1643" s="1249">
        <v>1</v>
      </c>
      <c r="I1643" s="111" t="s">
        <v>1721</v>
      </c>
      <c r="J1643" s="1321" t="s">
        <v>5608</v>
      </c>
      <c r="K1643" s="162" t="s">
        <v>5610</v>
      </c>
      <c r="L1643" s="162" t="s">
        <v>5609</v>
      </c>
      <c r="M1643" s="111">
        <v>132.21</v>
      </c>
      <c r="N1643" s="111">
        <v>132.21</v>
      </c>
      <c r="O1643" s="111"/>
      <c r="P1643" s="111"/>
      <c r="Q1643" s="111"/>
      <c r="R1643" s="111"/>
      <c r="S1643" s="1249">
        <v>1</v>
      </c>
      <c r="T1643" s="1250">
        <v>44.07</v>
      </c>
      <c r="U1643" s="1250"/>
      <c r="V1643" s="1250"/>
      <c r="W1643" s="1251">
        <v>0</v>
      </c>
      <c r="X1643" s="1250">
        <v>44.07</v>
      </c>
      <c r="Y1643" s="1250"/>
      <c r="Z1643" s="1250"/>
      <c r="AA1643" s="1250"/>
      <c r="AB1643" s="1250"/>
      <c r="AC1643" s="1250"/>
      <c r="AD1643" s="1250"/>
      <c r="AE1643" s="1249">
        <v>0</v>
      </c>
      <c r="AF1643" s="1250">
        <v>44.07</v>
      </c>
      <c r="AG1643" s="111"/>
      <c r="AH1643" s="111"/>
      <c r="AI1643" s="111"/>
      <c r="AJ1643" s="111"/>
      <c r="AK1643" s="111"/>
      <c r="AL1643" s="111"/>
      <c r="AM1643" s="111">
        <v>132.21</v>
      </c>
    </row>
    <row r="1644" spans="1:39" ht="15" customHeight="1" x14ac:dyDescent="0.25">
      <c r="A1644" s="1409"/>
      <c r="B1644" s="1409"/>
      <c r="C1644" s="1409"/>
      <c r="D1644" s="1409"/>
      <c r="E1644" s="1247"/>
      <c r="F1644" s="1248" t="s">
        <v>3095</v>
      </c>
      <c r="G1644" s="111"/>
      <c r="H1644" s="1249">
        <v>1</v>
      </c>
      <c r="I1644" s="111" t="s">
        <v>1721</v>
      </c>
      <c r="J1644" s="1321" t="s">
        <v>5608</v>
      </c>
      <c r="K1644" s="162" t="s">
        <v>5610</v>
      </c>
      <c r="L1644" s="162" t="s">
        <v>5609</v>
      </c>
      <c r="M1644" s="111">
        <v>46.78</v>
      </c>
      <c r="N1644" s="111">
        <v>46.78</v>
      </c>
      <c r="O1644" s="111"/>
      <c r="P1644" s="111"/>
      <c r="Q1644" s="111"/>
      <c r="R1644" s="111"/>
      <c r="S1644" s="1249">
        <v>1</v>
      </c>
      <c r="T1644" s="1250">
        <v>15.593333333333334</v>
      </c>
      <c r="U1644" s="1250"/>
      <c r="V1644" s="1250"/>
      <c r="W1644" s="1251">
        <v>0</v>
      </c>
      <c r="X1644" s="1250">
        <v>15.593333333333334</v>
      </c>
      <c r="Y1644" s="1250"/>
      <c r="Z1644" s="1250"/>
      <c r="AA1644" s="1250"/>
      <c r="AB1644" s="1250"/>
      <c r="AC1644" s="1250"/>
      <c r="AD1644" s="1250"/>
      <c r="AE1644" s="1249">
        <v>0</v>
      </c>
      <c r="AF1644" s="1250">
        <v>15.593333333333334</v>
      </c>
      <c r="AG1644" s="111"/>
      <c r="AH1644" s="111"/>
      <c r="AI1644" s="111"/>
      <c r="AJ1644" s="111"/>
      <c r="AK1644" s="111"/>
      <c r="AL1644" s="111"/>
      <c r="AM1644" s="111">
        <v>46.78</v>
      </c>
    </row>
    <row r="1645" spans="1:39" ht="15" customHeight="1" x14ac:dyDescent="0.25">
      <c r="A1645" s="1409"/>
      <c r="B1645" s="1409"/>
      <c r="C1645" s="1409"/>
      <c r="D1645" s="1409"/>
      <c r="E1645" s="1247"/>
      <c r="F1645" s="1248" t="s">
        <v>5216</v>
      </c>
      <c r="G1645" s="111"/>
      <c r="H1645" s="1249">
        <v>2</v>
      </c>
      <c r="I1645" s="111" t="s">
        <v>1722</v>
      </c>
      <c r="J1645" s="1321" t="s">
        <v>5608</v>
      </c>
      <c r="K1645" s="162" t="s">
        <v>5610</v>
      </c>
      <c r="L1645" s="162" t="s">
        <v>5609</v>
      </c>
      <c r="M1645" s="111">
        <v>3.56</v>
      </c>
      <c r="N1645" s="111">
        <v>7.12</v>
      </c>
      <c r="O1645" s="111"/>
      <c r="P1645" s="111"/>
      <c r="Q1645" s="111"/>
      <c r="R1645" s="111"/>
      <c r="S1645" s="1249">
        <v>2</v>
      </c>
      <c r="T1645" s="1250">
        <v>2.3733333333333335</v>
      </c>
      <c r="U1645" s="1250"/>
      <c r="V1645" s="1250"/>
      <c r="W1645" s="1251">
        <v>0</v>
      </c>
      <c r="X1645" s="1250">
        <v>2.3733333333333335</v>
      </c>
      <c r="Y1645" s="1250"/>
      <c r="Z1645" s="1250"/>
      <c r="AA1645" s="1250"/>
      <c r="AB1645" s="1250"/>
      <c r="AC1645" s="1250"/>
      <c r="AD1645" s="1250"/>
      <c r="AE1645" s="1249">
        <v>0</v>
      </c>
      <c r="AF1645" s="1250">
        <v>2.3733333333333335</v>
      </c>
      <c r="AG1645" s="111"/>
      <c r="AH1645" s="111"/>
      <c r="AI1645" s="111"/>
      <c r="AJ1645" s="111"/>
      <c r="AK1645" s="111"/>
      <c r="AL1645" s="111"/>
      <c r="AM1645" s="111">
        <v>7.12</v>
      </c>
    </row>
    <row r="1646" spans="1:39" ht="15" customHeight="1" x14ac:dyDescent="0.25">
      <c r="A1646" s="1409"/>
      <c r="B1646" s="1409"/>
      <c r="C1646" s="1409"/>
      <c r="D1646" s="1409"/>
      <c r="E1646" s="1247"/>
      <c r="F1646" s="1248" t="s">
        <v>5217</v>
      </c>
      <c r="G1646" s="111"/>
      <c r="H1646" s="1249">
        <v>1</v>
      </c>
      <c r="I1646" s="111" t="s">
        <v>1722</v>
      </c>
      <c r="J1646" s="1321" t="s">
        <v>5608</v>
      </c>
      <c r="K1646" s="162" t="s">
        <v>5610</v>
      </c>
      <c r="L1646" s="162" t="s">
        <v>5609</v>
      </c>
      <c r="M1646" s="111">
        <v>85.37</v>
      </c>
      <c r="N1646" s="111">
        <v>85.37</v>
      </c>
      <c r="O1646" s="111"/>
      <c r="P1646" s="111"/>
      <c r="Q1646" s="111"/>
      <c r="R1646" s="111"/>
      <c r="S1646" s="1249">
        <v>1</v>
      </c>
      <c r="T1646" s="1250">
        <v>28.456666666666667</v>
      </c>
      <c r="U1646" s="1250"/>
      <c r="V1646" s="1250"/>
      <c r="W1646" s="1251">
        <v>0</v>
      </c>
      <c r="X1646" s="1250">
        <v>28.456666666666667</v>
      </c>
      <c r="Y1646" s="1250"/>
      <c r="Z1646" s="1250"/>
      <c r="AA1646" s="1250"/>
      <c r="AB1646" s="1250"/>
      <c r="AC1646" s="1250"/>
      <c r="AD1646" s="1250"/>
      <c r="AE1646" s="1249">
        <v>0</v>
      </c>
      <c r="AF1646" s="1250">
        <v>28.456666666666667</v>
      </c>
      <c r="AG1646" s="111"/>
      <c r="AH1646" s="111"/>
      <c r="AI1646" s="111"/>
      <c r="AJ1646" s="111"/>
      <c r="AK1646" s="111"/>
      <c r="AL1646" s="111"/>
      <c r="AM1646" s="111">
        <v>85.37</v>
      </c>
    </row>
    <row r="1647" spans="1:39" ht="15" customHeight="1" x14ac:dyDescent="0.25">
      <c r="A1647" s="1409"/>
      <c r="B1647" s="1409"/>
      <c r="C1647" s="1409"/>
      <c r="D1647" s="1409"/>
      <c r="E1647" s="1247"/>
      <c r="F1647" s="1248" t="s">
        <v>3067</v>
      </c>
      <c r="G1647" s="111"/>
      <c r="H1647" s="1249">
        <v>1</v>
      </c>
      <c r="I1647" s="111" t="s">
        <v>1722</v>
      </c>
      <c r="J1647" s="1321" t="s">
        <v>5608</v>
      </c>
      <c r="K1647" s="162" t="s">
        <v>5610</v>
      </c>
      <c r="L1647" s="162" t="s">
        <v>5609</v>
      </c>
      <c r="M1647" s="111">
        <v>1002.24</v>
      </c>
      <c r="N1647" s="111">
        <v>1002.24</v>
      </c>
      <c r="O1647" s="111"/>
      <c r="P1647" s="111"/>
      <c r="Q1647" s="111"/>
      <c r="R1647" s="111"/>
      <c r="S1647" s="1249">
        <v>1</v>
      </c>
      <c r="T1647" s="1250">
        <v>334.08</v>
      </c>
      <c r="U1647" s="1250"/>
      <c r="V1647" s="1250"/>
      <c r="W1647" s="1251">
        <v>0</v>
      </c>
      <c r="X1647" s="1250">
        <v>334.08</v>
      </c>
      <c r="Y1647" s="1250"/>
      <c r="Z1647" s="1250"/>
      <c r="AA1647" s="1250"/>
      <c r="AB1647" s="1250"/>
      <c r="AC1647" s="1250"/>
      <c r="AD1647" s="1250"/>
      <c r="AE1647" s="1249">
        <v>0</v>
      </c>
      <c r="AF1647" s="1250">
        <v>334.08</v>
      </c>
      <c r="AG1647" s="111"/>
      <c r="AH1647" s="111"/>
      <c r="AI1647" s="111"/>
      <c r="AJ1647" s="111"/>
      <c r="AK1647" s="111"/>
      <c r="AL1647" s="111"/>
      <c r="AM1647" s="111">
        <v>1002.24</v>
      </c>
    </row>
    <row r="1648" spans="1:39" ht="15" customHeight="1" x14ac:dyDescent="0.25">
      <c r="A1648" s="1409"/>
      <c r="B1648" s="1409"/>
      <c r="C1648" s="1409"/>
      <c r="D1648" s="1409"/>
      <c r="E1648" s="1247"/>
      <c r="F1648" s="1248" t="s">
        <v>5218</v>
      </c>
      <c r="G1648" s="111"/>
      <c r="H1648" s="1249">
        <v>1</v>
      </c>
      <c r="I1648" s="111" t="s">
        <v>1722</v>
      </c>
      <c r="J1648" s="1321" t="s">
        <v>5608</v>
      </c>
      <c r="K1648" s="162" t="s">
        <v>5610</v>
      </c>
      <c r="L1648" s="162" t="s">
        <v>5609</v>
      </c>
      <c r="M1648" s="111">
        <v>54.27</v>
      </c>
      <c r="N1648" s="111">
        <v>54.27</v>
      </c>
      <c r="O1648" s="111"/>
      <c r="P1648" s="111"/>
      <c r="Q1648" s="111"/>
      <c r="R1648" s="111"/>
      <c r="S1648" s="1249">
        <v>1</v>
      </c>
      <c r="T1648" s="1250">
        <v>18.09</v>
      </c>
      <c r="U1648" s="1250"/>
      <c r="V1648" s="1250"/>
      <c r="W1648" s="1251">
        <v>0</v>
      </c>
      <c r="X1648" s="1250">
        <v>18.09</v>
      </c>
      <c r="Y1648" s="1250"/>
      <c r="Z1648" s="1250"/>
      <c r="AA1648" s="1250"/>
      <c r="AB1648" s="1250"/>
      <c r="AC1648" s="1250"/>
      <c r="AD1648" s="1250"/>
      <c r="AE1648" s="1249">
        <v>0</v>
      </c>
      <c r="AF1648" s="1250">
        <v>18.09</v>
      </c>
      <c r="AG1648" s="111"/>
      <c r="AH1648" s="111"/>
      <c r="AI1648" s="111"/>
      <c r="AJ1648" s="111"/>
      <c r="AK1648" s="111"/>
      <c r="AL1648" s="111"/>
      <c r="AM1648" s="111">
        <v>54.27</v>
      </c>
    </row>
    <row r="1649" spans="1:39" ht="15" customHeight="1" x14ac:dyDescent="0.25">
      <c r="A1649" s="1409"/>
      <c r="B1649" s="1409"/>
      <c r="C1649" s="1409"/>
      <c r="D1649" s="1409"/>
      <c r="E1649" s="1247"/>
      <c r="F1649" s="1248" t="s">
        <v>5219</v>
      </c>
      <c r="G1649" s="111"/>
      <c r="H1649" s="1249">
        <v>2</v>
      </c>
      <c r="I1649" s="111" t="s">
        <v>1722</v>
      </c>
      <c r="J1649" s="1321" t="s">
        <v>5608</v>
      </c>
      <c r="K1649" s="162" t="s">
        <v>5610</v>
      </c>
      <c r="L1649" s="162" t="s">
        <v>5609</v>
      </c>
      <c r="M1649" s="111">
        <v>648.42000000000007</v>
      </c>
      <c r="N1649" s="111">
        <v>1296.8400000000001</v>
      </c>
      <c r="O1649" s="111"/>
      <c r="P1649" s="111"/>
      <c r="Q1649" s="111"/>
      <c r="R1649" s="111"/>
      <c r="S1649" s="1249">
        <v>2</v>
      </c>
      <c r="T1649" s="1250">
        <v>432.28000000000003</v>
      </c>
      <c r="U1649" s="1250"/>
      <c r="V1649" s="1250"/>
      <c r="W1649" s="1251">
        <v>0</v>
      </c>
      <c r="X1649" s="1250">
        <v>432.28000000000003</v>
      </c>
      <c r="Y1649" s="1250"/>
      <c r="Z1649" s="1250"/>
      <c r="AA1649" s="1250"/>
      <c r="AB1649" s="1250"/>
      <c r="AC1649" s="1250"/>
      <c r="AD1649" s="1250"/>
      <c r="AE1649" s="1249">
        <v>0</v>
      </c>
      <c r="AF1649" s="1250">
        <v>432.28000000000003</v>
      </c>
      <c r="AG1649" s="111"/>
      <c r="AH1649" s="111"/>
      <c r="AI1649" s="111"/>
      <c r="AJ1649" s="111"/>
      <c r="AK1649" s="111"/>
      <c r="AL1649" s="111"/>
      <c r="AM1649" s="111">
        <v>1296.8400000000001</v>
      </c>
    </row>
    <row r="1650" spans="1:39" ht="15" customHeight="1" x14ac:dyDescent="0.25">
      <c r="A1650" s="1409"/>
      <c r="B1650" s="1409"/>
      <c r="C1650" s="1409"/>
      <c r="D1650" s="1409"/>
      <c r="E1650" s="1247"/>
      <c r="F1650" s="1248" t="s">
        <v>5220</v>
      </c>
      <c r="G1650" s="111"/>
      <c r="H1650" s="1249">
        <v>2</v>
      </c>
      <c r="I1650" s="111" t="s">
        <v>1721</v>
      </c>
      <c r="J1650" s="1321" t="s">
        <v>5608</v>
      </c>
      <c r="K1650" s="162" t="s">
        <v>5610</v>
      </c>
      <c r="L1650" s="162" t="s">
        <v>5609</v>
      </c>
      <c r="M1650" s="111">
        <v>120</v>
      </c>
      <c r="N1650" s="111">
        <v>240</v>
      </c>
      <c r="O1650" s="111"/>
      <c r="P1650" s="111"/>
      <c r="Q1650" s="111"/>
      <c r="R1650" s="111"/>
      <c r="S1650" s="1249">
        <v>2</v>
      </c>
      <c r="T1650" s="1250">
        <v>80</v>
      </c>
      <c r="U1650" s="1250"/>
      <c r="V1650" s="1250"/>
      <c r="W1650" s="1251">
        <v>0</v>
      </c>
      <c r="X1650" s="1250">
        <v>80</v>
      </c>
      <c r="Y1650" s="1250"/>
      <c r="Z1650" s="1250"/>
      <c r="AA1650" s="1250"/>
      <c r="AB1650" s="1250"/>
      <c r="AC1650" s="1250"/>
      <c r="AD1650" s="1250"/>
      <c r="AE1650" s="1249">
        <v>0</v>
      </c>
      <c r="AF1650" s="1250">
        <v>80</v>
      </c>
      <c r="AG1650" s="111"/>
      <c r="AH1650" s="111"/>
      <c r="AI1650" s="111"/>
      <c r="AJ1650" s="111"/>
      <c r="AK1650" s="111"/>
      <c r="AL1650" s="111"/>
      <c r="AM1650" s="111">
        <v>240</v>
      </c>
    </row>
    <row r="1651" spans="1:39" ht="15" customHeight="1" x14ac:dyDescent="0.25">
      <c r="A1651" s="1409"/>
      <c r="B1651" s="1409"/>
      <c r="C1651" s="1409"/>
      <c r="D1651" s="1409"/>
      <c r="E1651" s="1247"/>
      <c r="F1651" s="1248" t="s">
        <v>5221</v>
      </c>
      <c r="G1651" s="111"/>
      <c r="H1651" s="1249">
        <v>7</v>
      </c>
      <c r="I1651" s="111" t="s">
        <v>1722</v>
      </c>
      <c r="J1651" s="1321" t="s">
        <v>5608</v>
      </c>
      <c r="K1651" s="162" t="s">
        <v>5610</v>
      </c>
      <c r="L1651" s="162" t="s">
        <v>5609</v>
      </c>
      <c r="M1651" s="111">
        <v>57.71</v>
      </c>
      <c r="N1651" s="111">
        <v>403.97</v>
      </c>
      <c r="O1651" s="111"/>
      <c r="P1651" s="111"/>
      <c r="Q1651" s="111"/>
      <c r="R1651" s="111"/>
      <c r="S1651" s="1249">
        <v>3</v>
      </c>
      <c r="T1651" s="1250">
        <v>134.65666666666667</v>
      </c>
      <c r="U1651" s="1250"/>
      <c r="V1651" s="1250"/>
      <c r="W1651" s="1251">
        <v>2</v>
      </c>
      <c r="X1651" s="1250">
        <v>134.65666666666667</v>
      </c>
      <c r="Y1651" s="1250"/>
      <c r="Z1651" s="1250"/>
      <c r="AA1651" s="1250"/>
      <c r="AB1651" s="1250"/>
      <c r="AC1651" s="1250"/>
      <c r="AD1651" s="1250"/>
      <c r="AE1651" s="1249">
        <v>2</v>
      </c>
      <c r="AF1651" s="1250">
        <v>134.65666666666667</v>
      </c>
      <c r="AG1651" s="111"/>
      <c r="AH1651" s="111"/>
      <c r="AI1651" s="111"/>
      <c r="AJ1651" s="111"/>
      <c r="AK1651" s="111"/>
      <c r="AL1651" s="111"/>
      <c r="AM1651" s="111">
        <v>403.97</v>
      </c>
    </row>
    <row r="1652" spans="1:39" ht="15" customHeight="1" x14ac:dyDescent="0.25">
      <c r="A1652" s="1409"/>
      <c r="B1652" s="1409"/>
      <c r="C1652" s="1409"/>
      <c r="D1652" s="1409"/>
      <c r="E1652" s="1247"/>
      <c r="F1652" s="1248" t="s">
        <v>3069</v>
      </c>
      <c r="G1652" s="111"/>
      <c r="H1652" s="1249">
        <v>5</v>
      </c>
      <c r="I1652" s="111" t="s">
        <v>1721</v>
      </c>
      <c r="J1652" s="1321" t="s">
        <v>5608</v>
      </c>
      <c r="K1652" s="162" t="s">
        <v>5610</v>
      </c>
      <c r="L1652" s="162" t="s">
        <v>5609</v>
      </c>
      <c r="M1652" s="111">
        <v>81</v>
      </c>
      <c r="N1652" s="111">
        <v>405</v>
      </c>
      <c r="O1652" s="111"/>
      <c r="P1652" s="111"/>
      <c r="Q1652" s="111"/>
      <c r="R1652" s="111"/>
      <c r="S1652" s="1249">
        <v>2</v>
      </c>
      <c r="T1652" s="1250">
        <v>135</v>
      </c>
      <c r="U1652" s="1250"/>
      <c r="V1652" s="1250"/>
      <c r="W1652" s="1251">
        <v>2</v>
      </c>
      <c r="X1652" s="1250">
        <v>135</v>
      </c>
      <c r="Y1652" s="1250"/>
      <c r="Z1652" s="1250"/>
      <c r="AA1652" s="1250"/>
      <c r="AB1652" s="1250"/>
      <c r="AC1652" s="1250"/>
      <c r="AD1652" s="1250"/>
      <c r="AE1652" s="1249">
        <v>1</v>
      </c>
      <c r="AF1652" s="1250">
        <v>135</v>
      </c>
      <c r="AG1652" s="111"/>
      <c r="AH1652" s="111"/>
      <c r="AI1652" s="111"/>
      <c r="AJ1652" s="111"/>
      <c r="AK1652" s="111"/>
      <c r="AL1652" s="111"/>
      <c r="AM1652" s="111">
        <v>405</v>
      </c>
    </row>
    <row r="1653" spans="1:39" ht="15" customHeight="1" x14ac:dyDescent="0.25">
      <c r="A1653" s="1409"/>
      <c r="B1653" s="1409"/>
      <c r="C1653" s="1409"/>
      <c r="D1653" s="1409"/>
      <c r="E1653" s="1247"/>
      <c r="F1653" s="1248" t="s">
        <v>3097</v>
      </c>
      <c r="G1653" s="111"/>
      <c r="H1653" s="1249">
        <v>1</v>
      </c>
      <c r="I1653" s="111" t="s">
        <v>1721</v>
      </c>
      <c r="J1653" s="1321" t="s">
        <v>5608</v>
      </c>
      <c r="K1653" s="162" t="s">
        <v>5610</v>
      </c>
      <c r="L1653" s="162" t="s">
        <v>5609</v>
      </c>
      <c r="M1653" s="111">
        <v>4061</v>
      </c>
      <c r="N1653" s="111">
        <v>4061</v>
      </c>
      <c r="O1653" s="111"/>
      <c r="P1653" s="111"/>
      <c r="Q1653" s="111"/>
      <c r="R1653" s="111"/>
      <c r="S1653" s="1249">
        <v>1</v>
      </c>
      <c r="T1653" s="1250">
        <v>1353.6666666666667</v>
      </c>
      <c r="U1653" s="1250"/>
      <c r="V1653" s="1250"/>
      <c r="W1653" s="1251">
        <v>0</v>
      </c>
      <c r="X1653" s="1250">
        <v>1353.6666666666667</v>
      </c>
      <c r="Y1653" s="1250"/>
      <c r="Z1653" s="1250"/>
      <c r="AA1653" s="1250"/>
      <c r="AB1653" s="1250"/>
      <c r="AC1653" s="1250"/>
      <c r="AD1653" s="1250"/>
      <c r="AE1653" s="1249">
        <v>0</v>
      </c>
      <c r="AF1653" s="1250">
        <v>1353.6666666666667</v>
      </c>
      <c r="AG1653" s="111"/>
      <c r="AH1653" s="111"/>
      <c r="AI1653" s="111"/>
      <c r="AJ1653" s="111"/>
      <c r="AK1653" s="111"/>
      <c r="AL1653" s="111"/>
      <c r="AM1653" s="111">
        <v>4061</v>
      </c>
    </row>
    <row r="1654" spans="1:39" ht="15" customHeight="1" x14ac:dyDescent="0.25">
      <c r="A1654" s="1409"/>
      <c r="B1654" s="1409"/>
      <c r="C1654" s="1409"/>
      <c r="D1654" s="1409"/>
      <c r="E1654" s="1247"/>
      <c r="F1654" s="1248" t="s">
        <v>3098</v>
      </c>
      <c r="G1654" s="111"/>
      <c r="H1654" s="1249">
        <v>1</v>
      </c>
      <c r="I1654" s="111" t="s">
        <v>1722</v>
      </c>
      <c r="J1654" s="1321" t="s">
        <v>5608</v>
      </c>
      <c r="K1654" s="162" t="s">
        <v>5610</v>
      </c>
      <c r="L1654" s="162" t="s">
        <v>5609</v>
      </c>
      <c r="M1654" s="111">
        <v>49.75</v>
      </c>
      <c r="N1654" s="111">
        <v>49.75</v>
      </c>
      <c r="O1654" s="111"/>
      <c r="P1654" s="111"/>
      <c r="Q1654" s="111"/>
      <c r="R1654" s="111"/>
      <c r="S1654" s="1249">
        <v>1</v>
      </c>
      <c r="T1654" s="1250">
        <v>16.583333333333332</v>
      </c>
      <c r="U1654" s="1250"/>
      <c r="V1654" s="1250"/>
      <c r="W1654" s="1251">
        <v>0</v>
      </c>
      <c r="X1654" s="1250">
        <v>16.583333333333332</v>
      </c>
      <c r="Y1654" s="1250"/>
      <c r="Z1654" s="1250"/>
      <c r="AA1654" s="1250"/>
      <c r="AB1654" s="1250"/>
      <c r="AC1654" s="1250"/>
      <c r="AD1654" s="1250"/>
      <c r="AE1654" s="1249">
        <v>0</v>
      </c>
      <c r="AF1654" s="1250">
        <v>16.583333333333332</v>
      </c>
      <c r="AG1654" s="111"/>
      <c r="AH1654" s="111"/>
      <c r="AI1654" s="111"/>
      <c r="AJ1654" s="111"/>
      <c r="AK1654" s="111"/>
      <c r="AL1654" s="111"/>
      <c r="AM1654" s="111">
        <v>49.75</v>
      </c>
    </row>
    <row r="1655" spans="1:39" ht="15" customHeight="1" x14ac:dyDescent="0.25">
      <c r="A1655" s="1409"/>
      <c r="B1655" s="1409"/>
      <c r="C1655" s="1409"/>
      <c r="D1655" s="1409"/>
      <c r="E1655" s="1247"/>
      <c r="F1655" s="1248" t="s">
        <v>3099</v>
      </c>
      <c r="G1655" s="111"/>
      <c r="H1655" s="1249">
        <v>1</v>
      </c>
      <c r="I1655" s="111" t="s">
        <v>1721</v>
      </c>
      <c r="J1655" s="1321" t="s">
        <v>5608</v>
      </c>
      <c r="K1655" s="162" t="s">
        <v>5610</v>
      </c>
      <c r="L1655" s="162" t="s">
        <v>5609</v>
      </c>
      <c r="M1655" s="111">
        <v>47.017800000000001</v>
      </c>
      <c r="N1655" s="111">
        <v>47.017800000000001</v>
      </c>
      <c r="O1655" s="111"/>
      <c r="P1655" s="111"/>
      <c r="Q1655" s="111"/>
      <c r="R1655" s="111"/>
      <c r="S1655" s="1249">
        <v>1</v>
      </c>
      <c r="T1655" s="1250">
        <v>15.672600000000001</v>
      </c>
      <c r="U1655" s="1250"/>
      <c r="V1655" s="1250"/>
      <c r="W1655" s="1251">
        <v>0</v>
      </c>
      <c r="X1655" s="1250">
        <v>15.672600000000001</v>
      </c>
      <c r="Y1655" s="1250"/>
      <c r="Z1655" s="1250"/>
      <c r="AA1655" s="1250"/>
      <c r="AB1655" s="1250"/>
      <c r="AC1655" s="1250"/>
      <c r="AD1655" s="1250"/>
      <c r="AE1655" s="1249">
        <v>0</v>
      </c>
      <c r="AF1655" s="1250">
        <v>15.672600000000001</v>
      </c>
      <c r="AG1655" s="111"/>
      <c r="AH1655" s="111"/>
      <c r="AI1655" s="111"/>
      <c r="AJ1655" s="111"/>
      <c r="AK1655" s="111"/>
      <c r="AL1655" s="111"/>
      <c r="AM1655" s="111">
        <v>47.017800000000001</v>
      </c>
    </row>
    <row r="1656" spans="1:39" ht="15" customHeight="1" x14ac:dyDescent="0.25">
      <c r="A1656" s="1409"/>
      <c r="B1656" s="1409"/>
      <c r="C1656" s="1409"/>
      <c r="D1656" s="1409"/>
      <c r="E1656" s="1247"/>
      <c r="F1656" s="1248" t="s">
        <v>3100</v>
      </c>
      <c r="G1656" s="111"/>
      <c r="H1656" s="1249">
        <v>1</v>
      </c>
      <c r="I1656" s="111" t="s">
        <v>1721</v>
      </c>
      <c r="J1656" s="1321" t="s">
        <v>5608</v>
      </c>
      <c r="K1656" s="162" t="s">
        <v>5610</v>
      </c>
      <c r="L1656" s="162" t="s">
        <v>5609</v>
      </c>
      <c r="M1656" s="111">
        <v>215.57</v>
      </c>
      <c r="N1656" s="111">
        <v>215.57</v>
      </c>
      <c r="O1656" s="111"/>
      <c r="P1656" s="111"/>
      <c r="Q1656" s="111"/>
      <c r="R1656" s="111"/>
      <c r="S1656" s="1249">
        <v>1</v>
      </c>
      <c r="T1656" s="1250">
        <v>71.856666666666669</v>
      </c>
      <c r="U1656" s="1250"/>
      <c r="V1656" s="1250"/>
      <c r="W1656" s="1251">
        <v>0</v>
      </c>
      <c r="X1656" s="1250">
        <v>71.856666666666669</v>
      </c>
      <c r="Y1656" s="1250"/>
      <c r="Z1656" s="1250"/>
      <c r="AA1656" s="1250"/>
      <c r="AB1656" s="1250"/>
      <c r="AC1656" s="1250"/>
      <c r="AD1656" s="1250"/>
      <c r="AE1656" s="1249">
        <v>0</v>
      </c>
      <c r="AF1656" s="1250">
        <v>71.856666666666669</v>
      </c>
      <c r="AG1656" s="111"/>
      <c r="AH1656" s="111"/>
      <c r="AI1656" s="111"/>
      <c r="AJ1656" s="111"/>
      <c r="AK1656" s="111"/>
      <c r="AL1656" s="111"/>
      <c r="AM1656" s="111">
        <v>215.57</v>
      </c>
    </row>
    <row r="1657" spans="1:39" ht="15" customHeight="1" x14ac:dyDescent="0.25">
      <c r="A1657" s="1409"/>
      <c r="B1657" s="1409"/>
      <c r="C1657" s="1409"/>
      <c r="D1657" s="1409"/>
      <c r="E1657" s="1247"/>
      <c r="F1657" s="1248" t="s">
        <v>3101</v>
      </c>
      <c r="G1657" s="111"/>
      <c r="H1657" s="1249">
        <v>1</v>
      </c>
      <c r="I1657" s="111" t="s">
        <v>1721</v>
      </c>
      <c r="J1657" s="1321" t="s">
        <v>5608</v>
      </c>
      <c r="K1657" s="162" t="s">
        <v>5610</v>
      </c>
      <c r="L1657" s="162" t="s">
        <v>5609</v>
      </c>
      <c r="M1657" s="111">
        <v>37.358496000000002</v>
      </c>
      <c r="N1657" s="111">
        <v>37.358496000000002</v>
      </c>
      <c r="O1657" s="111"/>
      <c r="P1657" s="111"/>
      <c r="Q1657" s="111"/>
      <c r="R1657" s="111"/>
      <c r="S1657" s="1249">
        <v>1</v>
      </c>
      <c r="T1657" s="1250">
        <v>12.452832000000001</v>
      </c>
      <c r="U1657" s="1250"/>
      <c r="V1657" s="1250"/>
      <c r="W1657" s="1251">
        <v>0</v>
      </c>
      <c r="X1657" s="1250">
        <v>12.452832000000001</v>
      </c>
      <c r="Y1657" s="1250"/>
      <c r="Z1657" s="1250"/>
      <c r="AA1657" s="1250"/>
      <c r="AB1657" s="1250"/>
      <c r="AC1657" s="1250"/>
      <c r="AD1657" s="1250"/>
      <c r="AE1657" s="1249">
        <v>0</v>
      </c>
      <c r="AF1657" s="1250">
        <v>12.452832000000001</v>
      </c>
      <c r="AG1657" s="111"/>
      <c r="AH1657" s="111"/>
      <c r="AI1657" s="111"/>
      <c r="AJ1657" s="111"/>
      <c r="AK1657" s="111"/>
      <c r="AL1657" s="111"/>
      <c r="AM1657" s="111">
        <v>37.358496000000002</v>
      </c>
    </row>
    <row r="1658" spans="1:39" ht="15" customHeight="1" x14ac:dyDescent="0.25">
      <c r="A1658" s="1409"/>
      <c r="B1658" s="1409"/>
      <c r="C1658" s="1409"/>
      <c r="D1658" s="1409"/>
      <c r="E1658" s="1247"/>
      <c r="F1658" s="1248" t="s">
        <v>5222</v>
      </c>
      <c r="G1658" s="111"/>
      <c r="H1658" s="1249">
        <v>1</v>
      </c>
      <c r="I1658" s="111" t="s">
        <v>1722</v>
      </c>
      <c r="J1658" s="1321" t="s">
        <v>5608</v>
      </c>
      <c r="K1658" s="162" t="s">
        <v>5610</v>
      </c>
      <c r="L1658" s="162" t="s">
        <v>5609</v>
      </c>
      <c r="M1658" s="111">
        <v>632.61</v>
      </c>
      <c r="N1658" s="111">
        <v>632.61</v>
      </c>
      <c r="O1658" s="111"/>
      <c r="P1658" s="111"/>
      <c r="Q1658" s="111"/>
      <c r="R1658" s="111"/>
      <c r="S1658" s="1249">
        <v>1</v>
      </c>
      <c r="T1658" s="1250">
        <v>210.87</v>
      </c>
      <c r="U1658" s="1250"/>
      <c r="V1658" s="1250"/>
      <c r="W1658" s="1251">
        <v>0</v>
      </c>
      <c r="X1658" s="1250">
        <v>210.87</v>
      </c>
      <c r="Y1658" s="1250"/>
      <c r="Z1658" s="1250"/>
      <c r="AA1658" s="1250"/>
      <c r="AB1658" s="1250"/>
      <c r="AC1658" s="1250"/>
      <c r="AD1658" s="1250"/>
      <c r="AE1658" s="1249">
        <v>0</v>
      </c>
      <c r="AF1658" s="1250">
        <v>210.87</v>
      </c>
      <c r="AG1658" s="111"/>
      <c r="AH1658" s="111"/>
      <c r="AI1658" s="111"/>
      <c r="AJ1658" s="111"/>
      <c r="AK1658" s="111"/>
      <c r="AL1658" s="111"/>
      <c r="AM1658" s="111">
        <v>632.61</v>
      </c>
    </row>
    <row r="1659" spans="1:39" ht="15" customHeight="1" x14ac:dyDescent="0.25">
      <c r="A1659" s="1409"/>
      <c r="B1659" s="1409"/>
      <c r="C1659" s="1409"/>
      <c r="D1659" s="1409"/>
      <c r="E1659" s="1247"/>
      <c r="F1659" s="1248" t="s">
        <v>5223</v>
      </c>
      <c r="G1659" s="111"/>
      <c r="H1659" s="1249">
        <v>5</v>
      </c>
      <c r="I1659" s="111" t="s">
        <v>1721</v>
      </c>
      <c r="J1659" s="1321" t="s">
        <v>5608</v>
      </c>
      <c r="K1659" s="162" t="s">
        <v>5610</v>
      </c>
      <c r="L1659" s="162" t="s">
        <v>5609</v>
      </c>
      <c r="M1659" s="111">
        <v>32</v>
      </c>
      <c r="N1659" s="111">
        <v>160</v>
      </c>
      <c r="O1659" s="111"/>
      <c r="P1659" s="111"/>
      <c r="Q1659" s="111"/>
      <c r="R1659" s="111"/>
      <c r="S1659" s="1249">
        <v>2</v>
      </c>
      <c r="T1659" s="1250">
        <v>53.333333333333336</v>
      </c>
      <c r="U1659" s="1250"/>
      <c r="V1659" s="1250"/>
      <c r="W1659" s="1251">
        <v>2</v>
      </c>
      <c r="X1659" s="1250">
        <v>53.333333333333336</v>
      </c>
      <c r="Y1659" s="1250"/>
      <c r="Z1659" s="1250"/>
      <c r="AA1659" s="1250"/>
      <c r="AB1659" s="1250"/>
      <c r="AC1659" s="1250"/>
      <c r="AD1659" s="1250"/>
      <c r="AE1659" s="1249">
        <v>1</v>
      </c>
      <c r="AF1659" s="1250">
        <v>53.333333333333336</v>
      </c>
      <c r="AG1659" s="111"/>
      <c r="AH1659" s="111"/>
      <c r="AI1659" s="111"/>
      <c r="AJ1659" s="111"/>
      <c r="AK1659" s="111"/>
      <c r="AL1659" s="111"/>
      <c r="AM1659" s="111">
        <v>160</v>
      </c>
    </row>
    <row r="1660" spans="1:39" ht="15" customHeight="1" x14ac:dyDescent="0.25">
      <c r="A1660" s="1409"/>
      <c r="B1660" s="1409"/>
      <c r="C1660" s="1409"/>
      <c r="D1660" s="1409"/>
      <c r="E1660" s="1247"/>
      <c r="F1660" s="1248" t="s">
        <v>1627</v>
      </c>
      <c r="G1660" s="111"/>
      <c r="H1660" s="1249">
        <v>10</v>
      </c>
      <c r="I1660" s="111" t="s">
        <v>1721</v>
      </c>
      <c r="J1660" s="1321" t="s">
        <v>5608</v>
      </c>
      <c r="K1660" s="162" t="s">
        <v>5610</v>
      </c>
      <c r="L1660" s="162" t="s">
        <v>5609</v>
      </c>
      <c r="M1660" s="111">
        <v>587.56319999999994</v>
      </c>
      <c r="N1660" s="111">
        <v>5875.6319999999996</v>
      </c>
      <c r="O1660" s="111"/>
      <c r="P1660" s="111"/>
      <c r="Q1660" s="111"/>
      <c r="R1660" s="111"/>
      <c r="S1660" s="1249">
        <v>5</v>
      </c>
      <c r="T1660" s="1250">
        <v>1958.5439999999999</v>
      </c>
      <c r="U1660" s="1250"/>
      <c r="V1660" s="1250"/>
      <c r="W1660" s="1251">
        <v>5</v>
      </c>
      <c r="X1660" s="1250">
        <v>1958.5439999999999</v>
      </c>
      <c r="Y1660" s="1250"/>
      <c r="Z1660" s="1250"/>
      <c r="AA1660" s="1250"/>
      <c r="AB1660" s="1250"/>
      <c r="AC1660" s="1250"/>
      <c r="AD1660" s="1250"/>
      <c r="AE1660" s="1249">
        <v>0</v>
      </c>
      <c r="AF1660" s="1250">
        <v>1958.5439999999999</v>
      </c>
      <c r="AG1660" s="111"/>
      <c r="AH1660" s="111"/>
      <c r="AI1660" s="111"/>
      <c r="AJ1660" s="111"/>
      <c r="AK1660" s="111"/>
      <c r="AL1660" s="111"/>
      <c r="AM1660" s="111">
        <v>5875.6319999999996</v>
      </c>
    </row>
    <row r="1661" spans="1:39" ht="15" customHeight="1" x14ac:dyDescent="0.25">
      <c r="A1661" s="1409"/>
      <c r="B1661" s="1409"/>
      <c r="C1661" s="1409"/>
      <c r="D1661" s="1409"/>
      <c r="E1661" s="1247"/>
      <c r="F1661" s="1248" t="s">
        <v>1628</v>
      </c>
      <c r="G1661" s="111"/>
      <c r="H1661" s="1249">
        <v>10</v>
      </c>
      <c r="I1661" s="111" t="s">
        <v>1723</v>
      </c>
      <c r="J1661" s="1321" t="s">
        <v>5608</v>
      </c>
      <c r="K1661" s="162" t="s">
        <v>5610</v>
      </c>
      <c r="L1661" s="162" t="s">
        <v>5609</v>
      </c>
      <c r="M1661" s="111">
        <v>236.15279999999998</v>
      </c>
      <c r="N1661" s="111">
        <v>2361.5279999999998</v>
      </c>
      <c r="O1661" s="111"/>
      <c r="P1661" s="111"/>
      <c r="Q1661" s="111"/>
      <c r="R1661" s="111"/>
      <c r="S1661" s="1249">
        <v>5</v>
      </c>
      <c r="T1661" s="1250">
        <v>787.17599999999993</v>
      </c>
      <c r="U1661" s="1250"/>
      <c r="V1661" s="1250"/>
      <c r="W1661" s="1251">
        <v>5</v>
      </c>
      <c r="X1661" s="1250">
        <v>787.17599999999993</v>
      </c>
      <c r="Y1661" s="1250"/>
      <c r="Z1661" s="1250"/>
      <c r="AA1661" s="1250"/>
      <c r="AB1661" s="1250"/>
      <c r="AC1661" s="1250"/>
      <c r="AD1661" s="1250"/>
      <c r="AE1661" s="1249">
        <v>0</v>
      </c>
      <c r="AF1661" s="1250">
        <v>787.17599999999993</v>
      </c>
      <c r="AG1661" s="111"/>
      <c r="AH1661" s="111"/>
      <c r="AI1661" s="111"/>
      <c r="AJ1661" s="111"/>
      <c r="AK1661" s="111"/>
      <c r="AL1661" s="111"/>
      <c r="AM1661" s="111">
        <v>2361.5279999999998</v>
      </c>
    </row>
    <row r="1662" spans="1:39" ht="15" customHeight="1" x14ac:dyDescent="0.25">
      <c r="A1662" s="1409"/>
      <c r="B1662" s="1409"/>
      <c r="C1662" s="1409"/>
      <c r="D1662" s="1409"/>
      <c r="E1662" s="1247"/>
      <c r="F1662" s="1248" t="s">
        <v>634</v>
      </c>
      <c r="G1662" s="111"/>
      <c r="H1662" s="1249">
        <v>120</v>
      </c>
      <c r="I1662" s="111" t="s">
        <v>2599</v>
      </c>
      <c r="J1662" s="1321" t="s">
        <v>5608</v>
      </c>
      <c r="K1662" s="162" t="s">
        <v>5610</v>
      </c>
      <c r="L1662" s="162" t="s">
        <v>5609</v>
      </c>
      <c r="M1662" s="111">
        <v>125.27999999999999</v>
      </c>
      <c r="N1662" s="111">
        <v>15033.599999999999</v>
      </c>
      <c r="O1662" s="111"/>
      <c r="P1662" s="111"/>
      <c r="Q1662" s="111"/>
      <c r="R1662" s="111"/>
      <c r="S1662" s="1249">
        <v>50</v>
      </c>
      <c r="T1662" s="1250">
        <v>5011.2</v>
      </c>
      <c r="U1662" s="1250"/>
      <c r="V1662" s="1250"/>
      <c r="W1662" s="1251">
        <v>50</v>
      </c>
      <c r="X1662" s="1250">
        <v>5011.2</v>
      </c>
      <c r="Y1662" s="1250"/>
      <c r="Z1662" s="1250"/>
      <c r="AA1662" s="1250"/>
      <c r="AB1662" s="1250"/>
      <c r="AC1662" s="1250"/>
      <c r="AD1662" s="1250"/>
      <c r="AE1662" s="1249">
        <v>20</v>
      </c>
      <c r="AF1662" s="1250">
        <v>5011.2</v>
      </c>
      <c r="AG1662" s="111"/>
      <c r="AH1662" s="111"/>
      <c r="AI1662" s="111"/>
      <c r="AJ1662" s="111"/>
      <c r="AK1662" s="111"/>
      <c r="AL1662" s="111"/>
      <c r="AM1662" s="111">
        <v>15033.599999999999</v>
      </c>
    </row>
    <row r="1663" spans="1:39" ht="15" customHeight="1" x14ac:dyDescent="0.25">
      <c r="A1663" s="1409"/>
      <c r="B1663" s="1409"/>
      <c r="C1663" s="1409"/>
      <c r="D1663" s="1409"/>
      <c r="E1663" s="1247"/>
      <c r="F1663" s="1248" t="s">
        <v>2785</v>
      </c>
      <c r="G1663" s="111"/>
      <c r="H1663" s="1249">
        <v>5</v>
      </c>
      <c r="I1663" s="111" t="s">
        <v>2443</v>
      </c>
      <c r="J1663" s="1321" t="s">
        <v>5608</v>
      </c>
      <c r="K1663" s="162" t="s">
        <v>5610</v>
      </c>
      <c r="L1663" s="162" t="s">
        <v>5609</v>
      </c>
      <c r="M1663" s="111">
        <v>871.94879999999989</v>
      </c>
      <c r="N1663" s="111">
        <v>4359.7439999999997</v>
      </c>
      <c r="O1663" s="111"/>
      <c r="P1663" s="111"/>
      <c r="Q1663" s="111"/>
      <c r="R1663" s="111"/>
      <c r="S1663" s="1249">
        <v>2</v>
      </c>
      <c r="T1663" s="1250">
        <v>1453.2479999999998</v>
      </c>
      <c r="U1663" s="1250"/>
      <c r="V1663" s="1250"/>
      <c r="W1663" s="1251">
        <v>2</v>
      </c>
      <c r="X1663" s="1250">
        <v>1453.2479999999998</v>
      </c>
      <c r="Y1663" s="1250"/>
      <c r="Z1663" s="1250"/>
      <c r="AA1663" s="1250"/>
      <c r="AB1663" s="1250"/>
      <c r="AC1663" s="1250"/>
      <c r="AD1663" s="1250"/>
      <c r="AE1663" s="1249">
        <v>1</v>
      </c>
      <c r="AF1663" s="1250">
        <v>1453.2479999999998</v>
      </c>
      <c r="AG1663" s="111"/>
      <c r="AH1663" s="111"/>
      <c r="AI1663" s="111"/>
      <c r="AJ1663" s="111"/>
      <c r="AK1663" s="111"/>
      <c r="AL1663" s="111"/>
      <c r="AM1663" s="111">
        <v>4359.7439999999997</v>
      </c>
    </row>
    <row r="1664" spans="1:39" ht="15" customHeight="1" x14ac:dyDescent="0.25">
      <c r="A1664" s="1409"/>
      <c r="B1664" s="1409"/>
      <c r="C1664" s="1409"/>
      <c r="D1664" s="1409"/>
      <c r="E1664" s="1247"/>
      <c r="F1664" s="1248" t="s">
        <v>1635</v>
      </c>
      <c r="G1664" s="111"/>
      <c r="H1664" s="1249">
        <v>6</v>
      </c>
      <c r="I1664" s="111" t="s">
        <v>1722</v>
      </c>
      <c r="J1664" s="1321" t="s">
        <v>5608</v>
      </c>
      <c r="K1664" s="162" t="s">
        <v>5610</v>
      </c>
      <c r="L1664" s="162" t="s">
        <v>5609</v>
      </c>
      <c r="M1664" s="111">
        <v>87.695999999999984</v>
      </c>
      <c r="N1664" s="111">
        <v>526.17599999999993</v>
      </c>
      <c r="O1664" s="111"/>
      <c r="P1664" s="111"/>
      <c r="Q1664" s="111"/>
      <c r="R1664" s="111"/>
      <c r="S1664" s="1249">
        <v>2</v>
      </c>
      <c r="T1664" s="1250">
        <v>175.39199999999997</v>
      </c>
      <c r="U1664" s="1250"/>
      <c r="V1664" s="1250"/>
      <c r="W1664" s="1251">
        <v>2</v>
      </c>
      <c r="X1664" s="1250">
        <v>175.39199999999997</v>
      </c>
      <c r="Y1664" s="1250"/>
      <c r="Z1664" s="1250"/>
      <c r="AA1664" s="1250"/>
      <c r="AB1664" s="1250"/>
      <c r="AC1664" s="1250"/>
      <c r="AD1664" s="1250"/>
      <c r="AE1664" s="1249">
        <v>2</v>
      </c>
      <c r="AF1664" s="1250">
        <v>175.39199999999997</v>
      </c>
      <c r="AG1664" s="111"/>
      <c r="AH1664" s="111"/>
      <c r="AI1664" s="111"/>
      <c r="AJ1664" s="111"/>
      <c r="AK1664" s="111"/>
      <c r="AL1664" s="111"/>
      <c r="AM1664" s="111">
        <v>526.17599999999993</v>
      </c>
    </row>
    <row r="1665" spans="1:39" ht="15" customHeight="1" x14ac:dyDescent="0.25">
      <c r="A1665" s="1409"/>
      <c r="B1665" s="1409"/>
      <c r="C1665" s="1409"/>
      <c r="D1665" s="1409"/>
      <c r="E1665" s="1247"/>
      <c r="F1665" s="1248" t="s">
        <v>2786</v>
      </c>
      <c r="G1665" s="111"/>
      <c r="H1665" s="1249">
        <v>5</v>
      </c>
      <c r="I1665" s="111" t="s">
        <v>2247</v>
      </c>
      <c r="J1665" s="1321" t="s">
        <v>5608</v>
      </c>
      <c r="K1665" s="162" t="s">
        <v>5610</v>
      </c>
      <c r="L1665" s="162" t="s">
        <v>5609</v>
      </c>
      <c r="M1665" s="111">
        <v>325.72800000000001</v>
      </c>
      <c r="N1665" s="111">
        <v>1628.64</v>
      </c>
      <c r="O1665" s="111"/>
      <c r="P1665" s="111"/>
      <c r="Q1665" s="111"/>
      <c r="R1665" s="111"/>
      <c r="S1665" s="1249">
        <v>2</v>
      </c>
      <c r="T1665" s="1250">
        <v>542.88</v>
      </c>
      <c r="U1665" s="1250"/>
      <c r="V1665" s="1250"/>
      <c r="W1665" s="1251">
        <v>2</v>
      </c>
      <c r="X1665" s="1250">
        <v>542.88</v>
      </c>
      <c r="Y1665" s="1250"/>
      <c r="Z1665" s="1250"/>
      <c r="AA1665" s="1250"/>
      <c r="AB1665" s="1250"/>
      <c r="AC1665" s="1250"/>
      <c r="AD1665" s="1250"/>
      <c r="AE1665" s="1249">
        <v>1</v>
      </c>
      <c r="AF1665" s="1250">
        <v>542.88</v>
      </c>
      <c r="AG1665" s="111"/>
      <c r="AH1665" s="111"/>
      <c r="AI1665" s="111"/>
      <c r="AJ1665" s="111"/>
      <c r="AK1665" s="111"/>
      <c r="AL1665" s="111"/>
      <c r="AM1665" s="111">
        <v>1628.64</v>
      </c>
    </row>
    <row r="1666" spans="1:39" ht="15" customHeight="1" x14ac:dyDescent="0.25">
      <c r="A1666" s="1409"/>
      <c r="B1666" s="1409"/>
      <c r="C1666" s="1409"/>
      <c r="D1666" s="1409"/>
      <c r="E1666" s="1247"/>
      <c r="F1666" s="1248" t="s">
        <v>5224</v>
      </c>
      <c r="G1666" s="111"/>
      <c r="H1666" s="1249">
        <v>3</v>
      </c>
      <c r="I1666" s="111" t="s">
        <v>1722</v>
      </c>
      <c r="J1666" s="1321" t="s">
        <v>5608</v>
      </c>
      <c r="K1666" s="162" t="s">
        <v>5610</v>
      </c>
      <c r="L1666" s="162" t="s">
        <v>5609</v>
      </c>
      <c r="M1666" s="111">
        <v>168.61</v>
      </c>
      <c r="N1666" s="111">
        <v>505.83000000000004</v>
      </c>
      <c r="O1666" s="111"/>
      <c r="P1666" s="111"/>
      <c r="Q1666" s="111"/>
      <c r="R1666" s="111"/>
      <c r="S1666" s="1249">
        <v>1</v>
      </c>
      <c r="T1666" s="1250">
        <v>168.61</v>
      </c>
      <c r="U1666" s="1250"/>
      <c r="V1666" s="1250"/>
      <c r="W1666" s="1251">
        <v>1</v>
      </c>
      <c r="X1666" s="1250">
        <v>168.61</v>
      </c>
      <c r="Y1666" s="1250"/>
      <c r="Z1666" s="1250"/>
      <c r="AA1666" s="1250"/>
      <c r="AB1666" s="1250"/>
      <c r="AC1666" s="1250"/>
      <c r="AD1666" s="1250"/>
      <c r="AE1666" s="1249">
        <v>1</v>
      </c>
      <c r="AF1666" s="1250">
        <v>168.61</v>
      </c>
      <c r="AG1666" s="111"/>
      <c r="AH1666" s="111"/>
      <c r="AI1666" s="111"/>
      <c r="AJ1666" s="111"/>
      <c r="AK1666" s="111"/>
      <c r="AL1666" s="111"/>
      <c r="AM1666" s="111">
        <v>505.83000000000004</v>
      </c>
    </row>
    <row r="1667" spans="1:39" ht="15" customHeight="1" x14ac:dyDescent="0.25">
      <c r="A1667" s="1409"/>
      <c r="B1667" s="1409"/>
      <c r="C1667" s="1409"/>
      <c r="D1667" s="1409"/>
      <c r="E1667" s="1247"/>
      <c r="F1667" s="1248" t="s">
        <v>5225</v>
      </c>
      <c r="G1667" s="111"/>
      <c r="H1667" s="1249">
        <v>1</v>
      </c>
      <c r="I1667" s="111" t="s">
        <v>1721</v>
      </c>
      <c r="J1667" s="1321" t="s">
        <v>5608</v>
      </c>
      <c r="K1667" s="162" t="s">
        <v>5610</v>
      </c>
      <c r="L1667" s="162" t="s">
        <v>5609</v>
      </c>
      <c r="M1667" s="111">
        <v>89.11</v>
      </c>
      <c r="N1667" s="111">
        <v>89.11</v>
      </c>
      <c r="O1667" s="111"/>
      <c r="P1667" s="111"/>
      <c r="Q1667" s="111"/>
      <c r="R1667" s="111"/>
      <c r="S1667" s="1249">
        <v>1</v>
      </c>
      <c r="T1667" s="1250">
        <v>29.703333333333333</v>
      </c>
      <c r="U1667" s="1250"/>
      <c r="V1667" s="1250"/>
      <c r="W1667" s="1251">
        <v>0</v>
      </c>
      <c r="X1667" s="1250">
        <v>29.703333333333333</v>
      </c>
      <c r="Y1667" s="1250"/>
      <c r="Z1667" s="1250"/>
      <c r="AA1667" s="1250"/>
      <c r="AB1667" s="1250"/>
      <c r="AC1667" s="1250"/>
      <c r="AD1667" s="1250"/>
      <c r="AE1667" s="1249">
        <v>0</v>
      </c>
      <c r="AF1667" s="1250">
        <v>29.703333333333333</v>
      </c>
      <c r="AG1667" s="111"/>
      <c r="AH1667" s="111"/>
      <c r="AI1667" s="111"/>
      <c r="AJ1667" s="111"/>
      <c r="AK1667" s="111"/>
      <c r="AL1667" s="111"/>
      <c r="AM1667" s="111">
        <v>89.11</v>
      </c>
    </row>
    <row r="1668" spans="1:39" ht="15" customHeight="1" x14ac:dyDescent="0.25">
      <c r="A1668" s="1409"/>
      <c r="B1668" s="1409"/>
      <c r="C1668" s="1409"/>
      <c r="D1668" s="1409"/>
      <c r="E1668" s="1247"/>
      <c r="F1668" s="1248" t="s">
        <v>5226</v>
      </c>
      <c r="G1668" s="111"/>
      <c r="H1668" s="1249">
        <v>3</v>
      </c>
      <c r="I1668" s="111" t="s">
        <v>1721</v>
      </c>
      <c r="J1668" s="1321" t="s">
        <v>5608</v>
      </c>
      <c r="K1668" s="162" t="s">
        <v>5610</v>
      </c>
      <c r="L1668" s="162" t="s">
        <v>5609</v>
      </c>
      <c r="M1668" s="111">
        <v>75</v>
      </c>
      <c r="N1668" s="111">
        <v>225</v>
      </c>
      <c r="O1668" s="111"/>
      <c r="P1668" s="111"/>
      <c r="Q1668" s="111"/>
      <c r="R1668" s="111"/>
      <c r="S1668" s="1249">
        <v>1</v>
      </c>
      <c r="T1668" s="1250">
        <v>75</v>
      </c>
      <c r="U1668" s="1250"/>
      <c r="V1668" s="1250"/>
      <c r="W1668" s="1251">
        <v>1</v>
      </c>
      <c r="X1668" s="1250">
        <v>75</v>
      </c>
      <c r="Y1668" s="1250"/>
      <c r="Z1668" s="1250"/>
      <c r="AA1668" s="1250"/>
      <c r="AB1668" s="1250"/>
      <c r="AC1668" s="1250"/>
      <c r="AD1668" s="1250"/>
      <c r="AE1668" s="1249">
        <v>1</v>
      </c>
      <c r="AF1668" s="1250">
        <v>75</v>
      </c>
      <c r="AG1668" s="111"/>
      <c r="AH1668" s="111"/>
      <c r="AI1668" s="111"/>
      <c r="AJ1668" s="111"/>
      <c r="AK1668" s="111"/>
      <c r="AL1668" s="111"/>
      <c r="AM1668" s="111">
        <v>225</v>
      </c>
    </row>
    <row r="1669" spans="1:39" ht="15" customHeight="1" x14ac:dyDescent="0.25">
      <c r="A1669" s="1409"/>
      <c r="B1669" s="1409"/>
      <c r="C1669" s="1409"/>
      <c r="D1669" s="1409"/>
      <c r="E1669" s="1247"/>
      <c r="F1669" s="1248" t="s">
        <v>3103</v>
      </c>
      <c r="G1669" s="111"/>
      <c r="H1669" s="1249">
        <v>1</v>
      </c>
      <c r="I1669" s="111" t="s">
        <v>1721</v>
      </c>
      <c r="J1669" s="1321" t="s">
        <v>5608</v>
      </c>
      <c r="K1669" s="162" t="s">
        <v>5610</v>
      </c>
      <c r="L1669" s="162" t="s">
        <v>5609</v>
      </c>
      <c r="M1669" s="111">
        <v>101.25</v>
      </c>
      <c r="N1669" s="111">
        <v>101.25</v>
      </c>
      <c r="O1669" s="111"/>
      <c r="P1669" s="111"/>
      <c r="Q1669" s="111"/>
      <c r="R1669" s="111"/>
      <c r="S1669" s="1249">
        <v>1</v>
      </c>
      <c r="T1669" s="1250">
        <v>33.75</v>
      </c>
      <c r="U1669" s="1250"/>
      <c r="V1669" s="1250"/>
      <c r="W1669" s="1251">
        <v>0</v>
      </c>
      <c r="X1669" s="1250">
        <v>33.75</v>
      </c>
      <c r="Y1669" s="1250"/>
      <c r="Z1669" s="1250"/>
      <c r="AA1669" s="1250"/>
      <c r="AB1669" s="1250"/>
      <c r="AC1669" s="1250"/>
      <c r="AD1669" s="1250"/>
      <c r="AE1669" s="1249">
        <v>0</v>
      </c>
      <c r="AF1669" s="1250">
        <v>33.75</v>
      </c>
      <c r="AG1669" s="111"/>
      <c r="AH1669" s="111"/>
      <c r="AI1669" s="111"/>
      <c r="AJ1669" s="111"/>
      <c r="AK1669" s="111"/>
      <c r="AL1669" s="111"/>
      <c r="AM1669" s="111">
        <v>101.25</v>
      </c>
    </row>
    <row r="1670" spans="1:39" ht="15" customHeight="1" x14ac:dyDescent="0.25">
      <c r="A1670" s="1409"/>
      <c r="B1670" s="1409"/>
      <c r="C1670" s="1409"/>
      <c r="D1670" s="1409"/>
      <c r="E1670" s="1247"/>
      <c r="F1670" s="1248" t="s">
        <v>3104</v>
      </c>
      <c r="G1670" s="111"/>
      <c r="H1670" s="1249">
        <v>1</v>
      </c>
      <c r="I1670" s="111" t="s">
        <v>1721</v>
      </c>
      <c r="J1670" s="1321" t="s">
        <v>5608</v>
      </c>
      <c r="K1670" s="162" t="s">
        <v>5610</v>
      </c>
      <c r="L1670" s="162" t="s">
        <v>5609</v>
      </c>
      <c r="M1670" s="111">
        <v>74.099999999999994</v>
      </c>
      <c r="N1670" s="111">
        <v>74.099999999999994</v>
      </c>
      <c r="O1670" s="111"/>
      <c r="P1670" s="111"/>
      <c r="Q1670" s="111"/>
      <c r="R1670" s="111"/>
      <c r="S1670" s="1249">
        <v>1</v>
      </c>
      <c r="T1670" s="1250">
        <v>24.7</v>
      </c>
      <c r="U1670" s="1250"/>
      <c r="V1670" s="1250"/>
      <c r="W1670" s="1251">
        <v>0</v>
      </c>
      <c r="X1670" s="1250">
        <v>24.7</v>
      </c>
      <c r="Y1670" s="1250"/>
      <c r="Z1670" s="1250"/>
      <c r="AA1670" s="1250"/>
      <c r="AB1670" s="1250"/>
      <c r="AC1670" s="1250"/>
      <c r="AD1670" s="1250"/>
      <c r="AE1670" s="1249">
        <v>0</v>
      </c>
      <c r="AF1670" s="1250">
        <v>24.7</v>
      </c>
      <c r="AG1670" s="111"/>
      <c r="AH1670" s="111"/>
      <c r="AI1670" s="111"/>
      <c r="AJ1670" s="111"/>
      <c r="AK1670" s="111"/>
      <c r="AL1670" s="111"/>
      <c r="AM1670" s="111">
        <v>74.099999999999994</v>
      </c>
    </row>
    <row r="1671" spans="1:39" ht="15" customHeight="1" x14ac:dyDescent="0.25">
      <c r="A1671" s="1409"/>
      <c r="B1671" s="1409"/>
      <c r="C1671" s="1409"/>
      <c r="D1671" s="1409"/>
      <c r="E1671" s="1247"/>
      <c r="F1671" s="1248" t="s">
        <v>3105</v>
      </c>
      <c r="G1671" s="111"/>
      <c r="H1671" s="1249">
        <v>1</v>
      </c>
      <c r="I1671" s="111" t="s">
        <v>1721</v>
      </c>
      <c r="J1671" s="1321" t="s">
        <v>5608</v>
      </c>
      <c r="K1671" s="162" t="s">
        <v>5610</v>
      </c>
      <c r="L1671" s="162" t="s">
        <v>5609</v>
      </c>
      <c r="M1671" s="111">
        <v>74.099999999999994</v>
      </c>
      <c r="N1671" s="111">
        <v>74.099999999999994</v>
      </c>
      <c r="O1671" s="111"/>
      <c r="P1671" s="111"/>
      <c r="Q1671" s="111"/>
      <c r="R1671" s="111"/>
      <c r="S1671" s="1249">
        <v>1</v>
      </c>
      <c r="T1671" s="1250">
        <v>24.7</v>
      </c>
      <c r="U1671" s="1250"/>
      <c r="V1671" s="1250"/>
      <c r="W1671" s="1251">
        <v>0</v>
      </c>
      <c r="X1671" s="1250">
        <v>24.7</v>
      </c>
      <c r="Y1671" s="1250"/>
      <c r="Z1671" s="1250"/>
      <c r="AA1671" s="1250"/>
      <c r="AB1671" s="1250"/>
      <c r="AC1671" s="1250"/>
      <c r="AD1671" s="1250"/>
      <c r="AE1671" s="1249">
        <v>0</v>
      </c>
      <c r="AF1671" s="1250">
        <v>24.7</v>
      </c>
      <c r="AG1671" s="111"/>
      <c r="AH1671" s="111"/>
      <c r="AI1671" s="111"/>
      <c r="AJ1671" s="111"/>
      <c r="AK1671" s="111"/>
      <c r="AL1671" s="111"/>
      <c r="AM1671" s="111">
        <v>74.099999999999994</v>
      </c>
    </row>
    <row r="1672" spans="1:39" ht="15" customHeight="1" x14ac:dyDescent="0.25">
      <c r="A1672" s="1409"/>
      <c r="B1672" s="1409"/>
      <c r="C1672" s="1409"/>
      <c r="D1672" s="1409"/>
      <c r="E1672" s="1247"/>
      <c r="F1672" s="1248" t="s">
        <v>5227</v>
      </c>
      <c r="G1672" s="111"/>
      <c r="H1672" s="1249">
        <v>62</v>
      </c>
      <c r="I1672" s="111" t="s">
        <v>1722</v>
      </c>
      <c r="J1672" s="1321" t="s">
        <v>5608</v>
      </c>
      <c r="K1672" s="162" t="s">
        <v>5610</v>
      </c>
      <c r="L1672" s="162" t="s">
        <v>5609</v>
      </c>
      <c r="M1672" s="111">
        <v>36.950967741935486</v>
      </c>
      <c r="N1672" s="111">
        <v>2290.96</v>
      </c>
      <c r="O1672" s="111"/>
      <c r="P1672" s="111"/>
      <c r="Q1672" s="111"/>
      <c r="R1672" s="111"/>
      <c r="S1672" s="1249">
        <v>32</v>
      </c>
      <c r="T1672" s="1250">
        <v>763.65333333333331</v>
      </c>
      <c r="U1672" s="1250"/>
      <c r="V1672" s="1250"/>
      <c r="W1672" s="1251">
        <v>20</v>
      </c>
      <c r="X1672" s="1250">
        <v>763.65333333333331</v>
      </c>
      <c r="Y1672" s="1250"/>
      <c r="Z1672" s="1250"/>
      <c r="AA1672" s="1250"/>
      <c r="AB1672" s="1250"/>
      <c r="AC1672" s="1250"/>
      <c r="AD1672" s="1250"/>
      <c r="AE1672" s="1249">
        <v>10</v>
      </c>
      <c r="AF1672" s="1250">
        <v>763.65333333333331</v>
      </c>
      <c r="AG1672" s="111"/>
      <c r="AH1672" s="111"/>
      <c r="AI1672" s="111"/>
      <c r="AJ1672" s="111"/>
      <c r="AK1672" s="111"/>
      <c r="AL1672" s="111"/>
      <c r="AM1672" s="111">
        <v>2290.96</v>
      </c>
    </row>
    <row r="1673" spans="1:39" ht="15" customHeight="1" x14ac:dyDescent="0.25">
      <c r="A1673" s="1409"/>
      <c r="B1673" s="1409"/>
      <c r="C1673" s="1409"/>
      <c r="D1673" s="1409"/>
      <c r="E1673" s="1247"/>
      <c r="F1673" s="1248" t="s">
        <v>3070</v>
      </c>
      <c r="G1673" s="111"/>
      <c r="H1673" s="1249">
        <v>500</v>
      </c>
      <c r="I1673" s="111" t="s">
        <v>1721</v>
      </c>
      <c r="J1673" s="1321" t="s">
        <v>5608</v>
      </c>
      <c r="K1673" s="162" t="s">
        <v>5610</v>
      </c>
      <c r="L1673" s="162" t="s">
        <v>5609</v>
      </c>
      <c r="M1673" s="111">
        <v>4.6979999999999995</v>
      </c>
      <c r="N1673" s="111">
        <v>2348.9999999999995</v>
      </c>
      <c r="O1673" s="111"/>
      <c r="P1673" s="111"/>
      <c r="Q1673" s="111"/>
      <c r="R1673" s="111"/>
      <c r="S1673" s="1249">
        <v>200</v>
      </c>
      <c r="T1673" s="1250">
        <v>782.99999999999989</v>
      </c>
      <c r="U1673" s="1250"/>
      <c r="V1673" s="1250"/>
      <c r="W1673" s="1251">
        <v>200</v>
      </c>
      <c r="X1673" s="1250">
        <v>782.99999999999989</v>
      </c>
      <c r="Y1673" s="1250"/>
      <c r="Z1673" s="1250"/>
      <c r="AA1673" s="1250"/>
      <c r="AB1673" s="1250"/>
      <c r="AC1673" s="1250"/>
      <c r="AD1673" s="1250"/>
      <c r="AE1673" s="1249">
        <v>100</v>
      </c>
      <c r="AF1673" s="1250">
        <v>782.99999999999989</v>
      </c>
      <c r="AG1673" s="111"/>
      <c r="AH1673" s="111"/>
      <c r="AI1673" s="111"/>
      <c r="AJ1673" s="111"/>
      <c r="AK1673" s="111"/>
      <c r="AL1673" s="111"/>
      <c r="AM1673" s="111">
        <v>2348.9999999999995</v>
      </c>
    </row>
    <row r="1674" spans="1:39" ht="15" customHeight="1" x14ac:dyDescent="0.25">
      <c r="A1674" s="1409"/>
      <c r="B1674" s="1409"/>
      <c r="C1674" s="1409"/>
      <c r="D1674" s="1409"/>
      <c r="E1674" s="1247"/>
      <c r="F1674" s="1248" t="s">
        <v>5228</v>
      </c>
      <c r="G1674" s="111"/>
      <c r="H1674" s="1249">
        <v>16</v>
      </c>
      <c r="I1674" s="111" t="s">
        <v>1722</v>
      </c>
      <c r="J1674" s="1321" t="s">
        <v>5608</v>
      </c>
      <c r="K1674" s="162" t="s">
        <v>5610</v>
      </c>
      <c r="L1674" s="162" t="s">
        <v>5609</v>
      </c>
      <c r="M1674" s="111">
        <v>150.33625000000001</v>
      </c>
      <c r="N1674" s="111">
        <v>2405.38</v>
      </c>
      <c r="O1674" s="111"/>
      <c r="P1674" s="111"/>
      <c r="Q1674" s="111"/>
      <c r="R1674" s="111"/>
      <c r="S1674" s="1249">
        <v>6</v>
      </c>
      <c r="T1674" s="1250">
        <v>801.79333333333341</v>
      </c>
      <c r="U1674" s="1250"/>
      <c r="V1674" s="1250"/>
      <c r="W1674" s="1251">
        <v>5</v>
      </c>
      <c r="X1674" s="1250">
        <v>801.79333333333341</v>
      </c>
      <c r="Y1674" s="1250"/>
      <c r="Z1674" s="1250"/>
      <c r="AA1674" s="1250"/>
      <c r="AB1674" s="1250"/>
      <c r="AC1674" s="1250"/>
      <c r="AD1674" s="1250"/>
      <c r="AE1674" s="1249">
        <v>5</v>
      </c>
      <c r="AF1674" s="1250">
        <v>801.79333333333341</v>
      </c>
      <c r="AG1674" s="111"/>
      <c r="AH1674" s="111"/>
      <c r="AI1674" s="111"/>
      <c r="AJ1674" s="111"/>
      <c r="AK1674" s="111"/>
      <c r="AL1674" s="111"/>
      <c r="AM1674" s="111">
        <v>2405.38</v>
      </c>
    </row>
    <row r="1675" spans="1:39" ht="15" customHeight="1" x14ac:dyDescent="0.25">
      <c r="A1675" s="1409"/>
      <c r="B1675" s="1409"/>
      <c r="C1675" s="1409"/>
      <c r="D1675" s="1409"/>
      <c r="E1675" s="1247"/>
      <c r="F1675" s="1248" t="s">
        <v>5229</v>
      </c>
      <c r="G1675" s="111"/>
      <c r="H1675" s="1249">
        <v>2</v>
      </c>
      <c r="I1675" s="111" t="s">
        <v>1725</v>
      </c>
      <c r="J1675" s="1321" t="s">
        <v>5608</v>
      </c>
      <c r="K1675" s="162" t="s">
        <v>5610</v>
      </c>
      <c r="L1675" s="162" t="s">
        <v>5609</v>
      </c>
      <c r="M1675" s="111">
        <v>131.87</v>
      </c>
      <c r="N1675" s="111">
        <v>263.74</v>
      </c>
      <c r="O1675" s="111"/>
      <c r="P1675" s="111"/>
      <c r="Q1675" s="111"/>
      <c r="R1675" s="111"/>
      <c r="S1675" s="1249">
        <v>2</v>
      </c>
      <c r="T1675" s="1250">
        <v>87.913333333333341</v>
      </c>
      <c r="U1675" s="1250"/>
      <c r="V1675" s="1250"/>
      <c r="W1675" s="1251">
        <v>0</v>
      </c>
      <c r="X1675" s="1250">
        <v>87.913333333333341</v>
      </c>
      <c r="Y1675" s="1250"/>
      <c r="Z1675" s="1250"/>
      <c r="AA1675" s="1250"/>
      <c r="AB1675" s="1250"/>
      <c r="AC1675" s="1250"/>
      <c r="AD1675" s="1250"/>
      <c r="AE1675" s="1249">
        <v>0</v>
      </c>
      <c r="AF1675" s="1250">
        <v>87.913333333333341</v>
      </c>
      <c r="AG1675" s="111"/>
      <c r="AH1675" s="111"/>
      <c r="AI1675" s="111"/>
      <c r="AJ1675" s="111"/>
      <c r="AK1675" s="111"/>
      <c r="AL1675" s="111"/>
      <c r="AM1675" s="111">
        <v>263.74</v>
      </c>
    </row>
    <row r="1676" spans="1:39" ht="15" customHeight="1" x14ac:dyDescent="0.25">
      <c r="A1676" s="1409"/>
      <c r="B1676" s="1409"/>
      <c r="C1676" s="1409"/>
      <c r="D1676" s="1409"/>
      <c r="E1676" s="1247"/>
      <c r="F1676" s="1248" t="s">
        <v>5230</v>
      </c>
      <c r="G1676" s="111"/>
      <c r="H1676" s="1249">
        <v>2</v>
      </c>
      <c r="I1676" s="111" t="s">
        <v>1722</v>
      </c>
      <c r="J1676" s="1321" t="s">
        <v>5608</v>
      </c>
      <c r="K1676" s="162" t="s">
        <v>5610</v>
      </c>
      <c r="L1676" s="162" t="s">
        <v>5609</v>
      </c>
      <c r="M1676" s="111">
        <v>63.5</v>
      </c>
      <c r="N1676" s="111">
        <v>127</v>
      </c>
      <c r="O1676" s="111"/>
      <c r="P1676" s="111"/>
      <c r="Q1676" s="111"/>
      <c r="R1676" s="111"/>
      <c r="S1676" s="1249">
        <v>2</v>
      </c>
      <c r="T1676" s="1250">
        <v>42.333333333333336</v>
      </c>
      <c r="U1676" s="1250"/>
      <c r="V1676" s="1250"/>
      <c r="W1676" s="1251">
        <v>0</v>
      </c>
      <c r="X1676" s="1250">
        <v>42.333333333333336</v>
      </c>
      <c r="Y1676" s="1250"/>
      <c r="Z1676" s="1250"/>
      <c r="AA1676" s="1250"/>
      <c r="AB1676" s="1250"/>
      <c r="AC1676" s="1250"/>
      <c r="AD1676" s="1250"/>
      <c r="AE1676" s="1249">
        <v>0</v>
      </c>
      <c r="AF1676" s="1250">
        <v>42.333333333333336</v>
      </c>
      <c r="AG1676" s="111"/>
      <c r="AH1676" s="111"/>
      <c r="AI1676" s="111"/>
      <c r="AJ1676" s="111"/>
      <c r="AK1676" s="111"/>
      <c r="AL1676" s="111"/>
      <c r="AM1676" s="111">
        <v>127</v>
      </c>
    </row>
    <row r="1677" spans="1:39" ht="15" customHeight="1" x14ac:dyDescent="0.25">
      <c r="A1677" s="1409"/>
      <c r="B1677" s="1409"/>
      <c r="C1677" s="1409"/>
      <c r="D1677" s="1409"/>
      <c r="E1677" s="1247"/>
      <c r="F1677" s="1248" t="s">
        <v>3107</v>
      </c>
      <c r="G1677" s="111"/>
      <c r="H1677" s="1249">
        <v>1</v>
      </c>
      <c r="I1677" s="111" t="s">
        <v>1721</v>
      </c>
      <c r="J1677" s="1321" t="s">
        <v>5608</v>
      </c>
      <c r="K1677" s="162" t="s">
        <v>5610</v>
      </c>
      <c r="L1677" s="162" t="s">
        <v>5609</v>
      </c>
      <c r="M1677" s="111">
        <v>37.358496000000002</v>
      </c>
      <c r="N1677" s="111">
        <v>37.358496000000002</v>
      </c>
      <c r="O1677" s="111"/>
      <c r="P1677" s="111"/>
      <c r="Q1677" s="111"/>
      <c r="R1677" s="111"/>
      <c r="S1677" s="1249">
        <v>1</v>
      </c>
      <c r="T1677" s="1250">
        <v>12.452832000000001</v>
      </c>
      <c r="U1677" s="1250"/>
      <c r="V1677" s="1250"/>
      <c r="W1677" s="1251">
        <v>0</v>
      </c>
      <c r="X1677" s="1250">
        <v>12.452832000000001</v>
      </c>
      <c r="Y1677" s="1250"/>
      <c r="Z1677" s="1250"/>
      <c r="AA1677" s="1250"/>
      <c r="AB1677" s="1250"/>
      <c r="AC1677" s="1250"/>
      <c r="AD1677" s="1250"/>
      <c r="AE1677" s="1249">
        <v>0</v>
      </c>
      <c r="AF1677" s="1250">
        <v>12.452832000000001</v>
      </c>
      <c r="AG1677" s="111"/>
      <c r="AH1677" s="111"/>
      <c r="AI1677" s="111"/>
      <c r="AJ1677" s="111"/>
      <c r="AK1677" s="111"/>
      <c r="AL1677" s="111"/>
      <c r="AM1677" s="111">
        <v>37.358496000000002</v>
      </c>
    </row>
    <row r="1678" spans="1:39" ht="15" customHeight="1" x14ac:dyDescent="0.25">
      <c r="A1678" s="1409"/>
      <c r="B1678" s="1409"/>
      <c r="C1678" s="1409"/>
      <c r="D1678" s="1409"/>
      <c r="E1678" s="1247"/>
      <c r="F1678" s="1248" t="s">
        <v>3108</v>
      </c>
      <c r="G1678" s="111"/>
      <c r="H1678" s="1249">
        <v>1</v>
      </c>
      <c r="I1678" s="111" t="s">
        <v>1721</v>
      </c>
      <c r="J1678" s="1321" t="s">
        <v>5608</v>
      </c>
      <c r="K1678" s="162" t="s">
        <v>5610</v>
      </c>
      <c r="L1678" s="162" t="s">
        <v>5609</v>
      </c>
      <c r="M1678" s="111">
        <v>37.521360000000001</v>
      </c>
      <c r="N1678" s="111">
        <v>37.521360000000001</v>
      </c>
      <c r="O1678" s="111"/>
      <c r="P1678" s="111"/>
      <c r="Q1678" s="111"/>
      <c r="R1678" s="111"/>
      <c r="S1678" s="1249">
        <v>1</v>
      </c>
      <c r="T1678" s="1250">
        <v>12.50712</v>
      </c>
      <c r="U1678" s="1250"/>
      <c r="V1678" s="1250"/>
      <c r="W1678" s="1251">
        <v>0</v>
      </c>
      <c r="X1678" s="1250">
        <v>12.50712</v>
      </c>
      <c r="Y1678" s="1250"/>
      <c r="Z1678" s="1250"/>
      <c r="AA1678" s="1250"/>
      <c r="AB1678" s="1250"/>
      <c r="AC1678" s="1250"/>
      <c r="AD1678" s="1250"/>
      <c r="AE1678" s="1249">
        <v>0</v>
      </c>
      <c r="AF1678" s="1250">
        <v>12.50712</v>
      </c>
      <c r="AG1678" s="111"/>
      <c r="AH1678" s="111"/>
      <c r="AI1678" s="111"/>
      <c r="AJ1678" s="111"/>
      <c r="AK1678" s="111"/>
      <c r="AL1678" s="111"/>
      <c r="AM1678" s="111">
        <v>37.521360000000001</v>
      </c>
    </row>
    <row r="1679" spans="1:39" ht="15" customHeight="1" x14ac:dyDescent="0.25">
      <c r="A1679" s="1409"/>
      <c r="B1679" s="1409"/>
      <c r="C1679" s="1409"/>
      <c r="D1679" s="1409"/>
      <c r="E1679" s="1247"/>
      <c r="F1679" s="1248" t="s">
        <v>3109</v>
      </c>
      <c r="G1679" s="111"/>
      <c r="H1679" s="1249">
        <v>1</v>
      </c>
      <c r="I1679" s="111" t="s">
        <v>1721</v>
      </c>
      <c r="J1679" s="1321" t="s">
        <v>5608</v>
      </c>
      <c r="K1679" s="162" t="s">
        <v>5610</v>
      </c>
      <c r="L1679" s="162" t="s">
        <v>5609</v>
      </c>
      <c r="M1679" s="111">
        <v>212.79</v>
      </c>
      <c r="N1679" s="111">
        <v>212.79</v>
      </c>
      <c r="O1679" s="111"/>
      <c r="P1679" s="111"/>
      <c r="Q1679" s="111"/>
      <c r="R1679" s="111"/>
      <c r="S1679" s="1249">
        <v>1</v>
      </c>
      <c r="T1679" s="1250">
        <v>70.929999999999993</v>
      </c>
      <c r="U1679" s="1250"/>
      <c r="V1679" s="1250"/>
      <c r="W1679" s="1251">
        <v>0</v>
      </c>
      <c r="X1679" s="1250">
        <v>70.929999999999993</v>
      </c>
      <c r="Y1679" s="1250"/>
      <c r="Z1679" s="1250"/>
      <c r="AA1679" s="1250"/>
      <c r="AB1679" s="1250"/>
      <c r="AC1679" s="1250"/>
      <c r="AD1679" s="1250"/>
      <c r="AE1679" s="1249">
        <v>0</v>
      </c>
      <c r="AF1679" s="1250">
        <v>70.929999999999993</v>
      </c>
      <c r="AG1679" s="111"/>
      <c r="AH1679" s="111"/>
      <c r="AI1679" s="111"/>
      <c r="AJ1679" s="111"/>
      <c r="AK1679" s="111"/>
      <c r="AL1679" s="111"/>
      <c r="AM1679" s="111">
        <v>212.79</v>
      </c>
    </row>
    <row r="1680" spans="1:39" ht="15" customHeight="1" x14ac:dyDescent="0.25">
      <c r="A1680" s="1409"/>
      <c r="B1680" s="1409"/>
      <c r="C1680" s="1409"/>
      <c r="D1680" s="1409"/>
      <c r="E1680" s="1247"/>
      <c r="F1680" s="1248" t="s">
        <v>3110</v>
      </c>
      <c r="G1680" s="111"/>
      <c r="H1680" s="1249">
        <v>1</v>
      </c>
      <c r="I1680" s="111" t="s">
        <v>1721</v>
      </c>
      <c r="J1680" s="1321" t="s">
        <v>5608</v>
      </c>
      <c r="K1680" s="162" t="s">
        <v>5610</v>
      </c>
      <c r="L1680" s="162" t="s">
        <v>5609</v>
      </c>
      <c r="M1680" s="111">
        <v>561.70000000000005</v>
      </c>
      <c r="N1680" s="111">
        <v>561.70000000000005</v>
      </c>
      <c r="O1680" s="111"/>
      <c r="P1680" s="111"/>
      <c r="Q1680" s="111"/>
      <c r="R1680" s="111"/>
      <c r="S1680" s="1249">
        <v>1</v>
      </c>
      <c r="T1680" s="1250">
        <v>187.23333333333335</v>
      </c>
      <c r="U1680" s="1250"/>
      <c r="V1680" s="1250"/>
      <c r="W1680" s="1251">
        <v>0</v>
      </c>
      <c r="X1680" s="1250">
        <v>187.23333333333335</v>
      </c>
      <c r="Y1680" s="1250"/>
      <c r="Z1680" s="1250"/>
      <c r="AA1680" s="1250"/>
      <c r="AB1680" s="1250"/>
      <c r="AC1680" s="1250"/>
      <c r="AD1680" s="1250"/>
      <c r="AE1680" s="1249">
        <v>0</v>
      </c>
      <c r="AF1680" s="1250">
        <v>187.23333333333335</v>
      </c>
      <c r="AG1680" s="111"/>
      <c r="AH1680" s="111"/>
      <c r="AI1680" s="111"/>
      <c r="AJ1680" s="111"/>
      <c r="AK1680" s="111"/>
      <c r="AL1680" s="111"/>
      <c r="AM1680" s="111">
        <v>561.70000000000005</v>
      </c>
    </row>
    <row r="1681" spans="1:39" ht="15" customHeight="1" x14ac:dyDescent="0.25">
      <c r="A1681" s="1409"/>
      <c r="B1681" s="1409"/>
      <c r="C1681" s="1409"/>
      <c r="D1681" s="1409"/>
      <c r="E1681" s="1247"/>
      <c r="F1681" s="1248" t="s">
        <v>3111</v>
      </c>
      <c r="G1681" s="111"/>
      <c r="H1681" s="1249">
        <v>1</v>
      </c>
      <c r="I1681" s="111" t="s">
        <v>1721</v>
      </c>
      <c r="J1681" s="1321" t="s">
        <v>5608</v>
      </c>
      <c r="K1681" s="162" t="s">
        <v>5610</v>
      </c>
      <c r="L1681" s="162" t="s">
        <v>5609</v>
      </c>
      <c r="M1681" s="111">
        <v>251.38079999999999</v>
      </c>
      <c r="N1681" s="111">
        <v>251.38079999999999</v>
      </c>
      <c r="O1681" s="111"/>
      <c r="P1681" s="111"/>
      <c r="Q1681" s="111"/>
      <c r="R1681" s="111"/>
      <c r="S1681" s="1249">
        <v>1</v>
      </c>
      <c r="T1681" s="1250">
        <v>83.793599999999998</v>
      </c>
      <c r="U1681" s="1250"/>
      <c r="V1681" s="1250"/>
      <c r="W1681" s="1251">
        <v>0</v>
      </c>
      <c r="X1681" s="1250">
        <v>83.793599999999998</v>
      </c>
      <c r="Y1681" s="1250"/>
      <c r="Z1681" s="1250"/>
      <c r="AA1681" s="1250"/>
      <c r="AB1681" s="1250"/>
      <c r="AC1681" s="1250"/>
      <c r="AD1681" s="1250"/>
      <c r="AE1681" s="1249">
        <v>0</v>
      </c>
      <c r="AF1681" s="1250">
        <v>83.793599999999998</v>
      </c>
      <c r="AG1681" s="111"/>
      <c r="AH1681" s="111"/>
      <c r="AI1681" s="111"/>
      <c r="AJ1681" s="111"/>
      <c r="AK1681" s="111"/>
      <c r="AL1681" s="111"/>
      <c r="AM1681" s="111">
        <v>251.38079999999999</v>
      </c>
    </row>
    <row r="1682" spans="1:39" ht="15" customHeight="1" x14ac:dyDescent="0.25">
      <c r="A1682" s="1409"/>
      <c r="B1682" s="1409"/>
      <c r="C1682" s="1409"/>
      <c r="D1682" s="1409"/>
      <c r="E1682" s="1247"/>
      <c r="F1682" s="1248" t="s">
        <v>3112</v>
      </c>
      <c r="G1682" s="111"/>
      <c r="H1682" s="1249">
        <v>1</v>
      </c>
      <c r="I1682" s="111" t="s">
        <v>1721</v>
      </c>
      <c r="J1682" s="1321" t="s">
        <v>5608</v>
      </c>
      <c r="K1682" s="162" t="s">
        <v>5610</v>
      </c>
      <c r="L1682" s="162" t="s">
        <v>5609</v>
      </c>
      <c r="M1682" s="111">
        <v>287.76</v>
      </c>
      <c r="N1682" s="111">
        <v>287.76</v>
      </c>
      <c r="O1682" s="111"/>
      <c r="P1682" s="111"/>
      <c r="Q1682" s="111"/>
      <c r="R1682" s="111"/>
      <c r="S1682" s="1249">
        <v>1</v>
      </c>
      <c r="T1682" s="1250">
        <v>95.92</v>
      </c>
      <c r="U1682" s="1250"/>
      <c r="V1682" s="1250"/>
      <c r="W1682" s="1251">
        <v>0</v>
      </c>
      <c r="X1682" s="1250">
        <v>95.92</v>
      </c>
      <c r="Y1682" s="1250"/>
      <c r="Z1682" s="1250"/>
      <c r="AA1682" s="1250"/>
      <c r="AB1682" s="1250"/>
      <c r="AC1682" s="1250"/>
      <c r="AD1682" s="1250"/>
      <c r="AE1682" s="1249">
        <v>0</v>
      </c>
      <c r="AF1682" s="1250">
        <v>95.92</v>
      </c>
      <c r="AG1682" s="111"/>
      <c r="AH1682" s="111"/>
      <c r="AI1682" s="111"/>
      <c r="AJ1682" s="111"/>
      <c r="AK1682" s="111"/>
      <c r="AL1682" s="111"/>
      <c r="AM1682" s="111">
        <v>287.76</v>
      </c>
    </row>
    <row r="1683" spans="1:39" ht="15" customHeight="1" x14ac:dyDescent="0.25">
      <c r="A1683" s="1409"/>
      <c r="B1683" s="1409"/>
      <c r="C1683" s="1409"/>
      <c r="D1683" s="1409"/>
      <c r="E1683" s="1247"/>
      <c r="F1683" s="1248" t="s">
        <v>3113</v>
      </c>
      <c r="G1683" s="111"/>
      <c r="H1683" s="1249">
        <v>1</v>
      </c>
      <c r="I1683" s="111" t="s">
        <v>1721</v>
      </c>
      <c r="J1683" s="1321" t="s">
        <v>5608</v>
      </c>
      <c r="K1683" s="162" t="s">
        <v>5610</v>
      </c>
      <c r="L1683" s="162" t="s">
        <v>5609</v>
      </c>
      <c r="M1683" s="111">
        <v>318.59956800000003</v>
      </c>
      <c r="N1683" s="111">
        <v>318.59956800000003</v>
      </c>
      <c r="O1683" s="111"/>
      <c r="P1683" s="111"/>
      <c r="Q1683" s="111"/>
      <c r="R1683" s="111"/>
      <c r="S1683" s="1249">
        <v>1</v>
      </c>
      <c r="T1683" s="1250">
        <v>106.19985600000001</v>
      </c>
      <c r="U1683" s="1250"/>
      <c r="V1683" s="1250"/>
      <c r="W1683" s="1251">
        <v>0</v>
      </c>
      <c r="X1683" s="1250">
        <v>106.19985600000001</v>
      </c>
      <c r="Y1683" s="1250"/>
      <c r="Z1683" s="1250"/>
      <c r="AA1683" s="1250"/>
      <c r="AB1683" s="1250"/>
      <c r="AC1683" s="1250"/>
      <c r="AD1683" s="1250"/>
      <c r="AE1683" s="1249">
        <v>0</v>
      </c>
      <c r="AF1683" s="1250">
        <v>106.19985600000001</v>
      </c>
      <c r="AG1683" s="111"/>
      <c r="AH1683" s="111"/>
      <c r="AI1683" s="111"/>
      <c r="AJ1683" s="111"/>
      <c r="AK1683" s="111"/>
      <c r="AL1683" s="111"/>
      <c r="AM1683" s="111">
        <v>318.59956800000003</v>
      </c>
    </row>
    <row r="1684" spans="1:39" ht="15" customHeight="1" x14ac:dyDescent="0.25">
      <c r="A1684" s="1409"/>
      <c r="B1684" s="1409"/>
      <c r="C1684" s="1409"/>
      <c r="D1684" s="1409"/>
      <c r="E1684" s="1247"/>
      <c r="F1684" s="1248" t="s">
        <v>3114</v>
      </c>
      <c r="G1684" s="111"/>
      <c r="H1684" s="1249">
        <v>1</v>
      </c>
      <c r="I1684" s="111" t="s">
        <v>1721</v>
      </c>
      <c r="J1684" s="1321" t="s">
        <v>5608</v>
      </c>
      <c r="K1684" s="162" t="s">
        <v>5610</v>
      </c>
      <c r="L1684" s="162" t="s">
        <v>5609</v>
      </c>
      <c r="M1684" s="111">
        <v>74.099999999999994</v>
      </c>
      <c r="N1684" s="111">
        <v>74.099999999999994</v>
      </c>
      <c r="O1684" s="111"/>
      <c r="P1684" s="111"/>
      <c r="Q1684" s="111"/>
      <c r="R1684" s="111"/>
      <c r="S1684" s="1249">
        <v>1</v>
      </c>
      <c r="T1684" s="1250">
        <v>24.7</v>
      </c>
      <c r="U1684" s="1250"/>
      <c r="V1684" s="1250"/>
      <c r="W1684" s="1251">
        <v>0</v>
      </c>
      <c r="X1684" s="1250">
        <v>24.7</v>
      </c>
      <c r="Y1684" s="1250"/>
      <c r="Z1684" s="1250"/>
      <c r="AA1684" s="1250"/>
      <c r="AB1684" s="1250"/>
      <c r="AC1684" s="1250"/>
      <c r="AD1684" s="1250"/>
      <c r="AE1684" s="1249">
        <v>0</v>
      </c>
      <c r="AF1684" s="1250">
        <v>24.7</v>
      </c>
      <c r="AG1684" s="111"/>
      <c r="AH1684" s="111"/>
      <c r="AI1684" s="111"/>
      <c r="AJ1684" s="111"/>
      <c r="AK1684" s="111"/>
      <c r="AL1684" s="111"/>
      <c r="AM1684" s="111">
        <v>74.099999999999994</v>
      </c>
    </row>
    <row r="1685" spans="1:39" ht="15" customHeight="1" x14ac:dyDescent="0.25">
      <c r="A1685" s="1409"/>
      <c r="B1685" s="1409"/>
      <c r="C1685" s="1409"/>
      <c r="D1685" s="1409"/>
      <c r="E1685" s="1247"/>
      <c r="F1685" s="1248" t="s">
        <v>3115</v>
      </c>
      <c r="G1685" s="111"/>
      <c r="H1685" s="1249">
        <v>1</v>
      </c>
      <c r="I1685" s="111" t="s">
        <v>1721</v>
      </c>
      <c r="J1685" s="1321" t="s">
        <v>5608</v>
      </c>
      <c r="K1685" s="162" t="s">
        <v>5610</v>
      </c>
      <c r="L1685" s="162" t="s">
        <v>5609</v>
      </c>
      <c r="M1685" s="111">
        <v>74.099999999999994</v>
      </c>
      <c r="N1685" s="111">
        <v>74.099999999999994</v>
      </c>
      <c r="O1685" s="111"/>
      <c r="P1685" s="111"/>
      <c r="Q1685" s="111"/>
      <c r="R1685" s="111"/>
      <c r="S1685" s="1249">
        <v>1</v>
      </c>
      <c r="T1685" s="1250">
        <v>24.7</v>
      </c>
      <c r="U1685" s="1250"/>
      <c r="V1685" s="1250"/>
      <c r="W1685" s="1251">
        <v>0</v>
      </c>
      <c r="X1685" s="1250">
        <v>24.7</v>
      </c>
      <c r="Y1685" s="1250"/>
      <c r="Z1685" s="1250"/>
      <c r="AA1685" s="1250"/>
      <c r="AB1685" s="1250"/>
      <c r="AC1685" s="1250"/>
      <c r="AD1685" s="1250"/>
      <c r="AE1685" s="1249">
        <v>0</v>
      </c>
      <c r="AF1685" s="1250">
        <v>24.7</v>
      </c>
      <c r="AG1685" s="111"/>
      <c r="AH1685" s="111"/>
      <c r="AI1685" s="111"/>
      <c r="AJ1685" s="111"/>
      <c r="AK1685" s="111"/>
      <c r="AL1685" s="111"/>
      <c r="AM1685" s="111">
        <v>74.099999999999994</v>
      </c>
    </row>
    <row r="1686" spans="1:39" ht="15" customHeight="1" x14ac:dyDescent="0.25">
      <c r="A1686" s="1409"/>
      <c r="B1686" s="1409"/>
      <c r="C1686" s="1409"/>
      <c r="D1686" s="1409"/>
      <c r="E1686" s="1247"/>
      <c r="F1686" s="1248" t="s">
        <v>3116</v>
      </c>
      <c r="G1686" s="111"/>
      <c r="H1686" s="1249">
        <v>1</v>
      </c>
      <c r="I1686" s="111" t="s">
        <v>1721</v>
      </c>
      <c r="J1686" s="1321" t="s">
        <v>5608</v>
      </c>
      <c r="K1686" s="162" t="s">
        <v>5610</v>
      </c>
      <c r="L1686" s="162" t="s">
        <v>5609</v>
      </c>
      <c r="M1686" s="111">
        <v>452.02</v>
      </c>
      <c r="N1686" s="111">
        <v>452.02</v>
      </c>
      <c r="O1686" s="111"/>
      <c r="P1686" s="111"/>
      <c r="Q1686" s="111"/>
      <c r="R1686" s="111"/>
      <c r="S1686" s="1249">
        <v>1</v>
      </c>
      <c r="T1686" s="1250">
        <v>150.67333333333332</v>
      </c>
      <c r="U1686" s="1250"/>
      <c r="V1686" s="1250"/>
      <c r="W1686" s="1251">
        <v>0</v>
      </c>
      <c r="X1686" s="1250">
        <v>150.67333333333332</v>
      </c>
      <c r="Y1686" s="1250"/>
      <c r="Z1686" s="1250"/>
      <c r="AA1686" s="1250"/>
      <c r="AB1686" s="1250"/>
      <c r="AC1686" s="1250"/>
      <c r="AD1686" s="1250"/>
      <c r="AE1686" s="1249">
        <v>0</v>
      </c>
      <c r="AF1686" s="1250">
        <v>150.67333333333332</v>
      </c>
      <c r="AG1686" s="111"/>
      <c r="AH1686" s="111"/>
      <c r="AI1686" s="111"/>
      <c r="AJ1686" s="111"/>
      <c r="AK1686" s="111"/>
      <c r="AL1686" s="111"/>
      <c r="AM1686" s="111">
        <v>452.02</v>
      </c>
    </row>
    <row r="1687" spans="1:39" ht="15" customHeight="1" x14ac:dyDescent="0.25">
      <c r="A1687" s="1409"/>
      <c r="B1687" s="1409"/>
      <c r="C1687" s="1409"/>
      <c r="D1687" s="1409"/>
      <c r="E1687" s="1247"/>
      <c r="F1687" s="1248" t="s">
        <v>3071</v>
      </c>
      <c r="G1687" s="111"/>
      <c r="H1687" s="1249">
        <v>20</v>
      </c>
      <c r="I1687" s="111" t="s">
        <v>1721</v>
      </c>
      <c r="J1687" s="1321" t="s">
        <v>5608</v>
      </c>
      <c r="K1687" s="162" t="s">
        <v>5610</v>
      </c>
      <c r="L1687" s="162" t="s">
        <v>5609</v>
      </c>
      <c r="M1687" s="111">
        <v>74.240927999999997</v>
      </c>
      <c r="N1687" s="111">
        <v>1484.8185599999999</v>
      </c>
      <c r="O1687" s="111"/>
      <c r="P1687" s="111"/>
      <c r="Q1687" s="111"/>
      <c r="R1687" s="111"/>
      <c r="S1687" s="1249">
        <v>10</v>
      </c>
      <c r="T1687" s="1250">
        <v>494.93951999999996</v>
      </c>
      <c r="U1687" s="1250"/>
      <c r="V1687" s="1250"/>
      <c r="W1687" s="1251">
        <v>5</v>
      </c>
      <c r="X1687" s="1250">
        <v>494.93951999999996</v>
      </c>
      <c r="Y1687" s="1250"/>
      <c r="Z1687" s="1250"/>
      <c r="AA1687" s="1250"/>
      <c r="AB1687" s="1250"/>
      <c r="AC1687" s="1250"/>
      <c r="AD1687" s="1250"/>
      <c r="AE1687" s="1249">
        <v>5</v>
      </c>
      <c r="AF1687" s="1250">
        <v>494.93951999999996</v>
      </c>
      <c r="AG1687" s="111"/>
      <c r="AH1687" s="111"/>
      <c r="AI1687" s="111"/>
      <c r="AJ1687" s="111"/>
      <c r="AK1687" s="111"/>
      <c r="AL1687" s="111"/>
      <c r="AM1687" s="111">
        <v>1484.8185599999999</v>
      </c>
    </row>
    <row r="1688" spans="1:39" ht="15" customHeight="1" x14ac:dyDescent="0.25">
      <c r="A1688" s="1409"/>
      <c r="B1688" s="1409"/>
      <c r="C1688" s="1409"/>
      <c r="D1688" s="1409"/>
      <c r="E1688" s="1247"/>
      <c r="F1688" s="1248" t="s">
        <v>3073</v>
      </c>
      <c r="G1688" s="111"/>
      <c r="H1688" s="1249">
        <v>1</v>
      </c>
      <c r="I1688" s="111" t="s">
        <v>1722</v>
      </c>
      <c r="J1688" s="1321" t="s">
        <v>5608</v>
      </c>
      <c r="K1688" s="162" t="s">
        <v>5610</v>
      </c>
      <c r="L1688" s="162" t="s">
        <v>5609</v>
      </c>
      <c r="M1688" s="111">
        <v>506.52</v>
      </c>
      <c r="N1688" s="111">
        <v>506.52</v>
      </c>
      <c r="O1688" s="111"/>
      <c r="P1688" s="111"/>
      <c r="Q1688" s="111"/>
      <c r="R1688" s="111"/>
      <c r="S1688" s="1249">
        <v>1</v>
      </c>
      <c r="T1688" s="1250">
        <v>168.84</v>
      </c>
      <c r="U1688" s="1250"/>
      <c r="V1688" s="1250"/>
      <c r="W1688" s="1251">
        <v>0</v>
      </c>
      <c r="X1688" s="1250">
        <v>168.84</v>
      </c>
      <c r="Y1688" s="1250"/>
      <c r="Z1688" s="1250"/>
      <c r="AA1688" s="1250"/>
      <c r="AB1688" s="1250"/>
      <c r="AC1688" s="1250"/>
      <c r="AD1688" s="1250"/>
      <c r="AE1688" s="1249">
        <v>0</v>
      </c>
      <c r="AF1688" s="1250">
        <v>168.84</v>
      </c>
      <c r="AG1688" s="111"/>
      <c r="AH1688" s="111"/>
      <c r="AI1688" s="111"/>
      <c r="AJ1688" s="111"/>
      <c r="AK1688" s="111"/>
      <c r="AL1688" s="111"/>
      <c r="AM1688" s="111">
        <v>506.52</v>
      </c>
    </row>
    <row r="1689" spans="1:39" ht="15" customHeight="1" x14ac:dyDescent="0.25">
      <c r="A1689" s="1409"/>
      <c r="B1689" s="1409"/>
      <c r="C1689" s="1409"/>
      <c r="D1689" s="1409"/>
      <c r="E1689" s="1247"/>
      <c r="F1689" s="1248" t="s">
        <v>3074</v>
      </c>
      <c r="G1689" s="111"/>
      <c r="H1689" s="1249">
        <v>1</v>
      </c>
      <c r="I1689" s="111" t="s">
        <v>1722</v>
      </c>
      <c r="J1689" s="1321" t="s">
        <v>5608</v>
      </c>
      <c r="K1689" s="162" t="s">
        <v>5610</v>
      </c>
      <c r="L1689" s="162" t="s">
        <v>5609</v>
      </c>
      <c r="M1689" s="111">
        <v>496.81036799999998</v>
      </c>
      <c r="N1689" s="111">
        <v>496.81036799999998</v>
      </c>
      <c r="O1689" s="111"/>
      <c r="P1689" s="111"/>
      <c r="Q1689" s="111"/>
      <c r="R1689" s="111"/>
      <c r="S1689" s="1249">
        <v>1</v>
      </c>
      <c r="T1689" s="1250">
        <v>165.60345599999999</v>
      </c>
      <c r="U1689" s="1250"/>
      <c r="V1689" s="1250"/>
      <c r="W1689" s="1251">
        <v>0</v>
      </c>
      <c r="X1689" s="1250">
        <v>165.60345599999999</v>
      </c>
      <c r="Y1689" s="1250"/>
      <c r="Z1689" s="1250"/>
      <c r="AA1689" s="1250"/>
      <c r="AB1689" s="1250"/>
      <c r="AC1689" s="1250"/>
      <c r="AD1689" s="1250"/>
      <c r="AE1689" s="1249">
        <v>0</v>
      </c>
      <c r="AF1689" s="1250">
        <v>165.60345599999999</v>
      </c>
      <c r="AG1689" s="111"/>
      <c r="AH1689" s="111"/>
      <c r="AI1689" s="111"/>
      <c r="AJ1689" s="111"/>
      <c r="AK1689" s="111"/>
      <c r="AL1689" s="111"/>
      <c r="AM1689" s="111">
        <v>496.81036799999998</v>
      </c>
    </row>
    <row r="1690" spans="1:39" ht="15" customHeight="1" x14ac:dyDescent="0.25">
      <c r="A1690" s="1409"/>
      <c r="B1690" s="1409"/>
      <c r="C1690" s="1409"/>
      <c r="D1690" s="1409"/>
      <c r="E1690" s="1247"/>
      <c r="F1690" s="1248" t="s">
        <v>3117</v>
      </c>
      <c r="G1690" s="111"/>
      <c r="H1690" s="1249">
        <v>1</v>
      </c>
      <c r="I1690" s="111" t="s">
        <v>1721</v>
      </c>
      <c r="J1690" s="1321" t="s">
        <v>5608</v>
      </c>
      <c r="K1690" s="162" t="s">
        <v>5610</v>
      </c>
      <c r="L1690" s="162" t="s">
        <v>5609</v>
      </c>
      <c r="M1690" s="111">
        <v>100.36</v>
      </c>
      <c r="N1690" s="111">
        <v>100.36</v>
      </c>
      <c r="O1690" s="111"/>
      <c r="P1690" s="111"/>
      <c r="Q1690" s="111"/>
      <c r="R1690" s="111"/>
      <c r="S1690" s="1249">
        <v>1</v>
      </c>
      <c r="T1690" s="1250">
        <v>33.453333333333333</v>
      </c>
      <c r="U1690" s="1250"/>
      <c r="V1690" s="1250"/>
      <c r="W1690" s="1251">
        <v>0</v>
      </c>
      <c r="X1690" s="1250">
        <v>33.453333333333333</v>
      </c>
      <c r="Y1690" s="1250"/>
      <c r="Z1690" s="1250"/>
      <c r="AA1690" s="1250"/>
      <c r="AB1690" s="1250"/>
      <c r="AC1690" s="1250"/>
      <c r="AD1690" s="1250"/>
      <c r="AE1690" s="1249">
        <v>0</v>
      </c>
      <c r="AF1690" s="1250">
        <v>33.453333333333333</v>
      </c>
      <c r="AG1690" s="111"/>
      <c r="AH1690" s="111"/>
      <c r="AI1690" s="111"/>
      <c r="AJ1690" s="111"/>
      <c r="AK1690" s="111"/>
      <c r="AL1690" s="111"/>
      <c r="AM1690" s="111">
        <v>100.36</v>
      </c>
    </row>
    <row r="1691" spans="1:39" ht="15" customHeight="1" x14ac:dyDescent="0.25">
      <c r="A1691" s="1409"/>
      <c r="B1691" s="1409"/>
      <c r="C1691" s="1409"/>
      <c r="D1691" s="1409"/>
      <c r="E1691" s="1247"/>
      <c r="F1691" s="1248" t="s">
        <v>3118</v>
      </c>
      <c r="G1691" s="111"/>
      <c r="H1691" s="1249">
        <v>1</v>
      </c>
      <c r="I1691" s="111" t="s">
        <v>1721</v>
      </c>
      <c r="J1691" s="1321" t="s">
        <v>5608</v>
      </c>
      <c r="K1691" s="162" t="s">
        <v>5610</v>
      </c>
      <c r="L1691" s="162" t="s">
        <v>5609</v>
      </c>
      <c r="M1691" s="111">
        <v>1677.18</v>
      </c>
      <c r="N1691" s="111">
        <v>1677.18</v>
      </c>
      <c r="O1691" s="111"/>
      <c r="P1691" s="111"/>
      <c r="Q1691" s="111"/>
      <c r="R1691" s="111"/>
      <c r="S1691" s="1249">
        <v>1</v>
      </c>
      <c r="T1691" s="1250">
        <v>559.06000000000006</v>
      </c>
      <c r="U1691" s="1250"/>
      <c r="V1691" s="1250"/>
      <c r="W1691" s="1251">
        <v>0</v>
      </c>
      <c r="X1691" s="1250">
        <v>559.06000000000006</v>
      </c>
      <c r="Y1691" s="1250"/>
      <c r="Z1691" s="1250"/>
      <c r="AA1691" s="1250"/>
      <c r="AB1691" s="1250"/>
      <c r="AC1691" s="1250"/>
      <c r="AD1691" s="1250"/>
      <c r="AE1691" s="1249">
        <v>0</v>
      </c>
      <c r="AF1691" s="1250">
        <v>559.06000000000006</v>
      </c>
      <c r="AG1691" s="111"/>
      <c r="AH1691" s="111"/>
      <c r="AI1691" s="111"/>
      <c r="AJ1691" s="111"/>
      <c r="AK1691" s="111"/>
      <c r="AL1691" s="111"/>
      <c r="AM1691" s="111">
        <v>1677.18</v>
      </c>
    </row>
    <row r="1692" spans="1:39" ht="15" customHeight="1" x14ac:dyDescent="0.25">
      <c r="A1692" s="1409"/>
      <c r="B1692" s="1409"/>
      <c r="C1692" s="1409"/>
      <c r="D1692" s="1409"/>
      <c r="E1692" s="1247"/>
      <c r="F1692" s="1248" t="s">
        <v>3119</v>
      </c>
      <c r="G1692" s="111"/>
      <c r="H1692" s="1249">
        <v>1</v>
      </c>
      <c r="I1692" s="111" t="s">
        <v>1721</v>
      </c>
      <c r="J1692" s="1321" t="s">
        <v>5608</v>
      </c>
      <c r="K1692" s="162" t="s">
        <v>5610</v>
      </c>
      <c r="L1692" s="162" t="s">
        <v>5609</v>
      </c>
      <c r="M1692" s="111">
        <v>320.05</v>
      </c>
      <c r="N1692" s="111">
        <v>320.05</v>
      </c>
      <c r="O1692" s="111"/>
      <c r="P1692" s="111"/>
      <c r="Q1692" s="111"/>
      <c r="R1692" s="111"/>
      <c r="S1692" s="1249">
        <v>1</v>
      </c>
      <c r="T1692" s="1250">
        <v>106.68333333333334</v>
      </c>
      <c r="U1692" s="1250"/>
      <c r="V1692" s="1250"/>
      <c r="W1692" s="1251">
        <v>0</v>
      </c>
      <c r="X1692" s="1250">
        <v>106.68333333333334</v>
      </c>
      <c r="Y1692" s="1250"/>
      <c r="Z1692" s="1250"/>
      <c r="AA1692" s="1250"/>
      <c r="AB1692" s="1250"/>
      <c r="AC1692" s="1250"/>
      <c r="AD1692" s="1250"/>
      <c r="AE1692" s="1249">
        <v>0</v>
      </c>
      <c r="AF1692" s="1250">
        <v>106.68333333333334</v>
      </c>
      <c r="AG1692" s="111"/>
      <c r="AH1692" s="111"/>
      <c r="AI1692" s="111"/>
      <c r="AJ1692" s="111"/>
      <c r="AK1692" s="111"/>
      <c r="AL1692" s="111"/>
      <c r="AM1692" s="111">
        <v>320.05</v>
      </c>
    </row>
    <row r="1693" spans="1:39" ht="15" customHeight="1" x14ac:dyDescent="0.25">
      <c r="A1693" s="1409"/>
      <c r="B1693" s="1409"/>
      <c r="C1693" s="1409"/>
      <c r="D1693" s="1409"/>
      <c r="E1693" s="1247"/>
      <c r="F1693" s="1248" t="s">
        <v>3120</v>
      </c>
      <c r="G1693" s="111"/>
      <c r="H1693" s="1249">
        <v>1</v>
      </c>
      <c r="I1693" s="111" t="s">
        <v>1721</v>
      </c>
      <c r="J1693" s="1321" t="s">
        <v>5608</v>
      </c>
      <c r="K1693" s="162" t="s">
        <v>5610</v>
      </c>
      <c r="L1693" s="162" t="s">
        <v>5609</v>
      </c>
      <c r="M1693" s="111">
        <v>37.33</v>
      </c>
      <c r="N1693" s="111">
        <v>37.33</v>
      </c>
      <c r="O1693" s="111"/>
      <c r="P1693" s="111"/>
      <c r="Q1693" s="111"/>
      <c r="R1693" s="111"/>
      <c r="S1693" s="1249">
        <v>1</v>
      </c>
      <c r="T1693" s="1250">
        <v>12.443333333333333</v>
      </c>
      <c r="U1693" s="1250"/>
      <c r="V1693" s="1250"/>
      <c r="W1693" s="1251">
        <v>0</v>
      </c>
      <c r="X1693" s="1250">
        <v>12.443333333333333</v>
      </c>
      <c r="Y1693" s="1250"/>
      <c r="Z1693" s="1250"/>
      <c r="AA1693" s="1250"/>
      <c r="AB1693" s="1250"/>
      <c r="AC1693" s="1250"/>
      <c r="AD1693" s="1250"/>
      <c r="AE1693" s="1249">
        <v>0</v>
      </c>
      <c r="AF1693" s="1250">
        <v>12.443333333333333</v>
      </c>
      <c r="AG1693" s="111"/>
      <c r="AH1693" s="111"/>
      <c r="AI1693" s="111"/>
      <c r="AJ1693" s="111"/>
      <c r="AK1693" s="111"/>
      <c r="AL1693" s="111"/>
      <c r="AM1693" s="111">
        <v>37.33</v>
      </c>
    </row>
    <row r="1694" spans="1:39" ht="15" customHeight="1" x14ac:dyDescent="0.25">
      <c r="A1694" s="1409"/>
      <c r="B1694" s="1409"/>
      <c r="C1694" s="1409"/>
      <c r="D1694" s="1409"/>
      <c r="E1694" s="1247"/>
      <c r="F1694" s="1248" t="s">
        <v>3121</v>
      </c>
      <c r="G1694" s="111"/>
      <c r="H1694" s="1249">
        <v>1</v>
      </c>
      <c r="I1694" s="111" t="s">
        <v>1722</v>
      </c>
      <c r="J1694" s="1321" t="s">
        <v>5608</v>
      </c>
      <c r="K1694" s="162" t="s">
        <v>5610</v>
      </c>
      <c r="L1694" s="162" t="s">
        <v>5609</v>
      </c>
      <c r="M1694" s="111">
        <v>90.59</v>
      </c>
      <c r="N1694" s="111">
        <v>90.59</v>
      </c>
      <c r="O1694" s="111"/>
      <c r="P1694" s="111"/>
      <c r="Q1694" s="111"/>
      <c r="R1694" s="111"/>
      <c r="S1694" s="1249">
        <v>1</v>
      </c>
      <c r="T1694" s="1250">
        <v>30.196666666666669</v>
      </c>
      <c r="U1694" s="1250"/>
      <c r="V1694" s="1250"/>
      <c r="W1694" s="1251">
        <v>0</v>
      </c>
      <c r="X1694" s="1250">
        <v>30.196666666666669</v>
      </c>
      <c r="Y1694" s="1250"/>
      <c r="Z1694" s="1250"/>
      <c r="AA1694" s="1250"/>
      <c r="AB1694" s="1250"/>
      <c r="AC1694" s="1250"/>
      <c r="AD1694" s="1250"/>
      <c r="AE1694" s="1249">
        <v>0</v>
      </c>
      <c r="AF1694" s="1250">
        <v>30.196666666666669</v>
      </c>
      <c r="AG1694" s="111"/>
      <c r="AH1694" s="111"/>
      <c r="AI1694" s="111"/>
      <c r="AJ1694" s="111"/>
      <c r="AK1694" s="111"/>
      <c r="AL1694" s="111"/>
      <c r="AM1694" s="111">
        <v>90.59</v>
      </c>
    </row>
    <row r="1695" spans="1:39" ht="15" customHeight="1" x14ac:dyDescent="0.25">
      <c r="A1695" s="1409"/>
      <c r="B1695" s="1409"/>
      <c r="C1695" s="1409"/>
      <c r="D1695" s="1409"/>
      <c r="E1695" s="1247"/>
      <c r="F1695" s="1248" t="s">
        <v>3122</v>
      </c>
      <c r="G1695" s="111"/>
      <c r="H1695" s="1249">
        <v>1</v>
      </c>
      <c r="I1695" s="111" t="s">
        <v>1721</v>
      </c>
      <c r="J1695" s="1321" t="s">
        <v>5608</v>
      </c>
      <c r="K1695" s="162" t="s">
        <v>5610</v>
      </c>
      <c r="L1695" s="162" t="s">
        <v>5609</v>
      </c>
      <c r="M1695" s="111">
        <v>113.45400000000001</v>
      </c>
      <c r="N1695" s="111">
        <v>113.45400000000001</v>
      </c>
      <c r="O1695" s="111"/>
      <c r="P1695" s="111"/>
      <c r="Q1695" s="111"/>
      <c r="R1695" s="111"/>
      <c r="S1695" s="1249">
        <v>1</v>
      </c>
      <c r="T1695" s="1250">
        <v>37.818000000000005</v>
      </c>
      <c r="U1695" s="1250"/>
      <c r="V1695" s="1250"/>
      <c r="W1695" s="1251">
        <v>0</v>
      </c>
      <c r="X1695" s="1250">
        <v>37.818000000000005</v>
      </c>
      <c r="Y1695" s="1250"/>
      <c r="Z1695" s="1250"/>
      <c r="AA1695" s="1250"/>
      <c r="AB1695" s="1250"/>
      <c r="AC1695" s="1250"/>
      <c r="AD1695" s="1250"/>
      <c r="AE1695" s="1249">
        <v>0</v>
      </c>
      <c r="AF1695" s="1250">
        <v>37.818000000000005</v>
      </c>
      <c r="AG1695" s="111"/>
      <c r="AH1695" s="111"/>
      <c r="AI1695" s="111"/>
      <c r="AJ1695" s="111"/>
      <c r="AK1695" s="111"/>
      <c r="AL1695" s="111"/>
      <c r="AM1695" s="111">
        <v>113.45400000000001</v>
      </c>
    </row>
    <row r="1696" spans="1:39" ht="15" customHeight="1" x14ac:dyDescent="0.25">
      <c r="A1696" s="1409"/>
      <c r="B1696" s="1409"/>
      <c r="C1696" s="1409"/>
      <c r="D1696" s="1409"/>
      <c r="E1696" s="1247"/>
      <c r="F1696" s="1248" t="s">
        <v>3124</v>
      </c>
      <c r="G1696" s="111"/>
      <c r="H1696" s="1249">
        <v>1</v>
      </c>
      <c r="I1696" s="111" t="s">
        <v>1721</v>
      </c>
      <c r="J1696" s="1321" t="s">
        <v>5608</v>
      </c>
      <c r="K1696" s="162" t="s">
        <v>5610</v>
      </c>
      <c r="L1696" s="162" t="s">
        <v>5609</v>
      </c>
      <c r="M1696" s="111">
        <v>37.521360000000001</v>
      </c>
      <c r="N1696" s="111">
        <v>37.521360000000001</v>
      </c>
      <c r="O1696" s="111"/>
      <c r="P1696" s="111"/>
      <c r="Q1696" s="111"/>
      <c r="R1696" s="111"/>
      <c r="S1696" s="1249">
        <v>1</v>
      </c>
      <c r="T1696" s="1250">
        <v>12.50712</v>
      </c>
      <c r="U1696" s="1250"/>
      <c r="V1696" s="1250"/>
      <c r="W1696" s="1251">
        <v>0</v>
      </c>
      <c r="X1696" s="1250">
        <v>12.50712</v>
      </c>
      <c r="Y1696" s="1250"/>
      <c r="Z1696" s="1250"/>
      <c r="AA1696" s="1250"/>
      <c r="AB1696" s="1250"/>
      <c r="AC1696" s="1250"/>
      <c r="AD1696" s="1250"/>
      <c r="AE1696" s="1249">
        <v>0</v>
      </c>
      <c r="AF1696" s="1250">
        <v>12.50712</v>
      </c>
      <c r="AG1696" s="111"/>
      <c r="AH1696" s="111"/>
      <c r="AI1696" s="111"/>
      <c r="AJ1696" s="111"/>
      <c r="AK1696" s="111"/>
      <c r="AL1696" s="111"/>
      <c r="AM1696" s="111">
        <v>37.521360000000001</v>
      </c>
    </row>
    <row r="1697" spans="1:39" ht="15" customHeight="1" x14ac:dyDescent="0.25">
      <c r="A1697" s="1409"/>
      <c r="B1697" s="1409"/>
      <c r="C1697" s="1409"/>
      <c r="D1697" s="1409"/>
      <c r="E1697" s="1247"/>
      <c r="F1697" s="1248" t="s">
        <v>3125</v>
      </c>
      <c r="G1697" s="111"/>
      <c r="H1697" s="1249">
        <v>1</v>
      </c>
      <c r="I1697" s="111" t="s">
        <v>1721</v>
      </c>
      <c r="J1697" s="1321" t="s">
        <v>5608</v>
      </c>
      <c r="K1697" s="162" t="s">
        <v>5610</v>
      </c>
      <c r="L1697" s="162" t="s">
        <v>5609</v>
      </c>
      <c r="M1697" s="111">
        <v>33.813071999999998</v>
      </c>
      <c r="N1697" s="111">
        <v>33.813071999999998</v>
      </c>
      <c r="O1697" s="111"/>
      <c r="P1697" s="111"/>
      <c r="Q1697" s="111"/>
      <c r="R1697" s="111"/>
      <c r="S1697" s="1249">
        <v>1</v>
      </c>
      <c r="T1697" s="1250">
        <v>11.271023999999999</v>
      </c>
      <c r="U1697" s="1250"/>
      <c r="V1697" s="1250"/>
      <c r="W1697" s="1251">
        <v>0</v>
      </c>
      <c r="X1697" s="1250">
        <v>11.271023999999999</v>
      </c>
      <c r="Y1697" s="1250"/>
      <c r="Z1697" s="1250"/>
      <c r="AA1697" s="1250"/>
      <c r="AB1697" s="1250"/>
      <c r="AC1697" s="1250"/>
      <c r="AD1697" s="1250"/>
      <c r="AE1697" s="1249">
        <v>0</v>
      </c>
      <c r="AF1697" s="1250">
        <v>11.271023999999999</v>
      </c>
      <c r="AG1697" s="111"/>
      <c r="AH1697" s="111"/>
      <c r="AI1697" s="111"/>
      <c r="AJ1697" s="111"/>
      <c r="AK1697" s="111"/>
      <c r="AL1697" s="111"/>
      <c r="AM1697" s="111">
        <v>33.813071999999998</v>
      </c>
    </row>
    <row r="1698" spans="1:39" ht="15" customHeight="1" x14ac:dyDescent="0.25">
      <c r="A1698" s="1409"/>
      <c r="B1698" s="1409"/>
      <c r="C1698" s="1409"/>
      <c r="D1698" s="1409"/>
      <c r="E1698" s="1247"/>
      <c r="F1698" s="1248" t="s">
        <v>3126</v>
      </c>
      <c r="G1698" s="111"/>
      <c r="H1698" s="1249">
        <v>1</v>
      </c>
      <c r="I1698" s="111" t="s">
        <v>1721</v>
      </c>
      <c r="J1698" s="1321" t="s">
        <v>5608</v>
      </c>
      <c r="K1698" s="162" t="s">
        <v>5610</v>
      </c>
      <c r="L1698" s="162" t="s">
        <v>5609</v>
      </c>
      <c r="M1698" s="111">
        <v>430.32427200000001</v>
      </c>
      <c r="N1698" s="111">
        <v>430.32427200000001</v>
      </c>
      <c r="O1698" s="111"/>
      <c r="P1698" s="111"/>
      <c r="Q1698" s="111"/>
      <c r="R1698" s="111"/>
      <c r="S1698" s="1249">
        <v>1</v>
      </c>
      <c r="T1698" s="1250">
        <v>143.44142400000001</v>
      </c>
      <c r="U1698" s="1250"/>
      <c r="V1698" s="1250"/>
      <c r="W1698" s="1251">
        <v>0</v>
      </c>
      <c r="X1698" s="1250">
        <v>143.44142400000001</v>
      </c>
      <c r="Y1698" s="1250"/>
      <c r="Z1698" s="1250"/>
      <c r="AA1698" s="1250"/>
      <c r="AB1698" s="1250"/>
      <c r="AC1698" s="1250"/>
      <c r="AD1698" s="1250"/>
      <c r="AE1698" s="1249">
        <v>0</v>
      </c>
      <c r="AF1698" s="1250">
        <v>143.44142400000001</v>
      </c>
      <c r="AG1698" s="111"/>
      <c r="AH1698" s="111"/>
      <c r="AI1698" s="111"/>
      <c r="AJ1698" s="111"/>
      <c r="AK1698" s="111"/>
      <c r="AL1698" s="111"/>
      <c r="AM1698" s="111">
        <v>430.32427200000001</v>
      </c>
    </row>
    <row r="1699" spans="1:39" ht="15" customHeight="1" x14ac:dyDescent="0.25">
      <c r="A1699" s="1409"/>
      <c r="B1699" s="1409"/>
      <c r="C1699" s="1409"/>
      <c r="D1699" s="1409"/>
      <c r="E1699" s="1247"/>
      <c r="F1699" s="1248" t="s">
        <v>5231</v>
      </c>
      <c r="G1699" s="111"/>
      <c r="H1699" s="1249">
        <v>2</v>
      </c>
      <c r="I1699" s="111" t="s">
        <v>2321</v>
      </c>
      <c r="J1699" s="1321" t="s">
        <v>5608</v>
      </c>
      <c r="K1699" s="162" t="s">
        <v>5610</v>
      </c>
      <c r="L1699" s="162" t="s">
        <v>5609</v>
      </c>
      <c r="M1699" s="111">
        <v>348.8</v>
      </c>
      <c r="N1699" s="111">
        <v>697.6</v>
      </c>
      <c r="O1699" s="111"/>
      <c r="P1699" s="111"/>
      <c r="Q1699" s="111"/>
      <c r="R1699" s="111"/>
      <c r="S1699" s="1249">
        <v>2</v>
      </c>
      <c r="T1699" s="1250">
        <v>232.53333333333333</v>
      </c>
      <c r="U1699" s="1250"/>
      <c r="V1699" s="1250"/>
      <c r="W1699" s="1251">
        <v>0</v>
      </c>
      <c r="X1699" s="1250">
        <v>232.53333333333333</v>
      </c>
      <c r="Y1699" s="1250"/>
      <c r="Z1699" s="1250"/>
      <c r="AA1699" s="1250"/>
      <c r="AB1699" s="1250"/>
      <c r="AC1699" s="1250"/>
      <c r="AD1699" s="1250"/>
      <c r="AE1699" s="1249">
        <v>0</v>
      </c>
      <c r="AF1699" s="1250">
        <v>232.53333333333333</v>
      </c>
      <c r="AG1699" s="111"/>
      <c r="AH1699" s="111"/>
      <c r="AI1699" s="111"/>
      <c r="AJ1699" s="111"/>
      <c r="AK1699" s="111"/>
      <c r="AL1699" s="111"/>
      <c r="AM1699" s="111">
        <v>697.6</v>
      </c>
    </row>
    <row r="1700" spans="1:39" ht="15" customHeight="1" x14ac:dyDescent="0.25">
      <c r="A1700" s="1409"/>
      <c r="B1700" s="1409"/>
      <c r="C1700" s="1409"/>
      <c r="D1700" s="1409"/>
      <c r="E1700" s="1247"/>
      <c r="F1700" s="1248" t="s">
        <v>5232</v>
      </c>
      <c r="G1700" s="111"/>
      <c r="H1700" s="1249">
        <v>1</v>
      </c>
      <c r="I1700" s="111" t="s">
        <v>1776</v>
      </c>
      <c r="J1700" s="1321" t="s">
        <v>5608</v>
      </c>
      <c r="K1700" s="162" t="s">
        <v>5610</v>
      </c>
      <c r="L1700" s="162" t="s">
        <v>5609</v>
      </c>
      <c r="M1700" s="111">
        <v>464.16</v>
      </c>
      <c r="N1700" s="111">
        <v>464.16</v>
      </c>
      <c r="O1700" s="111"/>
      <c r="P1700" s="111"/>
      <c r="Q1700" s="111"/>
      <c r="R1700" s="111"/>
      <c r="S1700" s="1249">
        <v>1</v>
      </c>
      <c r="T1700" s="1250">
        <v>154.72</v>
      </c>
      <c r="U1700" s="1250"/>
      <c r="V1700" s="1250"/>
      <c r="W1700" s="1251">
        <v>0</v>
      </c>
      <c r="X1700" s="1250">
        <v>154.72</v>
      </c>
      <c r="Y1700" s="1250"/>
      <c r="Z1700" s="1250"/>
      <c r="AA1700" s="1250"/>
      <c r="AB1700" s="1250"/>
      <c r="AC1700" s="1250"/>
      <c r="AD1700" s="1250"/>
      <c r="AE1700" s="1249">
        <v>0</v>
      </c>
      <c r="AF1700" s="1250">
        <v>154.72</v>
      </c>
      <c r="AG1700" s="111"/>
      <c r="AH1700" s="111"/>
      <c r="AI1700" s="111"/>
      <c r="AJ1700" s="111"/>
      <c r="AK1700" s="111"/>
      <c r="AL1700" s="111"/>
      <c r="AM1700" s="111">
        <v>464.16</v>
      </c>
    </row>
    <row r="1701" spans="1:39" ht="15" customHeight="1" x14ac:dyDescent="0.25">
      <c r="A1701" s="1409"/>
      <c r="B1701" s="1409"/>
      <c r="C1701" s="1409"/>
      <c r="D1701" s="1409"/>
      <c r="E1701" s="1247"/>
      <c r="F1701" s="1248" t="s">
        <v>5233</v>
      </c>
      <c r="G1701" s="111"/>
      <c r="H1701" s="1249">
        <v>2</v>
      </c>
      <c r="I1701" s="111" t="s">
        <v>2321</v>
      </c>
      <c r="J1701" s="1321" t="s">
        <v>5608</v>
      </c>
      <c r="K1701" s="162" t="s">
        <v>5610</v>
      </c>
      <c r="L1701" s="162" t="s">
        <v>5609</v>
      </c>
      <c r="M1701" s="111">
        <v>208.495</v>
      </c>
      <c r="N1701" s="111">
        <v>416.99</v>
      </c>
      <c r="O1701" s="111"/>
      <c r="P1701" s="111"/>
      <c r="Q1701" s="111"/>
      <c r="R1701" s="111"/>
      <c r="S1701" s="1249">
        <v>2</v>
      </c>
      <c r="T1701" s="1250">
        <v>138.99666666666667</v>
      </c>
      <c r="U1701" s="1250"/>
      <c r="V1701" s="1250"/>
      <c r="W1701" s="1251">
        <v>0</v>
      </c>
      <c r="X1701" s="1250">
        <v>138.99666666666667</v>
      </c>
      <c r="Y1701" s="1250"/>
      <c r="Z1701" s="1250"/>
      <c r="AA1701" s="1250"/>
      <c r="AB1701" s="1250"/>
      <c r="AC1701" s="1250"/>
      <c r="AD1701" s="1250"/>
      <c r="AE1701" s="1249">
        <v>0</v>
      </c>
      <c r="AF1701" s="1250">
        <v>138.99666666666667</v>
      </c>
      <c r="AG1701" s="111"/>
      <c r="AH1701" s="111"/>
      <c r="AI1701" s="111"/>
      <c r="AJ1701" s="111"/>
      <c r="AK1701" s="111"/>
      <c r="AL1701" s="111"/>
      <c r="AM1701" s="111">
        <v>416.99</v>
      </c>
    </row>
    <row r="1702" spans="1:39" ht="15" customHeight="1" x14ac:dyDescent="0.25">
      <c r="A1702" s="1409"/>
      <c r="B1702" s="1409"/>
      <c r="C1702" s="1409"/>
      <c r="D1702" s="1409"/>
      <c r="E1702" s="1247"/>
      <c r="F1702" s="1248" t="s">
        <v>5234</v>
      </c>
      <c r="G1702" s="111"/>
      <c r="H1702" s="1249">
        <v>3</v>
      </c>
      <c r="I1702" s="111" t="s">
        <v>1873</v>
      </c>
      <c r="J1702" s="1321" t="s">
        <v>5608</v>
      </c>
      <c r="K1702" s="162" t="s">
        <v>5610</v>
      </c>
      <c r="L1702" s="162" t="s">
        <v>5609</v>
      </c>
      <c r="M1702" s="111">
        <v>90.679999999999993</v>
      </c>
      <c r="N1702" s="111">
        <v>272.03999999999996</v>
      </c>
      <c r="O1702" s="111"/>
      <c r="P1702" s="111"/>
      <c r="Q1702" s="111"/>
      <c r="R1702" s="111"/>
      <c r="S1702" s="1249">
        <v>1</v>
      </c>
      <c r="T1702" s="1250">
        <v>90.679999999999993</v>
      </c>
      <c r="U1702" s="1250"/>
      <c r="V1702" s="1250"/>
      <c r="W1702" s="1251">
        <v>1</v>
      </c>
      <c r="X1702" s="1250">
        <v>90.679999999999993</v>
      </c>
      <c r="Y1702" s="1250"/>
      <c r="Z1702" s="1250"/>
      <c r="AA1702" s="1250"/>
      <c r="AB1702" s="1250"/>
      <c r="AC1702" s="1250"/>
      <c r="AD1702" s="1250"/>
      <c r="AE1702" s="1249">
        <v>1</v>
      </c>
      <c r="AF1702" s="1250">
        <v>90.679999999999993</v>
      </c>
      <c r="AG1702" s="111"/>
      <c r="AH1702" s="111"/>
      <c r="AI1702" s="111"/>
      <c r="AJ1702" s="111"/>
      <c r="AK1702" s="111"/>
      <c r="AL1702" s="111"/>
      <c r="AM1702" s="111">
        <v>272.03999999999996</v>
      </c>
    </row>
    <row r="1703" spans="1:39" ht="15" customHeight="1" x14ac:dyDescent="0.25">
      <c r="A1703" s="1409"/>
      <c r="B1703" s="1409"/>
      <c r="C1703" s="1409"/>
      <c r="D1703" s="1409"/>
      <c r="E1703" s="1247"/>
      <c r="F1703" s="1248" t="s">
        <v>5235</v>
      </c>
      <c r="G1703" s="111"/>
      <c r="H1703" s="1249">
        <v>1</v>
      </c>
      <c r="I1703" s="111" t="s">
        <v>1725</v>
      </c>
      <c r="J1703" s="1321" t="s">
        <v>5608</v>
      </c>
      <c r="K1703" s="162" t="s">
        <v>5610</v>
      </c>
      <c r="L1703" s="162" t="s">
        <v>5609</v>
      </c>
      <c r="M1703" s="111">
        <v>380.23</v>
      </c>
      <c r="N1703" s="111">
        <v>380.23</v>
      </c>
      <c r="O1703" s="111"/>
      <c r="P1703" s="111"/>
      <c r="Q1703" s="111"/>
      <c r="R1703" s="111"/>
      <c r="S1703" s="1249">
        <v>1</v>
      </c>
      <c r="T1703" s="1250">
        <v>126.74333333333334</v>
      </c>
      <c r="U1703" s="1250"/>
      <c r="V1703" s="1250"/>
      <c r="W1703" s="1251">
        <v>0</v>
      </c>
      <c r="X1703" s="1250">
        <v>126.74333333333334</v>
      </c>
      <c r="Y1703" s="1250"/>
      <c r="Z1703" s="1250"/>
      <c r="AA1703" s="1250"/>
      <c r="AB1703" s="1250"/>
      <c r="AC1703" s="1250"/>
      <c r="AD1703" s="1250"/>
      <c r="AE1703" s="1249">
        <v>0</v>
      </c>
      <c r="AF1703" s="1250">
        <v>126.74333333333334</v>
      </c>
      <c r="AG1703" s="111"/>
      <c r="AH1703" s="111"/>
      <c r="AI1703" s="111"/>
      <c r="AJ1703" s="111"/>
      <c r="AK1703" s="111"/>
      <c r="AL1703" s="111"/>
      <c r="AM1703" s="111">
        <v>380.23</v>
      </c>
    </row>
    <row r="1704" spans="1:39" ht="15" customHeight="1" x14ac:dyDescent="0.25">
      <c r="A1704" s="1409"/>
      <c r="B1704" s="1409"/>
      <c r="C1704" s="1409"/>
      <c r="D1704" s="1409"/>
      <c r="E1704" s="1247"/>
      <c r="F1704" s="1248" t="s">
        <v>5236</v>
      </c>
      <c r="G1704" s="111"/>
      <c r="H1704" s="1249">
        <v>3</v>
      </c>
      <c r="I1704" s="111" t="s">
        <v>1722</v>
      </c>
      <c r="J1704" s="1321" t="s">
        <v>5608</v>
      </c>
      <c r="K1704" s="162" t="s">
        <v>5610</v>
      </c>
      <c r="L1704" s="162" t="s">
        <v>5609</v>
      </c>
      <c r="M1704" s="111">
        <v>150.43</v>
      </c>
      <c r="N1704" s="111">
        <v>451.29</v>
      </c>
      <c r="O1704" s="111"/>
      <c r="P1704" s="111"/>
      <c r="Q1704" s="111"/>
      <c r="R1704" s="111"/>
      <c r="S1704" s="1249">
        <v>1</v>
      </c>
      <c r="T1704" s="1250">
        <v>150.43</v>
      </c>
      <c r="U1704" s="1250"/>
      <c r="V1704" s="1250"/>
      <c r="W1704" s="1251">
        <v>1</v>
      </c>
      <c r="X1704" s="1250">
        <v>150.43</v>
      </c>
      <c r="Y1704" s="1250"/>
      <c r="Z1704" s="1250"/>
      <c r="AA1704" s="1250"/>
      <c r="AB1704" s="1250"/>
      <c r="AC1704" s="1250"/>
      <c r="AD1704" s="1250"/>
      <c r="AE1704" s="1249">
        <v>1</v>
      </c>
      <c r="AF1704" s="1250">
        <v>150.43</v>
      </c>
      <c r="AG1704" s="111"/>
      <c r="AH1704" s="111"/>
      <c r="AI1704" s="111"/>
      <c r="AJ1704" s="111"/>
      <c r="AK1704" s="111"/>
      <c r="AL1704" s="111"/>
      <c r="AM1704" s="111">
        <v>451.29</v>
      </c>
    </row>
    <row r="1705" spans="1:39" ht="15" customHeight="1" x14ac:dyDescent="0.25">
      <c r="A1705" s="1409"/>
      <c r="B1705" s="1409"/>
      <c r="C1705" s="1409"/>
      <c r="D1705" s="1409"/>
      <c r="E1705" s="1247"/>
      <c r="F1705" s="1248" t="s">
        <v>5237</v>
      </c>
      <c r="G1705" s="111"/>
      <c r="H1705" s="1249">
        <v>2</v>
      </c>
      <c r="I1705" s="111" t="s">
        <v>2321</v>
      </c>
      <c r="J1705" s="1321" t="s">
        <v>5608</v>
      </c>
      <c r="K1705" s="162" t="s">
        <v>5610</v>
      </c>
      <c r="L1705" s="162" t="s">
        <v>5609</v>
      </c>
      <c r="M1705" s="111">
        <v>108.87</v>
      </c>
      <c r="N1705" s="111">
        <v>217.74</v>
      </c>
      <c r="O1705" s="111"/>
      <c r="P1705" s="111"/>
      <c r="Q1705" s="111"/>
      <c r="R1705" s="111"/>
      <c r="S1705" s="1249">
        <v>2</v>
      </c>
      <c r="T1705" s="1250">
        <v>72.58</v>
      </c>
      <c r="U1705" s="1250"/>
      <c r="V1705" s="1250"/>
      <c r="W1705" s="1251">
        <v>0</v>
      </c>
      <c r="X1705" s="1250">
        <v>72.58</v>
      </c>
      <c r="Y1705" s="1250"/>
      <c r="Z1705" s="1250"/>
      <c r="AA1705" s="1250"/>
      <c r="AB1705" s="1250"/>
      <c r="AC1705" s="1250"/>
      <c r="AD1705" s="1250"/>
      <c r="AE1705" s="1249">
        <v>0</v>
      </c>
      <c r="AF1705" s="1250">
        <v>72.58</v>
      </c>
      <c r="AG1705" s="111"/>
      <c r="AH1705" s="111"/>
      <c r="AI1705" s="111"/>
      <c r="AJ1705" s="111"/>
      <c r="AK1705" s="111"/>
      <c r="AL1705" s="111"/>
      <c r="AM1705" s="111">
        <v>217.74</v>
      </c>
    </row>
    <row r="1706" spans="1:39" ht="15" customHeight="1" x14ac:dyDescent="0.25">
      <c r="A1706" s="1409"/>
      <c r="B1706" s="1409"/>
      <c r="C1706" s="1409"/>
      <c r="D1706" s="1409"/>
      <c r="E1706" s="1247"/>
      <c r="F1706" s="1248" t="s">
        <v>5238</v>
      </c>
      <c r="G1706" s="111"/>
      <c r="H1706" s="1249">
        <v>1</v>
      </c>
      <c r="I1706" s="111" t="s">
        <v>2321</v>
      </c>
      <c r="J1706" s="1321" t="s">
        <v>5608</v>
      </c>
      <c r="K1706" s="162" t="s">
        <v>5610</v>
      </c>
      <c r="L1706" s="162" t="s">
        <v>5609</v>
      </c>
      <c r="M1706" s="111">
        <v>115.97</v>
      </c>
      <c r="N1706" s="111">
        <v>115.97</v>
      </c>
      <c r="O1706" s="111"/>
      <c r="P1706" s="111"/>
      <c r="Q1706" s="111"/>
      <c r="R1706" s="111"/>
      <c r="S1706" s="1249">
        <v>1</v>
      </c>
      <c r="T1706" s="1250">
        <v>38.656666666666666</v>
      </c>
      <c r="U1706" s="1250"/>
      <c r="V1706" s="1250"/>
      <c r="W1706" s="1251">
        <v>0</v>
      </c>
      <c r="X1706" s="1250">
        <v>38.656666666666666</v>
      </c>
      <c r="Y1706" s="1250"/>
      <c r="Z1706" s="1250"/>
      <c r="AA1706" s="1250"/>
      <c r="AB1706" s="1250"/>
      <c r="AC1706" s="1250"/>
      <c r="AD1706" s="1250"/>
      <c r="AE1706" s="1249">
        <v>0</v>
      </c>
      <c r="AF1706" s="1250">
        <v>38.656666666666666</v>
      </c>
      <c r="AG1706" s="111"/>
      <c r="AH1706" s="111"/>
      <c r="AI1706" s="111"/>
      <c r="AJ1706" s="111"/>
      <c r="AK1706" s="111"/>
      <c r="AL1706" s="111"/>
      <c r="AM1706" s="111">
        <v>115.97</v>
      </c>
    </row>
    <row r="1707" spans="1:39" ht="15" customHeight="1" x14ac:dyDescent="0.25">
      <c r="A1707" s="1409"/>
      <c r="B1707" s="1409"/>
      <c r="C1707" s="1409"/>
      <c r="D1707" s="1409"/>
      <c r="E1707" s="1247"/>
      <c r="F1707" s="1248" t="s">
        <v>5239</v>
      </c>
      <c r="G1707" s="111"/>
      <c r="H1707" s="1249">
        <v>1</v>
      </c>
      <c r="I1707" s="111" t="s">
        <v>2321</v>
      </c>
      <c r="J1707" s="1321" t="s">
        <v>5608</v>
      </c>
      <c r="K1707" s="162" t="s">
        <v>5610</v>
      </c>
      <c r="L1707" s="162" t="s">
        <v>5609</v>
      </c>
      <c r="M1707" s="111">
        <v>55.12</v>
      </c>
      <c r="N1707" s="111">
        <v>55.12</v>
      </c>
      <c r="O1707" s="111"/>
      <c r="P1707" s="111"/>
      <c r="Q1707" s="111"/>
      <c r="R1707" s="111"/>
      <c r="S1707" s="1249">
        <v>1</v>
      </c>
      <c r="T1707" s="1250">
        <v>18.373333333333331</v>
      </c>
      <c r="U1707" s="1250"/>
      <c r="V1707" s="1250"/>
      <c r="W1707" s="1251">
        <v>0</v>
      </c>
      <c r="X1707" s="1250">
        <v>18.373333333333331</v>
      </c>
      <c r="Y1707" s="1250"/>
      <c r="Z1707" s="1250"/>
      <c r="AA1707" s="1250"/>
      <c r="AB1707" s="1250"/>
      <c r="AC1707" s="1250"/>
      <c r="AD1707" s="1250"/>
      <c r="AE1707" s="1249">
        <v>0</v>
      </c>
      <c r="AF1707" s="1250">
        <v>18.373333333333331</v>
      </c>
      <c r="AG1707" s="111"/>
      <c r="AH1707" s="111"/>
      <c r="AI1707" s="111"/>
      <c r="AJ1707" s="111"/>
      <c r="AK1707" s="111"/>
      <c r="AL1707" s="111"/>
      <c r="AM1707" s="111">
        <v>55.12</v>
      </c>
    </row>
    <row r="1708" spans="1:39" ht="15" customHeight="1" x14ac:dyDescent="0.25">
      <c r="A1708" s="1409"/>
      <c r="B1708" s="1409"/>
      <c r="C1708" s="1409"/>
      <c r="D1708" s="1409"/>
      <c r="E1708" s="1247"/>
      <c r="F1708" s="1248" t="s">
        <v>5240</v>
      </c>
      <c r="G1708" s="111"/>
      <c r="H1708" s="1249">
        <v>6</v>
      </c>
      <c r="I1708" s="111" t="s">
        <v>1721</v>
      </c>
      <c r="J1708" s="1321" t="s">
        <v>5608</v>
      </c>
      <c r="K1708" s="162" t="s">
        <v>5610</v>
      </c>
      <c r="L1708" s="162" t="s">
        <v>5609</v>
      </c>
      <c r="M1708" s="111">
        <v>55.533333333333331</v>
      </c>
      <c r="N1708" s="111">
        <v>333.2</v>
      </c>
      <c r="O1708" s="111"/>
      <c r="P1708" s="111"/>
      <c r="Q1708" s="111"/>
      <c r="R1708" s="111"/>
      <c r="S1708" s="1249">
        <v>2</v>
      </c>
      <c r="T1708" s="1250">
        <v>111.06666666666666</v>
      </c>
      <c r="U1708" s="1250"/>
      <c r="V1708" s="1250"/>
      <c r="W1708" s="1251">
        <v>2</v>
      </c>
      <c r="X1708" s="1250">
        <v>111.06666666666666</v>
      </c>
      <c r="Y1708" s="1250"/>
      <c r="Z1708" s="1250"/>
      <c r="AA1708" s="1250"/>
      <c r="AB1708" s="1250"/>
      <c r="AC1708" s="1250"/>
      <c r="AD1708" s="1250"/>
      <c r="AE1708" s="1249">
        <v>2</v>
      </c>
      <c r="AF1708" s="1250">
        <v>111.06666666666666</v>
      </c>
      <c r="AG1708" s="111"/>
      <c r="AH1708" s="111"/>
      <c r="AI1708" s="111"/>
      <c r="AJ1708" s="111"/>
      <c r="AK1708" s="111"/>
      <c r="AL1708" s="111"/>
      <c r="AM1708" s="111">
        <v>333.2</v>
      </c>
    </row>
    <row r="1709" spans="1:39" ht="15" customHeight="1" x14ac:dyDescent="0.25">
      <c r="A1709" s="1409"/>
      <c r="B1709" s="1409"/>
      <c r="C1709" s="1409"/>
      <c r="D1709" s="1409"/>
      <c r="E1709" s="1247"/>
      <c r="F1709" s="1248" t="s">
        <v>3132</v>
      </c>
      <c r="G1709" s="111"/>
      <c r="H1709" s="1249">
        <v>1</v>
      </c>
      <c r="I1709" s="111" t="s">
        <v>1721</v>
      </c>
      <c r="J1709" s="1321" t="s">
        <v>5608</v>
      </c>
      <c r="K1709" s="162" t="s">
        <v>5610</v>
      </c>
      <c r="L1709" s="162" t="s">
        <v>5609</v>
      </c>
      <c r="M1709" s="111">
        <v>50.18</v>
      </c>
      <c r="N1709" s="111">
        <v>50.18</v>
      </c>
      <c r="O1709" s="111"/>
      <c r="P1709" s="111"/>
      <c r="Q1709" s="111"/>
      <c r="R1709" s="111"/>
      <c r="S1709" s="1249">
        <v>1</v>
      </c>
      <c r="T1709" s="1250">
        <v>16.726666666666667</v>
      </c>
      <c r="U1709" s="1250"/>
      <c r="V1709" s="1250"/>
      <c r="W1709" s="1251">
        <v>0</v>
      </c>
      <c r="X1709" s="1250">
        <v>16.726666666666667</v>
      </c>
      <c r="Y1709" s="1250"/>
      <c r="Z1709" s="1250"/>
      <c r="AA1709" s="1250"/>
      <c r="AB1709" s="1250"/>
      <c r="AC1709" s="1250"/>
      <c r="AD1709" s="1250"/>
      <c r="AE1709" s="1249">
        <v>0</v>
      </c>
      <c r="AF1709" s="1250">
        <v>16.726666666666667</v>
      </c>
      <c r="AG1709" s="111"/>
      <c r="AH1709" s="111"/>
      <c r="AI1709" s="111"/>
      <c r="AJ1709" s="111"/>
      <c r="AK1709" s="111"/>
      <c r="AL1709" s="111"/>
      <c r="AM1709" s="111">
        <v>50.18</v>
      </c>
    </row>
    <row r="1710" spans="1:39" ht="15" customHeight="1" x14ac:dyDescent="0.25">
      <c r="A1710" s="1409"/>
      <c r="B1710" s="1409"/>
      <c r="C1710" s="1409"/>
      <c r="D1710" s="1409"/>
      <c r="E1710" s="1247"/>
      <c r="F1710" s="1248" t="s">
        <v>3133</v>
      </c>
      <c r="G1710" s="111"/>
      <c r="H1710" s="1249">
        <v>1</v>
      </c>
      <c r="I1710" s="111" t="s">
        <v>1721</v>
      </c>
      <c r="J1710" s="1321" t="s">
        <v>5608</v>
      </c>
      <c r="K1710" s="162" t="s">
        <v>5610</v>
      </c>
      <c r="L1710" s="162" t="s">
        <v>5609</v>
      </c>
      <c r="M1710" s="111">
        <v>50.18</v>
      </c>
      <c r="N1710" s="111">
        <v>50.18</v>
      </c>
      <c r="O1710" s="111"/>
      <c r="P1710" s="111"/>
      <c r="Q1710" s="111"/>
      <c r="R1710" s="111"/>
      <c r="S1710" s="1249">
        <v>1</v>
      </c>
      <c r="T1710" s="1250">
        <v>16.726666666666667</v>
      </c>
      <c r="U1710" s="1250"/>
      <c r="V1710" s="1250"/>
      <c r="W1710" s="1251">
        <v>0</v>
      </c>
      <c r="X1710" s="1250">
        <v>16.726666666666667</v>
      </c>
      <c r="Y1710" s="1250"/>
      <c r="Z1710" s="1250"/>
      <c r="AA1710" s="1250"/>
      <c r="AB1710" s="1250"/>
      <c r="AC1710" s="1250"/>
      <c r="AD1710" s="1250"/>
      <c r="AE1710" s="1249">
        <v>0</v>
      </c>
      <c r="AF1710" s="1250">
        <v>16.726666666666667</v>
      </c>
      <c r="AG1710" s="111"/>
      <c r="AH1710" s="111"/>
      <c r="AI1710" s="111"/>
      <c r="AJ1710" s="111"/>
      <c r="AK1710" s="111"/>
      <c r="AL1710" s="111"/>
      <c r="AM1710" s="111">
        <v>50.18</v>
      </c>
    </row>
    <row r="1711" spans="1:39" ht="15" customHeight="1" x14ac:dyDescent="0.25">
      <c r="A1711" s="1409"/>
      <c r="B1711" s="1409"/>
      <c r="C1711" s="1409"/>
      <c r="D1711" s="1409"/>
      <c r="E1711" s="1247"/>
      <c r="F1711" s="1248" t="s">
        <v>3135</v>
      </c>
      <c r="G1711" s="111"/>
      <c r="H1711" s="1249">
        <v>1</v>
      </c>
      <c r="I1711" s="111" t="s">
        <v>1721</v>
      </c>
      <c r="J1711" s="1321" t="s">
        <v>5608</v>
      </c>
      <c r="K1711" s="162" t="s">
        <v>5610</v>
      </c>
      <c r="L1711" s="162" t="s">
        <v>5609</v>
      </c>
      <c r="M1711" s="111">
        <v>50.18</v>
      </c>
      <c r="N1711" s="111">
        <v>50.18</v>
      </c>
      <c r="O1711" s="111"/>
      <c r="P1711" s="111"/>
      <c r="Q1711" s="111"/>
      <c r="R1711" s="111"/>
      <c r="S1711" s="1249">
        <v>1</v>
      </c>
      <c r="T1711" s="1250">
        <v>16.726666666666667</v>
      </c>
      <c r="U1711" s="1250"/>
      <c r="V1711" s="1250"/>
      <c r="W1711" s="1251">
        <v>0</v>
      </c>
      <c r="X1711" s="1250">
        <v>16.726666666666667</v>
      </c>
      <c r="Y1711" s="1250"/>
      <c r="Z1711" s="1250"/>
      <c r="AA1711" s="1250"/>
      <c r="AB1711" s="1250"/>
      <c r="AC1711" s="1250"/>
      <c r="AD1711" s="1250"/>
      <c r="AE1711" s="1249">
        <v>0</v>
      </c>
      <c r="AF1711" s="1250">
        <v>16.726666666666667</v>
      </c>
      <c r="AG1711" s="111"/>
      <c r="AH1711" s="111"/>
      <c r="AI1711" s="111"/>
      <c r="AJ1711" s="111"/>
      <c r="AK1711" s="111"/>
      <c r="AL1711" s="111"/>
      <c r="AM1711" s="111">
        <v>50.18</v>
      </c>
    </row>
    <row r="1712" spans="1:39" ht="15" customHeight="1" x14ac:dyDescent="0.25">
      <c r="A1712" s="1409"/>
      <c r="B1712" s="1409"/>
      <c r="C1712" s="1409"/>
      <c r="D1712" s="1409"/>
      <c r="E1712" s="1247"/>
      <c r="F1712" s="1248" t="s">
        <v>5241</v>
      </c>
      <c r="G1712" s="111"/>
      <c r="H1712" s="1249">
        <v>4</v>
      </c>
      <c r="I1712" s="111" t="s">
        <v>1721</v>
      </c>
      <c r="J1712" s="1321" t="s">
        <v>5608</v>
      </c>
      <c r="K1712" s="162" t="s">
        <v>5610</v>
      </c>
      <c r="L1712" s="162" t="s">
        <v>5609</v>
      </c>
      <c r="M1712" s="111">
        <v>58.21</v>
      </c>
      <c r="N1712" s="111">
        <v>232.84</v>
      </c>
      <c r="O1712" s="111"/>
      <c r="P1712" s="111"/>
      <c r="Q1712" s="111"/>
      <c r="R1712" s="111"/>
      <c r="S1712" s="1249">
        <v>2</v>
      </c>
      <c r="T1712" s="1250">
        <v>77.61333333333333</v>
      </c>
      <c r="U1712" s="1250"/>
      <c r="V1712" s="1250"/>
      <c r="W1712" s="1251">
        <v>1</v>
      </c>
      <c r="X1712" s="1250">
        <v>77.61333333333333</v>
      </c>
      <c r="Y1712" s="1250"/>
      <c r="Z1712" s="1250"/>
      <c r="AA1712" s="1250"/>
      <c r="AB1712" s="1250"/>
      <c r="AC1712" s="1250"/>
      <c r="AD1712" s="1250"/>
      <c r="AE1712" s="1249">
        <v>1</v>
      </c>
      <c r="AF1712" s="1250">
        <v>77.61333333333333</v>
      </c>
      <c r="AG1712" s="111"/>
      <c r="AH1712" s="111"/>
      <c r="AI1712" s="111"/>
      <c r="AJ1712" s="111"/>
      <c r="AK1712" s="111"/>
      <c r="AL1712" s="111"/>
      <c r="AM1712" s="111">
        <v>232.84</v>
      </c>
    </row>
    <row r="1713" spans="1:39" ht="15" customHeight="1" x14ac:dyDescent="0.25">
      <c r="A1713" s="1409"/>
      <c r="B1713" s="1409"/>
      <c r="C1713" s="1409"/>
      <c r="D1713" s="1409"/>
      <c r="E1713" s="1247"/>
      <c r="F1713" s="1248" t="s">
        <v>5242</v>
      </c>
      <c r="G1713" s="111"/>
      <c r="H1713" s="1249">
        <v>4</v>
      </c>
      <c r="I1713" s="111" t="s">
        <v>1721</v>
      </c>
      <c r="J1713" s="1321" t="s">
        <v>5608</v>
      </c>
      <c r="K1713" s="162" t="s">
        <v>5610</v>
      </c>
      <c r="L1713" s="162" t="s">
        <v>5609</v>
      </c>
      <c r="M1713" s="111">
        <v>30.48</v>
      </c>
      <c r="N1713" s="111">
        <v>121.92</v>
      </c>
      <c r="O1713" s="111"/>
      <c r="P1713" s="111"/>
      <c r="Q1713" s="111"/>
      <c r="R1713" s="111"/>
      <c r="S1713" s="1249">
        <v>2</v>
      </c>
      <c r="T1713" s="1250">
        <v>40.64</v>
      </c>
      <c r="U1713" s="1250"/>
      <c r="V1713" s="1250"/>
      <c r="W1713" s="1251">
        <v>1</v>
      </c>
      <c r="X1713" s="1250">
        <v>40.64</v>
      </c>
      <c r="Y1713" s="1250"/>
      <c r="Z1713" s="1250"/>
      <c r="AA1713" s="1250"/>
      <c r="AB1713" s="1250"/>
      <c r="AC1713" s="1250"/>
      <c r="AD1713" s="1250"/>
      <c r="AE1713" s="1249">
        <v>1</v>
      </c>
      <c r="AF1713" s="1250">
        <v>40.64</v>
      </c>
      <c r="AG1713" s="111"/>
      <c r="AH1713" s="111"/>
      <c r="AI1713" s="111"/>
      <c r="AJ1713" s="111"/>
      <c r="AK1713" s="111"/>
      <c r="AL1713" s="111"/>
      <c r="AM1713" s="111">
        <v>121.92</v>
      </c>
    </row>
    <row r="1714" spans="1:39" ht="15" customHeight="1" x14ac:dyDescent="0.25">
      <c r="A1714" s="1409"/>
      <c r="B1714" s="1409"/>
      <c r="C1714" s="1409"/>
      <c r="D1714" s="1409"/>
      <c r="E1714" s="1247"/>
      <c r="F1714" s="1248" t="s">
        <v>5243</v>
      </c>
      <c r="G1714" s="111"/>
      <c r="H1714" s="1249">
        <v>4</v>
      </c>
      <c r="I1714" s="111" t="s">
        <v>1721</v>
      </c>
      <c r="J1714" s="1321" t="s">
        <v>5608</v>
      </c>
      <c r="K1714" s="162" t="s">
        <v>5610</v>
      </c>
      <c r="L1714" s="162" t="s">
        <v>5609</v>
      </c>
      <c r="M1714" s="111">
        <v>58.21</v>
      </c>
      <c r="N1714" s="111">
        <v>232.84</v>
      </c>
      <c r="O1714" s="111"/>
      <c r="P1714" s="111"/>
      <c r="Q1714" s="111"/>
      <c r="R1714" s="111"/>
      <c r="S1714" s="1249">
        <v>2</v>
      </c>
      <c r="T1714" s="1250">
        <v>77.61333333333333</v>
      </c>
      <c r="U1714" s="1250"/>
      <c r="V1714" s="1250"/>
      <c r="W1714" s="1251">
        <v>1</v>
      </c>
      <c r="X1714" s="1250">
        <v>77.61333333333333</v>
      </c>
      <c r="Y1714" s="1250"/>
      <c r="Z1714" s="1250"/>
      <c r="AA1714" s="1250"/>
      <c r="AB1714" s="1250"/>
      <c r="AC1714" s="1250"/>
      <c r="AD1714" s="1250"/>
      <c r="AE1714" s="1249">
        <v>1</v>
      </c>
      <c r="AF1714" s="1250">
        <v>77.61333333333333</v>
      </c>
      <c r="AG1714" s="111"/>
      <c r="AH1714" s="111"/>
      <c r="AI1714" s="111"/>
      <c r="AJ1714" s="111"/>
      <c r="AK1714" s="111"/>
      <c r="AL1714" s="111"/>
      <c r="AM1714" s="111">
        <v>232.84</v>
      </c>
    </row>
    <row r="1715" spans="1:39" ht="15" customHeight="1" x14ac:dyDescent="0.25">
      <c r="A1715" s="1409"/>
      <c r="B1715" s="1409"/>
      <c r="C1715" s="1409"/>
      <c r="D1715" s="1409"/>
      <c r="E1715" s="1247"/>
      <c r="F1715" s="1248" t="s">
        <v>5244</v>
      </c>
      <c r="G1715" s="111"/>
      <c r="H1715" s="1249">
        <v>4</v>
      </c>
      <c r="I1715" s="111" t="s">
        <v>1721</v>
      </c>
      <c r="J1715" s="1321" t="s">
        <v>5608</v>
      </c>
      <c r="K1715" s="162" t="s">
        <v>5610</v>
      </c>
      <c r="L1715" s="162" t="s">
        <v>5609</v>
      </c>
      <c r="M1715" s="111">
        <v>58.21</v>
      </c>
      <c r="N1715" s="111">
        <v>232.84</v>
      </c>
      <c r="O1715" s="111"/>
      <c r="P1715" s="111"/>
      <c r="Q1715" s="111"/>
      <c r="R1715" s="111"/>
      <c r="S1715" s="1249">
        <v>2</v>
      </c>
      <c r="T1715" s="1250">
        <v>77.61333333333333</v>
      </c>
      <c r="U1715" s="1250"/>
      <c r="V1715" s="1250"/>
      <c r="W1715" s="1251">
        <v>1</v>
      </c>
      <c r="X1715" s="1250">
        <v>77.61333333333333</v>
      </c>
      <c r="Y1715" s="1250"/>
      <c r="Z1715" s="1250"/>
      <c r="AA1715" s="1250"/>
      <c r="AB1715" s="1250"/>
      <c r="AC1715" s="1250"/>
      <c r="AD1715" s="1250"/>
      <c r="AE1715" s="1249">
        <v>1</v>
      </c>
      <c r="AF1715" s="1250">
        <v>77.61333333333333</v>
      </c>
      <c r="AG1715" s="111"/>
      <c r="AH1715" s="111"/>
      <c r="AI1715" s="111"/>
      <c r="AJ1715" s="111"/>
      <c r="AK1715" s="111"/>
      <c r="AL1715" s="111"/>
      <c r="AM1715" s="111">
        <v>232.84</v>
      </c>
    </row>
    <row r="1716" spans="1:39" ht="27" customHeight="1" x14ac:dyDescent="0.25">
      <c r="A1716" s="1409"/>
      <c r="B1716" s="1409"/>
      <c r="C1716" s="1409"/>
      <c r="D1716" s="1409"/>
      <c r="E1716" s="1247"/>
      <c r="F1716" s="1287" t="s">
        <v>5245</v>
      </c>
      <c r="G1716" s="111"/>
      <c r="H1716" s="1249">
        <v>2</v>
      </c>
      <c r="I1716" s="111" t="s">
        <v>1721</v>
      </c>
      <c r="J1716" s="1321" t="s">
        <v>5608</v>
      </c>
      <c r="K1716" s="162" t="s">
        <v>5610</v>
      </c>
      <c r="L1716" s="162" t="s">
        <v>5609</v>
      </c>
      <c r="M1716" s="111">
        <v>1173.48</v>
      </c>
      <c r="N1716" s="111">
        <v>2346.96</v>
      </c>
      <c r="O1716" s="111"/>
      <c r="P1716" s="111"/>
      <c r="Q1716" s="111"/>
      <c r="R1716" s="111"/>
      <c r="S1716" s="1249">
        <v>2</v>
      </c>
      <c r="T1716" s="1250">
        <v>782.32</v>
      </c>
      <c r="U1716" s="1250"/>
      <c r="V1716" s="1250"/>
      <c r="W1716" s="1251">
        <v>0</v>
      </c>
      <c r="X1716" s="1250">
        <v>782.32</v>
      </c>
      <c r="Y1716" s="1250"/>
      <c r="Z1716" s="1250"/>
      <c r="AA1716" s="1250"/>
      <c r="AB1716" s="1250"/>
      <c r="AC1716" s="1250"/>
      <c r="AD1716" s="1250"/>
      <c r="AE1716" s="1249">
        <v>0</v>
      </c>
      <c r="AF1716" s="1250">
        <v>782.32</v>
      </c>
      <c r="AG1716" s="111"/>
      <c r="AH1716" s="111"/>
      <c r="AI1716" s="111"/>
      <c r="AJ1716" s="111"/>
      <c r="AK1716" s="111"/>
      <c r="AL1716" s="111"/>
      <c r="AM1716" s="111">
        <v>2346.96</v>
      </c>
    </row>
    <row r="1717" spans="1:39" ht="15" customHeight="1" x14ac:dyDescent="0.25">
      <c r="A1717" s="1409"/>
      <c r="B1717" s="1409"/>
      <c r="C1717" s="1409"/>
      <c r="D1717" s="1409"/>
      <c r="E1717" s="1247"/>
      <c r="F1717" s="1248" t="s">
        <v>5246</v>
      </c>
      <c r="G1717" s="111"/>
      <c r="H1717" s="1249">
        <v>1</v>
      </c>
      <c r="I1717" s="111" t="s">
        <v>1721</v>
      </c>
      <c r="J1717" s="1321" t="s">
        <v>5608</v>
      </c>
      <c r="K1717" s="162" t="s">
        <v>5610</v>
      </c>
      <c r="L1717" s="162" t="s">
        <v>5609</v>
      </c>
      <c r="M1717" s="111">
        <v>838.6</v>
      </c>
      <c r="N1717" s="111">
        <v>838.6</v>
      </c>
      <c r="O1717" s="111"/>
      <c r="P1717" s="111"/>
      <c r="Q1717" s="111"/>
      <c r="R1717" s="111"/>
      <c r="S1717" s="1249">
        <v>1</v>
      </c>
      <c r="T1717" s="1250">
        <v>279.53333333333336</v>
      </c>
      <c r="U1717" s="1250"/>
      <c r="V1717" s="1250"/>
      <c r="W1717" s="1251">
        <v>0</v>
      </c>
      <c r="X1717" s="1250">
        <v>279.53333333333336</v>
      </c>
      <c r="Y1717" s="1250"/>
      <c r="Z1717" s="1250"/>
      <c r="AA1717" s="1250"/>
      <c r="AB1717" s="1250"/>
      <c r="AC1717" s="1250"/>
      <c r="AD1717" s="1250"/>
      <c r="AE1717" s="1249">
        <v>0</v>
      </c>
      <c r="AF1717" s="1250">
        <v>279.53333333333336</v>
      </c>
      <c r="AG1717" s="111"/>
      <c r="AH1717" s="111"/>
      <c r="AI1717" s="111"/>
      <c r="AJ1717" s="111"/>
      <c r="AK1717" s="111"/>
      <c r="AL1717" s="111"/>
      <c r="AM1717" s="111">
        <v>838.6</v>
      </c>
    </row>
    <row r="1718" spans="1:39" ht="15" customHeight="1" x14ac:dyDescent="0.25">
      <c r="A1718" s="1409"/>
      <c r="B1718" s="1409"/>
      <c r="C1718" s="1409"/>
      <c r="D1718" s="1409"/>
      <c r="E1718" s="1247"/>
      <c r="F1718" s="1248" t="s">
        <v>3128</v>
      </c>
      <c r="G1718" s="111"/>
      <c r="H1718" s="1249">
        <v>1</v>
      </c>
      <c r="I1718" s="111" t="s">
        <v>1721</v>
      </c>
      <c r="J1718" s="1321" t="s">
        <v>5608</v>
      </c>
      <c r="K1718" s="162" t="s">
        <v>5610</v>
      </c>
      <c r="L1718" s="162" t="s">
        <v>5609</v>
      </c>
      <c r="M1718" s="111">
        <v>273.24</v>
      </c>
      <c r="N1718" s="111">
        <v>273.24</v>
      </c>
      <c r="O1718" s="111"/>
      <c r="P1718" s="111"/>
      <c r="Q1718" s="111"/>
      <c r="R1718" s="111"/>
      <c r="S1718" s="1249">
        <v>1</v>
      </c>
      <c r="T1718" s="1250">
        <v>91.08</v>
      </c>
      <c r="U1718" s="1250"/>
      <c r="V1718" s="1250"/>
      <c r="W1718" s="1251">
        <v>0</v>
      </c>
      <c r="X1718" s="1250">
        <v>91.08</v>
      </c>
      <c r="Y1718" s="1250"/>
      <c r="Z1718" s="1250"/>
      <c r="AA1718" s="1250"/>
      <c r="AB1718" s="1250"/>
      <c r="AC1718" s="1250"/>
      <c r="AD1718" s="1250"/>
      <c r="AE1718" s="1249">
        <v>0</v>
      </c>
      <c r="AF1718" s="1250">
        <v>91.08</v>
      </c>
      <c r="AG1718" s="111"/>
      <c r="AH1718" s="111"/>
      <c r="AI1718" s="111"/>
      <c r="AJ1718" s="111"/>
      <c r="AK1718" s="111"/>
      <c r="AL1718" s="111"/>
      <c r="AM1718" s="111">
        <v>273.24</v>
      </c>
    </row>
    <row r="1719" spans="1:39" ht="15" customHeight="1" x14ac:dyDescent="0.25">
      <c r="A1719" s="1409"/>
      <c r="B1719" s="1409"/>
      <c r="C1719" s="1409"/>
      <c r="D1719" s="1409"/>
      <c r="E1719" s="1247"/>
      <c r="F1719" s="1248" t="s">
        <v>3129</v>
      </c>
      <c r="G1719" s="111"/>
      <c r="H1719" s="1249">
        <v>1</v>
      </c>
      <c r="I1719" s="111" t="s">
        <v>1721</v>
      </c>
      <c r="J1719" s="1321" t="s">
        <v>5608</v>
      </c>
      <c r="K1719" s="162" t="s">
        <v>5610</v>
      </c>
      <c r="L1719" s="162" t="s">
        <v>5609</v>
      </c>
      <c r="M1719" s="111">
        <v>1702.3392000000001</v>
      </c>
      <c r="N1719" s="111">
        <v>1702.3392000000001</v>
      </c>
      <c r="O1719" s="111"/>
      <c r="P1719" s="111"/>
      <c r="Q1719" s="111"/>
      <c r="R1719" s="111"/>
      <c r="S1719" s="1249">
        <v>1</v>
      </c>
      <c r="T1719" s="1250">
        <v>567.44640000000004</v>
      </c>
      <c r="U1719" s="1250"/>
      <c r="V1719" s="1250"/>
      <c r="W1719" s="1251">
        <v>0</v>
      </c>
      <c r="X1719" s="1250">
        <v>567.44640000000004</v>
      </c>
      <c r="Y1719" s="1250"/>
      <c r="Z1719" s="1250"/>
      <c r="AA1719" s="1250"/>
      <c r="AB1719" s="1250"/>
      <c r="AC1719" s="1250"/>
      <c r="AD1719" s="1250"/>
      <c r="AE1719" s="1249">
        <v>0</v>
      </c>
      <c r="AF1719" s="1250">
        <v>567.44640000000004</v>
      </c>
      <c r="AG1719" s="111"/>
      <c r="AH1719" s="111"/>
      <c r="AI1719" s="111"/>
      <c r="AJ1719" s="111"/>
      <c r="AK1719" s="111"/>
      <c r="AL1719" s="111"/>
      <c r="AM1719" s="111">
        <v>1702.3392000000001</v>
      </c>
    </row>
    <row r="1720" spans="1:39" ht="15" customHeight="1" x14ac:dyDescent="0.25">
      <c r="A1720" s="1409"/>
      <c r="B1720" s="1409"/>
      <c r="C1720" s="1409"/>
      <c r="D1720" s="1409"/>
      <c r="E1720" s="1247"/>
      <c r="F1720" s="1248" t="s">
        <v>2782</v>
      </c>
      <c r="G1720" s="111"/>
      <c r="H1720" s="1249">
        <v>5</v>
      </c>
      <c r="I1720" s="111" t="s">
        <v>1725</v>
      </c>
      <c r="J1720" s="1321" t="s">
        <v>5608</v>
      </c>
      <c r="K1720" s="162" t="s">
        <v>5610</v>
      </c>
      <c r="L1720" s="162" t="s">
        <v>5609</v>
      </c>
      <c r="M1720" s="111">
        <v>144.072</v>
      </c>
      <c r="N1720" s="111">
        <v>720.36</v>
      </c>
      <c r="O1720" s="111"/>
      <c r="P1720" s="111"/>
      <c r="Q1720" s="111"/>
      <c r="R1720" s="111"/>
      <c r="S1720" s="1249">
        <v>2</v>
      </c>
      <c r="T1720" s="1250">
        <v>240.12</v>
      </c>
      <c r="U1720" s="1250"/>
      <c r="V1720" s="1250"/>
      <c r="W1720" s="1251">
        <v>2</v>
      </c>
      <c r="X1720" s="1250">
        <v>240.12</v>
      </c>
      <c r="Y1720" s="1250"/>
      <c r="Z1720" s="1250"/>
      <c r="AA1720" s="1250"/>
      <c r="AB1720" s="1250"/>
      <c r="AC1720" s="1250"/>
      <c r="AD1720" s="1250"/>
      <c r="AE1720" s="1249">
        <v>1</v>
      </c>
      <c r="AF1720" s="1250">
        <v>240.12</v>
      </c>
      <c r="AG1720" s="111"/>
      <c r="AH1720" s="111"/>
      <c r="AI1720" s="111"/>
      <c r="AJ1720" s="111"/>
      <c r="AK1720" s="111"/>
      <c r="AL1720" s="111"/>
      <c r="AM1720" s="111">
        <v>720.36</v>
      </c>
    </row>
    <row r="1721" spans="1:39" ht="15" customHeight="1" x14ac:dyDescent="0.25">
      <c r="A1721" s="1409"/>
      <c r="B1721" s="1409"/>
      <c r="C1721" s="1409"/>
      <c r="D1721" s="1409"/>
      <c r="E1721" s="1247"/>
      <c r="F1721" s="1248" t="s">
        <v>3136</v>
      </c>
      <c r="G1721" s="111"/>
      <c r="H1721" s="1249">
        <v>1</v>
      </c>
      <c r="I1721" s="111" t="s">
        <v>1722</v>
      </c>
      <c r="J1721" s="1321" t="s">
        <v>5608</v>
      </c>
      <c r="K1721" s="162" t="s">
        <v>5610</v>
      </c>
      <c r="L1721" s="162" t="s">
        <v>5609</v>
      </c>
      <c r="M1721" s="111">
        <v>124.25</v>
      </c>
      <c r="N1721" s="111">
        <v>124.25</v>
      </c>
      <c r="O1721" s="111"/>
      <c r="P1721" s="111"/>
      <c r="Q1721" s="111"/>
      <c r="R1721" s="111"/>
      <c r="S1721" s="1249">
        <v>1</v>
      </c>
      <c r="T1721" s="1250">
        <v>41.416666666666664</v>
      </c>
      <c r="U1721" s="1250"/>
      <c r="V1721" s="1250"/>
      <c r="W1721" s="1251">
        <v>0</v>
      </c>
      <c r="X1721" s="1250">
        <v>41.416666666666664</v>
      </c>
      <c r="Y1721" s="1250"/>
      <c r="Z1721" s="1250"/>
      <c r="AA1721" s="1250"/>
      <c r="AB1721" s="1250"/>
      <c r="AC1721" s="1250"/>
      <c r="AD1721" s="1250"/>
      <c r="AE1721" s="1249">
        <v>0</v>
      </c>
      <c r="AF1721" s="1250">
        <v>41.416666666666664</v>
      </c>
      <c r="AG1721" s="111"/>
      <c r="AH1721" s="111"/>
      <c r="AI1721" s="111"/>
      <c r="AJ1721" s="111"/>
      <c r="AK1721" s="111"/>
      <c r="AL1721" s="111"/>
      <c r="AM1721" s="111">
        <v>124.25</v>
      </c>
    </row>
    <row r="1722" spans="1:39" ht="15" customHeight="1" x14ac:dyDescent="0.25">
      <c r="A1722" s="1409"/>
      <c r="B1722" s="1409"/>
      <c r="C1722" s="1409"/>
      <c r="D1722" s="1409"/>
      <c r="E1722" s="1247"/>
      <c r="F1722" s="1248" t="s">
        <v>3137</v>
      </c>
      <c r="G1722" s="111"/>
      <c r="H1722" s="1249">
        <v>1</v>
      </c>
      <c r="I1722" s="111" t="s">
        <v>1722</v>
      </c>
      <c r="J1722" s="1321" t="s">
        <v>5608</v>
      </c>
      <c r="K1722" s="162" t="s">
        <v>5610</v>
      </c>
      <c r="L1722" s="162" t="s">
        <v>5609</v>
      </c>
      <c r="M1722" s="111">
        <v>30.618432000000002</v>
      </c>
      <c r="N1722" s="111">
        <v>30.618432000000002</v>
      </c>
      <c r="O1722" s="111"/>
      <c r="P1722" s="111"/>
      <c r="Q1722" s="111"/>
      <c r="R1722" s="111"/>
      <c r="S1722" s="1249">
        <v>1</v>
      </c>
      <c r="T1722" s="1250">
        <v>10.206144</v>
      </c>
      <c r="U1722" s="1250"/>
      <c r="V1722" s="1250"/>
      <c r="W1722" s="1251">
        <v>0</v>
      </c>
      <c r="X1722" s="1250">
        <v>10.206144</v>
      </c>
      <c r="Y1722" s="1250"/>
      <c r="Z1722" s="1250"/>
      <c r="AA1722" s="1250"/>
      <c r="AB1722" s="1250"/>
      <c r="AC1722" s="1250"/>
      <c r="AD1722" s="1250"/>
      <c r="AE1722" s="1249">
        <v>0</v>
      </c>
      <c r="AF1722" s="1250">
        <v>10.206144</v>
      </c>
      <c r="AG1722" s="111"/>
      <c r="AH1722" s="111"/>
      <c r="AI1722" s="111"/>
      <c r="AJ1722" s="111"/>
      <c r="AK1722" s="111"/>
      <c r="AL1722" s="111"/>
      <c r="AM1722" s="111">
        <v>30.618432000000002</v>
      </c>
    </row>
    <row r="1723" spans="1:39" ht="15" customHeight="1" x14ac:dyDescent="0.25">
      <c r="A1723" s="1409"/>
      <c r="B1723" s="1409"/>
      <c r="C1723" s="1409"/>
      <c r="D1723" s="1409"/>
      <c r="E1723" s="1247"/>
      <c r="F1723" s="1248" t="s">
        <v>3138</v>
      </c>
      <c r="G1723" s="111"/>
      <c r="H1723" s="1249">
        <v>1</v>
      </c>
      <c r="I1723" s="111" t="s">
        <v>1722</v>
      </c>
      <c r="J1723" s="1321" t="s">
        <v>5608</v>
      </c>
      <c r="K1723" s="162" t="s">
        <v>5610</v>
      </c>
      <c r="L1723" s="162" t="s">
        <v>5609</v>
      </c>
      <c r="M1723" s="111">
        <v>131.99</v>
      </c>
      <c r="N1723" s="111">
        <v>131.99</v>
      </c>
      <c r="O1723" s="111"/>
      <c r="P1723" s="111"/>
      <c r="Q1723" s="111"/>
      <c r="R1723" s="111"/>
      <c r="S1723" s="1249">
        <v>1</v>
      </c>
      <c r="T1723" s="1250">
        <v>43.99666666666667</v>
      </c>
      <c r="U1723" s="1250"/>
      <c r="V1723" s="1250"/>
      <c r="W1723" s="1251">
        <v>0</v>
      </c>
      <c r="X1723" s="1250">
        <v>43.99666666666667</v>
      </c>
      <c r="Y1723" s="1250"/>
      <c r="Z1723" s="1250"/>
      <c r="AA1723" s="1250"/>
      <c r="AB1723" s="1250"/>
      <c r="AC1723" s="1250"/>
      <c r="AD1723" s="1250"/>
      <c r="AE1723" s="1249">
        <v>0</v>
      </c>
      <c r="AF1723" s="1250">
        <v>43.99666666666667</v>
      </c>
      <c r="AG1723" s="111"/>
      <c r="AH1723" s="111"/>
      <c r="AI1723" s="111"/>
      <c r="AJ1723" s="111"/>
      <c r="AK1723" s="111"/>
      <c r="AL1723" s="111"/>
      <c r="AM1723" s="111">
        <v>131.99</v>
      </c>
    </row>
    <row r="1724" spans="1:39" ht="15" customHeight="1" x14ac:dyDescent="0.25">
      <c r="A1724" s="1409"/>
      <c r="B1724" s="1409"/>
      <c r="C1724" s="1409"/>
      <c r="D1724" s="1409"/>
      <c r="E1724" s="1247"/>
      <c r="F1724" s="1248" t="s">
        <v>3139</v>
      </c>
      <c r="G1724" s="111"/>
      <c r="H1724" s="1249">
        <v>1</v>
      </c>
      <c r="I1724" s="111" t="s">
        <v>1725</v>
      </c>
      <c r="J1724" s="1321" t="s">
        <v>5608</v>
      </c>
      <c r="K1724" s="162" t="s">
        <v>5610</v>
      </c>
      <c r="L1724" s="162" t="s">
        <v>5609</v>
      </c>
      <c r="M1724" s="111">
        <v>35.553600000000003</v>
      </c>
      <c r="N1724" s="111">
        <v>35.553600000000003</v>
      </c>
      <c r="O1724" s="111"/>
      <c r="P1724" s="111"/>
      <c r="Q1724" s="111"/>
      <c r="R1724" s="111"/>
      <c r="S1724" s="1249">
        <v>1</v>
      </c>
      <c r="T1724" s="1250">
        <v>11.8512</v>
      </c>
      <c r="U1724" s="1250"/>
      <c r="V1724" s="1250"/>
      <c r="W1724" s="1251">
        <v>0</v>
      </c>
      <c r="X1724" s="1250">
        <v>11.8512</v>
      </c>
      <c r="Y1724" s="1250"/>
      <c r="Z1724" s="1250"/>
      <c r="AA1724" s="1250"/>
      <c r="AB1724" s="1250"/>
      <c r="AC1724" s="1250"/>
      <c r="AD1724" s="1250"/>
      <c r="AE1724" s="1249">
        <v>0</v>
      </c>
      <c r="AF1724" s="1250">
        <v>11.8512</v>
      </c>
      <c r="AG1724" s="111"/>
      <c r="AH1724" s="111"/>
      <c r="AI1724" s="111"/>
      <c r="AJ1724" s="111"/>
      <c r="AK1724" s="111"/>
      <c r="AL1724" s="111"/>
      <c r="AM1724" s="111">
        <v>35.553600000000003</v>
      </c>
    </row>
    <row r="1725" spans="1:39" ht="15" customHeight="1" x14ac:dyDescent="0.25">
      <c r="A1725" s="1409"/>
      <c r="B1725" s="1409"/>
      <c r="C1725" s="1409"/>
      <c r="D1725" s="1409"/>
      <c r="E1725" s="1247"/>
      <c r="F1725" s="1248" t="s">
        <v>5247</v>
      </c>
      <c r="G1725" s="111"/>
      <c r="H1725" s="1249">
        <v>3</v>
      </c>
      <c r="I1725" s="111" t="s">
        <v>1721</v>
      </c>
      <c r="J1725" s="1321" t="s">
        <v>5608</v>
      </c>
      <c r="K1725" s="162" t="s">
        <v>5610</v>
      </c>
      <c r="L1725" s="162" t="s">
        <v>5609</v>
      </c>
      <c r="M1725" s="111">
        <v>98.31</v>
      </c>
      <c r="N1725" s="111">
        <v>294.93</v>
      </c>
      <c r="O1725" s="111"/>
      <c r="P1725" s="111"/>
      <c r="Q1725" s="111"/>
      <c r="R1725" s="111"/>
      <c r="S1725" s="1249">
        <v>1</v>
      </c>
      <c r="T1725" s="1250">
        <v>98.31</v>
      </c>
      <c r="U1725" s="1250"/>
      <c r="V1725" s="1250"/>
      <c r="W1725" s="1251">
        <v>1</v>
      </c>
      <c r="X1725" s="1250">
        <v>98.31</v>
      </c>
      <c r="Y1725" s="1250"/>
      <c r="Z1725" s="1250"/>
      <c r="AA1725" s="1250"/>
      <c r="AB1725" s="1250"/>
      <c r="AC1725" s="1250"/>
      <c r="AD1725" s="1250"/>
      <c r="AE1725" s="1249">
        <v>1</v>
      </c>
      <c r="AF1725" s="1250">
        <v>98.31</v>
      </c>
      <c r="AG1725" s="111"/>
      <c r="AH1725" s="111"/>
      <c r="AI1725" s="111"/>
      <c r="AJ1725" s="111"/>
      <c r="AK1725" s="111"/>
      <c r="AL1725" s="111"/>
      <c r="AM1725" s="111">
        <v>294.93</v>
      </c>
    </row>
    <row r="1726" spans="1:39" ht="15" customHeight="1" x14ac:dyDescent="0.25">
      <c r="A1726" s="1409"/>
      <c r="B1726" s="1409"/>
      <c r="C1726" s="1409"/>
      <c r="D1726" s="1409"/>
      <c r="E1726" s="1247"/>
      <c r="F1726" s="1248" t="s">
        <v>5248</v>
      </c>
      <c r="G1726" s="111"/>
      <c r="H1726" s="1249">
        <v>1</v>
      </c>
      <c r="I1726" s="111" t="s">
        <v>1725</v>
      </c>
      <c r="J1726" s="1321" t="s">
        <v>5608</v>
      </c>
      <c r="K1726" s="162" t="s">
        <v>5610</v>
      </c>
      <c r="L1726" s="162" t="s">
        <v>5609</v>
      </c>
      <c r="M1726" s="111">
        <v>124.25</v>
      </c>
      <c r="N1726" s="111">
        <v>124.25</v>
      </c>
      <c r="O1726" s="111"/>
      <c r="P1726" s="111"/>
      <c r="Q1726" s="111"/>
      <c r="R1726" s="111"/>
      <c r="S1726" s="1249">
        <v>1</v>
      </c>
      <c r="T1726" s="1250">
        <v>41.416666666666664</v>
      </c>
      <c r="U1726" s="1250"/>
      <c r="V1726" s="1250"/>
      <c r="W1726" s="1251">
        <v>0</v>
      </c>
      <c r="X1726" s="1250">
        <v>41.416666666666664</v>
      </c>
      <c r="Y1726" s="1250"/>
      <c r="Z1726" s="1250"/>
      <c r="AA1726" s="1250"/>
      <c r="AB1726" s="1250"/>
      <c r="AC1726" s="1250"/>
      <c r="AD1726" s="1250"/>
      <c r="AE1726" s="1249">
        <v>0</v>
      </c>
      <c r="AF1726" s="1250">
        <v>41.416666666666664</v>
      </c>
      <c r="AG1726" s="111"/>
      <c r="AH1726" s="111"/>
      <c r="AI1726" s="111"/>
      <c r="AJ1726" s="111"/>
      <c r="AK1726" s="111"/>
      <c r="AL1726" s="111"/>
      <c r="AM1726" s="111">
        <v>124.25</v>
      </c>
    </row>
    <row r="1727" spans="1:39" ht="15" customHeight="1" x14ac:dyDescent="0.25">
      <c r="A1727" s="1409"/>
      <c r="B1727" s="1409"/>
      <c r="C1727" s="1409"/>
      <c r="D1727" s="1409"/>
      <c r="E1727" s="1247"/>
      <c r="F1727" s="1248" t="s">
        <v>3102</v>
      </c>
      <c r="G1727" s="111"/>
      <c r="H1727" s="1249">
        <v>1</v>
      </c>
      <c r="I1727" s="111" t="s">
        <v>1721</v>
      </c>
      <c r="J1727" s="1321" t="s">
        <v>5608</v>
      </c>
      <c r="K1727" s="162" t="s">
        <v>5610</v>
      </c>
      <c r="L1727" s="162" t="s">
        <v>5609</v>
      </c>
      <c r="M1727" s="111">
        <v>28.68</v>
      </c>
      <c r="N1727" s="111">
        <v>28.68</v>
      </c>
      <c r="O1727" s="111"/>
      <c r="P1727" s="111"/>
      <c r="Q1727" s="111"/>
      <c r="R1727" s="111"/>
      <c r="S1727" s="1249">
        <v>1</v>
      </c>
      <c r="T1727" s="1250">
        <v>9.56</v>
      </c>
      <c r="U1727" s="1250"/>
      <c r="V1727" s="1250"/>
      <c r="W1727" s="1251">
        <v>0</v>
      </c>
      <c r="X1727" s="1250">
        <v>9.56</v>
      </c>
      <c r="Y1727" s="1250"/>
      <c r="Z1727" s="1250"/>
      <c r="AA1727" s="1250"/>
      <c r="AB1727" s="1250"/>
      <c r="AC1727" s="1250"/>
      <c r="AD1727" s="1250"/>
      <c r="AE1727" s="1249">
        <v>0</v>
      </c>
      <c r="AF1727" s="1250">
        <v>9.56</v>
      </c>
      <c r="AG1727" s="111"/>
      <c r="AH1727" s="111"/>
      <c r="AI1727" s="111"/>
      <c r="AJ1727" s="111"/>
      <c r="AK1727" s="111"/>
      <c r="AL1727" s="111"/>
      <c r="AM1727" s="111">
        <v>28.68</v>
      </c>
    </row>
    <row r="1728" spans="1:39" ht="15" customHeight="1" x14ac:dyDescent="0.25">
      <c r="A1728" s="1409"/>
      <c r="B1728" s="1409"/>
      <c r="C1728" s="1409"/>
      <c r="D1728" s="1409"/>
      <c r="E1728" s="1247"/>
      <c r="F1728" s="1248" t="s">
        <v>5249</v>
      </c>
      <c r="G1728" s="111"/>
      <c r="H1728" s="1249">
        <v>1</v>
      </c>
      <c r="I1728" s="111" t="s">
        <v>4452</v>
      </c>
      <c r="J1728" s="1321" t="s">
        <v>5608</v>
      </c>
      <c r="K1728" s="162" t="s">
        <v>5610</v>
      </c>
      <c r="L1728" s="162" t="s">
        <v>5609</v>
      </c>
      <c r="M1728" s="111">
        <v>1152.74</v>
      </c>
      <c r="N1728" s="111">
        <v>1152.74</v>
      </c>
      <c r="O1728" s="111"/>
      <c r="P1728" s="111"/>
      <c r="Q1728" s="111"/>
      <c r="R1728" s="111"/>
      <c r="S1728" s="1249">
        <v>1</v>
      </c>
      <c r="T1728" s="1250">
        <v>384.24666666666667</v>
      </c>
      <c r="U1728" s="1250"/>
      <c r="V1728" s="1250"/>
      <c r="W1728" s="1251">
        <v>0</v>
      </c>
      <c r="X1728" s="1250">
        <v>384.24666666666667</v>
      </c>
      <c r="Y1728" s="1250"/>
      <c r="Z1728" s="1250"/>
      <c r="AA1728" s="1250"/>
      <c r="AB1728" s="1250"/>
      <c r="AC1728" s="1250"/>
      <c r="AD1728" s="1250"/>
      <c r="AE1728" s="1249">
        <v>0</v>
      </c>
      <c r="AF1728" s="1250">
        <v>384.24666666666667</v>
      </c>
      <c r="AG1728" s="111"/>
      <c r="AH1728" s="111"/>
      <c r="AI1728" s="111"/>
      <c r="AJ1728" s="111"/>
      <c r="AK1728" s="111"/>
      <c r="AL1728" s="111"/>
      <c r="AM1728" s="111">
        <v>1152.74</v>
      </c>
    </row>
    <row r="1729" spans="1:39" ht="15" customHeight="1" x14ac:dyDescent="0.25">
      <c r="A1729" s="1409"/>
      <c r="B1729" s="1409"/>
      <c r="C1729" s="1409"/>
      <c r="D1729" s="1409"/>
      <c r="E1729" s="1247"/>
      <c r="F1729" s="1248" t="s">
        <v>3140</v>
      </c>
      <c r="G1729" s="111"/>
      <c r="H1729" s="1249">
        <v>1</v>
      </c>
      <c r="I1729" s="111" t="s">
        <v>1721</v>
      </c>
      <c r="J1729" s="1321" t="s">
        <v>5608</v>
      </c>
      <c r="K1729" s="162" t="s">
        <v>5610</v>
      </c>
      <c r="L1729" s="162" t="s">
        <v>5609</v>
      </c>
      <c r="M1729" s="111">
        <v>562.29422399999999</v>
      </c>
      <c r="N1729" s="111">
        <v>562.29422399999999</v>
      </c>
      <c r="O1729" s="111"/>
      <c r="P1729" s="111"/>
      <c r="Q1729" s="111"/>
      <c r="R1729" s="111"/>
      <c r="S1729" s="1249">
        <v>1</v>
      </c>
      <c r="T1729" s="1250">
        <v>187.431408</v>
      </c>
      <c r="U1729" s="1250"/>
      <c r="V1729" s="1250"/>
      <c r="W1729" s="1251">
        <v>0</v>
      </c>
      <c r="X1729" s="1250">
        <v>187.431408</v>
      </c>
      <c r="Y1729" s="1250"/>
      <c r="Z1729" s="1250"/>
      <c r="AA1729" s="1250"/>
      <c r="AB1729" s="1250"/>
      <c r="AC1729" s="1250"/>
      <c r="AD1729" s="1250"/>
      <c r="AE1729" s="1249">
        <v>0</v>
      </c>
      <c r="AF1729" s="1250">
        <v>187.431408</v>
      </c>
      <c r="AG1729" s="111"/>
      <c r="AH1729" s="111"/>
      <c r="AI1729" s="111"/>
      <c r="AJ1729" s="111"/>
      <c r="AK1729" s="111"/>
      <c r="AL1729" s="111"/>
      <c r="AM1729" s="111">
        <v>562.29422399999999</v>
      </c>
    </row>
    <row r="1730" spans="1:39" ht="15" customHeight="1" x14ac:dyDescent="0.25">
      <c r="A1730" s="1409"/>
      <c r="B1730" s="1409"/>
      <c r="C1730" s="1409"/>
      <c r="D1730" s="1409"/>
      <c r="E1730" s="1247"/>
      <c r="F1730" s="1248" t="s">
        <v>3141</v>
      </c>
      <c r="G1730" s="111"/>
      <c r="H1730" s="1249">
        <v>1</v>
      </c>
      <c r="I1730" s="111" t="s">
        <v>1722</v>
      </c>
      <c r="J1730" s="1321" t="s">
        <v>5608</v>
      </c>
      <c r="K1730" s="162" t="s">
        <v>5610</v>
      </c>
      <c r="L1730" s="162" t="s">
        <v>5609</v>
      </c>
      <c r="M1730" s="111">
        <v>230.88</v>
      </c>
      <c r="N1730" s="111">
        <v>230.88</v>
      </c>
      <c r="O1730" s="111"/>
      <c r="P1730" s="111"/>
      <c r="Q1730" s="111"/>
      <c r="R1730" s="111"/>
      <c r="S1730" s="1249">
        <v>1</v>
      </c>
      <c r="T1730" s="1250">
        <v>76.959999999999994</v>
      </c>
      <c r="U1730" s="1250"/>
      <c r="V1730" s="1250"/>
      <c r="W1730" s="1251">
        <v>0</v>
      </c>
      <c r="X1730" s="1250">
        <v>76.959999999999994</v>
      </c>
      <c r="Y1730" s="1250"/>
      <c r="Z1730" s="1250"/>
      <c r="AA1730" s="1250"/>
      <c r="AB1730" s="1250"/>
      <c r="AC1730" s="1250"/>
      <c r="AD1730" s="1250"/>
      <c r="AE1730" s="1249">
        <v>0</v>
      </c>
      <c r="AF1730" s="1250">
        <v>76.959999999999994</v>
      </c>
      <c r="AG1730" s="111"/>
      <c r="AH1730" s="111"/>
      <c r="AI1730" s="111"/>
      <c r="AJ1730" s="111"/>
      <c r="AK1730" s="111"/>
      <c r="AL1730" s="111"/>
      <c r="AM1730" s="111">
        <v>230.88</v>
      </c>
    </row>
    <row r="1731" spans="1:39" ht="15" customHeight="1" x14ac:dyDescent="0.25">
      <c r="A1731" s="1409"/>
      <c r="B1731" s="1409"/>
      <c r="C1731" s="1409"/>
      <c r="D1731" s="1409"/>
      <c r="E1731" s="1247"/>
      <c r="F1731" s="1248" t="s">
        <v>3142</v>
      </c>
      <c r="G1731" s="111"/>
      <c r="H1731" s="1249">
        <v>1</v>
      </c>
      <c r="I1731" s="111" t="s">
        <v>1722</v>
      </c>
      <c r="J1731" s="1321" t="s">
        <v>5608</v>
      </c>
      <c r="K1731" s="162" t="s">
        <v>5610</v>
      </c>
      <c r="L1731" s="162" t="s">
        <v>5609</v>
      </c>
      <c r="M1731" s="111">
        <v>118.8</v>
      </c>
      <c r="N1731" s="111">
        <v>118.8</v>
      </c>
      <c r="O1731" s="111"/>
      <c r="P1731" s="111"/>
      <c r="Q1731" s="111"/>
      <c r="R1731" s="111"/>
      <c r="S1731" s="1249">
        <v>1</v>
      </c>
      <c r="T1731" s="1250">
        <v>39.6</v>
      </c>
      <c r="U1731" s="1250"/>
      <c r="V1731" s="1250"/>
      <c r="W1731" s="1251">
        <v>0</v>
      </c>
      <c r="X1731" s="1250">
        <v>39.6</v>
      </c>
      <c r="Y1731" s="1250"/>
      <c r="Z1731" s="1250"/>
      <c r="AA1731" s="1250"/>
      <c r="AB1731" s="1250"/>
      <c r="AC1731" s="1250"/>
      <c r="AD1731" s="1250"/>
      <c r="AE1731" s="1249">
        <v>0</v>
      </c>
      <c r="AF1731" s="1250">
        <v>39.6</v>
      </c>
      <c r="AG1731" s="111"/>
      <c r="AH1731" s="111"/>
      <c r="AI1731" s="111"/>
      <c r="AJ1731" s="111"/>
      <c r="AK1731" s="111"/>
      <c r="AL1731" s="111"/>
      <c r="AM1731" s="111">
        <v>118.8</v>
      </c>
    </row>
    <row r="1732" spans="1:39" ht="15" customHeight="1" x14ac:dyDescent="0.25">
      <c r="A1732" s="1409"/>
      <c r="B1732" s="1409"/>
      <c r="C1732" s="1409"/>
      <c r="D1732" s="1409"/>
      <c r="E1732" s="1247"/>
      <c r="F1732" s="1248" t="s">
        <v>3143</v>
      </c>
      <c r="G1732" s="111"/>
      <c r="H1732" s="1249">
        <v>1</v>
      </c>
      <c r="I1732" s="111" t="s">
        <v>1722</v>
      </c>
      <c r="J1732" s="1321" t="s">
        <v>5608</v>
      </c>
      <c r="K1732" s="162" t="s">
        <v>5610</v>
      </c>
      <c r="L1732" s="162" t="s">
        <v>5609</v>
      </c>
      <c r="M1732" s="111">
        <v>118.8</v>
      </c>
      <c r="N1732" s="111">
        <v>118.8</v>
      </c>
      <c r="O1732" s="111"/>
      <c r="P1732" s="111"/>
      <c r="Q1732" s="111"/>
      <c r="R1732" s="111"/>
      <c r="S1732" s="1249">
        <v>1</v>
      </c>
      <c r="T1732" s="1250">
        <v>39.6</v>
      </c>
      <c r="U1732" s="1250"/>
      <c r="V1732" s="1250"/>
      <c r="W1732" s="1251">
        <v>0</v>
      </c>
      <c r="X1732" s="1250">
        <v>39.6</v>
      </c>
      <c r="Y1732" s="1250"/>
      <c r="Z1732" s="1250"/>
      <c r="AA1732" s="1250"/>
      <c r="AB1732" s="1250"/>
      <c r="AC1732" s="1250"/>
      <c r="AD1732" s="1250"/>
      <c r="AE1732" s="1249">
        <v>0</v>
      </c>
      <c r="AF1732" s="1250">
        <v>39.6</v>
      </c>
      <c r="AG1732" s="111"/>
      <c r="AH1732" s="111"/>
      <c r="AI1732" s="111"/>
      <c r="AJ1732" s="111"/>
      <c r="AK1732" s="111"/>
      <c r="AL1732" s="111"/>
      <c r="AM1732" s="111">
        <v>118.8</v>
      </c>
    </row>
    <row r="1733" spans="1:39" ht="15" customHeight="1" x14ac:dyDescent="0.25">
      <c r="A1733" s="1409"/>
      <c r="B1733" s="1409"/>
      <c r="C1733" s="1409"/>
      <c r="D1733" s="1409"/>
      <c r="E1733" s="1247"/>
      <c r="F1733" s="1248" t="s">
        <v>3144</v>
      </c>
      <c r="G1733" s="111"/>
      <c r="H1733" s="1249">
        <v>1</v>
      </c>
      <c r="I1733" s="111" t="s">
        <v>1722</v>
      </c>
      <c r="J1733" s="1321" t="s">
        <v>5608</v>
      </c>
      <c r="K1733" s="162" t="s">
        <v>5610</v>
      </c>
      <c r="L1733" s="162" t="s">
        <v>5609</v>
      </c>
      <c r="M1733" s="111">
        <v>118.8</v>
      </c>
      <c r="N1733" s="111">
        <v>118.8</v>
      </c>
      <c r="O1733" s="111"/>
      <c r="P1733" s="111"/>
      <c r="Q1733" s="111"/>
      <c r="R1733" s="111"/>
      <c r="S1733" s="1249">
        <v>1</v>
      </c>
      <c r="T1733" s="1250">
        <v>39.6</v>
      </c>
      <c r="U1733" s="1250"/>
      <c r="V1733" s="1250"/>
      <c r="W1733" s="1251">
        <v>0</v>
      </c>
      <c r="X1733" s="1250">
        <v>39.6</v>
      </c>
      <c r="Y1733" s="1250"/>
      <c r="Z1733" s="1250"/>
      <c r="AA1733" s="1250"/>
      <c r="AB1733" s="1250"/>
      <c r="AC1733" s="1250"/>
      <c r="AD1733" s="1250"/>
      <c r="AE1733" s="1249">
        <v>0</v>
      </c>
      <c r="AF1733" s="1250">
        <v>39.6</v>
      </c>
      <c r="AG1733" s="111"/>
      <c r="AH1733" s="111"/>
      <c r="AI1733" s="111"/>
      <c r="AJ1733" s="111"/>
      <c r="AK1733" s="111"/>
      <c r="AL1733" s="111"/>
      <c r="AM1733" s="111">
        <v>118.8</v>
      </c>
    </row>
    <row r="1734" spans="1:39" ht="15" customHeight="1" x14ac:dyDescent="0.25">
      <c r="A1734" s="1409"/>
      <c r="B1734" s="1409"/>
      <c r="C1734" s="1409"/>
      <c r="D1734" s="1409"/>
      <c r="E1734" s="1247"/>
      <c r="F1734" s="1248" t="s">
        <v>3145</v>
      </c>
      <c r="G1734" s="111"/>
      <c r="H1734" s="1249">
        <v>1</v>
      </c>
      <c r="I1734" s="111" t="s">
        <v>1722</v>
      </c>
      <c r="J1734" s="1321" t="s">
        <v>5608</v>
      </c>
      <c r="K1734" s="162" t="s">
        <v>5610</v>
      </c>
      <c r="L1734" s="162" t="s">
        <v>5609</v>
      </c>
      <c r="M1734" s="111">
        <v>118.8</v>
      </c>
      <c r="N1734" s="111">
        <v>118.8</v>
      </c>
      <c r="O1734" s="111"/>
      <c r="P1734" s="111"/>
      <c r="Q1734" s="111"/>
      <c r="R1734" s="111"/>
      <c r="S1734" s="1249">
        <v>1</v>
      </c>
      <c r="T1734" s="1250">
        <v>39.6</v>
      </c>
      <c r="U1734" s="1250"/>
      <c r="V1734" s="1250"/>
      <c r="W1734" s="1251">
        <v>0</v>
      </c>
      <c r="X1734" s="1250">
        <v>39.6</v>
      </c>
      <c r="Y1734" s="1250"/>
      <c r="Z1734" s="1250"/>
      <c r="AA1734" s="1250"/>
      <c r="AB1734" s="1250"/>
      <c r="AC1734" s="1250"/>
      <c r="AD1734" s="1250"/>
      <c r="AE1734" s="1249">
        <v>0</v>
      </c>
      <c r="AF1734" s="1250">
        <v>39.6</v>
      </c>
      <c r="AG1734" s="111"/>
      <c r="AH1734" s="111"/>
      <c r="AI1734" s="111"/>
      <c r="AJ1734" s="111"/>
      <c r="AK1734" s="111"/>
      <c r="AL1734" s="111"/>
      <c r="AM1734" s="111">
        <v>118.8</v>
      </c>
    </row>
    <row r="1735" spans="1:39" ht="15" customHeight="1" x14ac:dyDescent="0.25">
      <c r="A1735" s="1409"/>
      <c r="B1735" s="1409"/>
      <c r="C1735" s="1409"/>
      <c r="D1735" s="1409"/>
      <c r="E1735" s="1247"/>
      <c r="F1735" s="1248" t="s">
        <v>3146</v>
      </c>
      <c r="G1735" s="111"/>
      <c r="H1735" s="1249">
        <v>1</v>
      </c>
      <c r="I1735" s="111" t="s">
        <v>1722</v>
      </c>
      <c r="J1735" s="1321" t="s">
        <v>5608</v>
      </c>
      <c r="K1735" s="162" t="s">
        <v>5610</v>
      </c>
      <c r="L1735" s="162" t="s">
        <v>5609</v>
      </c>
      <c r="M1735" s="111">
        <v>126.23</v>
      </c>
      <c r="N1735" s="111">
        <v>126.23</v>
      </c>
      <c r="O1735" s="111"/>
      <c r="P1735" s="111"/>
      <c r="Q1735" s="111"/>
      <c r="R1735" s="111"/>
      <c r="S1735" s="1249">
        <v>1</v>
      </c>
      <c r="T1735" s="1250">
        <v>42.076666666666668</v>
      </c>
      <c r="U1735" s="1250"/>
      <c r="V1735" s="1250"/>
      <c r="W1735" s="1251">
        <v>0</v>
      </c>
      <c r="X1735" s="1250">
        <v>42.076666666666668</v>
      </c>
      <c r="Y1735" s="1250"/>
      <c r="Z1735" s="1250"/>
      <c r="AA1735" s="1250"/>
      <c r="AB1735" s="1250"/>
      <c r="AC1735" s="1250"/>
      <c r="AD1735" s="1250"/>
      <c r="AE1735" s="1249">
        <v>0</v>
      </c>
      <c r="AF1735" s="1250">
        <v>42.076666666666668</v>
      </c>
      <c r="AG1735" s="111"/>
      <c r="AH1735" s="111"/>
      <c r="AI1735" s="111"/>
      <c r="AJ1735" s="111"/>
      <c r="AK1735" s="111"/>
      <c r="AL1735" s="111"/>
      <c r="AM1735" s="111">
        <v>126.23</v>
      </c>
    </row>
    <row r="1736" spans="1:39" ht="15" customHeight="1" x14ac:dyDescent="0.25">
      <c r="A1736" s="1409"/>
      <c r="B1736" s="1409"/>
      <c r="C1736" s="1409"/>
      <c r="D1736" s="1409"/>
      <c r="E1736" s="1247"/>
      <c r="F1736" s="1248" t="s">
        <v>3147</v>
      </c>
      <c r="G1736" s="111"/>
      <c r="H1736" s="1249">
        <v>1</v>
      </c>
      <c r="I1736" s="111" t="s">
        <v>1722</v>
      </c>
      <c r="J1736" s="1321" t="s">
        <v>5608</v>
      </c>
      <c r="K1736" s="162" t="s">
        <v>5610</v>
      </c>
      <c r="L1736" s="162" t="s">
        <v>5609</v>
      </c>
      <c r="M1736" s="111">
        <v>118.8</v>
      </c>
      <c r="N1736" s="111">
        <v>118.8</v>
      </c>
      <c r="O1736" s="111"/>
      <c r="P1736" s="111"/>
      <c r="Q1736" s="111"/>
      <c r="R1736" s="111"/>
      <c r="S1736" s="1249">
        <v>1</v>
      </c>
      <c r="T1736" s="1250">
        <v>39.6</v>
      </c>
      <c r="U1736" s="1250"/>
      <c r="V1736" s="1250"/>
      <c r="W1736" s="1251">
        <v>0</v>
      </c>
      <c r="X1736" s="1250">
        <v>39.6</v>
      </c>
      <c r="Y1736" s="1250"/>
      <c r="Z1736" s="1250"/>
      <c r="AA1736" s="1250"/>
      <c r="AB1736" s="1250"/>
      <c r="AC1736" s="1250"/>
      <c r="AD1736" s="1250"/>
      <c r="AE1736" s="1249">
        <v>0</v>
      </c>
      <c r="AF1736" s="1250">
        <v>39.6</v>
      </c>
      <c r="AG1736" s="111"/>
      <c r="AH1736" s="111"/>
      <c r="AI1736" s="111"/>
      <c r="AJ1736" s="111"/>
      <c r="AK1736" s="111"/>
      <c r="AL1736" s="111"/>
      <c r="AM1736" s="111">
        <v>118.8</v>
      </c>
    </row>
    <row r="1737" spans="1:39" ht="15" customHeight="1" x14ac:dyDescent="0.25">
      <c r="A1737" s="1409"/>
      <c r="B1737" s="1409"/>
      <c r="C1737" s="1409"/>
      <c r="D1737" s="1409"/>
      <c r="E1737" s="1247"/>
      <c r="F1737" s="1248" t="s">
        <v>5250</v>
      </c>
      <c r="G1737" s="111"/>
      <c r="H1737" s="1249">
        <v>10</v>
      </c>
      <c r="I1737" s="111" t="s">
        <v>1722</v>
      </c>
      <c r="J1737" s="1321" t="s">
        <v>5608</v>
      </c>
      <c r="K1737" s="162" t="s">
        <v>5610</v>
      </c>
      <c r="L1737" s="162" t="s">
        <v>5609</v>
      </c>
      <c r="M1737" s="111">
        <v>239.26759999999999</v>
      </c>
      <c r="N1737" s="111">
        <v>2392.6759999999999</v>
      </c>
      <c r="O1737" s="111"/>
      <c r="P1737" s="111"/>
      <c r="Q1737" s="111"/>
      <c r="R1737" s="111"/>
      <c r="S1737" s="1249">
        <v>5</v>
      </c>
      <c r="T1737" s="1250">
        <v>797.55866666666668</v>
      </c>
      <c r="U1737" s="1250"/>
      <c r="V1737" s="1250"/>
      <c r="W1737" s="1251">
        <v>5</v>
      </c>
      <c r="X1737" s="1250">
        <v>797.55866666666668</v>
      </c>
      <c r="Y1737" s="1250"/>
      <c r="Z1737" s="1250"/>
      <c r="AA1737" s="1250"/>
      <c r="AB1737" s="1250"/>
      <c r="AC1737" s="1250"/>
      <c r="AD1737" s="1250"/>
      <c r="AE1737" s="1249">
        <v>0</v>
      </c>
      <c r="AF1737" s="1250">
        <v>797.55866666666668</v>
      </c>
      <c r="AG1737" s="111"/>
      <c r="AH1737" s="111"/>
      <c r="AI1737" s="111"/>
      <c r="AJ1737" s="111"/>
      <c r="AK1737" s="111"/>
      <c r="AL1737" s="111"/>
      <c r="AM1737" s="111">
        <v>2392.6759999999999</v>
      </c>
    </row>
    <row r="1738" spans="1:39" ht="30" customHeight="1" x14ac:dyDescent="0.25">
      <c r="A1738" s="1409"/>
      <c r="B1738" s="1409"/>
      <c r="C1738" s="1409"/>
      <c r="D1738" s="1409"/>
      <c r="E1738" s="1247"/>
      <c r="F1738" s="1287" t="s">
        <v>5251</v>
      </c>
      <c r="G1738" s="111"/>
      <c r="H1738" s="1249">
        <v>12</v>
      </c>
      <c r="I1738" s="111" t="s">
        <v>1722</v>
      </c>
      <c r="J1738" s="1321" t="s">
        <v>5608</v>
      </c>
      <c r="K1738" s="162" t="s">
        <v>5610</v>
      </c>
      <c r="L1738" s="162" t="s">
        <v>5609</v>
      </c>
      <c r="M1738" s="111">
        <v>137.81</v>
      </c>
      <c r="N1738" s="111">
        <v>1653.72</v>
      </c>
      <c r="O1738" s="111"/>
      <c r="P1738" s="111"/>
      <c r="Q1738" s="111"/>
      <c r="R1738" s="111"/>
      <c r="S1738" s="1249">
        <v>5</v>
      </c>
      <c r="T1738" s="1250">
        <v>551.24</v>
      </c>
      <c r="U1738" s="1250"/>
      <c r="V1738" s="1250"/>
      <c r="W1738" s="1251">
        <v>5</v>
      </c>
      <c r="X1738" s="1250">
        <v>551.24</v>
      </c>
      <c r="Y1738" s="1250"/>
      <c r="Z1738" s="1250"/>
      <c r="AA1738" s="1250"/>
      <c r="AB1738" s="1250"/>
      <c r="AC1738" s="1250"/>
      <c r="AD1738" s="1250"/>
      <c r="AE1738" s="1249">
        <v>2</v>
      </c>
      <c r="AF1738" s="1250">
        <v>551.24</v>
      </c>
      <c r="AG1738" s="111"/>
      <c r="AH1738" s="111"/>
      <c r="AI1738" s="111"/>
      <c r="AJ1738" s="111"/>
      <c r="AK1738" s="111"/>
      <c r="AL1738" s="111"/>
      <c r="AM1738" s="111">
        <v>1653.72</v>
      </c>
    </row>
    <row r="1739" spans="1:39" ht="15" customHeight="1" x14ac:dyDescent="0.25">
      <c r="A1739" s="1409"/>
      <c r="B1739" s="1409"/>
      <c r="C1739" s="1409"/>
      <c r="D1739" s="1409"/>
      <c r="E1739" s="1247"/>
      <c r="F1739" s="1248" t="s">
        <v>4222</v>
      </c>
      <c r="G1739" s="111"/>
      <c r="H1739" s="1249">
        <v>5</v>
      </c>
      <c r="I1739" s="111" t="s">
        <v>1721</v>
      </c>
      <c r="J1739" s="1321" t="s">
        <v>5608</v>
      </c>
      <c r="K1739" s="162" t="s">
        <v>5610</v>
      </c>
      <c r="L1739" s="162" t="s">
        <v>5609</v>
      </c>
      <c r="M1739" s="111">
        <v>70.099999999999994</v>
      </c>
      <c r="N1739" s="111">
        <v>350.5</v>
      </c>
      <c r="O1739" s="111"/>
      <c r="P1739" s="111"/>
      <c r="Q1739" s="111"/>
      <c r="R1739" s="111"/>
      <c r="S1739" s="1249">
        <v>2</v>
      </c>
      <c r="T1739" s="1250">
        <v>116.83333333333333</v>
      </c>
      <c r="U1739" s="1250"/>
      <c r="V1739" s="1250"/>
      <c r="W1739" s="1251">
        <v>2</v>
      </c>
      <c r="X1739" s="1250">
        <v>116.83333333333333</v>
      </c>
      <c r="Y1739" s="1250"/>
      <c r="Z1739" s="1250"/>
      <c r="AA1739" s="1250"/>
      <c r="AB1739" s="1250"/>
      <c r="AC1739" s="1250"/>
      <c r="AD1739" s="1250"/>
      <c r="AE1739" s="1249">
        <v>1</v>
      </c>
      <c r="AF1739" s="1250">
        <v>116.83333333333333</v>
      </c>
      <c r="AG1739" s="111"/>
      <c r="AH1739" s="111"/>
      <c r="AI1739" s="111"/>
      <c r="AJ1739" s="111"/>
      <c r="AK1739" s="111"/>
      <c r="AL1739" s="111"/>
      <c r="AM1739" s="111">
        <v>350.5</v>
      </c>
    </row>
    <row r="1740" spans="1:39" ht="15" customHeight="1" x14ac:dyDescent="0.25">
      <c r="A1740" s="1409"/>
      <c r="B1740" s="1409"/>
      <c r="C1740" s="1409"/>
      <c r="D1740" s="1409"/>
      <c r="E1740" s="1247"/>
      <c r="F1740" s="1248" t="s">
        <v>3148</v>
      </c>
      <c r="G1740" s="111"/>
      <c r="H1740" s="1249">
        <v>1</v>
      </c>
      <c r="I1740" s="111" t="s">
        <v>1721</v>
      </c>
      <c r="J1740" s="1321" t="s">
        <v>5608</v>
      </c>
      <c r="K1740" s="162" t="s">
        <v>5610</v>
      </c>
      <c r="L1740" s="162" t="s">
        <v>5609</v>
      </c>
      <c r="M1740" s="111">
        <v>60.43</v>
      </c>
      <c r="N1740" s="111">
        <v>60.43</v>
      </c>
      <c r="O1740" s="111"/>
      <c r="P1740" s="111"/>
      <c r="Q1740" s="111"/>
      <c r="R1740" s="111"/>
      <c r="S1740" s="1249">
        <v>1</v>
      </c>
      <c r="T1740" s="1250">
        <v>20.143333333333334</v>
      </c>
      <c r="U1740" s="1250"/>
      <c r="V1740" s="1250"/>
      <c r="W1740" s="1251">
        <v>0</v>
      </c>
      <c r="X1740" s="1250">
        <v>20.143333333333334</v>
      </c>
      <c r="Y1740" s="1250"/>
      <c r="Z1740" s="1250"/>
      <c r="AA1740" s="1250"/>
      <c r="AB1740" s="1250"/>
      <c r="AC1740" s="1250"/>
      <c r="AD1740" s="1250"/>
      <c r="AE1740" s="1249">
        <v>0</v>
      </c>
      <c r="AF1740" s="1250">
        <v>20.143333333333334</v>
      </c>
      <c r="AG1740" s="111"/>
      <c r="AH1740" s="111"/>
      <c r="AI1740" s="111"/>
      <c r="AJ1740" s="111"/>
      <c r="AK1740" s="111"/>
      <c r="AL1740" s="111"/>
      <c r="AM1740" s="111">
        <v>60.43</v>
      </c>
    </row>
    <row r="1741" spans="1:39" ht="15" customHeight="1" x14ac:dyDescent="0.25">
      <c r="A1741" s="1409"/>
      <c r="B1741" s="1409"/>
      <c r="C1741" s="1409"/>
      <c r="D1741" s="1409"/>
      <c r="E1741" s="1247"/>
      <c r="F1741" s="1248" t="s">
        <v>3149</v>
      </c>
      <c r="G1741" s="111"/>
      <c r="H1741" s="1249">
        <v>1</v>
      </c>
      <c r="I1741" s="111" t="s">
        <v>1721</v>
      </c>
      <c r="J1741" s="1321" t="s">
        <v>5608</v>
      </c>
      <c r="K1741" s="162" t="s">
        <v>5610</v>
      </c>
      <c r="L1741" s="162" t="s">
        <v>5609</v>
      </c>
      <c r="M1741" s="111">
        <v>334.13</v>
      </c>
      <c r="N1741" s="111">
        <v>334.13</v>
      </c>
      <c r="O1741" s="111"/>
      <c r="P1741" s="111"/>
      <c r="Q1741" s="111"/>
      <c r="R1741" s="111"/>
      <c r="S1741" s="1249">
        <v>1</v>
      </c>
      <c r="T1741" s="1250">
        <v>111.37666666666667</v>
      </c>
      <c r="U1741" s="1250"/>
      <c r="V1741" s="1250"/>
      <c r="W1741" s="1251">
        <v>0</v>
      </c>
      <c r="X1741" s="1250">
        <v>111.37666666666667</v>
      </c>
      <c r="Y1741" s="1250"/>
      <c r="Z1741" s="1250"/>
      <c r="AA1741" s="1250"/>
      <c r="AB1741" s="1250"/>
      <c r="AC1741" s="1250"/>
      <c r="AD1741" s="1250"/>
      <c r="AE1741" s="1249">
        <v>0</v>
      </c>
      <c r="AF1741" s="1250">
        <v>111.37666666666667</v>
      </c>
      <c r="AG1741" s="111"/>
      <c r="AH1741" s="111"/>
      <c r="AI1741" s="111"/>
      <c r="AJ1741" s="111"/>
      <c r="AK1741" s="111"/>
      <c r="AL1741" s="111"/>
      <c r="AM1741" s="111">
        <v>334.13</v>
      </c>
    </row>
    <row r="1742" spans="1:39" ht="15" customHeight="1" x14ac:dyDescent="0.25">
      <c r="A1742" s="1409"/>
      <c r="B1742" s="1409"/>
      <c r="C1742" s="1409"/>
      <c r="D1742" s="1409"/>
      <c r="E1742" s="1247"/>
      <c r="F1742" s="1248" t="s">
        <v>5252</v>
      </c>
      <c r="G1742" s="111"/>
      <c r="H1742" s="1249">
        <v>1</v>
      </c>
      <c r="I1742" s="111" t="s">
        <v>1721</v>
      </c>
      <c r="J1742" s="1321" t="s">
        <v>5608</v>
      </c>
      <c r="K1742" s="162" t="s">
        <v>5610</v>
      </c>
      <c r="L1742" s="162" t="s">
        <v>5609</v>
      </c>
      <c r="M1742" s="111">
        <v>2486.59</v>
      </c>
      <c r="N1742" s="111">
        <v>2486.59</v>
      </c>
      <c r="O1742" s="111"/>
      <c r="P1742" s="111"/>
      <c r="Q1742" s="111"/>
      <c r="R1742" s="111"/>
      <c r="S1742" s="1249">
        <v>1</v>
      </c>
      <c r="T1742" s="1250">
        <v>828.86333333333334</v>
      </c>
      <c r="U1742" s="1250"/>
      <c r="V1742" s="1250"/>
      <c r="W1742" s="1251">
        <v>0</v>
      </c>
      <c r="X1742" s="1250">
        <v>828.86333333333334</v>
      </c>
      <c r="Y1742" s="1250"/>
      <c r="Z1742" s="1250"/>
      <c r="AA1742" s="1250"/>
      <c r="AB1742" s="1250"/>
      <c r="AC1742" s="1250"/>
      <c r="AD1742" s="1250"/>
      <c r="AE1742" s="1249">
        <v>0</v>
      </c>
      <c r="AF1742" s="1250">
        <v>828.86333333333334</v>
      </c>
      <c r="AG1742" s="111"/>
      <c r="AH1742" s="111"/>
      <c r="AI1742" s="111"/>
      <c r="AJ1742" s="111"/>
      <c r="AK1742" s="111"/>
      <c r="AL1742" s="111"/>
      <c r="AM1742" s="111">
        <v>2486.59</v>
      </c>
    </row>
    <row r="1743" spans="1:39" ht="15" customHeight="1" x14ac:dyDescent="0.25">
      <c r="A1743" s="1409"/>
      <c r="B1743" s="1409"/>
      <c r="C1743" s="1409"/>
      <c r="D1743" s="1409"/>
      <c r="E1743" s="1247"/>
      <c r="F1743" s="1248" t="s">
        <v>3150</v>
      </c>
      <c r="G1743" s="111"/>
      <c r="H1743" s="1249">
        <v>1</v>
      </c>
      <c r="I1743" s="111" t="s">
        <v>1721</v>
      </c>
      <c r="J1743" s="1321" t="s">
        <v>5608</v>
      </c>
      <c r="K1743" s="162" t="s">
        <v>5610</v>
      </c>
      <c r="L1743" s="162" t="s">
        <v>5609</v>
      </c>
      <c r="M1743" s="111">
        <v>675.68</v>
      </c>
      <c r="N1743" s="111">
        <v>675.68</v>
      </c>
      <c r="O1743" s="111"/>
      <c r="P1743" s="111"/>
      <c r="Q1743" s="111"/>
      <c r="R1743" s="111"/>
      <c r="S1743" s="1249">
        <v>1</v>
      </c>
      <c r="T1743" s="1250">
        <v>225.22666666666666</v>
      </c>
      <c r="U1743" s="1250"/>
      <c r="V1743" s="1250"/>
      <c r="W1743" s="1251">
        <v>0</v>
      </c>
      <c r="X1743" s="1250">
        <v>225.22666666666666</v>
      </c>
      <c r="Y1743" s="1250"/>
      <c r="Z1743" s="1250"/>
      <c r="AA1743" s="1250"/>
      <c r="AB1743" s="1250"/>
      <c r="AC1743" s="1250"/>
      <c r="AD1743" s="1250"/>
      <c r="AE1743" s="1249">
        <v>0</v>
      </c>
      <c r="AF1743" s="1250">
        <v>225.22666666666666</v>
      </c>
      <c r="AG1743" s="111"/>
      <c r="AH1743" s="111"/>
      <c r="AI1743" s="111"/>
      <c r="AJ1743" s="111"/>
      <c r="AK1743" s="111"/>
      <c r="AL1743" s="111"/>
      <c r="AM1743" s="111">
        <v>675.68</v>
      </c>
    </row>
    <row r="1744" spans="1:39" ht="15" customHeight="1" x14ac:dyDescent="0.25">
      <c r="A1744" s="1409"/>
      <c r="B1744" s="1409"/>
      <c r="C1744" s="1409"/>
      <c r="D1744" s="1409"/>
      <c r="E1744" s="1247"/>
      <c r="F1744" s="1248" t="s">
        <v>3151</v>
      </c>
      <c r="G1744" s="111"/>
      <c r="H1744" s="1249">
        <v>1</v>
      </c>
      <c r="I1744" s="111" t="s">
        <v>1721</v>
      </c>
      <c r="J1744" s="1321" t="s">
        <v>5608</v>
      </c>
      <c r="K1744" s="162" t="s">
        <v>5610</v>
      </c>
      <c r="L1744" s="162" t="s">
        <v>5609</v>
      </c>
      <c r="M1744" s="111">
        <v>1142.0148960000001</v>
      </c>
      <c r="N1744" s="111">
        <v>1142.0148960000001</v>
      </c>
      <c r="O1744" s="111"/>
      <c r="P1744" s="111"/>
      <c r="Q1744" s="111"/>
      <c r="R1744" s="111"/>
      <c r="S1744" s="1249">
        <v>1</v>
      </c>
      <c r="T1744" s="1250">
        <v>380.67163200000005</v>
      </c>
      <c r="U1744" s="1250"/>
      <c r="V1744" s="1250"/>
      <c r="W1744" s="1251">
        <v>0</v>
      </c>
      <c r="X1744" s="1250">
        <v>380.67163200000005</v>
      </c>
      <c r="Y1744" s="1250"/>
      <c r="Z1744" s="1250"/>
      <c r="AA1744" s="1250"/>
      <c r="AB1744" s="1250"/>
      <c r="AC1744" s="1250"/>
      <c r="AD1744" s="1250"/>
      <c r="AE1744" s="1249">
        <v>0</v>
      </c>
      <c r="AF1744" s="1250">
        <v>380.67163200000005</v>
      </c>
      <c r="AG1744" s="111"/>
      <c r="AH1744" s="111"/>
      <c r="AI1744" s="111"/>
      <c r="AJ1744" s="111"/>
      <c r="AK1744" s="111"/>
      <c r="AL1744" s="111"/>
      <c r="AM1744" s="111">
        <v>1142.0148960000001</v>
      </c>
    </row>
    <row r="1745" spans="1:39" ht="15" customHeight="1" x14ac:dyDescent="0.25">
      <c r="A1745" s="1409"/>
      <c r="B1745" s="1409"/>
      <c r="C1745" s="1409"/>
      <c r="D1745" s="1409"/>
      <c r="E1745" s="1247"/>
      <c r="F1745" s="1248" t="s">
        <v>3152</v>
      </c>
      <c r="G1745" s="111"/>
      <c r="H1745" s="1249">
        <v>1</v>
      </c>
      <c r="I1745" s="111" t="s">
        <v>1721</v>
      </c>
      <c r="J1745" s="1321" t="s">
        <v>5608</v>
      </c>
      <c r="K1745" s="162" t="s">
        <v>5610</v>
      </c>
      <c r="L1745" s="162" t="s">
        <v>5609</v>
      </c>
      <c r="M1745" s="111">
        <v>605.19960000000003</v>
      </c>
      <c r="N1745" s="111">
        <v>605.19960000000003</v>
      </c>
      <c r="O1745" s="111"/>
      <c r="P1745" s="111"/>
      <c r="Q1745" s="111"/>
      <c r="R1745" s="111"/>
      <c r="S1745" s="1249">
        <v>1</v>
      </c>
      <c r="T1745" s="1250">
        <v>201.73320000000001</v>
      </c>
      <c r="U1745" s="1250"/>
      <c r="V1745" s="1250"/>
      <c r="W1745" s="1251">
        <v>0</v>
      </c>
      <c r="X1745" s="1250">
        <v>201.73320000000001</v>
      </c>
      <c r="Y1745" s="1250"/>
      <c r="Z1745" s="1250"/>
      <c r="AA1745" s="1250"/>
      <c r="AB1745" s="1250"/>
      <c r="AC1745" s="1250"/>
      <c r="AD1745" s="1250"/>
      <c r="AE1745" s="1249">
        <v>0</v>
      </c>
      <c r="AF1745" s="1250">
        <v>201.73320000000001</v>
      </c>
      <c r="AG1745" s="111"/>
      <c r="AH1745" s="111"/>
      <c r="AI1745" s="111"/>
      <c r="AJ1745" s="111"/>
      <c r="AK1745" s="111"/>
      <c r="AL1745" s="111"/>
      <c r="AM1745" s="111">
        <v>605.19960000000003</v>
      </c>
    </row>
    <row r="1746" spans="1:39" ht="15" customHeight="1" x14ac:dyDescent="0.25">
      <c r="A1746" s="1409"/>
      <c r="B1746" s="1409"/>
      <c r="C1746" s="1409"/>
      <c r="D1746" s="1409"/>
      <c r="E1746" s="1247"/>
      <c r="F1746" s="1248" t="s">
        <v>5253</v>
      </c>
      <c r="G1746" s="111"/>
      <c r="H1746" s="1249">
        <v>1</v>
      </c>
      <c r="I1746" s="111" t="s">
        <v>1722</v>
      </c>
      <c r="J1746" s="1321" t="s">
        <v>5608</v>
      </c>
      <c r="K1746" s="162" t="s">
        <v>5610</v>
      </c>
      <c r="L1746" s="162" t="s">
        <v>5609</v>
      </c>
      <c r="M1746" s="111">
        <v>783.78</v>
      </c>
      <c r="N1746" s="111">
        <v>783.78</v>
      </c>
      <c r="O1746" s="111"/>
      <c r="P1746" s="111"/>
      <c r="Q1746" s="111"/>
      <c r="R1746" s="111"/>
      <c r="S1746" s="1249">
        <v>1</v>
      </c>
      <c r="T1746" s="1250">
        <v>261.26</v>
      </c>
      <c r="U1746" s="1250"/>
      <c r="V1746" s="1250"/>
      <c r="W1746" s="1251">
        <v>0</v>
      </c>
      <c r="X1746" s="1250">
        <v>261.26</v>
      </c>
      <c r="Y1746" s="1250"/>
      <c r="Z1746" s="1250"/>
      <c r="AA1746" s="1250"/>
      <c r="AB1746" s="1250"/>
      <c r="AC1746" s="1250"/>
      <c r="AD1746" s="1250"/>
      <c r="AE1746" s="1249">
        <v>0</v>
      </c>
      <c r="AF1746" s="1250">
        <v>261.26</v>
      </c>
      <c r="AG1746" s="111"/>
      <c r="AH1746" s="111"/>
      <c r="AI1746" s="111"/>
      <c r="AJ1746" s="111"/>
      <c r="AK1746" s="111"/>
      <c r="AL1746" s="111"/>
      <c r="AM1746" s="111">
        <v>783.78</v>
      </c>
    </row>
    <row r="1747" spans="1:39" ht="15" customHeight="1" x14ac:dyDescent="0.25">
      <c r="A1747" s="1409"/>
      <c r="B1747" s="1409"/>
      <c r="C1747" s="1409"/>
      <c r="D1747" s="1409"/>
      <c r="E1747" s="1247"/>
      <c r="F1747" s="1248" t="s">
        <v>5254</v>
      </c>
      <c r="G1747" s="111"/>
      <c r="H1747" s="1249">
        <v>7</v>
      </c>
      <c r="I1747" s="111" t="s">
        <v>2321</v>
      </c>
      <c r="J1747" s="1321" t="s">
        <v>5608</v>
      </c>
      <c r="K1747" s="162" t="s">
        <v>5610</v>
      </c>
      <c r="L1747" s="162" t="s">
        <v>5609</v>
      </c>
      <c r="M1747" s="111">
        <v>214.92</v>
      </c>
      <c r="N1747" s="111">
        <v>1504.4399999999998</v>
      </c>
      <c r="O1747" s="111"/>
      <c r="P1747" s="111"/>
      <c r="Q1747" s="111"/>
      <c r="R1747" s="111"/>
      <c r="S1747" s="1249">
        <v>3</v>
      </c>
      <c r="T1747" s="1250">
        <v>501.47999999999996</v>
      </c>
      <c r="U1747" s="1250"/>
      <c r="V1747" s="1250"/>
      <c r="W1747" s="1251">
        <v>2</v>
      </c>
      <c r="X1747" s="1250">
        <v>501.47999999999996</v>
      </c>
      <c r="Y1747" s="1250"/>
      <c r="Z1747" s="1250"/>
      <c r="AA1747" s="1250"/>
      <c r="AB1747" s="1250"/>
      <c r="AC1747" s="1250"/>
      <c r="AD1747" s="1250"/>
      <c r="AE1747" s="1249">
        <v>2</v>
      </c>
      <c r="AF1747" s="1250">
        <v>501.47999999999996</v>
      </c>
      <c r="AG1747" s="111"/>
      <c r="AH1747" s="111"/>
      <c r="AI1747" s="111"/>
      <c r="AJ1747" s="111"/>
      <c r="AK1747" s="111"/>
      <c r="AL1747" s="111"/>
      <c r="AM1747" s="111">
        <v>1504.4399999999998</v>
      </c>
    </row>
    <row r="1748" spans="1:39" ht="15" customHeight="1" x14ac:dyDescent="0.25">
      <c r="A1748" s="1409"/>
      <c r="B1748" s="1409"/>
      <c r="C1748" s="1409"/>
      <c r="D1748" s="1409"/>
      <c r="E1748" s="1247"/>
      <c r="F1748" s="1248" t="s">
        <v>1471</v>
      </c>
      <c r="G1748" s="111"/>
      <c r="H1748" s="1249">
        <v>2</v>
      </c>
      <c r="I1748" s="111" t="s">
        <v>2321</v>
      </c>
      <c r="J1748" s="1321" t="s">
        <v>5608</v>
      </c>
      <c r="K1748" s="162" t="s">
        <v>5610</v>
      </c>
      <c r="L1748" s="162" t="s">
        <v>5609</v>
      </c>
      <c r="M1748" s="111">
        <v>563.76</v>
      </c>
      <c r="N1748" s="111">
        <v>1127.52</v>
      </c>
      <c r="O1748" s="111"/>
      <c r="P1748" s="111"/>
      <c r="Q1748" s="111"/>
      <c r="R1748" s="111"/>
      <c r="S1748" s="1249">
        <v>2</v>
      </c>
      <c r="T1748" s="1250">
        <v>375.84</v>
      </c>
      <c r="U1748" s="1250"/>
      <c r="V1748" s="1250"/>
      <c r="W1748" s="1251">
        <v>0</v>
      </c>
      <c r="X1748" s="1250">
        <v>375.84</v>
      </c>
      <c r="Y1748" s="1250"/>
      <c r="Z1748" s="1250"/>
      <c r="AA1748" s="1250"/>
      <c r="AB1748" s="1250"/>
      <c r="AC1748" s="1250"/>
      <c r="AD1748" s="1250"/>
      <c r="AE1748" s="1249">
        <v>0</v>
      </c>
      <c r="AF1748" s="1250">
        <v>375.84</v>
      </c>
      <c r="AG1748" s="111"/>
      <c r="AH1748" s="111"/>
      <c r="AI1748" s="111"/>
      <c r="AJ1748" s="111"/>
      <c r="AK1748" s="111"/>
      <c r="AL1748" s="111"/>
      <c r="AM1748" s="111">
        <v>1127.52</v>
      </c>
    </row>
    <row r="1749" spans="1:39" ht="15" customHeight="1" x14ac:dyDescent="0.25">
      <c r="A1749" s="1409"/>
      <c r="B1749" s="1409"/>
      <c r="C1749" s="1409"/>
      <c r="D1749" s="1409"/>
      <c r="E1749" s="1247"/>
      <c r="F1749" s="1248" t="s">
        <v>3106</v>
      </c>
      <c r="G1749" s="111"/>
      <c r="H1749" s="1249">
        <v>1</v>
      </c>
      <c r="I1749" s="111" t="s">
        <v>2811</v>
      </c>
      <c r="J1749" s="1321" t="s">
        <v>5608</v>
      </c>
      <c r="K1749" s="162" t="s">
        <v>5610</v>
      </c>
      <c r="L1749" s="162" t="s">
        <v>5609</v>
      </c>
      <c r="M1749" s="111">
        <v>74.099999999999994</v>
      </c>
      <c r="N1749" s="111">
        <v>74.099999999999994</v>
      </c>
      <c r="O1749" s="111"/>
      <c r="P1749" s="111"/>
      <c r="Q1749" s="111"/>
      <c r="R1749" s="111"/>
      <c r="S1749" s="1249">
        <v>1</v>
      </c>
      <c r="T1749" s="1250">
        <v>24.7</v>
      </c>
      <c r="U1749" s="1250"/>
      <c r="V1749" s="1250"/>
      <c r="W1749" s="1251">
        <v>0</v>
      </c>
      <c r="X1749" s="1250">
        <v>24.7</v>
      </c>
      <c r="Y1749" s="1250"/>
      <c r="Z1749" s="1250"/>
      <c r="AA1749" s="1250"/>
      <c r="AB1749" s="1250"/>
      <c r="AC1749" s="1250"/>
      <c r="AD1749" s="1250"/>
      <c r="AE1749" s="1249">
        <v>0</v>
      </c>
      <c r="AF1749" s="1250">
        <v>24.7</v>
      </c>
      <c r="AG1749" s="111"/>
      <c r="AH1749" s="111"/>
      <c r="AI1749" s="111"/>
      <c r="AJ1749" s="111"/>
      <c r="AK1749" s="111"/>
      <c r="AL1749" s="111"/>
      <c r="AM1749" s="111">
        <v>74.099999999999994</v>
      </c>
    </row>
    <row r="1750" spans="1:39" ht="15" customHeight="1" x14ac:dyDescent="0.25">
      <c r="A1750" s="1409"/>
      <c r="B1750" s="1409"/>
      <c r="C1750" s="1409"/>
      <c r="D1750" s="1409"/>
      <c r="E1750" s="1247"/>
      <c r="F1750" s="1248" t="s">
        <v>5255</v>
      </c>
      <c r="G1750" s="111"/>
      <c r="H1750" s="1249">
        <v>2</v>
      </c>
      <c r="I1750" s="111" t="s">
        <v>1721</v>
      </c>
      <c r="J1750" s="1321" t="s">
        <v>5608</v>
      </c>
      <c r="K1750" s="162" t="s">
        <v>5610</v>
      </c>
      <c r="L1750" s="162" t="s">
        <v>5609</v>
      </c>
      <c r="M1750" s="111">
        <v>85.95</v>
      </c>
      <c r="N1750" s="111">
        <v>171.9</v>
      </c>
      <c r="O1750" s="111"/>
      <c r="P1750" s="111"/>
      <c r="Q1750" s="111"/>
      <c r="R1750" s="111"/>
      <c r="S1750" s="1249">
        <v>2</v>
      </c>
      <c r="T1750" s="1250">
        <v>57.300000000000004</v>
      </c>
      <c r="U1750" s="1250"/>
      <c r="V1750" s="1250"/>
      <c r="W1750" s="1251">
        <v>0</v>
      </c>
      <c r="X1750" s="1250">
        <v>57.300000000000004</v>
      </c>
      <c r="Y1750" s="1250"/>
      <c r="Z1750" s="1250"/>
      <c r="AA1750" s="1250"/>
      <c r="AB1750" s="1250"/>
      <c r="AC1750" s="1250"/>
      <c r="AD1750" s="1250"/>
      <c r="AE1750" s="1249">
        <v>0</v>
      </c>
      <c r="AF1750" s="1250">
        <v>57.300000000000004</v>
      </c>
      <c r="AG1750" s="111"/>
      <c r="AH1750" s="111"/>
      <c r="AI1750" s="111"/>
      <c r="AJ1750" s="111"/>
      <c r="AK1750" s="111"/>
      <c r="AL1750" s="111"/>
      <c r="AM1750" s="111">
        <v>171.9</v>
      </c>
    </row>
    <row r="1751" spans="1:39" ht="15" customHeight="1" x14ac:dyDescent="0.25">
      <c r="A1751" s="1409"/>
      <c r="B1751" s="1409"/>
      <c r="C1751" s="1409"/>
      <c r="D1751" s="1409"/>
      <c r="E1751" s="1247"/>
      <c r="F1751" s="1248" t="s">
        <v>5256</v>
      </c>
      <c r="G1751" s="111"/>
      <c r="H1751" s="1249">
        <v>2</v>
      </c>
      <c r="I1751" s="111" t="s">
        <v>1721</v>
      </c>
      <c r="J1751" s="1321" t="s">
        <v>5608</v>
      </c>
      <c r="K1751" s="162" t="s">
        <v>5610</v>
      </c>
      <c r="L1751" s="162" t="s">
        <v>5609</v>
      </c>
      <c r="M1751" s="111">
        <v>85.95</v>
      </c>
      <c r="N1751" s="111">
        <v>171.9</v>
      </c>
      <c r="O1751" s="111"/>
      <c r="P1751" s="111"/>
      <c r="Q1751" s="111"/>
      <c r="R1751" s="111"/>
      <c r="S1751" s="1249">
        <v>2</v>
      </c>
      <c r="T1751" s="1250">
        <v>57.300000000000004</v>
      </c>
      <c r="U1751" s="1250"/>
      <c r="V1751" s="1250"/>
      <c r="W1751" s="1251">
        <v>0</v>
      </c>
      <c r="X1751" s="1250">
        <v>57.300000000000004</v>
      </c>
      <c r="Y1751" s="1250"/>
      <c r="Z1751" s="1250"/>
      <c r="AA1751" s="1250"/>
      <c r="AB1751" s="1250"/>
      <c r="AC1751" s="1250"/>
      <c r="AD1751" s="1250"/>
      <c r="AE1751" s="1249">
        <v>0</v>
      </c>
      <c r="AF1751" s="1250">
        <v>57.300000000000004</v>
      </c>
      <c r="AG1751" s="111"/>
      <c r="AH1751" s="111"/>
      <c r="AI1751" s="111"/>
      <c r="AJ1751" s="111"/>
      <c r="AK1751" s="111"/>
      <c r="AL1751" s="111"/>
      <c r="AM1751" s="111">
        <v>171.9</v>
      </c>
    </row>
    <row r="1752" spans="1:39" ht="15" customHeight="1" x14ac:dyDescent="0.25">
      <c r="A1752" s="1409"/>
      <c r="B1752" s="1409"/>
      <c r="C1752" s="1409"/>
      <c r="D1752" s="1409"/>
      <c r="E1752" s="1247"/>
      <c r="F1752" s="1248" t="s">
        <v>3158</v>
      </c>
      <c r="G1752" s="111"/>
      <c r="H1752" s="1249">
        <v>1</v>
      </c>
      <c r="I1752" s="111" t="s">
        <v>2321</v>
      </c>
      <c r="J1752" s="1321" t="s">
        <v>5608</v>
      </c>
      <c r="K1752" s="162" t="s">
        <v>5610</v>
      </c>
      <c r="L1752" s="162" t="s">
        <v>5609</v>
      </c>
      <c r="M1752" s="111">
        <v>52.83</v>
      </c>
      <c r="N1752" s="111">
        <v>52.83</v>
      </c>
      <c r="O1752" s="111"/>
      <c r="P1752" s="111"/>
      <c r="Q1752" s="111"/>
      <c r="R1752" s="111"/>
      <c r="S1752" s="1249">
        <v>1</v>
      </c>
      <c r="T1752" s="1250">
        <v>17.61</v>
      </c>
      <c r="U1752" s="1250"/>
      <c r="V1752" s="1250"/>
      <c r="W1752" s="1251">
        <v>0</v>
      </c>
      <c r="X1752" s="1250">
        <v>17.61</v>
      </c>
      <c r="Y1752" s="1250"/>
      <c r="Z1752" s="1250"/>
      <c r="AA1752" s="1250"/>
      <c r="AB1752" s="1250"/>
      <c r="AC1752" s="1250"/>
      <c r="AD1752" s="1250"/>
      <c r="AE1752" s="1249">
        <v>0</v>
      </c>
      <c r="AF1752" s="1250">
        <v>17.61</v>
      </c>
      <c r="AG1752" s="111"/>
      <c r="AH1752" s="111"/>
      <c r="AI1752" s="111"/>
      <c r="AJ1752" s="111"/>
      <c r="AK1752" s="111"/>
      <c r="AL1752" s="111"/>
      <c r="AM1752" s="111">
        <v>52.83</v>
      </c>
    </row>
    <row r="1753" spans="1:39" ht="15" customHeight="1" x14ac:dyDescent="0.25">
      <c r="A1753" s="1409"/>
      <c r="B1753" s="1409"/>
      <c r="C1753" s="1409"/>
      <c r="D1753" s="1409"/>
      <c r="E1753" s="1247"/>
      <c r="F1753" s="1248" t="s">
        <v>5257</v>
      </c>
      <c r="G1753" s="111"/>
      <c r="H1753" s="1249">
        <v>3</v>
      </c>
      <c r="I1753" s="111" t="s">
        <v>1722</v>
      </c>
      <c r="J1753" s="1321" t="s">
        <v>5608</v>
      </c>
      <c r="K1753" s="162" t="s">
        <v>5610</v>
      </c>
      <c r="L1753" s="162" t="s">
        <v>5609</v>
      </c>
      <c r="M1753" s="111">
        <v>250.55999999999997</v>
      </c>
      <c r="N1753" s="111">
        <v>751.68</v>
      </c>
      <c r="O1753" s="111"/>
      <c r="P1753" s="111"/>
      <c r="Q1753" s="111"/>
      <c r="R1753" s="111"/>
      <c r="S1753" s="1249">
        <v>1</v>
      </c>
      <c r="T1753" s="1250">
        <v>250.55999999999997</v>
      </c>
      <c r="U1753" s="1250"/>
      <c r="V1753" s="1250"/>
      <c r="W1753" s="1251">
        <v>1</v>
      </c>
      <c r="X1753" s="1250">
        <v>250.55999999999997</v>
      </c>
      <c r="Y1753" s="1250"/>
      <c r="Z1753" s="1250"/>
      <c r="AA1753" s="1250"/>
      <c r="AB1753" s="1250"/>
      <c r="AC1753" s="1250"/>
      <c r="AD1753" s="1250"/>
      <c r="AE1753" s="1249">
        <v>1</v>
      </c>
      <c r="AF1753" s="1250">
        <v>250.55999999999997</v>
      </c>
      <c r="AG1753" s="111"/>
      <c r="AH1753" s="111"/>
      <c r="AI1753" s="111"/>
      <c r="AJ1753" s="111"/>
      <c r="AK1753" s="111"/>
      <c r="AL1753" s="111"/>
      <c r="AM1753" s="111">
        <v>751.68</v>
      </c>
    </row>
    <row r="1754" spans="1:39" ht="15" customHeight="1" x14ac:dyDescent="0.25">
      <c r="A1754" s="1409"/>
      <c r="B1754" s="1409"/>
      <c r="C1754" s="1409"/>
      <c r="D1754" s="1409"/>
      <c r="E1754" s="1247"/>
      <c r="F1754" s="1248" t="s">
        <v>3153</v>
      </c>
      <c r="G1754" s="111"/>
      <c r="H1754" s="1249">
        <v>1</v>
      </c>
      <c r="I1754" s="111" t="s">
        <v>1721</v>
      </c>
      <c r="J1754" s="1321" t="s">
        <v>5608</v>
      </c>
      <c r="K1754" s="162" t="s">
        <v>5610</v>
      </c>
      <c r="L1754" s="162" t="s">
        <v>5609</v>
      </c>
      <c r="M1754" s="111">
        <v>68.104800000000012</v>
      </c>
      <c r="N1754" s="111">
        <v>68.104800000000012</v>
      </c>
      <c r="O1754" s="111"/>
      <c r="P1754" s="111"/>
      <c r="Q1754" s="111"/>
      <c r="R1754" s="111"/>
      <c r="S1754" s="1249">
        <v>1</v>
      </c>
      <c r="T1754" s="1250">
        <v>22.701600000000003</v>
      </c>
      <c r="U1754" s="1250"/>
      <c r="V1754" s="1250"/>
      <c r="W1754" s="1251">
        <v>0</v>
      </c>
      <c r="X1754" s="1250">
        <v>22.701600000000003</v>
      </c>
      <c r="Y1754" s="1250"/>
      <c r="Z1754" s="1250"/>
      <c r="AA1754" s="1250"/>
      <c r="AB1754" s="1250"/>
      <c r="AC1754" s="1250"/>
      <c r="AD1754" s="1250"/>
      <c r="AE1754" s="1249">
        <v>0</v>
      </c>
      <c r="AF1754" s="1250">
        <v>22.701600000000003</v>
      </c>
      <c r="AG1754" s="111"/>
      <c r="AH1754" s="111"/>
      <c r="AI1754" s="111"/>
      <c r="AJ1754" s="111"/>
      <c r="AK1754" s="111"/>
      <c r="AL1754" s="111"/>
      <c r="AM1754" s="111">
        <v>68.104800000000012</v>
      </c>
    </row>
    <row r="1755" spans="1:39" ht="15" customHeight="1" x14ac:dyDescent="0.25">
      <c r="A1755" s="1409"/>
      <c r="B1755" s="1409"/>
      <c r="C1755" s="1409"/>
      <c r="D1755" s="1409"/>
      <c r="E1755" s="1247"/>
      <c r="F1755" s="1248" t="s">
        <v>3154</v>
      </c>
      <c r="G1755" s="111"/>
      <c r="H1755" s="1249">
        <v>1</v>
      </c>
      <c r="I1755" s="111" t="s">
        <v>1722</v>
      </c>
      <c r="J1755" s="1321" t="s">
        <v>5608</v>
      </c>
      <c r="K1755" s="162" t="s">
        <v>5610</v>
      </c>
      <c r="L1755" s="162" t="s">
        <v>5609</v>
      </c>
      <c r="M1755" s="111">
        <v>264.14999999999998</v>
      </c>
      <c r="N1755" s="111">
        <v>264.14999999999998</v>
      </c>
      <c r="O1755" s="111"/>
      <c r="P1755" s="111"/>
      <c r="Q1755" s="111"/>
      <c r="R1755" s="111"/>
      <c r="S1755" s="1249">
        <v>1</v>
      </c>
      <c r="T1755" s="1250">
        <v>88.05</v>
      </c>
      <c r="U1755" s="1250"/>
      <c r="V1755" s="1250"/>
      <c r="W1755" s="1251">
        <v>0</v>
      </c>
      <c r="X1755" s="1250">
        <v>88.05</v>
      </c>
      <c r="Y1755" s="1250"/>
      <c r="Z1755" s="1250"/>
      <c r="AA1755" s="1250"/>
      <c r="AB1755" s="1250"/>
      <c r="AC1755" s="1250"/>
      <c r="AD1755" s="1250"/>
      <c r="AE1755" s="1249">
        <v>0</v>
      </c>
      <c r="AF1755" s="1250">
        <v>88.05</v>
      </c>
      <c r="AG1755" s="111"/>
      <c r="AH1755" s="111"/>
      <c r="AI1755" s="111"/>
      <c r="AJ1755" s="111"/>
      <c r="AK1755" s="111"/>
      <c r="AL1755" s="111"/>
      <c r="AM1755" s="111">
        <v>264.14999999999998</v>
      </c>
    </row>
    <row r="1756" spans="1:39" ht="15" customHeight="1" x14ac:dyDescent="0.25">
      <c r="A1756" s="1409"/>
      <c r="B1756" s="1409"/>
      <c r="C1756" s="1409"/>
      <c r="D1756" s="1409"/>
      <c r="E1756" s="1247"/>
      <c r="F1756" s="1248" t="s">
        <v>3155</v>
      </c>
      <c r="G1756" s="111"/>
      <c r="H1756" s="1249">
        <v>1</v>
      </c>
      <c r="I1756" s="111" t="s">
        <v>1721</v>
      </c>
      <c r="J1756" s="1321" t="s">
        <v>5608</v>
      </c>
      <c r="K1756" s="162" t="s">
        <v>5610</v>
      </c>
      <c r="L1756" s="162" t="s">
        <v>5609</v>
      </c>
      <c r="M1756" s="111">
        <v>258.49022400000001</v>
      </c>
      <c r="N1756" s="111">
        <v>258.49022400000001</v>
      </c>
      <c r="O1756" s="111"/>
      <c r="P1756" s="111"/>
      <c r="Q1756" s="111"/>
      <c r="R1756" s="111"/>
      <c r="S1756" s="1249">
        <v>1</v>
      </c>
      <c r="T1756" s="1250">
        <v>86.163408000000004</v>
      </c>
      <c r="U1756" s="1250"/>
      <c r="V1756" s="1250"/>
      <c r="W1756" s="1251">
        <v>0</v>
      </c>
      <c r="X1756" s="1250">
        <v>86.163408000000004</v>
      </c>
      <c r="Y1756" s="1250"/>
      <c r="Z1756" s="1250"/>
      <c r="AA1756" s="1250"/>
      <c r="AB1756" s="1250"/>
      <c r="AC1756" s="1250"/>
      <c r="AD1756" s="1250"/>
      <c r="AE1756" s="1249">
        <v>0</v>
      </c>
      <c r="AF1756" s="1250">
        <v>86.163408000000004</v>
      </c>
      <c r="AG1756" s="111"/>
      <c r="AH1756" s="111"/>
      <c r="AI1756" s="111"/>
      <c r="AJ1756" s="111"/>
      <c r="AK1756" s="111"/>
      <c r="AL1756" s="111"/>
      <c r="AM1756" s="111">
        <v>258.49022400000001</v>
      </c>
    </row>
    <row r="1757" spans="1:39" ht="15" customHeight="1" x14ac:dyDescent="0.25">
      <c r="A1757" s="1409"/>
      <c r="B1757" s="1409"/>
      <c r="C1757" s="1409"/>
      <c r="D1757" s="1409"/>
      <c r="E1757" s="1247"/>
      <c r="F1757" s="1248" t="s">
        <v>3156</v>
      </c>
      <c r="G1757" s="111"/>
      <c r="H1757" s="1249">
        <v>1</v>
      </c>
      <c r="I1757" s="111" t="s">
        <v>1721</v>
      </c>
      <c r="J1757" s="1321" t="s">
        <v>5608</v>
      </c>
      <c r="K1757" s="162" t="s">
        <v>5610</v>
      </c>
      <c r="L1757" s="162" t="s">
        <v>5609</v>
      </c>
      <c r="M1757" s="111">
        <v>265.30200000000002</v>
      </c>
      <c r="N1757" s="111">
        <v>265.30200000000002</v>
      </c>
      <c r="O1757" s="111"/>
      <c r="P1757" s="111"/>
      <c r="Q1757" s="111"/>
      <c r="R1757" s="111"/>
      <c r="S1757" s="1249">
        <v>1</v>
      </c>
      <c r="T1757" s="1250">
        <v>88.434000000000012</v>
      </c>
      <c r="U1757" s="1250"/>
      <c r="V1757" s="1250"/>
      <c r="W1757" s="1251">
        <v>0</v>
      </c>
      <c r="X1757" s="1250">
        <v>88.434000000000012</v>
      </c>
      <c r="Y1757" s="1250"/>
      <c r="Z1757" s="1250"/>
      <c r="AA1757" s="1250"/>
      <c r="AB1757" s="1250"/>
      <c r="AC1757" s="1250"/>
      <c r="AD1757" s="1250"/>
      <c r="AE1757" s="1249">
        <v>0</v>
      </c>
      <c r="AF1757" s="1250">
        <v>88.434000000000012</v>
      </c>
      <c r="AG1757" s="111"/>
      <c r="AH1757" s="111"/>
      <c r="AI1757" s="111"/>
      <c r="AJ1757" s="111"/>
      <c r="AK1757" s="111"/>
      <c r="AL1757" s="111"/>
      <c r="AM1757" s="111">
        <v>265.30200000000002</v>
      </c>
    </row>
    <row r="1758" spans="1:39" ht="15" customHeight="1" x14ac:dyDescent="0.25">
      <c r="A1758" s="1409"/>
      <c r="B1758" s="1409"/>
      <c r="C1758" s="1409"/>
      <c r="D1758" s="1409"/>
      <c r="E1758" s="1247"/>
      <c r="F1758" s="1248" t="s">
        <v>3157</v>
      </c>
      <c r="G1758" s="111"/>
      <c r="H1758" s="1249">
        <v>1</v>
      </c>
      <c r="I1758" s="111" t="s">
        <v>1721</v>
      </c>
      <c r="J1758" s="1321" t="s">
        <v>5608</v>
      </c>
      <c r="K1758" s="162" t="s">
        <v>5610</v>
      </c>
      <c r="L1758" s="162" t="s">
        <v>5609</v>
      </c>
      <c r="M1758" s="111">
        <v>446.70960000000002</v>
      </c>
      <c r="N1758" s="111">
        <v>446.70960000000002</v>
      </c>
      <c r="O1758" s="111"/>
      <c r="P1758" s="111"/>
      <c r="Q1758" s="111"/>
      <c r="R1758" s="111"/>
      <c r="S1758" s="1249">
        <v>1</v>
      </c>
      <c r="T1758" s="1250">
        <v>148.9032</v>
      </c>
      <c r="U1758" s="1250"/>
      <c r="V1758" s="1250"/>
      <c r="W1758" s="1251">
        <v>0</v>
      </c>
      <c r="X1758" s="1250">
        <v>148.9032</v>
      </c>
      <c r="Y1758" s="1250"/>
      <c r="Z1758" s="1250"/>
      <c r="AA1758" s="1250"/>
      <c r="AB1758" s="1250"/>
      <c r="AC1758" s="1250"/>
      <c r="AD1758" s="1250"/>
      <c r="AE1758" s="1249">
        <v>0</v>
      </c>
      <c r="AF1758" s="1250">
        <v>148.9032</v>
      </c>
      <c r="AG1758" s="111"/>
      <c r="AH1758" s="111"/>
      <c r="AI1758" s="111"/>
      <c r="AJ1758" s="111"/>
      <c r="AK1758" s="111"/>
      <c r="AL1758" s="111"/>
      <c r="AM1758" s="111">
        <v>446.70960000000002</v>
      </c>
    </row>
    <row r="1759" spans="1:39" ht="15" customHeight="1" x14ac:dyDescent="0.25">
      <c r="A1759" s="1409"/>
      <c r="B1759" s="1409"/>
      <c r="C1759" s="1409"/>
      <c r="D1759" s="1409"/>
      <c r="E1759" s="1247"/>
      <c r="F1759" s="1248" t="s">
        <v>5258</v>
      </c>
      <c r="G1759" s="111"/>
      <c r="H1759" s="1249">
        <v>9</v>
      </c>
      <c r="I1759" s="111" t="s">
        <v>1722</v>
      </c>
      <c r="J1759" s="1321" t="s">
        <v>5608</v>
      </c>
      <c r="K1759" s="162" t="s">
        <v>5610</v>
      </c>
      <c r="L1759" s="162" t="s">
        <v>5609</v>
      </c>
      <c r="M1759" s="111">
        <v>398.39035555555552</v>
      </c>
      <c r="N1759" s="111">
        <v>3585.5131999999994</v>
      </c>
      <c r="O1759" s="111"/>
      <c r="P1759" s="111"/>
      <c r="Q1759" s="111"/>
      <c r="R1759" s="111"/>
      <c r="S1759" s="1249">
        <v>5</v>
      </c>
      <c r="T1759" s="1250">
        <v>1195.1710666666665</v>
      </c>
      <c r="U1759" s="1250"/>
      <c r="V1759" s="1250"/>
      <c r="W1759" s="1251">
        <v>2</v>
      </c>
      <c r="X1759" s="1250">
        <v>1195.1710666666665</v>
      </c>
      <c r="Y1759" s="1250"/>
      <c r="Z1759" s="1250"/>
      <c r="AA1759" s="1250"/>
      <c r="AB1759" s="1250"/>
      <c r="AC1759" s="1250"/>
      <c r="AD1759" s="1250"/>
      <c r="AE1759" s="1249">
        <v>2</v>
      </c>
      <c r="AF1759" s="1250">
        <v>1195.1710666666665</v>
      </c>
      <c r="AG1759" s="111"/>
      <c r="AH1759" s="111"/>
      <c r="AI1759" s="111"/>
      <c r="AJ1759" s="111"/>
      <c r="AK1759" s="111"/>
      <c r="AL1759" s="111"/>
      <c r="AM1759" s="111">
        <v>3585.5131999999994</v>
      </c>
    </row>
    <row r="1760" spans="1:39" ht="15" customHeight="1" x14ac:dyDescent="0.25">
      <c r="A1760" s="1409"/>
      <c r="B1760" s="1409"/>
      <c r="C1760" s="1409"/>
      <c r="D1760" s="1409"/>
      <c r="E1760" s="1247"/>
      <c r="F1760" s="1248" t="s">
        <v>3159</v>
      </c>
      <c r="G1760" s="111"/>
      <c r="H1760" s="1249">
        <v>1</v>
      </c>
      <c r="I1760" s="111" t="s">
        <v>1721</v>
      </c>
      <c r="J1760" s="1321" t="s">
        <v>5608</v>
      </c>
      <c r="K1760" s="162" t="s">
        <v>5610</v>
      </c>
      <c r="L1760" s="162" t="s">
        <v>5609</v>
      </c>
      <c r="M1760" s="111">
        <v>2267.9939519999998</v>
      </c>
      <c r="N1760" s="111">
        <v>2267.9939519999998</v>
      </c>
      <c r="O1760" s="111"/>
      <c r="P1760" s="111"/>
      <c r="Q1760" s="111"/>
      <c r="R1760" s="111"/>
      <c r="S1760" s="1249">
        <v>1</v>
      </c>
      <c r="T1760" s="1250">
        <v>755.99798399999997</v>
      </c>
      <c r="U1760" s="1250"/>
      <c r="V1760" s="1250"/>
      <c r="W1760" s="1251">
        <v>0</v>
      </c>
      <c r="X1760" s="1250">
        <v>755.99798399999997</v>
      </c>
      <c r="Y1760" s="1250"/>
      <c r="Z1760" s="1250"/>
      <c r="AA1760" s="1250"/>
      <c r="AB1760" s="1250"/>
      <c r="AC1760" s="1250"/>
      <c r="AD1760" s="1250"/>
      <c r="AE1760" s="1249">
        <v>0</v>
      </c>
      <c r="AF1760" s="1250">
        <v>755.99798399999997</v>
      </c>
      <c r="AG1760" s="111"/>
      <c r="AH1760" s="111"/>
      <c r="AI1760" s="111"/>
      <c r="AJ1760" s="111"/>
      <c r="AK1760" s="111"/>
      <c r="AL1760" s="111"/>
      <c r="AM1760" s="111">
        <v>2267.9939519999998</v>
      </c>
    </row>
    <row r="1761" spans="1:39" ht="15" customHeight="1" x14ac:dyDescent="0.25">
      <c r="A1761" s="1409"/>
      <c r="B1761" s="1409"/>
      <c r="C1761" s="1409"/>
      <c r="D1761" s="1409"/>
      <c r="E1761" s="1247"/>
      <c r="F1761" s="1248" t="s">
        <v>3160</v>
      </c>
      <c r="G1761" s="111"/>
      <c r="H1761" s="1249">
        <v>1</v>
      </c>
      <c r="I1761" s="111" t="s">
        <v>1721</v>
      </c>
      <c r="J1761" s="1321" t="s">
        <v>5608</v>
      </c>
      <c r="K1761" s="162" t="s">
        <v>5610</v>
      </c>
      <c r="L1761" s="162" t="s">
        <v>5609</v>
      </c>
      <c r="M1761" s="111">
        <v>16.449264000000003</v>
      </c>
      <c r="N1761" s="111">
        <v>16.449264000000003</v>
      </c>
      <c r="O1761" s="111"/>
      <c r="P1761" s="111"/>
      <c r="Q1761" s="111"/>
      <c r="R1761" s="111"/>
      <c r="S1761" s="1249">
        <v>1</v>
      </c>
      <c r="T1761" s="1250">
        <v>5.4830880000000013</v>
      </c>
      <c r="U1761" s="1250"/>
      <c r="V1761" s="1250"/>
      <c r="W1761" s="1251">
        <v>0</v>
      </c>
      <c r="X1761" s="1250">
        <v>5.4830880000000013</v>
      </c>
      <c r="Y1761" s="1250"/>
      <c r="Z1761" s="1250"/>
      <c r="AA1761" s="1250"/>
      <c r="AB1761" s="1250"/>
      <c r="AC1761" s="1250"/>
      <c r="AD1761" s="1250"/>
      <c r="AE1761" s="1249">
        <v>0</v>
      </c>
      <c r="AF1761" s="1250">
        <v>5.4830880000000013</v>
      </c>
      <c r="AG1761" s="111"/>
      <c r="AH1761" s="111"/>
      <c r="AI1761" s="111"/>
      <c r="AJ1761" s="111"/>
      <c r="AK1761" s="111"/>
      <c r="AL1761" s="111"/>
      <c r="AM1761" s="111">
        <v>16.449264000000003</v>
      </c>
    </row>
    <row r="1762" spans="1:39" ht="15" customHeight="1" x14ac:dyDescent="0.25">
      <c r="A1762" s="1409"/>
      <c r="B1762" s="1409"/>
      <c r="C1762" s="1409"/>
      <c r="D1762" s="1409"/>
      <c r="E1762" s="1247"/>
      <c r="F1762" s="1248" t="s">
        <v>5259</v>
      </c>
      <c r="G1762" s="111"/>
      <c r="H1762" s="1249">
        <v>1</v>
      </c>
      <c r="I1762" s="111" t="s">
        <v>1721</v>
      </c>
      <c r="J1762" s="1321" t="s">
        <v>5608</v>
      </c>
      <c r="K1762" s="162" t="s">
        <v>5610</v>
      </c>
      <c r="L1762" s="162" t="s">
        <v>5609</v>
      </c>
      <c r="M1762" s="111">
        <v>52.27</v>
      </c>
      <c r="N1762" s="111">
        <v>52.27</v>
      </c>
      <c r="O1762" s="111"/>
      <c r="P1762" s="111"/>
      <c r="Q1762" s="111"/>
      <c r="R1762" s="111"/>
      <c r="S1762" s="1249">
        <v>1</v>
      </c>
      <c r="T1762" s="1250">
        <v>17.423333333333336</v>
      </c>
      <c r="U1762" s="1250"/>
      <c r="V1762" s="1250"/>
      <c r="W1762" s="1251">
        <v>0</v>
      </c>
      <c r="X1762" s="1250">
        <v>17.423333333333336</v>
      </c>
      <c r="Y1762" s="1250"/>
      <c r="Z1762" s="1250"/>
      <c r="AA1762" s="1250"/>
      <c r="AB1762" s="1250"/>
      <c r="AC1762" s="1250"/>
      <c r="AD1762" s="1250"/>
      <c r="AE1762" s="1249">
        <v>0</v>
      </c>
      <c r="AF1762" s="1250">
        <v>17.423333333333336</v>
      </c>
      <c r="AG1762" s="111"/>
      <c r="AH1762" s="111"/>
      <c r="AI1762" s="111"/>
      <c r="AJ1762" s="111"/>
      <c r="AK1762" s="111"/>
      <c r="AL1762" s="111"/>
      <c r="AM1762" s="111">
        <v>52.27</v>
      </c>
    </row>
    <row r="1763" spans="1:39" ht="15" customHeight="1" x14ac:dyDescent="0.25">
      <c r="A1763" s="1409"/>
      <c r="B1763" s="1409"/>
      <c r="C1763" s="1409"/>
      <c r="D1763" s="1409"/>
      <c r="E1763" s="1247"/>
      <c r="F1763" s="1248" t="s">
        <v>5260</v>
      </c>
      <c r="G1763" s="111"/>
      <c r="H1763" s="1249">
        <v>1</v>
      </c>
      <c r="I1763" s="111" t="s">
        <v>1721</v>
      </c>
      <c r="J1763" s="1321" t="s">
        <v>5608</v>
      </c>
      <c r="K1763" s="162" t="s">
        <v>5610</v>
      </c>
      <c r="L1763" s="162" t="s">
        <v>5609</v>
      </c>
      <c r="M1763" s="111">
        <v>57.93</v>
      </c>
      <c r="N1763" s="111">
        <v>57.93</v>
      </c>
      <c r="O1763" s="111"/>
      <c r="P1763" s="111"/>
      <c r="Q1763" s="111"/>
      <c r="R1763" s="111"/>
      <c r="S1763" s="1249">
        <v>1</v>
      </c>
      <c r="T1763" s="1250">
        <v>19.309999999999999</v>
      </c>
      <c r="U1763" s="1250"/>
      <c r="V1763" s="1250"/>
      <c r="W1763" s="1251">
        <v>0</v>
      </c>
      <c r="X1763" s="1250">
        <v>19.309999999999999</v>
      </c>
      <c r="Y1763" s="1250"/>
      <c r="Z1763" s="1250"/>
      <c r="AA1763" s="1250"/>
      <c r="AB1763" s="1250"/>
      <c r="AC1763" s="1250"/>
      <c r="AD1763" s="1250"/>
      <c r="AE1763" s="1249">
        <v>0</v>
      </c>
      <c r="AF1763" s="1250">
        <v>19.309999999999999</v>
      </c>
      <c r="AG1763" s="111"/>
      <c r="AH1763" s="111"/>
      <c r="AI1763" s="111"/>
      <c r="AJ1763" s="111"/>
      <c r="AK1763" s="111"/>
      <c r="AL1763" s="111"/>
      <c r="AM1763" s="111">
        <v>57.93</v>
      </c>
    </row>
    <row r="1764" spans="1:39" ht="15" customHeight="1" x14ac:dyDescent="0.25">
      <c r="A1764" s="1409"/>
      <c r="B1764" s="1409"/>
      <c r="C1764" s="1409"/>
      <c r="D1764" s="1409"/>
      <c r="E1764" s="1247"/>
      <c r="F1764" s="1248" t="s">
        <v>5261</v>
      </c>
      <c r="G1764" s="111"/>
      <c r="H1764" s="1249">
        <v>1</v>
      </c>
      <c r="I1764" s="111" t="s">
        <v>2321</v>
      </c>
      <c r="J1764" s="1321" t="s">
        <v>5608</v>
      </c>
      <c r="K1764" s="162" t="s">
        <v>5610</v>
      </c>
      <c r="L1764" s="162" t="s">
        <v>5609</v>
      </c>
      <c r="M1764" s="111">
        <v>99.91</v>
      </c>
      <c r="N1764" s="111">
        <v>99.91</v>
      </c>
      <c r="O1764" s="111"/>
      <c r="P1764" s="111"/>
      <c r="Q1764" s="111"/>
      <c r="R1764" s="111"/>
      <c r="S1764" s="1249">
        <v>1</v>
      </c>
      <c r="T1764" s="1250">
        <v>33.303333333333335</v>
      </c>
      <c r="U1764" s="1250"/>
      <c r="V1764" s="1250"/>
      <c r="W1764" s="1251">
        <v>0</v>
      </c>
      <c r="X1764" s="1250">
        <v>33.303333333333335</v>
      </c>
      <c r="Y1764" s="1250"/>
      <c r="Z1764" s="1250"/>
      <c r="AA1764" s="1250"/>
      <c r="AB1764" s="1250"/>
      <c r="AC1764" s="1250"/>
      <c r="AD1764" s="1250"/>
      <c r="AE1764" s="1249">
        <v>0</v>
      </c>
      <c r="AF1764" s="1250">
        <v>33.303333333333335</v>
      </c>
      <c r="AG1764" s="111"/>
      <c r="AH1764" s="111"/>
      <c r="AI1764" s="111"/>
      <c r="AJ1764" s="111"/>
      <c r="AK1764" s="111"/>
      <c r="AL1764" s="111"/>
      <c r="AM1764" s="111">
        <v>99.91</v>
      </c>
    </row>
    <row r="1765" spans="1:39" ht="15" customHeight="1" x14ac:dyDescent="0.25">
      <c r="A1765" s="1409"/>
      <c r="B1765" s="1409"/>
      <c r="C1765" s="1409"/>
      <c r="D1765" s="1409"/>
      <c r="E1765" s="1247"/>
      <c r="F1765" s="1248" t="s">
        <v>5262</v>
      </c>
      <c r="G1765" s="111"/>
      <c r="H1765" s="1249">
        <v>5</v>
      </c>
      <c r="I1765" s="111" t="s">
        <v>1722</v>
      </c>
      <c r="J1765" s="1321" t="s">
        <v>5608</v>
      </c>
      <c r="K1765" s="162" t="s">
        <v>5610</v>
      </c>
      <c r="L1765" s="162" t="s">
        <v>5609</v>
      </c>
      <c r="M1765" s="111">
        <v>157.76</v>
      </c>
      <c r="N1765" s="111">
        <v>788.8</v>
      </c>
      <c r="O1765" s="111"/>
      <c r="P1765" s="111"/>
      <c r="Q1765" s="111"/>
      <c r="R1765" s="111"/>
      <c r="S1765" s="1249">
        <v>2</v>
      </c>
      <c r="T1765" s="1250">
        <v>262.93333333333334</v>
      </c>
      <c r="U1765" s="1250"/>
      <c r="V1765" s="1250"/>
      <c r="W1765" s="1251">
        <v>2</v>
      </c>
      <c r="X1765" s="1250">
        <v>262.93333333333334</v>
      </c>
      <c r="Y1765" s="1250"/>
      <c r="Z1765" s="1250"/>
      <c r="AA1765" s="1250"/>
      <c r="AB1765" s="1250"/>
      <c r="AC1765" s="1250"/>
      <c r="AD1765" s="1250"/>
      <c r="AE1765" s="1249">
        <v>1</v>
      </c>
      <c r="AF1765" s="1250">
        <v>262.93333333333334</v>
      </c>
      <c r="AG1765" s="111"/>
      <c r="AH1765" s="111"/>
      <c r="AI1765" s="111"/>
      <c r="AJ1765" s="111"/>
      <c r="AK1765" s="111"/>
      <c r="AL1765" s="111"/>
      <c r="AM1765" s="111">
        <v>788.8</v>
      </c>
    </row>
    <row r="1766" spans="1:39" ht="15" customHeight="1" x14ac:dyDescent="0.25">
      <c r="A1766" s="1409"/>
      <c r="B1766" s="1409"/>
      <c r="C1766" s="1409"/>
      <c r="D1766" s="1409"/>
      <c r="E1766" s="1247"/>
      <c r="F1766" s="1248" t="s">
        <v>3161</v>
      </c>
      <c r="G1766" s="111"/>
      <c r="H1766" s="1249">
        <v>1</v>
      </c>
      <c r="I1766" s="111" t="s">
        <v>1721</v>
      </c>
      <c r="J1766" s="1321" t="s">
        <v>5608</v>
      </c>
      <c r="K1766" s="162" t="s">
        <v>5610</v>
      </c>
      <c r="L1766" s="162" t="s">
        <v>5609</v>
      </c>
      <c r="M1766" s="111">
        <v>25.619759999999999</v>
      </c>
      <c r="N1766" s="111">
        <v>25.619759999999999</v>
      </c>
      <c r="O1766" s="111"/>
      <c r="P1766" s="111"/>
      <c r="Q1766" s="111"/>
      <c r="R1766" s="111"/>
      <c r="S1766" s="1249">
        <v>1</v>
      </c>
      <c r="T1766" s="1250">
        <v>8.5399200000000004</v>
      </c>
      <c r="U1766" s="1250"/>
      <c r="V1766" s="1250"/>
      <c r="W1766" s="1251">
        <v>0</v>
      </c>
      <c r="X1766" s="1250">
        <v>8.5399200000000004</v>
      </c>
      <c r="Y1766" s="1250"/>
      <c r="Z1766" s="1250"/>
      <c r="AA1766" s="1250"/>
      <c r="AB1766" s="1250"/>
      <c r="AC1766" s="1250"/>
      <c r="AD1766" s="1250"/>
      <c r="AE1766" s="1249">
        <v>0</v>
      </c>
      <c r="AF1766" s="1250">
        <v>8.5399200000000004</v>
      </c>
      <c r="AG1766" s="111"/>
      <c r="AH1766" s="111"/>
      <c r="AI1766" s="111"/>
      <c r="AJ1766" s="111"/>
      <c r="AK1766" s="111"/>
      <c r="AL1766" s="111"/>
      <c r="AM1766" s="111">
        <v>25.619759999999999</v>
      </c>
    </row>
    <row r="1767" spans="1:39" ht="15" customHeight="1" x14ac:dyDescent="0.25">
      <c r="A1767" s="1409"/>
      <c r="B1767" s="1409"/>
      <c r="C1767" s="1409"/>
      <c r="D1767" s="1409"/>
      <c r="E1767" s="1247"/>
      <c r="F1767" s="1248" t="s">
        <v>3162</v>
      </c>
      <c r="G1767" s="111"/>
      <c r="H1767" s="1249">
        <v>1</v>
      </c>
      <c r="I1767" s="111" t="s">
        <v>2321</v>
      </c>
      <c r="J1767" s="1321" t="s">
        <v>5608</v>
      </c>
      <c r="K1767" s="162" t="s">
        <v>5610</v>
      </c>
      <c r="L1767" s="162" t="s">
        <v>5609</v>
      </c>
      <c r="M1767" s="111">
        <v>475.2</v>
      </c>
      <c r="N1767" s="111">
        <v>475.2</v>
      </c>
      <c r="O1767" s="111"/>
      <c r="P1767" s="111"/>
      <c r="Q1767" s="111"/>
      <c r="R1767" s="111"/>
      <c r="S1767" s="1249">
        <v>1</v>
      </c>
      <c r="T1767" s="1250">
        <v>158.4</v>
      </c>
      <c r="U1767" s="1250"/>
      <c r="V1767" s="1250"/>
      <c r="W1767" s="1251">
        <v>0</v>
      </c>
      <c r="X1767" s="1250">
        <v>158.4</v>
      </c>
      <c r="Y1767" s="1250"/>
      <c r="Z1767" s="1250"/>
      <c r="AA1767" s="1250"/>
      <c r="AB1767" s="1250"/>
      <c r="AC1767" s="1250"/>
      <c r="AD1767" s="1250"/>
      <c r="AE1767" s="1249">
        <v>0</v>
      </c>
      <c r="AF1767" s="1250">
        <v>158.4</v>
      </c>
      <c r="AG1767" s="111"/>
      <c r="AH1767" s="111"/>
      <c r="AI1767" s="111"/>
      <c r="AJ1767" s="111"/>
      <c r="AK1767" s="111"/>
      <c r="AL1767" s="111"/>
      <c r="AM1767" s="111">
        <v>475.2</v>
      </c>
    </row>
    <row r="1768" spans="1:39" ht="15" customHeight="1" x14ac:dyDescent="0.25">
      <c r="A1768" s="1409"/>
      <c r="B1768" s="1409"/>
      <c r="C1768" s="1409"/>
      <c r="D1768" s="1409"/>
      <c r="E1768" s="1247"/>
      <c r="F1768" s="1248" t="s">
        <v>3163</v>
      </c>
      <c r="G1768" s="111"/>
      <c r="H1768" s="1249">
        <v>1</v>
      </c>
      <c r="I1768" s="111" t="s">
        <v>1721</v>
      </c>
      <c r="J1768" s="1321" t="s">
        <v>5608</v>
      </c>
      <c r="K1768" s="162" t="s">
        <v>5610</v>
      </c>
      <c r="L1768" s="162" t="s">
        <v>5609</v>
      </c>
      <c r="M1768" s="111">
        <v>57.83</v>
      </c>
      <c r="N1768" s="111">
        <v>57.83</v>
      </c>
      <c r="O1768" s="111"/>
      <c r="P1768" s="111"/>
      <c r="Q1768" s="111"/>
      <c r="R1768" s="111"/>
      <c r="S1768" s="1249">
        <v>1</v>
      </c>
      <c r="T1768" s="1250">
        <v>19.276666666666667</v>
      </c>
      <c r="U1768" s="1250"/>
      <c r="V1768" s="1250"/>
      <c r="W1768" s="1251">
        <v>0</v>
      </c>
      <c r="X1768" s="1250">
        <v>19.276666666666667</v>
      </c>
      <c r="Y1768" s="1250"/>
      <c r="Z1768" s="1250"/>
      <c r="AA1768" s="1250"/>
      <c r="AB1768" s="1250"/>
      <c r="AC1768" s="1250"/>
      <c r="AD1768" s="1250"/>
      <c r="AE1768" s="1249">
        <v>0</v>
      </c>
      <c r="AF1768" s="1250">
        <v>19.276666666666667</v>
      </c>
      <c r="AG1768" s="111"/>
      <c r="AH1768" s="111"/>
      <c r="AI1768" s="111"/>
      <c r="AJ1768" s="111"/>
      <c r="AK1768" s="111"/>
      <c r="AL1768" s="111"/>
      <c r="AM1768" s="111">
        <v>57.83</v>
      </c>
    </row>
    <row r="1769" spans="1:39" ht="15" customHeight="1" x14ac:dyDescent="0.25">
      <c r="A1769" s="1409"/>
      <c r="B1769" s="1409"/>
      <c r="C1769" s="1409"/>
      <c r="D1769" s="1409"/>
      <c r="E1769" s="1247"/>
      <c r="F1769" s="1248" t="s">
        <v>3164</v>
      </c>
      <c r="G1769" s="111"/>
      <c r="H1769" s="1249">
        <v>1</v>
      </c>
      <c r="I1769" s="111" t="s">
        <v>1721</v>
      </c>
      <c r="J1769" s="1321" t="s">
        <v>5608</v>
      </c>
      <c r="K1769" s="162" t="s">
        <v>5610</v>
      </c>
      <c r="L1769" s="162" t="s">
        <v>5609</v>
      </c>
      <c r="M1769" s="111">
        <v>57.83</v>
      </c>
      <c r="N1769" s="111">
        <v>57.83</v>
      </c>
      <c r="O1769" s="111"/>
      <c r="P1769" s="111"/>
      <c r="Q1769" s="111"/>
      <c r="R1769" s="111"/>
      <c r="S1769" s="1249">
        <v>1</v>
      </c>
      <c r="T1769" s="1250">
        <v>19.276666666666667</v>
      </c>
      <c r="U1769" s="1250"/>
      <c r="V1769" s="1250"/>
      <c r="W1769" s="1251">
        <v>0</v>
      </c>
      <c r="X1769" s="1250">
        <v>19.276666666666667</v>
      </c>
      <c r="Y1769" s="1250"/>
      <c r="Z1769" s="1250"/>
      <c r="AA1769" s="1250"/>
      <c r="AB1769" s="1250"/>
      <c r="AC1769" s="1250"/>
      <c r="AD1769" s="1250"/>
      <c r="AE1769" s="1249">
        <v>0</v>
      </c>
      <c r="AF1769" s="1250">
        <v>19.276666666666667</v>
      </c>
      <c r="AG1769" s="111"/>
      <c r="AH1769" s="111"/>
      <c r="AI1769" s="111"/>
      <c r="AJ1769" s="111"/>
      <c r="AK1769" s="111"/>
      <c r="AL1769" s="111"/>
      <c r="AM1769" s="111">
        <v>57.83</v>
      </c>
    </row>
    <row r="1770" spans="1:39" ht="15" customHeight="1" x14ac:dyDescent="0.25">
      <c r="A1770" s="1409"/>
      <c r="B1770" s="1409"/>
      <c r="C1770" s="1409"/>
      <c r="D1770" s="1409"/>
      <c r="E1770" s="1247"/>
      <c r="F1770" s="1248" t="s">
        <v>5263</v>
      </c>
      <c r="G1770" s="111"/>
      <c r="H1770" s="1249">
        <v>1</v>
      </c>
      <c r="I1770" s="111" t="s">
        <v>1725</v>
      </c>
      <c r="J1770" s="1321" t="s">
        <v>5608</v>
      </c>
      <c r="K1770" s="162" t="s">
        <v>5610</v>
      </c>
      <c r="L1770" s="162" t="s">
        <v>5609</v>
      </c>
      <c r="M1770" s="111">
        <v>67.08</v>
      </c>
      <c r="N1770" s="111">
        <v>67.08</v>
      </c>
      <c r="O1770" s="111"/>
      <c r="P1770" s="111"/>
      <c r="Q1770" s="111"/>
      <c r="R1770" s="111"/>
      <c r="S1770" s="1249">
        <v>1</v>
      </c>
      <c r="T1770" s="1250">
        <v>22.36</v>
      </c>
      <c r="U1770" s="1250"/>
      <c r="V1770" s="1250"/>
      <c r="W1770" s="1251">
        <v>0</v>
      </c>
      <c r="X1770" s="1250">
        <v>22.36</v>
      </c>
      <c r="Y1770" s="1250"/>
      <c r="Z1770" s="1250"/>
      <c r="AA1770" s="1250"/>
      <c r="AB1770" s="1250"/>
      <c r="AC1770" s="1250"/>
      <c r="AD1770" s="1250"/>
      <c r="AE1770" s="1249">
        <v>0</v>
      </c>
      <c r="AF1770" s="1250">
        <v>22.36</v>
      </c>
      <c r="AG1770" s="111"/>
      <c r="AH1770" s="111"/>
      <c r="AI1770" s="111"/>
      <c r="AJ1770" s="111"/>
      <c r="AK1770" s="111"/>
      <c r="AL1770" s="111"/>
      <c r="AM1770" s="111">
        <v>67.08</v>
      </c>
    </row>
    <row r="1771" spans="1:39" ht="15" customHeight="1" x14ac:dyDescent="0.25">
      <c r="A1771" s="1409"/>
      <c r="B1771" s="1409"/>
      <c r="C1771" s="1409"/>
      <c r="D1771" s="1409"/>
      <c r="E1771" s="1247"/>
      <c r="F1771" s="1248" t="s">
        <v>3130</v>
      </c>
      <c r="G1771" s="111"/>
      <c r="H1771" s="1249">
        <v>1</v>
      </c>
      <c r="I1771" s="111" t="s">
        <v>2321</v>
      </c>
      <c r="J1771" s="1321" t="s">
        <v>5608</v>
      </c>
      <c r="K1771" s="162" t="s">
        <v>5610</v>
      </c>
      <c r="L1771" s="162" t="s">
        <v>5609</v>
      </c>
      <c r="M1771" s="111">
        <v>176.1</v>
      </c>
      <c r="N1771" s="111">
        <v>176.1</v>
      </c>
      <c r="O1771" s="111"/>
      <c r="P1771" s="111"/>
      <c r="Q1771" s="111"/>
      <c r="R1771" s="111"/>
      <c r="S1771" s="1249">
        <v>1</v>
      </c>
      <c r="T1771" s="1250">
        <v>58.699999999999996</v>
      </c>
      <c r="U1771" s="1250"/>
      <c r="V1771" s="1250"/>
      <c r="W1771" s="1251">
        <v>0</v>
      </c>
      <c r="X1771" s="1250">
        <v>58.699999999999996</v>
      </c>
      <c r="Y1771" s="1250"/>
      <c r="Z1771" s="1250"/>
      <c r="AA1771" s="1250"/>
      <c r="AB1771" s="1250"/>
      <c r="AC1771" s="1250"/>
      <c r="AD1771" s="1250"/>
      <c r="AE1771" s="1249">
        <v>0</v>
      </c>
      <c r="AF1771" s="1250">
        <v>58.699999999999996</v>
      </c>
      <c r="AG1771" s="111"/>
      <c r="AH1771" s="111"/>
      <c r="AI1771" s="111"/>
      <c r="AJ1771" s="111"/>
      <c r="AK1771" s="111"/>
      <c r="AL1771" s="111"/>
      <c r="AM1771" s="111">
        <v>176.1</v>
      </c>
    </row>
    <row r="1772" spans="1:39" ht="15" customHeight="1" x14ac:dyDescent="0.25">
      <c r="A1772" s="1409"/>
      <c r="B1772" s="1409"/>
      <c r="C1772" s="1409"/>
      <c r="D1772" s="1409"/>
      <c r="E1772" s="1247"/>
      <c r="F1772" s="1248" t="s">
        <v>5264</v>
      </c>
      <c r="G1772" s="111"/>
      <c r="H1772" s="1249">
        <v>4</v>
      </c>
      <c r="I1772" s="111" t="s">
        <v>2321</v>
      </c>
      <c r="J1772" s="1321" t="s">
        <v>5608</v>
      </c>
      <c r="K1772" s="162" t="s">
        <v>5610</v>
      </c>
      <c r="L1772" s="162" t="s">
        <v>5609</v>
      </c>
      <c r="M1772" s="111">
        <v>29.9</v>
      </c>
      <c r="N1772" s="111">
        <v>119.6</v>
      </c>
      <c r="O1772" s="111"/>
      <c r="P1772" s="111"/>
      <c r="Q1772" s="111"/>
      <c r="R1772" s="111"/>
      <c r="S1772" s="1249">
        <v>2</v>
      </c>
      <c r="T1772" s="1250">
        <v>39.866666666666667</v>
      </c>
      <c r="U1772" s="1250"/>
      <c r="V1772" s="1250"/>
      <c r="W1772" s="1251">
        <v>1</v>
      </c>
      <c r="X1772" s="1250">
        <v>39.866666666666667</v>
      </c>
      <c r="Y1772" s="1250"/>
      <c r="Z1772" s="1250"/>
      <c r="AA1772" s="1250"/>
      <c r="AB1772" s="1250"/>
      <c r="AC1772" s="1250"/>
      <c r="AD1772" s="1250"/>
      <c r="AE1772" s="1249">
        <v>1</v>
      </c>
      <c r="AF1772" s="1250">
        <v>39.866666666666667</v>
      </c>
      <c r="AG1772" s="111"/>
      <c r="AH1772" s="111"/>
      <c r="AI1772" s="111"/>
      <c r="AJ1772" s="111"/>
      <c r="AK1772" s="111"/>
      <c r="AL1772" s="111"/>
      <c r="AM1772" s="111">
        <v>119.6</v>
      </c>
    </row>
    <row r="1773" spans="1:39" ht="15" customHeight="1" x14ac:dyDescent="0.25">
      <c r="A1773" s="1409"/>
      <c r="B1773" s="1409"/>
      <c r="C1773" s="1409"/>
      <c r="D1773" s="1409"/>
      <c r="E1773" s="1247"/>
      <c r="F1773" s="1248" t="s">
        <v>3165</v>
      </c>
      <c r="G1773" s="111"/>
      <c r="H1773" s="1249">
        <v>1</v>
      </c>
      <c r="I1773" s="111" t="s">
        <v>1721</v>
      </c>
      <c r="J1773" s="1321" t="s">
        <v>5608</v>
      </c>
      <c r="K1773" s="162" t="s">
        <v>5610</v>
      </c>
      <c r="L1773" s="162" t="s">
        <v>5609</v>
      </c>
      <c r="M1773" s="111">
        <v>101.41</v>
      </c>
      <c r="N1773" s="111">
        <v>101.41</v>
      </c>
      <c r="O1773" s="111"/>
      <c r="P1773" s="111"/>
      <c r="Q1773" s="111"/>
      <c r="R1773" s="111"/>
      <c r="S1773" s="1249">
        <v>1</v>
      </c>
      <c r="T1773" s="1250">
        <v>33.803333333333335</v>
      </c>
      <c r="U1773" s="1250"/>
      <c r="V1773" s="1250"/>
      <c r="W1773" s="1251">
        <v>0</v>
      </c>
      <c r="X1773" s="1250">
        <v>33.803333333333335</v>
      </c>
      <c r="Y1773" s="1250"/>
      <c r="Z1773" s="1250"/>
      <c r="AA1773" s="1250"/>
      <c r="AB1773" s="1250"/>
      <c r="AC1773" s="1250"/>
      <c r="AD1773" s="1250"/>
      <c r="AE1773" s="1249">
        <v>0</v>
      </c>
      <c r="AF1773" s="1250">
        <v>33.803333333333335</v>
      </c>
      <c r="AG1773" s="111"/>
      <c r="AH1773" s="111"/>
      <c r="AI1773" s="111"/>
      <c r="AJ1773" s="111"/>
      <c r="AK1773" s="111"/>
      <c r="AL1773" s="111"/>
      <c r="AM1773" s="111">
        <v>101.41</v>
      </c>
    </row>
    <row r="1774" spans="1:39" ht="15" customHeight="1" x14ac:dyDescent="0.25">
      <c r="A1774" s="1409"/>
      <c r="B1774" s="1409"/>
      <c r="C1774" s="1409"/>
      <c r="D1774" s="1409"/>
      <c r="E1774" s="1247"/>
      <c r="F1774" s="1248" t="s">
        <v>5265</v>
      </c>
      <c r="G1774" s="111"/>
      <c r="H1774" s="1249">
        <v>1</v>
      </c>
      <c r="I1774" s="111" t="s">
        <v>1722</v>
      </c>
      <c r="J1774" s="1321" t="s">
        <v>5608</v>
      </c>
      <c r="K1774" s="162" t="s">
        <v>5610</v>
      </c>
      <c r="L1774" s="162" t="s">
        <v>5609</v>
      </c>
      <c r="M1774" s="111">
        <v>241.16</v>
      </c>
      <c r="N1774" s="111">
        <v>241.16</v>
      </c>
      <c r="O1774" s="111"/>
      <c r="P1774" s="111"/>
      <c r="Q1774" s="111"/>
      <c r="R1774" s="111"/>
      <c r="S1774" s="1249">
        <v>1</v>
      </c>
      <c r="T1774" s="1250">
        <v>80.38666666666667</v>
      </c>
      <c r="U1774" s="1250"/>
      <c r="V1774" s="1250"/>
      <c r="W1774" s="1251">
        <v>0</v>
      </c>
      <c r="X1774" s="1250">
        <v>80.38666666666667</v>
      </c>
      <c r="Y1774" s="1250"/>
      <c r="Z1774" s="1250"/>
      <c r="AA1774" s="1250"/>
      <c r="AB1774" s="1250"/>
      <c r="AC1774" s="1250"/>
      <c r="AD1774" s="1250"/>
      <c r="AE1774" s="1249">
        <v>0</v>
      </c>
      <c r="AF1774" s="1250">
        <v>80.38666666666667</v>
      </c>
      <c r="AG1774" s="111"/>
      <c r="AH1774" s="111"/>
      <c r="AI1774" s="111"/>
      <c r="AJ1774" s="111"/>
      <c r="AK1774" s="111"/>
      <c r="AL1774" s="111"/>
      <c r="AM1774" s="111">
        <v>241.16</v>
      </c>
    </row>
    <row r="1775" spans="1:39" ht="15" customHeight="1" x14ac:dyDescent="0.25">
      <c r="A1775" s="1409"/>
      <c r="B1775" s="1409"/>
      <c r="C1775" s="1409"/>
      <c r="D1775" s="1409"/>
      <c r="E1775" s="1247"/>
      <c r="F1775" s="1248" t="s">
        <v>5266</v>
      </c>
      <c r="G1775" s="111"/>
      <c r="H1775" s="1249">
        <v>1</v>
      </c>
      <c r="I1775" s="111" t="s">
        <v>1721</v>
      </c>
      <c r="J1775" s="1321" t="s">
        <v>5608</v>
      </c>
      <c r="K1775" s="162" t="s">
        <v>5610</v>
      </c>
      <c r="L1775" s="162" t="s">
        <v>5609</v>
      </c>
      <c r="M1775" s="111">
        <v>143.24</v>
      </c>
      <c r="N1775" s="111">
        <v>143.24</v>
      </c>
      <c r="O1775" s="111"/>
      <c r="P1775" s="111"/>
      <c r="Q1775" s="111"/>
      <c r="R1775" s="111"/>
      <c r="S1775" s="1249">
        <v>1</v>
      </c>
      <c r="T1775" s="1250">
        <v>47.74666666666667</v>
      </c>
      <c r="U1775" s="1250"/>
      <c r="V1775" s="1250"/>
      <c r="W1775" s="1251">
        <v>0</v>
      </c>
      <c r="X1775" s="1250">
        <v>47.74666666666667</v>
      </c>
      <c r="Y1775" s="1250"/>
      <c r="Z1775" s="1250"/>
      <c r="AA1775" s="1250"/>
      <c r="AB1775" s="1250"/>
      <c r="AC1775" s="1250"/>
      <c r="AD1775" s="1250"/>
      <c r="AE1775" s="1249">
        <v>0</v>
      </c>
      <c r="AF1775" s="1250">
        <v>47.74666666666667</v>
      </c>
      <c r="AG1775" s="111"/>
      <c r="AH1775" s="111"/>
      <c r="AI1775" s="111"/>
      <c r="AJ1775" s="111"/>
      <c r="AK1775" s="111"/>
      <c r="AL1775" s="111"/>
      <c r="AM1775" s="111">
        <v>143.24</v>
      </c>
    </row>
    <row r="1776" spans="1:39" ht="15" customHeight="1" x14ac:dyDescent="0.25">
      <c r="A1776" s="1409"/>
      <c r="B1776" s="1409"/>
      <c r="C1776" s="1409"/>
      <c r="D1776" s="1409"/>
      <c r="E1776" s="1247"/>
      <c r="F1776" s="1248" t="s">
        <v>5267</v>
      </c>
      <c r="G1776" s="111"/>
      <c r="H1776" s="1249">
        <v>1</v>
      </c>
      <c r="I1776" s="111" t="s">
        <v>1725</v>
      </c>
      <c r="J1776" s="1321" t="s">
        <v>5608</v>
      </c>
      <c r="K1776" s="162" t="s">
        <v>5610</v>
      </c>
      <c r="L1776" s="162" t="s">
        <v>5609</v>
      </c>
      <c r="M1776" s="111">
        <v>40.090000000000003</v>
      </c>
      <c r="N1776" s="111">
        <v>40.090000000000003</v>
      </c>
      <c r="O1776" s="111"/>
      <c r="P1776" s="111"/>
      <c r="Q1776" s="111"/>
      <c r="R1776" s="111"/>
      <c r="S1776" s="1249">
        <v>1</v>
      </c>
      <c r="T1776" s="1250">
        <v>13.363333333333335</v>
      </c>
      <c r="U1776" s="1250"/>
      <c r="V1776" s="1250"/>
      <c r="W1776" s="1251">
        <v>0</v>
      </c>
      <c r="X1776" s="1250">
        <v>13.363333333333335</v>
      </c>
      <c r="Y1776" s="1250"/>
      <c r="Z1776" s="1250"/>
      <c r="AA1776" s="1250"/>
      <c r="AB1776" s="1250"/>
      <c r="AC1776" s="1250"/>
      <c r="AD1776" s="1250"/>
      <c r="AE1776" s="1249">
        <v>0</v>
      </c>
      <c r="AF1776" s="1250">
        <v>13.363333333333335</v>
      </c>
      <c r="AG1776" s="111"/>
      <c r="AH1776" s="111"/>
      <c r="AI1776" s="111"/>
      <c r="AJ1776" s="111"/>
      <c r="AK1776" s="111"/>
      <c r="AL1776" s="111"/>
      <c r="AM1776" s="111">
        <v>40.090000000000003</v>
      </c>
    </row>
    <row r="1777" spans="1:39" ht="15" customHeight="1" x14ac:dyDescent="0.25">
      <c r="A1777" s="1409"/>
      <c r="B1777" s="1409"/>
      <c r="C1777" s="1409"/>
      <c r="D1777" s="1409"/>
      <c r="E1777" s="1247"/>
      <c r="F1777" s="1248" t="s">
        <v>3166</v>
      </c>
      <c r="G1777" s="111"/>
      <c r="H1777" s="1249">
        <v>1</v>
      </c>
      <c r="I1777" s="111" t="s">
        <v>1721</v>
      </c>
      <c r="J1777" s="1321" t="s">
        <v>5608</v>
      </c>
      <c r="K1777" s="162" t="s">
        <v>5610</v>
      </c>
      <c r="L1777" s="162" t="s">
        <v>5609</v>
      </c>
      <c r="M1777" s="111">
        <v>36.53</v>
      </c>
      <c r="N1777" s="111">
        <v>36.53</v>
      </c>
      <c r="O1777" s="111"/>
      <c r="P1777" s="111"/>
      <c r="Q1777" s="111"/>
      <c r="R1777" s="111"/>
      <c r="S1777" s="1249">
        <v>1</v>
      </c>
      <c r="T1777" s="1250">
        <v>12.176666666666668</v>
      </c>
      <c r="U1777" s="1250"/>
      <c r="V1777" s="1250"/>
      <c r="W1777" s="1251">
        <v>0</v>
      </c>
      <c r="X1777" s="1250">
        <v>12.176666666666668</v>
      </c>
      <c r="Y1777" s="1250"/>
      <c r="Z1777" s="1250"/>
      <c r="AA1777" s="1250"/>
      <c r="AB1777" s="1250"/>
      <c r="AC1777" s="1250"/>
      <c r="AD1777" s="1250"/>
      <c r="AE1777" s="1249">
        <v>0</v>
      </c>
      <c r="AF1777" s="1250">
        <v>12.176666666666668</v>
      </c>
      <c r="AG1777" s="111"/>
      <c r="AH1777" s="111"/>
      <c r="AI1777" s="111"/>
      <c r="AJ1777" s="111"/>
      <c r="AK1777" s="111"/>
      <c r="AL1777" s="111"/>
      <c r="AM1777" s="111">
        <v>36.53</v>
      </c>
    </row>
    <row r="1778" spans="1:39" ht="15" customHeight="1" x14ac:dyDescent="0.25">
      <c r="A1778" s="1409"/>
      <c r="B1778" s="1409"/>
      <c r="C1778" s="1409"/>
      <c r="D1778" s="1409"/>
      <c r="E1778" s="1247"/>
      <c r="F1778" s="1248" t="s">
        <v>3167</v>
      </c>
      <c r="G1778" s="111"/>
      <c r="H1778" s="1249">
        <v>1</v>
      </c>
      <c r="I1778" s="111" t="s">
        <v>1725</v>
      </c>
      <c r="J1778" s="1321" t="s">
        <v>5608</v>
      </c>
      <c r="K1778" s="162" t="s">
        <v>5610</v>
      </c>
      <c r="L1778" s="162" t="s">
        <v>5609</v>
      </c>
      <c r="M1778" s="111">
        <v>215.6</v>
      </c>
      <c r="N1778" s="111">
        <v>215.6</v>
      </c>
      <c r="O1778" s="111"/>
      <c r="P1778" s="111"/>
      <c r="Q1778" s="111"/>
      <c r="R1778" s="111"/>
      <c r="S1778" s="1249">
        <v>1</v>
      </c>
      <c r="T1778" s="1250">
        <v>71.86666666666666</v>
      </c>
      <c r="U1778" s="1250"/>
      <c r="V1778" s="1250"/>
      <c r="W1778" s="1251">
        <v>0</v>
      </c>
      <c r="X1778" s="1250">
        <v>71.86666666666666</v>
      </c>
      <c r="Y1778" s="1250"/>
      <c r="Z1778" s="1250"/>
      <c r="AA1778" s="1250"/>
      <c r="AB1778" s="1250"/>
      <c r="AC1778" s="1250"/>
      <c r="AD1778" s="1250"/>
      <c r="AE1778" s="1249">
        <v>0</v>
      </c>
      <c r="AF1778" s="1250">
        <v>71.86666666666666</v>
      </c>
      <c r="AG1778" s="111"/>
      <c r="AH1778" s="111"/>
      <c r="AI1778" s="111"/>
      <c r="AJ1778" s="111"/>
      <c r="AK1778" s="111"/>
      <c r="AL1778" s="111"/>
      <c r="AM1778" s="111">
        <v>215.6</v>
      </c>
    </row>
    <row r="1779" spans="1:39" ht="15" customHeight="1" x14ac:dyDescent="0.25">
      <c r="A1779" s="1409"/>
      <c r="B1779" s="1409"/>
      <c r="C1779" s="1409"/>
      <c r="D1779" s="1409"/>
      <c r="E1779" s="1247"/>
      <c r="F1779" s="1248" t="s">
        <v>3168</v>
      </c>
      <c r="G1779" s="111"/>
      <c r="H1779" s="1249">
        <v>1</v>
      </c>
      <c r="I1779" s="111" t="s">
        <v>1725</v>
      </c>
      <c r="J1779" s="1321" t="s">
        <v>5608</v>
      </c>
      <c r="K1779" s="162" t="s">
        <v>5610</v>
      </c>
      <c r="L1779" s="162" t="s">
        <v>5609</v>
      </c>
      <c r="M1779" s="111">
        <v>91.2</v>
      </c>
      <c r="N1779" s="111">
        <v>91.2</v>
      </c>
      <c r="O1779" s="111"/>
      <c r="P1779" s="111"/>
      <c r="Q1779" s="111"/>
      <c r="R1779" s="111"/>
      <c r="S1779" s="1249">
        <v>1</v>
      </c>
      <c r="T1779" s="1250">
        <v>30.400000000000002</v>
      </c>
      <c r="U1779" s="1250"/>
      <c r="V1779" s="1250"/>
      <c r="W1779" s="1251">
        <v>0</v>
      </c>
      <c r="X1779" s="1250">
        <v>30.400000000000002</v>
      </c>
      <c r="Y1779" s="1250"/>
      <c r="Z1779" s="1250"/>
      <c r="AA1779" s="1250"/>
      <c r="AB1779" s="1250"/>
      <c r="AC1779" s="1250"/>
      <c r="AD1779" s="1250"/>
      <c r="AE1779" s="1249">
        <v>0</v>
      </c>
      <c r="AF1779" s="1250">
        <v>30.400000000000002</v>
      </c>
      <c r="AG1779" s="111"/>
      <c r="AH1779" s="111"/>
      <c r="AI1779" s="111"/>
      <c r="AJ1779" s="111"/>
      <c r="AK1779" s="111"/>
      <c r="AL1779" s="111"/>
      <c r="AM1779" s="111">
        <v>91.2</v>
      </c>
    </row>
    <row r="1780" spans="1:39" ht="15" customHeight="1" x14ac:dyDescent="0.25">
      <c r="A1780" s="1409"/>
      <c r="B1780" s="1409"/>
      <c r="C1780" s="1409"/>
      <c r="D1780" s="1409"/>
      <c r="E1780" s="1247"/>
      <c r="F1780" s="1248" t="s">
        <v>3169</v>
      </c>
      <c r="G1780" s="111"/>
      <c r="H1780" s="1249">
        <v>1</v>
      </c>
      <c r="I1780" s="111" t="s">
        <v>1721</v>
      </c>
      <c r="J1780" s="1321" t="s">
        <v>5608</v>
      </c>
      <c r="K1780" s="162" t="s">
        <v>5610</v>
      </c>
      <c r="L1780" s="162" t="s">
        <v>5609</v>
      </c>
      <c r="M1780" s="111">
        <v>216.00777600000001</v>
      </c>
      <c r="N1780" s="111">
        <v>216.00777600000001</v>
      </c>
      <c r="O1780" s="111"/>
      <c r="P1780" s="111"/>
      <c r="Q1780" s="111"/>
      <c r="R1780" s="111"/>
      <c r="S1780" s="1249">
        <v>1</v>
      </c>
      <c r="T1780" s="1250">
        <v>72.002592000000007</v>
      </c>
      <c r="U1780" s="1250"/>
      <c r="V1780" s="1250"/>
      <c r="W1780" s="1251">
        <v>0</v>
      </c>
      <c r="X1780" s="1250">
        <v>72.002592000000007</v>
      </c>
      <c r="Y1780" s="1250"/>
      <c r="Z1780" s="1250"/>
      <c r="AA1780" s="1250"/>
      <c r="AB1780" s="1250"/>
      <c r="AC1780" s="1250"/>
      <c r="AD1780" s="1250"/>
      <c r="AE1780" s="1249">
        <v>0</v>
      </c>
      <c r="AF1780" s="1250">
        <v>72.002592000000007</v>
      </c>
      <c r="AG1780" s="111"/>
      <c r="AH1780" s="111"/>
      <c r="AI1780" s="111"/>
      <c r="AJ1780" s="111"/>
      <c r="AK1780" s="111"/>
      <c r="AL1780" s="111"/>
      <c r="AM1780" s="111">
        <v>216.00777600000001</v>
      </c>
    </row>
    <row r="1781" spans="1:39" ht="15" customHeight="1" x14ac:dyDescent="0.25">
      <c r="A1781" s="1409"/>
      <c r="B1781" s="1409"/>
      <c r="C1781" s="1409"/>
      <c r="D1781" s="1409"/>
      <c r="E1781" s="1247"/>
      <c r="F1781" s="1248" t="s">
        <v>3170</v>
      </c>
      <c r="G1781" s="111"/>
      <c r="H1781" s="1249">
        <v>1</v>
      </c>
      <c r="I1781" s="111" t="s">
        <v>1722</v>
      </c>
      <c r="J1781" s="1321" t="s">
        <v>5608</v>
      </c>
      <c r="K1781" s="162" t="s">
        <v>5610</v>
      </c>
      <c r="L1781" s="162" t="s">
        <v>5609</v>
      </c>
      <c r="M1781" s="111">
        <v>1013.9</v>
      </c>
      <c r="N1781" s="111">
        <v>1013.9</v>
      </c>
      <c r="O1781" s="111"/>
      <c r="P1781" s="111"/>
      <c r="Q1781" s="111"/>
      <c r="R1781" s="111"/>
      <c r="S1781" s="1249">
        <v>1</v>
      </c>
      <c r="T1781" s="1250">
        <v>337.96666666666664</v>
      </c>
      <c r="U1781" s="1250"/>
      <c r="V1781" s="1250"/>
      <c r="W1781" s="1251">
        <v>0</v>
      </c>
      <c r="X1781" s="1250">
        <v>337.96666666666664</v>
      </c>
      <c r="Y1781" s="1250"/>
      <c r="Z1781" s="1250"/>
      <c r="AA1781" s="1250"/>
      <c r="AB1781" s="1250"/>
      <c r="AC1781" s="1250"/>
      <c r="AD1781" s="1250"/>
      <c r="AE1781" s="1249">
        <v>0</v>
      </c>
      <c r="AF1781" s="1250">
        <v>337.96666666666664</v>
      </c>
      <c r="AG1781" s="111"/>
      <c r="AH1781" s="111"/>
      <c r="AI1781" s="111"/>
      <c r="AJ1781" s="111"/>
      <c r="AK1781" s="111"/>
      <c r="AL1781" s="111"/>
      <c r="AM1781" s="111">
        <v>1013.9</v>
      </c>
    </row>
    <row r="1782" spans="1:39" ht="15" customHeight="1" x14ac:dyDescent="0.25">
      <c r="A1782" s="1409"/>
      <c r="B1782" s="1409"/>
      <c r="C1782" s="1409"/>
      <c r="D1782" s="1409"/>
      <c r="E1782" s="1247"/>
      <c r="F1782" s="1248" t="s">
        <v>3171</v>
      </c>
      <c r="G1782" s="111"/>
      <c r="H1782" s="1249">
        <v>1</v>
      </c>
      <c r="I1782" s="111" t="s">
        <v>1725</v>
      </c>
      <c r="J1782" s="1321" t="s">
        <v>5608</v>
      </c>
      <c r="K1782" s="162" t="s">
        <v>5610</v>
      </c>
      <c r="L1782" s="162" t="s">
        <v>5609</v>
      </c>
      <c r="M1782" s="111">
        <v>283.48358400000001</v>
      </c>
      <c r="N1782" s="111">
        <v>283.48358400000001</v>
      </c>
      <c r="O1782" s="111"/>
      <c r="P1782" s="111"/>
      <c r="Q1782" s="111"/>
      <c r="R1782" s="111"/>
      <c r="S1782" s="1249">
        <v>1</v>
      </c>
      <c r="T1782" s="1250">
        <v>94.494528000000003</v>
      </c>
      <c r="U1782" s="1250"/>
      <c r="V1782" s="1250"/>
      <c r="W1782" s="1251">
        <v>0</v>
      </c>
      <c r="X1782" s="1250">
        <v>94.494528000000003</v>
      </c>
      <c r="Y1782" s="1250"/>
      <c r="Z1782" s="1250"/>
      <c r="AA1782" s="1250"/>
      <c r="AB1782" s="1250"/>
      <c r="AC1782" s="1250"/>
      <c r="AD1782" s="1250"/>
      <c r="AE1782" s="1249">
        <v>0</v>
      </c>
      <c r="AF1782" s="1250">
        <v>94.494528000000003</v>
      </c>
      <c r="AG1782" s="111"/>
      <c r="AH1782" s="111"/>
      <c r="AI1782" s="111"/>
      <c r="AJ1782" s="111"/>
      <c r="AK1782" s="111"/>
      <c r="AL1782" s="111"/>
      <c r="AM1782" s="111">
        <v>283.48358400000001</v>
      </c>
    </row>
    <row r="1783" spans="1:39" ht="15" customHeight="1" x14ac:dyDescent="0.25">
      <c r="A1783" s="1409"/>
      <c r="B1783" s="1409"/>
      <c r="C1783" s="1409"/>
      <c r="D1783" s="1409"/>
      <c r="E1783" s="1247"/>
      <c r="F1783" s="1248" t="s">
        <v>3172</v>
      </c>
      <c r="G1783" s="111"/>
      <c r="H1783" s="1249">
        <v>1</v>
      </c>
      <c r="I1783" s="111" t="s">
        <v>1721</v>
      </c>
      <c r="J1783" s="1321" t="s">
        <v>5608</v>
      </c>
      <c r="K1783" s="162" t="s">
        <v>5610</v>
      </c>
      <c r="L1783" s="162" t="s">
        <v>5609</v>
      </c>
      <c r="M1783" s="111">
        <v>22.39</v>
      </c>
      <c r="N1783" s="111">
        <v>22.39</v>
      </c>
      <c r="O1783" s="111"/>
      <c r="P1783" s="111"/>
      <c r="Q1783" s="111"/>
      <c r="R1783" s="111"/>
      <c r="S1783" s="1249">
        <v>1</v>
      </c>
      <c r="T1783" s="1250">
        <v>7.4633333333333338</v>
      </c>
      <c r="U1783" s="1250"/>
      <c r="V1783" s="1250"/>
      <c r="W1783" s="1251">
        <v>0</v>
      </c>
      <c r="X1783" s="1250">
        <v>7.4633333333333338</v>
      </c>
      <c r="Y1783" s="1250"/>
      <c r="Z1783" s="1250"/>
      <c r="AA1783" s="1250"/>
      <c r="AB1783" s="1250"/>
      <c r="AC1783" s="1250"/>
      <c r="AD1783" s="1250"/>
      <c r="AE1783" s="1249">
        <v>0</v>
      </c>
      <c r="AF1783" s="1250">
        <v>7.4633333333333338</v>
      </c>
      <c r="AG1783" s="111"/>
      <c r="AH1783" s="111"/>
      <c r="AI1783" s="111"/>
      <c r="AJ1783" s="111"/>
      <c r="AK1783" s="111"/>
      <c r="AL1783" s="111"/>
      <c r="AM1783" s="111">
        <v>22.39</v>
      </c>
    </row>
    <row r="1784" spans="1:39" ht="15" customHeight="1" x14ac:dyDescent="0.25">
      <c r="A1784" s="1409"/>
      <c r="B1784" s="1409"/>
      <c r="C1784" s="1409"/>
      <c r="D1784" s="1409"/>
      <c r="E1784" s="1247"/>
      <c r="F1784" s="1248" t="s">
        <v>3173</v>
      </c>
      <c r="G1784" s="111"/>
      <c r="H1784" s="1249">
        <v>1</v>
      </c>
      <c r="I1784" s="111" t="s">
        <v>1721</v>
      </c>
      <c r="J1784" s="1321" t="s">
        <v>5608</v>
      </c>
      <c r="K1784" s="162" t="s">
        <v>5610</v>
      </c>
      <c r="L1784" s="162" t="s">
        <v>5609</v>
      </c>
      <c r="M1784" s="111">
        <v>881.08</v>
      </c>
      <c r="N1784" s="111">
        <v>881.08</v>
      </c>
      <c r="O1784" s="111"/>
      <c r="P1784" s="111"/>
      <c r="Q1784" s="111"/>
      <c r="R1784" s="111"/>
      <c r="S1784" s="1249">
        <v>1</v>
      </c>
      <c r="T1784" s="1250">
        <v>293.69333333333333</v>
      </c>
      <c r="U1784" s="1250"/>
      <c r="V1784" s="1250"/>
      <c r="W1784" s="1251">
        <v>0</v>
      </c>
      <c r="X1784" s="1250">
        <v>293.69333333333333</v>
      </c>
      <c r="Y1784" s="1250"/>
      <c r="Z1784" s="1250"/>
      <c r="AA1784" s="1250"/>
      <c r="AB1784" s="1250"/>
      <c r="AC1784" s="1250"/>
      <c r="AD1784" s="1250"/>
      <c r="AE1784" s="1249">
        <v>0</v>
      </c>
      <c r="AF1784" s="1250">
        <v>293.69333333333333</v>
      </c>
      <c r="AG1784" s="111"/>
      <c r="AH1784" s="111"/>
      <c r="AI1784" s="111"/>
      <c r="AJ1784" s="111"/>
      <c r="AK1784" s="111"/>
      <c r="AL1784" s="111"/>
      <c r="AM1784" s="111">
        <v>881.08</v>
      </c>
    </row>
    <row r="1785" spans="1:39" ht="15" customHeight="1" x14ac:dyDescent="0.25">
      <c r="A1785" s="1409"/>
      <c r="B1785" s="1409"/>
      <c r="C1785" s="1409"/>
      <c r="D1785" s="1409"/>
      <c r="E1785" s="1247"/>
      <c r="F1785" s="1248" t="s">
        <v>3174</v>
      </c>
      <c r="G1785" s="111"/>
      <c r="H1785" s="1249">
        <v>1</v>
      </c>
      <c r="I1785" s="111" t="s">
        <v>1721</v>
      </c>
      <c r="J1785" s="1321" t="s">
        <v>5608</v>
      </c>
      <c r="K1785" s="162" t="s">
        <v>5610</v>
      </c>
      <c r="L1785" s="162" t="s">
        <v>5609</v>
      </c>
      <c r="M1785" s="111">
        <v>2484.0017280000002</v>
      </c>
      <c r="N1785" s="111">
        <v>2484.0017280000002</v>
      </c>
      <c r="O1785" s="111"/>
      <c r="P1785" s="111"/>
      <c r="Q1785" s="111"/>
      <c r="R1785" s="111"/>
      <c r="S1785" s="1249">
        <v>1</v>
      </c>
      <c r="T1785" s="1250">
        <v>828.00057600000002</v>
      </c>
      <c r="U1785" s="1250"/>
      <c r="V1785" s="1250"/>
      <c r="W1785" s="1251">
        <v>0</v>
      </c>
      <c r="X1785" s="1250">
        <v>828.00057600000002</v>
      </c>
      <c r="Y1785" s="1250"/>
      <c r="Z1785" s="1250"/>
      <c r="AA1785" s="1250"/>
      <c r="AB1785" s="1250"/>
      <c r="AC1785" s="1250"/>
      <c r="AD1785" s="1250"/>
      <c r="AE1785" s="1249">
        <v>0</v>
      </c>
      <c r="AF1785" s="1250">
        <v>828.00057600000002</v>
      </c>
      <c r="AG1785" s="111"/>
      <c r="AH1785" s="111"/>
      <c r="AI1785" s="111"/>
      <c r="AJ1785" s="111"/>
      <c r="AK1785" s="111"/>
      <c r="AL1785" s="111"/>
      <c r="AM1785" s="111">
        <v>2484.0017280000002</v>
      </c>
    </row>
    <row r="1786" spans="1:39" ht="15" customHeight="1" x14ac:dyDescent="0.25">
      <c r="A1786" s="1409"/>
      <c r="B1786" s="1409"/>
      <c r="C1786" s="1409"/>
      <c r="D1786" s="1409"/>
      <c r="E1786" s="1247"/>
      <c r="F1786" s="1248" t="s">
        <v>3175</v>
      </c>
      <c r="G1786" s="111"/>
      <c r="H1786" s="1249">
        <v>1</v>
      </c>
      <c r="I1786" s="111" t="s">
        <v>1721</v>
      </c>
      <c r="J1786" s="1321" t="s">
        <v>5608</v>
      </c>
      <c r="K1786" s="162" t="s">
        <v>5610</v>
      </c>
      <c r="L1786" s="162" t="s">
        <v>5609</v>
      </c>
      <c r="M1786" s="111">
        <v>41.116895999999997</v>
      </c>
      <c r="N1786" s="111">
        <v>41.116895999999997</v>
      </c>
      <c r="O1786" s="111"/>
      <c r="P1786" s="111"/>
      <c r="Q1786" s="111"/>
      <c r="R1786" s="111"/>
      <c r="S1786" s="1249">
        <v>1</v>
      </c>
      <c r="T1786" s="1250">
        <v>13.705632</v>
      </c>
      <c r="U1786" s="1250"/>
      <c r="V1786" s="1250"/>
      <c r="W1786" s="1251">
        <v>0</v>
      </c>
      <c r="X1786" s="1250">
        <v>13.705632</v>
      </c>
      <c r="Y1786" s="1250"/>
      <c r="Z1786" s="1250"/>
      <c r="AA1786" s="1250"/>
      <c r="AB1786" s="1250"/>
      <c r="AC1786" s="1250"/>
      <c r="AD1786" s="1250"/>
      <c r="AE1786" s="1249">
        <v>0</v>
      </c>
      <c r="AF1786" s="1250">
        <v>13.705632</v>
      </c>
      <c r="AG1786" s="111"/>
      <c r="AH1786" s="111"/>
      <c r="AI1786" s="111"/>
      <c r="AJ1786" s="111"/>
      <c r="AK1786" s="111"/>
      <c r="AL1786" s="111"/>
      <c r="AM1786" s="111">
        <v>41.116895999999997</v>
      </c>
    </row>
    <row r="1787" spans="1:39" ht="15" customHeight="1" x14ac:dyDescent="0.25">
      <c r="A1787" s="1409"/>
      <c r="B1787" s="1409"/>
      <c r="C1787" s="1409"/>
      <c r="D1787" s="1409"/>
      <c r="E1787" s="1247"/>
      <c r="F1787" s="1248" t="s">
        <v>3176</v>
      </c>
      <c r="G1787" s="111"/>
      <c r="H1787" s="1249">
        <v>1</v>
      </c>
      <c r="I1787" s="111" t="s">
        <v>1721</v>
      </c>
      <c r="J1787" s="1321" t="s">
        <v>5608</v>
      </c>
      <c r="K1787" s="162" t="s">
        <v>5610</v>
      </c>
      <c r="L1787" s="162" t="s">
        <v>5609</v>
      </c>
      <c r="M1787" s="111">
        <v>21.6</v>
      </c>
      <c r="N1787" s="111">
        <v>21.6</v>
      </c>
      <c r="O1787" s="111"/>
      <c r="P1787" s="111"/>
      <c r="Q1787" s="111"/>
      <c r="R1787" s="111"/>
      <c r="S1787" s="1249">
        <v>1</v>
      </c>
      <c r="T1787" s="1250">
        <v>7.2</v>
      </c>
      <c r="U1787" s="1250"/>
      <c r="V1787" s="1250"/>
      <c r="W1787" s="1251">
        <v>0</v>
      </c>
      <c r="X1787" s="1250">
        <v>7.2</v>
      </c>
      <c r="Y1787" s="1250"/>
      <c r="Z1787" s="1250"/>
      <c r="AA1787" s="1250"/>
      <c r="AB1787" s="1250"/>
      <c r="AC1787" s="1250"/>
      <c r="AD1787" s="1250"/>
      <c r="AE1787" s="1249">
        <v>0</v>
      </c>
      <c r="AF1787" s="1250">
        <v>7.2</v>
      </c>
      <c r="AG1787" s="111"/>
      <c r="AH1787" s="111"/>
      <c r="AI1787" s="111"/>
      <c r="AJ1787" s="111"/>
      <c r="AK1787" s="111"/>
      <c r="AL1787" s="111"/>
      <c r="AM1787" s="111">
        <v>21.6</v>
      </c>
    </row>
    <row r="1788" spans="1:39" ht="15" customHeight="1" x14ac:dyDescent="0.25">
      <c r="A1788" s="1409"/>
      <c r="B1788" s="1409"/>
      <c r="C1788" s="1409"/>
      <c r="D1788" s="1409"/>
      <c r="E1788" s="1247"/>
      <c r="F1788" s="1248" t="s">
        <v>3177</v>
      </c>
      <c r="G1788" s="111"/>
      <c r="H1788" s="1249">
        <v>1</v>
      </c>
      <c r="I1788" s="111" t="s">
        <v>1721</v>
      </c>
      <c r="J1788" s="1321" t="s">
        <v>5608</v>
      </c>
      <c r="K1788" s="162" t="s">
        <v>5610</v>
      </c>
      <c r="L1788" s="162" t="s">
        <v>5609</v>
      </c>
      <c r="M1788" s="111">
        <v>80.216784000000004</v>
      </c>
      <c r="N1788" s="111">
        <v>80.216784000000004</v>
      </c>
      <c r="O1788" s="111"/>
      <c r="P1788" s="111"/>
      <c r="Q1788" s="111"/>
      <c r="R1788" s="111"/>
      <c r="S1788" s="1249">
        <v>1</v>
      </c>
      <c r="T1788" s="1250">
        <v>26.738928000000001</v>
      </c>
      <c r="U1788" s="1250"/>
      <c r="V1788" s="1250"/>
      <c r="W1788" s="1251">
        <v>0</v>
      </c>
      <c r="X1788" s="1250">
        <v>26.738928000000001</v>
      </c>
      <c r="Y1788" s="1250"/>
      <c r="Z1788" s="1250"/>
      <c r="AA1788" s="1250"/>
      <c r="AB1788" s="1250"/>
      <c r="AC1788" s="1250"/>
      <c r="AD1788" s="1250"/>
      <c r="AE1788" s="1249">
        <v>0</v>
      </c>
      <c r="AF1788" s="1250">
        <v>26.738928000000001</v>
      </c>
      <c r="AG1788" s="111"/>
      <c r="AH1788" s="111"/>
      <c r="AI1788" s="111"/>
      <c r="AJ1788" s="111"/>
      <c r="AK1788" s="111"/>
      <c r="AL1788" s="111"/>
      <c r="AM1788" s="111">
        <v>80.216784000000004</v>
      </c>
    </row>
    <row r="1789" spans="1:39" ht="15" customHeight="1" x14ac:dyDescent="0.25">
      <c r="A1789" s="1409"/>
      <c r="B1789" s="1409"/>
      <c r="C1789" s="1409"/>
      <c r="D1789" s="1409"/>
      <c r="E1789" s="1247"/>
      <c r="F1789" s="1248" t="s">
        <v>3178</v>
      </c>
      <c r="G1789" s="111"/>
      <c r="H1789" s="1249">
        <v>1</v>
      </c>
      <c r="I1789" s="111" t="s">
        <v>1721</v>
      </c>
      <c r="J1789" s="1321" t="s">
        <v>5608</v>
      </c>
      <c r="K1789" s="162" t="s">
        <v>5610</v>
      </c>
      <c r="L1789" s="162" t="s">
        <v>5609</v>
      </c>
      <c r="M1789" s="111">
        <v>172.48550400000002</v>
      </c>
      <c r="N1789" s="111">
        <v>172.48550400000002</v>
      </c>
      <c r="O1789" s="111"/>
      <c r="P1789" s="111"/>
      <c r="Q1789" s="111"/>
      <c r="R1789" s="111"/>
      <c r="S1789" s="1249">
        <v>1</v>
      </c>
      <c r="T1789" s="1250">
        <v>57.495168000000007</v>
      </c>
      <c r="U1789" s="1250"/>
      <c r="V1789" s="1250"/>
      <c r="W1789" s="1251">
        <v>0</v>
      </c>
      <c r="X1789" s="1250">
        <v>57.495168000000007</v>
      </c>
      <c r="Y1789" s="1250"/>
      <c r="Z1789" s="1250"/>
      <c r="AA1789" s="1250"/>
      <c r="AB1789" s="1250"/>
      <c r="AC1789" s="1250"/>
      <c r="AD1789" s="1250"/>
      <c r="AE1789" s="1249">
        <v>0</v>
      </c>
      <c r="AF1789" s="1250">
        <v>57.495168000000007</v>
      </c>
      <c r="AG1789" s="111"/>
      <c r="AH1789" s="111"/>
      <c r="AI1789" s="111"/>
      <c r="AJ1789" s="111"/>
      <c r="AK1789" s="111"/>
      <c r="AL1789" s="111"/>
      <c r="AM1789" s="111">
        <v>172.48550400000002</v>
      </c>
    </row>
    <row r="1790" spans="1:39" ht="15" customHeight="1" x14ac:dyDescent="0.25">
      <c r="A1790" s="1409"/>
      <c r="B1790" s="1409"/>
      <c r="C1790" s="1409"/>
      <c r="D1790" s="1409"/>
      <c r="E1790" s="1247"/>
      <c r="F1790" s="1248" t="s">
        <v>3179</v>
      </c>
      <c r="G1790" s="111"/>
      <c r="H1790" s="1249">
        <v>1</v>
      </c>
      <c r="I1790" s="111" t="s">
        <v>1721</v>
      </c>
      <c r="J1790" s="1321" t="s">
        <v>5608</v>
      </c>
      <c r="K1790" s="162" t="s">
        <v>5610</v>
      </c>
      <c r="L1790" s="162" t="s">
        <v>5609</v>
      </c>
      <c r="M1790" s="111">
        <v>80.542512000000016</v>
      </c>
      <c r="N1790" s="111">
        <v>80.542512000000016</v>
      </c>
      <c r="O1790" s="111"/>
      <c r="P1790" s="111"/>
      <c r="Q1790" s="111"/>
      <c r="R1790" s="111"/>
      <c r="S1790" s="1249">
        <v>1</v>
      </c>
      <c r="T1790" s="1250">
        <v>26.847504000000004</v>
      </c>
      <c r="U1790" s="1250"/>
      <c r="V1790" s="1250"/>
      <c r="W1790" s="1251">
        <v>0</v>
      </c>
      <c r="X1790" s="1250">
        <v>26.847504000000004</v>
      </c>
      <c r="Y1790" s="1250"/>
      <c r="Z1790" s="1250"/>
      <c r="AA1790" s="1250"/>
      <c r="AB1790" s="1250"/>
      <c r="AC1790" s="1250"/>
      <c r="AD1790" s="1250"/>
      <c r="AE1790" s="1249">
        <v>0</v>
      </c>
      <c r="AF1790" s="1250">
        <v>26.847504000000004</v>
      </c>
      <c r="AG1790" s="111"/>
      <c r="AH1790" s="111"/>
      <c r="AI1790" s="111"/>
      <c r="AJ1790" s="111"/>
      <c r="AK1790" s="111"/>
      <c r="AL1790" s="111"/>
      <c r="AM1790" s="111">
        <v>80.542512000000016</v>
      </c>
    </row>
    <row r="1791" spans="1:39" ht="15" customHeight="1" x14ac:dyDescent="0.25">
      <c r="A1791" s="1409"/>
      <c r="B1791" s="1409"/>
      <c r="C1791" s="1409"/>
      <c r="D1791" s="1409"/>
      <c r="E1791" s="1247"/>
      <c r="F1791" s="1248" t="s">
        <v>3180</v>
      </c>
      <c r="G1791" s="111"/>
      <c r="H1791" s="1249">
        <v>1</v>
      </c>
      <c r="I1791" s="111" t="s">
        <v>1721</v>
      </c>
      <c r="J1791" s="1321" t="s">
        <v>5608</v>
      </c>
      <c r="K1791" s="162" t="s">
        <v>5610</v>
      </c>
      <c r="L1791" s="162" t="s">
        <v>5609</v>
      </c>
      <c r="M1791" s="111">
        <v>17.739647999999999</v>
      </c>
      <c r="N1791" s="111">
        <v>17.739647999999999</v>
      </c>
      <c r="O1791" s="111"/>
      <c r="P1791" s="111"/>
      <c r="Q1791" s="111"/>
      <c r="R1791" s="111"/>
      <c r="S1791" s="1249">
        <v>1</v>
      </c>
      <c r="T1791" s="1250">
        <v>5.9132159999999994</v>
      </c>
      <c r="U1791" s="1250"/>
      <c r="V1791" s="1250"/>
      <c r="W1791" s="1251">
        <v>0</v>
      </c>
      <c r="X1791" s="1250">
        <v>5.9132159999999994</v>
      </c>
      <c r="Y1791" s="1250"/>
      <c r="Z1791" s="1250"/>
      <c r="AA1791" s="1250"/>
      <c r="AB1791" s="1250"/>
      <c r="AC1791" s="1250"/>
      <c r="AD1791" s="1250"/>
      <c r="AE1791" s="1249">
        <v>0</v>
      </c>
      <c r="AF1791" s="1250">
        <v>5.9132159999999994</v>
      </c>
      <c r="AG1791" s="111"/>
      <c r="AH1791" s="111"/>
      <c r="AI1791" s="111"/>
      <c r="AJ1791" s="111"/>
      <c r="AK1791" s="111"/>
      <c r="AL1791" s="111"/>
      <c r="AM1791" s="111">
        <v>17.739647999999999</v>
      </c>
    </row>
    <row r="1792" spans="1:39" ht="15" customHeight="1" x14ac:dyDescent="0.25">
      <c r="A1792" s="1409"/>
      <c r="B1792" s="1409"/>
      <c r="C1792" s="1409"/>
      <c r="D1792" s="1409"/>
      <c r="E1792" s="1247"/>
      <c r="F1792" s="1248" t="s">
        <v>3181</v>
      </c>
      <c r="G1792" s="111"/>
      <c r="H1792" s="1249">
        <v>1</v>
      </c>
      <c r="I1792" s="111" t="s">
        <v>1721</v>
      </c>
      <c r="J1792" s="1321" t="s">
        <v>5608</v>
      </c>
      <c r="K1792" s="162" t="s">
        <v>5610</v>
      </c>
      <c r="L1792" s="162" t="s">
        <v>5609</v>
      </c>
      <c r="M1792" s="111">
        <v>174.1</v>
      </c>
      <c r="N1792" s="111">
        <v>174.1</v>
      </c>
      <c r="O1792" s="111"/>
      <c r="P1792" s="111"/>
      <c r="Q1792" s="111"/>
      <c r="R1792" s="111"/>
      <c r="S1792" s="1249">
        <v>1</v>
      </c>
      <c r="T1792" s="1250">
        <v>58.033333333333331</v>
      </c>
      <c r="U1792" s="1250"/>
      <c r="V1792" s="1250"/>
      <c r="W1792" s="1251">
        <v>0</v>
      </c>
      <c r="X1792" s="1250">
        <v>58.033333333333331</v>
      </c>
      <c r="Y1792" s="1250"/>
      <c r="Z1792" s="1250"/>
      <c r="AA1792" s="1250"/>
      <c r="AB1792" s="1250"/>
      <c r="AC1792" s="1250"/>
      <c r="AD1792" s="1250"/>
      <c r="AE1792" s="1249">
        <v>0</v>
      </c>
      <c r="AF1792" s="1250">
        <v>58.033333333333331</v>
      </c>
      <c r="AG1792" s="111"/>
      <c r="AH1792" s="111"/>
      <c r="AI1792" s="111"/>
      <c r="AJ1792" s="111"/>
      <c r="AK1792" s="111"/>
      <c r="AL1792" s="111"/>
      <c r="AM1792" s="111">
        <v>174.1</v>
      </c>
    </row>
    <row r="1793" spans="1:39" ht="15" customHeight="1" x14ac:dyDescent="0.25">
      <c r="A1793" s="1409"/>
      <c r="B1793" s="1409"/>
      <c r="C1793" s="1409"/>
      <c r="D1793" s="1409"/>
      <c r="E1793" s="1247"/>
      <c r="F1793" s="1248" t="s">
        <v>3182</v>
      </c>
      <c r="G1793" s="111"/>
      <c r="H1793" s="1249">
        <v>1</v>
      </c>
      <c r="I1793" s="111" t="s">
        <v>1721</v>
      </c>
      <c r="J1793" s="1321" t="s">
        <v>5608</v>
      </c>
      <c r="K1793" s="162" t="s">
        <v>5610</v>
      </c>
      <c r="L1793" s="162" t="s">
        <v>5609</v>
      </c>
      <c r="M1793" s="111">
        <v>170.06</v>
      </c>
      <c r="N1793" s="111">
        <v>170.06</v>
      </c>
      <c r="O1793" s="111"/>
      <c r="P1793" s="111"/>
      <c r="Q1793" s="111"/>
      <c r="R1793" s="111"/>
      <c r="S1793" s="1249">
        <v>1</v>
      </c>
      <c r="T1793" s="1250">
        <v>56.686666666666667</v>
      </c>
      <c r="U1793" s="1250"/>
      <c r="V1793" s="1250"/>
      <c r="W1793" s="1251">
        <v>0</v>
      </c>
      <c r="X1793" s="1250">
        <v>56.686666666666667</v>
      </c>
      <c r="Y1793" s="1250"/>
      <c r="Z1793" s="1250"/>
      <c r="AA1793" s="1250"/>
      <c r="AB1793" s="1250"/>
      <c r="AC1793" s="1250"/>
      <c r="AD1793" s="1250"/>
      <c r="AE1793" s="1249">
        <v>0</v>
      </c>
      <c r="AF1793" s="1250">
        <v>56.686666666666667</v>
      </c>
      <c r="AG1793" s="111"/>
      <c r="AH1793" s="111"/>
      <c r="AI1793" s="111"/>
      <c r="AJ1793" s="111"/>
      <c r="AK1793" s="111"/>
      <c r="AL1793" s="111"/>
      <c r="AM1793" s="111">
        <v>170.06</v>
      </c>
    </row>
    <row r="1794" spans="1:39" ht="15" customHeight="1" x14ac:dyDescent="0.25">
      <c r="A1794" s="1409"/>
      <c r="B1794" s="1409"/>
      <c r="C1794" s="1409"/>
      <c r="D1794" s="1409"/>
      <c r="E1794" s="1247"/>
      <c r="F1794" s="1248" t="s">
        <v>3183</v>
      </c>
      <c r="G1794" s="111"/>
      <c r="H1794" s="1249">
        <v>1</v>
      </c>
      <c r="I1794" s="111" t="s">
        <v>1721</v>
      </c>
      <c r="J1794" s="1321" t="s">
        <v>5608</v>
      </c>
      <c r="K1794" s="162" t="s">
        <v>5610</v>
      </c>
      <c r="L1794" s="162" t="s">
        <v>5609</v>
      </c>
      <c r="M1794" s="111">
        <v>74.099999999999994</v>
      </c>
      <c r="N1794" s="111">
        <v>74.099999999999994</v>
      </c>
      <c r="O1794" s="111"/>
      <c r="P1794" s="111"/>
      <c r="Q1794" s="111"/>
      <c r="R1794" s="111"/>
      <c r="S1794" s="1249">
        <v>1</v>
      </c>
      <c r="T1794" s="1250">
        <v>24.7</v>
      </c>
      <c r="U1794" s="1250"/>
      <c r="V1794" s="1250"/>
      <c r="W1794" s="1251">
        <v>0</v>
      </c>
      <c r="X1794" s="1250">
        <v>24.7</v>
      </c>
      <c r="Y1794" s="1250"/>
      <c r="Z1794" s="1250"/>
      <c r="AA1794" s="1250"/>
      <c r="AB1794" s="1250"/>
      <c r="AC1794" s="1250"/>
      <c r="AD1794" s="1250"/>
      <c r="AE1794" s="1249">
        <v>0</v>
      </c>
      <c r="AF1794" s="1250">
        <v>24.7</v>
      </c>
      <c r="AG1794" s="111"/>
      <c r="AH1794" s="111"/>
      <c r="AI1794" s="111"/>
      <c r="AJ1794" s="111"/>
      <c r="AK1794" s="111"/>
      <c r="AL1794" s="111"/>
      <c r="AM1794" s="111">
        <v>74.099999999999994</v>
      </c>
    </row>
    <row r="1795" spans="1:39" ht="15" customHeight="1" x14ac:dyDescent="0.25">
      <c r="A1795" s="1409"/>
      <c r="B1795" s="1409"/>
      <c r="C1795" s="1409"/>
      <c r="D1795" s="1409"/>
      <c r="E1795" s="1247"/>
      <c r="F1795" s="1248" t="s">
        <v>3184</v>
      </c>
      <c r="G1795" s="111"/>
      <c r="H1795" s="1249">
        <v>1</v>
      </c>
      <c r="I1795" s="111" t="s">
        <v>1721</v>
      </c>
      <c r="J1795" s="1321" t="s">
        <v>5608</v>
      </c>
      <c r="K1795" s="162" t="s">
        <v>5610</v>
      </c>
      <c r="L1795" s="162" t="s">
        <v>5609</v>
      </c>
      <c r="M1795" s="111">
        <v>74.099999999999994</v>
      </c>
      <c r="N1795" s="111">
        <v>74.099999999999994</v>
      </c>
      <c r="O1795" s="111"/>
      <c r="P1795" s="111"/>
      <c r="Q1795" s="111"/>
      <c r="R1795" s="111"/>
      <c r="S1795" s="1249">
        <v>1</v>
      </c>
      <c r="T1795" s="1250">
        <v>24.7</v>
      </c>
      <c r="U1795" s="1250"/>
      <c r="V1795" s="1250"/>
      <c r="W1795" s="1251">
        <v>0</v>
      </c>
      <c r="X1795" s="1250">
        <v>24.7</v>
      </c>
      <c r="Y1795" s="1250"/>
      <c r="Z1795" s="1250"/>
      <c r="AA1795" s="1250"/>
      <c r="AB1795" s="1250"/>
      <c r="AC1795" s="1250"/>
      <c r="AD1795" s="1250"/>
      <c r="AE1795" s="1249">
        <v>0</v>
      </c>
      <c r="AF1795" s="1250">
        <v>24.7</v>
      </c>
      <c r="AG1795" s="111"/>
      <c r="AH1795" s="111"/>
      <c r="AI1795" s="111"/>
      <c r="AJ1795" s="111"/>
      <c r="AK1795" s="111"/>
      <c r="AL1795" s="111"/>
      <c r="AM1795" s="111">
        <v>74.099999999999994</v>
      </c>
    </row>
    <row r="1796" spans="1:39" ht="15" customHeight="1" x14ac:dyDescent="0.25">
      <c r="A1796" s="1409"/>
      <c r="B1796" s="1409"/>
      <c r="C1796" s="1409"/>
      <c r="D1796" s="1409"/>
      <c r="E1796" s="1247"/>
      <c r="F1796" s="1248" t="s">
        <v>3185</v>
      </c>
      <c r="G1796" s="111"/>
      <c r="H1796" s="1249">
        <v>1</v>
      </c>
      <c r="I1796" s="111" t="s">
        <v>1721</v>
      </c>
      <c r="J1796" s="1321" t="s">
        <v>5608</v>
      </c>
      <c r="K1796" s="162" t="s">
        <v>5610</v>
      </c>
      <c r="L1796" s="162" t="s">
        <v>5609</v>
      </c>
      <c r="M1796" s="111">
        <v>74.099999999999994</v>
      </c>
      <c r="N1796" s="111">
        <v>74.099999999999994</v>
      </c>
      <c r="O1796" s="111"/>
      <c r="P1796" s="111"/>
      <c r="Q1796" s="111"/>
      <c r="R1796" s="111"/>
      <c r="S1796" s="1249">
        <v>1</v>
      </c>
      <c r="T1796" s="1250">
        <v>24.7</v>
      </c>
      <c r="U1796" s="1250"/>
      <c r="V1796" s="1250"/>
      <c r="W1796" s="1251">
        <v>0</v>
      </c>
      <c r="X1796" s="1250">
        <v>24.7</v>
      </c>
      <c r="Y1796" s="1250"/>
      <c r="Z1796" s="1250"/>
      <c r="AA1796" s="1250"/>
      <c r="AB1796" s="1250"/>
      <c r="AC1796" s="1250"/>
      <c r="AD1796" s="1250"/>
      <c r="AE1796" s="1249">
        <v>0</v>
      </c>
      <c r="AF1796" s="1250">
        <v>24.7</v>
      </c>
      <c r="AG1796" s="111"/>
      <c r="AH1796" s="111"/>
      <c r="AI1796" s="111"/>
      <c r="AJ1796" s="111"/>
      <c r="AK1796" s="111"/>
      <c r="AL1796" s="111"/>
      <c r="AM1796" s="111">
        <v>74.099999999999994</v>
      </c>
    </row>
    <row r="1797" spans="1:39" ht="15" customHeight="1" x14ac:dyDescent="0.25">
      <c r="A1797" s="1409"/>
      <c r="B1797" s="1409"/>
      <c r="C1797" s="1409"/>
      <c r="D1797" s="1409"/>
      <c r="E1797" s="1247"/>
      <c r="F1797" s="1248" t="s">
        <v>3186</v>
      </c>
      <c r="G1797" s="111"/>
      <c r="H1797" s="1249">
        <v>1</v>
      </c>
      <c r="I1797" s="111" t="s">
        <v>1721</v>
      </c>
      <c r="J1797" s="1321" t="s">
        <v>5608</v>
      </c>
      <c r="K1797" s="162" t="s">
        <v>5610</v>
      </c>
      <c r="L1797" s="162" t="s">
        <v>5609</v>
      </c>
      <c r="M1797" s="111">
        <v>74.099999999999994</v>
      </c>
      <c r="N1797" s="111">
        <v>74.099999999999994</v>
      </c>
      <c r="O1797" s="111"/>
      <c r="P1797" s="111"/>
      <c r="Q1797" s="111"/>
      <c r="R1797" s="111"/>
      <c r="S1797" s="1249">
        <v>1</v>
      </c>
      <c r="T1797" s="1250">
        <v>24.7</v>
      </c>
      <c r="U1797" s="1250"/>
      <c r="V1797" s="1250"/>
      <c r="W1797" s="1251">
        <v>0</v>
      </c>
      <c r="X1797" s="1250">
        <v>24.7</v>
      </c>
      <c r="Y1797" s="1250"/>
      <c r="Z1797" s="1250"/>
      <c r="AA1797" s="1250"/>
      <c r="AB1797" s="1250"/>
      <c r="AC1797" s="1250"/>
      <c r="AD1797" s="1250"/>
      <c r="AE1797" s="1249">
        <v>0</v>
      </c>
      <c r="AF1797" s="1250">
        <v>24.7</v>
      </c>
      <c r="AG1797" s="111"/>
      <c r="AH1797" s="111"/>
      <c r="AI1797" s="111"/>
      <c r="AJ1797" s="111"/>
      <c r="AK1797" s="111"/>
      <c r="AL1797" s="111"/>
      <c r="AM1797" s="111">
        <v>74.099999999999994</v>
      </c>
    </row>
    <row r="1798" spans="1:39" ht="15" customHeight="1" x14ac:dyDescent="0.25">
      <c r="A1798" s="1409"/>
      <c r="B1798" s="1409"/>
      <c r="C1798" s="1409"/>
      <c r="D1798" s="1409"/>
      <c r="E1798" s="1247"/>
      <c r="F1798" s="1248" t="s">
        <v>3187</v>
      </c>
      <c r="G1798" s="111"/>
      <c r="H1798" s="1249">
        <v>1</v>
      </c>
      <c r="I1798" s="111" t="s">
        <v>1721</v>
      </c>
      <c r="J1798" s="1321" t="s">
        <v>5608</v>
      </c>
      <c r="K1798" s="162" t="s">
        <v>5610</v>
      </c>
      <c r="L1798" s="162" t="s">
        <v>5609</v>
      </c>
      <c r="M1798" s="111">
        <v>74.099999999999994</v>
      </c>
      <c r="N1798" s="111">
        <v>74.099999999999994</v>
      </c>
      <c r="O1798" s="111"/>
      <c r="P1798" s="111"/>
      <c r="Q1798" s="111"/>
      <c r="R1798" s="111"/>
      <c r="S1798" s="1249">
        <v>1</v>
      </c>
      <c r="T1798" s="1250">
        <v>24.7</v>
      </c>
      <c r="U1798" s="1250"/>
      <c r="V1798" s="1250"/>
      <c r="W1798" s="1251">
        <v>0</v>
      </c>
      <c r="X1798" s="1250">
        <v>24.7</v>
      </c>
      <c r="Y1798" s="1250"/>
      <c r="Z1798" s="1250"/>
      <c r="AA1798" s="1250"/>
      <c r="AB1798" s="1250"/>
      <c r="AC1798" s="1250"/>
      <c r="AD1798" s="1250"/>
      <c r="AE1798" s="1249">
        <v>0</v>
      </c>
      <c r="AF1798" s="1250">
        <v>24.7</v>
      </c>
      <c r="AG1798" s="111"/>
      <c r="AH1798" s="111"/>
      <c r="AI1798" s="111"/>
      <c r="AJ1798" s="111"/>
      <c r="AK1798" s="111"/>
      <c r="AL1798" s="111"/>
      <c r="AM1798" s="111">
        <v>74.099999999999994</v>
      </c>
    </row>
    <row r="1799" spans="1:39" ht="15" customHeight="1" x14ac:dyDescent="0.25">
      <c r="A1799" s="1409"/>
      <c r="B1799" s="1409"/>
      <c r="C1799" s="1409"/>
      <c r="D1799" s="1409"/>
      <c r="E1799" s="1247"/>
      <c r="F1799" s="1248" t="s">
        <v>3188</v>
      </c>
      <c r="G1799" s="111"/>
      <c r="H1799" s="1249">
        <v>1</v>
      </c>
      <c r="I1799" s="111" t="s">
        <v>1721</v>
      </c>
      <c r="J1799" s="1321" t="s">
        <v>5608</v>
      </c>
      <c r="K1799" s="162" t="s">
        <v>5610</v>
      </c>
      <c r="L1799" s="162" t="s">
        <v>5609</v>
      </c>
      <c r="M1799" s="111">
        <v>74.099999999999994</v>
      </c>
      <c r="N1799" s="111">
        <v>74.099999999999994</v>
      </c>
      <c r="O1799" s="111"/>
      <c r="P1799" s="111"/>
      <c r="Q1799" s="111"/>
      <c r="R1799" s="111"/>
      <c r="S1799" s="1249">
        <v>1</v>
      </c>
      <c r="T1799" s="1250">
        <v>24.7</v>
      </c>
      <c r="U1799" s="1250"/>
      <c r="V1799" s="1250"/>
      <c r="W1799" s="1251">
        <v>0</v>
      </c>
      <c r="X1799" s="1250">
        <v>24.7</v>
      </c>
      <c r="Y1799" s="1250"/>
      <c r="Z1799" s="1250"/>
      <c r="AA1799" s="1250"/>
      <c r="AB1799" s="1250"/>
      <c r="AC1799" s="1250"/>
      <c r="AD1799" s="1250"/>
      <c r="AE1799" s="1249">
        <v>0</v>
      </c>
      <c r="AF1799" s="1250">
        <v>24.7</v>
      </c>
      <c r="AG1799" s="111"/>
      <c r="AH1799" s="111"/>
      <c r="AI1799" s="111"/>
      <c r="AJ1799" s="111"/>
      <c r="AK1799" s="111"/>
      <c r="AL1799" s="111"/>
      <c r="AM1799" s="111">
        <v>74.099999999999994</v>
      </c>
    </row>
    <row r="1800" spans="1:39" ht="15" customHeight="1" x14ac:dyDescent="0.25">
      <c r="A1800" s="1409"/>
      <c r="B1800" s="1409"/>
      <c r="C1800" s="1409"/>
      <c r="D1800" s="1409"/>
      <c r="E1800" s="1247"/>
      <c r="F1800" s="1248" t="s">
        <v>3189</v>
      </c>
      <c r="G1800" s="111"/>
      <c r="H1800" s="1249">
        <v>1</v>
      </c>
      <c r="I1800" s="111" t="s">
        <v>1721</v>
      </c>
      <c r="J1800" s="1321" t="s">
        <v>5608</v>
      </c>
      <c r="K1800" s="162" t="s">
        <v>5610</v>
      </c>
      <c r="L1800" s="162" t="s">
        <v>5609</v>
      </c>
      <c r="M1800" s="111">
        <v>74.099999999999994</v>
      </c>
      <c r="N1800" s="111">
        <v>74.099999999999994</v>
      </c>
      <c r="O1800" s="111"/>
      <c r="P1800" s="111"/>
      <c r="Q1800" s="111"/>
      <c r="R1800" s="111"/>
      <c r="S1800" s="1249">
        <v>1</v>
      </c>
      <c r="T1800" s="1250">
        <v>24.7</v>
      </c>
      <c r="U1800" s="1250"/>
      <c r="V1800" s="1250"/>
      <c r="W1800" s="1251">
        <v>0</v>
      </c>
      <c r="X1800" s="1250">
        <v>24.7</v>
      </c>
      <c r="Y1800" s="1250"/>
      <c r="Z1800" s="1250"/>
      <c r="AA1800" s="1250"/>
      <c r="AB1800" s="1250"/>
      <c r="AC1800" s="1250"/>
      <c r="AD1800" s="1250"/>
      <c r="AE1800" s="1249">
        <v>0</v>
      </c>
      <c r="AF1800" s="1250">
        <v>24.7</v>
      </c>
      <c r="AG1800" s="111"/>
      <c r="AH1800" s="111"/>
      <c r="AI1800" s="111"/>
      <c r="AJ1800" s="111"/>
      <c r="AK1800" s="111"/>
      <c r="AL1800" s="111"/>
      <c r="AM1800" s="111">
        <v>74.099999999999994</v>
      </c>
    </row>
    <row r="1801" spans="1:39" ht="15" customHeight="1" x14ac:dyDescent="0.25">
      <c r="A1801" s="1409"/>
      <c r="B1801" s="1409"/>
      <c r="C1801" s="1409"/>
      <c r="D1801" s="1409"/>
      <c r="E1801" s="1247"/>
      <c r="F1801" s="1248" t="s">
        <v>3190</v>
      </c>
      <c r="G1801" s="111"/>
      <c r="H1801" s="1249">
        <v>1</v>
      </c>
      <c r="I1801" s="111" t="s">
        <v>1721</v>
      </c>
      <c r="J1801" s="1321" t="s">
        <v>5608</v>
      </c>
      <c r="K1801" s="162" t="s">
        <v>5610</v>
      </c>
      <c r="L1801" s="162" t="s">
        <v>5609</v>
      </c>
      <c r="M1801" s="111">
        <v>74.099999999999994</v>
      </c>
      <c r="N1801" s="111">
        <v>74.099999999999994</v>
      </c>
      <c r="O1801" s="111"/>
      <c r="P1801" s="111"/>
      <c r="Q1801" s="111"/>
      <c r="R1801" s="111"/>
      <c r="S1801" s="1249">
        <v>1</v>
      </c>
      <c r="T1801" s="1250">
        <v>24.7</v>
      </c>
      <c r="U1801" s="1250"/>
      <c r="V1801" s="1250"/>
      <c r="W1801" s="1251">
        <v>0</v>
      </c>
      <c r="X1801" s="1250">
        <v>24.7</v>
      </c>
      <c r="Y1801" s="1250"/>
      <c r="Z1801" s="1250"/>
      <c r="AA1801" s="1250"/>
      <c r="AB1801" s="1250"/>
      <c r="AC1801" s="1250"/>
      <c r="AD1801" s="1250"/>
      <c r="AE1801" s="1249">
        <v>0</v>
      </c>
      <c r="AF1801" s="1250">
        <v>24.7</v>
      </c>
      <c r="AG1801" s="111"/>
      <c r="AH1801" s="111"/>
      <c r="AI1801" s="111"/>
      <c r="AJ1801" s="111"/>
      <c r="AK1801" s="111"/>
      <c r="AL1801" s="111"/>
      <c r="AM1801" s="111">
        <v>74.099999999999994</v>
      </c>
    </row>
    <row r="1802" spans="1:39" ht="15" customHeight="1" x14ac:dyDescent="0.25">
      <c r="A1802" s="1409"/>
      <c r="B1802" s="1409"/>
      <c r="C1802" s="1409"/>
      <c r="D1802" s="1409"/>
      <c r="E1802" s="1247"/>
      <c r="F1802" s="1248" t="s">
        <v>3191</v>
      </c>
      <c r="G1802" s="111"/>
      <c r="H1802" s="1249">
        <v>1</v>
      </c>
      <c r="I1802" s="111" t="s">
        <v>1721</v>
      </c>
      <c r="J1802" s="1321" t="s">
        <v>5608</v>
      </c>
      <c r="K1802" s="162" t="s">
        <v>5610</v>
      </c>
      <c r="L1802" s="162" t="s">
        <v>5609</v>
      </c>
      <c r="M1802" s="111">
        <v>74.099999999999994</v>
      </c>
      <c r="N1802" s="111">
        <v>74.099999999999994</v>
      </c>
      <c r="O1802" s="111"/>
      <c r="P1802" s="111"/>
      <c r="Q1802" s="111"/>
      <c r="R1802" s="111"/>
      <c r="S1802" s="1249">
        <v>1</v>
      </c>
      <c r="T1802" s="1250">
        <v>24.7</v>
      </c>
      <c r="U1802" s="1250"/>
      <c r="V1802" s="1250"/>
      <c r="W1802" s="1251">
        <v>0</v>
      </c>
      <c r="X1802" s="1250">
        <v>24.7</v>
      </c>
      <c r="Y1802" s="1250"/>
      <c r="Z1802" s="1250"/>
      <c r="AA1802" s="1250"/>
      <c r="AB1802" s="1250"/>
      <c r="AC1802" s="1250"/>
      <c r="AD1802" s="1250"/>
      <c r="AE1802" s="1249">
        <v>0</v>
      </c>
      <c r="AF1802" s="1250">
        <v>24.7</v>
      </c>
      <c r="AG1802" s="111"/>
      <c r="AH1802" s="111"/>
      <c r="AI1802" s="111"/>
      <c r="AJ1802" s="111"/>
      <c r="AK1802" s="111"/>
      <c r="AL1802" s="111"/>
      <c r="AM1802" s="111">
        <v>74.099999999999994</v>
      </c>
    </row>
    <row r="1803" spans="1:39" ht="15" customHeight="1" x14ac:dyDescent="0.25">
      <c r="A1803" s="1409"/>
      <c r="B1803" s="1409"/>
      <c r="C1803" s="1409"/>
      <c r="D1803" s="1409"/>
      <c r="E1803" s="1247"/>
      <c r="F1803" s="1248" t="s">
        <v>3192</v>
      </c>
      <c r="G1803" s="111"/>
      <c r="H1803" s="1249">
        <v>1</v>
      </c>
      <c r="I1803" s="111" t="s">
        <v>1721</v>
      </c>
      <c r="J1803" s="1321" t="s">
        <v>5608</v>
      </c>
      <c r="K1803" s="162" t="s">
        <v>5610</v>
      </c>
      <c r="L1803" s="162" t="s">
        <v>5609</v>
      </c>
      <c r="M1803" s="111">
        <v>74.099999999999994</v>
      </c>
      <c r="N1803" s="111">
        <v>74.099999999999994</v>
      </c>
      <c r="O1803" s="111"/>
      <c r="P1803" s="111"/>
      <c r="Q1803" s="111"/>
      <c r="R1803" s="111"/>
      <c r="S1803" s="1249">
        <v>1</v>
      </c>
      <c r="T1803" s="1250">
        <v>24.7</v>
      </c>
      <c r="U1803" s="1250"/>
      <c r="V1803" s="1250"/>
      <c r="W1803" s="1251">
        <v>0</v>
      </c>
      <c r="X1803" s="1250">
        <v>24.7</v>
      </c>
      <c r="Y1803" s="1250"/>
      <c r="Z1803" s="1250"/>
      <c r="AA1803" s="1250"/>
      <c r="AB1803" s="1250"/>
      <c r="AC1803" s="1250"/>
      <c r="AD1803" s="1250"/>
      <c r="AE1803" s="1249">
        <v>0</v>
      </c>
      <c r="AF1803" s="1250">
        <v>24.7</v>
      </c>
      <c r="AG1803" s="111"/>
      <c r="AH1803" s="111"/>
      <c r="AI1803" s="111"/>
      <c r="AJ1803" s="111"/>
      <c r="AK1803" s="111"/>
      <c r="AL1803" s="111"/>
      <c r="AM1803" s="111">
        <v>74.099999999999994</v>
      </c>
    </row>
    <row r="1804" spans="1:39" ht="15" customHeight="1" x14ac:dyDescent="0.25">
      <c r="A1804" s="1409"/>
      <c r="B1804" s="1409"/>
      <c r="C1804" s="1409"/>
      <c r="D1804" s="1409"/>
      <c r="E1804" s="1247"/>
      <c r="F1804" s="1248" t="s">
        <v>3193</v>
      </c>
      <c r="G1804" s="111"/>
      <c r="H1804" s="1249">
        <v>1</v>
      </c>
      <c r="I1804" s="111" t="s">
        <v>1721</v>
      </c>
      <c r="J1804" s="1321" t="s">
        <v>5608</v>
      </c>
      <c r="K1804" s="162" t="s">
        <v>5610</v>
      </c>
      <c r="L1804" s="162" t="s">
        <v>5609</v>
      </c>
      <c r="M1804" s="111">
        <v>74.099999999999994</v>
      </c>
      <c r="N1804" s="111">
        <v>74.099999999999994</v>
      </c>
      <c r="O1804" s="111"/>
      <c r="P1804" s="111"/>
      <c r="Q1804" s="111"/>
      <c r="R1804" s="111"/>
      <c r="S1804" s="1249">
        <v>1</v>
      </c>
      <c r="T1804" s="1250">
        <v>24.7</v>
      </c>
      <c r="U1804" s="1250"/>
      <c r="V1804" s="1250"/>
      <c r="W1804" s="1251">
        <v>0</v>
      </c>
      <c r="X1804" s="1250">
        <v>24.7</v>
      </c>
      <c r="Y1804" s="1250"/>
      <c r="Z1804" s="1250"/>
      <c r="AA1804" s="1250"/>
      <c r="AB1804" s="1250"/>
      <c r="AC1804" s="1250"/>
      <c r="AD1804" s="1250"/>
      <c r="AE1804" s="1249">
        <v>0</v>
      </c>
      <c r="AF1804" s="1250">
        <v>24.7</v>
      </c>
      <c r="AG1804" s="111"/>
      <c r="AH1804" s="111"/>
      <c r="AI1804" s="111"/>
      <c r="AJ1804" s="111"/>
      <c r="AK1804" s="111"/>
      <c r="AL1804" s="111"/>
      <c r="AM1804" s="111">
        <v>74.099999999999994</v>
      </c>
    </row>
    <row r="1805" spans="1:39" ht="15" customHeight="1" x14ac:dyDescent="0.25">
      <c r="A1805" s="1409"/>
      <c r="B1805" s="1409"/>
      <c r="C1805" s="1409"/>
      <c r="D1805" s="1409"/>
      <c r="E1805" s="1247"/>
      <c r="F1805" s="1248" t="s">
        <v>3194</v>
      </c>
      <c r="G1805" s="111"/>
      <c r="H1805" s="1249">
        <v>1</v>
      </c>
      <c r="I1805" s="111" t="s">
        <v>1721</v>
      </c>
      <c r="J1805" s="1321" t="s">
        <v>5608</v>
      </c>
      <c r="K1805" s="162" t="s">
        <v>5610</v>
      </c>
      <c r="L1805" s="162" t="s">
        <v>5609</v>
      </c>
      <c r="M1805" s="111">
        <v>74.099999999999994</v>
      </c>
      <c r="N1805" s="111">
        <v>74.099999999999994</v>
      </c>
      <c r="O1805" s="111"/>
      <c r="P1805" s="111"/>
      <c r="Q1805" s="111"/>
      <c r="R1805" s="111"/>
      <c r="S1805" s="1249">
        <v>1</v>
      </c>
      <c r="T1805" s="1250">
        <v>24.7</v>
      </c>
      <c r="U1805" s="1250"/>
      <c r="V1805" s="1250"/>
      <c r="W1805" s="1251">
        <v>0</v>
      </c>
      <c r="X1805" s="1250">
        <v>24.7</v>
      </c>
      <c r="Y1805" s="1250"/>
      <c r="Z1805" s="1250"/>
      <c r="AA1805" s="1250"/>
      <c r="AB1805" s="1250"/>
      <c r="AC1805" s="1250"/>
      <c r="AD1805" s="1250"/>
      <c r="AE1805" s="1249">
        <v>0</v>
      </c>
      <c r="AF1805" s="1250">
        <v>24.7</v>
      </c>
      <c r="AG1805" s="111"/>
      <c r="AH1805" s="111"/>
      <c r="AI1805" s="111"/>
      <c r="AJ1805" s="111"/>
      <c r="AK1805" s="111"/>
      <c r="AL1805" s="111"/>
      <c r="AM1805" s="111">
        <v>74.099999999999994</v>
      </c>
    </row>
    <row r="1806" spans="1:39" ht="15" customHeight="1" x14ac:dyDescent="0.25">
      <c r="A1806" s="1409"/>
      <c r="B1806" s="1409"/>
      <c r="C1806" s="1409"/>
      <c r="D1806" s="1409"/>
      <c r="E1806" s="1247"/>
      <c r="F1806" s="1248" t="s">
        <v>3195</v>
      </c>
      <c r="G1806" s="111"/>
      <c r="H1806" s="1249">
        <v>1</v>
      </c>
      <c r="I1806" s="111" t="s">
        <v>1721</v>
      </c>
      <c r="J1806" s="1321" t="s">
        <v>5608</v>
      </c>
      <c r="K1806" s="162" t="s">
        <v>5610</v>
      </c>
      <c r="L1806" s="162" t="s">
        <v>5609</v>
      </c>
      <c r="M1806" s="111">
        <v>74.099999999999994</v>
      </c>
      <c r="N1806" s="111">
        <v>74.099999999999994</v>
      </c>
      <c r="O1806" s="111"/>
      <c r="P1806" s="111"/>
      <c r="Q1806" s="111"/>
      <c r="R1806" s="111"/>
      <c r="S1806" s="1249">
        <v>1</v>
      </c>
      <c r="T1806" s="1250">
        <v>24.7</v>
      </c>
      <c r="U1806" s="1250"/>
      <c r="V1806" s="1250"/>
      <c r="W1806" s="1251">
        <v>0</v>
      </c>
      <c r="X1806" s="1250">
        <v>24.7</v>
      </c>
      <c r="Y1806" s="1250"/>
      <c r="Z1806" s="1250"/>
      <c r="AA1806" s="1250"/>
      <c r="AB1806" s="1250"/>
      <c r="AC1806" s="1250"/>
      <c r="AD1806" s="1250"/>
      <c r="AE1806" s="1249">
        <v>0</v>
      </c>
      <c r="AF1806" s="1250">
        <v>24.7</v>
      </c>
      <c r="AG1806" s="111"/>
      <c r="AH1806" s="111"/>
      <c r="AI1806" s="111"/>
      <c r="AJ1806" s="111"/>
      <c r="AK1806" s="111"/>
      <c r="AL1806" s="111"/>
      <c r="AM1806" s="111">
        <v>74.099999999999994</v>
      </c>
    </row>
    <row r="1807" spans="1:39" ht="15" customHeight="1" x14ac:dyDescent="0.25">
      <c r="A1807" s="1409"/>
      <c r="B1807" s="1409"/>
      <c r="C1807" s="1409"/>
      <c r="D1807" s="1409"/>
      <c r="E1807" s="1247"/>
      <c r="F1807" s="1248" t="s">
        <v>3196</v>
      </c>
      <c r="G1807" s="111"/>
      <c r="H1807" s="1249">
        <v>1</v>
      </c>
      <c r="I1807" s="111" t="s">
        <v>1721</v>
      </c>
      <c r="J1807" s="1321" t="s">
        <v>5608</v>
      </c>
      <c r="K1807" s="162" t="s">
        <v>5610</v>
      </c>
      <c r="L1807" s="162" t="s">
        <v>5609</v>
      </c>
      <c r="M1807" s="111">
        <v>74.099999999999994</v>
      </c>
      <c r="N1807" s="111">
        <v>74.099999999999994</v>
      </c>
      <c r="O1807" s="111"/>
      <c r="P1807" s="111"/>
      <c r="Q1807" s="111"/>
      <c r="R1807" s="111"/>
      <c r="S1807" s="1249">
        <v>1</v>
      </c>
      <c r="T1807" s="1250">
        <v>24.7</v>
      </c>
      <c r="U1807" s="1250"/>
      <c r="V1807" s="1250"/>
      <c r="W1807" s="1251">
        <v>0</v>
      </c>
      <c r="X1807" s="1250">
        <v>24.7</v>
      </c>
      <c r="Y1807" s="1250"/>
      <c r="Z1807" s="1250"/>
      <c r="AA1807" s="1250"/>
      <c r="AB1807" s="1250"/>
      <c r="AC1807" s="1250"/>
      <c r="AD1807" s="1250"/>
      <c r="AE1807" s="1249">
        <v>0</v>
      </c>
      <c r="AF1807" s="1250">
        <v>24.7</v>
      </c>
      <c r="AG1807" s="111"/>
      <c r="AH1807" s="111"/>
      <c r="AI1807" s="111"/>
      <c r="AJ1807" s="111"/>
      <c r="AK1807" s="111"/>
      <c r="AL1807" s="111"/>
      <c r="AM1807" s="111">
        <v>74.099999999999994</v>
      </c>
    </row>
    <row r="1808" spans="1:39" ht="15" customHeight="1" x14ac:dyDescent="0.25">
      <c r="A1808" s="1409"/>
      <c r="B1808" s="1409"/>
      <c r="C1808" s="1409"/>
      <c r="D1808" s="1409"/>
      <c r="E1808" s="1247"/>
      <c r="F1808" s="1248" t="s">
        <v>5268</v>
      </c>
      <c r="G1808" s="111"/>
      <c r="H1808" s="1249">
        <v>5</v>
      </c>
      <c r="I1808" s="111" t="s">
        <v>1721</v>
      </c>
      <c r="J1808" s="1321" t="s">
        <v>5608</v>
      </c>
      <c r="K1808" s="162" t="s">
        <v>5610</v>
      </c>
      <c r="L1808" s="162" t="s">
        <v>5609</v>
      </c>
      <c r="M1808" s="111">
        <v>25.98</v>
      </c>
      <c r="N1808" s="111">
        <v>129.9</v>
      </c>
      <c r="O1808" s="111"/>
      <c r="P1808" s="111"/>
      <c r="Q1808" s="111"/>
      <c r="R1808" s="111"/>
      <c r="S1808" s="1249">
        <v>2</v>
      </c>
      <c r="T1808" s="1250">
        <v>43.300000000000004</v>
      </c>
      <c r="U1808" s="1250"/>
      <c r="V1808" s="1250"/>
      <c r="W1808" s="1251">
        <v>2</v>
      </c>
      <c r="X1808" s="1250">
        <v>43.300000000000004</v>
      </c>
      <c r="Y1808" s="1250"/>
      <c r="Z1808" s="1250"/>
      <c r="AA1808" s="1250"/>
      <c r="AB1808" s="1250"/>
      <c r="AC1808" s="1250"/>
      <c r="AD1808" s="1250"/>
      <c r="AE1808" s="1249">
        <v>1</v>
      </c>
      <c r="AF1808" s="1250">
        <v>43.300000000000004</v>
      </c>
      <c r="AG1808" s="111"/>
      <c r="AH1808" s="111"/>
      <c r="AI1808" s="111"/>
      <c r="AJ1808" s="111"/>
      <c r="AK1808" s="111"/>
      <c r="AL1808" s="111"/>
      <c r="AM1808" s="111">
        <v>129.9</v>
      </c>
    </row>
    <row r="1809" spans="1:39" ht="15" customHeight="1" x14ac:dyDescent="0.25">
      <c r="A1809" s="1409"/>
      <c r="B1809" s="1409"/>
      <c r="C1809" s="1409"/>
      <c r="D1809" s="1409"/>
      <c r="E1809" s="1247"/>
      <c r="F1809" s="1248" t="s">
        <v>5269</v>
      </c>
      <c r="G1809" s="111"/>
      <c r="H1809" s="1249">
        <v>5</v>
      </c>
      <c r="I1809" s="111" t="s">
        <v>1721</v>
      </c>
      <c r="J1809" s="1321" t="s">
        <v>5608</v>
      </c>
      <c r="K1809" s="162" t="s">
        <v>5610</v>
      </c>
      <c r="L1809" s="162" t="s">
        <v>5609</v>
      </c>
      <c r="M1809" s="111">
        <v>25.98</v>
      </c>
      <c r="N1809" s="111">
        <v>129.9</v>
      </c>
      <c r="O1809" s="111"/>
      <c r="P1809" s="111"/>
      <c r="Q1809" s="111"/>
      <c r="R1809" s="111"/>
      <c r="S1809" s="1249">
        <v>2</v>
      </c>
      <c r="T1809" s="1250">
        <v>43.300000000000004</v>
      </c>
      <c r="U1809" s="1250"/>
      <c r="V1809" s="1250"/>
      <c r="W1809" s="1251">
        <v>2</v>
      </c>
      <c r="X1809" s="1250">
        <v>43.300000000000004</v>
      </c>
      <c r="Y1809" s="1250"/>
      <c r="Z1809" s="1250"/>
      <c r="AA1809" s="1250"/>
      <c r="AB1809" s="1250"/>
      <c r="AC1809" s="1250"/>
      <c r="AD1809" s="1250"/>
      <c r="AE1809" s="1249">
        <v>1</v>
      </c>
      <c r="AF1809" s="1250">
        <v>43.300000000000004</v>
      </c>
      <c r="AG1809" s="111"/>
      <c r="AH1809" s="111"/>
      <c r="AI1809" s="111"/>
      <c r="AJ1809" s="111"/>
      <c r="AK1809" s="111"/>
      <c r="AL1809" s="111"/>
      <c r="AM1809" s="111">
        <v>129.9</v>
      </c>
    </row>
    <row r="1810" spans="1:39" ht="15" customHeight="1" x14ac:dyDescent="0.25">
      <c r="A1810" s="1409"/>
      <c r="B1810" s="1409"/>
      <c r="C1810" s="1409"/>
      <c r="D1810" s="1409"/>
      <c r="E1810" s="1247"/>
      <c r="F1810" s="1248" t="s">
        <v>5270</v>
      </c>
      <c r="G1810" s="111"/>
      <c r="H1810" s="1249">
        <v>5</v>
      </c>
      <c r="I1810" s="111" t="s">
        <v>1721</v>
      </c>
      <c r="J1810" s="1321" t="s">
        <v>5608</v>
      </c>
      <c r="K1810" s="162" t="s">
        <v>5610</v>
      </c>
      <c r="L1810" s="162" t="s">
        <v>5609</v>
      </c>
      <c r="M1810" s="111">
        <v>48</v>
      </c>
      <c r="N1810" s="111">
        <v>240</v>
      </c>
      <c r="O1810" s="111"/>
      <c r="P1810" s="111"/>
      <c r="Q1810" s="111"/>
      <c r="R1810" s="111"/>
      <c r="S1810" s="1249">
        <v>2</v>
      </c>
      <c r="T1810" s="1250">
        <v>80</v>
      </c>
      <c r="U1810" s="1250"/>
      <c r="V1810" s="1250"/>
      <c r="W1810" s="1251">
        <v>2</v>
      </c>
      <c r="X1810" s="1250">
        <v>80</v>
      </c>
      <c r="Y1810" s="1250"/>
      <c r="Z1810" s="1250"/>
      <c r="AA1810" s="1250"/>
      <c r="AB1810" s="1250"/>
      <c r="AC1810" s="1250"/>
      <c r="AD1810" s="1250"/>
      <c r="AE1810" s="1249">
        <v>1</v>
      </c>
      <c r="AF1810" s="1250">
        <v>80</v>
      </c>
      <c r="AG1810" s="111"/>
      <c r="AH1810" s="111"/>
      <c r="AI1810" s="111"/>
      <c r="AJ1810" s="111"/>
      <c r="AK1810" s="111"/>
      <c r="AL1810" s="111"/>
      <c r="AM1810" s="111">
        <v>240</v>
      </c>
    </row>
    <row r="1811" spans="1:39" ht="15" customHeight="1" x14ac:dyDescent="0.25">
      <c r="A1811" s="1409"/>
      <c r="B1811" s="1409"/>
      <c r="C1811" s="1409"/>
      <c r="D1811" s="1409"/>
      <c r="E1811" s="1247"/>
      <c r="F1811" s="1248" t="s">
        <v>3197</v>
      </c>
      <c r="G1811" s="111"/>
      <c r="H1811" s="1249">
        <v>1</v>
      </c>
      <c r="I1811" s="111" t="s">
        <v>1722</v>
      </c>
      <c r="J1811" s="1321" t="s">
        <v>5608</v>
      </c>
      <c r="K1811" s="162" t="s">
        <v>5610</v>
      </c>
      <c r="L1811" s="162" t="s">
        <v>5609</v>
      </c>
      <c r="M1811" s="111">
        <v>87.06</v>
      </c>
      <c r="N1811" s="111">
        <v>87.06</v>
      </c>
      <c r="O1811" s="111"/>
      <c r="P1811" s="111"/>
      <c r="Q1811" s="111"/>
      <c r="R1811" s="111"/>
      <c r="S1811" s="1249">
        <v>1</v>
      </c>
      <c r="T1811" s="1250">
        <v>29.02</v>
      </c>
      <c r="U1811" s="1250"/>
      <c r="V1811" s="1250"/>
      <c r="W1811" s="1251">
        <v>0</v>
      </c>
      <c r="X1811" s="1250">
        <v>29.02</v>
      </c>
      <c r="Y1811" s="1250"/>
      <c r="Z1811" s="1250"/>
      <c r="AA1811" s="1250"/>
      <c r="AB1811" s="1250"/>
      <c r="AC1811" s="1250"/>
      <c r="AD1811" s="1250"/>
      <c r="AE1811" s="1249">
        <v>0</v>
      </c>
      <c r="AF1811" s="1250">
        <v>29.02</v>
      </c>
      <c r="AG1811" s="111"/>
      <c r="AH1811" s="111"/>
      <c r="AI1811" s="111"/>
      <c r="AJ1811" s="111"/>
      <c r="AK1811" s="111"/>
      <c r="AL1811" s="111"/>
      <c r="AM1811" s="111">
        <v>87.06</v>
      </c>
    </row>
    <row r="1812" spans="1:39" ht="15" customHeight="1" x14ac:dyDescent="0.25">
      <c r="A1812" s="1409"/>
      <c r="B1812" s="1409"/>
      <c r="C1812" s="1409"/>
      <c r="D1812" s="1409"/>
      <c r="E1812" s="1247"/>
      <c r="F1812" s="1248" t="s">
        <v>5271</v>
      </c>
      <c r="G1812" s="111"/>
      <c r="H1812" s="1249">
        <v>1</v>
      </c>
      <c r="I1812" s="111" t="s">
        <v>1722</v>
      </c>
      <c r="J1812" s="1321" t="s">
        <v>5608</v>
      </c>
      <c r="K1812" s="162" t="s">
        <v>5610</v>
      </c>
      <c r="L1812" s="162" t="s">
        <v>5609</v>
      </c>
      <c r="M1812" s="111">
        <v>205.49</v>
      </c>
      <c r="N1812" s="111">
        <v>205.49</v>
      </c>
      <c r="O1812" s="111"/>
      <c r="P1812" s="111"/>
      <c r="Q1812" s="111"/>
      <c r="R1812" s="111"/>
      <c r="S1812" s="1249">
        <v>1</v>
      </c>
      <c r="T1812" s="1250">
        <v>68.49666666666667</v>
      </c>
      <c r="U1812" s="1250"/>
      <c r="V1812" s="1250"/>
      <c r="W1812" s="1251">
        <v>0</v>
      </c>
      <c r="X1812" s="1250">
        <v>68.49666666666667</v>
      </c>
      <c r="Y1812" s="1250"/>
      <c r="Z1812" s="1250"/>
      <c r="AA1812" s="1250"/>
      <c r="AB1812" s="1250"/>
      <c r="AC1812" s="1250"/>
      <c r="AD1812" s="1250"/>
      <c r="AE1812" s="1249">
        <v>0</v>
      </c>
      <c r="AF1812" s="1250">
        <v>68.49666666666667</v>
      </c>
      <c r="AG1812" s="111"/>
      <c r="AH1812" s="111"/>
      <c r="AI1812" s="111"/>
      <c r="AJ1812" s="111"/>
      <c r="AK1812" s="111"/>
      <c r="AL1812" s="111"/>
      <c r="AM1812" s="111">
        <v>205.49</v>
      </c>
    </row>
    <row r="1813" spans="1:39" ht="15" customHeight="1" x14ac:dyDescent="0.25">
      <c r="A1813" s="1409"/>
      <c r="B1813" s="1409"/>
      <c r="C1813" s="1409"/>
      <c r="D1813" s="1409"/>
      <c r="E1813" s="1247"/>
      <c r="F1813" s="1248" t="s">
        <v>5272</v>
      </c>
      <c r="G1813" s="111"/>
      <c r="H1813" s="1249">
        <v>3</v>
      </c>
      <c r="I1813" s="111" t="s">
        <v>1721</v>
      </c>
      <c r="J1813" s="1321" t="s">
        <v>5608</v>
      </c>
      <c r="K1813" s="162" t="s">
        <v>5610</v>
      </c>
      <c r="L1813" s="162" t="s">
        <v>5609</v>
      </c>
      <c r="M1813" s="111">
        <v>151.59</v>
      </c>
      <c r="N1813" s="111">
        <v>454.77</v>
      </c>
      <c r="O1813" s="111"/>
      <c r="P1813" s="111"/>
      <c r="Q1813" s="111"/>
      <c r="R1813" s="111"/>
      <c r="S1813" s="1249">
        <v>1</v>
      </c>
      <c r="T1813" s="1250">
        <v>151.59</v>
      </c>
      <c r="U1813" s="1250"/>
      <c r="V1813" s="1250"/>
      <c r="W1813" s="1251">
        <v>1</v>
      </c>
      <c r="X1813" s="1250">
        <v>151.59</v>
      </c>
      <c r="Y1813" s="1250"/>
      <c r="Z1813" s="1250"/>
      <c r="AA1813" s="1250"/>
      <c r="AB1813" s="1250"/>
      <c r="AC1813" s="1250"/>
      <c r="AD1813" s="1250"/>
      <c r="AE1813" s="1249">
        <v>1</v>
      </c>
      <c r="AF1813" s="1250">
        <v>151.59</v>
      </c>
      <c r="AG1813" s="111"/>
      <c r="AH1813" s="111"/>
      <c r="AI1813" s="111"/>
      <c r="AJ1813" s="111"/>
      <c r="AK1813" s="111"/>
      <c r="AL1813" s="111"/>
      <c r="AM1813" s="111">
        <v>454.77</v>
      </c>
    </row>
    <row r="1814" spans="1:39" ht="15" customHeight="1" x14ac:dyDescent="0.25">
      <c r="A1814" s="1409"/>
      <c r="B1814" s="1409"/>
      <c r="C1814" s="1409"/>
      <c r="D1814" s="1409"/>
      <c r="E1814" s="1247"/>
      <c r="F1814" s="1248" t="s">
        <v>3075</v>
      </c>
      <c r="G1814" s="111"/>
      <c r="H1814" s="1249">
        <v>1</v>
      </c>
      <c r="I1814" s="111" t="s">
        <v>1721</v>
      </c>
      <c r="J1814" s="1321" t="s">
        <v>5608</v>
      </c>
      <c r="K1814" s="162" t="s">
        <v>5610</v>
      </c>
      <c r="L1814" s="162" t="s">
        <v>5609</v>
      </c>
      <c r="M1814" s="111">
        <v>302.40086400000001</v>
      </c>
      <c r="N1814" s="111">
        <v>302.40086400000001</v>
      </c>
      <c r="O1814" s="111"/>
      <c r="P1814" s="111"/>
      <c r="Q1814" s="111"/>
      <c r="R1814" s="111"/>
      <c r="S1814" s="1249">
        <v>1</v>
      </c>
      <c r="T1814" s="1250">
        <v>100.80028800000001</v>
      </c>
      <c r="U1814" s="1250"/>
      <c r="V1814" s="1250"/>
      <c r="W1814" s="1251">
        <v>0</v>
      </c>
      <c r="X1814" s="1250">
        <v>100.80028800000001</v>
      </c>
      <c r="Y1814" s="1250"/>
      <c r="Z1814" s="1250"/>
      <c r="AA1814" s="1250"/>
      <c r="AB1814" s="1250"/>
      <c r="AC1814" s="1250"/>
      <c r="AD1814" s="1250"/>
      <c r="AE1814" s="1249">
        <v>0</v>
      </c>
      <c r="AF1814" s="1250">
        <v>100.80028800000001</v>
      </c>
      <c r="AG1814" s="111"/>
      <c r="AH1814" s="111"/>
      <c r="AI1814" s="111"/>
      <c r="AJ1814" s="111"/>
      <c r="AK1814" s="111"/>
      <c r="AL1814" s="111"/>
      <c r="AM1814" s="111">
        <v>302.40086400000001</v>
      </c>
    </row>
    <row r="1815" spans="1:39" ht="15" customHeight="1" x14ac:dyDescent="0.25">
      <c r="A1815" s="1409"/>
      <c r="B1815" s="1409"/>
      <c r="C1815" s="1409"/>
      <c r="D1815" s="1409"/>
      <c r="E1815" s="1247"/>
      <c r="F1815" s="1248" t="s">
        <v>3198</v>
      </c>
      <c r="G1815" s="111"/>
      <c r="H1815" s="1249">
        <v>1</v>
      </c>
      <c r="I1815" s="111" t="s">
        <v>1721</v>
      </c>
      <c r="J1815" s="1321" t="s">
        <v>5608</v>
      </c>
      <c r="K1815" s="162" t="s">
        <v>5610</v>
      </c>
      <c r="L1815" s="162" t="s">
        <v>5609</v>
      </c>
      <c r="M1815" s="111">
        <v>75.91968</v>
      </c>
      <c r="N1815" s="111">
        <v>75.91968</v>
      </c>
      <c r="O1815" s="111"/>
      <c r="P1815" s="111"/>
      <c r="Q1815" s="111"/>
      <c r="R1815" s="111"/>
      <c r="S1815" s="1249">
        <v>1</v>
      </c>
      <c r="T1815" s="1250">
        <v>25.306560000000001</v>
      </c>
      <c r="U1815" s="1250"/>
      <c r="V1815" s="1250"/>
      <c r="W1815" s="1251">
        <v>0</v>
      </c>
      <c r="X1815" s="1250">
        <v>25.306560000000001</v>
      </c>
      <c r="Y1815" s="1250"/>
      <c r="Z1815" s="1250"/>
      <c r="AA1815" s="1250"/>
      <c r="AB1815" s="1250"/>
      <c r="AC1815" s="1250"/>
      <c r="AD1815" s="1250"/>
      <c r="AE1815" s="1249">
        <v>0</v>
      </c>
      <c r="AF1815" s="1250">
        <v>25.306560000000001</v>
      </c>
      <c r="AG1815" s="111"/>
      <c r="AH1815" s="111"/>
      <c r="AI1815" s="111"/>
      <c r="AJ1815" s="111"/>
      <c r="AK1815" s="111"/>
      <c r="AL1815" s="111"/>
      <c r="AM1815" s="111">
        <v>75.91968</v>
      </c>
    </row>
    <row r="1816" spans="1:39" ht="15" customHeight="1" x14ac:dyDescent="0.25">
      <c r="A1816" s="1409"/>
      <c r="B1816" s="1409"/>
      <c r="C1816" s="1409"/>
      <c r="D1816" s="1409"/>
      <c r="E1816" s="1247"/>
      <c r="F1816" s="1248" t="s">
        <v>3199</v>
      </c>
      <c r="G1816" s="111"/>
      <c r="H1816" s="1249">
        <v>1</v>
      </c>
      <c r="I1816" s="111" t="s">
        <v>1721</v>
      </c>
      <c r="J1816" s="1321" t="s">
        <v>5608</v>
      </c>
      <c r="K1816" s="162" t="s">
        <v>5610</v>
      </c>
      <c r="L1816" s="162" t="s">
        <v>5609</v>
      </c>
      <c r="M1816" s="111">
        <v>149.88</v>
      </c>
      <c r="N1816" s="111">
        <v>149.88</v>
      </c>
      <c r="O1816" s="111"/>
      <c r="P1816" s="111"/>
      <c r="Q1816" s="111"/>
      <c r="R1816" s="111"/>
      <c r="S1816" s="1249">
        <v>1</v>
      </c>
      <c r="T1816" s="1250">
        <v>49.96</v>
      </c>
      <c r="U1816" s="1250"/>
      <c r="V1816" s="1250"/>
      <c r="W1816" s="1251">
        <v>0</v>
      </c>
      <c r="X1816" s="1250">
        <v>49.96</v>
      </c>
      <c r="Y1816" s="1250"/>
      <c r="Z1816" s="1250"/>
      <c r="AA1816" s="1250"/>
      <c r="AB1816" s="1250"/>
      <c r="AC1816" s="1250"/>
      <c r="AD1816" s="1250"/>
      <c r="AE1816" s="1249">
        <v>0</v>
      </c>
      <c r="AF1816" s="1250">
        <v>49.96</v>
      </c>
      <c r="AG1816" s="111"/>
      <c r="AH1816" s="111"/>
      <c r="AI1816" s="111"/>
      <c r="AJ1816" s="111"/>
      <c r="AK1816" s="111"/>
      <c r="AL1816" s="111"/>
      <c r="AM1816" s="111">
        <v>149.88</v>
      </c>
    </row>
    <row r="1817" spans="1:39" ht="15" customHeight="1" x14ac:dyDescent="0.25">
      <c r="A1817" s="1409"/>
      <c r="B1817" s="1409"/>
      <c r="C1817" s="1409"/>
      <c r="D1817" s="1409"/>
      <c r="E1817" s="1247"/>
      <c r="F1817" s="1248" t="s">
        <v>3200</v>
      </c>
      <c r="G1817" s="111"/>
      <c r="H1817" s="1249">
        <v>1</v>
      </c>
      <c r="I1817" s="111" t="s">
        <v>1721</v>
      </c>
      <c r="J1817" s="1321" t="s">
        <v>5608</v>
      </c>
      <c r="K1817" s="162" t="s">
        <v>5610</v>
      </c>
      <c r="L1817" s="162" t="s">
        <v>5609</v>
      </c>
      <c r="M1817" s="111">
        <v>144.59</v>
      </c>
      <c r="N1817" s="111">
        <v>144.59</v>
      </c>
      <c r="O1817" s="111"/>
      <c r="P1817" s="111"/>
      <c r="Q1817" s="111"/>
      <c r="R1817" s="111"/>
      <c r="S1817" s="1249">
        <v>1</v>
      </c>
      <c r="T1817" s="1250">
        <v>48.196666666666665</v>
      </c>
      <c r="U1817" s="1250"/>
      <c r="V1817" s="1250"/>
      <c r="W1817" s="1251">
        <v>0</v>
      </c>
      <c r="X1817" s="1250">
        <v>48.196666666666665</v>
      </c>
      <c r="Y1817" s="1250"/>
      <c r="Z1817" s="1250"/>
      <c r="AA1817" s="1250"/>
      <c r="AB1817" s="1250"/>
      <c r="AC1817" s="1250"/>
      <c r="AD1817" s="1250"/>
      <c r="AE1817" s="1249">
        <v>0</v>
      </c>
      <c r="AF1817" s="1250">
        <v>48.196666666666665</v>
      </c>
      <c r="AG1817" s="111"/>
      <c r="AH1817" s="111"/>
      <c r="AI1817" s="111"/>
      <c r="AJ1817" s="111"/>
      <c r="AK1817" s="111"/>
      <c r="AL1817" s="111"/>
      <c r="AM1817" s="111">
        <v>144.59</v>
      </c>
    </row>
    <row r="1818" spans="1:39" ht="15" customHeight="1" x14ac:dyDescent="0.25">
      <c r="A1818" s="1409"/>
      <c r="B1818" s="1409"/>
      <c r="C1818" s="1409"/>
      <c r="D1818" s="1409"/>
      <c r="E1818" s="1247"/>
      <c r="F1818" s="1248" t="s">
        <v>3201</v>
      </c>
      <c r="G1818" s="111"/>
      <c r="H1818" s="1249">
        <v>1</v>
      </c>
      <c r="I1818" s="111" t="s">
        <v>1721</v>
      </c>
      <c r="J1818" s="1321" t="s">
        <v>5608</v>
      </c>
      <c r="K1818" s="162" t="s">
        <v>5610</v>
      </c>
      <c r="L1818" s="162" t="s">
        <v>5609</v>
      </c>
      <c r="M1818" s="111">
        <v>149.88</v>
      </c>
      <c r="N1818" s="111">
        <v>149.88</v>
      </c>
      <c r="O1818" s="111"/>
      <c r="P1818" s="111"/>
      <c r="Q1818" s="111"/>
      <c r="R1818" s="111"/>
      <c r="S1818" s="1249">
        <v>1</v>
      </c>
      <c r="T1818" s="1250">
        <v>49.96</v>
      </c>
      <c r="U1818" s="1250"/>
      <c r="V1818" s="1250"/>
      <c r="W1818" s="1251">
        <v>0</v>
      </c>
      <c r="X1818" s="1250">
        <v>49.96</v>
      </c>
      <c r="Y1818" s="1250"/>
      <c r="Z1818" s="1250"/>
      <c r="AA1818" s="1250"/>
      <c r="AB1818" s="1250"/>
      <c r="AC1818" s="1250"/>
      <c r="AD1818" s="1250"/>
      <c r="AE1818" s="1249">
        <v>0</v>
      </c>
      <c r="AF1818" s="1250">
        <v>49.96</v>
      </c>
      <c r="AG1818" s="111"/>
      <c r="AH1818" s="111"/>
      <c r="AI1818" s="111"/>
      <c r="AJ1818" s="111"/>
      <c r="AK1818" s="111"/>
      <c r="AL1818" s="111"/>
      <c r="AM1818" s="111">
        <v>149.88</v>
      </c>
    </row>
    <row r="1819" spans="1:39" ht="15" customHeight="1" x14ac:dyDescent="0.25">
      <c r="A1819" s="1409"/>
      <c r="B1819" s="1409"/>
      <c r="C1819" s="1409"/>
      <c r="D1819" s="1409"/>
      <c r="E1819" s="1247"/>
      <c r="F1819" s="1248" t="s">
        <v>3202</v>
      </c>
      <c r="G1819" s="111"/>
      <c r="H1819" s="1249">
        <v>1</v>
      </c>
      <c r="I1819" s="111" t="s">
        <v>1721</v>
      </c>
      <c r="J1819" s="1321" t="s">
        <v>5608</v>
      </c>
      <c r="K1819" s="162" t="s">
        <v>5610</v>
      </c>
      <c r="L1819" s="162" t="s">
        <v>5609</v>
      </c>
      <c r="M1819" s="111">
        <v>149.88</v>
      </c>
      <c r="N1819" s="111">
        <v>149.88</v>
      </c>
      <c r="O1819" s="111"/>
      <c r="P1819" s="111"/>
      <c r="Q1819" s="111"/>
      <c r="R1819" s="111"/>
      <c r="S1819" s="1249">
        <v>1</v>
      </c>
      <c r="T1819" s="1250">
        <v>49.96</v>
      </c>
      <c r="U1819" s="1250"/>
      <c r="V1819" s="1250"/>
      <c r="W1819" s="1251">
        <v>0</v>
      </c>
      <c r="X1819" s="1250">
        <v>49.96</v>
      </c>
      <c r="Y1819" s="1250"/>
      <c r="Z1819" s="1250"/>
      <c r="AA1819" s="1250"/>
      <c r="AB1819" s="1250"/>
      <c r="AC1819" s="1250"/>
      <c r="AD1819" s="1250"/>
      <c r="AE1819" s="1249">
        <v>0</v>
      </c>
      <c r="AF1819" s="1250">
        <v>49.96</v>
      </c>
      <c r="AG1819" s="111"/>
      <c r="AH1819" s="111"/>
      <c r="AI1819" s="111"/>
      <c r="AJ1819" s="111"/>
      <c r="AK1819" s="111"/>
      <c r="AL1819" s="111"/>
      <c r="AM1819" s="111">
        <v>149.88</v>
      </c>
    </row>
    <row r="1820" spans="1:39" ht="15" customHeight="1" x14ac:dyDescent="0.25">
      <c r="A1820" s="1409"/>
      <c r="B1820" s="1409"/>
      <c r="C1820" s="1409"/>
      <c r="D1820" s="1409"/>
      <c r="E1820" s="1247"/>
      <c r="F1820" s="1248" t="s">
        <v>3203</v>
      </c>
      <c r="G1820" s="111"/>
      <c r="H1820" s="1249">
        <v>1</v>
      </c>
      <c r="I1820" s="111" t="s">
        <v>1721</v>
      </c>
      <c r="J1820" s="1321" t="s">
        <v>5608</v>
      </c>
      <c r="K1820" s="162" t="s">
        <v>5610</v>
      </c>
      <c r="L1820" s="162" t="s">
        <v>5609</v>
      </c>
      <c r="M1820" s="111">
        <v>177.14</v>
      </c>
      <c r="N1820" s="111">
        <v>177.14</v>
      </c>
      <c r="O1820" s="111"/>
      <c r="P1820" s="111"/>
      <c r="Q1820" s="111"/>
      <c r="R1820" s="111"/>
      <c r="S1820" s="1249">
        <v>1</v>
      </c>
      <c r="T1820" s="1250">
        <v>59.04666666666666</v>
      </c>
      <c r="U1820" s="1250"/>
      <c r="V1820" s="1250"/>
      <c r="W1820" s="1251">
        <v>0</v>
      </c>
      <c r="X1820" s="1250">
        <v>59.04666666666666</v>
      </c>
      <c r="Y1820" s="1250"/>
      <c r="Z1820" s="1250"/>
      <c r="AA1820" s="1250"/>
      <c r="AB1820" s="1250"/>
      <c r="AC1820" s="1250"/>
      <c r="AD1820" s="1250"/>
      <c r="AE1820" s="1249">
        <v>0</v>
      </c>
      <c r="AF1820" s="1250">
        <v>59.04666666666666</v>
      </c>
      <c r="AG1820" s="111"/>
      <c r="AH1820" s="111"/>
      <c r="AI1820" s="111"/>
      <c r="AJ1820" s="111"/>
      <c r="AK1820" s="111"/>
      <c r="AL1820" s="111"/>
      <c r="AM1820" s="111">
        <v>177.14</v>
      </c>
    </row>
    <row r="1821" spans="1:39" ht="15" customHeight="1" x14ac:dyDescent="0.25">
      <c r="A1821" s="1409"/>
      <c r="B1821" s="1409"/>
      <c r="C1821" s="1409"/>
      <c r="D1821" s="1409"/>
      <c r="E1821" s="1247"/>
      <c r="F1821" s="1248" t="s">
        <v>5273</v>
      </c>
      <c r="G1821" s="111"/>
      <c r="H1821" s="1249">
        <v>8</v>
      </c>
      <c r="I1821" s="111" t="s">
        <v>1721</v>
      </c>
      <c r="J1821" s="1321" t="s">
        <v>5608</v>
      </c>
      <c r="K1821" s="162" t="s">
        <v>5610</v>
      </c>
      <c r="L1821" s="162" t="s">
        <v>5609</v>
      </c>
      <c r="M1821" s="111">
        <v>291.67</v>
      </c>
      <c r="N1821" s="111">
        <v>2333.36</v>
      </c>
      <c r="O1821" s="111"/>
      <c r="P1821" s="111"/>
      <c r="Q1821" s="111"/>
      <c r="R1821" s="111"/>
      <c r="S1821" s="1249">
        <v>4</v>
      </c>
      <c r="T1821" s="1250">
        <v>777.78666666666675</v>
      </c>
      <c r="U1821" s="1250"/>
      <c r="V1821" s="1250"/>
      <c r="W1821" s="1251">
        <v>2</v>
      </c>
      <c r="X1821" s="1250">
        <v>777.78666666666675</v>
      </c>
      <c r="Y1821" s="1250"/>
      <c r="Z1821" s="1250"/>
      <c r="AA1821" s="1250"/>
      <c r="AB1821" s="1250"/>
      <c r="AC1821" s="1250"/>
      <c r="AD1821" s="1250"/>
      <c r="AE1821" s="1249">
        <v>2</v>
      </c>
      <c r="AF1821" s="1250">
        <v>777.78666666666675</v>
      </c>
      <c r="AG1821" s="111"/>
      <c r="AH1821" s="111"/>
      <c r="AI1821" s="111"/>
      <c r="AJ1821" s="111"/>
      <c r="AK1821" s="111"/>
      <c r="AL1821" s="111"/>
      <c r="AM1821" s="111">
        <v>2333.36</v>
      </c>
    </row>
    <row r="1822" spans="1:39" ht="15" customHeight="1" x14ac:dyDescent="0.25">
      <c r="A1822" s="1409"/>
      <c r="B1822" s="1409"/>
      <c r="C1822" s="1409"/>
      <c r="D1822" s="1409"/>
      <c r="E1822" s="1247"/>
      <c r="F1822" s="1248" t="s">
        <v>3204</v>
      </c>
      <c r="G1822" s="111"/>
      <c r="H1822" s="1249">
        <v>1</v>
      </c>
      <c r="I1822" s="111" t="s">
        <v>1722</v>
      </c>
      <c r="J1822" s="1321" t="s">
        <v>5608</v>
      </c>
      <c r="K1822" s="162" t="s">
        <v>5610</v>
      </c>
      <c r="L1822" s="162" t="s">
        <v>5609</v>
      </c>
      <c r="M1822" s="111">
        <v>251.44</v>
      </c>
      <c r="N1822" s="111">
        <v>251.44</v>
      </c>
      <c r="O1822" s="111"/>
      <c r="P1822" s="111"/>
      <c r="Q1822" s="111"/>
      <c r="R1822" s="111"/>
      <c r="S1822" s="1249">
        <v>1</v>
      </c>
      <c r="T1822" s="1250">
        <v>83.813333333333333</v>
      </c>
      <c r="U1822" s="1250"/>
      <c r="V1822" s="1250"/>
      <c r="W1822" s="1251">
        <v>0</v>
      </c>
      <c r="X1822" s="1250">
        <v>83.813333333333333</v>
      </c>
      <c r="Y1822" s="1250"/>
      <c r="Z1822" s="1250"/>
      <c r="AA1822" s="1250"/>
      <c r="AB1822" s="1250"/>
      <c r="AC1822" s="1250"/>
      <c r="AD1822" s="1250"/>
      <c r="AE1822" s="1249">
        <v>0</v>
      </c>
      <c r="AF1822" s="1250">
        <v>83.813333333333333</v>
      </c>
      <c r="AG1822" s="111"/>
      <c r="AH1822" s="111"/>
      <c r="AI1822" s="111"/>
      <c r="AJ1822" s="111"/>
      <c r="AK1822" s="111"/>
      <c r="AL1822" s="111"/>
      <c r="AM1822" s="111">
        <v>251.44</v>
      </c>
    </row>
    <row r="1823" spans="1:39" ht="15" customHeight="1" x14ac:dyDescent="0.25">
      <c r="A1823" s="1409"/>
      <c r="B1823" s="1409"/>
      <c r="C1823" s="1409"/>
      <c r="D1823" s="1409"/>
      <c r="E1823" s="1247"/>
      <c r="F1823" s="1248" t="s">
        <v>3205</v>
      </c>
      <c r="G1823" s="111"/>
      <c r="H1823" s="1249">
        <v>1</v>
      </c>
      <c r="I1823" s="111" t="s">
        <v>1721</v>
      </c>
      <c r="J1823" s="1321" t="s">
        <v>5608</v>
      </c>
      <c r="K1823" s="162" t="s">
        <v>5610</v>
      </c>
      <c r="L1823" s="162" t="s">
        <v>5609</v>
      </c>
      <c r="M1823" s="111">
        <v>1468.01</v>
      </c>
      <c r="N1823" s="111">
        <v>1468.01</v>
      </c>
      <c r="O1823" s="111"/>
      <c r="P1823" s="111"/>
      <c r="Q1823" s="111"/>
      <c r="R1823" s="111"/>
      <c r="S1823" s="1249">
        <v>1</v>
      </c>
      <c r="T1823" s="1250">
        <v>489.33666666666664</v>
      </c>
      <c r="U1823" s="1250"/>
      <c r="V1823" s="1250"/>
      <c r="W1823" s="1251">
        <v>0</v>
      </c>
      <c r="X1823" s="1250">
        <v>489.33666666666664</v>
      </c>
      <c r="Y1823" s="1250"/>
      <c r="Z1823" s="1250"/>
      <c r="AA1823" s="1250"/>
      <c r="AB1823" s="1250"/>
      <c r="AC1823" s="1250"/>
      <c r="AD1823" s="1250"/>
      <c r="AE1823" s="1249">
        <v>0</v>
      </c>
      <c r="AF1823" s="1250">
        <v>489.33666666666664</v>
      </c>
      <c r="AG1823" s="111"/>
      <c r="AH1823" s="111"/>
      <c r="AI1823" s="111"/>
      <c r="AJ1823" s="111"/>
      <c r="AK1823" s="111"/>
      <c r="AL1823" s="111"/>
      <c r="AM1823" s="111">
        <v>1468.01</v>
      </c>
    </row>
    <row r="1824" spans="1:39" ht="15" customHeight="1" x14ac:dyDescent="0.25">
      <c r="A1824" s="1409"/>
      <c r="B1824" s="1409"/>
      <c r="C1824" s="1409"/>
      <c r="D1824" s="1409"/>
      <c r="E1824" s="1247"/>
      <c r="F1824" s="1248" t="s">
        <v>3206</v>
      </c>
      <c r="G1824" s="111"/>
      <c r="H1824" s="1249">
        <v>1</v>
      </c>
      <c r="I1824" s="111" t="s">
        <v>1721</v>
      </c>
      <c r="J1824" s="1321" t="s">
        <v>5608</v>
      </c>
      <c r="K1824" s="162" t="s">
        <v>5610</v>
      </c>
      <c r="L1824" s="162" t="s">
        <v>5609</v>
      </c>
      <c r="M1824" s="111">
        <v>421.20388799999995</v>
      </c>
      <c r="N1824" s="111">
        <v>421.20388799999995</v>
      </c>
      <c r="O1824" s="111"/>
      <c r="P1824" s="111"/>
      <c r="Q1824" s="111"/>
      <c r="R1824" s="111"/>
      <c r="S1824" s="1249">
        <v>1</v>
      </c>
      <c r="T1824" s="1250">
        <v>140.40129599999997</v>
      </c>
      <c r="U1824" s="1250"/>
      <c r="V1824" s="1250"/>
      <c r="W1824" s="1251">
        <v>0</v>
      </c>
      <c r="X1824" s="1250">
        <v>140.40129599999997</v>
      </c>
      <c r="Y1824" s="1250"/>
      <c r="Z1824" s="1250"/>
      <c r="AA1824" s="1250"/>
      <c r="AB1824" s="1250"/>
      <c r="AC1824" s="1250"/>
      <c r="AD1824" s="1250"/>
      <c r="AE1824" s="1249">
        <v>0</v>
      </c>
      <c r="AF1824" s="1250">
        <v>140.40129599999997</v>
      </c>
      <c r="AG1824" s="111"/>
      <c r="AH1824" s="111"/>
      <c r="AI1824" s="111"/>
      <c r="AJ1824" s="111"/>
      <c r="AK1824" s="111"/>
      <c r="AL1824" s="111"/>
      <c r="AM1824" s="111">
        <v>421.20388799999995</v>
      </c>
    </row>
    <row r="1825" spans="1:39" ht="15" customHeight="1" x14ac:dyDescent="0.25">
      <c r="A1825" s="1409"/>
      <c r="B1825" s="1409"/>
      <c r="C1825" s="1409"/>
      <c r="D1825" s="1409"/>
      <c r="E1825" s="1247"/>
      <c r="F1825" s="1248" t="s">
        <v>3207</v>
      </c>
      <c r="G1825" s="111"/>
      <c r="H1825" s="1249">
        <v>1</v>
      </c>
      <c r="I1825" s="111" t="s">
        <v>1721</v>
      </c>
      <c r="J1825" s="1321" t="s">
        <v>5608</v>
      </c>
      <c r="K1825" s="162" t="s">
        <v>5610</v>
      </c>
      <c r="L1825" s="162" t="s">
        <v>5609</v>
      </c>
      <c r="M1825" s="111">
        <v>177.14</v>
      </c>
      <c r="N1825" s="111">
        <v>177.14</v>
      </c>
      <c r="O1825" s="111"/>
      <c r="P1825" s="111"/>
      <c r="Q1825" s="111"/>
      <c r="R1825" s="111"/>
      <c r="S1825" s="1249">
        <v>1</v>
      </c>
      <c r="T1825" s="1250">
        <v>59.04666666666666</v>
      </c>
      <c r="U1825" s="1250"/>
      <c r="V1825" s="1250"/>
      <c r="W1825" s="1251">
        <v>0</v>
      </c>
      <c r="X1825" s="1250">
        <v>59.04666666666666</v>
      </c>
      <c r="Y1825" s="1250"/>
      <c r="Z1825" s="1250"/>
      <c r="AA1825" s="1250"/>
      <c r="AB1825" s="1250"/>
      <c r="AC1825" s="1250"/>
      <c r="AD1825" s="1250"/>
      <c r="AE1825" s="1249">
        <v>0</v>
      </c>
      <c r="AF1825" s="1250">
        <v>59.04666666666666</v>
      </c>
      <c r="AG1825" s="111"/>
      <c r="AH1825" s="111"/>
      <c r="AI1825" s="111"/>
      <c r="AJ1825" s="111"/>
      <c r="AK1825" s="111"/>
      <c r="AL1825" s="111"/>
      <c r="AM1825" s="111">
        <v>177.14</v>
      </c>
    </row>
    <row r="1826" spans="1:39" ht="15" customHeight="1" x14ac:dyDescent="0.25">
      <c r="A1826" s="1409"/>
      <c r="B1826" s="1409"/>
      <c r="C1826" s="1409"/>
      <c r="D1826" s="1409"/>
      <c r="E1826" s="1247"/>
      <c r="F1826" s="1248" t="s">
        <v>3208</v>
      </c>
      <c r="G1826" s="111"/>
      <c r="H1826" s="1249">
        <v>1</v>
      </c>
      <c r="I1826" s="111" t="s">
        <v>1721</v>
      </c>
      <c r="J1826" s="1321" t="s">
        <v>5608</v>
      </c>
      <c r="K1826" s="162" t="s">
        <v>5610</v>
      </c>
      <c r="L1826" s="162" t="s">
        <v>5609</v>
      </c>
      <c r="M1826" s="111">
        <v>177.44</v>
      </c>
      <c r="N1826" s="111">
        <v>177.44</v>
      </c>
      <c r="O1826" s="111"/>
      <c r="P1826" s="111"/>
      <c r="Q1826" s="111"/>
      <c r="R1826" s="111"/>
      <c r="S1826" s="1249">
        <v>1</v>
      </c>
      <c r="T1826" s="1250">
        <v>59.146666666666668</v>
      </c>
      <c r="U1826" s="1250"/>
      <c r="V1826" s="1250"/>
      <c r="W1826" s="1251">
        <v>0</v>
      </c>
      <c r="X1826" s="1250">
        <v>59.146666666666668</v>
      </c>
      <c r="Y1826" s="1250"/>
      <c r="Z1826" s="1250"/>
      <c r="AA1826" s="1250"/>
      <c r="AB1826" s="1250"/>
      <c r="AC1826" s="1250"/>
      <c r="AD1826" s="1250"/>
      <c r="AE1826" s="1249">
        <v>0</v>
      </c>
      <c r="AF1826" s="1250">
        <v>59.146666666666668</v>
      </c>
      <c r="AG1826" s="111"/>
      <c r="AH1826" s="111"/>
      <c r="AI1826" s="111"/>
      <c r="AJ1826" s="111"/>
      <c r="AK1826" s="111"/>
      <c r="AL1826" s="111"/>
      <c r="AM1826" s="111">
        <v>177.44</v>
      </c>
    </row>
    <row r="1827" spans="1:39" ht="15" customHeight="1" x14ac:dyDescent="0.25">
      <c r="A1827" s="1409"/>
      <c r="B1827" s="1409"/>
      <c r="C1827" s="1409"/>
      <c r="D1827" s="1409"/>
      <c r="E1827" s="1247"/>
      <c r="F1827" s="1248" t="s">
        <v>3209</v>
      </c>
      <c r="G1827" s="111"/>
      <c r="H1827" s="1249">
        <v>1</v>
      </c>
      <c r="I1827" s="111" t="s">
        <v>1721</v>
      </c>
      <c r="J1827" s="1321" t="s">
        <v>5608</v>
      </c>
      <c r="K1827" s="162" t="s">
        <v>5610</v>
      </c>
      <c r="L1827" s="162" t="s">
        <v>5609</v>
      </c>
      <c r="M1827" s="111">
        <v>321.72000000000003</v>
      </c>
      <c r="N1827" s="111">
        <v>321.72000000000003</v>
      </c>
      <c r="O1827" s="111"/>
      <c r="P1827" s="111"/>
      <c r="Q1827" s="111"/>
      <c r="R1827" s="111"/>
      <c r="S1827" s="1249">
        <v>1</v>
      </c>
      <c r="T1827" s="1250">
        <v>107.24000000000001</v>
      </c>
      <c r="U1827" s="1250"/>
      <c r="V1827" s="1250"/>
      <c r="W1827" s="1251">
        <v>0</v>
      </c>
      <c r="X1827" s="1250">
        <v>107.24000000000001</v>
      </c>
      <c r="Y1827" s="1250"/>
      <c r="Z1827" s="1250"/>
      <c r="AA1827" s="1250"/>
      <c r="AB1827" s="1250"/>
      <c r="AC1827" s="1250"/>
      <c r="AD1827" s="1250"/>
      <c r="AE1827" s="1249">
        <v>0</v>
      </c>
      <c r="AF1827" s="1250">
        <v>107.24000000000001</v>
      </c>
      <c r="AG1827" s="111"/>
      <c r="AH1827" s="111"/>
      <c r="AI1827" s="111"/>
      <c r="AJ1827" s="111"/>
      <c r="AK1827" s="111"/>
      <c r="AL1827" s="111"/>
      <c r="AM1827" s="111">
        <v>321.72000000000003</v>
      </c>
    </row>
    <row r="1828" spans="1:39" ht="15" customHeight="1" x14ac:dyDescent="0.25">
      <c r="A1828" s="1409"/>
      <c r="B1828" s="1409"/>
      <c r="C1828" s="1409"/>
      <c r="D1828" s="1409"/>
      <c r="E1828" s="1247"/>
      <c r="F1828" s="1248" t="s">
        <v>3210</v>
      </c>
      <c r="G1828" s="111"/>
      <c r="H1828" s="1249">
        <v>1</v>
      </c>
      <c r="I1828" s="111" t="s">
        <v>1722</v>
      </c>
      <c r="J1828" s="1321" t="s">
        <v>5608</v>
      </c>
      <c r="K1828" s="162" t="s">
        <v>5610</v>
      </c>
      <c r="L1828" s="162" t="s">
        <v>5609</v>
      </c>
      <c r="M1828" s="111">
        <v>321.72000000000003</v>
      </c>
      <c r="N1828" s="111">
        <v>321.72000000000003</v>
      </c>
      <c r="O1828" s="111"/>
      <c r="P1828" s="111"/>
      <c r="Q1828" s="111"/>
      <c r="R1828" s="111"/>
      <c r="S1828" s="1249">
        <v>1</v>
      </c>
      <c r="T1828" s="1250">
        <v>107.24000000000001</v>
      </c>
      <c r="U1828" s="1250"/>
      <c r="V1828" s="1250"/>
      <c r="W1828" s="1251">
        <v>0</v>
      </c>
      <c r="X1828" s="1250">
        <v>107.24000000000001</v>
      </c>
      <c r="Y1828" s="1250"/>
      <c r="Z1828" s="1250"/>
      <c r="AA1828" s="1250"/>
      <c r="AB1828" s="1250"/>
      <c r="AC1828" s="1250"/>
      <c r="AD1828" s="1250"/>
      <c r="AE1828" s="1249">
        <v>0</v>
      </c>
      <c r="AF1828" s="1250">
        <v>107.24000000000001</v>
      </c>
      <c r="AG1828" s="111"/>
      <c r="AH1828" s="111"/>
      <c r="AI1828" s="111"/>
      <c r="AJ1828" s="111"/>
      <c r="AK1828" s="111"/>
      <c r="AL1828" s="111"/>
      <c r="AM1828" s="111">
        <v>321.72000000000003</v>
      </c>
    </row>
    <row r="1829" spans="1:39" ht="15" customHeight="1" x14ac:dyDescent="0.25">
      <c r="A1829" s="1409"/>
      <c r="B1829" s="1409"/>
      <c r="C1829" s="1409"/>
      <c r="D1829" s="1409"/>
      <c r="E1829" s="1247"/>
      <c r="F1829" s="1248" t="s">
        <v>5274</v>
      </c>
      <c r="G1829" s="111"/>
      <c r="H1829" s="1249">
        <v>5</v>
      </c>
      <c r="I1829" s="111" t="s">
        <v>1721</v>
      </c>
      <c r="J1829" s="1321" t="s">
        <v>5608</v>
      </c>
      <c r="K1829" s="162" t="s">
        <v>5610</v>
      </c>
      <c r="L1829" s="162" t="s">
        <v>5609</v>
      </c>
      <c r="M1829" s="111">
        <v>58.2</v>
      </c>
      <c r="N1829" s="111">
        <v>291</v>
      </c>
      <c r="O1829" s="111"/>
      <c r="P1829" s="111"/>
      <c r="Q1829" s="111"/>
      <c r="R1829" s="111"/>
      <c r="S1829" s="1249">
        <v>2</v>
      </c>
      <c r="T1829" s="1250">
        <v>97</v>
      </c>
      <c r="U1829" s="1250"/>
      <c r="V1829" s="1250"/>
      <c r="W1829" s="1251">
        <v>2</v>
      </c>
      <c r="X1829" s="1250">
        <v>97</v>
      </c>
      <c r="Y1829" s="1250"/>
      <c r="Z1829" s="1250"/>
      <c r="AA1829" s="1250"/>
      <c r="AB1829" s="1250"/>
      <c r="AC1829" s="1250"/>
      <c r="AD1829" s="1250"/>
      <c r="AE1829" s="1249">
        <v>1</v>
      </c>
      <c r="AF1829" s="1250">
        <v>97</v>
      </c>
      <c r="AG1829" s="111"/>
      <c r="AH1829" s="111"/>
      <c r="AI1829" s="111"/>
      <c r="AJ1829" s="111"/>
      <c r="AK1829" s="111"/>
      <c r="AL1829" s="111"/>
      <c r="AM1829" s="111">
        <v>291</v>
      </c>
    </row>
    <row r="1830" spans="1:39" ht="15" customHeight="1" x14ac:dyDescent="0.25">
      <c r="A1830" s="1409"/>
      <c r="B1830" s="1409"/>
      <c r="C1830" s="1409"/>
      <c r="D1830" s="1409"/>
      <c r="E1830" s="1247"/>
      <c r="F1830" s="1248" t="s">
        <v>5275</v>
      </c>
      <c r="G1830" s="111"/>
      <c r="H1830" s="1249">
        <v>4</v>
      </c>
      <c r="I1830" s="111" t="s">
        <v>1721</v>
      </c>
      <c r="J1830" s="1321" t="s">
        <v>5608</v>
      </c>
      <c r="K1830" s="162" t="s">
        <v>5610</v>
      </c>
      <c r="L1830" s="162" t="s">
        <v>5609</v>
      </c>
      <c r="M1830" s="111">
        <v>33.270000000000003</v>
      </c>
      <c r="N1830" s="111">
        <v>133.08000000000001</v>
      </c>
      <c r="O1830" s="111"/>
      <c r="P1830" s="111"/>
      <c r="Q1830" s="111"/>
      <c r="R1830" s="111"/>
      <c r="S1830" s="1249">
        <v>2</v>
      </c>
      <c r="T1830" s="1250">
        <v>44.360000000000007</v>
      </c>
      <c r="U1830" s="1250"/>
      <c r="V1830" s="1250"/>
      <c r="W1830" s="1251">
        <v>1</v>
      </c>
      <c r="X1830" s="1250">
        <v>44.360000000000007</v>
      </c>
      <c r="Y1830" s="1250"/>
      <c r="Z1830" s="1250"/>
      <c r="AA1830" s="1250"/>
      <c r="AB1830" s="1250"/>
      <c r="AC1830" s="1250"/>
      <c r="AD1830" s="1250"/>
      <c r="AE1830" s="1249">
        <v>1</v>
      </c>
      <c r="AF1830" s="1250">
        <v>44.360000000000007</v>
      </c>
      <c r="AG1830" s="111"/>
      <c r="AH1830" s="111"/>
      <c r="AI1830" s="111"/>
      <c r="AJ1830" s="111"/>
      <c r="AK1830" s="111"/>
      <c r="AL1830" s="111"/>
      <c r="AM1830" s="111">
        <v>133.08000000000001</v>
      </c>
    </row>
    <row r="1831" spans="1:39" ht="15" customHeight="1" x14ac:dyDescent="0.25">
      <c r="A1831" s="1409"/>
      <c r="B1831" s="1409"/>
      <c r="C1831" s="1409"/>
      <c r="D1831" s="1409"/>
      <c r="E1831" s="1247"/>
      <c r="F1831" s="1248" t="s">
        <v>5276</v>
      </c>
      <c r="G1831" s="111"/>
      <c r="H1831" s="1249">
        <v>8</v>
      </c>
      <c r="I1831" s="111" t="s">
        <v>1725</v>
      </c>
      <c r="J1831" s="1321" t="s">
        <v>5608</v>
      </c>
      <c r="K1831" s="162" t="s">
        <v>5610</v>
      </c>
      <c r="L1831" s="162" t="s">
        <v>5609</v>
      </c>
      <c r="M1831" s="111">
        <v>40</v>
      </c>
      <c r="N1831" s="111">
        <v>320</v>
      </c>
      <c r="O1831" s="111"/>
      <c r="P1831" s="111"/>
      <c r="Q1831" s="111"/>
      <c r="R1831" s="111"/>
      <c r="S1831" s="1249">
        <v>4</v>
      </c>
      <c r="T1831" s="1250">
        <v>106.66666666666667</v>
      </c>
      <c r="U1831" s="1250"/>
      <c r="V1831" s="1250"/>
      <c r="W1831" s="1251">
        <v>2</v>
      </c>
      <c r="X1831" s="1250">
        <v>106.66666666666667</v>
      </c>
      <c r="Y1831" s="1250"/>
      <c r="Z1831" s="1250"/>
      <c r="AA1831" s="1250"/>
      <c r="AB1831" s="1250"/>
      <c r="AC1831" s="1250"/>
      <c r="AD1831" s="1250"/>
      <c r="AE1831" s="1249">
        <v>2</v>
      </c>
      <c r="AF1831" s="1250">
        <v>106.66666666666667</v>
      </c>
      <c r="AG1831" s="111"/>
      <c r="AH1831" s="111"/>
      <c r="AI1831" s="111"/>
      <c r="AJ1831" s="111"/>
      <c r="AK1831" s="111"/>
      <c r="AL1831" s="111"/>
      <c r="AM1831" s="111">
        <v>320</v>
      </c>
    </row>
    <row r="1832" spans="1:39" ht="15" customHeight="1" x14ac:dyDescent="0.25">
      <c r="A1832" s="1409"/>
      <c r="B1832" s="1409"/>
      <c r="C1832" s="1409"/>
      <c r="D1832" s="1409"/>
      <c r="E1832" s="1247"/>
      <c r="F1832" s="1248" t="s">
        <v>5277</v>
      </c>
      <c r="G1832" s="111"/>
      <c r="H1832" s="1249">
        <v>3</v>
      </c>
      <c r="I1832" s="111" t="s">
        <v>1721</v>
      </c>
      <c r="J1832" s="1321" t="s">
        <v>5608</v>
      </c>
      <c r="K1832" s="162" t="s">
        <v>5610</v>
      </c>
      <c r="L1832" s="162" t="s">
        <v>5609</v>
      </c>
      <c r="M1832" s="111">
        <v>22</v>
      </c>
      <c r="N1832" s="111">
        <v>66</v>
      </c>
      <c r="O1832" s="111"/>
      <c r="P1832" s="111"/>
      <c r="Q1832" s="111"/>
      <c r="R1832" s="111"/>
      <c r="S1832" s="1249">
        <v>1</v>
      </c>
      <c r="T1832" s="1250">
        <v>22</v>
      </c>
      <c r="U1832" s="1250"/>
      <c r="V1832" s="1250"/>
      <c r="W1832" s="1251">
        <v>1</v>
      </c>
      <c r="X1832" s="1250">
        <v>22</v>
      </c>
      <c r="Y1832" s="1250"/>
      <c r="Z1832" s="1250"/>
      <c r="AA1832" s="1250"/>
      <c r="AB1832" s="1250"/>
      <c r="AC1832" s="1250"/>
      <c r="AD1832" s="1250"/>
      <c r="AE1832" s="1249">
        <v>1</v>
      </c>
      <c r="AF1832" s="1250">
        <v>22</v>
      </c>
      <c r="AG1832" s="111"/>
      <c r="AH1832" s="111"/>
      <c r="AI1832" s="111"/>
      <c r="AJ1832" s="111"/>
      <c r="AK1832" s="111"/>
      <c r="AL1832" s="111"/>
      <c r="AM1832" s="111">
        <v>66</v>
      </c>
    </row>
    <row r="1833" spans="1:39" ht="15" customHeight="1" x14ac:dyDescent="0.25">
      <c r="A1833" s="1409"/>
      <c r="B1833" s="1409"/>
      <c r="C1833" s="1409"/>
      <c r="D1833" s="1409"/>
      <c r="E1833" s="1247"/>
      <c r="F1833" s="1248" t="s">
        <v>1636</v>
      </c>
      <c r="G1833" s="111"/>
      <c r="H1833" s="1249">
        <v>4</v>
      </c>
      <c r="I1833" s="111" t="s">
        <v>1722</v>
      </c>
      <c r="J1833" s="1321" t="s">
        <v>5608</v>
      </c>
      <c r="K1833" s="162" t="s">
        <v>5610</v>
      </c>
      <c r="L1833" s="162" t="s">
        <v>5609</v>
      </c>
      <c r="M1833" s="111">
        <v>67.392499999999998</v>
      </c>
      <c r="N1833" s="111">
        <v>269.57</v>
      </c>
      <c r="O1833" s="111"/>
      <c r="P1833" s="111"/>
      <c r="Q1833" s="111"/>
      <c r="R1833" s="111"/>
      <c r="S1833" s="1249">
        <v>2</v>
      </c>
      <c r="T1833" s="1250">
        <v>89.856666666666669</v>
      </c>
      <c r="U1833" s="1250"/>
      <c r="V1833" s="1250"/>
      <c r="W1833" s="1251">
        <v>1</v>
      </c>
      <c r="X1833" s="1250">
        <v>89.856666666666669</v>
      </c>
      <c r="Y1833" s="1250"/>
      <c r="Z1833" s="1250"/>
      <c r="AA1833" s="1250"/>
      <c r="AB1833" s="1250"/>
      <c r="AC1833" s="1250"/>
      <c r="AD1833" s="1250"/>
      <c r="AE1833" s="1249">
        <v>1</v>
      </c>
      <c r="AF1833" s="1250">
        <v>89.856666666666669</v>
      </c>
      <c r="AG1833" s="111"/>
      <c r="AH1833" s="111"/>
      <c r="AI1833" s="111"/>
      <c r="AJ1833" s="111"/>
      <c r="AK1833" s="111"/>
      <c r="AL1833" s="111"/>
      <c r="AM1833" s="111">
        <v>269.57</v>
      </c>
    </row>
    <row r="1834" spans="1:39" ht="15" customHeight="1" x14ac:dyDescent="0.25">
      <c r="A1834" s="1409"/>
      <c r="B1834" s="1409"/>
      <c r="C1834" s="1409"/>
      <c r="D1834" s="1409"/>
      <c r="E1834" s="1247"/>
      <c r="F1834" s="1248" t="s">
        <v>5278</v>
      </c>
      <c r="G1834" s="111"/>
      <c r="H1834" s="1249">
        <v>1</v>
      </c>
      <c r="I1834" s="111" t="s">
        <v>1725</v>
      </c>
      <c r="J1834" s="1321" t="s">
        <v>5608</v>
      </c>
      <c r="K1834" s="162" t="s">
        <v>5610</v>
      </c>
      <c r="L1834" s="162" t="s">
        <v>5609</v>
      </c>
      <c r="M1834" s="111">
        <v>25.84</v>
      </c>
      <c r="N1834" s="111">
        <v>25.84</v>
      </c>
      <c r="O1834" s="111"/>
      <c r="P1834" s="111"/>
      <c r="Q1834" s="111"/>
      <c r="R1834" s="111"/>
      <c r="S1834" s="1249">
        <v>1</v>
      </c>
      <c r="T1834" s="1250">
        <v>8.6133333333333333</v>
      </c>
      <c r="U1834" s="1250"/>
      <c r="V1834" s="1250"/>
      <c r="W1834" s="1251">
        <v>0</v>
      </c>
      <c r="X1834" s="1250">
        <v>8.6133333333333333</v>
      </c>
      <c r="Y1834" s="1250"/>
      <c r="Z1834" s="1250"/>
      <c r="AA1834" s="1250"/>
      <c r="AB1834" s="1250"/>
      <c r="AC1834" s="1250"/>
      <c r="AD1834" s="1250"/>
      <c r="AE1834" s="1249">
        <v>0</v>
      </c>
      <c r="AF1834" s="1250">
        <v>8.6133333333333333</v>
      </c>
      <c r="AG1834" s="111"/>
      <c r="AH1834" s="111"/>
      <c r="AI1834" s="111"/>
      <c r="AJ1834" s="111"/>
      <c r="AK1834" s="111"/>
      <c r="AL1834" s="111"/>
      <c r="AM1834" s="111">
        <v>25.84</v>
      </c>
    </row>
    <row r="1835" spans="1:39" ht="15" customHeight="1" x14ac:dyDescent="0.25">
      <c r="A1835" s="1409"/>
      <c r="B1835" s="1409"/>
      <c r="C1835" s="1409"/>
      <c r="D1835" s="1409"/>
      <c r="E1835" s="1247"/>
      <c r="F1835" s="1248" t="s">
        <v>5279</v>
      </c>
      <c r="G1835" s="111"/>
      <c r="H1835" s="1249">
        <v>31</v>
      </c>
      <c r="I1835" s="111" t="s">
        <v>1722</v>
      </c>
      <c r="J1835" s="1321" t="s">
        <v>5608</v>
      </c>
      <c r="K1835" s="162" t="s">
        <v>5610</v>
      </c>
      <c r="L1835" s="162" t="s">
        <v>5609</v>
      </c>
      <c r="M1835" s="111">
        <v>509.26309677419346</v>
      </c>
      <c r="N1835" s="111">
        <v>15787.155999999997</v>
      </c>
      <c r="O1835" s="111"/>
      <c r="P1835" s="111"/>
      <c r="Q1835" s="111"/>
      <c r="R1835" s="111"/>
      <c r="S1835" s="1249">
        <v>11</v>
      </c>
      <c r="T1835" s="1250">
        <v>5262.3853333333327</v>
      </c>
      <c r="U1835" s="1250"/>
      <c r="V1835" s="1250"/>
      <c r="W1835" s="1251">
        <v>10</v>
      </c>
      <c r="X1835" s="1250">
        <v>5262.3853333333327</v>
      </c>
      <c r="Y1835" s="1250"/>
      <c r="Z1835" s="1250"/>
      <c r="AA1835" s="1250"/>
      <c r="AB1835" s="1250"/>
      <c r="AC1835" s="1250"/>
      <c r="AD1835" s="1250"/>
      <c r="AE1835" s="1249">
        <v>10</v>
      </c>
      <c r="AF1835" s="1250">
        <v>5262.3853333333327</v>
      </c>
      <c r="AG1835" s="111"/>
      <c r="AH1835" s="111"/>
      <c r="AI1835" s="111"/>
      <c r="AJ1835" s="111"/>
      <c r="AK1835" s="111"/>
      <c r="AL1835" s="111"/>
      <c r="AM1835" s="111">
        <v>15787.155999999997</v>
      </c>
    </row>
    <row r="1836" spans="1:39" ht="15" customHeight="1" x14ac:dyDescent="0.25">
      <c r="A1836" s="1409"/>
      <c r="B1836" s="1409"/>
      <c r="C1836" s="1409"/>
      <c r="D1836" s="1409"/>
      <c r="E1836" s="1247"/>
      <c r="F1836" s="1248" t="s">
        <v>3211</v>
      </c>
      <c r="G1836" s="111"/>
      <c r="H1836" s="1249">
        <v>1</v>
      </c>
      <c r="I1836" s="111" t="s">
        <v>1721</v>
      </c>
      <c r="J1836" s="1321" t="s">
        <v>5608</v>
      </c>
      <c r="K1836" s="162" t="s">
        <v>5610</v>
      </c>
      <c r="L1836" s="162" t="s">
        <v>5609</v>
      </c>
      <c r="M1836" s="111">
        <v>74.325599999999994</v>
      </c>
      <c r="N1836" s="111">
        <v>74.325599999999994</v>
      </c>
      <c r="O1836" s="111"/>
      <c r="P1836" s="111"/>
      <c r="Q1836" s="111"/>
      <c r="R1836" s="111"/>
      <c r="S1836" s="1249">
        <v>1</v>
      </c>
      <c r="T1836" s="1250">
        <v>24.775199999999998</v>
      </c>
      <c r="U1836" s="1250"/>
      <c r="V1836" s="1250"/>
      <c r="W1836" s="1251">
        <v>0</v>
      </c>
      <c r="X1836" s="1250">
        <v>24.775199999999998</v>
      </c>
      <c r="Y1836" s="1250"/>
      <c r="Z1836" s="1250"/>
      <c r="AA1836" s="1250"/>
      <c r="AB1836" s="1250"/>
      <c r="AC1836" s="1250"/>
      <c r="AD1836" s="1250"/>
      <c r="AE1836" s="1249">
        <v>0</v>
      </c>
      <c r="AF1836" s="1250">
        <v>24.775199999999998</v>
      </c>
      <c r="AG1836" s="111"/>
      <c r="AH1836" s="111"/>
      <c r="AI1836" s="111"/>
      <c r="AJ1836" s="111"/>
      <c r="AK1836" s="111"/>
      <c r="AL1836" s="111"/>
      <c r="AM1836" s="111">
        <v>74.325599999999994</v>
      </c>
    </row>
    <row r="1837" spans="1:39" ht="15" customHeight="1" x14ac:dyDescent="0.25">
      <c r="A1837" s="1409"/>
      <c r="B1837" s="1409"/>
      <c r="C1837" s="1409"/>
      <c r="D1837" s="1409"/>
      <c r="E1837" s="1247"/>
      <c r="F1837" s="1248" t="s">
        <v>1617</v>
      </c>
      <c r="G1837" s="111"/>
      <c r="H1837" s="1249">
        <v>1</v>
      </c>
      <c r="I1837" s="111" t="s">
        <v>1721</v>
      </c>
      <c r="J1837" s="1321" t="s">
        <v>5608</v>
      </c>
      <c r="K1837" s="162" t="s">
        <v>5610</v>
      </c>
      <c r="L1837" s="162" t="s">
        <v>5609</v>
      </c>
      <c r="M1837" s="111">
        <v>58.88</v>
      </c>
      <c r="N1837" s="111">
        <v>58.88</v>
      </c>
      <c r="O1837" s="111"/>
      <c r="P1837" s="111"/>
      <c r="Q1837" s="111"/>
      <c r="R1837" s="111"/>
      <c r="S1837" s="1249">
        <v>1</v>
      </c>
      <c r="T1837" s="1250">
        <v>19.626666666666669</v>
      </c>
      <c r="U1837" s="1250"/>
      <c r="V1837" s="1250"/>
      <c r="W1837" s="1251">
        <v>0</v>
      </c>
      <c r="X1837" s="1250">
        <v>19.626666666666669</v>
      </c>
      <c r="Y1837" s="1250"/>
      <c r="Z1837" s="1250"/>
      <c r="AA1837" s="1250"/>
      <c r="AB1837" s="1250"/>
      <c r="AC1837" s="1250"/>
      <c r="AD1837" s="1250"/>
      <c r="AE1837" s="1249">
        <v>0</v>
      </c>
      <c r="AF1837" s="1250">
        <v>19.626666666666669</v>
      </c>
      <c r="AG1837" s="111"/>
      <c r="AH1837" s="111"/>
      <c r="AI1837" s="111"/>
      <c r="AJ1837" s="111"/>
      <c r="AK1837" s="111"/>
      <c r="AL1837" s="111"/>
      <c r="AM1837" s="111">
        <v>58.88</v>
      </c>
    </row>
    <row r="1838" spans="1:39" ht="15" customHeight="1" x14ac:dyDescent="0.25">
      <c r="A1838" s="1409"/>
      <c r="B1838" s="1409"/>
      <c r="C1838" s="1409"/>
      <c r="D1838" s="1409"/>
      <c r="E1838" s="1247"/>
      <c r="F1838" s="1248" t="s">
        <v>5280</v>
      </c>
      <c r="G1838" s="111"/>
      <c r="H1838" s="1249">
        <v>5</v>
      </c>
      <c r="I1838" s="111" t="s">
        <v>5281</v>
      </c>
      <c r="J1838" s="1321" t="s">
        <v>5608</v>
      </c>
      <c r="K1838" s="162" t="s">
        <v>5610</v>
      </c>
      <c r="L1838" s="162" t="s">
        <v>5609</v>
      </c>
      <c r="M1838" s="111">
        <v>117.60999999999999</v>
      </c>
      <c r="N1838" s="111">
        <v>588.04999999999995</v>
      </c>
      <c r="O1838" s="111"/>
      <c r="P1838" s="111"/>
      <c r="Q1838" s="111"/>
      <c r="R1838" s="111"/>
      <c r="S1838" s="1249">
        <v>2</v>
      </c>
      <c r="T1838" s="1250">
        <v>196.01666666666665</v>
      </c>
      <c r="U1838" s="1250"/>
      <c r="V1838" s="1250"/>
      <c r="W1838" s="1251">
        <v>2</v>
      </c>
      <c r="X1838" s="1250">
        <v>196.01666666666665</v>
      </c>
      <c r="Y1838" s="1250"/>
      <c r="Z1838" s="1250"/>
      <c r="AA1838" s="1250"/>
      <c r="AB1838" s="1250"/>
      <c r="AC1838" s="1250"/>
      <c r="AD1838" s="1250"/>
      <c r="AE1838" s="1249">
        <v>1</v>
      </c>
      <c r="AF1838" s="1250">
        <v>196.01666666666665</v>
      </c>
      <c r="AG1838" s="111"/>
      <c r="AH1838" s="111"/>
      <c r="AI1838" s="111"/>
      <c r="AJ1838" s="111"/>
      <c r="AK1838" s="111"/>
      <c r="AL1838" s="111"/>
      <c r="AM1838" s="111">
        <v>588.04999999999995</v>
      </c>
    </row>
    <row r="1839" spans="1:39" ht="15" customHeight="1" x14ac:dyDescent="0.25">
      <c r="A1839" s="1409"/>
      <c r="B1839" s="1409"/>
      <c r="C1839" s="1409"/>
      <c r="D1839" s="1409"/>
      <c r="E1839" s="1247"/>
      <c r="F1839" s="1248" t="s">
        <v>3212</v>
      </c>
      <c r="G1839" s="111"/>
      <c r="H1839" s="1249">
        <v>1</v>
      </c>
      <c r="I1839" s="111" t="s">
        <v>1721</v>
      </c>
      <c r="J1839" s="1321" t="s">
        <v>5608</v>
      </c>
      <c r="K1839" s="162" t="s">
        <v>5610</v>
      </c>
      <c r="L1839" s="162" t="s">
        <v>5609</v>
      </c>
      <c r="M1839" s="111">
        <v>101.38</v>
      </c>
      <c r="N1839" s="111">
        <v>101.38</v>
      </c>
      <c r="O1839" s="111"/>
      <c r="P1839" s="111"/>
      <c r="Q1839" s="111"/>
      <c r="R1839" s="111"/>
      <c r="S1839" s="1249">
        <v>1</v>
      </c>
      <c r="T1839" s="1250">
        <v>33.793333333333329</v>
      </c>
      <c r="U1839" s="1250"/>
      <c r="V1839" s="1250"/>
      <c r="W1839" s="1251">
        <v>0</v>
      </c>
      <c r="X1839" s="1250">
        <v>33.793333333333329</v>
      </c>
      <c r="Y1839" s="1250"/>
      <c r="Z1839" s="1250"/>
      <c r="AA1839" s="1250"/>
      <c r="AB1839" s="1250"/>
      <c r="AC1839" s="1250"/>
      <c r="AD1839" s="1250"/>
      <c r="AE1839" s="1249">
        <v>0</v>
      </c>
      <c r="AF1839" s="1250">
        <v>33.793333333333329</v>
      </c>
      <c r="AG1839" s="111"/>
      <c r="AH1839" s="111"/>
      <c r="AI1839" s="111"/>
      <c r="AJ1839" s="111"/>
      <c r="AK1839" s="111"/>
      <c r="AL1839" s="111"/>
      <c r="AM1839" s="111">
        <v>101.38</v>
      </c>
    </row>
    <row r="1840" spans="1:39" ht="15" customHeight="1" x14ac:dyDescent="0.25">
      <c r="A1840" s="1409"/>
      <c r="B1840" s="1409"/>
      <c r="C1840" s="1409"/>
      <c r="D1840" s="1409"/>
      <c r="E1840" s="1247"/>
      <c r="F1840" s="1248" t="s">
        <v>3213</v>
      </c>
      <c r="G1840" s="111"/>
      <c r="H1840" s="1249">
        <v>1</v>
      </c>
      <c r="I1840" s="111" t="s">
        <v>1721</v>
      </c>
      <c r="J1840" s="1321" t="s">
        <v>5608</v>
      </c>
      <c r="K1840" s="162" t="s">
        <v>5610</v>
      </c>
      <c r="L1840" s="162" t="s">
        <v>5609</v>
      </c>
      <c r="M1840" s="111">
        <v>18.366047999999999</v>
      </c>
      <c r="N1840" s="111">
        <v>18.366047999999999</v>
      </c>
      <c r="O1840" s="111"/>
      <c r="P1840" s="111"/>
      <c r="Q1840" s="111"/>
      <c r="R1840" s="111"/>
      <c r="S1840" s="1249">
        <v>1</v>
      </c>
      <c r="T1840" s="1250">
        <v>6.1220159999999995</v>
      </c>
      <c r="U1840" s="1250"/>
      <c r="V1840" s="1250"/>
      <c r="W1840" s="1251">
        <v>0</v>
      </c>
      <c r="X1840" s="1250">
        <v>6.1220159999999995</v>
      </c>
      <c r="Y1840" s="1250"/>
      <c r="Z1840" s="1250"/>
      <c r="AA1840" s="1250"/>
      <c r="AB1840" s="1250"/>
      <c r="AC1840" s="1250"/>
      <c r="AD1840" s="1250"/>
      <c r="AE1840" s="1249">
        <v>0</v>
      </c>
      <c r="AF1840" s="1250">
        <v>6.1220159999999995</v>
      </c>
      <c r="AG1840" s="111"/>
      <c r="AH1840" s="111"/>
      <c r="AI1840" s="111"/>
      <c r="AJ1840" s="111"/>
      <c r="AK1840" s="111"/>
      <c r="AL1840" s="111"/>
      <c r="AM1840" s="111">
        <v>18.366047999999999</v>
      </c>
    </row>
    <row r="1841" spans="1:39" ht="15" customHeight="1" x14ac:dyDescent="0.25">
      <c r="A1841" s="1409"/>
      <c r="B1841" s="1409"/>
      <c r="C1841" s="1409"/>
      <c r="D1841" s="1409"/>
      <c r="E1841" s="1247"/>
      <c r="F1841" s="1248" t="s">
        <v>3214</v>
      </c>
      <c r="G1841" s="111"/>
      <c r="H1841" s="1249">
        <v>1</v>
      </c>
      <c r="I1841" s="111" t="s">
        <v>1721</v>
      </c>
      <c r="J1841" s="1321" t="s">
        <v>5608</v>
      </c>
      <c r="K1841" s="162" t="s">
        <v>5610</v>
      </c>
      <c r="L1841" s="162" t="s">
        <v>5609</v>
      </c>
      <c r="M1841" s="111">
        <v>602.91000000000008</v>
      </c>
      <c r="N1841" s="111">
        <v>602.91000000000008</v>
      </c>
      <c r="O1841" s="111"/>
      <c r="P1841" s="111"/>
      <c r="Q1841" s="111"/>
      <c r="R1841" s="111"/>
      <c r="S1841" s="1249">
        <v>1</v>
      </c>
      <c r="T1841" s="1250">
        <v>200.97000000000003</v>
      </c>
      <c r="U1841" s="1250"/>
      <c r="V1841" s="1250"/>
      <c r="W1841" s="1251">
        <v>0</v>
      </c>
      <c r="X1841" s="1250">
        <v>200.97000000000003</v>
      </c>
      <c r="Y1841" s="1250"/>
      <c r="Z1841" s="1250"/>
      <c r="AA1841" s="1250"/>
      <c r="AB1841" s="1250"/>
      <c r="AC1841" s="1250"/>
      <c r="AD1841" s="1250"/>
      <c r="AE1841" s="1249">
        <v>0</v>
      </c>
      <c r="AF1841" s="1250">
        <v>200.97000000000003</v>
      </c>
      <c r="AG1841" s="111"/>
      <c r="AH1841" s="111"/>
      <c r="AI1841" s="111"/>
      <c r="AJ1841" s="111"/>
      <c r="AK1841" s="111"/>
      <c r="AL1841" s="111"/>
      <c r="AM1841" s="111">
        <v>602.91000000000008</v>
      </c>
    </row>
    <row r="1842" spans="1:39" ht="15" customHeight="1" x14ac:dyDescent="0.25">
      <c r="A1842" s="1409"/>
      <c r="B1842" s="1409"/>
      <c r="C1842" s="1409"/>
      <c r="D1842" s="1409"/>
      <c r="E1842" s="1247"/>
      <c r="F1842" s="1248" t="s">
        <v>3215</v>
      </c>
      <c r="G1842" s="111"/>
      <c r="H1842" s="1249">
        <v>1</v>
      </c>
      <c r="I1842" s="111" t="s">
        <v>1721</v>
      </c>
      <c r="J1842" s="1321" t="s">
        <v>5608</v>
      </c>
      <c r="K1842" s="162" t="s">
        <v>5610</v>
      </c>
      <c r="L1842" s="162" t="s">
        <v>5609</v>
      </c>
      <c r="M1842" s="111">
        <v>1002.2399999999999</v>
      </c>
      <c r="N1842" s="111">
        <v>1002.2399999999999</v>
      </c>
      <c r="O1842" s="111"/>
      <c r="P1842" s="111"/>
      <c r="Q1842" s="111"/>
      <c r="R1842" s="111"/>
      <c r="S1842" s="1249">
        <v>1</v>
      </c>
      <c r="T1842" s="1250">
        <v>334.08</v>
      </c>
      <c r="U1842" s="1250"/>
      <c r="V1842" s="1250"/>
      <c r="W1842" s="1251">
        <v>0</v>
      </c>
      <c r="X1842" s="1250">
        <v>334.08</v>
      </c>
      <c r="Y1842" s="1250"/>
      <c r="Z1842" s="1250"/>
      <c r="AA1842" s="1250"/>
      <c r="AB1842" s="1250"/>
      <c r="AC1842" s="1250"/>
      <c r="AD1842" s="1250"/>
      <c r="AE1842" s="1249">
        <v>0</v>
      </c>
      <c r="AF1842" s="1250">
        <v>334.08</v>
      </c>
      <c r="AG1842" s="111"/>
      <c r="AH1842" s="111"/>
      <c r="AI1842" s="111"/>
      <c r="AJ1842" s="111"/>
      <c r="AK1842" s="111"/>
      <c r="AL1842" s="111"/>
      <c r="AM1842" s="111">
        <v>1002.2399999999999</v>
      </c>
    </row>
    <row r="1843" spans="1:39" ht="15" customHeight="1" x14ac:dyDescent="0.25">
      <c r="A1843" s="1409"/>
      <c r="B1843" s="1409"/>
      <c r="C1843" s="1409"/>
      <c r="D1843" s="1409"/>
      <c r="E1843" s="1247"/>
      <c r="F1843" s="1248" t="s">
        <v>3216</v>
      </c>
      <c r="G1843" s="111"/>
      <c r="H1843" s="1249">
        <v>1</v>
      </c>
      <c r="I1843" s="111" t="s">
        <v>1721</v>
      </c>
      <c r="J1843" s="1321" t="s">
        <v>5608</v>
      </c>
      <c r="K1843" s="162" t="s">
        <v>5610</v>
      </c>
      <c r="L1843" s="162" t="s">
        <v>5609</v>
      </c>
      <c r="M1843" s="111">
        <v>49.686048</v>
      </c>
      <c r="N1843" s="111">
        <v>49.686048</v>
      </c>
      <c r="O1843" s="111"/>
      <c r="P1843" s="111"/>
      <c r="Q1843" s="111"/>
      <c r="R1843" s="111"/>
      <c r="S1843" s="1249">
        <v>1</v>
      </c>
      <c r="T1843" s="1250">
        <v>16.562016</v>
      </c>
      <c r="U1843" s="1250"/>
      <c r="V1843" s="1250"/>
      <c r="W1843" s="1251">
        <v>0</v>
      </c>
      <c r="X1843" s="1250">
        <v>16.562016</v>
      </c>
      <c r="Y1843" s="1250"/>
      <c r="Z1843" s="1250"/>
      <c r="AA1843" s="1250"/>
      <c r="AB1843" s="1250"/>
      <c r="AC1843" s="1250"/>
      <c r="AD1843" s="1250"/>
      <c r="AE1843" s="1249">
        <v>0</v>
      </c>
      <c r="AF1843" s="1250">
        <v>16.562016</v>
      </c>
      <c r="AG1843" s="111"/>
      <c r="AH1843" s="111"/>
      <c r="AI1843" s="111"/>
      <c r="AJ1843" s="111"/>
      <c r="AK1843" s="111"/>
      <c r="AL1843" s="111"/>
      <c r="AM1843" s="111">
        <v>49.686048</v>
      </c>
    </row>
    <row r="1844" spans="1:39" ht="15" customHeight="1" x14ac:dyDescent="0.25">
      <c r="A1844" s="1409"/>
      <c r="B1844" s="1409"/>
      <c r="C1844" s="1409"/>
      <c r="D1844" s="1409"/>
      <c r="E1844" s="1247"/>
      <c r="F1844" s="1248" t="s">
        <v>1630</v>
      </c>
      <c r="G1844" s="111"/>
      <c r="H1844" s="1249">
        <v>1</v>
      </c>
      <c r="I1844" s="111" t="s">
        <v>1827</v>
      </c>
      <c r="J1844" s="1321" t="s">
        <v>5608</v>
      </c>
      <c r="K1844" s="162" t="s">
        <v>5610</v>
      </c>
      <c r="L1844" s="162" t="s">
        <v>5609</v>
      </c>
      <c r="M1844" s="111">
        <v>172.8</v>
      </c>
      <c r="N1844" s="111">
        <v>172.8</v>
      </c>
      <c r="O1844" s="111"/>
      <c r="P1844" s="111"/>
      <c r="Q1844" s="111"/>
      <c r="R1844" s="111"/>
      <c r="S1844" s="1249">
        <v>1</v>
      </c>
      <c r="T1844" s="1250">
        <v>57.6</v>
      </c>
      <c r="U1844" s="1250"/>
      <c r="V1844" s="1250"/>
      <c r="W1844" s="1251">
        <v>0</v>
      </c>
      <c r="X1844" s="1250">
        <v>57.6</v>
      </c>
      <c r="Y1844" s="1250"/>
      <c r="Z1844" s="1250"/>
      <c r="AA1844" s="1250"/>
      <c r="AB1844" s="1250"/>
      <c r="AC1844" s="1250"/>
      <c r="AD1844" s="1250"/>
      <c r="AE1844" s="1249">
        <v>0</v>
      </c>
      <c r="AF1844" s="1250">
        <v>57.6</v>
      </c>
      <c r="AG1844" s="111"/>
      <c r="AH1844" s="111"/>
      <c r="AI1844" s="111"/>
      <c r="AJ1844" s="111"/>
      <c r="AK1844" s="111"/>
      <c r="AL1844" s="111"/>
      <c r="AM1844" s="111">
        <v>172.8</v>
      </c>
    </row>
    <row r="1845" spans="1:39" ht="15" customHeight="1" x14ac:dyDescent="0.25">
      <c r="A1845" s="1409"/>
      <c r="B1845" s="1409"/>
      <c r="C1845" s="1409"/>
      <c r="D1845" s="1409"/>
      <c r="E1845" s="1247"/>
      <c r="F1845" s="1248" t="s">
        <v>5282</v>
      </c>
      <c r="G1845" s="111"/>
      <c r="H1845" s="1249">
        <v>22</v>
      </c>
      <c r="I1845" s="111" t="s">
        <v>1721</v>
      </c>
      <c r="J1845" s="1321" t="s">
        <v>5608</v>
      </c>
      <c r="K1845" s="162" t="s">
        <v>5610</v>
      </c>
      <c r="L1845" s="162" t="s">
        <v>5609</v>
      </c>
      <c r="M1845" s="111">
        <v>101.8721818181818</v>
      </c>
      <c r="N1845" s="111">
        <v>2241.1879999999996</v>
      </c>
      <c r="O1845" s="111"/>
      <c r="P1845" s="111"/>
      <c r="Q1845" s="111"/>
      <c r="R1845" s="111"/>
      <c r="S1845" s="1249">
        <v>12</v>
      </c>
      <c r="T1845" s="1250">
        <v>747.06266666666659</v>
      </c>
      <c r="U1845" s="1250"/>
      <c r="V1845" s="1250"/>
      <c r="W1845" s="1251">
        <v>5</v>
      </c>
      <c r="X1845" s="1250">
        <v>747.06266666666659</v>
      </c>
      <c r="Y1845" s="1250"/>
      <c r="Z1845" s="1250"/>
      <c r="AA1845" s="1250"/>
      <c r="AB1845" s="1250"/>
      <c r="AC1845" s="1250"/>
      <c r="AD1845" s="1250"/>
      <c r="AE1845" s="1249">
        <v>5</v>
      </c>
      <c r="AF1845" s="1250">
        <v>747.06266666666659</v>
      </c>
      <c r="AG1845" s="111"/>
      <c r="AH1845" s="111"/>
      <c r="AI1845" s="111"/>
      <c r="AJ1845" s="111"/>
      <c r="AK1845" s="111"/>
      <c r="AL1845" s="111"/>
      <c r="AM1845" s="111">
        <v>2241.1879999999996</v>
      </c>
    </row>
    <row r="1846" spans="1:39" ht="15" customHeight="1" x14ac:dyDescent="0.25">
      <c r="A1846" s="1409"/>
      <c r="B1846" s="1409"/>
      <c r="C1846" s="1409"/>
      <c r="D1846" s="1409"/>
      <c r="E1846" s="1247"/>
      <c r="F1846" s="1248" t="s">
        <v>1621</v>
      </c>
      <c r="G1846" s="111"/>
      <c r="H1846" s="1249">
        <v>11</v>
      </c>
      <c r="I1846" s="111" t="s">
        <v>1721</v>
      </c>
      <c r="J1846" s="1321" t="s">
        <v>5608</v>
      </c>
      <c r="K1846" s="162" t="s">
        <v>5610</v>
      </c>
      <c r="L1846" s="162" t="s">
        <v>5609</v>
      </c>
      <c r="M1846" s="111">
        <v>110.87254545454545</v>
      </c>
      <c r="N1846" s="111">
        <v>1219.598</v>
      </c>
      <c r="O1846" s="111"/>
      <c r="P1846" s="111"/>
      <c r="Q1846" s="111"/>
      <c r="R1846" s="111"/>
      <c r="S1846" s="1249">
        <v>4</v>
      </c>
      <c r="T1846" s="1250">
        <v>406.53266666666667</v>
      </c>
      <c r="U1846" s="1250"/>
      <c r="V1846" s="1250"/>
      <c r="W1846" s="1251">
        <v>4</v>
      </c>
      <c r="X1846" s="1250">
        <v>406.53266666666667</v>
      </c>
      <c r="Y1846" s="1250"/>
      <c r="Z1846" s="1250"/>
      <c r="AA1846" s="1250"/>
      <c r="AB1846" s="1250"/>
      <c r="AC1846" s="1250"/>
      <c r="AD1846" s="1250"/>
      <c r="AE1846" s="1249">
        <v>3</v>
      </c>
      <c r="AF1846" s="1250">
        <v>406.53266666666667</v>
      </c>
      <c r="AG1846" s="111"/>
      <c r="AH1846" s="111"/>
      <c r="AI1846" s="111"/>
      <c r="AJ1846" s="111"/>
      <c r="AK1846" s="111"/>
      <c r="AL1846" s="111"/>
      <c r="AM1846" s="111">
        <v>1219.598</v>
      </c>
    </row>
    <row r="1847" spans="1:39" ht="15" customHeight="1" x14ac:dyDescent="0.25">
      <c r="A1847" s="1409"/>
      <c r="B1847" s="1409"/>
      <c r="C1847" s="1409"/>
      <c r="D1847" s="1409"/>
      <c r="E1847" s="1247"/>
      <c r="F1847" s="1248" t="s">
        <v>3218</v>
      </c>
      <c r="G1847" s="111"/>
      <c r="H1847" s="1249">
        <v>1</v>
      </c>
      <c r="I1847" s="111" t="s">
        <v>1721</v>
      </c>
      <c r="J1847" s="1321" t="s">
        <v>5608</v>
      </c>
      <c r="K1847" s="162" t="s">
        <v>5610</v>
      </c>
      <c r="L1847" s="162" t="s">
        <v>5609</v>
      </c>
      <c r="M1847" s="111">
        <v>254.88000000000002</v>
      </c>
      <c r="N1847" s="111">
        <v>254.88000000000002</v>
      </c>
      <c r="O1847" s="111"/>
      <c r="P1847" s="111"/>
      <c r="Q1847" s="111"/>
      <c r="R1847" s="111"/>
      <c r="S1847" s="1249">
        <v>1</v>
      </c>
      <c r="T1847" s="1250">
        <v>84.960000000000008</v>
      </c>
      <c r="U1847" s="1250"/>
      <c r="V1847" s="1250"/>
      <c r="W1847" s="1251">
        <v>0</v>
      </c>
      <c r="X1847" s="1250">
        <v>84.960000000000008</v>
      </c>
      <c r="Y1847" s="1250"/>
      <c r="Z1847" s="1250"/>
      <c r="AA1847" s="1250"/>
      <c r="AB1847" s="1250"/>
      <c r="AC1847" s="1250"/>
      <c r="AD1847" s="1250"/>
      <c r="AE1847" s="1249">
        <v>0</v>
      </c>
      <c r="AF1847" s="1250">
        <v>84.960000000000008</v>
      </c>
      <c r="AG1847" s="111"/>
      <c r="AH1847" s="111"/>
      <c r="AI1847" s="111"/>
      <c r="AJ1847" s="111"/>
      <c r="AK1847" s="111"/>
      <c r="AL1847" s="111"/>
      <c r="AM1847" s="111">
        <v>254.88000000000002</v>
      </c>
    </row>
    <row r="1848" spans="1:39" ht="15" customHeight="1" x14ac:dyDescent="0.25">
      <c r="A1848" s="1409"/>
      <c r="B1848" s="1409"/>
      <c r="C1848" s="1409"/>
      <c r="D1848" s="1409"/>
      <c r="E1848" s="1247"/>
      <c r="F1848" s="1248" t="s">
        <v>3219</v>
      </c>
      <c r="G1848" s="111"/>
      <c r="H1848" s="1249">
        <v>1</v>
      </c>
      <c r="I1848" s="111" t="s">
        <v>1721</v>
      </c>
      <c r="J1848" s="1321" t="s">
        <v>5608</v>
      </c>
      <c r="K1848" s="162" t="s">
        <v>5610</v>
      </c>
      <c r="L1848" s="162" t="s">
        <v>5609</v>
      </c>
      <c r="M1848" s="111">
        <v>124.2</v>
      </c>
      <c r="N1848" s="111">
        <v>124.2</v>
      </c>
      <c r="O1848" s="111"/>
      <c r="P1848" s="111"/>
      <c r="Q1848" s="111"/>
      <c r="R1848" s="111"/>
      <c r="S1848" s="1249">
        <v>1</v>
      </c>
      <c r="T1848" s="1250">
        <v>41.4</v>
      </c>
      <c r="U1848" s="1250"/>
      <c r="V1848" s="1250"/>
      <c r="W1848" s="1251">
        <v>0</v>
      </c>
      <c r="X1848" s="1250">
        <v>41.4</v>
      </c>
      <c r="Y1848" s="1250"/>
      <c r="Z1848" s="1250"/>
      <c r="AA1848" s="1250"/>
      <c r="AB1848" s="1250"/>
      <c r="AC1848" s="1250"/>
      <c r="AD1848" s="1250"/>
      <c r="AE1848" s="1249">
        <v>0</v>
      </c>
      <c r="AF1848" s="1250">
        <v>41.4</v>
      </c>
      <c r="AG1848" s="111"/>
      <c r="AH1848" s="111"/>
      <c r="AI1848" s="111"/>
      <c r="AJ1848" s="111"/>
      <c r="AK1848" s="111"/>
      <c r="AL1848" s="111"/>
      <c r="AM1848" s="111">
        <v>124.2</v>
      </c>
    </row>
    <row r="1849" spans="1:39" ht="15" customHeight="1" x14ac:dyDescent="0.25">
      <c r="A1849" s="1409"/>
      <c r="B1849" s="1409"/>
      <c r="C1849" s="1409"/>
      <c r="D1849" s="1409"/>
      <c r="E1849" s="1247"/>
      <c r="F1849" s="1248" t="s">
        <v>3220</v>
      </c>
      <c r="G1849" s="111"/>
      <c r="H1849" s="1249">
        <v>1</v>
      </c>
      <c r="I1849" s="111" t="s">
        <v>1721</v>
      </c>
      <c r="J1849" s="1321" t="s">
        <v>5608</v>
      </c>
      <c r="K1849" s="162" t="s">
        <v>5610</v>
      </c>
      <c r="L1849" s="162" t="s">
        <v>5609</v>
      </c>
      <c r="M1849" s="111">
        <v>10.73</v>
      </c>
      <c r="N1849" s="111">
        <v>10.73</v>
      </c>
      <c r="O1849" s="111"/>
      <c r="P1849" s="111"/>
      <c r="Q1849" s="111"/>
      <c r="R1849" s="111"/>
      <c r="S1849" s="1249">
        <v>1</v>
      </c>
      <c r="T1849" s="1250">
        <v>3.5766666666666667</v>
      </c>
      <c r="U1849" s="1250"/>
      <c r="V1849" s="1250"/>
      <c r="W1849" s="1251">
        <v>0</v>
      </c>
      <c r="X1849" s="1250">
        <v>3.5766666666666667</v>
      </c>
      <c r="Y1849" s="1250"/>
      <c r="Z1849" s="1250"/>
      <c r="AA1849" s="1250"/>
      <c r="AB1849" s="1250"/>
      <c r="AC1849" s="1250"/>
      <c r="AD1849" s="1250"/>
      <c r="AE1849" s="1249">
        <v>0</v>
      </c>
      <c r="AF1849" s="1250">
        <v>3.5766666666666667</v>
      </c>
      <c r="AG1849" s="111"/>
      <c r="AH1849" s="111"/>
      <c r="AI1849" s="111"/>
      <c r="AJ1849" s="111"/>
      <c r="AK1849" s="111"/>
      <c r="AL1849" s="111"/>
      <c r="AM1849" s="111">
        <v>10.73</v>
      </c>
    </row>
    <row r="1850" spans="1:39" ht="15" customHeight="1" x14ac:dyDescent="0.25">
      <c r="A1850" s="1409"/>
      <c r="B1850" s="1409"/>
      <c r="C1850" s="1409"/>
      <c r="D1850" s="1409"/>
      <c r="E1850" s="1247"/>
      <c r="F1850" s="1248" t="s">
        <v>3221</v>
      </c>
      <c r="G1850" s="111"/>
      <c r="H1850" s="1249">
        <v>1</v>
      </c>
      <c r="I1850" s="111" t="s">
        <v>1721</v>
      </c>
      <c r="J1850" s="1321" t="s">
        <v>5608</v>
      </c>
      <c r="K1850" s="162" t="s">
        <v>5610</v>
      </c>
      <c r="L1850" s="162" t="s">
        <v>5609</v>
      </c>
      <c r="M1850" s="111">
        <v>236.52237599999998</v>
      </c>
      <c r="N1850" s="111">
        <v>236.52237599999998</v>
      </c>
      <c r="O1850" s="111"/>
      <c r="P1850" s="111"/>
      <c r="Q1850" s="111"/>
      <c r="R1850" s="111"/>
      <c r="S1850" s="1249">
        <v>1</v>
      </c>
      <c r="T1850" s="1250">
        <v>78.840791999999993</v>
      </c>
      <c r="U1850" s="1250"/>
      <c r="V1850" s="1250"/>
      <c r="W1850" s="1251">
        <v>0</v>
      </c>
      <c r="X1850" s="1250">
        <v>78.840791999999993</v>
      </c>
      <c r="Y1850" s="1250"/>
      <c r="Z1850" s="1250"/>
      <c r="AA1850" s="1250"/>
      <c r="AB1850" s="1250"/>
      <c r="AC1850" s="1250"/>
      <c r="AD1850" s="1250"/>
      <c r="AE1850" s="1249">
        <v>0</v>
      </c>
      <c r="AF1850" s="1250">
        <v>78.840791999999993</v>
      </c>
      <c r="AG1850" s="111"/>
      <c r="AH1850" s="111"/>
      <c r="AI1850" s="111"/>
      <c r="AJ1850" s="111"/>
      <c r="AK1850" s="111"/>
      <c r="AL1850" s="111"/>
      <c r="AM1850" s="111">
        <v>236.52237599999998</v>
      </c>
    </row>
    <row r="1851" spans="1:39" ht="15" customHeight="1" x14ac:dyDescent="0.25">
      <c r="A1851" s="1409"/>
      <c r="B1851" s="1409"/>
      <c r="C1851" s="1409"/>
      <c r="D1851" s="1409"/>
      <c r="E1851" s="1247"/>
      <c r="F1851" s="1248" t="s">
        <v>3222</v>
      </c>
      <c r="G1851" s="111"/>
      <c r="H1851" s="1249">
        <v>1</v>
      </c>
      <c r="I1851" s="111" t="s">
        <v>5283</v>
      </c>
      <c r="J1851" s="1321" t="s">
        <v>5608</v>
      </c>
      <c r="K1851" s="162" t="s">
        <v>5610</v>
      </c>
      <c r="L1851" s="162" t="s">
        <v>5609</v>
      </c>
      <c r="M1851" s="111">
        <v>21.836303999999998</v>
      </c>
      <c r="N1851" s="111">
        <v>21.836303999999998</v>
      </c>
      <c r="O1851" s="111"/>
      <c r="P1851" s="111"/>
      <c r="Q1851" s="111"/>
      <c r="R1851" s="111"/>
      <c r="S1851" s="1249">
        <v>1</v>
      </c>
      <c r="T1851" s="1250">
        <v>7.2787679999999995</v>
      </c>
      <c r="U1851" s="1250"/>
      <c r="V1851" s="1250"/>
      <c r="W1851" s="1251">
        <v>0</v>
      </c>
      <c r="X1851" s="1250">
        <v>7.2787679999999995</v>
      </c>
      <c r="Y1851" s="1250"/>
      <c r="Z1851" s="1250"/>
      <c r="AA1851" s="1250"/>
      <c r="AB1851" s="1250"/>
      <c r="AC1851" s="1250"/>
      <c r="AD1851" s="1250"/>
      <c r="AE1851" s="1249">
        <v>0</v>
      </c>
      <c r="AF1851" s="1250">
        <v>7.2787679999999995</v>
      </c>
      <c r="AG1851" s="111"/>
      <c r="AH1851" s="111"/>
      <c r="AI1851" s="111"/>
      <c r="AJ1851" s="111"/>
      <c r="AK1851" s="111"/>
      <c r="AL1851" s="111"/>
      <c r="AM1851" s="111">
        <v>21.836303999999998</v>
      </c>
    </row>
    <row r="1852" spans="1:39" ht="15" customHeight="1" x14ac:dyDescent="0.25">
      <c r="A1852" s="1409"/>
      <c r="B1852" s="1409"/>
      <c r="C1852" s="1409"/>
      <c r="D1852" s="1409"/>
      <c r="E1852" s="1247"/>
      <c r="F1852" s="1248" t="s">
        <v>3223</v>
      </c>
      <c r="G1852" s="111"/>
      <c r="H1852" s="1249">
        <v>1</v>
      </c>
      <c r="I1852" s="111" t="s">
        <v>5283</v>
      </c>
      <c r="J1852" s="1321" t="s">
        <v>5608</v>
      </c>
      <c r="K1852" s="162" t="s">
        <v>5610</v>
      </c>
      <c r="L1852" s="162" t="s">
        <v>5609</v>
      </c>
      <c r="M1852" s="111">
        <v>64.406447999999997</v>
      </c>
      <c r="N1852" s="111">
        <v>64.406447999999997</v>
      </c>
      <c r="O1852" s="111"/>
      <c r="P1852" s="111"/>
      <c r="Q1852" s="111"/>
      <c r="R1852" s="111"/>
      <c r="S1852" s="1249">
        <v>1</v>
      </c>
      <c r="T1852" s="1250">
        <v>21.468816</v>
      </c>
      <c r="U1852" s="1250"/>
      <c r="V1852" s="1250"/>
      <c r="W1852" s="1251">
        <v>0</v>
      </c>
      <c r="X1852" s="1250">
        <v>21.468816</v>
      </c>
      <c r="Y1852" s="1250"/>
      <c r="Z1852" s="1250"/>
      <c r="AA1852" s="1250"/>
      <c r="AB1852" s="1250"/>
      <c r="AC1852" s="1250"/>
      <c r="AD1852" s="1250"/>
      <c r="AE1852" s="1249">
        <v>0</v>
      </c>
      <c r="AF1852" s="1250">
        <v>21.468816</v>
      </c>
      <c r="AG1852" s="111"/>
      <c r="AH1852" s="111"/>
      <c r="AI1852" s="111"/>
      <c r="AJ1852" s="111"/>
      <c r="AK1852" s="111"/>
      <c r="AL1852" s="111"/>
      <c r="AM1852" s="111">
        <v>64.406447999999997</v>
      </c>
    </row>
    <row r="1853" spans="1:39" ht="15" customHeight="1" x14ac:dyDescent="0.25">
      <c r="A1853" s="1409"/>
      <c r="B1853" s="1409"/>
      <c r="C1853" s="1409"/>
      <c r="D1853" s="1409"/>
      <c r="E1853" s="1247"/>
      <c r="F1853" s="1248" t="s">
        <v>3224</v>
      </c>
      <c r="G1853" s="111"/>
      <c r="H1853" s="1249">
        <v>1</v>
      </c>
      <c r="I1853" s="111" t="s">
        <v>2321</v>
      </c>
      <c r="J1853" s="1321" t="s">
        <v>5608</v>
      </c>
      <c r="K1853" s="162" t="s">
        <v>5610</v>
      </c>
      <c r="L1853" s="162" t="s">
        <v>5609</v>
      </c>
      <c r="M1853" s="111">
        <v>60.510239999999996</v>
      </c>
      <c r="N1853" s="111">
        <v>60.510239999999996</v>
      </c>
      <c r="O1853" s="111"/>
      <c r="P1853" s="111"/>
      <c r="Q1853" s="111"/>
      <c r="R1853" s="111"/>
      <c r="S1853" s="1249">
        <v>1</v>
      </c>
      <c r="T1853" s="1250">
        <v>20.170079999999999</v>
      </c>
      <c r="U1853" s="1250"/>
      <c r="V1853" s="1250"/>
      <c r="W1853" s="1251">
        <v>0</v>
      </c>
      <c r="X1853" s="1250">
        <v>20.170079999999999</v>
      </c>
      <c r="Y1853" s="1250"/>
      <c r="Z1853" s="1250"/>
      <c r="AA1853" s="1250"/>
      <c r="AB1853" s="1250"/>
      <c r="AC1853" s="1250"/>
      <c r="AD1853" s="1250"/>
      <c r="AE1853" s="1249">
        <v>0</v>
      </c>
      <c r="AF1853" s="1250">
        <v>20.170079999999999</v>
      </c>
      <c r="AG1853" s="111"/>
      <c r="AH1853" s="111"/>
      <c r="AI1853" s="111"/>
      <c r="AJ1853" s="111"/>
      <c r="AK1853" s="111"/>
      <c r="AL1853" s="111"/>
      <c r="AM1853" s="111">
        <v>60.510239999999996</v>
      </c>
    </row>
    <row r="1854" spans="1:39" ht="15" customHeight="1" x14ac:dyDescent="0.25">
      <c r="A1854" s="1409"/>
      <c r="B1854" s="1409"/>
      <c r="C1854" s="1409"/>
      <c r="D1854" s="1409"/>
      <c r="E1854" s="1247"/>
      <c r="F1854" s="1248" t="s">
        <v>3225</v>
      </c>
      <c r="G1854" s="111"/>
      <c r="H1854" s="1249">
        <v>1</v>
      </c>
      <c r="I1854" s="111" t="s">
        <v>2321</v>
      </c>
      <c r="J1854" s="1321" t="s">
        <v>5608</v>
      </c>
      <c r="K1854" s="162" t="s">
        <v>5610</v>
      </c>
      <c r="L1854" s="162" t="s">
        <v>5609</v>
      </c>
      <c r="M1854" s="111">
        <v>118.3896</v>
      </c>
      <c r="N1854" s="111">
        <v>118.3896</v>
      </c>
      <c r="O1854" s="111"/>
      <c r="P1854" s="111"/>
      <c r="Q1854" s="111"/>
      <c r="R1854" s="111"/>
      <c r="S1854" s="1249">
        <v>1</v>
      </c>
      <c r="T1854" s="1250">
        <v>39.463200000000001</v>
      </c>
      <c r="U1854" s="1250"/>
      <c r="V1854" s="1250"/>
      <c r="W1854" s="1251">
        <v>0</v>
      </c>
      <c r="X1854" s="1250">
        <v>39.463200000000001</v>
      </c>
      <c r="Y1854" s="1250"/>
      <c r="Z1854" s="1250"/>
      <c r="AA1854" s="1250"/>
      <c r="AB1854" s="1250"/>
      <c r="AC1854" s="1250"/>
      <c r="AD1854" s="1250"/>
      <c r="AE1854" s="1249">
        <v>0</v>
      </c>
      <c r="AF1854" s="1250">
        <v>39.463200000000001</v>
      </c>
      <c r="AG1854" s="111"/>
      <c r="AH1854" s="111"/>
      <c r="AI1854" s="111"/>
      <c r="AJ1854" s="111"/>
      <c r="AK1854" s="111"/>
      <c r="AL1854" s="111"/>
      <c r="AM1854" s="111">
        <v>118.3896</v>
      </c>
    </row>
    <row r="1855" spans="1:39" ht="15" customHeight="1" x14ac:dyDescent="0.25">
      <c r="A1855" s="1409"/>
      <c r="B1855" s="1409"/>
      <c r="C1855" s="1409"/>
      <c r="D1855" s="1409"/>
      <c r="E1855" s="1247"/>
      <c r="F1855" s="1248" t="s">
        <v>3226</v>
      </c>
      <c r="G1855" s="111"/>
      <c r="H1855" s="1249">
        <v>1</v>
      </c>
      <c r="I1855" s="111" t="s">
        <v>2321</v>
      </c>
      <c r="J1855" s="1321" t="s">
        <v>5608</v>
      </c>
      <c r="K1855" s="162" t="s">
        <v>5610</v>
      </c>
      <c r="L1855" s="162" t="s">
        <v>5609</v>
      </c>
      <c r="M1855" s="111">
        <v>342.01439999999997</v>
      </c>
      <c r="N1855" s="111">
        <v>342.01439999999997</v>
      </c>
      <c r="O1855" s="111"/>
      <c r="P1855" s="111"/>
      <c r="Q1855" s="111"/>
      <c r="R1855" s="111"/>
      <c r="S1855" s="1249">
        <v>1</v>
      </c>
      <c r="T1855" s="1250">
        <v>114.00479999999999</v>
      </c>
      <c r="U1855" s="1250"/>
      <c r="V1855" s="1250"/>
      <c r="W1855" s="1251">
        <v>0</v>
      </c>
      <c r="X1855" s="1250">
        <v>114.00479999999999</v>
      </c>
      <c r="Y1855" s="1250"/>
      <c r="Z1855" s="1250"/>
      <c r="AA1855" s="1250"/>
      <c r="AB1855" s="1250"/>
      <c r="AC1855" s="1250"/>
      <c r="AD1855" s="1250"/>
      <c r="AE1855" s="1249">
        <v>0</v>
      </c>
      <c r="AF1855" s="1250">
        <v>114.00479999999999</v>
      </c>
      <c r="AG1855" s="111"/>
      <c r="AH1855" s="111"/>
      <c r="AI1855" s="111"/>
      <c r="AJ1855" s="111"/>
      <c r="AK1855" s="111"/>
      <c r="AL1855" s="111"/>
      <c r="AM1855" s="111">
        <v>342.01439999999997</v>
      </c>
    </row>
    <row r="1856" spans="1:39" ht="15" customHeight="1" x14ac:dyDescent="0.25">
      <c r="A1856" s="1409"/>
      <c r="B1856" s="1409"/>
      <c r="C1856" s="1409"/>
      <c r="D1856" s="1409"/>
      <c r="E1856" s="1247"/>
      <c r="F1856" s="1248" t="s">
        <v>3227</v>
      </c>
      <c r="G1856" s="111"/>
      <c r="H1856" s="1249">
        <v>1</v>
      </c>
      <c r="I1856" s="111" t="s">
        <v>2321</v>
      </c>
      <c r="J1856" s="1321" t="s">
        <v>5608</v>
      </c>
      <c r="K1856" s="162" t="s">
        <v>5610</v>
      </c>
      <c r="L1856" s="162" t="s">
        <v>5609</v>
      </c>
      <c r="M1856" s="111">
        <v>1841.616</v>
      </c>
      <c r="N1856" s="111">
        <v>1841.616</v>
      </c>
      <c r="O1856" s="111"/>
      <c r="P1856" s="111"/>
      <c r="Q1856" s="111"/>
      <c r="R1856" s="111"/>
      <c r="S1856" s="1249">
        <v>1</v>
      </c>
      <c r="T1856" s="1250">
        <v>613.87199999999996</v>
      </c>
      <c r="U1856" s="1250"/>
      <c r="V1856" s="1250"/>
      <c r="W1856" s="1251">
        <v>0</v>
      </c>
      <c r="X1856" s="1250">
        <v>613.87199999999996</v>
      </c>
      <c r="Y1856" s="1250"/>
      <c r="Z1856" s="1250"/>
      <c r="AA1856" s="1250"/>
      <c r="AB1856" s="1250"/>
      <c r="AC1856" s="1250"/>
      <c r="AD1856" s="1250"/>
      <c r="AE1856" s="1249">
        <v>0</v>
      </c>
      <c r="AF1856" s="1250">
        <v>613.87199999999996</v>
      </c>
      <c r="AG1856" s="111"/>
      <c r="AH1856" s="111"/>
      <c r="AI1856" s="111"/>
      <c r="AJ1856" s="111"/>
      <c r="AK1856" s="111"/>
      <c r="AL1856" s="111"/>
      <c r="AM1856" s="111">
        <v>1841.616</v>
      </c>
    </row>
    <row r="1857" spans="1:39" ht="15" customHeight="1" x14ac:dyDescent="0.25">
      <c r="A1857" s="1409"/>
      <c r="B1857" s="1409"/>
      <c r="C1857" s="1409"/>
      <c r="D1857" s="1409"/>
      <c r="E1857" s="1247"/>
      <c r="F1857" s="1248" t="s">
        <v>3228</v>
      </c>
      <c r="G1857" s="111"/>
      <c r="H1857" s="1249">
        <v>1</v>
      </c>
      <c r="I1857" s="111" t="s">
        <v>2321</v>
      </c>
      <c r="J1857" s="1321" t="s">
        <v>5608</v>
      </c>
      <c r="K1857" s="162" t="s">
        <v>5610</v>
      </c>
      <c r="L1857" s="162" t="s">
        <v>5609</v>
      </c>
      <c r="M1857" s="111">
        <v>223.62479999999999</v>
      </c>
      <c r="N1857" s="111">
        <v>223.62479999999999</v>
      </c>
      <c r="O1857" s="111"/>
      <c r="P1857" s="111"/>
      <c r="Q1857" s="111"/>
      <c r="R1857" s="111"/>
      <c r="S1857" s="1249">
        <v>1</v>
      </c>
      <c r="T1857" s="1250">
        <v>74.541600000000003</v>
      </c>
      <c r="U1857" s="1250"/>
      <c r="V1857" s="1250"/>
      <c r="W1857" s="1251">
        <v>0</v>
      </c>
      <c r="X1857" s="1250">
        <v>74.541600000000003</v>
      </c>
      <c r="Y1857" s="1250"/>
      <c r="Z1857" s="1250"/>
      <c r="AA1857" s="1250"/>
      <c r="AB1857" s="1250"/>
      <c r="AC1857" s="1250"/>
      <c r="AD1857" s="1250"/>
      <c r="AE1857" s="1249">
        <v>0</v>
      </c>
      <c r="AF1857" s="1250">
        <v>74.541600000000003</v>
      </c>
      <c r="AG1857" s="111"/>
      <c r="AH1857" s="111"/>
      <c r="AI1857" s="111"/>
      <c r="AJ1857" s="111"/>
      <c r="AK1857" s="111"/>
      <c r="AL1857" s="111"/>
      <c r="AM1857" s="111">
        <v>223.62479999999999</v>
      </c>
    </row>
    <row r="1858" spans="1:39" ht="15" customHeight="1" x14ac:dyDescent="0.25">
      <c r="A1858" s="1409"/>
      <c r="B1858" s="1409"/>
      <c r="C1858" s="1409"/>
      <c r="D1858" s="1409"/>
      <c r="E1858" s="1247"/>
      <c r="F1858" s="1248" t="s">
        <v>3229</v>
      </c>
      <c r="G1858" s="111"/>
      <c r="H1858" s="1249">
        <v>1</v>
      </c>
      <c r="I1858" s="111" t="s">
        <v>1721</v>
      </c>
      <c r="J1858" s="1321" t="s">
        <v>5608</v>
      </c>
      <c r="K1858" s="162" t="s">
        <v>5610</v>
      </c>
      <c r="L1858" s="162" t="s">
        <v>5609</v>
      </c>
      <c r="M1858" s="111">
        <v>1067.523408</v>
      </c>
      <c r="N1858" s="111">
        <v>1067.523408</v>
      </c>
      <c r="O1858" s="111"/>
      <c r="P1858" s="111"/>
      <c r="Q1858" s="111"/>
      <c r="R1858" s="111"/>
      <c r="S1858" s="1249">
        <v>1</v>
      </c>
      <c r="T1858" s="1250">
        <v>355.84113600000001</v>
      </c>
      <c r="U1858" s="1250"/>
      <c r="V1858" s="1250"/>
      <c r="W1858" s="1251">
        <v>0</v>
      </c>
      <c r="X1858" s="1250">
        <v>355.84113600000001</v>
      </c>
      <c r="Y1858" s="1250"/>
      <c r="Z1858" s="1250"/>
      <c r="AA1858" s="1250"/>
      <c r="AB1858" s="1250"/>
      <c r="AC1858" s="1250"/>
      <c r="AD1858" s="1250"/>
      <c r="AE1858" s="1249">
        <v>0</v>
      </c>
      <c r="AF1858" s="1250">
        <v>355.84113600000001</v>
      </c>
      <c r="AG1858" s="111"/>
      <c r="AH1858" s="111"/>
      <c r="AI1858" s="111"/>
      <c r="AJ1858" s="111"/>
      <c r="AK1858" s="111"/>
      <c r="AL1858" s="111"/>
      <c r="AM1858" s="111">
        <v>1067.523408</v>
      </c>
    </row>
    <row r="1859" spans="1:39" ht="15" customHeight="1" x14ac:dyDescent="0.25">
      <c r="A1859" s="1409"/>
      <c r="B1859" s="1409"/>
      <c r="C1859" s="1409"/>
      <c r="D1859" s="1409"/>
      <c r="E1859" s="1247"/>
      <c r="F1859" s="1248" t="s">
        <v>3230</v>
      </c>
      <c r="G1859" s="111"/>
      <c r="H1859" s="1249">
        <v>1</v>
      </c>
      <c r="I1859" s="111" t="s">
        <v>1721</v>
      </c>
      <c r="J1859" s="1321" t="s">
        <v>5608</v>
      </c>
      <c r="K1859" s="162" t="s">
        <v>5610</v>
      </c>
      <c r="L1859" s="162" t="s">
        <v>5609</v>
      </c>
      <c r="M1859" s="111">
        <v>1251.1337759999999</v>
      </c>
      <c r="N1859" s="111">
        <v>1251.1337759999999</v>
      </c>
      <c r="O1859" s="111"/>
      <c r="P1859" s="111"/>
      <c r="Q1859" s="111"/>
      <c r="R1859" s="111"/>
      <c r="S1859" s="1249">
        <v>1</v>
      </c>
      <c r="T1859" s="1250">
        <v>417.04459199999997</v>
      </c>
      <c r="U1859" s="1250"/>
      <c r="V1859" s="1250"/>
      <c r="W1859" s="1251">
        <v>0</v>
      </c>
      <c r="X1859" s="1250">
        <v>417.04459199999997</v>
      </c>
      <c r="Y1859" s="1250"/>
      <c r="Z1859" s="1250"/>
      <c r="AA1859" s="1250"/>
      <c r="AB1859" s="1250"/>
      <c r="AC1859" s="1250"/>
      <c r="AD1859" s="1250"/>
      <c r="AE1859" s="1249">
        <v>0</v>
      </c>
      <c r="AF1859" s="1250">
        <v>417.04459199999997</v>
      </c>
      <c r="AG1859" s="111"/>
      <c r="AH1859" s="111"/>
      <c r="AI1859" s="111"/>
      <c r="AJ1859" s="111"/>
      <c r="AK1859" s="111"/>
      <c r="AL1859" s="111"/>
      <c r="AM1859" s="111">
        <v>1251.1337759999999</v>
      </c>
    </row>
    <row r="1860" spans="1:39" ht="15" customHeight="1" x14ac:dyDescent="0.25">
      <c r="A1860" s="1409"/>
      <c r="B1860" s="1409"/>
      <c r="C1860" s="1409"/>
      <c r="D1860" s="1409"/>
      <c r="E1860" s="1247"/>
      <c r="F1860" s="1248" t="s">
        <v>3231</v>
      </c>
      <c r="G1860" s="111"/>
      <c r="H1860" s="1249">
        <v>1</v>
      </c>
      <c r="I1860" s="111" t="s">
        <v>5284</v>
      </c>
      <c r="J1860" s="1321" t="s">
        <v>5608</v>
      </c>
      <c r="K1860" s="162" t="s">
        <v>5610</v>
      </c>
      <c r="L1860" s="162" t="s">
        <v>5609</v>
      </c>
      <c r="M1860" s="111">
        <v>128.51848799999999</v>
      </c>
      <c r="N1860" s="111">
        <v>128.51848799999999</v>
      </c>
      <c r="O1860" s="111"/>
      <c r="P1860" s="111"/>
      <c r="Q1860" s="111"/>
      <c r="R1860" s="111"/>
      <c r="S1860" s="1249">
        <v>1</v>
      </c>
      <c r="T1860" s="1250">
        <v>42.839495999999997</v>
      </c>
      <c r="U1860" s="1250"/>
      <c r="V1860" s="1250"/>
      <c r="W1860" s="1251">
        <v>0</v>
      </c>
      <c r="X1860" s="1250">
        <v>42.839495999999997</v>
      </c>
      <c r="Y1860" s="1250"/>
      <c r="Z1860" s="1250"/>
      <c r="AA1860" s="1250"/>
      <c r="AB1860" s="1250"/>
      <c r="AC1860" s="1250"/>
      <c r="AD1860" s="1250"/>
      <c r="AE1860" s="1249">
        <v>0</v>
      </c>
      <c r="AF1860" s="1250">
        <v>42.839495999999997</v>
      </c>
      <c r="AG1860" s="111"/>
      <c r="AH1860" s="111"/>
      <c r="AI1860" s="111"/>
      <c r="AJ1860" s="111"/>
      <c r="AK1860" s="111"/>
      <c r="AL1860" s="111"/>
      <c r="AM1860" s="111">
        <v>128.51848799999999</v>
      </c>
    </row>
    <row r="1861" spans="1:39" ht="15" customHeight="1" x14ac:dyDescent="0.25">
      <c r="A1861" s="1409"/>
      <c r="B1861" s="1409"/>
      <c r="C1861" s="1409"/>
      <c r="D1861" s="1409"/>
      <c r="E1861" s="1247"/>
      <c r="F1861" s="1248" t="s">
        <v>3232</v>
      </c>
      <c r="G1861" s="111"/>
      <c r="H1861" s="1249">
        <v>1</v>
      </c>
      <c r="I1861" s="111" t="s">
        <v>1721</v>
      </c>
      <c r="J1861" s="1321" t="s">
        <v>5608</v>
      </c>
      <c r="K1861" s="162" t="s">
        <v>5610</v>
      </c>
      <c r="L1861" s="162" t="s">
        <v>5609</v>
      </c>
      <c r="M1861" s="111">
        <v>3672.0108000000005</v>
      </c>
      <c r="N1861" s="111">
        <v>3672.0108000000005</v>
      </c>
      <c r="O1861" s="111"/>
      <c r="P1861" s="111"/>
      <c r="Q1861" s="111"/>
      <c r="R1861" s="111"/>
      <c r="S1861" s="1249">
        <v>1</v>
      </c>
      <c r="T1861" s="1250">
        <v>1224.0036000000002</v>
      </c>
      <c r="U1861" s="1250"/>
      <c r="V1861" s="1250"/>
      <c r="W1861" s="1251">
        <v>0</v>
      </c>
      <c r="X1861" s="1250">
        <v>1224.0036000000002</v>
      </c>
      <c r="Y1861" s="1250"/>
      <c r="Z1861" s="1250"/>
      <c r="AA1861" s="1250"/>
      <c r="AB1861" s="1250"/>
      <c r="AC1861" s="1250"/>
      <c r="AD1861" s="1250"/>
      <c r="AE1861" s="1249">
        <v>0</v>
      </c>
      <c r="AF1861" s="1250">
        <v>1224.0036000000002</v>
      </c>
      <c r="AG1861" s="111"/>
      <c r="AH1861" s="111"/>
      <c r="AI1861" s="111"/>
      <c r="AJ1861" s="111"/>
      <c r="AK1861" s="111"/>
      <c r="AL1861" s="111"/>
      <c r="AM1861" s="111">
        <v>3672.0108000000005</v>
      </c>
    </row>
    <row r="1862" spans="1:39" ht="15" customHeight="1" x14ac:dyDescent="0.25">
      <c r="A1862" s="1409"/>
      <c r="B1862" s="1409"/>
      <c r="C1862" s="1409"/>
      <c r="D1862" s="1409"/>
      <c r="E1862" s="1247"/>
      <c r="F1862" s="1248" t="s">
        <v>3233</v>
      </c>
      <c r="G1862" s="111"/>
      <c r="H1862" s="1249">
        <v>1</v>
      </c>
      <c r="I1862" s="111" t="s">
        <v>1721</v>
      </c>
      <c r="J1862" s="1321" t="s">
        <v>5608</v>
      </c>
      <c r="K1862" s="162" t="s">
        <v>5610</v>
      </c>
      <c r="L1862" s="162" t="s">
        <v>5609</v>
      </c>
      <c r="M1862" s="111">
        <v>21.598271999999998</v>
      </c>
      <c r="N1862" s="111">
        <v>21.598271999999998</v>
      </c>
      <c r="O1862" s="111"/>
      <c r="P1862" s="111"/>
      <c r="Q1862" s="111"/>
      <c r="R1862" s="111"/>
      <c r="S1862" s="1249">
        <v>1</v>
      </c>
      <c r="T1862" s="1250">
        <v>7.1994239999999996</v>
      </c>
      <c r="U1862" s="1250"/>
      <c r="V1862" s="1250"/>
      <c r="W1862" s="1251">
        <v>0</v>
      </c>
      <c r="X1862" s="1250">
        <v>7.1994239999999996</v>
      </c>
      <c r="Y1862" s="1250"/>
      <c r="Z1862" s="1250"/>
      <c r="AA1862" s="1250"/>
      <c r="AB1862" s="1250"/>
      <c r="AC1862" s="1250"/>
      <c r="AD1862" s="1250"/>
      <c r="AE1862" s="1249">
        <v>0</v>
      </c>
      <c r="AF1862" s="1250">
        <v>7.1994239999999996</v>
      </c>
      <c r="AG1862" s="111"/>
      <c r="AH1862" s="111"/>
      <c r="AI1862" s="111"/>
      <c r="AJ1862" s="111"/>
      <c r="AK1862" s="111"/>
      <c r="AL1862" s="111"/>
      <c r="AM1862" s="111">
        <v>21.598271999999998</v>
      </c>
    </row>
    <row r="1863" spans="1:39" ht="15" customHeight="1" x14ac:dyDescent="0.25">
      <c r="A1863" s="1409"/>
      <c r="B1863" s="1409"/>
      <c r="C1863" s="1409"/>
      <c r="D1863" s="1409"/>
      <c r="E1863" s="1247"/>
      <c r="F1863" s="1248" t="s">
        <v>3234</v>
      </c>
      <c r="G1863" s="111"/>
      <c r="H1863" s="1249">
        <v>1</v>
      </c>
      <c r="I1863" s="111" t="s">
        <v>1734</v>
      </c>
      <c r="J1863" s="1321" t="s">
        <v>5608</v>
      </c>
      <c r="K1863" s="162" t="s">
        <v>5610</v>
      </c>
      <c r="L1863" s="162" t="s">
        <v>5609</v>
      </c>
      <c r="M1863" s="111">
        <v>75.578399999999988</v>
      </c>
      <c r="N1863" s="111">
        <v>75.578399999999988</v>
      </c>
      <c r="O1863" s="111"/>
      <c r="P1863" s="111"/>
      <c r="Q1863" s="111"/>
      <c r="R1863" s="111"/>
      <c r="S1863" s="1249">
        <v>1</v>
      </c>
      <c r="T1863" s="1250">
        <v>25.192799999999995</v>
      </c>
      <c r="U1863" s="1250"/>
      <c r="V1863" s="1250"/>
      <c r="W1863" s="1251">
        <v>0</v>
      </c>
      <c r="X1863" s="1250">
        <v>25.192799999999995</v>
      </c>
      <c r="Y1863" s="1250"/>
      <c r="Z1863" s="1250"/>
      <c r="AA1863" s="1250"/>
      <c r="AB1863" s="1250"/>
      <c r="AC1863" s="1250"/>
      <c r="AD1863" s="1250"/>
      <c r="AE1863" s="1249">
        <v>0</v>
      </c>
      <c r="AF1863" s="1250">
        <v>25.192799999999995</v>
      </c>
      <c r="AG1863" s="111"/>
      <c r="AH1863" s="111"/>
      <c r="AI1863" s="111"/>
      <c r="AJ1863" s="111"/>
      <c r="AK1863" s="111"/>
      <c r="AL1863" s="111"/>
      <c r="AM1863" s="111">
        <v>75.578399999999988</v>
      </c>
    </row>
    <row r="1864" spans="1:39" ht="15" customHeight="1" x14ac:dyDescent="0.25">
      <c r="A1864" s="1409"/>
      <c r="B1864" s="1409"/>
      <c r="C1864" s="1409"/>
      <c r="D1864" s="1409"/>
      <c r="E1864" s="1247"/>
      <c r="F1864" s="1248" t="s">
        <v>3235</v>
      </c>
      <c r="G1864" s="111"/>
      <c r="H1864" s="1249">
        <v>1</v>
      </c>
      <c r="I1864" s="111" t="s">
        <v>1721</v>
      </c>
      <c r="J1864" s="1321" t="s">
        <v>5608</v>
      </c>
      <c r="K1864" s="162" t="s">
        <v>5610</v>
      </c>
      <c r="L1864" s="162" t="s">
        <v>5609</v>
      </c>
      <c r="M1864" s="111">
        <v>630.15839999999992</v>
      </c>
      <c r="N1864" s="111">
        <v>630.15839999999992</v>
      </c>
      <c r="O1864" s="111"/>
      <c r="P1864" s="111"/>
      <c r="Q1864" s="111"/>
      <c r="R1864" s="111"/>
      <c r="S1864" s="1249">
        <v>1</v>
      </c>
      <c r="T1864" s="1250">
        <v>210.05279999999996</v>
      </c>
      <c r="U1864" s="1250"/>
      <c r="V1864" s="1250"/>
      <c r="W1864" s="1251">
        <v>0</v>
      </c>
      <c r="X1864" s="1250">
        <v>210.05279999999996</v>
      </c>
      <c r="Y1864" s="1250"/>
      <c r="Z1864" s="1250"/>
      <c r="AA1864" s="1250"/>
      <c r="AB1864" s="1250"/>
      <c r="AC1864" s="1250"/>
      <c r="AD1864" s="1250"/>
      <c r="AE1864" s="1249">
        <v>0</v>
      </c>
      <c r="AF1864" s="1250">
        <v>210.05279999999996</v>
      </c>
      <c r="AG1864" s="111"/>
      <c r="AH1864" s="111"/>
      <c r="AI1864" s="111"/>
      <c r="AJ1864" s="111"/>
      <c r="AK1864" s="111"/>
      <c r="AL1864" s="111"/>
      <c r="AM1864" s="111">
        <v>630.15839999999992</v>
      </c>
    </row>
    <row r="1865" spans="1:39" ht="15" customHeight="1" x14ac:dyDescent="0.25">
      <c r="A1865" s="1409"/>
      <c r="B1865" s="1409"/>
      <c r="C1865" s="1409"/>
      <c r="D1865" s="1409"/>
      <c r="E1865" s="1247"/>
      <c r="F1865" s="1248" t="s">
        <v>3236</v>
      </c>
      <c r="G1865" s="111"/>
      <c r="H1865" s="1249">
        <v>1</v>
      </c>
      <c r="I1865" s="111" t="s">
        <v>1721</v>
      </c>
      <c r="J1865" s="1321" t="s">
        <v>5608</v>
      </c>
      <c r="K1865" s="162" t="s">
        <v>5610</v>
      </c>
      <c r="L1865" s="162" t="s">
        <v>5609</v>
      </c>
      <c r="M1865" s="111">
        <v>395.88480000000004</v>
      </c>
      <c r="N1865" s="111">
        <v>395.88480000000004</v>
      </c>
      <c r="O1865" s="111"/>
      <c r="P1865" s="111"/>
      <c r="Q1865" s="111"/>
      <c r="R1865" s="111"/>
      <c r="S1865" s="1249">
        <v>1</v>
      </c>
      <c r="T1865" s="1250">
        <v>131.9616</v>
      </c>
      <c r="U1865" s="1250"/>
      <c r="V1865" s="1250"/>
      <c r="W1865" s="1251">
        <v>0</v>
      </c>
      <c r="X1865" s="1250">
        <v>131.9616</v>
      </c>
      <c r="Y1865" s="1250"/>
      <c r="Z1865" s="1250"/>
      <c r="AA1865" s="1250"/>
      <c r="AB1865" s="1250"/>
      <c r="AC1865" s="1250"/>
      <c r="AD1865" s="1250"/>
      <c r="AE1865" s="1249">
        <v>0</v>
      </c>
      <c r="AF1865" s="1250">
        <v>131.9616</v>
      </c>
      <c r="AG1865" s="111"/>
      <c r="AH1865" s="111"/>
      <c r="AI1865" s="111"/>
      <c r="AJ1865" s="111"/>
      <c r="AK1865" s="111"/>
      <c r="AL1865" s="111"/>
      <c r="AM1865" s="111">
        <v>395.88480000000004</v>
      </c>
    </row>
    <row r="1866" spans="1:39" ht="15" customHeight="1" x14ac:dyDescent="0.25">
      <c r="A1866" s="1409"/>
      <c r="B1866" s="1409"/>
      <c r="C1866" s="1409"/>
      <c r="D1866" s="1409"/>
      <c r="E1866" s="1247"/>
      <c r="F1866" s="1248" t="s">
        <v>3237</v>
      </c>
      <c r="G1866" s="111"/>
      <c r="H1866" s="1249">
        <v>1</v>
      </c>
      <c r="I1866" s="111" t="s">
        <v>1826</v>
      </c>
      <c r="J1866" s="1321" t="s">
        <v>5608</v>
      </c>
      <c r="K1866" s="162" t="s">
        <v>5610</v>
      </c>
      <c r="L1866" s="162" t="s">
        <v>5609</v>
      </c>
      <c r="M1866" s="111">
        <v>36.72</v>
      </c>
      <c r="N1866" s="111">
        <v>36.72</v>
      </c>
      <c r="O1866" s="111"/>
      <c r="P1866" s="111"/>
      <c r="Q1866" s="111"/>
      <c r="R1866" s="111"/>
      <c r="S1866" s="1249">
        <v>1</v>
      </c>
      <c r="T1866" s="1250">
        <v>12.24</v>
      </c>
      <c r="U1866" s="1250"/>
      <c r="V1866" s="1250"/>
      <c r="W1866" s="1251">
        <v>0</v>
      </c>
      <c r="X1866" s="1250">
        <v>12.24</v>
      </c>
      <c r="Y1866" s="1250"/>
      <c r="Z1866" s="1250"/>
      <c r="AA1866" s="1250"/>
      <c r="AB1866" s="1250"/>
      <c r="AC1866" s="1250"/>
      <c r="AD1866" s="1250"/>
      <c r="AE1866" s="1249">
        <v>0</v>
      </c>
      <c r="AF1866" s="1250">
        <v>12.24</v>
      </c>
      <c r="AG1866" s="111"/>
      <c r="AH1866" s="111"/>
      <c r="AI1866" s="111"/>
      <c r="AJ1866" s="111"/>
      <c r="AK1866" s="111"/>
      <c r="AL1866" s="111"/>
      <c r="AM1866" s="111">
        <v>36.72</v>
      </c>
    </row>
    <row r="1867" spans="1:39" ht="15" customHeight="1" x14ac:dyDescent="0.25">
      <c r="A1867" s="1409"/>
      <c r="B1867" s="1409"/>
      <c r="C1867" s="1409"/>
      <c r="D1867" s="1409"/>
      <c r="E1867" s="1247"/>
      <c r="F1867" s="1248" t="s">
        <v>3238</v>
      </c>
      <c r="G1867" s="111"/>
      <c r="H1867" s="1249">
        <v>1</v>
      </c>
      <c r="I1867" s="111" t="s">
        <v>2811</v>
      </c>
      <c r="J1867" s="1321" t="s">
        <v>5608</v>
      </c>
      <c r="K1867" s="162" t="s">
        <v>5610</v>
      </c>
      <c r="L1867" s="162" t="s">
        <v>5609</v>
      </c>
      <c r="M1867" s="111">
        <v>810</v>
      </c>
      <c r="N1867" s="111">
        <v>810</v>
      </c>
      <c r="O1867" s="111"/>
      <c r="P1867" s="111"/>
      <c r="Q1867" s="111"/>
      <c r="R1867" s="111"/>
      <c r="S1867" s="1249">
        <v>1</v>
      </c>
      <c r="T1867" s="1250">
        <v>270</v>
      </c>
      <c r="U1867" s="1250"/>
      <c r="V1867" s="1250"/>
      <c r="W1867" s="1251">
        <v>0</v>
      </c>
      <c r="X1867" s="1250">
        <v>270</v>
      </c>
      <c r="Y1867" s="1250"/>
      <c r="Z1867" s="1250"/>
      <c r="AA1867" s="1250"/>
      <c r="AB1867" s="1250"/>
      <c r="AC1867" s="1250"/>
      <c r="AD1867" s="1250"/>
      <c r="AE1867" s="1249">
        <v>0</v>
      </c>
      <c r="AF1867" s="1250">
        <v>270</v>
      </c>
      <c r="AG1867" s="111"/>
      <c r="AH1867" s="111"/>
      <c r="AI1867" s="111"/>
      <c r="AJ1867" s="111"/>
      <c r="AK1867" s="111"/>
      <c r="AL1867" s="111"/>
      <c r="AM1867" s="111">
        <v>810</v>
      </c>
    </row>
    <row r="1868" spans="1:39" ht="15" customHeight="1" x14ac:dyDescent="0.25">
      <c r="A1868" s="1409"/>
      <c r="B1868" s="1409"/>
      <c r="C1868" s="1409"/>
      <c r="D1868" s="1409"/>
      <c r="E1868" s="1247"/>
      <c r="F1868" s="1248" t="s">
        <v>3239</v>
      </c>
      <c r="G1868" s="111"/>
      <c r="H1868" s="1249">
        <v>1</v>
      </c>
      <c r="I1868" s="111" t="s">
        <v>5285</v>
      </c>
      <c r="J1868" s="1321" t="s">
        <v>5608</v>
      </c>
      <c r="K1868" s="162" t="s">
        <v>5610</v>
      </c>
      <c r="L1868" s="162" t="s">
        <v>5609</v>
      </c>
      <c r="M1868" s="111">
        <v>318.59956800000003</v>
      </c>
      <c r="N1868" s="111">
        <v>318.59956800000003</v>
      </c>
      <c r="O1868" s="111"/>
      <c r="P1868" s="111"/>
      <c r="Q1868" s="111"/>
      <c r="R1868" s="111"/>
      <c r="S1868" s="1249">
        <v>1</v>
      </c>
      <c r="T1868" s="1250">
        <v>106.19985600000001</v>
      </c>
      <c r="U1868" s="1250"/>
      <c r="V1868" s="1250"/>
      <c r="W1868" s="1251">
        <v>0</v>
      </c>
      <c r="X1868" s="1250">
        <v>106.19985600000001</v>
      </c>
      <c r="Y1868" s="1250"/>
      <c r="Z1868" s="1250"/>
      <c r="AA1868" s="1250"/>
      <c r="AB1868" s="1250"/>
      <c r="AC1868" s="1250"/>
      <c r="AD1868" s="1250"/>
      <c r="AE1868" s="1249">
        <v>0</v>
      </c>
      <c r="AF1868" s="1250">
        <v>106.19985600000001</v>
      </c>
      <c r="AG1868" s="111"/>
      <c r="AH1868" s="111"/>
      <c r="AI1868" s="111"/>
      <c r="AJ1868" s="111"/>
      <c r="AK1868" s="111"/>
      <c r="AL1868" s="111"/>
      <c r="AM1868" s="111">
        <v>318.59956800000003</v>
      </c>
    </row>
    <row r="1869" spans="1:39" ht="15" customHeight="1" x14ac:dyDescent="0.25">
      <c r="A1869" s="1409"/>
      <c r="B1869" s="1409"/>
      <c r="C1869" s="1409"/>
      <c r="D1869" s="1409"/>
      <c r="E1869" s="1247"/>
      <c r="F1869" s="1248" t="s">
        <v>3240</v>
      </c>
      <c r="G1869" s="111"/>
      <c r="H1869" s="1249">
        <v>1</v>
      </c>
      <c r="I1869" s="111" t="s">
        <v>5285</v>
      </c>
      <c r="J1869" s="1321" t="s">
        <v>5608</v>
      </c>
      <c r="K1869" s="162" t="s">
        <v>5610</v>
      </c>
      <c r="L1869" s="162" t="s">
        <v>5609</v>
      </c>
      <c r="M1869" s="111">
        <v>669.6</v>
      </c>
      <c r="N1869" s="111">
        <v>669.6</v>
      </c>
      <c r="O1869" s="111"/>
      <c r="P1869" s="111"/>
      <c r="Q1869" s="111"/>
      <c r="R1869" s="111"/>
      <c r="S1869" s="1249">
        <v>1</v>
      </c>
      <c r="T1869" s="1250">
        <v>223.20000000000002</v>
      </c>
      <c r="U1869" s="1250"/>
      <c r="V1869" s="1250"/>
      <c r="W1869" s="1251">
        <v>0</v>
      </c>
      <c r="X1869" s="1250">
        <v>223.20000000000002</v>
      </c>
      <c r="Y1869" s="1250"/>
      <c r="Z1869" s="1250"/>
      <c r="AA1869" s="1250"/>
      <c r="AB1869" s="1250"/>
      <c r="AC1869" s="1250"/>
      <c r="AD1869" s="1250"/>
      <c r="AE1869" s="1249">
        <v>0</v>
      </c>
      <c r="AF1869" s="1250">
        <v>223.20000000000002</v>
      </c>
      <c r="AG1869" s="111"/>
      <c r="AH1869" s="111"/>
      <c r="AI1869" s="111"/>
      <c r="AJ1869" s="111"/>
      <c r="AK1869" s="111"/>
      <c r="AL1869" s="111"/>
      <c r="AM1869" s="111">
        <v>669.6</v>
      </c>
    </row>
    <row r="1870" spans="1:39" ht="15" customHeight="1" x14ac:dyDescent="0.25">
      <c r="A1870" s="1409"/>
      <c r="B1870" s="1409"/>
      <c r="C1870" s="1409"/>
      <c r="D1870" s="1409"/>
      <c r="E1870" s="1247"/>
      <c r="F1870" s="1248" t="s">
        <v>3241</v>
      </c>
      <c r="G1870" s="111"/>
      <c r="H1870" s="1249">
        <v>1</v>
      </c>
      <c r="I1870" s="111" t="s">
        <v>5285</v>
      </c>
      <c r="J1870" s="1321" t="s">
        <v>5608</v>
      </c>
      <c r="K1870" s="162" t="s">
        <v>5610</v>
      </c>
      <c r="L1870" s="162" t="s">
        <v>5609</v>
      </c>
      <c r="M1870" s="111">
        <v>734.40000000000009</v>
      </c>
      <c r="N1870" s="111">
        <v>734.40000000000009</v>
      </c>
      <c r="O1870" s="111"/>
      <c r="P1870" s="111"/>
      <c r="Q1870" s="111"/>
      <c r="R1870" s="111"/>
      <c r="S1870" s="1249">
        <v>1</v>
      </c>
      <c r="T1870" s="1250">
        <v>244.80000000000004</v>
      </c>
      <c r="U1870" s="1250"/>
      <c r="V1870" s="1250"/>
      <c r="W1870" s="1251">
        <v>0</v>
      </c>
      <c r="X1870" s="1250">
        <v>244.80000000000004</v>
      </c>
      <c r="Y1870" s="1250"/>
      <c r="Z1870" s="1250"/>
      <c r="AA1870" s="1250"/>
      <c r="AB1870" s="1250"/>
      <c r="AC1870" s="1250"/>
      <c r="AD1870" s="1250"/>
      <c r="AE1870" s="1249">
        <v>0</v>
      </c>
      <c r="AF1870" s="1250">
        <v>244.80000000000004</v>
      </c>
      <c r="AG1870" s="111"/>
      <c r="AH1870" s="111"/>
      <c r="AI1870" s="111"/>
      <c r="AJ1870" s="111"/>
      <c r="AK1870" s="111"/>
      <c r="AL1870" s="111"/>
      <c r="AM1870" s="111">
        <v>734.40000000000009</v>
      </c>
    </row>
    <row r="1871" spans="1:39" ht="15" customHeight="1" x14ac:dyDescent="0.25">
      <c r="A1871" s="1409"/>
      <c r="B1871" s="1409"/>
      <c r="C1871" s="1409"/>
      <c r="D1871" s="1409"/>
      <c r="E1871" s="1247"/>
      <c r="F1871" s="1248" t="s">
        <v>3242</v>
      </c>
      <c r="G1871" s="111"/>
      <c r="H1871" s="1249">
        <v>1</v>
      </c>
      <c r="I1871" s="111" t="s">
        <v>5285</v>
      </c>
      <c r="J1871" s="1321" t="s">
        <v>5608</v>
      </c>
      <c r="K1871" s="162" t="s">
        <v>5610</v>
      </c>
      <c r="L1871" s="162" t="s">
        <v>5609</v>
      </c>
      <c r="M1871" s="111">
        <v>551.23199999999997</v>
      </c>
      <c r="N1871" s="111">
        <v>551.23199999999997</v>
      </c>
      <c r="O1871" s="111"/>
      <c r="P1871" s="111"/>
      <c r="Q1871" s="111"/>
      <c r="R1871" s="111"/>
      <c r="S1871" s="1249">
        <v>1</v>
      </c>
      <c r="T1871" s="1250">
        <v>183.744</v>
      </c>
      <c r="U1871" s="1250"/>
      <c r="V1871" s="1250"/>
      <c r="W1871" s="1251">
        <v>0</v>
      </c>
      <c r="X1871" s="1250">
        <v>183.744</v>
      </c>
      <c r="Y1871" s="1250"/>
      <c r="Z1871" s="1250"/>
      <c r="AA1871" s="1250"/>
      <c r="AB1871" s="1250"/>
      <c r="AC1871" s="1250"/>
      <c r="AD1871" s="1250"/>
      <c r="AE1871" s="1249">
        <v>0</v>
      </c>
      <c r="AF1871" s="1250">
        <v>183.744</v>
      </c>
      <c r="AG1871" s="111"/>
      <c r="AH1871" s="111"/>
      <c r="AI1871" s="111"/>
      <c r="AJ1871" s="111"/>
      <c r="AK1871" s="111"/>
      <c r="AL1871" s="111"/>
      <c r="AM1871" s="111">
        <v>551.23199999999997</v>
      </c>
    </row>
    <row r="1872" spans="1:39" ht="15" customHeight="1" x14ac:dyDescent="0.25">
      <c r="A1872" s="1409"/>
      <c r="B1872" s="1409"/>
      <c r="C1872" s="1409"/>
      <c r="D1872" s="1409"/>
      <c r="E1872" s="1247"/>
      <c r="F1872" s="1248" t="s">
        <v>3243</v>
      </c>
      <c r="G1872" s="111"/>
      <c r="H1872" s="1249">
        <v>1</v>
      </c>
      <c r="I1872" s="111" t="s">
        <v>5285</v>
      </c>
      <c r="J1872" s="1321" t="s">
        <v>5608</v>
      </c>
      <c r="K1872" s="162" t="s">
        <v>5610</v>
      </c>
      <c r="L1872" s="162" t="s">
        <v>5609</v>
      </c>
      <c r="M1872" s="111">
        <v>918.00000000000011</v>
      </c>
      <c r="N1872" s="111">
        <v>918.00000000000011</v>
      </c>
      <c r="O1872" s="111"/>
      <c r="P1872" s="111"/>
      <c r="Q1872" s="111"/>
      <c r="R1872" s="111"/>
      <c r="S1872" s="1249">
        <v>1</v>
      </c>
      <c r="T1872" s="1250">
        <v>306.00000000000006</v>
      </c>
      <c r="U1872" s="1250"/>
      <c r="V1872" s="1250"/>
      <c r="W1872" s="1251">
        <v>0</v>
      </c>
      <c r="X1872" s="1250">
        <v>306.00000000000006</v>
      </c>
      <c r="Y1872" s="1250"/>
      <c r="Z1872" s="1250"/>
      <c r="AA1872" s="1250"/>
      <c r="AB1872" s="1250"/>
      <c r="AC1872" s="1250"/>
      <c r="AD1872" s="1250"/>
      <c r="AE1872" s="1249">
        <v>0</v>
      </c>
      <c r="AF1872" s="1250">
        <v>306.00000000000006</v>
      </c>
      <c r="AG1872" s="111"/>
      <c r="AH1872" s="111"/>
      <c r="AI1872" s="111"/>
      <c r="AJ1872" s="111"/>
      <c r="AK1872" s="111"/>
      <c r="AL1872" s="111"/>
      <c r="AM1872" s="111">
        <v>918.00000000000011</v>
      </c>
    </row>
    <row r="1873" spans="1:39" ht="15" customHeight="1" x14ac:dyDescent="0.25">
      <c r="A1873" s="1409"/>
      <c r="B1873" s="1409"/>
      <c r="C1873" s="1409"/>
      <c r="D1873" s="1409"/>
      <c r="E1873" s="1247"/>
      <c r="F1873" s="1248" t="s">
        <v>3244</v>
      </c>
      <c r="G1873" s="111"/>
      <c r="H1873" s="1249">
        <v>1</v>
      </c>
      <c r="I1873" s="111" t="s">
        <v>5285</v>
      </c>
      <c r="J1873" s="1321" t="s">
        <v>5608</v>
      </c>
      <c r="K1873" s="162" t="s">
        <v>5610</v>
      </c>
      <c r="L1873" s="162" t="s">
        <v>5609</v>
      </c>
      <c r="M1873" s="111">
        <v>1512</v>
      </c>
      <c r="N1873" s="111">
        <v>1512</v>
      </c>
      <c r="O1873" s="111"/>
      <c r="P1873" s="111"/>
      <c r="Q1873" s="111"/>
      <c r="R1873" s="111"/>
      <c r="S1873" s="1249">
        <v>1</v>
      </c>
      <c r="T1873" s="1250">
        <v>504</v>
      </c>
      <c r="U1873" s="1250"/>
      <c r="V1873" s="1250"/>
      <c r="W1873" s="1251">
        <v>0</v>
      </c>
      <c r="X1873" s="1250">
        <v>504</v>
      </c>
      <c r="Y1873" s="1250"/>
      <c r="Z1873" s="1250"/>
      <c r="AA1873" s="1250"/>
      <c r="AB1873" s="1250"/>
      <c r="AC1873" s="1250"/>
      <c r="AD1873" s="1250"/>
      <c r="AE1873" s="1249">
        <v>0</v>
      </c>
      <c r="AF1873" s="1250">
        <v>504</v>
      </c>
      <c r="AG1873" s="111"/>
      <c r="AH1873" s="111"/>
      <c r="AI1873" s="111"/>
      <c r="AJ1873" s="111"/>
      <c r="AK1873" s="111"/>
      <c r="AL1873" s="111"/>
      <c r="AM1873" s="111">
        <v>1512</v>
      </c>
    </row>
    <row r="1874" spans="1:39" ht="15" customHeight="1" x14ac:dyDescent="0.25">
      <c r="A1874" s="1409"/>
      <c r="B1874" s="1409"/>
      <c r="C1874" s="1409"/>
      <c r="D1874" s="1409"/>
      <c r="E1874" s="1247"/>
      <c r="F1874" s="1248" t="s">
        <v>3245</v>
      </c>
      <c r="G1874" s="111"/>
      <c r="H1874" s="1249">
        <v>1</v>
      </c>
      <c r="I1874" s="111" t="s">
        <v>5285</v>
      </c>
      <c r="J1874" s="1321" t="s">
        <v>5608</v>
      </c>
      <c r="K1874" s="162" t="s">
        <v>5610</v>
      </c>
      <c r="L1874" s="162" t="s">
        <v>5609</v>
      </c>
      <c r="M1874" s="111">
        <v>1728</v>
      </c>
      <c r="N1874" s="111">
        <v>1728</v>
      </c>
      <c r="O1874" s="111"/>
      <c r="P1874" s="111"/>
      <c r="Q1874" s="111"/>
      <c r="R1874" s="111"/>
      <c r="S1874" s="1249">
        <v>1</v>
      </c>
      <c r="T1874" s="1250">
        <v>576</v>
      </c>
      <c r="U1874" s="1250"/>
      <c r="V1874" s="1250"/>
      <c r="W1874" s="1251">
        <v>0</v>
      </c>
      <c r="X1874" s="1250">
        <v>576</v>
      </c>
      <c r="Y1874" s="1250"/>
      <c r="Z1874" s="1250"/>
      <c r="AA1874" s="1250"/>
      <c r="AB1874" s="1250"/>
      <c r="AC1874" s="1250"/>
      <c r="AD1874" s="1250"/>
      <c r="AE1874" s="1249">
        <v>0</v>
      </c>
      <c r="AF1874" s="1250">
        <v>576</v>
      </c>
      <c r="AG1874" s="111"/>
      <c r="AH1874" s="111"/>
      <c r="AI1874" s="111"/>
      <c r="AJ1874" s="111"/>
      <c r="AK1874" s="111"/>
      <c r="AL1874" s="111"/>
      <c r="AM1874" s="111">
        <v>1728</v>
      </c>
    </row>
    <row r="1875" spans="1:39" ht="15" customHeight="1" x14ac:dyDescent="0.25">
      <c r="A1875" s="1409"/>
      <c r="B1875" s="1409"/>
      <c r="C1875" s="1409"/>
      <c r="D1875" s="1409"/>
      <c r="E1875" s="1247"/>
      <c r="F1875" s="1248" t="s">
        <v>3246</v>
      </c>
      <c r="G1875" s="111"/>
      <c r="H1875" s="1249">
        <v>1</v>
      </c>
      <c r="I1875" s="111" t="s">
        <v>5285</v>
      </c>
      <c r="J1875" s="1321" t="s">
        <v>5608</v>
      </c>
      <c r="K1875" s="162" t="s">
        <v>5610</v>
      </c>
      <c r="L1875" s="162" t="s">
        <v>5609</v>
      </c>
      <c r="M1875" s="111">
        <v>2052</v>
      </c>
      <c r="N1875" s="111">
        <v>2052</v>
      </c>
      <c r="O1875" s="111"/>
      <c r="P1875" s="111"/>
      <c r="Q1875" s="111"/>
      <c r="R1875" s="111"/>
      <c r="S1875" s="1249">
        <v>1</v>
      </c>
      <c r="T1875" s="1250">
        <v>684</v>
      </c>
      <c r="U1875" s="1250"/>
      <c r="V1875" s="1250"/>
      <c r="W1875" s="1251">
        <v>0</v>
      </c>
      <c r="X1875" s="1250">
        <v>684</v>
      </c>
      <c r="Y1875" s="1250"/>
      <c r="Z1875" s="1250"/>
      <c r="AA1875" s="1250"/>
      <c r="AB1875" s="1250"/>
      <c r="AC1875" s="1250"/>
      <c r="AD1875" s="1250"/>
      <c r="AE1875" s="1249">
        <v>0</v>
      </c>
      <c r="AF1875" s="1250">
        <v>684</v>
      </c>
      <c r="AG1875" s="111"/>
      <c r="AH1875" s="111"/>
      <c r="AI1875" s="111"/>
      <c r="AJ1875" s="111"/>
      <c r="AK1875" s="111"/>
      <c r="AL1875" s="111"/>
      <c r="AM1875" s="111">
        <v>2052</v>
      </c>
    </row>
    <row r="1876" spans="1:39" ht="15" customHeight="1" x14ac:dyDescent="0.25">
      <c r="A1876" s="1409"/>
      <c r="B1876" s="1409"/>
      <c r="C1876" s="1409"/>
      <c r="D1876" s="1409"/>
      <c r="E1876" s="1247"/>
      <c r="F1876" s="1248" t="s">
        <v>3247</v>
      </c>
      <c r="G1876" s="111"/>
      <c r="H1876" s="1249">
        <v>1</v>
      </c>
      <c r="I1876" s="111" t="s">
        <v>5285</v>
      </c>
      <c r="J1876" s="1321" t="s">
        <v>5608</v>
      </c>
      <c r="K1876" s="162" t="s">
        <v>5610</v>
      </c>
      <c r="L1876" s="162" t="s">
        <v>5609</v>
      </c>
      <c r="M1876" s="111">
        <v>551.23199999999997</v>
      </c>
      <c r="N1876" s="111">
        <v>551.23199999999997</v>
      </c>
      <c r="O1876" s="111"/>
      <c r="P1876" s="111"/>
      <c r="Q1876" s="111"/>
      <c r="R1876" s="111"/>
      <c r="S1876" s="1249">
        <v>1</v>
      </c>
      <c r="T1876" s="1250">
        <v>183.744</v>
      </c>
      <c r="U1876" s="1250"/>
      <c r="V1876" s="1250"/>
      <c r="W1876" s="1251">
        <v>0</v>
      </c>
      <c r="X1876" s="1250">
        <v>183.744</v>
      </c>
      <c r="Y1876" s="1250"/>
      <c r="Z1876" s="1250"/>
      <c r="AA1876" s="1250"/>
      <c r="AB1876" s="1250"/>
      <c r="AC1876" s="1250"/>
      <c r="AD1876" s="1250"/>
      <c r="AE1876" s="1249">
        <v>0</v>
      </c>
      <c r="AF1876" s="1250">
        <v>183.744</v>
      </c>
      <c r="AG1876" s="111"/>
      <c r="AH1876" s="111"/>
      <c r="AI1876" s="111"/>
      <c r="AJ1876" s="111"/>
      <c r="AK1876" s="111"/>
      <c r="AL1876" s="111"/>
      <c r="AM1876" s="111">
        <v>551.23199999999997</v>
      </c>
    </row>
    <row r="1877" spans="1:39" ht="15" customHeight="1" x14ac:dyDescent="0.25">
      <c r="A1877" s="1409"/>
      <c r="B1877" s="1409"/>
      <c r="C1877" s="1409"/>
      <c r="D1877" s="1409"/>
      <c r="E1877" s="1247"/>
      <c r="F1877" s="1248" t="s">
        <v>3248</v>
      </c>
      <c r="G1877" s="111"/>
      <c r="H1877" s="1249">
        <v>1</v>
      </c>
      <c r="I1877" s="111" t="s">
        <v>5285</v>
      </c>
      <c r="J1877" s="1321" t="s">
        <v>5608</v>
      </c>
      <c r="K1877" s="162" t="s">
        <v>5610</v>
      </c>
      <c r="L1877" s="162" t="s">
        <v>5609</v>
      </c>
      <c r="M1877" s="111">
        <v>651.45600000000002</v>
      </c>
      <c r="N1877" s="111">
        <v>651.45600000000002</v>
      </c>
      <c r="O1877" s="111"/>
      <c r="P1877" s="111"/>
      <c r="Q1877" s="111"/>
      <c r="R1877" s="111"/>
      <c r="S1877" s="1249">
        <v>1</v>
      </c>
      <c r="T1877" s="1250">
        <v>217.15200000000002</v>
      </c>
      <c r="U1877" s="1250"/>
      <c r="V1877" s="1250"/>
      <c r="W1877" s="1251">
        <v>0</v>
      </c>
      <c r="X1877" s="1250">
        <v>217.15200000000002</v>
      </c>
      <c r="Y1877" s="1250"/>
      <c r="Z1877" s="1250"/>
      <c r="AA1877" s="1250"/>
      <c r="AB1877" s="1250"/>
      <c r="AC1877" s="1250"/>
      <c r="AD1877" s="1250"/>
      <c r="AE1877" s="1249">
        <v>0</v>
      </c>
      <c r="AF1877" s="1250">
        <v>217.15200000000002</v>
      </c>
      <c r="AG1877" s="111"/>
      <c r="AH1877" s="111"/>
      <c r="AI1877" s="111"/>
      <c r="AJ1877" s="111"/>
      <c r="AK1877" s="111"/>
      <c r="AL1877" s="111"/>
      <c r="AM1877" s="111">
        <v>651.45600000000002</v>
      </c>
    </row>
    <row r="1878" spans="1:39" ht="15" customHeight="1" x14ac:dyDescent="0.25">
      <c r="A1878" s="1409"/>
      <c r="B1878" s="1409"/>
      <c r="C1878" s="1409"/>
      <c r="D1878" s="1409"/>
      <c r="E1878" s="1247"/>
      <c r="F1878" s="1248" t="s">
        <v>3249</v>
      </c>
      <c r="G1878" s="111"/>
      <c r="H1878" s="1249">
        <v>1</v>
      </c>
      <c r="I1878" s="111" t="s">
        <v>1721</v>
      </c>
      <c r="J1878" s="1321" t="s">
        <v>5608</v>
      </c>
      <c r="K1878" s="162" t="s">
        <v>5610</v>
      </c>
      <c r="L1878" s="162" t="s">
        <v>5609</v>
      </c>
      <c r="M1878" s="111">
        <v>270</v>
      </c>
      <c r="N1878" s="111">
        <v>270</v>
      </c>
      <c r="O1878" s="111"/>
      <c r="P1878" s="111"/>
      <c r="Q1878" s="111"/>
      <c r="R1878" s="111"/>
      <c r="S1878" s="1249">
        <v>1</v>
      </c>
      <c r="T1878" s="1250">
        <v>90</v>
      </c>
      <c r="U1878" s="1250"/>
      <c r="V1878" s="1250"/>
      <c r="W1878" s="1251">
        <v>0</v>
      </c>
      <c r="X1878" s="1250">
        <v>90</v>
      </c>
      <c r="Y1878" s="1250"/>
      <c r="Z1878" s="1250"/>
      <c r="AA1878" s="1250"/>
      <c r="AB1878" s="1250"/>
      <c r="AC1878" s="1250"/>
      <c r="AD1878" s="1250"/>
      <c r="AE1878" s="1249">
        <v>0</v>
      </c>
      <c r="AF1878" s="1250">
        <v>90</v>
      </c>
      <c r="AG1878" s="111"/>
      <c r="AH1878" s="111"/>
      <c r="AI1878" s="111"/>
      <c r="AJ1878" s="111"/>
      <c r="AK1878" s="111"/>
      <c r="AL1878" s="111"/>
      <c r="AM1878" s="111">
        <v>270</v>
      </c>
    </row>
    <row r="1879" spans="1:39" ht="15" customHeight="1" x14ac:dyDescent="0.25">
      <c r="A1879" s="1409"/>
      <c r="B1879" s="1409"/>
      <c r="C1879" s="1409"/>
      <c r="D1879" s="1409"/>
      <c r="E1879" s="1247"/>
      <c r="F1879" s="1248" t="s">
        <v>3250</v>
      </c>
      <c r="G1879" s="111"/>
      <c r="H1879" s="1249">
        <v>1</v>
      </c>
      <c r="I1879" s="111" t="s">
        <v>2100</v>
      </c>
      <c r="J1879" s="1321" t="s">
        <v>5608</v>
      </c>
      <c r="K1879" s="162" t="s">
        <v>5610</v>
      </c>
      <c r="L1879" s="162" t="s">
        <v>5609</v>
      </c>
      <c r="M1879" s="111">
        <v>1296</v>
      </c>
      <c r="N1879" s="111">
        <v>1296</v>
      </c>
      <c r="O1879" s="111"/>
      <c r="P1879" s="111"/>
      <c r="Q1879" s="111"/>
      <c r="R1879" s="111"/>
      <c r="S1879" s="1249">
        <v>1</v>
      </c>
      <c r="T1879" s="1250">
        <v>432</v>
      </c>
      <c r="U1879" s="1250"/>
      <c r="V1879" s="1250"/>
      <c r="W1879" s="1251">
        <v>0</v>
      </c>
      <c r="X1879" s="1250">
        <v>432</v>
      </c>
      <c r="Y1879" s="1250"/>
      <c r="Z1879" s="1250"/>
      <c r="AA1879" s="1250"/>
      <c r="AB1879" s="1250"/>
      <c r="AC1879" s="1250"/>
      <c r="AD1879" s="1250"/>
      <c r="AE1879" s="1249">
        <v>0</v>
      </c>
      <c r="AF1879" s="1250">
        <v>432</v>
      </c>
      <c r="AG1879" s="111"/>
      <c r="AH1879" s="111"/>
      <c r="AI1879" s="111"/>
      <c r="AJ1879" s="111"/>
      <c r="AK1879" s="111"/>
      <c r="AL1879" s="111"/>
      <c r="AM1879" s="111">
        <v>1296</v>
      </c>
    </row>
    <row r="1880" spans="1:39" ht="15" customHeight="1" x14ac:dyDescent="0.25">
      <c r="A1880" s="1409"/>
      <c r="B1880" s="1409"/>
      <c r="C1880" s="1409"/>
      <c r="D1880" s="1409"/>
      <c r="E1880" s="1247"/>
      <c r="F1880" s="1248" t="s">
        <v>3251</v>
      </c>
      <c r="G1880" s="111"/>
      <c r="H1880" s="1249">
        <v>1</v>
      </c>
      <c r="I1880" s="111" t="s">
        <v>5285</v>
      </c>
      <c r="J1880" s="1321" t="s">
        <v>5608</v>
      </c>
      <c r="K1880" s="162" t="s">
        <v>5610</v>
      </c>
      <c r="L1880" s="162" t="s">
        <v>5609</v>
      </c>
      <c r="M1880" s="111">
        <v>1483.9165439999999</v>
      </c>
      <c r="N1880" s="111">
        <v>1483.9165439999999</v>
      </c>
      <c r="O1880" s="111"/>
      <c r="P1880" s="111"/>
      <c r="Q1880" s="111"/>
      <c r="R1880" s="111"/>
      <c r="S1880" s="1249">
        <v>1</v>
      </c>
      <c r="T1880" s="1250">
        <v>494.638848</v>
      </c>
      <c r="U1880" s="1250"/>
      <c r="V1880" s="1250"/>
      <c r="W1880" s="1251">
        <v>0</v>
      </c>
      <c r="X1880" s="1250">
        <v>494.638848</v>
      </c>
      <c r="Y1880" s="1250"/>
      <c r="Z1880" s="1250"/>
      <c r="AA1880" s="1250"/>
      <c r="AB1880" s="1250"/>
      <c r="AC1880" s="1250"/>
      <c r="AD1880" s="1250"/>
      <c r="AE1880" s="1249">
        <v>0</v>
      </c>
      <c r="AF1880" s="1250">
        <v>494.638848</v>
      </c>
      <c r="AG1880" s="111"/>
      <c r="AH1880" s="111"/>
      <c r="AI1880" s="111"/>
      <c r="AJ1880" s="111"/>
      <c r="AK1880" s="111"/>
      <c r="AL1880" s="111"/>
      <c r="AM1880" s="111">
        <v>1483.9165439999999</v>
      </c>
    </row>
    <row r="1881" spans="1:39" ht="15" customHeight="1" x14ac:dyDescent="0.25">
      <c r="A1881" s="1409"/>
      <c r="B1881" s="1409"/>
      <c r="C1881" s="1409"/>
      <c r="D1881" s="1409"/>
      <c r="E1881" s="1247"/>
      <c r="F1881" s="1248" t="s">
        <v>3252</v>
      </c>
      <c r="G1881" s="111"/>
      <c r="H1881" s="1249">
        <v>1</v>
      </c>
      <c r="I1881" s="111" t="s">
        <v>5285</v>
      </c>
      <c r="J1881" s="1321" t="s">
        <v>5608</v>
      </c>
      <c r="K1881" s="162" t="s">
        <v>5610</v>
      </c>
      <c r="L1881" s="162" t="s">
        <v>5609</v>
      </c>
      <c r="M1881" s="111">
        <v>3194.6400000000003</v>
      </c>
      <c r="N1881" s="111">
        <v>3194.6400000000003</v>
      </c>
      <c r="O1881" s="111"/>
      <c r="P1881" s="111"/>
      <c r="Q1881" s="111"/>
      <c r="R1881" s="111"/>
      <c r="S1881" s="1249">
        <v>1</v>
      </c>
      <c r="T1881" s="1250">
        <v>1064.8800000000001</v>
      </c>
      <c r="U1881" s="1250"/>
      <c r="V1881" s="1250"/>
      <c r="W1881" s="1251">
        <v>0</v>
      </c>
      <c r="X1881" s="1250">
        <v>1064.8800000000001</v>
      </c>
      <c r="Y1881" s="1250"/>
      <c r="Z1881" s="1250"/>
      <c r="AA1881" s="1250"/>
      <c r="AB1881" s="1250"/>
      <c r="AC1881" s="1250"/>
      <c r="AD1881" s="1250"/>
      <c r="AE1881" s="1249">
        <v>0</v>
      </c>
      <c r="AF1881" s="1250">
        <v>1064.8800000000001</v>
      </c>
      <c r="AG1881" s="111"/>
      <c r="AH1881" s="111"/>
      <c r="AI1881" s="111"/>
      <c r="AJ1881" s="111"/>
      <c r="AK1881" s="111"/>
      <c r="AL1881" s="111"/>
      <c r="AM1881" s="111">
        <v>3194.6400000000003</v>
      </c>
    </row>
    <row r="1882" spans="1:39" ht="15" customHeight="1" x14ac:dyDescent="0.25">
      <c r="A1882" s="1409"/>
      <c r="B1882" s="1409"/>
      <c r="C1882" s="1409"/>
      <c r="D1882" s="1409"/>
      <c r="E1882" s="1247"/>
      <c r="F1882" s="1248" t="s">
        <v>3253</v>
      </c>
      <c r="G1882" s="111"/>
      <c r="H1882" s="1249">
        <v>1</v>
      </c>
      <c r="I1882" s="111" t="s">
        <v>5285</v>
      </c>
      <c r="J1882" s="1321" t="s">
        <v>5608</v>
      </c>
      <c r="K1882" s="162" t="s">
        <v>5610</v>
      </c>
      <c r="L1882" s="162" t="s">
        <v>5609</v>
      </c>
      <c r="M1882" s="111">
        <v>572.40431999999998</v>
      </c>
      <c r="N1882" s="111">
        <v>572.40431999999998</v>
      </c>
      <c r="O1882" s="111"/>
      <c r="P1882" s="111"/>
      <c r="Q1882" s="111"/>
      <c r="R1882" s="111"/>
      <c r="S1882" s="1249">
        <v>1</v>
      </c>
      <c r="T1882" s="1250">
        <v>190.80143999999999</v>
      </c>
      <c r="U1882" s="1250"/>
      <c r="V1882" s="1250"/>
      <c r="W1882" s="1251">
        <v>0</v>
      </c>
      <c r="X1882" s="1250">
        <v>190.80143999999999</v>
      </c>
      <c r="Y1882" s="1250"/>
      <c r="Z1882" s="1250"/>
      <c r="AA1882" s="1250"/>
      <c r="AB1882" s="1250"/>
      <c r="AC1882" s="1250"/>
      <c r="AD1882" s="1250"/>
      <c r="AE1882" s="1249">
        <v>0</v>
      </c>
      <c r="AF1882" s="1250">
        <v>190.80143999999999</v>
      </c>
      <c r="AG1882" s="111"/>
      <c r="AH1882" s="111"/>
      <c r="AI1882" s="111"/>
      <c r="AJ1882" s="111"/>
      <c r="AK1882" s="111"/>
      <c r="AL1882" s="111"/>
      <c r="AM1882" s="111">
        <v>572.40431999999998</v>
      </c>
    </row>
    <row r="1883" spans="1:39" ht="15" customHeight="1" x14ac:dyDescent="0.25">
      <c r="A1883" s="1409"/>
      <c r="B1883" s="1409"/>
      <c r="C1883" s="1409"/>
      <c r="D1883" s="1409"/>
      <c r="E1883" s="1247"/>
      <c r="F1883" s="1248" t="s">
        <v>3254</v>
      </c>
      <c r="G1883" s="111"/>
      <c r="H1883" s="1249">
        <v>1</v>
      </c>
      <c r="I1883" s="111" t="s">
        <v>5285</v>
      </c>
      <c r="J1883" s="1321" t="s">
        <v>5608</v>
      </c>
      <c r="K1883" s="162" t="s">
        <v>5610</v>
      </c>
      <c r="L1883" s="162" t="s">
        <v>5609</v>
      </c>
      <c r="M1883" s="111">
        <v>725.75956799999994</v>
      </c>
      <c r="N1883" s="111">
        <v>725.75956799999994</v>
      </c>
      <c r="O1883" s="111"/>
      <c r="P1883" s="111"/>
      <c r="Q1883" s="111"/>
      <c r="R1883" s="111"/>
      <c r="S1883" s="1249">
        <v>1</v>
      </c>
      <c r="T1883" s="1250">
        <v>241.91985599999998</v>
      </c>
      <c r="U1883" s="1250"/>
      <c r="V1883" s="1250"/>
      <c r="W1883" s="1251">
        <v>0</v>
      </c>
      <c r="X1883" s="1250">
        <v>241.91985599999998</v>
      </c>
      <c r="Y1883" s="1250"/>
      <c r="Z1883" s="1250"/>
      <c r="AA1883" s="1250"/>
      <c r="AB1883" s="1250"/>
      <c r="AC1883" s="1250"/>
      <c r="AD1883" s="1250"/>
      <c r="AE1883" s="1249">
        <v>0</v>
      </c>
      <c r="AF1883" s="1250">
        <v>241.91985599999998</v>
      </c>
      <c r="AG1883" s="111"/>
      <c r="AH1883" s="111"/>
      <c r="AI1883" s="111"/>
      <c r="AJ1883" s="111"/>
      <c r="AK1883" s="111"/>
      <c r="AL1883" s="111"/>
      <c r="AM1883" s="111">
        <v>725.75956799999994</v>
      </c>
    </row>
    <row r="1884" spans="1:39" ht="15" customHeight="1" x14ac:dyDescent="0.25">
      <c r="A1884" s="1409"/>
      <c r="B1884" s="1409"/>
      <c r="C1884" s="1409"/>
      <c r="D1884" s="1409"/>
      <c r="E1884" s="1247"/>
      <c r="F1884" s="1248" t="s">
        <v>3255</v>
      </c>
      <c r="G1884" s="111"/>
      <c r="H1884" s="1249">
        <v>1</v>
      </c>
      <c r="I1884" s="111" t="s">
        <v>5285</v>
      </c>
      <c r="J1884" s="1321" t="s">
        <v>5608</v>
      </c>
      <c r="K1884" s="162" t="s">
        <v>5610</v>
      </c>
      <c r="L1884" s="162" t="s">
        <v>5609</v>
      </c>
      <c r="M1884" s="111">
        <v>4492.8038880000004</v>
      </c>
      <c r="N1884" s="111">
        <v>4492.8038880000004</v>
      </c>
      <c r="O1884" s="111"/>
      <c r="P1884" s="111"/>
      <c r="Q1884" s="111"/>
      <c r="R1884" s="111"/>
      <c r="S1884" s="1249">
        <v>1</v>
      </c>
      <c r="T1884" s="1250">
        <v>1497.601296</v>
      </c>
      <c r="U1884" s="1250"/>
      <c r="V1884" s="1250"/>
      <c r="W1884" s="1251">
        <v>0</v>
      </c>
      <c r="X1884" s="1250">
        <v>1497.601296</v>
      </c>
      <c r="Y1884" s="1250"/>
      <c r="Z1884" s="1250"/>
      <c r="AA1884" s="1250"/>
      <c r="AB1884" s="1250"/>
      <c r="AC1884" s="1250"/>
      <c r="AD1884" s="1250"/>
      <c r="AE1884" s="1249">
        <v>0</v>
      </c>
      <c r="AF1884" s="1250">
        <v>1497.601296</v>
      </c>
      <c r="AG1884" s="111"/>
      <c r="AH1884" s="111"/>
      <c r="AI1884" s="111"/>
      <c r="AJ1884" s="111"/>
      <c r="AK1884" s="111"/>
      <c r="AL1884" s="111"/>
      <c r="AM1884" s="111">
        <v>4492.8038880000004</v>
      </c>
    </row>
    <row r="1885" spans="1:39" ht="15" customHeight="1" x14ac:dyDescent="0.25">
      <c r="A1885" s="1409"/>
      <c r="B1885" s="1409"/>
      <c r="C1885" s="1409"/>
      <c r="D1885" s="1409"/>
      <c r="E1885" s="1247"/>
      <c r="F1885" s="1248" t="s">
        <v>3256</v>
      </c>
      <c r="G1885" s="111"/>
      <c r="H1885" s="1249">
        <v>1</v>
      </c>
      <c r="I1885" s="111" t="s">
        <v>5285</v>
      </c>
      <c r="J1885" s="1321" t="s">
        <v>5608</v>
      </c>
      <c r="K1885" s="162" t="s">
        <v>5610</v>
      </c>
      <c r="L1885" s="162" t="s">
        <v>5609</v>
      </c>
      <c r="M1885" s="111">
        <v>5454.00216</v>
      </c>
      <c r="N1885" s="111">
        <v>5454.00216</v>
      </c>
      <c r="O1885" s="111"/>
      <c r="P1885" s="111"/>
      <c r="Q1885" s="111"/>
      <c r="R1885" s="111"/>
      <c r="S1885" s="1249">
        <v>1</v>
      </c>
      <c r="T1885" s="1250">
        <v>1818.00072</v>
      </c>
      <c r="U1885" s="1250"/>
      <c r="V1885" s="1250"/>
      <c r="W1885" s="1251">
        <v>0</v>
      </c>
      <c r="X1885" s="1250">
        <v>1818.00072</v>
      </c>
      <c r="Y1885" s="1250"/>
      <c r="Z1885" s="1250"/>
      <c r="AA1885" s="1250"/>
      <c r="AB1885" s="1250"/>
      <c r="AC1885" s="1250"/>
      <c r="AD1885" s="1250"/>
      <c r="AE1885" s="1249">
        <v>0</v>
      </c>
      <c r="AF1885" s="1250">
        <v>1818.00072</v>
      </c>
      <c r="AG1885" s="111"/>
      <c r="AH1885" s="111"/>
      <c r="AI1885" s="111"/>
      <c r="AJ1885" s="111"/>
      <c r="AK1885" s="111"/>
      <c r="AL1885" s="111"/>
      <c r="AM1885" s="111">
        <v>5454.00216</v>
      </c>
    </row>
    <row r="1886" spans="1:39" ht="15" customHeight="1" x14ac:dyDescent="0.25">
      <c r="A1886" s="1409"/>
      <c r="B1886" s="1409"/>
      <c r="C1886" s="1409"/>
      <c r="D1886" s="1409"/>
      <c r="E1886" s="1247"/>
      <c r="F1886" s="1248" t="s">
        <v>3257</v>
      </c>
      <c r="G1886" s="111"/>
      <c r="H1886" s="1249">
        <v>1</v>
      </c>
      <c r="I1886" s="111" t="s">
        <v>1721</v>
      </c>
      <c r="J1886" s="1321" t="s">
        <v>5608</v>
      </c>
      <c r="K1886" s="162" t="s">
        <v>5610</v>
      </c>
      <c r="L1886" s="162" t="s">
        <v>5609</v>
      </c>
      <c r="M1886" s="111">
        <v>289.45943999999997</v>
      </c>
      <c r="N1886" s="111">
        <v>289.45943999999997</v>
      </c>
      <c r="O1886" s="111"/>
      <c r="P1886" s="111"/>
      <c r="Q1886" s="111"/>
      <c r="R1886" s="111"/>
      <c r="S1886" s="1249">
        <v>1</v>
      </c>
      <c r="T1886" s="1250">
        <v>96.486479999999986</v>
      </c>
      <c r="U1886" s="1250"/>
      <c r="V1886" s="1250"/>
      <c r="W1886" s="1251">
        <v>0</v>
      </c>
      <c r="X1886" s="1250">
        <v>96.486479999999986</v>
      </c>
      <c r="Y1886" s="1250"/>
      <c r="Z1886" s="1250"/>
      <c r="AA1886" s="1250"/>
      <c r="AB1886" s="1250"/>
      <c r="AC1886" s="1250"/>
      <c r="AD1886" s="1250"/>
      <c r="AE1886" s="1249">
        <v>0</v>
      </c>
      <c r="AF1886" s="1250">
        <v>96.486479999999986</v>
      </c>
      <c r="AG1886" s="111"/>
      <c r="AH1886" s="111"/>
      <c r="AI1886" s="111"/>
      <c r="AJ1886" s="111"/>
      <c r="AK1886" s="111"/>
      <c r="AL1886" s="111"/>
      <c r="AM1886" s="111">
        <v>289.45943999999997</v>
      </c>
    </row>
    <row r="1887" spans="1:39" ht="15" customHeight="1" x14ac:dyDescent="0.25">
      <c r="A1887" s="1409"/>
      <c r="B1887" s="1409"/>
      <c r="C1887" s="1409"/>
      <c r="D1887" s="1409"/>
      <c r="E1887" s="1247"/>
      <c r="F1887" s="1248" t="s">
        <v>3258</v>
      </c>
      <c r="G1887" s="111"/>
      <c r="H1887" s="1249">
        <v>1</v>
      </c>
      <c r="I1887" s="111" t="s">
        <v>1721</v>
      </c>
      <c r="J1887" s="1321" t="s">
        <v>5608</v>
      </c>
      <c r="K1887" s="162" t="s">
        <v>5610</v>
      </c>
      <c r="L1887" s="162" t="s">
        <v>5609</v>
      </c>
      <c r="M1887" s="111">
        <v>626.40000000000009</v>
      </c>
      <c r="N1887" s="111">
        <v>626.40000000000009</v>
      </c>
      <c r="O1887" s="111"/>
      <c r="P1887" s="111"/>
      <c r="Q1887" s="111"/>
      <c r="R1887" s="111"/>
      <c r="S1887" s="1249">
        <v>1</v>
      </c>
      <c r="T1887" s="1250">
        <v>208.80000000000004</v>
      </c>
      <c r="U1887" s="1250"/>
      <c r="V1887" s="1250"/>
      <c r="W1887" s="1251">
        <v>0</v>
      </c>
      <c r="X1887" s="1250">
        <v>208.80000000000004</v>
      </c>
      <c r="Y1887" s="1250"/>
      <c r="Z1887" s="1250"/>
      <c r="AA1887" s="1250"/>
      <c r="AB1887" s="1250"/>
      <c r="AC1887" s="1250"/>
      <c r="AD1887" s="1250"/>
      <c r="AE1887" s="1249">
        <v>0</v>
      </c>
      <c r="AF1887" s="1250">
        <v>208.80000000000004</v>
      </c>
      <c r="AG1887" s="111"/>
      <c r="AH1887" s="111"/>
      <c r="AI1887" s="111"/>
      <c r="AJ1887" s="111"/>
      <c r="AK1887" s="111"/>
      <c r="AL1887" s="111"/>
      <c r="AM1887" s="111">
        <v>626.40000000000009</v>
      </c>
    </row>
    <row r="1888" spans="1:39" ht="15" customHeight="1" x14ac:dyDescent="0.25">
      <c r="A1888" s="1409"/>
      <c r="B1888" s="1409"/>
      <c r="C1888" s="1409"/>
      <c r="D1888" s="1409"/>
      <c r="E1888" s="1247"/>
      <c r="F1888" s="1248" t="s">
        <v>3259</v>
      </c>
      <c r="G1888" s="111"/>
      <c r="H1888" s="1249">
        <v>1</v>
      </c>
      <c r="I1888" s="111" t="s">
        <v>5032</v>
      </c>
      <c r="J1888" s="1321" t="s">
        <v>5608</v>
      </c>
      <c r="K1888" s="162" t="s">
        <v>5610</v>
      </c>
      <c r="L1888" s="162" t="s">
        <v>5609</v>
      </c>
      <c r="M1888" s="111">
        <v>21.6</v>
      </c>
      <c r="N1888" s="111">
        <v>21.6</v>
      </c>
      <c r="O1888" s="111"/>
      <c r="P1888" s="111"/>
      <c r="Q1888" s="111"/>
      <c r="R1888" s="111"/>
      <c r="S1888" s="1249">
        <v>1</v>
      </c>
      <c r="T1888" s="1250">
        <v>7.2</v>
      </c>
      <c r="U1888" s="1250"/>
      <c r="V1888" s="1250"/>
      <c r="W1888" s="1251">
        <v>0</v>
      </c>
      <c r="X1888" s="1250">
        <v>7.2</v>
      </c>
      <c r="Y1888" s="1250"/>
      <c r="Z1888" s="1250"/>
      <c r="AA1888" s="1250"/>
      <c r="AB1888" s="1250"/>
      <c r="AC1888" s="1250"/>
      <c r="AD1888" s="1250"/>
      <c r="AE1888" s="1249">
        <v>0</v>
      </c>
      <c r="AF1888" s="1250">
        <v>7.2</v>
      </c>
      <c r="AG1888" s="111"/>
      <c r="AH1888" s="111"/>
      <c r="AI1888" s="111"/>
      <c r="AJ1888" s="111"/>
      <c r="AK1888" s="111"/>
      <c r="AL1888" s="111"/>
      <c r="AM1888" s="111">
        <v>21.6</v>
      </c>
    </row>
    <row r="1889" spans="1:39" ht="15" customHeight="1" x14ac:dyDescent="0.25">
      <c r="A1889" s="1409"/>
      <c r="B1889" s="1409"/>
      <c r="C1889" s="1409"/>
      <c r="D1889" s="1409"/>
      <c r="E1889" s="1247"/>
      <c r="F1889" s="1248" t="s">
        <v>3260</v>
      </c>
      <c r="G1889" s="111"/>
      <c r="H1889" s="1249">
        <v>1</v>
      </c>
      <c r="I1889" s="111" t="s">
        <v>5285</v>
      </c>
      <c r="J1889" s="1321" t="s">
        <v>5608</v>
      </c>
      <c r="K1889" s="162" t="s">
        <v>5610</v>
      </c>
      <c r="L1889" s="162" t="s">
        <v>5609</v>
      </c>
      <c r="M1889" s="111">
        <v>350.78399999999999</v>
      </c>
      <c r="N1889" s="111">
        <v>350.78399999999999</v>
      </c>
      <c r="O1889" s="111"/>
      <c r="P1889" s="111"/>
      <c r="Q1889" s="111"/>
      <c r="R1889" s="111"/>
      <c r="S1889" s="1249">
        <v>1</v>
      </c>
      <c r="T1889" s="1250">
        <v>116.928</v>
      </c>
      <c r="U1889" s="1250"/>
      <c r="V1889" s="1250"/>
      <c r="W1889" s="1251">
        <v>0</v>
      </c>
      <c r="X1889" s="1250">
        <v>116.928</v>
      </c>
      <c r="Y1889" s="1250"/>
      <c r="Z1889" s="1250"/>
      <c r="AA1889" s="1250"/>
      <c r="AB1889" s="1250"/>
      <c r="AC1889" s="1250"/>
      <c r="AD1889" s="1250"/>
      <c r="AE1889" s="1249">
        <v>0</v>
      </c>
      <c r="AF1889" s="1250">
        <v>116.928</v>
      </c>
      <c r="AG1889" s="111"/>
      <c r="AH1889" s="111"/>
      <c r="AI1889" s="111"/>
      <c r="AJ1889" s="111"/>
      <c r="AK1889" s="111"/>
      <c r="AL1889" s="111"/>
      <c r="AM1889" s="111">
        <v>350.78399999999999</v>
      </c>
    </row>
    <row r="1890" spans="1:39" ht="15" customHeight="1" x14ac:dyDescent="0.25">
      <c r="A1890" s="1409"/>
      <c r="B1890" s="1409"/>
      <c r="C1890" s="1409"/>
      <c r="D1890" s="1409"/>
      <c r="E1890" s="1247"/>
      <c r="F1890" s="1248" t="s">
        <v>3261</v>
      </c>
      <c r="G1890" s="111"/>
      <c r="H1890" s="1249">
        <v>1</v>
      </c>
      <c r="I1890" s="111" t="s">
        <v>5285</v>
      </c>
      <c r="J1890" s="1321" t="s">
        <v>5608</v>
      </c>
      <c r="K1890" s="162" t="s">
        <v>5610</v>
      </c>
      <c r="L1890" s="162" t="s">
        <v>5609</v>
      </c>
      <c r="M1890" s="111">
        <v>595.08000000000004</v>
      </c>
      <c r="N1890" s="111">
        <v>595.08000000000004</v>
      </c>
      <c r="O1890" s="111"/>
      <c r="P1890" s="111"/>
      <c r="Q1890" s="111"/>
      <c r="R1890" s="111"/>
      <c r="S1890" s="1249">
        <v>1</v>
      </c>
      <c r="T1890" s="1250">
        <v>198.36</v>
      </c>
      <c r="U1890" s="1250"/>
      <c r="V1890" s="1250"/>
      <c r="W1890" s="1251">
        <v>0</v>
      </c>
      <c r="X1890" s="1250">
        <v>198.36</v>
      </c>
      <c r="Y1890" s="1250"/>
      <c r="Z1890" s="1250"/>
      <c r="AA1890" s="1250"/>
      <c r="AB1890" s="1250"/>
      <c r="AC1890" s="1250"/>
      <c r="AD1890" s="1250"/>
      <c r="AE1890" s="1249">
        <v>0</v>
      </c>
      <c r="AF1890" s="1250">
        <v>198.36</v>
      </c>
      <c r="AG1890" s="111"/>
      <c r="AH1890" s="111"/>
      <c r="AI1890" s="111"/>
      <c r="AJ1890" s="111"/>
      <c r="AK1890" s="111"/>
      <c r="AL1890" s="111"/>
      <c r="AM1890" s="111">
        <v>595.08000000000004</v>
      </c>
    </row>
    <row r="1891" spans="1:39" ht="15" customHeight="1" x14ac:dyDescent="0.25">
      <c r="A1891" s="1409"/>
      <c r="B1891" s="1409"/>
      <c r="C1891" s="1409"/>
      <c r="D1891" s="1409"/>
      <c r="E1891" s="1247"/>
      <c r="F1891" s="1248" t="s">
        <v>3262</v>
      </c>
      <c r="G1891" s="111"/>
      <c r="H1891" s="1249">
        <v>1</v>
      </c>
      <c r="I1891" s="111" t="s">
        <v>5285</v>
      </c>
      <c r="J1891" s="1321" t="s">
        <v>5608</v>
      </c>
      <c r="K1891" s="162" t="s">
        <v>5610</v>
      </c>
      <c r="L1891" s="162" t="s">
        <v>5609</v>
      </c>
      <c r="M1891" s="111">
        <v>425.95199999999994</v>
      </c>
      <c r="N1891" s="111">
        <v>425.95199999999994</v>
      </c>
      <c r="O1891" s="111"/>
      <c r="P1891" s="111"/>
      <c r="Q1891" s="111"/>
      <c r="R1891" s="111"/>
      <c r="S1891" s="1249">
        <v>1</v>
      </c>
      <c r="T1891" s="1250">
        <v>141.98399999999998</v>
      </c>
      <c r="U1891" s="1250"/>
      <c r="V1891" s="1250"/>
      <c r="W1891" s="1251">
        <v>0</v>
      </c>
      <c r="X1891" s="1250">
        <v>141.98399999999998</v>
      </c>
      <c r="Y1891" s="1250"/>
      <c r="Z1891" s="1250"/>
      <c r="AA1891" s="1250"/>
      <c r="AB1891" s="1250"/>
      <c r="AC1891" s="1250"/>
      <c r="AD1891" s="1250"/>
      <c r="AE1891" s="1249">
        <v>0</v>
      </c>
      <c r="AF1891" s="1250">
        <v>141.98399999999998</v>
      </c>
      <c r="AG1891" s="111"/>
      <c r="AH1891" s="111"/>
      <c r="AI1891" s="111"/>
      <c r="AJ1891" s="111"/>
      <c r="AK1891" s="111"/>
      <c r="AL1891" s="111"/>
      <c r="AM1891" s="111">
        <v>425.95199999999994</v>
      </c>
    </row>
    <row r="1892" spans="1:39" ht="15" customHeight="1" x14ac:dyDescent="0.25">
      <c r="A1892" s="1409"/>
      <c r="B1892" s="1409"/>
      <c r="C1892" s="1409"/>
      <c r="D1892" s="1409"/>
      <c r="E1892" s="1247"/>
      <c r="F1892" s="1248" t="s">
        <v>3263</v>
      </c>
      <c r="G1892" s="111"/>
      <c r="H1892" s="1249">
        <v>1</v>
      </c>
      <c r="I1892" s="111" t="s">
        <v>5285</v>
      </c>
      <c r="J1892" s="1321" t="s">
        <v>5608</v>
      </c>
      <c r="K1892" s="162" t="s">
        <v>5610</v>
      </c>
      <c r="L1892" s="162" t="s">
        <v>5609</v>
      </c>
      <c r="M1892" s="111">
        <v>2876.8932</v>
      </c>
      <c r="N1892" s="111">
        <v>2876.8932</v>
      </c>
      <c r="O1892" s="111"/>
      <c r="P1892" s="111"/>
      <c r="Q1892" s="111"/>
      <c r="R1892" s="111"/>
      <c r="S1892" s="1249">
        <v>1</v>
      </c>
      <c r="T1892" s="1250">
        <v>958.96439999999996</v>
      </c>
      <c r="U1892" s="1250"/>
      <c r="V1892" s="1250"/>
      <c r="W1892" s="1251">
        <v>0</v>
      </c>
      <c r="X1892" s="1250">
        <v>958.96439999999996</v>
      </c>
      <c r="Y1892" s="1250"/>
      <c r="Z1892" s="1250"/>
      <c r="AA1892" s="1250"/>
      <c r="AB1892" s="1250"/>
      <c r="AC1892" s="1250"/>
      <c r="AD1892" s="1250"/>
      <c r="AE1892" s="1249">
        <v>0</v>
      </c>
      <c r="AF1892" s="1250">
        <v>958.96439999999996</v>
      </c>
      <c r="AG1892" s="111"/>
      <c r="AH1892" s="111"/>
      <c r="AI1892" s="111"/>
      <c r="AJ1892" s="111"/>
      <c r="AK1892" s="111"/>
      <c r="AL1892" s="111"/>
      <c r="AM1892" s="111">
        <v>2876.8932</v>
      </c>
    </row>
    <row r="1893" spans="1:39" ht="15" customHeight="1" x14ac:dyDescent="0.25">
      <c r="A1893" s="1409"/>
      <c r="B1893" s="1409"/>
      <c r="C1893" s="1409"/>
      <c r="D1893" s="1409"/>
      <c r="E1893" s="1247"/>
      <c r="F1893" s="1248" t="s">
        <v>3264</v>
      </c>
      <c r="G1893" s="111"/>
      <c r="H1893" s="1249">
        <v>1</v>
      </c>
      <c r="I1893" s="111" t="s">
        <v>5285</v>
      </c>
      <c r="J1893" s="1321" t="s">
        <v>5608</v>
      </c>
      <c r="K1893" s="162" t="s">
        <v>5610</v>
      </c>
      <c r="L1893" s="162" t="s">
        <v>5609</v>
      </c>
      <c r="M1893" s="111">
        <v>4101.2028</v>
      </c>
      <c r="N1893" s="111">
        <v>4101.2028</v>
      </c>
      <c r="O1893" s="111"/>
      <c r="P1893" s="111"/>
      <c r="Q1893" s="111"/>
      <c r="R1893" s="111"/>
      <c r="S1893" s="1249">
        <v>1</v>
      </c>
      <c r="T1893" s="1250">
        <v>1367.0676000000001</v>
      </c>
      <c r="U1893" s="1250"/>
      <c r="V1893" s="1250"/>
      <c r="W1893" s="1251">
        <v>0</v>
      </c>
      <c r="X1893" s="1250">
        <v>1367.0676000000001</v>
      </c>
      <c r="Y1893" s="1250"/>
      <c r="Z1893" s="1250"/>
      <c r="AA1893" s="1250"/>
      <c r="AB1893" s="1250"/>
      <c r="AC1893" s="1250"/>
      <c r="AD1893" s="1250"/>
      <c r="AE1893" s="1249">
        <v>0</v>
      </c>
      <c r="AF1893" s="1250">
        <v>1367.0676000000001</v>
      </c>
      <c r="AG1893" s="111"/>
      <c r="AH1893" s="111"/>
      <c r="AI1893" s="111"/>
      <c r="AJ1893" s="111"/>
      <c r="AK1893" s="111"/>
      <c r="AL1893" s="111"/>
      <c r="AM1893" s="111">
        <v>4101.2028</v>
      </c>
    </row>
    <row r="1894" spans="1:39" ht="15" customHeight="1" x14ac:dyDescent="0.25">
      <c r="A1894" s="1409"/>
      <c r="B1894" s="1409"/>
      <c r="C1894" s="1409"/>
      <c r="D1894" s="1409"/>
      <c r="E1894" s="1247"/>
      <c r="F1894" s="1248" t="s">
        <v>3265</v>
      </c>
      <c r="G1894" s="111"/>
      <c r="H1894" s="1249">
        <v>1</v>
      </c>
      <c r="I1894" s="111" t="s">
        <v>1721</v>
      </c>
      <c r="J1894" s="1321" t="s">
        <v>5608</v>
      </c>
      <c r="K1894" s="162" t="s">
        <v>5610</v>
      </c>
      <c r="L1894" s="162" t="s">
        <v>5609</v>
      </c>
      <c r="M1894" s="111">
        <v>165.36959999999999</v>
      </c>
      <c r="N1894" s="111">
        <v>165.36959999999999</v>
      </c>
      <c r="O1894" s="111"/>
      <c r="P1894" s="111"/>
      <c r="Q1894" s="111"/>
      <c r="R1894" s="111"/>
      <c r="S1894" s="1249">
        <v>1</v>
      </c>
      <c r="T1894" s="1250">
        <v>55.123199999999997</v>
      </c>
      <c r="U1894" s="1250"/>
      <c r="V1894" s="1250"/>
      <c r="W1894" s="1251">
        <v>0</v>
      </c>
      <c r="X1894" s="1250">
        <v>55.123199999999997</v>
      </c>
      <c r="Y1894" s="1250"/>
      <c r="Z1894" s="1250"/>
      <c r="AA1894" s="1250"/>
      <c r="AB1894" s="1250"/>
      <c r="AC1894" s="1250"/>
      <c r="AD1894" s="1250"/>
      <c r="AE1894" s="1249">
        <v>0</v>
      </c>
      <c r="AF1894" s="1250">
        <v>55.123199999999997</v>
      </c>
      <c r="AG1894" s="111"/>
      <c r="AH1894" s="111"/>
      <c r="AI1894" s="111"/>
      <c r="AJ1894" s="111"/>
      <c r="AK1894" s="111"/>
      <c r="AL1894" s="111"/>
      <c r="AM1894" s="111">
        <v>165.36959999999999</v>
      </c>
    </row>
    <row r="1895" spans="1:39" ht="15" customHeight="1" x14ac:dyDescent="0.25">
      <c r="A1895" s="1409"/>
      <c r="B1895" s="1409"/>
      <c r="C1895" s="1409"/>
      <c r="D1895" s="1409"/>
      <c r="E1895" s="1247"/>
      <c r="F1895" s="1248" t="s">
        <v>3266</v>
      </c>
      <c r="G1895" s="111"/>
      <c r="H1895" s="1249">
        <v>1</v>
      </c>
      <c r="I1895" s="111" t="s">
        <v>1721</v>
      </c>
      <c r="J1895" s="1321" t="s">
        <v>5608</v>
      </c>
      <c r="K1895" s="162" t="s">
        <v>5610</v>
      </c>
      <c r="L1895" s="162" t="s">
        <v>5609</v>
      </c>
      <c r="M1895" s="111">
        <v>77.673600000000008</v>
      </c>
      <c r="N1895" s="111">
        <v>77.673600000000008</v>
      </c>
      <c r="O1895" s="111"/>
      <c r="P1895" s="111"/>
      <c r="Q1895" s="111"/>
      <c r="R1895" s="111"/>
      <c r="S1895" s="1249">
        <v>1</v>
      </c>
      <c r="T1895" s="1250">
        <v>25.891200000000001</v>
      </c>
      <c r="U1895" s="1250"/>
      <c r="V1895" s="1250"/>
      <c r="W1895" s="1251">
        <v>0</v>
      </c>
      <c r="X1895" s="1250">
        <v>25.891200000000001</v>
      </c>
      <c r="Y1895" s="1250"/>
      <c r="Z1895" s="1250"/>
      <c r="AA1895" s="1250"/>
      <c r="AB1895" s="1250"/>
      <c r="AC1895" s="1250"/>
      <c r="AD1895" s="1250"/>
      <c r="AE1895" s="1249">
        <v>0</v>
      </c>
      <c r="AF1895" s="1250">
        <v>25.891200000000001</v>
      </c>
      <c r="AG1895" s="111"/>
      <c r="AH1895" s="111"/>
      <c r="AI1895" s="111"/>
      <c r="AJ1895" s="111"/>
      <c r="AK1895" s="111"/>
      <c r="AL1895" s="111"/>
      <c r="AM1895" s="111">
        <v>77.673600000000008</v>
      </c>
    </row>
    <row r="1896" spans="1:39" ht="15" customHeight="1" x14ac:dyDescent="0.25">
      <c r="A1896" s="1409"/>
      <c r="B1896" s="1409"/>
      <c r="C1896" s="1409"/>
      <c r="D1896" s="1409"/>
      <c r="E1896" s="1247"/>
      <c r="F1896" s="1248" t="s">
        <v>3267</v>
      </c>
      <c r="G1896" s="111"/>
      <c r="H1896" s="1249">
        <v>1</v>
      </c>
      <c r="I1896" s="111" t="s">
        <v>1734</v>
      </c>
      <c r="J1896" s="1321" t="s">
        <v>5608</v>
      </c>
      <c r="K1896" s="162" t="s">
        <v>5610</v>
      </c>
      <c r="L1896" s="162" t="s">
        <v>5609</v>
      </c>
      <c r="M1896" s="111">
        <v>939.59999999999991</v>
      </c>
      <c r="N1896" s="111">
        <v>939.59999999999991</v>
      </c>
      <c r="O1896" s="111"/>
      <c r="P1896" s="111"/>
      <c r="Q1896" s="111"/>
      <c r="R1896" s="111"/>
      <c r="S1896" s="1249">
        <v>1</v>
      </c>
      <c r="T1896" s="1250">
        <v>313.2</v>
      </c>
      <c r="U1896" s="1250"/>
      <c r="V1896" s="1250"/>
      <c r="W1896" s="1251">
        <v>0</v>
      </c>
      <c r="X1896" s="1250">
        <v>313.2</v>
      </c>
      <c r="Y1896" s="1250"/>
      <c r="Z1896" s="1250"/>
      <c r="AA1896" s="1250"/>
      <c r="AB1896" s="1250"/>
      <c r="AC1896" s="1250"/>
      <c r="AD1896" s="1250"/>
      <c r="AE1896" s="1249">
        <v>0</v>
      </c>
      <c r="AF1896" s="1250">
        <v>313.2</v>
      </c>
      <c r="AG1896" s="111"/>
      <c r="AH1896" s="111"/>
      <c r="AI1896" s="111"/>
      <c r="AJ1896" s="111"/>
      <c r="AK1896" s="111"/>
      <c r="AL1896" s="111"/>
      <c r="AM1896" s="111">
        <v>939.59999999999991</v>
      </c>
    </row>
    <row r="1897" spans="1:39" ht="15" customHeight="1" x14ac:dyDescent="0.25">
      <c r="A1897" s="1409"/>
      <c r="B1897" s="1409"/>
      <c r="C1897" s="1409"/>
      <c r="D1897" s="1409"/>
      <c r="E1897" s="1247"/>
      <c r="F1897" s="1248" t="s">
        <v>3268</v>
      </c>
      <c r="G1897" s="111"/>
      <c r="H1897" s="1249">
        <v>1</v>
      </c>
      <c r="I1897" s="111" t="s">
        <v>1734</v>
      </c>
      <c r="J1897" s="1321" t="s">
        <v>5608</v>
      </c>
      <c r="K1897" s="162" t="s">
        <v>5610</v>
      </c>
      <c r="L1897" s="162" t="s">
        <v>5609</v>
      </c>
      <c r="M1897" s="111">
        <v>426.59969760000001</v>
      </c>
      <c r="N1897" s="111">
        <v>426.59969760000001</v>
      </c>
      <c r="O1897" s="111"/>
      <c r="P1897" s="111"/>
      <c r="Q1897" s="111"/>
      <c r="R1897" s="111"/>
      <c r="S1897" s="1249">
        <v>1</v>
      </c>
      <c r="T1897" s="1250">
        <v>142.1998992</v>
      </c>
      <c r="U1897" s="1250"/>
      <c r="V1897" s="1250"/>
      <c r="W1897" s="1251">
        <v>0</v>
      </c>
      <c r="X1897" s="1250">
        <v>142.1998992</v>
      </c>
      <c r="Y1897" s="1250"/>
      <c r="Z1897" s="1250"/>
      <c r="AA1897" s="1250"/>
      <c r="AB1897" s="1250"/>
      <c r="AC1897" s="1250"/>
      <c r="AD1897" s="1250"/>
      <c r="AE1897" s="1249">
        <v>0</v>
      </c>
      <c r="AF1897" s="1250">
        <v>142.1998992</v>
      </c>
      <c r="AG1897" s="111"/>
      <c r="AH1897" s="111"/>
      <c r="AI1897" s="111"/>
      <c r="AJ1897" s="111"/>
      <c r="AK1897" s="111"/>
      <c r="AL1897" s="111"/>
      <c r="AM1897" s="111">
        <v>426.59969760000001</v>
      </c>
    </row>
    <row r="1898" spans="1:39" ht="15" customHeight="1" x14ac:dyDescent="0.25">
      <c r="A1898" s="1409"/>
      <c r="B1898" s="1409"/>
      <c r="C1898" s="1409"/>
      <c r="D1898" s="1409"/>
      <c r="E1898" s="1247"/>
      <c r="F1898" s="1248" t="s">
        <v>3269</v>
      </c>
      <c r="G1898" s="111"/>
      <c r="H1898" s="1249">
        <v>1</v>
      </c>
      <c r="I1898" s="111" t="s">
        <v>5285</v>
      </c>
      <c r="J1898" s="1321" t="s">
        <v>5608</v>
      </c>
      <c r="K1898" s="162" t="s">
        <v>5610</v>
      </c>
      <c r="L1898" s="162" t="s">
        <v>5609</v>
      </c>
      <c r="M1898" s="111">
        <v>463.536</v>
      </c>
      <c r="N1898" s="111">
        <v>463.536</v>
      </c>
      <c r="O1898" s="111"/>
      <c r="P1898" s="111"/>
      <c r="Q1898" s="111"/>
      <c r="R1898" s="111"/>
      <c r="S1898" s="1249">
        <v>1</v>
      </c>
      <c r="T1898" s="1250">
        <v>154.512</v>
      </c>
      <c r="U1898" s="1250"/>
      <c r="V1898" s="1250"/>
      <c r="W1898" s="1251">
        <v>0</v>
      </c>
      <c r="X1898" s="1250">
        <v>154.512</v>
      </c>
      <c r="Y1898" s="1250"/>
      <c r="Z1898" s="1250"/>
      <c r="AA1898" s="1250"/>
      <c r="AB1898" s="1250"/>
      <c r="AC1898" s="1250"/>
      <c r="AD1898" s="1250"/>
      <c r="AE1898" s="1249">
        <v>0</v>
      </c>
      <c r="AF1898" s="1250">
        <v>154.512</v>
      </c>
      <c r="AG1898" s="111"/>
      <c r="AH1898" s="111"/>
      <c r="AI1898" s="111"/>
      <c r="AJ1898" s="111"/>
      <c r="AK1898" s="111"/>
      <c r="AL1898" s="111"/>
      <c r="AM1898" s="111">
        <v>463.536</v>
      </c>
    </row>
    <row r="1899" spans="1:39" ht="15" customHeight="1" x14ac:dyDescent="0.25">
      <c r="A1899" s="1409"/>
      <c r="B1899" s="1409"/>
      <c r="C1899" s="1409"/>
      <c r="D1899" s="1409"/>
      <c r="E1899" s="1247"/>
      <c r="F1899" s="1248" t="s">
        <v>3270</v>
      </c>
      <c r="G1899" s="111"/>
      <c r="H1899" s="1249">
        <v>1</v>
      </c>
      <c r="I1899" s="111" t="s">
        <v>5285</v>
      </c>
      <c r="J1899" s="1321" t="s">
        <v>5608</v>
      </c>
      <c r="K1899" s="162" t="s">
        <v>5610</v>
      </c>
      <c r="L1899" s="162" t="s">
        <v>5609</v>
      </c>
      <c r="M1899" s="111">
        <v>977.18399999999997</v>
      </c>
      <c r="N1899" s="111">
        <v>977.18399999999997</v>
      </c>
      <c r="O1899" s="111"/>
      <c r="P1899" s="111"/>
      <c r="Q1899" s="111"/>
      <c r="R1899" s="111"/>
      <c r="S1899" s="1249">
        <v>1</v>
      </c>
      <c r="T1899" s="1250">
        <v>325.72800000000001</v>
      </c>
      <c r="U1899" s="1250"/>
      <c r="V1899" s="1250"/>
      <c r="W1899" s="1251">
        <v>0</v>
      </c>
      <c r="X1899" s="1250">
        <v>325.72800000000001</v>
      </c>
      <c r="Y1899" s="1250"/>
      <c r="Z1899" s="1250"/>
      <c r="AA1899" s="1250"/>
      <c r="AB1899" s="1250"/>
      <c r="AC1899" s="1250"/>
      <c r="AD1899" s="1250"/>
      <c r="AE1899" s="1249">
        <v>0</v>
      </c>
      <c r="AF1899" s="1250">
        <v>325.72800000000001</v>
      </c>
      <c r="AG1899" s="111"/>
      <c r="AH1899" s="111"/>
      <c r="AI1899" s="111"/>
      <c r="AJ1899" s="111"/>
      <c r="AK1899" s="111"/>
      <c r="AL1899" s="111"/>
      <c r="AM1899" s="111">
        <v>977.18399999999997</v>
      </c>
    </row>
    <row r="1900" spans="1:39" ht="15" customHeight="1" x14ac:dyDescent="0.25">
      <c r="A1900" s="1409"/>
      <c r="B1900" s="1409"/>
      <c r="C1900" s="1409"/>
      <c r="D1900" s="1409"/>
      <c r="E1900" s="1247"/>
      <c r="F1900" s="1248" t="s">
        <v>3271</v>
      </c>
      <c r="G1900" s="111"/>
      <c r="H1900" s="1249">
        <v>1</v>
      </c>
      <c r="I1900" s="111" t="s">
        <v>5285</v>
      </c>
      <c r="J1900" s="1321" t="s">
        <v>5608</v>
      </c>
      <c r="K1900" s="162" t="s">
        <v>5610</v>
      </c>
      <c r="L1900" s="162" t="s">
        <v>5609</v>
      </c>
      <c r="M1900" s="111">
        <v>1240.2719999999999</v>
      </c>
      <c r="N1900" s="111">
        <v>1240.2719999999999</v>
      </c>
      <c r="O1900" s="111"/>
      <c r="P1900" s="111"/>
      <c r="Q1900" s="111"/>
      <c r="R1900" s="111"/>
      <c r="S1900" s="1249">
        <v>1</v>
      </c>
      <c r="T1900" s="1250">
        <v>413.42399999999998</v>
      </c>
      <c r="U1900" s="1250"/>
      <c r="V1900" s="1250"/>
      <c r="W1900" s="1251">
        <v>0</v>
      </c>
      <c r="X1900" s="1250">
        <v>413.42399999999998</v>
      </c>
      <c r="Y1900" s="1250"/>
      <c r="Z1900" s="1250"/>
      <c r="AA1900" s="1250"/>
      <c r="AB1900" s="1250"/>
      <c r="AC1900" s="1250"/>
      <c r="AD1900" s="1250"/>
      <c r="AE1900" s="1249">
        <v>0</v>
      </c>
      <c r="AF1900" s="1250">
        <v>413.42399999999998</v>
      </c>
      <c r="AG1900" s="111"/>
      <c r="AH1900" s="111"/>
      <c r="AI1900" s="111"/>
      <c r="AJ1900" s="111"/>
      <c r="AK1900" s="111"/>
      <c r="AL1900" s="111"/>
      <c r="AM1900" s="111">
        <v>1240.2719999999999</v>
      </c>
    </row>
    <row r="1901" spans="1:39" ht="15" customHeight="1" x14ac:dyDescent="0.25">
      <c r="A1901" s="1409"/>
      <c r="B1901" s="1409"/>
      <c r="C1901" s="1409"/>
      <c r="D1901" s="1409"/>
      <c r="E1901" s="1247"/>
      <c r="F1901" s="1248" t="s">
        <v>3272</v>
      </c>
      <c r="G1901" s="111"/>
      <c r="H1901" s="1249">
        <v>1</v>
      </c>
      <c r="I1901" s="111" t="s">
        <v>5285</v>
      </c>
      <c r="J1901" s="1321" t="s">
        <v>5608</v>
      </c>
      <c r="K1901" s="162" t="s">
        <v>5610</v>
      </c>
      <c r="L1901" s="162" t="s">
        <v>5609</v>
      </c>
      <c r="M1901" s="111">
        <v>269.35199999999998</v>
      </c>
      <c r="N1901" s="111">
        <v>269.35199999999998</v>
      </c>
      <c r="O1901" s="111"/>
      <c r="P1901" s="111"/>
      <c r="Q1901" s="111"/>
      <c r="R1901" s="111"/>
      <c r="S1901" s="1249">
        <v>1</v>
      </c>
      <c r="T1901" s="1250">
        <v>89.783999999999992</v>
      </c>
      <c r="U1901" s="1250"/>
      <c r="V1901" s="1250"/>
      <c r="W1901" s="1251">
        <v>0</v>
      </c>
      <c r="X1901" s="1250">
        <v>89.783999999999992</v>
      </c>
      <c r="Y1901" s="1250"/>
      <c r="Z1901" s="1250"/>
      <c r="AA1901" s="1250"/>
      <c r="AB1901" s="1250"/>
      <c r="AC1901" s="1250"/>
      <c r="AD1901" s="1250"/>
      <c r="AE1901" s="1249">
        <v>0</v>
      </c>
      <c r="AF1901" s="1250">
        <v>89.783999999999992</v>
      </c>
      <c r="AG1901" s="111"/>
      <c r="AH1901" s="111"/>
      <c r="AI1901" s="111"/>
      <c r="AJ1901" s="111"/>
      <c r="AK1901" s="111"/>
      <c r="AL1901" s="111"/>
      <c r="AM1901" s="111">
        <v>269.35199999999998</v>
      </c>
    </row>
    <row r="1902" spans="1:39" ht="15" customHeight="1" x14ac:dyDescent="0.25">
      <c r="A1902" s="1409"/>
      <c r="B1902" s="1409"/>
      <c r="C1902" s="1409"/>
      <c r="D1902" s="1409"/>
      <c r="E1902" s="1247"/>
      <c r="F1902" s="1248" t="s">
        <v>3273</v>
      </c>
      <c r="G1902" s="111"/>
      <c r="H1902" s="1249">
        <v>1</v>
      </c>
      <c r="I1902" s="111" t="s">
        <v>1721</v>
      </c>
      <c r="J1902" s="1321" t="s">
        <v>5608</v>
      </c>
      <c r="K1902" s="162" t="s">
        <v>5610</v>
      </c>
      <c r="L1902" s="162" t="s">
        <v>5609</v>
      </c>
      <c r="M1902" s="111">
        <v>324</v>
      </c>
      <c r="N1902" s="111">
        <v>324</v>
      </c>
      <c r="O1902" s="111"/>
      <c r="P1902" s="111"/>
      <c r="Q1902" s="111"/>
      <c r="R1902" s="111"/>
      <c r="S1902" s="1249">
        <v>1</v>
      </c>
      <c r="T1902" s="1250">
        <v>108</v>
      </c>
      <c r="U1902" s="1250"/>
      <c r="V1902" s="1250"/>
      <c r="W1902" s="1251">
        <v>0</v>
      </c>
      <c r="X1902" s="1250">
        <v>108</v>
      </c>
      <c r="Y1902" s="1250"/>
      <c r="Z1902" s="1250"/>
      <c r="AA1902" s="1250"/>
      <c r="AB1902" s="1250"/>
      <c r="AC1902" s="1250"/>
      <c r="AD1902" s="1250"/>
      <c r="AE1902" s="1249">
        <v>0</v>
      </c>
      <c r="AF1902" s="1250">
        <v>108</v>
      </c>
      <c r="AG1902" s="111"/>
      <c r="AH1902" s="111"/>
      <c r="AI1902" s="111"/>
      <c r="AJ1902" s="111"/>
      <c r="AK1902" s="111"/>
      <c r="AL1902" s="111"/>
      <c r="AM1902" s="111">
        <v>324</v>
      </c>
    </row>
    <row r="1903" spans="1:39" ht="15" customHeight="1" x14ac:dyDescent="0.25">
      <c r="A1903" s="1409"/>
      <c r="B1903" s="1409"/>
      <c r="C1903" s="1409"/>
      <c r="D1903" s="1409"/>
      <c r="E1903" s="1247"/>
      <c r="F1903" s="1248" t="s">
        <v>3274</v>
      </c>
      <c r="G1903" s="111"/>
      <c r="H1903" s="1249">
        <v>1</v>
      </c>
      <c r="I1903" s="111" t="s">
        <v>1721</v>
      </c>
      <c r="J1903" s="1321" t="s">
        <v>5608</v>
      </c>
      <c r="K1903" s="162" t="s">
        <v>5610</v>
      </c>
      <c r="L1903" s="162" t="s">
        <v>5609</v>
      </c>
      <c r="M1903" s="111">
        <v>702</v>
      </c>
      <c r="N1903" s="111">
        <v>702</v>
      </c>
      <c r="O1903" s="111"/>
      <c r="P1903" s="111"/>
      <c r="Q1903" s="111"/>
      <c r="R1903" s="111"/>
      <c r="S1903" s="1249">
        <v>1</v>
      </c>
      <c r="T1903" s="1250">
        <v>234</v>
      </c>
      <c r="U1903" s="1250"/>
      <c r="V1903" s="1250"/>
      <c r="W1903" s="1251">
        <v>0</v>
      </c>
      <c r="X1903" s="1250">
        <v>234</v>
      </c>
      <c r="Y1903" s="1250"/>
      <c r="Z1903" s="1250"/>
      <c r="AA1903" s="1250"/>
      <c r="AB1903" s="1250"/>
      <c r="AC1903" s="1250"/>
      <c r="AD1903" s="1250"/>
      <c r="AE1903" s="1249">
        <v>0</v>
      </c>
      <c r="AF1903" s="1250">
        <v>234</v>
      </c>
      <c r="AG1903" s="111"/>
      <c r="AH1903" s="111"/>
      <c r="AI1903" s="111"/>
      <c r="AJ1903" s="111"/>
      <c r="AK1903" s="111"/>
      <c r="AL1903" s="111"/>
      <c r="AM1903" s="111">
        <v>702</v>
      </c>
    </row>
    <row r="1904" spans="1:39" ht="15" customHeight="1" x14ac:dyDescent="0.25">
      <c r="A1904" s="1409"/>
      <c r="B1904" s="1409"/>
      <c r="C1904" s="1409"/>
      <c r="D1904" s="1409"/>
      <c r="E1904" s="1247"/>
      <c r="F1904" s="1248" t="s">
        <v>3275</v>
      </c>
      <c r="G1904" s="111"/>
      <c r="H1904" s="1249">
        <v>1</v>
      </c>
      <c r="I1904" s="111" t="s">
        <v>1721</v>
      </c>
      <c r="J1904" s="1321" t="s">
        <v>5608</v>
      </c>
      <c r="K1904" s="162" t="s">
        <v>5610</v>
      </c>
      <c r="L1904" s="162" t="s">
        <v>5609</v>
      </c>
      <c r="M1904" s="111">
        <v>918.00000000000011</v>
      </c>
      <c r="N1904" s="111">
        <v>918.00000000000011</v>
      </c>
      <c r="O1904" s="111"/>
      <c r="P1904" s="111"/>
      <c r="Q1904" s="111"/>
      <c r="R1904" s="111"/>
      <c r="S1904" s="1249">
        <v>1</v>
      </c>
      <c r="T1904" s="1250">
        <v>306.00000000000006</v>
      </c>
      <c r="U1904" s="1250"/>
      <c r="V1904" s="1250"/>
      <c r="W1904" s="1251">
        <v>0</v>
      </c>
      <c r="X1904" s="1250">
        <v>306.00000000000006</v>
      </c>
      <c r="Y1904" s="1250"/>
      <c r="Z1904" s="1250"/>
      <c r="AA1904" s="1250"/>
      <c r="AB1904" s="1250"/>
      <c r="AC1904" s="1250"/>
      <c r="AD1904" s="1250"/>
      <c r="AE1904" s="1249">
        <v>0</v>
      </c>
      <c r="AF1904" s="1250">
        <v>306.00000000000006</v>
      </c>
      <c r="AG1904" s="111"/>
      <c r="AH1904" s="111"/>
      <c r="AI1904" s="111"/>
      <c r="AJ1904" s="111"/>
      <c r="AK1904" s="111"/>
      <c r="AL1904" s="111"/>
      <c r="AM1904" s="111">
        <v>918.00000000000011</v>
      </c>
    </row>
    <row r="1905" spans="1:39" ht="15" customHeight="1" x14ac:dyDescent="0.25">
      <c r="A1905" s="1409"/>
      <c r="B1905" s="1409"/>
      <c r="C1905" s="1409"/>
      <c r="D1905" s="1409"/>
      <c r="E1905" s="1247"/>
      <c r="F1905" s="1248" t="s">
        <v>3276</v>
      </c>
      <c r="G1905" s="111"/>
      <c r="H1905" s="1249">
        <v>1</v>
      </c>
      <c r="I1905" s="111" t="s">
        <v>1721</v>
      </c>
      <c r="J1905" s="1321" t="s">
        <v>5608</v>
      </c>
      <c r="K1905" s="162" t="s">
        <v>5610</v>
      </c>
      <c r="L1905" s="162" t="s">
        <v>5609</v>
      </c>
      <c r="M1905" s="111">
        <v>72.36</v>
      </c>
      <c r="N1905" s="111">
        <v>72.36</v>
      </c>
      <c r="O1905" s="111"/>
      <c r="P1905" s="111"/>
      <c r="Q1905" s="111"/>
      <c r="R1905" s="111"/>
      <c r="S1905" s="1249">
        <v>1</v>
      </c>
      <c r="T1905" s="1250">
        <v>24.12</v>
      </c>
      <c r="U1905" s="1250"/>
      <c r="V1905" s="1250"/>
      <c r="W1905" s="1251">
        <v>0</v>
      </c>
      <c r="X1905" s="1250">
        <v>24.12</v>
      </c>
      <c r="Y1905" s="1250"/>
      <c r="Z1905" s="1250"/>
      <c r="AA1905" s="1250"/>
      <c r="AB1905" s="1250"/>
      <c r="AC1905" s="1250"/>
      <c r="AD1905" s="1250"/>
      <c r="AE1905" s="1249">
        <v>0</v>
      </c>
      <c r="AF1905" s="1250">
        <v>24.12</v>
      </c>
      <c r="AG1905" s="111"/>
      <c r="AH1905" s="111"/>
      <c r="AI1905" s="111"/>
      <c r="AJ1905" s="111"/>
      <c r="AK1905" s="111"/>
      <c r="AL1905" s="111"/>
      <c r="AM1905" s="111">
        <v>72.36</v>
      </c>
    </row>
    <row r="1906" spans="1:39" ht="15" customHeight="1" x14ac:dyDescent="0.25">
      <c r="A1906" s="1409"/>
      <c r="B1906" s="1409"/>
      <c r="C1906" s="1409"/>
      <c r="D1906" s="1409"/>
      <c r="E1906" s="1247"/>
      <c r="F1906" s="1248" t="s">
        <v>3277</v>
      </c>
      <c r="G1906" s="111"/>
      <c r="H1906" s="1249">
        <v>3</v>
      </c>
      <c r="I1906" s="111" t="s">
        <v>1721</v>
      </c>
      <c r="J1906" s="1321" t="s">
        <v>5608</v>
      </c>
      <c r="K1906" s="162" t="s">
        <v>5610</v>
      </c>
      <c r="L1906" s="162" t="s">
        <v>5609</v>
      </c>
      <c r="M1906" s="111">
        <v>35.095679999999994</v>
      </c>
      <c r="N1906" s="111">
        <v>105.28703999999999</v>
      </c>
      <c r="O1906" s="111"/>
      <c r="P1906" s="111"/>
      <c r="Q1906" s="111"/>
      <c r="R1906" s="111"/>
      <c r="S1906" s="1249">
        <v>1</v>
      </c>
      <c r="T1906" s="1250">
        <v>35.095679999999994</v>
      </c>
      <c r="U1906" s="1250"/>
      <c r="V1906" s="1250"/>
      <c r="W1906" s="1251">
        <v>1</v>
      </c>
      <c r="X1906" s="1250">
        <v>35.095679999999994</v>
      </c>
      <c r="Y1906" s="1250"/>
      <c r="Z1906" s="1250"/>
      <c r="AA1906" s="1250"/>
      <c r="AB1906" s="1250"/>
      <c r="AC1906" s="1250"/>
      <c r="AD1906" s="1250"/>
      <c r="AE1906" s="1249">
        <v>1</v>
      </c>
      <c r="AF1906" s="1250">
        <v>35.095679999999994</v>
      </c>
      <c r="AG1906" s="111"/>
      <c r="AH1906" s="111"/>
      <c r="AI1906" s="111"/>
      <c r="AJ1906" s="111"/>
      <c r="AK1906" s="111"/>
      <c r="AL1906" s="111"/>
      <c r="AM1906" s="111">
        <v>105.28703999999999</v>
      </c>
    </row>
    <row r="1907" spans="1:39" ht="15" customHeight="1" x14ac:dyDescent="0.25">
      <c r="A1907" s="1409"/>
      <c r="B1907" s="1409"/>
      <c r="C1907" s="1409"/>
      <c r="D1907" s="1409"/>
      <c r="E1907" s="1247"/>
      <c r="F1907" s="1248" t="s">
        <v>3278</v>
      </c>
      <c r="G1907" s="111"/>
      <c r="H1907" s="1249">
        <v>1</v>
      </c>
      <c r="I1907" s="111" t="s">
        <v>1826</v>
      </c>
      <c r="J1907" s="1321" t="s">
        <v>5608</v>
      </c>
      <c r="K1907" s="162" t="s">
        <v>5610</v>
      </c>
      <c r="L1907" s="162" t="s">
        <v>5609</v>
      </c>
      <c r="M1907" s="111">
        <v>270</v>
      </c>
      <c r="N1907" s="111">
        <v>270</v>
      </c>
      <c r="O1907" s="111"/>
      <c r="P1907" s="111"/>
      <c r="Q1907" s="111"/>
      <c r="R1907" s="111"/>
      <c r="S1907" s="1249">
        <v>1</v>
      </c>
      <c r="T1907" s="1250">
        <v>90</v>
      </c>
      <c r="U1907" s="1250"/>
      <c r="V1907" s="1250"/>
      <c r="W1907" s="1251">
        <v>0</v>
      </c>
      <c r="X1907" s="1250">
        <v>90</v>
      </c>
      <c r="Y1907" s="1250"/>
      <c r="Z1907" s="1250"/>
      <c r="AA1907" s="1250"/>
      <c r="AB1907" s="1250"/>
      <c r="AC1907" s="1250"/>
      <c r="AD1907" s="1250"/>
      <c r="AE1907" s="1249">
        <v>0</v>
      </c>
      <c r="AF1907" s="1250">
        <v>90</v>
      </c>
      <c r="AG1907" s="111"/>
      <c r="AH1907" s="111"/>
      <c r="AI1907" s="111"/>
      <c r="AJ1907" s="111"/>
      <c r="AK1907" s="111"/>
      <c r="AL1907" s="111"/>
      <c r="AM1907" s="111">
        <v>270</v>
      </c>
    </row>
    <row r="1908" spans="1:39" ht="15" customHeight="1" x14ac:dyDescent="0.25">
      <c r="A1908" s="1409"/>
      <c r="B1908" s="1409"/>
      <c r="C1908" s="1409"/>
      <c r="D1908" s="1409"/>
      <c r="E1908" s="1247"/>
      <c r="F1908" s="1248" t="s">
        <v>3279</v>
      </c>
      <c r="G1908" s="111"/>
      <c r="H1908" s="1249">
        <v>1</v>
      </c>
      <c r="I1908" s="111" t="s">
        <v>1721</v>
      </c>
      <c r="J1908" s="1321" t="s">
        <v>5608</v>
      </c>
      <c r="K1908" s="162" t="s">
        <v>5610</v>
      </c>
      <c r="L1908" s="162" t="s">
        <v>5609</v>
      </c>
      <c r="M1908" s="111">
        <v>734.14080000000001</v>
      </c>
      <c r="N1908" s="111">
        <v>734.14080000000001</v>
      </c>
      <c r="O1908" s="111"/>
      <c r="P1908" s="111"/>
      <c r="Q1908" s="111"/>
      <c r="R1908" s="111"/>
      <c r="S1908" s="1249">
        <v>1</v>
      </c>
      <c r="T1908" s="1250">
        <v>244.71360000000001</v>
      </c>
      <c r="U1908" s="1250"/>
      <c r="V1908" s="1250"/>
      <c r="W1908" s="1251">
        <v>0</v>
      </c>
      <c r="X1908" s="1250">
        <v>244.71360000000001</v>
      </c>
      <c r="Y1908" s="1250"/>
      <c r="Z1908" s="1250"/>
      <c r="AA1908" s="1250"/>
      <c r="AB1908" s="1250"/>
      <c r="AC1908" s="1250"/>
      <c r="AD1908" s="1250"/>
      <c r="AE1908" s="1249">
        <v>0</v>
      </c>
      <c r="AF1908" s="1250">
        <v>244.71360000000001</v>
      </c>
      <c r="AG1908" s="111"/>
      <c r="AH1908" s="111"/>
      <c r="AI1908" s="111"/>
      <c r="AJ1908" s="111"/>
      <c r="AK1908" s="111"/>
      <c r="AL1908" s="111"/>
      <c r="AM1908" s="111">
        <v>734.14080000000001</v>
      </c>
    </row>
    <row r="1909" spans="1:39" ht="15" customHeight="1" x14ac:dyDescent="0.25">
      <c r="A1909" s="1409"/>
      <c r="B1909" s="1409"/>
      <c r="C1909" s="1409"/>
      <c r="D1909" s="1409"/>
      <c r="E1909" s="1247"/>
      <c r="F1909" s="1248" t="s">
        <v>3280</v>
      </c>
      <c r="G1909" s="111"/>
      <c r="H1909" s="1249">
        <v>1</v>
      </c>
      <c r="I1909" s="111" t="s">
        <v>1722</v>
      </c>
      <c r="J1909" s="1321" t="s">
        <v>5608</v>
      </c>
      <c r="K1909" s="162" t="s">
        <v>5610</v>
      </c>
      <c r="L1909" s="162" t="s">
        <v>5609</v>
      </c>
      <c r="M1909" s="111">
        <v>686.88017279999997</v>
      </c>
      <c r="N1909" s="111">
        <v>686.88017279999997</v>
      </c>
      <c r="O1909" s="111"/>
      <c r="P1909" s="111"/>
      <c r="Q1909" s="111"/>
      <c r="R1909" s="111"/>
      <c r="S1909" s="1249">
        <v>1</v>
      </c>
      <c r="T1909" s="1250">
        <v>228.9600576</v>
      </c>
      <c r="U1909" s="1250"/>
      <c r="V1909" s="1250"/>
      <c r="W1909" s="1251">
        <v>0</v>
      </c>
      <c r="X1909" s="1250">
        <v>228.9600576</v>
      </c>
      <c r="Y1909" s="1250"/>
      <c r="Z1909" s="1250"/>
      <c r="AA1909" s="1250"/>
      <c r="AB1909" s="1250"/>
      <c r="AC1909" s="1250"/>
      <c r="AD1909" s="1250"/>
      <c r="AE1909" s="1249">
        <v>0</v>
      </c>
      <c r="AF1909" s="1250">
        <v>228.9600576</v>
      </c>
      <c r="AG1909" s="111"/>
      <c r="AH1909" s="111"/>
      <c r="AI1909" s="111"/>
      <c r="AJ1909" s="111"/>
      <c r="AK1909" s="111"/>
      <c r="AL1909" s="111"/>
      <c r="AM1909" s="111">
        <v>686.88017279999997</v>
      </c>
    </row>
    <row r="1910" spans="1:39" ht="15" customHeight="1" x14ac:dyDescent="0.25">
      <c r="A1910" s="1409"/>
      <c r="B1910" s="1409"/>
      <c r="C1910" s="1409"/>
      <c r="D1910" s="1409"/>
      <c r="E1910" s="1247"/>
      <c r="F1910" s="1248" t="s">
        <v>3281</v>
      </c>
      <c r="G1910" s="111"/>
      <c r="H1910" s="1249">
        <v>1</v>
      </c>
      <c r="I1910" s="111" t="s">
        <v>1721</v>
      </c>
      <c r="J1910" s="1321" t="s">
        <v>5608</v>
      </c>
      <c r="K1910" s="162" t="s">
        <v>5610</v>
      </c>
      <c r="L1910" s="162" t="s">
        <v>5609</v>
      </c>
      <c r="M1910" s="111">
        <v>64.539099999999991</v>
      </c>
      <c r="N1910" s="111">
        <v>64.539099999999991</v>
      </c>
      <c r="O1910" s="111"/>
      <c r="P1910" s="111"/>
      <c r="Q1910" s="111"/>
      <c r="R1910" s="111"/>
      <c r="S1910" s="1249">
        <v>1</v>
      </c>
      <c r="T1910" s="1250">
        <v>21.513033333333329</v>
      </c>
      <c r="U1910" s="1250"/>
      <c r="V1910" s="1250"/>
      <c r="W1910" s="1251">
        <v>0</v>
      </c>
      <c r="X1910" s="1250">
        <v>21.513033333333329</v>
      </c>
      <c r="Y1910" s="1250"/>
      <c r="Z1910" s="1250"/>
      <c r="AA1910" s="1250"/>
      <c r="AB1910" s="1250"/>
      <c r="AC1910" s="1250"/>
      <c r="AD1910" s="1250"/>
      <c r="AE1910" s="1249">
        <v>0</v>
      </c>
      <c r="AF1910" s="1250">
        <v>21.513033333333329</v>
      </c>
      <c r="AG1910" s="111"/>
      <c r="AH1910" s="111"/>
      <c r="AI1910" s="111"/>
      <c r="AJ1910" s="111"/>
      <c r="AK1910" s="111"/>
      <c r="AL1910" s="111"/>
      <c r="AM1910" s="111">
        <v>64.539099999999991</v>
      </c>
    </row>
    <row r="1911" spans="1:39" ht="15" customHeight="1" x14ac:dyDescent="0.25">
      <c r="A1911" s="1409"/>
      <c r="B1911" s="1409"/>
      <c r="C1911" s="1409"/>
      <c r="D1911" s="1409"/>
      <c r="E1911" s="1247"/>
      <c r="F1911" s="1248" t="s">
        <v>3282</v>
      </c>
      <c r="G1911" s="111"/>
      <c r="H1911" s="1249">
        <v>1</v>
      </c>
      <c r="I1911" s="111" t="s">
        <v>1722</v>
      </c>
      <c r="J1911" s="1321" t="s">
        <v>5608</v>
      </c>
      <c r="K1911" s="162" t="s">
        <v>5610</v>
      </c>
      <c r="L1911" s="162" t="s">
        <v>5609</v>
      </c>
      <c r="M1911" s="111">
        <v>539.54000000000815</v>
      </c>
      <c r="N1911" s="111">
        <v>539.54000000000815</v>
      </c>
      <c r="O1911" s="111"/>
      <c r="P1911" s="111"/>
      <c r="Q1911" s="111"/>
      <c r="R1911" s="111"/>
      <c r="S1911" s="1249">
        <v>1</v>
      </c>
      <c r="T1911" s="1250">
        <v>179.84666666666939</v>
      </c>
      <c r="U1911" s="1250"/>
      <c r="V1911" s="1250"/>
      <c r="W1911" s="1251">
        <v>0</v>
      </c>
      <c r="X1911" s="1250">
        <v>179.84666666666939</v>
      </c>
      <c r="Y1911" s="1250"/>
      <c r="Z1911" s="1250"/>
      <c r="AA1911" s="1250"/>
      <c r="AB1911" s="1250"/>
      <c r="AC1911" s="1250"/>
      <c r="AD1911" s="1250"/>
      <c r="AE1911" s="1249">
        <v>0</v>
      </c>
      <c r="AF1911" s="1250">
        <v>179.84666666666939</v>
      </c>
      <c r="AG1911" s="111"/>
      <c r="AH1911" s="111"/>
      <c r="AI1911" s="111"/>
      <c r="AJ1911" s="111"/>
      <c r="AK1911" s="111"/>
      <c r="AL1911" s="111"/>
      <c r="AM1911" s="111">
        <v>539.54000000000815</v>
      </c>
    </row>
    <row r="1912" spans="1:39" ht="15" customHeight="1" x14ac:dyDescent="0.25">
      <c r="A1912" s="1409"/>
      <c r="B1912" s="1409"/>
      <c r="C1912" s="1409"/>
      <c r="D1912" s="1409"/>
      <c r="E1912" s="1247"/>
      <c r="F1912" s="1248" t="s">
        <v>3283</v>
      </c>
      <c r="G1912" s="111"/>
      <c r="H1912" s="1249">
        <v>25</v>
      </c>
      <c r="I1912" s="111" t="s">
        <v>1721</v>
      </c>
      <c r="J1912" s="1321" t="s">
        <v>5608</v>
      </c>
      <c r="K1912" s="162" t="s">
        <v>5610</v>
      </c>
      <c r="L1912" s="162" t="s">
        <v>5609</v>
      </c>
      <c r="M1912" s="111">
        <v>151.09236000000004</v>
      </c>
      <c r="N1912" s="111">
        <v>3777.3090000000011</v>
      </c>
      <c r="O1912" s="111"/>
      <c r="P1912" s="111"/>
      <c r="Q1912" s="111"/>
      <c r="R1912" s="111"/>
      <c r="S1912" s="1249">
        <v>10</v>
      </c>
      <c r="T1912" s="1250">
        <v>1259.1030000000003</v>
      </c>
      <c r="U1912" s="1250"/>
      <c r="V1912" s="1250"/>
      <c r="W1912" s="1251">
        <v>10</v>
      </c>
      <c r="X1912" s="1250">
        <v>1259.1030000000003</v>
      </c>
      <c r="Y1912" s="1250"/>
      <c r="Z1912" s="1250"/>
      <c r="AA1912" s="1250"/>
      <c r="AB1912" s="1250"/>
      <c r="AC1912" s="1250"/>
      <c r="AD1912" s="1250"/>
      <c r="AE1912" s="1249">
        <v>5</v>
      </c>
      <c r="AF1912" s="1250">
        <v>1259.1030000000003</v>
      </c>
      <c r="AG1912" s="111"/>
      <c r="AH1912" s="111"/>
      <c r="AI1912" s="111"/>
      <c r="AJ1912" s="111"/>
      <c r="AK1912" s="111"/>
      <c r="AL1912" s="111"/>
      <c r="AM1912" s="111">
        <v>3777.3090000000011</v>
      </c>
    </row>
    <row r="1913" spans="1:39" ht="15" customHeight="1" x14ac:dyDescent="0.25">
      <c r="A1913" s="1409"/>
      <c r="B1913" s="1409"/>
      <c r="C1913" s="1409"/>
      <c r="D1913" s="1409"/>
      <c r="E1913" s="1247"/>
      <c r="F1913" s="1248" t="s">
        <v>5286</v>
      </c>
      <c r="G1913" s="111"/>
      <c r="H1913" s="1249">
        <v>2</v>
      </c>
      <c r="I1913" s="111" t="s">
        <v>1721</v>
      </c>
      <c r="J1913" s="1321" t="s">
        <v>5608</v>
      </c>
      <c r="K1913" s="162" t="s">
        <v>5610</v>
      </c>
      <c r="L1913" s="162" t="s">
        <v>5609</v>
      </c>
      <c r="M1913" s="111">
        <v>41.04</v>
      </c>
      <c r="N1913" s="111">
        <v>82.08</v>
      </c>
      <c r="O1913" s="111"/>
      <c r="P1913" s="111"/>
      <c r="Q1913" s="111"/>
      <c r="R1913" s="111"/>
      <c r="S1913" s="1249">
        <v>2</v>
      </c>
      <c r="T1913" s="1250">
        <v>27.36</v>
      </c>
      <c r="U1913" s="1250"/>
      <c r="V1913" s="1250"/>
      <c r="W1913" s="1251">
        <v>0</v>
      </c>
      <c r="X1913" s="1250">
        <v>27.36</v>
      </c>
      <c r="Y1913" s="1250"/>
      <c r="Z1913" s="1250"/>
      <c r="AA1913" s="1250"/>
      <c r="AB1913" s="1250"/>
      <c r="AC1913" s="1250"/>
      <c r="AD1913" s="1250"/>
      <c r="AE1913" s="1249">
        <v>0</v>
      </c>
      <c r="AF1913" s="1250">
        <v>27.36</v>
      </c>
      <c r="AG1913" s="111"/>
      <c r="AH1913" s="111"/>
      <c r="AI1913" s="111"/>
      <c r="AJ1913" s="111"/>
      <c r="AK1913" s="111"/>
      <c r="AL1913" s="111"/>
      <c r="AM1913" s="111">
        <v>82.08</v>
      </c>
    </row>
    <row r="1914" spans="1:39" ht="15" customHeight="1" x14ac:dyDescent="0.25">
      <c r="A1914" s="1409"/>
      <c r="B1914" s="1409"/>
      <c r="C1914" s="1409"/>
      <c r="D1914" s="1409"/>
      <c r="E1914" s="1286"/>
      <c r="F1914" s="1248"/>
      <c r="G1914" s="111"/>
      <c r="H1914" s="1249"/>
      <c r="I1914" s="111"/>
      <c r="J1914" s="111"/>
      <c r="K1914" s="111"/>
      <c r="L1914" s="111"/>
      <c r="M1914" s="111"/>
      <c r="N1914" s="111"/>
      <c r="O1914" s="111"/>
      <c r="P1914" s="111"/>
      <c r="Q1914" s="111"/>
      <c r="R1914" s="111"/>
      <c r="S1914" s="1249"/>
      <c r="T1914" s="1250"/>
      <c r="U1914" s="1250"/>
      <c r="V1914" s="1250"/>
      <c r="W1914" s="1251"/>
      <c r="X1914" s="1250"/>
      <c r="Y1914" s="1250"/>
      <c r="Z1914" s="1250"/>
      <c r="AA1914" s="1250"/>
      <c r="AB1914" s="1250"/>
      <c r="AC1914" s="1250"/>
      <c r="AD1914" s="1250"/>
      <c r="AE1914" s="1249"/>
      <c r="AF1914" s="1250"/>
      <c r="AG1914" s="111"/>
      <c r="AH1914" s="111"/>
      <c r="AI1914" s="111"/>
      <c r="AJ1914" s="111"/>
      <c r="AK1914" s="111"/>
      <c r="AL1914" s="111"/>
      <c r="AM1914" s="111"/>
    </row>
    <row r="1915" spans="1:39" ht="15" customHeight="1" x14ac:dyDescent="0.25">
      <c r="A1915" s="1409"/>
      <c r="B1915" s="1409"/>
      <c r="C1915" s="1409"/>
      <c r="D1915" s="1409"/>
      <c r="E1915" s="1218">
        <v>256</v>
      </c>
      <c r="F1915" s="1268" t="s">
        <v>642</v>
      </c>
      <c r="G1915" s="1218"/>
      <c r="H1915" s="1218"/>
      <c r="I1915" s="1218"/>
      <c r="J1915" s="1218"/>
      <c r="K1915" s="1218"/>
      <c r="L1915" s="1218"/>
      <c r="M1915" s="1218"/>
      <c r="N1915" s="1218"/>
      <c r="O1915" s="1218"/>
      <c r="P1915" s="1218"/>
      <c r="Q1915" s="1218"/>
      <c r="R1915" s="1218"/>
      <c r="S1915" s="1218"/>
      <c r="T1915" s="1218"/>
      <c r="U1915" s="1218"/>
      <c r="V1915" s="1218"/>
      <c r="W1915" s="1218"/>
      <c r="X1915" s="1218"/>
      <c r="Y1915" s="1218"/>
      <c r="Z1915" s="1218"/>
      <c r="AA1915" s="1218"/>
      <c r="AB1915" s="1218"/>
      <c r="AC1915" s="1218"/>
      <c r="AD1915" s="1218"/>
      <c r="AE1915" s="1218"/>
      <c r="AF1915" s="1218"/>
      <c r="AG1915" s="1218"/>
      <c r="AH1915" s="1218"/>
      <c r="AI1915" s="1218"/>
      <c r="AJ1915" s="1218"/>
      <c r="AK1915" s="1218"/>
      <c r="AL1915" s="1218"/>
      <c r="AM1915" s="1218"/>
    </row>
    <row r="1916" spans="1:39" ht="15" customHeight="1" x14ac:dyDescent="0.25">
      <c r="A1916" s="1409"/>
      <c r="B1916" s="1409"/>
      <c r="C1916" s="1409"/>
      <c r="D1916" s="1409"/>
      <c r="E1916" s="1247"/>
      <c r="F1916" s="1248"/>
      <c r="G1916" s="111"/>
      <c r="H1916" s="1249"/>
      <c r="I1916" s="111"/>
      <c r="J1916" s="111"/>
      <c r="K1916" s="111"/>
      <c r="L1916" s="111"/>
      <c r="M1916" s="111"/>
      <c r="N1916" s="111"/>
      <c r="O1916" s="111"/>
      <c r="P1916" s="111"/>
      <c r="Q1916" s="111"/>
      <c r="R1916" s="111"/>
      <c r="S1916" s="1249"/>
      <c r="T1916" s="1250"/>
      <c r="U1916" s="1250"/>
      <c r="V1916" s="1250"/>
      <c r="W1916" s="1251"/>
      <c r="X1916" s="1250"/>
      <c r="Y1916" s="1250"/>
      <c r="Z1916" s="1250"/>
      <c r="AA1916" s="1250"/>
      <c r="AB1916" s="1250"/>
      <c r="AC1916" s="1250"/>
      <c r="AD1916" s="1250"/>
      <c r="AE1916" s="1249"/>
      <c r="AF1916" s="1250"/>
      <c r="AG1916" s="111"/>
      <c r="AH1916" s="111"/>
      <c r="AI1916" s="111"/>
      <c r="AJ1916" s="111"/>
      <c r="AK1916" s="111"/>
      <c r="AL1916" s="111"/>
      <c r="AM1916" s="111"/>
    </row>
    <row r="1917" spans="1:39" ht="15" customHeight="1" x14ac:dyDescent="0.25">
      <c r="A1917" s="1409"/>
      <c r="B1917" s="1409"/>
      <c r="C1917" s="1409"/>
      <c r="D1917" s="1409"/>
      <c r="E1917" s="1261">
        <v>25601</v>
      </c>
      <c r="F1917" s="1262" t="s">
        <v>642</v>
      </c>
      <c r="G1917" s="1261"/>
      <c r="H1917" s="1261"/>
      <c r="I1917" s="1261"/>
      <c r="J1917" s="1261"/>
      <c r="K1917" s="1261"/>
      <c r="L1917" s="1261"/>
      <c r="M1917" s="1261"/>
      <c r="N1917" s="1261"/>
      <c r="O1917" s="1261"/>
      <c r="P1917" s="1261"/>
      <c r="Q1917" s="1261"/>
      <c r="R1917" s="1261"/>
      <c r="S1917" s="1261"/>
      <c r="T1917" s="1261"/>
      <c r="U1917" s="1261"/>
      <c r="V1917" s="1261"/>
      <c r="W1917" s="1261"/>
      <c r="X1917" s="1261"/>
      <c r="Y1917" s="1261"/>
      <c r="Z1917" s="1261"/>
      <c r="AA1917" s="1261"/>
      <c r="AB1917" s="1261"/>
      <c r="AC1917" s="1261"/>
      <c r="AD1917" s="1261"/>
      <c r="AE1917" s="1261"/>
      <c r="AF1917" s="1261"/>
      <c r="AG1917" s="1261"/>
      <c r="AH1917" s="1261"/>
      <c r="AI1917" s="1261"/>
      <c r="AJ1917" s="1261"/>
      <c r="AK1917" s="1261"/>
      <c r="AL1917" s="1261"/>
      <c r="AM1917" s="1261"/>
    </row>
    <row r="1918" spans="1:39" ht="15" customHeight="1" x14ac:dyDescent="0.25">
      <c r="A1918" s="1409"/>
      <c r="B1918" s="1409"/>
      <c r="C1918" s="1409"/>
      <c r="D1918" s="1409"/>
      <c r="E1918" s="1286"/>
      <c r="F1918" s="1248" t="s">
        <v>2862</v>
      </c>
      <c r="G1918" s="111"/>
      <c r="H1918" s="1249">
        <v>2</v>
      </c>
      <c r="I1918" s="111" t="s">
        <v>1721</v>
      </c>
      <c r="J1918" s="1321" t="s">
        <v>5608</v>
      </c>
      <c r="K1918" s="162" t="s">
        <v>5610</v>
      </c>
      <c r="L1918" s="162" t="s">
        <v>5609</v>
      </c>
      <c r="M1918" s="111">
        <v>800</v>
      </c>
      <c r="N1918" s="111">
        <v>1600</v>
      </c>
      <c r="O1918" s="111"/>
      <c r="P1918" s="111"/>
      <c r="Q1918" s="111"/>
      <c r="R1918" s="111"/>
      <c r="S1918" s="1249">
        <v>2</v>
      </c>
      <c r="T1918" s="1250">
        <v>533.33333333333337</v>
      </c>
      <c r="U1918" s="1250"/>
      <c r="V1918" s="1250"/>
      <c r="W1918" s="1251">
        <v>0</v>
      </c>
      <c r="X1918" s="1250">
        <v>533.33333333333337</v>
      </c>
      <c r="Y1918" s="1250"/>
      <c r="Z1918" s="1250"/>
      <c r="AA1918" s="1250"/>
      <c r="AB1918" s="1250"/>
      <c r="AC1918" s="1250"/>
      <c r="AD1918" s="1250"/>
      <c r="AE1918" s="1249">
        <v>0</v>
      </c>
      <c r="AF1918" s="1250">
        <v>533.33333333333337</v>
      </c>
      <c r="AG1918" s="111"/>
      <c r="AH1918" s="111"/>
      <c r="AI1918" s="111"/>
      <c r="AJ1918" s="111"/>
      <c r="AK1918" s="111"/>
      <c r="AL1918" s="111"/>
      <c r="AM1918" s="111">
        <v>1600</v>
      </c>
    </row>
    <row r="1919" spans="1:39" ht="15" customHeight="1" x14ac:dyDescent="0.25">
      <c r="A1919" s="1409"/>
      <c r="B1919" s="1409"/>
      <c r="C1919" s="1409"/>
      <c r="D1919" s="1409"/>
      <c r="E1919" s="1286"/>
      <c r="F1919" s="1248" t="s">
        <v>653</v>
      </c>
      <c r="G1919" s="111"/>
      <c r="H1919" s="1249">
        <v>140</v>
      </c>
      <c r="I1919" s="111" t="s">
        <v>1721</v>
      </c>
      <c r="J1919" s="1321" t="s">
        <v>5608</v>
      </c>
      <c r="K1919" s="162" t="s">
        <v>5610</v>
      </c>
      <c r="L1919" s="162" t="s">
        <v>5609</v>
      </c>
      <c r="M1919" s="111">
        <v>61.702857142857141</v>
      </c>
      <c r="N1919" s="111">
        <v>8638.4</v>
      </c>
      <c r="O1919" s="111"/>
      <c r="P1919" s="111"/>
      <c r="Q1919" s="111"/>
      <c r="R1919" s="111"/>
      <c r="S1919" s="1249">
        <v>50</v>
      </c>
      <c r="T1919" s="1250">
        <v>2879.4666666666667</v>
      </c>
      <c r="U1919" s="1250"/>
      <c r="V1919" s="1250"/>
      <c r="W1919" s="1251">
        <v>50</v>
      </c>
      <c r="X1919" s="1250">
        <v>2879.4666666666667</v>
      </c>
      <c r="Y1919" s="1250"/>
      <c r="Z1919" s="1250"/>
      <c r="AA1919" s="1250"/>
      <c r="AB1919" s="1250"/>
      <c r="AC1919" s="1250"/>
      <c r="AD1919" s="1250"/>
      <c r="AE1919" s="1249">
        <v>40</v>
      </c>
      <c r="AF1919" s="1250">
        <v>2879.4666666666667</v>
      </c>
      <c r="AG1919" s="111"/>
      <c r="AH1919" s="111"/>
      <c r="AI1919" s="111"/>
      <c r="AJ1919" s="111"/>
      <c r="AK1919" s="111"/>
      <c r="AL1919" s="111"/>
      <c r="AM1919" s="111">
        <v>8638.4</v>
      </c>
    </row>
    <row r="1920" spans="1:39" ht="15" customHeight="1" x14ac:dyDescent="0.25">
      <c r="A1920" s="1409"/>
      <c r="B1920" s="1409"/>
      <c r="C1920" s="1409"/>
      <c r="D1920" s="1409"/>
      <c r="E1920" s="1286"/>
      <c r="F1920" s="1248" t="s">
        <v>5287</v>
      </c>
      <c r="G1920" s="111"/>
      <c r="H1920" s="1249">
        <v>2500</v>
      </c>
      <c r="I1920" s="111" t="s">
        <v>1721</v>
      </c>
      <c r="J1920" s="1321" t="s">
        <v>5608</v>
      </c>
      <c r="K1920" s="162" t="s">
        <v>5610</v>
      </c>
      <c r="L1920" s="162" t="s">
        <v>5609</v>
      </c>
      <c r="M1920" s="111">
        <v>0.5</v>
      </c>
      <c r="N1920" s="111">
        <v>1250</v>
      </c>
      <c r="O1920" s="111"/>
      <c r="P1920" s="111"/>
      <c r="Q1920" s="111"/>
      <c r="R1920" s="111"/>
      <c r="S1920" s="1249">
        <v>1000</v>
      </c>
      <c r="T1920" s="1250">
        <v>416.66666666666669</v>
      </c>
      <c r="U1920" s="1250"/>
      <c r="V1920" s="1250"/>
      <c r="W1920" s="1251">
        <v>1000</v>
      </c>
      <c r="X1920" s="1250">
        <v>416.66666666666669</v>
      </c>
      <c r="Y1920" s="1250"/>
      <c r="Z1920" s="1250"/>
      <c r="AA1920" s="1250"/>
      <c r="AB1920" s="1250"/>
      <c r="AC1920" s="1250"/>
      <c r="AD1920" s="1250"/>
      <c r="AE1920" s="1249">
        <v>500</v>
      </c>
      <c r="AF1920" s="1250">
        <v>416.66666666666669</v>
      </c>
      <c r="AG1920" s="111"/>
      <c r="AH1920" s="111"/>
      <c r="AI1920" s="111"/>
      <c r="AJ1920" s="111"/>
      <c r="AK1920" s="111"/>
      <c r="AL1920" s="111"/>
      <c r="AM1920" s="111">
        <v>1250</v>
      </c>
    </row>
    <row r="1921" spans="1:39" ht="15" customHeight="1" x14ac:dyDescent="0.25">
      <c r="A1921" s="1409"/>
      <c r="B1921" s="1409"/>
      <c r="C1921" s="1409"/>
      <c r="D1921" s="1409"/>
      <c r="E1921" s="1286"/>
      <c r="F1921" s="1248" t="s">
        <v>1876</v>
      </c>
      <c r="G1921" s="111"/>
      <c r="H1921" s="1249">
        <v>2500</v>
      </c>
      <c r="I1921" s="111" t="s">
        <v>1721</v>
      </c>
      <c r="J1921" s="1321" t="s">
        <v>5608</v>
      </c>
      <c r="K1921" s="162" t="s">
        <v>5610</v>
      </c>
      <c r="L1921" s="162" t="s">
        <v>5609</v>
      </c>
      <c r="M1921" s="111">
        <v>0.5</v>
      </c>
      <c r="N1921" s="111">
        <v>1250</v>
      </c>
      <c r="O1921" s="111"/>
      <c r="P1921" s="111"/>
      <c r="Q1921" s="111"/>
      <c r="R1921" s="111"/>
      <c r="S1921" s="1249">
        <v>1000</v>
      </c>
      <c r="T1921" s="1250">
        <v>416.66666666666669</v>
      </c>
      <c r="U1921" s="1250"/>
      <c r="V1921" s="1250"/>
      <c r="W1921" s="1251">
        <v>1000</v>
      </c>
      <c r="X1921" s="1250">
        <v>416.66666666666669</v>
      </c>
      <c r="Y1921" s="1250"/>
      <c r="Z1921" s="1250"/>
      <c r="AA1921" s="1250"/>
      <c r="AB1921" s="1250"/>
      <c r="AC1921" s="1250"/>
      <c r="AD1921" s="1250"/>
      <c r="AE1921" s="1249">
        <v>500</v>
      </c>
      <c r="AF1921" s="1250">
        <v>416.66666666666669</v>
      </c>
      <c r="AG1921" s="111"/>
      <c r="AH1921" s="111"/>
      <c r="AI1921" s="111"/>
      <c r="AJ1921" s="111"/>
      <c r="AK1921" s="111"/>
      <c r="AL1921" s="111"/>
      <c r="AM1921" s="111">
        <v>1250</v>
      </c>
    </row>
    <row r="1922" spans="1:39" ht="15" customHeight="1" x14ac:dyDescent="0.25">
      <c r="A1922" s="1409"/>
      <c r="B1922" s="1409"/>
      <c r="C1922" s="1409"/>
      <c r="D1922" s="1409"/>
      <c r="E1922" s="1286"/>
      <c r="F1922" s="1248" t="s">
        <v>1877</v>
      </c>
      <c r="G1922" s="111"/>
      <c r="H1922" s="1249">
        <v>2500</v>
      </c>
      <c r="I1922" s="111" t="s">
        <v>1721</v>
      </c>
      <c r="J1922" s="1321" t="s">
        <v>5608</v>
      </c>
      <c r="K1922" s="162" t="s">
        <v>5610</v>
      </c>
      <c r="L1922" s="162" t="s">
        <v>5609</v>
      </c>
      <c r="M1922" s="111">
        <v>0.5</v>
      </c>
      <c r="N1922" s="111">
        <v>1250</v>
      </c>
      <c r="O1922" s="111"/>
      <c r="P1922" s="111"/>
      <c r="Q1922" s="111"/>
      <c r="R1922" s="111"/>
      <c r="S1922" s="1249">
        <v>1000</v>
      </c>
      <c r="T1922" s="1250">
        <v>416.66666666666669</v>
      </c>
      <c r="U1922" s="1250"/>
      <c r="V1922" s="1250"/>
      <c r="W1922" s="1251">
        <v>1000</v>
      </c>
      <c r="X1922" s="1250">
        <v>416.66666666666669</v>
      </c>
      <c r="Y1922" s="1250"/>
      <c r="Z1922" s="1250"/>
      <c r="AA1922" s="1250"/>
      <c r="AB1922" s="1250"/>
      <c r="AC1922" s="1250"/>
      <c r="AD1922" s="1250"/>
      <c r="AE1922" s="1249">
        <v>500</v>
      </c>
      <c r="AF1922" s="1250">
        <v>416.66666666666669</v>
      </c>
      <c r="AG1922" s="111"/>
      <c r="AH1922" s="111"/>
      <c r="AI1922" s="111"/>
      <c r="AJ1922" s="111"/>
      <c r="AK1922" s="111"/>
      <c r="AL1922" s="111"/>
      <c r="AM1922" s="111">
        <v>1250</v>
      </c>
    </row>
    <row r="1923" spans="1:39" ht="15" customHeight="1" x14ac:dyDescent="0.25">
      <c r="A1923" s="1409"/>
      <c r="B1923" s="1409"/>
      <c r="C1923" s="1409"/>
      <c r="D1923" s="1409"/>
      <c r="E1923" s="1286"/>
      <c r="F1923" s="1248" t="s">
        <v>1878</v>
      </c>
      <c r="G1923" s="111"/>
      <c r="H1923" s="1249">
        <v>2500</v>
      </c>
      <c r="I1923" s="111" t="s">
        <v>1721</v>
      </c>
      <c r="J1923" s="1321" t="s">
        <v>5608</v>
      </c>
      <c r="K1923" s="162" t="s">
        <v>5610</v>
      </c>
      <c r="L1923" s="162" t="s">
        <v>5609</v>
      </c>
      <c r="M1923" s="111">
        <v>1</v>
      </c>
      <c r="N1923" s="111">
        <v>2500</v>
      </c>
      <c r="O1923" s="111"/>
      <c r="P1923" s="111"/>
      <c r="Q1923" s="111"/>
      <c r="R1923" s="111"/>
      <c r="S1923" s="1249">
        <v>1000</v>
      </c>
      <c r="T1923" s="1250">
        <v>833.33333333333337</v>
      </c>
      <c r="U1923" s="1250"/>
      <c r="V1923" s="1250"/>
      <c r="W1923" s="1251">
        <v>1000</v>
      </c>
      <c r="X1923" s="1250">
        <v>833.33333333333337</v>
      </c>
      <c r="Y1923" s="1250"/>
      <c r="Z1923" s="1250"/>
      <c r="AA1923" s="1250"/>
      <c r="AB1923" s="1250"/>
      <c r="AC1923" s="1250"/>
      <c r="AD1923" s="1250"/>
      <c r="AE1923" s="1249">
        <v>500</v>
      </c>
      <c r="AF1923" s="1250">
        <v>833.33333333333337</v>
      </c>
      <c r="AG1923" s="111"/>
      <c r="AH1923" s="111"/>
      <c r="AI1923" s="111"/>
      <c r="AJ1923" s="111"/>
      <c r="AK1923" s="111"/>
      <c r="AL1923" s="111"/>
      <c r="AM1923" s="111">
        <v>2500</v>
      </c>
    </row>
    <row r="1924" spans="1:39" ht="15" customHeight="1" x14ac:dyDescent="0.25">
      <c r="A1924" s="1409"/>
      <c r="B1924" s="1409"/>
      <c r="C1924" s="1409"/>
      <c r="D1924" s="1409"/>
      <c r="E1924" s="1286"/>
      <c r="F1924" s="1248" t="s">
        <v>5288</v>
      </c>
      <c r="G1924" s="111"/>
      <c r="H1924" s="1249">
        <v>2500</v>
      </c>
      <c r="I1924" s="111" t="s">
        <v>1721</v>
      </c>
      <c r="J1924" s="1321" t="s">
        <v>5608</v>
      </c>
      <c r="K1924" s="162" t="s">
        <v>5610</v>
      </c>
      <c r="L1924" s="162" t="s">
        <v>5609</v>
      </c>
      <c r="M1924" s="111">
        <v>0.5</v>
      </c>
      <c r="N1924" s="111">
        <v>1250</v>
      </c>
      <c r="O1924" s="111"/>
      <c r="P1924" s="111"/>
      <c r="Q1924" s="111"/>
      <c r="R1924" s="111"/>
      <c r="S1924" s="1249">
        <v>1000</v>
      </c>
      <c r="T1924" s="1250">
        <v>416.66666666666669</v>
      </c>
      <c r="U1924" s="1250"/>
      <c r="V1924" s="1250"/>
      <c r="W1924" s="1251">
        <v>1000</v>
      </c>
      <c r="X1924" s="1250">
        <v>416.66666666666669</v>
      </c>
      <c r="Y1924" s="1250"/>
      <c r="Z1924" s="1250"/>
      <c r="AA1924" s="1250"/>
      <c r="AB1924" s="1250"/>
      <c r="AC1924" s="1250"/>
      <c r="AD1924" s="1250"/>
      <c r="AE1924" s="1249">
        <v>500</v>
      </c>
      <c r="AF1924" s="1250">
        <v>416.66666666666669</v>
      </c>
      <c r="AG1924" s="111"/>
      <c r="AH1924" s="111"/>
      <c r="AI1924" s="111"/>
      <c r="AJ1924" s="111"/>
      <c r="AK1924" s="111"/>
      <c r="AL1924" s="111"/>
      <c r="AM1924" s="111">
        <v>1250</v>
      </c>
    </row>
    <row r="1925" spans="1:39" ht="15" customHeight="1" x14ac:dyDescent="0.25">
      <c r="A1925" s="1409"/>
      <c r="B1925" s="1409"/>
      <c r="C1925" s="1409"/>
      <c r="D1925" s="1409"/>
      <c r="E1925" s="1286"/>
      <c r="F1925" s="1248" t="s">
        <v>5289</v>
      </c>
      <c r="G1925" s="111"/>
      <c r="H1925" s="1249">
        <v>2500</v>
      </c>
      <c r="I1925" s="111" t="s">
        <v>1721</v>
      </c>
      <c r="J1925" s="1321" t="s">
        <v>5608</v>
      </c>
      <c r="K1925" s="162" t="s">
        <v>5610</v>
      </c>
      <c r="L1925" s="162" t="s">
        <v>5609</v>
      </c>
      <c r="M1925" s="111">
        <v>0.5</v>
      </c>
      <c r="N1925" s="111">
        <v>1250</v>
      </c>
      <c r="O1925" s="111"/>
      <c r="P1925" s="111"/>
      <c r="Q1925" s="111"/>
      <c r="R1925" s="111"/>
      <c r="S1925" s="1249">
        <v>1000</v>
      </c>
      <c r="T1925" s="1250">
        <v>416.66666666666669</v>
      </c>
      <c r="U1925" s="1250"/>
      <c r="V1925" s="1250"/>
      <c r="W1925" s="1251">
        <v>1000</v>
      </c>
      <c r="X1925" s="1250">
        <v>416.66666666666669</v>
      </c>
      <c r="Y1925" s="1250"/>
      <c r="Z1925" s="1250"/>
      <c r="AA1925" s="1250"/>
      <c r="AB1925" s="1250"/>
      <c r="AC1925" s="1250"/>
      <c r="AD1925" s="1250"/>
      <c r="AE1925" s="1249">
        <v>500</v>
      </c>
      <c r="AF1925" s="1250">
        <v>416.66666666666669</v>
      </c>
      <c r="AG1925" s="111"/>
      <c r="AH1925" s="111"/>
      <c r="AI1925" s="111"/>
      <c r="AJ1925" s="111"/>
      <c r="AK1925" s="111"/>
      <c r="AL1925" s="111"/>
      <c r="AM1925" s="111">
        <v>1250</v>
      </c>
    </row>
    <row r="1926" spans="1:39" ht="15" customHeight="1" x14ac:dyDescent="0.25">
      <c r="A1926" s="1409"/>
      <c r="B1926" s="1409"/>
      <c r="C1926" s="1409"/>
      <c r="D1926" s="1409"/>
      <c r="E1926" s="1286"/>
      <c r="F1926" s="1248" t="s">
        <v>5290</v>
      </c>
      <c r="G1926" s="111"/>
      <c r="H1926" s="1249">
        <v>2500</v>
      </c>
      <c r="I1926" s="111" t="s">
        <v>1721</v>
      </c>
      <c r="J1926" s="1321" t="s">
        <v>5608</v>
      </c>
      <c r="K1926" s="162" t="s">
        <v>5610</v>
      </c>
      <c r="L1926" s="162" t="s">
        <v>5609</v>
      </c>
      <c r="M1926" s="111">
        <v>1</v>
      </c>
      <c r="N1926" s="111">
        <v>2500</v>
      </c>
      <c r="O1926" s="111"/>
      <c r="P1926" s="111"/>
      <c r="Q1926" s="111"/>
      <c r="R1926" s="111"/>
      <c r="S1926" s="1249">
        <v>1000</v>
      </c>
      <c r="T1926" s="1250">
        <v>833.33333333333337</v>
      </c>
      <c r="U1926" s="1250"/>
      <c r="V1926" s="1250"/>
      <c r="W1926" s="1251">
        <v>1000</v>
      </c>
      <c r="X1926" s="1250">
        <v>833.33333333333337</v>
      </c>
      <c r="Y1926" s="1250"/>
      <c r="Z1926" s="1250"/>
      <c r="AA1926" s="1250"/>
      <c r="AB1926" s="1250"/>
      <c r="AC1926" s="1250"/>
      <c r="AD1926" s="1250"/>
      <c r="AE1926" s="1249">
        <v>500</v>
      </c>
      <c r="AF1926" s="1250">
        <v>833.33333333333337</v>
      </c>
      <c r="AG1926" s="111"/>
      <c r="AH1926" s="111"/>
      <c r="AI1926" s="111"/>
      <c r="AJ1926" s="111"/>
      <c r="AK1926" s="111"/>
      <c r="AL1926" s="111"/>
      <c r="AM1926" s="111">
        <v>2500</v>
      </c>
    </row>
    <row r="1927" spans="1:39" ht="15" customHeight="1" x14ac:dyDescent="0.25">
      <c r="A1927" s="1409"/>
      <c r="B1927" s="1409"/>
      <c r="C1927" s="1409"/>
      <c r="D1927" s="1409"/>
      <c r="E1927" s="1286"/>
      <c r="F1927" s="1248" t="s">
        <v>5291</v>
      </c>
      <c r="G1927" s="111"/>
      <c r="H1927" s="1249">
        <v>2500</v>
      </c>
      <c r="I1927" s="111" t="s">
        <v>1721</v>
      </c>
      <c r="J1927" s="1321" t="s">
        <v>5608</v>
      </c>
      <c r="K1927" s="162" t="s">
        <v>5610</v>
      </c>
      <c r="L1927" s="162" t="s">
        <v>5609</v>
      </c>
      <c r="M1927" s="111">
        <v>0.5</v>
      </c>
      <c r="N1927" s="111">
        <v>1250</v>
      </c>
      <c r="O1927" s="111"/>
      <c r="P1927" s="111"/>
      <c r="Q1927" s="111"/>
      <c r="R1927" s="111"/>
      <c r="S1927" s="1249">
        <v>1000</v>
      </c>
      <c r="T1927" s="1250">
        <v>416.66666666666669</v>
      </c>
      <c r="U1927" s="1250"/>
      <c r="V1927" s="1250"/>
      <c r="W1927" s="1251">
        <v>1000</v>
      </c>
      <c r="X1927" s="1250">
        <v>416.66666666666669</v>
      </c>
      <c r="Y1927" s="1250"/>
      <c r="Z1927" s="1250"/>
      <c r="AA1927" s="1250"/>
      <c r="AB1927" s="1250"/>
      <c r="AC1927" s="1250"/>
      <c r="AD1927" s="1250"/>
      <c r="AE1927" s="1249">
        <v>500</v>
      </c>
      <c r="AF1927" s="1250">
        <v>416.66666666666669</v>
      </c>
      <c r="AG1927" s="111"/>
      <c r="AH1927" s="111"/>
      <c r="AI1927" s="111"/>
      <c r="AJ1927" s="111"/>
      <c r="AK1927" s="111"/>
      <c r="AL1927" s="111"/>
      <c r="AM1927" s="111">
        <v>1250</v>
      </c>
    </row>
    <row r="1928" spans="1:39" ht="15" customHeight="1" x14ac:dyDescent="0.25">
      <c r="A1928" s="1409"/>
      <c r="B1928" s="1409"/>
      <c r="C1928" s="1409"/>
      <c r="D1928" s="1409"/>
      <c r="E1928" s="1286"/>
      <c r="F1928" s="1248" t="s">
        <v>652</v>
      </c>
      <c r="G1928" s="111"/>
      <c r="H1928" s="1249">
        <v>191</v>
      </c>
      <c r="I1928" s="111" t="s">
        <v>1721</v>
      </c>
      <c r="J1928" s="1321" t="s">
        <v>5608</v>
      </c>
      <c r="K1928" s="162" t="s">
        <v>5610</v>
      </c>
      <c r="L1928" s="162" t="s">
        <v>5609</v>
      </c>
      <c r="M1928" s="111">
        <v>64.494419476439788</v>
      </c>
      <c r="N1928" s="111">
        <v>12318.43412</v>
      </c>
      <c r="O1928" s="111"/>
      <c r="P1928" s="111"/>
      <c r="Q1928" s="111"/>
      <c r="R1928" s="111"/>
      <c r="S1928" s="1249">
        <v>60</v>
      </c>
      <c r="T1928" s="1250">
        <v>4106.1447066666669</v>
      </c>
      <c r="U1928" s="1250"/>
      <c r="V1928" s="1250"/>
      <c r="W1928" s="1251">
        <v>60</v>
      </c>
      <c r="X1928" s="1250">
        <v>4106.1447066666669</v>
      </c>
      <c r="Y1928" s="1250"/>
      <c r="Z1928" s="1250"/>
      <c r="AA1928" s="1250"/>
      <c r="AB1928" s="1250"/>
      <c r="AC1928" s="1250"/>
      <c r="AD1928" s="1250"/>
      <c r="AE1928" s="1249">
        <v>71</v>
      </c>
      <c r="AF1928" s="1250">
        <v>4106.1447066666669</v>
      </c>
      <c r="AG1928" s="111"/>
      <c r="AH1928" s="111"/>
      <c r="AI1928" s="111"/>
      <c r="AJ1928" s="111"/>
      <c r="AK1928" s="111"/>
      <c r="AL1928" s="111"/>
      <c r="AM1928" s="111">
        <v>12318.43412</v>
      </c>
    </row>
    <row r="1929" spans="1:39" ht="15" customHeight="1" x14ac:dyDescent="0.25">
      <c r="A1929" s="1409"/>
      <c r="B1929" s="1409"/>
      <c r="C1929" s="1409"/>
      <c r="D1929" s="1409"/>
      <c r="E1929" s="1286"/>
      <c r="F1929" s="1248" t="s">
        <v>645</v>
      </c>
      <c r="G1929" s="111"/>
      <c r="H1929" s="1249">
        <v>60</v>
      </c>
      <c r="I1929" s="111" t="s">
        <v>1721</v>
      </c>
      <c r="J1929" s="1321" t="s">
        <v>5608</v>
      </c>
      <c r="K1929" s="162" t="s">
        <v>5610</v>
      </c>
      <c r="L1929" s="162" t="s">
        <v>5609</v>
      </c>
      <c r="M1929" s="111">
        <v>78.48</v>
      </c>
      <c r="N1929" s="111">
        <v>4708.8</v>
      </c>
      <c r="O1929" s="111"/>
      <c r="P1929" s="111"/>
      <c r="Q1929" s="111"/>
      <c r="R1929" s="111"/>
      <c r="S1929" s="1249">
        <v>30</v>
      </c>
      <c r="T1929" s="1250">
        <v>1569.6000000000001</v>
      </c>
      <c r="U1929" s="1250"/>
      <c r="V1929" s="1250"/>
      <c r="W1929" s="1251">
        <v>20</v>
      </c>
      <c r="X1929" s="1250">
        <v>1569.6000000000001</v>
      </c>
      <c r="Y1929" s="1250"/>
      <c r="Z1929" s="1250"/>
      <c r="AA1929" s="1250"/>
      <c r="AB1929" s="1250"/>
      <c r="AC1929" s="1250"/>
      <c r="AD1929" s="1250"/>
      <c r="AE1929" s="1249">
        <v>10</v>
      </c>
      <c r="AF1929" s="1250">
        <v>1569.6000000000001</v>
      </c>
      <c r="AG1929" s="111"/>
      <c r="AH1929" s="111"/>
      <c r="AI1929" s="111"/>
      <c r="AJ1929" s="111"/>
      <c r="AK1929" s="111"/>
      <c r="AL1929" s="111"/>
      <c r="AM1929" s="111">
        <v>4708.8</v>
      </c>
    </row>
    <row r="1930" spans="1:39" ht="15" customHeight="1" x14ac:dyDescent="0.25">
      <c r="A1930" s="1409"/>
      <c r="B1930" s="1409"/>
      <c r="C1930" s="1409"/>
      <c r="D1930" s="1409"/>
      <c r="E1930" s="1286"/>
      <c r="F1930" s="1248" t="s">
        <v>643</v>
      </c>
      <c r="G1930" s="111"/>
      <c r="H1930" s="1249">
        <v>2500</v>
      </c>
      <c r="I1930" s="111" t="s">
        <v>1721</v>
      </c>
      <c r="J1930" s="1321" t="s">
        <v>5608</v>
      </c>
      <c r="K1930" s="162" t="s">
        <v>5610</v>
      </c>
      <c r="L1930" s="162" t="s">
        <v>5609</v>
      </c>
      <c r="M1930" s="111">
        <v>1</v>
      </c>
      <c r="N1930" s="111">
        <v>2500</v>
      </c>
      <c r="O1930" s="111"/>
      <c r="P1930" s="111"/>
      <c r="Q1930" s="111"/>
      <c r="R1930" s="111"/>
      <c r="S1930" s="1249">
        <v>1000</v>
      </c>
      <c r="T1930" s="1250">
        <v>833.33333333333337</v>
      </c>
      <c r="U1930" s="1250"/>
      <c r="V1930" s="1250"/>
      <c r="W1930" s="1251">
        <v>1000</v>
      </c>
      <c r="X1930" s="1250">
        <v>833.33333333333337</v>
      </c>
      <c r="Y1930" s="1250"/>
      <c r="Z1930" s="1250"/>
      <c r="AA1930" s="1250"/>
      <c r="AB1930" s="1250"/>
      <c r="AC1930" s="1250"/>
      <c r="AD1930" s="1250"/>
      <c r="AE1930" s="1249">
        <v>500</v>
      </c>
      <c r="AF1930" s="1250">
        <v>833.33333333333337</v>
      </c>
      <c r="AG1930" s="111"/>
      <c r="AH1930" s="111"/>
      <c r="AI1930" s="111"/>
      <c r="AJ1930" s="111"/>
      <c r="AK1930" s="111"/>
      <c r="AL1930" s="111"/>
      <c r="AM1930" s="111">
        <v>2500</v>
      </c>
    </row>
    <row r="1931" spans="1:39" ht="15" customHeight="1" x14ac:dyDescent="0.25">
      <c r="A1931" s="1409"/>
      <c r="B1931" s="1409"/>
      <c r="C1931" s="1409"/>
      <c r="D1931" s="1409"/>
      <c r="E1931" s="1286"/>
      <c r="F1931" s="1248" t="s">
        <v>644</v>
      </c>
      <c r="G1931" s="111"/>
      <c r="H1931" s="1249">
        <v>15</v>
      </c>
      <c r="I1931" s="111" t="s">
        <v>1721</v>
      </c>
      <c r="J1931" s="1321" t="s">
        <v>5608</v>
      </c>
      <c r="K1931" s="162" t="s">
        <v>5610</v>
      </c>
      <c r="L1931" s="162" t="s">
        <v>5609</v>
      </c>
      <c r="M1931" s="111">
        <v>1</v>
      </c>
      <c r="N1931" s="111">
        <v>15</v>
      </c>
      <c r="O1931" s="111"/>
      <c r="P1931" s="111"/>
      <c r="Q1931" s="111"/>
      <c r="R1931" s="111"/>
      <c r="S1931" s="1249">
        <v>5</v>
      </c>
      <c r="T1931" s="1250">
        <v>5</v>
      </c>
      <c r="U1931" s="1250"/>
      <c r="V1931" s="1250"/>
      <c r="W1931" s="1251">
        <v>5</v>
      </c>
      <c r="X1931" s="1250">
        <v>5</v>
      </c>
      <c r="Y1931" s="1250"/>
      <c r="Z1931" s="1250"/>
      <c r="AA1931" s="1250"/>
      <c r="AB1931" s="1250"/>
      <c r="AC1931" s="1250"/>
      <c r="AD1931" s="1250"/>
      <c r="AE1931" s="1249">
        <v>5</v>
      </c>
      <c r="AF1931" s="1250">
        <v>5</v>
      </c>
      <c r="AG1931" s="111"/>
      <c r="AH1931" s="111"/>
      <c r="AI1931" s="111"/>
      <c r="AJ1931" s="111"/>
      <c r="AK1931" s="111"/>
      <c r="AL1931" s="111"/>
      <c r="AM1931" s="111">
        <v>15</v>
      </c>
    </row>
    <row r="1932" spans="1:39" ht="15" customHeight="1" x14ac:dyDescent="0.25">
      <c r="A1932" s="1409"/>
      <c r="B1932" s="1409"/>
      <c r="C1932" s="1409"/>
      <c r="D1932" s="1409"/>
      <c r="E1932" s="1286"/>
      <c r="F1932" s="1248" t="s">
        <v>5292</v>
      </c>
      <c r="G1932" s="111"/>
      <c r="H1932" s="1249">
        <v>15</v>
      </c>
      <c r="I1932" s="111" t="s">
        <v>1721</v>
      </c>
      <c r="J1932" s="1321" t="s">
        <v>5608</v>
      </c>
      <c r="K1932" s="162" t="s">
        <v>5610</v>
      </c>
      <c r="L1932" s="162" t="s">
        <v>5609</v>
      </c>
      <c r="M1932" s="111">
        <v>1</v>
      </c>
      <c r="N1932" s="111">
        <v>15</v>
      </c>
      <c r="O1932" s="111"/>
      <c r="P1932" s="111"/>
      <c r="Q1932" s="111"/>
      <c r="R1932" s="111"/>
      <c r="S1932" s="1249">
        <v>5</v>
      </c>
      <c r="T1932" s="1250">
        <v>5</v>
      </c>
      <c r="U1932" s="1250"/>
      <c r="V1932" s="1250"/>
      <c r="W1932" s="1251">
        <v>5</v>
      </c>
      <c r="X1932" s="1250">
        <v>5</v>
      </c>
      <c r="Y1932" s="1250"/>
      <c r="Z1932" s="1250"/>
      <c r="AA1932" s="1250"/>
      <c r="AB1932" s="1250"/>
      <c r="AC1932" s="1250"/>
      <c r="AD1932" s="1250"/>
      <c r="AE1932" s="1249">
        <v>5</v>
      </c>
      <c r="AF1932" s="1250">
        <v>5</v>
      </c>
      <c r="AG1932" s="111"/>
      <c r="AH1932" s="111"/>
      <c r="AI1932" s="111"/>
      <c r="AJ1932" s="111"/>
      <c r="AK1932" s="111"/>
      <c r="AL1932" s="111"/>
      <c r="AM1932" s="111">
        <v>15</v>
      </c>
    </row>
    <row r="1933" spans="1:39" ht="15" customHeight="1" x14ac:dyDescent="0.25">
      <c r="A1933" s="1409"/>
      <c r="B1933" s="1409"/>
      <c r="C1933" s="1409"/>
      <c r="D1933" s="1409"/>
      <c r="E1933" s="1286"/>
      <c r="F1933" s="1248" t="s">
        <v>5293</v>
      </c>
      <c r="G1933" s="111"/>
      <c r="H1933" s="1249">
        <v>15</v>
      </c>
      <c r="I1933" s="111" t="s">
        <v>1721</v>
      </c>
      <c r="J1933" s="1321" t="s">
        <v>5608</v>
      </c>
      <c r="K1933" s="162" t="s">
        <v>5610</v>
      </c>
      <c r="L1933" s="162" t="s">
        <v>5609</v>
      </c>
      <c r="M1933" s="111">
        <v>1</v>
      </c>
      <c r="N1933" s="111">
        <v>15</v>
      </c>
      <c r="O1933" s="111"/>
      <c r="P1933" s="111"/>
      <c r="Q1933" s="111"/>
      <c r="R1933" s="111"/>
      <c r="S1933" s="1249">
        <v>5</v>
      </c>
      <c r="T1933" s="1250">
        <v>5</v>
      </c>
      <c r="U1933" s="1250"/>
      <c r="V1933" s="1250"/>
      <c r="W1933" s="1251">
        <v>5</v>
      </c>
      <c r="X1933" s="1250">
        <v>5</v>
      </c>
      <c r="Y1933" s="1250"/>
      <c r="Z1933" s="1250"/>
      <c r="AA1933" s="1250"/>
      <c r="AB1933" s="1250"/>
      <c r="AC1933" s="1250"/>
      <c r="AD1933" s="1250"/>
      <c r="AE1933" s="1249">
        <v>5</v>
      </c>
      <c r="AF1933" s="1250">
        <v>5</v>
      </c>
      <c r="AG1933" s="111"/>
      <c r="AH1933" s="111"/>
      <c r="AI1933" s="111"/>
      <c r="AJ1933" s="111"/>
      <c r="AK1933" s="111"/>
      <c r="AL1933" s="111"/>
      <c r="AM1933" s="111">
        <v>15</v>
      </c>
    </row>
    <row r="1934" spans="1:39" ht="15" customHeight="1" x14ac:dyDescent="0.25">
      <c r="A1934" s="1409"/>
      <c r="B1934" s="1409"/>
      <c r="C1934" s="1409"/>
      <c r="D1934" s="1409"/>
      <c r="E1934" s="1286"/>
      <c r="F1934" s="1248" t="s">
        <v>651</v>
      </c>
      <c r="G1934" s="111"/>
      <c r="H1934" s="1249">
        <v>160</v>
      </c>
      <c r="I1934" s="111" t="s">
        <v>1827</v>
      </c>
      <c r="J1934" s="1321" t="s">
        <v>5608</v>
      </c>
      <c r="K1934" s="162" t="s">
        <v>5610</v>
      </c>
      <c r="L1934" s="162" t="s">
        <v>5609</v>
      </c>
      <c r="M1934" s="111">
        <v>45.515441199999998</v>
      </c>
      <c r="N1934" s="111">
        <v>7282.4705919999997</v>
      </c>
      <c r="O1934" s="111"/>
      <c r="P1934" s="111"/>
      <c r="Q1934" s="111"/>
      <c r="R1934" s="111"/>
      <c r="S1934" s="1249">
        <v>60</v>
      </c>
      <c r="T1934" s="1250">
        <v>2427.4901973333331</v>
      </c>
      <c r="U1934" s="1250"/>
      <c r="V1934" s="1250"/>
      <c r="W1934" s="1251">
        <v>50</v>
      </c>
      <c r="X1934" s="1250">
        <v>2427.4901973333331</v>
      </c>
      <c r="Y1934" s="1250"/>
      <c r="Z1934" s="1250"/>
      <c r="AA1934" s="1250"/>
      <c r="AB1934" s="1250"/>
      <c r="AC1934" s="1250"/>
      <c r="AD1934" s="1250"/>
      <c r="AE1934" s="1249">
        <v>50</v>
      </c>
      <c r="AF1934" s="1250">
        <v>2427.4901973333331</v>
      </c>
      <c r="AG1934" s="111"/>
      <c r="AH1934" s="111"/>
      <c r="AI1934" s="111"/>
      <c r="AJ1934" s="111"/>
      <c r="AK1934" s="111"/>
      <c r="AL1934" s="111"/>
      <c r="AM1934" s="111">
        <v>7282.4705919999997</v>
      </c>
    </row>
    <row r="1935" spans="1:39" ht="15" customHeight="1" x14ac:dyDescent="0.25">
      <c r="A1935" s="1409"/>
      <c r="B1935" s="1409"/>
      <c r="C1935" s="1409"/>
      <c r="D1935" s="1409"/>
      <c r="E1935" s="1286"/>
      <c r="F1935" s="1248" t="s">
        <v>650</v>
      </c>
      <c r="G1935" s="111"/>
      <c r="H1935" s="1249">
        <v>60</v>
      </c>
      <c r="I1935" s="111" t="s">
        <v>1721</v>
      </c>
      <c r="J1935" s="1321" t="s">
        <v>5608</v>
      </c>
      <c r="K1935" s="162" t="s">
        <v>5610</v>
      </c>
      <c r="L1935" s="162" t="s">
        <v>5609</v>
      </c>
      <c r="M1935" s="111">
        <v>1.5</v>
      </c>
      <c r="N1935" s="111">
        <v>90</v>
      </c>
      <c r="O1935" s="111"/>
      <c r="P1935" s="111"/>
      <c r="Q1935" s="111"/>
      <c r="R1935" s="111"/>
      <c r="S1935" s="1249">
        <v>30</v>
      </c>
      <c r="T1935" s="1250">
        <v>30</v>
      </c>
      <c r="U1935" s="1250"/>
      <c r="V1935" s="1250"/>
      <c r="W1935" s="1251">
        <v>20</v>
      </c>
      <c r="X1935" s="1250">
        <v>30</v>
      </c>
      <c r="Y1935" s="1250"/>
      <c r="Z1935" s="1250"/>
      <c r="AA1935" s="1250"/>
      <c r="AB1935" s="1250"/>
      <c r="AC1935" s="1250"/>
      <c r="AD1935" s="1250"/>
      <c r="AE1935" s="1249">
        <v>10</v>
      </c>
      <c r="AF1935" s="1250">
        <v>30</v>
      </c>
      <c r="AG1935" s="111"/>
      <c r="AH1935" s="111"/>
      <c r="AI1935" s="111"/>
      <c r="AJ1935" s="111"/>
      <c r="AK1935" s="111"/>
      <c r="AL1935" s="111"/>
      <c r="AM1935" s="111">
        <v>90</v>
      </c>
    </row>
    <row r="1936" spans="1:39" ht="15" customHeight="1" x14ac:dyDescent="0.25">
      <c r="A1936" s="1409"/>
      <c r="B1936" s="1409"/>
      <c r="C1936" s="1409"/>
      <c r="D1936" s="1409"/>
      <c r="E1936" s="1286"/>
      <c r="F1936" s="1248" t="s">
        <v>649</v>
      </c>
      <c r="G1936" s="111"/>
      <c r="H1936" s="1249">
        <v>60</v>
      </c>
      <c r="I1936" s="111" t="s">
        <v>1721</v>
      </c>
      <c r="J1936" s="1321" t="s">
        <v>5608</v>
      </c>
      <c r="K1936" s="162" t="s">
        <v>5610</v>
      </c>
      <c r="L1936" s="162" t="s">
        <v>5609</v>
      </c>
      <c r="M1936" s="111">
        <v>1.5</v>
      </c>
      <c r="N1936" s="111">
        <v>90</v>
      </c>
      <c r="O1936" s="111"/>
      <c r="P1936" s="111"/>
      <c r="Q1936" s="111"/>
      <c r="R1936" s="111"/>
      <c r="S1936" s="1249">
        <v>30</v>
      </c>
      <c r="T1936" s="1250">
        <v>30</v>
      </c>
      <c r="U1936" s="1250"/>
      <c r="V1936" s="1250"/>
      <c r="W1936" s="1251">
        <v>20</v>
      </c>
      <c r="X1936" s="1250">
        <v>30</v>
      </c>
      <c r="Y1936" s="1250"/>
      <c r="Z1936" s="1250"/>
      <c r="AA1936" s="1250"/>
      <c r="AB1936" s="1250"/>
      <c r="AC1936" s="1250"/>
      <c r="AD1936" s="1250"/>
      <c r="AE1936" s="1249">
        <v>10</v>
      </c>
      <c r="AF1936" s="1250">
        <v>30</v>
      </c>
      <c r="AG1936" s="111"/>
      <c r="AH1936" s="111"/>
      <c r="AI1936" s="111"/>
      <c r="AJ1936" s="111"/>
      <c r="AK1936" s="111"/>
      <c r="AL1936" s="111"/>
      <c r="AM1936" s="111">
        <v>90</v>
      </c>
    </row>
    <row r="1937" spans="1:39" ht="15" customHeight="1" x14ac:dyDescent="0.25">
      <c r="A1937" s="1409"/>
      <c r="B1937" s="1409"/>
      <c r="C1937" s="1409"/>
      <c r="D1937" s="1409"/>
      <c r="E1937" s="1286"/>
      <c r="F1937" s="1248" t="s">
        <v>648</v>
      </c>
      <c r="G1937" s="111"/>
      <c r="H1937" s="1249">
        <v>15</v>
      </c>
      <c r="I1937" s="111" t="s">
        <v>1721</v>
      </c>
      <c r="J1937" s="1321" t="s">
        <v>5608</v>
      </c>
      <c r="K1937" s="162" t="s">
        <v>5610</v>
      </c>
      <c r="L1937" s="162" t="s">
        <v>5609</v>
      </c>
      <c r="M1937" s="111">
        <v>1</v>
      </c>
      <c r="N1937" s="111">
        <v>15</v>
      </c>
      <c r="O1937" s="111"/>
      <c r="P1937" s="111"/>
      <c r="Q1937" s="111"/>
      <c r="R1937" s="111"/>
      <c r="S1937" s="1249">
        <v>5</v>
      </c>
      <c r="T1937" s="1250">
        <v>5</v>
      </c>
      <c r="U1937" s="1250"/>
      <c r="V1937" s="1250"/>
      <c r="W1937" s="1251">
        <v>5</v>
      </c>
      <c r="X1937" s="1250">
        <v>5</v>
      </c>
      <c r="Y1937" s="1250"/>
      <c r="Z1937" s="1250"/>
      <c r="AA1937" s="1250"/>
      <c r="AB1937" s="1250"/>
      <c r="AC1937" s="1250"/>
      <c r="AD1937" s="1250"/>
      <c r="AE1937" s="1249">
        <v>5</v>
      </c>
      <c r="AF1937" s="1250">
        <v>5</v>
      </c>
      <c r="AG1937" s="111"/>
      <c r="AH1937" s="111"/>
      <c r="AI1937" s="111"/>
      <c r="AJ1937" s="111"/>
      <c r="AK1937" s="111"/>
      <c r="AL1937" s="111"/>
      <c r="AM1937" s="111">
        <v>15</v>
      </c>
    </row>
    <row r="1938" spans="1:39" ht="15" customHeight="1" x14ac:dyDescent="0.25">
      <c r="A1938" s="1409"/>
      <c r="B1938" s="1409"/>
      <c r="C1938" s="1409"/>
      <c r="D1938" s="1409"/>
      <c r="E1938" s="1286"/>
      <c r="F1938" s="1248" t="s">
        <v>648</v>
      </c>
      <c r="G1938" s="111"/>
      <c r="H1938" s="1249">
        <v>60</v>
      </c>
      <c r="I1938" s="111" t="s">
        <v>1827</v>
      </c>
      <c r="J1938" s="1321" t="s">
        <v>5608</v>
      </c>
      <c r="K1938" s="162" t="s">
        <v>5610</v>
      </c>
      <c r="L1938" s="162" t="s">
        <v>5609</v>
      </c>
      <c r="M1938" s="111">
        <v>89.713007999999988</v>
      </c>
      <c r="N1938" s="111">
        <v>5382.7804799999994</v>
      </c>
      <c r="O1938" s="111"/>
      <c r="P1938" s="111"/>
      <c r="Q1938" s="111"/>
      <c r="R1938" s="111"/>
      <c r="S1938" s="1249">
        <v>30</v>
      </c>
      <c r="T1938" s="1250">
        <v>1794.2601599999998</v>
      </c>
      <c r="U1938" s="1250"/>
      <c r="V1938" s="1250"/>
      <c r="W1938" s="1251">
        <v>20</v>
      </c>
      <c r="X1938" s="1250">
        <v>1794.2601599999998</v>
      </c>
      <c r="Y1938" s="1250"/>
      <c r="Z1938" s="1250"/>
      <c r="AA1938" s="1250"/>
      <c r="AB1938" s="1250"/>
      <c r="AC1938" s="1250"/>
      <c r="AD1938" s="1250"/>
      <c r="AE1938" s="1249">
        <v>10</v>
      </c>
      <c r="AF1938" s="1250">
        <v>1794.2601599999998</v>
      </c>
      <c r="AG1938" s="111"/>
      <c r="AH1938" s="111"/>
      <c r="AI1938" s="111"/>
      <c r="AJ1938" s="111"/>
      <c r="AK1938" s="111"/>
      <c r="AL1938" s="111"/>
      <c r="AM1938" s="111">
        <v>5382.7804799999994</v>
      </c>
    </row>
    <row r="1939" spans="1:39" ht="15" customHeight="1" x14ac:dyDescent="0.25">
      <c r="A1939" s="1409"/>
      <c r="B1939" s="1409"/>
      <c r="C1939" s="1409"/>
      <c r="D1939" s="1409"/>
      <c r="E1939" s="1286"/>
      <c r="F1939" s="1248" t="s">
        <v>649</v>
      </c>
      <c r="G1939" s="111"/>
      <c r="H1939" s="1249">
        <v>60</v>
      </c>
      <c r="I1939" s="111" t="s">
        <v>1827</v>
      </c>
      <c r="J1939" s="1321" t="s">
        <v>5608</v>
      </c>
      <c r="K1939" s="162" t="s">
        <v>5610</v>
      </c>
      <c r="L1939" s="162" t="s">
        <v>5609</v>
      </c>
      <c r="M1939" s="111">
        <v>89.713007999999988</v>
      </c>
      <c r="N1939" s="111">
        <v>5382.7804799999994</v>
      </c>
      <c r="O1939" s="111"/>
      <c r="P1939" s="111"/>
      <c r="Q1939" s="111"/>
      <c r="R1939" s="111"/>
      <c r="S1939" s="1249">
        <v>30</v>
      </c>
      <c r="T1939" s="1250">
        <v>1794.2601599999998</v>
      </c>
      <c r="U1939" s="1250"/>
      <c r="V1939" s="1250"/>
      <c r="W1939" s="1251">
        <v>20</v>
      </c>
      <c r="X1939" s="1250">
        <v>1794.2601599999998</v>
      </c>
      <c r="Y1939" s="1250"/>
      <c r="Z1939" s="1250"/>
      <c r="AA1939" s="1250"/>
      <c r="AB1939" s="1250"/>
      <c r="AC1939" s="1250"/>
      <c r="AD1939" s="1250"/>
      <c r="AE1939" s="1249">
        <v>10</v>
      </c>
      <c r="AF1939" s="1250">
        <v>1794.2601599999998</v>
      </c>
      <c r="AG1939" s="111"/>
      <c r="AH1939" s="111"/>
      <c r="AI1939" s="111"/>
      <c r="AJ1939" s="111"/>
      <c r="AK1939" s="111"/>
      <c r="AL1939" s="111"/>
      <c r="AM1939" s="111">
        <v>5382.7804799999994</v>
      </c>
    </row>
    <row r="1940" spans="1:39" ht="15" customHeight="1" x14ac:dyDescent="0.25">
      <c r="A1940" s="1409"/>
      <c r="B1940" s="1409"/>
      <c r="C1940" s="1409"/>
      <c r="D1940" s="1409"/>
      <c r="E1940" s="1286"/>
      <c r="F1940" s="1248" t="s">
        <v>650</v>
      </c>
      <c r="G1940" s="111"/>
      <c r="H1940" s="1249">
        <v>60</v>
      </c>
      <c r="I1940" s="111" t="s">
        <v>1827</v>
      </c>
      <c r="J1940" s="1321" t="s">
        <v>5608</v>
      </c>
      <c r="K1940" s="162" t="s">
        <v>5610</v>
      </c>
      <c r="L1940" s="162" t="s">
        <v>5609</v>
      </c>
      <c r="M1940" s="111">
        <v>89.713007999999988</v>
      </c>
      <c r="N1940" s="111">
        <v>5382.7804799999994</v>
      </c>
      <c r="O1940" s="111"/>
      <c r="P1940" s="111"/>
      <c r="Q1940" s="111"/>
      <c r="R1940" s="111"/>
      <c r="S1940" s="1249">
        <v>30</v>
      </c>
      <c r="T1940" s="1250">
        <v>1794.2601599999998</v>
      </c>
      <c r="U1940" s="1250"/>
      <c r="V1940" s="1250"/>
      <c r="W1940" s="1251">
        <v>20</v>
      </c>
      <c r="X1940" s="1250">
        <v>1794.2601599999998</v>
      </c>
      <c r="Y1940" s="1250"/>
      <c r="Z1940" s="1250"/>
      <c r="AA1940" s="1250"/>
      <c r="AB1940" s="1250"/>
      <c r="AC1940" s="1250"/>
      <c r="AD1940" s="1250"/>
      <c r="AE1940" s="1249">
        <v>10</v>
      </c>
      <c r="AF1940" s="1250">
        <v>1794.2601599999998</v>
      </c>
      <c r="AG1940" s="111"/>
      <c r="AH1940" s="111"/>
      <c r="AI1940" s="111"/>
      <c r="AJ1940" s="111"/>
      <c r="AK1940" s="111"/>
      <c r="AL1940" s="111"/>
      <c r="AM1940" s="111">
        <v>5382.7804799999994</v>
      </c>
    </row>
    <row r="1941" spans="1:39" ht="15" customHeight="1" x14ac:dyDescent="0.25">
      <c r="A1941" s="1409"/>
      <c r="B1941" s="1409"/>
      <c r="C1941" s="1409"/>
      <c r="D1941" s="1409"/>
      <c r="E1941" s="1286"/>
      <c r="F1941" s="1248" t="s">
        <v>648</v>
      </c>
      <c r="G1941" s="111"/>
      <c r="H1941" s="1249">
        <v>64</v>
      </c>
      <c r="I1941" s="111" t="s">
        <v>1827</v>
      </c>
      <c r="J1941" s="1321" t="s">
        <v>5608</v>
      </c>
      <c r="K1941" s="162" t="s">
        <v>5610</v>
      </c>
      <c r="L1941" s="162" t="s">
        <v>5609</v>
      </c>
      <c r="M1941" s="111">
        <v>89.713094999999996</v>
      </c>
      <c r="N1941" s="111">
        <v>5741.6380799999997</v>
      </c>
      <c r="O1941" s="111"/>
      <c r="P1941" s="111"/>
      <c r="Q1941" s="111"/>
      <c r="R1941" s="111"/>
      <c r="S1941" s="1249">
        <v>34</v>
      </c>
      <c r="T1941" s="1250">
        <v>1913.8793599999999</v>
      </c>
      <c r="U1941" s="1250"/>
      <c r="V1941" s="1250"/>
      <c r="W1941" s="1251">
        <v>20</v>
      </c>
      <c r="X1941" s="1250">
        <v>1913.8793599999999</v>
      </c>
      <c r="Y1941" s="1250"/>
      <c r="Z1941" s="1250"/>
      <c r="AA1941" s="1250"/>
      <c r="AB1941" s="1250"/>
      <c r="AC1941" s="1250"/>
      <c r="AD1941" s="1250"/>
      <c r="AE1941" s="1249">
        <v>10</v>
      </c>
      <c r="AF1941" s="1250">
        <v>1913.8793599999999</v>
      </c>
      <c r="AG1941" s="111"/>
      <c r="AH1941" s="111"/>
      <c r="AI1941" s="111"/>
      <c r="AJ1941" s="111"/>
      <c r="AK1941" s="111"/>
      <c r="AL1941" s="111"/>
      <c r="AM1941" s="111">
        <v>5741.6380799999997</v>
      </c>
    </row>
    <row r="1942" spans="1:39" ht="15" customHeight="1" x14ac:dyDescent="0.25">
      <c r="A1942" s="1409"/>
      <c r="B1942" s="1409"/>
      <c r="C1942" s="1409"/>
      <c r="D1942" s="1409"/>
      <c r="E1942" s="1286"/>
      <c r="F1942" s="1248" t="s">
        <v>649</v>
      </c>
      <c r="G1942" s="111"/>
      <c r="H1942" s="1249">
        <v>60</v>
      </c>
      <c r="I1942" s="111" t="s">
        <v>1827</v>
      </c>
      <c r="J1942" s="1321" t="s">
        <v>5608</v>
      </c>
      <c r="K1942" s="162" t="s">
        <v>5610</v>
      </c>
      <c r="L1942" s="162" t="s">
        <v>5609</v>
      </c>
      <c r="M1942" s="111">
        <v>89.713007999999988</v>
      </c>
      <c r="N1942" s="111">
        <v>5382.7804799999994</v>
      </c>
      <c r="O1942" s="111"/>
      <c r="P1942" s="111"/>
      <c r="Q1942" s="111"/>
      <c r="R1942" s="111"/>
      <c r="S1942" s="1249">
        <v>30</v>
      </c>
      <c r="T1942" s="1250">
        <v>1794.2601599999998</v>
      </c>
      <c r="U1942" s="1250"/>
      <c r="V1942" s="1250"/>
      <c r="W1942" s="1251">
        <v>20</v>
      </c>
      <c r="X1942" s="1250">
        <v>1794.2601599999998</v>
      </c>
      <c r="Y1942" s="1250"/>
      <c r="Z1942" s="1250"/>
      <c r="AA1942" s="1250"/>
      <c r="AB1942" s="1250"/>
      <c r="AC1942" s="1250"/>
      <c r="AD1942" s="1250"/>
      <c r="AE1942" s="1249">
        <v>10</v>
      </c>
      <c r="AF1942" s="1250">
        <v>1794.2601599999998</v>
      </c>
      <c r="AG1942" s="111"/>
      <c r="AH1942" s="111"/>
      <c r="AI1942" s="111"/>
      <c r="AJ1942" s="111"/>
      <c r="AK1942" s="111"/>
      <c r="AL1942" s="111"/>
      <c r="AM1942" s="111">
        <v>5382.7804799999994</v>
      </c>
    </row>
    <row r="1943" spans="1:39" ht="15" customHeight="1" x14ac:dyDescent="0.25">
      <c r="A1943" s="1409"/>
      <c r="B1943" s="1409"/>
      <c r="C1943" s="1409"/>
      <c r="D1943" s="1409"/>
      <c r="E1943" s="1286"/>
      <c r="F1943" s="1248" t="s">
        <v>650</v>
      </c>
      <c r="G1943" s="111"/>
      <c r="H1943" s="1249">
        <v>60</v>
      </c>
      <c r="I1943" s="111" t="s">
        <v>1827</v>
      </c>
      <c r="J1943" s="1321" t="s">
        <v>5608</v>
      </c>
      <c r="K1943" s="162" t="s">
        <v>5610</v>
      </c>
      <c r="L1943" s="162" t="s">
        <v>5609</v>
      </c>
      <c r="M1943" s="111">
        <v>89.713007999999988</v>
      </c>
      <c r="N1943" s="111">
        <v>5382.7804799999994</v>
      </c>
      <c r="O1943" s="111"/>
      <c r="P1943" s="111"/>
      <c r="Q1943" s="111"/>
      <c r="R1943" s="111"/>
      <c r="S1943" s="1249">
        <v>30</v>
      </c>
      <c r="T1943" s="1250">
        <v>1794.2601599999998</v>
      </c>
      <c r="U1943" s="1250"/>
      <c r="V1943" s="1250"/>
      <c r="W1943" s="1251">
        <v>20</v>
      </c>
      <c r="X1943" s="1250">
        <v>1794.2601599999998</v>
      </c>
      <c r="Y1943" s="1250"/>
      <c r="Z1943" s="1250"/>
      <c r="AA1943" s="1250"/>
      <c r="AB1943" s="1250"/>
      <c r="AC1943" s="1250"/>
      <c r="AD1943" s="1250"/>
      <c r="AE1943" s="1249">
        <v>10</v>
      </c>
      <c r="AF1943" s="1250">
        <v>1794.2601599999998</v>
      </c>
      <c r="AG1943" s="111"/>
      <c r="AH1943" s="111"/>
      <c r="AI1943" s="111"/>
      <c r="AJ1943" s="111"/>
      <c r="AK1943" s="111"/>
      <c r="AL1943" s="111"/>
      <c r="AM1943" s="111">
        <v>5382.7804799999994</v>
      </c>
    </row>
    <row r="1944" spans="1:39" ht="15" customHeight="1" x14ac:dyDescent="0.25">
      <c r="A1944" s="1409"/>
      <c r="B1944" s="1409"/>
      <c r="C1944" s="1409"/>
      <c r="D1944" s="1409"/>
      <c r="E1944" s="1286"/>
      <c r="F1944" s="1248" t="s">
        <v>3290</v>
      </c>
      <c r="G1944" s="111"/>
      <c r="H1944" s="1249">
        <v>3</v>
      </c>
      <c r="I1944" s="111" t="s">
        <v>1827</v>
      </c>
      <c r="J1944" s="1321" t="s">
        <v>5608</v>
      </c>
      <c r="K1944" s="162" t="s">
        <v>5610</v>
      </c>
      <c r="L1944" s="162" t="s">
        <v>5609</v>
      </c>
      <c r="M1944" s="111">
        <v>77.34</v>
      </c>
      <c r="N1944" s="111">
        <v>232.02</v>
      </c>
      <c r="O1944" s="111"/>
      <c r="P1944" s="111"/>
      <c r="Q1944" s="111"/>
      <c r="R1944" s="111"/>
      <c r="S1944" s="1249">
        <v>1</v>
      </c>
      <c r="T1944" s="1250">
        <v>77.34</v>
      </c>
      <c r="U1944" s="1250"/>
      <c r="V1944" s="1250"/>
      <c r="W1944" s="1251">
        <v>1</v>
      </c>
      <c r="X1944" s="1250">
        <v>77.34</v>
      </c>
      <c r="Y1944" s="1250"/>
      <c r="Z1944" s="1250"/>
      <c r="AA1944" s="1250"/>
      <c r="AB1944" s="1250"/>
      <c r="AC1944" s="1250"/>
      <c r="AD1944" s="1250"/>
      <c r="AE1944" s="1249">
        <v>1</v>
      </c>
      <c r="AF1944" s="1250">
        <v>77.34</v>
      </c>
      <c r="AG1944" s="111"/>
      <c r="AH1944" s="111"/>
      <c r="AI1944" s="111"/>
      <c r="AJ1944" s="111"/>
      <c r="AK1944" s="111"/>
      <c r="AL1944" s="111"/>
      <c r="AM1944" s="111">
        <v>232.02</v>
      </c>
    </row>
    <row r="1945" spans="1:39" ht="15" customHeight="1" x14ac:dyDescent="0.25">
      <c r="A1945" s="1409"/>
      <c r="B1945" s="1409"/>
      <c r="C1945" s="1409"/>
      <c r="D1945" s="1409"/>
      <c r="E1945" s="1286"/>
      <c r="F1945" s="1248" t="s">
        <v>3291</v>
      </c>
      <c r="G1945" s="111"/>
      <c r="H1945" s="1249">
        <v>3</v>
      </c>
      <c r="I1945" s="111" t="s">
        <v>1827</v>
      </c>
      <c r="J1945" s="1321" t="s">
        <v>5608</v>
      </c>
      <c r="K1945" s="162" t="s">
        <v>5610</v>
      </c>
      <c r="L1945" s="162" t="s">
        <v>5609</v>
      </c>
      <c r="M1945" s="111">
        <v>70.209999999999994</v>
      </c>
      <c r="N1945" s="111">
        <v>210.63</v>
      </c>
      <c r="O1945" s="111"/>
      <c r="P1945" s="111"/>
      <c r="Q1945" s="111"/>
      <c r="R1945" s="111"/>
      <c r="S1945" s="1249">
        <v>1</v>
      </c>
      <c r="T1945" s="1250">
        <v>70.209999999999994</v>
      </c>
      <c r="U1945" s="1250"/>
      <c r="V1945" s="1250"/>
      <c r="W1945" s="1251">
        <v>1</v>
      </c>
      <c r="X1945" s="1250">
        <v>70.209999999999994</v>
      </c>
      <c r="Y1945" s="1250"/>
      <c r="Z1945" s="1250"/>
      <c r="AA1945" s="1250"/>
      <c r="AB1945" s="1250"/>
      <c r="AC1945" s="1250"/>
      <c r="AD1945" s="1250"/>
      <c r="AE1945" s="1249">
        <v>1</v>
      </c>
      <c r="AF1945" s="1250">
        <v>70.209999999999994</v>
      </c>
      <c r="AG1945" s="111"/>
      <c r="AH1945" s="111"/>
      <c r="AI1945" s="111"/>
      <c r="AJ1945" s="111"/>
      <c r="AK1945" s="111"/>
      <c r="AL1945" s="111"/>
      <c r="AM1945" s="111">
        <v>210.63</v>
      </c>
    </row>
    <row r="1946" spans="1:39" ht="15" customHeight="1" x14ac:dyDescent="0.25">
      <c r="A1946" s="1409"/>
      <c r="B1946" s="1409"/>
      <c r="C1946" s="1409"/>
      <c r="D1946" s="1409"/>
      <c r="E1946" s="1286"/>
      <c r="F1946" s="1248" t="s">
        <v>5294</v>
      </c>
      <c r="G1946" s="111"/>
      <c r="H1946" s="1249">
        <v>50</v>
      </c>
      <c r="I1946" s="111" t="s">
        <v>1827</v>
      </c>
      <c r="J1946" s="1321" t="s">
        <v>5608</v>
      </c>
      <c r="K1946" s="162" t="s">
        <v>5610</v>
      </c>
      <c r="L1946" s="162" t="s">
        <v>5609</v>
      </c>
      <c r="M1946" s="111">
        <v>56.98</v>
      </c>
      <c r="N1946" s="111">
        <v>2849</v>
      </c>
      <c r="O1946" s="111"/>
      <c r="P1946" s="111"/>
      <c r="Q1946" s="111"/>
      <c r="R1946" s="111"/>
      <c r="S1946" s="1249">
        <v>20</v>
      </c>
      <c r="T1946" s="1250">
        <v>949.66666666666663</v>
      </c>
      <c r="U1946" s="1250"/>
      <c r="V1946" s="1250"/>
      <c r="W1946" s="1251">
        <v>20</v>
      </c>
      <c r="X1946" s="1250">
        <v>949.66666666666663</v>
      </c>
      <c r="Y1946" s="1250"/>
      <c r="Z1946" s="1250"/>
      <c r="AA1946" s="1250"/>
      <c r="AB1946" s="1250"/>
      <c r="AC1946" s="1250"/>
      <c r="AD1946" s="1250"/>
      <c r="AE1946" s="1249">
        <v>10</v>
      </c>
      <c r="AF1946" s="1250">
        <v>949.66666666666663</v>
      </c>
      <c r="AG1946" s="111"/>
      <c r="AH1946" s="111"/>
      <c r="AI1946" s="111"/>
      <c r="AJ1946" s="111"/>
      <c r="AK1946" s="111"/>
      <c r="AL1946" s="111"/>
      <c r="AM1946" s="111">
        <v>2849</v>
      </c>
    </row>
    <row r="1947" spans="1:39" ht="15" customHeight="1" x14ac:dyDescent="0.25">
      <c r="A1947" s="1409"/>
      <c r="B1947" s="1409"/>
      <c r="C1947" s="1409"/>
      <c r="D1947" s="1409"/>
      <c r="E1947" s="1286"/>
      <c r="F1947" s="1248" t="s">
        <v>3292</v>
      </c>
      <c r="G1947" s="111"/>
      <c r="H1947" s="1249">
        <v>62</v>
      </c>
      <c r="I1947" s="111" t="s">
        <v>1827</v>
      </c>
      <c r="J1947" s="1321" t="s">
        <v>5608</v>
      </c>
      <c r="K1947" s="162" t="s">
        <v>5610</v>
      </c>
      <c r="L1947" s="162" t="s">
        <v>5609</v>
      </c>
      <c r="M1947" s="111">
        <v>46.390000000000008</v>
      </c>
      <c r="N1947" s="111">
        <v>2876.1800000000003</v>
      </c>
      <c r="O1947" s="111"/>
      <c r="P1947" s="111"/>
      <c r="Q1947" s="111"/>
      <c r="R1947" s="111"/>
      <c r="S1947" s="1249">
        <v>32</v>
      </c>
      <c r="T1947" s="1250">
        <v>958.7266666666668</v>
      </c>
      <c r="U1947" s="1250"/>
      <c r="V1947" s="1250"/>
      <c r="W1947" s="1251">
        <v>20</v>
      </c>
      <c r="X1947" s="1250">
        <v>958.7266666666668</v>
      </c>
      <c r="Y1947" s="1250"/>
      <c r="Z1947" s="1250"/>
      <c r="AA1947" s="1250"/>
      <c r="AB1947" s="1250"/>
      <c r="AC1947" s="1250"/>
      <c r="AD1947" s="1250"/>
      <c r="AE1947" s="1249">
        <v>10</v>
      </c>
      <c r="AF1947" s="1250">
        <v>958.7266666666668</v>
      </c>
      <c r="AG1947" s="111"/>
      <c r="AH1947" s="111"/>
      <c r="AI1947" s="111"/>
      <c r="AJ1947" s="111"/>
      <c r="AK1947" s="111"/>
      <c r="AL1947" s="111"/>
      <c r="AM1947" s="111">
        <v>2876.1800000000003</v>
      </c>
    </row>
    <row r="1948" spans="1:39" ht="15" customHeight="1" x14ac:dyDescent="0.25">
      <c r="A1948" s="1409"/>
      <c r="B1948" s="1409"/>
      <c r="C1948" s="1409"/>
      <c r="D1948" s="1409"/>
      <c r="E1948" s="1286"/>
      <c r="F1948" s="1248" t="s">
        <v>3293</v>
      </c>
      <c r="G1948" s="111"/>
      <c r="H1948" s="1249">
        <v>12</v>
      </c>
      <c r="I1948" s="111" t="s">
        <v>1827</v>
      </c>
      <c r="J1948" s="1321" t="s">
        <v>5608</v>
      </c>
      <c r="K1948" s="162" t="s">
        <v>5610</v>
      </c>
      <c r="L1948" s="162" t="s">
        <v>5609</v>
      </c>
      <c r="M1948" s="111">
        <v>60.171984000000009</v>
      </c>
      <c r="N1948" s="111">
        <v>722.06380800000011</v>
      </c>
      <c r="O1948" s="111"/>
      <c r="P1948" s="111"/>
      <c r="Q1948" s="111"/>
      <c r="R1948" s="111"/>
      <c r="S1948" s="1249">
        <v>5</v>
      </c>
      <c r="T1948" s="1250">
        <v>240.68793600000004</v>
      </c>
      <c r="U1948" s="1250"/>
      <c r="V1948" s="1250"/>
      <c r="W1948" s="1251">
        <v>5</v>
      </c>
      <c r="X1948" s="1250">
        <v>240.68793600000004</v>
      </c>
      <c r="Y1948" s="1250"/>
      <c r="Z1948" s="1250"/>
      <c r="AA1948" s="1250"/>
      <c r="AB1948" s="1250"/>
      <c r="AC1948" s="1250"/>
      <c r="AD1948" s="1250"/>
      <c r="AE1948" s="1249">
        <v>2</v>
      </c>
      <c r="AF1948" s="1250">
        <v>240.68793600000004</v>
      </c>
      <c r="AG1948" s="111"/>
      <c r="AH1948" s="111"/>
      <c r="AI1948" s="111"/>
      <c r="AJ1948" s="111"/>
      <c r="AK1948" s="111"/>
      <c r="AL1948" s="111"/>
      <c r="AM1948" s="111">
        <v>722.06380800000011</v>
      </c>
    </row>
    <row r="1949" spans="1:39" ht="15" customHeight="1" x14ac:dyDescent="0.25">
      <c r="A1949" s="1409"/>
      <c r="B1949" s="1409"/>
      <c r="C1949" s="1409"/>
      <c r="D1949" s="1409"/>
      <c r="E1949" s="1286"/>
      <c r="F1949" s="1248" t="s">
        <v>3294</v>
      </c>
      <c r="G1949" s="111"/>
      <c r="H1949" s="1249">
        <v>12</v>
      </c>
      <c r="I1949" s="111" t="s">
        <v>1827</v>
      </c>
      <c r="J1949" s="1321" t="s">
        <v>5608</v>
      </c>
      <c r="K1949" s="162" t="s">
        <v>5610</v>
      </c>
      <c r="L1949" s="162" t="s">
        <v>5609</v>
      </c>
      <c r="M1949" s="111">
        <v>60.171984000000002</v>
      </c>
      <c r="N1949" s="111">
        <v>722.06380799999999</v>
      </c>
      <c r="O1949" s="111"/>
      <c r="P1949" s="111"/>
      <c r="Q1949" s="111"/>
      <c r="R1949" s="111"/>
      <c r="S1949" s="1249">
        <v>5</v>
      </c>
      <c r="T1949" s="1250">
        <v>240.68793600000001</v>
      </c>
      <c r="U1949" s="1250"/>
      <c r="V1949" s="1250"/>
      <c r="W1949" s="1251">
        <v>5</v>
      </c>
      <c r="X1949" s="1250">
        <v>240.68793600000001</v>
      </c>
      <c r="Y1949" s="1250"/>
      <c r="Z1949" s="1250"/>
      <c r="AA1949" s="1250"/>
      <c r="AB1949" s="1250"/>
      <c r="AC1949" s="1250"/>
      <c r="AD1949" s="1250"/>
      <c r="AE1949" s="1249">
        <v>2</v>
      </c>
      <c r="AF1949" s="1250">
        <v>240.68793600000001</v>
      </c>
      <c r="AG1949" s="111"/>
      <c r="AH1949" s="111"/>
      <c r="AI1949" s="111"/>
      <c r="AJ1949" s="111"/>
      <c r="AK1949" s="111"/>
      <c r="AL1949" s="111"/>
      <c r="AM1949" s="111">
        <v>722.06380799999999</v>
      </c>
    </row>
    <row r="1950" spans="1:39" ht="15" customHeight="1" x14ac:dyDescent="0.25">
      <c r="A1950" s="1409"/>
      <c r="B1950" s="1409"/>
      <c r="C1950" s="1409"/>
      <c r="D1950" s="1409"/>
      <c r="E1950" s="1286"/>
      <c r="F1950" s="1248" t="s">
        <v>169</v>
      </c>
      <c r="G1950" s="111"/>
      <c r="H1950" s="1249">
        <v>60</v>
      </c>
      <c r="I1950" s="111" t="s">
        <v>1721</v>
      </c>
      <c r="J1950" s="1321" t="s">
        <v>5608</v>
      </c>
      <c r="K1950" s="162" t="s">
        <v>5610</v>
      </c>
      <c r="L1950" s="162" t="s">
        <v>5609</v>
      </c>
      <c r="M1950" s="111">
        <v>35</v>
      </c>
      <c r="N1950" s="111">
        <v>2100</v>
      </c>
      <c r="O1950" s="111"/>
      <c r="P1950" s="111"/>
      <c r="Q1950" s="111"/>
      <c r="R1950" s="111"/>
      <c r="S1950" s="1249">
        <v>30</v>
      </c>
      <c r="T1950" s="1250">
        <v>700</v>
      </c>
      <c r="U1950" s="1250"/>
      <c r="V1950" s="1250"/>
      <c r="W1950" s="1251">
        <v>20</v>
      </c>
      <c r="X1950" s="1250">
        <v>700</v>
      </c>
      <c r="Y1950" s="1250"/>
      <c r="Z1950" s="1250"/>
      <c r="AA1950" s="1250"/>
      <c r="AB1950" s="1250"/>
      <c r="AC1950" s="1250"/>
      <c r="AD1950" s="1250"/>
      <c r="AE1950" s="1249">
        <v>10</v>
      </c>
      <c r="AF1950" s="1250">
        <v>700</v>
      </c>
      <c r="AG1950" s="111"/>
      <c r="AH1950" s="111"/>
      <c r="AI1950" s="111"/>
      <c r="AJ1950" s="111"/>
      <c r="AK1950" s="111"/>
      <c r="AL1950" s="111"/>
      <c r="AM1950" s="111">
        <v>2100</v>
      </c>
    </row>
    <row r="1951" spans="1:39" ht="15" customHeight="1" x14ac:dyDescent="0.25">
      <c r="A1951" s="1409"/>
      <c r="B1951" s="1409"/>
      <c r="C1951" s="1409"/>
      <c r="D1951" s="1409"/>
      <c r="E1951" s="1286"/>
      <c r="F1951" s="1248" t="s">
        <v>5295</v>
      </c>
      <c r="G1951" s="111"/>
      <c r="H1951" s="1249">
        <v>36</v>
      </c>
      <c r="I1951" s="111" t="s">
        <v>1734</v>
      </c>
      <c r="J1951" s="1321" t="s">
        <v>5608</v>
      </c>
      <c r="K1951" s="162" t="s">
        <v>5610</v>
      </c>
      <c r="L1951" s="162" t="s">
        <v>5609</v>
      </c>
      <c r="M1951" s="111">
        <v>350</v>
      </c>
      <c r="N1951" s="111">
        <v>12600</v>
      </c>
      <c r="O1951" s="111"/>
      <c r="P1951" s="111"/>
      <c r="Q1951" s="111"/>
      <c r="R1951" s="111"/>
      <c r="S1951" s="1249">
        <v>16</v>
      </c>
      <c r="T1951" s="1250">
        <v>4200</v>
      </c>
      <c r="U1951" s="1250"/>
      <c r="V1951" s="1250"/>
      <c r="W1951" s="1251">
        <v>10</v>
      </c>
      <c r="X1951" s="1250">
        <v>4200</v>
      </c>
      <c r="Y1951" s="1250"/>
      <c r="Z1951" s="1250"/>
      <c r="AA1951" s="1250"/>
      <c r="AB1951" s="1250"/>
      <c r="AC1951" s="1250"/>
      <c r="AD1951" s="1250"/>
      <c r="AE1951" s="1249">
        <v>10</v>
      </c>
      <c r="AF1951" s="1250">
        <v>4200</v>
      </c>
      <c r="AG1951" s="111"/>
      <c r="AH1951" s="111"/>
      <c r="AI1951" s="111"/>
      <c r="AJ1951" s="111"/>
      <c r="AK1951" s="111"/>
      <c r="AL1951" s="111"/>
      <c r="AM1951" s="111">
        <v>12600</v>
      </c>
    </row>
    <row r="1952" spans="1:39" ht="15" customHeight="1" x14ac:dyDescent="0.25">
      <c r="A1952" s="1409"/>
      <c r="B1952" s="1409"/>
      <c r="C1952" s="1409"/>
      <c r="D1952" s="1409"/>
      <c r="E1952" s="1286"/>
      <c r="F1952" s="1248" t="s">
        <v>5296</v>
      </c>
      <c r="G1952" s="111"/>
      <c r="H1952" s="1249">
        <v>44</v>
      </c>
      <c r="I1952" s="111" t="s">
        <v>1734</v>
      </c>
      <c r="J1952" s="1321" t="s">
        <v>5608</v>
      </c>
      <c r="K1952" s="162" t="s">
        <v>5610</v>
      </c>
      <c r="L1952" s="162" t="s">
        <v>5609</v>
      </c>
      <c r="M1952" s="111">
        <v>89.71</v>
      </c>
      <c r="N1952" s="111">
        <v>3947.24</v>
      </c>
      <c r="O1952" s="111"/>
      <c r="P1952" s="111"/>
      <c r="Q1952" s="111"/>
      <c r="R1952" s="111"/>
      <c r="S1952" s="1249">
        <v>24</v>
      </c>
      <c r="T1952" s="1250">
        <v>1315.7466666666667</v>
      </c>
      <c r="U1952" s="1250"/>
      <c r="V1952" s="1250"/>
      <c r="W1952" s="1251">
        <v>10</v>
      </c>
      <c r="X1952" s="1250">
        <v>1315.7466666666667</v>
      </c>
      <c r="Y1952" s="1250"/>
      <c r="Z1952" s="1250"/>
      <c r="AA1952" s="1250"/>
      <c r="AB1952" s="1250"/>
      <c r="AC1952" s="1250"/>
      <c r="AD1952" s="1250"/>
      <c r="AE1952" s="1249">
        <v>10</v>
      </c>
      <c r="AF1952" s="1250">
        <v>1315.7466666666667</v>
      </c>
      <c r="AG1952" s="111"/>
      <c r="AH1952" s="111"/>
      <c r="AI1952" s="111"/>
      <c r="AJ1952" s="111"/>
      <c r="AK1952" s="111"/>
      <c r="AL1952" s="111"/>
      <c r="AM1952" s="111">
        <v>3947.24</v>
      </c>
    </row>
    <row r="1953" spans="1:39" ht="15" customHeight="1" x14ac:dyDescent="0.25">
      <c r="A1953" s="1409"/>
      <c r="B1953" s="1409"/>
      <c r="C1953" s="1409"/>
      <c r="D1953" s="1409"/>
      <c r="E1953" s="1286"/>
      <c r="F1953" s="1248" t="s">
        <v>5297</v>
      </c>
      <c r="G1953" s="111"/>
      <c r="H1953" s="1249">
        <v>30</v>
      </c>
      <c r="I1953" s="111" t="s">
        <v>1827</v>
      </c>
      <c r="J1953" s="1321" t="s">
        <v>5608</v>
      </c>
      <c r="K1953" s="162" t="s">
        <v>5610</v>
      </c>
      <c r="L1953" s="162" t="s">
        <v>5609</v>
      </c>
      <c r="M1953" s="111">
        <v>56.979199999999992</v>
      </c>
      <c r="N1953" s="111">
        <v>1709.3759999999997</v>
      </c>
      <c r="O1953" s="111"/>
      <c r="P1953" s="111"/>
      <c r="Q1953" s="111"/>
      <c r="R1953" s="111"/>
      <c r="S1953" s="1249">
        <v>10</v>
      </c>
      <c r="T1953" s="1250">
        <v>569.79199999999992</v>
      </c>
      <c r="U1953" s="1250"/>
      <c r="V1953" s="1250"/>
      <c r="W1953" s="1251">
        <v>10</v>
      </c>
      <c r="X1953" s="1250">
        <v>569.79199999999992</v>
      </c>
      <c r="Y1953" s="1250"/>
      <c r="Z1953" s="1250"/>
      <c r="AA1953" s="1250"/>
      <c r="AB1953" s="1250"/>
      <c r="AC1953" s="1250"/>
      <c r="AD1953" s="1250"/>
      <c r="AE1953" s="1249">
        <v>10</v>
      </c>
      <c r="AF1953" s="1250">
        <v>569.79199999999992</v>
      </c>
      <c r="AG1953" s="111"/>
      <c r="AH1953" s="111"/>
      <c r="AI1953" s="111"/>
      <c r="AJ1953" s="111"/>
      <c r="AK1953" s="111"/>
      <c r="AL1953" s="111"/>
      <c r="AM1953" s="111">
        <v>1709.3759999999997</v>
      </c>
    </row>
    <row r="1954" spans="1:39" ht="15" customHeight="1" x14ac:dyDescent="0.25">
      <c r="A1954" s="1409"/>
      <c r="B1954" s="1409"/>
      <c r="C1954" s="1409"/>
      <c r="D1954" s="1409"/>
      <c r="E1954" s="1286"/>
      <c r="F1954" s="1248"/>
      <c r="G1954" s="111"/>
      <c r="H1954" s="1249"/>
      <c r="I1954" s="111"/>
      <c r="J1954" s="111"/>
      <c r="K1954" s="111"/>
      <c r="L1954" s="111"/>
      <c r="M1954" s="111"/>
      <c r="N1954" s="111"/>
      <c r="O1954" s="111"/>
      <c r="P1954" s="111"/>
      <c r="Q1954" s="111"/>
      <c r="R1954" s="111"/>
      <c r="S1954" s="1249"/>
      <c r="T1954" s="1250"/>
      <c r="U1954" s="1250"/>
      <c r="V1954" s="1250"/>
      <c r="W1954" s="1251"/>
      <c r="X1954" s="1250"/>
      <c r="Y1954" s="1250"/>
      <c r="Z1954" s="1250"/>
      <c r="AA1954" s="1250"/>
      <c r="AB1954" s="1250"/>
      <c r="AC1954" s="1250"/>
      <c r="AD1954" s="1250"/>
      <c r="AE1954" s="1249"/>
      <c r="AF1954" s="1250"/>
      <c r="AG1954" s="111"/>
      <c r="AH1954" s="111"/>
      <c r="AI1954" s="111"/>
      <c r="AJ1954" s="111"/>
      <c r="AK1954" s="111"/>
      <c r="AL1954" s="111"/>
      <c r="AM1954" s="111"/>
    </row>
    <row r="1955" spans="1:39" ht="36" customHeight="1" x14ac:dyDescent="0.25">
      <c r="A1955" s="1409"/>
      <c r="B1955" s="1409"/>
      <c r="C1955" s="1409"/>
      <c r="D1955" s="1409"/>
      <c r="E1955" s="1204">
        <v>2600</v>
      </c>
      <c r="F1955" s="1274" t="s">
        <v>656</v>
      </c>
      <c r="G1955" s="1204"/>
      <c r="H1955" s="1204"/>
      <c r="I1955" s="1204"/>
      <c r="J1955" s="1204"/>
      <c r="K1955" s="1204"/>
      <c r="L1955" s="1204"/>
      <c r="M1955" s="1204"/>
      <c r="N1955" s="1204"/>
      <c r="O1955" s="1204"/>
      <c r="P1955" s="1204"/>
      <c r="Q1955" s="1204"/>
      <c r="R1955" s="1204"/>
      <c r="S1955" s="1204"/>
      <c r="T1955" s="1204"/>
      <c r="U1955" s="1204"/>
      <c r="V1955" s="1204"/>
      <c r="W1955" s="1204"/>
      <c r="X1955" s="1204"/>
      <c r="Y1955" s="1204"/>
      <c r="Z1955" s="1204"/>
      <c r="AA1955" s="1204"/>
      <c r="AB1955" s="1204"/>
      <c r="AC1955" s="1204"/>
      <c r="AD1955" s="1204"/>
      <c r="AE1955" s="1204"/>
      <c r="AF1955" s="1204"/>
      <c r="AG1955" s="1204"/>
      <c r="AH1955" s="1204"/>
      <c r="AI1955" s="1204"/>
      <c r="AJ1955" s="1204"/>
      <c r="AK1955" s="1204"/>
      <c r="AL1955" s="1204"/>
      <c r="AM1955" s="1204"/>
    </row>
    <row r="1956" spans="1:39" ht="15" customHeight="1" x14ac:dyDescent="0.25">
      <c r="A1956" s="1409"/>
      <c r="B1956" s="1409"/>
      <c r="C1956" s="1409"/>
      <c r="D1956" s="1409"/>
      <c r="E1956" s="1218">
        <v>261</v>
      </c>
      <c r="F1956" s="1268" t="s">
        <v>656</v>
      </c>
      <c r="G1956" s="1218"/>
      <c r="H1956" s="1218"/>
      <c r="I1956" s="1218"/>
      <c r="J1956" s="1218"/>
      <c r="K1956" s="1218"/>
      <c r="L1956" s="1218"/>
      <c r="M1956" s="1218"/>
      <c r="N1956" s="1218"/>
      <c r="O1956" s="1218"/>
      <c r="P1956" s="1218"/>
      <c r="Q1956" s="1218"/>
      <c r="R1956" s="1218"/>
      <c r="S1956" s="1218"/>
      <c r="T1956" s="1218"/>
      <c r="U1956" s="1218"/>
      <c r="V1956" s="1218"/>
      <c r="W1956" s="1218"/>
      <c r="X1956" s="1218"/>
      <c r="Y1956" s="1218"/>
      <c r="Z1956" s="1218"/>
      <c r="AA1956" s="1218"/>
      <c r="AB1956" s="1218"/>
      <c r="AC1956" s="1218"/>
      <c r="AD1956" s="1218"/>
      <c r="AE1956" s="1218"/>
      <c r="AF1956" s="1218"/>
      <c r="AG1956" s="1218"/>
      <c r="AH1956" s="1218"/>
      <c r="AI1956" s="1218"/>
      <c r="AJ1956" s="1218"/>
      <c r="AK1956" s="1218"/>
      <c r="AL1956" s="1218"/>
      <c r="AM1956" s="1218"/>
    </row>
    <row r="1957" spans="1:39" ht="15" customHeight="1" x14ac:dyDescent="0.25">
      <c r="A1957" s="1409"/>
      <c r="B1957" s="1409"/>
      <c r="C1957" s="1409"/>
      <c r="D1957" s="1409"/>
      <c r="E1957" s="1247"/>
      <c r="F1957" s="1248"/>
      <c r="G1957" s="111"/>
      <c r="H1957" s="1249"/>
      <c r="I1957" s="111"/>
      <c r="J1957" s="111"/>
      <c r="K1957" s="111"/>
      <c r="L1957" s="111"/>
      <c r="M1957" s="111"/>
      <c r="N1957" s="111"/>
      <c r="O1957" s="111"/>
      <c r="P1957" s="111"/>
      <c r="Q1957" s="111"/>
      <c r="R1957" s="111"/>
      <c r="S1957" s="1249"/>
      <c r="T1957" s="1250"/>
      <c r="U1957" s="1250"/>
      <c r="V1957" s="1250"/>
      <c r="W1957" s="1251"/>
      <c r="X1957" s="1250"/>
      <c r="Y1957" s="1250"/>
      <c r="Z1957" s="1250"/>
      <c r="AA1957" s="1250"/>
      <c r="AB1957" s="1250"/>
      <c r="AC1957" s="1250"/>
      <c r="AD1957" s="1250"/>
      <c r="AE1957" s="1249"/>
      <c r="AF1957" s="1250"/>
      <c r="AG1957" s="111"/>
      <c r="AH1957" s="111"/>
      <c r="AI1957" s="111"/>
      <c r="AJ1957" s="111"/>
      <c r="AK1957" s="111"/>
      <c r="AL1957" s="111"/>
      <c r="AM1957" s="111"/>
    </row>
    <row r="1958" spans="1:39" ht="15" customHeight="1" x14ac:dyDescent="0.25">
      <c r="A1958" s="1409"/>
      <c r="B1958" s="1409"/>
      <c r="C1958" s="1409"/>
      <c r="D1958" s="1409"/>
      <c r="E1958" s="1261">
        <v>26101</v>
      </c>
      <c r="F1958" s="1262" t="s">
        <v>656</v>
      </c>
      <c r="G1958" s="1261"/>
      <c r="H1958" s="1261"/>
      <c r="I1958" s="1261"/>
      <c r="J1958" s="1261"/>
      <c r="K1958" s="1261"/>
      <c r="L1958" s="1261"/>
      <c r="M1958" s="1261"/>
      <c r="N1958" s="1261"/>
      <c r="O1958" s="1261"/>
      <c r="P1958" s="1261"/>
      <c r="Q1958" s="1261"/>
      <c r="R1958" s="1261"/>
      <c r="S1958" s="1261"/>
      <c r="T1958" s="1261"/>
      <c r="U1958" s="1261"/>
      <c r="V1958" s="1261"/>
      <c r="W1958" s="1261"/>
      <c r="X1958" s="1261"/>
      <c r="Y1958" s="1261"/>
      <c r="Z1958" s="1261"/>
      <c r="AA1958" s="1261"/>
      <c r="AB1958" s="1261"/>
      <c r="AC1958" s="1261"/>
      <c r="AD1958" s="1261"/>
      <c r="AE1958" s="1261"/>
      <c r="AF1958" s="1261"/>
      <c r="AG1958" s="1261"/>
      <c r="AH1958" s="1261"/>
      <c r="AI1958" s="1261"/>
      <c r="AJ1958" s="1261"/>
      <c r="AK1958" s="1261"/>
      <c r="AL1958" s="1261"/>
      <c r="AM1958" s="1261"/>
    </row>
    <row r="1959" spans="1:39" ht="15" customHeight="1" x14ac:dyDescent="0.25">
      <c r="A1959" s="1409"/>
      <c r="B1959" s="1409"/>
      <c r="C1959" s="1409"/>
      <c r="D1959" s="1409"/>
      <c r="E1959" s="1247"/>
      <c r="F1959" s="1248" t="s">
        <v>5298</v>
      </c>
      <c r="G1959" s="111"/>
      <c r="H1959" s="1249">
        <v>7</v>
      </c>
      <c r="I1959" s="111" t="s">
        <v>1721</v>
      </c>
      <c r="J1959" s="1321" t="s">
        <v>5608</v>
      </c>
      <c r="K1959" s="162" t="s">
        <v>5610</v>
      </c>
      <c r="L1959" s="162" t="s">
        <v>5609</v>
      </c>
      <c r="M1959" s="111">
        <v>950</v>
      </c>
      <c r="N1959" s="111">
        <v>6650</v>
      </c>
      <c r="O1959" s="111"/>
      <c r="P1959" s="111"/>
      <c r="Q1959" s="111"/>
      <c r="R1959" s="111"/>
      <c r="S1959" s="1249">
        <v>3</v>
      </c>
      <c r="T1959" s="1250">
        <v>2216.6666666666665</v>
      </c>
      <c r="U1959" s="1250"/>
      <c r="V1959" s="1250"/>
      <c r="W1959" s="1251">
        <v>2</v>
      </c>
      <c r="X1959" s="1250">
        <v>2216.6666666666665</v>
      </c>
      <c r="Y1959" s="1250"/>
      <c r="Z1959" s="1250"/>
      <c r="AA1959" s="1250"/>
      <c r="AB1959" s="1250"/>
      <c r="AC1959" s="1250"/>
      <c r="AD1959" s="1250"/>
      <c r="AE1959" s="1249">
        <v>2</v>
      </c>
      <c r="AF1959" s="1250">
        <v>2216.6666666666665</v>
      </c>
      <c r="AG1959" s="111"/>
      <c r="AH1959" s="111"/>
      <c r="AI1959" s="111"/>
      <c r="AJ1959" s="111"/>
      <c r="AK1959" s="111"/>
      <c r="AL1959" s="111"/>
      <c r="AM1959" s="111">
        <v>6650</v>
      </c>
    </row>
    <row r="1960" spans="1:39" ht="15" customHeight="1" x14ac:dyDescent="0.25">
      <c r="A1960" s="1409"/>
      <c r="B1960" s="1409"/>
      <c r="C1960" s="1409"/>
      <c r="D1960" s="1409"/>
      <c r="E1960" s="1247"/>
      <c r="F1960" s="1248" t="s">
        <v>5299</v>
      </c>
      <c r="G1960" s="111"/>
      <c r="H1960" s="1249">
        <v>42</v>
      </c>
      <c r="I1960" s="111" t="s">
        <v>1721</v>
      </c>
      <c r="J1960" s="1321" t="s">
        <v>5608</v>
      </c>
      <c r="K1960" s="162" t="s">
        <v>5610</v>
      </c>
      <c r="L1960" s="162" t="s">
        <v>5609</v>
      </c>
      <c r="M1960" s="111">
        <v>482.33000000000004</v>
      </c>
      <c r="N1960" s="111">
        <v>20257.86</v>
      </c>
      <c r="O1960" s="111"/>
      <c r="P1960" s="111"/>
      <c r="Q1960" s="111"/>
      <c r="R1960" s="111"/>
      <c r="S1960" s="1249">
        <v>20</v>
      </c>
      <c r="T1960" s="1250">
        <v>6752.62</v>
      </c>
      <c r="U1960" s="1250"/>
      <c r="V1960" s="1250"/>
      <c r="W1960" s="1251">
        <v>12</v>
      </c>
      <c r="X1960" s="1250">
        <v>6752.62</v>
      </c>
      <c r="Y1960" s="1250"/>
      <c r="Z1960" s="1250"/>
      <c r="AA1960" s="1250"/>
      <c r="AB1960" s="1250"/>
      <c r="AC1960" s="1250"/>
      <c r="AD1960" s="1250"/>
      <c r="AE1960" s="1249">
        <v>10</v>
      </c>
      <c r="AF1960" s="1250">
        <v>6752.62</v>
      </c>
      <c r="AG1960" s="111"/>
      <c r="AH1960" s="111"/>
      <c r="AI1960" s="111"/>
      <c r="AJ1960" s="111"/>
      <c r="AK1960" s="111"/>
      <c r="AL1960" s="111"/>
      <c r="AM1960" s="111">
        <v>20257.86</v>
      </c>
    </row>
    <row r="1961" spans="1:39" ht="15" customHeight="1" x14ac:dyDescent="0.25">
      <c r="A1961" s="1409"/>
      <c r="B1961" s="1409"/>
      <c r="C1961" s="1409"/>
      <c r="D1961" s="1409"/>
      <c r="E1961" s="1247"/>
      <c r="F1961" s="1248" t="s">
        <v>3296</v>
      </c>
      <c r="G1961" s="111"/>
      <c r="H1961" s="1249">
        <v>6</v>
      </c>
      <c r="I1961" s="111" t="s">
        <v>1721</v>
      </c>
      <c r="J1961" s="1321" t="s">
        <v>5608</v>
      </c>
      <c r="K1961" s="162" t="s">
        <v>5610</v>
      </c>
      <c r="L1961" s="162" t="s">
        <v>5609</v>
      </c>
      <c r="M1961" s="111">
        <v>64.798200000000008</v>
      </c>
      <c r="N1961" s="111">
        <v>388.78920000000005</v>
      </c>
      <c r="O1961" s="111"/>
      <c r="P1961" s="111"/>
      <c r="Q1961" s="111"/>
      <c r="R1961" s="111"/>
      <c r="S1961" s="1249">
        <v>2</v>
      </c>
      <c r="T1961" s="1250">
        <v>129.59640000000002</v>
      </c>
      <c r="U1961" s="1250"/>
      <c r="V1961" s="1250"/>
      <c r="W1961" s="1251">
        <v>2</v>
      </c>
      <c r="X1961" s="1250">
        <v>129.59640000000002</v>
      </c>
      <c r="Y1961" s="1250"/>
      <c r="Z1961" s="1250"/>
      <c r="AA1961" s="1250"/>
      <c r="AB1961" s="1250"/>
      <c r="AC1961" s="1250"/>
      <c r="AD1961" s="1250"/>
      <c r="AE1961" s="1249">
        <v>2</v>
      </c>
      <c r="AF1961" s="1250">
        <v>129.59640000000002</v>
      </c>
      <c r="AG1961" s="111"/>
      <c r="AH1961" s="111"/>
      <c r="AI1961" s="111"/>
      <c r="AJ1961" s="111"/>
      <c r="AK1961" s="111"/>
      <c r="AL1961" s="111"/>
      <c r="AM1961" s="111">
        <v>388.78920000000005</v>
      </c>
    </row>
    <row r="1962" spans="1:39" ht="15" customHeight="1" x14ac:dyDescent="0.25">
      <c r="A1962" s="1409"/>
      <c r="B1962" s="1409"/>
      <c r="C1962" s="1409"/>
      <c r="D1962" s="1409"/>
      <c r="E1962" s="1247"/>
      <c r="F1962" s="1248" t="s">
        <v>658</v>
      </c>
      <c r="G1962" s="111"/>
      <c r="H1962" s="1249">
        <v>9</v>
      </c>
      <c r="I1962" s="111" t="s">
        <v>1721</v>
      </c>
      <c r="J1962" s="1321" t="s">
        <v>5608</v>
      </c>
      <c r="K1962" s="162" t="s">
        <v>5610</v>
      </c>
      <c r="L1962" s="162" t="s">
        <v>5609</v>
      </c>
      <c r="M1962" s="111">
        <v>101.77333333333333</v>
      </c>
      <c r="N1962" s="111">
        <v>915.95999999999992</v>
      </c>
      <c r="O1962" s="111"/>
      <c r="P1962" s="111"/>
      <c r="Q1962" s="111"/>
      <c r="R1962" s="111"/>
      <c r="S1962" s="1249">
        <v>5</v>
      </c>
      <c r="T1962" s="1250">
        <v>305.32</v>
      </c>
      <c r="U1962" s="1250"/>
      <c r="V1962" s="1250"/>
      <c r="W1962" s="1251">
        <v>2</v>
      </c>
      <c r="X1962" s="1250">
        <v>305.32</v>
      </c>
      <c r="Y1962" s="1250"/>
      <c r="Z1962" s="1250"/>
      <c r="AA1962" s="1250"/>
      <c r="AB1962" s="1250"/>
      <c r="AC1962" s="1250"/>
      <c r="AD1962" s="1250"/>
      <c r="AE1962" s="1249">
        <v>2</v>
      </c>
      <c r="AF1962" s="1250">
        <v>305.32</v>
      </c>
      <c r="AG1962" s="111"/>
      <c r="AH1962" s="111"/>
      <c r="AI1962" s="111"/>
      <c r="AJ1962" s="111"/>
      <c r="AK1962" s="111"/>
      <c r="AL1962" s="111"/>
      <c r="AM1962" s="111">
        <v>915.95999999999992</v>
      </c>
    </row>
    <row r="1963" spans="1:39" ht="15" customHeight="1" x14ac:dyDescent="0.25">
      <c r="A1963" s="1409"/>
      <c r="B1963" s="1409"/>
      <c r="C1963" s="1409"/>
      <c r="D1963" s="1409"/>
      <c r="E1963" s="1247"/>
      <c r="F1963" s="1248" t="s">
        <v>656</v>
      </c>
      <c r="G1963" s="111"/>
      <c r="H1963" s="1249">
        <v>1</v>
      </c>
      <c r="I1963" s="111" t="s">
        <v>1721</v>
      </c>
      <c r="J1963" s="1321" t="s">
        <v>5608</v>
      </c>
      <c r="K1963" s="162" t="s">
        <v>5610</v>
      </c>
      <c r="L1963" s="162" t="s">
        <v>5609</v>
      </c>
      <c r="M1963" s="111">
        <v>17962.93</v>
      </c>
      <c r="N1963" s="111">
        <v>17962.93</v>
      </c>
      <c r="O1963" s="111"/>
      <c r="P1963" s="111"/>
      <c r="Q1963" s="111"/>
      <c r="R1963" s="111"/>
      <c r="S1963" s="1249">
        <v>1</v>
      </c>
      <c r="T1963" s="1250">
        <v>5987.6433333333334</v>
      </c>
      <c r="U1963" s="1250"/>
      <c r="V1963" s="1250"/>
      <c r="W1963" s="1251">
        <v>0</v>
      </c>
      <c r="X1963" s="1250">
        <v>5987.6433333333334</v>
      </c>
      <c r="Y1963" s="1250"/>
      <c r="Z1963" s="1250"/>
      <c r="AA1963" s="1250"/>
      <c r="AB1963" s="1250"/>
      <c r="AC1963" s="1250"/>
      <c r="AD1963" s="1250"/>
      <c r="AE1963" s="1249">
        <v>0</v>
      </c>
      <c r="AF1963" s="1250">
        <v>5987.6433333333334</v>
      </c>
      <c r="AG1963" s="111"/>
      <c r="AH1963" s="111"/>
      <c r="AI1963" s="111"/>
      <c r="AJ1963" s="111"/>
      <c r="AK1963" s="111"/>
      <c r="AL1963" s="111"/>
      <c r="AM1963" s="111">
        <v>17962.93</v>
      </c>
    </row>
    <row r="1964" spans="1:39" ht="15" customHeight="1" x14ac:dyDescent="0.25">
      <c r="A1964" s="1409"/>
      <c r="B1964" s="1409"/>
      <c r="C1964" s="1409"/>
      <c r="D1964" s="1409"/>
      <c r="E1964" s="1247"/>
      <c r="F1964" s="1248" t="s">
        <v>3299</v>
      </c>
      <c r="G1964" s="111"/>
      <c r="H1964" s="1249">
        <v>12</v>
      </c>
      <c r="I1964" s="111" t="s">
        <v>2470</v>
      </c>
      <c r="J1964" s="1321" t="s">
        <v>5608</v>
      </c>
      <c r="K1964" s="162" t="s">
        <v>5610</v>
      </c>
      <c r="L1964" s="162" t="s">
        <v>5609</v>
      </c>
      <c r="M1964" s="111">
        <v>25.444800000000001</v>
      </c>
      <c r="N1964" s="111">
        <v>305.33760000000001</v>
      </c>
      <c r="O1964" s="111"/>
      <c r="P1964" s="111"/>
      <c r="Q1964" s="111"/>
      <c r="R1964" s="111"/>
      <c r="S1964" s="1249">
        <v>5</v>
      </c>
      <c r="T1964" s="1250">
        <v>101.7792</v>
      </c>
      <c r="U1964" s="1250"/>
      <c r="V1964" s="1250"/>
      <c r="W1964" s="1251">
        <v>5</v>
      </c>
      <c r="X1964" s="1250">
        <v>101.7792</v>
      </c>
      <c r="Y1964" s="1250"/>
      <c r="Z1964" s="1250"/>
      <c r="AA1964" s="1250"/>
      <c r="AB1964" s="1250"/>
      <c r="AC1964" s="1250"/>
      <c r="AD1964" s="1250"/>
      <c r="AE1964" s="1249">
        <v>2</v>
      </c>
      <c r="AF1964" s="1250">
        <v>101.7792</v>
      </c>
      <c r="AG1964" s="111"/>
      <c r="AH1964" s="111"/>
      <c r="AI1964" s="111"/>
      <c r="AJ1964" s="111"/>
      <c r="AK1964" s="111"/>
      <c r="AL1964" s="111"/>
      <c r="AM1964" s="111">
        <v>305.33760000000001</v>
      </c>
    </row>
    <row r="1965" spans="1:39" ht="15" customHeight="1" x14ac:dyDescent="0.25">
      <c r="A1965" s="1409"/>
      <c r="B1965" s="1409"/>
      <c r="C1965" s="1409"/>
      <c r="D1965" s="1409"/>
      <c r="E1965" s="1247"/>
      <c r="F1965" s="1248" t="s">
        <v>3300</v>
      </c>
      <c r="G1965" s="111"/>
      <c r="H1965" s="1249">
        <v>6</v>
      </c>
      <c r="I1965" s="111" t="s">
        <v>5300</v>
      </c>
      <c r="J1965" s="1321" t="s">
        <v>5608</v>
      </c>
      <c r="K1965" s="162" t="s">
        <v>5610</v>
      </c>
      <c r="L1965" s="162" t="s">
        <v>5609</v>
      </c>
      <c r="M1965" s="111">
        <v>268.96300000000002</v>
      </c>
      <c r="N1965" s="111">
        <v>1613.7780000000002</v>
      </c>
      <c r="O1965" s="111"/>
      <c r="P1965" s="111"/>
      <c r="Q1965" s="111"/>
      <c r="R1965" s="111"/>
      <c r="S1965" s="1249">
        <v>2</v>
      </c>
      <c r="T1965" s="1250">
        <v>537.92600000000004</v>
      </c>
      <c r="U1965" s="1250"/>
      <c r="V1965" s="1250"/>
      <c r="W1965" s="1251">
        <v>2</v>
      </c>
      <c r="X1965" s="1250">
        <v>537.92600000000004</v>
      </c>
      <c r="Y1965" s="1250"/>
      <c r="Z1965" s="1250"/>
      <c r="AA1965" s="1250"/>
      <c r="AB1965" s="1250"/>
      <c r="AC1965" s="1250"/>
      <c r="AD1965" s="1250"/>
      <c r="AE1965" s="1249">
        <v>2</v>
      </c>
      <c r="AF1965" s="1250">
        <v>537.92600000000004</v>
      </c>
      <c r="AG1965" s="111"/>
      <c r="AH1965" s="111"/>
      <c r="AI1965" s="111"/>
      <c r="AJ1965" s="111"/>
      <c r="AK1965" s="111"/>
      <c r="AL1965" s="111"/>
      <c r="AM1965" s="111">
        <v>1613.7780000000002</v>
      </c>
    </row>
    <row r="1966" spans="1:39" ht="15" customHeight="1" x14ac:dyDescent="0.25">
      <c r="A1966" s="1409"/>
      <c r="B1966" s="1409"/>
      <c r="C1966" s="1409"/>
      <c r="D1966" s="1409"/>
      <c r="E1966" s="1286"/>
      <c r="F1966" s="1248" t="s">
        <v>1094</v>
      </c>
      <c r="G1966" s="111"/>
      <c r="H1966" s="1249">
        <v>35840</v>
      </c>
      <c r="I1966" s="111" t="s">
        <v>2470</v>
      </c>
      <c r="J1966" s="1321" t="s">
        <v>5608</v>
      </c>
      <c r="K1966" s="162" t="s">
        <v>5610</v>
      </c>
      <c r="L1966" s="162" t="s">
        <v>5609</v>
      </c>
      <c r="M1966" s="111">
        <v>26.114655580357145</v>
      </c>
      <c r="N1966" s="111">
        <v>935949.25600000005</v>
      </c>
      <c r="O1966" s="111"/>
      <c r="P1966" s="111"/>
      <c r="Q1966" s="111"/>
      <c r="R1966" s="111"/>
      <c r="S1966" s="1249">
        <v>17920</v>
      </c>
      <c r="T1966" s="1250">
        <v>311983.08533333335</v>
      </c>
      <c r="U1966" s="1250"/>
      <c r="V1966" s="1250"/>
      <c r="W1966" s="1251">
        <v>8960</v>
      </c>
      <c r="X1966" s="1250">
        <v>311983.08533333335</v>
      </c>
      <c r="Y1966" s="1250"/>
      <c r="Z1966" s="1250"/>
      <c r="AA1966" s="1250"/>
      <c r="AB1966" s="1250"/>
      <c r="AC1966" s="1250"/>
      <c r="AD1966" s="1250"/>
      <c r="AE1966" s="1249">
        <v>8960</v>
      </c>
      <c r="AF1966" s="1250">
        <v>311983.08533333335</v>
      </c>
      <c r="AG1966" s="111"/>
      <c r="AH1966" s="111"/>
      <c r="AI1966" s="111"/>
      <c r="AJ1966" s="111"/>
      <c r="AK1966" s="111"/>
      <c r="AL1966" s="111"/>
      <c r="AM1966" s="111">
        <v>935949.25600000005</v>
      </c>
    </row>
    <row r="1967" spans="1:39" ht="15" customHeight="1" x14ac:dyDescent="0.25">
      <c r="A1967" s="1409"/>
      <c r="B1967" s="1409"/>
      <c r="C1967" s="1409"/>
      <c r="D1967" s="1409"/>
      <c r="E1967" s="1286"/>
      <c r="F1967" s="1248" t="s">
        <v>3297</v>
      </c>
      <c r="G1967" s="111"/>
      <c r="H1967" s="1249">
        <v>61</v>
      </c>
      <c r="I1967" s="111" t="s">
        <v>1721</v>
      </c>
      <c r="J1967" s="1321" t="s">
        <v>5608</v>
      </c>
      <c r="K1967" s="162" t="s">
        <v>5610</v>
      </c>
      <c r="L1967" s="162" t="s">
        <v>5609</v>
      </c>
      <c r="M1967" s="111">
        <v>344.6163651147541</v>
      </c>
      <c r="N1967" s="111">
        <v>21021.598271999999</v>
      </c>
      <c r="O1967" s="111"/>
      <c r="P1967" s="111"/>
      <c r="Q1967" s="111"/>
      <c r="R1967" s="111"/>
      <c r="S1967" s="1249">
        <v>31</v>
      </c>
      <c r="T1967" s="1250">
        <v>7007.1994239999995</v>
      </c>
      <c r="U1967" s="1250"/>
      <c r="V1967" s="1250"/>
      <c r="W1967" s="1251">
        <v>20</v>
      </c>
      <c r="X1967" s="1250">
        <v>7007.1994239999995</v>
      </c>
      <c r="Y1967" s="1250"/>
      <c r="Z1967" s="1250"/>
      <c r="AA1967" s="1250"/>
      <c r="AB1967" s="1250"/>
      <c r="AC1967" s="1250"/>
      <c r="AD1967" s="1250"/>
      <c r="AE1967" s="1249">
        <v>10</v>
      </c>
      <c r="AF1967" s="1250">
        <v>7007.1994239999995</v>
      </c>
      <c r="AG1967" s="111"/>
      <c r="AH1967" s="111"/>
      <c r="AI1967" s="111"/>
      <c r="AJ1967" s="111"/>
      <c r="AK1967" s="111"/>
      <c r="AL1967" s="111"/>
      <c r="AM1967" s="111">
        <v>21021.598271999999</v>
      </c>
    </row>
    <row r="1968" spans="1:39" ht="15" customHeight="1" x14ac:dyDescent="0.25">
      <c r="A1968" s="1409"/>
      <c r="B1968" s="1409"/>
      <c r="C1968" s="1409"/>
      <c r="D1968" s="1409"/>
      <c r="E1968" s="1286"/>
      <c r="F1968" s="1248"/>
      <c r="G1968" s="111"/>
      <c r="H1968" s="1249"/>
      <c r="I1968" s="111"/>
      <c r="J1968" s="111"/>
      <c r="K1968" s="111"/>
      <c r="L1968" s="111"/>
      <c r="M1968" s="111"/>
      <c r="N1968" s="111"/>
      <c r="O1968" s="111"/>
      <c r="P1968" s="111"/>
      <c r="Q1968" s="111"/>
      <c r="R1968" s="111"/>
      <c r="S1968" s="1249"/>
      <c r="T1968" s="1250"/>
      <c r="U1968" s="1250"/>
      <c r="V1968" s="1250"/>
      <c r="W1968" s="1251"/>
      <c r="X1968" s="1250"/>
      <c r="Y1968" s="1250"/>
      <c r="Z1968" s="1250"/>
      <c r="AA1968" s="1250"/>
      <c r="AB1968" s="1250"/>
      <c r="AC1968" s="1250"/>
      <c r="AD1968" s="1250"/>
      <c r="AE1968" s="1249"/>
      <c r="AF1968" s="1250"/>
      <c r="AG1968" s="111"/>
      <c r="AH1968" s="111"/>
      <c r="AI1968" s="111"/>
      <c r="AJ1968" s="111"/>
      <c r="AK1968" s="111"/>
      <c r="AL1968" s="111"/>
      <c r="AM1968" s="111"/>
    </row>
    <row r="1969" spans="1:39" ht="36" customHeight="1" x14ac:dyDescent="0.25">
      <c r="A1969" s="1409"/>
      <c r="B1969" s="1409"/>
      <c r="C1969" s="1409"/>
      <c r="D1969" s="1409"/>
      <c r="E1969" s="1204">
        <v>2700</v>
      </c>
      <c r="F1969" s="1274" t="s">
        <v>660</v>
      </c>
      <c r="G1969" s="1204"/>
      <c r="H1969" s="1204"/>
      <c r="I1969" s="1204"/>
      <c r="J1969" s="1204"/>
      <c r="K1969" s="1204"/>
      <c r="L1969" s="1204"/>
      <c r="M1969" s="1204"/>
      <c r="N1969" s="1204"/>
      <c r="O1969" s="1204"/>
      <c r="P1969" s="1204"/>
      <c r="Q1969" s="1204"/>
      <c r="R1969" s="1204"/>
      <c r="S1969" s="1204"/>
      <c r="T1969" s="1204"/>
      <c r="U1969" s="1204"/>
      <c r="V1969" s="1204"/>
      <c r="W1969" s="1204"/>
      <c r="X1969" s="1204"/>
      <c r="Y1969" s="1204"/>
      <c r="Z1969" s="1204"/>
      <c r="AA1969" s="1204"/>
      <c r="AB1969" s="1204"/>
      <c r="AC1969" s="1204"/>
      <c r="AD1969" s="1204"/>
      <c r="AE1969" s="1204"/>
      <c r="AF1969" s="1204"/>
      <c r="AG1969" s="1204"/>
      <c r="AH1969" s="1204"/>
      <c r="AI1969" s="1204"/>
      <c r="AJ1969" s="1204"/>
      <c r="AK1969" s="1204"/>
      <c r="AL1969" s="1204"/>
      <c r="AM1969" s="1204"/>
    </row>
    <row r="1970" spans="1:39" ht="15" customHeight="1" x14ac:dyDescent="0.25">
      <c r="A1970" s="1409"/>
      <c r="B1970" s="1409"/>
      <c r="C1970" s="1409"/>
      <c r="D1970" s="1409"/>
      <c r="E1970" s="1218">
        <v>271</v>
      </c>
      <c r="F1970" s="1268" t="s">
        <v>661</v>
      </c>
      <c r="G1970" s="1218"/>
      <c r="H1970" s="1218"/>
      <c r="I1970" s="1218"/>
      <c r="J1970" s="1218"/>
      <c r="K1970" s="1218"/>
      <c r="L1970" s="1218"/>
      <c r="M1970" s="1218"/>
      <c r="N1970" s="1218"/>
      <c r="O1970" s="1218"/>
      <c r="P1970" s="1218"/>
      <c r="Q1970" s="1218"/>
      <c r="R1970" s="1218"/>
      <c r="S1970" s="1218"/>
      <c r="T1970" s="1218"/>
      <c r="U1970" s="1218"/>
      <c r="V1970" s="1218"/>
      <c r="W1970" s="1218"/>
      <c r="X1970" s="1218"/>
      <c r="Y1970" s="1218"/>
      <c r="Z1970" s="1218"/>
      <c r="AA1970" s="1218"/>
      <c r="AB1970" s="1218"/>
      <c r="AC1970" s="1218"/>
      <c r="AD1970" s="1218"/>
      <c r="AE1970" s="1218"/>
      <c r="AF1970" s="1218"/>
      <c r="AG1970" s="1218"/>
      <c r="AH1970" s="1218"/>
      <c r="AI1970" s="1218"/>
      <c r="AJ1970" s="1218"/>
      <c r="AK1970" s="1218"/>
      <c r="AL1970" s="1218"/>
      <c r="AM1970" s="1218"/>
    </row>
    <row r="1971" spans="1:39" ht="15" customHeight="1" x14ac:dyDescent="0.25">
      <c r="A1971" s="1409"/>
      <c r="B1971" s="1409"/>
      <c r="C1971" s="1409"/>
      <c r="D1971" s="1409"/>
      <c r="E1971" s="1247"/>
      <c r="F1971" s="1248"/>
      <c r="G1971" s="111"/>
      <c r="H1971" s="1249"/>
      <c r="I1971" s="111"/>
      <c r="J1971" s="111"/>
      <c r="K1971" s="111"/>
      <c r="L1971" s="111"/>
      <c r="M1971" s="111"/>
      <c r="N1971" s="111"/>
      <c r="O1971" s="111"/>
      <c r="P1971" s="111"/>
      <c r="Q1971" s="111"/>
      <c r="R1971" s="111"/>
      <c r="S1971" s="1249"/>
      <c r="T1971" s="1250"/>
      <c r="U1971" s="1250"/>
      <c r="V1971" s="1250"/>
      <c r="W1971" s="1251"/>
      <c r="X1971" s="1250"/>
      <c r="Y1971" s="1250"/>
      <c r="Z1971" s="1250"/>
      <c r="AA1971" s="1250"/>
      <c r="AB1971" s="1250"/>
      <c r="AC1971" s="1250"/>
      <c r="AD1971" s="1250"/>
      <c r="AE1971" s="1249"/>
      <c r="AF1971" s="1250"/>
      <c r="AG1971" s="111"/>
      <c r="AH1971" s="111"/>
      <c r="AI1971" s="111"/>
      <c r="AJ1971" s="111"/>
      <c r="AK1971" s="111"/>
      <c r="AL1971" s="111"/>
      <c r="AM1971" s="111"/>
    </row>
    <row r="1972" spans="1:39" ht="15" customHeight="1" x14ac:dyDescent="0.25">
      <c r="A1972" s="1409"/>
      <c r="B1972" s="1409"/>
      <c r="C1972" s="1409"/>
      <c r="D1972" s="1409"/>
      <c r="E1972" s="1261">
        <v>27101</v>
      </c>
      <c r="F1972" s="1262" t="s">
        <v>152</v>
      </c>
      <c r="G1972" s="1261"/>
      <c r="H1972" s="1261"/>
      <c r="I1972" s="1261"/>
      <c r="J1972" s="1261"/>
      <c r="K1972" s="1261"/>
      <c r="L1972" s="1261"/>
      <c r="M1972" s="1261"/>
      <c r="N1972" s="1261"/>
      <c r="O1972" s="1261"/>
      <c r="P1972" s="1261"/>
      <c r="Q1972" s="1261"/>
      <c r="R1972" s="1261"/>
      <c r="S1972" s="1261"/>
      <c r="T1972" s="1261"/>
      <c r="U1972" s="1261"/>
      <c r="V1972" s="1261"/>
      <c r="W1972" s="1261"/>
      <c r="X1972" s="1261"/>
      <c r="Y1972" s="1261"/>
      <c r="Z1972" s="1261"/>
      <c r="AA1972" s="1261"/>
      <c r="AB1972" s="1261"/>
      <c r="AC1972" s="1261"/>
      <c r="AD1972" s="1261"/>
      <c r="AE1972" s="1261"/>
      <c r="AF1972" s="1261"/>
      <c r="AG1972" s="1261"/>
      <c r="AH1972" s="1261"/>
      <c r="AI1972" s="1261"/>
      <c r="AJ1972" s="1261"/>
      <c r="AK1972" s="1261"/>
      <c r="AL1972" s="1261"/>
      <c r="AM1972" s="1261"/>
    </row>
    <row r="1973" spans="1:39" ht="15" customHeight="1" x14ac:dyDescent="0.25">
      <c r="A1973" s="1409"/>
      <c r="B1973" s="1409"/>
      <c r="C1973" s="1409"/>
      <c r="D1973" s="1409"/>
      <c r="E1973" s="1286"/>
      <c r="F1973" s="1248" t="s">
        <v>5301</v>
      </c>
      <c r="G1973" s="111"/>
      <c r="H1973" s="1249">
        <v>4</v>
      </c>
      <c r="I1973" s="111" t="s">
        <v>1721</v>
      </c>
      <c r="J1973" s="1321" t="s">
        <v>5608</v>
      </c>
      <c r="K1973" s="162" t="s">
        <v>5610</v>
      </c>
      <c r="L1973" s="162" t="s">
        <v>5609</v>
      </c>
      <c r="M1973" s="111">
        <v>522</v>
      </c>
      <c r="N1973" s="111">
        <v>2088</v>
      </c>
      <c r="O1973" s="111"/>
      <c r="P1973" s="111"/>
      <c r="Q1973" s="111"/>
      <c r="R1973" s="111"/>
      <c r="S1973" s="1249">
        <v>2</v>
      </c>
      <c r="T1973" s="1250">
        <v>696</v>
      </c>
      <c r="U1973" s="1250"/>
      <c r="V1973" s="1250"/>
      <c r="W1973" s="1251">
        <v>1</v>
      </c>
      <c r="X1973" s="1250">
        <v>696</v>
      </c>
      <c r="Y1973" s="1250"/>
      <c r="Z1973" s="1250"/>
      <c r="AA1973" s="1250"/>
      <c r="AB1973" s="1250"/>
      <c r="AC1973" s="1250"/>
      <c r="AD1973" s="1250"/>
      <c r="AE1973" s="1249">
        <v>1</v>
      </c>
      <c r="AF1973" s="1250">
        <v>696</v>
      </c>
      <c r="AG1973" s="111"/>
      <c r="AH1973" s="111"/>
      <c r="AI1973" s="111"/>
      <c r="AJ1973" s="111"/>
      <c r="AK1973" s="111"/>
      <c r="AL1973" s="111"/>
      <c r="AM1973" s="111">
        <v>2088</v>
      </c>
    </row>
    <row r="1974" spans="1:39" ht="15" customHeight="1" x14ac:dyDescent="0.25">
      <c r="A1974" s="1409"/>
      <c r="B1974" s="1409"/>
      <c r="C1974" s="1409"/>
      <c r="D1974" s="1409"/>
      <c r="E1974" s="1286"/>
      <c r="F1974" s="1248"/>
      <c r="G1974" s="111"/>
      <c r="H1974" s="1249"/>
      <c r="I1974" s="111"/>
      <c r="J1974" s="111"/>
      <c r="K1974" s="111"/>
      <c r="L1974" s="111"/>
      <c r="M1974" s="111"/>
      <c r="N1974" s="111"/>
      <c r="O1974" s="111"/>
      <c r="P1974" s="111"/>
      <c r="Q1974" s="111"/>
      <c r="R1974" s="111"/>
      <c r="S1974" s="1249"/>
      <c r="T1974" s="1250"/>
      <c r="U1974" s="1250"/>
      <c r="V1974" s="1250"/>
      <c r="W1974" s="1251"/>
      <c r="X1974" s="1250"/>
      <c r="Y1974" s="1250"/>
      <c r="Z1974" s="1250"/>
      <c r="AA1974" s="1250"/>
      <c r="AB1974" s="1250"/>
      <c r="AC1974" s="1250"/>
      <c r="AD1974" s="1250"/>
      <c r="AE1974" s="1249"/>
      <c r="AF1974" s="1250"/>
      <c r="AG1974" s="111"/>
      <c r="AH1974" s="111"/>
      <c r="AI1974" s="111"/>
      <c r="AJ1974" s="111"/>
      <c r="AK1974" s="111"/>
      <c r="AL1974" s="111"/>
      <c r="AM1974" s="111"/>
    </row>
    <row r="1975" spans="1:39" ht="15" customHeight="1" x14ac:dyDescent="0.25">
      <c r="A1975" s="1409"/>
      <c r="B1975" s="1409"/>
      <c r="C1975" s="1409"/>
      <c r="D1975" s="1409"/>
      <c r="E1975" s="1261">
        <v>27102</v>
      </c>
      <c r="F1975" s="1262" t="s">
        <v>662</v>
      </c>
      <c r="G1975" s="1261"/>
      <c r="H1975" s="1261"/>
      <c r="I1975" s="1261"/>
      <c r="J1975" s="1261"/>
      <c r="K1975" s="1261"/>
      <c r="L1975" s="1261"/>
      <c r="M1975" s="1261"/>
      <c r="N1975" s="1261"/>
      <c r="O1975" s="1261"/>
      <c r="P1975" s="1261"/>
      <c r="Q1975" s="1261"/>
      <c r="R1975" s="1261"/>
      <c r="S1975" s="1261"/>
      <c r="T1975" s="1261"/>
      <c r="U1975" s="1261"/>
      <c r="V1975" s="1261"/>
      <c r="W1975" s="1261"/>
      <c r="X1975" s="1261"/>
      <c r="Y1975" s="1261"/>
      <c r="Z1975" s="1261"/>
      <c r="AA1975" s="1261"/>
      <c r="AB1975" s="1261"/>
      <c r="AC1975" s="1261"/>
      <c r="AD1975" s="1261"/>
      <c r="AE1975" s="1261"/>
      <c r="AF1975" s="1261"/>
      <c r="AG1975" s="1261"/>
      <c r="AH1975" s="1261"/>
      <c r="AI1975" s="1261"/>
      <c r="AJ1975" s="1261"/>
      <c r="AK1975" s="1261"/>
      <c r="AL1975" s="1261"/>
      <c r="AM1975" s="1261"/>
    </row>
    <row r="1976" spans="1:39" ht="15" customHeight="1" x14ac:dyDescent="0.25">
      <c r="A1976" s="1409"/>
      <c r="B1976" s="1409"/>
      <c r="C1976" s="1409"/>
      <c r="D1976" s="1409"/>
      <c r="E1976" s="1275"/>
      <c r="F1976" s="1287" t="s">
        <v>5302</v>
      </c>
      <c r="G1976" s="111"/>
      <c r="H1976" s="1249">
        <v>1</v>
      </c>
      <c r="I1976" s="111" t="s">
        <v>1776</v>
      </c>
      <c r="J1976" s="1321" t="s">
        <v>5608</v>
      </c>
      <c r="K1976" s="162" t="s">
        <v>5610</v>
      </c>
      <c r="L1976" s="162" t="s">
        <v>5609</v>
      </c>
      <c r="M1976" s="111">
        <v>2971.9199999999996</v>
      </c>
      <c r="N1976" s="111">
        <v>2971.9199999999996</v>
      </c>
      <c r="O1976" s="111"/>
      <c r="P1976" s="111"/>
      <c r="Q1976" s="111"/>
      <c r="R1976" s="111"/>
      <c r="S1976" s="1249">
        <v>1</v>
      </c>
      <c r="T1976" s="1250">
        <v>990.63999999999987</v>
      </c>
      <c r="U1976" s="1250"/>
      <c r="V1976" s="1250"/>
      <c r="W1976" s="1251">
        <v>0</v>
      </c>
      <c r="X1976" s="1250">
        <v>990.63999999999987</v>
      </c>
      <c r="Y1976" s="1250"/>
      <c r="Z1976" s="1250"/>
      <c r="AA1976" s="1250"/>
      <c r="AB1976" s="1250"/>
      <c r="AC1976" s="1250"/>
      <c r="AD1976" s="1250"/>
      <c r="AE1976" s="1249">
        <v>0</v>
      </c>
      <c r="AF1976" s="1250">
        <v>990.63999999999987</v>
      </c>
      <c r="AG1976" s="111"/>
      <c r="AH1976" s="111"/>
      <c r="AI1976" s="111"/>
      <c r="AJ1976" s="111"/>
      <c r="AK1976" s="111"/>
      <c r="AL1976" s="111"/>
      <c r="AM1976" s="111">
        <v>2971.9199999999996</v>
      </c>
    </row>
    <row r="1977" spans="1:39" ht="15" customHeight="1" x14ac:dyDescent="0.25">
      <c r="A1977" s="1409"/>
      <c r="B1977" s="1409"/>
      <c r="C1977" s="1409"/>
      <c r="D1977" s="1409"/>
      <c r="E1977" s="1288"/>
      <c r="F1977" s="1248"/>
      <c r="G1977" s="111"/>
      <c r="H1977" s="1249"/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249"/>
      <c r="T1977" s="1250"/>
      <c r="U1977" s="1250"/>
      <c r="V1977" s="1250"/>
      <c r="W1977" s="1251"/>
      <c r="X1977" s="1250"/>
      <c r="Y1977" s="1250"/>
      <c r="Z1977" s="1250"/>
      <c r="AA1977" s="1250"/>
      <c r="AB1977" s="1250"/>
      <c r="AC1977" s="1250"/>
      <c r="AD1977" s="1250"/>
      <c r="AE1977" s="1249"/>
      <c r="AF1977" s="1250"/>
      <c r="AG1977" s="111"/>
      <c r="AH1977" s="111"/>
      <c r="AI1977" s="111"/>
      <c r="AJ1977" s="111"/>
      <c r="AK1977" s="111"/>
      <c r="AL1977" s="111"/>
      <c r="AM1977" s="111"/>
    </row>
    <row r="1978" spans="1:39" ht="15" customHeight="1" x14ac:dyDescent="0.25">
      <c r="A1978" s="1409"/>
      <c r="B1978" s="1409"/>
      <c r="C1978" s="1409"/>
      <c r="D1978" s="1409"/>
      <c r="E1978" s="1261">
        <v>27106</v>
      </c>
      <c r="F1978" s="1248" t="s">
        <v>667</v>
      </c>
      <c r="G1978" s="111"/>
      <c r="H1978" s="1249"/>
      <c r="I1978" s="111"/>
      <c r="J1978" s="111"/>
      <c r="K1978" s="111"/>
      <c r="L1978" s="111"/>
      <c r="M1978" s="111"/>
      <c r="N1978" s="111"/>
      <c r="O1978" s="111"/>
      <c r="P1978" s="111"/>
      <c r="Q1978" s="111"/>
      <c r="R1978" s="111"/>
      <c r="S1978" s="1249"/>
      <c r="T1978" s="1250"/>
      <c r="U1978" s="1250"/>
      <c r="V1978" s="1250"/>
      <c r="W1978" s="1251"/>
      <c r="X1978" s="1250"/>
      <c r="Y1978" s="1250"/>
      <c r="Z1978" s="1250"/>
      <c r="AA1978" s="1250"/>
      <c r="AB1978" s="1250"/>
      <c r="AC1978" s="1250"/>
      <c r="AD1978" s="1250"/>
      <c r="AE1978" s="1249"/>
      <c r="AF1978" s="1250"/>
      <c r="AG1978" s="111"/>
      <c r="AH1978" s="111"/>
      <c r="AI1978" s="111"/>
      <c r="AJ1978" s="111"/>
      <c r="AK1978" s="111"/>
      <c r="AL1978" s="111"/>
      <c r="AM1978" s="111"/>
    </row>
    <row r="1979" spans="1:39" ht="15" customHeight="1" x14ac:dyDescent="0.25">
      <c r="A1979" s="1409"/>
      <c r="B1979" s="1409"/>
      <c r="C1979" s="1409"/>
      <c r="D1979" s="1409"/>
      <c r="E1979" s="1285"/>
      <c r="F1979" s="1248" t="s">
        <v>5303</v>
      </c>
      <c r="G1979" s="111"/>
      <c r="H1979" s="1249">
        <v>195</v>
      </c>
      <c r="I1979" s="111" t="s">
        <v>1721</v>
      </c>
      <c r="J1979" s="1321" t="s">
        <v>5608</v>
      </c>
      <c r="K1979" s="162" t="s">
        <v>5610</v>
      </c>
      <c r="L1979" s="162" t="s">
        <v>5609</v>
      </c>
      <c r="M1979" s="111">
        <v>320</v>
      </c>
      <c r="N1979" s="111">
        <v>62400</v>
      </c>
      <c r="O1979" s="111"/>
      <c r="P1979" s="111"/>
      <c r="Q1979" s="111"/>
      <c r="R1979" s="111"/>
      <c r="S1979" s="1249">
        <v>60</v>
      </c>
      <c r="T1979" s="1250">
        <v>20800</v>
      </c>
      <c r="U1979" s="1250"/>
      <c r="V1979" s="1250"/>
      <c r="W1979" s="1251">
        <v>60</v>
      </c>
      <c r="X1979" s="1250">
        <v>20800</v>
      </c>
      <c r="Y1979" s="1250"/>
      <c r="Z1979" s="1250"/>
      <c r="AA1979" s="1250"/>
      <c r="AB1979" s="1250"/>
      <c r="AC1979" s="1250"/>
      <c r="AD1979" s="1250"/>
      <c r="AE1979" s="1249">
        <v>75</v>
      </c>
      <c r="AF1979" s="1250">
        <v>20800</v>
      </c>
      <c r="AG1979" s="111"/>
      <c r="AH1979" s="111"/>
      <c r="AI1979" s="111"/>
      <c r="AJ1979" s="111"/>
      <c r="AK1979" s="111"/>
      <c r="AL1979" s="111"/>
      <c r="AM1979" s="111">
        <v>62400</v>
      </c>
    </row>
    <row r="1980" spans="1:39" ht="15" customHeight="1" x14ac:dyDescent="0.25">
      <c r="A1980" s="1409"/>
      <c r="B1980" s="1409"/>
      <c r="C1980" s="1409"/>
      <c r="D1980" s="1409"/>
      <c r="E1980" s="1285"/>
      <c r="F1980" s="1248" t="s">
        <v>3302</v>
      </c>
      <c r="G1980" s="111"/>
      <c r="H1980" s="1249">
        <v>1</v>
      </c>
      <c r="I1980" s="111" t="s">
        <v>1721</v>
      </c>
      <c r="J1980" s="1321" t="s">
        <v>5608</v>
      </c>
      <c r="K1980" s="162" t="s">
        <v>5610</v>
      </c>
      <c r="L1980" s="162" t="s">
        <v>5609</v>
      </c>
      <c r="M1980" s="111">
        <v>394.19978399999997</v>
      </c>
      <c r="N1980" s="111">
        <v>394.19978399999997</v>
      </c>
      <c r="O1980" s="111"/>
      <c r="P1980" s="111"/>
      <c r="Q1980" s="111"/>
      <c r="R1980" s="111"/>
      <c r="S1980" s="1249">
        <v>1</v>
      </c>
      <c r="T1980" s="1250">
        <v>131.39992799999999</v>
      </c>
      <c r="U1980" s="1250"/>
      <c r="V1980" s="1250"/>
      <c r="W1980" s="1251">
        <v>0</v>
      </c>
      <c r="X1980" s="1250">
        <v>131.39992799999999</v>
      </c>
      <c r="Y1980" s="1250"/>
      <c r="Z1980" s="1250"/>
      <c r="AA1980" s="1250"/>
      <c r="AB1980" s="1250"/>
      <c r="AC1980" s="1250"/>
      <c r="AD1980" s="1250"/>
      <c r="AE1980" s="1249">
        <v>0</v>
      </c>
      <c r="AF1980" s="1250">
        <v>131.39992799999999</v>
      </c>
      <c r="AG1980" s="111"/>
      <c r="AH1980" s="111"/>
      <c r="AI1980" s="111"/>
      <c r="AJ1980" s="111"/>
      <c r="AK1980" s="111"/>
      <c r="AL1980" s="111"/>
      <c r="AM1980" s="111">
        <v>394.19978399999997</v>
      </c>
    </row>
    <row r="1981" spans="1:39" ht="15" customHeight="1" x14ac:dyDescent="0.25">
      <c r="A1981" s="1409"/>
      <c r="B1981" s="1409"/>
      <c r="C1981" s="1409"/>
      <c r="D1981" s="1409"/>
      <c r="E1981" s="1285"/>
      <c r="F1981" s="1248" t="s">
        <v>3303</v>
      </c>
      <c r="G1981" s="111"/>
      <c r="H1981" s="1249">
        <v>1</v>
      </c>
      <c r="I1981" s="111" t="s">
        <v>1721</v>
      </c>
      <c r="J1981" s="1321" t="s">
        <v>5608</v>
      </c>
      <c r="K1981" s="162" t="s">
        <v>5610</v>
      </c>
      <c r="L1981" s="162" t="s">
        <v>5609</v>
      </c>
      <c r="M1981" s="111">
        <v>205.200288</v>
      </c>
      <c r="N1981" s="111">
        <v>205.200288</v>
      </c>
      <c r="O1981" s="111"/>
      <c r="P1981" s="111"/>
      <c r="Q1981" s="111"/>
      <c r="R1981" s="111"/>
      <c r="S1981" s="1249">
        <v>1</v>
      </c>
      <c r="T1981" s="1250">
        <v>68.400096000000005</v>
      </c>
      <c r="U1981" s="1250"/>
      <c r="V1981" s="1250"/>
      <c r="W1981" s="1251">
        <v>0</v>
      </c>
      <c r="X1981" s="1250">
        <v>68.400096000000005</v>
      </c>
      <c r="Y1981" s="1250"/>
      <c r="Z1981" s="1250"/>
      <c r="AA1981" s="1250"/>
      <c r="AB1981" s="1250"/>
      <c r="AC1981" s="1250"/>
      <c r="AD1981" s="1250"/>
      <c r="AE1981" s="1249">
        <v>0</v>
      </c>
      <c r="AF1981" s="1250">
        <v>68.400096000000005</v>
      </c>
      <c r="AG1981" s="111"/>
      <c r="AH1981" s="111"/>
      <c r="AI1981" s="111"/>
      <c r="AJ1981" s="111"/>
      <c r="AK1981" s="111"/>
      <c r="AL1981" s="111"/>
      <c r="AM1981" s="111">
        <v>205.200288</v>
      </c>
    </row>
    <row r="1982" spans="1:39" ht="15" customHeight="1" x14ac:dyDescent="0.25">
      <c r="A1982" s="1409"/>
      <c r="B1982" s="1409"/>
      <c r="C1982" s="1409"/>
      <c r="D1982" s="1409"/>
      <c r="E1982" s="1285"/>
      <c r="F1982" s="1248" t="s">
        <v>3304</v>
      </c>
      <c r="G1982" s="111"/>
      <c r="H1982" s="1249">
        <v>1</v>
      </c>
      <c r="I1982" s="111" t="s">
        <v>1721</v>
      </c>
      <c r="J1982" s="1321" t="s">
        <v>5608</v>
      </c>
      <c r="K1982" s="162" t="s">
        <v>5610</v>
      </c>
      <c r="L1982" s="162" t="s">
        <v>5609</v>
      </c>
      <c r="M1982" s="111">
        <v>900.6</v>
      </c>
      <c r="N1982" s="111">
        <v>900.6</v>
      </c>
      <c r="O1982" s="111"/>
      <c r="P1982" s="111"/>
      <c r="Q1982" s="111"/>
      <c r="R1982" s="111"/>
      <c r="S1982" s="1249">
        <v>1</v>
      </c>
      <c r="T1982" s="1250">
        <v>300.2</v>
      </c>
      <c r="U1982" s="1250"/>
      <c r="V1982" s="1250"/>
      <c r="W1982" s="1251">
        <v>0</v>
      </c>
      <c r="X1982" s="1250">
        <v>300.2</v>
      </c>
      <c r="Y1982" s="1250"/>
      <c r="Z1982" s="1250"/>
      <c r="AA1982" s="1250"/>
      <c r="AB1982" s="1250"/>
      <c r="AC1982" s="1250"/>
      <c r="AD1982" s="1250"/>
      <c r="AE1982" s="1249">
        <v>0</v>
      </c>
      <c r="AF1982" s="1250">
        <v>300.2</v>
      </c>
      <c r="AG1982" s="111"/>
      <c r="AH1982" s="111"/>
      <c r="AI1982" s="111"/>
      <c r="AJ1982" s="111"/>
      <c r="AK1982" s="111"/>
      <c r="AL1982" s="111"/>
      <c r="AM1982" s="111">
        <v>900.6</v>
      </c>
    </row>
    <row r="1983" spans="1:39" ht="15" customHeight="1" x14ac:dyDescent="0.25">
      <c r="A1983" s="1409"/>
      <c r="B1983" s="1409"/>
      <c r="C1983" s="1409"/>
      <c r="D1983" s="1409"/>
      <c r="E1983" s="1285"/>
      <c r="F1983" s="1248"/>
      <c r="G1983" s="111"/>
      <c r="H1983" s="1249"/>
      <c r="I1983" s="111"/>
      <c r="J1983" s="111"/>
      <c r="K1983" s="111"/>
      <c r="L1983" s="111"/>
      <c r="M1983" s="111"/>
      <c r="N1983" s="111"/>
      <c r="O1983" s="111"/>
      <c r="P1983" s="111"/>
      <c r="Q1983" s="111"/>
      <c r="R1983" s="111"/>
      <c r="S1983" s="1249"/>
      <c r="T1983" s="1250"/>
      <c r="U1983" s="1250"/>
      <c r="V1983" s="1250"/>
      <c r="W1983" s="1251"/>
      <c r="X1983" s="1250"/>
      <c r="Y1983" s="1250"/>
      <c r="Z1983" s="1250"/>
      <c r="AA1983" s="1250"/>
      <c r="AB1983" s="1250"/>
      <c r="AC1983" s="1250"/>
      <c r="AD1983" s="1250"/>
      <c r="AE1983" s="1249"/>
      <c r="AF1983" s="1250"/>
      <c r="AG1983" s="111"/>
      <c r="AH1983" s="111"/>
      <c r="AI1983" s="111"/>
      <c r="AJ1983" s="111"/>
      <c r="AK1983" s="111"/>
      <c r="AL1983" s="111"/>
      <c r="AM1983" s="111"/>
    </row>
    <row r="1984" spans="1:39" ht="15" customHeight="1" x14ac:dyDescent="0.25">
      <c r="A1984" s="1409"/>
      <c r="B1984" s="1409"/>
      <c r="C1984" s="1409"/>
      <c r="D1984" s="1409"/>
      <c r="E1984" s="1218">
        <v>272</v>
      </c>
      <c r="F1984" s="1268" t="s">
        <v>673</v>
      </c>
      <c r="G1984" s="1218"/>
      <c r="H1984" s="1218"/>
      <c r="I1984" s="1218"/>
      <c r="J1984" s="1218"/>
      <c r="K1984" s="1218"/>
      <c r="L1984" s="1218"/>
      <c r="M1984" s="1218"/>
      <c r="N1984" s="1218"/>
      <c r="O1984" s="1218"/>
      <c r="P1984" s="1218"/>
      <c r="Q1984" s="1218"/>
      <c r="R1984" s="1218"/>
      <c r="S1984" s="1218"/>
      <c r="T1984" s="1218"/>
      <c r="U1984" s="1218"/>
      <c r="V1984" s="1218"/>
      <c r="W1984" s="1218"/>
      <c r="X1984" s="1218"/>
      <c r="Y1984" s="1218"/>
      <c r="Z1984" s="1218"/>
      <c r="AA1984" s="1218"/>
      <c r="AB1984" s="1218"/>
      <c r="AC1984" s="1218"/>
      <c r="AD1984" s="1218"/>
      <c r="AE1984" s="1218"/>
      <c r="AF1984" s="1218"/>
      <c r="AG1984" s="1218"/>
      <c r="AH1984" s="1218"/>
      <c r="AI1984" s="1218"/>
      <c r="AJ1984" s="1218"/>
      <c r="AK1984" s="1218"/>
      <c r="AL1984" s="1218"/>
      <c r="AM1984" s="1218"/>
    </row>
    <row r="1985" spans="1:40" ht="15" customHeight="1" x14ac:dyDescent="0.25">
      <c r="A1985" s="1409"/>
      <c r="B1985" s="1409"/>
      <c r="C1985" s="1409"/>
      <c r="D1985" s="1409"/>
      <c r="E1985" s="1286"/>
      <c r="F1985" s="1248"/>
      <c r="G1985" s="111"/>
      <c r="H1985" s="1249"/>
      <c r="I1985" s="111"/>
      <c r="J1985" s="111"/>
      <c r="K1985" s="111"/>
      <c r="L1985" s="111"/>
      <c r="M1985" s="111"/>
      <c r="N1985" s="111"/>
      <c r="O1985" s="111"/>
      <c r="P1985" s="111"/>
      <c r="Q1985" s="111"/>
      <c r="R1985" s="111"/>
      <c r="S1985" s="1249"/>
      <c r="T1985" s="1250"/>
      <c r="U1985" s="1250"/>
      <c r="V1985" s="1250"/>
      <c r="W1985" s="1251"/>
      <c r="X1985" s="1250"/>
      <c r="Y1985" s="1250"/>
      <c r="Z1985" s="1250"/>
      <c r="AA1985" s="1250"/>
      <c r="AB1985" s="1250"/>
      <c r="AC1985" s="1250"/>
      <c r="AD1985" s="1250"/>
      <c r="AE1985" s="1249"/>
      <c r="AF1985" s="1250"/>
      <c r="AG1985" s="111"/>
      <c r="AH1985" s="111"/>
      <c r="AI1985" s="111"/>
      <c r="AJ1985" s="111"/>
      <c r="AK1985" s="111"/>
      <c r="AL1985" s="111"/>
      <c r="AM1985" s="111"/>
    </row>
    <row r="1986" spans="1:40" ht="15" customHeight="1" x14ac:dyDescent="0.25">
      <c r="A1986" s="1409"/>
      <c r="B1986" s="1409"/>
      <c r="C1986" s="1409"/>
      <c r="D1986" s="1409"/>
      <c r="E1986" s="1261">
        <v>27203</v>
      </c>
      <c r="F1986" s="1262" t="s">
        <v>676</v>
      </c>
      <c r="G1986" s="1261"/>
      <c r="H1986" s="1261"/>
      <c r="I1986" s="1261"/>
      <c r="J1986" s="1261"/>
      <c r="K1986" s="1261"/>
      <c r="L1986" s="1261"/>
      <c r="M1986" s="1261"/>
      <c r="N1986" s="1261"/>
      <c r="O1986" s="1261"/>
      <c r="P1986" s="1261"/>
      <c r="Q1986" s="1261"/>
      <c r="R1986" s="1261"/>
      <c r="S1986" s="1261"/>
      <c r="T1986" s="1261"/>
      <c r="U1986" s="1261"/>
      <c r="V1986" s="1261"/>
      <c r="W1986" s="1261"/>
      <c r="X1986" s="1261"/>
      <c r="Y1986" s="1261"/>
      <c r="Z1986" s="1261"/>
      <c r="AA1986" s="1261"/>
      <c r="AB1986" s="1261"/>
      <c r="AC1986" s="1261"/>
      <c r="AD1986" s="1261"/>
      <c r="AE1986" s="1261"/>
      <c r="AF1986" s="1261"/>
      <c r="AG1986" s="1261"/>
      <c r="AH1986" s="1261"/>
      <c r="AI1986" s="1261"/>
      <c r="AJ1986" s="1261"/>
      <c r="AK1986" s="1261"/>
      <c r="AL1986" s="1261"/>
      <c r="AM1986" s="1261"/>
      <c r="AN1986" s="1289"/>
    </row>
    <row r="1987" spans="1:40" ht="15" customHeight="1" x14ac:dyDescent="0.25">
      <c r="A1987" s="1409"/>
      <c r="B1987" s="1409"/>
      <c r="C1987" s="1409"/>
      <c r="D1987" s="1409"/>
      <c r="E1987" s="1286"/>
      <c r="F1987" s="1248" t="s">
        <v>5304</v>
      </c>
      <c r="G1987" s="111"/>
      <c r="H1987" s="1249">
        <v>2</v>
      </c>
      <c r="I1987" s="111" t="s">
        <v>1725</v>
      </c>
      <c r="J1987" s="1321" t="s">
        <v>5608</v>
      </c>
      <c r="K1987" s="162" t="s">
        <v>5610</v>
      </c>
      <c r="L1987" s="162" t="s">
        <v>5609</v>
      </c>
      <c r="M1987" s="111">
        <v>83</v>
      </c>
      <c r="N1987" s="111">
        <v>166</v>
      </c>
      <c r="O1987" s="111"/>
      <c r="P1987" s="111"/>
      <c r="Q1987" s="111"/>
      <c r="R1987" s="111"/>
      <c r="S1987" s="1249">
        <v>2</v>
      </c>
      <c r="T1987" s="1250">
        <v>55.333333333333336</v>
      </c>
      <c r="U1987" s="1250"/>
      <c r="V1987" s="1250"/>
      <c r="W1987" s="1251">
        <v>0</v>
      </c>
      <c r="X1987" s="1250">
        <v>55.333333333333336</v>
      </c>
      <c r="Y1987" s="1250"/>
      <c r="Z1987" s="1250"/>
      <c r="AA1987" s="1250"/>
      <c r="AB1987" s="1250"/>
      <c r="AC1987" s="1250"/>
      <c r="AD1987" s="1250"/>
      <c r="AE1987" s="1249">
        <v>0</v>
      </c>
      <c r="AF1987" s="1250">
        <v>55.333333333333336</v>
      </c>
      <c r="AG1987" s="111"/>
      <c r="AH1987" s="111"/>
      <c r="AI1987" s="111"/>
      <c r="AJ1987" s="111"/>
      <c r="AK1987" s="111"/>
      <c r="AL1987" s="111"/>
      <c r="AM1987" s="111">
        <v>166</v>
      </c>
    </row>
    <row r="1988" spans="1:40" ht="15" customHeight="1" x14ac:dyDescent="0.25">
      <c r="A1988" s="1409"/>
      <c r="B1988" s="1409"/>
      <c r="C1988" s="1409"/>
      <c r="D1988" s="1409"/>
      <c r="E1988" s="1286"/>
      <c r="F1988" s="1248" t="s">
        <v>5305</v>
      </c>
      <c r="G1988" s="111"/>
      <c r="H1988" s="1249">
        <v>15</v>
      </c>
      <c r="I1988" s="111" t="s">
        <v>1721</v>
      </c>
      <c r="J1988" s="1321" t="s">
        <v>5608</v>
      </c>
      <c r="K1988" s="162" t="s">
        <v>5610</v>
      </c>
      <c r="L1988" s="162" t="s">
        <v>5609</v>
      </c>
      <c r="M1988" s="111">
        <v>150</v>
      </c>
      <c r="N1988" s="111">
        <v>2250</v>
      </c>
      <c r="O1988" s="111"/>
      <c r="P1988" s="111"/>
      <c r="Q1988" s="111"/>
      <c r="R1988" s="111"/>
      <c r="S1988" s="1249">
        <v>5</v>
      </c>
      <c r="T1988" s="1250">
        <v>750</v>
      </c>
      <c r="U1988" s="1250"/>
      <c r="V1988" s="1250"/>
      <c r="W1988" s="1251">
        <v>5</v>
      </c>
      <c r="X1988" s="1250">
        <v>750</v>
      </c>
      <c r="Y1988" s="1250"/>
      <c r="Z1988" s="1250"/>
      <c r="AA1988" s="1250"/>
      <c r="AB1988" s="1250"/>
      <c r="AC1988" s="1250"/>
      <c r="AD1988" s="1250"/>
      <c r="AE1988" s="1249">
        <v>5</v>
      </c>
      <c r="AF1988" s="1250">
        <v>750</v>
      </c>
      <c r="AG1988" s="111"/>
      <c r="AH1988" s="111"/>
      <c r="AI1988" s="111"/>
      <c r="AJ1988" s="111"/>
      <c r="AK1988" s="111"/>
      <c r="AL1988" s="111"/>
      <c r="AM1988" s="111">
        <v>2250</v>
      </c>
    </row>
    <row r="1989" spans="1:40" ht="15" customHeight="1" x14ac:dyDescent="0.25">
      <c r="A1989" s="1409"/>
      <c r="B1989" s="1409"/>
      <c r="C1989" s="1409"/>
      <c r="D1989" s="1409"/>
      <c r="E1989" s="1286"/>
      <c r="F1989" s="1248" t="s">
        <v>5306</v>
      </c>
      <c r="G1989" s="111"/>
      <c r="H1989" s="1249">
        <v>15</v>
      </c>
      <c r="I1989" s="111" t="s">
        <v>1721</v>
      </c>
      <c r="J1989" s="1321" t="s">
        <v>5608</v>
      </c>
      <c r="K1989" s="162" t="s">
        <v>5610</v>
      </c>
      <c r="L1989" s="162" t="s">
        <v>5609</v>
      </c>
      <c r="M1989" s="111">
        <v>350</v>
      </c>
      <c r="N1989" s="111">
        <v>5250</v>
      </c>
      <c r="O1989" s="111"/>
      <c r="P1989" s="111"/>
      <c r="Q1989" s="111"/>
      <c r="R1989" s="111"/>
      <c r="S1989" s="1249">
        <v>5</v>
      </c>
      <c r="T1989" s="1250">
        <v>1750</v>
      </c>
      <c r="U1989" s="1250"/>
      <c r="V1989" s="1250"/>
      <c r="W1989" s="1251">
        <v>5</v>
      </c>
      <c r="X1989" s="1250">
        <v>1750</v>
      </c>
      <c r="Y1989" s="1250"/>
      <c r="Z1989" s="1250"/>
      <c r="AA1989" s="1250"/>
      <c r="AB1989" s="1250"/>
      <c r="AC1989" s="1250"/>
      <c r="AD1989" s="1250"/>
      <c r="AE1989" s="1249">
        <v>5</v>
      </c>
      <c r="AF1989" s="1250">
        <v>1750</v>
      </c>
      <c r="AG1989" s="111"/>
      <c r="AH1989" s="111"/>
      <c r="AI1989" s="111"/>
      <c r="AJ1989" s="111"/>
      <c r="AK1989" s="111"/>
      <c r="AL1989" s="111"/>
      <c r="AM1989" s="111">
        <v>5250</v>
      </c>
    </row>
    <row r="1990" spans="1:40" ht="15" customHeight="1" x14ac:dyDescent="0.25">
      <c r="A1990" s="1409"/>
      <c r="B1990" s="1409"/>
      <c r="C1990" s="1409"/>
      <c r="D1990" s="1409"/>
      <c r="E1990" s="1286"/>
      <c r="F1990" s="1248" t="s">
        <v>5307</v>
      </c>
      <c r="G1990" s="111"/>
      <c r="H1990" s="1249">
        <v>15</v>
      </c>
      <c r="I1990" s="111" t="s">
        <v>1721</v>
      </c>
      <c r="J1990" s="1321" t="s">
        <v>5608</v>
      </c>
      <c r="K1990" s="162" t="s">
        <v>5610</v>
      </c>
      <c r="L1990" s="162" t="s">
        <v>5609</v>
      </c>
      <c r="M1990" s="111">
        <v>250</v>
      </c>
      <c r="N1990" s="111">
        <v>3750</v>
      </c>
      <c r="O1990" s="111"/>
      <c r="P1990" s="111"/>
      <c r="Q1990" s="111"/>
      <c r="R1990" s="111"/>
      <c r="S1990" s="1249">
        <v>5</v>
      </c>
      <c r="T1990" s="1250">
        <v>1250</v>
      </c>
      <c r="U1990" s="1250"/>
      <c r="V1990" s="1250"/>
      <c r="W1990" s="1251">
        <v>5</v>
      </c>
      <c r="X1990" s="1250">
        <v>1250</v>
      </c>
      <c r="Y1990" s="1250"/>
      <c r="Z1990" s="1250"/>
      <c r="AA1990" s="1250"/>
      <c r="AB1990" s="1250"/>
      <c r="AC1990" s="1250"/>
      <c r="AD1990" s="1250"/>
      <c r="AE1990" s="1249">
        <v>5</v>
      </c>
      <c r="AF1990" s="1250">
        <v>1250</v>
      </c>
      <c r="AG1990" s="111"/>
      <c r="AH1990" s="111"/>
      <c r="AI1990" s="111"/>
      <c r="AJ1990" s="111"/>
      <c r="AK1990" s="111"/>
      <c r="AL1990" s="111"/>
      <c r="AM1990" s="111">
        <v>3750</v>
      </c>
    </row>
    <row r="1991" spans="1:40" ht="15" customHeight="1" x14ac:dyDescent="0.25">
      <c r="A1991" s="1409"/>
      <c r="B1991" s="1409"/>
      <c r="C1991" s="1409"/>
      <c r="D1991" s="1409"/>
      <c r="E1991" s="1286"/>
      <c r="F1991" s="1248" t="s">
        <v>5308</v>
      </c>
      <c r="G1991" s="111"/>
      <c r="H1991" s="1249">
        <v>1</v>
      </c>
      <c r="I1991" s="111" t="s">
        <v>1721</v>
      </c>
      <c r="J1991" s="1321" t="s">
        <v>5608</v>
      </c>
      <c r="K1991" s="162" t="s">
        <v>5610</v>
      </c>
      <c r="L1991" s="162" t="s">
        <v>5609</v>
      </c>
      <c r="M1991" s="111">
        <v>1743.27</v>
      </c>
      <c r="N1991" s="111">
        <v>1743.27</v>
      </c>
      <c r="O1991" s="111"/>
      <c r="P1991" s="111"/>
      <c r="Q1991" s="111"/>
      <c r="R1991" s="111"/>
      <c r="S1991" s="1249">
        <v>1</v>
      </c>
      <c r="T1991" s="1250">
        <v>581.09</v>
      </c>
      <c r="U1991" s="1250"/>
      <c r="V1991" s="1250"/>
      <c r="W1991" s="1251">
        <v>0</v>
      </c>
      <c r="X1991" s="1250">
        <v>581.09</v>
      </c>
      <c r="Y1991" s="1250"/>
      <c r="Z1991" s="1250"/>
      <c r="AA1991" s="1250"/>
      <c r="AB1991" s="1250"/>
      <c r="AC1991" s="1250"/>
      <c r="AD1991" s="1250"/>
      <c r="AE1991" s="1249">
        <v>0</v>
      </c>
      <c r="AF1991" s="1250">
        <v>581.09</v>
      </c>
      <c r="AG1991" s="111"/>
      <c r="AH1991" s="111"/>
      <c r="AI1991" s="111"/>
      <c r="AJ1991" s="111"/>
      <c r="AK1991" s="111"/>
      <c r="AL1991" s="111"/>
      <c r="AM1991" s="111">
        <v>1743.27</v>
      </c>
    </row>
    <row r="1992" spans="1:40" ht="15" customHeight="1" x14ac:dyDescent="0.25">
      <c r="A1992" s="1409"/>
      <c r="B1992" s="1409"/>
      <c r="C1992" s="1409"/>
      <c r="D1992" s="1409"/>
      <c r="E1992" s="1286"/>
      <c r="F1992" s="1248" t="s">
        <v>5309</v>
      </c>
      <c r="G1992" s="111"/>
      <c r="H1992" s="1249">
        <v>20</v>
      </c>
      <c r="I1992" s="111" t="s">
        <v>1721</v>
      </c>
      <c r="J1992" s="1321" t="s">
        <v>5608</v>
      </c>
      <c r="K1992" s="162" t="s">
        <v>5610</v>
      </c>
      <c r="L1992" s="162" t="s">
        <v>5609</v>
      </c>
      <c r="M1992" s="111">
        <v>68.900000000000006</v>
      </c>
      <c r="N1992" s="111">
        <v>1378</v>
      </c>
      <c r="O1992" s="111"/>
      <c r="P1992" s="111"/>
      <c r="Q1992" s="111"/>
      <c r="R1992" s="111"/>
      <c r="S1992" s="1249">
        <v>10</v>
      </c>
      <c r="T1992" s="1250">
        <v>459.33333333333331</v>
      </c>
      <c r="U1992" s="1250"/>
      <c r="V1992" s="1250"/>
      <c r="W1992" s="1251">
        <v>5</v>
      </c>
      <c r="X1992" s="1250">
        <v>459.33333333333331</v>
      </c>
      <c r="Y1992" s="1250"/>
      <c r="Z1992" s="1250"/>
      <c r="AA1992" s="1250"/>
      <c r="AB1992" s="1250"/>
      <c r="AC1992" s="1250"/>
      <c r="AD1992" s="1250"/>
      <c r="AE1992" s="1249">
        <v>5</v>
      </c>
      <c r="AF1992" s="1250">
        <v>459.33333333333331</v>
      </c>
      <c r="AG1992" s="111"/>
      <c r="AH1992" s="111"/>
      <c r="AI1992" s="111"/>
      <c r="AJ1992" s="111"/>
      <c r="AK1992" s="111"/>
      <c r="AL1992" s="111"/>
      <c r="AM1992" s="111">
        <v>1378</v>
      </c>
    </row>
    <row r="1993" spans="1:40" ht="15" customHeight="1" x14ac:dyDescent="0.25">
      <c r="A1993" s="1409"/>
      <c r="B1993" s="1409"/>
      <c r="C1993" s="1409"/>
      <c r="D1993" s="1409"/>
      <c r="E1993" s="1286"/>
      <c r="F1993" s="1248" t="s">
        <v>1299</v>
      </c>
      <c r="G1993" s="111"/>
      <c r="H1993" s="1249">
        <v>20</v>
      </c>
      <c r="I1993" s="111" t="s">
        <v>2248</v>
      </c>
      <c r="J1993" s="1321" t="s">
        <v>5608</v>
      </c>
      <c r="K1993" s="162" t="s">
        <v>5610</v>
      </c>
      <c r="L1993" s="162" t="s">
        <v>5609</v>
      </c>
      <c r="M1993" s="111">
        <v>296.29000000000002</v>
      </c>
      <c r="N1993" s="111">
        <v>5925.8</v>
      </c>
      <c r="O1993" s="111"/>
      <c r="P1993" s="111"/>
      <c r="Q1993" s="111"/>
      <c r="R1993" s="111"/>
      <c r="S1993" s="1249">
        <v>10</v>
      </c>
      <c r="T1993" s="1250">
        <v>1975.2666666666667</v>
      </c>
      <c r="U1993" s="1250"/>
      <c r="V1993" s="1250"/>
      <c r="W1993" s="1251">
        <v>5</v>
      </c>
      <c r="X1993" s="1250">
        <v>1975.2666666666667</v>
      </c>
      <c r="Y1993" s="1250"/>
      <c r="Z1993" s="1250"/>
      <c r="AA1993" s="1250"/>
      <c r="AB1993" s="1250"/>
      <c r="AC1993" s="1250"/>
      <c r="AD1993" s="1250"/>
      <c r="AE1993" s="1249">
        <v>5</v>
      </c>
      <c r="AF1993" s="1250">
        <v>1975.2666666666667</v>
      </c>
      <c r="AG1993" s="111"/>
      <c r="AH1993" s="111"/>
      <c r="AI1993" s="111"/>
      <c r="AJ1993" s="111"/>
      <c r="AK1993" s="111"/>
      <c r="AL1993" s="111"/>
      <c r="AM1993" s="111">
        <v>5925.8</v>
      </c>
    </row>
    <row r="1994" spans="1:40" ht="15" customHeight="1" x14ac:dyDescent="0.25">
      <c r="A1994" s="1409"/>
      <c r="B1994" s="1409"/>
      <c r="C1994" s="1409"/>
      <c r="D1994" s="1409"/>
      <c r="E1994" s="1286"/>
      <c r="F1994" s="1248"/>
      <c r="G1994" s="111"/>
      <c r="H1994" s="1249"/>
      <c r="I1994" s="111"/>
      <c r="J1994" s="1321" t="s">
        <v>5608</v>
      </c>
      <c r="K1994" s="111"/>
      <c r="L1994" s="111"/>
      <c r="M1994" s="111"/>
      <c r="N1994" s="111"/>
      <c r="O1994" s="111"/>
      <c r="P1994" s="111"/>
      <c r="Q1994" s="111"/>
      <c r="R1994" s="111"/>
      <c r="S1994" s="1249"/>
      <c r="T1994" s="1250"/>
      <c r="U1994" s="1250"/>
      <c r="V1994" s="1250"/>
      <c r="W1994" s="1251"/>
      <c r="X1994" s="1250"/>
      <c r="Y1994" s="1250"/>
      <c r="Z1994" s="1250"/>
      <c r="AA1994" s="1250"/>
      <c r="AB1994" s="1250"/>
      <c r="AC1994" s="1250"/>
      <c r="AD1994" s="1250"/>
      <c r="AE1994" s="1249"/>
      <c r="AF1994" s="1250"/>
      <c r="AG1994" s="111"/>
      <c r="AH1994" s="111"/>
      <c r="AI1994" s="111"/>
      <c r="AJ1994" s="111"/>
      <c r="AK1994" s="111"/>
      <c r="AL1994" s="111"/>
      <c r="AM1994" s="111"/>
    </row>
    <row r="1995" spans="1:40" ht="15" customHeight="1" x14ac:dyDescent="0.25">
      <c r="A1995" s="1409"/>
      <c r="B1995" s="1409"/>
      <c r="C1995" s="1409"/>
      <c r="D1995" s="1409"/>
      <c r="E1995" s="1261">
        <v>27206</v>
      </c>
      <c r="F1995" s="1262" t="s">
        <v>679</v>
      </c>
      <c r="G1995" s="1261"/>
      <c r="H1995" s="1261"/>
      <c r="I1995" s="1261"/>
      <c r="J1995" s="1261"/>
      <c r="K1995" s="1261"/>
      <c r="L1995" s="1261"/>
      <c r="M1995" s="1261"/>
      <c r="N1995" s="1261"/>
      <c r="O1995" s="1261"/>
      <c r="P1995" s="1261"/>
      <c r="Q1995" s="1261"/>
      <c r="R1995" s="1261"/>
      <c r="S1995" s="1261"/>
      <c r="T1995" s="1261"/>
      <c r="U1995" s="1261"/>
      <c r="V1995" s="1261"/>
      <c r="W1995" s="1261"/>
      <c r="X1995" s="1261"/>
      <c r="Y1995" s="1261"/>
      <c r="Z1995" s="1261"/>
      <c r="AA1995" s="1261"/>
      <c r="AB1995" s="1261"/>
      <c r="AC1995" s="1261"/>
      <c r="AD1995" s="1261"/>
      <c r="AE1995" s="1261"/>
      <c r="AF1995" s="1261"/>
      <c r="AG1995" s="1261"/>
      <c r="AH1995" s="1261"/>
      <c r="AI1995" s="1261"/>
      <c r="AJ1995" s="1261"/>
      <c r="AK1995" s="1261"/>
      <c r="AL1995" s="1261"/>
      <c r="AM1995" s="1261"/>
    </row>
    <row r="1996" spans="1:40" ht="15" customHeight="1" x14ac:dyDescent="0.25">
      <c r="A1996" s="1409"/>
      <c r="B1996" s="1409"/>
      <c r="C1996" s="1409"/>
      <c r="D1996" s="1409"/>
      <c r="E1996" s="1286"/>
      <c r="F1996" s="1248" t="s">
        <v>5310</v>
      </c>
      <c r="G1996" s="111"/>
      <c r="H1996" s="1249">
        <v>65</v>
      </c>
      <c r="I1996" s="111" t="s">
        <v>1721</v>
      </c>
      <c r="J1996" s="1321" t="s">
        <v>5608</v>
      </c>
      <c r="K1996" s="162" t="s">
        <v>5610</v>
      </c>
      <c r="L1996" s="162" t="s">
        <v>5609</v>
      </c>
      <c r="M1996" s="111">
        <v>1000</v>
      </c>
      <c r="N1996" s="111">
        <v>65000</v>
      </c>
      <c r="O1996" s="111"/>
      <c r="P1996" s="111"/>
      <c r="Q1996" s="111"/>
      <c r="R1996" s="111"/>
      <c r="S1996" s="1249">
        <v>25</v>
      </c>
      <c r="T1996" s="1250">
        <v>21666.666666666668</v>
      </c>
      <c r="U1996" s="1250"/>
      <c r="V1996" s="1250"/>
      <c r="W1996" s="1251">
        <v>25</v>
      </c>
      <c r="X1996" s="1250">
        <v>21666.666666666668</v>
      </c>
      <c r="Y1996" s="1250"/>
      <c r="Z1996" s="1250"/>
      <c r="AA1996" s="1250"/>
      <c r="AB1996" s="1250"/>
      <c r="AC1996" s="1250"/>
      <c r="AD1996" s="1250"/>
      <c r="AE1996" s="1249">
        <v>15</v>
      </c>
      <c r="AF1996" s="1250">
        <v>21666.666666666668</v>
      </c>
      <c r="AG1996" s="111"/>
      <c r="AH1996" s="111"/>
      <c r="AI1996" s="111"/>
      <c r="AJ1996" s="111"/>
      <c r="AK1996" s="111"/>
      <c r="AL1996" s="111"/>
      <c r="AM1996" s="111">
        <v>65000</v>
      </c>
    </row>
    <row r="1997" spans="1:40" ht="15" customHeight="1" x14ac:dyDescent="0.25">
      <c r="A1997" s="1409"/>
      <c r="B1997" s="1409"/>
      <c r="C1997" s="1409"/>
      <c r="D1997" s="1409"/>
      <c r="E1997" s="1286"/>
      <c r="F1997" s="1248"/>
      <c r="G1997" s="111"/>
      <c r="H1997" s="1249"/>
      <c r="I1997" s="111"/>
      <c r="J1997" s="111"/>
      <c r="K1997" s="111"/>
      <c r="L1997" s="111"/>
      <c r="M1997" s="111"/>
      <c r="N1997" s="111"/>
      <c r="O1997" s="111"/>
      <c r="P1997" s="111"/>
      <c r="Q1997" s="111"/>
      <c r="R1997" s="111"/>
      <c r="S1997" s="1249"/>
      <c r="T1997" s="1250"/>
      <c r="U1997" s="1250"/>
      <c r="V1997" s="1250"/>
      <c r="W1997" s="1251"/>
      <c r="X1997" s="1250"/>
      <c r="Y1997" s="1250"/>
      <c r="Z1997" s="1250"/>
      <c r="AA1997" s="1250"/>
      <c r="AB1997" s="1250"/>
      <c r="AC1997" s="1250"/>
      <c r="AD1997" s="1250"/>
      <c r="AE1997" s="1249"/>
      <c r="AF1997" s="1250"/>
      <c r="AG1997" s="111"/>
      <c r="AH1997" s="111"/>
      <c r="AI1997" s="111"/>
      <c r="AJ1997" s="111"/>
      <c r="AK1997" s="111"/>
      <c r="AL1997" s="111"/>
      <c r="AM1997" s="111"/>
    </row>
    <row r="1998" spans="1:40" ht="15" customHeight="1" x14ac:dyDescent="0.25">
      <c r="A1998" s="1409"/>
      <c r="B1998" s="1409"/>
      <c r="C1998" s="1409"/>
      <c r="D1998" s="1409"/>
      <c r="E1998" s="1218">
        <v>274</v>
      </c>
      <c r="F1998" s="1268" t="s">
        <v>685</v>
      </c>
      <c r="G1998" s="1218"/>
      <c r="H1998" s="1218"/>
      <c r="I1998" s="1218"/>
      <c r="J1998" s="1218"/>
      <c r="K1998" s="1218"/>
      <c r="L1998" s="1218"/>
      <c r="M1998" s="1218"/>
      <c r="N1998" s="1218"/>
      <c r="O1998" s="1218"/>
      <c r="P1998" s="1218"/>
      <c r="Q1998" s="1218"/>
      <c r="R1998" s="1218"/>
      <c r="S1998" s="1218"/>
      <c r="T1998" s="1218"/>
      <c r="U1998" s="1218"/>
      <c r="V1998" s="1218"/>
      <c r="W1998" s="1218"/>
      <c r="X1998" s="1218"/>
      <c r="Y1998" s="1218"/>
      <c r="Z1998" s="1218"/>
      <c r="AA1998" s="1218"/>
      <c r="AB1998" s="1218"/>
      <c r="AC1998" s="1218"/>
      <c r="AD1998" s="1218"/>
      <c r="AE1998" s="1218"/>
      <c r="AF1998" s="1218"/>
      <c r="AG1998" s="1218"/>
      <c r="AH1998" s="1218"/>
      <c r="AI1998" s="1218"/>
      <c r="AJ1998" s="1218"/>
      <c r="AK1998" s="1218"/>
      <c r="AL1998" s="1218"/>
      <c r="AM1998" s="1218"/>
    </row>
    <row r="1999" spans="1:40" ht="15" customHeight="1" x14ac:dyDescent="0.25">
      <c r="A1999" s="1409"/>
      <c r="B1999" s="1409"/>
      <c r="C1999" s="1409"/>
      <c r="D1999" s="1409"/>
      <c r="E1999" s="1247"/>
      <c r="F1999" s="1248"/>
      <c r="G1999" s="111"/>
      <c r="H1999" s="1249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249"/>
      <c r="T1999" s="1250"/>
      <c r="U1999" s="1250"/>
      <c r="V1999" s="1250"/>
      <c r="W1999" s="1251"/>
      <c r="X1999" s="1250"/>
      <c r="Y1999" s="1250"/>
      <c r="Z1999" s="1250"/>
      <c r="AA1999" s="1250"/>
      <c r="AB1999" s="1250"/>
      <c r="AC1999" s="1250"/>
      <c r="AD1999" s="1250"/>
      <c r="AE1999" s="1249"/>
      <c r="AF1999" s="1250"/>
      <c r="AG1999" s="111"/>
      <c r="AH1999" s="111"/>
      <c r="AI1999" s="111"/>
      <c r="AJ1999" s="111"/>
      <c r="AK1999" s="111"/>
      <c r="AL1999" s="111"/>
      <c r="AM1999" s="111"/>
    </row>
    <row r="2000" spans="1:40" ht="15" customHeight="1" x14ac:dyDescent="0.25">
      <c r="A2000" s="1409"/>
      <c r="B2000" s="1409"/>
      <c r="C2000" s="1409"/>
      <c r="D2000" s="1409"/>
      <c r="E2000" s="1261">
        <v>27401</v>
      </c>
      <c r="F2000" s="1262" t="s">
        <v>685</v>
      </c>
      <c r="G2000" s="1261"/>
      <c r="H2000" s="1261"/>
      <c r="I2000" s="1261"/>
      <c r="J2000" s="1261"/>
      <c r="K2000" s="1261"/>
      <c r="L2000" s="1261"/>
      <c r="M2000" s="1261"/>
      <c r="N2000" s="1261"/>
      <c r="O2000" s="1261"/>
      <c r="P2000" s="1261"/>
      <c r="Q2000" s="1261"/>
      <c r="R2000" s="1261"/>
      <c r="S2000" s="1261"/>
      <c r="T2000" s="1261"/>
      <c r="U2000" s="1261"/>
      <c r="V2000" s="1261"/>
      <c r="W2000" s="1261"/>
      <c r="X2000" s="1261"/>
      <c r="Y2000" s="1261"/>
      <c r="Z2000" s="1261"/>
      <c r="AA2000" s="1261"/>
      <c r="AB2000" s="1261"/>
      <c r="AC2000" s="1261"/>
      <c r="AD2000" s="1261"/>
      <c r="AE2000" s="1261"/>
      <c r="AF2000" s="1261"/>
      <c r="AG2000" s="1261"/>
      <c r="AH2000" s="1261"/>
      <c r="AI2000" s="1261"/>
      <c r="AJ2000" s="1261"/>
      <c r="AK2000" s="1261"/>
      <c r="AL2000" s="1261"/>
      <c r="AM2000" s="1261"/>
    </row>
    <row r="2001" spans="1:39" ht="15" customHeight="1" x14ac:dyDescent="0.25">
      <c r="A2001" s="1409"/>
      <c r="B2001" s="1409"/>
      <c r="C2001" s="1409"/>
      <c r="D2001" s="1409"/>
      <c r="E2001" s="1247"/>
      <c r="F2001" s="1248" t="s">
        <v>5311</v>
      </c>
      <c r="G2001" s="111"/>
      <c r="H2001" s="1249">
        <v>22</v>
      </c>
      <c r="I2001" s="111" t="s">
        <v>1734</v>
      </c>
      <c r="J2001" s="1321" t="s">
        <v>5608</v>
      </c>
      <c r="K2001" s="162" t="s">
        <v>5610</v>
      </c>
      <c r="L2001" s="162" t="s">
        <v>5609</v>
      </c>
      <c r="M2001" s="111">
        <v>18.89</v>
      </c>
      <c r="N2001" s="111">
        <v>415.58000000000004</v>
      </c>
      <c r="O2001" s="111"/>
      <c r="P2001" s="111"/>
      <c r="Q2001" s="111"/>
      <c r="R2001" s="111"/>
      <c r="S2001" s="1249">
        <v>12</v>
      </c>
      <c r="T2001" s="1250">
        <v>138.52666666666667</v>
      </c>
      <c r="U2001" s="1250"/>
      <c r="V2001" s="1250"/>
      <c r="W2001" s="1251">
        <v>5</v>
      </c>
      <c r="X2001" s="1250">
        <v>138.52666666666667</v>
      </c>
      <c r="Y2001" s="1250"/>
      <c r="Z2001" s="1250"/>
      <c r="AA2001" s="1250"/>
      <c r="AB2001" s="1250"/>
      <c r="AC2001" s="1250"/>
      <c r="AD2001" s="1250"/>
      <c r="AE2001" s="1249">
        <v>5</v>
      </c>
      <c r="AF2001" s="1250">
        <v>138.52666666666667</v>
      </c>
      <c r="AG2001" s="111"/>
      <c r="AH2001" s="111"/>
      <c r="AI2001" s="111"/>
      <c r="AJ2001" s="111"/>
      <c r="AK2001" s="111"/>
      <c r="AL2001" s="111"/>
      <c r="AM2001" s="111">
        <v>415.58000000000004</v>
      </c>
    </row>
    <row r="2002" spans="1:39" ht="15" customHeight="1" x14ac:dyDescent="0.25">
      <c r="A2002" s="1409"/>
      <c r="B2002" s="1409"/>
      <c r="C2002" s="1409"/>
      <c r="D2002" s="1409"/>
      <c r="E2002" s="1247"/>
      <c r="F2002" s="1248" t="s">
        <v>5312</v>
      </c>
      <c r="G2002" s="111"/>
      <c r="H2002" s="1249">
        <v>100</v>
      </c>
      <c r="I2002" s="111" t="s">
        <v>1826</v>
      </c>
      <c r="J2002" s="1321" t="s">
        <v>5608</v>
      </c>
      <c r="K2002" s="162" t="s">
        <v>5610</v>
      </c>
      <c r="L2002" s="162" t="s">
        <v>5609</v>
      </c>
      <c r="M2002" s="111">
        <v>40.599999999999994</v>
      </c>
      <c r="N2002" s="111">
        <v>4059.9999999999995</v>
      </c>
      <c r="O2002" s="111"/>
      <c r="P2002" s="111"/>
      <c r="Q2002" s="111"/>
      <c r="R2002" s="111"/>
      <c r="S2002" s="1249">
        <v>40</v>
      </c>
      <c r="T2002" s="1250">
        <v>1353.3333333333333</v>
      </c>
      <c r="U2002" s="1250"/>
      <c r="V2002" s="1250"/>
      <c r="W2002" s="1251">
        <v>40</v>
      </c>
      <c r="X2002" s="1250">
        <v>1353.3333333333333</v>
      </c>
      <c r="Y2002" s="1250"/>
      <c r="Z2002" s="1250"/>
      <c r="AA2002" s="1250"/>
      <c r="AB2002" s="1250"/>
      <c r="AC2002" s="1250"/>
      <c r="AD2002" s="1250"/>
      <c r="AE2002" s="1249">
        <v>20</v>
      </c>
      <c r="AF2002" s="1250">
        <v>1353.3333333333333</v>
      </c>
      <c r="AG2002" s="111"/>
      <c r="AH2002" s="111"/>
      <c r="AI2002" s="111"/>
      <c r="AJ2002" s="111"/>
      <c r="AK2002" s="111"/>
      <c r="AL2002" s="111"/>
      <c r="AM2002" s="111">
        <v>4059.9999999999995</v>
      </c>
    </row>
    <row r="2003" spans="1:39" ht="15" customHeight="1" x14ac:dyDescent="0.25">
      <c r="A2003" s="1409"/>
      <c r="B2003" s="1409"/>
      <c r="C2003" s="1409"/>
      <c r="D2003" s="1409"/>
      <c r="E2003" s="1247"/>
      <c r="F2003" s="1248"/>
      <c r="G2003" s="111"/>
      <c r="H2003" s="1249"/>
      <c r="I2003" s="111"/>
      <c r="J2003" s="111"/>
      <c r="K2003" s="111"/>
      <c r="L2003" s="111"/>
      <c r="M2003" s="111"/>
      <c r="N2003" s="111"/>
      <c r="O2003" s="111"/>
      <c r="P2003" s="111"/>
      <c r="Q2003" s="111"/>
      <c r="R2003" s="111"/>
      <c r="S2003" s="1249"/>
      <c r="T2003" s="1250"/>
      <c r="U2003" s="1250"/>
      <c r="V2003" s="1250"/>
      <c r="W2003" s="1251"/>
      <c r="X2003" s="1250"/>
      <c r="Y2003" s="1250"/>
      <c r="Z2003" s="1250"/>
      <c r="AA2003" s="1250"/>
      <c r="AB2003" s="1250"/>
      <c r="AC2003" s="1250"/>
      <c r="AD2003" s="1250"/>
      <c r="AE2003" s="1249"/>
      <c r="AF2003" s="1250"/>
      <c r="AG2003" s="111"/>
      <c r="AH2003" s="111"/>
      <c r="AI2003" s="111"/>
      <c r="AJ2003" s="111"/>
      <c r="AK2003" s="111"/>
      <c r="AL2003" s="111"/>
      <c r="AM2003" s="111"/>
    </row>
    <row r="2004" spans="1:39" ht="15" customHeight="1" x14ac:dyDescent="0.25">
      <c r="A2004" s="1409"/>
      <c r="B2004" s="1409"/>
      <c r="C2004" s="1409"/>
      <c r="D2004" s="1409"/>
      <c r="E2004" s="1218">
        <v>275</v>
      </c>
      <c r="F2004" s="1268" t="s">
        <v>691</v>
      </c>
      <c r="G2004" s="1218"/>
      <c r="H2004" s="1218"/>
      <c r="I2004" s="1218"/>
      <c r="J2004" s="1218"/>
      <c r="K2004" s="1218"/>
      <c r="L2004" s="1218"/>
      <c r="M2004" s="1218"/>
      <c r="N2004" s="1218"/>
      <c r="O2004" s="1218"/>
      <c r="P2004" s="1218"/>
      <c r="Q2004" s="1218"/>
      <c r="R2004" s="1218"/>
      <c r="S2004" s="1218"/>
      <c r="T2004" s="1218"/>
      <c r="U2004" s="1218"/>
      <c r="V2004" s="1218"/>
      <c r="W2004" s="1218"/>
      <c r="X2004" s="1218"/>
      <c r="Y2004" s="1250"/>
      <c r="Z2004" s="1250"/>
      <c r="AA2004" s="1250"/>
      <c r="AB2004" s="1250"/>
      <c r="AC2004" s="1250"/>
      <c r="AD2004" s="1250"/>
      <c r="AE2004" s="1249"/>
      <c r="AF2004" s="1250"/>
      <c r="AG2004" s="111"/>
      <c r="AH2004" s="111"/>
      <c r="AI2004" s="111"/>
      <c r="AJ2004" s="111"/>
      <c r="AK2004" s="111"/>
      <c r="AL2004" s="111"/>
      <c r="AM2004" s="111"/>
    </row>
    <row r="2005" spans="1:39" ht="15" customHeight="1" x14ac:dyDescent="0.25">
      <c r="A2005" s="1409"/>
      <c r="B2005" s="1409"/>
      <c r="C2005" s="1409"/>
      <c r="D2005" s="1409"/>
      <c r="E2005" s="1247"/>
      <c r="F2005" s="1248"/>
      <c r="G2005" s="111"/>
      <c r="H2005" s="1249"/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249"/>
      <c r="T2005" s="1250"/>
      <c r="U2005" s="1250"/>
      <c r="V2005" s="1250"/>
      <c r="W2005" s="1251"/>
      <c r="X2005" s="1250"/>
      <c r="Y2005" s="1250"/>
      <c r="Z2005" s="1250"/>
      <c r="AA2005" s="1250"/>
      <c r="AB2005" s="1250"/>
      <c r="AC2005" s="1250"/>
      <c r="AD2005" s="1250"/>
      <c r="AE2005" s="1249"/>
      <c r="AF2005" s="1250"/>
      <c r="AG2005" s="111"/>
      <c r="AH2005" s="111"/>
      <c r="AI2005" s="111"/>
      <c r="AJ2005" s="111"/>
      <c r="AK2005" s="111"/>
      <c r="AL2005" s="111"/>
      <c r="AM2005" s="111"/>
    </row>
    <row r="2006" spans="1:39" ht="15" customHeight="1" x14ac:dyDescent="0.25">
      <c r="A2006" s="1409"/>
      <c r="B2006" s="1409"/>
      <c r="C2006" s="1409"/>
      <c r="D2006" s="1409"/>
      <c r="E2006" s="1261">
        <v>27503</v>
      </c>
      <c r="F2006" s="1262" t="s">
        <v>694</v>
      </c>
      <c r="G2006" s="1261"/>
      <c r="H2006" s="1261"/>
      <c r="I2006" s="1261"/>
      <c r="J2006" s="1261"/>
      <c r="K2006" s="1261"/>
      <c r="L2006" s="1261"/>
      <c r="M2006" s="1261"/>
      <c r="N2006" s="1261"/>
      <c r="O2006" s="1261"/>
      <c r="P2006" s="1261"/>
      <c r="Q2006" s="1261"/>
      <c r="R2006" s="1261"/>
      <c r="S2006" s="1261"/>
      <c r="T2006" s="1261"/>
      <c r="U2006" s="1261"/>
      <c r="V2006" s="1261"/>
      <c r="W2006" s="1261"/>
      <c r="X2006" s="1261"/>
      <c r="Y2006" s="1250"/>
      <c r="Z2006" s="1250"/>
      <c r="AA2006" s="1250"/>
      <c r="AB2006" s="1250"/>
      <c r="AC2006" s="1250"/>
      <c r="AD2006" s="1250"/>
      <c r="AE2006" s="1249"/>
      <c r="AF2006" s="1250"/>
      <c r="AG2006" s="111"/>
      <c r="AH2006" s="111"/>
      <c r="AI2006" s="111"/>
      <c r="AJ2006" s="111"/>
      <c r="AK2006" s="111"/>
      <c r="AL2006" s="111"/>
      <c r="AM2006" s="111"/>
    </row>
    <row r="2007" spans="1:39" ht="15" customHeight="1" x14ac:dyDescent="0.25">
      <c r="A2007" s="1409"/>
      <c r="B2007" s="1409"/>
      <c r="C2007" s="1409"/>
      <c r="D2007" s="1409"/>
      <c r="E2007" s="1247"/>
      <c r="F2007" s="1248" t="s">
        <v>5313</v>
      </c>
      <c r="G2007" s="111"/>
      <c r="H2007" s="1249">
        <v>45</v>
      </c>
      <c r="I2007" s="111" t="s">
        <v>1734</v>
      </c>
      <c r="J2007" s="1321" t="s">
        <v>5608</v>
      </c>
      <c r="K2007" s="162" t="s">
        <v>5610</v>
      </c>
      <c r="L2007" s="162" t="s">
        <v>5609</v>
      </c>
      <c r="M2007" s="111">
        <v>210</v>
      </c>
      <c r="N2007" s="111">
        <v>9450</v>
      </c>
      <c r="O2007" s="111"/>
      <c r="P2007" s="111"/>
      <c r="Q2007" s="111"/>
      <c r="R2007" s="111"/>
      <c r="S2007" s="1249">
        <v>15</v>
      </c>
      <c r="T2007" s="1250">
        <v>3150</v>
      </c>
      <c r="U2007" s="1250"/>
      <c r="V2007" s="1250"/>
      <c r="W2007" s="1251">
        <v>15</v>
      </c>
      <c r="X2007" s="1250">
        <v>3150</v>
      </c>
      <c r="Y2007" s="1250"/>
      <c r="Z2007" s="1250"/>
      <c r="AA2007" s="1250"/>
      <c r="AB2007" s="1250"/>
      <c r="AC2007" s="1250"/>
      <c r="AD2007" s="1250"/>
      <c r="AE2007" s="1249">
        <v>15</v>
      </c>
      <c r="AF2007" s="1250">
        <v>3150</v>
      </c>
      <c r="AG2007" s="111"/>
      <c r="AH2007" s="111"/>
      <c r="AI2007" s="111"/>
      <c r="AJ2007" s="111"/>
      <c r="AK2007" s="111"/>
      <c r="AL2007" s="111"/>
      <c r="AM2007" s="111">
        <v>9450</v>
      </c>
    </row>
    <row r="2008" spans="1:39" ht="15" customHeight="1" x14ac:dyDescent="0.25">
      <c r="A2008" s="1409"/>
      <c r="B2008" s="1409"/>
      <c r="C2008" s="1409"/>
      <c r="D2008" s="1409"/>
      <c r="E2008" s="1247"/>
      <c r="F2008" s="1248" t="s">
        <v>5314</v>
      </c>
      <c r="G2008" s="111"/>
      <c r="H2008" s="1249">
        <v>45</v>
      </c>
      <c r="I2008" s="111" t="s">
        <v>1734</v>
      </c>
      <c r="J2008" s="1321" t="s">
        <v>5608</v>
      </c>
      <c r="K2008" s="162" t="s">
        <v>5610</v>
      </c>
      <c r="L2008" s="162" t="s">
        <v>5609</v>
      </c>
      <c r="M2008" s="111">
        <v>210</v>
      </c>
      <c r="N2008" s="111">
        <v>9450</v>
      </c>
      <c r="O2008" s="111"/>
      <c r="P2008" s="111"/>
      <c r="Q2008" s="111"/>
      <c r="R2008" s="111"/>
      <c r="S2008" s="1249">
        <v>15</v>
      </c>
      <c r="T2008" s="1250">
        <v>3150</v>
      </c>
      <c r="U2008" s="1250"/>
      <c r="V2008" s="1250"/>
      <c r="W2008" s="1251">
        <v>15</v>
      </c>
      <c r="X2008" s="1250">
        <v>3150</v>
      </c>
      <c r="Y2008" s="1250"/>
      <c r="Z2008" s="1250"/>
      <c r="AA2008" s="1250"/>
      <c r="AB2008" s="1250"/>
      <c r="AC2008" s="1250"/>
      <c r="AD2008" s="1250"/>
      <c r="AE2008" s="1249">
        <v>15</v>
      </c>
      <c r="AF2008" s="1250">
        <v>3150</v>
      </c>
      <c r="AG2008" s="111"/>
      <c r="AH2008" s="111"/>
      <c r="AI2008" s="111"/>
      <c r="AJ2008" s="111"/>
      <c r="AK2008" s="111"/>
      <c r="AL2008" s="111"/>
      <c r="AM2008" s="111">
        <v>9450</v>
      </c>
    </row>
    <row r="2009" spans="1:39" ht="15" customHeight="1" x14ac:dyDescent="0.25">
      <c r="A2009" s="1409"/>
      <c r="B2009" s="1409"/>
      <c r="C2009" s="1409"/>
      <c r="D2009" s="1409"/>
      <c r="E2009" s="1247"/>
      <c r="F2009" s="1248" t="s">
        <v>5315</v>
      </c>
      <c r="G2009" s="111"/>
      <c r="H2009" s="1249">
        <v>45</v>
      </c>
      <c r="I2009" s="111" t="s">
        <v>1734</v>
      </c>
      <c r="J2009" s="1321" t="s">
        <v>5608</v>
      </c>
      <c r="K2009" s="162" t="s">
        <v>5610</v>
      </c>
      <c r="L2009" s="162" t="s">
        <v>5609</v>
      </c>
      <c r="M2009" s="111">
        <v>210</v>
      </c>
      <c r="N2009" s="111">
        <v>9450</v>
      </c>
      <c r="O2009" s="111"/>
      <c r="P2009" s="111"/>
      <c r="Q2009" s="111"/>
      <c r="R2009" s="111"/>
      <c r="S2009" s="1249">
        <v>15</v>
      </c>
      <c r="T2009" s="1250">
        <v>3150</v>
      </c>
      <c r="U2009" s="1250"/>
      <c r="V2009" s="1250"/>
      <c r="W2009" s="1251">
        <v>15</v>
      </c>
      <c r="X2009" s="1250">
        <v>3150</v>
      </c>
      <c r="Y2009" s="1250"/>
      <c r="Z2009" s="1250"/>
      <c r="AA2009" s="1250"/>
      <c r="AB2009" s="1250"/>
      <c r="AC2009" s="1250"/>
      <c r="AD2009" s="1250"/>
      <c r="AE2009" s="1249">
        <v>15</v>
      </c>
      <c r="AF2009" s="1250">
        <v>3150</v>
      </c>
      <c r="AG2009" s="111"/>
      <c r="AH2009" s="111"/>
      <c r="AI2009" s="111"/>
      <c r="AJ2009" s="111"/>
      <c r="AK2009" s="111"/>
      <c r="AL2009" s="111"/>
      <c r="AM2009" s="111">
        <v>9450</v>
      </c>
    </row>
    <row r="2010" spans="1:39" ht="15" customHeight="1" x14ac:dyDescent="0.25">
      <c r="A2010" s="1409"/>
      <c r="B2010" s="1409"/>
      <c r="C2010" s="1409"/>
      <c r="D2010" s="1409"/>
      <c r="E2010" s="1247"/>
      <c r="F2010" s="1248" t="s">
        <v>5316</v>
      </c>
      <c r="G2010" s="111"/>
      <c r="H2010" s="1249">
        <v>45</v>
      </c>
      <c r="I2010" s="111" t="s">
        <v>1734</v>
      </c>
      <c r="J2010" s="1321" t="s">
        <v>5608</v>
      </c>
      <c r="K2010" s="162" t="s">
        <v>5610</v>
      </c>
      <c r="L2010" s="162" t="s">
        <v>5609</v>
      </c>
      <c r="M2010" s="111">
        <v>210</v>
      </c>
      <c r="N2010" s="111">
        <v>9450</v>
      </c>
      <c r="O2010" s="111"/>
      <c r="P2010" s="111"/>
      <c r="Q2010" s="111"/>
      <c r="R2010" s="111"/>
      <c r="S2010" s="1249">
        <v>15</v>
      </c>
      <c r="T2010" s="1250">
        <v>3150</v>
      </c>
      <c r="U2010" s="1250"/>
      <c r="V2010" s="1250"/>
      <c r="W2010" s="1251">
        <v>15</v>
      </c>
      <c r="X2010" s="1250">
        <v>3150</v>
      </c>
      <c r="Y2010" s="1250"/>
      <c r="Z2010" s="1250"/>
      <c r="AA2010" s="1250"/>
      <c r="AB2010" s="1250"/>
      <c r="AC2010" s="1250"/>
      <c r="AD2010" s="1250"/>
      <c r="AE2010" s="1249">
        <v>15</v>
      </c>
      <c r="AF2010" s="1250">
        <v>3150</v>
      </c>
      <c r="AG2010" s="111"/>
      <c r="AH2010" s="111"/>
      <c r="AI2010" s="111"/>
      <c r="AJ2010" s="111"/>
      <c r="AK2010" s="111"/>
      <c r="AL2010" s="111"/>
      <c r="AM2010" s="111">
        <v>9450</v>
      </c>
    </row>
    <row r="2011" spans="1:39" ht="15" customHeight="1" x14ac:dyDescent="0.25">
      <c r="A2011" s="1409"/>
      <c r="B2011" s="1409"/>
      <c r="C2011" s="1409"/>
      <c r="D2011" s="1409"/>
      <c r="E2011" s="1247"/>
      <c r="F2011" s="1248" t="s">
        <v>5317</v>
      </c>
      <c r="G2011" s="111"/>
      <c r="H2011" s="1249">
        <v>45</v>
      </c>
      <c r="I2011" s="111" t="s">
        <v>1734</v>
      </c>
      <c r="J2011" s="1321" t="s">
        <v>5608</v>
      </c>
      <c r="K2011" s="162" t="s">
        <v>5610</v>
      </c>
      <c r="L2011" s="162" t="s">
        <v>5609</v>
      </c>
      <c r="M2011" s="111">
        <v>210</v>
      </c>
      <c r="N2011" s="111">
        <v>9450</v>
      </c>
      <c r="O2011" s="111"/>
      <c r="P2011" s="111"/>
      <c r="Q2011" s="111"/>
      <c r="R2011" s="111"/>
      <c r="S2011" s="1249">
        <v>15</v>
      </c>
      <c r="T2011" s="1250">
        <v>3150</v>
      </c>
      <c r="U2011" s="1250"/>
      <c r="V2011" s="1250"/>
      <c r="W2011" s="1251">
        <v>15</v>
      </c>
      <c r="X2011" s="1250">
        <v>3150</v>
      </c>
      <c r="Y2011" s="1250"/>
      <c r="Z2011" s="1250"/>
      <c r="AA2011" s="1250"/>
      <c r="AB2011" s="1250"/>
      <c r="AC2011" s="1250"/>
      <c r="AD2011" s="1250"/>
      <c r="AE2011" s="1249">
        <v>15</v>
      </c>
      <c r="AF2011" s="1250">
        <v>3150</v>
      </c>
      <c r="AG2011" s="111"/>
      <c r="AH2011" s="111"/>
      <c r="AI2011" s="111"/>
      <c r="AJ2011" s="111"/>
      <c r="AK2011" s="111"/>
      <c r="AL2011" s="111"/>
      <c r="AM2011" s="111">
        <v>9450</v>
      </c>
    </row>
    <row r="2012" spans="1:39" ht="15" customHeight="1" x14ac:dyDescent="0.25">
      <c r="A2012" s="1409"/>
      <c r="B2012" s="1409"/>
      <c r="C2012" s="1409"/>
      <c r="D2012" s="1409"/>
      <c r="E2012" s="1247"/>
      <c r="F2012" s="1248" t="s">
        <v>5318</v>
      </c>
      <c r="G2012" s="111"/>
      <c r="H2012" s="1249">
        <v>45</v>
      </c>
      <c r="I2012" s="111" t="s">
        <v>1734</v>
      </c>
      <c r="J2012" s="1321" t="s">
        <v>5608</v>
      </c>
      <c r="K2012" s="162" t="s">
        <v>5610</v>
      </c>
      <c r="L2012" s="162" t="s">
        <v>5609</v>
      </c>
      <c r="M2012" s="111">
        <v>210</v>
      </c>
      <c r="N2012" s="111">
        <v>9450</v>
      </c>
      <c r="O2012" s="111"/>
      <c r="P2012" s="111"/>
      <c r="Q2012" s="111"/>
      <c r="R2012" s="111"/>
      <c r="S2012" s="1249">
        <v>15</v>
      </c>
      <c r="T2012" s="1250">
        <v>3150</v>
      </c>
      <c r="U2012" s="1250"/>
      <c r="V2012" s="1250"/>
      <c r="W2012" s="1251">
        <v>15</v>
      </c>
      <c r="X2012" s="1250">
        <v>3150</v>
      </c>
      <c r="Y2012" s="1250"/>
      <c r="Z2012" s="1250"/>
      <c r="AA2012" s="1250"/>
      <c r="AB2012" s="1250"/>
      <c r="AC2012" s="1250"/>
      <c r="AD2012" s="1250"/>
      <c r="AE2012" s="1249">
        <v>15</v>
      </c>
      <c r="AF2012" s="1250">
        <v>3150</v>
      </c>
      <c r="AG2012" s="111"/>
      <c r="AH2012" s="111"/>
      <c r="AI2012" s="111"/>
      <c r="AJ2012" s="111"/>
      <c r="AK2012" s="111"/>
      <c r="AL2012" s="111"/>
      <c r="AM2012" s="111">
        <v>9450</v>
      </c>
    </row>
    <row r="2013" spans="1:39" ht="15" customHeight="1" x14ac:dyDescent="0.25">
      <c r="A2013" s="1409"/>
      <c r="B2013" s="1409"/>
      <c r="C2013" s="1409"/>
      <c r="D2013" s="1409"/>
      <c r="E2013" s="1247"/>
      <c r="F2013" s="1248" t="s">
        <v>5319</v>
      </c>
      <c r="G2013" s="111"/>
      <c r="H2013" s="1249">
        <v>45</v>
      </c>
      <c r="I2013" s="111" t="s">
        <v>1734</v>
      </c>
      <c r="J2013" s="1321" t="s">
        <v>5608</v>
      </c>
      <c r="K2013" s="162" t="s">
        <v>5610</v>
      </c>
      <c r="L2013" s="162" t="s">
        <v>5609</v>
      </c>
      <c r="M2013" s="111">
        <v>210</v>
      </c>
      <c r="N2013" s="111">
        <v>9450</v>
      </c>
      <c r="O2013" s="111"/>
      <c r="P2013" s="111"/>
      <c r="Q2013" s="111"/>
      <c r="R2013" s="111"/>
      <c r="S2013" s="1249">
        <v>15</v>
      </c>
      <c r="T2013" s="1250">
        <v>3150</v>
      </c>
      <c r="U2013" s="1250"/>
      <c r="V2013" s="1250"/>
      <c r="W2013" s="1251">
        <v>15</v>
      </c>
      <c r="X2013" s="1250">
        <v>3150</v>
      </c>
      <c r="Y2013" s="1250"/>
      <c r="Z2013" s="1250"/>
      <c r="AA2013" s="1250"/>
      <c r="AB2013" s="1250"/>
      <c r="AC2013" s="1250"/>
      <c r="AD2013" s="1250"/>
      <c r="AE2013" s="1249">
        <v>15</v>
      </c>
      <c r="AF2013" s="1250">
        <v>3150</v>
      </c>
      <c r="AG2013" s="111"/>
      <c r="AH2013" s="111"/>
      <c r="AI2013" s="111"/>
      <c r="AJ2013" s="111"/>
      <c r="AK2013" s="111"/>
      <c r="AL2013" s="111"/>
      <c r="AM2013" s="111">
        <v>9450</v>
      </c>
    </row>
    <row r="2014" spans="1:39" ht="15" customHeight="1" x14ac:dyDescent="0.25">
      <c r="A2014" s="1409"/>
      <c r="B2014" s="1409"/>
      <c r="C2014" s="1409"/>
      <c r="D2014" s="1409"/>
      <c r="E2014" s="1247"/>
      <c r="F2014" s="1248" t="s">
        <v>5320</v>
      </c>
      <c r="G2014" s="111"/>
      <c r="H2014" s="1249">
        <v>45</v>
      </c>
      <c r="I2014" s="111" t="s">
        <v>1734</v>
      </c>
      <c r="J2014" s="1321" t="s">
        <v>5608</v>
      </c>
      <c r="K2014" s="162" t="s">
        <v>5610</v>
      </c>
      <c r="L2014" s="162" t="s">
        <v>5609</v>
      </c>
      <c r="M2014" s="111">
        <v>225</v>
      </c>
      <c r="N2014" s="111">
        <v>10125</v>
      </c>
      <c r="O2014" s="111"/>
      <c r="P2014" s="111"/>
      <c r="Q2014" s="111"/>
      <c r="R2014" s="111"/>
      <c r="S2014" s="1249">
        <v>15</v>
      </c>
      <c r="T2014" s="1250">
        <v>3375</v>
      </c>
      <c r="U2014" s="1250"/>
      <c r="V2014" s="1250"/>
      <c r="W2014" s="1251">
        <v>15</v>
      </c>
      <c r="X2014" s="1250">
        <v>3375</v>
      </c>
      <c r="Y2014" s="1250"/>
      <c r="Z2014" s="1250"/>
      <c r="AA2014" s="1250"/>
      <c r="AB2014" s="1250"/>
      <c r="AC2014" s="1250"/>
      <c r="AD2014" s="1250"/>
      <c r="AE2014" s="1249">
        <v>15</v>
      </c>
      <c r="AF2014" s="1250">
        <v>3375</v>
      </c>
      <c r="AG2014" s="111"/>
      <c r="AH2014" s="111"/>
      <c r="AI2014" s="111"/>
      <c r="AJ2014" s="111"/>
      <c r="AK2014" s="111"/>
      <c r="AL2014" s="111"/>
      <c r="AM2014" s="111">
        <v>10125</v>
      </c>
    </row>
    <row r="2015" spans="1:39" ht="15" customHeight="1" x14ac:dyDescent="0.25">
      <c r="A2015" s="1409"/>
      <c r="B2015" s="1409"/>
      <c r="C2015" s="1409"/>
      <c r="D2015" s="1409"/>
      <c r="E2015" s="1247"/>
      <c r="F2015" s="1248" t="s">
        <v>5321</v>
      </c>
      <c r="G2015" s="111"/>
      <c r="H2015" s="1249">
        <v>45</v>
      </c>
      <c r="I2015" s="111" t="s">
        <v>1734</v>
      </c>
      <c r="J2015" s="1321" t="s">
        <v>5608</v>
      </c>
      <c r="K2015" s="162" t="s">
        <v>5610</v>
      </c>
      <c r="L2015" s="162" t="s">
        <v>5609</v>
      </c>
      <c r="M2015" s="111">
        <v>225</v>
      </c>
      <c r="N2015" s="111">
        <v>10125</v>
      </c>
      <c r="O2015" s="111"/>
      <c r="P2015" s="111"/>
      <c r="Q2015" s="111"/>
      <c r="R2015" s="111"/>
      <c r="S2015" s="1249">
        <v>15</v>
      </c>
      <c r="T2015" s="1250">
        <v>3375</v>
      </c>
      <c r="U2015" s="1250"/>
      <c r="V2015" s="1250"/>
      <c r="W2015" s="1251">
        <v>15</v>
      </c>
      <c r="X2015" s="1250">
        <v>3375</v>
      </c>
      <c r="Y2015" s="1250"/>
      <c r="Z2015" s="1250"/>
      <c r="AA2015" s="1250"/>
      <c r="AB2015" s="1250"/>
      <c r="AC2015" s="1250"/>
      <c r="AD2015" s="1250"/>
      <c r="AE2015" s="1249">
        <v>15</v>
      </c>
      <c r="AF2015" s="1250">
        <v>3375</v>
      </c>
      <c r="AG2015" s="111"/>
      <c r="AH2015" s="111"/>
      <c r="AI2015" s="111"/>
      <c r="AJ2015" s="111"/>
      <c r="AK2015" s="111"/>
      <c r="AL2015" s="111"/>
      <c r="AM2015" s="111">
        <v>10125</v>
      </c>
    </row>
    <row r="2016" spans="1:39" ht="15" customHeight="1" x14ac:dyDescent="0.25">
      <c r="A2016" s="1409"/>
      <c r="B2016" s="1409"/>
      <c r="C2016" s="1409"/>
      <c r="D2016" s="1409"/>
      <c r="E2016" s="1247"/>
      <c r="F2016" s="1248" t="s">
        <v>5322</v>
      </c>
      <c r="G2016" s="111"/>
      <c r="H2016" s="1249">
        <v>45</v>
      </c>
      <c r="I2016" s="111" t="s">
        <v>1734</v>
      </c>
      <c r="J2016" s="1321" t="s">
        <v>5608</v>
      </c>
      <c r="K2016" s="162" t="s">
        <v>5610</v>
      </c>
      <c r="L2016" s="162" t="s">
        <v>5609</v>
      </c>
      <c r="M2016" s="111">
        <v>225</v>
      </c>
      <c r="N2016" s="111">
        <v>10125</v>
      </c>
      <c r="O2016" s="111"/>
      <c r="P2016" s="111"/>
      <c r="Q2016" s="111"/>
      <c r="R2016" s="111"/>
      <c r="S2016" s="1249">
        <v>15</v>
      </c>
      <c r="T2016" s="1250">
        <v>3375</v>
      </c>
      <c r="U2016" s="1250"/>
      <c r="V2016" s="1250"/>
      <c r="W2016" s="1251">
        <v>15</v>
      </c>
      <c r="X2016" s="1250">
        <v>3375</v>
      </c>
      <c r="Y2016" s="1250"/>
      <c r="Z2016" s="1250"/>
      <c r="AA2016" s="1250"/>
      <c r="AB2016" s="1250"/>
      <c r="AC2016" s="1250"/>
      <c r="AD2016" s="1250"/>
      <c r="AE2016" s="1249">
        <v>15</v>
      </c>
      <c r="AF2016" s="1250">
        <v>3375</v>
      </c>
      <c r="AG2016" s="111"/>
      <c r="AH2016" s="111"/>
      <c r="AI2016" s="111"/>
      <c r="AJ2016" s="111"/>
      <c r="AK2016" s="111"/>
      <c r="AL2016" s="111"/>
      <c r="AM2016" s="111">
        <v>10125</v>
      </c>
    </row>
    <row r="2017" spans="1:39" ht="15" customHeight="1" x14ac:dyDescent="0.25">
      <c r="A2017" s="1409"/>
      <c r="B2017" s="1409"/>
      <c r="C2017" s="1409"/>
      <c r="D2017" s="1409"/>
      <c r="E2017" s="1247"/>
      <c r="F2017" s="1248" t="s">
        <v>5323</v>
      </c>
      <c r="G2017" s="111"/>
      <c r="H2017" s="1249">
        <v>45</v>
      </c>
      <c r="I2017" s="111" t="s">
        <v>1734</v>
      </c>
      <c r="J2017" s="1321" t="s">
        <v>5608</v>
      </c>
      <c r="K2017" s="162" t="s">
        <v>5610</v>
      </c>
      <c r="L2017" s="162" t="s">
        <v>5609</v>
      </c>
      <c r="M2017" s="111">
        <v>225</v>
      </c>
      <c r="N2017" s="111">
        <v>10125</v>
      </c>
      <c r="O2017" s="111"/>
      <c r="P2017" s="111"/>
      <c r="Q2017" s="111"/>
      <c r="R2017" s="111"/>
      <c r="S2017" s="1249">
        <v>15</v>
      </c>
      <c r="T2017" s="1250">
        <v>3375</v>
      </c>
      <c r="U2017" s="1250"/>
      <c r="V2017" s="1250"/>
      <c r="W2017" s="1251">
        <v>15</v>
      </c>
      <c r="X2017" s="1250">
        <v>3375</v>
      </c>
      <c r="Y2017" s="1250"/>
      <c r="Z2017" s="1250"/>
      <c r="AA2017" s="1250"/>
      <c r="AB2017" s="1250"/>
      <c r="AC2017" s="1250"/>
      <c r="AD2017" s="1250"/>
      <c r="AE2017" s="1249">
        <v>15</v>
      </c>
      <c r="AF2017" s="1250">
        <v>3375</v>
      </c>
      <c r="AG2017" s="111"/>
      <c r="AH2017" s="111"/>
      <c r="AI2017" s="111"/>
      <c r="AJ2017" s="111"/>
      <c r="AK2017" s="111"/>
      <c r="AL2017" s="111"/>
      <c r="AM2017" s="111">
        <v>10125</v>
      </c>
    </row>
    <row r="2018" spans="1:39" ht="15" customHeight="1" x14ac:dyDescent="0.25">
      <c r="A2018" s="1409"/>
      <c r="B2018" s="1409"/>
      <c r="C2018" s="1409"/>
      <c r="D2018" s="1409"/>
      <c r="E2018" s="1247"/>
      <c r="F2018" s="1248" t="s">
        <v>3305</v>
      </c>
      <c r="G2018" s="111"/>
      <c r="H2018" s="1249">
        <v>1</v>
      </c>
      <c r="I2018" s="111" t="s">
        <v>1721</v>
      </c>
      <c r="J2018" s="1321" t="s">
        <v>5608</v>
      </c>
      <c r="K2018" s="162" t="s">
        <v>5610</v>
      </c>
      <c r="L2018" s="162" t="s">
        <v>5609</v>
      </c>
      <c r="M2018" s="111">
        <v>258</v>
      </c>
      <c r="N2018" s="111">
        <v>258</v>
      </c>
      <c r="O2018" s="111"/>
      <c r="P2018" s="111"/>
      <c r="Q2018" s="111"/>
      <c r="R2018" s="111"/>
      <c r="S2018" s="1249">
        <v>1</v>
      </c>
      <c r="T2018" s="1250">
        <v>86</v>
      </c>
      <c r="U2018" s="1250"/>
      <c r="V2018" s="1250"/>
      <c r="W2018" s="1251">
        <v>0</v>
      </c>
      <c r="X2018" s="1250">
        <v>86</v>
      </c>
      <c r="Y2018" s="1250"/>
      <c r="Z2018" s="1250"/>
      <c r="AA2018" s="1250"/>
      <c r="AB2018" s="1250"/>
      <c r="AC2018" s="1250"/>
      <c r="AD2018" s="1250"/>
      <c r="AE2018" s="1249">
        <v>0</v>
      </c>
      <c r="AF2018" s="1250">
        <v>86</v>
      </c>
      <c r="AG2018" s="111"/>
      <c r="AH2018" s="111"/>
      <c r="AI2018" s="111"/>
      <c r="AJ2018" s="111"/>
      <c r="AK2018" s="111"/>
      <c r="AL2018" s="111"/>
      <c r="AM2018" s="111">
        <v>258</v>
      </c>
    </row>
    <row r="2019" spans="1:39" ht="15" customHeight="1" x14ac:dyDescent="0.25">
      <c r="A2019" s="1409"/>
      <c r="B2019" s="1409"/>
      <c r="C2019" s="1409"/>
      <c r="D2019" s="1409"/>
      <c r="E2019" s="1247"/>
      <c r="F2019" s="1248" t="s">
        <v>3306</v>
      </c>
      <c r="G2019" s="111"/>
      <c r="H2019" s="1249">
        <v>1</v>
      </c>
      <c r="I2019" s="111" t="s">
        <v>1721</v>
      </c>
      <c r="J2019" s="1321" t="s">
        <v>5608</v>
      </c>
      <c r="K2019" s="162" t="s">
        <v>5610</v>
      </c>
      <c r="L2019" s="162" t="s">
        <v>5609</v>
      </c>
      <c r="M2019" s="111">
        <v>248.4</v>
      </c>
      <c r="N2019" s="111">
        <v>248.4</v>
      </c>
      <c r="O2019" s="111"/>
      <c r="P2019" s="111"/>
      <c r="Q2019" s="111"/>
      <c r="R2019" s="111"/>
      <c r="S2019" s="1249">
        <v>1</v>
      </c>
      <c r="T2019" s="1250">
        <v>82.8</v>
      </c>
      <c r="U2019" s="1250"/>
      <c r="V2019" s="1250"/>
      <c r="W2019" s="1251">
        <v>0</v>
      </c>
      <c r="X2019" s="1250">
        <v>82.8</v>
      </c>
      <c r="Y2019" s="1250"/>
      <c r="Z2019" s="1250"/>
      <c r="AA2019" s="1250"/>
      <c r="AB2019" s="1250"/>
      <c r="AC2019" s="1250"/>
      <c r="AD2019" s="1250"/>
      <c r="AE2019" s="1249">
        <v>0</v>
      </c>
      <c r="AF2019" s="1250">
        <v>82.8</v>
      </c>
      <c r="AG2019" s="111"/>
      <c r="AH2019" s="111"/>
      <c r="AI2019" s="111"/>
      <c r="AJ2019" s="111"/>
      <c r="AK2019" s="111"/>
      <c r="AL2019" s="111"/>
      <c r="AM2019" s="111">
        <v>248.4</v>
      </c>
    </row>
    <row r="2020" spans="1:39" ht="15" customHeight="1" x14ac:dyDescent="0.25">
      <c r="A2020" s="1409"/>
      <c r="B2020" s="1409"/>
      <c r="C2020" s="1409"/>
      <c r="D2020" s="1409"/>
      <c r="E2020" s="1247"/>
      <c r="F2020" s="1248" t="s">
        <v>5324</v>
      </c>
      <c r="G2020" s="111"/>
      <c r="H2020" s="1249">
        <v>4</v>
      </c>
      <c r="I2020" s="111" t="s">
        <v>1721</v>
      </c>
      <c r="J2020" s="1321" t="s">
        <v>5608</v>
      </c>
      <c r="K2020" s="162" t="s">
        <v>5610</v>
      </c>
      <c r="L2020" s="162" t="s">
        <v>5609</v>
      </c>
      <c r="M2020" s="111">
        <v>3317.6</v>
      </c>
      <c r="N2020" s="111">
        <v>13270.4</v>
      </c>
      <c r="O2020" s="111"/>
      <c r="P2020" s="111"/>
      <c r="Q2020" s="111"/>
      <c r="R2020" s="111"/>
      <c r="S2020" s="1249">
        <v>2</v>
      </c>
      <c r="T2020" s="1250">
        <v>4423.4666666666662</v>
      </c>
      <c r="U2020" s="1250"/>
      <c r="V2020" s="1250"/>
      <c r="W2020" s="1251">
        <v>1</v>
      </c>
      <c r="X2020" s="1250">
        <v>4423.4666666666662</v>
      </c>
      <c r="Y2020" s="1250"/>
      <c r="Z2020" s="1250"/>
      <c r="AA2020" s="1250"/>
      <c r="AB2020" s="1250"/>
      <c r="AC2020" s="1250"/>
      <c r="AD2020" s="1250"/>
      <c r="AE2020" s="1249">
        <v>1</v>
      </c>
      <c r="AF2020" s="1250">
        <v>4423.4666666666662</v>
      </c>
      <c r="AG2020" s="111"/>
      <c r="AH2020" s="111"/>
      <c r="AI2020" s="111"/>
      <c r="AJ2020" s="111"/>
      <c r="AK2020" s="111"/>
      <c r="AL2020" s="111"/>
      <c r="AM2020" s="111">
        <v>13270.4</v>
      </c>
    </row>
    <row r="2021" spans="1:39" ht="15" customHeight="1" x14ac:dyDescent="0.25">
      <c r="A2021" s="1409"/>
      <c r="B2021" s="1409"/>
      <c r="C2021" s="1409"/>
      <c r="D2021" s="1409"/>
      <c r="E2021" s="1247"/>
      <c r="F2021" s="1248" t="s">
        <v>5325</v>
      </c>
      <c r="G2021" s="111"/>
      <c r="H2021" s="1249">
        <v>4</v>
      </c>
      <c r="I2021" s="111" t="s">
        <v>1721</v>
      </c>
      <c r="J2021" s="1321" t="s">
        <v>5608</v>
      </c>
      <c r="K2021" s="162" t="s">
        <v>5610</v>
      </c>
      <c r="L2021" s="162" t="s">
        <v>5609</v>
      </c>
      <c r="M2021" s="111">
        <v>2220.2399999999998</v>
      </c>
      <c r="N2021" s="111">
        <v>8880.9599999999991</v>
      </c>
      <c r="O2021" s="111"/>
      <c r="P2021" s="111"/>
      <c r="Q2021" s="111"/>
      <c r="R2021" s="111"/>
      <c r="S2021" s="1249">
        <v>2</v>
      </c>
      <c r="T2021" s="1250">
        <v>2960.3199999999997</v>
      </c>
      <c r="U2021" s="1250"/>
      <c r="V2021" s="1250"/>
      <c r="W2021" s="1251">
        <v>1</v>
      </c>
      <c r="X2021" s="1250">
        <v>2960.3199999999997</v>
      </c>
      <c r="Y2021" s="1250"/>
      <c r="Z2021" s="1250"/>
      <c r="AA2021" s="1250"/>
      <c r="AB2021" s="1250"/>
      <c r="AC2021" s="1250"/>
      <c r="AD2021" s="1250"/>
      <c r="AE2021" s="1249">
        <v>1</v>
      </c>
      <c r="AF2021" s="1250">
        <v>2960.3199999999997</v>
      </c>
      <c r="AG2021" s="111"/>
      <c r="AH2021" s="111"/>
      <c r="AI2021" s="111"/>
      <c r="AJ2021" s="111"/>
      <c r="AK2021" s="111"/>
      <c r="AL2021" s="111"/>
      <c r="AM2021" s="111">
        <v>8880.9599999999991</v>
      </c>
    </row>
    <row r="2022" spans="1:39" ht="15" customHeight="1" x14ac:dyDescent="0.25">
      <c r="A2022" s="1409"/>
      <c r="B2022" s="1409"/>
      <c r="C2022" s="1409"/>
      <c r="D2022" s="1409"/>
      <c r="E2022" s="1247"/>
      <c r="F2022" s="1248" t="s">
        <v>5326</v>
      </c>
      <c r="G2022" s="111"/>
      <c r="H2022" s="1249">
        <v>2</v>
      </c>
      <c r="I2022" s="111" t="s">
        <v>1721</v>
      </c>
      <c r="J2022" s="1321" t="s">
        <v>5608</v>
      </c>
      <c r="K2022" s="162" t="s">
        <v>5610</v>
      </c>
      <c r="L2022" s="162" t="s">
        <v>5609</v>
      </c>
      <c r="M2022" s="111">
        <v>1183.0144</v>
      </c>
      <c r="N2022" s="111">
        <v>2366.0288</v>
      </c>
      <c r="O2022" s="111"/>
      <c r="P2022" s="111"/>
      <c r="Q2022" s="111"/>
      <c r="R2022" s="111"/>
      <c r="S2022" s="1249">
        <v>2</v>
      </c>
      <c r="T2022" s="1250">
        <v>788.67626666666672</v>
      </c>
      <c r="U2022" s="1250"/>
      <c r="V2022" s="1250"/>
      <c r="W2022" s="1251">
        <v>0</v>
      </c>
      <c r="X2022" s="1250">
        <v>788.67626666666672</v>
      </c>
      <c r="Y2022" s="1250"/>
      <c r="Z2022" s="1250"/>
      <c r="AA2022" s="1250"/>
      <c r="AB2022" s="1250"/>
      <c r="AC2022" s="1250"/>
      <c r="AD2022" s="1250"/>
      <c r="AE2022" s="1249">
        <v>0</v>
      </c>
      <c r="AF2022" s="1250">
        <v>788.67626666666672</v>
      </c>
      <c r="AG2022" s="111"/>
      <c r="AH2022" s="111"/>
      <c r="AI2022" s="111"/>
      <c r="AJ2022" s="111"/>
      <c r="AK2022" s="111"/>
      <c r="AL2022" s="111"/>
      <c r="AM2022" s="111">
        <v>2366.0288</v>
      </c>
    </row>
    <row r="2023" spans="1:39" ht="15" customHeight="1" x14ac:dyDescent="0.25">
      <c r="A2023" s="1409"/>
      <c r="B2023" s="1409"/>
      <c r="C2023" s="1409"/>
      <c r="D2023" s="1409"/>
      <c r="E2023" s="1247"/>
      <c r="F2023" s="1248" t="s">
        <v>5327</v>
      </c>
      <c r="G2023" s="111"/>
      <c r="H2023" s="1249">
        <v>2</v>
      </c>
      <c r="I2023" s="111" t="s">
        <v>1776</v>
      </c>
      <c r="J2023" s="1321" t="s">
        <v>5608</v>
      </c>
      <c r="K2023" s="162" t="s">
        <v>5610</v>
      </c>
      <c r="L2023" s="162" t="s">
        <v>5609</v>
      </c>
      <c r="M2023" s="111">
        <v>1094.1584</v>
      </c>
      <c r="N2023" s="111">
        <v>2188.3168000000001</v>
      </c>
      <c r="O2023" s="111"/>
      <c r="P2023" s="111"/>
      <c r="Q2023" s="111"/>
      <c r="R2023" s="111"/>
      <c r="S2023" s="1249">
        <v>2</v>
      </c>
      <c r="T2023" s="1250">
        <v>729.43893333333335</v>
      </c>
      <c r="U2023" s="1250"/>
      <c r="V2023" s="1250"/>
      <c r="W2023" s="1251">
        <v>0</v>
      </c>
      <c r="X2023" s="1250">
        <v>729.43893333333335</v>
      </c>
      <c r="Y2023" s="1250"/>
      <c r="Z2023" s="1250"/>
      <c r="AA2023" s="1250"/>
      <c r="AB2023" s="1250"/>
      <c r="AC2023" s="1250"/>
      <c r="AD2023" s="1250"/>
      <c r="AE2023" s="1249">
        <v>0</v>
      </c>
      <c r="AF2023" s="1250">
        <v>729.43893333333335</v>
      </c>
      <c r="AG2023" s="111"/>
      <c r="AH2023" s="111"/>
      <c r="AI2023" s="111"/>
      <c r="AJ2023" s="111"/>
      <c r="AK2023" s="111"/>
      <c r="AL2023" s="111"/>
      <c r="AM2023" s="111">
        <v>2188.3168000000001</v>
      </c>
    </row>
    <row r="2024" spans="1:39" ht="15" customHeight="1" x14ac:dyDescent="0.25">
      <c r="A2024" s="1409"/>
      <c r="B2024" s="1409"/>
      <c r="C2024" s="1409"/>
      <c r="D2024" s="1409"/>
      <c r="E2024" s="1247"/>
      <c r="F2024" s="1248" t="s">
        <v>5328</v>
      </c>
      <c r="G2024" s="111"/>
      <c r="H2024" s="1249">
        <v>2</v>
      </c>
      <c r="I2024" s="111" t="s">
        <v>5284</v>
      </c>
      <c r="J2024" s="1321" t="s">
        <v>5608</v>
      </c>
      <c r="K2024" s="162" t="s">
        <v>5610</v>
      </c>
      <c r="L2024" s="162" t="s">
        <v>5609</v>
      </c>
      <c r="M2024" s="111">
        <v>708.76</v>
      </c>
      <c r="N2024" s="111">
        <v>1417.52</v>
      </c>
      <c r="O2024" s="111"/>
      <c r="P2024" s="111"/>
      <c r="Q2024" s="111"/>
      <c r="R2024" s="111"/>
      <c r="S2024" s="1249">
        <v>2</v>
      </c>
      <c r="T2024" s="1250">
        <v>472.50666666666666</v>
      </c>
      <c r="U2024" s="1250"/>
      <c r="V2024" s="1250"/>
      <c r="W2024" s="1251">
        <v>0</v>
      </c>
      <c r="X2024" s="1250">
        <v>472.50666666666666</v>
      </c>
      <c r="Y2024" s="1250"/>
      <c r="Z2024" s="1250"/>
      <c r="AA2024" s="1250"/>
      <c r="AB2024" s="1250"/>
      <c r="AC2024" s="1250"/>
      <c r="AD2024" s="1250"/>
      <c r="AE2024" s="1249">
        <v>0</v>
      </c>
      <c r="AF2024" s="1250">
        <v>472.50666666666666</v>
      </c>
      <c r="AG2024" s="111"/>
      <c r="AH2024" s="111"/>
      <c r="AI2024" s="111"/>
      <c r="AJ2024" s="111"/>
      <c r="AK2024" s="111"/>
      <c r="AL2024" s="111"/>
      <c r="AM2024" s="111">
        <v>1417.52</v>
      </c>
    </row>
    <row r="2025" spans="1:39" ht="15" customHeight="1" x14ac:dyDescent="0.25">
      <c r="A2025" s="1409"/>
      <c r="B2025" s="1409"/>
      <c r="C2025" s="1409"/>
      <c r="D2025" s="1409"/>
      <c r="E2025" s="1247"/>
      <c r="F2025" s="1248" t="s">
        <v>5329</v>
      </c>
      <c r="G2025" s="111"/>
      <c r="H2025" s="1249">
        <v>4</v>
      </c>
      <c r="I2025" s="111" t="s">
        <v>1721</v>
      </c>
      <c r="J2025" s="1321" t="s">
        <v>5608</v>
      </c>
      <c r="K2025" s="162" t="s">
        <v>5610</v>
      </c>
      <c r="L2025" s="162" t="s">
        <v>5609</v>
      </c>
      <c r="M2025" s="111">
        <v>803.88</v>
      </c>
      <c r="N2025" s="111">
        <v>3215.52</v>
      </c>
      <c r="O2025" s="111"/>
      <c r="P2025" s="111"/>
      <c r="Q2025" s="111"/>
      <c r="R2025" s="111"/>
      <c r="S2025" s="1249">
        <v>2</v>
      </c>
      <c r="T2025" s="1250">
        <v>1071.8399999999999</v>
      </c>
      <c r="U2025" s="1250"/>
      <c r="V2025" s="1250"/>
      <c r="W2025" s="1251">
        <v>1</v>
      </c>
      <c r="X2025" s="1250">
        <v>1071.8399999999999</v>
      </c>
      <c r="Y2025" s="1250"/>
      <c r="Z2025" s="1250"/>
      <c r="AA2025" s="1250"/>
      <c r="AB2025" s="1250"/>
      <c r="AC2025" s="1250"/>
      <c r="AD2025" s="1250"/>
      <c r="AE2025" s="1249">
        <v>1</v>
      </c>
      <c r="AF2025" s="1250">
        <v>1071.8399999999999</v>
      </c>
      <c r="AG2025" s="111"/>
      <c r="AH2025" s="111"/>
      <c r="AI2025" s="111"/>
      <c r="AJ2025" s="111"/>
      <c r="AK2025" s="111"/>
      <c r="AL2025" s="111"/>
      <c r="AM2025" s="111">
        <v>3215.52</v>
      </c>
    </row>
    <row r="2026" spans="1:39" ht="15" customHeight="1" x14ac:dyDescent="0.25">
      <c r="A2026" s="1409"/>
      <c r="B2026" s="1409"/>
      <c r="C2026" s="1409"/>
      <c r="D2026" s="1409"/>
      <c r="E2026" s="1247"/>
      <c r="F2026" s="1248" t="s">
        <v>5330</v>
      </c>
      <c r="G2026" s="111"/>
      <c r="H2026" s="1249">
        <v>4</v>
      </c>
      <c r="I2026" s="111" t="s">
        <v>1776</v>
      </c>
      <c r="J2026" s="1321" t="s">
        <v>5608</v>
      </c>
      <c r="K2026" s="162" t="s">
        <v>5610</v>
      </c>
      <c r="L2026" s="162" t="s">
        <v>5609</v>
      </c>
      <c r="M2026" s="111">
        <v>765.59999999999991</v>
      </c>
      <c r="N2026" s="111">
        <v>3062.3999999999996</v>
      </c>
      <c r="O2026" s="111"/>
      <c r="P2026" s="111"/>
      <c r="Q2026" s="111"/>
      <c r="R2026" s="111"/>
      <c r="S2026" s="1249">
        <v>2</v>
      </c>
      <c r="T2026" s="1250">
        <v>1020.7999999999998</v>
      </c>
      <c r="U2026" s="1250"/>
      <c r="V2026" s="1250"/>
      <c r="W2026" s="1251">
        <v>1</v>
      </c>
      <c r="X2026" s="1250">
        <v>1020.7999999999998</v>
      </c>
      <c r="Y2026" s="1250"/>
      <c r="Z2026" s="1250"/>
      <c r="AA2026" s="1250"/>
      <c r="AB2026" s="1250"/>
      <c r="AC2026" s="1250"/>
      <c r="AD2026" s="1250"/>
      <c r="AE2026" s="1249">
        <v>1</v>
      </c>
      <c r="AF2026" s="1250">
        <v>1020.7999999999998</v>
      </c>
      <c r="AG2026" s="111"/>
      <c r="AH2026" s="111"/>
      <c r="AI2026" s="111"/>
      <c r="AJ2026" s="111"/>
      <c r="AK2026" s="111"/>
      <c r="AL2026" s="111"/>
      <c r="AM2026" s="111">
        <v>3062.3999999999996</v>
      </c>
    </row>
    <row r="2027" spans="1:39" ht="15" customHeight="1" x14ac:dyDescent="0.25">
      <c r="A2027" s="1409"/>
      <c r="B2027" s="1409"/>
      <c r="C2027" s="1409"/>
      <c r="D2027" s="1409"/>
      <c r="E2027" s="1247"/>
      <c r="F2027" s="1248"/>
      <c r="G2027" s="111"/>
      <c r="H2027" s="1249"/>
      <c r="I2027" s="111"/>
      <c r="J2027" s="111"/>
      <c r="K2027" s="111"/>
      <c r="L2027" s="111"/>
      <c r="M2027" s="111"/>
      <c r="N2027" s="111"/>
      <c r="O2027" s="111"/>
      <c r="P2027" s="111"/>
      <c r="Q2027" s="111"/>
      <c r="R2027" s="111"/>
      <c r="S2027" s="1249"/>
      <c r="T2027" s="1250"/>
      <c r="U2027" s="1250"/>
      <c r="V2027" s="1250"/>
      <c r="W2027" s="1251"/>
      <c r="X2027" s="1250"/>
      <c r="Y2027" s="1250"/>
      <c r="Z2027" s="1250"/>
      <c r="AA2027" s="1250"/>
      <c r="AB2027" s="1250"/>
      <c r="AC2027" s="1250"/>
      <c r="AD2027" s="1250"/>
      <c r="AE2027" s="1249"/>
      <c r="AF2027" s="1250"/>
      <c r="AG2027" s="111"/>
      <c r="AH2027" s="111"/>
      <c r="AI2027" s="111"/>
      <c r="AJ2027" s="111"/>
      <c r="AK2027" s="111"/>
      <c r="AL2027" s="111"/>
      <c r="AM2027" s="111"/>
    </row>
    <row r="2028" spans="1:39" ht="36" customHeight="1" x14ac:dyDescent="0.25">
      <c r="A2028" s="1409"/>
      <c r="B2028" s="1409"/>
      <c r="C2028" s="1409"/>
      <c r="D2028" s="1409"/>
      <c r="E2028" s="1204">
        <v>28000</v>
      </c>
      <c r="F2028" s="1274" t="s">
        <v>706</v>
      </c>
      <c r="G2028" s="1204"/>
      <c r="H2028" s="1204"/>
      <c r="I2028" s="1204"/>
      <c r="J2028" s="1204"/>
      <c r="K2028" s="1204"/>
      <c r="L2028" s="1204"/>
      <c r="M2028" s="1204"/>
      <c r="N2028" s="1204"/>
      <c r="O2028" s="1204"/>
      <c r="P2028" s="1204"/>
      <c r="Q2028" s="1204"/>
      <c r="R2028" s="1204"/>
      <c r="S2028" s="1204"/>
      <c r="T2028" s="1204"/>
      <c r="U2028" s="1204"/>
      <c r="V2028" s="1204"/>
      <c r="W2028" s="1204"/>
      <c r="X2028" s="1204"/>
      <c r="Y2028" s="1204"/>
      <c r="Z2028" s="1204"/>
      <c r="AA2028" s="1204"/>
      <c r="AB2028" s="1204"/>
      <c r="AC2028" s="1204"/>
      <c r="AD2028" s="1204"/>
      <c r="AE2028" s="1204"/>
      <c r="AF2028" s="1204"/>
      <c r="AG2028" s="1204"/>
      <c r="AH2028" s="1204"/>
      <c r="AI2028" s="1204"/>
      <c r="AJ2028" s="1204"/>
      <c r="AK2028" s="1204"/>
      <c r="AL2028" s="1204"/>
      <c r="AM2028" s="1204"/>
    </row>
    <row r="2029" spans="1:39" ht="15" customHeight="1" x14ac:dyDescent="0.25">
      <c r="A2029" s="1409"/>
      <c r="B2029" s="1409"/>
      <c r="C2029" s="1409"/>
      <c r="D2029" s="1409"/>
      <c r="E2029" s="1218">
        <v>282</v>
      </c>
      <c r="F2029" s="1268" t="s">
        <v>708</v>
      </c>
      <c r="G2029" s="1218"/>
      <c r="H2029" s="1218"/>
      <c r="I2029" s="1218"/>
      <c r="J2029" s="1218"/>
      <c r="K2029" s="1218"/>
      <c r="L2029" s="1218"/>
      <c r="M2029" s="1218"/>
      <c r="N2029" s="1218"/>
      <c r="O2029" s="1218"/>
      <c r="P2029" s="1218"/>
      <c r="Q2029" s="1218"/>
      <c r="R2029" s="1218"/>
      <c r="S2029" s="1218"/>
      <c r="T2029" s="1218"/>
      <c r="U2029" s="1218"/>
      <c r="V2029" s="1218"/>
      <c r="W2029" s="1218"/>
      <c r="X2029" s="1218"/>
      <c r="Y2029" s="1218"/>
      <c r="Z2029" s="1218"/>
      <c r="AA2029" s="1218"/>
      <c r="AB2029" s="1218"/>
      <c r="AC2029" s="1218"/>
      <c r="AD2029" s="1218"/>
      <c r="AE2029" s="1218"/>
      <c r="AF2029" s="1218"/>
      <c r="AG2029" s="1218"/>
      <c r="AH2029" s="1218"/>
      <c r="AI2029" s="1218"/>
      <c r="AJ2029" s="1218"/>
      <c r="AK2029" s="1218"/>
      <c r="AL2029" s="1218"/>
      <c r="AM2029" s="1218"/>
    </row>
    <row r="2030" spans="1:39" ht="15" customHeight="1" x14ac:dyDescent="0.25">
      <c r="A2030" s="1409"/>
      <c r="B2030" s="1409"/>
      <c r="C2030" s="1409"/>
      <c r="D2030" s="1409"/>
      <c r="E2030" s="1286"/>
      <c r="F2030" s="1248"/>
      <c r="G2030" s="111"/>
      <c r="H2030" s="1249"/>
      <c r="I2030" s="111"/>
      <c r="J2030" s="111"/>
      <c r="K2030" s="111"/>
      <c r="L2030" s="111"/>
      <c r="M2030" s="111"/>
      <c r="N2030" s="111"/>
      <c r="O2030" s="111"/>
      <c r="P2030" s="111"/>
      <c r="Q2030" s="111"/>
      <c r="R2030" s="111"/>
      <c r="S2030" s="1249"/>
      <c r="T2030" s="1250"/>
      <c r="U2030" s="1250"/>
      <c r="V2030" s="1250"/>
      <c r="W2030" s="1251"/>
      <c r="X2030" s="1250"/>
      <c r="Y2030" s="1250"/>
      <c r="Z2030" s="1250"/>
      <c r="AA2030" s="1250"/>
      <c r="AB2030" s="1250"/>
      <c r="AC2030" s="1250"/>
      <c r="AD2030" s="1250"/>
      <c r="AE2030" s="1249"/>
      <c r="AF2030" s="1250"/>
      <c r="AG2030" s="111"/>
      <c r="AH2030" s="111"/>
      <c r="AI2030" s="111"/>
      <c r="AJ2030" s="111"/>
      <c r="AK2030" s="111"/>
      <c r="AL2030" s="111"/>
      <c r="AM2030" s="111"/>
    </row>
    <row r="2031" spans="1:39" ht="15" customHeight="1" x14ac:dyDescent="0.25">
      <c r="A2031" s="1409"/>
      <c r="B2031" s="1409"/>
      <c r="C2031" s="1409"/>
      <c r="D2031" s="1409"/>
      <c r="E2031" s="1261">
        <v>28202</v>
      </c>
      <c r="F2031" s="1262" t="s">
        <v>710</v>
      </c>
      <c r="G2031" s="1261"/>
      <c r="H2031" s="1261"/>
      <c r="I2031" s="1261"/>
      <c r="J2031" s="1261"/>
      <c r="K2031" s="1261"/>
      <c r="L2031" s="1261"/>
      <c r="M2031" s="1261"/>
      <c r="N2031" s="1261"/>
      <c r="O2031" s="1261"/>
      <c r="P2031" s="1261"/>
      <c r="Q2031" s="1261"/>
      <c r="R2031" s="1261"/>
      <c r="S2031" s="1261"/>
      <c r="T2031" s="1261"/>
      <c r="U2031" s="1261"/>
      <c r="V2031" s="1261"/>
      <c r="W2031" s="1261"/>
      <c r="X2031" s="1261"/>
      <c r="Y2031" s="1261"/>
      <c r="Z2031" s="1261"/>
      <c r="AA2031" s="1261"/>
      <c r="AB2031" s="1261"/>
      <c r="AC2031" s="1261"/>
      <c r="AD2031" s="1261"/>
      <c r="AE2031" s="1261"/>
      <c r="AF2031" s="1261"/>
      <c r="AG2031" s="1261"/>
      <c r="AH2031" s="1261"/>
      <c r="AI2031" s="1261"/>
      <c r="AJ2031" s="1261"/>
      <c r="AK2031" s="1261"/>
      <c r="AL2031" s="1261"/>
      <c r="AM2031" s="1261"/>
    </row>
    <row r="2032" spans="1:39" ht="15" customHeight="1" x14ac:dyDescent="0.25">
      <c r="A2032" s="1409"/>
      <c r="B2032" s="1409"/>
      <c r="C2032" s="1409"/>
      <c r="D2032" s="1409"/>
      <c r="E2032" s="1286"/>
      <c r="F2032" s="1248" t="s">
        <v>5331</v>
      </c>
      <c r="G2032" s="111"/>
      <c r="H2032" s="1249">
        <v>6</v>
      </c>
      <c r="I2032" s="111" t="s">
        <v>1721</v>
      </c>
      <c r="J2032" s="1321" t="s">
        <v>5608</v>
      </c>
      <c r="K2032" s="162" t="s">
        <v>5610</v>
      </c>
      <c r="L2032" s="162" t="s">
        <v>5609</v>
      </c>
      <c r="M2032" s="111">
        <v>1500</v>
      </c>
      <c r="N2032" s="111">
        <v>9000</v>
      </c>
      <c r="O2032" s="111"/>
      <c r="P2032" s="111"/>
      <c r="Q2032" s="111"/>
      <c r="R2032" s="111"/>
      <c r="S2032" s="1249">
        <v>2</v>
      </c>
      <c r="T2032" s="1250">
        <v>3000</v>
      </c>
      <c r="U2032" s="1250"/>
      <c r="V2032" s="1250"/>
      <c r="W2032" s="1251">
        <v>2</v>
      </c>
      <c r="X2032" s="1250">
        <v>3000</v>
      </c>
      <c r="Y2032" s="1250"/>
      <c r="Z2032" s="1250"/>
      <c r="AA2032" s="1250"/>
      <c r="AB2032" s="1250"/>
      <c r="AC2032" s="1250"/>
      <c r="AD2032" s="1250"/>
      <c r="AE2032" s="1249">
        <v>2</v>
      </c>
      <c r="AF2032" s="1250">
        <v>3000</v>
      </c>
      <c r="AG2032" s="111"/>
      <c r="AH2032" s="111"/>
      <c r="AI2032" s="111"/>
      <c r="AJ2032" s="111"/>
      <c r="AK2032" s="111"/>
      <c r="AL2032" s="111"/>
      <c r="AM2032" s="111">
        <v>9000</v>
      </c>
    </row>
    <row r="2033" spans="1:39" ht="15" customHeight="1" x14ac:dyDescent="0.25">
      <c r="A2033" s="1409"/>
      <c r="B2033" s="1409"/>
      <c r="C2033" s="1409"/>
      <c r="D2033" s="1409"/>
      <c r="E2033" s="1286"/>
      <c r="F2033" s="1248" t="s">
        <v>5332</v>
      </c>
      <c r="G2033" s="111"/>
      <c r="H2033" s="1249">
        <v>4</v>
      </c>
      <c r="I2033" s="111" t="s">
        <v>1721</v>
      </c>
      <c r="J2033" s="1321" t="s">
        <v>5608</v>
      </c>
      <c r="K2033" s="162" t="s">
        <v>5610</v>
      </c>
      <c r="L2033" s="162" t="s">
        <v>5609</v>
      </c>
      <c r="M2033" s="111">
        <v>1300</v>
      </c>
      <c r="N2033" s="111">
        <v>5200</v>
      </c>
      <c r="O2033" s="111"/>
      <c r="P2033" s="111"/>
      <c r="Q2033" s="111"/>
      <c r="R2033" s="111"/>
      <c r="S2033" s="1249">
        <v>2</v>
      </c>
      <c r="T2033" s="1250">
        <v>1733.3333333333333</v>
      </c>
      <c r="U2033" s="1250"/>
      <c r="V2033" s="1250"/>
      <c r="W2033" s="1251">
        <v>1</v>
      </c>
      <c r="X2033" s="1250">
        <v>1733.3333333333333</v>
      </c>
      <c r="Y2033" s="1250"/>
      <c r="Z2033" s="1250"/>
      <c r="AA2033" s="1250"/>
      <c r="AB2033" s="1250"/>
      <c r="AC2033" s="1250"/>
      <c r="AD2033" s="1250"/>
      <c r="AE2033" s="1249">
        <v>1</v>
      </c>
      <c r="AF2033" s="1250">
        <v>1733.3333333333333</v>
      </c>
      <c r="AG2033" s="111"/>
      <c r="AH2033" s="111"/>
      <c r="AI2033" s="111"/>
      <c r="AJ2033" s="111"/>
      <c r="AK2033" s="111"/>
      <c r="AL2033" s="111"/>
      <c r="AM2033" s="111">
        <v>5200</v>
      </c>
    </row>
    <row r="2034" spans="1:39" ht="15" customHeight="1" x14ac:dyDescent="0.25">
      <c r="A2034" s="1409"/>
      <c r="B2034" s="1409"/>
      <c r="C2034" s="1409"/>
      <c r="D2034" s="1409"/>
      <c r="E2034" s="1286"/>
      <c r="F2034" s="1248"/>
      <c r="G2034" s="111"/>
      <c r="H2034" s="1249"/>
      <c r="I2034" s="111"/>
      <c r="J2034" s="111"/>
      <c r="K2034" s="111"/>
      <c r="L2034" s="111"/>
      <c r="M2034" s="111"/>
      <c r="N2034" s="111"/>
      <c r="O2034" s="111"/>
      <c r="P2034" s="111"/>
      <c r="Q2034" s="111"/>
      <c r="R2034" s="111"/>
      <c r="S2034" s="1249"/>
      <c r="T2034" s="1250"/>
      <c r="U2034" s="1250"/>
      <c r="V2034" s="1250"/>
      <c r="W2034" s="1251"/>
      <c r="X2034" s="1250"/>
      <c r="Y2034" s="1250"/>
      <c r="Z2034" s="1250"/>
      <c r="AA2034" s="1250"/>
      <c r="AB2034" s="1250"/>
      <c r="AC2034" s="1250"/>
      <c r="AD2034" s="1250"/>
      <c r="AE2034" s="1249"/>
      <c r="AF2034" s="1250"/>
      <c r="AG2034" s="111"/>
      <c r="AH2034" s="111"/>
      <c r="AI2034" s="111"/>
      <c r="AJ2034" s="111"/>
      <c r="AK2034" s="111"/>
      <c r="AL2034" s="111"/>
      <c r="AM2034" s="111"/>
    </row>
    <row r="2035" spans="1:39" ht="36" customHeight="1" x14ac:dyDescent="0.25">
      <c r="A2035" s="1409"/>
      <c r="B2035" s="1409"/>
      <c r="C2035" s="1409"/>
      <c r="D2035" s="1409"/>
      <c r="E2035" s="1204">
        <v>29000</v>
      </c>
      <c r="F2035" s="1274" t="s">
        <v>713</v>
      </c>
      <c r="G2035" s="1204"/>
      <c r="H2035" s="1204"/>
      <c r="I2035" s="1204"/>
      <c r="J2035" s="1204"/>
      <c r="K2035" s="1204"/>
      <c r="L2035" s="1204"/>
      <c r="M2035" s="1204"/>
      <c r="N2035" s="1204"/>
      <c r="O2035" s="1204"/>
      <c r="P2035" s="1204"/>
      <c r="Q2035" s="1204"/>
      <c r="R2035" s="1204"/>
      <c r="S2035" s="1204"/>
      <c r="T2035" s="1204"/>
      <c r="U2035" s="1204"/>
      <c r="V2035" s="1204"/>
      <c r="W2035" s="1204"/>
      <c r="X2035" s="1204"/>
      <c r="Y2035" s="1204"/>
      <c r="Z2035" s="1204"/>
      <c r="AA2035" s="1204"/>
      <c r="AB2035" s="1204"/>
      <c r="AC2035" s="1204"/>
      <c r="AD2035" s="1204"/>
      <c r="AE2035" s="1204"/>
      <c r="AF2035" s="1204"/>
      <c r="AG2035" s="1204"/>
      <c r="AH2035" s="1204"/>
      <c r="AI2035" s="1204"/>
      <c r="AJ2035" s="1204"/>
      <c r="AK2035" s="1204"/>
      <c r="AL2035" s="1204"/>
      <c r="AM2035" s="1204"/>
    </row>
    <row r="2036" spans="1:39" ht="15" customHeight="1" x14ac:dyDescent="0.25">
      <c r="A2036" s="1409"/>
      <c r="B2036" s="1409"/>
      <c r="C2036" s="1409"/>
      <c r="D2036" s="1409"/>
      <c r="E2036" s="1218">
        <v>291</v>
      </c>
      <c r="F2036" s="1268" t="s">
        <v>714</v>
      </c>
      <c r="G2036" s="1218"/>
      <c r="H2036" s="1218"/>
      <c r="I2036" s="1218"/>
      <c r="J2036" s="1218"/>
      <c r="K2036" s="1218"/>
      <c r="L2036" s="1218"/>
      <c r="M2036" s="1218"/>
      <c r="N2036" s="1218"/>
      <c r="O2036" s="1218"/>
      <c r="P2036" s="1218"/>
      <c r="Q2036" s="1218"/>
      <c r="R2036" s="1218"/>
      <c r="S2036" s="1218"/>
      <c r="T2036" s="1218"/>
      <c r="U2036" s="1218"/>
      <c r="V2036" s="1218"/>
      <c r="W2036" s="1218"/>
      <c r="X2036" s="1218"/>
      <c r="Y2036" s="1218"/>
      <c r="Z2036" s="1218"/>
      <c r="AA2036" s="1218"/>
      <c r="AB2036" s="1218"/>
      <c r="AC2036" s="1218"/>
      <c r="AD2036" s="1218"/>
      <c r="AE2036" s="1218"/>
      <c r="AF2036" s="1218"/>
      <c r="AG2036" s="1218"/>
      <c r="AH2036" s="1218"/>
      <c r="AI2036" s="1218"/>
      <c r="AJ2036" s="1218"/>
      <c r="AK2036" s="1218"/>
      <c r="AL2036" s="1218"/>
      <c r="AM2036" s="1218"/>
    </row>
    <row r="2037" spans="1:39" ht="15" customHeight="1" x14ac:dyDescent="0.25">
      <c r="A2037" s="1409"/>
      <c r="B2037" s="1409"/>
      <c r="C2037" s="1409"/>
      <c r="D2037" s="1409"/>
      <c r="E2037" s="1261">
        <v>29101</v>
      </c>
      <c r="F2037" s="1262" t="s">
        <v>715</v>
      </c>
      <c r="G2037" s="1261"/>
      <c r="H2037" s="1261"/>
      <c r="I2037" s="1261"/>
      <c r="J2037" s="1261"/>
      <c r="K2037" s="1261"/>
      <c r="L2037" s="1261"/>
      <c r="M2037" s="1261"/>
      <c r="N2037" s="1261"/>
      <c r="O2037" s="1261"/>
      <c r="P2037" s="1261"/>
      <c r="Q2037" s="1261"/>
      <c r="R2037" s="1261"/>
      <c r="S2037" s="1261"/>
      <c r="T2037" s="1261"/>
      <c r="U2037" s="1261"/>
      <c r="V2037" s="1261"/>
      <c r="W2037" s="1261"/>
      <c r="X2037" s="1261"/>
      <c r="Y2037" s="1261"/>
      <c r="Z2037" s="1261"/>
      <c r="AA2037" s="1261"/>
      <c r="AB2037" s="1261"/>
      <c r="AC2037" s="1261"/>
      <c r="AD2037" s="1261"/>
      <c r="AE2037" s="1261"/>
      <c r="AF2037" s="1261"/>
      <c r="AG2037" s="1261"/>
      <c r="AH2037" s="1261"/>
      <c r="AI2037" s="1261"/>
      <c r="AJ2037" s="1261"/>
      <c r="AK2037" s="1261"/>
      <c r="AL2037" s="1261"/>
      <c r="AM2037" s="1261"/>
    </row>
    <row r="2038" spans="1:39" ht="15" customHeight="1" x14ac:dyDescent="0.25">
      <c r="A2038" s="1409"/>
      <c r="B2038" s="1409"/>
      <c r="C2038" s="1409"/>
      <c r="D2038" s="1409"/>
      <c r="E2038" s="1247"/>
      <c r="F2038" s="1248" t="s">
        <v>5333</v>
      </c>
      <c r="G2038" s="111"/>
      <c r="H2038" s="1249">
        <v>1</v>
      </c>
      <c r="I2038" s="111" t="s">
        <v>1721</v>
      </c>
      <c r="J2038" s="1321" t="s">
        <v>5608</v>
      </c>
      <c r="K2038" s="162" t="s">
        <v>5610</v>
      </c>
      <c r="L2038" s="162" t="s">
        <v>5609</v>
      </c>
      <c r="M2038" s="111">
        <v>440</v>
      </c>
      <c r="N2038" s="111">
        <v>440</v>
      </c>
      <c r="O2038" s="111"/>
      <c r="P2038" s="111"/>
      <c r="Q2038" s="111"/>
      <c r="R2038" s="111"/>
      <c r="S2038" s="1249">
        <v>1</v>
      </c>
      <c r="T2038" s="1250">
        <v>146.66666666666666</v>
      </c>
      <c r="U2038" s="1250"/>
      <c r="V2038" s="1250"/>
      <c r="W2038" s="1251">
        <v>0</v>
      </c>
      <c r="X2038" s="1250">
        <v>146.66666666666666</v>
      </c>
      <c r="Y2038" s="1250"/>
      <c r="Z2038" s="1250"/>
      <c r="AA2038" s="1250"/>
      <c r="AB2038" s="1250"/>
      <c r="AC2038" s="1250"/>
      <c r="AD2038" s="1250"/>
      <c r="AE2038" s="1249">
        <v>0</v>
      </c>
      <c r="AF2038" s="1250">
        <v>146.66666666666666</v>
      </c>
      <c r="AG2038" s="111"/>
      <c r="AH2038" s="111"/>
      <c r="AI2038" s="111"/>
      <c r="AJ2038" s="111"/>
      <c r="AK2038" s="111"/>
      <c r="AL2038" s="111"/>
      <c r="AM2038" s="111">
        <v>440</v>
      </c>
    </row>
    <row r="2039" spans="1:39" ht="15" customHeight="1" x14ac:dyDescent="0.25">
      <c r="A2039" s="1409"/>
      <c r="B2039" s="1409"/>
      <c r="C2039" s="1409"/>
      <c r="D2039" s="1409"/>
      <c r="E2039" s="1247"/>
      <c r="F2039" s="1248" t="s">
        <v>1300</v>
      </c>
      <c r="G2039" s="111"/>
      <c r="H2039" s="1249">
        <v>1</v>
      </c>
      <c r="I2039" s="111" t="s">
        <v>1721</v>
      </c>
      <c r="J2039" s="1321" t="s">
        <v>5608</v>
      </c>
      <c r="K2039" s="162" t="s">
        <v>5610</v>
      </c>
      <c r="L2039" s="162" t="s">
        <v>5609</v>
      </c>
      <c r="M2039" s="111">
        <v>1446.9840000000002</v>
      </c>
      <c r="N2039" s="111">
        <v>1446.9840000000002</v>
      </c>
      <c r="O2039" s="111"/>
      <c r="P2039" s="111"/>
      <c r="Q2039" s="111"/>
      <c r="R2039" s="111"/>
      <c r="S2039" s="1249">
        <v>1</v>
      </c>
      <c r="T2039" s="1250">
        <v>482.32800000000003</v>
      </c>
      <c r="U2039" s="1250"/>
      <c r="V2039" s="1250"/>
      <c r="W2039" s="1251">
        <v>0</v>
      </c>
      <c r="X2039" s="1250">
        <v>482.32800000000003</v>
      </c>
      <c r="Y2039" s="1250"/>
      <c r="Z2039" s="1250"/>
      <c r="AA2039" s="1250"/>
      <c r="AB2039" s="1250"/>
      <c r="AC2039" s="1250"/>
      <c r="AD2039" s="1250"/>
      <c r="AE2039" s="1249">
        <v>0</v>
      </c>
      <c r="AF2039" s="1250">
        <v>482.32800000000003</v>
      </c>
      <c r="AG2039" s="111"/>
      <c r="AH2039" s="111"/>
      <c r="AI2039" s="111"/>
      <c r="AJ2039" s="111"/>
      <c r="AK2039" s="111"/>
      <c r="AL2039" s="111"/>
      <c r="AM2039" s="111">
        <v>1446.9840000000002</v>
      </c>
    </row>
    <row r="2040" spans="1:39" ht="15" customHeight="1" x14ac:dyDescent="0.25">
      <c r="A2040" s="1409"/>
      <c r="B2040" s="1409"/>
      <c r="C2040" s="1409"/>
      <c r="D2040" s="1409"/>
      <c r="E2040" s="1247"/>
      <c r="F2040" s="1248" t="s">
        <v>5334</v>
      </c>
      <c r="G2040" s="111"/>
      <c r="H2040" s="1249">
        <v>2</v>
      </c>
      <c r="I2040" s="111" t="s">
        <v>1721</v>
      </c>
      <c r="J2040" s="1321" t="s">
        <v>5608</v>
      </c>
      <c r="K2040" s="162" t="s">
        <v>5610</v>
      </c>
      <c r="L2040" s="162" t="s">
        <v>5609</v>
      </c>
      <c r="M2040" s="111">
        <v>130.91760000000002</v>
      </c>
      <c r="N2040" s="111">
        <v>261.83520000000004</v>
      </c>
      <c r="O2040" s="111"/>
      <c r="P2040" s="111"/>
      <c r="Q2040" s="111"/>
      <c r="R2040" s="111"/>
      <c r="S2040" s="1249">
        <v>2</v>
      </c>
      <c r="T2040" s="1250">
        <v>87.278400000000019</v>
      </c>
      <c r="U2040" s="1250"/>
      <c r="V2040" s="1250"/>
      <c r="W2040" s="1251">
        <v>0</v>
      </c>
      <c r="X2040" s="1250">
        <v>87.278400000000019</v>
      </c>
      <c r="Y2040" s="1250"/>
      <c r="Z2040" s="1250"/>
      <c r="AA2040" s="1250"/>
      <c r="AB2040" s="1250"/>
      <c r="AC2040" s="1250"/>
      <c r="AD2040" s="1250"/>
      <c r="AE2040" s="1249">
        <v>0</v>
      </c>
      <c r="AF2040" s="1250">
        <v>87.278400000000019</v>
      </c>
      <c r="AG2040" s="111"/>
      <c r="AH2040" s="111"/>
      <c r="AI2040" s="111"/>
      <c r="AJ2040" s="111"/>
      <c r="AK2040" s="111"/>
      <c r="AL2040" s="111"/>
      <c r="AM2040" s="111">
        <v>261.83520000000004</v>
      </c>
    </row>
    <row r="2041" spans="1:39" ht="15" customHeight="1" x14ac:dyDescent="0.25">
      <c r="A2041" s="1409"/>
      <c r="B2041" s="1409"/>
      <c r="C2041" s="1409"/>
      <c r="D2041" s="1409"/>
      <c r="E2041" s="1247"/>
      <c r="F2041" s="1248" t="s">
        <v>5335</v>
      </c>
      <c r="G2041" s="111"/>
      <c r="H2041" s="1249">
        <v>2</v>
      </c>
      <c r="I2041" s="111" t="s">
        <v>1721</v>
      </c>
      <c r="J2041" s="1321" t="s">
        <v>5608</v>
      </c>
      <c r="K2041" s="162" t="s">
        <v>5610</v>
      </c>
      <c r="L2041" s="162" t="s">
        <v>5609</v>
      </c>
      <c r="M2041" s="111">
        <v>130.91760000000002</v>
      </c>
      <c r="N2041" s="111">
        <v>261.83520000000004</v>
      </c>
      <c r="O2041" s="111"/>
      <c r="P2041" s="111"/>
      <c r="Q2041" s="111"/>
      <c r="R2041" s="111"/>
      <c r="S2041" s="1249">
        <v>2</v>
      </c>
      <c r="T2041" s="1250">
        <v>87.278400000000019</v>
      </c>
      <c r="U2041" s="1250"/>
      <c r="V2041" s="1250"/>
      <c r="W2041" s="1251">
        <v>0</v>
      </c>
      <c r="X2041" s="1250">
        <v>87.278400000000019</v>
      </c>
      <c r="Y2041" s="1250"/>
      <c r="Z2041" s="1250"/>
      <c r="AA2041" s="1250"/>
      <c r="AB2041" s="1250"/>
      <c r="AC2041" s="1250"/>
      <c r="AD2041" s="1250"/>
      <c r="AE2041" s="1249">
        <v>0</v>
      </c>
      <c r="AF2041" s="1250">
        <v>87.278400000000019</v>
      </c>
      <c r="AG2041" s="111"/>
      <c r="AH2041" s="111"/>
      <c r="AI2041" s="111"/>
      <c r="AJ2041" s="111"/>
      <c r="AK2041" s="111"/>
      <c r="AL2041" s="111"/>
      <c r="AM2041" s="111">
        <v>261.83520000000004</v>
      </c>
    </row>
    <row r="2042" spans="1:39" ht="15" customHeight="1" x14ac:dyDescent="0.25">
      <c r="A2042" s="1409"/>
      <c r="B2042" s="1409"/>
      <c r="C2042" s="1409"/>
      <c r="D2042" s="1409"/>
      <c r="E2042" s="1247"/>
      <c r="F2042" s="1248" t="s">
        <v>1316</v>
      </c>
      <c r="G2042" s="111"/>
      <c r="H2042" s="1249">
        <v>2</v>
      </c>
      <c r="I2042" s="111" t="s">
        <v>1721</v>
      </c>
      <c r="J2042" s="1321" t="s">
        <v>5608</v>
      </c>
      <c r="K2042" s="162" t="s">
        <v>5610</v>
      </c>
      <c r="L2042" s="162" t="s">
        <v>5609</v>
      </c>
      <c r="M2042" s="111">
        <v>130.91760000000002</v>
      </c>
      <c r="N2042" s="111">
        <v>261.83520000000004</v>
      </c>
      <c r="O2042" s="111"/>
      <c r="P2042" s="111"/>
      <c r="Q2042" s="111"/>
      <c r="R2042" s="111"/>
      <c r="S2042" s="1249">
        <v>2</v>
      </c>
      <c r="T2042" s="1250">
        <v>87.278400000000019</v>
      </c>
      <c r="U2042" s="1250"/>
      <c r="V2042" s="1250"/>
      <c r="W2042" s="1251">
        <v>0</v>
      </c>
      <c r="X2042" s="1250">
        <v>87.278400000000019</v>
      </c>
      <c r="Y2042" s="1250"/>
      <c r="Z2042" s="1250"/>
      <c r="AA2042" s="1250"/>
      <c r="AB2042" s="1250"/>
      <c r="AC2042" s="1250"/>
      <c r="AD2042" s="1250"/>
      <c r="AE2042" s="1249">
        <v>0</v>
      </c>
      <c r="AF2042" s="1250">
        <v>87.278400000000019</v>
      </c>
      <c r="AG2042" s="111"/>
      <c r="AH2042" s="111"/>
      <c r="AI2042" s="111"/>
      <c r="AJ2042" s="111"/>
      <c r="AK2042" s="111"/>
      <c r="AL2042" s="111"/>
      <c r="AM2042" s="111">
        <v>261.83520000000004</v>
      </c>
    </row>
    <row r="2043" spans="1:39" ht="15" customHeight="1" x14ac:dyDescent="0.25">
      <c r="A2043" s="1409"/>
      <c r="B2043" s="1409"/>
      <c r="C2043" s="1409"/>
      <c r="D2043" s="1409"/>
      <c r="E2043" s="1247"/>
      <c r="F2043" s="1248" t="s">
        <v>1317</v>
      </c>
      <c r="G2043" s="111"/>
      <c r="H2043" s="1249">
        <v>2</v>
      </c>
      <c r="I2043" s="111" t="s">
        <v>1721</v>
      </c>
      <c r="J2043" s="1321" t="s">
        <v>5608</v>
      </c>
      <c r="K2043" s="162" t="s">
        <v>5610</v>
      </c>
      <c r="L2043" s="162" t="s">
        <v>5609</v>
      </c>
      <c r="M2043" s="111">
        <v>130.91760000000002</v>
      </c>
      <c r="N2043" s="111">
        <v>261.83520000000004</v>
      </c>
      <c r="O2043" s="111"/>
      <c r="P2043" s="111"/>
      <c r="Q2043" s="111"/>
      <c r="R2043" s="111"/>
      <c r="S2043" s="1249">
        <v>2</v>
      </c>
      <c r="T2043" s="1250">
        <v>87.278400000000019</v>
      </c>
      <c r="U2043" s="1250"/>
      <c r="V2043" s="1250"/>
      <c r="W2043" s="1251">
        <v>0</v>
      </c>
      <c r="X2043" s="1250">
        <v>87.278400000000019</v>
      </c>
      <c r="Y2043" s="1250"/>
      <c r="Z2043" s="1250"/>
      <c r="AA2043" s="1250"/>
      <c r="AB2043" s="1250"/>
      <c r="AC2043" s="1250"/>
      <c r="AD2043" s="1250"/>
      <c r="AE2043" s="1249">
        <v>0</v>
      </c>
      <c r="AF2043" s="1250">
        <v>87.278400000000019</v>
      </c>
      <c r="AG2043" s="111"/>
      <c r="AH2043" s="111"/>
      <c r="AI2043" s="111"/>
      <c r="AJ2043" s="111"/>
      <c r="AK2043" s="111"/>
      <c r="AL2043" s="111"/>
      <c r="AM2043" s="111">
        <v>261.83520000000004</v>
      </c>
    </row>
    <row r="2044" spans="1:39" ht="15" customHeight="1" x14ac:dyDescent="0.25">
      <c r="A2044" s="1409"/>
      <c r="B2044" s="1409"/>
      <c r="C2044" s="1409"/>
      <c r="D2044" s="1409"/>
      <c r="E2044" s="1247"/>
      <c r="F2044" s="1248" t="s">
        <v>1301</v>
      </c>
      <c r="G2044" s="111"/>
      <c r="H2044" s="1249">
        <v>9</v>
      </c>
      <c r="I2044" s="111" t="s">
        <v>1721</v>
      </c>
      <c r="J2044" s="1321" t="s">
        <v>5608</v>
      </c>
      <c r="K2044" s="162" t="s">
        <v>5610</v>
      </c>
      <c r="L2044" s="162" t="s">
        <v>5609</v>
      </c>
      <c r="M2044" s="111">
        <v>378.97199999999998</v>
      </c>
      <c r="N2044" s="111">
        <v>3410.7479999999996</v>
      </c>
      <c r="O2044" s="111"/>
      <c r="P2044" s="111"/>
      <c r="Q2044" s="111"/>
      <c r="R2044" s="111"/>
      <c r="S2044" s="1249">
        <v>5</v>
      </c>
      <c r="T2044" s="1250">
        <v>1136.9159999999999</v>
      </c>
      <c r="U2044" s="1250"/>
      <c r="V2044" s="1250"/>
      <c r="W2044" s="1251">
        <v>2</v>
      </c>
      <c r="X2044" s="1250">
        <v>1136.9159999999999</v>
      </c>
      <c r="Y2044" s="1250"/>
      <c r="Z2044" s="1250"/>
      <c r="AA2044" s="1250"/>
      <c r="AB2044" s="1250"/>
      <c r="AC2044" s="1250"/>
      <c r="AD2044" s="1250"/>
      <c r="AE2044" s="1249">
        <v>2</v>
      </c>
      <c r="AF2044" s="1250">
        <v>1136.9159999999999</v>
      </c>
      <c r="AG2044" s="111"/>
      <c r="AH2044" s="111"/>
      <c r="AI2044" s="111"/>
      <c r="AJ2044" s="111"/>
      <c r="AK2044" s="111"/>
      <c r="AL2044" s="111"/>
      <c r="AM2044" s="111">
        <v>3410.7479999999996</v>
      </c>
    </row>
    <row r="2045" spans="1:39" ht="15" customHeight="1" x14ac:dyDescent="0.25">
      <c r="A2045" s="1409"/>
      <c r="B2045" s="1409"/>
      <c r="C2045" s="1409"/>
      <c r="D2045" s="1409"/>
      <c r="E2045" s="1247"/>
      <c r="F2045" s="1248" t="s">
        <v>3307</v>
      </c>
      <c r="G2045" s="111"/>
      <c r="H2045" s="1249">
        <v>1</v>
      </c>
      <c r="I2045" s="111" t="s">
        <v>1721</v>
      </c>
      <c r="J2045" s="1321" t="s">
        <v>5608</v>
      </c>
      <c r="K2045" s="162" t="s">
        <v>5610</v>
      </c>
      <c r="L2045" s="162" t="s">
        <v>5609</v>
      </c>
      <c r="M2045" s="111">
        <v>212.79</v>
      </c>
      <c r="N2045" s="111">
        <v>212.79</v>
      </c>
      <c r="O2045" s="111"/>
      <c r="P2045" s="111"/>
      <c r="Q2045" s="111"/>
      <c r="R2045" s="111"/>
      <c r="S2045" s="1249">
        <v>1</v>
      </c>
      <c r="T2045" s="1250">
        <v>70.929999999999993</v>
      </c>
      <c r="U2045" s="1250"/>
      <c r="V2045" s="1250"/>
      <c r="W2045" s="1251">
        <v>0</v>
      </c>
      <c r="X2045" s="1250">
        <v>70.929999999999993</v>
      </c>
      <c r="Y2045" s="1250"/>
      <c r="Z2045" s="1250"/>
      <c r="AA2045" s="1250"/>
      <c r="AB2045" s="1250"/>
      <c r="AC2045" s="1250"/>
      <c r="AD2045" s="1250"/>
      <c r="AE2045" s="1249">
        <v>0</v>
      </c>
      <c r="AF2045" s="1250">
        <v>70.929999999999993</v>
      </c>
      <c r="AG2045" s="111"/>
      <c r="AH2045" s="111"/>
      <c r="AI2045" s="111"/>
      <c r="AJ2045" s="111"/>
      <c r="AK2045" s="111"/>
      <c r="AL2045" s="111"/>
      <c r="AM2045" s="111">
        <v>212.79</v>
      </c>
    </row>
    <row r="2046" spans="1:39" ht="15" customHeight="1" x14ac:dyDescent="0.25">
      <c r="A2046" s="1409"/>
      <c r="B2046" s="1409"/>
      <c r="C2046" s="1409"/>
      <c r="D2046" s="1409"/>
      <c r="E2046" s="1247"/>
      <c r="F2046" s="1248" t="s">
        <v>5336</v>
      </c>
      <c r="G2046" s="111"/>
      <c r="H2046" s="1249">
        <v>1</v>
      </c>
      <c r="I2046" s="111" t="s">
        <v>1721</v>
      </c>
      <c r="J2046" s="1321" t="s">
        <v>5608</v>
      </c>
      <c r="K2046" s="162" t="s">
        <v>5610</v>
      </c>
      <c r="L2046" s="162" t="s">
        <v>5609</v>
      </c>
      <c r="M2046" s="111">
        <v>170</v>
      </c>
      <c r="N2046" s="111">
        <v>170</v>
      </c>
      <c r="O2046" s="111"/>
      <c r="P2046" s="111"/>
      <c r="Q2046" s="111"/>
      <c r="R2046" s="111"/>
      <c r="S2046" s="1249">
        <v>1</v>
      </c>
      <c r="T2046" s="1250">
        <v>56.666666666666664</v>
      </c>
      <c r="U2046" s="1250"/>
      <c r="V2046" s="1250"/>
      <c r="W2046" s="1251">
        <v>0</v>
      </c>
      <c r="X2046" s="1250">
        <v>56.666666666666664</v>
      </c>
      <c r="Y2046" s="1250"/>
      <c r="Z2046" s="1250"/>
      <c r="AA2046" s="1250"/>
      <c r="AB2046" s="1250"/>
      <c r="AC2046" s="1250"/>
      <c r="AD2046" s="1250"/>
      <c r="AE2046" s="1249">
        <v>0</v>
      </c>
      <c r="AF2046" s="1250">
        <v>56.666666666666664</v>
      </c>
      <c r="AG2046" s="111"/>
      <c r="AH2046" s="111"/>
      <c r="AI2046" s="111"/>
      <c r="AJ2046" s="111"/>
      <c r="AK2046" s="111"/>
      <c r="AL2046" s="111"/>
      <c r="AM2046" s="111">
        <v>170</v>
      </c>
    </row>
    <row r="2047" spans="1:39" ht="15" customHeight="1" x14ac:dyDescent="0.25">
      <c r="A2047" s="1409"/>
      <c r="B2047" s="1409"/>
      <c r="C2047" s="1409"/>
      <c r="D2047" s="1409"/>
      <c r="E2047" s="1247"/>
      <c r="F2047" s="1248" t="s">
        <v>5337</v>
      </c>
      <c r="G2047" s="111"/>
      <c r="H2047" s="1249">
        <v>1</v>
      </c>
      <c r="I2047" s="111" t="s">
        <v>1721</v>
      </c>
      <c r="J2047" s="1321" t="s">
        <v>5608</v>
      </c>
      <c r="K2047" s="162" t="s">
        <v>5610</v>
      </c>
      <c r="L2047" s="162" t="s">
        <v>5609</v>
      </c>
      <c r="M2047" s="111">
        <v>170</v>
      </c>
      <c r="N2047" s="111">
        <v>170</v>
      </c>
      <c r="O2047" s="111"/>
      <c r="P2047" s="111"/>
      <c r="Q2047" s="111"/>
      <c r="R2047" s="111"/>
      <c r="S2047" s="1249">
        <v>1</v>
      </c>
      <c r="T2047" s="1250">
        <v>56.666666666666664</v>
      </c>
      <c r="U2047" s="1250"/>
      <c r="V2047" s="1250"/>
      <c r="W2047" s="1251">
        <v>0</v>
      </c>
      <c r="X2047" s="1250">
        <v>56.666666666666664</v>
      </c>
      <c r="Y2047" s="1250"/>
      <c r="Z2047" s="1250"/>
      <c r="AA2047" s="1250"/>
      <c r="AB2047" s="1250"/>
      <c r="AC2047" s="1250"/>
      <c r="AD2047" s="1250"/>
      <c r="AE2047" s="1249">
        <v>0</v>
      </c>
      <c r="AF2047" s="1250">
        <v>56.666666666666664</v>
      </c>
      <c r="AG2047" s="111"/>
      <c r="AH2047" s="111"/>
      <c r="AI2047" s="111"/>
      <c r="AJ2047" s="111"/>
      <c r="AK2047" s="111"/>
      <c r="AL2047" s="111"/>
      <c r="AM2047" s="111">
        <v>170</v>
      </c>
    </row>
    <row r="2048" spans="1:39" ht="15" customHeight="1" x14ac:dyDescent="0.25">
      <c r="A2048" s="1409"/>
      <c r="B2048" s="1409"/>
      <c r="C2048" s="1409"/>
      <c r="D2048" s="1409"/>
      <c r="E2048" s="1247"/>
      <c r="F2048" s="1248" t="s">
        <v>1302</v>
      </c>
      <c r="G2048" s="111"/>
      <c r="H2048" s="1249">
        <v>40</v>
      </c>
      <c r="I2048" s="111" t="s">
        <v>1721</v>
      </c>
      <c r="J2048" s="1321" t="s">
        <v>5608</v>
      </c>
      <c r="K2048" s="162" t="s">
        <v>5610</v>
      </c>
      <c r="L2048" s="162" t="s">
        <v>5609</v>
      </c>
      <c r="M2048" s="111">
        <v>34.452000000000005</v>
      </c>
      <c r="N2048" s="111">
        <v>1378.0800000000002</v>
      </c>
      <c r="O2048" s="111"/>
      <c r="P2048" s="111"/>
      <c r="Q2048" s="111"/>
      <c r="R2048" s="111"/>
      <c r="S2048" s="1249">
        <v>15</v>
      </c>
      <c r="T2048" s="1250">
        <v>459.36000000000007</v>
      </c>
      <c r="U2048" s="1250"/>
      <c r="V2048" s="1250"/>
      <c r="W2048" s="1251">
        <v>15</v>
      </c>
      <c r="X2048" s="1250">
        <v>459.36000000000007</v>
      </c>
      <c r="Y2048" s="1250"/>
      <c r="Z2048" s="1250"/>
      <c r="AA2048" s="1250"/>
      <c r="AB2048" s="1250"/>
      <c r="AC2048" s="1250"/>
      <c r="AD2048" s="1250"/>
      <c r="AE2048" s="1249">
        <v>10</v>
      </c>
      <c r="AF2048" s="1250">
        <v>459.36000000000007</v>
      </c>
      <c r="AG2048" s="111"/>
      <c r="AH2048" s="111"/>
      <c r="AI2048" s="111"/>
      <c r="AJ2048" s="111"/>
      <c r="AK2048" s="111"/>
      <c r="AL2048" s="111"/>
      <c r="AM2048" s="111">
        <v>1378.0800000000002</v>
      </c>
    </row>
    <row r="2049" spans="1:39" ht="15" customHeight="1" x14ac:dyDescent="0.25">
      <c r="A2049" s="1409"/>
      <c r="B2049" s="1409"/>
      <c r="C2049" s="1409"/>
      <c r="D2049" s="1409"/>
      <c r="E2049" s="1247"/>
      <c r="F2049" s="1248" t="s">
        <v>1309</v>
      </c>
      <c r="G2049" s="111"/>
      <c r="H2049" s="1249">
        <v>2</v>
      </c>
      <c r="I2049" s="111" t="s">
        <v>1721</v>
      </c>
      <c r="J2049" s="1321" t="s">
        <v>5608</v>
      </c>
      <c r="K2049" s="162" t="s">
        <v>5610</v>
      </c>
      <c r="L2049" s="162" t="s">
        <v>5609</v>
      </c>
      <c r="M2049" s="111">
        <v>241.16400000000004</v>
      </c>
      <c r="N2049" s="111">
        <v>482.32800000000009</v>
      </c>
      <c r="O2049" s="111"/>
      <c r="P2049" s="111"/>
      <c r="Q2049" s="111"/>
      <c r="R2049" s="111"/>
      <c r="S2049" s="1249">
        <v>2</v>
      </c>
      <c r="T2049" s="1250">
        <v>160.77600000000004</v>
      </c>
      <c r="U2049" s="1250"/>
      <c r="V2049" s="1250"/>
      <c r="W2049" s="1251">
        <v>0</v>
      </c>
      <c r="X2049" s="1250">
        <v>160.77600000000004</v>
      </c>
      <c r="Y2049" s="1250"/>
      <c r="Z2049" s="1250"/>
      <c r="AA2049" s="1250"/>
      <c r="AB2049" s="1250"/>
      <c r="AC2049" s="1250"/>
      <c r="AD2049" s="1250"/>
      <c r="AE2049" s="1249">
        <v>0</v>
      </c>
      <c r="AF2049" s="1250">
        <v>160.77600000000004</v>
      </c>
      <c r="AG2049" s="111"/>
      <c r="AH2049" s="111"/>
      <c r="AI2049" s="111"/>
      <c r="AJ2049" s="111"/>
      <c r="AK2049" s="111"/>
      <c r="AL2049" s="111"/>
      <c r="AM2049" s="111">
        <v>482.32800000000009</v>
      </c>
    </row>
    <row r="2050" spans="1:39" ht="15" customHeight="1" x14ac:dyDescent="0.25">
      <c r="A2050" s="1409"/>
      <c r="B2050" s="1409"/>
      <c r="C2050" s="1409"/>
      <c r="D2050" s="1409"/>
      <c r="E2050" s="1247"/>
      <c r="F2050" s="1248" t="s">
        <v>725</v>
      </c>
      <c r="G2050" s="111"/>
      <c r="H2050" s="1249">
        <v>9</v>
      </c>
      <c r="I2050" s="111" t="s">
        <v>1721</v>
      </c>
      <c r="J2050" s="1321" t="s">
        <v>5608</v>
      </c>
      <c r="K2050" s="162" t="s">
        <v>5610</v>
      </c>
      <c r="L2050" s="162" t="s">
        <v>5609</v>
      </c>
      <c r="M2050" s="111">
        <v>96.467066666666653</v>
      </c>
      <c r="N2050" s="111">
        <v>868.20359999999982</v>
      </c>
      <c r="O2050" s="111"/>
      <c r="P2050" s="111"/>
      <c r="Q2050" s="111"/>
      <c r="R2050" s="111"/>
      <c r="S2050" s="1249">
        <v>5</v>
      </c>
      <c r="T2050" s="1250">
        <v>289.40119999999996</v>
      </c>
      <c r="U2050" s="1250"/>
      <c r="V2050" s="1250"/>
      <c r="W2050" s="1251">
        <v>2</v>
      </c>
      <c r="X2050" s="1250">
        <v>289.40119999999996</v>
      </c>
      <c r="Y2050" s="1250"/>
      <c r="Z2050" s="1250"/>
      <c r="AA2050" s="1250"/>
      <c r="AB2050" s="1250"/>
      <c r="AC2050" s="1250"/>
      <c r="AD2050" s="1250"/>
      <c r="AE2050" s="1249">
        <v>2</v>
      </c>
      <c r="AF2050" s="1250">
        <v>289.40119999999996</v>
      </c>
      <c r="AG2050" s="111"/>
      <c r="AH2050" s="111"/>
      <c r="AI2050" s="111"/>
      <c r="AJ2050" s="111"/>
      <c r="AK2050" s="111"/>
      <c r="AL2050" s="111"/>
      <c r="AM2050" s="111">
        <v>868.20359999999994</v>
      </c>
    </row>
    <row r="2051" spans="1:39" ht="15" customHeight="1" x14ac:dyDescent="0.25">
      <c r="A2051" s="1409"/>
      <c r="B2051" s="1409"/>
      <c r="C2051" s="1409"/>
      <c r="D2051" s="1409"/>
      <c r="E2051" s="1247"/>
      <c r="F2051" s="1248" t="s">
        <v>3311</v>
      </c>
      <c r="G2051" s="111"/>
      <c r="H2051" s="1249">
        <v>1</v>
      </c>
      <c r="I2051" s="111" t="s">
        <v>1721</v>
      </c>
      <c r="J2051" s="1321" t="s">
        <v>5608</v>
      </c>
      <c r="K2051" s="162" t="s">
        <v>5610</v>
      </c>
      <c r="L2051" s="162" t="s">
        <v>5609</v>
      </c>
      <c r="M2051" s="111">
        <v>231.66</v>
      </c>
      <c r="N2051" s="111">
        <v>231.66</v>
      </c>
      <c r="O2051" s="111"/>
      <c r="P2051" s="111"/>
      <c r="Q2051" s="111"/>
      <c r="R2051" s="111"/>
      <c r="S2051" s="1249">
        <v>1</v>
      </c>
      <c r="T2051" s="1250">
        <v>77.22</v>
      </c>
      <c r="U2051" s="1250"/>
      <c r="V2051" s="1250"/>
      <c r="W2051" s="1251">
        <v>0</v>
      </c>
      <c r="X2051" s="1250">
        <v>77.22</v>
      </c>
      <c r="Y2051" s="1250"/>
      <c r="Z2051" s="1250"/>
      <c r="AA2051" s="1250"/>
      <c r="AB2051" s="1250"/>
      <c r="AC2051" s="1250"/>
      <c r="AD2051" s="1250"/>
      <c r="AE2051" s="1249">
        <v>0</v>
      </c>
      <c r="AF2051" s="1250">
        <v>77.22</v>
      </c>
      <c r="AG2051" s="111"/>
      <c r="AH2051" s="111"/>
      <c r="AI2051" s="111"/>
      <c r="AJ2051" s="111"/>
      <c r="AK2051" s="111"/>
      <c r="AL2051" s="111"/>
      <c r="AM2051" s="111">
        <v>231.66</v>
      </c>
    </row>
    <row r="2052" spans="1:39" ht="15" customHeight="1" x14ac:dyDescent="0.25">
      <c r="A2052" s="1409"/>
      <c r="B2052" s="1409"/>
      <c r="C2052" s="1409"/>
      <c r="D2052" s="1409"/>
      <c r="E2052" s="1247"/>
      <c r="F2052" s="1248" t="s">
        <v>5338</v>
      </c>
      <c r="G2052" s="111"/>
      <c r="H2052" s="1249">
        <v>3</v>
      </c>
      <c r="I2052" s="111" t="s">
        <v>1725</v>
      </c>
      <c r="J2052" s="1321" t="s">
        <v>5608</v>
      </c>
      <c r="K2052" s="162" t="s">
        <v>5610</v>
      </c>
      <c r="L2052" s="162" t="s">
        <v>5609</v>
      </c>
      <c r="M2052" s="111">
        <v>771.72479999999996</v>
      </c>
      <c r="N2052" s="111">
        <v>2315.1743999999999</v>
      </c>
      <c r="O2052" s="111"/>
      <c r="P2052" s="111"/>
      <c r="Q2052" s="111"/>
      <c r="R2052" s="111"/>
      <c r="S2052" s="1249">
        <v>1</v>
      </c>
      <c r="T2052" s="1250">
        <v>771.72479999999996</v>
      </c>
      <c r="U2052" s="1250"/>
      <c r="V2052" s="1250"/>
      <c r="W2052" s="1251">
        <v>1</v>
      </c>
      <c r="X2052" s="1250">
        <v>771.72479999999996</v>
      </c>
      <c r="Y2052" s="1250"/>
      <c r="Z2052" s="1250"/>
      <c r="AA2052" s="1250"/>
      <c r="AB2052" s="1250"/>
      <c r="AC2052" s="1250"/>
      <c r="AD2052" s="1250"/>
      <c r="AE2052" s="1249">
        <v>1</v>
      </c>
      <c r="AF2052" s="1250">
        <v>771.72479999999996</v>
      </c>
      <c r="AG2052" s="111"/>
      <c r="AH2052" s="111"/>
      <c r="AI2052" s="111"/>
      <c r="AJ2052" s="111"/>
      <c r="AK2052" s="111"/>
      <c r="AL2052" s="111"/>
      <c r="AM2052" s="111">
        <v>2315.1743999999999</v>
      </c>
    </row>
    <row r="2053" spans="1:39" ht="15" customHeight="1" x14ac:dyDescent="0.25">
      <c r="A2053" s="1409"/>
      <c r="B2053" s="1409"/>
      <c r="C2053" s="1409"/>
      <c r="D2053" s="1409"/>
      <c r="E2053" s="1247"/>
      <c r="F2053" s="1248" t="s">
        <v>1643</v>
      </c>
      <c r="G2053" s="111"/>
      <c r="H2053" s="1249">
        <v>2</v>
      </c>
      <c r="I2053" s="111" t="s">
        <v>1725</v>
      </c>
      <c r="J2053" s="1321" t="s">
        <v>5608</v>
      </c>
      <c r="K2053" s="162" t="s">
        <v>5610</v>
      </c>
      <c r="L2053" s="162" t="s">
        <v>5609</v>
      </c>
      <c r="M2053" s="111">
        <v>3651.9120000000003</v>
      </c>
      <c r="N2053" s="111">
        <v>7303.8240000000005</v>
      </c>
      <c r="O2053" s="111"/>
      <c r="P2053" s="111"/>
      <c r="Q2053" s="111"/>
      <c r="R2053" s="111"/>
      <c r="S2053" s="1249">
        <v>2</v>
      </c>
      <c r="T2053" s="1250">
        <v>2434.6080000000002</v>
      </c>
      <c r="U2053" s="1250"/>
      <c r="V2053" s="1250"/>
      <c r="W2053" s="1251">
        <v>0</v>
      </c>
      <c r="X2053" s="1250">
        <v>2434.6080000000002</v>
      </c>
      <c r="Y2053" s="1250"/>
      <c r="Z2053" s="1250"/>
      <c r="AA2053" s="1250"/>
      <c r="AB2053" s="1250"/>
      <c r="AC2053" s="1250"/>
      <c r="AD2053" s="1250"/>
      <c r="AE2053" s="1249">
        <v>0</v>
      </c>
      <c r="AF2053" s="1250">
        <v>2434.6080000000002</v>
      </c>
      <c r="AG2053" s="111"/>
      <c r="AH2053" s="111"/>
      <c r="AI2053" s="111"/>
      <c r="AJ2053" s="111"/>
      <c r="AK2053" s="111"/>
      <c r="AL2053" s="111"/>
      <c r="AM2053" s="111">
        <v>7303.8240000000005</v>
      </c>
    </row>
    <row r="2054" spans="1:39" ht="15" customHeight="1" x14ac:dyDescent="0.25">
      <c r="A2054" s="1409"/>
      <c r="B2054" s="1409"/>
      <c r="C2054" s="1409"/>
      <c r="D2054" s="1409"/>
      <c r="E2054" s="1247"/>
      <c r="F2054" s="1248" t="s">
        <v>724</v>
      </c>
      <c r="G2054" s="111"/>
      <c r="H2054" s="1249">
        <v>2</v>
      </c>
      <c r="I2054" s="111" t="s">
        <v>1725</v>
      </c>
      <c r="J2054" s="1321" t="s">
        <v>5608</v>
      </c>
      <c r="K2054" s="162" t="s">
        <v>5610</v>
      </c>
      <c r="L2054" s="162" t="s">
        <v>5609</v>
      </c>
      <c r="M2054" s="111">
        <v>806.17680000000007</v>
      </c>
      <c r="N2054" s="111">
        <v>1612.3536000000001</v>
      </c>
      <c r="O2054" s="111"/>
      <c r="P2054" s="111"/>
      <c r="Q2054" s="111"/>
      <c r="R2054" s="111"/>
      <c r="S2054" s="1249">
        <v>2</v>
      </c>
      <c r="T2054" s="1250">
        <v>537.45120000000009</v>
      </c>
      <c r="U2054" s="1250"/>
      <c r="V2054" s="1250"/>
      <c r="W2054" s="1251">
        <v>0</v>
      </c>
      <c r="X2054" s="1250">
        <v>537.45120000000009</v>
      </c>
      <c r="Y2054" s="1250"/>
      <c r="Z2054" s="1250"/>
      <c r="AA2054" s="1250"/>
      <c r="AB2054" s="1250"/>
      <c r="AC2054" s="1250"/>
      <c r="AD2054" s="1250"/>
      <c r="AE2054" s="1249">
        <v>0</v>
      </c>
      <c r="AF2054" s="1250">
        <v>537.45120000000009</v>
      </c>
      <c r="AG2054" s="111"/>
      <c r="AH2054" s="111"/>
      <c r="AI2054" s="111"/>
      <c r="AJ2054" s="111"/>
      <c r="AK2054" s="111"/>
      <c r="AL2054" s="111"/>
      <c r="AM2054" s="111">
        <v>1612.3536000000001</v>
      </c>
    </row>
    <row r="2055" spans="1:39" ht="15" customHeight="1" x14ac:dyDescent="0.25">
      <c r="A2055" s="1409"/>
      <c r="B2055" s="1409"/>
      <c r="C2055" s="1409"/>
      <c r="D2055" s="1409"/>
      <c r="E2055" s="1247"/>
      <c r="F2055" s="1248" t="s">
        <v>723</v>
      </c>
      <c r="G2055" s="111"/>
      <c r="H2055" s="1249">
        <v>5</v>
      </c>
      <c r="I2055" s="111" t="s">
        <v>1776</v>
      </c>
      <c r="J2055" s="1321" t="s">
        <v>5608</v>
      </c>
      <c r="K2055" s="162" t="s">
        <v>5610</v>
      </c>
      <c r="L2055" s="162" t="s">
        <v>5609</v>
      </c>
      <c r="M2055" s="111">
        <v>316.95871999999997</v>
      </c>
      <c r="N2055" s="111">
        <v>1584.7936</v>
      </c>
      <c r="O2055" s="111"/>
      <c r="P2055" s="111"/>
      <c r="Q2055" s="111"/>
      <c r="R2055" s="111"/>
      <c r="S2055" s="1249">
        <v>2</v>
      </c>
      <c r="T2055" s="1250">
        <v>528.26453333333336</v>
      </c>
      <c r="U2055" s="1250"/>
      <c r="V2055" s="1250"/>
      <c r="W2055" s="1251">
        <v>2</v>
      </c>
      <c r="X2055" s="1250">
        <v>528.26453333333336</v>
      </c>
      <c r="Y2055" s="1250"/>
      <c r="Z2055" s="1250"/>
      <c r="AA2055" s="1250"/>
      <c r="AB2055" s="1250"/>
      <c r="AC2055" s="1250"/>
      <c r="AD2055" s="1250"/>
      <c r="AE2055" s="1249">
        <v>1</v>
      </c>
      <c r="AF2055" s="1250">
        <v>528.26453333333336</v>
      </c>
      <c r="AG2055" s="111"/>
      <c r="AH2055" s="111"/>
      <c r="AI2055" s="111"/>
      <c r="AJ2055" s="111"/>
      <c r="AK2055" s="111"/>
      <c r="AL2055" s="111"/>
      <c r="AM2055" s="111">
        <v>1584.7936</v>
      </c>
    </row>
    <row r="2056" spans="1:39" ht="15" customHeight="1" x14ac:dyDescent="0.25">
      <c r="A2056" s="1409"/>
      <c r="B2056" s="1409"/>
      <c r="C2056" s="1409"/>
      <c r="D2056" s="1409"/>
      <c r="E2056" s="1247"/>
      <c r="F2056" s="1248" t="s">
        <v>5339</v>
      </c>
      <c r="G2056" s="111"/>
      <c r="H2056" s="1249">
        <v>4</v>
      </c>
      <c r="I2056" s="111" t="s">
        <v>1776</v>
      </c>
      <c r="J2056" s="1321" t="s">
        <v>5608</v>
      </c>
      <c r="K2056" s="162" t="s">
        <v>5610</v>
      </c>
      <c r="L2056" s="162" t="s">
        <v>5609</v>
      </c>
      <c r="M2056" s="111">
        <v>82.68</v>
      </c>
      <c r="N2056" s="111">
        <v>330.72</v>
      </c>
      <c r="O2056" s="111"/>
      <c r="P2056" s="111"/>
      <c r="Q2056" s="111"/>
      <c r="R2056" s="111"/>
      <c r="S2056" s="1249">
        <v>2</v>
      </c>
      <c r="T2056" s="1250">
        <v>110.24000000000001</v>
      </c>
      <c r="U2056" s="1250"/>
      <c r="V2056" s="1250"/>
      <c r="W2056" s="1251">
        <v>1</v>
      </c>
      <c r="X2056" s="1250">
        <v>110.24000000000001</v>
      </c>
      <c r="Y2056" s="1250"/>
      <c r="Z2056" s="1250"/>
      <c r="AA2056" s="1250"/>
      <c r="AB2056" s="1250"/>
      <c r="AC2056" s="1250"/>
      <c r="AD2056" s="1250"/>
      <c r="AE2056" s="1249">
        <v>1</v>
      </c>
      <c r="AF2056" s="1250">
        <v>110.24000000000001</v>
      </c>
      <c r="AG2056" s="111"/>
      <c r="AH2056" s="111"/>
      <c r="AI2056" s="111"/>
      <c r="AJ2056" s="111"/>
      <c r="AK2056" s="111"/>
      <c r="AL2056" s="111"/>
      <c r="AM2056" s="111">
        <v>330.72</v>
      </c>
    </row>
    <row r="2057" spans="1:39" ht="15" customHeight="1" x14ac:dyDescent="0.25">
      <c r="A2057" s="1409"/>
      <c r="B2057" s="1409"/>
      <c r="C2057" s="1409"/>
      <c r="D2057" s="1409"/>
      <c r="E2057" s="1247"/>
      <c r="F2057" s="1248" t="s">
        <v>1318</v>
      </c>
      <c r="G2057" s="111"/>
      <c r="H2057" s="1249">
        <v>5</v>
      </c>
      <c r="I2057" s="111" t="s">
        <v>1776</v>
      </c>
      <c r="J2057" s="1321" t="s">
        <v>5608</v>
      </c>
      <c r="K2057" s="162" t="s">
        <v>5610</v>
      </c>
      <c r="L2057" s="162" t="s">
        <v>5609</v>
      </c>
      <c r="M2057" s="111">
        <v>337.62959999999998</v>
      </c>
      <c r="N2057" s="111">
        <v>1688.1479999999999</v>
      </c>
      <c r="O2057" s="111"/>
      <c r="P2057" s="111"/>
      <c r="Q2057" s="111"/>
      <c r="R2057" s="111"/>
      <c r="S2057" s="1249">
        <v>2</v>
      </c>
      <c r="T2057" s="1250">
        <v>562.71600000000001</v>
      </c>
      <c r="U2057" s="1250"/>
      <c r="V2057" s="1250"/>
      <c r="W2057" s="1251">
        <v>2</v>
      </c>
      <c r="X2057" s="1250">
        <v>562.71600000000001</v>
      </c>
      <c r="Y2057" s="1250"/>
      <c r="Z2057" s="1250"/>
      <c r="AA2057" s="1250"/>
      <c r="AB2057" s="1250"/>
      <c r="AC2057" s="1250"/>
      <c r="AD2057" s="1250"/>
      <c r="AE2057" s="1249">
        <v>1</v>
      </c>
      <c r="AF2057" s="1250">
        <v>562.71600000000001</v>
      </c>
      <c r="AG2057" s="111"/>
      <c r="AH2057" s="111"/>
      <c r="AI2057" s="111"/>
      <c r="AJ2057" s="111"/>
      <c r="AK2057" s="111"/>
      <c r="AL2057" s="111"/>
      <c r="AM2057" s="111">
        <v>1688.1479999999999</v>
      </c>
    </row>
    <row r="2058" spans="1:39" ht="15" customHeight="1" x14ac:dyDescent="0.25">
      <c r="A2058" s="1409"/>
      <c r="B2058" s="1409"/>
      <c r="C2058" s="1409"/>
      <c r="D2058" s="1409"/>
      <c r="E2058" s="1247"/>
      <c r="F2058" s="1248" t="s">
        <v>1311</v>
      </c>
      <c r="G2058" s="111"/>
      <c r="H2058" s="1249">
        <v>3</v>
      </c>
      <c r="I2058" s="111" t="s">
        <v>1721</v>
      </c>
      <c r="J2058" s="1321" t="s">
        <v>5608</v>
      </c>
      <c r="K2058" s="162" t="s">
        <v>5610</v>
      </c>
      <c r="L2058" s="162" t="s">
        <v>5609</v>
      </c>
      <c r="M2058" s="111">
        <v>96.465599999999995</v>
      </c>
      <c r="N2058" s="111">
        <v>289.39679999999998</v>
      </c>
      <c r="O2058" s="111"/>
      <c r="P2058" s="111"/>
      <c r="Q2058" s="111"/>
      <c r="R2058" s="111"/>
      <c r="S2058" s="1249">
        <v>1</v>
      </c>
      <c r="T2058" s="1250">
        <v>96.465599999999995</v>
      </c>
      <c r="U2058" s="1250"/>
      <c r="V2058" s="1250"/>
      <c r="W2058" s="1251">
        <v>1</v>
      </c>
      <c r="X2058" s="1250">
        <v>96.465599999999995</v>
      </c>
      <c r="Y2058" s="1250"/>
      <c r="Z2058" s="1250"/>
      <c r="AA2058" s="1250"/>
      <c r="AB2058" s="1250"/>
      <c r="AC2058" s="1250"/>
      <c r="AD2058" s="1250"/>
      <c r="AE2058" s="1249">
        <v>1</v>
      </c>
      <c r="AF2058" s="1250">
        <v>96.465599999999995</v>
      </c>
      <c r="AG2058" s="111"/>
      <c r="AH2058" s="111"/>
      <c r="AI2058" s="111"/>
      <c r="AJ2058" s="111"/>
      <c r="AK2058" s="111"/>
      <c r="AL2058" s="111"/>
      <c r="AM2058" s="111">
        <v>289.39679999999998</v>
      </c>
    </row>
    <row r="2059" spans="1:39" ht="15" customHeight="1" x14ac:dyDescent="0.25">
      <c r="A2059" s="1409"/>
      <c r="B2059" s="1409"/>
      <c r="C2059" s="1409"/>
      <c r="D2059" s="1409"/>
      <c r="E2059" s="1247"/>
      <c r="F2059" s="1248" t="s">
        <v>1310</v>
      </c>
      <c r="G2059" s="111"/>
      <c r="H2059" s="1249">
        <v>4</v>
      </c>
      <c r="I2059" s="111" t="s">
        <v>1721</v>
      </c>
      <c r="J2059" s="1321" t="s">
        <v>5608</v>
      </c>
      <c r="K2059" s="162" t="s">
        <v>5610</v>
      </c>
      <c r="L2059" s="162" t="s">
        <v>5609</v>
      </c>
      <c r="M2059" s="111">
        <v>68.904000000000011</v>
      </c>
      <c r="N2059" s="111">
        <v>275.61600000000004</v>
      </c>
      <c r="O2059" s="111"/>
      <c r="P2059" s="111"/>
      <c r="Q2059" s="111"/>
      <c r="R2059" s="111"/>
      <c r="S2059" s="1249">
        <v>2</v>
      </c>
      <c r="T2059" s="1250">
        <v>91.872000000000014</v>
      </c>
      <c r="U2059" s="1250"/>
      <c r="V2059" s="1250"/>
      <c r="W2059" s="1251">
        <v>1</v>
      </c>
      <c r="X2059" s="1250">
        <v>91.872000000000014</v>
      </c>
      <c r="Y2059" s="1250"/>
      <c r="Z2059" s="1250"/>
      <c r="AA2059" s="1250"/>
      <c r="AB2059" s="1250"/>
      <c r="AC2059" s="1250"/>
      <c r="AD2059" s="1250"/>
      <c r="AE2059" s="1249">
        <v>1</v>
      </c>
      <c r="AF2059" s="1250">
        <v>91.872000000000014</v>
      </c>
      <c r="AG2059" s="111"/>
      <c r="AH2059" s="111"/>
      <c r="AI2059" s="111"/>
      <c r="AJ2059" s="111"/>
      <c r="AK2059" s="111"/>
      <c r="AL2059" s="111"/>
      <c r="AM2059" s="111">
        <v>275.61600000000004</v>
      </c>
    </row>
    <row r="2060" spans="1:39" ht="15" customHeight="1" x14ac:dyDescent="0.25">
      <c r="A2060" s="1409"/>
      <c r="B2060" s="1409"/>
      <c r="C2060" s="1409"/>
      <c r="D2060" s="1409"/>
      <c r="E2060" s="1247"/>
      <c r="F2060" s="1248" t="s">
        <v>1312</v>
      </c>
      <c r="G2060" s="111"/>
      <c r="H2060" s="1249">
        <v>3</v>
      </c>
      <c r="I2060" s="111" t="s">
        <v>1721</v>
      </c>
      <c r="J2060" s="1321" t="s">
        <v>5608</v>
      </c>
      <c r="K2060" s="162" t="s">
        <v>5610</v>
      </c>
      <c r="L2060" s="162" t="s">
        <v>5609</v>
      </c>
      <c r="M2060" s="111">
        <v>110.24640000000001</v>
      </c>
      <c r="N2060" s="111">
        <v>330.73920000000004</v>
      </c>
      <c r="O2060" s="111"/>
      <c r="P2060" s="111"/>
      <c r="Q2060" s="111"/>
      <c r="R2060" s="111"/>
      <c r="S2060" s="1249">
        <v>1</v>
      </c>
      <c r="T2060" s="1250">
        <v>110.24640000000001</v>
      </c>
      <c r="U2060" s="1250"/>
      <c r="V2060" s="1250"/>
      <c r="W2060" s="1251">
        <v>1</v>
      </c>
      <c r="X2060" s="1250">
        <v>110.24640000000001</v>
      </c>
      <c r="Y2060" s="1250"/>
      <c r="Z2060" s="1250"/>
      <c r="AA2060" s="1250"/>
      <c r="AB2060" s="1250"/>
      <c r="AC2060" s="1250"/>
      <c r="AD2060" s="1250"/>
      <c r="AE2060" s="1249">
        <v>1</v>
      </c>
      <c r="AF2060" s="1250">
        <v>110.24640000000001</v>
      </c>
      <c r="AG2060" s="111"/>
      <c r="AH2060" s="111"/>
      <c r="AI2060" s="111"/>
      <c r="AJ2060" s="111"/>
      <c r="AK2060" s="111"/>
      <c r="AL2060" s="111"/>
      <c r="AM2060" s="111">
        <v>330.73920000000004</v>
      </c>
    </row>
    <row r="2061" spans="1:39" ht="15" customHeight="1" x14ac:dyDescent="0.25">
      <c r="A2061" s="1409"/>
      <c r="B2061" s="1409"/>
      <c r="C2061" s="1409"/>
      <c r="D2061" s="1409"/>
      <c r="E2061" s="1247"/>
      <c r="F2061" s="1248" t="s">
        <v>1307</v>
      </c>
      <c r="G2061" s="111"/>
      <c r="H2061" s="1249">
        <v>1</v>
      </c>
      <c r="I2061" s="111" t="s">
        <v>1721</v>
      </c>
      <c r="J2061" s="1321" t="s">
        <v>5608</v>
      </c>
      <c r="K2061" s="162" t="s">
        <v>5610</v>
      </c>
      <c r="L2061" s="162" t="s">
        <v>5609</v>
      </c>
      <c r="M2061" s="111">
        <v>475.43760000000009</v>
      </c>
      <c r="N2061" s="111">
        <v>475.43760000000009</v>
      </c>
      <c r="O2061" s="111"/>
      <c r="P2061" s="111"/>
      <c r="Q2061" s="111"/>
      <c r="R2061" s="111"/>
      <c r="S2061" s="1249">
        <v>1</v>
      </c>
      <c r="T2061" s="1250">
        <v>158.47920000000002</v>
      </c>
      <c r="U2061" s="1250"/>
      <c r="V2061" s="1250"/>
      <c r="W2061" s="1251">
        <v>0</v>
      </c>
      <c r="X2061" s="1250">
        <v>158.47920000000002</v>
      </c>
      <c r="Y2061" s="1250"/>
      <c r="Z2061" s="1250"/>
      <c r="AA2061" s="1250"/>
      <c r="AB2061" s="1250"/>
      <c r="AC2061" s="1250"/>
      <c r="AD2061" s="1250"/>
      <c r="AE2061" s="1249">
        <v>0</v>
      </c>
      <c r="AF2061" s="1250">
        <v>158.47920000000002</v>
      </c>
      <c r="AG2061" s="111"/>
      <c r="AH2061" s="111"/>
      <c r="AI2061" s="111"/>
      <c r="AJ2061" s="111"/>
      <c r="AK2061" s="111"/>
      <c r="AL2061" s="111"/>
      <c r="AM2061" s="111">
        <v>475.43760000000009</v>
      </c>
    </row>
    <row r="2062" spans="1:39" ht="15" customHeight="1" x14ac:dyDescent="0.25">
      <c r="A2062" s="1409"/>
      <c r="B2062" s="1409"/>
      <c r="C2062" s="1409"/>
      <c r="D2062" s="1409"/>
      <c r="E2062" s="1247"/>
      <c r="F2062" s="1248" t="s">
        <v>1303</v>
      </c>
      <c r="G2062" s="111"/>
      <c r="H2062" s="1249">
        <v>8</v>
      </c>
      <c r="I2062" s="111" t="s">
        <v>1725</v>
      </c>
      <c r="J2062" s="1321" t="s">
        <v>5608</v>
      </c>
      <c r="K2062" s="162" t="s">
        <v>5610</v>
      </c>
      <c r="L2062" s="162" t="s">
        <v>5609</v>
      </c>
      <c r="M2062" s="111">
        <v>682.14959999999996</v>
      </c>
      <c r="N2062" s="111">
        <v>5457.1967999999997</v>
      </c>
      <c r="O2062" s="111"/>
      <c r="P2062" s="111"/>
      <c r="Q2062" s="111"/>
      <c r="R2062" s="111"/>
      <c r="S2062" s="1249">
        <v>4</v>
      </c>
      <c r="T2062" s="1250">
        <v>1819.0655999999999</v>
      </c>
      <c r="U2062" s="1250"/>
      <c r="V2062" s="1250"/>
      <c r="W2062" s="1251">
        <v>2</v>
      </c>
      <c r="X2062" s="1250">
        <v>1819.0655999999999</v>
      </c>
      <c r="Y2062" s="1250"/>
      <c r="Z2062" s="1250"/>
      <c r="AA2062" s="1250"/>
      <c r="AB2062" s="1250"/>
      <c r="AC2062" s="1250"/>
      <c r="AD2062" s="1250"/>
      <c r="AE2062" s="1249">
        <v>2</v>
      </c>
      <c r="AF2062" s="1250">
        <v>1819.0655999999999</v>
      </c>
      <c r="AG2062" s="111"/>
      <c r="AH2062" s="111"/>
      <c r="AI2062" s="111"/>
      <c r="AJ2062" s="111"/>
      <c r="AK2062" s="111"/>
      <c r="AL2062" s="111"/>
      <c r="AM2062" s="111">
        <v>5457.1967999999997</v>
      </c>
    </row>
    <row r="2063" spans="1:39" ht="15" customHeight="1" x14ac:dyDescent="0.25">
      <c r="A2063" s="1409"/>
      <c r="B2063" s="1409"/>
      <c r="C2063" s="1409"/>
      <c r="D2063" s="1409"/>
      <c r="E2063" s="1247"/>
      <c r="F2063" s="1248" t="s">
        <v>721</v>
      </c>
      <c r="G2063" s="111"/>
      <c r="H2063" s="1249">
        <v>3</v>
      </c>
      <c r="I2063" s="111" t="s">
        <v>1721</v>
      </c>
      <c r="J2063" s="1321" t="s">
        <v>5608</v>
      </c>
      <c r="K2063" s="162" t="s">
        <v>5610</v>
      </c>
      <c r="L2063" s="162" t="s">
        <v>5609</v>
      </c>
      <c r="M2063" s="111">
        <v>316.95839999999998</v>
      </c>
      <c r="N2063" s="111">
        <v>950.87519999999995</v>
      </c>
      <c r="O2063" s="111"/>
      <c r="P2063" s="111"/>
      <c r="Q2063" s="111"/>
      <c r="R2063" s="111"/>
      <c r="S2063" s="1249">
        <v>1</v>
      </c>
      <c r="T2063" s="1250">
        <v>316.95839999999998</v>
      </c>
      <c r="U2063" s="1250"/>
      <c r="V2063" s="1250"/>
      <c r="W2063" s="1251">
        <v>1</v>
      </c>
      <c r="X2063" s="1250">
        <v>316.95839999999998</v>
      </c>
      <c r="Y2063" s="1250"/>
      <c r="Z2063" s="1250"/>
      <c r="AA2063" s="1250"/>
      <c r="AB2063" s="1250"/>
      <c r="AC2063" s="1250"/>
      <c r="AD2063" s="1250"/>
      <c r="AE2063" s="1249">
        <v>1</v>
      </c>
      <c r="AF2063" s="1250">
        <v>316.95839999999998</v>
      </c>
      <c r="AG2063" s="111"/>
      <c r="AH2063" s="111"/>
      <c r="AI2063" s="111"/>
      <c r="AJ2063" s="111"/>
      <c r="AK2063" s="111"/>
      <c r="AL2063" s="111"/>
      <c r="AM2063" s="111">
        <v>950.87519999999995</v>
      </c>
    </row>
    <row r="2064" spans="1:39" ht="15" customHeight="1" x14ac:dyDescent="0.25">
      <c r="A2064" s="1409"/>
      <c r="B2064" s="1409"/>
      <c r="C2064" s="1409"/>
      <c r="D2064" s="1409"/>
      <c r="E2064" s="1247"/>
      <c r="F2064" s="1248" t="s">
        <v>716</v>
      </c>
      <c r="G2064" s="111"/>
      <c r="H2064" s="1249">
        <v>24</v>
      </c>
      <c r="I2064" s="111" t="s">
        <v>1721</v>
      </c>
      <c r="J2064" s="1321" t="s">
        <v>5608</v>
      </c>
      <c r="K2064" s="162" t="s">
        <v>5610</v>
      </c>
      <c r="L2064" s="162" t="s">
        <v>5609</v>
      </c>
      <c r="M2064" s="111">
        <v>151.5889</v>
      </c>
      <c r="N2064" s="111">
        <v>3638.1336000000001</v>
      </c>
      <c r="O2064" s="111"/>
      <c r="P2064" s="111"/>
      <c r="Q2064" s="111"/>
      <c r="R2064" s="111"/>
      <c r="S2064" s="1249">
        <v>14</v>
      </c>
      <c r="T2064" s="1250">
        <v>1212.7112</v>
      </c>
      <c r="U2064" s="1250"/>
      <c r="V2064" s="1250"/>
      <c r="W2064" s="1251">
        <v>5</v>
      </c>
      <c r="X2064" s="1250">
        <v>1212.7112</v>
      </c>
      <c r="Y2064" s="1250"/>
      <c r="Z2064" s="1250"/>
      <c r="AA2064" s="1250"/>
      <c r="AB2064" s="1250"/>
      <c r="AC2064" s="1250"/>
      <c r="AD2064" s="1250"/>
      <c r="AE2064" s="1249">
        <v>5</v>
      </c>
      <c r="AF2064" s="1250">
        <v>1212.7112</v>
      </c>
      <c r="AG2064" s="111"/>
      <c r="AH2064" s="111"/>
      <c r="AI2064" s="111"/>
      <c r="AJ2064" s="111"/>
      <c r="AK2064" s="111"/>
      <c r="AL2064" s="111"/>
      <c r="AM2064" s="111">
        <v>3638.1336000000001</v>
      </c>
    </row>
    <row r="2065" spans="1:39" ht="15" customHeight="1" x14ac:dyDescent="0.25">
      <c r="A2065" s="1409"/>
      <c r="B2065" s="1409"/>
      <c r="C2065" s="1409"/>
      <c r="D2065" s="1409"/>
      <c r="E2065" s="1247"/>
      <c r="F2065" s="1248" t="s">
        <v>5340</v>
      </c>
      <c r="G2065" s="111"/>
      <c r="H2065" s="1249">
        <v>2</v>
      </c>
      <c r="I2065" s="111" t="s">
        <v>1721</v>
      </c>
      <c r="J2065" s="1321" t="s">
        <v>5608</v>
      </c>
      <c r="K2065" s="162" t="s">
        <v>5610</v>
      </c>
      <c r="L2065" s="162" t="s">
        <v>5609</v>
      </c>
      <c r="M2065" s="111">
        <v>1695.0391999999999</v>
      </c>
      <c r="N2065" s="111">
        <v>3390.0783999999999</v>
      </c>
      <c r="O2065" s="111"/>
      <c r="P2065" s="111"/>
      <c r="Q2065" s="111"/>
      <c r="R2065" s="111"/>
      <c r="S2065" s="1249">
        <v>2</v>
      </c>
      <c r="T2065" s="1250">
        <v>1130.0261333333333</v>
      </c>
      <c r="U2065" s="1250"/>
      <c r="V2065" s="1250"/>
      <c r="W2065" s="1251">
        <v>0</v>
      </c>
      <c r="X2065" s="1250">
        <v>1130.0261333333333</v>
      </c>
      <c r="Y2065" s="1250"/>
      <c r="Z2065" s="1250"/>
      <c r="AA2065" s="1250"/>
      <c r="AB2065" s="1250"/>
      <c r="AC2065" s="1250"/>
      <c r="AD2065" s="1250"/>
      <c r="AE2065" s="1249">
        <v>0</v>
      </c>
      <c r="AF2065" s="1250">
        <v>1130.0261333333333</v>
      </c>
      <c r="AG2065" s="111"/>
      <c r="AH2065" s="111"/>
      <c r="AI2065" s="111"/>
      <c r="AJ2065" s="111"/>
      <c r="AK2065" s="111"/>
      <c r="AL2065" s="111"/>
      <c r="AM2065" s="111">
        <v>3390.0783999999999</v>
      </c>
    </row>
    <row r="2066" spans="1:39" ht="15" customHeight="1" x14ac:dyDescent="0.25">
      <c r="A2066" s="1409"/>
      <c r="B2066" s="1409"/>
      <c r="C2066" s="1409"/>
      <c r="D2066" s="1409"/>
      <c r="E2066" s="1247"/>
      <c r="F2066" s="1248" t="s">
        <v>720</v>
      </c>
      <c r="G2066" s="111"/>
      <c r="H2066" s="1249">
        <v>4</v>
      </c>
      <c r="I2066" s="111" t="s">
        <v>1721</v>
      </c>
      <c r="J2066" s="1321" t="s">
        <v>5608</v>
      </c>
      <c r="K2066" s="162" t="s">
        <v>5610</v>
      </c>
      <c r="L2066" s="162" t="s">
        <v>5609</v>
      </c>
      <c r="M2066" s="111">
        <v>150.21054000000004</v>
      </c>
      <c r="N2066" s="111">
        <v>600.84216000000015</v>
      </c>
      <c r="O2066" s="111"/>
      <c r="P2066" s="111"/>
      <c r="Q2066" s="111"/>
      <c r="R2066" s="111"/>
      <c r="S2066" s="1249">
        <v>2</v>
      </c>
      <c r="T2066" s="1250">
        <v>200.28072000000006</v>
      </c>
      <c r="U2066" s="1250"/>
      <c r="V2066" s="1250"/>
      <c r="W2066" s="1251">
        <v>1</v>
      </c>
      <c r="X2066" s="1250">
        <v>200.28072000000006</v>
      </c>
      <c r="Y2066" s="1250"/>
      <c r="Z2066" s="1250"/>
      <c r="AA2066" s="1250"/>
      <c r="AB2066" s="1250"/>
      <c r="AC2066" s="1250"/>
      <c r="AD2066" s="1250"/>
      <c r="AE2066" s="1249">
        <v>1</v>
      </c>
      <c r="AF2066" s="1250">
        <v>200.28072000000006</v>
      </c>
      <c r="AG2066" s="111"/>
      <c r="AH2066" s="111"/>
      <c r="AI2066" s="111"/>
      <c r="AJ2066" s="111"/>
      <c r="AK2066" s="111"/>
      <c r="AL2066" s="111"/>
      <c r="AM2066" s="111">
        <v>600.84216000000015</v>
      </c>
    </row>
    <row r="2067" spans="1:39" ht="15" customHeight="1" x14ac:dyDescent="0.25">
      <c r="A2067" s="1409"/>
      <c r="B2067" s="1409"/>
      <c r="C2067" s="1409"/>
      <c r="D2067" s="1409"/>
      <c r="E2067" s="1247"/>
      <c r="F2067" s="1248" t="s">
        <v>1305</v>
      </c>
      <c r="G2067" s="111"/>
      <c r="H2067" s="1249">
        <v>2</v>
      </c>
      <c r="I2067" s="111" t="s">
        <v>1721</v>
      </c>
      <c r="J2067" s="1321" t="s">
        <v>5608</v>
      </c>
      <c r="K2067" s="162" t="s">
        <v>5610</v>
      </c>
      <c r="L2067" s="162" t="s">
        <v>5609</v>
      </c>
      <c r="M2067" s="111">
        <v>268.72560000000004</v>
      </c>
      <c r="N2067" s="111">
        <v>537.45120000000009</v>
      </c>
      <c r="O2067" s="111"/>
      <c r="P2067" s="111"/>
      <c r="Q2067" s="111"/>
      <c r="R2067" s="111"/>
      <c r="S2067" s="1249">
        <v>2</v>
      </c>
      <c r="T2067" s="1250">
        <v>179.15040000000002</v>
      </c>
      <c r="U2067" s="1250"/>
      <c r="V2067" s="1250"/>
      <c r="W2067" s="1251">
        <v>0</v>
      </c>
      <c r="X2067" s="1250">
        <v>179.15040000000002</v>
      </c>
      <c r="Y2067" s="1250"/>
      <c r="Z2067" s="1250"/>
      <c r="AA2067" s="1250"/>
      <c r="AB2067" s="1250"/>
      <c r="AC2067" s="1250"/>
      <c r="AD2067" s="1250"/>
      <c r="AE2067" s="1249">
        <v>0</v>
      </c>
      <c r="AF2067" s="1250">
        <v>179.15040000000002</v>
      </c>
      <c r="AG2067" s="111"/>
      <c r="AH2067" s="111"/>
      <c r="AI2067" s="111"/>
      <c r="AJ2067" s="111"/>
      <c r="AK2067" s="111"/>
      <c r="AL2067" s="111"/>
      <c r="AM2067" s="111">
        <v>537.45120000000009</v>
      </c>
    </row>
    <row r="2068" spans="1:39" ht="15" customHeight="1" x14ac:dyDescent="0.25">
      <c r="A2068" s="1409"/>
      <c r="B2068" s="1409"/>
      <c r="C2068" s="1409"/>
      <c r="D2068" s="1409"/>
      <c r="E2068" s="1247"/>
      <c r="F2068" s="1248" t="s">
        <v>722</v>
      </c>
      <c r="G2068" s="111"/>
      <c r="H2068" s="1249">
        <v>6</v>
      </c>
      <c r="I2068" s="111" t="s">
        <v>1721</v>
      </c>
      <c r="J2068" s="1321" t="s">
        <v>5608</v>
      </c>
      <c r="K2068" s="162" t="s">
        <v>5610</v>
      </c>
      <c r="L2068" s="162" t="s">
        <v>5609</v>
      </c>
      <c r="M2068" s="111">
        <v>392.75186666666667</v>
      </c>
      <c r="N2068" s="111">
        <v>2356.5111999999999</v>
      </c>
      <c r="O2068" s="111"/>
      <c r="P2068" s="111"/>
      <c r="Q2068" s="111"/>
      <c r="R2068" s="111"/>
      <c r="S2068" s="1249">
        <v>2</v>
      </c>
      <c r="T2068" s="1250">
        <v>785.50373333333334</v>
      </c>
      <c r="U2068" s="1250"/>
      <c r="V2068" s="1250"/>
      <c r="W2068" s="1251">
        <v>2</v>
      </c>
      <c r="X2068" s="1250">
        <v>785.50373333333334</v>
      </c>
      <c r="Y2068" s="1250"/>
      <c r="Z2068" s="1250"/>
      <c r="AA2068" s="1250"/>
      <c r="AB2068" s="1250"/>
      <c r="AC2068" s="1250"/>
      <c r="AD2068" s="1250"/>
      <c r="AE2068" s="1249">
        <v>2</v>
      </c>
      <c r="AF2068" s="1250">
        <v>785.50373333333334</v>
      </c>
      <c r="AG2068" s="111"/>
      <c r="AH2068" s="111"/>
      <c r="AI2068" s="111"/>
      <c r="AJ2068" s="111"/>
      <c r="AK2068" s="111"/>
      <c r="AL2068" s="111"/>
      <c r="AM2068" s="111">
        <v>2356.5111999999999</v>
      </c>
    </row>
    <row r="2069" spans="1:39" ht="15" customHeight="1" x14ac:dyDescent="0.25">
      <c r="A2069" s="1409"/>
      <c r="B2069" s="1409"/>
      <c r="C2069" s="1409"/>
      <c r="D2069" s="1409"/>
      <c r="E2069" s="1247"/>
      <c r="F2069" s="1248" t="s">
        <v>1304</v>
      </c>
      <c r="G2069" s="111"/>
      <c r="H2069" s="1249">
        <v>3</v>
      </c>
      <c r="I2069" s="111" t="s">
        <v>1721</v>
      </c>
      <c r="J2069" s="1321" t="s">
        <v>5608</v>
      </c>
      <c r="K2069" s="162" t="s">
        <v>5610</v>
      </c>
      <c r="L2069" s="162" t="s">
        <v>5609</v>
      </c>
      <c r="M2069" s="111">
        <v>234.27240000000003</v>
      </c>
      <c r="N2069" s="111">
        <v>702.81720000000007</v>
      </c>
      <c r="O2069" s="111"/>
      <c r="P2069" s="111"/>
      <c r="Q2069" s="111"/>
      <c r="R2069" s="111"/>
      <c r="S2069" s="1249">
        <v>1</v>
      </c>
      <c r="T2069" s="1250">
        <v>234.27240000000003</v>
      </c>
      <c r="U2069" s="1250"/>
      <c r="V2069" s="1250"/>
      <c r="W2069" s="1251">
        <v>1</v>
      </c>
      <c r="X2069" s="1250">
        <v>234.27240000000003</v>
      </c>
      <c r="Y2069" s="1250"/>
      <c r="Z2069" s="1250"/>
      <c r="AA2069" s="1250"/>
      <c r="AB2069" s="1250"/>
      <c r="AC2069" s="1250"/>
      <c r="AD2069" s="1250"/>
      <c r="AE2069" s="1249">
        <v>1</v>
      </c>
      <c r="AF2069" s="1250">
        <v>234.27240000000003</v>
      </c>
      <c r="AG2069" s="111"/>
      <c r="AH2069" s="111"/>
      <c r="AI2069" s="111"/>
      <c r="AJ2069" s="111"/>
      <c r="AK2069" s="111"/>
      <c r="AL2069" s="111"/>
      <c r="AM2069" s="111">
        <v>702.81720000000007</v>
      </c>
    </row>
    <row r="2070" spans="1:39" ht="15" customHeight="1" x14ac:dyDescent="0.25">
      <c r="A2070" s="1409"/>
      <c r="B2070" s="1409"/>
      <c r="C2070" s="1409"/>
      <c r="D2070" s="1409"/>
      <c r="E2070" s="1247"/>
      <c r="F2070" s="1248" t="s">
        <v>5341</v>
      </c>
      <c r="G2070" s="111"/>
      <c r="H2070" s="1249">
        <v>1</v>
      </c>
      <c r="I2070" s="111" t="s">
        <v>1721</v>
      </c>
      <c r="J2070" s="1321" t="s">
        <v>5608</v>
      </c>
      <c r="K2070" s="162" t="s">
        <v>5610</v>
      </c>
      <c r="L2070" s="162" t="s">
        <v>5609</v>
      </c>
      <c r="M2070" s="111">
        <v>358.55135999999999</v>
      </c>
      <c r="N2070" s="111">
        <v>358.55135999999999</v>
      </c>
      <c r="O2070" s="111"/>
      <c r="P2070" s="111"/>
      <c r="Q2070" s="111"/>
      <c r="R2070" s="111"/>
      <c r="S2070" s="1249">
        <v>1</v>
      </c>
      <c r="T2070" s="1250">
        <v>119.51711999999999</v>
      </c>
      <c r="U2070" s="1250"/>
      <c r="V2070" s="1250"/>
      <c r="W2070" s="1251">
        <v>0</v>
      </c>
      <c r="X2070" s="1250">
        <v>119.51711999999999</v>
      </c>
      <c r="Y2070" s="1250"/>
      <c r="Z2070" s="1250"/>
      <c r="AA2070" s="1250"/>
      <c r="AB2070" s="1250"/>
      <c r="AC2070" s="1250"/>
      <c r="AD2070" s="1250"/>
      <c r="AE2070" s="1249">
        <v>0</v>
      </c>
      <c r="AF2070" s="1250">
        <v>119.51711999999999</v>
      </c>
      <c r="AG2070" s="111"/>
      <c r="AH2070" s="111"/>
      <c r="AI2070" s="111"/>
      <c r="AJ2070" s="111"/>
      <c r="AK2070" s="111"/>
      <c r="AL2070" s="111"/>
      <c r="AM2070" s="111">
        <v>358.55135999999999</v>
      </c>
    </row>
    <row r="2071" spans="1:39" ht="15" customHeight="1" x14ac:dyDescent="0.25">
      <c r="A2071" s="1409"/>
      <c r="B2071" s="1409"/>
      <c r="C2071" s="1409"/>
      <c r="D2071" s="1409"/>
      <c r="E2071" s="1247"/>
      <c r="F2071" s="1248" t="s">
        <v>3310</v>
      </c>
      <c r="G2071" s="111"/>
      <c r="H2071" s="1249">
        <v>1</v>
      </c>
      <c r="I2071" s="111" t="s">
        <v>1725</v>
      </c>
      <c r="J2071" s="1321" t="s">
        <v>5608</v>
      </c>
      <c r="K2071" s="162" t="s">
        <v>5610</v>
      </c>
      <c r="L2071" s="162" t="s">
        <v>5609</v>
      </c>
      <c r="M2071" s="111">
        <v>326.7</v>
      </c>
      <c r="N2071" s="111">
        <v>326.7</v>
      </c>
      <c r="O2071" s="111"/>
      <c r="P2071" s="111"/>
      <c r="Q2071" s="111"/>
      <c r="R2071" s="111"/>
      <c r="S2071" s="1249">
        <v>1</v>
      </c>
      <c r="T2071" s="1250">
        <v>108.89999999999999</v>
      </c>
      <c r="U2071" s="1250"/>
      <c r="V2071" s="1250"/>
      <c r="W2071" s="1251">
        <v>0</v>
      </c>
      <c r="X2071" s="1250">
        <v>108.89999999999999</v>
      </c>
      <c r="Y2071" s="1250"/>
      <c r="Z2071" s="1250"/>
      <c r="AA2071" s="1250"/>
      <c r="AB2071" s="1250"/>
      <c r="AC2071" s="1250"/>
      <c r="AD2071" s="1250"/>
      <c r="AE2071" s="1249">
        <v>0</v>
      </c>
      <c r="AF2071" s="1250">
        <v>108.89999999999999</v>
      </c>
      <c r="AG2071" s="111"/>
      <c r="AH2071" s="111"/>
      <c r="AI2071" s="111"/>
      <c r="AJ2071" s="111"/>
      <c r="AK2071" s="111"/>
      <c r="AL2071" s="111"/>
      <c r="AM2071" s="111">
        <v>326.7</v>
      </c>
    </row>
    <row r="2072" spans="1:39" ht="15" customHeight="1" x14ac:dyDescent="0.25">
      <c r="A2072" s="1409"/>
      <c r="B2072" s="1409"/>
      <c r="C2072" s="1409"/>
      <c r="D2072" s="1409"/>
      <c r="E2072" s="1247"/>
      <c r="F2072" s="1248" t="s">
        <v>3312</v>
      </c>
      <c r="G2072" s="111"/>
      <c r="H2072" s="1249">
        <v>1</v>
      </c>
      <c r="I2072" s="111" t="s">
        <v>1721</v>
      </c>
      <c r="J2072" s="1321" t="s">
        <v>5608</v>
      </c>
      <c r="K2072" s="162" t="s">
        <v>5610</v>
      </c>
      <c r="L2072" s="162" t="s">
        <v>5609</v>
      </c>
      <c r="M2072" s="111">
        <v>458</v>
      </c>
      <c r="N2072" s="111">
        <v>458</v>
      </c>
      <c r="O2072" s="111"/>
      <c r="P2072" s="111"/>
      <c r="Q2072" s="111"/>
      <c r="R2072" s="111"/>
      <c r="S2072" s="1249">
        <v>1</v>
      </c>
      <c r="T2072" s="1250">
        <v>152.66666666666666</v>
      </c>
      <c r="U2072" s="1250"/>
      <c r="V2072" s="1250"/>
      <c r="W2072" s="1251">
        <v>0</v>
      </c>
      <c r="X2072" s="1250">
        <v>152.66666666666666</v>
      </c>
      <c r="Y2072" s="1250"/>
      <c r="Z2072" s="1250"/>
      <c r="AA2072" s="1250"/>
      <c r="AB2072" s="1250"/>
      <c r="AC2072" s="1250"/>
      <c r="AD2072" s="1250"/>
      <c r="AE2072" s="1249">
        <v>0</v>
      </c>
      <c r="AF2072" s="1250">
        <v>152.66666666666666</v>
      </c>
      <c r="AG2072" s="111"/>
      <c r="AH2072" s="111"/>
      <c r="AI2072" s="111"/>
      <c r="AJ2072" s="111"/>
      <c r="AK2072" s="111"/>
      <c r="AL2072" s="111"/>
      <c r="AM2072" s="111">
        <v>458</v>
      </c>
    </row>
    <row r="2073" spans="1:39" ht="15" customHeight="1" x14ac:dyDescent="0.25">
      <c r="A2073" s="1409"/>
      <c r="B2073" s="1409"/>
      <c r="C2073" s="1409"/>
      <c r="D2073" s="1409"/>
      <c r="E2073" s="1247"/>
      <c r="F2073" s="1248" t="s">
        <v>718</v>
      </c>
      <c r="G2073" s="111"/>
      <c r="H2073" s="1249">
        <v>1</v>
      </c>
      <c r="I2073" s="111" t="s">
        <v>1721</v>
      </c>
      <c r="J2073" s="1321" t="s">
        <v>5608</v>
      </c>
      <c r="K2073" s="162" t="s">
        <v>5610</v>
      </c>
      <c r="L2073" s="162" t="s">
        <v>5609</v>
      </c>
      <c r="M2073" s="111">
        <v>461.65680000000009</v>
      </c>
      <c r="N2073" s="111">
        <v>461.65680000000009</v>
      </c>
      <c r="O2073" s="111"/>
      <c r="P2073" s="111"/>
      <c r="Q2073" s="111"/>
      <c r="R2073" s="111"/>
      <c r="S2073" s="1249">
        <v>1</v>
      </c>
      <c r="T2073" s="1250">
        <v>153.88560000000004</v>
      </c>
      <c r="U2073" s="1250"/>
      <c r="V2073" s="1250"/>
      <c r="W2073" s="1251">
        <v>0</v>
      </c>
      <c r="X2073" s="1250">
        <v>153.88560000000004</v>
      </c>
      <c r="Y2073" s="1250"/>
      <c r="Z2073" s="1250"/>
      <c r="AA2073" s="1250"/>
      <c r="AB2073" s="1250"/>
      <c r="AC2073" s="1250"/>
      <c r="AD2073" s="1250"/>
      <c r="AE2073" s="1249">
        <v>0</v>
      </c>
      <c r="AF2073" s="1250">
        <v>153.88560000000004</v>
      </c>
      <c r="AG2073" s="111"/>
      <c r="AH2073" s="111"/>
      <c r="AI2073" s="111"/>
      <c r="AJ2073" s="111"/>
      <c r="AK2073" s="111"/>
      <c r="AL2073" s="111"/>
      <c r="AM2073" s="111">
        <v>461.65680000000009</v>
      </c>
    </row>
    <row r="2074" spans="1:39" ht="15" customHeight="1" x14ac:dyDescent="0.25">
      <c r="A2074" s="1409"/>
      <c r="B2074" s="1409"/>
      <c r="C2074" s="1409"/>
      <c r="D2074" s="1409"/>
      <c r="E2074" s="1247"/>
      <c r="F2074" s="1248" t="s">
        <v>1644</v>
      </c>
      <c r="G2074" s="111"/>
      <c r="H2074" s="1249">
        <v>10</v>
      </c>
      <c r="I2074" s="111" t="s">
        <v>1721</v>
      </c>
      <c r="J2074" s="1321" t="s">
        <v>5608</v>
      </c>
      <c r="K2074" s="162" t="s">
        <v>5610</v>
      </c>
      <c r="L2074" s="162" t="s">
        <v>5609</v>
      </c>
      <c r="M2074" s="111">
        <v>117.13680000000002</v>
      </c>
      <c r="N2074" s="111">
        <v>1171.3680000000002</v>
      </c>
      <c r="O2074" s="111"/>
      <c r="P2074" s="111"/>
      <c r="Q2074" s="111"/>
      <c r="R2074" s="111"/>
      <c r="S2074" s="1249">
        <v>5</v>
      </c>
      <c r="T2074" s="1250">
        <v>390.45600000000007</v>
      </c>
      <c r="U2074" s="1250"/>
      <c r="V2074" s="1250"/>
      <c r="W2074" s="1251">
        <v>5</v>
      </c>
      <c r="X2074" s="1250">
        <v>390.45600000000007</v>
      </c>
      <c r="Y2074" s="1250"/>
      <c r="Z2074" s="1250"/>
      <c r="AA2074" s="1250"/>
      <c r="AB2074" s="1250"/>
      <c r="AC2074" s="1250"/>
      <c r="AD2074" s="1250"/>
      <c r="AE2074" s="1249">
        <v>0</v>
      </c>
      <c r="AF2074" s="1250">
        <v>390.45600000000007</v>
      </c>
      <c r="AG2074" s="111"/>
      <c r="AH2074" s="111"/>
      <c r="AI2074" s="111"/>
      <c r="AJ2074" s="111"/>
      <c r="AK2074" s="111"/>
      <c r="AL2074" s="111"/>
      <c r="AM2074" s="111">
        <v>1171.3680000000002</v>
      </c>
    </row>
    <row r="2075" spans="1:39" ht="15" customHeight="1" x14ac:dyDescent="0.25">
      <c r="A2075" s="1409"/>
      <c r="B2075" s="1409"/>
      <c r="C2075" s="1409"/>
      <c r="D2075" s="1409"/>
      <c r="E2075" s="1247"/>
      <c r="F2075" s="1248" t="s">
        <v>5342</v>
      </c>
      <c r="G2075" s="111"/>
      <c r="H2075" s="1249">
        <v>1</v>
      </c>
      <c r="I2075" s="111" t="s">
        <v>1827</v>
      </c>
      <c r="J2075" s="1321" t="s">
        <v>5608</v>
      </c>
      <c r="K2075" s="162" t="s">
        <v>5610</v>
      </c>
      <c r="L2075" s="162" t="s">
        <v>5609</v>
      </c>
      <c r="M2075" s="111">
        <v>165.37</v>
      </c>
      <c r="N2075" s="111">
        <v>165.37</v>
      </c>
      <c r="O2075" s="111"/>
      <c r="P2075" s="111"/>
      <c r="Q2075" s="111"/>
      <c r="R2075" s="111"/>
      <c r="S2075" s="1249">
        <v>1</v>
      </c>
      <c r="T2075" s="1250">
        <v>55.123333333333335</v>
      </c>
      <c r="U2075" s="1250"/>
      <c r="V2075" s="1250"/>
      <c r="W2075" s="1251">
        <v>0</v>
      </c>
      <c r="X2075" s="1250">
        <v>55.123333333333335</v>
      </c>
      <c r="Y2075" s="1250"/>
      <c r="Z2075" s="1250"/>
      <c r="AA2075" s="1250"/>
      <c r="AB2075" s="1250"/>
      <c r="AC2075" s="1250"/>
      <c r="AD2075" s="1250"/>
      <c r="AE2075" s="1249">
        <v>0</v>
      </c>
      <c r="AF2075" s="1250">
        <v>55.123333333333335</v>
      </c>
      <c r="AG2075" s="111"/>
      <c r="AH2075" s="111"/>
      <c r="AI2075" s="111"/>
      <c r="AJ2075" s="111"/>
      <c r="AK2075" s="111"/>
      <c r="AL2075" s="111"/>
      <c r="AM2075" s="111">
        <v>165.37</v>
      </c>
    </row>
    <row r="2076" spans="1:39" ht="15" customHeight="1" x14ac:dyDescent="0.25">
      <c r="A2076" s="1409"/>
      <c r="B2076" s="1409"/>
      <c r="C2076" s="1409"/>
      <c r="D2076" s="1409"/>
      <c r="E2076" s="1247"/>
      <c r="F2076" s="1248" t="s">
        <v>5342</v>
      </c>
      <c r="G2076" s="111"/>
      <c r="H2076" s="1249">
        <v>100</v>
      </c>
      <c r="I2076" s="111" t="s">
        <v>1827</v>
      </c>
      <c r="J2076" s="1321" t="s">
        <v>5608</v>
      </c>
      <c r="K2076" s="162" t="s">
        <v>5610</v>
      </c>
      <c r="L2076" s="162" t="s">
        <v>5609</v>
      </c>
      <c r="M2076" s="111">
        <v>142.56</v>
      </c>
      <c r="N2076" s="111">
        <v>14256</v>
      </c>
      <c r="O2076" s="111"/>
      <c r="P2076" s="111"/>
      <c r="Q2076" s="111"/>
      <c r="R2076" s="111"/>
      <c r="S2076" s="1249">
        <v>40</v>
      </c>
      <c r="T2076" s="1250">
        <v>4752</v>
      </c>
      <c r="U2076" s="1250"/>
      <c r="V2076" s="1250"/>
      <c r="W2076" s="1251">
        <v>40</v>
      </c>
      <c r="X2076" s="1250">
        <v>4752</v>
      </c>
      <c r="Y2076" s="1250"/>
      <c r="Z2076" s="1250"/>
      <c r="AA2076" s="1250"/>
      <c r="AB2076" s="1250"/>
      <c r="AC2076" s="1250"/>
      <c r="AD2076" s="1250"/>
      <c r="AE2076" s="1249">
        <v>20</v>
      </c>
      <c r="AF2076" s="1250">
        <v>4752</v>
      </c>
      <c r="AG2076" s="111"/>
      <c r="AH2076" s="111"/>
      <c r="AI2076" s="111"/>
      <c r="AJ2076" s="111"/>
      <c r="AK2076" s="111"/>
      <c r="AL2076" s="111"/>
      <c r="AM2076" s="111">
        <v>14256</v>
      </c>
    </row>
    <row r="2077" spans="1:39" ht="15" customHeight="1" x14ac:dyDescent="0.25">
      <c r="A2077" s="1409"/>
      <c r="B2077" s="1409"/>
      <c r="C2077" s="1409"/>
      <c r="D2077" s="1409"/>
      <c r="E2077" s="1247"/>
      <c r="F2077" s="1248" t="s">
        <v>717</v>
      </c>
      <c r="G2077" s="111"/>
      <c r="H2077" s="1249">
        <v>20</v>
      </c>
      <c r="I2077" s="111" t="s">
        <v>1827</v>
      </c>
      <c r="J2077" s="1321" t="s">
        <v>5608</v>
      </c>
      <c r="K2077" s="162" t="s">
        <v>5610</v>
      </c>
      <c r="L2077" s="162" t="s">
        <v>5609</v>
      </c>
      <c r="M2077" s="111">
        <v>165.36959999999999</v>
      </c>
      <c r="N2077" s="111">
        <v>3307.3919999999998</v>
      </c>
      <c r="O2077" s="111"/>
      <c r="P2077" s="111"/>
      <c r="Q2077" s="111"/>
      <c r="R2077" s="111"/>
      <c r="S2077" s="1249">
        <v>10</v>
      </c>
      <c r="T2077" s="1250">
        <v>1102.4639999999999</v>
      </c>
      <c r="U2077" s="1250"/>
      <c r="V2077" s="1250"/>
      <c r="W2077" s="1251">
        <v>5</v>
      </c>
      <c r="X2077" s="1250">
        <v>1102.4639999999999</v>
      </c>
      <c r="Y2077" s="1250"/>
      <c r="Z2077" s="1250"/>
      <c r="AA2077" s="1250"/>
      <c r="AB2077" s="1250"/>
      <c r="AC2077" s="1250"/>
      <c r="AD2077" s="1250"/>
      <c r="AE2077" s="1249">
        <v>5</v>
      </c>
      <c r="AF2077" s="1250">
        <v>1102.4639999999999</v>
      </c>
      <c r="AG2077" s="111"/>
      <c r="AH2077" s="111"/>
      <c r="AI2077" s="111"/>
      <c r="AJ2077" s="111"/>
      <c r="AK2077" s="111"/>
      <c r="AL2077" s="111"/>
      <c r="AM2077" s="111">
        <v>3307.3919999999998</v>
      </c>
    </row>
    <row r="2078" spans="1:39" ht="15" customHeight="1" x14ac:dyDescent="0.25">
      <c r="A2078" s="1409"/>
      <c r="B2078" s="1409"/>
      <c r="C2078" s="1409"/>
      <c r="D2078" s="1409"/>
      <c r="E2078" s="1247"/>
      <c r="F2078" s="1248" t="s">
        <v>5343</v>
      </c>
      <c r="G2078" s="111"/>
      <c r="H2078" s="1249">
        <v>1</v>
      </c>
      <c r="I2078" s="111" t="s">
        <v>1721</v>
      </c>
      <c r="J2078" s="1321" t="s">
        <v>5608</v>
      </c>
      <c r="K2078" s="162" t="s">
        <v>5610</v>
      </c>
      <c r="L2078" s="162" t="s">
        <v>5609</v>
      </c>
      <c r="M2078" s="111">
        <v>399.64</v>
      </c>
      <c r="N2078" s="111">
        <v>399.64</v>
      </c>
      <c r="O2078" s="111"/>
      <c r="P2078" s="111"/>
      <c r="Q2078" s="111"/>
      <c r="R2078" s="111"/>
      <c r="S2078" s="1249">
        <v>1</v>
      </c>
      <c r="T2078" s="1250">
        <v>133.21333333333334</v>
      </c>
      <c r="U2078" s="1250"/>
      <c r="V2078" s="1250"/>
      <c r="W2078" s="1251">
        <v>0</v>
      </c>
      <c r="X2078" s="1250">
        <v>133.21333333333334</v>
      </c>
      <c r="Y2078" s="1250"/>
      <c r="Z2078" s="1250"/>
      <c r="AA2078" s="1250"/>
      <c r="AB2078" s="1250"/>
      <c r="AC2078" s="1250"/>
      <c r="AD2078" s="1250"/>
      <c r="AE2078" s="1249">
        <v>0</v>
      </c>
      <c r="AF2078" s="1250">
        <v>133.21333333333334</v>
      </c>
      <c r="AG2078" s="111"/>
      <c r="AH2078" s="111"/>
      <c r="AI2078" s="111"/>
      <c r="AJ2078" s="111"/>
      <c r="AK2078" s="111"/>
      <c r="AL2078" s="111"/>
      <c r="AM2078" s="111">
        <v>399.64</v>
      </c>
    </row>
    <row r="2079" spans="1:39" ht="15" customHeight="1" x14ac:dyDescent="0.25">
      <c r="A2079" s="1409"/>
      <c r="B2079" s="1409"/>
      <c r="C2079" s="1409"/>
      <c r="D2079" s="1409"/>
      <c r="E2079" s="1247"/>
      <c r="F2079" s="1248" t="s">
        <v>719</v>
      </c>
      <c r="G2079" s="111"/>
      <c r="H2079" s="1249">
        <v>2</v>
      </c>
      <c r="I2079" s="111" t="s">
        <v>1721</v>
      </c>
      <c r="J2079" s="1321" t="s">
        <v>5608</v>
      </c>
      <c r="K2079" s="162" t="s">
        <v>5610</v>
      </c>
      <c r="L2079" s="162" t="s">
        <v>5609</v>
      </c>
      <c r="M2079" s="111">
        <v>268.7278</v>
      </c>
      <c r="N2079" s="111">
        <v>537.4556</v>
      </c>
      <c r="O2079" s="111"/>
      <c r="P2079" s="111"/>
      <c r="Q2079" s="111"/>
      <c r="R2079" s="111"/>
      <c r="S2079" s="1249">
        <v>2</v>
      </c>
      <c r="T2079" s="1250">
        <v>179.15186666666668</v>
      </c>
      <c r="U2079" s="1250"/>
      <c r="V2079" s="1250"/>
      <c r="W2079" s="1251">
        <v>0</v>
      </c>
      <c r="X2079" s="1250">
        <v>179.15186666666668</v>
      </c>
      <c r="Y2079" s="1250"/>
      <c r="Z2079" s="1250"/>
      <c r="AA2079" s="1250"/>
      <c r="AB2079" s="1250"/>
      <c r="AC2079" s="1250"/>
      <c r="AD2079" s="1250"/>
      <c r="AE2079" s="1249">
        <v>0</v>
      </c>
      <c r="AF2079" s="1250">
        <v>179.15186666666668</v>
      </c>
      <c r="AG2079" s="111"/>
      <c r="AH2079" s="111"/>
      <c r="AI2079" s="111"/>
      <c r="AJ2079" s="111"/>
      <c r="AK2079" s="111"/>
      <c r="AL2079" s="111"/>
      <c r="AM2079" s="111">
        <v>537.4556</v>
      </c>
    </row>
    <row r="2080" spans="1:39" ht="15" customHeight="1" x14ac:dyDescent="0.25">
      <c r="A2080" s="1409"/>
      <c r="B2080" s="1409"/>
      <c r="C2080" s="1409"/>
      <c r="D2080" s="1409"/>
      <c r="E2080" s="1247"/>
      <c r="F2080" s="1248" t="s">
        <v>5344</v>
      </c>
      <c r="G2080" s="111"/>
      <c r="H2080" s="1249">
        <v>2</v>
      </c>
      <c r="I2080" s="111" t="s">
        <v>1721</v>
      </c>
      <c r="J2080" s="1321" t="s">
        <v>5608</v>
      </c>
      <c r="K2080" s="162" t="s">
        <v>5610</v>
      </c>
      <c r="L2080" s="162" t="s">
        <v>5609</v>
      </c>
      <c r="M2080" s="111">
        <v>3024.12</v>
      </c>
      <c r="N2080" s="111">
        <v>6048.24</v>
      </c>
      <c r="O2080" s="111"/>
      <c r="P2080" s="111"/>
      <c r="Q2080" s="111"/>
      <c r="R2080" s="111"/>
      <c r="S2080" s="1249">
        <v>2</v>
      </c>
      <c r="T2080" s="1250">
        <v>2016.08</v>
      </c>
      <c r="U2080" s="1250"/>
      <c r="V2080" s="1250"/>
      <c r="W2080" s="1251">
        <v>0</v>
      </c>
      <c r="X2080" s="1250">
        <v>2016.08</v>
      </c>
      <c r="Y2080" s="1250"/>
      <c r="Z2080" s="1250"/>
      <c r="AA2080" s="1250"/>
      <c r="AB2080" s="1250"/>
      <c r="AC2080" s="1250"/>
      <c r="AD2080" s="1250"/>
      <c r="AE2080" s="1249">
        <v>0</v>
      </c>
      <c r="AF2080" s="1250">
        <v>2016.08</v>
      </c>
      <c r="AG2080" s="111"/>
      <c r="AH2080" s="111"/>
      <c r="AI2080" s="111"/>
      <c r="AJ2080" s="111"/>
      <c r="AK2080" s="111"/>
      <c r="AL2080" s="111"/>
      <c r="AM2080" s="111">
        <v>6048.24</v>
      </c>
    </row>
    <row r="2081" spans="1:39" ht="15" customHeight="1" x14ac:dyDescent="0.25">
      <c r="A2081" s="1409"/>
      <c r="B2081" s="1409"/>
      <c r="C2081" s="1409"/>
      <c r="D2081" s="1409"/>
      <c r="E2081" s="1247"/>
      <c r="F2081" s="1248" t="s">
        <v>5345</v>
      </c>
      <c r="G2081" s="111"/>
      <c r="H2081" s="1249">
        <v>1</v>
      </c>
      <c r="I2081" s="111" t="s">
        <v>1721</v>
      </c>
      <c r="J2081" s="1321" t="s">
        <v>5608</v>
      </c>
      <c r="K2081" s="162" t="s">
        <v>5610</v>
      </c>
      <c r="L2081" s="162" t="s">
        <v>5609</v>
      </c>
      <c r="M2081" s="111">
        <v>220.39999999999998</v>
      </c>
      <c r="N2081" s="111">
        <v>220.39999999999998</v>
      </c>
      <c r="O2081" s="111"/>
      <c r="P2081" s="111"/>
      <c r="Q2081" s="111"/>
      <c r="R2081" s="111"/>
      <c r="S2081" s="1249">
        <v>1</v>
      </c>
      <c r="T2081" s="1250">
        <v>73.466666666666654</v>
      </c>
      <c r="U2081" s="1250"/>
      <c r="V2081" s="1250"/>
      <c r="W2081" s="1251">
        <v>0</v>
      </c>
      <c r="X2081" s="1250">
        <v>73.466666666666654</v>
      </c>
      <c r="Y2081" s="1250"/>
      <c r="Z2081" s="1250"/>
      <c r="AA2081" s="1250"/>
      <c r="AB2081" s="1250"/>
      <c r="AC2081" s="1250"/>
      <c r="AD2081" s="1250"/>
      <c r="AE2081" s="1249">
        <v>0</v>
      </c>
      <c r="AF2081" s="1250">
        <v>73.466666666666654</v>
      </c>
      <c r="AG2081" s="111"/>
      <c r="AH2081" s="111"/>
      <c r="AI2081" s="111"/>
      <c r="AJ2081" s="111"/>
      <c r="AK2081" s="111"/>
      <c r="AL2081" s="111"/>
      <c r="AM2081" s="111">
        <v>220.39999999999998</v>
      </c>
    </row>
    <row r="2082" spans="1:39" ht="15" customHeight="1" x14ac:dyDescent="0.25">
      <c r="A2082" s="1409"/>
      <c r="B2082" s="1409"/>
      <c r="C2082" s="1409"/>
      <c r="D2082" s="1409"/>
      <c r="E2082" s="1247"/>
      <c r="F2082" s="1248" t="s">
        <v>5346</v>
      </c>
      <c r="G2082" s="111"/>
      <c r="H2082" s="1249">
        <v>2</v>
      </c>
      <c r="I2082" s="111" t="s">
        <v>2811</v>
      </c>
      <c r="J2082" s="1321" t="s">
        <v>5608</v>
      </c>
      <c r="K2082" s="162" t="s">
        <v>5610</v>
      </c>
      <c r="L2082" s="162" t="s">
        <v>5609</v>
      </c>
      <c r="M2082" s="111">
        <v>738.73439999999994</v>
      </c>
      <c r="N2082" s="111">
        <v>1477.4687999999999</v>
      </c>
      <c r="O2082" s="111"/>
      <c r="P2082" s="111"/>
      <c r="Q2082" s="111"/>
      <c r="R2082" s="111"/>
      <c r="S2082" s="1249">
        <v>2</v>
      </c>
      <c r="T2082" s="1250">
        <v>492.48959999999994</v>
      </c>
      <c r="U2082" s="1250"/>
      <c r="V2082" s="1250"/>
      <c r="W2082" s="1251">
        <v>0</v>
      </c>
      <c r="X2082" s="1250">
        <v>492.48959999999994</v>
      </c>
      <c r="Y2082" s="1250"/>
      <c r="Z2082" s="1250"/>
      <c r="AA2082" s="1250"/>
      <c r="AB2082" s="1250"/>
      <c r="AC2082" s="1250"/>
      <c r="AD2082" s="1250"/>
      <c r="AE2082" s="1249">
        <v>0</v>
      </c>
      <c r="AF2082" s="1250">
        <v>492.48959999999994</v>
      </c>
      <c r="AG2082" s="111"/>
      <c r="AH2082" s="111"/>
      <c r="AI2082" s="111"/>
      <c r="AJ2082" s="111"/>
      <c r="AK2082" s="111"/>
      <c r="AL2082" s="111"/>
      <c r="AM2082" s="111">
        <v>1477.4687999999999</v>
      </c>
    </row>
    <row r="2083" spans="1:39" ht="15" customHeight="1" x14ac:dyDescent="0.25">
      <c r="A2083" s="1409"/>
      <c r="B2083" s="1409"/>
      <c r="C2083" s="1409"/>
      <c r="D2083" s="1409"/>
      <c r="E2083" s="1247"/>
      <c r="F2083" s="1248" t="s">
        <v>5347</v>
      </c>
      <c r="G2083" s="111"/>
      <c r="H2083" s="1249">
        <v>1</v>
      </c>
      <c r="I2083" s="111" t="s">
        <v>1721</v>
      </c>
      <c r="J2083" s="1321" t="s">
        <v>5608</v>
      </c>
      <c r="K2083" s="162" t="s">
        <v>5610</v>
      </c>
      <c r="L2083" s="162" t="s">
        <v>5609</v>
      </c>
      <c r="M2083" s="111">
        <v>290</v>
      </c>
      <c r="N2083" s="111">
        <v>290</v>
      </c>
      <c r="O2083" s="111"/>
      <c r="P2083" s="111"/>
      <c r="Q2083" s="111"/>
      <c r="R2083" s="111"/>
      <c r="S2083" s="1249">
        <v>1</v>
      </c>
      <c r="T2083" s="1250">
        <v>96.666666666666671</v>
      </c>
      <c r="U2083" s="1250"/>
      <c r="V2083" s="1250"/>
      <c r="W2083" s="1251">
        <v>0</v>
      </c>
      <c r="X2083" s="1250">
        <v>96.666666666666671</v>
      </c>
      <c r="Y2083" s="1250"/>
      <c r="Z2083" s="1250"/>
      <c r="AA2083" s="1250"/>
      <c r="AB2083" s="1250"/>
      <c r="AC2083" s="1250"/>
      <c r="AD2083" s="1250"/>
      <c r="AE2083" s="1249">
        <v>0</v>
      </c>
      <c r="AF2083" s="1250">
        <v>96.666666666666671</v>
      </c>
      <c r="AG2083" s="111"/>
      <c r="AH2083" s="111"/>
      <c r="AI2083" s="111"/>
      <c r="AJ2083" s="111"/>
      <c r="AK2083" s="111"/>
      <c r="AL2083" s="111"/>
      <c r="AM2083" s="111">
        <v>290</v>
      </c>
    </row>
    <row r="2084" spans="1:39" ht="15" customHeight="1" x14ac:dyDescent="0.25">
      <c r="A2084" s="1409"/>
      <c r="B2084" s="1409"/>
      <c r="C2084" s="1409"/>
      <c r="D2084" s="1409"/>
      <c r="E2084" s="1247"/>
      <c r="F2084" s="1248" t="s">
        <v>5348</v>
      </c>
      <c r="G2084" s="111"/>
      <c r="H2084" s="1249">
        <v>1</v>
      </c>
      <c r="I2084" s="111" t="s">
        <v>1721</v>
      </c>
      <c r="J2084" s="1321" t="s">
        <v>5608</v>
      </c>
      <c r="K2084" s="162" t="s">
        <v>5610</v>
      </c>
      <c r="L2084" s="162" t="s">
        <v>5609</v>
      </c>
      <c r="M2084" s="111">
        <v>539.4</v>
      </c>
      <c r="N2084" s="111">
        <v>539.4</v>
      </c>
      <c r="O2084" s="111"/>
      <c r="P2084" s="111"/>
      <c r="Q2084" s="111"/>
      <c r="R2084" s="111"/>
      <c r="S2084" s="1249">
        <v>1</v>
      </c>
      <c r="T2084" s="1250">
        <v>179.79999999999998</v>
      </c>
      <c r="U2084" s="1250"/>
      <c r="V2084" s="1250"/>
      <c r="W2084" s="1251">
        <v>0</v>
      </c>
      <c r="X2084" s="1250">
        <v>179.79999999999998</v>
      </c>
      <c r="Y2084" s="1250"/>
      <c r="Z2084" s="1250"/>
      <c r="AA2084" s="1250"/>
      <c r="AB2084" s="1250"/>
      <c r="AC2084" s="1250"/>
      <c r="AD2084" s="1250"/>
      <c r="AE2084" s="1249">
        <v>0</v>
      </c>
      <c r="AF2084" s="1250">
        <v>179.79999999999998</v>
      </c>
      <c r="AG2084" s="111"/>
      <c r="AH2084" s="111"/>
      <c r="AI2084" s="111"/>
      <c r="AJ2084" s="111"/>
      <c r="AK2084" s="111"/>
      <c r="AL2084" s="111"/>
      <c r="AM2084" s="111">
        <v>539.4</v>
      </c>
    </row>
    <row r="2085" spans="1:39" ht="15" customHeight="1" x14ac:dyDescent="0.25">
      <c r="A2085" s="1409"/>
      <c r="B2085" s="1409"/>
      <c r="C2085" s="1409"/>
      <c r="D2085" s="1409"/>
      <c r="E2085" s="1247"/>
      <c r="F2085" s="1248" t="s">
        <v>724</v>
      </c>
      <c r="G2085" s="111"/>
      <c r="H2085" s="1249">
        <v>1</v>
      </c>
      <c r="I2085" s="111" t="s">
        <v>1721</v>
      </c>
      <c r="J2085" s="1321" t="s">
        <v>5608</v>
      </c>
      <c r="K2085" s="162" t="s">
        <v>5610</v>
      </c>
      <c r="L2085" s="162" t="s">
        <v>5609</v>
      </c>
      <c r="M2085" s="111">
        <v>806.17679999999996</v>
      </c>
      <c r="N2085" s="111">
        <v>806.17679999999996</v>
      </c>
      <c r="O2085" s="111"/>
      <c r="P2085" s="111"/>
      <c r="Q2085" s="111"/>
      <c r="R2085" s="111"/>
      <c r="S2085" s="1249">
        <v>1</v>
      </c>
      <c r="T2085" s="1250">
        <v>268.72559999999999</v>
      </c>
      <c r="U2085" s="1250"/>
      <c r="V2085" s="1250"/>
      <c r="W2085" s="1251">
        <v>0</v>
      </c>
      <c r="X2085" s="1250">
        <v>268.72559999999999</v>
      </c>
      <c r="Y2085" s="1250"/>
      <c r="Z2085" s="1250"/>
      <c r="AA2085" s="1250"/>
      <c r="AB2085" s="1250"/>
      <c r="AC2085" s="1250"/>
      <c r="AD2085" s="1250"/>
      <c r="AE2085" s="1249">
        <v>0</v>
      </c>
      <c r="AF2085" s="1250">
        <v>268.72559999999999</v>
      </c>
      <c r="AG2085" s="111"/>
      <c r="AH2085" s="111"/>
      <c r="AI2085" s="111"/>
      <c r="AJ2085" s="111"/>
      <c r="AK2085" s="111"/>
      <c r="AL2085" s="111"/>
      <c r="AM2085" s="111">
        <v>806.17679999999996</v>
      </c>
    </row>
    <row r="2086" spans="1:39" ht="15" customHeight="1" x14ac:dyDescent="0.25">
      <c r="A2086" s="1409"/>
      <c r="B2086" s="1409"/>
      <c r="C2086" s="1409"/>
      <c r="D2086" s="1409"/>
      <c r="E2086" s="1247"/>
      <c r="F2086" s="1248" t="s">
        <v>5349</v>
      </c>
      <c r="G2086" s="111"/>
      <c r="H2086" s="1249">
        <v>24</v>
      </c>
      <c r="I2086" s="111" t="s">
        <v>1721</v>
      </c>
      <c r="J2086" s="1321" t="s">
        <v>5608</v>
      </c>
      <c r="K2086" s="162" t="s">
        <v>5610</v>
      </c>
      <c r="L2086" s="162" t="s">
        <v>5609</v>
      </c>
      <c r="M2086" s="111">
        <v>52.199999999999996</v>
      </c>
      <c r="N2086" s="111">
        <v>1252.8</v>
      </c>
      <c r="O2086" s="111"/>
      <c r="P2086" s="111"/>
      <c r="Q2086" s="111"/>
      <c r="R2086" s="111"/>
      <c r="S2086" s="1249">
        <v>14</v>
      </c>
      <c r="T2086" s="1250">
        <v>417.59999999999997</v>
      </c>
      <c r="U2086" s="1250"/>
      <c r="V2086" s="1250"/>
      <c r="W2086" s="1251">
        <v>5</v>
      </c>
      <c r="X2086" s="1250">
        <v>417.59999999999997</v>
      </c>
      <c r="Y2086" s="1250"/>
      <c r="Z2086" s="1250"/>
      <c r="AA2086" s="1250"/>
      <c r="AB2086" s="1250"/>
      <c r="AC2086" s="1250"/>
      <c r="AD2086" s="1250"/>
      <c r="AE2086" s="1249">
        <v>5</v>
      </c>
      <c r="AF2086" s="1250">
        <v>417.59999999999997</v>
      </c>
      <c r="AG2086" s="111"/>
      <c r="AH2086" s="111"/>
      <c r="AI2086" s="111"/>
      <c r="AJ2086" s="111"/>
      <c r="AK2086" s="111"/>
      <c r="AL2086" s="111"/>
      <c r="AM2086" s="111">
        <v>1252.8</v>
      </c>
    </row>
    <row r="2087" spans="1:39" ht="15" customHeight="1" x14ac:dyDescent="0.25">
      <c r="A2087" s="1409"/>
      <c r="B2087" s="1409"/>
      <c r="C2087" s="1409"/>
      <c r="D2087" s="1409"/>
      <c r="E2087" s="1286"/>
      <c r="F2087" s="1248"/>
      <c r="G2087" s="111"/>
      <c r="H2087" s="1249"/>
      <c r="I2087" s="111"/>
      <c r="J2087" s="111"/>
      <c r="K2087" s="111"/>
      <c r="L2087" s="111"/>
      <c r="M2087" s="111"/>
      <c r="N2087" s="111"/>
      <c r="O2087" s="111"/>
      <c r="P2087" s="111"/>
      <c r="Q2087" s="111"/>
      <c r="R2087" s="111"/>
      <c r="S2087" s="1249"/>
      <c r="T2087" s="1250"/>
      <c r="U2087" s="1250"/>
      <c r="V2087" s="1250"/>
      <c r="W2087" s="1251"/>
      <c r="X2087" s="1250"/>
      <c r="Y2087" s="1250"/>
      <c r="Z2087" s="1250"/>
      <c r="AA2087" s="1250"/>
      <c r="AB2087" s="1250"/>
      <c r="AC2087" s="1250"/>
      <c r="AD2087" s="1250"/>
      <c r="AE2087" s="1249"/>
      <c r="AF2087" s="1250"/>
      <c r="AG2087" s="111"/>
      <c r="AH2087" s="111"/>
      <c r="AI2087" s="111"/>
      <c r="AJ2087" s="111"/>
      <c r="AK2087" s="111"/>
      <c r="AL2087" s="111"/>
      <c r="AM2087" s="111"/>
    </row>
    <row r="2088" spans="1:39" ht="15" customHeight="1" x14ac:dyDescent="0.25">
      <c r="A2088" s="1409"/>
      <c r="B2088" s="1409"/>
      <c r="C2088" s="1409"/>
      <c r="D2088" s="1409"/>
      <c r="E2088" s="1261">
        <v>29106</v>
      </c>
      <c r="F2088" s="1262" t="s">
        <v>730</v>
      </c>
      <c r="G2088" s="1261"/>
      <c r="H2088" s="1261"/>
      <c r="I2088" s="1261"/>
      <c r="J2088" s="1261"/>
      <c r="K2088" s="1261"/>
      <c r="L2088" s="1261"/>
      <c r="M2088" s="1261"/>
      <c r="N2088" s="1261"/>
      <c r="O2088" s="1261"/>
      <c r="P2088" s="1261"/>
      <c r="Q2088" s="1261"/>
      <c r="R2088" s="1261"/>
      <c r="S2088" s="1261"/>
      <c r="T2088" s="1261"/>
      <c r="U2088" s="1261"/>
      <c r="V2088" s="1261"/>
      <c r="W2088" s="1261"/>
      <c r="X2088" s="1261"/>
      <c r="Y2088" s="1261"/>
      <c r="Z2088" s="1261"/>
      <c r="AA2088" s="1261"/>
      <c r="AB2088" s="1261"/>
      <c r="AC2088" s="1261"/>
      <c r="AD2088" s="1261"/>
      <c r="AE2088" s="1261"/>
      <c r="AF2088" s="1261"/>
      <c r="AG2088" s="1261"/>
      <c r="AH2088" s="1261"/>
      <c r="AI2088" s="1261"/>
      <c r="AJ2088" s="1261"/>
      <c r="AK2088" s="1261"/>
      <c r="AL2088" s="1261"/>
      <c r="AM2088" s="1261"/>
    </row>
    <row r="2089" spans="1:39" ht="15" customHeight="1" x14ac:dyDescent="0.25">
      <c r="A2089" s="1409"/>
      <c r="B2089" s="1409"/>
      <c r="C2089" s="1409"/>
      <c r="D2089" s="1409"/>
      <c r="E2089" s="1286"/>
      <c r="F2089" s="1248" t="s">
        <v>5350</v>
      </c>
      <c r="G2089" s="111"/>
      <c r="H2089" s="1249">
        <v>45</v>
      </c>
      <c r="I2089" s="111" t="s">
        <v>1721</v>
      </c>
      <c r="J2089" s="1321" t="s">
        <v>5608</v>
      </c>
      <c r="K2089" s="162" t="s">
        <v>5610</v>
      </c>
      <c r="L2089" s="162" t="s">
        <v>5609</v>
      </c>
      <c r="M2089" s="111">
        <v>15</v>
      </c>
      <c r="N2089" s="111">
        <v>675</v>
      </c>
      <c r="O2089" s="111"/>
      <c r="P2089" s="111"/>
      <c r="Q2089" s="111"/>
      <c r="R2089" s="111"/>
      <c r="S2089" s="1249">
        <v>15</v>
      </c>
      <c r="T2089" s="1250">
        <v>225</v>
      </c>
      <c r="U2089" s="1250"/>
      <c r="V2089" s="1250"/>
      <c r="W2089" s="1251">
        <v>15</v>
      </c>
      <c r="X2089" s="1250">
        <v>225</v>
      </c>
      <c r="Y2089" s="1250"/>
      <c r="Z2089" s="1250"/>
      <c r="AA2089" s="1250"/>
      <c r="AB2089" s="1250"/>
      <c r="AC2089" s="1250"/>
      <c r="AD2089" s="1250"/>
      <c r="AE2089" s="1249">
        <v>15</v>
      </c>
      <c r="AF2089" s="1250">
        <v>225</v>
      </c>
      <c r="AG2089" s="111"/>
      <c r="AH2089" s="111"/>
      <c r="AI2089" s="111"/>
      <c r="AJ2089" s="111"/>
      <c r="AK2089" s="111"/>
      <c r="AL2089" s="111"/>
      <c r="AM2089" s="111">
        <v>675</v>
      </c>
    </row>
    <row r="2090" spans="1:39" ht="15" customHeight="1" x14ac:dyDescent="0.25">
      <c r="A2090" s="1409"/>
      <c r="B2090" s="1409"/>
      <c r="C2090" s="1409"/>
      <c r="D2090" s="1409"/>
      <c r="E2090" s="1286"/>
      <c r="F2090" s="1248" t="s">
        <v>5351</v>
      </c>
      <c r="G2090" s="111"/>
      <c r="H2090" s="1249">
        <v>600</v>
      </c>
      <c r="I2090" s="111" t="s">
        <v>1721</v>
      </c>
      <c r="J2090" s="1321" t="s">
        <v>5608</v>
      </c>
      <c r="K2090" s="162" t="s">
        <v>5610</v>
      </c>
      <c r="L2090" s="162" t="s">
        <v>5609</v>
      </c>
      <c r="M2090" s="111">
        <v>60</v>
      </c>
      <c r="N2090" s="111">
        <v>36000</v>
      </c>
      <c r="O2090" s="111"/>
      <c r="P2090" s="111"/>
      <c r="Q2090" s="111"/>
      <c r="R2090" s="111"/>
      <c r="S2090" s="1249">
        <v>200</v>
      </c>
      <c r="T2090" s="1250">
        <v>12000</v>
      </c>
      <c r="U2090" s="1250"/>
      <c r="V2090" s="1250"/>
      <c r="W2090" s="1251">
        <v>200</v>
      </c>
      <c r="X2090" s="1250">
        <v>12000</v>
      </c>
      <c r="Y2090" s="1250"/>
      <c r="Z2090" s="1250"/>
      <c r="AA2090" s="1250"/>
      <c r="AB2090" s="1250"/>
      <c r="AC2090" s="1250"/>
      <c r="AD2090" s="1250"/>
      <c r="AE2090" s="1249">
        <v>200</v>
      </c>
      <c r="AF2090" s="1250">
        <v>12000</v>
      </c>
      <c r="AG2090" s="111"/>
      <c r="AH2090" s="111"/>
      <c r="AI2090" s="111"/>
      <c r="AJ2090" s="111"/>
      <c r="AK2090" s="111"/>
      <c r="AL2090" s="111"/>
      <c r="AM2090" s="111">
        <v>36000</v>
      </c>
    </row>
    <row r="2091" spans="1:39" ht="15" customHeight="1" x14ac:dyDescent="0.25">
      <c r="A2091" s="1409"/>
      <c r="B2091" s="1409"/>
      <c r="C2091" s="1409"/>
      <c r="D2091" s="1409"/>
      <c r="E2091" s="1286"/>
      <c r="F2091" s="1248" t="s">
        <v>5352</v>
      </c>
      <c r="G2091" s="111"/>
      <c r="H2091" s="1249">
        <v>25</v>
      </c>
      <c r="I2091" s="111" t="s">
        <v>1721</v>
      </c>
      <c r="J2091" s="1321" t="s">
        <v>5608</v>
      </c>
      <c r="K2091" s="162" t="s">
        <v>5610</v>
      </c>
      <c r="L2091" s="162" t="s">
        <v>5609</v>
      </c>
      <c r="M2091" s="111">
        <v>60</v>
      </c>
      <c r="N2091" s="111">
        <v>1500</v>
      </c>
      <c r="O2091" s="111"/>
      <c r="P2091" s="111"/>
      <c r="Q2091" s="111"/>
      <c r="R2091" s="111"/>
      <c r="S2091" s="1249">
        <v>10</v>
      </c>
      <c r="T2091" s="1250">
        <v>500</v>
      </c>
      <c r="U2091" s="1250"/>
      <c r="V2091" s="1250"/>
      <c r="W2091" s="1251">
        <v>10</v>
      </c>
      <c r="X2091" s="1250">
        <v>500</v>
      </c>
      <c r="Y2091" s="1250"/>
      <c r="Z2091" s="1250"/>
      <c r="AA2091" s="1250"/>
      <c r="AB2091" s="1250"/>
      <c r="AC2091" s="1250"/>
      <c r="AD2091" s="1250"/>
      <c r="AE2091" s="1249">
        <v>5</v>
      </c>
      <c r="AF2091" s="1250">
        <v>500</v>
      </c>
      <c r="AG2091" s="111"/>
      <c r="AH2091" s="111"/>
      <c r="AI2091" s="111"/>
      <c r="AJ2091" s="111"/>
      <c r="AK2091" s="111"/>
      <c r="AL2091" s="111"/>
      <c r="AM2091" s="111">
        <v>1500</v>
      </c>
    </row>
    <row r="2092" spans="1:39" ht="15" customHeight="1" x14ac:dyDescent="0.25">
      <c r="A2092" s="1409"/>
      <c r="B2092" s="1409"/>
      <c r="C2092" s="1409"/>
      <c r="D2092" s="1409"/>
      <c r="E2092" s="1286"/>
      <c r="F2092" s="1248" t="s">
        <v>5353</v>
      </c>
      <c r="G2092" s="111"/>
      <c r="H2092" s="1249">
        <v>25</v>
      </c>
      <c r="I2092" s="111" t="s">
        <v>1721</v>
      </c>
      <c r="J2092" s="1321" t="s">
        <v>5608</v>
      </c>
      <c r="K2092" s="162" t="s">
        <v>5610</v>
      </c>
      <c r="L2092" s="162" t="s">
        <v>5609</v>
      </c>
      <c r="M2092" s="111">
        <v>60</v>
      </c>
      <c r="N2092" s="111">
        <v>1500</v>
      </c>
      <c r="O2092" s="111"/>
      <c r="P2092" s="111"/>
      <c r="Q2092" s="111"/>
      <c r="R2092" s="111"/>
      <c r="S2092" s="1249">
        <v>10</v>
      </c>
      <c r="T2092" s="1250">
        <v>500</v>
      </c>
      <c r="U2092" s="1250"/>
      <c r="V2092" s="1250"/>
      <c r="W2092" s="1251">
        <v>10</v>
      </c>
      <c r="X2092" s="1250">
        <v>500</v>
      </c>
      <c r="Y2092" s="1250"/>
      <c r="Z2092" s="1250"/>
      <c r="AA2092" s="1250"/>
      <c r="AB2092" s="1250"/>
      <c r="AC2092" s="1250"/>
      <c r="AD2092" s="1250"/>
      <c r="AE2092" s="1249">
        <v>5</v>
      </c>
      <c r="AF2092" s="1250">
        <v>500</v>
      </c>
      <c r="AG2092" s="111"/>
      <c r="AH2092" s="111"/>
      <c r="AI2092" s="111"/>
      <c r="AJ2092" s="111"/>
      <c r="AK2092" s="111"/>
      <c r="AL2092" s="111"/>
      <c r="AM2092" s="111">
        <v>1500</v>
      </c>
    </row>
    <row r="2093" spans="1:39" ht="15" customHeight="1" x14ac:dyDescent="0.25">
      <c r="A2093" s="1409"/>
      <c r="B2093" s="1409"/>
      <c r="C2093" s="1409"/>
      <c r="D2093" s="1409"/>
      <c r="E2093" s="1286"/>
      <c r="F2093" s="1248" t="s">
        <v>5354</v>
      </c>
      <c r="G2093" s="111"/>
      <c r="H2093" s="1249">
        <v>25</v>
      </c>
      <c r="I2093" s="111" t="s">
        <v>1721</v>
      </c>
      <c r="J2093" s="1321" t="s">
        <v>5608</v>
      </c>
      <c r="K2093" s="162" t="s">
        <v>5610</v>
      </c>
      <c r="L2093" s="162" t="s">
        <v>5609</v>
      </c>
      <c r="M2093" s="111">
        <v>60</v>
      </c>
      <c r="N2093" s="111">
        <v>1500</v>
      </c>
      <c r="O2093" s="111"/>
      <c r="P2093" s="111"/>
      <c r="Q2093" s="111"/>
      <c r="R2093" s="111"/>
      <c r="S2093" s="1249">
        <v>10</v>
      </c>
      <c r="T2093" s="1250">
        <v>500</v>
      </c>
      <c r="U2093" s="1250"/>
      <c r="V2093" s="1250"/>
      <c r="W2093" s="1251">
        <v>10</v>
      </c>
      <c r="X2093" s="1250">
        <v>500</v>
      </c>
      <c r="Y2093" s="1250"/>
      <c r="Z2093" s="1250"/>
      <c r="AA2093" s="1250"/>
      <c r="AB2093" s="1250"/>
      <c r="AC2093" s="1250"/>
      <c r="AD2093" s="1250"/>
      <c r="AE2093" s="1249">
        <v>5</v>
      </c>
      <c r="AF2093" s="1250">
        <v>500</v>
      </c>
      <c r="AG2093" s="111"/>
      <c r="AH2093" s="111"/>
      <c r="AI2093" s="111"/>
      <c r="AJ2093" s="111"/>
      <c r="AK2093" s="111"/>
      <c r="AL2093" s="111"/>
      <c r="AM2093" s="111">
        <v>1500</v>
      </c>
    </row>
    <row r="2094" spans="1:39" ht="15" customHeight="1" x14ac:dyDescent="0.25">
      <c r="A2094" s="1409"/>
      <c r="B2094" s="1409"/>
      <c r="C2094" s="1409"/>
      <c r="D2094" s="1409"/>
      <c r="E2094" s="1286"/>
      <c r="F2094" s="1248" t="s">
        <v>5355</v>
      </c>
      <c r="G2094" s="111"/>
      <c r="H2094" s="1249">
        <v>25</v>
      </c>
      <c r="I2094" s="111" t="s">
        <v>1721</v>
      </c>
      <c r="J2094" s="1321" t="s">
        <v>5608</v>
      </c>
      <c r="K2094" s="162" t="s">
        <v>5610</v>
      </c>
      <c r="L2094" s="162" t="s">
        <v>5609</v>
      </c>
      <c r="M2094" s="111">
        <v>60</v>
      </c>
      <c r="N2094" s="111">
        <v>1500</v>
      </c>
      <c r="O2094" s="111"/>
      <c r="P2094" s="111"/>
      <c r="Q2094" s="111"/>
      <c r="R2094" s="111"/>
      <c r="S2094" s="1249">
        <v>10</v>
      </c>
      <c r="T2094" s="1250">
        <v>500</v>
      </c>
      <c r="U2094" s="1250"/>
      <c r="V2094" s="1250"/>
      <c r="W2094" s="1251">
        <v>10</v>
      </c>
      <c r="X2094" s="1250">
        <v>500</v>
      </c>
      <c r="Y2094" s="1250"/>
      <c r="Z2094" s="1250"/>
      <c r="AA2094" s="1250"/>
      <c r="AB2094" s="1250"/>
      <c r="AC2094" s="1250"/>
      <c r="AD2094" s="1250"/>
      <c r="AE2094" s="1249">
        <v>5</v>
      </c>
      <c r="AF2094" s="1250">
        <v>500</v>
      </c>
      <c r="AG2094" s="111"/>
      <c r="AH2094" s="111"/>
      <c r="AI2094" s="111"/>
      <c r="AJ2094" s="111"/>
      <c r="AK2094" s="111"/>
      <c r="AL2094" s="111"/>
      <c r="AM2094" s="111">
        <v>1500</v>
      </c>
    </row>
    <row r="2095" spans="1:39" ht="15" customHeight="1" x14ac:dyDescent="0.25">
      <c r="A2095" s="1409"/>
      <c r="B2095" s="1409"/>
      <c r="C2095" s="1409"/>
      <c r="D2095" s="1409"/>
      <c r="E2095" s="1286"/>
      <c r="F2095" s="1248" t="s">
        <v>5356</v>
      </c>
      <c r="G2095" s="111"/>
      <c r="H2095" s="1249">
        <v>10</v>
      </c>
      <c r="I2095" s="111" t="s">
        <v>1721</v>
      </c>
      <c r="J2095" s="1321" t="s">
        <v>5608</v>
      </c>
      <c r="K2095" s="162" t="s">
        <v>5610</v>
      </c>
      <c r="L2095" s="162" t="s">
        <v>5609</v>
      </c>
      <c r="M2095" s="111">
        <v>60</v>
      </c>
      <c r="N2095" s="111">
        <v>600</v>
      </c>
      <c r="O2095" s="111"/>
      <c r="P2095" s="111"/>
      <c r="Q2095" s="111"/>
      <c r="R2095" s="111"/>
      <c r="S2095" s="1249">
        <v>5</v>
      </c>
      <c r="T2095" s="1250">
        <v>200</v>
      </c>
      <c r="U2095" s="1250"/>
      <c r="V2095" s="1250"/>
      <c r="W2095" s="1251">
        <v>5</v>
      </c>
      <c r="X2095" s="1250">
        <v>200</v>
      </c>
      <c r="Y2095" s="1250"/>
      <c r="Z2095" s="1250"/>
      <c r="AA2095" s="1250"/>
      <c r="AB2095" s="1250"/>
      <c r="AC2095" s="1250"/>
      <c r="AD2095" s="1250"/>
      <c r="AE2095" s="1249">
        <v>0</v>
      </c>
      <c r="AF2095" s="1250">
        <v>200</v>
      </c>
      <c r="AG2095" s="111"/>
      <c r="AH2095" s="111"/>
      <c r="AI2095" s="111"/>
      <c r="AJ2095" s="111"/>
      <c r="AK2095" s="111"/>
      <c r="AL2095" s="111"/>
      <c r="AM2095" s="111">
        <v>600</v>
      </c>
    </row>
    <row r="2096" spans="1:39" ht="15" customHeight="1" x14ac:dyDescent="0.25">
      <c r="A2096" s="1409"/>
      <c r="B2096" s="1409"/>
      <c r="C2096" s="1409"/>
      <c r="D2096" s="1409"/>
      <c r="E2096" s="1286"/>
      <c r="F2096" s="1248" t="s">
        <v>5357</v>
      </c>
      <c r="G2096" s="111"/>
      <c r="H2096" s="1249">
        <v>5</v>
      </c>
      <c r="I2096" s="111" t="s">
        <v>1721</v>
      </c>
      <c r="J2096" s="1321" t="s">
        <v>5608</v>
      </c>
      <c r="K2096" s="162" t="s">
        <v>5610</v>
      </c>
      <c r="L2096" s="162" t="s">
        <v>5609</v>
      </c>
      <c r="M2096" s="111">
        <v>60</v>
      </c>
      <c r="N2096" s="111">
        <v>300</v>
      </c>
      <c r="O2096" s="111"/>
      <c r="P2096" s="111"/>
      <c r="Q2096" s="111"/>
      <c r="R2096" s="111"/>
      <c r="S2096" s="1249">
        <v>2</v>
      </c>
      <c r="T2096" s="1250">
        <v>100</v>
      </c>
      <c r="U2096" s="1250"/>
      <c r="V2096" s="1250"/>
      <c r="W2096" s="1251">
        <v>2</v>
      </c>
      <c r="X2096" s="1250">
        <v>100</v>
      </c>
      <c r="Y2096" s="1250"/>
      <c r="Z2096" s="1250"/>
      <c r="AA2096" s="1250"/>
      <c r="AB2096" s="1250"/>
      <c r="AC2096" s="1250"/>
      <c r="AD2096" s="1250"/>
      <c r="AE2096" s="1249">
        <v>1</v>
      </c>
      <c r="AF2096" s="1250">
        <v>100</v>
      </c>
      <c r="AG2096" s="111"/>
      <c r="AH2096" s="111"/>
      <c r="AI2096" s="111"/>
      <c r="AJ2096" s="111"/>
      <c r="AK2096" s="111"/>
      <c r="AL2096" s="111"/>
      <c r="AM2096" s="111">
        <v>300</v>
      </c>
    </row>
    <row r="2097" spans="1:39" ht="15" customHeight="1" x14ac:dyDescent="0.25">
      <c r="A2097" s="1409"/>
      <c r="B2097" s="1409"/>
      <c r="C2097" s="1409"/>
      <c r="D2097" s="1409"/>
      <c r="E2097" s="1286"/>
      <c r="F2097" s="1248" t="s">
        <v>5358</v>
      </c>
      <c r="G2097" s="111"/>
      <c r="H2097" s="1249">
        <v>5</v>
      </c>
      <c r="I2097" s="111" t="s">
        <v>1721</v>
      </c>
      <c r="J2097" s="1321" t="s">
        <v>5608</v>
      </c>
      <c r="K2097" s="162" t="s">
        <v>5610</v>
      </c>
      <c r="L2097" s="162" t="s">
        <v>5609</v>
      </c>
      <c r="M2097" s="111">
        <v>60</v>
      </c>
      <c r="N2097" s="111">
        <v>300</v>
      </c>
      <c r="O2097" s="111"/>
      <c r="P2097" s="111"/>
      <c r="Q2097" s="111"/>
      <c r="R2097" s="111"/>
      <c r="S2097" s="1249">
        <v>2</v>
      </c>
      <c r="T2097" s="1250">
        <v>100</v>
      </c>
      <c r="U2097" s="1250"/>
      <c r="V2097" s="1250"/>
      <c r="W2097" s="1251">
        <v>2</v>
      </c>
      <c r="X2097" s="1250">
        <v>100</v>
      </c>
      <c r="Y2097" s="1250"/>
      <c r="Z2097" s="1250"/>
      <c r="AA2097" s="1250"/>
      <c r="AB2097" s="1250"/>
      <c r="AC2097" s="1250"/>
      <c r="AD2097" s="1250"/>
      <c r="AE2097" s="1249">
        <v>1</v>
      </c>
      <c r="AF2097" s="1250">
        <v>100</v>
      </c>
      <c r="AG2097" s="111"/>
      <c r="AH2097" s="111"/>
      <c r="AI2097" s="111"/>
      <c r="AJ2097" s="111"/>
      <c r="AK2097" s="111"/>
      <c r="AL2097" s="111"/>
      <c r="AM2097" s="111">
        <v>300</v>
      </c>
    </row>
    <row r="2098" spans="1:39" ht="15" customHeight="1" x14ac:dyDescent="0.25">
      <c r="A2098" s="1409"/>
      <c r="B2098" s="1409"/>
      <c r="C2098" s="1409"/>
      <c r="D2098" s="1409"/>
      <c r="E2098" s="1286"/>
      <c r="F2098" s="1248" t="s">
        <v>5359</v>
      </c>
      <c r="G2098" s="111"/>
      <c r="H2098" s="1249">
        <v>5</v>
      </c>
      <c r="I2098" s="111" t="s">
        <v>1721</v>
      </c>
      <c r="J2098" s="1321" t="s">
        <v>5608</v>
      </c>
      <c r="K2098" s="162" t="s">
        <v>5610</v>
      </c>
      <c r="L2098" s="162" t="s">
        <v>5609</v>
      </c>
      <c r="M2098" s="111">
        <v>15</v>
      </c>
      <c r="N2098" s="111">
        <v>75</v>
      </c>
      <c r="O2098" s="111"/>
      <c r="P2098" s="111"/>
      <c r="Q2098" s="111"/>
      <c r="R2098" s="111"/>
      <c r="S2098" s="1249">
        <v>2</v>
      </c>
      <c r="T2098" s="1250">
        <v>25</v>
      </c>
      <c r="U2098" s="1250"/>
      <c r="V2098" s="1250"/>
      <c r="W2098" s="1251">
        <v>2</v>
      </c>
      <c r="X2098" s="1250">
        <v>25</v>
      </c>
      <c r="Y2098" s="1250"/>
      <c r="Z2098" s="1250"/>
      <c r="AA2098" s="1250"/>
      <c r="AB2098" s="1250"/>
      <c r="AC2098" s="1250"/>
      <c r="AD2098" s="1250"/>
      <c r="AE2098" s="1249">
        <v>1</v>
      </c>
      <c r="AF2098" s="1250">
        <v>25</v>
      </c>
      <c r="AG2098" s="111"/>
      <c r="AH2098" s="111"/>
      <c r="AI2098" s="111"/>
      <c r="AJ2098" s="111"/>
      <c r="AK2098" s="111"/>
      <c r="AL2098" s="111"/>
      <c r="AM2098" s="111">
        <v>75</v>
      </c>
    </row>
    <row r="2099" spans="1:39" ht="15" customHeight="1" x14ac:dyDescent="0.25">
      <c r="A2099" s="1409"/>
      <c r="B2099" s="1409"/>
      <c r="C2099" s="1409"/>
      <c r="D2099" s="1409"/>
      <c r="E2099" s="1286"/>
      <c r="F2099" s="1248" t="s">
        <v>5360</v>
      </c>
      <c r="G2099" s="111"/>
      <c r="H2099" s="1249">
        <v>45</v>
      </c>
      <c r="I2099" s="111" t="s">
        <v>1721</v>
      </c>
      <c r="J2099" s="1321" t="s">
        <v>5608</v>
      </c>
      <c r="K2099" s="162" t="s">
        <v>5610</v>
      </c>
      <c r="L2099" s="162" t="s">
        <v>5609</v>
      </c>
      <c r="M2099" s="111">
        <v>15</v>
      </c>
      <c r="N2099" s="111">
        <v>675</v>
      </c>
      <c r="O2099" s="111"/>
      <c r="P2099" s="111"/>
      <c r="Q2099" s="111"/>
      <c r="R2099" s="111"/>
      <c r="S2099" s="1249">
        <v>15</v>
      </c>
      <c r="T2099" s="1250">
        <v>225</v>
      </c>
      <c r="U2099" s="1250"/>
      <c r="V2099" s="1250"/>
      <c r="W2099" s="1251">
        <v>15</v>
      </c>
      <c r="X2099" s="1250">
        <v>225</v>
      </c>
      <c r="Y2099" s="1250"/>
      <c r="Z2099" s="1250"/>
      <c r="AA2099" s="1250"/>
      <c r="AB2099" s="1250"/>
      <c r="AC2099" s="1250"/>
      <c r="AD2099" s="1250"/>
      <c r="AE2099" s="1249">
        <v>15</v>
      </c>
      <c r="AF2099" s="1250">
        <v>225</v>
      </c>
      <c r="AG2099" s="111"/>
      <c r="AH2099" s="111"/>
      <c r="AI2099" s="111"/>
      <c r="AJ2099" s="111"/>
      <c r="AK2099" s="111"/>
      <c r="AL2099" s="111"/>
      <c r="AM2099" s="111">
        <v>675</v>
      </c>
    </row>
    <row r="2100" spans="1:39" ht="15" customHeight="1" x14ac:dyDescent="0.25">
      <c r="A2100" s="1409"/>
      <c r="B2100" s="1409"/>
      <c r="C2100" s="1409"/>
      <c r="D2100" s="1409"/>
      <c r="E2100" s="1286"/>
      <c r="F2100" s="1248" t="s">
        <v>2161</v>
      </c>
      <c r="G2100" s="111"/>
      <c r="H2100" s="1249">
        <v>45</v>
      </c>
      <c r="I2100" s="111" t="s">
        <v>1721</v>
      </c>
      <c r="J2100" s="1321" t="s">
        <v>5608</v>
      </c>
      <c r="K2100" s="162" t="s">
        <v>5610</v>
      </c>
      <c r="L2100" s="162" t="s">
        <v>5609</v>
      </c>
      <c r="M2100" s="111">
        <v>150</v>
      </c>
      <c r="N2100" s="111">
        <v>6750</v>
      </c>
      <c r="O2100" s="111"/>
      <c r="P2100" s="111"/>
      <c r="Q2100" s="111"/>
      <c r="R2100" s="111"/>
      <c r="S2100" s="1249">
        <v>15</v>
      </c>
      <c r="T2100" s="1250">
        <v>2250</v>
      </c>
      <c r="U2100" s="1250"/>
      <c r="V2100" s="1250"/>
      <c r="W2100" s="1251">
        <v>15</v>
      </c>
      <c r="X2100" s="1250">
        <v>2250</v>
      </c>
      <c r="Y2100" s="1250"/>
      <c r="Z2100" s="1250"/>
      <c r="AA2100" s="1250"/>
      <c r="AB2100" s="1250"/>
      <c r="AC2100" s="1250"/>
      <c r="AD2100" s="1250"/>
      <c r="AE2100" s="1249">
        <v>15</v>
      </c>
      <c r="AF2100" s="1250">
        <v>2250</v>
      </c>
      <c r="AG2100" s="111"/>
      <c r="AH2100" s="111"/>
      <c r="AI2100" s="111"/>
      <c r="AJ2100" s="111"/>
      <c r="AK2100" s="111"/>
      <c r="AL2100" s="111"/>
      <c r="AM2100" s="111">
        <v>6750</v>
      </c>
    </row>
    <row r="2101" spans="1:39" ht="15" customHeight="1" x14ac:dyDescent="0.25">
      <c r="A2101" s="1409"/>
      <c r="B2101" s="1409"/>
      <c r="C2101" s="1409"/>
      <c r="D2101" s="1409"/>
      <c r="E2101" s="1286"/>
      <c r="F2101" s="1248" t="s">
        <v>2866</v>
      </c>
      <c r="G2101" s="111"/>
      <c r="H2101" s="1249">
        <v>24</v>
      </c>
      <c r="I2101" s="111" t="s">
        <v>1721</v>
      </c>
      <c r="J2101" s="1321" t="s">
        <v>5608</v>
      </c>
      <c r="K2101" s="162" t="s">
        <v>5610</v>
      </c>
      <c r="L2101" s="162" t="s">
        <v>5609</v>
      </c>
      <c r="M2101" s="111">
        <v>10</v>
      </c>
      <c r="N2101" s="111">
        <v>240</v>
      </c>
      <c r="O2101" s="111"/>
      <c r="P2101" s="111"/>
      <c r="Q2101" s="111"/>
      <c r="R2101" s="111"/>
      <c r="S2101" s="1249">
        <v>14</v>
      </c>
      <c r="T2101" s="1250">
        <v>80</v>
      </c>
      <c r="U2101" s="1250"/>
      <c r="V2101" s="1250"/>
      <c r="W2101" s="1251">
        <v>5</v>
      </c>
      <c r="X2101" s="1250">
        <v>80</v>
      </c>
      <c r="Y2101" s="1250"/>
      <c r="Z2101" s="1250"/>
      <c r="AA2101" s="1250"/>
      <c r="AB2101" s="1250"/>
      <c r="AC2101" s="1250"/>
      <c r="AD2101" s="1250"/>
      <c r="AE2101" s="1249">
        <v>5</v>
      </c>
      <c r="AF2101" s="1250">
        <v>80</v>
      </c>
      <c r="AG2101" s="111"/>
      <c r="AH2101" s="111"/>
      <c r="AI2101" s="111"/>
      <c r="AJ2101" s="111"/>
      <c r="AK2101" s="111"/>
      <c r="AL2101" s="111"/>
      <c r="AM2101" s="111">
        <v>240</v>
      </c>
    </row>
    <row r="2102" spans="1:39" ht="15" customHeight="1" x14ac:dyDescent="0.25">
      <c r="A2102" s="1409"/>
      <c r="B2102" s="1409"/>
      <c r="C2102" s="1409"/>
      <c r="D2102" s="1409"/>
      <c r="E2102" s="1286"/>
      <c r="F2102" s="1248" t="s">
        <v>5361</v>
      </c>
      <c r="G2102" s="111"/>
      <c r="H2102" s="1249">
        <v>22</v>
      </c>
      <c r="I2102" s="111" t="s">
        <v>1721</v>
      </c>
      <c r="J2102" s="1321" t="s">
        <v>5608</v>
      </c>
      <c r="K2102" s="162" t="s">
        <v>5610</v>
      </c>
      <c r="L2102" s="162" t="s">
        <v>5609</v>
      </c>
      <c r="M2102" s="111">
        <v>10</v>
      </c>
      <c r="N2102" s="111">
        <v>220</v>
      </c>
      <c r="O2102" s="111"/>
      <c r="P2102" s="111"/>
      <c r="Q2102" s="111"/>
      <c r="R2102" s="111"/>
      <c r="S2102" s="1249">
        <v>12</v>
      </c>
      <c r="T2102" s="1250">
        <v>73.333333333333329</v>
      </c>
      <c r="U2102" s="1250"/>
      <c r="V2102" s="1250"/>
      <c r="W2102" s="1251">
        <v>5</v>
      </c>
      <c r="X2102" s="1250">
        <v>73.333333333333329</v>
      </c>
      <c r="Y2102" s="1250"/>
      <c r="Z2102" s="1250"/>
      <c r="AA2102" s="1250"/>
      <c r="AB2102" s="1250"/>
      <c r="AC2102" s="1250"/>
      <c r="AD2102" s="1250"/>
      <c r="AE2102" s="1249">
        <v>5</v>
      </c>
      <c r="AF2102" s="1250">
        <v>73.333333333333329</v>
      </c>
      <c r="AG2102" s="111"/>
      <c r="AH2102" s="111"/>
      <c r="AI2102" s="111"/>
      <c r="AJ2102" s="111"/>
      <c r="AK2102" s="111"/>
      <c r="AL2102" s="111"/>
      <c r="AM2102" s="111">
        <v>220</v>
      </c>
    </row>
    <row r="2103" spans="1:39" ht="15" customHeight="1" x14ac:dyDescent="0.25">
      <c r="A2103" s="1409"/>
      <c r="B2103" s="1409"/>
      <c r="C2103" s="1409"/>
      <c r="D2103" s="1409"/>
      <c r="E2103" s="1286"/>
      <c r="F2103" s="1248" t="s">
        <v>5362</v>
      </c>
      <c r="G2103" s="111"/>
      <c r="H2103" s="1249">
        <v>20</v>
      </c>
      <c r="I2103" s="111" t="s">
        <v>1721</v>
      </c>
      <c r="J2103" s="1321" t="s">
        <v>5608</v>
      </c>
      <c r="K2103" s="162" t="s">
        <v>5610</v>
      </c>
      <c r="L2103" s="162" t="s">
        <v>5609</v>
      </c>
      <c r="M2103" s="111">
        <v>22</v>
      </c>
      <c r="N2103" s="111">
        <v>440</v>
      </c>
      <c r="O2103" s="111"/>
      <c r="P2103" s="111"/>
      <c r="Q2103" s="111"/>
      <c r="R2103" s="111"/>
      <c r="S2103" s="1249">
        <v>10</v>
      </c>
      <c r="T2103" s="1250">
        <v>146.66666666666666</v>
      </c>
      <c r="U2103" s="1250"/>
      <c r="V2103" s="1250"/>
      <c r="W2103" s="1251">
        <v>5</v>
      </c>
      <c r="X2103" s="1250">
        <v>146.66666666666666</v>
      </c>
      <c r="Y2103" s="1250"/>
      <c r="Z2103" s="1250"/>
      <c r="AA2103" s="1250"/>
      <c r="AB2103" s="1250"/>
      <c r="AC2103" s="1250"/>
      <c r="AD2103" s="1250"/>
      <c r="AE2103" s="1249">
        <v>5</v>
      </c>
      <c r="AF2103" s="1250">
        <v>146.66666666666666</v>
      </c>
      <c r="AG2103" s="111"/>
      <c r="AH2103" s="111"/>
      <c r="AI2103" s="111"/>
      <c r="AJ2103" s="111"/>
      <c r="AK2103" s="111"/>
      <c r="AL2103" s="111"/>
      <c r="AM2103" s="111">
        <v>440</v>
      </c>
    </row>
    <row r="2104" spans="1:39" ht="15" customHeight="1" x14ac:dyDescent="0.25">
      <c r="A2104" s="1409"/>
      <c r="B2104" s="1409"/>
      <c r="C2104" s="1409"/>
      <c r="D2104" s="1409"/>
      <c r="E2104" s="1286"/>
      <c r="F2104" s="1248" t="s">
        <v>5363</v>
      </c>
      <c r="G2104" s="111"/>
      <c r="H2104" s="1249">
        <v>15</v>
      </c>
      <c r="I2104" s="111" t="s">
        <v>1721</v>
      </c>
      <c r="J2104" s="1321" t="s">
        <v>5608</v>
      </c>
      <c r="K2104" s="162" t="s">
        <v>5610</v>
      </c>
      <c r="L2104" s="162" t="s">
        <v>5609</v>
      </c>
      <c r="M2104" s="111">
        <v>22</v>
      </c>
      <c r="N2104" s="111">
        <v>330</v>
      </c>
      <c r="O2104" s="111"/>
      <c r="P2104" s="111"/>
      <c r="Q2104" s="111"/>
      <c r="R2104" s="111"/>
      <c r="S2104" s="1249">
        <v>5</v>
      </c>
      <c r="T2104" s="1250">
        <v>110</v>
      </c>
      <c r="U2104" s="1250"/>
      <c r="V2104" s="1250"/>
      <c r="W2104" s="1251">
        <v>5</v>
      </c>
      <c r="X2104" s="1250">
        <v>110</v>
      </c>
      <c r="Y2104" s="1250"/>
      <c r="Z2104" s="1250"/>
      <c r="AA2104" s="1250"/>
      <c r="AB2104" s="1250"/>
      <c r="AC2104" s="1250"/>
      <c r="AD2104" s="1250"/>
      <c r="AE2104" s="1249">
        <v>5</v>
      </c>
      <c r="AF2104" s="1250">
        <v>110</v>
      </c>
      <c r="AG2104" s="111"/>
      <c r="AH2104" s="111"/>
      <c r="AI2104" s="111"/>
      <c r="AJ2104" s="111"/>
      <c r="AK2104" s="111"/>
      <c r="AL2104" s="111"/>
      <c r="AM2104" s="111">
        <v>330</v>
      </c>
    </row>
    <row r="2105" spans="1:39" ht="15" customHeight="1" x14ac:dyDescent="0.25">
      <c r="A2105" s="1409"/>
      <c r="B2105" s="1409"/>
      <c r="C2105" s="1409"/>
      <c r="D2105" s="1409"/>
      <c r="E2105" s="1286"/>
      <c r="F2105" s="1248" t="s">
        <v>5364</v>
      </c>
      <c r="G2105" s="111"/>
      <c r="H2105" s="1249">
        <v>15</v>
      </c>
      <c r="I2105" s="111" t="s">
        <v>1721</v>
      </c>
      <c r="J2105" s="1321" t="s">
        <v>5608</v>
      </c>
      <c r="K2105" s="162" t="s">
        <v>5610</v>
      </c>
      <c r="L2105" s="162" t="s">
        <v>5609</v>
      </c>
      <c r="M2105" s="111">
        <v>25</v>
      </c>
      <c r="N2105" s="111">
        <v>375</v>
      </c>
      <c r="O2105" s="111"/>
      <c r="P2105" s="111"/>
      <c r="Q2105" s="111"/>
      <c r="R2105" s="111"/>
      <c r="S2105" s="1249">
        <v>5</v>
      </c>
      <c r="T2105" s="1250">
        <v>125</v>
      </c>
      <c r="U2105" s="1250"/>
      <c r="V2105" s="1250"/>
      <c r="W2105" s="1251">
        <v>5</v>
      </c>
      <c r="X2105" s="1250">
        <v>125</v>
      </c>
      <c r="Y2105" s="1250"/>
      <c r="Z2105" s="1250"/>
      <c r="AA2105" s="1250"/>
      <c r="AB2105" s="1250"/>
      <c r="AC2105" s="1250"/>
      <c r="AD2105" s="1250"/>
      <c r="AE2105" s="1249">
        <v>5</v>
      </c>
      <c r="AF2105" s="1250">
        <v>125</v>
      </c>
      <c r="AG2105" s="111"/>
      <c r="AH2105" s="111"/>
      <c r="AI2105" s="111"/>
      <c r="AJ2105" s="111"/>
      <c r="AK2105" s="111"/>
      <c r="AL2105" s="111"/>
      <c r="AM2105" s="111">
        <v>375</v>
      </c>
    </row>
    <row r="2106" spans="1:39" ht="15" customHeight="1" x14ac:dyDescent="0.25">
      <c r="A2106" s="1409"/>
      <c r="B2106" s="1409"/>
      <c r="C2106" s="1409"/>
      <c r="D2106" s="1409"/>
      <c r="E2106" s="1286"/>
      <c r="F2106" s="1248" t="s">
        <v>5365</v>
      </c>
      <c r="G2106" s="111"/>
      <c r="H2106" s="1249">
        <v>45</v>
      </c>
      <c r="I2106" s="111" t="s">
        <v>1721</v>
      </c>
      <c r="J2106" s="1321" t="s">
        <v>5608</v>
      </c>
      <c r="K2106" s="162" t="s">
        <v>5610</v>
      </c>
      <c r="L2106" s="162" t="s">
        <v>5609</v>
      </c>
      <c r="M2106" s="111">
        <v>250</v>
      </c>
      <c r="N2106" s="111">
        <v>11250</v>
      </c>
      <c r="O2106" s="111"/>
      <c r="P2106" s="111"/>
      <c r="Q2106" s="111"/>
      <c r="R2106" s="111"/>
      <c r="S2106" s="1249">
        <v>15</v>
      </c>
      <c r="T2106" s="1250">
        <v>3750</v>
      </c>
      <c r="U2106" s="1250"/>
      <c r="V2106" s="1250"/>
      <c r="W2106" s="1251">
        <v>15</v>
      </c>
      <c r="X2106" s="1250">
        <v>3750</v>
      </c>
      <c r="Y2106" s="1250"/>
      <c r="Z2106" s="1250"/>
      <c r="AA2106" s="1250"/>
      <c r="AB2106" s="1250"/>
      <c r="AC2106" s="1250"/>
      <c r="AD2106" s="1250"/>
      <c r="AE2106" s="1249">
        <v>15</v>
      </c>
      <c r="AF2106" s="1250">
        <v>3750</v>
      </c>
      <c r="AG2106" s="111"/>
      <c r="AH2106" s="111"/>
      <c r="AI2106" s="111"/>
      <c r="AJ2106" s="111"/>
      <c r="AK2106" s="111"/>
      <c r="AL2106" s="111"/>
      <c r="AM2106" s="111">
        <v>11250</v>
      </c>
    </row>
    <row r="2107" spans="1:39" ht="15" customHeight="1" x14ac:dyDescent="0.25">
      <c r="A2107" s="1409"/>
      <c r="B2107" s="1409"/>
      <c r="C2107" s="1409"/>
      <c r="D2107" s="1409"/>
      <c r="E2107" s="1286"/>
      <c r="F2107" s="1248"/>
      <c r="G2107" s="111"/>
      <c r="H2107" s="1249"/>
      <c r="I2107" s="111"/>
      <c r="J2107" s="111"/>
      <c r="K2107" s="111"/>
      <c r="L2107" s="111"/>
      <c r="M2107" s="111"/>
      <c r="N2107" s="111"/>
      <c r="O2107" s="111"/>
      <c r="P2107" s="111"/>
      <c r="Q2107" s="111"/>
      <c r="R2107" s="111"/>
      <c r="S2107" s="1249"/>
      <c r="T2107" s="1250"/>
      <c r="U2107" s="1250"/>
      <c r="V2107" s="1250"/>
      <c r="W2107" s="1251"/>
      <c r="X2107" s="1250"/>
      <c r="Y2107" s="1250"/>
      <c r="Z2107" s="1250"/>
      <c r="AA2107" s="1250"/>
      <c r="AB2107" s="1250"/>
      <c r="AC2107" s="1250"/>
      <c r="AD2107" s="1250"/>
      <c r="AE2107" s="1249"/>
      <c r="AF2107" s="1250"/>
      <c r="AG2107" s="111"/>
      <c r="AH2107" s="111"/>
      <c r="AI2107" s="111"/>
      <c r="AJ2107" s="111"/>
      <c r="AK2107" s="111"/>
      <c r="AL2107" s="111"/>
      <c r="AM2107" s="111"/>
    </row>
    <row r="2108" spans="1:39" ht="15" customHeight="1" x14ac:dyDescent="0.25">
      <c r="A2108" s="1409"/>
      <c r="B2108" s="1409"/>
      <c r="C2108" s="1409"/>
      <c r="D2108" s="1409"/>
      <c r="E2108" s="1261">
        <v>29107</v>
      </c>
      <c r="F2108" s="1262" t="s">
        <v>731</v>
      </c>
      <c r="G2108" s="1261"/>
      <c r="H2108" s="1261"/>
      <c r="I2108" s="1261"/>
      <c r="J2108" s="1261"/>
      <c r="K2108" s="1261"/>
      <c r="L2108" s="1261"/>
      <c r="M2108" s="1261"/>
      <c r="N2108" s="1261"/>
      <c r="O2108" s="1261"/>
      <c r="P2108" s="1261"/>
      <c r="Q2108" s="1261"/>
      <c r="R2108" s="1261"/>
      <c r="S2108" s="1261"/>
      <c r="T2108" s="1261"/>
      <c r="U2108" s="1261"/>
      <c r="V2108" s="1261"/>
      <c r="W2108" s="1261"/>
      <c r="X2108" s="1261"/>
      <c r="Y2108" s="1261"/>
      <c r="Z2108" s="1261"/>
      <c r="AA2108" s="1261"/>
      <c r="AB2108" s="1261"/>
      <c r="AC2108" s="1261"/>
      <c r="AD2108" s="1261"/>
      <c r="AE2108" s="1261"/>
      <c r="AF2108" s="1261"/>
      <c r="AG2108" s="1261"/>
      <c r="AH2108" s="1261"/>
      <c r="AI2108" s="1261"/>
      <c r="AJ2108" s="1261"/>
      <c r="AK2108" s="1261"/>
      <c r="AL2108" s="1261"/>
      <c r="AM2108" s="1261"/>
    </row>
    <row r="2109" spans="1:39" ht="15" customHeight="1" x14ac:dyDescent="0.25">
      <c r="A2109" s="1409"/>
      <c r="B2109" s="1409"/>
      <c r="C2109" s="1409"/>
      <c r="D2109" s="1409"/>
      <c r="E2109" s="1247"/>
      <c r="F2109" s="1248" t="s">
        <v>5366</v>
      </c>
      <c r="G2109" s="111"/>
      <c r="H2109" s="1249">
        <v>1</v>
      </c>
      <c r="I2109" s="111" t="s">
        <v>1721</v>
      </c>
      <c r="J2109" s="1321" t="s">
        <v>5608</v>
      </c>
      <c r="K2109" s="162" t="s">
        <v>5610</v>
      </c>
      <c r="L2109" s="162" t="s">
        <v>5609</v>
      </c>
      <c r="M2109" s="111">
        <v>1450</v>
      </c>
      <c r="N2109" s="111">
        <v>1450</v>
      </c>
      <c r="O2109" s="111"/>
      <c r="P2109" s="111"/>
      <c r="Q2109" s="111"/>
      <c r="R2109" s="111"/>
      <c r="S2109" s="1249">
        <v>1</v>
      </c>
      <c r="T2109" s="1250">
        <v>483.33333333333331</v>
      </c>
      <c r="U2109" s="1250"/>
      <c r="V2109" s="1250"/>
      <c r="W2109" s="1251">
        <v>0</v>
      </c>
      <c r="X2109" s="1250">
        <v>483.33333333333331</v>
      </c>
      <c r="Y2109" s="1250"/>
      <c r="Z2109" s="1250"/>
      <c r="AA2109" s="1250"/>
      <c r="AB2109" s="1250"/>
      <c r="AC2109" s="1250"/>
      <c r="AD2109" s="1250"/>
      <c r="AE2109" s="1249">
        <v>0</v>
      </c>
      <c r="AF2109" s="1250">
        <v>483.33333333333331</v>
      </c>
      <c r="AG2109" s="111"/>
      <c r="AH2109" s="111"/>
      <c r="AI2109" s="111"/>
      <c r="AJ2109" s="111"/>
      <c r="AK2109" s="111"/>
      <c r="AL2109" s="111"/>
      <c r="AM2109" s="111">
        <v>1450</v>
      </c>
    </row>
    <row r="2110" spans="1:39" ht="15" customHeight="1" x14ac:dyDescent="0.25">
      <c r="A2110" s="1409"/>
      <c r="B2110" s="1409"/>
      <c r="C2110" s="1409"/>
      <c r="D2110" s="1409"/>
      <c r="E2110" s="1247"/>
      <c r="F2110" s="1248" t="s">
        <v>5367</v>
      </c>
      <c r="G2110" s="111"/>
      <c r="H2110" s="1249">
        <v>4</v>
      </c>
      <c r="I2110" s="111" t="s">
        <v>1721</v>
      </c>
      <c r="J2110" s="1321" t="s">
        <v>5608</v>
      </c>
      <c r="K2110" s="162" t="s">
        <v>5610</v>
      </c>
      <c r="L2110" s="162" t="s">
        <v>5609</v>
      </c>
      <c r="M2110" s="111">
        <v>2000</v>
      </c>
      <c r="N2110" s="111">
        <v>8000</v>
      </c>
      <c r="O2110" s="111"/>
      <c r="P2110" s="111"/>
      <c r="Q2110" s="111"/>
      <c r="R2110" s="111"/>
      <c r="S2110" s="1249">
        <v>2</v>
      </c>
      <c r="T2110" s="1250">
        <v>2666.6666666666665</v>
      </c>
      <c r="U2110" s="1250"/>
      <c r="V2110" s="1250"/>
      <c r="W2110" s="1251">
        <v>1</v>
      </c>
      <c r="X2110" s="1250">
        <v>2666.6666666666665</v>
      </c>
      <c r="Y2110" s="1250"/>
      <c r="Z2110" s="1250"/>
      <c r="AA2110" s="1250"/>
      <c r="AB2110" s="1250"/>
      <c r="AC2110" s="1250"/>
      <c r="AD2110" s="1250"/>
      <c r="AE2110" s="1249">
        <v>1</v>
      </c>
      <c r="AF2110" s="1250">
        <v>2666.6666666666665</v>
      </c>
      <c r="AG2110" s="111"/>
      <c r="AH2110" s="111"/>
      <c r="AI2110" s="111"/>
      <c r="AJ2110" s="111"/>
      <c r="AK2110" s="111"/>
      <c r="AL2110" s="111"/>
      <c r="AM2110" s="111">
        <v>8000</v>
      </c>
    </row>
    <row r="2111" spans="1:39" ht="15" customHeight="1" x14ac:dyDescent="0.25">
      <c r="A2111" s="1409"/>
      <c r="B2111" s="1409"/>
      <c r="C2111" s="1409"/>
      <c r="D2111" s="1409"/>
      <c r="E2111" s="1247"/>
      <c r="F2111" s="1248" t="s">
        <v>5368</v>
      </c>
      <c r="G2111" s="111"/>
      <c r="H2111" s="1249">
        <v>1</v>
      </c>
      <c r="I2111" s="111" t="s">
        <v>1721</v>
      </c>
      <c r="J2111" s="1321" t="s">
        <v>5608</v>
      </c>
      <c r="K2111" s="162" t="s">
        <v>5610</v>
      </c>
      <c r="L2111" s="162" t="s">
        <v>5609</v>
      </c>
      <c r="M2111" s="111">
        <v>1542</v>
      </c>
      <c r="N2111" s="111">
        <v>1542</v>
      </c>
      <c r="O2111" s="111"/>
      <c r="P2111" s="111"/>
      <c r="Q2111" s="111"/>
      <c r="R2111" s="111"/>
      <c r="S2111" s="1249">
        <v>1</v>
      </c>
      <c r="T2111" s="1250">
        <v>514</v>
      </c>
      <c r="U2111" s="1250"/>
      <c r="V2111" s="1250"/>
      <c r="W2111" s="1251">
        <v>0</v>
      </c>
      <c r="X2111" s="1250">
        <v>514</v>
      </c>
      <c r="Y2111" s="1250"/>
      <c r="Z2111" s="1250"/>
      <c r="AA2111" s="1250"/>
      <c r="AB2111" s="1250"/>
      <c r="AC2111" s="1250"/>
      <c r="AD2111" s="1250"/>
      <c r="AE2111" s="1249">
        <v>0</v>
      </c>
      <c r="AF2111" s="1250">
        <v>514</v>
      </c>
      <c r="AG2111" s="111"/>
      <c r="AH2111" s="111"/>
      <c r="AI2111" s="111"/>
      <c r="AJ2111" s="111"/>
      <c r="AK2111" s="111"/>
      <c r="AL2111" s="111"/>
      <c r="AM2111" s="111">
        <v>1542</v>
      </c>
    </row>
    <row r="2112" spans="1:39" ht="30.75" customHeight="1" x14ac:dyDescent="0.25">
      <c r="A2112" s="1409"/>
      <c r="B2112" s="1409"/>
      <c r="C2112" s="1409"/>
      <c r="D2112" s="1409"/>
      <c r="E2112" s="1247"/>
      <c r="F2112" s="1287" t="s">
        <v>1362</v>
      </c>
      <c r="G2112" s="111"/>
      <c r="H2112" s="1249">
        <v>6</v>
      </c>
      <c r="I2112" s="111" t="s">
        <v>1755</v>
      </c>
      <c r="J2112" s="1321" t="s">
        <v>5608</v>
      </c>
      <c r="K2112" s="162" t="s">
        <v>5610</v>
      </c>
      <c r="L2112" s="162" t="s">
        <v>5609</v>
      </c>
      <c r="M2112" s="111">
        <v>617.76</v>
      </c>
      <c r="N2112" s="111">
        <v>3706.56</v>
      </c>
      <c r="O2112" s="111"/>
      <c r="P2112" s="111"/>
      <c r="Q2112" s="111"/>
      <c r="R2112" s="111"/>
      <c r="S2112" s="1249">
        <v>2</v>
      </c>
      <c r="T2112" s="1250">
        <v>1235.52</v>
      </c>
      <c r="U2112" s="1250"/>
      <c r="V2112" s="1250"/>
      <c r="W2112" s="1251">
        <v>2</v>
      </c>
      <c r="X2112" s="1250">
        <v>1235.52</v>
      </c>
      <c r="Y2112" s="1250"/>
      <c r="Z2112" s="1250"/>
      <c r="AA2112" s="1250"/>
      <c r="AB2112" s="1250"/>
      <c r="AC2112" s="1250"/>
      <c r="AD2112" s="1250"/>
      <c r="AE2112" s="1249">
        <v>2</v>
      </c>
      <c r="AF2112" s="1250">
        <v>1235.52</v>
      </c>
      <c r="AG2112" s="111"/>
      <c r="AH2112" s="111"/>
      <c r="AI2112" s="111"/>
      <c r="AJ2112" s="111"/>
      <c r="AK2112" s="111"/>
      <c r="AL2112" s="111"/>
      <c r="AM2112" s="111">
        <v>3706.56</v>
      </c>
    </row>
    <row r="2113" spans="1:39" ht="29.25" customHeight="1" x14ac:dyDescent="0.25">
      <c r="A2113" s="1409"/>
      <c r="B2113" s="1409"/>
      <c r="C2113" s="1409"/>
      <c r="D2113" s="1409"/>
      <c r="E2113" s="1247"/>
      <c r="F2113" s="1287" t="s">
        <v>1363</v>
      </c>
      <c r="G2113" s="111"/>
      <c r="H2113" s="1249">
        <v>6</v>
      </c>
      <c r="I2113" s="111" t="s">
        <v>1755</v>
      </c>
      <c r="J2113" s="1321" t="s">
        <v>5608</v>
      </c>
      <c r="K2113" s="162" t="s">
        <v>5610</v>
      </c>
      <c r="L2113" s="162" t="s">
        <v>5609</v>
      </c>
      <c r="M2113" s="111">
        <v>411.048</v>
      </c>
      <c r="N2113" s="111">
        <v>2466.288</v>
      </c>
      <c r="O2113" s="111"/>
      <c r="P2113" s="111"/>
      <c r="Q2113" s="111"/>
      <c r="R2113" s="111"/>
      <c r="S2113" s="1249">
        <v>2</v>
      </c>
      <c r="T2113" s="1250">
        <v>822.096</v>
      </c>
      <c r="U2113" s="1250"/>
      <c r="V2113" s="1250"/>
      <c r="W2113" s="1251">
        <v>2</v>
      </c>
      <c r="X2113" s="1250">
        <v>822.096</v>
      </c>
      <c r="Y2113" s="1250"/>
      <c r="Z2113" s="1250"/>
      <c r="AA2113" s="1250"/>
      <c r="AB2113" s="1250"/>
      <c r="AC2113" s="1250"/>
      <c r="AD2113" s="1250"/>
      <c r="AE2113" s="1249">
        <v>2</v>
      </c>
      <c r="AF2113" s="1250">
        <v>822.096</v>
      </c>
      <c r="AG2113" s="111"/>
      <c r="AH2113" s="111"/>
      <c r="AI2113" s="111"/>
      <c r="AJ2113" s="111"/>
      <c r="AK2113" s="111"/>
      <c r="AL2113" s="111"/>
      <c r="AM2113" s="111">
        <v>2466.288</v>
      </c>
    </row>
    <row r="2114" spans="1:39" ht="15" customHeight="1" x14ac:dyDescent="0.25">
      <c r="A2114" s="1409"/>
      <c r="B2114" s="1409"/>
      <c r="C2114" s="1409"/>
      <c r="D2114" s="1409"/>
      <c r="E2114" s="1247"/>
      <c r="F2114" s="1248"/>
      <c r="G2114" s="111"/>
      <c r="H2114" s="1249"/>
      <c r="I2114" s="111"/>
      <c r="J2114" s="111"/>
      <c r="K2114" s="111"/>
      <c r="L2114" s="111"/>
      <c r="M2114" s="111"/>
      <c r="N2114" s="111"/>
      <c r="O2114" s="111"/>
      <c r="P2114" s="111"/>
      <c r="Q2114" s="111"/>
      <c r="R2114" s="111"/>
      <c r="S2114" s="1249"/>
      <c r="T2114" s="1250"/>
      <c r="U2114" s="1250"/>
      <c r="V2114" s="1250"/>
      <c r="W2114" s="1251"/>
      <c r="X2114" s="1250"/>
      <c r="Y2114" s="1250"/>
      <c r="Z2114" s="1250"/>
      <c r="AA2114" s="1250"/>
      <c r="AB2114" s="1250"/>
      <c r="AC2114" s="1250"/>
      <c r="AD2114" s="1250"/>
      <c r="AE2114" s="1249"/>
      <c r="AF2114" s="1250"/>
      <c r="AG2114" s="111"/>
      <c r="AH2114" s="111"/>
      <c r="AI2114" s="111"/>
      <c r="AJ2114" s="111"/>
      <c r="AK2114" s="111"/>
      <c r="AL2114" s="111"/>
      <c r="AM2114" s="111"/>
    </row>
    <row r="2115" spans="1:39" ht="15" customHeight="1" x14ac:dyDescent="0.25">
      <c r="A2115" s="1409"/>
      <c r="B2115" s="1409"/>
      <c r="C2115" s="1409"/>
      <c r="D2115" s="1409"/>
      <c r="E2115" s="1218">
        <v>292</v>
      </c>
      <c r="F2115" s="1268" t="s">
        <v>734</v>
      </c>
      <c r="G2115" s="1218"/>
      <c r="H2115" s="1218"/>
      <c r="I2115" s="1218"/>
      <c r="J2115" s="1218"/>
      <c r="K2115" s="1218"/>
      <c r="L2115" s="1218"/>
      <c r="M2115" s="1218"/>
      <c r="N2115" s="1218"/>
      <c r="O2115" s="1218"/>
      <c r="P2115" s="1218"/>
      <c r="Q2115" s="1218"/>
      <c r="R2115" s="1218"/>
      <c r="S2115" s="1218"/>
      <c r="T2115" s="1218"/>
      <c r="U2115" s="1218"/>
      <c r="V2115" s="1218"/>
      <c r="W2115" s="1218"/>
      <c r="X2115" s="1218"/>
      <c r="Y2115" s="1218"/>
      <c r="Z2115" s="1218"/>
      <c r="AA2115" s="1218"/>
      <c r="AB2115" s="1218"/>
      <c r="AC2115" s="1218"/>
      <c r="AD2115" s="1218"/>
      <c r="AE2115" s="1218"/>
      <c r="AF2115" s="1218"/>
      <c r="AG2115" s="1218"/>
      <c r="AH2115" s="1218"/>
      <c r="AI2115" s="1218"/>
      <c r="AJ2115" s="1218"/>
      <c r="AK2115" s="1218"/>
      <c r="AL2115" s="1218"/>
      <c r="AM2115" s="1218"/>
    </row>
    <row r="2116" spans="1:39" ht="15" customHeight="1" x14ac:dyDescent="0.25">
      <c r="A2116" s="1409"/>
      <c r="B2116" s="1409"/>
      <c r="C2116" s="1409"/>
      <c r="D2116" s="1409"/>
      <c r="E2116" s="1261">
        <v>29201</v>
      </c>
      <c r="F2116" s="1262" t="s">
        <v>735</v>
      </c>
      <c r="G2116" s="1261"/>
      <c r="H2116" s="1261"/>
      <c r="I2116" s="1261"/>
      <c r="J2116" s="1261"/>
      <c r="K2116" s="1261"/>
      <c r="L2116" s="1261"/>
      <c r="M2116" s="1261"/>
      <c r="N2116" s="1261"/>
      <c r="O2116" s="1261"/>
      <c r="P2116" s="1261"/>
      <c r="Q2116" s="1261"/>
      <c r="R2116" s="1261"/>
      <c r="S2116" s="1261"/>
      <c r="T2116" s="1261"/>
      <c r="U2116" s="1261"/>
      <c r="V2116" s="1261"/>
      <c r="W2116" s="1261"/>
      <c r="X2116" s="1261"/>
      <c r="Y2116" s="1261"/>
      <c r="Z2116" s="1261"/>
      <c r="AA2116" s="1261"/>
      <c r="AB2116" s="1261"/>
      <c r="AC2116" s="1261"/>
      <c r="AD2116" s="1261"/>
      <c r="AE2116" s="1261"/>
      <c r="AF2116" s="1261"/>
      <c r="AG2116" s="1261"/>
      <c r="AH2116" s="1261"/>
      <c r="AI2116" s="1261"/>
      <c r="AJ2116" s="1261"/>
      <c r="AK2116" s="1261"/>
      <c r="AL2116" s="1261"/>
      <c r="AM2116" s="1261"/>
    </row>
    <row r="2117" spans="1:39" ht="15" customHeight="1" x14ac:dyDescent="0.25">
      <c r="A2117" s="1409"/>
      <c r="B2117" s="1409"/>
      <c r="C2117" s="1409"/>
      <c r="D2117" s="1409"/>
      <c r="E2117" s="1286"/>
      <c r="F2117" s="1248" t="s">
        <v>5369</v>
      </c>
      <c r="G2117" s="111"/>
      <c r="H2117" s="1249">
        <v>4</v>
      </c>
      <c r="I2117" s="111" t="s">
        <v>1721</v>
      </c>
      <c r="J2117" s="1321" t="s">
        <v>5608</v>
      </c>
      <c r="K2117" s="162" t="s">
        <v>5610</v>
      </c>
      <c r="L2117" s="162" t="s">
        <v>5609</v>
      </c>
      <c r="M2117" s="111">
        <v>1000</v>
      </c>
      <c r="N2117" s="111">
        <v>4000</v>
      </c>
      <c r="O2117" s="111"/>
      <c r="P2117" s="111"/>
      <c r="Q2117" s="111"/>
      <c r="R2117" s="111"/>
      <c r="S2117" s="1249">
        <v>2</v>
      </c>
      <c r="T2117" s="1250">
        <v>1333.3333333333333</v>
      </c>
      <c r="U2117" s="1250"/>
      <c r="V2117" s="1250"/>
      <c r="W2117" s="1251">
        <v>1</v>
      </c>
      <c r="X2117" s="1250">
        <v>1333.3333333333333</v>
      </c>
      <c r="Y2117" s="1250"/>
      <c r="Z2117" s="1250"/>
      <c r="AA2117" s="1250"/>
      <c r="AB2117" s="1250"/>
      <c r="AC2117" s="1250"/>
      <c r="AD2117" s="1250"/>
      <c r="AE2117" s="1249">
        <v>1</v>
      </c>
      <c r="AF2117" s="1250">
        <v>1333.3333333333333</v>
      </c>
      <c r="AG2117" s="111"/>
      <c r="AH2117" s="111"/>
      <c r="AI2117" s="111"/>
      <c r="AJ2117" s="111"/>
      <c r="AK2117" s="111"/>
      <c r="AL2117" s="111"/>
      <c r="AM2117" s="111">
        <v>4000</v>
      </c>
    </row>
    <row r="2118" spans="1:39" ht="15" customHeight="1" x14ac:dyDescent="0.25">
      <c r="A2118" s="1409"/>
      <c r="B2118" s="1409"/>
      <c r="C2118" s="1409"/>
      <c r="D2118" s="1409"/>
      <c r="E2118" s="1286"/>
      <c r="F2118" s="1248"/>
      <c r="G2118" s="111"/>
      <c r="H2118" s="1249"/>
      <c r="I2118" s="111"/>
      <c r="J2118" s="111"/>
      <c r="K2118" s="111"/>
      <c r="L2118" s="111"/>
      <c r="M2118" s="111"/>
      <c r="N2118" s="111"/>
      <c r="O2118" s="111"/>
      <c r="P2118" s="111"/>
      <c r="Q2118" s="111"/>
      <c r="R2118" s="111"/>
      <c r="S2118" s="1249"/>
      <c r="T2118" s="1250"/>
      <c r="U2118" s="1250"/>
      <c r="V2118" s="1250"/>
      <c r="W2118" s="1251"/>
      <c r="X2118" s="1250"/>
      <c r="Y2118" s="1250"/>
      <c r="Z2118" s="1250"/>
      <c r="AA2118" s="1250"/>
      <c r="AB2118" s="1250"/>
      <c r="AC2118" s="1250"/>
      <c r="AD2118" s="1250"/>
      <c r="AE2118" s="1249"/>
      <c r="AF2118" s="1250"/>
      <c r="AG2118" s="111"/>
      <c r="AH2118" s="111"/>
      <c r="AI2118" s="111"/>
      <c r="AJ2118" s="111"/>
      <c r="AK2118" s="111"/>
      <c r="AL2118" s="111"/>
      <c r="AM2118" s="111"/>
    </row>
    <row r="2119" spans="1:39" ht="15" customHeight="1" x14ac:dyDescent="0.25">
      <c r="A2119" s="1409"/>
      <c r="B2119" s="1409"/>
      <c r="C2119" s="1409"/>
      <c r="D2119" s="1409"/>
      <c r="E2119" s="1261">
        <v>29202</v>
      </c>
      <c r="F2119" s="1262" t="s">
        <v>736</v>
      </c>
      <c r="G2119" s="1261"/>
      <c r="H2119" s="1261"/>
      <c r="I2119" s="1261"/>
      <c r="J2119" s="1261"/>
      <c r="K2119" s="1261"/>
      <c r="L2119" s="1261"/>
      <c r="M2119" s="1261"/>
      <c r="N2119" s="1261"/>
      <c r="O2119" s="1261"/>
      <c r="P2119" s="1261"/>
      <c r="Q2119" s="1261"/>
      <c r="R2119" s="1261"/>
      <c r="S2119" s="1261"/>
      <c r="T2119" s="1261"/>
      <c r="U2119" s="1261"/>
      <c r="V2119" s="1261"/>
      <c r="W2119" s="1261"/>
      <c r="X2119" s="1261"/>
      <c r="Y2119" s="1261"/>
      <c r="Z2119" s="1261"/>
      <c r="AA2119" s="1261"/>
      <c r="AB2119" s="1261"/>
      <c r="AC2119" s="1261"/>
      <c r="AD2119" s="1261"/>
      <c r="AE2119" s="1261"/>
      <c r="AF2119" s="1261"/>
      <c r="AG2119" s="1261"/>
      <c r="AH2119" s="1261"/>
      <c r="AI2119" s="1261"/>
      <c r="AJ2119" s="1261"/>
      <c r="AK2119" s="1261"/>
      <c r="AL2119" s="1261"/>
      <c r="AM2119" s="1261"/>
    </row>
    <row r="2120" spans="1:39" ht="15" customHeight="1" x14ac:dyDescent="0.25">
      <c r="A2120" s="1409"/>
      <c r="B2120" s="1409"/>
      <c r="C2120" s="1409"/>
      <c r="D2120" s="1409"/>
      <c r="E2120" s="1247"/>
      <c r="F2120" s="1248" t="s">
        <v>5370</v>
      </c>
      <c r="G2120" s="111"/>
      <c r="H2120" s="1249">
        <v>6</v>
      </c>
      <c r="I2120" s="111" t="s">
        <v>1721</v>
      </c>
      <c r="J2120" s="1321" t="s">
        <v>5608</v>
      </c>
      <c r="K2120" s="162" t="s">
        <v>5610</v>
      </c>
      <c r="L2120" s="162" t="s">
        <v>5609</v>
      </c>
      <c r="M2120" s="111">
        <v>384</v>
      </c>
      <c r="N2120" s="111">
        <v>2304</v>
      </c>
      <c r="O2120" s="111"/>
      <c r="P2120" s="111"/>
      <c r="Q2120" s="111"/>
      <c r="R2120" s="111"/>
      <c r="S2120" s="1249">
        <v>2</v>
      </c>
      <c r="T2120" s="1250">
        <v>768</v>
      </c>
      <c r="U2120" s="1250"/>
      <c r="V2120" s="1250"/>
      <c r="W2120" s="1251">
        <v>2</v>
      </c>
      <c r="X2120" s="1250">
        <v>768</v>
      </c>
      <c r="Y2120" s="1250"/>
      <c r="Z2120" s="1250"/>
      <c r="AA2120" s="1250"/>
      <c r="AB2120" s="1250"/>
      <c r="AC2120" s="1250"/>
      <c r="AD2120" s="1250"/>
      <c r="AE2120" s="1249">
        <v>2</v>
      </c>
      <c r="AF2120" s="1250">
        <v>768</v>
      </c>
      <c r="AG2120" s="111"/>
      <c r="AH2120" s="111"/>
      <c r="AI2120" s="111"/>
      <c r="AJ2120" s="111"/>
      <c r="AK2120" s="111"/>
      <c r="AL2120" s="111"/>
      <c r="AM2120" s="111">
        <v>2304</v>
      </c>
    </row>
    <row r="2121" spans="1:39" ht="15" customHeight="1" x14ac:dyDescent="0.25">
      <c r="A2121" s="1409"/>
      <c r="B2121" s="1409"/>
      <c r="C2121" s="1409"/>
      <c r="D2121" s="1409"/>
      <c r="E2121" s="1247"/>
      <c r="F2121" s="1248" t="s">
        <v>1327</v>
      </c>
      <c r="G2121" s="111"/>
      <c r="H2121" s="1249">
        <v>10</v>
      </c>
      <c r="I2121" s="111" t="s">
        <v>1721</v>
      </c>
      <c r="J2121" s="1321" t="s">
        <v>5608</v>
      </c>
      <c r="K2121" s="162" t="s">
        <v>5610</v>
      </c>
      <c r="L2121" s="162" t="s">
        <v>5609</v>
      </c>
      <c r="M2121" s="111">
        <v>16.536960000000001</v>
      </c>
      <c r="N2121" s="111">
        <v>165.36959999999999</v>
      </c>
      <c r="O2121" s="111"/>
      <c r="P2121" s="111"/>
      <c r="Q2121" s="111"/>
      <c r="R2121" s="111"/>
      <c r="S2121" s="1249">
        <v>5</v>
      </c>
      <c r="T2121" s="1250">
        <v>55.123199999999997</v>
      </c>
      <c r="U2121" s="1250"/>
      <c r="V2121" s="1250"/>
      <c r="W2121" s="1251">
        <v>5</v>
      </c>
      <c r="X2121" s="1250">
        <v>55.123199999999997</v>
      </c>
      <c r="Y2121" s="1250"/>
      <c r="Z2121" s="1250"/>
      <c r="AA2121" s="1250"/>
      <c r="AB2121" s="1250"/>
      <c r="AC2121" s="1250"/>
      <c r="AD2121" s="1250"/>
      <c r="AE2121" s="1249">
        <v>0</v>
      </c>
      <c r="AF2121" s="1250">
        <v>55.123199999999997</v>
      </c>
      <c r="AG2121" s="111"/>
      <c r="AH2121" s="111"/>
      <c r="AI2121" s="111"/>
      <c r="AJ2121" s="111"/>
      <c r="AK2121" s="111"/>
      <c r="AL2121" s="111"/>
      <c r="AM2121" s="111">
        <v>165.36959999999999</v>
      </c>
    </row>
    <row r="2122" spans="1:39" ht="15" customHeight="1" x14ac:dyDescent="0.25">
      <c r="A2122" s="1409"/>
      <c r="B2122" s="1409"/>
      <c r="C2122" s="1409"/>
      <c r="D2122" s="1409"/>
      <c r="E2122" s="1247"/>
      <c r="F2122" s="1248" t="s">
        <v>1325</v>
      </c>
      <c r="G2122" s="111"/>
      <c r="H2122" s="1249">
        <v>10</v>
      </c>
      <c r="I2122" s="111" t="s">
        <v>1721</v>
      </c>
      <c r="J2122" s="1321" t="s">
        <v>5608</v>
      </c>
      <c r="K2122" s="162" t="s">
        <v>5610</v>
      </c>
      <c r="L2122" s="162" t="s">
        <v>5609</v>
      </c>
      <c r="M2122" s="111">
        <v>24.805440000000001</v>
      </c>
      <c r="N2122" s="111">
        <v>248.05440000000002</v>
      </c>
      <c r="O2122" s="111"/>
      <c r="P2122" s="111"/>
      <c r="Q2122" s="111"/>
      <c r="R2122" s="111"/>
      <c r="S2122" s="1249">
        <v>5</v>
      </c>
      <c r="T2122" s="1250">
        <v>82.68480000000001</v>
      </c>
      <c r="U2122" s="1250"/>
      <c r="V2122" s="1250"/>
      <c r="W2122" s="1251">
        <v>5</v>
      </c>
      <c r="X2122" s="1250">
        <v>82.68480000000001</v>
      </c>
      <c r="Y2122" s="1250"/>
      <c r="Z2122" s="1250"/>
      <c r="AA2122" s="1250"/>
      <c r="AB2122" s="1250"/>
      <c r="AC2122" s="1250"/>
      <c r="AD2122" s="1250"/>
      <c r="AE2122" s="1249">
        <v>0</v>
      </c>
      <c r="AF2122" s="1250">
        <v>82.68480000000001</v>
      </c>
      <c r="AG2122" s="111"/>
      <c r="AH2122" s="111"/>
      <c r="AI2122" s="111"/>
      <c r="AJ2122" s="111"/>
      <c r="AK2122" s="111"/>
      <c r="AL2122" s="111"/>
      <c r="AM2122" s="111">
        <v>248.05440000000002</v>
      </c>
    </row>
    <row r="2123" spans="1:39" ht="15" customHeight="1" x14ac:dyDescent="0.25">
      <c r="A2123" s="1409"/>
      <c r="B2123" s="1409"/>
      <c r="C2123" s="1409"/>
      <c r="D2123" s="1409"/>
      <c r="E2123" s="1247"/>
      <c r="F2123" s="1248" t="s">
        <v>5371</v>
      </c>
      <c r="G2123" s="111"/>
      <c r="H2123" s="1249">
        <v>20</v>
      </c>
      <c r="I2123" s="111" t="s">
        <v>1721</v>
      </c>
      <c r="J2123" s="1321" t="s">
        <v>5608</v>
      </c>
      <c r="K2123" s="162" t="s">
        <v>5610</v>
      </c>
      <c r="L2123" s="162" t="s">
        <v>5609</v>
      </c>
      <c r="M2123" s="111">
        <v>200</v>
      </c>
      <c r="N2123" s="111">
        <v>4000</v>
      </c>
      <c r="O2123" s="111"/>
      <c r="P2123" s="111"/>
      <c r="Q2123" s="111"/>
      <c r="R2123" s="111"/>
      <c r="S2123" s="1249">
        <v>10</v>
      </c>
      <c r="T2123" s="1250">
        <v>1333.3333333333333</v>
      </c>
      <c r="U2123" s="1250"/>
      <c r="V2123" s="1250"/>
      <c r="W2123" s="1251">
        <v>5</v>
      </c>
      <c r="X2123" s="1250">
        <v>1333.3333333333333</v>
      </c>
      <c r="Y2123" s="1250"/>
      <c r="Z2123" s="1250"/>
      <c r="AA2123" s="1250"/>
      <c r="AB2123" s="1250"/>
      <c r="AC2123" s="1250"/>
      <c r="AD2123" s="1250"/>
      <c r="AE2123" s="1249">
        <v>5</v>
      </c>
      <c r="AF2123" s="1250">
        <v>1333.3333333333333</v>
      </c>
      <c r="AG2123" s="111"/>
      <c r="AH2123" s="111"/>
      <c r="AI2123" s="111"/>
      <c r="AJ2123" s="111"/>
      <c r="AK2123" s="111"/>
      <c r="AL2123" s="111"/>
      <c r="AM2123" s="111">
        <v>4000</v>
      </c>
    </row>
    <row r="2124" spans="1:39" ht="15" customHeight="1" x14ac:dyDescent="0.25">
      <c r="A2124" s="1409"/>
      <c r="B2124" s="1409"/>
      <c r="C2124" s="1409"/>
      <c r="D2124" s="1409"/>
      <c r="E2124" s="1247"/>
      <c r="F2124" s="1248" t="s">
        <v>1333</v>
      </c>
      <c r="G2124" s="111"/>
      <c r="H2124" s="1249">
        <v>2</v>
      </c>
      <c r="I2124" s="111" t="s">
        <v>1721</v>
      </c>
      <c r="J2124" s="1321" t="s">
        <v>5608</v>
      </c>
      <c r="K2124" s="162" t="s">
        <v>5610</v>
      </c>
      <c r="L2124" s="162" t="s">
        <v>5609</v>
      </c>
      <c r="M2124" s="111">
        <v>338.58</v>
      </c>
      <c r="N2124" s="111">
        <v>677.16</v>
      </c>
      <c r="O2124" s="111"/>
      <c r="P2124" s="111"/>
      <c r="Q2124" s="111"/>
      <c r="R2124" s="111"/>
      <c r="S2124" s="1249">
        <v>2</v>
      </c>
      <c r="T2124" s="1250">
        <v>225.72</v>
      </c>
      <c r="U2124" s="1250"/>
      <c r="V2124" s="1250"/>
      <c r="W2124" s="1251">
        <v>0</v>
      </c>
      <c r="X2124" s="1250">
        <v>225.72</v>
      </c>
      <c r="Y2124" s="1250"/>
      <c r="Z2124" s="1250"/>
      <c r="AA2124" s="1250"/>
      <c r="AB2124" s="1250"/>
      <c r="AC2124" s="1250"/>
      <c r="AD2124" s="1250"/>
      <c r="AE2124" s="1249">
        <v>0</v>
      </c>
      <c r="AF2124" s="1250">
        <v>225.72</v>
      </c>
      <c r="AG2124" s="111"/>
      <c r="AH2124" s="111"/>
      <c r="AI2124" s="111"/>
      <c r="AJ2124" s="111"/>
      <c r="AK2124" s="111"/>
      <c r="AL2124" s="111"/>
      <c r="AM2124" s="111">
        <v>677.16</v>
      </c>
    </row>
    <row r="2125" spans="1:39" ht="15" customHeight="1" x14ac:dyDescent="0.25">
      <c r="A2125" s="1409"/>
      <c r="B2125" s="1409"/>
      <c r="C2125" s="1409"/>
      <c r="D2125" s="1409"/>
      <c r="E2125" s="1247"/>
      <c r="F2125" s="1248" t="s">
        <v>3313</v>
      </c>
      <c r="G2125" s="111"/>
      <c r="H2125" s="1249">
        <v>5</v>
      </c>
      <c r="I2125" s="111" t="s">
        <v>1721</v>
      </c>
      <c r="J2125" s="1321" t="s">
        <v>5608</v>
      </c>
      <c r="K2125" s="162" t="s">
        <v>5610</v>
      </c>
      <c r="L2125" s="162" t="s">
        <v>5609</v>
      </c>
      <c r="M2125" s="111">
        <v>131.32175999999998</v>
      </c>
      <c r="N2125" s="111">
        <v>656.60879999999997</v>
      </c>
      <c r="O2125" s="111"/>
      <c r="P2125" s="111"/>
      <c r="Q2125" s="111"/>
      <c r="R2125" s="111"/>
      <c r="S2125" s="1249">
        <v>2</v>
      </c>
      <c r="T2125" s="1250">
        <v>218.86959999999999</v>
      </c>
      <c r="U2125" s="1250"/>
      <c r="V2125" s="1250"/>
      <c r="W2125" s="1251">
        <v>2</v>
      </c>
      <c r="X2125" s="1250">
        <v>218.86959999999999</v>
      </c>
      <c r="Y2125" s="1250"/>
      <c r="Z2125" s="1250"/>
      <c r="AA2125" s="1250"/>
      <c r="AB2125" s="1250"/>
      <c r="AC2125" s="1250"/>
      <c r="AD2125" s="1250"/>
      <c r="AE2125" s="1249">
        <v>1</v>
      </c>
      <c r="AF2125" s="1250">
        <v>218.86959999999999</v>
      </c>
      <c r="AG2125" s="111"/>
      <c r="AH2125" s="111"/>
      <c r="AI2125" s="111"/>
      <c r="AJ2125" s="111"/>
      <c r="AK2125" s="111"/>
      <c r="AL2125" s="111"/>
      <c r="AM2125" s="111">
        <v>656.60879999999997</v>
      </c>
    </row>
    <row r="2126" spans="1:39" ht="29.25" customHeight="1" x14ac:dyDescent="0.25">
      <c r="A2126" s="1409"/>
      <c r="B2126" s="1409"/>
      <c r="C2126" s="1409"/>
      <c r="D2126" s="1409"/>
      <c r="E2126" s="1247"/>
      <c r="F2126" s="1287" t="s">
        <v>5372</v>
      </c>
      <c r="G2126" s="111"/>
      <c r="H2126" s="1249">
        <v>2</v>
      </c>
      <c r="I2126" s="111" t="s">
        <v>1721</v>
      </c>
      <c r="J2126" s="1321" t="s">
        <v>5608</v>
      </c>
      <c r="K2126" s="162" t="s">
        <v>5610</v>
      </c>
      <c r="L2126" s="162" t="s">
        <v>5609</v>
      </c>
      <c r="M2126" s="111">
        <v>653.4</v>
      </c>
      <c r="N2126" s="111">
        <v>1306.8</v>
      </c>
      <c r="O2126" s="111"/>
      <c r="P2126" s="111"/>
      <c r="Q2126" s="111"/>
      <c r="R2126" s="111"/>
      <c r="S2126" s="1249">
        <v>2</v>
      </c>
      <c r="T2126" s="1250">
        <v>435.59999999999997</v>
      </c>
      <c r="U2126" s="1250"/>
      <c r="V2126" s="1250"/>
      <c r="W2126" s="1251">
        <v>0</v>
      </c>
      <c r="X2126" s="1250">
        <v>435.59999999999997</v>
      </c>
      <c r="Y2126" s="1250"/>
      <c r="Z2126" s="1250"/>
      <c r="AA2126" s="1250"/>
      <c r="AB2126" s="1250"/>
      <c r="AC2126" s="1250"/>
      <c r="AD2126" s="1250"/>
      <c r="AE2126" s="1249">
        <v>0</v>
      </c>
      <c r="AF2126" s="1250">
        <v>435.59999999999997</v>
      </c>
      <c r="AG2126" s="111"/>
      <c r="AH2126" s="111"/>
      <c r="AI2126" s="111"/>
      <c r="AJ2126" s="111"/>
      <c r="AK2126" s="111"/>
      <c r="AL2126" s="111"/>
      <c r="AM2126" s="111">
        <v>1306.8</v>
      </c>
    </row>
    <row r="2127" spans="1:39" ht="15" customHeight="1" x14ac:dyDescent="0.25">
      <c r="A2127" s="1409"/>
      <c r="B2127" s="1409"/>
      <c r="C2127" s="1409"/>
      <c r="D2127" s="1409"/>
      <c r="E2127" s="1247"/>
      <c r="F2127" s="1248" t="s">
        <v>5373</v>
      </c>
      <c r="G2127" s="111"/>
      <c r="H2127" s="1249">
        <v>2</v>
      </c>
      <c r="I2127" s="111" t="s">
        <v>1721</v>
      </c>
      <c r="J2127" s="1321" t="s">
        <v>5608</v>
      </c>
      <c r="K2127" s="162" t="s">
        <v>5610</v>
      </c>
      <c r="L2127" s="162" t="s">
        <v>5609</v>
      </c>
      <c r="M2127" s="111">
        <v>227.38</v>
      </c>
      <c r="N2127" s="111">
        <v>454.76</v>
      </c>
      <c r="O2127" s="111"/>
      <c r="P2127" s="111"/>
      <c r="Q2127" s="111"/>
      <c r="R2127" s="111"/>
      <c r="S2127" s="1249">
        <v>2</v>
      </c>
      <c r="T2127" s="1250">
        <v>151.58666666666667</v>
      </c>
      <c r="U2127" s="1250"/>
      <c r="V2127" s="1250"/>
      <c r="W2127" s="1251">
        <v>0</v>
      </c>
      <c r="X2127" s="1250">
        <v>151.58666666666667</v>
      </c>
      <c r="Y2127" s="1250"/>
      <c r="Z2127" s="1250"/>
      <c r="AA2127" s="1250"/>
      <c r="AB2127" s="1250"/>
      <c r="AC2127" s="1250"/>
      <c r="AD2127" s="1250"/>
      <c r="AE2127" s="1249">
        <v>0</v>
      </c>
      <c r="AF2127" s="1250">
        <v>151.58666666666667</v>
      </c>
      <c r="AG2127" s="111"/>
      <c r="AH2127" s="111"/>
      <c r="AI2127" s="111"/>
      <c r="AJ2127" s="111"/>
      <c r="AK2127" s="111"/>
      <c r="AL2127" s="111"/>
      <c r="AM2127" s="111">
        <v>454.76</v>
      </c>
    </row>
    <row r="2128" spans="1:39" ht="15" customHeight="1" x14ac:dyDescent="0.25">
      <c r="A2128" s="1409"/>
      <c r="B2128" s="1409"/>
      <c r="C2128" s="1409"/>
      <c r="D2128" s="1409"/>
      <c r="E2128" s="1247"/>
      <c r="F2128" s="1248" t="s">
        <v>5374</v>
      </c>
      <c r="G2128" s="111"/>
      <c r="H2128" s="1249">
        <v>3</v>
      </c>
      <c r="I2128" s="111" t="s">
        <v>1721</v>
      </c>
      <c r="J2128" s="1321" t="s">
        <v>5608</v>
      </c>
      <c r="K2128" s="162" t="s">
        <v>5610</v>
      </c>
      <c r="L2128" s="162" t="s">
        <v>5609</v>
      </c>
      <c r="M2128" s="111">
        <v>319.57</v>
      </c>
      <c r="N2128" s="111">
        <v>958.71</v>
      </c>
      <c r="O2128" s="111"/>
      <c r="P2128" s="111"/>
      <c r="Q2128" s="111"/>
      <c r="R2128" s="111"/>
      <c r="S2128" s="1249">
        <v>1</v>
      </c>
      <c r="T2128" s="1250">
        <v>319.57</v>
      </c>
      <c r="U2128" s="1250"/>
      <c r="V2128" s="1250"/>
      <c r="W2128" s="1251">
        <v>1</v>
      </c>
      <c r="X2128" s="1250">
        <v>319.57</v>
      </c>
      <c r="Y2128" s="1250"/>
      <c r="Z2128" s="1250"/>
      <c r="AA2128" s="1250"/>
      <c r="AB2128" s="1250"/>
      <c r="AC2128" s="1250"/>
      <c r="AD2128" s="1250"/>
      <c r="AE2128" s="1249">
        <v>1</v>
      </c>
      <c r="AF2128" s="1250">
        <v>319.57</v>
      </c>
      <c r="AG2128" s="111"/>
      <c r="AH2128" s="111"/>
      <c r="AI2128" s="111"/>
      <c r="AJ2128" s="111"/>
      <c r="AK2128" s="111"/>
      <c r="AL2128" s="111"/>
      <c r="AM2128" s="111">
        <v>958.71</v>
      </c>
    </row>
    <row r="2129" spans="1:39" ht="15" customHeight="1" x14ac:dyDescent="0.25">
      <c r="A2129" s="1409"/>
      <c r="B2129" s="1409"/>
      <c r="C2129" s="1409"/>
      <c r="D2129" s="1409"/>
      <c r="E2129" s="1247"/>
      <c r="F2129" s="1248" t="s">
        <v>1320</v>
      </c>
      <c r="G2129" s="111"/>
      <c r="H2129" s="1249">
        <v>3</v>
      </c>
      <c r="I2129" s="111" t="s">
        <v>1721</v>
      </c>
      <c r="J2129" s="1321" t="s">
        <v>5608</v>
      </c>
      <c r="K2129" s="162" t="s">
        <v>5610</v>
      </c>
      <c r="L2129" s="162" t="s">
        <v>5609</v>
      </c>
      <c r="M2129" s="111">
        <v>319.57</v>
      </c>
      <c r="N2129" s="111">
        <v>958.71</v>
      </c>
      <c r="O2129" s="111"/>
      <c r="P2129" s="111"/>
      <c r="Q2129" s="111"/>
      <c r="R2129" s="111"/>
      <c r="S2129" s="1249">
        <v>1</v>
      </c>
      <c r="T2129" s="1250">
        <v>319.57</v>
      </c>
      <c r="U2129" s="1250"/>
      <c r="V2129" s="1250"/>
      <c r="W2129" s="1251">
        <v>1</v>
      </c>
      <c r="X2129" s="1250">
        <v>319.57</v>
      </c>
      <c r="Y2129" s="1250"/>
      <c r="Z2129" s="1250"/>
      <c r="AA2129" s="1250"/>
      <c r="AB2129" s="1250"/>
      <c r="AC2129" s="1250"/>
      <c r="AD2129" s="1250"/>
      <c r="AE2129" s="1249">
        <v>1</v>
      </c>
      <c r="AF2129" s="1250">
        <v>319.57</v>
      </c>
      <c r="AG2129" s="111"/>
      <c r="AH2129" s="111"/>
      <c r="AI2129" s="111"/>
      <c r="AJ2129" s="111"/>
      <c r="AK2129" s="111"/>
      <c r="AL2129" s="111"/>
      <c r="AM2129" s="111">
        <v>958.71</v>
      </c>
    </row>
    <row r="2130" spans="1:39" ht="15" customHeight="1" x14ac:dyDescent="0.25">
      <c r="A2130" s="1409"/>
      <c r="B2130" s="1409"/>
      <c r="C2130" s="1409"/>
      <c r="D2130" s="1409"/>
      <c r="E2130" s="1247"/>
      <c r="F2130" s="1248" t="s">
        <v>5375</v>
      </c>
      <c r="G2130" s="111"/>
      <c r="H2130" s="1249">
        <v>3</v>
      </c>
      <c r="I2130" s="111" t="s">
        <v>1721</v>
      </c>
      <c r="J2130" s="1321" t="s">
        <v>5608</v>
      </c>
      <c r="K2130" s="162" t="s">
        <v>5610</v>
      </c>
      <c r="L2130" s="162" t="s">
        <v>5609</v>
      </c>
      <c r="M2130" s="111">
        <v>324</v>
      </c>
      <c r="N2130" s="111">
        <v>972</v>
      </c>
      <c r="O2130" s="111"/>
      <c r="P2130" s="111"/>
      <c r="Q2130" s="111"/>
      <c r="R2130" s="111"/>
      <c r="S2130" s="1249">
        <v>1</v>
      </c>
      <c r="T2130" s="1250">
        <v>324</v>
      </c>
      <c r="U2130" s="1250"/>
      <c r="V2130" s="1250"/>
      <c r="W2130" s="1251">
        <v>1</v>
      </c>
      <c r="X2130" s="1250">
        <v>324</v>
      </c>
      <c r="Y2130" s="1250"/>
      <c r="Z2130" s="1250"/>
      <c r="AA2130" s="1250"/>
      <c r="AB2130" s="1250"/>
      <c r="AC2130" s="1250"/>
      <c r="AD2130" s="1250"/>
      <c r="AE2130" s="1249">
        <v>1</v>
      </c>
      <c r="AF2130" s="1250">
        <v>324</v>
      </c>
      <c r="AG2130" s="111"/>
      <c r="AH2130" s="111"/>
      <c r="AI2130" s="111"/>
      <c r="AJ2130" s="111"/>
      <c r="AK2130" s="111"/>
      <c r="AL2130" s="111"/>
      <c r="AM2130" s="111">
        <v>972</v>
      </c>
    </row>
    <row r="2131" spans="1:39" ht="15" customHeight="1" x14ac:dyDescent="0.25">
      <c r="A2131" s="1409"/>
      <c r="B2131" s="1409"/>
      <c r="C2131" s="1409"/>
      <c r="D2131" s="1409"/>
      <c r="E2131" s="1247"/>
      <c r="F2131" s="1248" t="s">
        <v>5376</v>
      </c>
      <c r="G2131" s="111"/>
      <c r="H2131" s="1249">
        <v>3</v>
      </c>
      <c r="I2131" s="111" t="s">
        <v>1721</v>
      </c>
      <c r="J2131" s="1321" t="s">
        <v>5608</v>
      </c>
      <c r="K2131" s="162" t="s">
        <v>5610</v>
      </c>
      <c r="L2131" s="162" t="s">
        <v>5609</v>
      </c>
      <c r="M2131" s="111">
        <v>324</v>
      </c>
      <c r="N2131" s="111">
        <v>972</v>
      </c>
      <c r="O2131" s="111"/>
      <c r="P2131" s="111"/>
      <c r="Q2131" s="111"/>
      <c r="R2131" s="111"/>
      <c r="S2131" s="1249">
        <v>1</v>
      </c>
      <c r="T2131" s="1250">
        <v>324</v>
      </c>
      <c r="U2131" s="1250"/>
      <c r="V2131" s="1250"/>
      <c r="W2131" s="1251">
        <v>1</v>
      </c>
      <c r="X2131" s="1250">
        <v>324</v>
      </c>
      <c r="Y2131" s="1250"/>
      <c r="Z2131" s="1250"/>
      <c r="AA2131" s="1250"/>
      <c r="AB2131" s="1250"/>
      <c r="AC2131" s="1250"/>
      <c r="AD2131" s="1250"/>
      <c r="AE2131" s="1249">
        <v>1</v>
      </c>
      <c r="AF2131" s="1250">
        <v>324</v>
      </c>
      <c r="AG2131" s="111"/>
      <c r="AH2131" s="111"/>
      <c r="AI2131" s="111"/>
      <c r="AJ2131" s="111"/>
      <c r="AK2131" s="111"/>
      <c r="AL2131" s="111"/>
      <c r="AM2131" s="111">
        <v>972</v>
      </c>
    </row>
    <row r="2132" spans="1:39" ht="15" customHeight="1" x14ac:dyDescent="0.25">
      <c r="A2132" s="1409"/>
      <c r="B2132" s="1409"/>
      <c r="C2132" s="1409"/>
      <c r="D2132" s="1409"/>
      <c r="E2132" s="1247"/>
      <c r="F2132" s="1248" t="s">
        <v>1321</v>
      </c>
      <c r="G2132" s="111"/>
      <c r="H2132" s="1249">
        <v>9</v>
      </c>
      <c r="I2132" s="111" t="s">
        <v>1721</v>
      </c>
      <c r="J2132" s="1321" t="s">
        <v>5608</v>
      </c>
      <c r="K2132" s="162" t="s">
        <v>5610</v>
      </c>
      <c r="L2132" s="162" t="s">
        <v>5609</v>
      </c>
      <c r="M2132" s="111">
        <v>111.75120000000003</v>
      </c>
      <c r="N2132" s="111">
        <v>1005.7608000000002</v>
      </c>
      <c r="O2132" s="111"/>
      <c r="P2132" s="111"/>
      <c r="Q2132" s="111"/>
      <c r="R2132" s="111"/>
      <c r="S2132" s="1249">
        <v>5</v>
      </c>
      <c r="T2132" s="1250">
        <v>335.25360000000006</v>
      </c>
      <c r="U2132" s="1250"/>
      <c r="V2132" s="1250"/>
      <c r="W2132" s="1251">
        <v>2</v>
      </c>
      <c r="X2132" s="1250">
        <v>335.25360000000006</v>
      </c>
      <c r="Y2132" s="1250"/>
      <c r="Z2132" s="1250"/>
      <c r="AA2132" s="1250"/>
      <c r="AB2132" s="1250"/>
      <c r="AC2132" s="1250"/>
      <c r="AD2132" s="1250"/>
      <c r="AE2132" s="1249">
        <v>2</v>
      </c>
      <c r="AF2132" s="1250">
        <v>335.25360000000006</v>
      </c>
      <c r="AG2132" s="111"/>
      <c r="AH2132" s="111"/>
      <c r="AI2132" s="111"/>
      <c r="AJ2132" s="111"/>
      <c r="AK2132" s="111"/>
      <c r="AL2132" s="111"/>
      <c r="AM2132" s="111">
        <v>1005.7608000000002</v>
      </c>
    </row>
    <row r="2133" spans="1:39" ht="15" customHeight="1" x14ac:dyDescent="0.25">
      <c r="A2133" s="1409"/>
      <c r="B2133" s="1409"/>
      <c r="C2133" s="1409"/>
      <c r="D2133" s="1409"/>
      <c r="E2133" s="1247"/>
      <c r="F2133" s="1248" t="s">
        <v>5377</v>
      </c>
      <c r="G2133" s="111"/>
      <c r="H2133" s="1249">
        <v>2</v>
      </c>
      <c r="I2133" s="111" t="s">
        <v>1721</v>
      </c>
      <c r="J2133" s="1321" t="s">
        <v>5608</v>
      </c>
      <c r="K2133" s="162" t="s">
        <v>5610</v>
      </c>
      <c r="L2133" s="162" t="s">
        <v>5609</v>
      </c>
      <c r="M2133" s="111">
        <v>200</v>
      </c>
      <c r="N2133" s="111">
        <v>400</v>
      </c>
      <c r="O2133" s="111"/>
      <c r="P2133" s="111"/>
      <c r="Q2133" s="111"/>
      <c r="R2133" s="111"/>
      <c r="S2133" s="1249">
        <v>2</v>
      </c>
      <c r="T2133" s="1250">
        <v>133.33333333333334</v>
      </c>
      <c r="U2133" s="1250"/>
      <c r="V2133" s="1250"/>
      <c r="W2133" s="1251">
        <v>0</v>
      </c>
      <c r="X2133" s="1250">
        <v>133.33333333333334</v>
      </c>
      <c r="Y2133" s="1250"/>
      <c r="Z2133" s="1250"/>
      <c r="AA2133" s="1250"/>
      <c r="AB2133" s="1250"/>
      <c r="AC2133" s="1250"/>
      <c r="AD2133" s="1250"/>
      <c r="AE2133" s="1249">
        <v>0</v>
      </c>
      <c r="AF2133" s="1250">
        <v>133.33333333333334</v>
      </c>
      <c r="AG2133" s="111"/>
      <c r="AH2133" s="111"/>
      <c r="AI2133" s="111"/>
      <c r="AJ2133" s="111"/>
      <c r="AK2133" s="111"/>
      <c r="AL2133" s="111"/>
      <c r="AM2133" s="111">
        <v>400</v>
      </c>
    </row>
    <row r="2134" spans="1:39" ht="15" customHeight="1" x14ac:dyDescent="0.25">
      <c r="A2134" s="1409"/>
      <c r="B2134" s="1409"/>
      <c r="C2134" s="1409"/>
      <c r="D2134" s="1409"/>
      <c r="E2134" s="1247"/>
      <c r="F2134" s="1248" t="s">
        <v>3315</v>
      </c>
      <c r="G2134" s="111"/>
      <c r="H2134" s="1249">
        <v>1</v>
      </c>
      <c r="I2134" s="111" t="s">
        <v>1721</v>
      </c>
      <c r="J2134" s="1321" t="s">
        <v>5608</v>
      </c>
      <c r="K2134" s="162" t="s">
        <v>5610</v>
      </c>
      <c r="L2134" s="162" t="s">
        <v>5609</v>
      </c>
      <c r="M2134" s="111">
        <v>37.796976000000001</v>
      </c>
      <c r="N2134" s="111">
        <v>37.796976000000001</v>
      </c>
      <c r="O2134" s="111"/>
      <c r="P2134" s="111"/>
      <c r="Q2134" s="111"/>
      <c r="R2134" s="111"/>
      <c r="S2134" s="1249">
        <v>1</v>
      </c>
      <c r="T2134" s="1250">
        <v>12.598992000000001</v>
      </c>
      <c r="U2134" s="1250"/>
      <c r="V2134" s="1250"/>
      <c r="W2134" s="1251">
        <v>0</v>
      </c>
      <c r="X2134" s="1250">
        <v>12.598992000000001</v>
      </c>
      <c r="Y2134" s="1250"/>
      <c r="Z2134" s="1250"/>
      <c r="AA2134" s="1250"/>
      <c r="AB2134" s="1250"/>
      <c r="AC2134" s="1250"/>
      <c r="AD2134" s="1250"/>
      <c r="AE2134" s="1249">
        <v>0</v>
      </c>
      <c r="AF2134" s="1250">
        <v>12.598992000000001</v>
      </c>
      <c r="AG2134" s="111"/>
      <c r="AH2134" s="111"/>
      <c r="AI2134" s="111"/>
      <c r="AJ2134" s="111"/>
      <c r="AK2134" s="111"/>
      <c r="AL2134" s="111"/>
      <c r="AM2134" s="111">
        <v>37.796976000000001</v>
      </c>
    </row>
    <row r="2135" spans="1:39" ht="15" customHeight="1" x14ac:dyDescent="0.25">
      <c r="A2135" s="1409"/>
      <c r="B2135" s="1409"/>
      <c r="C2135" s="1409"/>
      <c r="D2135" s="1409"/>
      <c r="E2135" s="1247"/>
      <c r="F2135" s="1248" t="s">
        <v>3314</v>
      </c>
      <c r="G2135" s="111"/>
      <c r="H2135" s="1249">
        <v>1</v>
      </c>
      <c r="I2135" s="111" t="s">
        <v>1721</v>
      </c>
      <c r="J2135" s="1321" t="s">
        <v>5608</v>
      </c>
      <c r="K2135" s="162" t="s">
        <v>5610</v>
      </c>
      <c r="L2135" s="162" t="s">
        <v>5609</v>
      </c>
      <c r="M2135" s="111">
        <v>91.792655999999994</v>
      </c>
      <c r="N2135" s="111">
        <v>91.792655999999994</v>
      </c>
      <c r="O2135" s="111"/>
      <c r="P2135" s="111"/>
      <c r="Q2135" s="111"/>
      <c r="R2135" s="111"/>
      <c r="S2135" s="1249">
        <v>1</v>
      </c>
      <c r="T2135" s="1250">
        <v>30.597551999999997</v>
      </c>
      <c r="U2135" s="1250"/>
      <c r="V2135" s="1250"/>
      <c r="W2135" s="1251">
        <v>0</v>
      </c>
      <c r="X2135" s="1250">
        <v>30.597551999999997</v>
      </c>
      <c r="Y2135" s="1250"/>
      <c r="Z2135" s="1250"/>
      <c r="AA2135" s="1250"/>
      <c r="AB2135" s="1250"/>
      <c r="AC2135" s="1250"/>
      <c r="AD2135" s="1250"/>
      <c r="AE2135" s="1249">
        <v>0</v>
      </c>
      <c r="AF2135" s="1250">
        <v>30.597551999999997</v>
      </c>
      <c r="AG2135" s="111"/>
      <c r="AH2135" s="111"/>
      <c r="AI2135" s="111"/>
      <c r="AJ2135" s="111"/>
      <c r="AK2135" s="111"/>
      <c r="AL2135" s="111"/>
      <c r="AM2135" s="111">
        <v>91.792655999999994</v>
      </c>
    </row>
    <row r="2136" spans="1:39" ht="15" customHeight="1" x14ac:dyDescent="0.25">
      <c r="A2136" s="1409"/>
      <c r="B2136" s="1409"/>
      <c r="C2136" s="1409"/>
      <c r="D2136" s="1409"/>
      <c r="E2136" s="1247"/>
      <c r="F2136" s="1248" t="s">
        <v>3316</v>
      </c>
      <c r="G2136" s="111"/>
      <c r="H2136" s="1249">
        <v>1</v>
      </c>
      <c r="I2136" s="111" t="s">
        <v>1721</v>
      </c>
      <c r="J2136" s="1321" t="s">
        <v>5608</v>
      </c>
      <c r="K2136" s="162" t="s">
        <v>5610</v>
      </c>
      <c r="L2136" s="162" t="s">
        <v>5609</v>
      </c>
      <c r="M2136" s="111">
        <v>30</v>
      </c>
      <c r="N2136" s="111">
        <v>30</v>
      </c>
      <c r="O2136" s="111"/>
      <c r="P2136" s="111"/>
      <c r="Q2136" s="111"/>
      <c r="R2136" s="111"/>
      <c r="S2136" s="1249">
        <v>1</v>
      </c>
      <c r="T2136" s="1250">
        <v>10</v>
      </c>
      <c r="U2136" s="1250"/>
      <c r="V2136" s="1250"/>
      <c r="W2136" s="1251">
        <v>0</v>
      </c>
      <c r="X2136" s="1250">
        <v>10</v>
      </c>
      <c r="Y2136" s="1250"/>
      <c r="Z2136" s="1250"/>
      <c r="AA2136" s="1250"/>
      <c r="AB2136" s="1250"/>
      <c r="AC2136" s="1250"/>
      <c r="AD2136" s="1250"/>
      <c r="AE2136" s="1249">
        <v>0</v>
      </c>
      <c r="AF2136" s="1250">
        <v>10</v>
      </c>
      <c r="AG2136" s="111"/>
      <c r="AH2136" s="111"/>
      <c r="AI2136" s="111"/>
      <c r="AJ2136" s="111"/>
      <c r="AK2136" s="111"/>
      <c r="AL2136" s="111"/>
      <c r="AM2136" s="111">
        <v>30</v>
      </c>
    </row>
    <row r="2137" spans="1:39" ht="15" customHeight="1" x14ac:dyDescent="0.25">
      <c r="A2137" s="1409"/>
      <c r="B2137" s="1409"/>
      <c r="C2137" s="1409"/>
      <c r="D2137" s="1409"/>
      <c r="E2137" s="1247"/>
      <c r="F2137" s="1248" t="s">
        <v>5378</v>
      </c>
      <c r="G2137" s="111"/>
      <c r="H2137" s="1249">
        <v>3</v>
      </c>
      <c r="I2137" s="111" t="s">
        <v>1721</v>
      </c>
      <c r="J2137" s="1321" t="s">
        <v>5608</v>
      </c>
      <c r="K2137" s="162" t="s">
        <v>5610</v>
      </c>
      <c r="L2137" s="162" t="s">
        <v>5609</v>
      </c>
      <c r="M2137" s="111">
        <v>286.2</v>
      </c>
      <c r="N2137" s="111">
        <v>858.59999999999991</v>
      </c>
      <c r="O2137" s="111"/>
      <c r="P2137" s="111"/>
      <c r="Q2137" s="111"/>
      <c r="R2137" s="111"/>
      <c r="S2137" s="1249">
        <v>1</v>
      </c>
      <c r="T2137" s="1250">
        <v>286.2</v>
      </c>
      <c r="U2137" s="1250"/>
      <c r="V2137" s="1250"/>
      <c r="W2137" s="1251">
        <v>1</v>
      </c>
      <c r="X2137" s="1250">
        <v>286.2</v>
      </c>
      <c r="Y2137" s="1250"/>
      <c r="Z2137" s="1250"/>
      <c r="AA2137" s="1250"/>
      <c r="AB2137" s="1250"/>
      <c r="AC2137" s="1250"/>
      <c r="AD2137" s="1250"/>
      <c r="AE2137" s="1249">
        <v>1</v>
      </c>
      <c r="AF2137" s="1250">
        <v>286.2</v>
      </c>
      <c r="AG2137" s="111"/>
      <c r="AH2137" s="111"/>
      <c r="AI2137" s="111"/>
      <c r="AJ2137" s="111"/>
      <c r="AK2137" s="111"/>
      <c r="AL2137" s="111"/>
      <c r="AM2137" s="111">
        <v>858.59999999999991</v>
      </c>
    </row>
    <row r="2138" spans="1:39" ht="15" customHeight="1" x14ac:dyDescent="0.25">
      <c r="A2138" s="1409"/>
      <c r="B2138" s="1409"/>
      <c r="C2138" s="1409"/>
      <c r="D2138" s="1409"/>
      <c r="E2138" s="1247"/>
      <c r="F2138" s="1248" t="s">
        <v>5379</v>
      </c>
      <c r="G2138" s="111"/>
      <c r="H2138" s="1249">
        <v>4</v>
      </c>
      <c r="I2138" s="111" t="s">
        <v>1721</v>
      </c>
      <c r="J2138" s="1321" t="s">
        <v>5608</v>
      </c>
      <c r="K2138" s="162" t="s">
        <v>5610</v>
      </c>
      <c r="L2138" s="162" t="s">
        <v>5609</v>
      </c>
      <c r="M2138" s="111">
        <v>70.2</v>
      </c>
      <c r="N2138" s="111">
        <v>280.8</v>
      </c>
      <c r="O2138" s="111"/>
      <c r="P2138" s="111"/>
      <c r="Q2138" s="111"/>
      <c r="R2138" s="111"/>
      <c r="S2138" s="1249">
        <v>2</v>
      </c>
      <c r="T2138" s="1250">
        <v>93.600000000000009</v>
      </c>
      <c r="U2138" s="1250"/>
      <c r="V2138" s="1250"/>
      <c r="W2138" s="1251">
        <v>1</v>
      </c>
      <c r="X2138" s="1250">
        <v>93.600000000000009</v>
      </c>
      <c r="Y2138" s="1250"/>
      <c r="Z2138" s="1250"/>
      <c r="AA2138" s="1250"/>
      <c r="AB2138" s="1250"/>
      <c r="AC2138" s="1250"/>
      <c r="AD2138" s="1250"/>
      <c r="AE2138" s="1249">
        <v>1</v>
      </c>
      <c r="AF2138" s="1250">
        <v>93.600000000000009</v>
      </c>
      <c r="AG2138" s="111"/>
      <c r="AH2138" s="111"/>
      <c r="AI2138" s="111"/>
      <c r="AJ2138" s="111"/>
      <c r="AK2138" s="111"/>
      <c r="AL2138" s="111"/>
      <c r="AM2138" s="111">
        <v>280.8</v>
      </c>
    </row>
    <row r="2139" spans="1:39" ht="15" customHeight="1" x14ac:dyDescent="0.25">
      <c r="A2139" s="1409"/>
      <c r="B2139" s="1409"/>
      <c r="C2139" s="1409"/>
      <c r="D2139" s="1409"/>
      <c r="E2139" s="1247"/>
      <c r="F2139" s="1248" t="s">
        <v>737</v>
      </c>
      <c r="G2139" s="111"/>
      <c r="H2139" s="1249">
        <v>10</v>
      </c>
      <c r="I2139" s="111" t="s">
        <v>1721</v>
      </c>
      <c r="J2139" s="1321" t="s">
        <v>5608</v>
      </c>
      <c r="K2139" s="162" t="s">
        <v>5610</v>
      </c>
      <c r="L2139" s="162" t="s">
        <v>5609</v>
      </c>
      <c r="M2139" s="111">
        <v>94.802399999999992</v>
      </c>
      <c r="N2139" s="111">
        <v>948.02399999999989</v>
      </c>
      <c r="O2139" s="111"/>
      <c r="P2139" s="111"/>
      <c r="Q2139" s="111"/>
      <c r="R2139" s="111"/>
      <c r="S2139" s="1249">
        <v>5</v>
      </c>
      <c r="T2139" s="1250">
        <v>316.00799999999998</v>
      </c>
      <c r="U2139" s="1250"/>
      <c r="V2139" s="1250"/>
      <c r="W2139" s="1251">
        <v>5</v>
      </c>
      <c r="X2139" s="1250">
        <v>316.00799999999998</v>
      </c>
      <c r="Y2139" s="1250"/>
      <c r="Z2139" s="1250"/>
      <c r="AA2139" s="1250"/>
      <c r="AB2139" s="1250"/>
      <c r="AC2139" s="1250"/>
      <c r="AD2139" s="1250"/>
      <c r="AE2139" s="1249">
        <v>0</v>
      </c>
      <c r="AF2139" s="1250">
        <v>316.00799999999998</v>
      </c>
      <c r="AG2139" s="111"/>
      <c r="AH2139" s="111"/>
      <c r="AI2139" s="111"/>
      <c r="AJ2139" s="111"/>
      <c r="AK2139" s="111"/>
      <c r="AL2139" s="111"/>
      <c r="AM2139" s="111">
        <v>948.02399999999989</v>
      </c>
    </row>
    <row r="2140" spans="1:39" ht="15" customHeight="1" x14ac:dyDescent="0.25">
      <c r="A2140" s="1409"/>
      <c r="B2140" s="1409"/>
      <c r="C2140" s="1409"/>
      <c r="D2140" s="1409"/>
      <c r="E2140" s="1247"/>
      <c r="F2140" s="1248" t="s">
        <v>1322</v>
      </c>
      <c r="G2140" s="111"/>
      <c r="H2140" s="1249">
        <v>17</v>
      </c>
      <c r="I2140" s="111" t="s">
        <v>5380</v>
      </c>
      <c r="J2140" s="1321" t="s">
        <v>5608</v>
      </c>
      <c r="K2140" s="162" t="s">
        <v>5610</v>
      </c>
      <c r="L2140" s="162" t="s">
        <v>5609</v>
      </c>
      <c r="M2140" s="111">
        <v>676.61510588235296</v>
      </c>
      <c r="N2140" s="111">
        <v>11502.4568</v>
      </c>
      <c r="O2140" s="111"/>
      <c r="P2140" s="111"/>
      <c r="Q2140" s="111"/>
      <c r="R2140" s="111"/>
      <c r="S2140" s="1249">
        <v>7</v>
      </c>
      <c r="T2140" s="1250">
        <v>3834.1522666666665</v>
      </c>
      <c r="U2140" s="1250"/>
      <c r="V2140" s="1250"/>
      <c r="W2140" s="1251">
        <v>5</v>
      </c>
      <c r="X2140" s="1250">
        <v>3834.1522666666665</v>
      </c>
      <c r="Y2140" s="1250"/>
      <c r="Z2140" s="1250"/>
      <c r="AA2140" s="1250"/>
      <c r="AB2140" s="1250"/>
      <c r="AC2140" s="1250"/>
      <c r="AD2140" s="1250"/>
      <c r="AE2140" s="1249">
        <v>5</v>
      </c>
      <c r="AF2140" s="1250">
        <v>3834.1522666666665</v>
      </c>
      <c r="AG2140" s="111"/>
      <c r="AH2140" s="111"/>
      <c r="AI2140" s="111"/>
      <c r="AJ2140" s="111"/>
      <c r="AK2140" s="111"/>
      <c r="AL2140" s="111"/>
      <c r="AM2140" s="111">
        <v>11502.4568</v>
      </c>
    </row>
    <row r="2141" spans="1:39" ht="15" customHeight="1" x14ac:dyDescent="0.25">
      <c r="A2141" s="1409"/>
      <c r="B2141" s="1409"/>
      <c r="C2141" s="1409"/>
      <c r="D2141" s="1409"/>
      <c r="E2141" s="1247"/>
      <c r="F2141" s="1248" t="s">
        <v>5381</v>
      </c>
      <c r="G2141" s="111"/>
      <c r="H2141" s="1249">
        <v>2</v>
      </c>
      <c r="I2141" s="111" t="s">
        <v>1721</v>
      </c>
      <c r="J2141" s="1321" t="s">
        <v>5608</v>
      </c>
      <c r="K2141" s="162" t="s">
        <v>5610</v>
      </c>
      <c r="L2141" s="162" t="s">
        <v>5609</v>
      </c>
      <c r="M2141" s="111">
        <v>1000</v>
      </c>
      <c r="N2141" s="111">
        <v>2000</v>
      </c>
      <c r="O2141" s="111"/>
      <c r="P2141" s="111"/>
      <c r="Q2141" s="111"/>
      <c r="R2141" s="111"/>
      <c r="S2141" s="1249">
        <v>2</v>
      </c>
      <c r="T2141" s="1250">
        <v>666.66666666666663</v>
      </c>
      <c r="U2141" s="1250"/>
      <c r="V2141" s="1250"/>
      <c r="W2141" s="1251">
        <v>0</v>
      </c>
      <c r="X2141" s="1250">
        <v>666.66666666666663</v>
      </c>
      <c r="Y2141" s="1250"/>
      <c r="Z2141" s="1250"/>
      <c r="AA2141" s="1250"/>
      <c r="AB2141" s="1250"/>
      <c r="AC2141" s="1250"/>
      <c r="AD2141" s="1250"/>
      <c r="AE2141" s="1249">
        <v>0</v>
      </c>
      <c r="AF2141" s="1250">
        <v>666.66666666666663</v>
      </c>
      <c r="AG2141" s="111"/>
      <c r="AH2141" s="111"/>
      <c r="AI2141" s="111"/>
      <c r="AJ2141" s="111"/>
      <c r="AK2141" s="111"/>
      <c r="AL2141" s="111"/>
      <c r="AM2141" s="111">
        <v>2000</v>
      </c>
    </row>
    <row r="2142" spans="1:39" ht="15" customHeight="1" x14ac:dyDescent="0.25">
      <c r="A2142" s="1409"/>
      <c r="B2142" s="1409"/>
      <c r="C2142" s="1409"/>
      <c r="D2142" s="1409"/>
      <c r="E2142" s="1247"/>
      <c r="F2142" s="1248" t="s">
        <v>5382</v>
      </c>
      <c r="G2142" s="111"/>
      <c r="H2142" s="1249">
        <v>10</v>
      </c>
      <c r="I2142" s="111" t="s">
        <v>1721</v>
      </c>
      <c r="J2142" s="1321" t="s">
        <v>5608</v>
      </c>
      <c r="K2142" s="162" t="s">
        <v>5610</v>
      </c>
      <c r="L2142" s="162" t="s">
        <v>5609</v>
      </c>
      <c r="M2142" s="111">
        <v>400</v>
      </c>
      <c r="N2142" s="111">
        <v>4000</v>
      </c>
      <c r="O2142" s="111"/>
      <c r="P2142" s="111"/>
      <c r="Q2142" s="111"/>
      <c r="R2142" s="111"/>
      <c r="S2142" s="1249">
        <v>5</v>
      </c>
      <c r="T2142" s="1250">
        <v>1333.3333333333333</v>
      </c>
      <c r="U2142" s="1250"/>
      <c r="V2142" s="1250"/>
      <c r="W2142" s="1251">
        <v>5</v>
      </c>
      <c r="X2142" s="1250">
        <v>1333.3333333333333</v>
      </c>
      <c r="Y2142" s="1250"/>
      <c r="Z2142" s="1250"/>
      <c r="AA2142" s="1250"/>
      <c r="AB2142" s="1250"/>
      <c r="AC2142" s="1250"/>
      <c r="AD2142" s="1250"/>
      <c r="AE2142" s="1249">
        <v>0</v>
      </c>
      <c r="AF2142" s="1250">
        <v>1333.3333333333333</v>
      </c>
      <c r="AG2142" s="111"/>
      <c r="AH2142" s="111"/>
      <c r="AI2142" s="111"/>
      <c r="AJ2142" s="111"/>
      <c r="AK2142" s="111"/>
      <c r="AL2142" s="111"/>
      <c r="AM2142" s="111">
        <v>4000</v>
      </c>
    </row>
    <row r="2143" spans="1:39" ht="15" customHeight="1" x14ac:dyDescent="0.25">
      <c r="A2143" s="1409"/>
      <c r="B2143" s="1409"/>
      <c r="C2143" s="1409"/>
      <c r="D2143" s="1409"/>
      <c r="E2143" s="1286"/>
      <c r="F2143" s="1248" t="s">
        <v>5383</v>
      </c>
      <c r="G2143" s="111"/>
      <c r="H2143" s="1249">
        <v>30</v>
      </c>
      <c r="I2143" s="111" t="s">
        <v>1721</v>
      </c>
      <c r="J2143" s="1321" t="s">
        <v>5608</v>
      </c>
      <c r="K2143" s="162" t="s">
        <v>5610</v>
      </c>
      <c r="L2143" s="162" t="s">
        <v>5609</v>
      </c>
      <c r="M2143" s="111">
        <v>77</v>
      </c>
      <c r="N2143" s="111">
        <v>2310</v>
      </c>
      <c r="O2143" s="111"/>
      <c r="P2143" s="111"/>
      <c r="Q2143" s="111"/>
      <c r="R2143" s="111"/>
      <c r="S2143" s="1249">
        <v>10</v>
      </c>
      <c r="T2143" s="1250">
        <v>770</v>
      </c>
      <c r="U2143" s="1250"/>
      <c r="V2143" s="1250"/>
      <c r="W2143" s="1251">
        <v>10</v>
      </c>
      <c r="X2143" s="1250">
        <v>770</v>
      </c>
      <c r="Y2143" s="1250"/>
      <c r="Z2143" s="1250"/>
      <c r="AA2143" s="1250"/>
      <c r="AB2143" s="1250"/>
      <c r="AC2143" s="1250"/>
      <c r="AD2143" s="1250"/>
      <c r="AE2143" s="1249">
        <v>10</v>
      </c>
      <c r="AF2143" s="1250">
        <v>770</v>
      </c>
      <c r="AG2143" s="111"/>
      <c r="AH2143" s="111"/>
      <c r="AI2143" s="111"/>
      <c r="AJ2143" s="111"/>
      <c r="AK2143" s="111"/>
      <c r="AL2143" s="111"/>
      <c r="AM2143" s="111">
        <v>2310</v>
      </c>
    </row>
    <row r="2144" spans="1:39" ht="15" customHeight="1" x14ac:dyDescent="0.25">
      <c r="A2144" s="1409"/>
      <c r="B2144" s="1409"/>
      <c r="C2144" s="1409"/>
      <c r="D2144" s="1409"/>
      <c r="E2144" s="1286"/>
      <c r="F2144" s="1248" t="s">
        <v>5384</v>
      </c>
      <c r="G2144" s="111"/>
      <c r="H2144" s="1249">
        <v>40</v>
      </c>
      <c r="I2144" s="111" t="s">
        <v>1721</v>
      </c>
      <c r="J2144" s="1321" t="s">
        <v>5608</v>
      </c>
      <c r="K2144" s="162" t="s">
        <v>5610</v>
      </c>
      <c r="L2144" s="162" t="s">
        <v>5609</v>
      </c>
      <c r="M2144" s="111">
        <v>99.36</v>
      </c>
      <c r="N2144" s="111">
        <v>3974.4</v>
      </c>
      <c r="O2144" s="111"/>
      <c r="P2144" s="111"/>
      <c r="Q2144" s="111"/>
      <c r="R2144" s="111"/>
      <c r="S2144" s="1249">
        <v>15</v>
      </c>
      <c r="T2144" s="1250">
        <v>1324.8</v>
      </c>
      <c r="U2144" s="1250"/>
      <c r="V2144" s="1250"/>
      <c r="W2144" s="1251">
        <v>15</v>
      </c>
      <c r="X2144" s="1250">
        <v>1324.8</v>
      </c>
      <c r="Y2144" s="1250"/>
      <c r="Z2144" s="1250"/>
      <c r="AA2144" s="1250"/>
      <c r="AB2144" s="1250"/>
      <c r="AC2144" s="1250"/>
      <c r="AD2144" s="1250"/>
      <c r="AE2144" s="1249">
        <v>10</v>
      </c>
      <c r="AF2144" s="1250">
        <v>1324.8</v>
      </c>
      <c r="AG2144" s="111"/>
      <c r="AH2144" s="111"/>
      <c r="AI2144" s="111"/>
      <c r="AJ2144" s="111"/>
      <c r="AK2144" s="111"/>
      <c r="AL2144" s="111"/>
      <c r="AM2144" s="111">
        <v>3974.4</v>
      </c>
    </row>
    <row r="2145" spans="1:39" ht="15" customHeight="1" x14ac:dyDescent="0.25">
      <c r="A2145" s="1409"/>
      <c r="B2145" s="1409"/>
      <c r="C2145" s="1409"/>
      <c r="D2145" s="1409"/>
      <c r="E2145" s="1286"/>
      <c r="F2145" s="1248" t="s">
        <v>5385</v>
      </c>
      <c r="G2145" s="111"/>
      <c r="H2145" s="1249">
        <v>20</v>
      </c>
      <c r="I2145" s="111" t="s">
        <v>1721</v>
      </c>
      <c r="J2145" s="1321" t="s">
        <v>5608</v>
      </c>
      <c r="K2145" s="162" t="s">
        <v>5610</v>
      </c>
      <c r="L2145" s="162" t="s">
        <v>5609</v>
      </c>
      <c r="M2145" s="111">
        <v>81.319999999999993</v>
      </c>
      <c r="N2145" s="111">
        <v>1626.3999999999999</v>
      </c>
      <c r="O2145" s="111"/>
      <c r="P2145" s="111"/>
      <c r="Q2145" s="111"/>
      <c r="R2145" s="111"/>
      <c r="S2145" s="1249">
        <v>10</v>
      </c>
      <c r="T2145" s="1250">
        <v>542.13333333333333</v>
      </c>
      <c r="U2145" s="1250"/>
      <c r="V2145" s="1250"/>
      <c r="W2145" s="1251">
        <v>5</v>
      </c>
      <c r="X2145" s="1250">
        <v>542.13333333333333</v>
      </c>
      <c r="Y2145" s="1250"/>
      <c r="Z2145" s="1250"/>
      <c r="AA2145" s="1250"/>
      <c r="AB2145" s="1250"/>
      <c r="AC2145" s="1250"/>
      <c r="AD2145" s="1250"/>
      <c r="AE2145" s="1249">
        <v>5</v>
      </c>
      <c r="AF2145" s="1250">
        <v>542.13333333333333</v>
      </c>
      <c r="AG2145" s="111"/>
      <c r="AH2145" s="111"/>
      <c r="AI2145" s="111"/>
      <c r="AJ2145" s="111"/>
      <c r="AK2145" s="111"/>
      <c r="AL2145" s="111"/>
      <c r="AM2145" s="111">
        <v>1626.3999999999999</v>
      </c>
    </row>
    <row r="2146" spans="1:39" ht="15" customHeight="1" x14ac:dyDescent="0.25">
      <c r="A2146" s="1409"/>
      <c r="B2146" s="1409"/>
      <c r="C2146" s="1409"/>
      <c r="D2146" s="1409"/>
      <c r="E2146" s="1286"/>
      <c r="F2146" s="1248"/>
      <c r="G2146" s="111"/>
      <c r="H2146" s="1249"/>
      <c r="I2146" s="111"/>
      <c r="J2146" s="111"/>
      <c r="K2146" s="111"/>
      <c r="L2146" s="111"/>
      <c r="M2146" s="111"/>
      <c r="N2146" s="111"/>
      <c r="O2146" s="111"/>
      <c r="P2146" s="111"/>
      <c r="Q2146" s="111"/>
      <c r="R2146" s="111"/>
      <c r="S2146" s="1249"/>
      <c r="T2146" s="1250"/>
      <c r="U2146" s="1250"/>
      <c r="V2146" s="1250"/>
      <c r="W2146" s="1251"/>
      <c r="X2146" s="1250"/>
      <c r="Y2146" s="1250"/>
      <c r="Z2146" s="1250"/>
      <c r="AA2146" s="1250"/>
      <c r="AB2146" s="1250"/>
      <c r="AC2146" s="1250"/>
      <c r="AD2146" s="1250"/>
      <c r="AE2146" s="1249"/>
      <c r="AF2146" s="1250"/>
      <c r="AG2146" s="111"/>
      <c r="AH2146" s="111"/>
      <c r="AI2146" s="111"/>
      <c r="AJ2146" s="111"/>
      <c r="AK2146" s="111"/>
      <c r="AL2146" s="111"/>
      <c r="AM2146" s="111"/>
    </row>
    <row r="2147" spans="1:39" ht="15" customHeight="1" x14ac:dyDescent="0.25">
      <c r="A2147" s="1409"/>
      <c r="B2147" s="1409"/>
      <c r="C2147" s="1409"/>
      <c r="D2147" s="1409"/>
      <c r="E2147" s="1286"/>
      <c r="F2147" s="1248"/>
      <c r="G2147" s="111"/>
      <c r="H2147" s="1249"/>
      <c r="I2147" s="111"/>
      <c r="J2147" s="111"/>
      <c r="K2147" s="111"/>
      <c r="L2147" s="111"/>
      <c r="M2147" s="111"/>
      <c r="N2147" s="111"/>
      <c r="O2147" s="111"/>
      <c r="P2147" s="111"/>
      <c r="Q2147" s="111"/>
      <c r="R2147" s="111"/>
      <c r="S2147" s="1249"/>
      <c r="T2147" s="1250"/>
      <c r="U2147" s="1250"/>
      <c r="V2147" s="1250"/>
      <c r="W2147" s="1251"/>
      <c r="X2147" s="1250"/>
      <c r="Y2147" s="1250"/>
      <c r="Z2147" s="1250"/>
      <c r="AA2147" s="1250"/>
      <c r="AB2147" s="1250"/>
      <c r="AC2147" s="1250"/>
      <c r="AD2147" s="1250"/>
      <c r="AE2147" s="1249"/>
      <c r="AF2147" s="1250"/>
      <c r="AG2147" s="111"/>
      <c r="AH2147" s="111"/>
      <c r="AI2147" s="111"/>
      <c r="AJ2147" s="111"/>
      <c r="AK2147" s="111"/>
      <c r="AL2147" s="111"/>
      <c r="AM2147" s="111"/>
    </row>
    <row r="2148" spans="1:39" ht="15" customHeight="1" x14ac:dyDescent="0.25">
      <c r="A2148" s="1409"/>
      <c r="B2148" s="1409"/>
      <c r="C2148" s="1409"/>
      <c r="D2148" s="1409"/>
      <c r="E2148" s="1218">
        <v>293</v>
      </c>
      <c r="F2148" s="1268" t="s">
        <v>739</v>
      </c>
      <c r="G2148" s="1218"/>
      <c r="H2148" s="1218"/>
      <c r="I2148" s="1218"/>
      <c r="J2148" s="1218"/>
      <c r="K2148" s="1218"/>
      <c r="L2148" s="1218"/>
      <c r="M2148" s="1218"/>
      <c r="N2148" s="1218"/>
      <c r="O2148" s="1218"/>
      <c r="P2148" s="1218"/>
      <c r="Q2148" s="1218"/>
      <c r="R2148" s="1218"/>
      <c r="S2148" s="1218"/>
      <c r="T2148" s="1218"/>
      <c r="U2148" s="1218"/>
      <c r="V2148" s="1218"/>
      <c r="W2148" s="1218"/>
      <c r="X2148" s="1218"/>
      <c r="Y2148" s="1218"/>
      <c r="Z2148" s="1218"/>
      <c r="AA2148" s="1218"/>
      <c r="AB2148" s="1218"/>
      <c r="AC2148" s="1218"/>
      <c r="AD2148" s="1218"/>
      <c r="AE2148" s="1218"/>
      <c r="AF2148" s="1218"/>
      <c r="AG2148" s="1218"/>
      <c r="AH2148" s="1218"/>
      <c r="AI2148" s="1218"/>
      <c r="AJ2148" s="1218"/>
      <c r="AK2148" s="1218"/>
      <c r="AL2148" s="1218"/>
      <c r="AM2148" s="1218"/>
    </row>
    <row r="2149" spans="1:39" ht="15" customHeight="1" x14ac:dyDescent="0.25">
      <c r="A2149" s="1409"/>
      <c r="B2149" s="1409"/>
      <c r="C2149" s="1409"/>
      <c r="D2149" s="1409"/>
      <c r="E2149" s="1247"/>
      <c r="F2149" s="1248"/>
      <c r="G2149" s="111"/>
      <c r="H2149" s="1249"/>
      <c r="I2149" s="111"/>
      <c r="J2149" s="111"/>
      <c r="K2149" s="111"/>
      <c r="L2149" s="111"/>
      <c r="M2149" s="111"/>
      <c r="N2149" s="111"/>
      <c r="O2149" s="111"/>
      <c r="P2149" s="111"/>
      <c r="Q2149" s="111"/>
      <c r="R2149" s="111"/>
      <c r="S2149" s="1249"/>
      <c r="T2149" s="1250"/>
      <c r="U2149" s="1250"/>
      <c r="V2149" s="1250"/>
      <c r="W2149" s="1251"/>
      <c r="X2149" s="1250"/>
      <c r="Y2149" s="1250"/>
      <c r="Z2149" s="1250"/>
      <c r="AA2149" s="1250"/>
      <c r="AB2149" s="1250"/>
      <c r="AC2149" s="1250"/>
      <c r="AD2149" s="1250"/>
      <c r="AE2149" s="1249"/>
      <c r="AF2149" s="1250"/>
      <c r="AG2149" s="111"/>
      <c r="AH2149" s="111"/>
      <c r="AI2149" s="111"/>
      <c r="AJ2149" s="111"/>
      <c r="AK2149" s="111"/>
      <c r="AL2149" s="111"/>
      <c r="AM2149" s="111"/>
    </row>
    <row r="2150" spans="1:39" ht="15" customHeight="1" x14ac:dyDescent="0.25">
      <c r="A2150" s="1409"/>
      <c r="B2150" s="1409"/>
      <c r="C2150" s="1409"/>
      <c r="D2150" s="1409"/>
      <c r="E2150" s="1261">
        <v>29301</v>
      </c>
      <c r="F2150" s="1262" t="s">
        <v>740</v>
      </c>
      <c r="G2150" s="1261"/>
      <c r="H2150" s="1261"/>
      <c r="I2150" s="1261"/>
      <c r="J2150" s="1261"/>
      <c r="K2150" s="1261"/>
      <c r="L2150" s="1261"/>
      <c r="M2150" s="1261"/>
      <c r="N2150" s="1261"/>
      <c r="O2150" s="1261"/>
      <c r="P2150" s="1261"/>
      <c r="Q2150" s="1261"/>
      <c r="R2150" s="1261"/>
      <c r="S2150" s="1261"/>
      <c r="T2150" s="1261"/>
      <c r="U2150" s="1261"/>
      <c r="V2150" s="1261"/>
      <c r="W2150" s="1261"/>
      <c r="X2150" s="1261"/>
      <c r="Y2150" s="1261"/>
      <c r="Z2150" s="1261"/>
      <c r="AA2150" s="1261"/>
      <c r="AB2150" s="1261"/>
      <c r="AC2150" s="1261"/>
      <c r="AD2150" s="1261"/>
      <c r="AE2150" s="1261"/>
      <c r="AF2150" s="1261"/>
      <c r="AG2150" s="1261"/>
      <c r="AH2150" s="1261"/>
      <c r="AI2150" s="1261"/>
      <c r="AJ2150" s="1261"/>
      <c r="AK2150" s="1261"/>
      <c r="AL2150" s="1261"/>
      <c r="AM2150" s="1261"/>
    </row>
    <row r="2151" spans="1:39" ht="15" customHeight="1" x14ac:dyDescent="0.25">
      <c r="A2151" s="1409"/>
      <c r="B2151" s="1409"/>
      <c r="C2151" s="1409"/>
      <c r="D2151" s="1409"/>
      <c r="E2151" s="1247"/>
      <c r="F2151" s="1248" t="s">
        <v>3326</v>
      </c>
      <c r="G2151" s="111"/>
      <c r="H2151" s="1249">
        <v>1</v>
      </c>
      <c r="I2151" s="111" t="s">
        <v>1721</v>
      </c>
      <c r="J2151" s="1321" t="s">
        <v>5608</v>
      </c>
      <c r="K2151" s="162" t="s">
        <v>5610</v>
      </c>
      <c r="L2151" s="162" t="s">
        <v>5609</v>
      </c>
      <c r="M2151" s="111">
        <v>35.64</v>
      </c>
      <c r="N2151" s="111">
        <v>35.64</v>
      </c>
      <c r="O2151" s="111"/>
      <c r="P2151" s="111"/>
      <c r="Q2151" s="111"/>
      <c r="R2151" s="111"/>
      <c r="S2151" s="1249">
        <v>1</v>
      </c>
      <c r="T2151" s="1250">
        <v>11.88</v>
      </c>
      <c r="U2151" s="1250"/>
      <c r="V2151" s="1250"/>
      <c r="W2151" s="1251">
        <v>0</v>
      </c>
      <c r="X2151" s="1250">
        <v>11.88</v>
      </c>
      <c r="Y2151" s="1250"/>
      <c r="Z2151" s="1250"/>
      <c r="AA2151" s="1250"/>
      <c r="AB2151" s="1250"/>
      <c r="AC2151" s="1250"/>
      <c r="AD2151" s="1250"/>
      <c r="AE2151" s="1249">
        <v>0</v>
      </c>
      <c r="AF2151" s="1250">
        <v>11.88</v>
      </c>
      <c r="AG2151" s="111"/>
      <c r="AH2151" s="111"/>
      <c r="AI2151" s="111"/>
      <c r="AJ2151" s="111"/>
      <c r="AK2151" s="111"/>
      <c r="AL2151" s="111"/>
      <c r="AM2151" s="111">
        <v>35.64</v>
      </c>
    </row>
    <row r="2152" spans="1:39" ht="15" customHeight="1" x14ac:dyDescent="0.25">
      <c r="A2152" s="1409"/>
      <c r="B2152" s="1409"/>
      <c r="C2152" s="1409"/>
      <c r="D2152" s="1409"/>
      <c r="E2152" s="1247"/>
      <c r="F2152" s="1248" t="s">
        <v>3317</v>
      </c>
      <c r="G2152" s="111"/>
      <c r="H2152" s="1249">
        <v>1</v>
      </c>
      <c r="I2152" s="111" t="s">
        <v>1721</v>
      </c>
      <c r="J2152" s="1321" t="s">
        <v>5608</v>
      </c>
      <c r="K2152" s="162" t="s">
        <v>5610</v>
      </c>
      <c r="L2152" s="162" t="s">
        <v>5609</v>
      </c>
      <c r="M2152" s="111">
        <v>12.953951999999999</v>
      </c>
      <c r="N2152" s="111">
        <v>12.953951999999999</v>
      </c>
      <c r="O2152" s="111"/>
      <c r="P2152" s="111"/>
      <c r="Q2152" s="111"/>
      <c r="R2152" s="111"/>
      <c r="S2152" s="1249">
        <v>1</v>
      </c>
      <c r="T2152" s="1250">
        <v>4.317984</v>
      </c>
      <c r="U2152" s="1250"/>
      <c r="V2152" s="1250"/>
      <c r="W2152" s="1251">
        <v>0</v>
      </c>
      <c r="X2152" s="1250">
        <v>4.317984</v>
      </c>
      <c r="Y2152" s="1250"/>
      <c r="Z2152" s="1250"/>
      <c r="AA2152" s="1250"/>
      <c r="AB2152" s="1250"/>
      <c r="AC2152" s="1250"/>
      <c r="AD2152" s="1250"/>
      <c r="AE2152" s="1249">
        <v>0</v>
      </c>
      <c r="AF2152" s="1250">
        <v>4.317984</v>
      </c>
      <c r="AG2152" s="111"/>
      <c r="AH2152" s="111"/>
      <c r="AI2152" s="111"/>
      <c r="AJ2152" s="111"/>
      <c r="AK2152" s="111"/>
      <c r="AL2152" s="111"/>
      <c r="AM2152" s="111">
        <v>12.953951999999999</v>
      </c>
    </row>
    <row r="2153" spans="1:39" ht="15" customHeight="1" x14ac:dyDescent="0.25">
      <c r="A2153" s="1409"/>
      <c r="B2153" s="1409"/>
      <c r="C2153" s="1409"/>
      <c r="D2153" s="1409"/>
      <c r="E2153" s="1247"/>
      <c r="F2153" s="1248" t="s">
        <v>3323</v>
      </c>
      <c r="G2153" s="111"/>
      <c r="H2153" s="1249">
        <v>7</v>
      </c>
      <c r="I2153" s="111" t="s">
        <v>1721</v>
      </c>
      <c r="J2153" s="1321" t="s">
        <v>5608</v>
      </c>
      <c r="K2153" s="162" t="s">
        <v>5610</v>
      </c>
      <c r="L2153" s="162" t="s">
        <v>5609</v>
      </c>
      <c r="M2153" s="111">
        <v>33.771428571428572</v>
      </c>
      <c r="N2153" s="111">
        <v>236.4</v>
      </c>
      <c r="O2153" s="111"/>
      <c r="P2153" s="111"/>
      <c r="Q2153" s="111"/>
      <c r="R2153" s="111"/>
      <c r="S2153" s="1249">
        <v>3</v>
      </c>
      <c r="T2153" s="1250">
        <v>78.8</v>
      </c>
      <c r="U2153" s="1250"/>
      <c r="V2153" s="1250"/>
      <c r="W2153" s="1251">
        <v>2</v>
      </c>
      <c r="X2153" s="1250">
        <v>78.8</v>
      </c>
      <c r="Y2153" s="1250"/>
      <c r="Z2153" s="1250"/>
      <c r="AA2153" s="1250"/>
      <c r="AB2153" s="1250"/>
      <c r="AC2153" s="1250"/>
      <c r="AD2153" s="1250"/>
      <c r="AE2153" s="1249">
        <v>2</v>
      </c>
      <c r="AF2153" s="1250">
        <v>78.8</v>
      </c>
      <c r="AG2153" s="111"/>
      <c r="AH2153" s="111"/>
      <c r="AI2153" s="111"/>
      <c r="AJ2153" s="111"/>
      <c r="AK2153" s="111"/>
      <c r="AL2153" s="111"/>
      <c r="AM2153" s="111">
        <v>236.4</v>
      </c>
    </row>
    <row r="2154" spans="1:39" ht="15" customHeight="1" x14ac:dyDescent="0.25">
      <c r="A2154" s="1409"/>
      <c r="B2154" s="1409"/>
      <c r="C2154" s="1409"/>
      <c r="D2154" s="1409"/>
      <c r="E2154" s="1247"/>
      <c r="F2154" s="1248" t="s">
        <v>3324</v>
      </c>
      <c r="G2154" s="111"/>
      <c r="H2154" s="1249">
        <v>7</v>
      </c>
      <c r="I2154" s="111" t="s">
        <v>1721</v>
      </c>
      <c r="J2154" s="1321" t="s">
        <v>5608</v>
      </c>
      <c r="K2154" s="162" t="s">
        <v>5610</v>
      </c>
      <c r="L2154" s="162" t="s">
        <v>5609</v>
      </c>
      <c r="M2154" s="111">
        <v>47.279999999999994</v>
      </c>
      <c r="N2154" s="111">
        <v>330.96</v>
      </c>
      <c r="O2154" s="111"/>
      <c r="P2154" s="111"/>
      <c r="Q2154" s="111"/>
      <c r="R2154" s="111"/>
      <c r="S2154" s="1249">
        <v>3</v>
      </c>
      <c r="T2154" s="1250">
        <v>110.32</v>
      </c>
      <c r="U2154" s="1250"/>
      <c r="V2154" s="1250"/>
      <c r="W2154" s="1251">
        <v>2</v>
      </c>
      <c r="X2154" s="1250">
        <v>110.32</v>
      </c>
      <c r="Y2154" s="1250"/>
      <c r="Z2154" s="1250"/>
      <c r="AA2154" s="1250"/>
      <c r="AB2154" s="1250"/>
      <c r="AC2154" s="1250"/>
      <c r="AD2154" s="1250"/>
      <c r="AE2154" s="1249">
        <v>2</v>
      </c>
      <c r="AF2154" s="1250">
        <v>110.32</v>
      </c>
      <c r="AG2154" s="111"/>
      <c r="AH2154" s="111"/>
      <c r="AI2154" s="111"/>
      <c r="AJ2154" s="111"/>
      <c r="AK2154" s="111"/>
      <c r="AL2154" s="111"/>
      <c r="AM2154" s="111">
        <v>330.96</v>
      </c>
    </row>
    <row r="2155" spans="1:39" ht="15" customHeight="1" x14ac:dyDescent="0.25">
      <c r="A2155" s="1409"/>
      <c r="B2155" s="1409"/>
      <c r="C2155" s="1409"/>
      <c r="D2155" s="1409"/>
      <c r="E2155" s="1247"/>
      <c r="F2155" s="1248" t="s">
        <v>3325</v>
      </c>
      <c r="G2155" s="111"/>
      <c r="H2155" s="1249">
        <v>1</v>
      </c>
      <c r="I2155" s="111" t="s">
        <v>1721</v>
      </c>
      <c r="J2155" s="1321" t="s">
        <v>5608</v>
      </c>
      <c r="K2155" s="162" t="s">
        <v>5610</v>
      </c>
      <c r="L2155" s="162" t="s">
        <v>5609</v>
      </c>
      <c r="M2155" s="111">
        <v>59.395247999999995</v>
      </c>
      <c r="N2155" s="111">
        <v>59.395247999999995</v>
      </c>
      <c r="O2155" s="111"/>
      <c r="P2155" s="111"/>
      <c r="Q2155" s="111"/>
      <c r="R2155" s="111"/>
      <c r="S2155" s="1249">
        <v>1</v>
      </c>
      <c r="T2155" s="1250">
        <v>19.798416</v>
      </c>
      <c r="U2155" s="1250"/>
      <c r="V2155" s="1250"/>
      <c r="W2155" s="1251">
        <v>0</v>
      </c>
      <c r="X2155" s="1250">
        <v>19.798416</v>
      </c>
      <c r="Y2155" s="1250"/>
      <c r="Z2155" s="1250"/>
      <c r="AA2155" s="1250"/>
      <c r="AB2155" s="1250"/>
      <c r="AC2155" s="1250"/>
      <c r="AD2155" s="1250"/>
      <c r="AE2155" s="1249">
        <v>0</v>
      </c>
      <c r="AF2155" s="1250">
        <v>19.798416</v>
      </c>
      <c r="AG2155" s="111"/>
      <c r="AH2155" s="111"/>
      <c r="AI2155" s="111"/>
      <c r="AJ2155" s="111"/>
      <c r="AK2155" s="111"/>
      <c r="AL2155" s="111"/>
      <c r="AM2155" s="111">
        <v>59.395247999999995</v>
      </c>
    </row>
    <row r="2156" spans="1:39" ht="15" customHeight="1" x14ac:dyDescent="0.25">
      <c r="A2156" s="1409"/>
      <c r="B2156" s="1409"/>
      <c r="C2156" s="1409"/>
      <c r="D2156" s="1409"/>
      <c r="E2156" s="1247"/>
      <c r="F2156" s="1248" t="s">
        <v>5386</v>
      </c>
      <c r="G2156" s="111"/>
      <c r="H2156" s="1249">
        <v>4</v>
      </c>
      <c r="I2156" s="111" t="s">
        <v>1721</v>
      </c>
      <c r="J2156" s="1321" t="s">
        <v>5608</v>
      </c>
      <c r="K2156" s="162" t="s">
        <v>5610</v>
      </c>
      <c r="L2156" s="162" t="s">
        <v>5609</v>
      </c>
      <c r="M2156" s="111">
        <v>82.68</v>
      </c>
      <c r="N2156" s="111">
        <v>330.72</v>
      </c>
      <c r="O2156" s="111"/>
      <c r="P2156" s="111"/>
      <c r="Q2156" s="111"/>
      <c r="R2156" s="111"/>
      <c r="S2156" s="1249">
        <v>2</v>
      </c>
      <c r="T2156" s="1250">
        <v>110.24000000000001</v>
      </c>
      <c r="U2156" s="1250"/>
      <c r="V2156" s="1250"/>
      <c r="W2156" s="1251">
        <v>1</v>
      </c>
      <c r="X2156" s="1250">
        <v>110.24000000000001</v>
      </c>
      <c r="Y2156" s="1250"/>
      <c r="Z2156" s="1250"/>
      <c r="AA2156" s="1250"/>
      <c r="AB2156" s="1250"/>
      <c r="AC2156" s="1250"/>
      <c r="AD2156" s="1250"/>
      <c r="AE2156" s="1249">
        <v>1</v>
      </c>
      <c r="AF2156" s="1250">
        <v>110.24000000000001</v>
      </c>
      <c r="AG2156" s="111"/>
      <c r="AH2156" s="111"/>
      <c r="AI2156" s="111"/>
      <c r="AJ2156" s="111"/>
      <c r="AK2156" s="111"/>
      <c r="AL2156" s="111"/>
      <c r="AM2156" s="111">
        <v>330.72</v>
      </c>
    </row>
    <row r="2157" spans="1:39" ht="15" customHeight="1" x14ac:dyDescent="0.25">
      <c r="A2157" s="1409"/>
      <c r="B2157" s="1409"/>
      <c r="C2157" s="1409"/>
      <c r="D2157" s="1409"/>
      <c r="E2157" s="1247"/>
      <c r="F2157" s="1248" t="s">
        <v>742</v>
      </c>
      <c r="G2157" s="111"/>
      <c r="H2157" s="1249">
        <v>20</v>
      </c>
      <c r="I2157" s="111" t="s">
        <v>1721</v>
      </c>
      <c r="J2157" s="1321" t="s">
        <v>5608</v>
      </c>
      <c r="K2157" s="162" t="s">
        <v>5610</v>
      </c>
      <c r="L2157" s="162" t="s">
        <v>5609</v>
      </c>
      <c r="M2157" s="111">
        <v>34.452000000000005</v>
      </c>
      <c r="N2157" s="111">
        <v>689.04000000000008</v>
      </c>
      <c r="O2157" s="111"/>
      <c r="P2157" s="111"/>
      <c r="Q2157" s="111"/>
      <c r="R2157" s="111"/>
      <c r="S2157" s="1249">
        <v>10</v>
      </c>
      <c r="T2157" s="1250">
        <v>229.68000000000004</v>
      </c>
      <c r="U2157" s="1250"/>
      <c r="V2157" s="1250"/>
      <c r="W2157" s="1251">
        <v>5</v>
      </c>
      <c r="X2157" s="1250">
        <v>229.68000000000004</v>
      </c>
      <c r="Y2157" s="1250"/>
      <c r="Z2157" s="1250"/>
      <c r="AA2157" s="1250"/>
      <c r="AB2157" s="1250"/>
      <c r="AC2157" s="1250"/>
      <c r="AD2157" s="1250"/>
      <c r="AE2157" s="1249">
        <v>5</v>
      </c>
      <c r="AF2157" s="1250">
        <v>229.68000000000004</v>
      </c>
      <c r="AG2157" s="111"/>
      <c r="AH2157" s="111"/>
      <c r="AI2157" s="111"/>
      <c r="AJ2157" s="111"/>
      <c r="AK2157" s="111"/>
      <c r="AL2157" s="111"/>
      <c r="AM2157" s="111">
        <v>689.04000000000008</v>
      </c>
    </row>
    <row r="2158" spans="1:39" ht="15" customHeight="1" x14ac:dyDescent="0.25">
      <c r="A2158" s="1409"/>
      <c r="B2158" s="1409"/>
      <c r="C2158" s="1409"/>
      <c r="D2158" s="1409"/>
      <c r="E2158" s="1247"/>
      <c r="F2158" s="1248" t="s">
        <v>743</v>
      </c>
      <c r="G2158" s="111"/>
      <c r="H2158" s="1249">
        <v>42</v>
      </c>
      <c r="I2158" s="111" t="s">
        <v>1721</v>
      </c>
      <c r="J2158" s="1321" t="s">
        <v>5608</v>
      </c>
      <c r="K2158" s="162" t="s">
        <v>5610</v>
      </c>
      <c r="L2158" s="162" t="s">
        <v>5609</v>
      </c>
      <c r="M2158" s="111">
        <v>48.232666666666667</v>
      </c>
      <c r="N2158" s="111">
        <v>2025.7719999999999</v>
      </c>
      <c r="O2158" s="111"/>
      <c r="P2158" s="111"/>
      <c r="Q2158" s="111"/>
      <c r="R2158" s="111"/>
      <c r="S2158" s="1249">
        <v>20</v>
      </c>
      <c r="T2158" s="1250">
        <v>675.25733333333335</v>
      </c>
      <c r="U2158" s="1250"/>
      <c r="V2158" s="1250"/>
      <c r="W2158" s="1251">
        <v>12</v>
      </c>
      <c r="X2158" s="1250">
        <v>675.25733333333335</v>
      </c>
      <c r="Y2158" s="1250"/>
      <c r="Z2158" s="1250"/>
      <c r="AA2158" s="1250"/>
      <c r="AB2158" s="1250"/>
      <c r="AC2158" s="1250"/>
      <c r="AD2158" s="1250"/>
      <c r="AE2158" s="1249">
        <v>10</v>
      </c>
      <c r="AF2158" s="1250">
        <v>675.25733333333335</v>
      </c>
      <c r="AG2158" s="111"/>
      <c r="AH2158" s="111"/>
      <c r="AI2158" s="111"/>
      <c r="AJ2158" s="111"/>
      <c r="AK2158" s="111"/>
      <c r="AL2158" s="111"/>
      <c r="AM2158" s="111">
        <v>2025.7719999999999</v>
      </c>
    </row>
    <row r="2159" spans="1:39" ht="15" customHeight="1" x14ac:dyDescent="0.25">
      <c r="A2159" s="1409"/>
      <c r="B2159" s="1409"/>
      <c r="C2159" s="1409"/>
      <c r="D2159" s="1409"/>
      <c r="E2159" s="1247"/>
      <c r="F2159" s="1248" t="s">
        <v>5387</v>
      </c>
      <c r="G2159" s="111"/>
      <c r="H2159" s="1249">
        <v>22</v>
      </c>
      <c r="I2159" s="111" t="s">
        <v>1721</v>
      </c>
      <c r="J2159" s="1321" t="s">
        <v>5608</v>
      </c>
      <c r="K2159" s="162" t="s">
        <v>5610</v>
      </c>
      <c r="L2159" s="162" t="s">
        <v>5609</v>
      </c>
      <c r="M2159" s="111">
        <v>82.684363636363642</v>
      </c>
      <c r="N2159" s="111">
        <v>1819.056</v>
      </c>
      <c r="O2159" s="111"/>
      <c r="P2159" s="111"/>
      <c r="Q2159" s="111"/>
      <c r="R2159" s="111"/>
      <c r="S2159" s="1249">
        <v>12</v>
      </c>
      <c r="T2159" s="1250">
        <v>606.35199999999998</v>
      </c>
      <c r="U2159" s="1250"/>
      <c r="V2159" s="1250"/>
      <c r="W2159" s="1251">
        <v>5</v>
      </c>
      <c r="X2159" s="1250">
        <v>606.35199999999998</v>
      </c>
      <c r="Y2159" s="1250"/>
      <c r="Z2159" s="1250"/>
      <c r="AA2159" s="1250"/>
      <c r="AB2159" s="1250"/>
      <c r="AC2159" s="1250"/>
      <c r="AD2159" s="1250"/>
      <c r="AE2159" s="1249">
        <v>5</v>
      </c>
      <c r="AF2159" s="1250">
        <v>606.35199999999998</v>
      </c>
      <c r="AG2159" s="111"/>
      <c r="AH2159" s="111"/>
      <c r="AI2159" s="111"/>
      <c r="AJ2159" s="111"/>
      <c r="AK2159" s="111"/>
      <c r="AL2159" s="111"/>
      <c r="AM2159" s="111">
        <v>1819.056</v>
      </c>
    </row>
    <row r="2160" spans="1:39" ht="15" customHeight="1" x14ac:dyDescent="0.25">
      <c r="A2160" s="1409"/>
      <c r="B2160" s="1409"/>
      <c r="C2160" s="1409"/>
      <c r="D2160" s="1409"/>
      <c r="E2160" s="1247"/>
      <c r="F2160" s="1248" t="s">
        <v>5388</v>
      </c>
      <c r="G2160" s="111"/>
      <c r="H2160" s="1249">
        <v>10</v>
      </c>
      <c r="I2160" s="111" t="s">
        <v>1721</v>
      </c>
      <c r="J2160" s="1321" t="s">
        <v>5608</v>
      </c>
      <c r="K2160" s="162" t="s">
        <v>5610</v>
      </c>
      <c r="L2160" s="162" t="s">
        <v>5609</v>
      </c>
      <c r="M2160" s="111">
        <v>183.28</v>
      </c>
      <c r="N2160" s="111">
        <v>1832.8</v>
      </c>
      <c r="O2160" s="111"/>
      <c r="P2160" s="111"/>
      <c r="Q2160" s="111"/>
      <c r="R2160" s="111"/>
      <c r="S2160" s="1249">
        <v>5</v>
      </c>
      <c r="T2160" s="1250">
        <v>610.93333333333328</v>
      </c>
      <c r="U2160" s="1250"/>
      <c r="V2160" s="1250"/>
      <c r="W2160" s="1251">
        <v>5</v>
      </c>
      <c r="X2160" s="1250">
        <v>610.93333333333328</v>
      </c>
      <c r="Y2160" s="1250"/>
      <c r="Z2160" s="1250"/>
      <c r="AA2160" s="1250"/>
      <c r="AB2160" s="1250"/>
      <c r="AC2160" s="1250"/>
      <c r="AD2160" s="1250"/>
      <c r="AE2160" s="1249">
        <v>0</v>
      </c>
      <c r="AF2160" s="1250">
        <v>610.93333333333328</v>
      </c>
      <c r="AG2160" s="111"/>
      <c r="AH2160" s="111"/>
      <c r="AI2160" s="111"/>
      <c r="AJ2160" s="111"/>
      <c r="AK2160" s="111"/>
      <c r="AL2160" s="111"/>
      <c r="AM2160" s="111">
        <v>1832.8</v>
      </c>
    </row>
    <row r="2161" spans="1:39" ht="15" customHeight="1" x14ac:dyDescent="0.25">
      <c r="A2161" s="1409"/>
      <c r="B2161" s="1409"/>
      <c r="C2161" s="1409"/>
      <c r="D2161" s="1409"/>
      <c r="E2161" s="1247"/>
      <c r="F2161" s="1248" t="s">
        <v>3322</v>
      </c>
      <c r="G2161" s="111"/>
      <c r="H2161" s="1249">
        <v>1</v>
      </c>
      <c r="I2161" s="111" t="s">
        <v>1721</v>
      </c>
      <c r="J2161" s="1321" t="s">
        <v>5608</v>
      </c>
      <c r="K2161" s="162" t="s">
        <v>5610</v>
      </c>
      <c r="L2161" s="162" t="s">
        <v>5609</v>
      </c>
      <c r="M2161" s="111">
        <v>40.490496</v>
      </c>
      <c r="N2161" s="111">
        <v>40.490496</v>
      </c>
      <c r="O2161" s="111"/>
      <c r="P2161" s="111"/>
      <c r="Q2161" s="111"/>
      <c r="R2161" s="111"/>
      <c r="S2161" s="1249">
        <v>1</v>
      </c>
      <c r="T2161" s="1250">
        <v>13.496831999999999</v>
      </c>
      <c r="U2161" s="1250"/>
      <c r="V2161" s="1250"/>
      <c r="W2161" s="1251">
        <v>0</v>
      </c>
      <c r="X2161" s="1250">
        <v>13.496831999999999</v>
      </c>
      <c r="Y2161" s="1250"/>
      <c r="Z2161" s="1250"/>
      <c r="AA2161" s="1250"/>
      <c r="AB2161" s="1250"/>
      <c r="AC2161" s="1250"/>
      <c r="AD2161" s="1250"/>
      <c r="AE2161" s="1249">
        <v>0</v>
      </c>
      <c r="AF2161" s="1250">
        <v>13.496831999999999</v>
      </c>
      <c r="AG2161" s="111"/>
      <c r="AH2161" s="111"/>
      <c r="AI2161" s="111"/>
      <c r="AJ2161" s="111"/>
      <c r="AK2161" s="111"/>
      <c r="AL2161" s="111"/>
      <c r="AM2161" s="111">
        <v>40.490496</v>
      </c>
    </row>
    <row r="2162" spans="1:39" ht="15" customHeight="1" x14ac:dyDescent="0.25">
      <c r="A2162" s="1409"/>
      <c r="B2162" s="1409"/>
      <c r="C2162" s="1409"/>
      <c r="D2162" s="1409"/>
      <c r="E2162" s="1247"/>
      <c r="F2162" s="1248" t="s">
        <v>5389</v>
      </c>
      <c r="G2162" s="111"/>
      <c r="H2162" s="1249">
        <v>4</v>
      </c>
      <c r="I2162" s="111" t="s">
        <v>1721</v>
      </c>
      <c r="J2162" s="1321" t="s">
        <v>5608</v>
      </c>
      <c r="K2162" s="162" t="s">
        <v>5610</v>
      </c>
      <c r="L2162" s="162" t="s">
        <v>5609</v>
      </c>
      <c r="M2162" s="111">
        <v>30</v>
      </c>
      <c r="N2162" s="111">
        <v>120</v>
      </c>
      <c r="O2162" s="111"/>
      <c r="P2162" s="111"/>
      <c r="Q2162" s="111"/>
      <c r="R2162" s="111"/>
      <c r="S2162" s="1249">
        <v>2</v>
      </c>
      <c r="T2162" s="1250">
        <v>40</v>
      </c>
      <c r="U2162" s="1250"/>
      <c r="V2162" s="1250"/>
      <c r="W2162" s="1251">
        <v>1</v>
      </c>
      <c r="X2162" s="1250">
        <v>40</v>
      </c>
      <c r="Y2162" s="1250"/>
      <c r="Z2162" s="1250"/>
      <c r="AA2162" s="1250"/>
      <c r="AB2162" s="1250"/>
      <c r="AC2162" s="1250"/>
      <c r="AD2162" s="1250"/>
      <c r="AE2162" s="1249">
        <v>1</v>
      </c>
      <c r="AF2162" s="1250">
        <v>40</v>
      </c>
      <c r="AG2162" s="111"/>
      <c r="AH2162" s="111"/>
      <c r="AI2162" s="111"/>
      <c r="AJ2162" s="111"/>
      <c r="AK2162" s="111"/>
      <c r="AL2162" s="111"/>
      <c r="AM2162" s="111">
        <v>120</v>
      </c>
    </row>
    <row r="2163" spans="1:39" ht="15" customHeight="1" x14ac:dyDescent="0.25">
      <c r="A2163" s="1409"/>
      <c r="B2163" s="1409"/>
      <c r="C2163" s="1409"/>
      <c r="D2163" s="1409"/>
      <c r="E2163" s="1247"/>
      <c r="F2163" s="1248" t="s">
        <v>5390</v>
      </c>
      <c r="G2163" s="111"/>
      <c r="H2163" s="1249">
        <v>4</v>
      </c>
      <c r="I2163" s="111" t="s">
        <v>1721</v>
      </c>
      <c r="J2163" s="1321" t="s">
        <v>5608</v>
      </c>
      <c r="K2163" s="162" t="s">
        <v>5610</v>
      </c>
      <c r="L2163" s="162" t="s">
        <v>5609</v>
      </c>
      <c r="M2163" s="111">
        <v>29</v>
      </c>
      <c r="N2163" s="111">
        <v>116</v>
      </c>
      <c r="O2163" s="111"/>
      <c r="P2163" s="111"/>
      <c r="Q2163" s="111"/>
      <c r="R2163" s="111"/>
      <c r="S2163" s="1249">
        <v>2</v>
      </c>
      <c r="T2163" s="1250">
        <v>38.666666666666664</v>
      </c>
      <c r="U2163" s="1250"/>
      <c r="V2163" s="1250"/>
      <c r="W2163" s="1251">
        <v>1</v>
      </c>
      <c r="X2163" s="1250">
        <v>38.666666666666664</v>
      </c>
      <c r="Y2163" s="1250"/>
      <c r="Z2163" s="1250"/>
      <c r="AA2163" s="1250"/>
      <c r="AB2163" s="1250"/>
      <c r="AC2163" s="1250"/>
      <c r="AD2163" s="1250"/>
      <c r="AE2163" s="1249">
        <v>1</v>
      </c>
      <c r="AF2163" s="1250">
        <v>38.666666666666664</v>
      </c>
      <c r="AG2163" s="111"/>
      <c r="AH2163" s="111"/>
      <c r="AI2163" s="111"/>
      <c r="AJ2163" s="111"/>
      <c r="AK2163" s="111"/>
      <c r="AL2163" s="111"/>
      <c r="AM2163" s="111">
        <v>116</v>
      </c>
    </row>
    <row r="2164" spans="1:39" ht="15" customHeight="1" x14ac:dyDescent="0.25">
      <c r="A2164" s="1409"/>
      <c r="B2164" s="1409"/>
      <c r="C2164" s="1409"/>
      <c r="D2164" s="1409"/>
      <c r="E2164" s="1247"/>
      <c r="F2164" s="1248" t="s">
        <v>5391</v>
      </c>
      <c r="G2164" s="111"/>
      <c r="H2164" s="1249">
        <v>150</v>
      </c>
      <c r="I2164" s="111" t="s">
        <v>1721</v>
      </c>
      <c r="J2164" s="1321" t="s">
        <v>5608</v>
      </c>
      <c r="K2164" s="162" t="s">
        <v>5610</v>
      </c>
      <c r="L2164" s="162" t="s">
        <v>5609</v>
      </c>
      <c r="M2164" s="111">
        <v>2.0675039999999996</v>
      </c>
      <c r="N2164" s="111">
        <v>310.12559999999996</v>
      </c>
      <c r="O2164" s="111"/>
      <c r="P2164" s="111"/>
      <c r="Q2164" s="111"/>
      <c r="R2164" s="111"/>
      <c r="S2164" s="1249">
        <v>50</v>
      </c>
      <c r="T2164" s="1250">
        <v>103.37519999999999</v>
      </c>
      <c r="U2164" s="1250"/>
      <c r="V2164" s="1250"/>
      <c r="W2164" s="1251">
        <v>50</v>
      </c>
      <c r="X2164" s="1250">
        <v>103.37519999999999</v>
      </c>
      <c r="Y2164" s="1250"/>
      <c r="Z2164" s="1250"/>
      <c r="AA2164" s="1250"/>
      <c r="AB2164" s="1250"/>
      <c r="AC2164" s="1250"/>
      <c r="AD2164" s="1250"/>
      <c r="AE2164" s="1249">
        <v>50</v>
      </c>
      <c r="AF2164" s="1250">
        <v>103.37519999999999</v>
      </c>
      <c r="AG2164" s="111"/>
      <c r="AH2164" s="111"/>
      <c r="AI2164" s="111"/>
      <c r="AJ2164" s="111"/>
      <c r="AK2164" s="111"/>
      <c r="AL2164" s="111"/>
      <c r="AM2164" s="111">
        <v>310.12559999999996</v>
      </c>
    </row>
    <row r="2165" spans="1:39" ht="15" customHeight="1" x14ac:dyDescent="0.25">
      <c r="A2165" s="1409"/>
      <c r="B2165" s="1409"/>
      <c r="C2165" s="1409"/>
      <c r="D2165" s="1409"/>
      <c r="E2165" s="1247"/>
      <c r="F2165" s="1248" t="s">
        <v>1342</v>
      </c>
      <c r="G2165" s="111"/>
      <c r="H2165" s="1249">
        <v>105</v>
      </c>
      <c r="I2165" s="111" t="s">
        <v>1721</v>
      </c>
      <c r="J2165" s="1321" t="s">
        <v>5608</v>
      </c>
      <c r="K2165" s="162" t="s">
        <v>5610</v>
      </c>
      <c r="L2165" s="162" t="s">
        <v>5609</v>
      </c>
      <c r="M2165" s="111">
        <v>1.6535199999999999</v>
      </c>
      <c r="N2165" s="111">
        <v>173.61959999999999</v>
      </c>
      <c r="O2165" s="111"/>
      <c r="P2165" s="111"/>
      <c r="Q2165" s="111"/>
      <c r="R2165" s="111"/>
      <c r="S2165" s="1249">
        <v>40</v>
      </c>
      <c r="T2165" s="1250">
        <v>57.873199999999997</v>
      </c>
      <c r="U2165" s="1250"/>
      <c r="V2165" s="1250"/>
      <c r="W2165" s="1251">
        <v>40</v>
      </c>
      <c r="X2165" s="1250">
        <v>57.873199999999997</v>
      </c>
      <c r="Y2165" s="1250"/>
      <c r="Z2165" s="1250"/>
      <c r="AA2165" s="1250"/>
      <c r="AB2165" s="1250"/>
      <c r="AC2165" s="1250"/>
      <c r="AD2165" s="1250"/>
      <c r="AE2165" s="1249">
        <v>25</v>
      </c>
      <c r="AF2165" s="1250">
        <v>57.873199999999997</v>
      </c>
      <c r="AG2165" s="111"/>
      <c r="AH2165" s="111"/>
      <c r="AI2165" s="111"/>
      <c r="AJ2165" s="111"/>
      <c r="AK2165" s="111"/>
      <c r="AL2165" s="111"/>
      <c r="AM2165" s="111">
        <v>173.61959999999999</v>
      </c>
    </row>
    <row r="2166" spans="1:39" ht="15" customHeight="1" x14ac:dyDescent="0.25">
      <c r="A2166" s="1409"/>
      <c r="B2166" s="1409"/>
      <c r="C2166" s="1409"/>
      <c r="D2166" s="1409"/>
      <c r="E2166" s="1247"/>
      <c r="F2166" s="1248" t="s">
        <v>5392</v>
      </c>
      <c r="G2166" s="111"/>
      <c r="H2166" s="1249">
        <v>2</v>
      </c>
      <c r="I2166" s="111" t="s">
        <v>1725</v>
      </c>
      <c r="J2166" s="1321" t="s">
        <v>5608</v>
      </c>
      <c r="K2166" s="162" t="s">
        <v>5610</v>
      </c>
      <c r="L2166" s="162" t="s">
        <v>5609</v>
      </c>
      <c r="M2166" s="111">
        <v>41.34</v>
      </c>
      <c r="N2166" s="111">
        <v>82.68</v>
      </c>
      <c r="O2166" s="111"/>
      <c r="P2166" s="111"/>
      <c r="Q2166" s="111"/>
      <c r="R2166" s="111"/>
      <c r="S2166" s="1249">
        <v>2</v>
      </c>
      <c r="T2166" s="1250">
        <v>27.560000000000002</v>
      </c>
      <c r="U2166" s="1250"/>
      <c r="V2166" s="1250"/>
      <c r="W2166" s="1251">
        <v>0</v>
      </c>
      <c r="X2166" s="1250">
        <v>27.560000000000002</v>
      </c>
      <c r="Y2166" s="1250"/>
      <c r="Z2166" s="1250"/>
      <c r="AA2166" s="1250"/>
      <c r="AB2166" s="1250"/>
      <c r="AC2166" s="1250"/>
      <c r="AD2166" s="1250"/>
      <c r="AE2166" s="1249">
        <v>0</v>
      </c>
      <c r="AF2166" s="1250">
        <v>27.560000000000002</v>
      </c>
      <c r="AG2166" s="111"/>
      <c r="AH2166" s="111"/>
      <c r="AI2166" s="111"/>
      <c r="AJ2166" s="111"/>
      <c r="AK2166" s="111"/>
      <c r="AL2166" s="111"/>
      <c r="AM2166" s="111">
        <v>82.68</v>
      </c>
    </row>
    <row r="2167" spans="1:39" ht="15" customHeight="1" x14ac:dyDescent="0.25">
      <c r="A2167" s="1409"/>
      <c r="B2167" s="1409"/>
      <c r="C2167" s="1409"/>
      <c r="D2167" s="1409"/>
      <c r="E2167" s="1247"/>
      <c r="F2167" s="1248" t="s">
        <v>5393</v>
      </c>
      <c r="G2167" s="111"/>
      <c r="H2167" s="1249">
        <v>1</v>
      </c>
      <c r="I2167" s="111" t="s">
        <v>1725</v>
      </c>
      <c r="J2167" s="1321" t="s">
        <v>5608</v>
      </c>
      <c r="K2167" s="162" t="s">
        <v>5610</v>
      </c>
      <c r="L2167" s="162" t="s">
        <v>5609</v>
      </c>
      <c r="M2167" s="111">
        <v>90</v>
      </c>
      <c r="N2167" s="111">
        <v>90</v>
      </c>
      <c r="O2167" s="111"/>
      <c r="P2167" s="111"/>
      <c r="Q2167" s="111"/>
      <c r="R2167" s="111"/>
      <c r="S2167" s="1249">
        <v>1</v>
      </c>
      <c r="T2167" s="1250">
        <v>30</v>
      </c>
      <c r="U2167" s="1250"/>
      <c r="V2167" s="1250"/>
      <c r="W2167" s="1251">
        <v>0</v>
      </c>
      <c r="X2167" s="1250">
        <v>30</v>
      </c>
      <c r="Y2167" s="1250"/>
      <c r="Z2167" s="1250"/>
      <c r="AA2167" s="1250"/>
      <c r="AB2167" s="1250"/>
      <c r="AC2167" s="1250"/>
      <c r="AD2167" s="1250"/>
      <c r="AE2167" s="1249">
        <v>0</v>
      </c>
      <c r="AF2167" s="1250">
        <v>30</v>
      </c>
      <c r="AG2167" s="111"/>
      <c r="AH2167" s="111"/>
      <c r="AI2167" s="111"/>
      <c r="AJ2167" s="111"/>
      <c r="AK2167" s="111"/>
      <c r="AL2167" s="111"/>
      <c r="AM2167" s="111">
        <v>90</v>
      </c>
    </row>
    <row r="2168" spans="1:39" ht="15" customHeight="1" x14ac:dyDescent="0.25">
      <c r="A2168" s="1409"/>
      <c r="B2168" s="1409"/>
      <c r="C2168" s="1409"/>
      <c r="D2168" s="1409"/>
      <c r="E2168" s="1286"/>
      <c r="F2168" s="1248" t="s">
        <v>1337</v>
      </c>
      <c r="G2168" s="111"/>
      <c r="H2168" s="1249">
        <v>9</v>
      </c>
      <c r="I2168" s="111" t="s">
        <v>1725</v>
      </c>
      <c r="J2168" s="1321" t="s">
        <v>5608</v>
      </c>
      <c r="K2168" s="162" t="s">
        <v>5610</v>
      </c>
      <c r="L2168" s="162" t="s">
        <v>5609</v>
      </c>
      <c r="M2168" s="111">
        <v>40.074399999999997</v>
      </c>
      <c r="N2168" s="111">
        <v>360.66959999999995</v>
      </c>
      <c r="O2168" s="111"/>
      <c r="P2168" s="111"/>
      <c r="Q2168" s="111"/>
      <c r="R2168" s="111"/>
      <c r="S2168" s="1249">
        <v>5</v>
      </c>
      <c r="T2168" s="1250">
        <v>120.22320000000001</v>
      </c>
      <c r="U2168" s="1250"/>
      <c r="V2168" s="1250"/>
      <c r="W2168" s="1251">
        <v>2</v>
      </c>
      <c r="X2168" s="1250">
        <v>120.22320000000001</v>
      </c>
      <c r="Y2168" s="1250"/>
      <c r="Z2168" s="1250"/>
      <c r="AA2168" s="1250"/>
      <c r="AB2168" s="1250"/>
      <c r="AC2168" s="1250"/>
      <c r="AD2168" s="1250"/>
      <c r="AE2168" s="1249">
        <v>2</v>
      </c>
      <c r="AF2168" s="1250">
        <v>120.22320000000001</v>
      </c>
      <c r="AG2168" s="111"/>
      <c r="AH2168" s="111"/>
      <c r="AI2168" s="111"/>
      <c r="AJ2168" s="111"/>
      <c r="AK2168" s="111"/>
      <c r="AL2168" s="111"/>
      <c r="AM2168" s="111">
        <v>360.6696</v>
      </c>
    </row>
    <row r="2169" spans="1:39" ht="15" customHeight="1" x14ac:dyDescent="0.25">
      <c r="A2169" s="1409"/>
      <c r="B2169" s="1409"/>
      <c r="C2169" s="1409"/>
      <c r="D2169" s="1409"/>
      <c r="E2169" s="1286"/>
      <c r="F2169" s="1248" t="s">
        <v>3321</v>
      </c>
      <c r="G2169" s="111"/>
      <c r="H2169" s="1249">
        <v>1</v>
      </c>
      <c r="I2169" s="111" t="s">
        <v>1721</v>
      </c>
      <c r="J2169" s="1321" t="s">
        <v>5608</v>
      </c>
      <c r="K2169" s="162" t="s">
        <v>5610</v>
      </c>
      <c r="L2169" s="162" t="s">
        <v>5609</v>
      </c>
      <c r="M2169" s="111">
        <v>215.995248</v>
      </c>
      <c r="N2169" s="111">
        <v>215.995248</v>
      </c>
      <c r="O2169" s="111"/>
      <c r="P2169" s="111"/>
      <c r="Q2169" s="111"/>
      <c r="R2169" s="111"/>
      <c r="S2169" s="1249">
        <v>1</v>
      </c>
      <c r="T2169" s="1250">
        <v>71.998416000000006</v>
      </c>
      <c r="U2169" s="1250"/>
      <c r="V2169" s="1250"/>
      <c r="W2169" s="1251">
        <v>0</v>
      </c>
      <c r="X2169" s="1250">
        <v>71.998416000000006</v>
      </c>
      <c r="Y2169" s="1250"/>
      <c r="Z2169" s="1250"/>
      <c r="AA2169" s="1250"/>
      <c r="AB2169" s="1250"/>
      <c r="AC2169" s="1250"/>
      <c r="AD2169" s="1250"/>
      <c r="AE2169" s="1249">
        <v>0</v>
      </c>
      <c r="AF2169" s="1250">
        <v>71.998416000000006</v>
      </c>
      <c r="AG2169" s="111"/>
      <c r="AH2169" s="111"/>
      <c r="AI2169" s="111"/>
      <c r="AJ2169" s="111"/>
      <c r="AK2169" s="111"/>
      <c r="AL2169" s="111"/>
      <c r="AM2169" s="111">
        <v>215.995248</v>
      </c>
    </row>
    <row r="2170" spans="1:39" ht="15" customHeight="1" x14ac:dyDescent="0.25">
      <c r="A2170" s="1409"/>
      <c r="B2170" s="1409"/>
      <c r="C2170" s="1409"/>
      <c r="D2170" s="1409"/>
      <c r="E2170" s="1286"/>
      <c r="F2170" s="1248" t="s">
        <v>3327</v>
      </c>
      <c r="G2170" s="111"/>
      <c r="H2170" s="1249">
        <v>2</v>
      </c>
      <c r="I2170" s="111" t="s">
        <v>1725</v>
      </c>
      <c r="J2170" s="1321" t="s">
        <v>5608</v>
      </c>
      <c r="K2170" s="162" t="s">
        <v>5610</v>
      </c>
      <c r="L2170" s="162" t="s">
        <v>5609</v>
      </c>
      <c r="M2170" s="111">
        <v>32.5</v>
      </c>
      <c r="N2170" s="111">
        <v>65</v>
      </c>
      <c r="O2170" s="111"/>
      <c r="P2170" s="111"/>
      <c r="Q2170" s="111"/>
      <c r="R2170" s="111"/>
      <c r="S2170" s="1249">
        <v>2</v>
      </c>
      <c r="T2170" s="1250">
        <v>21.666666666666668</v>
      </c>
      <c r="U2170" s="1250"/>
      <c r="V2170" s="1250"/>
      <c r="W2170" s="1251">
        <v>0</v>
      </c>
      <c r="X2170" s="1250">
        <v>21.666666666666668</v>
      </c>
      <c r="Y2170" s="1250"/>
      <c r="Z2170" s="1250"/>
      <c r="AA2170" s="1250"/>
      <c r="AB2170" s="1250"/>
      <c r="AC2170" s="1250"/>
      <c r="AD2170" s="1250"/>
      <c r="AE2170" s="1249">
        <v>0</v>
      </c>
      <c r="AF2170" s="1250">
        <v>21.666666666666668</v>
      </c>
      <c r="AG2170" s="111"/>
      <c r="AH2170" s="111"/>
      <c r="AI2170" s="111"/>
      <c r="AJ2170" s="111"/>
      <c r="AK2170" s="111"/>
      <c r="AL2170" s="111"/>
      <c r="AM2170" s="111">
        <v>65</v>
      </c>
    </row>
    <row r="2171" spans="1:39" ht="15" customHeight="1" x14ac:dyDescent="0.25">
      <c r="A2171" s="1409"/>
      <c r="B2171" s="1409"/>
      <c r="C2171" s="1409"/>
      <c r="D2171" s="1409"/>
      <c r="E2171" s="1286"/>
      <c r="F2171" s="1248" t="s">
        <v>5394</v>
      </c>
      <c r="G2171" s="111"/>
      <c r="H2171" s="1249">
        <v>10</v>
      </c>
      <c r="I2171" s="111" t="s">
        <v>1721</v>
      </c>
      <c r="J2171" s="1321" t="s">
        <v>5608</v>
      </c>
      <c r="K2171" s="162" t="s">
        <v>5610</v>
      </c>
      <c r="L2171" s="162" t="s">
        <v>5609</v>
      </c>
      <c r="M2171" s="111">
        <v>59.739999999999995</v>
      </c>
      <c r="N2171" s="111">
        <v>597.4</v>
      </c>
      <c r="O2171" s="111"/>
      <c r="P2171" s="111"/>
      <c r="Q2171" s="111"/>
      <c r="R2171" s="111"/>
      <c r="S2171" s="1249">
        <v>5</v>
      </c>
      <c r="T2171" s="1250">
        <v>199.13333333333333</v>
      </c>
      <c r="U2171" s="1250"/>
      <c r="V2171" s="1250"/>
      <c r="W2171" s="1251">
        <v>5</v>
      </c>
      <c r="X2171" s="1250">
        <v>199.13333333333333</v>
      </c>
      <c r="Y2171" s="1250"/>
      <c r="Z2171" s="1250"/>
      <c r="AA2171" s="1250"/>
      <c r="AB2171" s="1250"/>
      <c r="AC2171" s="1250"/>
      <c r="AD2171" s="1250"/>
      <c r="AE2171" s="1249">
        <v>0</v>
      </c>
      <c r="AF2171" s="1250">
        <v>199.13333333333333</v>
      </c>
      <c r="AG2171" s="111"/>
      <c r="AH2171" s="111"/>
      <c r="AI2171" s="111"/>
      <c r="AJ2171" s="111"/>
      <c r="AK2171" s="111"/>
      <c r="AL2171" s="111"/>
      <c r="AM2171" s="111">
        <v>597.4</v>
      </c>
    </row>
    <row r="2172" spans="1:39" ht="15" customHeight="1" x14ac:dyDescent="0.25">
      <c r="A2172" s="1409"/>
      <c r="B2172" s="1409"/>
      <c r="C2172" s="1409"/>
      <c r="D2172" s="1409"/>
      <c r="E2172" s="1286"/>
      <c r="F2172" s="1248" t="s">
        <v>5395</v>
      </c>
      <c r="G2172" s="111"/>
      <c r="H2172" s="1249">
        <v>20</v>
      </c>
      <c r="I2172" s="111" t="s">
        <v>1721</v>
      </c>
      <c r="J2172" s="1321" t="s">
        <v>5608</v>
      </c>
      <c r="K2172" s="162" t="s">
        <v>5610</v>
      </c>
      <c r="L2172" s="162" t="s">
        <v>5609</v>
      </c>
      <c r="M2172" s="111">
        <v>96.279999999999987</v>
      </c>
      <c r="N2172" s="111">
        <v>1925.5999999999997</v>
      </c>
      <c r="O2172" s="111"/>
      <c r="P2172" s="111"/>
      <c r="Q2172" s="111"/>
      <c r="R2172" s="111"/>
      <c r="S2172" s="1249">
        <v>10</v>
      </c>
      <c r="T2172" s="1250">
        <v>641.86666666666656</v>
      </c>
      <c r="U2172" s="1250"/>
      <c r="V2172" s="1250"/>
      <c r="W2172" s="1251">
        <v>5</v>
      </c>
      <c r="X2172" s="1250">
        <v>641.86666666666656</v>
      </c>
      <c r="Y2172" s="1250"/>
      <c r="Z2172" s="1250"/>
      <c r="AA2172" s="1250"/>
      <c r="AB2172" s="1250"/>
      <c r="AC2172" s="1250"/>
      <c r="AD2172" s="1250"/>
      <c r="AE2172" s="1249">
        <v>5</v>
      </c>
      <c r="AF2172" s="1250">
        <v>641.86666666666656</v>
      </c>
      <c r="AG2172" s="111"/>
      <c r="AH2172" s="111"/>
      <c r="AI2172" s="111"/>
      <c r="AJ2172" s="111"/>
      <c r="AK2172" s="111"/>
      <c r="AL2172" s="111"/>
      <c r="AM2172" s="111">
        <v>1925.5999999999997</v>
      </c>
    </row>
    <row r="2173" spans="1:39" ht="15" customHeight="1" x14ac:dyDescent="0.25">
      <c r="A2173" s="1409"/>
      <c r="B2173" s="1409"/>
      <c r="C2173" s="1409"/>
      <c r="D2173" s="1409"/>
      <c r="E2173" s="1286"/>
      <c r="F2173" s="1248" t="s">
        <v>745</v>
      </c>
      <c r="G2173" s="111"/>
      <c r="H2173" s="1249">
        <v>20</v>
      </c>
      <c r="I2173" s="111" t="s">
        <v>1721</v>
      </c>
      <c r="J2173" s="1321" t="s">
        <v>5608</v>
      </c>
      <c r="K2173" s="162" t="s">
        <v>5610</v>
      </c>
      <c r="L2173" s="162" t="s">
        <v>5609</v>
      </c>
      <c r="M2173" s="111">
        <v>124.02720000000002</v>
      </c>
      <c r="N2173" s="111">
        <v>2480.5440000000003</v>
      </c>
      <c r="O2173" s="111"/>
      <c r="P2173" s="111"/>
      <c r="Q2173" s="111"/>
      <c r="R2173" s="111"/>
      <c r="S2173" s="1249">
        <v>10</v>
      </c>
      <c r="T2173" s="1250">
        <v>826.84800000000007</v>
      </c>
      <c r="U2173" s="1250"/>
      <c r="V2173" s="1250"/>
      <c r="W2173" s="1251">
        <v>5</v>
      </c>
      <c r="X2173" s="1250">
        <v>826.84800000000007</v>
      </c>
      <c r="Y2173" s="1250"/>
      <c r="Z2173" s="1250"/>
      <c r="AA2173" s="1250"/>
      <c r="AB2173" s="1250"/>
      <c r="AC2173" s="1250"/>
      <c r="AD2173" s="1250"/>
      <c r="AE2173" s="1249">
        <v>5</v>
      </c>
      <c r="AF2173" s="1250">
        <v>826.84800000000007</v>
      </c>
      <c r="AG2173" s="111"/>
      <c r="AH2173" s="111"/>
      <c r="AI2173" s="111"/>
      <c r="AJ2173" s="111"/>
      <c r="AK2173" s="111"/>
      <c r="AL2173" s="111"/>
      <c r="AM2173" s="111">
        <v>2480.5440000000003</v>
      </c>
    </row>
    <row r="2174" spans="1:39" ht="15" customHeight="1" x14ac:dyDescent="0.25">
      <c r="A2174" s="1409"/>
      <c r="B2174" s="1409"/>
      <c r="C2174" s="1409"/>
      <c r="D2174" s="1409"/>
      <c r="E2174" s="1286"/>
      <c r="F2174" s="1248" t="s">
        <v>1339</v>
      </c>
      <c r="G2174" s="111"/>
      <c r="H2174" s="1249">
        <v>1</v>
      </c>
      <c r="I2174" s="111" t="s">
        <v>1725</v>
      </c>
      <c r="J2174" s="1321" t="s">
        <v>5608</v>
      </c>
      <c r="K2174" s="162" t="s">
        <v>5610</v>
      </c>
      <c r="L2174" s="162" t="s">
        <v>5609</v>
      </c>
      <c r="M2174" s="111">
        <v>110.24639999999999</v>
      </c>
      <c r="N2174" s="111">
        <v>110.24639999999999</v>
      </c>
      <c r="O2174" s="111"/>
      <c r="P2174" s="111"/>
      <c r="Q2174" s="111"/>
      <c r="R2174" s="111"/>
      <c r="S2174" s="1249">
        <v>1</v>
      </c>
      <c r="T2174" s="1250">
        <v>36.748799999999996</v>
      </c>
      <c r="U2174" s="1250"/>
      <c r="V2174" s="1250"/>
      <c r="W2174" s="1251">
        <v>0</v>
      </c>
      <c r="X2174" s="1250">
        <v>36.748799999999996</v>
      </c>
      <c r="Y2174" s="1250"/>
      <c r="Z2174" s="1250"/>
      <c r="AA2174" s="1250"/>
      <c r="AB2174" s="1250"/>
      <c r="AC2174" s="1250"/>
      <c r="AD2174" s="1250"/>
      <c r="AE2174" s="1249">
        <v>0</v>
      </c>
      <c r="AF2174" s="1250">
        <v>36.748799999999996</v>
      </c>
      <c r="AG2174" s="111"/>
      <c r="AH2174" s="111"/>
      <c r="AI2174" s="111"/>
      <c r="AJ2174" s="111"/>
      <c r="AK2174" s="111"/>
      <c r="AL2174" s="111"/>
      <c r="AM2174" s="111">
        <v>110.24639999999999</v>
      </c>
    </row>
    <row r="2175" spans="1:39" ht="15" customHeight="1" x14ac:dyDescent="0.25">
      <c r="A2175" s="1409"/>
      <c r="B2175" s="1409"/>
      <c r="C2175" s="1409"/>
      <c r="D2175" s="1409"/>
      <c r="E2175" s="1286"/>
      <c r="F2175" s="1248" t="s">
        <v>1340</v>
      </c>
      <c r="G2175" s="111"/>
      <c r="H2175" s="1249">
        <v>100</v>
      </c>
      <c r="I2175" s="111" t="s">
        <v>1725</v>
      </c>
      <c r="J2175" s="1321" t="s">
        <v>5608</v>
      </c>
      <c r="K2175" s="162" t="s">
        <v>5610</v>
      </c>
      <c r="L2175" s="162" t="s">
        <v>5609</v>
      </c>
      <c r="M2175" s="111">
        <v>96.465599999999995</v>
      </c>
      <c r="N2175" s="111">
        <v>9646.56</v>
      </c>
      <c r="O2175" s="111"/>
      <c r="P2175" s="111"/>
      <c r="Q2175" s="111"/>
      <c r="R2175" s="111"/>
      <c r="S2175" s="1249">
        <v>40</v>
      </c>
      <c r="T2175" s="1250">
        <v>3215.52</v>
      </c>
      <c r="U2175" s="1250"/>
      <c r="V2175" s="1250"/>
      <c r="W2175" s="1251">
        <v>40</v>
      </c>
      <c r="X2175" s="1250">
        <v>3215.52</v>
      </c>
      <c r="Y2175" s="1250"/>
      <c r="Z2175" s="1250"/>
      <c r="AA2175" s="1250"/>
      <c r="AB2175" s="1250"/>
      <c r="AC2175" s="1250"/>
      <c r="AD2175" s="1250"/>
      <c r="AE2175" s="1249">
        <v>20</v>
      </c>
      <c r="AF2175" s="1250">
        <v>3215.52</v>
      </c>
      <c r="AG2175" s="111"/>
      <c r="AH2175" s="111"/>
      <c r="AI2175" s="111"/>
      <c r="AJ2175" s="111"/>
      <c r="AK2175" s="111"/>
      <c r="AL2175" s="111"/>
      <c r="AM2175" s="111">
        <v>9646.56</v>
      </c>
    </row>
    <row r="2176" spans="1:39" ht="15" customHeight="1" x14ac:dyDescent="0.25">
      <c r="A2176" s="1409"/>
      <c r="B2176" s="1409"/>
      <c r="C2176" s="1409"/>
      <c r="D2176" s="1409"/>
      <c r="E2176" s="1286"/>
      <c r="F2176" s="1248" t="s">
        <v>1343</v>
      </c>
      <c r="G2176" s="111"/>
      <c r="H2176" s="1249">
        <v>2</v>
      </c>
      <c r="I2176" s="111" t="s">
        <v>1725</v>
      </c>
      <c r="J2176" s="1321" t="s">
        <v>5608</v>
      </c>
      <c r="K2176" s="162" t="s">
        <v>5610</v>
      </c>
      <c r="L2176" s="162" t="s">
        <v>5609</v>
      </c>
      <c r="M2176" s="111">
        <v>34.452000000000005</v>
      </c>
      <c r="N2176" s="111">
        <v>68.904000000000011</v>
      </c>
      <c r="O2176" s="111"/>
      <c r="P2176" s="111"/>
      <c r="Q2176" s="111"/>
      <c r="R2176" s="111"/>
      <c r="S2176" s="1249">
        <v>2</v>
      </c>
      <c r="T2176" s="1250">
        <v>22.968000000000004</v>
      </c>
      <c r="U2176" s="1250"/>
      <c r="V2176" s="1250"/>
      <c r="W2176" s="1251">
        <v>0</v>
      </c>
      <c r="X2176" s="1250">
        <v>22.968000000000004</v>
      </c>
      <c r="Y2176" s="1250"/>
      <c r="Z2176" s="1250"/>
      <c r="AA2176" s="1250"/>
      <c r="AB2176" s="1250"/>
      <c r="AC2176" s="1250"/>
      <c r="AD2176" s="1250"/>
      <c r="AE2176" s="1249">
        <v>0</v>
      </c>
      <c r="AF2176" s="1250">
        <v>22.968000000000004</v>
      </c>
      <c r="AG2176" s="111"/>
      <c r="AH2176" s="111"/>
      <c r="AI2176" s="111"/>
      <c r="AJ2176" s="111"/>
      <c r="AK2176" s="111"/>
      <c r="AL2176" s="111"/>
      <c r="AM2176" s="111">
        <v>68.904000000000011</v>
      </c>
    </row>
    <row r="2177" spans="1:39" ht="15" customHeight="1" x14ac:dyDescent="0.25">
      <c r="A2177" s="1409"/>
      <c r="B2177" s="1409"/>
      <c r="C2177" s="1409"/>
      <c r="D2177" s="1409"/>
      <c r="E2177" s="1286"/>
      <c r="F2177" s="1248" t="s">
        <v>1345</v>
      </c>
      <c r="G2177" s="111"/>
      <c r="H2177" s="1249">
        <v>3</v>
      </c>
      <c r="I2177" s="111" t="s">
        <v>1721</v>
      </c>
      <c r="J2177" s="1321" t="s">
        <v>5608</v>
      </c>
      <c r="K2177" s="162" t="s">
        <v>5610</v>
      </c>
      <c r="L2177" s="162" t="s">
        <v>5609</v>
      </c>
      <c r="M2177" s="111">
        <v>41.342399999999998</v>
      </c>
      <c r="N2177" s="111">
        <v>124.02719999999999</v>
      </c>
      <c r="O2177" s="111"/>
      <c r="P2177" s="111"/>
      <c r="Q2177" s="111"/>
      <c r="R2177" s="111"/>
      <c r="S2177" s="1249">
        <v>1</v>
      </c>
      <c r="T2177" s="1250">
        <v>41.342399999999998</v>
      </c>
      <c r="U2177" s="1250"/>
      <c r="V2177" s="1250"/>
      <c r="W2177" s="1251">
        <v>1</v>
      </c>
      <c r="X2177" s="1250">
        <v>41.342399999999998</v>
      </c>
      <c r="Y2177" s="1250"/>
      <c r="Z2177" s="1250"/>
      <c r="AA2177" s="1250"/>
      <c r="AB2177" s="1250"/>
      <c r="AC2177" s="1250"/>
      <c r="AD2177" s="1250"/>
      <c r="AE2177" s="1249">
        <v>1</v>
      </c>
      <c r="AF2177" s="1250">
        <v>41.342399999999998</v>
      </c>
      <c r="AG2177" s="111"/>
      <c r="AH2177" s="111"/>
      <c r="AI2177" s="111"/>
      <c r="AJ2177" s="111"/>
      <c r="AK2177" s="111"/>
      <c r="AL2177" s="111"/>
      <c r="AM2177" s="111">
        <v>124.02719999999999</v>
      </c>
    </row>
    <row r="2178" spans="1:39" ht="15" customHeight="1" x14ac:dyDescent="0.25">
      <c r="A2178" s="1409"/>
      <c r="B2178" s="1409"/>
      <c r="C2178" s="1409"/>
      <c r="D2178" s="1409"/>
      <c r="E2178" s="1286"/>
      <c r="F2178" s="1248" t="s">
        <v>5396</v>
      </c>
      <c r="G2178" s="111"/>
      <c r="H2178" s="1249">
        <v>10</v>
      </c>
      <c r="I2178" s="111" t="s">
        <v>1721</v>
      </c>
      <c r="J2178" s="1321" t="s">
        <v>5608</v>
      </c>
      <c r="K2178" s="162" t="s">
        <v>5610</v>
      </c>
      <c r="L2178" s="162" t="s">
        <v>5609</v>
      </c>
      <c r="M2178" s="111">
        <v>90</v>
      </c>
      <c r="N2178" s="111">
        <v>900</v>
      </c>
      <c r="O2178" s="111"/>
      <c r="P2178" s="111"/>
      <c r="Q2178" s="111"/>
      <c r="R2178" s="111"/>
      <c r="S2178" s="1249">
        <v>5</v>
      </c>
      <c r="T2178" s="1250">
        <v>300</v>
      </c>
      <c r="U2178" s="1250"/>
      <c r="V2178" s="1250"/>
      <c r="W2178" s="1251">
        <v>5</v>
      </c>
      <c r="X2178" s="1250">
        <v>300</v>
      </c>
      <c r="Y2178" s="1250"/>
      <c r="Z2178" s="1250"/>
      <c r="AA2178" s="1250"/>
      <c r="AB2178" s="1250"/>
      <c r="AC2178" s="1250"/>
      <c r="AD2178" s="1250"/>
      <c r="AE2178" s="1249">
        <v>0</v>
      </c>
      <c r="AF2178" s="1250">
        <v>300</v>
      </c>
      <c r="AG2178" s="111"/>
      <c r="AH2178" s="111"/>
      <c r="AI2178" s="111"/>
      <c r="AJ2178" s="111"/>
      <c r="AK2178" s="111"/>
      <c r="AL2178" s="111"/>
      <c r="AM2178" s="111">
        <v>900</v>
      </c>
    </row>
    <row r="2179" spans="1:39" ht="15" customHeight="1" x14ac:dyDescent="0.25">
      <c r="A2179" s="1409"/>
      <c r="B2179" s="1409"/>
      <c r="C2179" s="1409"/>
      <c r="D2179" s="1409"/>
      <c r="E2179" s="1286"/>
      <c r="F2179" s="1248" t="s">
        <v>5397</v>
      </c>
      <c r="G2179" s="111"/>
      <c r="H2179" s="1249">
        <v>200</v>
      </c>
      <c r="I2179" s="111" t="s">
        <v>1721</v>
      </c>
      <c r="J2179" s="1321" t="s">
        <v>5608</v>
      </c>
      <c r="K2179" s="162" t="s">
        <v>5610</v>
      </c>
      <c r="L2179" s="162" t="s">
        <v>5609</v>
      </c>
      <c r="M2179" s="111">
        <v>2</v>
      </c>
      <c r="N2179" s="111">
        <v>400</v>
      </c>
      <c r="O2179" s="111"/>
      <c r="P2179" s="111"/>
      <c r="Q2179" s="111"/>
      <c r="R2179" s="111"/>
      <c r="S2179" s="1249">
        <v>100</v>
      </c>
      <c r="T2179" s="1250">
        <v>133.33333333333334</v>
      </c>
      <c r="U2179" s="1250"/>
      <c r="V2179" s="1250"/>
      <c r="W2179" s="1251">
        <v>50</v>
      </c>
      <c r="X2179" s="1250">
        <v>133.33333333333334</v>
      </c>
      <c r="Y2179" s="1250"/>
      <c r="Z2179" s="1250"/>
      <c r="AA2179" s="1250"/>
      <c r="AB2179" s="1250"/>
      <c r="AC2179" s="1250"/>
      <c r="AD2179" s="1250"/>
      <c r="AE2179" s="1249">
        <v>50</v>
      </c>
      <c r="AF2179" s="1250">
        <v>133.33333333333334</v>
      </c>
      <c r="AG2179" s="111"/>
      <c r="AH2179" s="111"/>
      <c r="AI2179" s="111"/>
      <c r="AJ2179" s="111"/>
      <c r="AK2179" s="111"/>
      <c r="AL2179" s="111"/>
      <c r="AM2179" s="111">
        <v>400</v>
      </c>
    </row>
    <row r="2180" spans="1:39" ht="15" customHeight="1" x14ac:dyDescent="0.25">
      <c r="A2180" s="1409"/>
      <c r="B2180" s="1409"/>
      <c r="C2180" s="1409"/>
      <c r="D2180" s="1409"/>
      <c r="E2180" s="1286"/>
      <c r="F2180" s="1248" t="s">
        <v>1222</v>
      </c>
      <c r="G2180" s="111"/>
      <c r="H2180" s="1249">
        <v>2</v>
      </c>
      <c r="I2180" s="111" t="s">
        <v>1827</v>
      </c>
      <c r="J2180" s="1321" t="s">
        <v>5608</v>
      </c>
      <c r="K2180" s="162" t="s">
        <v>5610</v>
      </c>
      <c r="L2180" s="162" t="s">
        <v>5609</v>
      </c>
      <c r="M2180" s="111">
        <v>179.15039999999999</v>
      </c>
      <c r="N2180" s="111">
        <v>358.30079999999998</v>
      </c>
      <c r="O2180" s="111"/>
      <c r="P2180" s="111"/>
      <c r="Q2180" s="111"/>
      <c r="R2180" s="111"/>
      <c r="S2180" s="1249">
        <v>2</v>
      </c>
      <c r="T2180" s="1250">
        <v>119.4336</v>
      </c>
      <c r="U2180" s="1250"/>
      <c r="V2180" s="1250"/>
      <c r="W2180" s="1251">
        <v>0</v>
      </c>
      <c r="X2180" s="1250">
        <v>119.4336</v>
      </c>
      <c r="Y2180" s="1250"/>
      <c r="Z2180" s="1250"/>
      <c r="AA2180" s="1250"/>
      <c r="AB2180" s="1250"/>
      <c r="AC2180" s="1250"/>
      <c r="AD2180" s="1250"/>
      <c r="AE2180" s="1249">
        <v>0</v>
      </c>
      <c r="AF2180" s="1250">
        <v>119.4336</v>
      </c>
      <c r="AG2180" s="111"/>
      <c r="AH2180" s="111"/>
      <c r="AI2180" s="111"/>
      <c r="AJ2180" s="111"/>
      <c r="AK2180" s="111"/>
      <c r="AL2180" s="111"/>
      <c r="AM2180" s="111">
        <v>358.30079999999998</v>
      </c>
    </row>
    <row r="2181" spans="1:39" ht="15" customHeight="1" x14ac:dyDescent="0.25">
      <c r="A2181" s="1409"/>
      <c r="B2181" s="1409"/>
      <c r="C2181" s="1409"/>
      <c r="D2181" s="1409"/>
      <c r="E2181" s="1286"/>
      <c r="F2181" s="1248"/>
      <c r="G2181" s="111"/>
      <c r="H2181" s="1249"/>
      <c r="I2181" s="111"/>
      <c r="J2181" s="111"/>
      <c r="K2181" s="111"/>
      <c r="L2181" s="111"/>
      <c r="M2181" s="111"/>
      <c r="N2181" s="111"/>
      <c r="O2181" s="111"/>
      <c r="P2181" s="111"/>
      <c r="Q2181" s="111"/>
      <c r="R2181" s="111"/>
      <c r="S2181" s="1249"/>
      <c r="T2181" s="1250"/>
      <c r="U2181" s="1250"/>
      <c r="V2181" s="1250"/>
      <c r="W2181" s="1251"/>
      <c r="X2181" s="1250"/>
      <c r="Y2181" s="1250"/>
      <c r="Z2181" s="1250"/>
      <c r="AA2181" s="1250"/>
      <c r="AB2181" s="1250"/>
      <c r="AC2181" s="1250"/>
      <c r="AD2181" s="1250"/>
      <c r="AE2181" s="1249"/>
      <c r="AF2181" s="1250"/>
      <c r="AG2181" s="111"/>
      <c r="AH2181" s="111"/>
      <c r="AI2181" s="111"/>
      <c r="AJ2181" s="111"/>
      <c r="AK2181" s="111"/>
      <c r="AL2181" s="111"/>
      <c r="AM2181" s="111"/>
    </row>
    <row r="2182" spans="1:39" ht="15" customHeight="1" x14ac:dyDescent="0.25">
      <c r="A2182" s="1409"/>
      <c r="B2182" s="1409"/>
      <c r="C2182" s="1409"/>
      <c r="D2182" s="1409"/>
      <c r="E2182" s="1218">
        <v>294</v>
      </c>
      <c r="F2182" s="1268" t="s">
        <v>746</v>
      </c>
      <c r="G2182" s="1218"/>
      <c r="H2182" s="1218"/>
      <c r="I2182" s="1218"/>
      <c r="J2182" s="1218"/>
      <c r="K2182" s="1218"/>
      <c r="L2182" s="1218"/>
      <c r="M2182" s="1218"/>
      <c r="N2182" s="1218"/>
      <c r="O2182" s="1218"/>
      <c r="P2182" s="1218"/>
      <c r="Q2182" s="1218"/>
      <c r="R2182" s="1218"/>
      <c r="S2182" s="1218"/>
      <c r="T2182" s="1218"/>
      <c r="U2182" s="1218"/>
      <c r="V2182" s="1218"/>
      <c r="W2182" s="1218"/>
      <c r="X2182" s="1218"/>
      <c r="Y2182" s="1218"/>
      <c r="Z2182" s="1218"/>
      <c r="AA2182" s="1218"/>
      <c r="AB2182" s="1218"/>
      <c r="AC2182" s="1218"/>
      <c r="AD2182" s="1218"/>
      <c r="AE2182" s="1218"/>
      <c r="AF2182" s="1218"/>
      <c r="AG2182" s="1218"/>
      <c r="AH2182" s="1218"/>
      <c r="AI2182" s="1218"/>
      <c r="AJ2182" s="1218"/>
      <c r="AK2182" s="1218"/>
      <c r="AL2182" s="1218"/>
      <c r="AM2182" s="1218"/>
    </row>
    <row r="2183" spans="1:39" ht="15" customHeight="1" x14ac:dyDescent="0.25">
      <c r="A2183" s="1409"/>
      <c r="B2183" s="1409"/>
      <c r="C2183" s="1409"/>
      <c r="D2183" s="1409"/>
      <c r="E2183" s="1279"/>
      <c r="F2183" s="1248"/>
      <c r="G2183" s="111"/>
      <c r="H2183" s="1249"/>
      <c r="I2183" s="111"/>
      <c r="J2183" s="111"/>
      <c r="K2183" s="111"/>
      <c r="L2183" s="111"/>
      <c r="M2183" s="111"/>
      <c r="N2183" s="111"/>
      <c r="O2183" s="111"/>
      <c r="P2183" s="111"/>
      <c r="Q2183" s="111"/>
      <c r="R2183" s="111"/>
      <c r="S2183" s="1249"/>
      <c r="T2183" s="1250"/>
      <c r="U2183" s="1250"/>
      <c r="V2183" s="1250"/>
      <c r="W2183" s="1251"/>
      <c r="X2183" s="1250"/>
      <c r="Y2183" s="1250"/>
      <c r="Z2183" s="1250"/>
      <c r="AA2183" s="1250"/>
      <c r="AB2183" s="1250"/>
      <c r="AC2183" s="1250"/>
      <c r="AD2183" s="1250"/>
      <c r="AE2183" s="1249"/>
      <c r="AF2183" s="1250"/>
      <c r="AG2183" s="111"/>
      <c r="AH2183" s="111"/>
      <c r="AI2183" s="111"/>
      <c r="AJ2183" s="111"/>
      <c r="AK2183" s="111"/>
      <c r="AL2183" s="111"/>
      <c r="AM2183" s="111"/>
    </row>
    <row r="2184" spans="1:39" ht="15" customHeight="1" x14ac:dyDescent="0.25">
      <c r="A2184" s="1409"/>
      <c r="B2184" s="1409"/>
      <c r="C2184" s="1409"/>
      <c r="D2184" s="1409"/>
      <c r="E2184" s="1261">
        <v>29403</v>
      </c>
      <c r="F2184" s="1262" t="s">
        <v>749</v>
      </c>
      <c r="G2184" s="1261"/>
      <c r="H2184" s="1261"/>
      <c r="I2184" s="1261"/>
      <c r="J2184" s="1261"/>
      <c r="K2184" s="1261"/>
      <c r="L2184" s="1261"/>
      <c r="M2184" s="1261"/>
      <c r="N2184" s="1261"/>
      <c r="O2184" s="1261"/>
      <c r="P2184" s="1261"/>
      <c r="Q2184" s="1261"/>
      <c r="R2184" s="1261"/>
      <c r="S2184" s="1261"/>
      <c r="T2184" s="1261"/>
      <c r="U2184" s="1261"/>
      <c r="V2184" s="1261"/>
      <c r="W2184" s="1261"/>
      <c r="X2184" s="1261"/>
      <c r="Y2184" s="1261"/>
      <c r="Z2184" s="1261"/>
      <c r="AA2184" s="1261"/>
      <c r="AB2184" s="1261"/>
      <c r="AC2184" s="1261"/>
      <c r="AD2184" s="1261"/>
      <c r="AE2184" s="1261"/>
      <c r="AF2184" s="1261"/>
      <c r="AG2184" s="1261"/>
      <c r="AH2184" s="1261"/>
      <c r="AI2184" s="1261"/>
      <c r="AJ2184" s="1261"/>
      <c r="AK2184" s="1261"/>
      <c r="AL2184" s="1261"/>
      <c r="AM2184" s="1261"/>
    </row>
    <row r="2185" spans="1:39" ht="15" customHeight="1" x14ac:dyDescent="0.25">
      <c r="A2185" s="1409"/>
      <c r="B2185" s="1409"/>
      <c r="C2185" s="1409"/>
      <c r="D2185" s="1409"/>
      <c r="E2185" s="1247"/>
      <c r="F2185" s="1248" t="s">
        <v>5398</v>
      </c>
      <c r="G2185" s="111"/>
      <c r="H2185" s="1249">
        <v>1</v>
      </c>
      <c r="I2185" s="111" t="s">
        <v>1721</v>
      </c>
      <c r="J2185" s="1321" t="s">
        <v>5608</v>
      </c>
      <c r="K2185" s="162" t="s">
        <v>5610</v>
      </c>
      <c r="L2185" s="162" t="s">
        <v>5609</v>
      </c>
      <c r="M2185" s="111">
        <v>1760.3</v>
      </c>
      <c r="N2185" s="111">
        <v>1760.3</v>
      </c>
      <c r="O2185" s="111"/>
      <c r="P2185" s="111"/>
      <c r="Q2185" s="111"/>
      <c r="R2185" s="111"/>
      <c r="S2185" s="1249">
        <v>1</v>
      </c>
      <c r="T2185" s="1250">
        <v>586.76666666666665</v>
      </c>
      <c r="U2185" s="1250"/>
      <c r="V2185" s="1250"/>
      <c r="W2185" s="1251">
        <v>0</v>
      </c>
      <c r="X2185" s="1250">
        <v>586.76666666666665</v>
      </c>
      <c r="Y2185" s="1250"/>
      <c r="Z2185" s="1250"/>
      <c r="AA2185" s="1250"/>
      <c r="AB2185" s="1250"/>
      <c r="AC2185" s="1250"/>
      <c r="AD2185" s="1250"/>
      <c r="AE2185" s="1249">
        <v>0</v>
      </c>
      <c r="AF2185" s="1250">
        <v>586.76666666666665</v>
      </c>
      <c r="AG2185" s="111"/>
      <c r="AH2185" s="111"/>
      <c r="AI2185" s="111"/>
      <c r="AJ2185" s="111"/>
      <c r="AK2185" s="111"/>
      <c r="AL2185" s="111"/>
      <c r="AM2185" s="111">
        <v>1760.3</v>
      </c>
    </row>
    <row r="2186" spans="1:39" ht="15" customHeight="1" x14ac:dyDescent="0.25">
      <c r="A2186" s="1409"/>
      <c r="B2186" s="1409"/>
      <c r="C2186" s="1409"/>
      <c r="D2186" s="1409"/>
      <c r="E2186" s="1247"/>
      <c r="F2186" s="1248" t="s">
        <v>750</v>
      </c>
      <c r="G2186" s="111"/>
      <c r="H2186" s="1249">
        <v>6</v>
      </c>
      <c r="I2186" s="111" t="s">
        <v>1721</v>
      </c>
      <c r="J2186" s="1321" t="s">
        <v>5608</v>
      </c>
      <c r="K2186" s="162" t="s">
        <v>5610</v>
      </c>
      <c r="L2186" s="162" t="s">
        <v>5609</v>
      </c>
      <c r="M2186" s="111">
        <v>1626.07</v>
      </c>
      <c r="N2186" s="111">
        <v>9756.42</v>
      </c>
      <c r="O2186" s="111"/>
      <c r="P2186" s="111"/>
      <c r="Q2186" s="111"/>
      <c r="R2186" s="111"/>
      <c r="S2186" s="1249">
        <v>2</v>
      </c>
      <c r="T2186" s="1250">
        <v>3252.14</v>
      </c>
      <c r="U2186" s="1250"/>
      <c r="V2186" s="1250"/>
      <c r="W2186" s="1251">
        <v>2</v>
      </c>
      <c r="X2186" s="1250">
        <v>3252.14</v>
      </c>
      <c r="Y2186" s="1250"/>
      <c r="Z2186" s="1250"/>
      <c r="AA2186" s="1250"/>
      <c r="AB2186" s="1250"/>
      <c r="AC2186" s="1250"/>
      <c r="AD2186" s="1250"/>
      <c r="AE2186" s="1249">
        <v>2</v>
      </c>
      <c r="AF2186" s="1250">
        <v>3252.14</v>
      </c>
      <c r="AG2186" s="111"/>
      <c r="AH2186" s="111"/>
      <c r="AI2186" s="111"/>
      <c r="AJ2186" s="111"/>
      <c r="AK2186" s="111"/>
      <c r="AL2186" s="111"/>
      <c r="AM2186" s="111">
        <v>9756.42</v>
      </c>
    </row>
    <row r="2187" spans="1:39" ht="15" customHeight="1" x14ac:dyDescent="0.25">
      <c r="A2187" s="1409"/>
      <c r="B2187" s="1409"/>
      <c r="C2187" s="1409"/>
      <c r="D2187" s="1409"/>
      <c r="E2187" s="1247"/>
      <c r="F2187" s="1248" t="s">
        <v>5399</v>
      </c>
      <c r="G2187" s="111"/>
      <c r="H2187" s="1249">
        <v>1</v>
      </c>
      <c r="I2187" s="111" t="s">
        <v>1721</v>
      </c>
      <c r="J2187" s="1321" t="s">
        <v>5608</v>
      </c>
      <c r="K2187" s="162" t="s">
        <v>5610</v>
      </c>
      <c r="L2187" s="162" t="s">
        <v>5609</v>
      </c>
      <c r="M2187" s="111">
        <v>474.14</v>
      </c>
      <c r="N2187" s="111">
        <v>474.14</v>
      </c>
      <c r="O2187" s="111"/>
      <c r="P2187" s="111"/>
      <c r="Q2187" s="111"/>
      <c r="R2187" s="111"/>
      <c r="S2187" s="1249">
        <v>1</v>
      </c>
      <c r="T2187" s="1250">
        <v>158.04666666666665</v>
      </c>
      <c r="U2187" s="1250"/>
      <c r="V2187" s="1250"/>
      <c r="W2187" s="1251">
        <v>0</v>
      </c>
      <c r="X2187" s="1250">
        <v>158.04666666666665</v>
      </c>
      <c r="Y2187" s="1250"/>
      <c r="Z2187" s="1250"/>
      <c r="AA2187" s="1250"/>
      <c r="AB2187" s="1250"/>
      <c r="AC2187" s="1250"/>
      <c r="AD2187" s="1250"/>
      <c r="AE2187" s="1249">
        <v>0</v>
      </c>
      <c r="AF2187" s="1250">
        <v>158.04666666666665</v>
      </c>
      <c r="AG2187" s="111"/>
      <c r="AH2187" s="111"/>
      <c r="AI2187" s="111"/>
      <c r="AJ2187" s="111"/>
      <c r="AK2187" s="111"/>
      <c r="AL2187" s="111"/>
      <c r="AM2187" s="111">
        <v>474.14</v>
      </c>
    </row>
    <row r="2188" spans="1:39" ht="15" customHeight="1" x14ac:dyDescent="0.25">
      <c r="A2188" s="1409"/>
      <c r="B2188" s="1409"/>
      <c r="C2188" s="1409"/>
      <c r="D2188" s="1409"/>
      <c r="E2188" s="1247"/>
      <c r="F2188" s="1248" t="s">
        <v>5400</v>
      </c>
      <c r="G2188" s="111"/>
      <c r="H2188" s="1249">
        <v>1</v>
      </c>
      <c r="I2188" s="111" t="s">
        <v>1721</v>
      </c>
      <c r="J2188" s="1321" t="s">
        <v>5608</v>
      </c>
      <c r="K2188" s="162" t="s">
        <v>5610</v>
      </c>
      <c r="L2188" s="162" t="s">
        <v>5609</v>
      </c>
      <c r="M2188" s="111">
        <v>60</v>
      </c>
      <c r="N2188" s="111">
        <v>60</v>
      </c>
      <c r="O2188" s="111"/>
      <c r="P2188" s="111"/>
      <c r="Q2188" s="111"/>
      <c r="R2188" s="111"/>
      <c r="S2188" s="1249">
        <v>1</v>
      </c>
      <c r="T2188" s="1250">
        <v>20</v>
      </c>
      <c r="U2188" s="1250"/>
      <c r="V2188" s="1250"/>
      <c r="W2188" s="1251">
        <v>0</v>
      </c>
      <c r="X2188" s="1250">
        <v>20</v>
      </c>
      <c r="Y2188" s="1250"/>
      <c r="Z2188" s="1250"/>
      <c r="AA2188" s="1250"/>
      <c r="AB2188" s="1250"/>
      <c r="AC2188" s="1250"/>
      <c r="AD2188" s="1250"/>
      <c r="AE2188" s="1249">
        <v>0</v>
      </c>
      <c r="AF2188" s="1250">
        <v>20</v>
      </c>
      <c r="AG2188" s="111"/>
      <c r="AH2188" s="111"/>
      <c r="AI2188" s="111"/>
      <c r="AJ2188" s="111"/>
      <c r="AK2188" s="111"/>
      <c r="AL2188" s="111"/>
      <c r="AM2188" s="111">
        <v>60</v>
      </c>
    </row>
    <row r="2189" spans="1:39" ht="15" customHeight="1" x14ac:dyDescent="0.25">
      <c r="A2189" s="1409"/>
      <c r="B2189" s="1409"/>
      <c r="C2189" s="1409"/>
      <c r="D2189" s="1409"/>
      <c r="E2189" s="1247"/>
      <c r="F2189" s="1248" t="s">
        <v>5401</v>
      </c>
      <c r="G2189" s="111"/>
      <c r="H2189" s="1249">
        <v>1</v>
      </c>
      <c r="I2189" s="111" t="s">
        <v>1721</v>
      </c>
      <c r="J2189" s="1321" t="s">
        <v>5608</v>
      </c>
      <c r="K2189" s="162" t="s">
        <v>5610</v>
      </c>
      <c r="L2189" s="162" t="s">
        <v>5609</v>
      </c>
      <c r="M2189" s="111">
        <v>536.07000000000005</v>
      </c>
      <c r="N2189" s="111">
        <v>536.07000000000005</v>
      </c>
      <c r="O2189" s="111"/>
      <c r="P2189" s="111"/>
      <c r="Q2189" s="111"/>
      <c r="R2189" s="111"/>
      <c r="S2189" s="1249">
        <v>1</v>
      </c>
      <c r="T2189" s="1250">
        <v>178.69000000000003</v>
      </c>
      <c r="U2189" s="1250"/>
      <c r="V2189" s="1250"/>
      <c r="W2189" s="1251">
        <v>0</v>
      </c>
      <c r="X2189" s="1250">
        <v>178.69000000000003</v>
      </c>
      <c r="Y2189" s="1250"/>
      <c r="Z2189" s="1250"/>
      <c r="AA2189" s="1250"/>
      <c r="AB2189" s="1250"/>
      <c r="AC2189" s="1250"/>
      <c r="AD2189" s="1250"/>
      <c r="AE2189" s="1249">
        <v>0</v>
      </c>
      <c r="AF2189" s="1250">
        <v>178.69000000000003</v>
      </c>
      <c r="AG2189" s="111"/>
      <c r="AH2189" s="111"/>
      <c r="AI2189" s="111"/>
      <c r="AJ2189" s="111"/>
      <c r="AK2189" s="111"/>
      <c r="AL2189" s="111"/>
      <c r="AM2189" s="111">
        <v>536.07000000000005</v>
      </c>
    </row>
    <row r="2190" spans="1:39" ht="15" customHeight="1" x14ac:dyDescent="0.25">
      <c r="A2190" s="1409"/>
      <c r="B2190" s="1409"/>
      <c r="C2190" s="1409"/>
      <c r="D2190" s="1409"/>
      <c r="E2190" s="1247"/>
      <c r="F2190" s="1248" t="s">
        <v>5402</v>
      </c>
      <c r="G2190" s="111"/>
      <c r="H2190" s="1249">
        <v>1</v>
      </c>
      <c r="I2190" s="111" t="s">
        <v>1721</v>
      </c>
      <c r="J2190" s="1321" t="s">
        <v>5608</v>
      </c>
      <c r="K2190" s="162" t="s">
        <v>5610</v>
      </c>
      <c r="L2190" s="162" t="s">
        <v>5609</v>
      </c>
      <c r="M2190" s="111">
        <v>1564.92</v>
      </c>
      <c r="N2190" s="111">
        <v>1564.92</v>
      </c>
      <c r="O2190" s="111"/>
      <c r="P2190" s="111"/>
      <c r="Q2190" s="111"/>
      <c r="R2190" s="111"/>
      <c r="S2190" s="1249">
        <v>1</v>
      </c>
      <c r="T2190" s="1250">
        <v>521.64</v>
      </c>
      <c r="U2190" s="1250"/>
      <c r="V2190" s="1250"/>
      <c r="W2190" s="1251">
        <v>0</v>
      </c>
      <c r="X2190" s="1250">
        <v>521.64</v>
      </c>
      <c r="Y2190" s="1250"/>
      <c r="Z2190" s="1250"/>
      <c r="AA2190" s="1250"/>
      <c r="AB2190" s="1250"/>
      <c r="AC2190" s="1250"/>
      <c r="AD2190" s="1250"/>
      <c r="AE2190" s="1249">
        <v>0</v>
      </c>
      <c r="AF2190" s="1250">
        <v>521.64</v>
      </c>
      <c r="AG2190" s="111"/>
      <c r="AH2190" s="111"/>
      <c r="AI2190" s="111"/>
      <c r="AJ2190" s="111"/>
      <c r="AK2190" s="111"/>
      <c r="AL2190" s="111"/>
      <c r="AM2190" s="111">
        <v>1564.92</v>
      </c>
    </row>
    <row r="2191" spans="1:39" ht="15" customHeight="1" x14ac:dyDescent="0.25">
      <c r="A2191" s="1409"/>
      <c r="B2191" s="1409"/>
      <c r="C2191" s="1409"/>
      <c r="D2191" s="1409"/>
      <c r="E2191" s="1247"/>
      <c r="F2191" s="1248" t="s">
        <v>5403</v>
      </c>
      <c r="G2191" s="111"/>
      <c r="H2191" s="1249">
        <v>2</v>
      </c>
      <c r="I2191" s="111" t="s">
        <v>1721</v>
      </c>
      <c r="J2191" s="1321" t="s">
        <v>5608</v>
      </c>
      <c r="K2191" s="162" t="s">
        <v>5610</v>
      </c>
      <c r="L2191" s="162" t="s">
        <v>5609</v>
      </c>
      <c r="M2191" s="111">
        <v>457.51</v>
      </c>
      <c r="N2191" s="111">
        <v>915.02</v>
      </c>
      <c r="O2191" s="111"/>
      <c r="P2191" s="111"/>
      <c r="Q2191" s="111"/>
      <c r="R2191" s="111"/>
      <c r="S2191" s="1249">
        <v>2</v>
      </c>
      <c r="T2191" s="1250">
        <v>305.00666666666666</v>
      </c>
      <c r="U2191" s="1250"/>
      <c r="V2191" s="1250"/>
      <c r="W2191" s="1251">
        <v>0</v>
      </c>
      <c r="X2191" s="1250">
        <v>305.00666666666666</v>
      </c>
      <c r="Y2191" s="1250"/>
      <c r="Z2191" s="1250"/>
      <c r="AA2191" s="1250"/>
      <c r="AB2191" s="1250"/>
      <c r="AC2191" s="1250"/>
      <c r="AD2191" s="1250"/>
      <c r="AE2191" s="1249">
        <v>0</v>
      </c>
      <c r="AF2191" s="1250">
        <v>305.00666666666666</v>
      </c>
      <c r="AG2191" s="111"/>
      <c r="AH2191" s="111"/>
      <c r="AI2191" s="111"/>
      <c r="AJ2191" s="111"/>
      <c r="AK2191" s="111"/>
      <c r="AL2191" s="111"/>
      <c r="AM2191" s="111">
        <v>915.02</v>
      </c>
    </row>
    <row r="2192" spans="1:39" ht="15" customHeight="1" x14ac:dyDescent="0.25">
      <c r="A2192" s="1409"/>
      <c r="B2192" s="1409"/>
      <c r="C2192" s="1409"/>
      <c r="D2192" s="1409"/>
      <c r="E2192" s="1247"/>
      <c r="F2192" s="1248" t="s">
        <v>5404</v>
      </c>
      <c r="G2192" s="111"/>
      <c r="H2192" s="1249">
        <v>4</v>
      </c>
      <c r="I2192" s="111" t="s">
        <v>1721</v>
      </c>
      <c r="J2192" s="1321" t="s">
        <v>5608</v>
      </c>
      <c r="K2192" s="162" t="s">
        <v>5610</v>
      </c>
      <c r="L2192" s="162" t="s">
        <v>5609</v>
      </c>
      <c r="M2192" s="111">
        <v>90.424999999999997</v>
      </c>
      <c r="N2192" s="111">
        <v>361.7</v>
      </c>
      <c r="O2192" s="111"/>
      <c r="P2192" s="111"/>
      <c r="Q2192" s="111"/>
      <c r="R2192" s="111"/>
      <c r="S2192" s="1249">
        <v>2</v>
      </c>
      <c r="T2192" s="1250">
        <v>120.56666666666666</v>
      </c>
      <c r="U2192" s="1250"/>
      <c r="V2192" s="1250"/>
      <c r="W2192" s="1251">
        <v>1</v>
      </c>
      <c r="X2192" s="1250">
        <v>120.56666666666666</v>
      </c>
      <c r="Y2192" s="1250"/>
      <c r="Z2192" s="1250"/>
      <c r="AA2192" s="1250"/>
      <c r="AB2192" s="1250"/>
      <c r="AC2192" s="1250"/>
      <c r="AD2192" s="1250"/>
      <c r="AE2192" s="1249">
        <v>1</v>
      </c>
      <c r="AF2192" s="1250">
        <v>120.56666666666666</v>
      </c>
      <c r="AG2192" s="111"/>
      <c r="AH2192" s="111"/>
      <c r="AI2192" s="111"/>
      <c r="AJ2192" s="111"/>
      <c r="AK2192" s="111"/>
      <c r="AL2192" s="111"/>
      <c r="AM2192" s="111">
        <v>361.7</v>
      </c>
    </row>
    <row r="2193" spans="1:39" ht="15" customHeight="1" x14ac:dyDescent="0.25">
      <c r="A2193" s="1409"/>
      <c r="B2193" s="1409"/>
      <c r="C2193" s="1409"/>
      <c r="D2193" s="1409"/>
      <c r="E2193" s="1247"/>
      <c r="F2193" s="1248" t="s">
        <v>753</v>
      </c>
      <c r="G2193" s="111"/>
      <c r="H2193" s="1249">
        <v>5</v>
      </c>
      <c r="I2193" s="111" t="s">
        <v>1721</v>
      </c>
      <c r="J2193" s="1321" t="s">
        <v>5608</v>
      </c>
      <c r="K2193" s="162" t="s">
        <v>5610</v>
      </c>
      <c r="L2193" s="162" t="s">
        <v>5609</v>
      </c>
      <c r="M2193" s="111">
        <v>245.096</v>
      </c>
      <c r="N2193" s="111">
        <v>1225.48</v>
      </c>
      <c r="O2193" s="111"/>
      <c r="P2193" s="111"/>
      <c r="Q2193" s="111"/>
      <c r="R2193" s="111"/>
      <c r="S2193" s="1249">
        <v>2</v>
      </c>
      <c r="T2193" s="1250">
        <v>408.49333333333334</v>
      </c>
      <c r="U2193" s="1250"/>
      <c r="V2193" s="1250"/>
      <c r="W2193" s="1251">
        <v>2</v>
      </c>
      <c r="X2193" s="1250">
        <v>408.49333333333334</v>
      </c>
      <c r="Y2193" s="1250"/>
      <c r="Z2193" s="1250"/>
      <c r="AA2193" s="1250"/>
      <c r="AB2193" s="1250"/>
      <c r="AC2193" s="1250"/>
      <c r="AD2193" s="1250"/>
      <c r="AE2193" s="1249">
        <v>1</v>
      </c>
      <c r="AF2193" s="1250">
        <v>408.49333333333334</v>
      </c>
      <c r="AG2193" s="111"/>
      <c r="AH2193" s="111"/>
      <c r="AI2193" s="111"/>
      <c r="AJ2193" s="111"/>
      <c r="AK2193" s="111"/>
      <c r="AL2193" s="111"/>
      <c r="AM2193" s="111">
        <v>1225.48</v>
      </c>
    </row>
    <row r="2194" spans="1:39" ht="15" customHeight="1" x14ac:dyDescent="0.25">
      <c r="A2194" s="1409"/>
      <c r="B2194" s="1409"/>
      <c r="C2194" s="1409"/>
      <c r="D2194" s="1409"/>
      <c r="E2194" s="1247"/>
      <c r="F2194" s="1248" t="s">
        <v>5405</v>
      </c>
      <c r="G2194" s="111"/>
      <c r="H2194" s="1249">
        <v>4</v>
      </c>
      <c r="I2194" s="111" t="s">
        <v>1721</v>
      </c>
      <c r="J2194" s="1321" t="s">
        <v>5608</v>
      </c>
      <c r="K2194" s="162" t="s">
        <v>5610</v>
      </c>
      <c r="L2194" s="162" t="s">
        <v>5609</v>
      </c>
      <c r="M2194" s="111">
        <v>1700.56</v>
      </c>
      <c r="N2194" s="111">
        <v>6802.24</v>
      </c>
      <c r="O2194" s="111"/>
      <c r="P2194" s="111"/>
      <c r="Q2194" s="111"/>
      <c r="R2194" s="111"/>
      <c r="S2194" s="1249">
        <v>2</v>
      </c>
      <c r="T2194" s="1250">
        <v>2267.4133333333334</v>
      </c>
      <c r="U2194" s="1250"/>
      <c r="V2194" s="1250"/>
      <c r="W2194" s="1251">
        <v>1</v>
      </c>
      <c r="X2194" s="1250">
        <v>2267.4133333333334</v>
      </c>
      <c r="Y2194" s="1250"/>
      <c r="Z2194" s="1250"/>
      <c r="AA2194" s="1250"/>
      <c r="AB2194" s="1250"/>
      <c r="AC2194" s="1250"/>
      <c r="AD2194" s="1250"/>
      <c r="AE2194" s="1249">
        <v>1</v>
      </c>
      <c r="AF2194" s="1250">
        <v>2267.4133333333334</v>
      </c>
      <c r="AG2194" s="111"/>
      <c r="AH2194" s="111"/>
      <c r="AI2194" s="111"/>
      <c r="AJ2194" s="111"/>
      <c r="AK2194" s="111"/>
      <c r="AL2194" s="111"/>
      <c r="AM2194" s="111">
        <v>6802.24</v>
      </c>
    </row>
    <row r="2195" spans="1:39" ht="15" customHeight="1" x14ac:dyDescent="0.25">
      <c r="A2195" s="1409"/>
      <c r="B2195" s="1409"/>
      <c r="C2195" s="1409"/>
      <c r="D2195" s="1409"/>
      <c r="E2195" s="1247"/>
      <c r="F2195" s="1248" t="s">
        <v>5406</v>
      </c>
      <c r="G2195" s="111"/>
      <c r="H2195" s="1249">
        <v>15</v>
      </c>
      <c r="I2195" s="111" t="s">
        <v>1721</v>
      </c>
      <c r="J2195" s="1321" t="s">
        <v>5608</v>
      </c>
      <c r="K2195" s="162" t="s">
        <v>5610</v>
      </c>
      <c r="L2195" s="162" t="s">
        <v>5609</v>
      </c>
      <c r="M2195" s="111">
        <v>1371.5799999999997</v>
      </c>
      <c r="N2195" s="111">
        <v>20573.699999999997</v>
      </c>
      <c r="O2195" s="111"/>
      <c r="P2195" s="111"/>
      <c r="Q2195" s="111"/>
      <c r="R2195" s="111"/>
      <c r="S2195" s="1249">
        <v>5</v>
      </c>
      <c r="T2195" s="1250">
        <v>6857.8999999999987</v>
      </c>
      <c r="U2195" s="1250"/>
      <c r="V2195" s="1250"/>
      <c r="W2195" s="1251">
        <v>5</v>
      </c>
      <c r="X2195" s="1250">
        <v>6857.8999999999987</v>
      </c>
      <c r="Y2195" s="1250"/>
      <c r="Z2195" s="1250"/>
      <c r="AA2195" s="1250"/>
      <c r="AB2195" s="1250"/>
      <c r="AC2195" s="1250"/>
      <c r="AD2195" s="1250"/>
      <c r="AE2195" s="1249">
        <v>5</v>
      </c>
      <c r="AF2195" s="1250">
        <v>6857.8999999999987</v>
      </c>
      <c r="AG2195" s="111"/>
      <c r="AH2195" s="111"/>
      <c r="AI2195" s="111"/>
      <c r="AJ2195" s="111"/>
      <c r="AK2195" s="111"/>
      <c r="AL2195" s="111"/>
      <c r="AM2195" s="111">
        <v>20573.699999999997</v>
      </c>
    </row>
    <row r="2196" spans="1:39" ht="15" customHeight="1" x14ac:dyDescent="0.25">
      <c r="A2196" s="1409"/>
      <c r="B2196" s="1409"/>
      <c r="C2196" s="1409"/>
      <c r="D2196" s="1409"/>
      <c r="E2196" s="1252"/>
      <c r="F2196" s="1248" t="s">
        <v>1347</v>
      </c>
      <c r="G2196" s="111"/>
      <c r="H2196" s="1249">
        <v>2</v>
      </c>
      <c r="I2196" s="111" t="s">
        <v>1721</v>
      </c>
      <c r="J2196" s="1321" t="s">
        <v>5608</v>
      </c>
      <c r="K2196" s="162" t="s">
        <v>5610</v>
      </c>
      <c r="L2196" s="162" t="s">
        <v>5609</v>
      </c>
      <c r="M2196" s="111">
        <v>60</v>
      </c>
      <c r="N2196" s="111">
        <v>120</v>
      </c>
      <c r="O2196" s="111"/>
      <c r="P2196" s="111"/>
      <c r="Q2196" s="111"/>
      <c r="R2196" s="111"/>
      <c r="S2196" s="1249">
        <v>2</v>
      </c>
      <c r="T2196" s="1250">
        <v>40</v>
      </c>
      <c r="U2196" s="1250"/>
      <c r="V2196" s="1250"/>
      <c r="W2196" s="1251">
        <v>0</v>
      </c>
      <c r="X2196" s="1250">
        <v>40</v>
      </c>
      <c r="Y2196" s="1250"/>
      <c r="Z2196" s="1250"/>
      <c r="AA2196" s="1250"/>
      <c r="AB2196" s="1250"/>
      <c r="AC2196" s="1250"/>
      <c r="AD2196" s="1250"/>
      <c r="AE2196" s="1249">
        <v>0</v>
      </c>
      <c r="AF2196" s="1250">
        <v>40</v>
      </c>
      <c r="AG2196" s="111"/>
      <c r="AH2196" s="111"/>
      <c r="AI2196" s="111"/>
      <c r="AJ2196" s="111"/>
      <c r="AK2196" s="111"/>
      <c r="AL2196" s="111"/>
      <c r="AM2196" s="111">
        <v>120</v>
      </c>
    </row>
    <row r="2197" spans="1:39" ht="15" customHeight="1" x14ac:dyDescent="0.25">
      <c r="A2197" s="1409"/>
      <c r="B2197" s="1409"/>
      <c r="C2197" s="1409"/>
      <c r="D2197" s="1409"/>
      <c r="E2197" s="1252"/>
      <c r="F2197" s="1248" t="s">
        <v>2022</v>
      </c>
      <c r="G2197" s="111"/>
      <c r="H2197" s="1249">
        <v>3</v>
      </c>
      <c r="I2197" s="111" t="s">
        <v>1721</v>
      </c>
      <c r="J2197" s="1321" t="s">
        <v>5608</v>
      </c>
      <c r="K2197" s="162" t="s">
        <v>5610</v>
      </c>
      <c r="L2197" s="162" t="s">
        <v>5609</v>
      </c>
      <c r="M2197" s="111">
        <v>289.43159999999995</v>
      </c>
      <c r="N2197" s="111">
        <v>868.2947999999999</v>
      </c>
      <c r="O2197" s="111"/>
      <c r="P2197" s="111"/>
      <c r="Q2197" s="111"/>
      <c r="R2197" s="111"/>
      <c r="S2197" s="1249">
        <v>1</v>
      </c>
      <c r="T2197" s="1250">
        <v>289.43159999999995</v>
      </c>
      <c r="U2197" s="1250"/>
      <c r="V2197" s="1250"/>
      <c r="W2197" s="1251">
        <v>1</v>
      </c>
      <c r="X2197" s="1250">
        <v>289.43159999999995</v>
      </c>
      <c r="Y2197" s="1250"/>
      <c r="Z2197" s="1250"/>
      <c r="AA2197" s="1250"/>
      <c r="AB2197" s="1250"/>
      <c r="AC2197" s="1250"/>
      <c r="AD2197" s="1250"/>
      <c r="AE2197" s="1249">
        <v>1</v>
      </c>
      <c r="AF2197" s="1250">
        <v>289.43159999999995</v>
      </c>
      <c r="AG2197" s="111"/>
      <c r="AH2197" s="111"/>
      <c r="AI2197" s="111"/>
      <c r="AJ2197" s="111"/>
      <c r="AK2197" s="111"/>
      <c r="AL2197" s="111"/>
      <c r="AM2197" s="111">
        <v>868.2947999999999</v>
      </c>
    </row>
    <row r="2198" spans="1:39" ht="15" customHeight="1" x14ac:dyDescent="0.25">
      <c r="A2198" s="1409"/>
      <c r="B2198" s="1409"/>
      <c r="C2198" s="1409"/>
      <c r="D2198" s="1409"/>
      <c r="E2198" s="1247"/>
      <c r="F2198" s="1248" t="s">
        <v>755</v>
      </c>
      <c r="G2198" s="111"/>
      <c r="H2198" s="1249">
        <v>4</v>
      </c>
      <c r="I2198" s="111" t="s">
        <v>1721</v>
      </c>
      <c r="J2198" s="1321" t="s">
        <v>5608</v>
      </c>
      <c r="K2198" s="162" t="s">
        <v>5610</v>
      </c>
      <c r="L2198" s="162" t="s">
        <v>5609</v>
      </c>
      <c r="M2198" s="111">
        <v>2099.6</v>
      </c>
      <c r="N2198" s="111">
        <v>8398.4</v>
      </c>
      <c r="O2198" s="111"/>
      <c r="P2198" s="111"/>
      <c r="Q2198" s="111"/>
      <c r="R2198" s="111"/>
      <c r="S2198" s="1249">
        <v>2</v>
      </c>
      <c r="T2198" s="1250">
        <v>2799.4666666666667</v>
      </c>
      <c r="U2198" s="1250"/>
      <c r="V2198" s="1250"/>
      <c r="W2198" s="1251">
        <v>1</v>
      </c>
      <c r="X2198" s="1250">
        <v>2799.4666666666667</v>
      </c>
      <c r="Y2198" s="1250"/>
      <c r="Z2198" s="1250"/>
      <c r="AA2198" s="1250"/>
      <c r="AB2198" s="1250"/>
      <c r="AC2198" s="1250"/>
      <c r="AD2198" s="1250"/>
      <c r="AE2198" s="1249">
        <v>1</v>
      </c>
      <c r="AF2198" s="1250">
        <v>2799.4666666666667</v>
      </c>
      <c r="AG2198" s="111"/>
      <c r="AH2198" s="111"/>
      <c r="AI2198" s="111"/>
      <c r="AJ2198" s="111"/>
      <c r="AK2198" s="111"/>
      <c r="AL2198" s="111"/>
      <c r="AM2198" s="111">
        <v>8398.4</v>
      </c>
    </row>
    <row r="2199" spans="1:39" ht="15" customHeight="1" x14ac:dyDescent="0.25">
      <c r="A2199" s="1409"/>
      <c r="B2199" s="1409"/>
      <c r="C2199" s="1409"/>
      <c r="D2199" s="1409"/>
      <c r="E2199" s="1247"/>
      <c r="F2199" s="1248" t="s">
        <v>3330</v>
      </c>
      <c r="G2199" s="111"/>
      <c r="H2199" s="1249">
        <v>1</v>
      </c>
      <c r="I2199" s="111" t="s">
        <v>1721</v>
      </c>
      <c r="J2199" s="1321" t="s">
        <v>5608</v>
      </c>
      <c r="K2199" s="162" t="s">
        <v>5610</v>
      </c>
      <c r="L2199" s="162" t="s">
        <v>5609</v>
      </c>
      <c r="M2199" s="111">
        <v>455.76000000000005</v>
      </c>
      <c r="N2199" s="111">
        <v>455.76000000000005</v>
      </c>
      <c r="O2199" s="111"/>
      <c r="P2199" s="111"/>
      <c r="Q2199" s="111"/>
      <c r="R2199" s="111"/>
      <c r="S2199" s="1249">
        <v>1</v>
      </c>
      <c r="T2199" s="1250">
        <v>151.92000000000002</v>
      </c>
      <c r="U2199" s="1250"/>
      <c r="V2199" s="1250"/>
      <c r="W2199" s="1251">
        <v>0</v>
      </c>
      <c r="X2199" s="1250">
        <v>151.92000000000002</v>
      </c>
      <c r="Y2199" s="1250"/>
      <c r="Z2199" s="1250"/>
      <c r="AA2199" s="1250"/>
      <c r="AB2199" s="1250"/>
      <c r="AC2199" s="1250"/>
      <c r="AD2199" s="1250"/>
      <c r="AE2199" s="1249">
        <v>0</v>
      </c>
      <c r="AF2199" s="1250">
        <v>151.92000000000002</v>
      </c>
      <c r="AG2199" s="111"/>
      <c r="AH2199" s="111"/>
      <c r="AI2199" s="111"/>
      <c r="AJ2199" s="111"/>
      <c r="AK2199" s="111"/>
      <c r="AL2199" s="111"/>
      <c r="AM2199" s="111">
        <v>455.76000000000005</v>
      </c>
    </row>
    <row r="2200" spans="1:39" ht="15" customHeight="1" x14ac:dyDescent="0.25">
      <c r="A2200" s="1409"/>
      <c r="B2200" s="1409"/>
      <c r="C2200" s="1409"/>
      <c r="D2200" s="1409"/>
      <c r="E2200" s="1247"/>
      <c r="F2200" s="1248" t="s">
        <v>5407</v>
      </c>
      <c r="G2200" s="111"/>
      <c r="H2200" s="1249">
        <v>1</v>
      </c>
      <c r="I2200" s="111" t="s">
        <v>1721</v>
      </c>
      <c r="J2200" s="1321" t="s">
        <v>5608</v>
      </c>
      <c r="K2200" s="162" t="s">
        <v>5610</v>
      </c>
      <c r="L2200" s="162" t="s">
        <v>5609</v>
      </c>
      <c r="M2200" s="111">
        <v>1454.71</v>
      </c>
      <c r="N2200" s="111">
        <v>1454.71</v>
      </c>
      <c r="O2200" s="111"/>
      <c r="P2200" s="111"/>
      <c r="Q2200" s="111"/>
      <c r="R2200" s="111"/>
      <c r="S2200" s="1249">
        <v>1</v>
      </c>
      <c r="T2200" s="1250">
        <v>484.90333333333336</v>
      </c>
      <c r="U2200" s="1250"/>
      <c r="V2200" s="1250"/>
      <c r="W2200" s="1251">
        <v>0</v>
      </c>
      <c r="X2200" s="1250">
        <v>484.90333333333336</v>
      </c>
      <c r="Y2200" s="1250"/>
      <c r="Z2200" s="1250"/>
      <c r="AA2200" s="1250"/>
      <c r="AB2200" s="1250"/>
      <c r="AC2200" s="1250"/>
      <c r="AD2200" s="1250"/>
      <c r="AE2200" s="1249">
        <v>0</v>
      </c>
      <c r="AF2200" s="1250">
        <v>484.90333333333336</v>
      </c>
      <c r="AG2200" s="111"/>
      <c r="AH2200" s="111"/>
      <c r="AI2200" s="111"/>
      <c r="AJ2200" s="111"/>
      <c r="AK2200" s="111"/>
      <c r="AL2200" s="111"/>
      <c r="AM2200" s="111">
        <v>1454.71</v>
      </c>
    </row>
    <row r="2201" spans="1:39" ht="15" customHeight="1" x14ac:dyDescent="0.25">
      <c r="A2201" s="1409"/>
      <c r="B2201" s="1409"/>
      <c r="C2201" s="1409"/>
      <c r="D2201" s="1409"/>
      <c r="E2201" s="1247"/>
      <c r="F2201" s="1248" t="s">
        <v>5408</v>
      </c>
      <c r="G2201" s="111"/>
      <c r="H2201" s="1249">
        <v>4</v>
      </c>
      <c r="I2201" s="111" t="s">
        <v>1721</v>
      </c>
      <c r="J2201" s="1321" t="s">
        <v>5608</v>
      </c>
      <c r="K2201" s="162" t="s">
        <v>5610</v>
      </c>
      <c r="L2201" s="162" t="s">
        <v>5609</v>
      </c>
      <c r="M2201" s="111">
        <v>6517.7615999999998</v>
      </c>
      <c r="N2201" s="111">
        <v>26071.046399999999</v>
      </c>
      <c r="O2201" s="111"/>
      <c r="P2201" s="111"/>
      <c r="Q2201" s="111"/>
      <c r="R2201" s="111"/>
      <c r="S2201" s="1249">
        <v>2</v>
      </c>
      <c r="T2201" s="1250">
        <v>8690.3487999999998</v>
      </c>
      <c r="U2201" s="1250"/>
      <c r="V2201" s="1250"/>
      <c r="W2201" s="1251">
        <v>1</v>
      </c>
      <c r="X2201" s="1250">
        <v>8690.3487999999998</v>
      </c>
      <c r="Y2201" s="1250"/>
      <c r="Z2201" s="1250"/>
      <c r="AA2201" s="1250"/>
      <c r="AB2201" s="1250"/>
      <c r="AC2201" s="1250"/>
      <c r="AD2201" s="1250"/>
      <c r="AE2201" s="1249">
        <v>1</v>
      </c>
      <c r="AF2201" s="1250">
        <v>8690.3487999999998</v>
      </c>
      <c r="AG2201" s="111"/>
      <c r="AH2201" s="111"/>
      <c r="AI2201" s="111"/>
      <c r="AJ2201" s="111"/>
      <c r="AK2201" s="111"/>
      <c r="AL2201" s="111"/>
      <c r="AM2201" s="111">
        <v>26071.046399999999</v>
      </c>
    </row>
    <row r="2202" spans="1:39" ht="15" customHeight="1" x14ac:dyDescent="0.25">
      <c r="A2202" s="1409"/>
      <c r="B2202" s="1409"/>
      <c r="C2202" s="1409"/>
      <c r="D2202" s="1409"/>
      <c r="E2202" s="1247"/>
      <c r="F2202" s="1248" t="s">
        <v>5409</v>
      </c>
      <c r="G2202" s="111"/>
      <c r="H2202" s="1249">
        <v>6</v>
      </c>
      <c r="I2202" s="111" t="s">
        <v>1721</v>
      </c>
      <c r="J2202" s="1321" t="s">
        <v>5608</v>
      </c>
      <c r="K2202" s="162" t="s">
        <v>5610</v>
      </c>
      <c r="L2202" s="162" t="s">
        <v>5609</v>
      </c>
      <c r="M2202" s="111">
        <v>1507.0861973333333</v>
      </c>
      <c r="N2202" s="111">
        <v>9042.5171840000003</v>
      </c>
      <c r="O2202" s="111"/>
      <c r="P2202" s="111"/>
      <c r="Q2202" s="111"/>
      <c r="R2202" s="111"/>
      <c r="S2202" s="1249">
        <v>2</v>
      </c>
      <c r="T2202" s="1250">
        <v>3014.1723946666666</v>
      </c>
      <c r="U2202" s="1250"/>
      <c r="V2202" s="1250"/>
      <c r="W2202" s="1251">
        <v>2</v>
      </c>
      <c r="X2202" s="1250">
        <v>3014.1723946666666</v>
      </c>
      <c r="Y2202" s="1250"/>
      <c r="Z2202" s="1250"/>
      <c r="AA2202" s="1250"/>
      <c r="AB2202" s="1250"/>
      <c r="AC2202" s="1250"/>
      <c r="AD2202" s="1250"/>
      <c r="AE2202" s="1249">
        <v>2</v>
      </c>
      <c r="AF2202" s="1250">
        <v>3014.1723946666666</v>
      </c>
      <c r="AG2202" s="111"/>
      <c r="AH2202" s="111"/>
      <c r="AI2202" s="111"/>
      <c r="AJ2202" s="111"/>
      <c r="AK2202" s="111"/>
      <c r="AL2202" s="111"/>
      <c r="AM2202" s="111">
        <v>9042.5171840000003</v>
      </c>
    </row>
    <row r="2203" spans="1:39" ht="15" customHeight="1" x14ac:dyDescent="0.25">
      <c r="A2203" s="1409"/>
      <c r="B2203" s="1409"/>
      <c r="C2203" s="1409"/>
      <c r="D2203" s="1409"/>
      <c r="E2203" s="1252"/>
      <c r="F2203" s="1248" t="s">
        <v>5410</v>
      </c>
      <c r="G2203" s="111"/>
      <c r="H2203" s="1249">
        <v>1</v>
      </c>
      <c r="I2203" s="111" t="s">
        <v>1721</v>
      </c>
      <c r="J2203" s="1321" t="s">
        <v>5608</v>
      </c>
      <c r="K2203" s="162" t="s">
        <v>5610</v>
      </c>
      <c r="L2203" s="162" t="s">
        <v>5609</v>
      </c>
      <c r="M2203" s="111">
        <v>193.97</v>
      </c>
      <c r="N2203" s="111">
        <v>193.97</v>
      </c>
      <c r="O2203" s="111"/>
      <c r="P2203" s="111"/>
      <c r="Q2203" s="111"/>
      <c r="R2203" s="111"/>
      <c r="S2203" s="1249">
        <v>1</v>
      </c>
      <c r="T2203" s="1250">
        <v>64.656666666666666</v>
      </c>
      <c r="U2203" s="1250"/>
      <c r="V2203" s="1250"/>
      <c r="W2203" s="1251">
        <v>0</v>
      </c>
      <c r="X2203" s="1250">
        <v>64.656666666666666</v>
      </c>
      <c r="Y2203" s="1250"/>
      <c r="Z2203" s="1250"/>
      <c r="AA2203" s="1250"/>
      <c r="AB2203" s="1250"/>
      <c r="AC2203" s="1250"/>
      <c r="AD2203" s="1250"/>
      <c r="AE2203" s="1249">
        <v>0</v>
      </c>
      <c r="AF2203" s="1250">
        <v>64.656666666666666</v>
      </c>
      <c r="AG2203" s="111"/>
      <c r="AH2203" s="111"/>
      <c r="AI2203" s="111"/>
      <c r="AJ2203" s="111"/>
      <c r="AK2203" s="111"/>
      <c r="AL2203" s="111"/>
      <c r="AM2203" s="111">
        <v>193.97</v>
      </c>
    </row>
    <row r="2204" spans="1:39" ht="15" customHeight="1" x14ac:dyDescent="0.25">
      <c r="A2204" s="1409"/>
      <c r="B2204" s="1409"/>
      <c r="C2204" s="1409"/>
      <c r="D2204" s="1409"/>
      <c r="E2204" s="1252"/>
      <c r="F2204" s="1248" t="s">
        <v>5411</v>
      </c>
      <c r="G2204" s="111"/>
      <c r="H2204" s="1249">
        <v>2</v>
      </c>
      <c r="I2204" s="111" t="s">
        <v>1721</v>
      </c>
      <c r="J2204" s="1321" t="s">
        <v>5608</v>
      </c>
      <c r="K2204" s="162" t="s">
        <v>5610</v>
      </c>
      <c r="L2204" s="162" t="s">
        <v>5609</v>
      </c>
      <c r="M2204" s="111">
        <v>2092.5300000000002</v>
      </c>
      <c r="N2204" s="111">
        <v>4185.0600000000004</v>
      </c>
      <c r="O2204" s="111"/>
      <c r="P2204" s="111"/>
      <c r="Q2204" s="111"/>
      <c r="R2204" s="111"/>
      <c r="S2204" s="1249">
        <v>2</v>
      </c>
      <c r="T2204" s="1250">
        <v>1395.0200000000002</v>
      </c>
      <c r="U2204" s="1250"/>
      <c r="V2204" s="1250"/>
      <c r="W2204" s="1251">
        <v>0</v>
      </c>
      <c r="X2204" s="1250">
        <v>1395.0200000000002</v>
      </c>
      <c r="Y2204" s="1250"/>
      <c r="Z2204" s="1250"/>
      <c r="AA2204" s="1250"/>
      <c r="AB2204" s="1250"/>
      <c r="AC2204" s="1250"/>
      <c r="AD2204" s="1250"/>
      <c r="AE2204" s="1249">
        <v>0</v>
      </c>
      <c r="AF2204" s="1250">
        <v>1395.0200000000002</v>
      </c>
      <c r="AG2204" s="111"/>
      <c r="AH2204" s="111"/>
      <c r="AI2204" s="111"/>
      <c r="AJ2204" s="111"/>
      <c r="AK2204" s="111"/>
      <c r="AL2204" s="111"/>
      <c r="AM2204" s="111">
        <v>4185.0600000000004</v>
      </c>
    </row>
    <row r="2205" spans="1:39" ht="15" customHeight="1" x14ac:dyDescent="0.25">
      <c r="A2205" s="1409"/>
      <c r="B2205" s="1409"/>
      <c r="C2205" s="1409"/>
      <c r="D2205" s="1409"/>
      <c r="E2205" s="1252"/>
      <c r="F2205" s="1248" t="s">
        <v>5412</v>
      </c>
      <c r="G2205" s="111"/>
      <c r="H2205" s="1249">
        <v>12</v>
      </c>
      <c r="I2205" s="111" t="s">
        <v>1721</v>
      </c>
      <c r="J2205" s="1321" t="s">
        <v>5608</v>
      </c>
      <c r="K2205" s="162" t="s">
        <v>5610</v>
      </c>
      <c r="L2205" s="162" t="s">
        <v>5609</v>
      </c>
      <c r="M2205" s="111">
        <v>1508.25</v>
      </c>
      <c r="N2205" s="111">
        <v>18099</v>
      </c>
      <c r="O2205" s="111"/>
      <c r="P2205" s="111"/>
      <c r="Q2205" s="111"/>
      <c r="R2205" s="111"/>
      <c r="S2205" s="1249">
        <v>5</v>
      </c>
      <c r="T2205" s="1250">
        <v>6033</v>
      </c>
      <c r="U2205" s="1250"/>
      <c r="V2205" s="1250"/>
      <c r="W2205" s="1251">
        <v>5</v>
      </c>
      <c r="X2205" s="1250">
        <v>6033</v>
      </c>
      <c r="Y2205" s="1250"/>
      <c r="Z2205" s="1250"/>
      <c r="AA2205" s="1250"/>
      <c r="AB2205" s="1250"/>
      <c r="AC2205" s="1250"/>
      <c r="AD2205" s="1250"/>
      <c r="AE2205" s="1249">
        <v>2</v>
      </c>
      <c r="AF2205" s="1250">
        <v>6033</v>
      </c>
      <c r="AG2205" s="111"/>
      <c r="AH2205" s="111"/>
      <c r="AI2205" s="111"/>
      <c r="AJ2205" s="111"/>
      <c r="AK2205" s="111"/>
      <c r="AL2205" s="111"/>
      <c r="AM2205" s="111">
        <v>18099</v>
      </c>
    </row>
    <row r="2206" spans="1:39" ht="15" customHeight="1" x14ac:dyDescent="0.25">
      <c r="A2206" s="1409"/>
      <c r="B2206" s="1409"/>
      <c r="C2206" s="1409"/>
      <c r="D2206" s="1409"/>
      <c r="E2206" s="1252"/>
      <c r="F2206" s="1248" t="s">
        <v>1496</v>
      </c>
      <c r="G2206" s="111"/>
      <c r="H2206" s="1249">
        <v>2</v>
      </c>
      <c r="I2206" s="111" t="s">
        <v>1721</v>
      </c>
      <c r="J2206" s="1321" t="s">
        <v>5608</v>
      </c>
      <c r="K2206" s="162" t="s">
        <v>5610</v>
      </c>
      <c r="L2206" s="162" t="s">
        <v>5609</v>
      </c>
      <c r="M2206" s="111">
        <v>1270.4050000000002</v>
      </c>
      <c r="N2206" s="111">
        <v>2540.8100000000004</v>
      </c>
      <c r="O2206" s="111"/>
      <c r="P2206" s="111"/>
      <c r="Q2206" s="111"/>
      <c r="R2206" s="111"/>
      <c r="S2206" s="1249">
        <v>2</v>
      </c>
      <c r="T2206" s="1250">
        <v>846.93666666666684</v>
      </c>
      <c r="U2206" s="1250"/>
      <c r="V2206" s="1250"/>
      <c r="W2206" s="1251">
        <v>0</v>
      </c>
      <c r="X2206" s="1250">
        <v>846.93666666666684</v>
      </c>
      <c r="Y2206" s="1250"/>
      <c r="Z2206" s="1250"/>
      <c r="AA2206" s="1250"/>
      <c r="AB2206" s="1250"/>
      <c r="AC2206" s="1250"/>
      <c r="AD2206" s="1250"/>
      <c r="AE2206" s="1249">
        <v>0</v>
      </c>
      <c r="AF2206" s="1250">
        <v>846.93666666666684</v>
      </c>
      <c r="AG2206" s="111"/>
      <c r="AH2206" s="111"/>
      <c r="AI2206" s="111"/>
      <c r="AJ2206" s="111"/>
      <c r="AK2206" s="111"/>
      <c r="AL2206" s="111"/>
      <c r="AM2206" s="111">
        <v>2540.8100000000004</v>
      </c>
    </row>
    <row r="2207" spans="1:39" ht="15" customHeight="1" x14ac:dyDescent="0.25">
      <c r="A2207" s="1409"/>
      <c r="B2207" s="1409"/>
      <c r="C2207" s="1409"/>
      <c r="D2207" s="1409"/>
      <c r="E2207" s="1252"/>
      <c r="F2207" s="1248" t="s">
        <v>2822</v>
      </c>
      <c r="G2207" s="111"/>
      <c r="H2207" s="1249">
        <v>1</v>
      </c>
      <c r="I2207" s="111" t="s">
        <v>1721</v>
      </c>
      <c r="J2207" s="1321" t="s">
        <v>5608</v>
      </c>
      <c r="K2207" s="162" t="s">
        <v>5610</v>
      </c>
      <c r="L2207" s="162" t="s">
        <v>5609</v>
      </c>
      <c r="M2207" s="111">
        <v>1148.3999999999999</v>
      </c>
      <c r="N2207" s="111">
        <v>1148.3999999999999</v>
      </c>
      <c r="O2207" s="111"/>
      <c r="P2207" s="111"/>
      <c r="Q2207" s="111"/>
      <c r="R2207" s="111"/>
      <c r="S2207" s="1249">
        <v>1</v>
      </c>
      <c r="T2207" s="1250">
        <v>382.79999999999995</v>
      </c>
      <c r="U2207" s="1250"/>
      <c r="V2207" s="1250"/>
      <c r="W2207" s="1251">
        <v>0</v>
      </c>
      <c r="X2207" s="1250">
        <v>382.79999999999995</v>
      </c>
      <c r="Y2207" s="1250"/>
      <c r="Z2207" s="1250"/>
      <c r="AA2207" s="1250"/>
      <c r="AB2207" s="1250"/>
      <c r="AC2207" s="1250"/>
      <c r="AD2207" s="1250"/>
      <c r="AE2207" s="1249">
        <v>0</v>
      </c>
      <c r="AF2207" s="1250">
        <v>382.79999999999995</v>
      </c>
      <c r="AG2207" s="111"/>
      <c r="AH2207" s="111"/>
      <c r="AI2207" s="111"/>
      <c r="AJ2207" s="111"/>
      <c r="AK2207" s="111"/>
      <c r="AL2207" s="111"/>
      <c r="AM2207" s="111">
        <v>1148.3999999999999</v>
      </c>
    </row>
    <row r="2208" spans="1:39" ht="15" customHeight="1" x14ac:dyDescent="0.25">
      <c r="A2208" s="1409"/>
      <c r="B2208" s="1409"/>
      <c r="C2208" s="1409"/>
      <c r="D2208" s="1409"/>
      <c r="E2208" s="1252"/>
      <c r="F2208" s="1248" t="s">
        <v>5413</v>
      </c>
      <c r="G2208" s="111"/>
      <c r="H2208" s="1249">
        <v>1</v>
      </c>
      <c r="I2208" s="111" t="s">
        <v>1721</v>
      </c>
      <c r="J2208" s="1321" t="s">
        <v>5608</v>
      </c>
      <c r="K2208" s="162" t="s">
        <v>5610</v>
      </c>
      <c r="L2208" s="162" t="s">
        <v>5609</v>
      </c>
      <c r="M2208" s="111">
        <v>939.16</v>
      </c>
      <c r="N2208" s="111">
        <v>939.16</v>
      </c>
      <c r="O2208" s="111"/>
      <c r="P2208" s="111"/>
      <c r="Q2208" s="111"/>
      <c r="R2208" s="111"/>
      <c r="S2208" s="1249">
        <v>1</v>
      </c>
      <c r="T2208" s="1250">
        <v>313.05333333333334</v>
      </c>
      <c r="U2208" s="1250"/>
      <c r="V2208" s="1250"/>
      <c r="W2208" s="1251">
        <v>0</v>
      </c>
      <c r="X2208" s="1250">
        <v>313.05333333333334</v>
      </c>
      <c r="Y2208" s="1250"/>
      <c r="Z2208" s="1250"/>
      <c r="AA2208" s="1250"/>
      <c r="AB2208" s="1250"/>
      <c r="AC2208" s="1250"/>
      <c r="AD2208" s="1250"/>
      <c r="AE2208" s="1249">
        <v>0</v>
      </c>
      <c r="AF2208" s="1250">
        <v>313.05333333333334</v>
      </c>
      <c r="AG2208" s="111"/>
      <c r="AH2208" s="111"/>
      <c r="AI2208" s="111"/>
      <c r="AJ2208" s="111"/>
      <c r="AK2208" s="111"/>
      <c r="AL2208" s="111"/>
      <c r="AM2208" s="111">
        <v>939.16</v>
      </c>
    </row>
    <row r="2209" spans="1:39" ht="15" customHeight="1" x14ac:dyDescent="0.25">
      <c r="A2209" s="1409"/>
      <c r="B2209" s="1409"/>
      <c r="C2209" s="1409"/>
      <c r="D2209" s="1409"/>
      <c r="E2209" s="1252"/>
      <c r="F2209" s="1248" t="s">
        <v>2451</v>
      </c>
      <c r="G2209" s="111"/>
      <c r="H2209" s="1249">
        <v>15</v>
      </c>
      <c r="I2209" s="111" t="s">
        <v>1721</v>
      </c>
      <c r="J2209" s="1321" t="s">
        <v>5608</v>
      </c>
      <c r="K2209" s="162" t="s">
        <v>5610</v>
      </c>
      <c r="L2209" s="162" t="s">
        <v>5609</v>
      </c>
      <c r="M2209" s="111">
        <v>1825.57</v>
      </c>
      <c r="N2209" s="111">
        <v>27383.55</v>
      </c>
      <c r="O2209" s="111"/>
      <c r="P2209" s="111"/>
      <c r="Q2209" s="111"/>
      <c r="R2209" s="111"/>
      <c r="S2209" s="1249">
        <v>5</v>
      </c>
      <c r="T2209" s="1250">
        <v>9127.85</v>
      </c>
      <c r="U2209" s="1250"/>
      <c r="V2209" s="1250"/>
      <c r="W2209" s="1251">
        <v>5</v>
      </c>
      <c r="X2209" s="1250">
        <v>9127.85</v>
      </c>
      <c r="Y2209" s="1250"/>
      <c r="Z2209" s="1250"/>
      <c r="AA2209" s="1250"/>
      <c r="AB2209" s="1250"/>
      <c r="AC2209" s="1250"/>
      <c r="AD2209" s="1250"/>
      <c r="AE2209" s="1249">
        <v>5</v>
      </c>
      <c r="AF2209" s="1250">
        <v>9127.85</v>
      </c>
      <c r="AG2209" s="111"/>
      <c r="AH2209" s="111"/>
      <c r="AI2209" s="111"/>
      <c r="AJ2209" s="111"/>
      <c r="AK2209" s="111"/>
      <c r="AL2209" s="111"/>
      <c r="AM2209" s="111">
        <v>27383.55</v>
      </c>
    </row>
    <row r="2210" spans="1:39" ht="15" customHeight="1" x14ac:dyDescent="0.25">
      <c r="A2210" s="1409"/>
      <c r="B2210" s="1409"/>
      <c r="C2210" s="1409"/>
      <c r="D2210" s="1409"/>
      <c r="E2210" s="1252"/>
      <c r="F2210" s="1248" t="s">
        <v>5414</v>
      </c>
      <c r="G2210" s="111"/>
      <c r="H2210" s="1249">
        <v>3</v>
      </c>
      <c r="I2210" s="111" t="s">
        <v>1721</v>
      </c>
      <c r="J2210" s="1321" t="s">
        <v>5608</v>
      </c>
      <c r="K2210" s="162" t="s">
        <v>5610</v>
      </c>
      <c r="L2210" s="162" t="s">
        <v>5609</v>
      </c>
      <c r="M2210" s="111">
        <v>248.81333333333336</v>
      </c>
      <c r="N2210" s="111">
        <v>746.44</v>
      </c>
      <c r="O2210" s="111"/>
      <c r="P2210" s="111"/>
      <c r="Q2210" s="111"/>
      <c r="R2210" s="111"/>
      <c r="S2210" s="1249">
        <v>1</v>
      </c>
      <c r="T2210" s="1250">
        <v>248.81333333333336</v>
      </c>
      <c r="U2210" s="1250"/>
      <c r="V2210" s="1250"/>
      <c r="W2210" s="1251">
        <v>1</v>
      </c>
      <c r="X2210" s="1250">
        <v>248.81333333333336</v>
      </c>
      <c r="Y2210" s="1250"/>
      <c r="Z2210" s="1250"/>
      <c r="AA2210" s="1250"/>
      <c r="AB2210" s="1250"/>
      <c r="AC2210" s="1250"/>
      <c r="AD2210" s="1250"/>
      <c r="AE2210" s="1249">
        <v>1</v>
      </c>
      <c r="AF2210" s="1250">
        <v>248.81333333333336</v>
      </c>
      <c r="AG2210" s="111"/>
      <c r="AH2210" s="111"/>
      <c r="AI2210" s="111"/>
      <c r="AJ2210" s="111"/>
      <c r="AK2210" s="111"/>
      <c r="AL2210" s="111"/>
      <c r="AM2210" s="111">
        <v>746.44</v>
      </c>
    </row>
    <row r="2211" spans="1:39" ht="29.25" customHeight="1" x14ac:dyDescent="0.25">
      <c r="A2211" s="1409"/>
      <c r="B2211" s="1409"/>
      <c r="C2211" s="1409"/>
      <c r="D2211" s="1409"/>
      <c r="E2211" s="1252"/>
      <c r="F2211" s="1287" t="s">
        <v>5415</v>
      </c>
      <c r="G2211" s="111"/>
      <c r="H2211" s="1249">
        <v>1</v>
      </c>
      <c r="I2211" s="111" t="s">
        <v>1721</v>
      </c>
      <c r="J2211" s="1321" t="s">
        <v>5608</v>
      </c>
      <c r="K2211" s="162" t="s">
        <v>5610</v>
      </c>
      <c r="L2211" s="162" t="s">
        <v>5609</v>
      </c>
      <c r="M2211" s="111">
        <v>1018.4027736960001</v>
      </c>
      <c r="N2211" s="111">
        <v>1018.4027736960001</v>
      </c>
      <c r="O2211" s="111"/>
      <c r="P2211" s="111"/>
      <c r="Q2211" s="111"/>
      <c r="R2211" s="111"/>
      <c r="S2211" s="1249">
        <v>1</v>
      </c>
      <c r="T2211" s="1250">
        <v>339.46759123200002</v>
      </c>
      <c r="U2211" s="1250"/>
      <c r="V2211" s="1250"/>
      <c r="W2211" s="1251">
        <v>0</v>
      </c>
      <c r="X2211" s="1250">
        <v>339.46759123200002</v>
      </c>
      <c r="Y2211" s="1250"/>
      <c r="Z2211" s="1250"/>
      <c r="AA2211" s="1250"/>
      <c r="AB2211" s="1250"/>
      <c r="AC2211" s="1250"/>
      <c r="AD2211" s="1250"/>
      <c r="AE2211" s="1249">
        <v>0</v>
      </c>
      <c r="AF2211" s="1250">
        <v>339.46759123200002</v>
      </c>
      <c r="AG2211" s="111"/>
      <c r="AH2211" s="111"/>
      <c r="AI2211" s="111"/>
      <c r="AJ2211" s="111"/>
      <c r="AK2211" s="111"/>
      <c r="AL2211" s="111"/>
      <c r="AM2211" s="111">
        <v>1018.4027736960001</v>
      </c>
    </row>
    <row r="2212" spans="1:39" ht="15" customHeight="1" x14ac:dyDescent="0.25">
      <c r="A2212" s="1409"/>
      <c r="B2212" s="1409"/>
      <c r="C2212" s="1409"/>
      <c r="D2212" s="1409"/>
      <c r="E2212" s="1252"/>
      <c r="F2212" s="1248" t="s">
        <v>5416</v>
      </c>
      <c r="G2212" s="111"/>
      <c r="H2212" s="1249">
        <v>2</v>
      </c>
      <c r="I2212" s="111" t="s">
        <v>1721</v>
      </c>
      <c r="J2212" s="1321" t="s">
        <v>5608</v>
      </c>
      <c r="K2212" s="162" t="s">
        <v>5610</v>
      </c>
      <c r="L2212" s="162" t="s">
        <v>5609</v>
      </c>
      <c r="M2212" s="111">
        <v>3649.5417024000003</v>
      </c>
      <c r="N2212" s="111">
        <v>7299.0834048000006</v>
      </c>
      <c r="O2212" s="111"/>
      <c r="P2212" s="111"/>
      <c r="Q2212" s="111"/>
      <c r="R2212" s="111"/>
      <c r="S2212" s="1249">
        <v>2</v>
      </c>
      <c r="T2212" s="1250">
        <v>2433.0278016000002</v>
      </c>
      <c r="U2212" s="1250"/>
      <c r="V2212" s="1250"/>
      <c r="W2212" s="1251">
        <v>0</v>
      </c>
      <c r="X2212" s="1250">
        <v>2433.0278016000002</v>
      </c>
      <c r="Y2212" s="1250"/>
      <c r="Z2212" s="1250"/>
      <c r="AA2212" s="1250"/>
      <c r="AB2212" s="1250"/>
      <c r="AC2212" s="1250"/>
      <c r="AD2212" s="1250"/>
      <c r="AE2212" s="1249">
        <v>0</v>
      </c>
      <c r="AF2212" s="1250">
        <v>2433.0278016000002</v>
      </c>
      <c r="AG2212" s="111"/>
      <c r="AH2212" s="111"/>
      <c r="AI2212" s="111"/>
      <c r="AJ2212" s="111"/>
      <c r="AK2212" s="111"/>
      <c r="AL2212" s="111"/>
      <c r="AM2212" s="111">
        <v>7299.0834048000006</v>
      </c>
    </row>
    <row r="2213" spans="1:39" ht="15" customHeight="1" x14ac:dyDescent="0.25">
      <c r="A2213" s="1409"/>
      <c r="B2213" s="1409"/>
      <c r="C2213" s="1409"/>
      <c r="D2213" s="1409"/>
      <c r="E2213" s="1252"/>
      <c r="F2213" s="1248" t="s">
        <v>5417</v>
      </c>
      <c r="G2213" s="111"/>
      <c r="H2213" s="1249">
        <v>10</v>
      </c>
      <c r="I2213" s="111" t="s">
        <v>1721</v>
      </c>
      <c r="J2213" s="1321" t="s">
        <v>5608</v>
      </c>
      <c r="K2213" s="162" t="s">
        <v>5610</v>
      </c>
      <c r="L2213" s="162" t="s">
        <v>5609</v>
      </c>
      <c r="M2213" s="111">
        <v>4185.0635904000001</v>
      </c>
      <c r="N2213" s="111">
        <v>41850.635904000002</v>
      </c>
      <c r="O2213" s="111"/>
      <c r="P2213" s="111"/>
      <c r="Q2213" s="111"/>
      <c r="R2213" s="111"/>
      <c r="S2213" s="1249">
        <v>5</v>
      </c>
      <c r="T2213" s="1250">
        <v>13950.211968000001</v>
      </c>
      <c r="U2213" s="1250"/>
      <c r="V2213" s="1250"/>
      <c r="W2213" s="1251">
        <v>5</v>
      </c>
      <c r="X2213" s="1250">
        <v>13950.211968000001</v>
      </c>
      <c r="Y2213" s="1250"/>
      <c r="Z2213" s="1250"/>
      <c r="AA2213" s="1250"/>
      <c r="AB2213" s="1250"/>
      <c r="AC2213" s="1250"/>
      <c r="AD2213" s="1250"/>
      <c r="AE2213" s="1249">
        <v>0</v>
      </c>
      <c r="AF2213" s="1250">
        <v>13950.211968000001</v>
      </c>
      <c r="AG2213" s="111"/>
      <c r="AH2213" s="111"/>
      <c r="AI2213" s="111"/>
      <c r="AJ2213" s="111"/>
      <c r="AK2213" s="111"/>
      <c r="AL2213" s="111"/>
      <c r="AM2213" s="111">
        <v>41850.635904000002</v>
      </c>
    </row>
    <row r="2214" spans="1:39" ht="28.5" customHeight="1" x14ac:dyDescent="0.25">
      <c r="A2214" s="1409"/>
      <c r="B2214" s="1409"/>
      <c r="C2214" s="1409"/>
      <c r="D2214" s="1409"/>
      <c r="E2214" s="1252"/>
      <c r="F2214" s="1287" t="s">
        <v>3331</v>
      </c>
      <c r="G2214" s="111"/>
      <c r="H2214" s="1249">
        <v>1</v>
      </c>
      <c r="I2214" s="111" t="s">
        <v>1721</v>
      </c>
      <c r="J2214" s="1321" t="s">
        <v>5608</v>
      </c>
      <c r="K2214" s="162" t="s">
        <v>5610</v>
      </c>
      <c r="L2214" s="162" t="s">
        <v>5609</v>
      </c>
      <c r="M2214" s="111">
        <v>540</v>
      </c>
      <c r="N2214" s="111">
        <v>540</v>
      </c>
      <c r="O2214" s="111"/>
      <c r="P2214" s="111"/>
      <c r="Q2214" s="111"/>
      <c r="R2214" s="111"/>
      <c r="S2214" s="1249">
        <v>1</v>
      </c>
      <c r="T2214" s="1250">
        <v>180</v>
      </c>
      <c r="U2214" s="1250"/>
      <c r="V2214" s="1250"/>
      <c r="W2214" s="1251">
        <v>0</v>
      </c>
      <c r="X2214" s="1250">
        <v>180</v>
      </c>
      <c r="Y2214" s="1250"/>
      <c r="Z2214" s="1250"/>
      <c r="AA2214" s="1250"/>
      <c r="AB2214" s="1250"/>
      <c r="AC2214" s="1250"/>
      <c r="AD2214" s="1250"/>
      <c r="AE2214" s="1249">
        <v>0</v>
      </c>
      <c r="AF2214" s="1250">
        <v>180</v>
      </c>
      <c r="AG2214" s="111"/>
      <c r="AH2214" s="111"/>
      <c r="AI2214" s="111"/>
      <c r="AJ2214" s="111"/>
      <c r="AK2214" s="111"/>
      <c r="AL2214" s="111"/>
      <c r="AM2214" s="111">
        <v>540</v>
      </c>
    </row>
    <row r="2215" spans="1:39" ht="15" customHeight="1" x14ac:dyDescent="0.25">
      <c r="A2215" s="1409"/>
      <c r="B2215" s="1409"/>
      <c r="C2215" s="1409"/>
      <c r="D2215" s="1409"/>
      <c r="E2215" s="1252"/>
      <c r="F2215" s="1248" t="s">
        <v>5418</v>
      </c>
      <c r="G2215" s="111"/>
      <c r="H2215" s="1249">
        <v>5</v>
      </c>
      <c r="I2215" s="111" t="s">
        <v>1721</v>
      </c>
      <c r="J2215" s="1321" t="s">
        <v>5608</v>
      </c>
      <c r="K2215" s="162" t="s">
        <v>5610</v>
      </c>
      <c r="L2215" s="162" t="s">
        <v>5609</v>
      </c>
      <c r="M2215" s="111">
        <v>821.45</v>
      </c>
      <c r="N2215" s="111">
        <v>4107.25</v>
      </c>
      <c r="O2215" s="111"/>
      <c r="P2215" s="111"/>
      <c r="Q2215" s="111"/>
      <c r="R2215" s="111"/>
      <c r="S2215" s="1249">
        <v>2</v>
      </c>
      <c r="T2215" s="1250">
        <v>1369.0833333333333</v>
      </c>
      <c r="U2215" s="1250"/>
      <c r="V2215" s="1250"/>
      <c r="W2215" s="1251">
        <v>2</v>
      </c>
      <c r="X2215" s="1250">
        <v>1369.0833333333333</v>
      </c>
      <c r="Y2215" s="1250"/>
      <c r="Z2215" s="1250"/>
      <c r="AA2215" s="1250"/>
      <c r="AB2215" s="1250"/>
      <c r="AC2215" s="1250"/>
      <c r="AD2215" s="1250"/>
      <c r="AE2215" s="1249">
        <v>1</v>
      </c>
      <c r="AF2215" s="1250">
        <v>1369.0833333333333</v>
      </c>
      <c r="AG2215" s="111"/>
      <c r="AH2215" s="111"/>
      <c r="AI2215" s="111"/>
      <c r="AJ2215" s="111"/>
      <c r="AK2215" s="111"/>
      <c r="AL2215" s="111"/>
      <c r="AM2215" s="111">
        <v>4107.25</v>
      </c>
    </row>
    <row r="2216" spans="1:39" ht="15" customHeight="1" x14ac:dyDescent="0.25">
      <c r="A2216" s="1409"/>
      <c r="B2216" s="1409"/>
      <c r="C2216" s="1409"/>
      <c r="D2216" s="1409"/>
      <c r="E2216" s="1252"/>
      <c r="F2216" s="1248"/>
      <c r="G2216" s="111"/>
      <c r="H2216" s="1249"/>
      <c r="I2216" s="111"/>
      <c r="J2216" s="111"/>
      <c r="K2216" s="111"/>
      <c r="L2216" s="111"/>
      <c r="M2216" s="111"/>
      <c r="N2216" s="111"/>
      <c r="O2216" s="111"/>
      <c r="P2216" s="111"/>
      <c r="Q2216" s="111"/>
      <c r="R2216" s="111"/>
      <c r="S2216" s="1249"/>
      <c r="T2216" s="1250"/>
      <c r="U2216" s="1250"/>
      <c r="V2216" s="1250"/>
      <c r="W2216" s="1251"/>
      <c r="X2216" s="1250"/>
      <c r="Y2216" s="1250"/>
      <c r="Z2216" s="1250"/>
      <c r="AA2216" s="1250"/>
      <c r="AB2216" s="1250"/>
      <c r="AC2216" s="1250"/>
      <c r="AD2216" s="1250"/>
      <c r="AE2216" s="1249"/>
      <c r="AF2216" s="1250"/>
      <c r="AG2216" s="111"/>
      <c r="AH2216" s="111"/>
      <c r="AI2216" s="111"/>
      <c r="AJ2216" s="111"/>
      <c r="AK2216" s="111"/>
      <c r="AL2216" s="111"/>
      <c r="AM2216" s="111"/>
    </row>
    <row r="2217" spans="1:39" ht="15" customHeight="1" x14ac:dyDescent="0.25">
      <c r="A2217" s="1409"/>
      <c r="B2217" s="1409"/>
      <c r="C2217" s="1409"/>
      <c r="D2217" s="1409"/>
      <c r="E2217" s="1218">
        <v>296</v>
      </c>
      <c r="F2217" s="1268" t="s">
        <v>760</v>
      </c>
      <c r="G2217" s="1218"/>
      <c r="H2217" s="1218"/>
      <c r="I2217" s="1218"/>
      <c r="J2217" s="1218"/>
      <c r="K2217" s="1218"/>
      <c r="L2217" s="1218"/>
      <c r="M2217" s="1218"/>
      <c r="N2217" s="1218"/>
      <c r="O2217" s="1218"/>
      <c r="P2217" s="1218"/>
      <c r="Q2217" s="1218"/>
      <c r="R2217" s="1218"/>
      <c r="S2217" s="1218"/>
      <c r="T2217" s="1218"/>
      <c r="U2217" s="1218"/>
      <c r="V2217" s="1218"/>
      <c r="W2217" s="1218"/>
      <c r="X2217" s="1218"/>
      <c r="Y2217" s="1218"/>
      <c r="Z2217" s="1218"/>
      <c r="AA2217" s="1218"/>
      <c r="AB2217" s="1218"/>
      <c r="AC2217" s="1218"/>
      <c r="AD2217" s="1218"/>
      <c r="AE2217" s="1218"/>
      <c r="AF2217" s="1218"/>
      <c r="AG2217" s="1218"/>
      <c r="AH2217" s="1218"/>
      <c r="AI2217" s="1218"/>
      <c r="AJ2217" s="1218"/>
      <c r="AK2217" s="1218"/>
      <c r="AL2217" s="1218"/>
      <c r="AM2217" s="1218"/>
    </row>
    <row r="2218" spans="1:39" ht="15" customHeight="1" x14ac:dyDescent="0.25">
      <c r="A2218" s="1409"/>
      <c r="B2218" s="1409"/>
      <c r="C2218" s="1409"/>
      <c r="D2218" s="1409"/>
      <c r="E2218" s="1247"/>
      <c r="F2218" s="1248"/>
      <c r="G2218" s="111"/>
      <c r="H2218" s="1249"/>
      <c r="I2218" s="111"/>
      <c r="J2218" s="111"/>
      <c r="K2218" s="111"/>
      <c r="L2218" s="111"/>
      <c r="M2218" s="111"/>
      <c r="N2218" s="111"/>
      <c r="O2218" s="111"/>
      <c r="P2218" s="111"/>
      <c r="Q2218" s="111"/>
      <c r="R2218" s="111"/>
      <c r="S2218" s="1249"/>
      <c r="T2218" s="1250"/>
      <c r="U2218" s="1250"/>
      <c r="V2218" s="1250"/>
      <c r="W2218" s="1251"/>
      <c r="X2218" s="1250"/>
      <c r="Y2218" s="1250"/>
      <c r="Z2218" s="1250"/>
      <c r="AA2218" s="1250"/>
      <c r="AB2218" s="1250"/>
      <c r="AC2218" s="1250"/>
      <c r="AD2218" s="1250"/>
      <c r="AE2218" s="1249"/>
      <c r="AF2218" s="1250"/>
      <c r="AG2218" s="111"/>
      <c r="AH2218" s="111"/>
      <c r="AI2218" s="111"/>
      <c r="AJ2218" s="111"/>
      <c r="AK2218" s="111"/>
      <c r="AL2218" s="111"/>
      <c r="AM2218" s="111"/>
    </row>
    <row r="2219" spans="1:39" ht="15" customHeight="1" x14ac:dyDescent="0.25">
      <c r="A2219" s="1409"/>
      <c r="B2219" s="1409"/>
      <c r="C2219" s="1409"/>
      <c r="D2219" s="1409"/>
      <c r="E2219" s="1261">
        <v>29601</v>
      </c>
      <c r="F2219" s="1262" t="s">
        <v>761</v>
      </c>
      <c r="G2219" s="1261"/>
      <c r="H2219" s="1261"/>
      <c r="I2219" s="1261"/>
      <c r="J2219" s="1261"/>
      <c r="K2219" s="1261"/>
      <c r="L2219" s="1261"/>
      <c r="M2219" s="1261"/>
      <c r="N2219" s="1261"/>
      <c r="O2219" s="1261"/>
      <c r="P2219" s="1261"/>
      <c r="Q2219" s="1261"/>
      <c r="R2219" s="1261"/>
      <c r="S2219" s="1261"/>
      <c r="T2219" s="1261"/>
      <c r="U2219" s="1261"/>
      <c r="V2219" s="1261"/>
      <c r="W2219" s="1261"/>
      <c r="X2219" s="1261"/>
      <c r="Y2219" s="1261"/>
      <c r="Z2219" s="1261"/>
      <c r="AA2219" s="1261"/>
      <c r="AB2219" s="1261"/>
      <c r="AC2219" s="1261"/>
      <c r="AD2219" s="1261"/>
      <c r="AE2219" s="1261"/>
      <c r="AF2219" s="1261"/>
      <c r="AG2219" s="1261"/>
      <c r="AH2219" s="1261"/>
      <c r="AI2219" s="1261"/>
      <c r="AJ2219" s="1261"/>
      <c r="AK2219" s="1261"/>
      <c r="AL2219" s="1261"/>
      <c r="AM2219" s="1261"/>
    </row>
    <row r="2220" spans="1:39" ht="15" customHeight="1" x14ac:dyDescent="0.25">
      <c r="A2220" s="1409"/>
      <c r="B2220" s="1409"/>
      <c r="C2220" s="1409"/>
      <c r="D2220" s="1409"/>
      <c r="E2220" s="1286"/>
      <c r="F2220" s="1248" t="s">
        <v>5419</v>
      </c>
      <c r="G2220" s="111"/>
      <c r="H2220" s="1249">
        <v>9</v>
      </c>
      <c r="I2220" s="111" t="s">
        <v>1776</v>
      </c>
      <c r="J2220" s="1321" t="s">
        <v>5608</v>
      </c>
      <c r="K2220" s="162" t="s">
        <v>5610</v>
      </c>
      <c r="L2220" s="162" t="s">
        <v>5609</v>
      </c>
      <c r="M2220" s="111">
        <v>900</v>
      </c>
      <c r="N2220" s="111">
        <v>8100</v>
      </c>
      <c r="O2220" s="111"/>
      <c r="P2220" s="111"/>
      <c r="Q2220" s="111"/>
      <c r="R2220" s="111"/>
      <c r="S2220" s="1249">
        <v>5</v>
      </c>
      <c r="T2220" s="1250">
        <v>2700</v>
      </c>
      <c r="U2220" s="1250"/>
      <c r="V2220" s="1250"/>
      <c r="W2220" s="1251">
        <v>2</v>
      </c>
      <c r="X2220" s="1250">
        <v>2700</v>
      </c>
      <c r="Y2220" s="1250"/>
      <c r="Z2220" s="1250"/>
      <c r="AA2220" s="1250"/>
      <c r="AB2220" s="1250"/>
      <c r="AC2220" s="1250"/>
      <c r="AD2220" s="1250"/>
      <c r="AE2220" s="1249">
        <v>2</v>
      </c>
      <c r="AF2220" s="1250">
        <v>2700</v>
      </c>
      <c r="AG2220" s="111"/>
      <c r="AH2220" s="111"/>
      <c r="AI2220" s="111"/>
      <c r="AJ2220" s="111"/>
      <c r="AK2220" s="111"/>
      <c r="AL2220" s="111"/>
      <c r="AM2220" s="111">
        <v>8100</v>
      </c>
    </row>
    <row r="2221" spans="1:39" ht="15" customHeight="1" x14ac:dyDescent="0.25">
      <c r="A2221" s="1409"/>
      <c r="B2221" s="1409"/>
      <c r="C2221" s="1409"/>
      <c r="D2221" s="1409"/>
      <c r="E2221" s="1286"/>
      <c r="F2221" s="1248" t="s">
        <v>5420</v>
      </c>
      <c r="G2221" s="111"/>
      <c r="H2221" s="1249">
        <v>6</v>
      </c>
      <c r="I2221" s="111" t="s">
        <v>1721</v>
      </c>
      <c r="J2221" s="1321" t="s">
        <v>5608</v>
      </c>
      <c r="K2221" s="162" t="s">
        <v>5610</v>
      </c>
      <c r="L2221" s="162" t="s">
        <v>5609</v>
      </c>
      <c r="M2221" s="111">
        <v>300</v>
      </c>
      <c r="N2221" s="111">
        <v>1800</v>
      </c>
      <c r="O2221" s="111"/>
      <c r="P2221" s="111"/>
      <c r="Q2221" s="111"/>
      <c r="R2221" s="111"/>
      <c r="S2221" s="1249">
        <v>2</v>
      </c>
      <c r="T2221" s="1250">
        <v>600</v>
      </c>
      <c r="U2221" s="1250"/>
      <c r="V2221" s="1250"/>
      <c r="W2221" s="1251">
        <v>2</v>
      </c>
      <c r="X2221" s="1250">
        <v>600</v>
      </c>
      <c r="Y2221" s="1250"/>
      <c r="Z2221" s="1250"/>
      <c r="AA2221" s="1250"/>
      <c r="AB2221" s="1250"/>
      <c r="AC2221" s="1250"/>
      <c r="AD2221" s="1250"/>
      <c r="AE2221" s="1249">
        <v>2</v>
      </c>
      <c r="AF2221" s="1250">
        <v>600</v>
      </c>
      <c r="AG2221" s="111"/>
      <c r="AH2221" s="111"/>
      <c r="AI2221" s="111"/>
      <c r="AJ2221" s="111"/>
      <c r="AK2221" s="111"/>
      <c r="AL2221" s="111"/>
      <c r="AM2221" s="111">
        <v>1800</v>
      </c>
    </row>
    <row r="2222" spans="1:39" ht="15" customHeight="1" x14ac:dyDescent="0.25">
      <c r="A2222" s="1409"/>
      <c r="B2222" s="1409"/>
      <c r="C2222" s="1409"/>
      <c r="D2222" s="1409"/>
      <c r="E2222" s="1286"/>
      <c r="F2222" s="1248"/>
      <c r="G2222" s="111"/>
      <c r="H2222" s="1249"/>
      <c r="I2222" s="111"/>
      <c r="J2222" s="111"/>
      <c r="K2222" s="111"/>
      <c r="L2222" s="111"/>
      <c r="M2222" s="111"/>
      <c r="N2222" s="111"/>
      <c r="O2222" s="111"/>
      <c r="P2222" s="111"/>
      <c r="Q2222" s="111"/>
      <c r="R2222" s="111"/>
      <c r="S2222" s="1249"/>
      <c r="T2222" s="1250"/>
      <c r="U2222" s="1250"/>
      <c r="V2222" s="1250"/>
      <c r="W2222" s="1251"/>
      <c r="X2222" s="1250"/>
      <c r="Y2222" s="1250"/>
      <c r="Z2222" s="1250"/>
      <c r="AA2222" s="1250"/>
      <c r="AB2222" s="1250"/>
      <c r="AC2222" s="1250"/>
      <c r="AD2222" s="1250"/>
      <c r="AE2222" s="1249"/>
      <c r="AF2222" s="1250"/>
      <c r="AG2222" s="111"/>
      <c r="AH2222" s="111"/>
      <c r="AI2222" s="111"/>
      <c r="AJ2222" s="111"/>
      <c r="AK2222" s="111"/>
      <c r="AL2222" s="111"/>
      <c r="AM2222" s="111"/>
    </row>
    <row r="2223" spans="1:39" ht="15" customHeight="1" x14ac:dyDescent="0.25">
      <c r="A2223" s="1409"/>
      <c r="B2223" s="1409"/>
      <c r="C2223" s="1409"/>
      <c r="D2223" s="1409"/>
      <c r="E2223" s="1261">
        <v>29605</v>
      </c>
      <c r="F2223" s="1262" t="s">
        <v>765</v>
      </c>
      <c r="G2223" s="1261"/>
      <c r="H2223" s="1261"/>
      <c r="I2223" s="1261"/>
      <c r="J2223" s="1261"/>
      <c r="K2223" s="1261"/>
      <c r="L2223" s="1261"/>
      <c r="M2223" s="1261"/>
      <c r="N2223" s="1261"/>
      <c r="O2223" s="1261"/>
      <c r="P2223" s="1261"/>
      <c r="Q2223" s="1261"/>
      <c r="R2223" s="1261"/>
      <c r="S2223" s="1261"/>
      <c r="T2223" s="1261"/>
      <c r="U2223" s="1261"/>
      <c r="V2223" s="1261"/>
      <c r="W2223" s="1261"/>
      <c r="X2223" s="1261"/>
      <c r="Y2223" s="1261"/>
      <c r="Z2223" s="1261"/>
      <c r="AA2223" s="1261"/>
      <c r="AB2223" s="1261"/>
      <c r="AC2223" s="1261"/>
      <c r="AD2223" s="1261"/>
      <c r="AE2223" s="1261"/>
      <c r="AF2223" s="1261"/>
      <c r="AG2223" s="111"/>
      <c r="AH2223" s="111"/>
      <c r="AI2223" s="111"/>
      <c r="AJ2223" s="111"/>
      <c r="AK2223" s="111"/>
      <c r="AL2223" s="111"/>
      <c r="AM2223" s="111"/>
    </row>
    <row r="2224" spans="1:39" ht="15" customHeight="1" x14ac:dyDescent="0.25">
      <c r="A2224" s="1409"/>
      <c r="B2224" s="1409"/>
      <c r="C2224" s="1409"/>
      <c r="D2224" s="1409"/>
      <c r="E2224" s="1288"/>
      <c r="F2224" s="1248" t="s">
        <v>5421</v>
      </c>
      <c r="G2224" s="111"/>
      <c r="H2224" s="1249">
        <v>1</v>
      </c>
      <c r="I2224" s="111" t="s">
        <v>1721</v>
      </c>
      <c r="J2224" s="1321" t="s">
        <v>5608</v>
      </c>
      <c r="K2224" s="162" t="s">
        <v>5610</v>
      </c>
      <c r="L2224" s="162" t="s">
        <v>5609</v>
      </c>
      <c r="M2224" s="111">
        <v>2160</v>
      </c>
      <c r="N2224" s="111">
        <v>2160</v>
      </c>
      <c r="O2224" s="111"/>
      <c r="P2224" s="111"/>
      <c r="Q2224" s="111"/>
      <c r="R2224" s="111"/>
      <c r="S2224" s="1249">
        <v>1</v>
      </c>
      <c r="T2224" s="1250">
        <v>720</v>
      </c>
      <c r="U2224" s="1250"/>
      <c r="V2224" s="1250"/>
      <c r="W2224" s="1251">
        <v>0</v>
      </c>
      <c r="X2224" s="1250">
        <v>720</v>
      </c>
      <c r="Y2224" s="1250"/>
      <c r="Z2224" s="1250"/>
      <c r="AA2224" s="1250"/>
      <c r="AB2224" s="1250"/>
      <c r="AC2224" s="1250"/>
      <c r="AD2224" s="1250"/>
      <c r="AE2224" s="1249">
        <v>0</v>
      </c>
      <c r="AF2224" s="1250">
        <v>720</v>
      </c>
      <c r="AG2224" s="111"/>
      <c r="AH2224" s="111"/>
      <c r="AI2224" s="111"/>
      <c r="AJ2224" s="111"/>
      <c r="AK2224" s="111"/>
      <c r="AL2224" s="111"/>
      <c r="AM2224" s="111">
        <v>2160</v>
      </c>
    </row>
    <row r="2225" spans="1:39" ht="15" customHeight="1" x14ac:dyDescent="0.25">
      <c r="A2225" s="1409"/>
      <c r="B2225" s="1409"/>
      <c r="C2225" s="1409"/>
      <c r="D2225" s="1409"/>
      <c r="E2225" s="1288"/>
      <c r="F2225" s="1248"/>
      <c r="G2225" s="111"/>
      <c r="H2225" s="1249"/>
      <c r="I2225" s="111"/>
      <c r="J2225" s="111"/>
      <c r="K2225" s="111"/>
      <c r="L2225" s="111"/>
      <c r="M2225" s="111"/>
      <c r="N2225" s="111"/>
      <c r="O2225" s="111"/>
      <c r="P2225" s="111"/>
      <c r="Q2225" s="111"/>
      <c r="R2225" s="111"/>
      <c r="S2225" s="1249"/>
      <c r="T2225" s="1250"/>
      <c r="U2225" s="1250"/>
      <c r="V2225" s="1250"/>
      <c r="W2225" s="1251"/>
      <c r="X2225" s="1250"/>
      <c r="Y2225" s="1250"/>
      <c r="Z2225" s="1250"/>
      <c r="AA2225" s="1250"/>
      <c r="AB2225" s="1250"/>
      <c r="AC2225" s="1250"/>
      <c r="AD2225" s="1250"/>
      <c r="AE2225" s="1249"/>
      <c r="AF2225" s="1250"/>
      <c r="AG2225" s="111"/>
      <c r="AH2225" s="111"/>
      <c r="AI2225" s="111"/>
      <c r="AJ2225" s="111"/>
      <c r="AK2225" s="111"/>
      <c r="AL2225" s="111"/>
      <c r="AM2225" s="111"/>
    </row>
    <row r="2226" spans="1:39" ht="15" customHeight="1" x14ac:dyDescent="0.25">
      <c r="A2226" s="1409"/>
      <c r="B2226" s="1409"/>
      <c r="C2226" s="1409"/>
      <c r="D2226" s="1409"/>
      <c r="E2226" s="1261">
        <v>29607</v>
      </c>
      <c r="F2226" s="1262" t="s">
        <v>767</v>
      </c>
      <c r="G2226" s="1261"/>
      <c r="H2226" s="1261"/>
      <c r="I2226" s="1261"/>
      <c r="J2226" s="1261"/>
      <c r="K2226" s="1261"/>
      <c r="L2226" s="1261"/>
      <c r="M2226" s="1261"/>
      <c r="N2226" s="1261"/>
      <c r="O2226" s="1261"/>
      <c r="P2226" s="1261"/>
      <c r="Q2226" s="1261"/>
      <c r="R2226" s="1261"/>
      <c r="S2226" s="1261"/>
      <c r="T2226" s="1261"/>
      <c r="U2226" s="1261"/>
      <c r="V2226" s="1261"/>
      <c r="W2226" s="1261"/>
      <c r="X2226" s="1261"/>
      <c r="Y2226" s="1261"/>
      <c r="Z2226" s="1261"/>
      <c r="AA2226" s="1261"/>
      <c r="AB2226" s="1261"/>
      <c r="AC2226" s="1261"/>
      <c r="AD2226" s="1261"/>
      <c r="AE2226" s="1261"/>
      <c r="AF2226" s="1261"/>
      <c r="AG2226" s="1261"/>
      <c r="AH2226" s="1261"/>
      <c r="AI2226" s="1261"/>
      <c r="AJ2226" s="1261"/>
      <c r="AK2226" s="1261"/>
      <c r="AL2226" s="1261"/>
      <c r="AM2226" s="1261"/>
    </row>
    <row r="2227" spans="1:39" ht="15" customHeight="1" x14ac:dyDescent="0.25">
      <c r="A2227" s="1409"/>
      <c r="B2227" s="1409"/>
      <c r="C2227" s="1409"/>
      <c r="D2227" s="1409"/>
      <c r="E2227" s="1286"/>
      <c r="F2227" s="1248" t="s">
        <v>5422</v>
      </c>
      <c r="G2227" s="111"/>
      <c r="H2227" s="1249">
        <v>4</v>
      </c>
      <c r="I2227" s="111" t="s">
        <v>1721</v>
      </c>
      <c r="J2227" s="1321" t="s">
        <v>5608</v>
      </c>
      <c r="K2227" s="162" t="s">
        <v>5610</v>
      </c>
      <c r="L2227" s="162" t="s">
        <v>5609</v>
      </c>
      <c r="M2227" s="111">
        <v>730.38</v>
      </c>
      <c r="N2227" s="111">
        <v>2921.52</v>
      </c>
      <c r="O2227" s="111"/>
      <c r="P2227" s="111"/>
      <c r="Q2227" s="111"/>
      <c r="R2227" s="111"/>
      <c r="S2227" s="1249">
        <v>2</v>
      </c>
      <c r="T2227" s="1250">
        <v>973.84</v>
      </c>
      <c r="U2227" s="1250"/>
      <c r="V2227" s="1250"/>
      <c r="W2227" s="1251">
        <v>1</v>
      </c>
      <c r="X2227" s="1250">
        <v>973.84</v>
      </c>
      <c r="Y2227" s="1250"/>
      <c r="Z2227" s="1250"/>
      <c r="AA2227" s="1250"/>
      <c r="AB2227" s="1250"/>
      <c r="AC2227" s="1250"/>
      <c r="AD2227" s="1250"/>
      <c r="AE2227" s="1249">
        <v>1</v>
      </c>
      <c r="AF2227" s="1250">
        <v>973.84</v>
      </c>
      <c r="AG2227" s="111"/>
      <c r="AH2227" s="111"/>
      <c r="AI2227" s="111"/>
      <c r="AJ2227" s="111"/>
      <c r="AK2227" s="111"/>
      <c r="AL2227" s="111"/>
      <c r="AM2227" s="111">
        <v>2921.52</v>
      </c>
    </row>
    <row r="2228" spans="1:39" ht="15" customHeight="1" x14ac:dyDescent="0.25">
      <c r="A2228" s="1409"/>
      <c r="B2228" s="1409"/>
      <c r="C2228" s="1409"/>
      <c r="D2228" s="1409"/>
      <c r="E2228" s="1286"/>
      <c r="F2228" s="1248" t="s">
        <v>3390</v>
      </c>
      <c r="G2228" s="111"/>
      <c r="H2228" s="1249">
        <v>1</v>
      </c>
      <c r="I2228" s="111" t="s">
        <v>1721</v>
      </c>
      <c r="J2228" s="1321" t="s">
        <v>5608</v>
      </c>
      <c r="K2228" s="162" t="s">
        <v>5610</v>
      </c>
      <c r="L2228" s="162" t="s">
        <v>5609</v>
      </c>
      <c r="M2228" s="111">
        <v>1500</v>
      </c>
      <c r="N2228" s="111">
        <v>1500</v>
      </c>
      <c r="O2228" s="111"/>
      <c r="P2228" s="111"/>
      <c r="Q2228" s="111"/>
      <c r="R2228" s="111"/>
      <c r="S2228" s="1249">
        <v>1</v>
      </c>
      <c r="T2228" s="1250">
        <v>500</v>
      </c>
      <c r="U2228" s="1250"/>
      <c r="V2228" s="1250"/>
      <c r="W2228" s="1251">
        <v>0</v>
      </c>
      <c r="X2228" s="1250">
        <v>500</v>
      </c>
      <c r="Y2228" s="1250"/>
      <c r="Z2228" s="1250"/>
      <c r="AA2228" s="1250"/>
      <c r="AB2228" s="1250"/>
      <c r="AC2228" s="1250"/>
      <c r="AD2228" s="1250"/>
      <c r="AE2228" s="1249">
        <v>0</v>
      </c>
      <c r="AF2228" s="1250">
        <v>500</v>
      </c>
      <c r="AG2228" s="111"/>
      <c r="AH2228" s="111"/>
      <c r="AI2228" s="111"/>
      <c r="AJ2228" s="111"/>
      <c r="AK2228" s="111"/>
      <c r="AL2228" s="111"/>
      <c r="AM2228" s="111">
        <v>1500</v>
      </c>
    </row>
    <row r="2229" spans="1:39" ht="15" customHeight="1" x14ac:dyDescent="0.25">
      <c r="A2229" s="1409"/>
      <c r="B2229" s="1409"/>
      <c r="C2229" s="1409"/>
      <c r="D2229" s="1409"/>
      <c r="E2229" s="1288"/>
      <c r="F2229" s="1248"/>
      <c r="G2229" s="111"/>
      <c r="H2229" s="1249"/>
      <c r="I2229" s="111"/>
      <c r="J2229" s="111"/>
      <c r="K2229" s="111"/>
      <c r="L2229" s="111"/>
      <c r="M2229" s="111"/>
      <c r="N2229" s="111"/>
      <c r="O2229" s="111"/>
      <c r="P2229" s="111"/>
      <c r="Q2229" s="111"/>
      <c r="R2229" s="111"/>
      <c r="S2229" s="1249"/>
      <c r="T2229" s="1250"/>
      <c r="U2229" s="1250"/>
      <c r="V2229" s="1250"/>
      <c r="W2229" s="1251"/>
      <c r="X2229" s="1250"/>
      <c r="Y2229" s="1250"/>
      <c r="Z2229" s="1250"/>
      <c r="AA2229" s="1250"/>
      <c r="AB2229" s="1250"/>
      <c r="AC2229" s="1250"/>
      <c r="AD2229" s="1250"/>
      <c r="AE2229" s="1249"/>
      <c r="AF2229" s="1250"/>
      <c r="AG2229" s="111"/>
      <c r="AH2229" s="111"/>
      <c r="AI2229" s="111"/>
      <c r="AJ2229" s="111"/>
      <c r="AK2229" s="111"/>
      <c r="AL2229" s="111"/>
      <c r="AM2229" s="111"/>
    </row>
    <row r="2230" spans="1:39" ht="15" customHeight="1" x14ac:dyDescent="0.25">
      <c r="A2230" s="1409"/>
      <c r="B2230" s="1409"/>
      <c r="C2230" s="1409"/>
      <c r="D2230" s="1409"/>
      <c r="E2230" s="1261">
        <v>29609</v>
      </c>
      <c r="F2230" s="1262" t="s">
        <v>769</v>
      </c>
      <c r="G2230" s="1261"/>
      <c r="H2230" s="1261"/>
      <c r="I2230" s="1261"/>
      <c r="J2230" s="1261"/>
      <c r="K2230" s="1261"/>
      <c r="L2230" s="1261"/>
      <c r="M2230" s="1261"/>
      <c r="N2230" s="1261"/>
      <c r="O2230" s="1261"/>
      <c r="P2230" s="1261"/>
      <c r="Q2230" s="1261"/>
      <c r="R2230" s="1261"/>
      <c r="S2230" s="1261"/>
      <c r="T2230" s="1261"/>
      <c r="U2230" s="1261"/>
      <c r="V2230" s="1261"/>
      <c r="W2230" s="1261"/>
      <c r="X2230" s="1261"/>
      <c r="Y2230" s="1261"/>
      <c r="Z2230" s="1261"/>
      <c r="AA2230" s="1261"/>
      <c r="AB2230" s="1261"/>
      <c r="AC2230" s="1261"/>
      <c r="AD2230" s="1261"/>
      <c r="AE2230" s="1261"/>
      <c r="AF2230" s="1261"/>
      <c r="AG2230" s="1261"/>
      <c r="AH2230" s="1261"/>
      <c r="AI2230" s="1261"/>
      <c r="AJ2230" s="1261"/>
      <c r="AK2230" s="1261"/>
      <c r="AL2230" s="1261"/>
      <c r="AM2230" s="1261"/>
    </row>
    <row r="2231" spans="1:39" ht="15" customHeight="1" x14ac:dyDescent="0.25">
      <c r="A2231" s="1409"/>
      <c r="B2231" s="1409"/>
      <c r="C2231" s="1409"/>
      <c r="D2231" s="1409"/>
      <c r="E2231" s="1286"/>
      <c r="F2231" s="1248" t="s">
        <v>5423</v>
      </c>
      <c r="G2231" s="111"/>
      <c r="H2231" s="1249">
        <v>15</v>
      </c>
      <c r="I2231" s="111" t="s">
        <v>1721</v>
      </c>
      <c r="J2231" s="1321" t="s">
        <v>5608</v>
      </c>
      <c r="K2231" s="162" t="s">
        <v>5610</v>
      </c>
      <c r="L2231" s="162" t="s">
        <v>5609</v>
      </c>
      <c r="M2231" s="111">
        <v>400</v>
      </c>
      <c r="N2231" s="111">
        <v>6000</v>
      </c>
      <c r="O2231" s="111"/>
      <c r="P2231" s="111"/>
      <c r="Q2231" s="111"/>
      <c r="R2231" s="111"/>
      <c r="S2231" s="1249">
        <v>5</v>
      </c>
      <c r="T2231" s="1250">
        <v>2000</v>
      </c>
      <c r="U2231" s="1250"/>
      <c r="V2231" s="1250"/>
      <c r="W2231" s="1251">
        <v>5</v>
      </c>
      <c r="X2231" s="1250">
        <v>2000</v>
      </c>
      <c r="Y2231" s="1250"/>
      <c r="Z2231" s="1250"/>
      <c r="AA2231" s="1250"/>
      <c r="AB2231" s="1250"/>
      <c r="AC2231" s="1250"/>
      <c r="AD2231" s="1250"/>
      <c r="AE2231" s="1249">
        <v>5</v>
      </c>
      <c r="AF2231" s="1250">
        <v>2000</v>
      </c>
      <c r="AG2231" s="111"/>
      <c r="AH2231" s="111"/>
      <c r="AI2231" s="111"/>
      <c r="AJ2231" s="111"/>
      <c r="AK2231" s="111"/>
      <c r="AL2231" s="111"/>
      <c r="AM2231" s="111">
        <v>6000</v>
      </c>
    </row>
    <row r="2232" spans="1:39" ht="15" customHeight="1" x14ac:dyDescent="0.25">
      <c r="A2232" s="1409"/>
      <c r="B2232" s="1409"/>
      <c r="C2232" s="1409"/>
      <c r="D2232" s="1409"/>
      <c r="E2232" s="1286"/>
      <c r="F2232" s="1248" t="s">
        <v>5424</v>
      </c>
      <c r="G2232" s="111"/>
      <c r="H2232" s="1249">
        <v>20</v>
      </c>
      <c r="I2232" s="111" t="s">
        <v>1721</v>
      </c>
      <c r="J2232" s="1321" t="s">
        <v>5608</v>
      </c>
      <c r="K2232" s="162" t="s">
        <v>5610</v>
      </c>
      <c r="L2232" s="162" t="s">
        <v>5609</v>
      </c>
      <c r="M2232" s="111">
        <v>150</v>
      </c>
      <c r="N2232" s="111">
        <v>3000</v>
      </c>
      <c r="O2232" s="111"/>
      <c r="P2232" s="111"/>
      <c r="Q2232" s="111"/>
      <c r="R2232" s="111"/>
      <c r="S2232" s="1249">
        <v>10</v>
      </c>
      <c r="T2232" s="1250">
        <v>1000</v>
      </c>
      <c r="U2232" s="1250"/>
      <c r="V2232" s="1250"/>
      <c r="W2232" s="1251">
        <v>5</v>
      </c>
      <c r="X2232" s="1250">
        <v>1000</v>
      </c>
      <c r="Y2232" s="1250"/>
      <c r="Z2232" s="1250"/>
      <c r="AA2232" s="1250"/>
      <c r="AB2232" s="1250"/>
      <c r="AC2232" s="1250"/>
      <c r="AD2232" s="1250"/>
      <c r="AE2232" s="1249">
        <v>5</v>
      </c>
      <c r="AF2232" s="1250">
        <v>1000</v>
      </c>
      <c r="AG2232" s="111"/>
      <c r="AH2232" s="111"/>
      <c r="AI2232" s="111"/>
      <c r="AJ2232" s="111"/>
      <c r="AK2232" s="111"/>
      <c r="AL2232" s="111"/>
      <c r="AM2232" s="111">
        <v>3000</v>
      </c>
    </row>
    <row r="2233" spans="1:39" ht="15" customHeight="1" x14ac:dyDescent="0.25">
      <c r="A2233" s="1409"/>
      <c r="B2233" s="1409"/>
      <c r="C2233" s="1409"/>
      <c r="D2233" s="1409"/>
      <c r="E2233" s="1286"/>
      <c r="F2233" s="1248" t="s">
        <v>1350</v>
      </c>
      <c r="G2233" s="111"/>
      <c r="H2233" s="1249">
        <v>3</v>
      </c>
      <c r="I2233" s="111" t="s">
        <v>1721</v>
      </c>
      <c r="J2233" s="1321" t="s">
        <v>5608</v>
      </c>
      <c r="K2233" s="162" t="s">
        <v>5610</v>
      </c>
      <c r="L2233" s="162" t="s">
        <v>5609</v>
      </c>
      <c r="M2233" s="111">
        <v>241.16400000000007</v>
      </c>
      <c r="N2233" s="111">
        <v>723.49200000000019</v>
      </c>
      <c r="O2233" s="111"/>
      <c r="P2233" s="111"/>
      <c r="Q2233" s="111"/>
      <c r="R2233" s="111"/>
      <c r="S2233" s="1249">
        <v>1</v>
      </c>
      <c r="T2233" s="1250">
        <v>241.16400000000007</v>
      </c>
      <c r="U2233" s="1250"/>
      <c r="V2233" s="1250"/>
      <c r="W2233" s="1251">
        <v>1</v>
      </c>
      <c r="X2233" s="1250">
        <v>241.16400000000007</v>
      </c>
      <c r="Y2233" s="1250"/>
      <c r="Z2233" s="1250"/>
      <c r="AA2233" s="1250"/>
      <c r="AB2233" s="1250"/>
      <c r="AC2233" s="1250"/>
      <c r="AD2233" s="1250"/>
      <c r="AE2233" s="1249">
        <v>1</v>
      </c>
      <c r="AF2233" s="1250">
        <v>241.16400000000007</v>
      </c>
      <c r="AG2233" s="111"/>
      <c r="AH2233" s="111"/>
      <c r="AI2233" s="111"/>
      <c r="AJ2233" s="111"/>
      <c r="AK2233" s="111"/>
      <c r="AL2233" s="111"/>
      <c r="AM2233" s="111">
        <v>723.49200000000019</v>
      </c>
    </row>
    <row r="2234" spans="1:39" ht="15" customHeight="1" x14ac:dyDescent="0.25">
      <c r="A2234" s="1409"/>
      <c r="B2234" s="1409"/>
      <c r="C2234" s="1409"/>
      <c r="D2234" s="1409"/>
      <c r="E2234" s="1286"/>
      <c r="F2234" s="1248" t="s">
        <v>770</v>
      </c>
      <c r="G2234" s="111"/>
      <c r="H2234" s="1249">
        <v>3</v>
      </c>
      <c r="I2234" s="111" t="s">
        <v>1721</v>
      </c>
      <c r="J2234" s="1321" t="s">
        <v>5608</v>
      </c>
      <c r="K2234" s="162" t="s">
        <v>5610</v>
      </c>
      <c r="L2234" s="162" t="s">
        <v>5609</v>
      </c>
      <c r="M2234" s="111">
        <v>68.904000000000011</v>
      </c>
      <c r="N2234" s="111">
        <v>206.71200000000005</v>
      </c>
      <c r="O2234" s="111"/>
      <c r="P2234" s="111"/>
      <c r="Q2234" s="111"/>
      <c r="R2234" s="111"/>
      <c r="S2234" s="1249">
        <v>1</v>
      </c>
      <c r="T2234" s="1250">
        <v>68.904000000000011</v>
      </c>
      <c r="U2234" s="1250"/>
      <c r="V2234" s="1250"/>
      <c r="W2234" s="1251">
        <v>1</v>
      </c>
      <c r="X2234" s="1250">
        <v>68.904000000000011</v>
      </c>
      <c r="Y2234" s="1250"/>
      <c r="Z2234" s="1250"/>
      <c r="AA2234" s="1250"/>
      <c r="AB2234" s="1250"/>
      <c r="AC2234" s="1250"/>
      <c r="AD2234" s="1250"/>
      <c r="AE2234" s="1249">
        <v>1</v>
      </c>
      <c r="AF2234" s="1250">
        <v>68.904000000000011</v>
      </c>
      <c r="AG2234" s="111"/>
      <c r="AH2234" s="111"/>
      <c r="AI2234" s="111"/>
      <c r="AJ2234" s="111"/>
      <c r="AK2234" s="111"/>
      <c r="AL2234" s="111"/>
      <c r="AM2234" s="111">
        <v>206.71200000000005</v>
      </c>
    </row>
    <row r="2235" spans="1:39" ht="15" customHeight="1" x14ac:dyDescent="0.25">
      <c r="A2235" s="1409"/>
      <c r="B2235" s="1409"/>
      <c r="C2235" s="1409"/>
      <c r="D2235" s="1409"/>
      <c r="E2235" s="1286"/>
      <c r="F2235" s="1248"/>
      <c r="G2235" s="111"/>
      <c r="H2235" s="1249"/>
      <c r="I2235" s="111"/>
      <c r="J2235" s="111"/>
      <c r="K2235" s="111"/>
      <c r="L2235" s="111"/>
      <c r="M2235" s="111"/>
      <c r="N2235" s="111"/>
      <c r="O2235" s="111"/>
      <c r="P2235" s="111"/>
      <c r="Q2235" s="111"/>
      <c r="R2235" s="111"/>
      <c r="S2235" s="1249"/>
      <c r="T2235" s="1250"/>
      <c r="U2235" s="1250"/>
      <c r="V2235" s="1250"/>
      <c r="W2235" s="1251"/>
      <c r="X2235" s="1250"/>
      <c r="Y2235" s="1250"/>
      <c r="Z2235" s="1250"/>
      <c r="AA2235" s="1250"/>
      <c r="AB2235" s="1250"/>
      <c r="AC2235" s="1250"/>
      <c r="AD2235" s="1250"/>
      <c r="AE2235" s="1249"/>
      <c r="AF2235" s="1250"/>
      <c r="AG2235" s="111"/>
      <c r="AH2235" s="111"/>
      <c r="AI2235" s="111"/>
      <c r="AJ2235" s="111"/>
      <c r="AK2235" s="111"/>
      <c r="AL2235" s="111"/>
      <c r="AM2235" s="111"/>
    </row>
    <row r="2236" spans="1:39" ht="15" customHeight="1" x14ac:dyDescent="0.25">
      <c r="A2236" s="1409"/>
      <c r="B2236" s="1409"/>
      <c r="C2236" s="1409"/>
      <c r="D2236" s="1409"/>
      <c r="E2236" s="1261">
        <v>29801</v>
      </c>
      <c r="F2236" s="1262" t="s">
        <v>773</v>
      </c>
      <c r="G2236" s="1261"/>
      <c r="H2236" s="1261"/>
      <c r="I2236" s="1261"/>
      <c r="J2236" s="1261"/>
      <c r="K2236" s="1261"/>
      <c r="L2236" s="1261"/>
      <c r="M2236" s="1261"/>
      <c r="N2236" s="1261"/>
      <c r="O2236" s="1261"/>
      <c r="P2236" s="1261"/>
      <c r="Q2236" s="1261"/>
      <c r="R2236" s="1261"/>
      <c r="S2236" s="1261"/>
      <c r="T2236" s="1261"/>
      <c r="U2236" s="1261"/>
      <c r="V2236" s="1261"/>
      <c r="W2236" s="1261"/>
      <c r="X2236" s="1261"/>
      <c r="Y2236" s="1261"/>
      <c r="Z2236" s="1261"/>
      <c r="AA2236" s="1261"/>
      <c r="AB2236" s="1261"/>
      <c r="AC2236" s="1261"/>
      <c r="AD2236" s="1261"/>
      <c r="AE2236" s="1261"/>
      <c r="AF2236" s="1261"/>
      <c r="AG2236" s="1261"/>
      <c r="AH2236" s="1261"/>
      <c r="AI2236" s="1261"/>
      <c r="AJ2236" s="1261"/>
      <c r="AK2236" s="1261"/>
      <c r="AL2236" s="1261"/>
      <c r="AM2236" s="1261"/>
    </row>
    <row r="2237" spans="1:39" ht="15" customHeight="1" x14ac:dyDescent="0.25">
      <c r="A2237" s="1409"/>
      <c r="B2237" s="1409"/>
      <c r="C2237" s="1409"/>
      <c r="D2237" s="1409"/>
      <c r="E2237" s="1247"/>
      <c r="F2237" s="1248" t="s">
        <v>3332</v>
      </c>
      <c r="G2237" s="111"/>
      <c r="H2237" s="1249">
        <v>1</v>
      </c>
      <c r="I2237" s="111" t="s">
        <v>1721</v>
      </c>
      <c r="J2237" s="1321" t="s">
        <v>5608</v>
      </c>
      <c r="K2237" s="162" t="s">
        <v>5610</v>
      </c>
      <c r="L2237" s="162" t="s">
        <v>5609</v>
      </c>
      <c r="M2237" s="111">
        <v>29.7</v>
      </c>
      <c r="N2237" s="111">
        <v>29.7</v>
      </c>
      <c r="O2237" s="111"/>
      <c r="P2237" s="111"/>
      <c r="Q2237" s="111"/>
      <c r="R2237" s="111"/>
      <c r="S2237" s="1249">
        <v>1</v>
      </c>
      <c r="T2237" s="1250">
        <v>9.9</v>
      </c>
      <c r="U2237" s="1250"/>
      <c r="V2237" s="1250"/>
      <c r="W2237" s="1251">
        <v>0</v>
      </c>
      <c r="X2237" s="1250">
        <v>9.9</v>
      </c>
      <c r="Y2237" s="1250"/>
      <c r="Z2237" s="1250"/>
      <c r="AA2237" s="1250"/>
      <c r="AB2237" s="1250"/>
      <c r="AC2237" s="1250"/>
      <c r="AD2237" s="1250"/>
      <c r="AE2237" s="1249">
        <v>0</v>
      </c>
      <c r="AF2237" s="1250">
        <v>9.9</v>
      </c>
      <c r="AG2237" s="111"/>
      <c r="AH2237" s="111"/>
      <c r="AI2237" s="111"/>
      <c r="AJ2237" s="111"/>
      <c r="AK2237" s="111"/>
      <c r="AL2237" s="111"/>
      <c r="AM2237" s="111">
        <v>29.7</v>
      </c>
    </row>
    <row r="2238" spans="1:39" ht="15" customHeight="1" x14ac:dyDescent="0.25">
      <c r="A2238" s="1409"/>
      <c r="B2238" s="1409"/>
      <c r="C2238" s="1409"/>
      <c r="D2238" s="1409"/>
      <c r="E2238" s="1247"/>
      <c r="F2238" s="1248" t="s">
        <v>3334</v>
      </c>
      <c r="G2238" s="111"/>
      <c r="H2238" s="1249">
        <v>1</v>
      </c>
      <c r="I2238" s="111" t="s">
        <v>1721</v>
      </c>
      <c r="J2238" s="1321" t="s">
        <v>5608</v>
      </c>
      <c r="K2238" s="162" t="s">
        <v>5610</v>
      </c>
      <c r="L2238" s="162" t="s">
        <v>5609</v>
      </c>
      <c r="M2238" s="111">
        <v>16.198703999999999</v>
      </c>
      <c r="N2238" s="111">
        <v>16.198703999999999</v>
      </c>
      <c r="O2238" s="111"/>
      <c r="P2238" s="111"/>
      <c r="Q2238" s="111"/>
      <c r="R2238" s="111"/>
      <c r="S2238" s="1249">
        <v>1</v>
      </c>
      <c r="T2238" s="1250">
        <v>5.3995679999999995</v>
      </c>
      <c r="U2238" s="1250"/>
      <c r="V2238" s="1250"/>
      <c r="W2238" s="1251">
        <v>0</v>
      </c>
      <c r="X2238" s="1250">
        <v>5.3995679999999995</v>
      </c>
      <c r="Y2238" s="1250"/>
      <c r="Z2238" s="1250"/>
      <c r="AA2238" s="1250"/>
      <c r="AB2238" s="1250"/>
      <c r="AC2238" s="1250"/>
      <c r="AD2238" s="1250"/>
      <c r="AE2238" s="1249">
        <v>0</v>
      </c>
      <c r="AF2238" s="1250">
        <v>5.3995679999999995</v>
      </c>
      <c r="AG2238" s="111"/>
      <c r="AH2238" s="111"/>
      <c r="AI2238" s="111"/>
      <c r="AJ2238" s="111"/>
      <c r="AK2238" s="111"/>
      <c r="AL2238" s="111"/>
      <c r="AM2238" s="111">
        <v>16.198703999999999</v>
      </c>
    </row>
    <row r="2239" spans="1:39" ht="15" customHeight="1" x14ac:dyDescent="0.25">
      <c r="A2239" s="1409"/>
      <c r="B2239" s="1409"/>
      <c r="C2239" s="1409"/>
      <c r="D2239" s="1409"/>
      <c r="E2239" s="1247"/>
      <c r="F2239" s="1248" t="s">
        <v>5425</v>
      </c>
      <c r="G2239" s="111"/>
      <c r="H2239" s="1249">
        <v>2</v>
      </c>
      <c r="I2239" s="111" t="s">
        <v>1721</v>
      </c>
      <c r="J2239" s="1321" t="s">
        <v>5608</v>
      </c>
      <c r="K2239" s="162" t="s">
        <v>5610</v>
      </c>
      <c r="L2239" s="162" t="s">
        <v>5609</v>
      </c>
      <c r="M2239" s="111">
        <v>268.73</v>
      </c>
      <c r="N2239" s="111">
        <v>537.46</v>
      </c>
      <c r="O2239" s="111"/>
      <c r="P2239" s="111"/>
      <c r="Q2239" s="111"/>
      <c r="R2239" s="111"/>
      <c r="S2239" s="1249">
        <v>2</v>
      </c>
      <c r="T2239" s="1250">
        <v>179.15333333333334</v>
      </c>
      <c r="U2239" s="1250"/>
      <c r="V2239" s="1250"/>
      <c r="W2239" s="1251">
        <v>0</v>
      </c>
      <c r="X2239" s="1250">
        <v>179.15333333333334</v>
      </c>
      <c r="Y2239" s="1250"/>
      <c r="Z2239" s="1250"/>
      <c r="AA2239" s="1250"/>
      <c r="AB2239" s="1250"/>
      <c r="AC2239" s="1250"/>
      <c r="AD2239" s="1250"/>
      <c r="AE2239" s="1249">
        <v>0</v>
      </c>
      <c r="AF2239" s="1250">
        <v>179.15333333333334</v>
      </c>
      <c r="AG2239" s="111"/>
      <c r="AH2239" s="111"/>
      <c r="AI2239" s="111"/>
      <c r="AJ2239" s="111"/>
      <c r="AK2239" s="111"/>
      <c r="AL2239" s="111"/>
      <c r="AM2239" s="111">
        <v>537.46</v>
      </c>
    </row>
    <row r="2240" spans="1:39" ht="15" customHeight="1" x14ac:dyDescent="0.25">
      <c r="A2240" s="1409"/>
      <c r="B2240" s="1409"/>
      <c r="C2240" s="1409"/>
      <c r="D2240" s="1409"/>
      <c r="E2240" s="1288"/>
      <c r="F2240" s="1248"/>
      <c r="G2240" s="111"/>
      <c r="H2240" s="1249"/>
      <c r="I2240" s="111"/>
      <c r="J2240" s="111"/>
      <c r="K2240" s="111"/>
      <c r="L2240" s="111"/>
      <c r="M2240" s="111"/>
      <c r="N2240" s="111"/>
      <c r="O2240" s="111"/>
      <c r="P2240" s="111"/>
      <c r="Q2240" s="111"/>
      <c r="R2240" s="111"/>
      <c r="S2240" s="1249"/>
      <c r="T2240" s="1250"/>
      <c r="U2240" s="1250"/>
      <c r="V2240" s="1250"/>
      <c r="W2240" s="1251"/>
      <c r="X2240" s="1250"/>
      <c r="Y2240" s="1250"/>
      <c r="Z2240" s="1250"/>
      <c r="AA2240" s="1250"/>
      <c r="AB2240" s="1250"/>
      <c r="AC2240" s="1250"/>
      <c r="AD2240" s="1250"/>
      <c r="AE2240" s="1249"/>
      <c r="AF2240" s="1250"/>
      <c r="AG2240" s="111"/>
      <c r="AH2240" s="111"/>
      <c r="AI2240" s="111"/>
      <c r="AJ2240" s="111"/>
      <c r="AK2240" s="111"/>
      <c r="AL2240" s="111"/>
      <c r="AM2240" s="111"/>
    </row>
    <row r="2241" spans="1:39" ht="15" customHeight="1" x14ac:dyDescent="0.25">
      <c r="A2241" s="1409"/>
      <c r="B2241" s="1409"/>
      <c r="C2241" s="1409"/>
      <c r="D2241" s="1409"/>
      <c r="E2241" s="1261">
        <v>29803</v>
      </c>
      <c r="F2241" s="1262" t="s">
        <v>775</v>
      </c>
      <c r="G2241" s="1261"/>
      <c r="H2241" s="1261"/>
      <c r="I2241" s="1261"/>
      <c r="J2241" s="1261"/>
      <c r="K2241" s="1261"/>
      <c r="L2241" s="1261"/>
      <c r="M2241" s="1261"/>
      <c r="N2241" s="1261"/>
      <c r="O2241" s="1261"/>
      <c r="P2241" s="1261"/>
      <c r="Q2241" s="1261"/>
      <c r="R2241" s="1261"/>
      <c r="S2241" s="1261"/>
      <c r="T2241" s="1261"/>
      <c r="U2241" s="1261"/>
      <c r="V2241" s="1261"/>
      <c r="W2241" s="1261"/>
      <c r="X2241" s="1261"/>
      <c r="Y2241" s="1261"/>
      <c r="Z2241" s="1261"/>
      <c r="AA2241" s="1261"/>
      <c r="AB2241" s="1261"/>
      <c r="AC2241" s="1261"/>
      <c r="AD2241" s="1261"/>
      <c r="AE2241" s="1261"/>
      <c r="AF2241" s="1261"/>
      <c r="AG2241" s="1261"/>
      <c r="AH2241" s="1261"/>
      <c r="AI2241" s="1261"/>
      <c r="AJ2241" s="1261"/>
      <c r="AK2241" s="1261"/>
      <c r="AL2241" s="1261"/>
      <c r="AM2241" s="1261"/>
    </row>
    <row r="2242" spans="1:39" ht="15" customHeight="1" x14ac:dyDescent="0.25">
      <c r="A2242" s="1409"/>
      <c r="B2242" s="1409"/>
      <c r="C2242" s="1409"/>
      <c r="D2242" s="1409"/>
      <c r="E2242" s="1286"/>
      <c r="F2242" s="1248" t="s">
        <v>5426</v>
      </c>
      <c r="G2242" s="111"/>
      <c r="H2242" s="1249">
        <v>45</v>
      </c>
      <c r="I2242" s="111" t="s">
        <v>1721</v>
      </c>
      <c r="J2242" s="1321" t="s">
        <v>5608</v>
      </c>
      <c r="K2242" s="162" t="s">
        <v>5610</v>
      </c>
      <c r="L2242" s="162" t="s">
        <v>5609</v>
      </c>
      <c r="M2242" s="111">
        <v>50</v>
      </c>
      <c r="N2242" s="111">
        <v>2250</v>
      </c>
      <c r="O2242" s="111"/>
      <c r="P2242" s="111"/>
      <c r="Q2242" s="111"/>
      <c r="R2242" s="111"/>
      <c r="S2242" s="1249">
        <v>15</v>
      </c>
      <c r="T2242" s="1250">
        <v>750</v>
      </c>
      <c r="U2242" s="1250"/>
      <c r="V2242" s="1250"/>
      <c r="W2242" s="1251">
        <v>15</v>
      </c>
      <c r="X2242" s="1250">
        <v>750</v>
      </c>
      <c r="Y2242" s="1250"/>
      <c r="Z2242" s="1250"/>
      <c r="AA2242" s="1250"/>
      <c r="AB2242" s="1250"/>
      <c r="AC2242" s="1250"/>
      <c r="AD2242" s="1250"/>
      <c r="AE2242" s="1249">
        <v>15</v>
      </c>
      <c r="AF2242" s="1250">
        <v>750</v>
      </c>
      <c r="AG2242" s="111"/>
      <c r="AH2242" s="111"/>
      <c r="AI2242" s="111"/>
      <c r="AJ2242" s="111"/>
      <c r="AK2242" s="111"/>
      <c r="AL2242" s="111"/>
      <c r="AM2242" s="111">
        <v>2250</v>
      </c>
    </row>
    <row r="2243" spans="1:39" ht="15" customHeight="1" x14ac:dyDescent="0.25">
      <c r="A2243" s="1409"/>
      <c r="B2243" s="1409"/>
      <c r="C2243" s="1409"/>
      <c r="D2243" s="1409"/>
      <c r="E2243" s="1286"/>
      <c r="F2243" s="1248" t="s">
        <v>5427</v>
      </c>
      <c r="G2243" s="111"/>
      <c r="H2243" s="1249">
        <v>26</v>
      </c>
      <c r="I2243" s="111" t="s">
        <v>1721</v>
      </c>
      <c r="J2243" s="1321" t="s">
        <v>5608</v>
      </c>
      <c r="K2243" s="162" t="s">
        <v>5610</v>
      </c>
      <c r="L2243" s="162" t="s">
        <v>5609</v>
      </c>
      <c r="M2243" s="111">
        <v>120</v>
      </c>
      <c r="N2243" s="111">
        <v>3120</v>
      </c>
      <c r="O2243" s="111"/>
      <c r="P2243" s="111"/>
      <c r="Q2243" s="111"/>
      <c r="R2243" s="111"/>
      <c r="S2243" s="1249">
        <v>10</v>
      </c>
      <c r="T2243" s="1250">
        <v>1040</v>
      </c>
      <c r="U2243" s="1250"/>
      <c r="V2243" s="1250"/>
      <c r="W2243" s="1251">
        <v>10</v>
      </c>
      <c r="X2243" s="1250">
        <v>1040</v>
      </c>
      <c r="Y2243" s="1250"/>
      <c r="Z2243" s="1250"/>
      <c r="AA2243" s="1250"/>
      <c r="AB2243" s="1250"/>
      <c r="AC2243" s="1250"/>
      <c r="AD2243" s="1250"/>
      <c r="AE2243" s="1249">
        <v>6</v>
      </c>
      <c r="AF2243" s="1250">
        <v>1040</v>
      </c>
      <c r="AG2243" s="111"/>
      <c r="AH2243" s="111"/>
      <c r="AI2243" s="111"/>
      <c r="AJ2243" s="111"/>
      <c r="AK2243" s="111"/>
      <c r="AL2243" s="111"/>
      <c r="AM2243" s="111">
        <v>3120</v>
      </c>
    </row>
    <row r="2244" spans="1:39" ht="15" customHeight="1" x14ac:dyDescent="0.25">
      <c r="A2244" s="1409"/>
      <c r="B2244" s="1409"/>
      <c r="C2244" s="1409"/>
      <c r="D2244" s="1409"/>
      <c r="E2244" s="1286"/>
      <c r="F2244" s="1248"/>
      <c r="G2244" s="111"/>
      <c r="H2244" s="1249"/>
      <c r="I2244" s="111"/>
      <c r="J2244" s="111"/>
      <c r="K2244" s="111"/>
      <c r="L2244" s="111"/>
      <c r="M2244" s="111"/>
      <c r="N2244" s="111"/>
      <c r="O2244" s="111"/>
      <c r="P2244" s="111"/>
      <c r="Q2244" s="111"/>
      <c r="R2244" s="111"/>
      <c r="S2244" s="1249"/>
      <c r="T2244" s="1250"/>
      <c r="U2244" s="1250"/>
      <c r="V2244" s="1250"/>
      <c r="W2244" s="1251"/>
      <c r="X2244" s="1250"/>
      <c r="Y2244" s="1250"/>
      <c r="Z2244" s="1250"/>
      <c r="AA2244" s="1250"/>
      <c r="AB2244" s="1250"/>
      <c r="AC2244" s="1250"/>
      <c r="AD2244" s="1250"/>
      <c r="AE2244" s="1249"/>
      <c r="AF2244" s="1250"/>
      <c r="AG2244" s="111"/>
      <c r="AH2244" s="111"/>
      <c r="AI2244" s="111"/>
      <c r="AJ2244" s="111"/>
      <c r="AK2244" s="111"/>
      <c r="AL2244" s="111"/>
      <c r="AM2244" s="111"/>
    </row>
    <row r="2245" spans="1:39" ht="15" customHeight="1" x14ac:dyDescent="0.25">
      <c r="A2245" s="1409"/>
      <c r="B2245" s="1409"/>
      <c r="C2245" s="1409"/>
      <c r="D2245" s="1409"/>
      <c r="E2245" s="1218">
        <v>299</v>
      </c>
      <c r="F2245" s="1268" t="s">
        <v>777</v>
      </c>
      <c r="G2245" s="1218"/>
      <c r="H2245" s="1218"/>
      <c r="I2245" s="1218"/>
      <c r="J2245" s="1218"/>
      <c r="K2245" s="1218"/>
      <c r="L2245" s="1218"/>
      <c r="M2245" s="1218"/>
      <c r="N2245" s="1218"/>
      <c r="O2245" s="1218"/>
      <c r="P2245" s="1218"/>
      <c r="Q2245" s="1218"/>
      <c r="R2245" s="1218"/>
      <c r="S2245" s="1218"/>
      <c r="T2245" s="1218"/>
      <c r="U2245" s="1218"/>
      <c r="V2245" s="1218"/>
      <c r="W2245" s="1218"/>
      <c r="X2245" s="1218"/>
      <c r="Y2245" s="1218"/>
      <c r="Z2245" s="1218"/>
      <c r="AA2245" s="1218"/>
      <c r="AB2245" s="1218"/>
      <c r="AC2245" s="1218"/>
      <c r="AD2245" s="1218"/>
      <c r="AE2245" s="1218"/>
      <c r="AF2245" s="1218"/>
      <c r="AG2245" s="1218"/>
      <c r="AH2245" s="1218"/>
      <c r="AI2245" s="1218"/>
      <c r="AJ2245" s="1218"/>
      <c r="AK2245" s="1218"/>
      <c r="AL2245" s="1218"/>
      <c r="AM2245" s="1218"/>
    </row>
    <row r="2246" spans="1:39" ht="15" customHeight="1" x14ac:dyDescent="0.25">
      <c r="A2246" s="1409"/>
      <c r="B2246" s="1409"/>
      <c r="C2246" s="1409"/>
      <c r="D2246" s="1409"/>
      <c r="E2246" s="1288"/>
      <c r="F2246" s="1248"/>
      <c r="G2246" s="111"/>
      <c r="H2246" s="1249"/>
      <c r="I2246" s="111"/>
      <c r="J2246" s="111"/>
      <c r="K2246" s="111"/>
      <c r="L2246" s="111"/>
      <c r="M2246" s="111"/>
      <c r="N2246" s="111"/>
      <c r="O2246" s="111"/>
      <c r="P2246" s="111"/>
      <c r="Q2246" s="111"/>
      <c r="R2246" s="111"/>
      <c r="S2246" s="1249"/>
      <c r="T2246" s="1250"/>
      <c r="U2246" s="1250"/>
      <c r="V2246" s="1250"/>
      <c r="W2246" s="1251"/>
      <c r="X2246" s="1250"/>
      <c r="Y2246" s="1250"/>
      <c r="Z2246" s="1250"/>
      <c r="AA2246" s="1250"/>
      <c r="AB2246" s="1250"/>
      <c r="AC2246" s="1250"/>
      <c r="AD2246" s="1250"/>
      <c r="AE2246" s="1249"/>
      <c r="AF2246" s="1250"/>
      <c r="AG2246" s="111"/>
      <c r="AH2246" s="111"/>
      <c r="AI2246" s="111"/>
      <c r="AJ2246" s="111"/>
      <c r="AK2246" s="111"/>
      <c r="AL2246" s="111"/>
      <c r="AM2246" s="111"/>
    </row>
    <row r="2247" spans="1:39" ht="15" customHeight="1" x14ac:dyDescent="0.25">
      <c r="A2247" s="1409"/>
      <c r="B2247" s="1409"/>
      <c r="C2247" s="1409"/>
      <c r="D2247" s="1409"/>
      <c r="E2247" s="1261">
        <v>29902</v>
      </c>
      <c r="F2247" s="1262" t="s">
        <v>779</v>
      </c>
      <c r="G2247" s="1261"/>
      <c r="H2247" s="1261"/>
      <c r="I2247" s="1261"/>
      <c r="J2247" s="1261"/>
      <c r="K2247" s="1261"/>
      <c r="L2247" s="1261"/>
      <c r="M2247" s="1261"/>
      <c r="N2247" s="1261"/>
      <c r="O2247" s="1261"/>
      <c r="P2247" s="1261"/>
      <c r="Q2247" s="1261"/>
      <c r="R2247" s="1261"/>
      <c r="S2247" s="1261"/>
      <c r="T2247" s="1261"/>
      <c r="U2247" s="1261"/>
      <c r="V2247" s="1261"/>
      <c r="W2247" s="1261"/>
      <c r="X2247" s="1261"/>
      <c r="Y2247" s="1261"/>
      <c r="Z2247" s="1261"/>
      <c r="AA2247" s="1261"/>
      <c r="AB2247" s="1261"/>
      <c r="AC2247" s="1261"/>
      <c r="AD2247" s="1261"/>
      <c r="AE2247" s="1261"/>
      <c r="AF2247" s="1261"/>
      <c r="AG2247" s="1261"/>
      <c r="AH2247" s="1261"/>
      <c r="AI2247" s="1261"/>
      <c r="AJ2247" s="1261"/>
      <c r="AK2247" s="1261"/>
      <c r="AL2247" s="1261"/>
      <c r="AM2247" s="1261"/>
    </row>
    <row r="2248" spans="1:39" ht="15" customHeight="1" x14ac:dyDescent="0.25">
      <c r="A2248" s="1409"/>
      <c r="B2248" s="1409"/>
      <c r="C2248" s="1409"/>
      <c r="D2248" s="1409"/>
      <c r="E2248" s="1286"/>
      <c r="F2248" s="1248" t="s">
        <v>5428</v>
      </c>
      <c r="G2248" s="111"/>
      <c r="H2248" s="1249">
        <v>20</v>
      </c>
      <c r="I2248" s="111" t="s">
        <v>1721</v>
      </c>
      <c r="J2248" s="1321" t="s">
        <v>5608</v>
      </c>
      <c r="K2248" s="162" t="s">
        <v>5610</v>
      </c>
      <c r="L2248" s="162" t="s">
        <v>5609</v>
      </c>
      <c r="M2248" s="111">
        <v>250</v>
      </c>
      <c r="N2248" s="111">
        <v>5000</v>
      </c>
      <c r="O2248" s="111"/>
      <c r="P2248" s="111"/>
      <c r="Q2248" s="111"/>
      <c r="R2248" s="111"/>
      <c r="S2248" s="1249">
        <v>10</v>
      </c>
      <c r="T2248" s="1250">
        <v>1666.6666666666667</v>
      </c>
      <c r="U2248" s="1250"/>
      <c r="V2248" s="1250"/>
      <c r="W2248" s="1251">
        <v>5</v>
      </c>
      <c r="X2248" s="1250">
        <v>1666.6666666666667</v>
      </c>
      <c r="Y2248" s="1250"/>
      <c r="Z2248" s="1250"/>
      <c r="AA2248" s="1250"/>
      <c r="AB2248" s="1250"/>
      <c r="AC2248" s="1250"/>
      <c r="AD2248" s="1250"/>
      <c r="AE2248" s="1249">
        <v>5</v>
      </c>
      <c r="AF2248" s="1250">
        <v>1666.6666666666667</v>
      </c>
      <c r="AG2248" s="111"/>
      <c r="AH2248" s="111"/>
      <c r="AI2248" s="111"/>
      <c r="AJ2248" s="111"/>
      <c r="AK2248" s="111"/>
      <c r="AL2248" s="111"/>
      <c r="AM2248" s="111">
        <v>5000</v>
      </c>
    </row>
    <row r="2249" spans="1:39" ht="15" customHeight="1" x14ac:dyDescent="0.25">
      <c r="A2249" s="1409"/>
      <c r="B2249" s="1409"/>
      <c r="C2249" s="1409"/>
      <c r="D2249" s="1409"/>
      <c r="E2249" s="1286"/>
      <c r="F2249" s="1248" t="s">
        <v>5429</v>
      </c>
      <c r="G2249" s="111"/>
      <c r="H2249" s="1249">
        <v>2</v>
      </c>
      <c r="I2249" s="111" t="s">
        <v>1721</v>
      </c>
      <c r="J2249" s="1321" t="s">
        <v>5608</v>
      </c>
      <c r="K2249" s="162" t="s">
        <v>5610</v>
      </c>
      <c r="L2249" s="162" t="s">
        <v>5609</v>
      </c>
      <c r="M2249" s="111">
        <v>800</v>
      </c>
      <c r="N2249" s="111">
        <v>1600</v>
      </c>
      <c r="O2249" s="111"/>
      <c r="P2249" s="111"/>
      <c r="Q2249" s="111"/>
      <c r="R2249" s="111"/>
      <c r="S2249" s="1249">
        <v>2</v>
      </c>
      <c r="T2249" s="1250">
        <v>533.33333333333337</v>
      </c>
      <c r="U2249" s="1250"/>
      <c r="V2249" s="1250"/>
      <c r="W2249" s="1251">
        <v>0</v>
      </c>
      <c r="X2249" s="1250">
        <v>533.33333333333337</v>
      </c>
      <c r="Y2249" s="1250"/>
      <c r="Z2249" s="1250"/>
      <c r="AA2249" s="1250"/>
      <c r="AB2249" s="1250"/>
      <c r="AC2249" s="1250"/>
      <c r="AD2249" s="1250"/>
      <c r="AE2249" s="1249">
        <v>0</v>
      </c>
      <c r="AF2249" s="1250">
        <v>533.33333333333337</v>
      </c>
      <c r="AG2249" s="111"/>
      <c r="AH2249" s="111"/>
      <c r="AI2249" s="111"/>
      <c r="AJ2249" s="111"/>
      <c r="AK2249" s="111"/>
      <c r="AL2249" s="111"/>
      <c r="AM2249" s="111">
        <v>1600</v>
      </c>
    </row>
    <row r="2250" spans="1:39" ht="15" customHeight="1" x14ac:dyDescent="0.25">
      <c r="A2250" s="1409"/>
      <c r="B2250" s="1409"/>
      <c r="C2250" s="1409"/>
      <c r="D2250" s="1409"/>
      <c r="E2250" s="1247"/>
      <c r="F2250" s="1248" t="s">
        <v>5430</v>
      </c>
      <c r="G2250" s="111"/>
      <c r="H2250" s="1249">
        <v>6</v>
      </c>
      <c r="I2250" s="111" t="s">
        <v>1721</v>
      </c>
      <c r="J2250" s="1321" t="s">
        <v>5608</v>
      </c>
      <c r="K2250" s="162" t="s">
        <v>5610</v>
      </c>
      <c r="L2250" s="162" t="s">
        <v>5609</v>
      </c>
      <c r="M2250" s="111">
        <v>100</v>
      </c>
      <c r="N2250" s="111">
        <v>600</v>
      </c>
      <c r="O2250" s="111"/>
      <c r="P2250" s="111"/>
      <c r="Q2250" s="111"/>
      <c r="R2250" s="111"/>
      <c r="S2250" s="1249">
        <v>2</v>
      </c>
      <c r="T2250" s="1250">
        <v>200</v>
      </c>
      <c r="U2250" s="1250"/>
      <c r="V2250" s="1250"/>
      <c r="W2250" s="1251">
        <v>2</v>
      </c>
      <c r="X2250" s="1250">
        <v>200</v>
      </c>
      <c r="Y2250" s="1250"/>
      <c r="Z2250" s="1250"/>
      <c r="AA2250" s="1250"/>
      <c r="AB2250" s="1250"/>
      <c r="AC2250" s="1250"/>
      <c r="AD2250" s="1250"/>
      <c r="AE2250" s="1249">
        <v>2</v>
      </c>
      <c r="AF2250" s="1250">
        <v>200</v>
      </c>
      <c r="AG2250" s="111"/>
      <c r="AH2250" s="111"/>
      <c r="AI2250" s="111"/>
      <c r="AJ2250" s="111"/>
      <c r="AK2250" s="111"/>
      <c r="AL2250" s="111"/>
      <c r="AM2250" s="111">
        <v>600</v>
      </c>
    </row>
    <row r="2251" spans="1:39" ht="15" customHeight="1" x14ac:dyDescent="0.25">
      <c r="A2251" s="1409"/>
      <c r="B2251" s="1409"/>
      <c r="C2251" s="1409"/>
      <c r="D2251" s="1409"/>
      <c r="E2251" s="1247"/>
      <c r="F2251" s="1248" t="s">
        <v>2825</v>
      </c>
      <c r="G2251" s="111"/>
      <c r="H2251" s="1249">
        <v>6</v>
      </c>
      <c r="I2251" s="111" t="s">
        <v>1721</v>
      </c>
      <c r="J2251" s="1321" t="s">
        <v>5608</v>
      </c>
      <c r="K2251" s="162" t="s">
        <v>5610</v>
      </c>
      <c r="L2251" s="162" t="s">
        <v>5609</v>
      </c>
      <c r="M2251" s="111">
        <v>1695.9199999999998</v>
      </c>
      <c r="N2251" s="111">
        <v>10175.519999999999</v>
      </c>
      <c r="O2251" s="111"/>
      <c r="P2251" s="111"/>
      <c r="Q2251" s="111"/>
      <c r="R2251" s="111"/>
      <c r="S2251" s="1249">
        <v>2</v>
      </c>
      <c r="T2251" s="1250">
        <v>3391.8399999999997</v>
      </c>
      <c r="U2251" s="1250"/>
      <c r="V2251" s="1250"/>
      <c r="W2251" s="1251">
        <v>2</v>
      </c>
      <c r="X2251" s="1250">
        <v>3391.8399999999997</v>
      </c>
      <c r="Y2251" s="1250"/>
      <c r="Z2251" s="1250"/>
      <c r="AA2251" s="1250"/>
      <c r="AB2251" s="1250"/>
      <c r="AC2251" s="1250"/>
      <c r="AD2251" s="1250"/>
      <c r="AE2251" s="1249">
        <v>2</v>
      </c>
      <c r="AF2251" s="1250">
        <v>3391.8399999999997</v>
      </c>
      <c r="AG2251" s="111"/>
      <c r="AH2251" s="111"/>
      <c r="AI2251" s="111"/>
      <c r="AJ2251" s="111"/>
      <c r="AK2251" s="111"/>
      <c r="AL2251" s="111"/>
      <c r="AM2251" s="111">
        <v>10175.519999999999</v>
      </c>
    </row>
    <row r="2252" spans="1:39" ht="15" customHeight="1" x14ac:dyDescent="0.25">
      <c r="A2252" s="1409"/>
      <c r="B2252" s="1409"/>
      <c r="C2252" s="1409"/>
      <c r="D2252" s="1409"/>
      <c r="E2252" s="1247"/>
      <c r="F2252" s="1248"/>
      <c r="G2252" s="111"/>
      <c r="H2252" s="1249"/>
      <c r="I2252" s="111"/>
      <c r="J2252" s="111"/>
      <c r="K2252" s="111"/>
      <c r="L2252" s="111"/>
      <c r="M2252" s="111"/>
      <c r="N2252" s="111"/>
      <c r="O2252" s="111"/>
      <c r="P2252" s="111"/>
      <c r="Q2252" s="111"/>
      <c r="R2252" s="111"/>
      <c r="S2252" s="1249"/>
      <c r="T2252" s="1250"/>
      <c r="U2252" s="1250"/>
      <c r="V2252" s="1250"/>
      <c r="W2252" s="1251"/>
      <c r="X2252" s="1250"/>
      <c r="Y2252" s="1250"/>
      <c r="Z2252" s="1250"/>
      <c r="AA2252" s="1250"/>
      <c r="AB2252" s="1250"/>
      <c r="AC2252" s="1250"/>
      <c r="AD2252" s="1250"/>
      <c r="AE2252" s="1249"/>
      <c r="AF2252" s="1250"/>
      <c r="AG2252" s="111"/>
      <c r="AH2252" s="111"/>
      <c r="AI2252" s="111"/>
      <c r="AJ2252" s="111"/>
      <c r="AK2252" s="111"/>
      <c r="AL2252" s="111"/>
      <c r="AM2252" s="111"/>
    </row>
    <row r="2253" spans="1:39" ht="36" customHeight="1" x14ac:dyDescent="0.25">
      <c r="A2253" s="1409"/>
      <c r="B2253" s="1409"/>
      <c r="C2253" s="1409"/>
      <c r="D2253" s="1409"/>
      <c r="E2253" s="1190">
        <v>3000</v>
      </c>
      <c r="F2253" s="1290" t="s">
        <v>786</v>
      </c>
      <c r="G2253" s="1190"/>
      <c r="H2253" s="1190"/>
      <c r="I2253" s="1190"/>
      <c r="J2253" s="1190"/>
      <c r="K2253" s="1190"/>
      <c r="L2253" s="1190"/>
      <c r="M2253" s="1190"/>
      <c r="N2253" s="1190"/>
      <c r="O2253" s="1190"/>
      <c r="P2253" s="1190"/>
      <c r="Q2253" s="1190"/>
      <c r="R2253" s="1190"/>
      <c r="S2253" s="1190"/>
      <c r="T2253" s="1190"/>
      <c r="U2253" s="1190"/>
      <c r="V2253" s="1190"/>
      <c r="W2253" s="1190"/>
      <c r="X2253" s="1190"/>
      <c r="Y2253" s="1190"/>
      <c r="Z2253" s="1190"/>
      <c r="AA2253" s="1190"/>
      <c r="AB2253" s="1190"/>
      <c r="AC2253" s="1190"/>
      <c r="AD2253" s="1190"/>
      <c r="AE2253" s="1190"/>
      <c r="AF2253" s="1190"/>
      <c r="AG2253" s="1190"/>
      <c r="AH2253" s="1190"/>
      <c r="AI2253" s="1190"/>
      <c r="AJ2253" s="1190"/>
      <c r="AK2253" s="1190"/>
      <c r="AL2253" s="1190"/>
      <c r="AM2253" s="1190"/>
    </row>
    <row r="2254" spans="1:39" ht="36" customHeight="1" x14ac:dyDescent="0.25">
      <c r="A2254" s="1409"/>
      <c r="B2254" s="1409"/>
      <c r="C2254" s="1409"/>
      <c r="D2254" s="1409"/>
      <c r="E2254" s="1204">
        <v>3100</v>
      </c>
      <c r="F2254" s="1274" t="s">
        <v>787</v>
      </c>
      <c r="G2254" s="1204"/>
      <c r="H2254" s="1204"/>
      <c r="I2254" s="1204"/>
      <c r="J2254" s="1204"/>
      <c r="K2254" s="1204"/>
      <c r="L2254" s="1204"/>
      <c r="M2254" s="1204"/>
      <c r="N2254" s="1204"/>
      <c r="O2254" s="1204"/>
      <c r="P2254" s="1204"/>
      <c r="Q2254" s="1204"/>
      <c r="R2254" s="1204"/>
      <c r="S2254" s="1204"/>
      <c r="T2254" s="1204"/>
      <c r="U2254" s="1204"/>
      <c r="V2254" s="1204"/>
      <c r="W2254" s="1204"/>
      <c r="X2254" s="1204"/>
      <c r="Y2254" s="1204"/>
      <c r="Z2254" s="1204"/>
      <c r="AA2254" s="1204"/>
      <c r="AB2254" s="1204"/>
      <c r="AC2254" s="1204"/>
      <c r="AD2254" s="1204"/>
      <c r="AE2254" s="1204"/>
      <c r="AF2254" s="1204"/>
      <c r="AG2254" s="1204"/>
      <c r="AH2254" s="1204"/>
      <c r="AI2254" s="1204"/>
      <c r="AJ2254" s="1204"/>
      <c r="AK2254" s="1204"/>
      <c r="AL2254" s="1204"/>
      <c r="AM2254" s="1204"/>
    </row>
    <row r="2255" spans="1:39" ht="15" customHeight="1" x14ac:dyDescent="0.25">
      <c r="A2255" s="1409"/>
      <c r="B2255" s="1409"/>
      <c r="C2255" s="1409"/>
      <c r="D2255" s="1409"/>
      <c r="E2255" s="1218">
        <v>311</v>
      </c>
      <c r="F2255" s="1268" t="s">
        <v>788</v>
      </c>
      <c r="G2255" s="1218"/>
      <c r="H2255" s="1218"/>
      <c r="I2255" s="1218"/>
      <c r="J2255" s="1218"/>
      <c r="K2255" s="1218"/>
      <c r="L2255" s="1218"/>
      <c r="M2255" s="1218"/>
      <c r="N2255" s="1218"/>
      <c r="O2255" s="1218"/>
      <c r="P2255" s="1218"/>
      <c r="Q2255" s="1218"/>
      <c r="R2255" s="1218"/>
      <c r="S2255" s="1218"/>
      <c r="T2255" s="1218"/>
      <c r="U2255" s="1218"/>
      <c r="V2255" s="1218"/>
      <c r="W2255" s="1218"/>
      <c r="X2255" s="1218"/>
      <c r="Y2255" s="1218"/>
      <c r="Z2255" s="1218"/>
      <c r="AA2255" s="1218"/>
      <c r="AB2255" s="1218"/>
      <c r="AC2255" s="1218"/>
      <c r="AD2255" s="1218"/>
      <c r="AE2255" s="1218"/>
      <c r="AF2255" s="1218"/>
      <c r="AG2255" s="1218"/>
      <c r="AH2255" s="1218"/>
      <c r="AI2255" s="1218"/>
      <c r="AJ2255" s="1218"/>
      <c r="AK2255" s="1218"/>
      <c r="AL2255" s="1218"/>
      <c r="AM2255" s="1218"/>
    </row>
    <row r="2256" spans="1:39" ht="15" customHeight="1" x14ac:dyDescent="0.25">
      <c r="A2256" s="1409"/>
      <c r="B2256" s="1409"/>
      <c r="C2256" s="1409"/>
      <c r="D2256" s="1409"/>
      <c r="E2256" s="1247"/>
      <c r="F2256" s="1248"/>
      <c r="G2256" s="111"/>
      <c r="H2256" s="1249"/>
      <c r="I2256" s="111"/>
      <c r="J2256" s="111"/>
      <c r="K2256" s="111"/>
      <c r="L2256" s="111"/>
      <c r="M2256" s="111"/>
      <c r="N2256" s="111"/>
      <c r="O2256" s="111"/>
      <c r="P2256" s="111"/>
      <c r="Q2256" s="111"/>
      <c r="R2256" s="111"/>
      <c r="S2256" s="1249"/>
      <c r="T2256" s="1250"/>
      <c r="U2256" s="1250"/>
      <c r="V2256" s="1250"/>
      <c r="W2256" s="1251"/>
      <c r="X2256" s="1250"/>
      <c r="Y2256" s="1250"/>
      <c r="Z2256" s="1250"/>
      <c r="AA2256" s="1250"/>
      <c r="AB2256" s="1250"/>
      <c r="AC2256" s="1250"/>
      <c r="AD2256" s="1250"/>
      <c r="AE2256" s="1249"/>
      <c r="AF2256" s="1250"/>
      <c r="AG2256" s="111"/>
      <c r="AH2256" s="111"/>
      <c r="AI2256" s="111"/>
      <c r="AJ2256" s="111"/>
      <c r="AK2256" s="111"/>
      <c r="AL2256" s="111"/>
      <c r="AM2256" s="111"/>
    </row>
    <row r="2257" spans="1:39" ht="15" customHeight="1" x14ac:dyDescent="0.25">
      <c r="A2257" s="1409"/>
      <c r="B2257" s="1409"/>
      <c r="C2257" s="1409"/>
      <c r="D2257" s="1409"/>
      <c r="E2257" s="1261">
        <v>31101</v>
      </c>
      <c r="F2257" s="1262" t="s">
        <v>788</v>
      </c>
      <c r="G2257" s="1261"/>
      <c r="H2257" s="1261"/>
      <c r="I2257" s="1261"/>
      <c r="J2257" s="1261"/>
      <c r="K2257" s="1261"/>
      <c r="L2257" s="1261"/>
      <c r="M2257" s="1261"/>
      <c r="N2257" s="1261"/>
      <c r="O2257" s="1261"/>
      <c r="P2257" s="1261"/>
      <c r="Q2257" s="1261"/>
      <c r="R2257" s="1261"/>
      <c r="S2257" s="1261"/>
      <c r="T2257" s="1261"/>
      <c r="U2257" s="1261"/>
      <c r="V2257" s="1261"/>
      <c r="W2257" s="1261"/>
      <c r="X2257" s="1261"/>
      <c r="Y2257" s="1261"/>
      <c r="Z2257" s="1261"/>
      <c r="AA2257" s="1261"/>
      <c r="AB2257" s="1261"/>
      <c r="AC2257" s="1261"/>
      <c r="AD2257" s="1261"/>
      <c r="AE2257" s="1261"/>
      <c r="AF2257" s="1261"/>
      <c r="AG2257" s="1261"/>
      <c r="AH2257" s="1261"/>
      <c r="AI2257" s="1261"/>
      <c r="AJ2257" s="1261"/>
      <c r="AK2257" s="1261"/>
      <c r="AL2257" s="1261"/>
      <c r="AM2257" s="1261"/>
    </row>
    <row r="2258" spans="1:39" ht="15" customHeight="1" x14ac:dyDescent="0.25">
      <c r="A2258" s="1409"/>
      <c r="B2258" s="1409"/>
      <c r="C2258" s="1409"/>
      <c r="D2258" s="1409"/>
      <c r="E2258" s="1247"/>
      <c r="F2258" s="1248" t="s">
        <v>4101</v>
      </c>
      <c r="G2258" s="111"/>
      <c r="H2258" s="1249">
        <v>4</v>
      </c>
      <c r="I2258" s="111" t="s">
        <v>1755</v>
      </c>
      <c r="J2258" s="1321" t="s">
        <v>5608</v>
      </c>
      <c r="K2258" s="162" t="s">
        <v>5610</v>
      </c>
      <c r="L2258" s="162" t="s">
        <v>5609</v>
      </c>
      <c r="M2258" s="111">
        <v>17400</v>
      </c>
      <c r="N2258" s="111">
        <v>69600</v>
      </c>
      <c r="O2258" s="111"/>
      <c r="P2258" s="111"/>
      <c r="Q2258" s="111"/>
      <c r="R2258" s="111"/>
      <c r="S2258" s="1249">
        <v>2</v>
      </c>
      <c r="T2258" s="1250">
        <v>23200</v>
      </c>
      <c r="U2258" s="1250"/>
      <c r="V2258" s="1250"/>
      <c r="W2258" s="1251">
        <v>1</v>
      </c>
      <c r="X2258" s="1250">
        <v>23200</v>
      </c>
      <c r="Y2258" s="1250"/>
      <c r="Z2258" s="1250"/>
      <c r="AA2258" s="1250"/>
      <c r="AB2258" s="1250"/>
      <c r="AC2258" s="1250"/>
      <c r="AD2258" s="1250"/>
      <c r="AE2258" s="1249">
        <v>1</v>
      </c>
      <c r="AF2258" s="1250">
        <v>23200</v>
      </c>
      <c r="AG2258" s="111"/>
      <c r="AH2258" s="111"/>
      <c r="AI2258" s="111"/>
      <c r="AJ2258" s="111"/>
      <c r="AK2258" s="111"/>
      <c r="AL2258" s="111"/>
      <c r="AM2258" s="111">
        <v>69600</v>
      </c>
    </row>
    <row r="2259" spans="1:39" ht="15" customHeight="1" x14ac:dyDescent="0.25">
      <c r="A2259" s="1409"/>
      <c r="B2259" s="1409"/>
      <c r="C2259" s="1409"/>
      <c r="D2259" s="1409"/>
      <c r="E2259" s="1286"/>
      <c r="F2259" s="1248" t="s">
        <v>5431</v>
      </c>
      <c r="G2259" s="111"/>
      <c r="H2259" s="1249">
        <v>22</v>
      </c>
      <c r="I2259" s="111" t="s">
        <v>5432</v>
      </c>
      <c r="J2259" s="1321" t="s">
        <v>5608</v>
      </c>
      <c r="K2259" s="162" t="s">
        <v>5610</v>
      </c>
      <c r="L2259" s="162" t="s">
        <v>5609</v>
      </c>
      <c r="M2259" s="111">
        <v>23076.363636363636</v>
      </c>
      <c r="N2259" s="111">
        <v>507680</v>
      </c>
      <c r="O2259" s="111"/>
      <c r="P2259" s="111"/>
      <c r="Q2259" s="111"/>
      <c r="R2259" s="111"/>
      <c r="S2259" s="1249">
        <v>12</v>
      </c>
      <c r="T2259" s="1250">
        <v>169226.66666666666</v>
      </c>
      <c r="U2259" s="1250"/>
      <c r="V2259" s="1250"/>
      <c r="W2259" s="1251">
        <v>5</v>
      </c>
      <c r="X2259" s="1250">
        <v>169226.66666666666</v>
      </c>
      <c r="Y2259" s="1250"/>
      <c r="Z2259" s="1250"/>
      <c r="AA2259" s="1250"/>
      <c r="AB2259" s="1250"/>
      <c r="AC2259" s="1250"/>
      <c r="AD2259" s="1250"/>
      <c r="AE2259" s="1249">
        <v>5</v>
      </c>
      <c r="AF2259" s="1250">
        <v>169226.66666666666</v>
      </c>
      <c r="AG2259" s="111"/>
      <c r="AH2259" s="111"/>
      <c r="AI2259" s="111"/>
      <c r="AJ2259" s="111"/>
      <c r="AK2259" s="111"/>
      <c r="AL2259" s="111"/>
      <c r="AM2259" s="111">
        <v>507680</v>
      </c>
    </row>
    <row r="2260" spans="1:39" ht="15" customHeight="1" x14ac:dyDescent="0.25">
      <c r="A2260" s="1409"/>
      <c r="B2260" s="1409"/>
      <c r="C2260" s="1409"/>
      <c r="D2260" s="1409"/>
      <c r="E2260" s="1286"/>
      <c r="F2260" s="1248"/>
      <c r="G2260" s="111"/>
      <c r="H2260" s="1249"/>
      <c r="I2260" s="111"/>
      <c r="J2260" s="111"/>
      <c r="K2260" s="111"/>
      <c r="L2260" s="111"/>
      <c r="M2260" s="111"/>
      <c r="N2260" s="111"/>
      <c r="O2260" s="111"/>
      <c r="P2260" s="111"/>
      <c r="Q2260" s="111"/>
      <c r="R2260" s="111"/>
      <c r="S2260" s="1249"/>
      <c r="T2260" s="1250"/>
      <c r="U2260" s="1250"/>
      <c r="V2260" s="1250"/>
      <c r="W2260" s="1251"/>
      <c r="X2260" s="1250"/>
      <c r="Y2260" s="1250"/>
      <c r="Z2260" s="1250"/>
      <c r="AA2260" s="1250"/>
      <c r="AB2260" s="1250"/>
      <c r="AC2260" s="1250"/>
      <c r="AD2260" s="1250"/>
      <c r="AE2260" s="1249"/>
      <c r="AF2260" s="1250"/>
      <c r="AG2260" s="111"/>
      <c r="AH2260" s="111"/>
      <c r="AI2260" s="111"/>
      <c r="AJ2260" s="111"/>
      <c r="AK2260" s="111"/>
      <c r="AL2260" s="111"/>
      <c r="AM2260" s="111"/>
    </row>
    <row r="2261" spans="1:39" ht="15" customHeight="1" x14ac:dyDescent="0.25">
      <c r="A2261" s="1409"/>
      <c r="B2261" s="1409"/>
      <c r="C2261" s="1409"/>
      <c r="D2261" s="1409"/>
      <c r="E2261" s="1218">
        <v>312</v>
      </c>
      <c r="F2261" s="1268" t="s">
        <v>790</v>
      </c>
      <c r="G2261" s="1218"/>
      <c r="H2261" s="1218"/>
      <c r="I2261" s="1218"/>
      <c r="J2261" s="1218"/>
      <c r="K2261" s="1218"/>
      <c r="L2261" s="1218"/>
      <c r="M2261" s="1218"/>
      <c r="N2261" s="1218"/>
      <c r="O2261" s="1218"/>
      <c r="P2261" s="1218"/>
      <c r="Q2261" s="1218"/>
      <c r="R2261" s="1218"/>
      <c r="S2261" s="1218"/>
      <c r="T2261" s="1218"/>
      <c r="U2261" s="1218"/>
      <c r="V2261" s="1218"/>
      <c r="W2261" s="1218"/>
      <c r="X2261" s="1218"/>
      <c r="Y2261" s="1218"/>
      <c r="Z2261" s="1218"/>
      <c r="AA2261" s="1218"/>
      <c r="AB2261" s="1218"/>
      <c r="AC2261" s="1218"/>
      <c r="AD2261" s="1218"/>
      <c r="AE2261" s="1218"/>
      <c r="AF2261" s="1218"/>
      <c r="AG2261" s="1218"/>
      <c r="AH2261" s="1218"/>
      <c r="AI2261" s="1218"/>
      <c r="AJ2261" s="1218"/>
      <c r="AK2261" s="1218"/>
      <c r="AL2261" s="1218"/>
      <c r="AM2261" s="1218"/>
    </row>
    <row r="2262" spans="1:39" ht="15" customHeight="1" x14ac:dyDescent="0.25">
      <c r="A2262" s="1409"/>
      <c r="B2262" s="1409"/>
      <c r="C2262" s="1409"/>
      <c r="D2262" s="1409"/>
      <c r="E2262" s="1247"/>
      <c r="F2262" s="1248"/>
      <c r="G2262" s="111"/>
      <c r="H2262" s="1249"/>
      <c r="I2262" s="111"/>
      <c r="J2262" s="111"/>
      <c r="K2262" s="111"/>
      <c r="L2262" s="111"/>
      <c r="M2262" s="111"/>
      <c r="N2262" s="111"/>
      <c r="O2262" s="111"/>
      <c r="P2262" s="111"/>
      <c r="Q2262" s="111"/>
      <c r="R2262" s="111"/>
      <c r="S2262" s="1249"/>
      <c r="T2262" s="1250"/>
      <c r="U2262" s="1250"/>
      <c r="V2262" s="1250"/>
      <c r="W2262" s="1251"/>
      <c r="X2262" s="1250"/>
      <c r="Y2262" s="1250"/>
      <c r="Z2262" s="1250"/>
      <c r="AA2262" s="1250"/>
      <c r="AB2262" s="1250"/>
      <c r="AC2262" s="1250"/>
      <c r="AD2262" s="1250"/>
      <c r="AE2262" s="1249"/>
      <c r="AF2262" s="1250"/>
      <c r="AG2262" s="111"/>
      <c r="AH2262" s="111"/>
      <c r="AI2262" s="111"/>
      <c r="AJ2262" s="111"/>
      <c r="AK2262" s="111"/>
      <c r="AL2262" s="111"/>
      <c r="AM2262" s="111"/>
    </row>
    <row r="2263" spans="1:39" ht="15" customHeight="1" x14ac:dyDescent="0.25">
      <c r="A2263" s="1409"/>
      <c r="B2263" s="1409"/>
      <c r="C2263" s="1409"/>
      <c r="D2263" s="1409"/>
      <c r="E2263" s="1261">
        <v>31201</v>
      </c>
      <c r="F2263" s="1262" t="s">
        <v>790</v>
      </c>
      <c r="G2263" s="1261"/>
      <c r="H2263" s="1261"/>
      <c r="I2263" s="1261"/>
      <c r="J2263" s="1261"/>
      <c r="K2263" s="1261"/>
      <c r="L2263" s="1261"/>
      <c r="M2263" s="1261"/>
      <c r="N2263" s="1261"/>
      <c r="O2263" s="1261"/>
      <c r="P2263" s="1261"/>
      <c r="Q2263" s="1261"/>
      <c r="R2263" s="1261"/>
      <c r="S2263" s="1261"/>
      <c r="T2263" s="1261"/>
      <c r="U2263" s="1261"/>
      <c r="V2263" s="1261"/>
      <c r="W2263" s="1261"/>
      <c r="X2263" s="1261"/>
      <c r="Y2263" s="1261"/>
      <c r="Z2263" s="1261"/>
      <c r="AA2263" s="1261"/>
      <c r="AB2263" s="1261"/>
      <c r="AC2263" s="1261"/>
      <c r="AD2263" s="1261"/>
      <c r="AE2263" s="1261"/>
      <c r="AF2263" s="1261"/>
      <c r="AG2263" s="1261"/>
      <c r="AH2263" s="1261"/>
      <c r="AI2263" s="1261"/>
      <c r="AJ2263" s="1261"/>
      <c r="AK2263" s="1261"/>
      <c r="AL2263" s="1261"/>
      <c r="AM2263" s="1261"/>
    </row>
    <row r="2264" spans="1:39" ht="15" customHeight="1" x14ac:dyDescent="0.25">
      <c r="A2264" s="1409"/>
      <c r="B2264" s="1409"/>
      <c r="C2264" s="1409"/>
      <c r="D2264" s="1409"/>
      <c r="E2264" s="1247"/>
      <c r="F2264" s="1248" t="s">
        <v>790</v>
      </c>
      <c r="G2264" s="111"/>
      <c r="H2264" s="1249">
        <v>4</v>
      </c>
      <c r="I2264" s="111" t="s">
        <v>1755</v>
      </c>
      <c r="J2264" s="1321" t="s">
        <v>5608</v>
      </c>
      <c r="K2264" s="162" t="s">
        <v>5610</v>
      </c>
      <c r="L2264" s="162" t="s">
        <v>5609</v>
      </c>
      <c r="M2264" s="111">
        <v>5220</v>
      </c>
      <c r="N2264" s="111">
        <v>20880</v>
      </c>
      <c r="O2264" s="111"/>
      <c r="P2264" s="111"/>
      <c r="Q2264" s="111"/>
      <c r="R2264" s="111"/>
      <c r="S2264" s="1249">
        <v>2</v>
      </c>
      <c r="T2264" s="1250">
        <v>6960</v>
      </c>
      <c r="U2264" s="1250"/>
      <c r="V2264" s="1250"/>
      <c r="W2264" s="1251">
        <v>1</v>
      </c>
      <c r="X2264" s="1250">
        <v>6960</v>
      </c>
      <c r="Y2264" s="1250"/>
      <c r="Z2264" s="1250"/>
      <c r="AA2264" s="1250"/>
      <c r="AB2264" s="1250"/>
      <c r="AC2264" s="1250"/>
      <c r="AD2264" s="1250"/>
      <c r="AE2264" s="1249">
        <v>1</v>
      </c>
      <c r="AF2264" s="1250">
        <v>6960</v>
      </c>
      <c r="AG2264" s="111"/>
      <c r="AH2264" s="111"/>
      <c r="AI2264" s="111"/>
      <c r="AJ2264" s="111"/>
      <c r="AK2264" s="111"/>
      <c r="AL2264" s="111"/>
      <c r="AM2264" s="111">
        <v>20880</v>
      </c>
    </row>
    <row r="2265" spans="1:39" ht="15" customHeight="1" x14ac:dyDescent="0.25">
      <c r="A2265" s="1409"/>
      <c r="B2265" s="1409"/>
      <c r="C2265" s="1409"/>
      <c r="D2265" s="1409"/>
      <c r="E2265" s="1247"/>
      <c r="F2265" s="1248" t="s">
        <v>790</v>
      </c>
      <c r="G2265" s="111"/>
      <c r="H2265" s="1249">
        <v>1</v>
      </c>
      <c r="I2265" s="111" t="s">
        <v>1721</v>
      </c>
      <c r="J2265" s="1321" t="s">
        <v>5608</v>
      </c>
      <c r="K2265" s="162" t="s">
        <v>5610</v>
      </c>
      <c r="L2265" s="162" t="s">
        <v>5609</v>
      </c>
      <c r="M2265" s="111">
        <v>1000</v>
      </c>
      <c r="N2265" s="111">
        <v>1000</v>
      </c>
      <c r="O2265" s="111"/>
      <c r="P2265" s="111"/>
      <c r="Q2265" s="111"/>
      <c r="R2265" s="111"/>
      <c r="S2265" s="1249">
        <v>1</v>
      </c>
      <c r="T2265" s="1250">
        <v>333.33333333333331</v>
      </c>
      <c r="U2265" s="1250"/>
      <c r="V2265" s="1250"/>
      <c r="W2265" s="1251">
        <v>0</v>
      </c>
      <c r="X2265" s="1250">
        <v>333.33333333333331</v>
      </c>
      <c r="Y2265" s="1250"/>
      <c r="Z2265" s="1250"/>
      <c r="AA2265" s="1250"/>
      <c r="AB2265" s="1250"/>
      <c r="AC2265" s="1250"/>
      <c r="AD2265" s="1250"/>
      <c r="AE2265" s="1249">
        <v>0</v>
      </c>
      <c r="AF2265" s="1250">
        <v>333.33333333333331</v>
      </c>
      <c r="AG2265" s="111"/>
      <c r="AH2265" s="111"/>
      <c r="AI2265" s="111"/>
      <c r="AJ2265" s="111"/>
      <c r="AK2265" s="111"/>
      <c r="AL2265" s="111"/>
      <c r="AM2265" s="111">
        <v>1000</v>
      </c>
    </row>
    <row r="2266" spans="1:39" ht="15" customHeight="1" x14ac:dyDescent="0.25">
      <c r="A2266" s="1409"/>
      <c r="B2266" s="1409"/>
      <c r="C2266" s="1409"/>
      <c r="D2266" s="1409"/>
      <c r="E2266" s="1286"/>
      <c r="F2266" s="1248" t="s">
        <v>5433</v>
      </c>
      <c r="G2266" s="111"/>
      <c r="H2266" s="1249">
        <v>13</v>
      </c>
      <c r="I2266" s="111" t="s">
        <v>1755</v>
      </c>
      <c r="J2266" s="1321" t="s">
        <v>5608</v>
      </c>
      <c r="K2266" s="162" t="s">
        <v>5610</v>
      </c>
      <c r="L2266" s="162" t="s">
        <v>5609</v>
      </c>
      <c r="M2266" s="111">
        <v>1556.9230769230769</v>
      </c>
      <c r="N2266" s="111">
        <v>20240</v>
      </c>
      <c r="O2266" s="111"/>
      <c r="P2266" s="111"/>
      <c r="Q2266" s="111"/>
      <c r="R2266" s="111"/>
      <c r="S2266" s="1249">
        <v>5</v>
      </c>
      <c r="T2266" s="1250">
        <v>6746.666666666667</v>
      </c>
      <c r="U2266" s="1250"/>
      <c r="V2266" s="1250"/>
      <c r="W2266" s="1251">
        <v>5</v>
      </c>
      <c r="X2266" s="1250">
        <v>6746.666666666667</v>
      </c>
      <c r="Y2266" s="1250"/>
      <c r="Z2266" s="1250"/>
      <c r="AA2266" s="1250"/>
      <c r="AB2266" s="1250"/>
      <c r="AC2266" s="1250"/>
      <c r="AD2266" s="1250"/>
      <c r="AE2266" s="1249">
        <v>3</v>
      </c>
      <c r="AF2266" s="1250">
        <v>6746.666666666667</v>
      </c>
      <c r="AG2266" s="111"/>
      <c r="AH2266" s="111"/>
      <c r="AI2266" s="111"/>
      <c r="AJ2266" s="111"/>
      <c r="AK2266" s="111"/>
      <c r="AL2266" s="111"/>
      <c r="AM2266" s="111">
        <v>20240</v>
      </c>
    </row>
    <row r="2267" spans="1:39" ht="15" customHeight="1" x14ac:dyDescent="0.25">
      <c r="A2267" s="1409"/>
      <c r="B2267" s="1409"/>
      <c r="C2267" s="1409"/>
      <c r="D2267" s="1409"/>
      <c r="E2267" s="1286"/>
      <c r="F2267" s="1248" t="s">
        <v>5434</v>
      </c>
      <c r="G2267" s="111"/>
      <c r="H2267" s="1249">
        <v>10</v>
      </c>
      <c r="I2267" s="111" t="s">
        <v>5435</v>
      </c>
      <c r="J2267" s="1321" t="s">
        <v>5608</v>
      </c>
      <c r="K2267" s="162" t="s">
        <v>5610</v>
      </c>
      <c r="L2267" s="162" t="s">
        <v>5609</v>
      </c>
      <c r="M2267" s="111">
        <v>700</v>
      </c>
      <c r="N2267" s="111">
        <v>7000</v>
      </c>
      <c r="O2267" s="111"/>
      <c r="P2267" s="111"/>
      <c r="Q2267" s="111"/>
      <c r="R2267" s="111"/>
      <c r="S2267" s="1249">
        <v>5</v>
      </c>
      <c r="T2267" s="1250">
        <v>2333.3333333333335</v>
      </c>
      <c r="U2267" s="1250"/>
      <c r="V2267" s="1250"/>
      <c r="W2267" s="1251">
        <v>5</v>
      </c>
      <c r="X2267" s="1250">
        <v>2333.3333333333335</v>
      </c>
      <c r="Y2267" s="1250"/>
      <c r="Z2267" s="1250"/>
      <c r="AA2267" s="1250"/>
      <c r="AB2267" s="1250"/>
      <c r="AC2267" s="1250"/>
      <c r="AD2267" s="1250"/>
      <c r="AE2267" s="1249">
        <v>0</v>
      </c>
      <c r="AF2267" s="1250">
        <v>2333.3333333333335</v>
      </c>
      <c r="AG2267" s="111"/>
      <c r="AH2267" s="111"/>
      <c r="AI2267" s="111"/>
      <c r="AJ2267" s="111"/>
      <c r="AK2267" s="111"/>
      <c r="AL2267" s="111"/>
      <c r="AM2267" s="111">
        <v>7000</v>
      </c>
    </row>
    <row r="2268" spans="1:39" ht="15" customHeight="1" x14ac:dyDescent="0.25">
      <c r="A2268" s="1409"/>
      <c r="B2268" s="1409"/>
      <c r="C2268" s="1409"/>
      <c r="D2268" s="1409"/>
      <c r="E2268" s="1286"/>
      <c r="F2268" s="1248"/>
      <c r="G2268" s="111"/>
      <c r="H2268" s="1249"/>
      <c r="I2268" s="111"/>
      <c r="J2268" s="111"/>
      <c r="K2268" s="111"/>
      <c r="L2268" s="111"/>
      <c r="M2268" s="111"/>
      <c r="N2268" s="111"/>
      <c r="O2268" s="111"/>
      <c r="P2268" s="111"/>
      <c r="Q2268" s="111"/>
      <c r="R2268" s="111"/>
      <c r="S2268" s="1249"/>
      <c r="T2268" s="1250"/>
      <c r="U2268" s="1250"/>
      <c r="V2268" s="1250"/>
      <c r="W2268" s="1251"/>
      <c r="X2268" s="1250"/>
      <c r="Y2268" s="1250"/>
      <c r="Z2268" s="1250"/>
      <c r="AA2268" s="1250"/>
      <c r="AB2268" s="1250"/>
      <c r="AC2268" s="1250"/>
      <c r="AD2268" s="1250"/>
      <c r="AE2268" s="1249"/>
      <c r="AF2268" s="1250"/>
      <c r="AG2268" s="111"/>
      <c r="AH2268" s="111"/>
      <c r="AI2268" s="111"/>
      <c r="AJ2268" s="111"/>
      <c r="AK2268" s="111"/>
      <c r="AL2268" s="111"/>
      <c r="AM2268" s="111"/>
    </row>
    <row r="2269" spans="1:39" ht="15" customHeight="1" x14ac:dyDescent="0.25">
      <c r="A2269" s="1409"/>
      <c r="B2269" s="1409"/>
      <c r="C2269" s="1409"/>
      <c r="D2269" s="1409"/>
      <c r="E2269" s="1218">
        <v>313</v>
      </c>
      <c r="F2269" s="1268" t="s">
        <v>793</v>
      </c>
      <c r="G2269" s="1218"/>
      <c r="H2269" s="1218"/>
      <c r="I2269" s="1218"/>
      <c r="J2269" s="1218"/>
      <c r="K2269" s="1218"/>
      <c r="L2269" s="1218"/>
      <c r="M2269" s="1218"/>
      <c r="N2269" s="1218"/>
      <c r="O2269" s="1218"/>
      <c r="P2269" s="1218"/>
      <c r="Q2269" s="1218"/>
      <c r="R2269" s="1218"/>
      <c r="S2269" s="1218"/>
      <c r="T2269" s="1218"/>
      <c r="U2269" s="1218"/>
      <c r="V2269" s="1218"/>
      <c r="W2269" s="1218"/>
      <c r="X2269" s="1218"/>
      <c r="Y2269" s="1218"/>
      <c r="Z2269" s="1218"/>
      <c r="AA2269" s="1218"/>
      <c r="AB2269" s="1218"/>
      <c r="AC2269" s="1218"/>
      <c r="AD2269" s="1218"/>
      <c r="AE2269" s="1218"/>
      <c r="AF2269" s="1218"/>
      <c r="AG2269" s="1218"/>
      <c r="AH2269" s="1218"/>
      <c r="AI2269" s="1218"/>
      <c r="AJ2269" s="1218"/>
      <c r="AK2269" s="1218"/>
      <c r="AL2269" s="1218"/>
      <c r="AM2269" s="1218"/>
    </row>
    <row r="2270" spans="1:39" ht="15" customHeight="1" x14ac:dyDescent="0.25">
      <c r="A2270" s="1409"/>
      <c r="B2270" s="1409"/>
      <c r="C2270" s="1409"/>
      <c r="D2270" s="1409"/>
      <c r="E2270" s="1247"/>
      <c r="F2270" s="1248"/>
      <c r="G2270" s="111"/>
      <c r="H2270" s="1249"/>
      <c r="I2270" s="111"/>
      <c r="J2270" s="111"/>
      <c r="K2270" s="111"/>
      <c r="L2270" s="111"/>
      <c r="M2270" s="111"/>
      <c r="N2270" s="111"/>
      <c r="O2270" s="111"/>
      <c r="P2270" s="111"/>
      <c r="Q2270" s="111"/>
      <c r="R2270" s="111"/>
      <c r="S2270" s="1249"/>
      <c r="T2270" s="1250"/>
      <c r="U2270" s="1250"/>
      <c r="V2270" s="1250"/>
      <c r="W2270" s="1251"/>
      <c r="X2270" s="1250"/>
      <c r="Y2270" s="1250"/>
      <c r="Z2270" s="1250"/>
      <c r="AA2270" s="1250"/>
      <c r="AB2270" s="1250"/>
      <c r="AC2270" s="1250"/>
      <c r="AD2270" s="1250"/>
      <c r="AE2270" s="1249"/>
      <c r="AF2270" s="1250"/>
      <c r="AG2270" s="111"/>
      <c r="AH2270" s="111"/>
      <c r="AI2270" s="111"/>
      <c r="AJ2270" s="111"/>
      <c r="AK2270" s="111"/>
      <c r="AL2270" s="111"/>
      <c r="AM2270" s="111"/>
    </row>
    <row r="2271" spans="1:39" ht="15" customHeight="1" x14ac:dyDescent="0.25">
      <c r="A2271" s="1409"/>
      <c r="B2271" s="1409"/>
      <c r="C2271" s="1409"/>
      <c r="D2271" s="1409"/>
      <c r="E2271" s="1261">
        <v>31301</v>
      </c>
      <c r="F2271" s="1262" t="s">
        <v>793</v>
      </c>
      <c r="G2271" s="1261"/>
      <c r="H2271" s="1261"/>
      <c r="I2271" s="1261"/>
      <c r="J2271" s="1261"/>
      <c r="K2271" s="1261"/>
      <c r="L2271" s="1261"/>
      <c r="M2271" s="1261"/>
      <c r="N2271" s="1261"/>
      <c r="O2271" s="1261"/>
      <c r="P2271" s="1261"/>
      <c r="Q2271" s="1261"/>
      <c r="R2271" s="1261"/>
      <c r="S2271" s="1261"/>
      <c r="T2271" s="1261"/>
      <c r="U2271" s="1261"/>
      <c r="V2271" s="1261"/>
      <c r="W2271" s="1261"/>
      <c r="X2271" s="1261"/>
      <c r="Y2271" s="1261"/>
      <c r="Z2271" s="1261"/>
      <c r="AA2271" s="1261"/>
      <c r="AB2271" s="1261"/>
      <c r="AC2271" s="1261"/>
      <c r="AD2271" s="1261"/>
      <c r="AE2271" s="1261"/>
      <c r="AF2271" s="1261"/>
      <c r="AG2271" s="1261"/>
      <c r="AH2271" s="1261"/>
      <c r="AI2271" s="1261"/>
      <c r="AJ2271" s="1261"/>
      <c r="AK2271" s="1261"/>
      <c r="AL2271" s="1261"/>
      <c r="AM2271" s="1261"/>
    </row>
    <row r="2272" spans="1:39" ht="15" customHeight="1" x14ac:dyDescent="0.25">
      <c r="A2272" s="1409"/>
      <c r="B2272" s="1409"/>
      <c r="C2272" s="1409"/>
      <c r="D2272" s="1409"/>
      <c r="E2272" s="1247"/>
      <c r="F2272" s="1248" t="s">
        <v>793</v>
      </c>
      <c r="G2272" s="111"/>
      <c r="H2272" s="1249">
        <v>12</v>
      </c>
      <c r="I2272" s="111" t="s">
        <v>1755</v>
      </c>
      <c r="J2272" s="1321" t="s">
        <v>5608</v>
      </c>
      <c r="K2272" s="162" t="s">
        <v>5610</v>
      </c>
      <c r="L2272" s="162" t="s">
        <v>5609</v>
      </c>
      <c r="M2272" s="111">
        <v>324</v>
      </c>
      <c r="N2272" s="111">
        <v>3888</v>
      </c>
      <c r="O2272" s="111"/>
      <c r="P2272" s="111"/>
      <c r="Q2272" s="111"/>
      <c r="R2272" s="111"/>
      <c r="S2272" s="1249">
        <v>5</v>
      </c>
      <c r="T2272" s="1250">
        <v>1296</v>
      </c>
      <c r="U2272" s="1250"/>
      <c r="V2272" s="1250"/>
      <c r="W2272" s="1251">
        <v>5</v>
      </c>
      <c r="X2272" s="1250">
        <v>1296</v>
      </c>
      <c r="Y2272" s="1250"/>
      <c r="Z2272" s="1250"/>
      <c r="AA2272" s="1250"/>
      <c r="AB2272" s="1250"/>
      <c r="AC2272" s="1250"/>
      <c r="AD2272" s="1250"/>
      <c r="AE2272" s="1249">
        <v>2</v>
      </c>
      <c r="AF2272" s="1250">
        <v>1296</v>
      </c>
      <c r="AG2272" s="111"/>
      <c r="AH2272" s="111"/>
      <c r="AI2272" s="111"/>
      <c r="AJ2272" s="111"/>
      <c r="AK2272" s="111"/>
      <c r="AL2272" s="111"/>
      <c r="AM2272" s="111">
        <v>3888</v>
      </c>
    </row>
    <row r="2273" spans="1:39" ht="15" customHeight="1" x14ac:dyDescent="0.25">
      <c r="A2273" s="1409"/>
      <c r="B2273" s="1409"/>
      <c r="C2273" s="1409"/>
      <c r="D2273" s="1409"/>
      <c r="E2273" s="1247"/>
      <c r="F2273" s="1248" t="s">
        <v>5436</v>
      </c>
      <c r="G2273" s="111"/>
      <c r="H2273" s="1249">
        <v>16</v>
      </c>
      <c r="I2273" s="111" t="s">
        <v>1755</v>
      </c>
      <c r="J2273" s="1321" t="s">
        <v>5608</v>
      </c>
      <c r="K2273" s="162" t="s">
        <v>5610</v>
      </c>
      <c r="L2273" s="162" t="s">
        <v>5609</v>
      </c>
      <c r="M2273" s="111">
        <v>3345.7725</v>
      </c>
      <c r="N2273" s="111">
        <v>53532.36</v>
      </c>
      <c r="O2273" s="111"/>
      <c r="P2273" s="111"/>
      <c r="Q2273" s="111"/>
      <c r="R2273" s="111"/>
      <c r="S2273" s="1249">
        <v>6</v>
      </c>
      <c r="T2273" s="1250">
        <v>17844.12</v>
      </c>
      <c r="U2273" s="1250"/>
      <c r="V2273" s="1250"/>
      <c r="W2273" s="1251">
        <v>5</v>
      </c>
      <c r="X2273" s="1250">
        <v>17844.12</v>
      </c>
      <c r="Y2273" s="1250"/>
      <c r="Z2273" s="1250"/>
      <c r="AA2273" s="1250"/>
      <c r="AB2273" s="1250"/>
      <c r="AC2273" s="1250"/>
      <c r="AD2273" s="1250"/>
      <c r="AE2273" s="1249">
        <v>5</v>
      </c>
      <c r="AF2273" s="1250">
        <v>17844.12</v>
      </c>
      <c r="AG2273" s="111"/>
      <c r="AH2273" s="111"/>
      <c r="AI2273" s="111"/>
      <c r="AJ2273" s="111"/>
      <c r="AK2273" s="111"/>
      <c r="AL2273" s="111"/>
      <c r="AM2273" s="111">
        <v>53532.36</v>
      </c>
    </row>
    <row r="2274" spans="1:39" ht="15" customHeight="1" x14ac:dyDescent="0.25">
      <c r="A2274" s="1409"/>
      <c r="B2274" s="1409"/>
      <c r="C2274" s="1409"/>
      <c r="D2274" s="1409"/>
      <c r="E2274" s="1247"/>
      <c r="F2274" s="1248" t="s">
        <v>5437</v>
      </c>
      <c r="G2274" s="111"/>
      <c r="H2274" s="1249">
        <v>4</v>
      </c>
      <c r="I2274" s="111" t="s">
        <v>5432</v>
      </c>
      <c r="J2274" s="1321" t="s">
        <v>5608</v>
      </c>
      <c r="K2274" s="162" t="s">
        <v>5610</v>
      </c>
      <c r="L2274" s="162" t="s">
        <v>5609</v>
      </c>
      <c r="M2274" s="111">
        <v>3240</v>
      </c>
      <c r="N2274" s="111">
        <v>12960</v>
      </c>
      <c r="O2274" s="111"/>
      <c r="P2274" s="111"/>
      <c r="Q2274" s="111"/>
      <c r="R2274" s="111"/>
      <c r="S2274" s="1249">
        <v>2</v>
      </c>
      <c r="T2274" s="1250">
        <v>4320</v>
      </c>
      <c r="U2274" s="1250"/>
      <c r="V2274" s="1250"/>
      <c r="W2274" s="1251">
        <v>1</v>
      </c>
      <c r="X2274" s="1250">
        <v>4320</v>
      </c>
      <c r="Y2274" s="1250"/>
      <c r="Z2274" s="1250"/>
      <c r="AA2274" s="1250"/>
      <c r="AB2274" s="1250"/>
      <c r="AC2274" s="1250"/>
      <c r="AD2274" s="1250"/>
      <c r="AE2274" s="1249">
        <v>1</v>
      </c>
      <c r="AF2274" s="1250">
        <v>4320</v>
      </c>
      <c r="AG2274" s="111"/>
      <c r="AH2274" s="111"/>
      <c r="AI2274" s="111"/>
      <c r="AJ2274" s="111"/>
      <c r="AK2274" s="111"/>
      <c r="AL2274" s="111"/>
      <c r="AM2274" s="111">
        <v>12960</v>
      </c>
    </row>
    <row r="2275" spans="1:39" ht="15" customHeight="1" x14ac:dyDescent="0.25">
      <c r="A2275" s="1409"/>
      <c r="B2275" s="1409"/>
      <c r="C2275" s="1409"/>
      <c r="D2275" s="1409"/>
      <c r="E2275" s="1247"/>
      <c r="F2275" s="1248" t="s">
        <v>5438</v>
      </c>
      <c r="G2275" s="111"/>
      <c r="H2275" s="1249">
        <v>4</v>
      </c>
      <c r="I2275" s="111" t="s">
        <v>1755</v>
      </c>
      <c r="J2275" s="1321" t="s">
        <v>5608</v>
      </c>
      <c r="K2275" s="162" t="s">
        <v>5610</v>
      </c>
      <c r="L2275" s="162" t="s">
        <v>5609</v>
      </c>
      <c r="M2275" s="111">
        <v>1378.0800000000002</v>
      </c>
      <c r="N2275" s="111">
        <v>5512.3200000000006</v>
      </c>
      <c r="O2275" s="111"/>
      <c r="P2275" s="111"/>
      <c r="Q2275" s="111"/>
      <c r="R2275" s="111"/>
      <c r="S2275" s="1249">
        <v>2</v>
      </c>
      <c r="T2275" s="1250">
        <v>1837.4400000000003</v>
      </c>
      <c r="U2275" s="1250"/>
      <c r="V2275" s="1250"/>
      <c r="W2275" s="1251">
        <v>1</v>
      </c>
      <c r="X2275" s="1250">
        <v>1837.4400000000003</v>
      </c>
      <c r="Y2275" s="1250"/>
      <c r="Z2275" s="1250"/>
      <c r="AA2275" s="1250"/>
      <c r="AB2275" s="1250"/>
      <c r="AC2275" s="1250"/>
      <c r="AD2275" s="1250"/>
      <c r="AE2275" s="1249">
        <v>1</v>
      </c>
      <c r="AF2275" s="1250">
        <v>1837.4400000000003</v>
      </c>
      <c r="AG2275" s="111"/>
      <c r="AH2275" s="111"/>
      <c r="AI2275" s="111"/>
      <c r="AJ2275" s="111"/>
      <c r="AK2275" s="111"/>
      <c r="AL2275" s="111"/>
      <c r="AM2275" s="111">
        <v>5512.3200000000006</v>
      </c>
    </row>
    <row r="2276" spans="1:39" ht="15" customHeight="1" x14ac:dyDescent="0.25">
      <c r="A2276" s="1409"/>
      <c r="B2276" s="1409"/>
      <c r="C2276" s="1409"/>
      <c r="D2276" s="1409"/>
      <c r="E2276" s="1247"/>
      <c r="F2276" s="1248" t="s">
        <v>5439</v>
      </c>
      <c r="G2276" s="111"/>
      <c r="H2276" s="1249">
        <v>5</v>
      </c>
      <c r="I2276" s="111" t="s">
        <v>1755</v>
      </c>
      <c r="J2276" s="1321" t="s">
        <v>5608</v>
      </c>
      <c r="K2276" s="162" t="s">
        <v>5610</v>
      </c>
      <c r="L2276" s="162" t="s">
        <v>5609</v>
      </c>
      <c r="M2276" s="111">
        <v>756</v>
      </c>
      <c r="N2276" s="111">
        <v>3780</v>
      </c>
      <c r="O2276" s="111"/>
      <c r="P2276" s="111"/>
      <c r="Q2276" s="111"/>
      <c r="R2276" s="111"/>
      <c r="S2276" s="1249">
        <v>2</v>
      </c>
      <c r="T2276" s="1250">
        <v>1260</v>
      </c>
      <c r="U2276" s="1250"/>
      <c r="V2276" s="1250"/>
      <c r="W2276" s="1251">
        <v>2</v>
      </c>
      <c r="X2276" s="1250">
        <v>1260</v>
      </c>
      <c r="Y2276" s="1250"/>
      <c r="Z2276" s="1250"/>
      <c r="AA2276" s="1250"/>
      <c r="AB2276" s="1250"/>
      <c r="AC2276" s="1250"/>
      <c r="AD2276" s="1250"/>
      <c r="AE2276" s="1249">
        <v>1</v>
      </c>
      <c r="AF2276" s="1250">
        <v>1260</v>
      </c>
      <c r="AG2276" s="111"/>
      <c r="AH2276" s="111"/>
      <c r="AI2276" s="111"/>
      <c r="AJ2276" s="111"/>
      <c r="AK2276" s="111"/>
      <c r="AL2276" s="111"/>
      <c r="AM2276" s="111">
        <v>3780</v>
      </c>
    </row>
    <row r="2277" spans="1:39" ht="15" customHeight="1" x14ac:dyDescent="0.25">
      <c r="A2277" s="1409"/>
      <c r="B2277" s="1409"/>
      <c r="C2277" s="1409"/>
      <c r="D2277" s="1409"/>
      <c r="E2277" s="1286"/>
      <c r="F2277" s="1248"/>
      <c r="G2277" s="111"/>
      <c r="H2277" s="1249"/>
      <c r="I2277" s="111"/>
      <c r="J2277" s="111"/>
      <c r="K2277" s="111"/>
      <c r="L2277" s="111"/>
      <c r="M2277" s="111"/>
      <c r="N2277" s="111"/>
      <c r="O2277" s="111"/>
      <c r="P2277" s="111"/>
      <c r="Q2277" s="111"/>
      <c r="R2277" s="111"/>
      <c r="S2277" s="1249"/>
      <c r="T2277" s="1250"/>
      <c r="U2277" s="1250"/>
      <c r="V2277" s="1250"/>
      <c r="W2277" s="1251"/>
      <c r="X2277" s="1250"/>
      <c r="Y2277" s="1250"/>
      <c r="Z2277" s="1250"/>
      <c r="AA2277" s="1250"/>
      <c r="AB2277" s="1250"/>
      <c r="AC2277" s="1250"/>
      <c r="AD2277" s="1250"/>
      <c r="AE2277" s="1249"/>
      <c r="AF2277" s="1250"/>
      <c r="AG2277" s="111"/>
      <c r="AH2277" s="111"/>
      <c r="AI2277" s="111"/>
      <c r="AJ2277" s="111"/>
      <c r="AK2277" s="111"/>
      <c r="AL2277" s="111"/>
      <c r="AM2277" s="111"/>
    </row>
    <row r="2278" spans="1:39" ht="15" customHeight="1" x14ac:dyDescent="0.25">
      <c r="A2278" s="1409"/>
      <c r="B2278" s="1409"/>
      <c r="C2278" s="1409"/>
      <c r="D2278" s="1409"/>
      <c r="E2278" s="1218">
        <v>314</v>
      </c>
      <c r="F2278" s="1268" t="s">
        <v>795</v>
      </c>
      <c r="G2278" s="1218"/>
      <c r="H2278" s="1218"/>
      <c r="I2278" s="1218"/>
      <c r="J2278" s="1218"/>
      <c r="K2278" s="1218"/>
      <c r="L2278" s="1218"/>
      <c r="M2278" s="1218"/>
      <c r="N2278" s="1218"/>
      <c r="O2278" s="1218"/>
      <c r="P2278" s="1218"/>
      <c r="Q2278" s="1218"/>
      <c r="R2278" s="1218"/>
      <c r="S2278" s="1218"/>
      <c r="T2278" s="1218"/>
      <c r="U2278" s="1218"/>
      <c r="V2278" s="1218"/>
      <c r="W2278" s="1218"/>
      <c r="X2278" s="1218"/>
      <c r="Y2278" s="1218"/>
      <c r="Z2278" s="1218"/>
      <c r="AA2278" s="1218"/>
      <c r="AB2278" s="1218"/>
      <c r="AC2278" s="1218"/>
      <c r="AD2278" s="1218"/>
      <c r="AE2278" s="1218"/>
      <c r="AF2278" s="1218"/>
      <c r="AG2278" s="1218"/>
      <c r="AH2278" s="1218"/>
      <c r="AI2278" s="1218"/>
      <c r="AJ2278" s="1218"/>
      <c r="AK2278" s="1218"/>
      <c r="AL2278" s="1218"/>
      <c r="AM2278" s="1218"/>
    </row>
    <row r="2279" spans="1:39" ht="15" customHeight="1" x14ac:dyDescent="0.25">
      <c r="A2279" s="1409"/>
      <c r="B2279" s="1409"/>
      <c r="C2279" s="1409"/>
      <c r="D2279" s="1409"/>
      <c r="E2279" s="1247"/>
      <c r="F2279" s="1248"/>
      <c r="G2279" s="111"/>
      <c r="H2279" s="1249"/>
      <c r="I2279" s="111"/>
      <c r="J2279" s="111"/>
      <c r="K2279" s="111"/>
      <c r="L2279" s="111"/>
      <c r="M2279" s="111"/>
      <c r="N2279" s="111"/>
      <c r="O2279" s="111"/>
      <c r="P2279" s="111"/>
      <c r="Q2279" s="111"/>
      <c r="R2279" s="111"/>
      <c r="S2279" s="1249"/>
      <c r="T2279" s="1250"/>
      <c r="U2279" s="1250"/>
      <c r="V2279" s="1250"/>
      <c r="W2279" s="1251"/>
      <c r="X2279" s="1250"/>
      <c r="Y2279" s="1250"/>
      <c r="Z2279" s="1250"/>
      <c r="AA2279" s="1250"/>
      <c r="AB2279" s="1250"/>
      <c r="AC2279" s="1250"/>
      <c r="AD2279" s="1250"/>
      <c r="AE2279" s="1249"/>
      <c r="AF2279" s="1250"/>
      <c r="AG2279" s="111"/>
      <c r="AH2279" s="111"/>
      <c r="AI2279" s="111"/>
      <c r="AJ2279" s="111"/>
      <c r="AK2279" s="111"/>
      <c r="AL2279" s="111"/>
      <c r="AM2279" s="111"/>
    </row>
    <row r="2280" spans="1:39" ht="15" customHeight="1" x14ac:dyDescent="0.25">
      <c r="A2280" s="1409"/>
      <c r="B2280" s="1409"/>
      <c r="C2280" s="1409"/>
      <c r="D2280" s="1409"/>
      <c r="E2280" s="1261">
        <v>31401</v>
      </c>
      <c r="F2280" s="1262" t="s">
        <v>795</v>
      </c>
      <c r="G2280" s="1261"/>
      <c r="H2280" s="1261"/>
      <c r="I2280" s="1261"/>
      <c r="J2280" s="1261"/>
      <c r="K2280" s="1261"/>
      <c r="L2280" s="1261"/>
      <c r="M2280" s="1261"/>
      <c r="N2280" s="1261"/>
      <c r="O2280" s="1261"/>
      <c r="P2280" s="1261"/>
      <c r="Q2280" s="1261"/>
      <c r="R2280" s="1261"/>
      <c r="S2280" s="1261"/>
      <c r="T2280" s="1261"/>
      <c r="U2280" s="1261"/>
      <c r="V2280" s="1261"/>
      <c r="W2280" s="1261"/>
      <c r="X2280" s="1261"/>
      <c r="Y2280" s="1261"/>
      <c r="Z2280" s="1261"/>
      <c r="AA2280" s="1261"/>
      <c r="AB2280" s="1261"/>
      <c r="AC2280" s="1261"/>
      <c r="AD2280" s="1261"/>
      <c r="AE2280" s="1261"/>
      <c r="AF2280" s="1261"/>
      <c r="AG2280" s="1261"/>
      <c r="AH2280" s="1261"/>
      <c r="AI2280" s="1261"/>
      <c r="AJ2280" s="1261"/>
      <c r="AK2280" s="1261"/>
      <c r="AL2280" s="1261"/>
      <c r="AM2280" s="1261"/>
    </row>
    <row r="2281" spans="1:39" ht="15" customHeight="1" x14ac:dyDescent="0.25">
      <c r="A2281" s="1409"/>
      <c r="B2281" s="1409"/>
      <c r="C2281" s="1409"/>
      <c r="D2281" s="1409"/>
      <c r="E2281" s="1247"/>
      <c r="F2281" s="1248" t="s">
        <v>5440</v>
      </c>
      <c r="G2281" s="111"/>
      <c r="H2281" s="1249">
        <v>16</v>
      </c>
      <c r="I2281" s="111" t="s">
        <v>1755</v>
      </c>
      <c r="J2281" s="1321" t="s">
        <v>5608</v>
      </c>
      <c r="K2281" s="162" t="s">
        <v>5610</v>
      </c>
      <c r="L2281" s="162" t="s">
        <v>5609</v>
      </c>
      <c r="M2281" s="111">
        <v>3141</v>
      </c>
      <c r="N2281" s="111">
        <v>50256</v>
      </c>
      <c r="O2281" s="111"/>
      <c r="P2281" s="111"/>
      <c r="Q2281" s="111"/>
      <c r="R2281" s="111"/>
      <c r="S2281" s="1249">
        <v>6</v>
      </c>
      <c r="T2281" s="1250">
        <v>16752</v>
      </c>
      <c r="U2281" s="1250"/>
      <c r="V2281" s="1250"/>
      <c r="W2281" s="1251">
        <v>5</v>
      </c>
      <c r="X2281" s="1250">
        <v>16752</v>
      </c>
      <c r="Y2281" s="1250"/>
      <c r="Z2281" s="1250"/>
      <c r="AA2281" s="1250"/>
      <c r="AB2281" s="1250"/>
      <c r="AC2281" s="1250"/>
      <c r="AD2281" s="1250"/>
      <c r="AE2281" s="1249">
        <v>5</v>
      </c>
      <c r="AF2281" s="1250">
        <v>16752</v>
      </c>
      <c r="AG2281" s="111"/>
      <c r="AH2281" s="111"/>
      <c r="AI2281" s="111"/>
      <c r="AJ2281" s="111"/>
      <c r="AK2281" s="111"/>
      <c r="AL2281" s="111"/>
      <c r="AM2281" s="111">
        <v>50256</v>
      </c>
    </row>
    <row r="2282" spans="1:39" ht="15" customHeight="1" x14ac:dyDescent="0.25">
      <c r="A2282" s="1409"/>
      <c r="B2282" s="1409"/>
      <c r="C2282" s="1409"/>
      <c r="D2282" s="1409"/>
      <c r="E2282" s="1286"/>
      <c r="F2282" s="1248" t="s">
        <v>5441</v>
      </c>
      <c r="G2282" s="111"/>
      <c r="H2282" s="1249">
        <v>24</v>
      </c>
      <c r="I2282" s="111" t="s">
        <v>1755</v>
      </c>
      <c r="J2282" s="1321" t="s">
        <v>5608</v>
      </c>
      <c r="K2282" s="162" t="s">
        <v>5610</v>
      </c>
      <c r="L2282" s="162" t="s">
        <v>5609</v>
      </c>
      <c r="M2282" s="111">
        <v>466</v>
      </c>
      <c r="N2282" s="111">
        <v>11184</v>
      </c>
      <c r="O2282" s="111"/>
      <c r="P2282" s="111"/>
      <c r="Q2282" s="111"/>
      <c r="R2282" s="111"/>
      <c r="S2282" s="1249">
        <v>14</v>
      </c>
      <c r="T2282" s="1250">
        <v>3728</v>
      </c>
      <c r="U2282" s="1250"/>
      <c r="V2282" s="1250"/>
      <c r="W2282" s="1251">
        <v>5</v>
      </c>
      <c r="X2282" s="1250">
        <v>3728</v>
      </c>
      <c r="Y2282" s="1250"/>
      <c r="Z2282" s="1250"/>
      <c r="AA2282" s="1250"/>
      <c r="AB2282" s="1250"/>
      <c r="AC2282" s="1250"/>
      <c r="AD2282" s="1250"/>
      <c r="AE2282" s="1249">
        <v>5</v>
      </c>
      <c r="AF2282" s="1250">
        <v>3728</v>
      </c>
      <c r="AG2282" s="111"/>
      <c r="AH2282" s="111"/>
      <c r="AI2282" s="111"/>
      <c r="AJ2282" s="111"/>
      <c r="AK2282" s="111"/>
      <c r="AL2282" s="111"/>
      <c r="AM2282" s="111">
        <v>11184</v>
      </c>
    </row>
    <row r="2283" spans="1:39" ht="15" customHeight="1" x14ac:dyDescent="0.25">
      <c r="A2283" s="1409"/>
      <c r="B2283" s="1409"/>
      <c r="C2283" s="1409"/>
      <c r="D2283" s="1409"/>
      <c r="E2283" s="1286"/>
      <c r="F2283" s="1248"/>
      <c r="G2283" s="111"/>
      <c r="H2283" s="1249"/>
      <c r="I2283" s="111"/>
      <c r="J2283" s="111"/>
      <c r="K2283" s="111"/>
      <c r="L2283" s="111"/>
      <c r="M2283" s="111"/>
      <c r="N2283" s="111"/>
      <c r="O2283" s="111"/>
      <c r="P2283" s="111"/>
      <c r="Q2283" s="111"/>
      <c r="R2283" s="111"/>
      <c r="S2283" s="1249"/>
      <c r="T2283" s="1250"/>
      <c r="U2283" s="1250"/>
      <c r="V2283" s="1250"/>
      <c r="W2283" s="1251"/>
      <c r="X2283" s="1250"/>
      <c r="Y2283" s="1250"/>
      <c r="Z2283" s="1250"/>
      <c r="AA2283" s="1250"/>
      <c r="AB2283" s="1250"/>
      <c r="AC2283" s="1250"/>
      <c r="AD2283" s="1250"/>
      <c r="AE2283" s="1249"/>
      <c r="AF2283" s="1250"/>
      <c r="AG2283" s="111"/>
      <c r="AH2283" s="111"/>
      <c r="AI2283" s="111"/>
      <c r="AJ2283" s="111"/>
      <c r="AK2283" s="111"/>
      <c r="AL2283" s="111"/>
      <c r="AM2283" s="111"/>
    </row>
    <row r="2284" spans="1:39" ht="15" customHeight="1" x14ac:dyDescent="0.25">
      <c r="A2284" s="1409"/>
      <c r="B2284" s="1409"/>
      <c r="C2284" s="1409"/>
      <c r="D2284" s="1409"/>
      <c r="E2284" s="1218">
        <v>31700</v>
      </c>
      <c r="F2284" s="1268" t="s">
        <v>800</v>
      </c>
      <c r="G2284" s="1218"/>
      <c r="H2284" s="1218"/>
      <c r="I2284" s="1218"/>
      <c r="J2284" s="1218"/>
      <c r="K2284" s="1218"/>
      <c r="L2284" s="1218"/>
      <c r="M2284" s="1218"/>
      <c r="N2284" s="1218"/>
      <c r="O2284" s="1218"/>
      <c r="P2284" s="1218"/>
      <c r="Q2284" s="1218"/>
      <c r="R2284" s="1218"/>
      <c r="S2284" s="1218"/>
      <c r="T2284" s="1218"/>
      <c r="U2284" s="1218"/>
      <c r="V2284" s="1218"/>
      <c r="W2284" s="1218"/>
      <c r="X2284" s="1218"/>
      <c r="Y2284" s="1218"/>
      <c r="Z2284" s="1218"/>
      <c r="AA2284" s="1218"/>
      <c r="AB2284" s="1218"/>
      <c r="AC2284" s="1218"/>
      <c r="AD2284" s="1218"/>
      <c r="AE2284" s="1218"/>
      <c r="AF2284" s="1218"/>
      <c r="AG2284" s="1218"/>
      <c r="AH2284" s="1218"/>
      <c r="AI2284" s="1218"/>
      <c r="AJ2284" s="1218"/>
      <c r="AK2284" s="1218"/>
      <c r="AL2284" s="1218"/>
      <c r="AM2284" s="1218"/>
    </row>
    <row r="2285" spans="1:39" ht="15" customHeight="1" x14ac:dyDescent="0.25">
      <c r="A2285" s="1409"/>
      <c r="B2285" s="1409"/>
      <c r="C2285" s="1409"/>
      <c r="D2285" s="1409"/>
      <c r="E2285" s="1247"/>
      <c r="F2285" s="1248"/>
      <c r="G2285" s="111"/>
      <c r="H2285" s="1249"/>
      <c r="I2285" s="111"/>
      <c r="J2285" s="111"/>
      <c r="K2285" s="111"/>
      <c r="L2285" s="111"/>
      <c r="M2285" s="111"/>
      <c r="N2285" s="111"/>
      <c r="O2285" s="111"/>
      <c r="P2285" s="111"/>
      <c r="Q2285" s="111"/>
      <c r="R2285" s="111"/>
      <c r="S2285" s="1249"/>
      <c r="T2285" s="1250"/>
      <c r="U2285" s="1250"/>
      <c r="V2285" s="1250"/>
      <c r="W2285" s="1251"/>
      <c r="X2285" s="1250"/>
      <c r="Y2285" s="1250"/>
      <c r="Z2285" s="1250"/>
      <c r="AA2285" s="1250"/>
      <c r="AB2285" s="1250"/>
      <c r="AC2285" s="1250"/>
      <c r="AD2285" s="1250"/>
      <c r="AE2285" s="1249"/>
      <c r="AF2285" s="1250"/>
      <c r="AG2285" s="111"/>
      <c r="AH2285" s="111"/>
      <c r="AI2285" s="111"/>
      <c r="AJ2285" s="111"/>
      <c r="AK2285" s="111"/>
      <c r="AL2285" s="111"/>
      <c r="AM2285" s="111"/>
    </row>
    <row r="2286" spans="1:39" ht="15" customHeight="1" x14ac:dyDescent="0.25">
      <c r="A2286" s="1409"/>
      <c r="B2286" s="1409"/>
      <c r="C2286" s="1409"/>
      <c r="D2286" s="1409"/>
      <c r="E2286" s="1261">
        <v>31701</v>
      </c>
      <c r="F2286" s="1262" t="s">
        <v>800</v>
      </c>
      <c r="G2286" s="1261"/>
      <c r="H2286" s="1261"/>
      <c r="I2286" s="1261"/>
      <c r="J2286" s="1261"/>
      <c r="K2286" s="1261"/>
      <c r="L2286" s="1261"/>
      <c r="M2286" s="1261"/>
      <c r="N2286" s="1261"/>
      <c r="O2286" s="1261"/>
      <c r="P2286" s="1261"/>
      <c r="Q2286" s="1261"/>
      <c r="R2286" s="1261"/>
      <c r="S2286" s="1261"/>
      <c r="T2286" s="1261"/>
      <c r="U2286" s="1261"/>
      <c r="V2286" s="1261"/>
      <c r="W2286" s="1261"/>
      <c r="X2286" s="1261"/>
      <c r="Y2286" s="1261"/>
      <c r="Z2286" s="1261"/>
      <c r="AA2286" s="1261"/>
      <c r="AB2286" s="1261"/>
      <c r="AC2286" s="1261"/>
      <c r="AD2286" s="1261"/>
      <c r="AE2286" s="1261"/>
      <c r="AF2286" s="1261"/>
      <c r="AG2286" s="1261"/>
      <c r="AH2286" s="1261"/>
      <c r="AI2286" s="1261"/>
      <c r="AJ2286" s="1261"/>
      <c r="AK2286" s="1261"/>
      <c r="AL2286" s="1261"/>
      <c r="AM2286" s="1261"/>
    </row>
    <row r="2287" spans="1:39" ht="15" customHeight="1" x14ac:dyDescent="0.25">
      <c r="A2287" s="1409"/>
      <c r="B2287" s="1409"/>
      <c r="C2287" s="1409"/>
      <c r="D2287" s="1409"/>
      <c r="E2287" s="1286"/>
      <c r="F2287" s="1248" t="s">
        <v>5442</v>
      </c>
      <c r="G2287" s="111"/>
      <c r="H2287" s="1249">
        <v>4</v>
      </c>
      <c r="I2287" s="111" t="s">
        <v>1755</v>
      </c>
      <c r="J2287" s="1321" t="s">
        <v>5608</v>
      </c>
      <c r="K2287" s="162" t="s">
        <v>5610</v>
      </c>
      <c r="L2287" s="162" t="s">
        <v>5609</v>
      </c>
      <c r="M2287" s="111">
        <v>1739.9999999999998</v>
      </c>
      <c r="N2287" s="111">
        <v>6959.9999999999991</v>
      </c>
      <c r="O2287" s="111"/>
      <c r="P2287" s="111"/>
      <c r="Q2287" s="111"/>
      <c r="R2287" s="111"/>
      <c r="S2287" s="1249">
        <v>2</v>
      </c>
      <c r="T2287" s="1250">
        <v>2319.9999999999995</v>
      </c>
      <c r="U2287" s="1250"/>
      <c r="V2287" s="1250"/>
      <c r="W2287" s="1251">
        <v>1</v>
      </c>
      <c r="X2287" s="1250">
        <v>2319.9999999999995</v>
      </c>
      <c r="Y2287" s="1250"/>
      <c r="Z2287" s="1250"/>
      <c r="AA2287" s="1250"/>
      <c r="AB2287" s="1250"/>
      <c r="AC2287" s="1250"/>
      <c r="AD2287" s="1250"/>
      <c r="AE2287" s="1249">
        <v>1</v>
      </c>
      <c r="AF2287" s="1250">
        <v>2319.9999999999995</v>
      </c>
      <c r="AG2287" s="111"/>
      <c r="AH2287" s="111"/>
      <c r="AI2287" s="111"/>
      <c r="AJ2287" s="111"/>
      <c r="AK2287" s="111"/>
      <c r="AL2287" s="111"/>
      <c r="AM2287" s="111">
        <v>6959.9999999999991</v>
      </c>
    </row>
    <row r="2288" spans="1:39" ht="15" customHeight="1" x14ac:dyDescent="0.25">
      <c r="A2288" s="1409"/>
      <c r="B2288" s="1409"/>
      <c r="C2288" s="1409"/>
      <c r="D2288" s="1409"/>
      <c r="E2288" s="1286"/>
      <c r="F2288" s="1248" t="s">
        <v>5443</v>
      </c>
      <c r="G2288" s="111"/>
      <c r="H2288" s="1249">
        <v>12</v>
      </c>
      <c r="I2288" s="111" t="s">
        <v>1755</v>
      </c>
      <c r="J2288" s="1321" t="s">
        <v>5608</v>
      </c>
      <c r="K2288" s="162" t="s">
        <v>5610</v>
      </c>
      <c r="L2288" s="162" t="s">
        <v>5609</v>
      </c>
      <c r="M2288" s="111">
        <v>1300</v>
      </c>
      <c r="N2288" s="111">
        <v>15600</v>
      </c>
      <c r="O2288" s="111"/>
      <c r="P2288" s="111"/>
      <c r="Q2288" s="111"/>
      <c r="R2288" s="111"/>
      <c r="S2288" s="1249">
        <v>5</v>
      </c>
      <c r="T2288" s="1250">
        <v>5200</v>
      </c>
      <c r="U2288" s="1250"/>
      <c r="V2288" s="1250"/>
      <c r="W2288" s="1251">
        <v>5</v>
      </c>
      <c r="X2288" s="1250">
        <v>5200</v>
      </c>
      <c r="Y2288" s="1250"/>
      <c r="Z2288" s="1250"/>
      <c r="AA2288" s="1250"/>
      <c r="AB2288" s="1250"/>
      <c r="AC2288" s="1250"/>
      <c r="AD2288" s="1250"/>
      <c r="AE2288" s="1249">
        <v>2</v>
      </c>
      <c r="AF2288" s="1250">
        <v>5200</v>
      </c>
      <c r="AG2288" s="111"/>
      <c r="AH2288" s="111"/>
      <c r="AI2288" s="111"/>
      <c r="AJ2288" s="111"/>
      <c r="AK2288" s="111"/>
      <c r="AL2288" s="111"/>
      <c r="AM2288" s="111">
        <v>15600</v>
      </c>
    </row>
    <row r="2289" spans="1:39" ht="15" customHeight="1" x14ac:dyDescent="0.25">
      <c r="A2289" s="1409"/>
      <c r="B2289" s="1409"/>
      <c r="C2289" s="1409"/>
      <c r="D2289" s="1409"/>
      <c r="E2289" s="1286"/>
      <c r="F2289" s="1248" t="s">
        <v>5444</v>
      </c>
      <c r="G2289" s="111"/>
      <c r="H2289" s="1249">
        <v>60</v>
      </c>
      <c r="I2289" s="111" t="s">
        <v>1755</v>
      </c>
      <c r="J2289" s="1321" t="s">
        <v>5608</v>
      </c>
      <c r="K2289" s="162" t="s">
        <v>5610</v>
      </c>
      <c r="L2289" s="162" t="s">
        <v>5609</v>
      </c>
      <c r="M2289" s="111">
        <v>586.4</v>
      </c>
      <c r="N2289" s="111">
        <v>35184</v>
      </c>
      <c r="O2289" s="111"/>
      <c r="P2289" s="111"/>
      <c r="Q2289" s="111"/>
      <c r="R2289" s="111"/>
      <c r="S2289" s="1249">
        <v>30</v>
      </c>
      <c r="T2289" s="1250">
        <v>11728</v>
      </c>
      <c r="U2289" s="1250"/>
      <c r="V2289" s="1250"/>
      <c r="W2289" s="1251">
        <v>20</v>
      </c>
      <c r="X2289" s="1250">
        <v>11728</v>
      </c>
      <c r="Y2289" s="1250"/>
      <c r="Z2289" s="1250"/>
      <c r="AA2289" s="1250"/>
      <c r="AB2289" s="1250"/>
      <c r="AC2289" s="1250"/>
      <c r="AD2289" s="1250"/>
      <c r="AE2289" s="1249">
        <v>10</v>
      </c>
      <c r="AF2289" s="1250">
        <v>11728</v>
      </c>
      <c r="AG2289" s="111"/>
      <c r="AH2289" s="111"/>
      <c r="AI2289" s="111"/>
      <c r="AJ2289" s="111"/>
      <c r="AK2289" s="111"/>
      <c r="AL2289" s="111"/>
      <c r="AM2289" s="111">
        <v>35184</v>
      </c>
    </row>
    <row r="2290" spans="1:39" ht="15" customHeight="1" x14ac:dyDescent="0.25">
      <c r="A2290" s="1409"/>
      <c r="B2290" s="1409"/>
      <c r="C2290" s="1409"/>
      <c r="D2290" s="1409"/>
      <c r="E2290" s="1286"/>
      <c r="F2290" s="1248"/>
      <c r="G2290" s="111"/>
      <c r="H2290" s="1249"/>
      <c r="I2290" s="111"/>
      <c r="J2290" s="111"/>
      <c r="K2290" s="162" t="s">
        <v>5610</v>
      </c>
      <c r="L2290" s="162" t="s">
        <v>5609</v>
      </c>
      <c r="M2290" s="111"/>
      <c r="N2290" s="111"/>
      <c r="O2290" s="111"/>
      <c r="P2290" s="111"/>
      <c r="Q2290" s="111"/>
      <c r="R2290" s="111"/>
      <c r="S2290" s="1249"/>
      <c r="T2290" s="1250"/>
      <c r="U2290" s="1250"/>
      <c r="V2290" s="1250"/>
      <c r="W2290" s="1251"/>
      <c r="X2290" s="1250"/>
      <c r="Y2290" s="1250"/>
      <c r="Z2290" s="1250"/>
      <c r="AA2290" s="1250"/>
      <c r="AB2290" s="1250"/>
      <c r="AC2290" s="1250"/>
      <c r="AD2290" s="1250"/>
      <c r="AE2290" s="1249"/>
      <c r="AF2290" s="1250"/>
      <c r="AG2290" s="111"/>
      <c r="AH2290" s="111"/>
      <c r="AI2290" s="111"/>
      <c r="AJ2290" s="111"/>
      <c r="AK2290" s="111"/>
      <c r="AL2290" s="111"/>
      <c r="AM2290" s="111"/>
    </row>
    <row r="2291" spans="1:39" ht="15" customHeight="1" x14ac:dyDescent="0.25">
      <c r="A2291" s="1409"/>
      <c r="B2291" s="1409"/>
      <c r="C2291" s="1409"/>
      <c r="D2291" s="1409"/>
      <c r="E2291" s="1218">
        <v>318</v>
      </c>
      <c r="F2291" s="1268" t="s">
        <v>801</v>
      </c>
      <c r="G2291" s="1218"/>
      <c r="H2291" s="1218"/>
      <c r="I2291" s="1218"/>
      <c r="J2291" s="1218"/>
      <c r="K2291" s="1218"/>
      <c r="L2291" s="1218"/>
      <c r="M2291" s="1218"/>
      <c r="N2291" s="1218"/>
      <c r="O2291" s="1218"/>
      <c r="P2291" s="1218"/>
      <c r="Q2291" s="1218"/>
      <c r="R2291" s="1218"/>
      <c r="S2291" s="1218"/>
      <c r="T2291" s="1218"/>
      <c r="U2291" s="1218"/>
      <c r="V2291" s="1218"/>
      <c r="W2291" s="1218"/>
      <c r="X2291" s="1218"/>
      <c r="Y2291" s="1218"/>
      <c r="Z2291" s="1218"/>
      <c r="AA2291" s="1218"/>
      <c r="AB2291" s="1218"/>
      <c r="AC2291" s="1218"/>
      <c r="AD2291" s="1218"/>
      <c r="AE2291" s="1218"/>
      <c r="AF2291" s="1218"/>
      <c r="AG2291" s="1218"/>
      <c r="AH2291" s="1218"/>
      <c r="AI2291" s="1218"/>
      <c r="AJ2291" s="1218"/>
      <c r="AK2291" s="1218"/>
      <c r="AL2291" s="1218"/>
      <c r="AM2291" s="1218"/>
    </row>
    <row r="2292" spans="1:39" ht="15" customHeight="1" x14ac:dyDescent="0.25">
      <c r="A2292" s="1409"/>
      <c r="B2292" s="1409"/>
      <c r="C2292" s="1409"/>
      <c r="D2292" s="1409"/>
      <c r="E2292" s="1247"/>
      <c r="F2292" s="1248"/>
      <c r="G2292" s="111"/>
      <c r="H2292" s="1249"/>
      <c r="I2292" s="111"/>
      <c r="J2292" s="111"/>
      <c r="K2292" s="111"/>
      <c r="L2292" s="111"/>
      <c r="M2292" s="111"/>
      <c r="N2292" s="111"/>
      <c r="O2292" s="111"/>
      <c r="P2292" s="111"/>
      <c r="Q2292" s="111"/>
      <c r="R2292" s="111"/>
      <c r="S2292" s="1249"/>
      <c r="T2292" s="1250"/>
      <c r="U2292" s="1250"/>
      <c r="V2292" s="1250"/>
      <c r="W2292" s="1251"/>
      <c r="X2292" s="1250"/>
      <c r="Y2292" s="1250"/>
      <c r="Z2292" s="1250"/>
      <c r="AA2292" s="1250"/>
      <c r="AB2292" s="1250"/>
      <c r="AC2292" s="1250"/>
      <c r="AD2292" s="1250"/>
      <c r="AE2292" s="1249"/>
      <c r="AF2292" s="1250"/>
      <c r="AG2292" s="111"/>
      <c r="AH2292" s="111"/>
      <c r="AI2292" s="111"/>
      <c r="AJ2292" s="111"/>
      <c r="AK2292" s="111"/>
      <c r="AL2292" s="111"/>
      <c r="AM2292" s="111"/>
    </row>
    <row r="2293" spans="1:39" ht="15" customHeight="1" x14ac:dyDescent="0.25">
      <c r="A2293" s="1409"/>
      <c r="B2293" s="1409"/>
      <c r="C2293" s="1409"/>
      <c r="D2293" s="1409"/>
      <c r="E2293" s="1261">
        <v>31801</v>
      </c>
      <c r="F2293" s="1262" t="s">
        <v>802</v>
      </c>
      <c r="G2293" s="1261"/>
      <c r="H2293" s="1261"/>
      <c r="I2293" s="1261"/>
      <c r="J2293" s="1261"/>
      <c r="K2293" s="1261"/>
      <c r="L2293" s="1261"/>
      <c r="M2293" s="1261"/>
      <c r="N2293" s="1261"/>
      <c r="O2293" s="1261"/>
      <c r="P2293" s="1261"/>
      <c r="Q2293" s="1261"/>
      <c r="R2293" s="1261"/>
      <c r="S2293" s="1261"/>
      <c r="T2293" s="1261"/>
      <c r="U2293" s="1261"/>
      <c r="V2293" s="1261"/>
      <c r="W2293" s="1261"/>
      <c r="X2293" s="1261"/>
      <c r="Y2293" s="1261"/>
      <c r="Z2293" s="1261"/>
      <c r="AA2293" s="1261"/>
      <c r="AB2293" s="1261"/>
      <c r="AC2293" s="1261"/>
      <c r="AD2293" s="1261"/>
      <c r="AE2293" s="1261"/>
      <c r="AF2293" s="1261"/>
      <c r="AG2293" s="1261"/>
      <c r="AH2293" s="1261"/>
      <c r="AI2293" s="1261"/>
      <c r="AJ2293" s="1261"/>
      <c r="AK2293" s="1261"/>
      <c r="AL2293" s="1261"/>
      <c r="AM2293" s="1261"/>
    </row>
    <row r="2294" spans="1:39" ht="15" customHeight="1" x14ac:dyDescent="0.25">
      <c r="A2294" s="1409"/>
      <c r="B2294" s="1409"/>
      <c r="C2294" s="1409"/>
      <c r="D2294" s="1409"/>
      <c r="E2294" s="1247"/>
      <c r="F2294" s="1248" t="s">
        <v>3335</v>
      </c>
      <c r="G2294" s="111"/>
      <c r="H2294" s="1249">
        <v>50</v>
      </c>
      <c r="I2294" s="111" t="s">
        <v>3336</v>
      </c>
      <c r="J2294" s="1321" t="s">
        <v>5608</v>
      </c>
      <c r="K2294" s="162" t="s">
        <v>5610</v>
      </c>
      <c r="L2294" s="162" t="s">
        <v>5609</v>
      </c>
      <c r="M2294" s="111">
        <v>286.48469999999998</v>
      </c>
      <c r="N2294" s="111">
        <v>14324.234999999999</v>
      </c>
      <c r="O2294" s="111"/>
      <c r="P2294" s="111"/>
      <c r="Q2294" s="111"/>
      <c r="R2294" s="111"/>
      <c r="S2294" s="1249">
        <v>20</v>
      </c>
      <c r="T2294" s="1250">
        <v>4774.7449999999999</v>
      </c>
      <c r="U2294" s="1250"/>
      <c r="V2294" s="1250"/>
      <c r="W2294" s="1251">
        <v>20</v>
      </c>
      <c r="X2294" s="1250">
        <v>4774.7449999999999</v>
      </c>
      <c r="Y2294" s="1250"/>
      <c r="Z2294" s="1250"/>
      <c r="AA2294" s="1250"/>
      <c r="AB2294" s="1250"/>
      <c r="AC2294" s="1250"/>
      <c r="AD2294" s="1250"/>
      <c r="AE2294" s="1249">
        <v>10</v>
      </c>
      <c r="AF2294" s="1250">
        <v>4774.7449999999999</v>
      </c>
      <c r="AG2294" s="111"/>
      <c r="AH2294" s="111"/>
      <c r="AI2294" s="111"/>
      <c r="AJ2294" s="111"/>
      <c r="AK2294" s="111"/>
      <c r="AL2294" s="111"/>
      <c r="AM2294" s="111">
        <v>14324.234999999999</v>
      </c>
    </row>
    <row r="2295" spans="1:39" ht="15" customHeight="1" x14ac:dyDescent="0.25">
      <c r="A2295" s="1409"/>
      <c r="B2295" s="1409"/>
      <c r="C2295" s="1409"/>
      <c r="D2295" s="1409"/>
      <c r="E2295" s="1247"/>
      <c r="F2295" s="1248" t="s">
        <v>5445</v>
      </c>
      <c r="G2295" s="111"/>
      <c r="H2295" s="1249">
        <v>1</v>
      </c>
      <c r="I2295" s="111" t="s">
        <v>1755</v>
      </c>
      <c r="J2295" s="1321" t="s">
        <v>5608</v>
      </c>
      <c r="K2295" s="162" t="s">
        <v>5610</v>
      </c>
      <c r="L2295" s="162" t="s">
        <v>5609</v>
      </c>
      <c r="M2295" s="111">
        <v>290</v>
      </c>
      <c r="N2295" s="111">
        <v>290</v>
      </c>
      <c r="O2295" s="111"/>
      <c r="P2295" s="111"/>
      <c r="Q2295" s="111"/>
      <c r="R2295" s="111"/>
      <c r="S2295" s="1249">
        <v>1</v>
      </c>
      <c r="T2295" s="1250">
        <v>96.666666666666671</v>
      </c>
      <c r="U2295" s="1250"/>
      <c r="V2295" s="1250"/>
      <c r="W2295" s="1251">
        <v>0</v>
      </c>
      <c r="X2295" s="1250">
        <v>96.666666666666671</v>
      </c>
      <c r="Y2295" s="1250"/>
      <c r="Z2295" s="1250"/>
      <c r="AA2295" s="1250"/>
      <c r="AB2295" s="1250"/>
      <c r="AC2295" s="1250"/>
      <c r="AD2295" s="1250"/>
      <c r="AE2295" s="1249">
        <v>0</v>
      </c>
      <c r="AF2295" s="1250">
        <v>96.666666666666671</v>
      </c>
      <c r="AG2295" s="111"/>
      <c r="AH2295" s="111"/>
      <c r="AI2295" s="111"/>
      <c r="AJ2295" s="111"/>
      <c r="AK2295" s="111"/>
      <c r="AL2295" s="111"/>
      <c r="AM2295" s="111">
        <v>290</v>
      </c>
    </row>
    <row r="2296" spans="1:39" ht="15" customHeight="1" x14ac:dyDescent="0.25">
      <c r="A2296" s="1409"/>
      <c r="B2296" s="1409"/>
      <c r="C2296" s="1409"/>
      <c r="D2296" s="1409"/>
      <c r="E2296" s="1286"/>
      <c r="F2296" s="1248" t="s">
        <v>5446</v>
      </c>
      <c r="G2296" s="111"/>
      <c r="H2296" s="1249">
        <v>22</v>
      </c>
      <c r="I2296" s="111" t="s">
        <v>1755</v>
      </c>
      <c r="J2296" s="1321" t="s">
        <v>5608</v>
      </c>
      <c r="K2296" s="162" t="s">
        <v>5610</v>
      </c>
      <c r="L2296" s="162" t="s">
        <v>5609</v>
      </c>
      <c r="M2296" s="111">
        <v>709.09090909090912</v>
      </c>
      <c r="N2296" s="111">
        <v>15600</v>
      </c>
      <c r="O2296" s="111"/>
      <c r="P2296" s="111"/>
      <c r="Q2296" s="111"/>
      <c r="R2296" s="111"/>
      <c r="S2296" s="1249">
        <v>12</v>
      </c>
      <c r="T2296" s="1250">
        <v>5200</v>
      </c>
      <c r="U2296" s="1250"/>
      <c r="V2296" s="1250"/>
      <c r="W2296" s="1251">
        <v>5</v>
      </c>
      <c r="X2296" s="1250">
        <v>5200</v>
      </c>
      <c r="Y2296" s="1250"/>
      <c r="Z2296" s="1250"/>
      <c r="AA2296" s="1250"/>
      <c r="AB2296" s="1250"/>
      <c r="AC2296" s="1250"/>
      <c r="AD2296" s="1250"/>
      <c r="AE2296" s="1249">
        <v>5</v>
      </c>
      <c r="AF2296" s="1250">
        <v>5200</v>
      </c>
      <c r="AG2296" s="111"/>
      <c r="AH2296" s="111"/>
      <c r="AI2296" s="111"/>
      <c r="AJ2296" s="111"/>
      <c r="AK2296" s="111"/>
      <c r="AL2296" s="111"/>
      <c r="AM2296" s="111">
        <v>15600</v>
      </c>
    </row>
    <row r="2297" spans="1:39" ht="15" customHeight="1" x14ac:dyDescent="0.25">
      <c r="A2297" s="1409"/>
      <c r="B2297" s="1409"/>
      <c r="C2297" s="1409"/>
      <c r="D2297" s="1409"/>
      <c r="E2297" s="1288"/>
      <c r="F2297" s="1248"/>
      <c r="G2297" s="111"/>
      <c r="H2297" s="1249"/>
      <c r="I2297" s="111"/>
      <c r="J2297" s="111"/>
      <c r="K2297" s="111"/>
      <c r="L2297" s="111"/>
      <c r="M2297" s="111"/>
      <c r="N2297" s="111"/>
      <c r="O2297" s="111"/>
      <c r="P2297" s="111"/>
      <c r="Q2297" s="111"/>
      <c r="R2297" s="111"/>
      <c r="S2297" s="1249"/>
      <c r="T2297" s="1250"/>
      <c r="U2297" s="1250"/>
      <c r="V2297" s="1250"/>
      <c r="W2297" s="1251"/>
      <c r="X2297" s="1250"/>
      <c r="Y2297" s="1250"/>
      <c r="Z2297" s="1250"/>
      <c r="AA2297" s="1250"/>
      <c r="AB2297" s="1250"/>
      <c r="AC2297" s="1250"/>
      <c r="AD2297" s="1250"/>
      <c r="AE2297" s="1249"/>
      <c r="AF2297" s="1250"/>
      <c r="AG2297" s="111"/>
      <c r="AH2297" s="111"/>
      <c r="AI2297" s="111"/>
      <c r="AJ2297" s="111"/>
      <c r="AK2297" s="111"/>
      <c r="AL2297" s="111"/>
      <c r="AM2297" s="111"/>
    </row>
    <row r="2298" spans="1:39" ht="36" customHeight="1" x14ac:dyDescent="0.25">
      <c r="A2298" s="1409"/>
      <c r="B2298" s="1409"/>
      <c r="C2298" s="1409"/>
      <c r="D2298" s="1409"/>
      <c r="E2298" s="1204">
        <v>3200</v>
      </c>
      <c r="F2298" s="1274" t="s">
        <v>809</v>
      </c>
      <c r="G2298" s="1204"/>
      <c r="H2298" s="1204"/>
      <c r="I2298" s="1204"/>
      <c r="J2298" s="1204"/>
      <c r="K2298" s="1204"/>
      <c r="L2298" s="1204"/>
      <c r="M2298" s="1204"/>
      <c r="N2298" s="1204"/>
      <c r="O2298" s="1204"/>
      <c r="P2298" s="1204"/>
      <c r="Q2298" s="1204"/>
      <c r="R2298" s="1204"/>
      <c r="S2298" s="1204"/>
      <c r="T2298" s="1204"/>
      <c r="U2298" s="1204"/>
      <c r="V2298" s="1204"/>
      <c r="W2298" s="1204"/>
      <c r="X2298" s="1204"/>
      <c r="Y2298" s="1204"/>
      <c r="Z2298" s="1204"/>
      <c r="AA2298" s="1204"/>
      <c r="AB2298" s="1204"/>
      <c r="AC2298" s="1204"/>
      <c r="AD2298" s="1204"/>
      <c r="AE2298" s="1204"/>
      <c r="AF2298" s="1204"/>
      <c r="AG2298" s="1204"/>
      <c r="AH2298" s="1204"/>
      <c r="AI2298" s="1204"/>
      <c r="AJ2298" s="1204"/>
      <c r="AK2298" s="1204"/>
      <c r="AL2298" s="1204"/>
      <c r="AM2298" s="1204"/>
    </row>
    <row r="2299" spans="1:39" ht="15" customHeight="1" x14ac:dyDescent="0.25">
      <c r="A2299" s="1409"/>
      <c r="B2299" s="1409"/>
      <c r="C2299" s="1409"/>
      <c r="D2299" s="1409"/>
      <c r="E2299" s="1218">
        <v>322</v>
      </c>
      <c r="F2299" s="1268" t="s">
        <v>811</v>
      </c>
      <c r="G2299" s="1218"/>
      <c r="H2299" s="1218"/>
      <c r="I2299" s="1218"/>
      <c r="J2299" s="1218"/>
      <c r="K2299" s="1218"/>
      <c r="L2299" s="1218"/>
      <c r="M2299" s="1218"/>
      <c r="N2299" s="1218"/>
      <c r="O2299" s="1218"/>
      <c r="P2299" s="1218"/>
      <c r="Q2299" s="1218"/>
      <c r="R2299" s="1218"/>
      <c r="S2299" s="1218"/>
      <c r="T2299" s="1218"/>
      <c r="U2299" s="1218"/>
      <c r="V2299" s="1218"/>
      <c r="W2299" s="1218"/>
      <c r="X2299" s="1218"/>
      <c r="Y2299" s="1218"/>
      <c r="Z2299" s="1218"/>
      <c r="AA2299" s="1218"/>
      <c r="AB2299" s="1218"/>
      <c r="AC2299" s="1218"/>
      <c r="AD2299" s="1218"/>
      <c r="AE2299" s="1218"/>
      <c r="AF2299" s="1218"/>
      <c r="AG2299" s="1218"/>
      <c r="AH2299" s="1218"/>
      <c r="AI2299" s="1218"/>
      <c r="AJ2299" s="1218"/>
      <c r="AK2299" s="1218"/>
      <c r="AL2299" s="1218"/>
      <c r="AM2299" s="1218"/>
    </row>
    <row r="2300" spans="1:39" ht="15" customHeight="1" x14ac:dyDescent="0.25">
      <c r="A2300" s="1409"/>
      <c r="B2300" s="1409"/>
      <c r="C2300" s="1409"/>
      <c r="D2300" s="1409"/>
      <c r="E2300" s="1247"/>
      <c r="F2300" s="1248"/>
      <c r="G2300" s="111"/>
      <c r="H2300" s="1249"/>
      <c r="I2300" s="111"/>
      <c r="J2300" s="111"/>
      <c r="K2300" s="111"/>
      <c r="L2300" s="111"/>
      <c r="M2300" s="111"/>
      <c r="N2300" s="111"/>
      <c r="O2300" s="111"/>
      <c r="P2300" s="111"/>
      <c r="Q2300" s="111"/>
      <c r="R2300" s="111"/>
      <c r="S2300" s="1249"/>
      <c r="T2300" s="1250"/>
      <c r="U2300" s="1250"/>
      <c r="V2300" s="1250"/>
      <c r="W2300" s="1251"/>
      <c r="X2300" s="1250"/>
      <c r="Y2300" s="1250"/>
      <c r="Z2300" s="1250"/>
      <c r="AA2300" s="1250"/>
      <c r="AB2300" s="1250"/>
      <c r="AC2300" s="1250"/>
      <c r="AD2300" s="1250"/>
      <c r="AE2300" s="1249"/>
      <c r="AF2300" s="1250"/>
      <c r="AG2300" s="111"/>
      <c r="AH2300" s="111"/>
      <c r="AI2300" s="111"/>
      <c r="AJ2300" s="111"/>
      <c r="AK2300" s="111"/>
      <c r="AL2300" s="111"/>
      <c r="AM2300" s="111"/>
    </row>
    <row r="2301" spans="1:39" ht="15" customHeight="1" x14ac:dyDescent="0.25">
      <c r="A2301" s="1409"/>
      <c r="B2301" s="1409"/>
      <c r="C2301" s="1409"/>
      <c r="D2301" s="1409"/>
      <c r="E2301" s="1261">
        <v>32201</v>
      </c>
      <c r="F2301" s="1262" t="s">
        <v>812</v>
      </c>
      <c r="G2301" s="1261"/>
      <c r="H2301" s="1261"/>
      <c r="I2301" s="1261"/>
      <c r="J2301" s="1261"/>
      <c r="K2301" s="1261"/>
      <c r="L2301" s="1261"/>
      <c r="M2301" s="1261"/>
      <c r="N2301" s="1261"/>
      <c r="O2301" s="1261"/>
      <c r="P2301" s="1261"/>
      <c r="Q2301" s="1261"/>
      <c r="R2301" s="1261"/>
      <c r="S2301" s="1261"/>
      <c r="T2301" s="1261"/>
      <c r="U2301" s="1261"/>
      <c r="V2301" s="1261"/>
      <c r="W2301" s="1261"/>
      <c r="X2301" s="1261"/>
      <c r="Y2301" s="1261"/>
      <c r="Z2301" s="1261"/>
      <c r="AA2301" s="1261"/>
      <c r="AB2301" s="1261"/>
      <c r="AC2301" s="1261"/>
      <c r="AD2301" s="1261"/>
      <c r="AE2301" s="1261"/>
      <c r="AF2301" s="1261"/>
      <c r="AG2301" s="1261"/>
      <c r="AH2301" s="1261"/>
      <c r="AI2301" s="1261"/>
      <c r="AJ2301" s="1261"/>
      <c r="AK2301" s="1261"/>
      <c r="AL2301" s="1261"/>
      <c r="AM2301" s="1261"/>
    </row>
    <row r="2302" spans="1:39" ht="15" customHeight="1" x14ac:dyDescent="0.25">
      <c r="A2302" s="1409"/>
      <c r="B2302" s="1409"/>
      <c r="C2302" s="1409"/>
      <c r="D2302" s="1409"/>
      <c r="E2302" s="1286"/>
      <c r="F2302" s="1248" t="s">
        <v>5447</v>
      </c>
      <c r="G2302" s="111"/>
      <c r="H2302" s="1249">
        <v>1</v>
      </c>
      <c r="I2302" s="111" t="s">
        <v>1755</v>
      </c>
      <c r="J2302" s="1321" t="s">
        <v>5608</v>
      </c>
      <c r="K2302" s="162" t="s">
        <v>5610</v>
      </c>
      <c r="L2302" s="162" t="s">
        <v>5609</v>
      </c>
      <c r="M2302" s="111">
        <v>7020</v>
      </c>
      <c r="N2302" s="111">
        <v>7020</v>
      </c>
      <c r="O2302" s="111"/>
      <c r="P2302" s="111"/>
      <c r="Q2302" s="111"/>
      <c r="R2302" s="111"/>
      <c r="S2302" s="1249">
        <v>1</v>
      </c>
      <c r="T2302" s="1250">
        <v>2340</v>
      </c>
      <c r="U2302" s="1250"/>
      <c r="V2302" s="1250"/>
      <c r="W2302" s="1251">
        <v>0</v>
      </c>
      <c r="X2302" s="1250">
        <v>2340</v>
      </c>
      <c r="Y2302" s="1250"/>
      <c r="Z2302" s="1250"/>
      <c r="AA2302" s="1250"/>
      <c r="AB2302" s="1250"/>
      <c r="AC2302" s="1250"/>
      <c r="AD2302" s="1250"/>
      <c r="AE2302" s="1249">
        <v>0</v>
      </c>
      <c r="AF2302" s="1250">
        <v>2340</v>
      </c>
      <c r="AG2302" s="111"/>
      <c r="AH2302" s="111"/>
      <c r="AI2302" s="111"/>
      <c r="AJ2302" s="111"/>
      <c r="AK2302" s="111"/>
      <c r="AL2302" s="111"/>
      <c r="AM2302" s="111">
        <v>7020</v>
      </c>
    </row>
    <row r="2303" spans="1:39" ht="15" customHeight="1" x14ac:dyDescent="0.25">
      <c r="A2303" s="1409"/>
      <c r="B2303" s="1409"/>
      <c r="C2303" s="1409"/>
      <c r="D2303" s="1409"/>
      <c r="E2303" s="1286"/>
      <c r="F2303" s="1248"/>
      <c r="G2303" s="111"/>
      <c r="H2303" s="1249"/>
      <c r="I2303" s="111"/>
      <c r="J2303" s="111"/>
      <c r="K2303" s="111"/>
      <c r="L2303" s="111"/>
      <c r="M2303" s="111"/>
      <c r="N2303" s="111"/>
      <c r="O2303" s="111"/>
      <c r="P2303" s="111"/>
      <c r="Q2303" s="111"/>
      <c r="R2303" s="111"/>
      <c r="S2303" s="1249"/>
      <c r="T2303" s="1250"/>
      <c r="U2303" s="1250"/>
      <c r="V2303" s="1250"/>
      <c r="W2303" s="1251"/>
      <c r="X2303" s="1250"/>
      <c r="Y2303" s="1250"/>
      <c r="Z2303" s="1250"/>
      <c r="AA2303" s="1250"/>
      <c r="AB2303" s="1250"/>
      <c r="AC2303" s="1250"/>
      <c r="AD2303" s="1250"/>
      <c r="AE2303" s="1249"/>
      <c r="AF2303" s="1250"/>
      <c r="AG2303" s="111"/>
      <c r="AH2303" s="111"/>
      <c r="AI2303" s="111"/>
      <c r="AJ2303" s="111"/>
      <c r="AK2303" s="111"/>
      <c r="AL2303" s="111"/>
      <c r="AM2303" s="111"/>
    </row>
    <row r="2304" spans="1:39" ht="15" customHeight="1" x14ac:dyDescent="0.25">
      <c r="A2304" s="1409"/>
      <c r="B2304" s="1409"/>
      <c r="C2304" s="1409"/>
      <c r="D2304" s="1409"/>
      <c r="E2304" s="1218">
        <v>323</v>
      </c>
      <c r="F2304" s="1268" t="s">
        <v>814</v>
      </c>
      <c r="G2304" s="1218"/>
      <c r="H2304" s="1218"/>
      <c r="I2304" s="1218"/>
      <c r="J2304" s="1218"/>
      <c r="K2304" s="1218"/>
      <c r="L2304" s="1218"/>
      <c r="M2304" s="1218"/>
      <c r="N2304" s="1218"/>
      <c r="O2304" s="1218"/>
      <c r="P2304" s="1218"/>
      <c r="Q2304" s="1218"/>
      <c r="R2304" s="1218"/>
      <c r="S2304" s="1218"/>
      <c r="T2304" s="1218"/>
      <c r="U2304" s="1218"/>
      <c r="V2304" s="1218"/>
      <c r="W2304" s="1218"/>
      <c r="X2304" s="1218"/>
      <c r="Y2304" s="1218"/>
      <c r="Z2304" s="1218"/>
      <c r="AA2304" s="1218"/>
      <c r="AB2304" s="1218"/>
      <c r="AC2304" s="1218"/>
      <c r="AD2304" s="1218"/>
      <c r="AE2304" s="1218"/>
      <c r="AF2304" s="1218"/>
      <c r="AG2304" s="1218"/>
      <c r="AH2304" s="1218"/>
      <c r="AI2304" s="1218"/>
      <c r="AJ2304" s="1218"/>
      <c r="AK2304" s="1218"/>
      <c r="AL2304" s="1218"/>
      <c r="AM2304" s="1218"/>
    </row>
    <row r="2305" spans="1:39" ht="15" customHeight="1" x14ac:dyDescent="0.25">
      <c r="A2305" s="1409"/>
      <c r="B2305" s="1409"/>
      <c r="C2305" s="1409"/>
      <c r="D2305" s="1409"/>
      <c r="E2305" s="1247"/>
      <c r="F2305" s="1248"/>
      <c r="G2305" s="111"/>
      <c r="H2305" s="1249"/>
      <c r="I2305" s="111"/>
      <c r="J2305" s="111"/>
      <c r="K2305" s="111"/>
      <c r="L2305" s="111"/>
      <c r="M2305" s="111"/>
      <c r="N2305" s="111"/>
      <c r="O2305" s="111"/>
      <c r="P2305" s="111"/>
      <c r="Q2305" s="111"/>
      <c r="R2305" s="111"/>
      <c r="S2305" s="1249"/>
      <c r="T2305" s="1250"/>
      <c r="U2305" s="1250"/>
      <c r="V2305" s="1250"/>
      <c r="W2305" s="1251"/>
      <c r="X2305" s="1250"/>
      <c r="Y2305" s="1250"/>
      <c r="Z2305" s="1250"/>
      <c r="AA2305" s="1250"/>
      <c r="AB2305" s="1250"/>
      <c r="AC2305" s="1250"/>
      <c r="AD2305" s="1250"/>
      <c r="AE2305" s="1249"/>
      <c r="AF2305" s="1250"/>
      <c r="AG2305" s="111"/>
      <c r="AH2305" s="111"/>
      <c r="AI2305" s="111"/>
      <c r="AJ2305" s="111"/>
      <c r="AK2305" s="111"/>
      <c r="AL2305" s="111"/>
      <c r="AM2305" s="111"/>
    </row>
    <row r="2306" spans="1:39" ht="15" customHeight="1" x14ac:dyDescent="0.25">
      <c r="A2306" s="1409"/>
      <c r="B2306" s="1409"/>
      <c r="C2306" s="1409"/>
      <c r="D2306" s="1409"/>
      <c r="E2306" s="1261">
        <v>32301</v>
      </c>
      <c r="F2306" s="1262" t="s">
        <v>815</v>
      </c>
      <c r="G2306" s="1261"/>
      <c r="H2306" s="1261"/>
      <c r="I2306" s="1261"/>
      <c r="J2306" s="1261"/>
      <c r="K2306" s="1261"/>
      <c r="L2306" s="1261"/>
      <c r="M2306" s="1261"/>
      <c r="N2306" s="1261"/>
      <c r="O2306" s="1261"/>
      <c r="P2306" s="1261"/>
      <c r="Q2306" s="1261"/>
      <c r="R2306" s="1261"/>
      <c r="S2306" s="1261"/>
      <c r="T2306" s="1261"/>
      <c r="U2306" s="1261"/>
      <c r="V2306" s="1261"/>
      <c r="W2306" s="1261"/>
      <c r="X2306" s="1261"/>
      <c r="Y2306" s="1261"/>
      <c r="Z2306" s="1261"/>
      <c r="AA2306" s="1261"/>
      <c r="AB2306" s="1261"/>
      <c r="AC2306" s="1261"/>
      <c r="AD2306" s="1261"/>
      <c r="AE2306" s="1261"/>
      <c r="AF2306" s="1261"/>
      <c r="AG2306" s="1261"/>
      <c r="AH2306" s="1261"/>
      <c r="AI2306" s="1261"/>
      <c r="AJ2306" s="1261"/>
      <c r="AK2306" s="1261"/>
      <c r="AL2306" s="1261"/>
      <c r="AM2306" s="1261"/>
    </row>
    <row r="2307" spans="1:39" ht="15" customHeight="1" x14ac:dyDescent="0.25">
      <c r="A2307" s="1409"/>
      <c r="B2307" s="1409"/>
      <c r="C2307" s="1409"/>
      <c r="D2307" s="1409"/>
      <c r="E2307" s="1247"/>
      <c r="F2307" s="1248" t="s">
        <v>5448</v>
      </c>
      <c r="G2307" s="111"/>
      <c r="H2307" s="1249">
        <v>8</v>
      </c>
      <c r="I2307" s="111" t="s">
        <v>1755</v>
      </c>
      <c r="J2307" s="1321" t="s">
        <v>5608</v>
      </c>
      <c r="K2307" s="162" t="s">
        <v>5610</v>
      </c>
      <c r="L2307" s="162" t="s">
        <v>5609</v>
      </c>
      <c r="M2307" s="111">
        <v>3500</v>
      </c>
      <c r="N2307" s="111">
        <v>28000</v>
      </c>
      <c r="O2307" s="111"/>
      <c r="P2307" s="111"/>
      <c r="Q2307" s="111"/>
      <c r="R2307" s="111"/>
      <c r="S2307" s="1249">
        <v>4</v>
      </c>
      <c r="T2307" s="1250">
        <v>9333.3333333333339</v>
      </c>
      <c r="U2307" s="1250"/>
      <c r="V2307" s="1250"/>
      <c r="W2307" s="1251">
        <v>2</v>
      </c>
      <c r="X2307" s="1250">
        <v>9333.3333333333339</v>
      </c>
      <c r="Y2307" s="1250"/>
      <c r="Z2307" s="1250"/>
      <c r="AA2307" s="1250"/>
      <c r="AB2307" s="1250"/>
      <c r="AC2307" s="1250"/>
      <c r="AD2307" s="1250"/>
      <c r="AE2307" s="1249">
        <v>2</v>
      </c>
      <c r="AF2307" s="1250">
        <v>9333.3333333333339</v>
      </c>
      <c r="AG2307" s="111"/>
      <c r="AH2307" s="111"/>
      <c r="AI2307" s="111"/>
      <c r="AJ2307" s="111"/>
      <c r="AK2307" s="111"/>
      <c r="AL2307" s="111"/>
      <c r="AM2307" s="111">
        <v>28000</v>
      </c>
    </row>
    <row r="2308" spans="1:39" ht="15" customHeight="1" x14ac:dyDescent="0.25">
      <c r="A2308" s="1409"/>
      <c r="B2308" s="1409"/>
      <c r="C2308" s="1409"/>
      <c r="D2308" s="1409"/>
      <c r="E2308" s="1247"/>
      <c r="F2308" s="1248" t="s">
        <v>5449</v>
      </c>
      <c r="G2308" s="111"/>
      <c r="H2308" s="1249">
        <v>16</v>
      </c>
      <c r="I2308" s="111" t="s">
        <v>1755</v>
      </c>
      <c r="J2308" s="1321" t="s">
        <v>5608</v>
      </c>
      <c r="K2308" s="162" t="s">
        <v>5610</v>
      </c>
      <c r="L2308" s="162" t="s">
        <v>5609</v>
      </c>
      <c r="M2308" s="111">
        <v>2745</v>
      </c>
      <c r="N2308" s="111">
        <v>43920</v>
      </c>
      <c r="O2308" s="111"/>
      <c r="P2308" s="111"/>
      <c r="Q2308" s="111"/>
      <c r="R2308" s="111"/>
      <c r="S2308" s="1249">
        <v>6</v>
      </c>
      <c r="T2308" s="1250">
        <v>14640</v>
      </c>
      <c r="U2308" s="1250"/>
      <c r="V2308" s="1250"/>
      <c r="W2308" s="1251">
        <v>5</v>
      </c>
      <c r="X2308" s="1250">
        <v>14640</v>
      </c>
      <c r="Y2308" s="1250"/>
      <c r="Z2308" s="1250"/>
      <c r="AA2308" s="1250"/>
      <c r="AB2308" s="1250"/>
      <c r="AC2308" s="1250"/>
      <c r="AD2308" s="1250"/>
      <c r="AE2308" s="1249">
        <v>5</v>
      </c>
      <c r="AF2308" s="1250">
        <v>14640</v>
      </c>
      <c r="AG2308" s="111"/>
      <c r="AH2308" s="111"/>
      <c r="AI2308" s="111"/>
      <c r="AJ2308" s="111"/>
      <c r="AK2308" s="111"/>
      <c r="AL2308" s="111"/>
      <c r="AM2308" s="111">
        <v>43920</v>
      </c>
    </row>
    <row r="2309" spans="1:39" ht="15" customHeight="1" x14ac:dyDescent="0.25">
      <c r="A2309" s="1409"/>
      <c r="B2309" s="1409"/>
      <c r="C2309" s="1409"/>
      <c r="D2309" s="1409"/>
      <c r="E2309" s="1247"/>
      <c r="F2309" s="1248" t="s">
        <v>5450</v>
      </c>
      <c r="G2309" s="111"/>
      <c r="H2309" s="1249">
        <v>12</v>
      </c>
      <c r="I2309" s="111" t="s">
        <v>1755</v>
      </c>
      <c r="J2309" s="1321" t="s">
        <v>5608</v>
      </c>
      <c r="K2309" s="162" t="s">
        <v>5610</v>
      </c>
      <c r="L2309" s="162" t="s">
        <v>5609</v>
      </c>
      <c r="M2309" s="111">
        <v>100</v>
      </c>
      <c r="N2309" s="111">
        <v>1200</v>
      </c>
      <c r="O2309" s="111"/>
      <c r="P2309" s="111"/>
      <c r="Q2309" s="111"/>
      <c r="R2309" s="111"/>
      <c r="S2309" s="1249">
        <v>5</v>
      </c>
      <c r="T2309" s="1250">
        <v>400</v>
      </c>
      <c r="U2309" s="1250"/>
      <c r="V2309" s="1250"/>
      <c r="W2309" s="1251">
        <v>5</v>
      </c>
      <c r="X2309" s="1250">
        <v>400</v>
      </c>
      <c r="Y2309" s="1250"/>
      <c r="Z2309" s="1250"/>
      <c r="AA2309" s="1250"/>
      <c r="AB2309" s="1250"/>
      <c r="AC2309" s="1250"/>
      <c r="AD2309" s="1250"/>
      <c r="AE2309" s="1249">
        <v>2</v>
      </c>
      <c r="AF2309" s="1250">
        <v>400</v>
      </c>
      <c r="AG2309" s="111"/>
      <c r="AH2309" s="111"/>
      <c r="AI2309" s="111"/>
      <c r="AJ2309" s="111"/>
      <c r="AK2309" s="111"/>
      <c r="AL2309" s="111"/>
      <c r="AM2309" s="111">
        <v>1200</v>
      </c>
    </row>
    <row r="2310" spans="1:39" ht="15" customHeight="1" x14ac:dyDescent="0.25">
      <c r="A2310" s="1409"/>
      <c r="B2310" s="1409"/>
      <c r="C2310" s="1409"/>
      <c r="D2310" s="1409"/>
      <c r="E2310" s="1286"/>
      <c r="F2310" s="1248" t="s">
        <v>5451</v>
      </c>
      <c r="G2310" s="111"/>
      <c r="H2310" s="1249">
        <v>12</v>
      </c>
      <c r="I2310" s="111" t="s">
        <v>1755</v>
      </c>
      <c r="J2310" s="1321" t="s">
        <v>5608</v>
      </c>
      <c r="K2310" s="162" t="s">
        <v>5610</v>
      </c>
      <c r="L2310" s="162" t="s">
        <v>5609</v>
      </c>
      <c r="M2310" s="111">
        <v>1620</v>
      </c>
      <c r="N2310" s="111">
        <v>19440</v>
      </c>
      <c r="O2310" s="111"/>
      <c r="P2310" s="111"/>
      <c r="Q2310" s="111"/>
      <c r="R2310" s="111"/>
      <c r="S2310" s="1249">
        <v>5</v>
      </c>
      <c r="T2310" s="1250">
        <v>6480</v>
      </c>
      <c r="U2310" s="1250"/>
      <c r="V2310" s="1250"/>
      <c r="W2310" s="1251">
        <v>5</v>
      </c>
      <c r="X2310" s="1250">
        <v>6480</v>
      </c>
      <c r="Y2310" s="1250"/>
      <c r="Z2310" s="1250"/>
      <c r="AA2310" s="1250"/>
      <c r="AB2310" s="1250"/>
      <c r="AC2310" s="1250"/>
      <c r="AD2310" s="1250"/>
      <c r="AE2310" s="1249">
        <v>2</v>
      </c>
      <c r="AF2310" s="1250">
        <v>6480</v>
      </c>
      <c r="AG2310" s="111"/>
      <c r="AH2310" s="111"/>
      <c r="AI2310" s="111"/>
      <c r="AJ2310" s="111"/>
      <c r="AK2310" s="111"/>
      <c r="AL2310" s="111"/>
      <c r="AM2310" s="111">
        <v>19440</v>
      </c>
    </row>
    <row r="2311" spans="1:39" ht="15" customHeight="1" x14ac:dyDescent="0.25">
      <c r="A2311" s="1409"/>
      <c r="B2311" s="1409"/>
      <c r="C2311" s="1409"/>
      <c r="D2311" s="1409"/>
      <c r="E2311" s="1286"/>
      <c r="F2311" s="1248"/>
      <c r="G2311" s="111"/>
      <c r="H2311" s="1249"/>
      <c r="I2311" s="111"/>
      <c r="J2311" s="111"/>
      <c r="K2311" s="111"/>
      <c r="L2311" s="111"/>
      <c r="M2311" s="111"/>
      <c r="N2311" s="111"/>
      <c r="O2311" s="111"/>
      <c r="P2311" s="111"/>
      <c r="Q2311" s="111"/>
      <c r="R2311" s="111"/>
      <c r="S2311" s="1249"/>
      <c r="T2311" s="1250"/>
      <c r="U2311" s="1250"/>
      <c r="V2311" s="1250"/>
      <c r="W2311" s="1251"/>
      <c r="X2311" s="1250"/>
      <c r="Y2311" s="1250"/>
      <c r="Z2311" s="1250"/>
      <c r="AA2311" s="1250"/>
      <c r="AB2311" s="1250"/>
      <c r="AC2311" s="1250"/>
      <c r="AD2311" s="1250"/>
      <c r="AE2311" s="1249"/>
      <c r="AF2311" s="1250"/>
      <c r="AG2311" s="111"/>
      <c r="AH2311" s="111"/>
      <c r="AI2311" s="111"/>
      <c r="AJ2311" s="111"/>
      <c r="AK2311" s="111"/>
      <c r="AL2311" s="111"/>
      <c r="AM2311" s="111"/>
    </row>
    <row r="2312" spans="1:39" ht="15" customHeight="1" x14ac:dyDescent="0.25">
      <c r="A2312" s="1409"/>
      <c r="B2312" s="1409"/>
      <c r="C2312" s="1409"/>
      <c r="D2312" s="1409"/>
      <c r="E2312" s="1218">
        <v>327</v>
      </c>
      <c r="F2312" s="1268" t="s">
        <v>821</v>
      </c>
      <c r="G2312" s="1218"/>
      <c r="H2312" s="1218"/>
      <c r="I2312" s="1218"/>
      <c r="J2312" s="1218"/>
      <c r="K2312" s="1218"/>
      <c r="L2312" s="1218"/>
      <c r="M2312" s="1218"/>
      <c r="N2312" s="1218"/>
      <c r="O2312" s="1218"/>
      <c r="P2312" s="1218"/>
      <c r="Q2312" s="1218"/>
      <c r="R2312" s="1218"/>
      <c r="S2312" s="1218"/>
      <c r="T2312" s="1218"/>
      <c r="U2312" s="1218"/>
      <c r="V2312" s="1218"/>
      <c r="W2312" s="1218"/>
      <c r="X2312" s="1218"/>
      <c r="Y2312" s="1218"/>
      <c r="Z2312" s="1218"/>
      <c r="AA2312" s="1218"/>
      <c r="AB2312" s="1218"/>
      <c r="AC2312" s="1218"/>
      <c r="AD2312" s="1218"/>
      <c r="AE2312" s="1218"/>
      <c r="AF2312" s="1218"/>
      <c r="AG2312" s="1218"/>
      <c r="AH2312" s="1218"/>
      <c r="AI2312" s="1218"/>
      <c r="AJ2312" s="1218"/>
      <c r="AK2312" s="1218"/>
      <c r="AL2312" s="1218"/>
      <c r="AM2312" s="1218"/>
    </row>
    <row r="2313" spans="1:39" ht="15" customHeight="1" x14ac:dyDescent="0.25">
      <c r="A2313" s="1409"/>
      <c r="B2313" s="1409"/>
      <c r="C2313" s="1409"/>
      <c r="D2313" s="1409"/>
      <c r="E2313" s="1247"/>
      <c r="F2313" s="1248"/>
      <c r="G2313" s="111"/>
      <c r="H2313" s="1249"/>
      <c r="I2313" s="111"/>
      <c r="J2313" s="111"/>
      <c r="K2313" s="111"/>
      <c r="L2313" s="111"/>
      <c r="M2313" s="111"/>
      <c r="N2313" s="111"/>
      <c r="O2313" s="111"/>
      <c r="P2313" s="111"/>
      <c r="Q2313" s="111"/>
      <c r="R2313" s="111"/>
      <c r="S2313" s="1249"/>
      <c r="T2313" s="1250"/>
      <c r="U2313" s="1250"/>
      <c r="V2313" s="1250"/>
      <c r="W2313" s="1251"/>
      <c r="X2313" s="1250"/>
      <c r="Y2313" s="1250"/>
      <c r="Z2313" s="1250"/>
      <c r="AA2313" s="1250"/>
      <c r="AB2313" s="1250"/>
      <c r="AC2313" s="1250"/>
      <c r="AD2313" s="1250"/>
      <c r="AE2313" s="1249"/>
      <c r="AF2313" s="1250"/>
      <c r="AG2313" s="111"/>
      <c r="AH2313" s="111"/>
      <c r="AI2313" s="111"/>
      <c r="AJ2313" s="111"/>
      <c r="AK2313" s="111"/>
      <c r="AL2313" s="111"/>
      <c r="AM2313" s="111"/>
    </row>
    <row r="2314" spans="1:39" ht="15" customHeight="1" x14ac:dyDescent="0.25">
      <c r="A2314" s="1409"/>
      <c r="B2314" s="1409"/>
      <c r="C2314" s="1409"/>
      <c r="D2314" s="1409"/>
      <c r="E2314" s="1261">
        <v>32701</v>
      </c>
      <c r="F2314" s="1262" t="s">
        <v>821</v>
      </c>
      <c r="G2314" s="1261"/>
      <c r="H2314" s="1261"/>
      <c r="I2314" s="1261"/>
      <c r="J2314" s="1261"/>
      <c r="K2314" s="1261"/>
      <c r="L2314" s="1261"/>
      <c r="M2314" s="1261"/>
      <c r="N2314" s="1261"/>
      <c r="O2314" s="1261"/>
      <c r="P2314" s="1261"/>
      <c r="Q2314" s="1261"/>
      <c r="R2314" s="1261"/>
      <c r="S2314" s="1261"/>
      <c r="T2314" s="1261"/>
      <c r="U2314" s="1261"/>
      <c r="V2314" s="1261"/>
      <c r="W2314" s="1261"/>
      <c r="X2314" s="1261"/>
      <c r="Y2314" s="1261"/>
      <c r="Z2314" s="1261"/>
      <c r="AA2314" s="1261"/>
      <c r="AB2314" s="1261"/>
      <c r="AC2314" s="1261"/>
      <c r="AD2314" s="1261"/>
      <c r="AE2314" s="1261"/>
      <c r="AF2314" s="1261"/>
      <c r="AG2314" s="1261"/>
      <c r="AH2314" s="1261"/>
      <c r="AI2314" s="1261"/>
      <c r="AJ2314" s="1261"/>
      <c r="AK2314" s="1261"/>
      <c r="AL2314" s="1261"/>
      <c r="AM2314" s="1261"/>
    </row>
    <row r="2315" spans="1:39" ht="15" customHeight="1" x14ac:dyDescent="0.25">
      <c r="A2315" s="1409"/>
      <c r="B2315" s="1409"/>
      <c r="C2315" s="1409"/>
      <c r="D2315" s="1409"/>
      <c r="E2315" s="1286"/>
      <c r="F2315" s="1248" t="s">
        <v>5452</v>
      </c>
      <c r="G2315" s="111"/>
      <c r="H2315" s="1249">
        <v>1</v>
      </c>
      <c r="I2315" s="111" t="s">
        <v>1755</v>
      </c>
      <c r="J2315" s="1321" t="s">
        <v>5608</v>
      </c>
      <c r="K2315" s="162" t="s">
        <v>5610</v>
      </c>
      <c r="L2315" s="162" t="s">
        <v>5609</v>
      </c>
      <c r="M2315" s="111">
        <v>3500</v>
      </c>
      <c r="N2315" s="111">
        <v>3500</v>
      </c>
      <c r="O2315" s="111"/>
      <c r="P2315" s="111"/>
      <c r="Q2315" s="111"/>
      <c r="R2315" s="111"/>
      <c r="S2315" s="1249">
        <v>1</v>
      </c>
      <c r="T2315" s="1250">
        <v>1166.6666666666667</v>
      </c>
      <c r="U2315" s="1250"/>
      <c r="V2315" s="1250"/>
      <c r="W2315" s="1251">
        <v>0</v>
      </c>
      <c r="X2315" s="1250">
        <v>1166.6666666666667</v>
      </c>
      <c r="Y2315" s="1250"/>
      <c r="Z2315" s="1250"/>
      <c r="AA2315" s="1250"/>
      <c r="AB2315" s="1250"/>
      <c r="AC2315" s="1250"/>
      <c r="AD2315" s="1250"/>
      <c r="AE2315" s="1249">
        <v>0</v>
      </c>
      <c r="AF2315" s="1250">
        <v>1166.6666666666667</v>
      </c>
      <c r="AG2315" s="111"/>
      <c r="AH2315" s="111"/>
      <c r="AI2315" s="111"/>
      <c r="AJ2315" s="111"/>
      <c r="AK2315" s="111"/>
      <c r="AL2315" s="111"/>
      <c r="AM2315" s="111">
        <v>3500</v>
      </c>
    </row>
    <row r="2316" spans="1:39" ht="15" customHeight="1" x14ac:dyDescent="0.25">
      <c r="A2316" s="1409"/>
      <c r="B2316" s="1409"/>
      <c r="C2316" s="1409"/>
      <c r="D2316" s="1409"/>
      <c r="E2316" s="1288"/>
      <c r="F2316" s="1248"/>
      <c r="G2316" s="111"/>
      <c r="H2316" s="1249"/>
      <c r="I2316" s="111"/>
      <c r="J2316" s="111"/>
      <c r="K2316" s="111"/>
      <c r="L2316" s="111"/>
      <c r="M2316" s="111"/>
      <c r="N2316" s="111"/>
      <c r="O2316" s="111"/>
      <c r="P2316" s="111"/>
      <c r="Q2316" s="111"/>
      <c r="R2316" s="111"/>
      <c r="S2316" s="1249"/>
      <c r="T2316" s="1250"/>
      <c r="U2316" s="1250"/>
      <c r="V2316" s="1250"/>
      <c r="W2316" s="1251"/>
      <c r="X2316" s="1250"/>
      <c r="Y2316" s="1250"/>
      <c r="Z2316" s="1250"/>
      <c r="AA2316" s="1250"/>
      <c r="AB2316" s="1250"/>
      <c r="AC2316" s="1250"/>
      <c r="AD2316" s="1250"/>
      <c r="AE2316" s="1249"/>
      <c r="AF2316" s="1250"/>
      <c r="AG2316" s="111"/>
      <c r="AH2316" s="111"/>
      <c r="AI2316" s="111"/>
      <c r="AJ2316" s="111"/>
      <c r="AK2316" s="111"/>
      <c r="AL2316" s="111"/>
      <c r="AM2316" s="111"/>
    </row>
    <row r="2317" spans="1:39" ht="15" customHeight="1" x14ac:dyDescent="0.25">
      <c r="A2317" s="1409"/>
      <c r="B2317" s="1409"/>
      <c r="C2317" s="1409"/>
      <c r="D2317" s="1409"/>
      <c r="E2317" s="1218">
        <v>329</v>
      </c>
      <c r="F2317" s="1268" t="s">
        <v>826</v>
      </c>
      <c r="G2317" s="1218"/>
      <c r="H2317" s="1218"/>
      <c r="I2317" s="1218"/>
      <c r="J2317" s="1218"/>
      <c r="K2317" s="1218"/>
      <c r="L2317" s="1218"/>
      <c r="M2317" s="1218"/>
      <c r="N2317" s="1218"/>
      <c r="O2317" s="1218"/>
      <c r="P2317" s="1218"/>
      <c r="Q2317" s="1218"/>
      <c r="R2317" s="1218"/>
      <c r="S2317" s="1218"/>
      <c r="T2317" s="1218"/>
      <c r="U2317" s="1218"/>
      <c r="V2317" s="1218"/>
      <c r="W2317" s="1218"/>
      <c r="X2317" s="1218"/>
      <c r="Y2317" s="1218"/>
      <c r="Z2317" s="1218"/>
      <c r="AA2317" s="1218"/>
      <c r="AB2317" s="1218"/>
      <c r="AC2317" s="1218"/>
      <c r="AD2317" s="1218"/>
      <c r="AE2317" s="1218"/>
      <c r="AF2317" s="1218"/>
      <c r="AG2317" s="1218"/>
      <c r="AH2317" s="1218"/>
      <c r="AI2317" s="1218"/>
      <c r="AJ2317" s="1218"/>
      <c r="AK2317" s="1218"/>
      <c r="AL2317" s="1218"/>
      <c r="AM2317" s="1218"/>
    </row>
    <row r="2318" spans="1:39" ht="15" customHeight="1" x14ac:dyDescent="0.25">
      <c r="A2318" s="1409"/>
      <c r="B2318" s="1409"/>
      <c r="C2318" s="1409"/>
      <c r="D2318" s="1409"/>
      <c r="E2318" s="1247"/>
      <c r="F2318" s="1248"/>
      <c r="G2318" s="111"/>
      <c r="H2318" s="1249"/>
      <c r="I2318" s="111"/>
      <c r="J2318" s="111"/>
      <c r="K2318" s="111"/>
      <c r="L2318" s="111"/>
      <c r="M2318" s="111"/>
      <c r="N2318" s="111"/>
      <c r="O2318" s="111"/>
      <c r="P2318" s="111"/>
      <c r="Q2318" s="111"/>
      <c r="R2318" s="111"/>
      <c r="S2318" s="1249"/>
      <c r="T2318" s="1250"/>
      <c r="U2318" s="1250"/>
      <c r="V2318" s="1250"/>
      <c r="W2318" s="1251"/>
      <c r="X2318" s="1250"/>
      <c r="Y2318" s="1250"/>
      <c r="Z2318" s="1250"/>
      <c r="AA2318" s="1250"/>
      <c r="AB2318" s="1250"/>
      <c r="AC2318" s="1250"/>
      <c r="AD2318" s="1250"/>
      <c r="AE2318" s="1249"/>
      <c r="AF2318" s="1250"/>
      <c r="AG2318" s="111"/>
      <c r="AH2318" s="111"/>
      <c r="AI2318" s="111"/>
      <c r="AJ2318" s="111"/>
      <c r="AK2318" s="111"/>
      <c r="AL2318" s="111"/>
      <c r="AM2318" s="111"/>
    </row>
    <row r="2319" spans="1:39" ht="15" customHeight="1" x14ac:dyDescent="0.25">
      <c r="A2319" s="1409"/>
      <c r="B2319" s="1409"/>
      <c r="C2319" s="1409"/>
      <c r="D2319" s="1409"/>
      <c r="E2319" s="1261">
        <v>32901</v>
      </c>
      <c r="F2319" s="1262" t="s">
        <v>826</v>
      </c>
      <c r="G2319" s="1261"/>
      <c r="H2319" s="1261"/>
      <c r="I2319" s="1261"/>
      <c r="J2319" s="1261"/>
      <c r="K2319" s="1261"/>
      <c r="L2319" s="1261"/>
      <c r="M2319" s="1261"/>
      <c r="N2319" s="1261"/>
      <c r="O2319" s="1261"/>
      <c r="P2319" s="1261"/>
      <c r="Q2319" s="1261"/>
      <c r="R2319" s="1261"/>
      <c r="S2319" s="1261"/>
      <c r="T2319" s="1261"/>
      <c r="U2319" s="1261"/>
      <c r="V2319" s="1261"/>
      <c r="W2319" s="1261"/>
      <c r="X2319" s="1261"/>
      <c r="Y2319" s="1261"/>
      <c r="Z2319" s="1261"/>
      <c r="AA2319" s="1261"/>
      <c r="AB2319" s="1261"/>
      <c r="AC2319" s="1261"/>
      <c r="AD2319" s="1261"/>
      <c r="AE2319" s="1261"/>
      <c r="AF2319" s="1261"/>
      <c r="AG2319" s="1261"/>
      <c r="AH2319" s="1261"/>
      <c r="AI2319" s="1261"/>
      <c r="AJ2319" s="1261"/>
      <c r="AK2319" s="1261"/>
      <c r="AL2319" s="1261"/>
      <c r="AM2319" s="1261"/>
    </row>
    <row r="2320" spans="1:39" ht="15" customHeight="1" x14ac:dyDescent="0.25">
      <c r="A2320" s="1409"/>
      <c r="B2320" s="1409"/>
      <c r="C2320" s="1409"/>
      <c r="D2320" s="1409"/>
      <c r="E2320" s="1286"/>
      <c r="F2320" s="1248" t="s">
        <v>5453</v>
      </c>
      <c r="G2320" s="111"/>
      <c r="H2320" s="1249">
        <v>1</v>
      </c>
      <c r="I2320" s="111" t="s">
        <v>1755</v>
      </c>
      <c r="J2320" s="1321" t="s">
        <v>5608</v>
      </c>
      <c r="K2320" s="162" t="s">
        <v>5610</v>
      </c>
      <c r="L2320" s="162" t="s">
        <v>5609</v>
      </c>
      <c r="M2320" s="111">
        <v>1080</v>
      </c>
      <c r="N2320" s="111">
        <v>1080</v>
      </c>
      <c r="O2320" s="111"/>
      <c r="P2320" s="111"/>
      <c r="Q2320" s="111"/>
      <c r="R2320" s="111"/>
      <c r="S2320" s="1249">
        <v>1</v>
      </c>
      <c r="T2320" s="1250">
        <v>360</v>
      </c>
      <c r="U2320" s="1250"/>
      <c r="V2320" s="1250"/>
      <c r="W2320" s="1251">
        <v>0</v>
      </c>
      <c r="X2320" s="1250">
        <v>360</v>
      </c>
      <c r="Y2320" s="1250"/>
      <c r="Z2320" s="1250"/>
      <c r="AA2320" s="1250"/>
      <c r="AB2320" s="1250"/>
      <c r="AC2320" s="1250"/>
      <c r="AD2320" s="1250"/>
      <c r="AE2320" s="1249">
        <v>0</v>
      </c>
      <c r="AF2320" s="1250">
        <v>360</v>
      </c>
      <c r="AG2320" s="111"/>
      <c r="AH2320" s="111"/>
      <c r="AI2320" s="111"/>
      <c r="AJ2320" s="111"/>
      <c r="AK2320" s="111"/>
      <c r="AL2320" s="111"/>
      <c r="AM2320" s="111">
        <v>1080</v>
      </c>
    </row>
    <row r="2321" spans="1:39" ht="15" customHeight="1" x14ac:dyDescent="0.25">
      <c r="A2321" s="1409"/>
      <c r="B2321" s="1409"/>
      <c r="C2321" s="1409"/>
      <c r="D2321" s="1409"/>
      <c r="E2321" s="1286"/>
      <c r="F2321" s="1248" t="s">
        <v>5454</v>
      </c>
      <c r="G2321" s="111"/>
      <c r="H2321" s="1249">
        <v>250</v>
      </c>
      <c r="I2321" s="111" t="s">
        <v>1721</v>
      </c>
      <c r="J2321" s="1321" t="s">
        <v>5608</v>
      </c>
      <c r="K2321" s="162" t="s">
        <v>5610</v>
      </c>
      <c r="L2321" s="162" t="s">
        <v>5609</v>
      </c>
      <c r="M2321" s="111">
        <v>241.38</v>
      </c>
      <c r="N2321" s="111">
        <v>60345</v>
      </c>
      <c r="O2321" s="111"/>
      <c r="P2321" s="111"/>
      <c r="Q2321" s="111"/>
      <c r="R2321" s="111"/>
      <c r="S2321" s="1249">
        <v>100</v>
      </c>
      <c r="T2321" s="1250">
        <v>20115</v>
      </c>
      <c r="U2321" s="1250"/>
      <c r="V2321" s="1250"/>
      <c r="W2321" s="1251">
        <v>100</v>
      </c>
      <c r="X2321" s="1250">
        <v>20115</v>
      </c>
      <c r="Y2321" s="1250"/>
      <c r="Z2321" s="1250"/>
      <c r="AA2321" s="1250"/>
      <c r="AB2321" s="1250"/>
      <c r="AC2321" s="1250"/>
      <c r="AD2321" s="1250"/>
      <c r="AE2321" s="1249">
        <v>50</v>
      </c>
      <c r="AF2321" s="1250">
        <v>20115</v>
      </c>
      <c r="AG2321" s="111"/>
      <c r="AH2321" s="111"/>
      <c r="AI2321" s="111"/>
      <c r="AJ2321" s="111"/>
      <c r="AK2321" s="111"/>
      <c r="AL2321" s="111"/>
      <c r="AM2321" s="111">
        <v>60345</v>
      </c>
    </row>
    <row r="2322" spans="1:39" ht="15" customHeight="1" x14ac:dyDescent="0.25">
      <c r="A2322" s="1409"/>
      <c r="B2322" s="1409"/>
      <c r="C2322" s="1409"/>
      <c r="D2322" s="1409"/>
      <c r="E2322" s="1286"/>
      <c r="F2322" s="1248" t="s">
        <v>5455</v>
      </c>
      <c r="G2322" s="111"/>
      <c r="H2322" s="1249">
        <v>6</v>
      </c>
      <c r="I2322" s="111" t="s">
        <v>1721</v>
      </c>
      <c r="J2322" s="1321" t="s">
        <v>5608</v>
      </c>
      <c r="K2322" s="162" t="s">
        <v>5610</v>
      </c>
      <c r="L2322" s="162" t="s">
        <v>5609</v>
      </c>
      <c r="M2322" s="111">
        <v>2200</v>
      </c>
      <c r="N2322" s="111">
        <v>13200</v>
      </c>
      <c r="O2322" s="111"/>
      <c r="P2322" s="111"/>
      <c r="Q2322" s="111"/>
      <c r="R2322" s="111"/>
      <c r="S2322" s="1249">
        <v>2</v>
      </c>
      <c r="T2322" s="1250">
        <v>4400</v>
      </c>
      <c r="U2322" s="1250"/>
      <c r="V2322" s="1250"/>
      <c r="W2322" s="1251">
        <v>2</v>
      </c>
      <c r="X2322" s="1250">
        <v>4400</v>
      </c>
      <c r="Y2322" s="1250"/>
      <c r="Z2322" s="1250"/>
      <c r="AA2322" s="1250"/>
      <c r="AB2322" s="1250"/>
      <c r="AC2322" s="1250"/>
      <c r="AD2322" s="1250"/>
      <c r="AE2322" s="1249">
        <v>2</v>
      </c>
      <c r="AF2322" s="1250">
        <v>4400</v>
      </c>
      <c r="AG2322" s="111"/>
      <c r="AH2322" s="111"/>
      <c r="AI2322" s="111"/>
      <c r="AJ2322" s="111"/>
      <c r="AK2322" s="111"/>
      <c r="AL2322" s="111"/>
      <c r="AM2322" s="111">
        <v>13200</v>
      </c>
    </row>
    <row r="2323" spans="1:39" ht="15" customHeight="1" x14ac:dyDescent="0.25">
      <c r="A2323" s="1409"/>
      <c r="B2323" s="1409"/>
      <c r="C2323" s="1409"/>
      <c r="D2323" s="1409"/>
      <c r="E2323" s="1286"/>
      <c r="F2323" s="1248"/>
      <c r="G2323" s="111"/>
      <c r="H2323" s="1249"/>
      <c r="I2323" s="111"/>
      <c r="J2323" s="111"/>
      <c r="K2323" s="111"/>
      <c r="L2323" s="111"/>
      <c r="M2323" s="111"/>
      <c r="N2323" s="111"/>
      <c r="O2323" s="111"/>
      <c r="P2323" s="111"/>
      <c r="Q2323" s="111"/>
      <c r="R2323" s="111"/>
      <c r="S2323" s="1249"/>
      <c r="T2323" s="1250"/>
      <c r="U2323" s="1250"/>
      <c r="V2323" s="1250"/>
      <c r="W2323" s="1251"/>
      <c r="X2323" s="1250"/>
      <c r="Y2323" s="1250"/>
      <c r="Z2323" s="1250"/>
      <c r="AA2323" s="1250"/>
      <c r="AB2323" s="1250"/>
      <c r="AC2323" s="1250"/>
      <c r="AD2323" s="1250"/>
      <c r="AE2323" s="1249"/>
      <c r="AF2323" s="1250"/>
      <c r="AG2323" s="111"/>
      <c r="AH2323" s="111"/>
      <c r="AI2323" s="111"/>
      <c r="AJ2323" s="111"/>
      <c r="AK2323" s="111"/>
      <c r="AL2323" s="111"/>
      <c r="AM2323" s="111"/>
    </row>
    <row r="2324" spans="1:39" ht="15" customHeight="1" x14ac:dyDescent="0.25">
      <c r="A2324" s="1409"/>
      <c r="B2324" s="1409"/>
      <c r="C2324" s="1409"/>
      <c r="D2324" s="1409"/>
      <c r="E2324" s="1286"/>
      <c r="F2324" s="1248"/>
      <c r="G2324" s="111"/>
      <c r="H2324" s="1249"/>
      <c r="I2324" s="111"/>
      <c r="J2324" s="111"/>
      <c r="K2324" s="111"/>
      <c r="L2324" s="111"/>
      <c r="M2324" s="111"/>
      <c r="N2324" s="111"/>
      <c r="O2324" s="111"/>
      <c r="P2324" s="111"/>
      <c r="Q2324" s="111"/>
      <c r="R2324" s="111"/>
      <c r="S2324" s="1249"/>
      <c r="T2324" s="1250"/>
      <c r="U2324" s="1250"/>
      <c r="V2324" s="1250"/>
      <c r="W2324" s="1251"/>
      <c r="X2324" s="1250"/>
      <c r="Y2324" s="1250"/>
      <c r="Z2324" s="1250"/>
      <c r="AA2324" s="1250"/>
      <c r="AB2324" s="1250"/>
      <c r="AC2324" s="1250"/>
      <c r="AD2324" s="1250"/>
      <c r="AE2324" s="1249"/>
      <c r="AF2324" s="1250"/>
      <c r="AG2324" s="111"/>
      <c r="AH2324" s="111"/>
      <c r="AI2324" s="111"/>
      <c r="AJ2324" s="111"/>
      <c r="AK2324" s="111"/>
      <c r="AL2324" s="111"/>
      <c r="AM2324" s="111"/>
    </row>
    <row r="2325" spans="1:39" ht="36" customHeight="1" x14ac:dyDescent="0.25">
      <c r="A2325" s="1409"/>
      <c r="B2325" s="1409"/>
      <c r="C2325" s="1409"/>
      <c r="D2325" s="1409"/>
      <c r="E2325" s="1204">
        <v>3300</v>
      </c>
      <c r="F2325" s="1274" t="s">
        <v>827</v>
      </c>
      <c r="G2325" s="1204"/>
      <c r="H2325" s="1204"/>
      <c r="I2325" s="1204"/>
      <c r="J2325" s="1204"/>
      <c r="K2325" s="1204"/>
      <c r="L2325" s="1204"/>
      <c r="M2325" s="1204"/>
      <c r="N2325" s="1204"/>
      <c r="O2325" s="1204"/>
      <c r="P2325" s="1204"/>
      <c r="Q2325" s="1204"/>
      <c r="R2325" s="1204"/>
      <c r="S2325" s="1204"/>
      <c r="T2325" s="1204"/>
      <c r="U2325" s="1204"/>
      <c r="V2325" s="1204"/>
      <c r="W2325" s="1204"/>
      <c r="X2325" s="1204"/>
      <c r="Y2325" s="1204"/>
      <c r="Z2325" s="1204"/>
      <c r="AA2325" s="1204"/>
      <c r="AB2325" s="1204"/>
      <c r="AC2325" s="1204"/>
      <c r="AD2325" s="1204"/>
      <c r="AE2325" s="1204"/>
      <c r="AF2325" s="1204"/>
      <c r="AG2325" s="1204"/>
      <c r="AH2325" s="1204"/>
      <c r="AI2325" s="1204"/>
      <c r="AJ2325" s="1204"/>
      <c r="AK2325" s="1204"/>
      <c r="AL2325" s="1204"/>
      <c r="AM2325" s="1204"/>
    </row>
    <row r="2326" spans="1:39" ht="15" customHeight="1" x14ac:dyDescent="0.25">
      <c r="A2326" s="1409"/>
      <c r="B2326" s="1409"/>
      <c r="C2326" s="1409"/>
      <c r="D2326" s="1409"/>
      <c r="E2326" s="1218">
        <v>331</v>
      </c>
      <c r="F2326" s="1268" t="s">
        <v>828</v>
      </c>
      <c r="G2326" s="1218"/>
      <c r="H2326" s="1218"/>
      <c r="I2326" s="1218"/>
      <c r="J2326" s="1218"/>
      <c r="K2326" s="1218"/>
      <c r="L2326" s="1218"/>
      <c r="M2326" s="1218"/>
      <c r="N2326" s="1218"/>
      <c r="O2326" s="1218"/>
      <c r="P2326" s="1218"/>
      <c r="Q2326" s="1218"/>
      <c r="R2326" s="1218"/>
      <c r="S2326" s="1218"/>
      <c r="T2326" s="1218"/>
      <c r="U2326" s="1218"/>
      <c r="V2326" s="1218"/>
      <c r="W2326" s="1218"/>
      <c r="X2326" s="1218"/>
      <c r="Y2326" s="1218"/>
      <c r="Z2326" s="1218"/>
      <c r="AA2326" s="1218"/>
      <c r="AB2326" s="1218"/>
      <c r="AC2326" s="1218"/>
      <c r="AD2326" s="1218"/>
      <c r="AE2326" s="1218"/>
      <c r="AF2326" s="1218"/>
      <c r="AG2326" s="1218"/>
      <c r="AH2326" s="1218"/>
      <c r="AI2326" s="1218"/>
      <c r="AJ2326" s="1218"/>
      <c r="AK2326" s="1218"/>
      <c r="AL2326" s="1218"/>
      <c r="AM2326" s="1218"/>
    </row>
    <row r="2327" spans="1:39" ht="15" customHeight="1" x14ac:dyDescent="0.25">
      <c r="A2327" s="1409"/>
      <c r="B2327" s="1409"/>
      <c r="C2327" s="1409"/>
      <c r="D2327" s="1409"/>
      <c r="E2327" s="1288"/>
      <c r="F2327" s="1248"/>
      <c r="G2327" s="111"/>
      <c r="H2327" s="1249"/>
      <c r="I2327" s="111"/>
      <c r="J2327" s="111"/>
      <c r="K2327" s="111"/>
      <c r="L2327" s="111"/>
      <c r="M2327" s="111"/>
      <c r="N2327" s="111"/>
      <c r="O2327" s="111"/>
      <c r="P2327" s="111"/>
      <c r="Q2327" s="111"/>
      <c r="R2327" s="111"/>
      <c r="S2327" s="1249"/>
      <c r="T2327" s="1250"/>
      <c r="U2327" s="1250"/>
      <c r="V2327" s="1250"/>
      <c r="W2327" s="1251"/>
      <c r="X2327" s="1250"/>
      <c r="Y2327" s="1250"/>
      <c r="Z2327" s="1250"/>
      <c r="AA2327" s="1250"/>
      <c r="AB2327" s="1250"/>
      <c r="AC2327" s="1250"/>
      <c r="AD2327" s="1250"/>
      <c r="AE2327" s="1249"/>
      <c r="AF2327" s="1250"/>
      <c r="AG2327" s="111"/>
      <c r="AH2327" s="111"/>
      <c r="AI2327" s="111"/>
      <c r="AJ2327" s="111"/>
      <c r="AK2327" s="111"/>
      <c r="AL2327" s="111"/>
      <c r="AM2327" s="111"/>
    </row>
    <row r="2328" spans="1:39" ht="15" customHeight="1" x14ac:dyDescent="0.25">
      <c r="A2328" s="1409"/>
      <c r="B2328" s="1409"/>
      <c r="C2328" s="1409"/>
      <c r="D2328" s="1409"/>
      <c r="E2328" s="1261">
        <v>33102</v>
      </c>
      <c r="F2328" s="1262" t="s">
        <v>830</v>
      </c>
      <c r="G2328" s="1261"/>
      <c r="H2328" s="1261"/>
      <c r="I2328" s="1261"/>
      <c r="J2328" s="1261"/>
      <c r="K2328" s="1261"/>
      <c r="L2328" s="1261"/>
      <c r="M2328" s="1261"/>
      <c r="N2328" s="1261"/>
      <c r="O2328" s="1261"/>
      <c r="P2328" s="1261"/>
      <c r="Q2328" s="1261"/>
      <c r="R2328" s="1261"/>
      <c r="S2328" s="1261"/>
      <c r="T2328" s="1261"/>
      <c r="U2328" s="1261"/>
      <c r="V2328" s="1261"/>
      <c r="W2328" s="1261"/>
      <c r="X2328" s="1261"/>
      <c r="Y2328" s="1261"/>
      <c r="Z2328" s="1261"/>
      <c r="AA2328" s="1261"/>
      <c r="AB2328" s="1261"/>
      <c r="AC2328" s="1261"/>
      <c r="AD2328" s="1261"/>
      <c r="AE2328" s="1261"/>
      <c r="AF2328" s="1261"/>
      <c r="AG2328" s="1261"/>
      <c r="AH2328" s="1261"/>
      <c r="AI2328" s="1261"/>
      <c r="AJ2328" s="1261"/>
      <c r="AK2328" s="1261"/>
      <c r="AL2328" s="1261"/>
      <c r="AM2328" s="1261"/>
    </row>
    <row r="2329" spans="1:39" ht="15" customHeight="1" x14ac:dyDescent="0.25">
      <c r="A2329" s="1409"/>
      <c r="B2329" s="1409"/>
      <c r="C2329" s="1409"/>
      <c r="D2329" s="1409"/>
      <c r="E2329" s="1286"/>
      <c r="F2329" s="1248" t="s">
        <v>5456</v>
      </c>
      <c r="G2329" s="111"/>
      <c r="H2329" s="1249">
        <v>4</v>
      </c>
      <c r="I2329" s="111" t="s">
        <v>1755</v>
      </c>
      <c r="J2329" s="1321" t="s">
        <v>5608</v>
      </c>
      <c r="K2329" s="162" t="s">
        <v>5610</v>
      </c>
      <c r="L2329" s="162" t="s">
        <v>5609</v>
      </c>
      <c r="M2329" s="111">
        <v>9280</v>
      </c>
      <c r="N2329" s="111">
        <v>37120</v>
      </c>
      <c r="O2329" s="111"/>
      <c r="P2329" s="111"/>
      <c r="Q2329" s="111"/>
      <c r="R2329" s="111"/>
      <c r="S2329" s="1249">
        <v>2</v>
      </c>
      <c r="T2329" s="1250">
        <v>12373.333333333334</v>
      </c>
      <c r="U2329" s="1250"/>
      <c r="V2329" s="1250"/>
      <c r="W2329" s="1251">
        <v>1</v>
      </c>
      <c r="X2329" s="1250">
        <v>12373.333333333334</v>
      </c>
      <c r="Y2329" s="1250"/>
      <c r="Z2329" s="1250"/>
      <c r="AA2329" s="1250"/>
      <c r="AB2329" s="1250"/>
      <c r="AC2329" s="1250"/>
      <c r="AD2329" s="1250"/>
      <c r="AE2329" s="1249">
        <v>1</v>
      </c>
      <c r="AF2329" s="1250">
        <v>12373.333333333334</v>
      </c>
      <c r="AG2329" s="111"/>
      <c r="AH2329" s="111"/>
      <c r="AI2329" s="111"/>
      <c r="AJ2329" s="111"/>
      <c r="AK2329" s="111"/>
      <c r="AL2329" s="111"/>
      <c r="AM2329" s="111">
        <v>37120</v>
      </c>
    </row>
    <row r="2330" spans="1:39" ht="15" customHeight="1" x14ac:dyDescent="0.25">
      <c r="A2330" s="1409"/>
      <c r="B2330" s="1409"/>
      <c r="C2330" s="1409"/>
      <c r="D2330" s="1409"/>
      <c r="E2330" s="1286"/>
      <c r="F2330" s="1248" t="s">
        <v>5457</v>
      </c>
      <c r="G2330" s="111"/>
      <c r="H2330" s="1249">
        <v>8</v>
      </c>
      <c r="I2330" s="111" t="s">
        <v>1755</v>
      </c>
      <c r="J2330" s="1321" t="s">
        <v>5608</v>
      </c>
      <c r="K2330" s="162" t="s">
        <v>5610</v>
      </c>
      <c r="L2330" s="162" t="s">
        <v>5609</v>
      </c>
      <c r="M2330" s="111">
        <v>13570.561599999999</v>
      </c>
      <c r="N2330" s="111">
        <v>108564.49279999999</v>
      </c>
      <c r="O2330" s="111"/>
      <c r="P2330" s="111"/>
      <c r="Q2330" s="111"/>
      <c r="R2330" s="111"/>
      <c r="S2330" s="1249">
        <v>4</v>
      </c>
      <c r="T2330" s="1250">
        <v>36188.164266666667</v>
      </c>
      <c r="U2330" s="1250"/>
      <c r="V2330" s="1250"/>
      <c r="W2330" s="1251">
        <v>2</v>
      </c>
      <c r="X2330" s="1250">
        <v>36188.164266666667</v>
      </c>
      <c r="Y2330" s="1250"/>
      <c r="Z2330" s="1250"/>
      <c r="AA2330" s="1250"/>
      <c r="AB2330" s="1250"/>
      <c r="AC2330" s="1250"/>
      <c r="AD2330" s="1250"/>
      <c r="AE2330" s="1249">
        <v>2</v>
      </c>
      <c r="AF2330" s="1250">
        <v>36188.164266666667</v>
      </c>
      <c r="AG2330" s="111"/>
      <c r="AH2330" s="111"/>
      <c r="AI2330" s="111"/>
      <c r="AJ2330" s="111"/>
      <c r="AK2330" s="111"/>
      <c r="AL2330" s="111"/>
      <c r="AM2330" s="111">
        <v>108564.49279999999</v>
      </c>
    </row>
    <row r="2331" spans="1:39" ht="15" customHeight="1" x14ac:dyDescent="0.25">
      <c r="A2331" s="1409"/>
      <c r="B2331" s="1409"/>
      <c r="C2331" s="1409"/>
      <c r="D2331" s="1409"/>
      <c r="E2331" s="1286"/>
      <c r="F2331" s="1248"/>
      <c r="G2331" s="111"/>
      <c r="H2331" s="1249"/>
      <c r="I2331" s="111"/>
      <c r="J2331" s="111"/>
      <c r="K2331" s="111"/>
      <c r="L2331" s="111"/>
      <c r="M2331" s="111"/>
      <c r="N2331" s="111"/>
      <c r="O2331" s="111"/>
      <c r="P2331" s="111"/>
      <c r="Q2331" s="111"/>
      <c r="R2331" s="111"/>
      <c r="S2331" s="1249"/>
      <c r="T2331" s="1250"/>
      <c r="U2331" s="1250"/>
      <c r="V2331" s="1250"/>
      <c r="W2331" s="1251"/>
      <c r="X2331" s="1250"/>
      <c r="Y2331" s="1250"/>
      <c r="Z2331" s="1250"/>
      <c r="AA2331" s="1250"/>
      <c r="AB2331" s="1250"/>
      <c r="AC2331" s="1250"/>
      <c r="AD2331" s="1250"/>
      <c r="AE2331" s="1249"/>
      <c r="AF2331" s="1250"/>
      <c r="AG2331" s="111"/>
      <c r="AH2331" s="111"/>
      <c r="AI2331" s="111"/>
      <c r="AJ2331" s="111"/>
      <c r="AK2331" s="111"/>
      <c r="AL2331" s="111"/>
      <c r="AM2331" s="111"/>
    </row>
    <row r="2332" spans="1:39" ht="15" customHeight="1" x14ac:dyDescent="0.25">
      <c r="A2332" s="1409"/>
      <c r="B2332" s="1409"/>
      <c r="C2332" s="1409"/>
      <c r="D2332" s="1409"/>
      <c r="E2332" s="1288"/>
      <c r="F2332" s="1248"/>
      <c r="G2332" s="111"/>
      <c r="H2332" s="1249"/>
      <c r="I2332" s="111"/>
      <c r="J2332" s="111"/>
      <c r="K2332" s="111"/>
      <c r="L2332" s="111"/>
      <c r="M2332" s="111"/>
      <c r="N2332" s="111"/>
      <c r="O2332" s="111"/>
      <c r="P2332" s="111"/>
      <c r="Q2332" s="111"/>
      <c r="R2332" s="111"/>
      <c r="S2332" s="1249"/>
      <c r="T2332" s="1250"/>
      <c r="U2332" s="1250"/>
      <c r="V2332" s="1250"/>
      <c r="W2332" s="1251"/>
      <c r="X2332" s="1250"/>
      <c r="Y2332" s="1250"/>
      <c r="Z2332" s="1250"/>
      <c r="AA2332" s="1250"/>
      <c r="AB2332" s="1250"/>
      <c r="AC2332" s="1250"/>
      <c r="AD2332" s="1250"/>
      <c r="AE2332" s="1249"/>
      <c r="AF2332" s="1250"/>
      <c r="AG2332" s="111"/>
      <c r="AH2332" s="111"/>
      <c r="AI2332" s="111"/>
      <c r="AJ2332" s="111"/>
      <c r="AK2332" s="111"/>
      <c r="AL2332" s="111"/>
      <c r="AM2332" s="111"/>
    </row>
    <row r="2333" spans="1:39" ht="15" customHeight="1" x14ac:dyDescent="0.25">
      <c r="A2333" s="1409"/>
      <c r="B2333" s="1409"/>
      <c r="C2333" s="1409"/>
      <c r="D2333" s="1409"/>
      <c r="E2333" s="1218">
        <v>333</v>
      </c>
      <c r="F2333" s="1268" t="s">
        <v>834</v>
      </c>
      <c r="G2333" s="1218"/>
      <c r="H2333" s="1218"/>
      <c r="I2333" s="1218"/>
      <c r="J2333" s="1218"/>
      <c r="K2333" s="1218"/>
      <c r="L2333" s="1218"/>
      <c r="M2333" s="1218"/>
      <c r="N2333" s="1218"/>
      <c r="O2333" s="1218"/>
      <c r="P2333" s="1218"/>
      <c r="Q2333" s="1218"/>
      <c r="R2333" s="1218"/>
      <c r="S2333" s="1218"/>
      <c r="T2333" s="1218"/>
      <c r="U2333" s="1218"/>
      <c r="V2333" s="1218"/>
      <c r="W2333" s="1218"/>
      <c r="X2333" s="1218"/>
      <c r="Y2333" s="1218"/>
      <c r="Z2333" s="1218"/>
      <c r="AA2333" s="1218"/>
      <c r="AB2333" s="1218"/>
      <c r="AC2333" s="1218"/>
      <c r="AD2333" s="1218"/>
      <c r="AE2333" s="1218"/>
      <c r="AF2333" s="1218"/>
      <c r="AG2333" s="1218"/>
      <c r="AH2333" s="1218"/>
      <c r="AI2333" s="1218"/>
      <c r="AJ2333" s="1218"/>
      <c r="AK2333" s="1218"/>
      <c r="AL2333" s="1218"/>
      <c r="AM2333" s="1218"/>
    </row>
    <row r="2334" spans="1:39" ht="15" customHeight="1" x14ac:dyDescent="0.25">
      <c r="A2334" s="1409"/>
      <c r="B2334" s="1409"/>
      <c r="C2334" s="1409"/>
      <c r="D2334" s="1409"/>
      <c r="E2334" s="1247"/>
      <c r="F2334" s="1248"/>
      <c r="G2334" s="111"/>
      <c r="H2334" s="1249"/>
      <c r="I2334" s="111"/>
      <c r="J2334" s="111"/>
      <c r="K2334" s="111"/>
      <c r="L2334" s="111"/>
      <c r="M2334" s="111"/>
      <c r="N2334" s="111"/>
      <c r="O2334" s="111"/>
      <c r="P2334" s="111"/>
      <c r="Q2334" s="111"/>
      <c r="R2334" s="111"/>
      <c r="S2334" s="1249"/>
      <c r="T2334" s="1250"/>
      <c r="U2334" s="1250"/>
      <c r="V2334" s="1250"/>
      <c r="W2334" s="1251"/>
      <c r="X2334" s="1250"/>
      <c r="Y2334" s="1250"/>
      <c r="Z2334" s="1250"/>
      <c r="AA2334" s="1250"/>
      <c r="AB2334" s="1250"/>
      <c r="AC2334" s="1250"/>
      <c r="AD2334" s="1250"/>
      <c r="AE2334" s="1249"/>
      <c r="AF2334" s="1250"/>
      <c r="AG2334" s="111"/>
      <c r="AH2334" s="111"/>
      <c r="AI2334" s="111"/>
      <c r="AJ2334" s="111"/>
      <c r="AK2334" s="111"/>
      <c r="AL2334" s="111"/>
      <c r="AM2334" s="111"/>
    </row>
    <row r="2335" spans="1:39" ht="15" customHeight="1" x14ac:dyDescent="0.25">
      <c r="A2335" s="1409"/>
      <c r="B2335" s="1409"/>
      <c r="C2335" s="1409"/>
      <c r="D2335" s="1409"/>
      <c r="E2335" s="1261">
        <v>33301</v>
      </c>
      <c r="F2335" s="1262" t="s">
        <v>835</v>
      </c>
      <c r="G2335" s="1261"/>
      <c r="H2335" s="1261"/>
      <c r="I2335" s="1261"/>
      <c r="J2335" s="1261"/>
      <c r="K2335" s="1261"/>
      <c r="L2335" s="1261"/>
      <c r="M2335" s="1261"/>
      <c r="N2335" s="1261"/>
      <c r="O2335" s="1261"/>
      <c r="P2335" s="1261"/>
      <c r="Q2335" s="1261"/>
      <c r="R2335" s="1261"/>
      <c r="S2335" s="1261"/>
      <c r="T2335" s="1261"/>
      <c r="U2335" s="1261"/>
      <c r="V2335" s="1261"/>
      <c r="W2335" s="1261"/>
      <c r="X2335" s="1261"/>
      <c r="Y2335" s="1261"/>
      <c r="Z2335" s="1261"/>
      <c r="AA2335" s="1261"/>
      <c r="AB2335" s="1261"/>
      <c r="AC2335" s="1261"/>
      <c r="AD2335" s="1261"/>
      <c r="AE2335" s="1261"/>
      <c r="AF2335" s="1261"/>
      <c r="AG2335" s="1261"/>
      <c r="AH2335" s="1261"/>
      <c r="AI2335" s="1261"/>
      <c r="AJ2335" s="1261"/>
      <c r="AK2335" s="1261"/>
      <c r="AL2335" s="1261"/>
      <c r="AM2335" s="1261"/>
    </row>
    <row r="2336" spans="1:39" ht="15" customHeight="1" x14ac:dyDescent="0.25">
      <c r="A2336" s="1409"/>
      <c r="B2336" s="1409"/>
      <c r="C2336" s="1409"/>
      <c r="D2336" s="1409"/>
      <c r="E2336" s="1247"/>
      <c r="F2336" s="1248" t="s">
        <v>5458</v>
      </c>
      <c r="G2336" s="111"/>
      <c r="H2336" s="1249">
        <v>1</v>
      </c>
      <c r="I2336" s="111" t="s">
        <v>1755</v>
      </c>
      <c r="J2336" s="1321" t="s">
        <v>5608</v>
      </c>
      <c r="K2336" s="162" t="s">
        <v>5610</v>
      </c>
      <c r="L2336" s="162" t="s">
        <v>5609</v>
      </c>
      <c r="M2336" s="111">
        <v>3000</v>
      </c>
      <c r="N2336" s="111">
        <v>3000</v>
      </c>
      <c r="O2336" s="111"/>
      <c r="P2336" s="111"/>
      <c r="Q2336" s="111"/>
      <c r="R2336" s="111"/>
      <c r="S2336" s="1249">
        <v>1</v>
      </c>
      <c r="T2336" s="1250">
        <v>1000</v>
      </c>
      <c r="U2336" s="1250"/>
      <c r="V2336" s="1250"/>
      <c r="W2336" s="1251">
        <v>0</v>
      </c>
      <c r="X2336" s="1250">
        <v>1000</v>
      </c>
      <c r="Y2336" s="1250"/>
      <c r="Z2336" s="1250"/>
      <c r="AA2336" s="1250"/>
      <c r="AB2336" s="1250"/>
      <c r="AC2336" s="1250"/>
      <c r="AD2336" s="1250"/>
      <c r="AE2336" s="1249">
        <v>0</v>
      </c>
      <c r="AF2336" s="1250">
        <v>1000</v>
      </c>
      <c r="AG2336" s="111"/>
      <c r="AH2336" s="111"/>
      <c r="AI2336" s="111"/>
      <c r="AJ2336" s="111"/>
      <c r="AK2336" s="111"/>
      <c r="AL2336" s="111"/>
      <c r="AM2336" s="111">
        <v>3000</v>
      </c>
    </row>
    <row r="2337" spans="1:39" ht="15" customHeight="1" x14ac:dyDescent="0.25">
      <c r="A2337" s="1409"/>
      <c r="B2337" s="1409"/>
      <c r="C2337" s="1409"/>
      <c r="D2337" s="1409"/>
      <c r="E2337" s="1247"/>
      <c r="F2337" s="1248" t="s">
        <v>5459</v>
      </c>
      <c r="G2337" s="111"/>
      <c r="H2337" s="1249">
        <v>1</v>
      </c>
      <c r="I2337" s="111" t="s">
        <v>1755</v>
      </c>
      <c r="J2337" s="1321" t="s">
        <v>5608</v>
      </c>
      <c r="K2337" s="162" t="s">
        <v>5610</v>
      </c>
      <c r="L2337" s="162" t="s">
        <v>5609</v>
      </c>
      <c r="M2337" s="111">
        <v>3000</v>
      </c>
      <c r="N2337" s="111">
        <v>3000</v>
      </c>
      <c r="O2337" s="111"/>
      <c r="P2337" s="111"/>
      <c r="Q2337" s="111"/>
      <c r="R2337" s="111"/>
      <c r="S2337" s="1249">
        <v>1</v>
      </c>
      <c r="T2337" s="1250">
        <v>1000</v>
      </c>
      <c r="U2337" s="1250"/>
      <c r="V2337" s="1250"/>
      <c r="W2337" s="1251">
        <v>0</v>
      </c>
      <c r="X2337" s="1250">
        <v>1000</v>
      </c>
      <c r="Y2337" s="1250"/>
      <c r="Z2337" s="1250"/>
      <c r="AA2337" s="1250"/>
      <c r="AB2337" s="1250"/>
      <c r="AC2337" s="1250"/>
      <c r="AD2337" s="1250"/>
      <c r="AE2337" s="1249">
        <v>0</v>
      </c>
      <c r="AF2337" s="1250">
        <v>1000</v>
      </c>
      <c r="AG2337" s="111"/>
      <c r="AH2337" s="111"/>
      <c r="AI2337" s="111"/>
      <c r="AJ2337" s="111"/>
      <c r="AK2337" s="111"/>
      <c r="AL2337" s="111"/>
      <c r="AM2337" s="111">
        <v>3000</v>
      </c>
    </row>
    <row r="2338" spans="1:39" ht="15" customHeight="1" x14ac:dyDescent="0.25">
      <c r="A2338" s="1409"/>
      <c r="B2338" s="1409"/>
      <c r="C2338" s="1409"/>
      <c r="D2338" s="1409"/>
      <c r="E2338" s="1247"/>
      <c r="F2338" s="1248" t="s">
        <v>5460</v>
      </c>
      <c r="G2338" s="111"/>
      <c r="H2338" s="1249">
        <v>1</v>
      </c>
      <c r="I2338" s="111" t="s">
        <v>1755</v>
      </c>
      <c r="J2338" s="1321" t="s">
        <v>5608</v>
      </c>
      <c r="K2338" s="162" t="s">
        <v>5610</v>
      </c>
      <c r="L2338" s="162" t="s">
        <v>5609</v>
      </c>
      <c r="M2338" s="111">
        <v>3000</v>
      </c>
      <c r="N2338" s="111">
        <v>3000</v>
      </c>
      <c r="O2338" s="111"/>
      <c r="P2338" s="111"/>
      <c r="Q2338" s="111"/>
      <c r="R2338" s="111"/>
      <c r="S2338" s="1249">
        <v>1</v>
      </c>
      <c r="T2338" s="1250">
        <v>1000</v>
      </c>
      <c r="U2338" s="1250"/>
      <c r="V2338" s="1250"/>
      <c r="W2338" s="1251">
        <v>0</v>
      </c>
      <c r="X2338" s="1250">
        <v>1000</v>
      </c>
      <c r="Y2338" s="1250"/>
      <c r="Z2338" s="1250"/>
      <c r="AA2338" s="1250"/>
      <c r="AB2338" s="1250"/>
      <c r="AC2338" s="1250"/>
      <c r="AD2338" s="1250"/>
      <c r="AE2338" s="1249">
        <v>0</v>
      </c>
      <c r="AF2338" s="1250">
        <v>1000</v>
      </c>
      <c r="AG2338" s="111"/>
      <c r="AH2338" s="111"/>
      <c r="AI2338" s="111"/>
      <c r="AJ2338" s="111"/>
      <c r="AK2338" s="111"/>
      <c r="AL2338" s="111"/>
      <c r="AM2338" s="111">
        <v>3000</v>
      </c>
    </row>
    <row r="2339" spans="1:39" ht="15" customHeight="1" x14ac:dyDescent="0.25">
      <c r="A2339" s="1409"/>
      <c r="B2339" s="1409"/>
      <c r="C2339" s="1409"/>
      <c r="D2339" s="1409"/>
      <c r="E2339" s="1286"/>
      <c r="F2339" s="1248"/>
      <c r="G2339" s="111"/>
      <c r="H2339" s="1249"/>
      <c r="I2339" s="111"/>
      <c r="J2339" s="111"/>
      <c r="K2339" s="111"/>
      <c r="L2339" s="111"/>
      <c r="M2339" s="111"/>
      <c r="N2339" s="111"/>
      <c r="O2339" s="111"/>
      <c r="P2339" s="111"/>
      <c r="Q2339" s="111"/>
      <c r="R2339" s="111"/>
      <c r="S2339" s="1249"/>
      <c r="T2339" s="1250"/>
      <c r="U2339" s="1250"/>
      <c r="V2339" s="1250"/>
      <c r="W2339" s="1251"/>
      <c r="X2339" s="1250"/>
      <c r="Y2339" s="1250"/>
      <c r="Z2339" s="1250"/>
      <c r="AA2339" s="1250"/>
      <c r="AB2339" s="1250"/>
      <c r="AC2339" s="1250"/>
      <c r="AD2339" s="1250"/>
      <c r="AE2339" s="1249"/>
      <c r="AF2339" s="1250"/>
      <c r="AG2339" s="111"/>
      <c r="AH2339" s="111"/>
      <c r="AI2339" s="111"/>
      <c r="AJ2339" s="111"/>
      <c r="AK2339" s="111"/>
      <c r="AL2339" s="111"/>
      <c r="AM2339" s="111"/>
    </row>
    <row r="2340" spans="1:39" ht="15" customHeight="1" x14ac:dyDescent="0.25">
      <c r="A2340" s="1409"/>
      <c r="B2340" s="1409"/>
      <c r="C2340" s="1409"/>
      <c r="D2340" s="1409"/>
      <c r="E2340" s="1218">
        <v>334</v>
      </c>
      <c r="F2340" s="1268" t="s">
        <v>824</v>
      </c>
      <c r="G2340" s="1218"/>
      <c r="H2340" s="1218"/>
      <c r="I2340" s="1218"/>
      <c r="J2340" s="1218"/>
      <c r="K2340" s="1218"/>
      <c r="L2340" s="1218"/>
      <c r="M2340" s="1218"/>
      <c r="N2340" s="1218"/>
      <c r="O2340" s="1218"/>
      <c r="P2340" s="1218"/>
      <c r="Q2340" s="1218"/>
      <c r="R2340" s="1218"/>
      <c r="S2340" s="1218"/>
      <c r="T2340" s="1218"/>
      <c r="U2340" s="1218"/>
      <c r="V2340" s="1218"/>
      <c r="W2340" s="1218"/>
      <c r="X2340" s="1218"/>
      <c r="Y2340" s="1218"/>
      <c r="Z2340" s="1218"/>
      <c r="AA2340" s="1218"/>
      <c r="AB2340" s="1218"/>
      <c r="AC2340" s="1218"/>
      <c r="AD2340" s="1218"/>
      <c r="AE2340" s="1218"/>
      <c r="AF2340" s="1218"/>
      <c r="AG2340" s="1218"/>
      <c r="AH2340" s="1218"/>
      <c r="AI2340" s="1218"/>
      <c r="AJ2340" s="1218"/>
      <c r="AK2340" s="1218"/>
      <c r="AL2340" s="1218"/>
      <c r="AM2340" s="1218"/>
    </row>
    <row r="2341" spans="1:39" ht="15" customHeight="1" x14ac:dyDescent="0.25">
      <c r="A2341" s="1409"/>
      <c r="B2341" s="1409"/>
      <c r="C2341" s="1409"/>
      <c r="D2341" s="1409"/>
      <c r="E2341" s="1247"/>
      <c r="F2341" s="1248"/>
      <c r="G2341" s="111"/>
      <c r="H2341" s="1249"/>
      <c r="I2341" s="111"/>
      <c r="J2341" s="111"/>
      <c r="K2341" s="111"/>
      <c r="L2341" s="111"/>
      <c r="M2341" s="111"/>
      <c r="N2341" s="111"/>
      <c r="O2341" s="111"/>
      <c r="P2341" s="111"/>
      <c r="Q2341" s="111"/>
      <c r="R2341" s="111"/>
      <c r="S2341" s="1249"/>
      <c r="T2341" s="1250"/>
      <c r="U2341" s="1250"/>
      <c r="V2341" s="1250"/>
      <c r="W2341" s="1251"/>
      <c r="X2341" s="1250"/>
      <c r="Y2341" s="1250"/>
      <c r="Z2341" s="1250"/>
      <c r="AA2341" s="1250"/>
      <c r="AB2341" s="1250"/>
      <c r="AC2341" s="1250"/>
      <c r="AD2341" s="1250"/>
      <c r="AE2341" s="1249"/>
      <c r="AF2341" s="1250"/>
      <c r="AG2341" s="111"/>
      <c r="AH2341" s="111"/>
      <c r="AI2341" s="111"/>
      <c r="AJ2341" s="111"/>
      <c r="AK2341" s="111"/>
      <c r="AL2341" s="111"/>
      <c r="AM2341" s="111"/>
    </row>
    <row r="2342" spans="1:39" ht="15" customHeight="1" x14ac:dyDescent="0.25">
      <c r="A2342" s="1409"/>
      <c r="B2342" s="1409"/>
      <c r="C2342" s="1409"/>
      <c r="D2342" s="1409"/>
      <c r="E2342" s="1261">
        <v>33401</v>
      </c>
      <c r="F2342" s="1262" t="s">
        <v>824</v>
      </c>
      <c r="G2342" s="1261"/>
      <c r="H2342" s="1261"/>
      <c r="I2342" s="1261"/>
      <c r="J2342" s="1261"/>
      <c r="K2342" s="1261"/>
      <c r="L2342" s="1261"/>
      <c r="M2342" s="1261"/>
      <c r="N2342" s="1261"/>
      <c r="O2342" s="1261"/>
      <c r="P2342" s="1261"/>
      <c r="Q2342" s="1261"/>
      <c r="R2342" s="1261"/>
      <c r="S2342" s="1261"/>
      <c r="T2342" s="1261"/>
      <c r="U2342" s="1261"/>
      <c r="V2342" s="1261"/>
      <c r="W2342" s="1261"/>
      <c r="X2342" s="1261"/>
      <c r="Y2342" s="1261"/>
      <c r="Z2342" s="1261"/>
      <c r="AA2342" s="1261"/>
      <c r="AB2342" s="1261"/>
      <c r="AC2342" s="1261"/>
      <c r="AD2342" s="1261"/>
      <c r="AE2342" s="1261"/>
      <c r="AF2342" s="1261"/>
      <c r="AG2342" s="1261"/>
      <c r="AH2342" s="1261"/>
      <c r="AI2342" s="1261"/>
      <c r="AJ2342" s="1261"/>
      <c r="AK2342" s="1261"/>
      <c r="AL2342" s="1261"/>
      <c r="AM2342" s="1261"/>
    </row>
    <row r="2343" spans="1:39" ht="15" customHeight="1" x14ac:dyDescent="0.25">
      <c r="A2343" s="1409"/>
      <c r="B2343" s="1409"/>
      <c r="C2343" s="1409"/>
      <c r="D2343" s="1409"/>
      <c r="E2343" s="1247"/>
      <c r="F2343" s="1248" t="s">
        <v>5461</v>
      </c>
      <c r="G2343" s="111"/>
      <c r="H2343" s="1249">
        <v>3</v>
      </c>
      <c r="I2343" s="111" t="s">
        <v>1755</v>
      </c>
      <c r="J2343" s="1321" t="s">
        <v>5608</v>
      </c>
      <c r="K2343" s="162" t="s">
        <v>5610</v>
      </c>
      <c r="L2343" s="162" t="s">
        <v>5609</v>
      </c>
      <c r="M2343" s="111">
        <v>4333.333333333333</v>
      </c>
      <c r="N2343" s="111">
        <v>13000</v>
      </c>
      <c r="O2343" s="111"/>
      <c r="P2343" s="111"/>
      <c r="Q2343" s="111"/>
      <c r="R2343" s="111"/>
      <c r="S2343" s="1249">
        <v>1</v>
      </c>
      <c r="T2343" s="1250">
        <v>4333.333333333333</v>
      </c>
      <c r="U2343" s="1250"/>
      <c r="V2343" s="1250"/>
      <c r="W2343" s="1251">
        <v>1</v>
      </c>
      <c r="X2343" s="1250">
        <v>4333.333333333333</v>
      </c>
      <c r="Y2343" s="1250"/>
      <c r="Z2343" s="1250"/>
      <c r="AA2343" s="1250"/>
      <c r="AB2343" s="1250"/>
      <c r="AC2343" s="1250"/>
      <c r="AD2343" s="1250"/>
      <c r="AE2343" s="1249">
        <v>1</v>
      </c>
      <c r="AF2343" s="1250">
        <v>4333.333333333333</v>
      </c>
      <c r="AG2343" s="111"/>
      <c r="AH2343" s="111"/>
      <c r="AI2343" s="111"/>
      <c r="AJ2343" s="111"/>
      <c r="AK2343" s="111"/>
      <c r="AL2343" s="111"/>
      <c r="AM2343" s="111">
        <v>13000</v>
      </c>
    </row>
    <row r="2344" spans="1:39" ht="15" customHeight="1" x14ac:dyDescent="0.25">
      <c r="A2344" s="1409"/>
      <c r="B2344" s="1409"/>
      <c r="C2344" s="1409"/>
      <c r="D2344" s="1409"/>
      <c r="E2344" s="1291"/>
      <c r="F2344" s="1248" t="s">
        <v>5462</v>
      </c>
      <c r="G2344" s="111"/>
      <c r="H2344" s="1249">
        <v>1</v>
      </c>
      <c r="I2344" s="111" t="s">
        <v>1755</v>
      </c>
      <c r="J2344" s="1321" t="s">
        <v>5608</v>
      </c>
      <c r="K2344" s="162" t="s">
        <v>5610</v>
      </c>
      <c r="L2344" s="162" t="s">
        <v>5609</v>
      </c>
      <c r="M2344" s="111">
        <v>2000</v>
      </c>
      <c r="N2344" s="111">
        <v>2000</v>
      </c>
      <c r="O2344" s="111"/>
      <c r="P2344" s="111"/>
      <c r="Q2344" s="111"/>
      <c r="R2344" s="111"/>
      <c r="S2344" s="1249">
        <v>1</v>
      </c>
      <c r="T2344" s="1250">
        <v>666.66666666666663</v>
      </c>
      <c r="U2344" s="1250"/>
      <c r="V2344" s="1250"/>
      <c r="W2344" s="1251">
        <v>0</v>
      </c>
      <c r="X2344" s="1250">
        <v>666.66666666666663</v>
      </c>
      <c r="Y2344" s="1250"/>
      <c r="Z2344" s="1250"/>
      <c r="AA2344" s="1250"/>
      <c r="AB2344" s="1250"/>
      <c r="AC2344" s="1250"/>
      <c r="AD2344" s="1250"/>
      <c r="AE2344" s="1249">
        <v>0</v>
      </c>
      <c r="AF2344" s="1250">
        <v>666.66666666666663</v>
      </c>
      <c r="AG2344" s="111"/>
      <c r="AH2344" s="111"/>
      <c r="AI2344" s="111"/>
      <c r="AJ2344" s="111"/>
      <c r="AK2344" s="111"/>
      <c r="AL2344" s="111"/>
      <c r="AM2344" s="111">
        <v>2000</v>
      </c>
    </row>
    <row r="2345" spans="1:39" ht="15" customHeight="1" x14ac:dyDescent="0.25">
      <c r="A2345" s="1409"/>
      <c r="B2345" s="1409"/>
      <c r="C2345" s="1409"/>
      <c r="D2345" s="1409"/>
      <c r="E2345" s="1291"/>
      <c r="F2345" s="1248"/>
      <c r="G2345" s="111"/>
      <c r="H2345" s="1249"/>
      <c r="I2345" s="111"/>
      <c r="J2345" s="111"/>
      <c r="K2345" s="111"/>
      <c r="L2345" s="111"/>
      <c r="M2345" s="111"/>
      <c r="N2345" s="111"/>
      <c r="O2345" s="111"/>
      <c r="P2345" s="111"/>
      <c r="Q2345" s="111"/>
      <c r="R2345" s="111"/>
      <c r="S2345" s="1249"/>
      <c r="T2345" s="1250"/>
      <c r="U2345" s="1250"/>
      <c r="V2345" s="1250"/>
      <c r="W2345" s="1251"/>
      <c r="X2345" s="1250"/>
      <c r="Y2345" s="1250"/>
      <c r="Z2345" s="1250"/>
      <c r="AA2345" s="1250"/>
      <c r="AB2345" s="1250"/>
      <c r="AC2345" s="1250"/>
      <c r="AD2345" s="1250"/>
      <c r="AE2345" s="1249"/>
      <c r="AF2345" s="1250"/>
      <c r="AG2345" s="111"/>
      <c r="AH2345" s="111"/>
      <c r="AI2345" s="111"/>
      <c r="AJ2345" s="111"/>
      <c r="AK2345" s="111"/>
      <c r="AL2345" s="111"/>
      <c r="AM2345" s="111"/>
    </row>
    <row r="2346" spans="1:39" ht="15" customHeight="1" x14ac:dyDescent="0.25">
      <c r="A2346" s="1409"/>
      <c r="B2346" s="1409"/>
      <c r="C2346" s="1409"/>
      <c r="D2346" s="1409"/>
      <c r="E2346" s="1218">
        <v>336</v>
      </c>
      <c r="F2346" s="1268" t="s">
        <v>845</v>
      </c>
      <c r="G2346" s="1218"/>
      <c r="H2346" s="1218"/>
      <c r="I2346" s="1218"/>
      <c r="J2346" s="1218"/>
      <c r="K2346" s="1218"/>
      <c r="L2346" s="1218"/>
      <c r="M2346" s="1218"/>
      <c r="N2346" s="1218"/>
      <c r="O2346" s="1218"/>
      <c r="P2346" s="1218"/>
      <c r="Q2346" s="1218"/>
      <c r="R2346" s="1218"/>
      <c r="S2346" s="1218"/>
      <c r="T2346" s="1218"/>
      <c r="U2346" s="1218"/>
      <c r="V2346" s="1218"/>
      <c r="W2346" s="1218"/>
      <c r="X2346" s="1218"/>
      <c r="Y2346" s="1218"/>
      <c r="Z2346" s="1218"/>
      <c r="AA2346" s="1218"/>
      <c r="AB2346" s="1218"/>
      <c r="AC2346" s="1218"/>
      <c r="AD2346" s="1218"/>
      <c r="AE2346" s="1218"/>
      <c r="AF2346" s="1218"/>
      <c r="AG2346" s="1218"/>
      <c r="AH2346" s="1218"/>
      <c r="AI2346" s="1218"/>
      <c r="AJ2346" s="1218"/>
      <c r="AK2346" s="1218"/>
      <c r="AL2346" s="1218"/>
      <c r="AM2346" s="1218"/>
    </row>
    <row r="2347" spans="1:39" ht="15" customHeight="1" x14ac:dyDescent="0.25">
      <c r="A2347" s="1409"/>
      <c r="B2347" s="1409"/>
      <c r="C2347" s="1409"/>
      <c r="D2347" s="1409"/>
      <c r="E2347" s="1247"/>
      <c r="F2347" s="1248"/>
      <c r="G2347" s="111"/>
      <c r="H2347" s="1249"/>
      <c r="I2347" s="111"/>
      <c r="J2347" s="111"/>
      <c r="K2347" s="111"/>
      <c r="L2347" s="111"/>
      <c r="M2347" s="111"/>
      <c r="N2347" s="111"/>
      <c r="O2347" s="111"/>
      <c r="P2347" s="111"/>
      <c r="Q2347" s="111"/>
      <c r="R2347" s="111"/>
      <c r="S2347" s="1249"/>
      <c r="T2347" s="1250"/>
      <c r="U2347" s="1250"/>
      <c r="V2347" s="1250"/>
      <c r="W2347" s="1251"/>
      <c r="X2347" s="1250"/>
      <c r="Y2347" s="1250"/>
      <c r="Z2347" s="1250"/>
      <c r="AA2347" s="1250"/>
      <c r="AB2347" s="1250"/>
      <c r="AC2347" s="1250"/>
      <c r="AD2347" s="1250"/>
      <c r="AE2347" s="1249"/>
      <c r="AF2347" s="1250"/>
      <c r="AG2347" s="111"/>
      <c r="AH2347" s="111"/>
      <c r="AI2347" s="111"/>
      <c r="AJ2347" s="111"/>
      <c r="AK2347" s="111"/>
      <c r="AL2347" s="111"/>
      <c r="AM2347" s="111"/>
    </row>
    <row r="2348" spans="1:39" ht="15" customHeight="1" x14ac:dyDescent="0.25">
      <c r="A2348" s="1409"/>
      <c r="B2348" s="1409"/>
      <c r="C2348" s="1409"/>
      <c r="D2348" s="1409"/>
      <c r="E2348" s="1261">
        <v>33602</v>
      </c>
      <c r="F2348" s="1262" t="s">
        <v>847</v>
      </c>
      <c r="G2348" s="1261"/>
      <c r="H2348" s="1261"/>
      <c r="I2348" s="1261"/>
      <c r="J2348" s="1261"/>
      <c r="K2348" s="1261"/>
      <c r="L2348" s="1261"/>
      <c r="M2348" s="1261"/>
      <c r="N2348" s="1261"/>
      <c r="O2348" s="1261"/>
      <c r="P2348" s="1261"/>
      <c r="Q2348" s="1261"/>
      <c r="R2348" s="1261"/>
      <c r="S2348" s="1261"/>
      <c r="T2348" s="1261"/>
      <c r="U2348" s="1261"/>
      <c r="V2348" s="1261"/>
      <c r="W2348" s="1261"/>
      <c r="X2348" s="1261"/>
      <c r="Y2348" s="1261"/>
      <c r="Z2348" s="1261"/>
      <c r="AA2348" s="1261"/>
      <c r="AB2348" s="1261"/>
      <c r="AC2348" s="1261"/>
      <c r="AD2348" s="1261"/>
      <c r="AE2348" s="1261"/>
      <c r="AF2348" s="1261"/>
      <c r="AG2348" s="1261"/>
      <c r="AH2348" s="1261"/>
      <c r="AI2348" s="1261"/>
      <c r="AJ2348" s="1261"/>
      <c r="AK2348" s="1261"/>
      <c r="AL2348" s="1261"/>
      <c r="AM2348" s="1261"/>
    </row>
    <row r="2349" spans="1:39" ht="15" customHeight="1" x14ac:dyDescent="0.25">
      <c r="A2349" s="1409"/>
      <c r="B2349" s="1409"/>
      <c r="C2349" s="1409"/>
      <c r="D2349" s="1409"/>
      <c r="E2349" s="1291"/>
      <c r="F2349" s="1248" t="s">
        <v>5463</v>
      </c>
      <c r="G2349" s="111"/>
      <c r="H2349" s="1249">
        <v>4</v>
      </c>
      <c r="I2349" s="111" t="s">
        <v>1755</v>
      </c>
      <c r="J2349" s="1321" t="s">
        <v>5608</v>
      </c>
      <c r="K2349" s="162" t="s">
        <v>5610</v>
      </c>
      <c r="L2349" s="162" t="s">
        <v>5609</v>
      </c>
      <c r="M2349" s="111">
        <v>50</v>
      </c>
      <c r="N2349" s="111">
        <v>200</v>
      </c>
      <c r="O2349" s="111"/>
      <c r="P2349" s="111"/>
      <c r="Q2349" s="111"/>
      <c r="R2349" s="111"/>
      <c r="S2349" s="1249">
        <v>2</v>
      </c>
      <c r="T2349" s="1250">
        <v>66.666666666666671</v>
      </c>
      <c r="U2349" s="1250"/>
      <c r="V2349" s="1250"/>
      <c r="W2349" s="1251">
        <v>1</v>
      </c>
      <c r="X2349" s="1250">
        <v>66.666666666666671</v>
      </c>
      <c r="Y2349" s="1250"/>
      <c r="Z2349" s="1250"/>
      <c r="AA2349" s="1250"/>
      <c r="AB2349" s="1250"/>
      <c r="AC2349" s="1250"/>
      <c r="AD2349" s="1250"/>
      <c r="AE2349" s="1249">
        <v>1</v>
      </c>
      <c r="AF2349" s="1250">
        <v>66.666666666666671</v>
      </c>
      <c r="AG2349" s="111"/>
      <c r="AH2349" s="111"/>
      <c r="AI2349" s="111"/>
      <c r="AJ2349" s="111"/>
      <c r="AK2349" s="111"/>
      <c r="AL2349" s="111"/>
      <c r="AM2349" s="111">
        <v>200</v>
      </c>
    </row>
    <row r="2350" spans="1:39" ht="15" customHeight="1" x14ac:dyDescent="0.25">
      <c r="A2350" s="1409"/>
      <c r="B2350" s="1409"/>
      <c r="C2350" s="1409"/>
      <c r="D2350" s="1409"/>
      <c r="E2350" s="1291"/>
      <c r="F2350" s="1248" t="s">
        <v>5464</v>
      </c>
      <c r="G2350" s="111"/>
      <c r="H2350" s="1249">
        <v>12</v>
      </c>
      <c r="I2350" s="111" t="s">
        <v>1755</v>
      </c>
      <c r="J2350" s="1321" t="s">
        <v>5608</v>
      </c>
      <c r="K2350" s="162" t="s">
        <v>5610</v>
      </c>
      <c r="L2350" s="162" t="s">
        <v>5609</v>
      </c>
      <c r="M2350" s="111">
        <v>500</v>
      </c>
      <c r="N2350" s="111">
        <v>6000</v>
      </c>
      <c r="O2350" s="111"/>
      <c r="P2350" s="111"/>
      <c r="Q2350" s="111"/>
      <c r="R2350" s="111"/>
      <c r="S2350" s="1249">
        <v>5</v>
      </c>
      <c r="T2350" s="1250">
        <v>2000</v>
      </c>
      <c r="U2350" s="1250"/>
      <c r="V2350" s="1250"/>
      <c r="W2350" s="1251">
        <v>5</v>
      </c>
      <c r="X2350" s="1250">
        <v>2000</v>
      </c>
      <c r="Y2350" s="1250"/>
      <c r="Z2350" s="1250"/>
      <c r="AA2350" s="1250"/>
      <c r="AB2350" s="1250"/>
      <c r="AC2350" s="1250"/>
      <c r="AD2350" s="1250"/>
      <c r="AE2350" s="1249">
        <v>2</v>
      </c>
      <c r="AF2350" s="1250">
        <v>2000</v>
      </c>
      <c r="AG2350" s="111"/>
      <c r="AH2350" s="111"/>
      <c r="AI2350" s="111"/>
      <c r="AJ2350" s="111"/>
      <c r="AK2350" s="111"/>
      <c r="AL2350" s="111"/>
      <c r="AM2350" s="111">
        <v>6000</v>
      </c>
    </row>
    <row r="2351" spans="1:39" ht="15" customHeight="1" x14ac:dyDescent="0.25">
      <c r="A2351" s="1409"/>
      <c r="B2351" s="1409"/>
      <c r="C2351" s="1409"/>
      <c r="D2351" s="1409"/>
      <c r="E2351" s="1286"/>
      <c r="F2351" s="1248"/>
      <c r="G2351" s="111"/>
      <c r="H2351" s="1249"/>
      <c r="I2351" s="111"/>
      <c r="J2351" s="111"/>
      <c r="K2351" s="111"/>
      <c r="L2351" s="111"/>
      <c r="M2351" s="111"/>
      <c r="N2351" s="111"/>
      <c r="O2351" s="111"/>
      <c r="P2351" s="111"/>
      <c r="Q2351" s="111"/>
      <c r="R2351" s="111"/>
      <c r="S2351" s="1249"/>
      <c r="T2351" s="1250"/>
      <c r="U2351" s="1250"/>
      <c r="V2351" s="1250"/>
      <c r="W2351" s="1251"/>
      <c r="X2351" s="1250"/>
      <c r="Y2351" s="1250"/>
      <c r="Z2351" s="1250"/>
      <c r="AA2351" s="1250"/>
      <c r="AB2351" s="1250"/>
      <c r="AC2351" s="1250"/>
      <c r="AD2351" s="1250"/>
      <c r="AE2351" s="1249"/>
      <c r="AF2351" s="1250"/>
      <c r="AG2351" s="111"/>
      <c r="AH2351" s="111"/>
      <c r="AI2351" s="111"/>
      <c r="AJ2351" s="111"/>
      <c r="AK2351" s="111"/>
      <c r="AL2351" s="111"/>
      <c r="AM2351" s="111"/>
    </row>
    <row r="2352" spans="1:39" ht="15" customHeight="1" x14ac:dyDescent="0.25">
      <c r="A2352" s="1409"/>
      <c r="B2352" s="1409"/>
      <c r="C2352" s="1409"/>
      <c r="D2352" s="1409"/>
      <c r="E2352" s="1261">
        <v>33604</v>
      </c>
      <c r="F2352" s="1262" t="s">
        <v>852</v>
      </c>
      <c r="G2352" s="1261"/>
      <c r="H2352" s="1261"/>
      <c r="I2352" s="1261"/>
      <c r="J2352" s="1261"/>
      <c r="K2352" s="1261"/>
      <c r="L2352" s="1261"/>
      <c r="M2352" s="1261"/>
      <c r="N2352" s="1261"/>
      <c r="O2352" s="1261"/>
      <c r="P2352" s="1261"/>
      <c r="Q2352" s="1261"/>
      <c r="R2352" s="1261"/>
      <c r="S2352" s="1261"/>
      <c r="T2352" s="1261"/>
      <c r="U2352" s="1261"/>
      <c r="V2352" s="1261"/>
      <c r="W2352" s="1261"/>
      <c r="X2352" s="1261"/>
      <c r="Y2352" s="1261"/>
      <c r="Z2352" s="1261"/>
      <c r="AA2352" s="1261"/>
      <c r="AB2352" s="1261"/>
      <c r="AC2352" s="1261"/>
      <c r="AD2352" s="1261"/>
      <c r="AE2352" s="1261"/>
      <c r="AF2352" s="1261"/>
      <c r="AG2352" s="1261"/>
      <c r="AH2352" s="1261"/>
      <c r="AI2352" s="1261"/>
      <c r="AJ2352" s="1261"/>
      <c r="AK2352" s="1261"/>
      <c r="AL2352" s="1261"/>
      <c r="AM2352" s="1261"/>
    </row>
    <row r="2353" spans="1:39" ht="15" customHeight="1" x14ac:dyDescent="0.25">
      <c r="A2353" s="1409"/>
      <c r="B2353" s="1409"/>
      <c r="C2353" s="1409"/>
      <c r="D2353" s="1409"/>
      <c r="E2353" s="1247"/>
      <c r="F2353" s="1248" t="s">
        <v>2527</v>
      </c>
      <c r="G2353" s="111"/>
      <c r="H2353" s="1249">
        <v>400</v>
      </c>
      <c r="I2353" s="111" t="s">
        <v>1721</v>
      </c>
      <c r="J2353" s="1321" t="s">
        <v>5608</v>
      </c>
      <c r="K2353" s="162" t="s">
        <v>5610</v>
      </c>
      <c r="L2353" s="162" t="s">
        <v>5609</v>
      </c>
      <c r="M2353" s="111">
        <v>500</v>
      </c>
      <c r="N2353" s="111">
        <v>200000</v>
      </c>
      <c r="O2353" s="111"/>
      <c r="P2353" s="111"/>
      <c r="Q2353" s="111"/>
      <c r="R2353" s="111"/>
      <c r="S2353" s="1249">
        <v>200</v>
      </c>
      <c r="T2353" s="1250">
        <v>66666.666666666672</v>
      </c>
      <c r="U2353" s="1250"/>
      <c r="V2353" s="1250"/>
      <c r="W2353" s="1251">
        <v>100</v>
      </c>
      <c r="X2353" s="1250">
        <v>66666.666666666672</v>
      </c>
      <c r="Y2353" s="1250"/>
      <c r="Z2353" s="1250"/>
      <c r="AA2353" s="1250"/>
      <c r="AB2353" s="1250"/>
      <c r="AC2353" s="1250"/>
      <c r="AD2353" s="1250"/>
      <c r="AE2353" s="1249">
        <v>100</v>
      </c>
      <c r="AF2353" s="1250">
        <v>66666.666666666672</v>
      </c>
      <c r="AG2353" s="111"/>
      <c r="AH2353" s="111"/>
      <c r="AI2353" s="111"/>
      <c r="AJ2353" s="111"/>
      <c r="AK2353" s="111"/>
      <c r="AL2353" s="111"/>
      <c r="AM2353" s="111">
        <v>200000</v>
      </c>
    </row>
    <row r="2354" spans="1:39" ht="15" customHeight="1" x14ac:dyDescent="0.25">
      <c r="A2354" s="1409"/>
      <c r="B2354" s="1409"/>
      <c r="C2354" s="1409"/>
      <c r="D2354" s="1409"/>
      <c r="E2354" s="1247"/>
      <c r="F2354" s="1248" t="s">
        <v>5465</v>
      </c>
      <c r="G2354" s="111"/>
      <c r="H2354" s="1249">
        <v>500</v>
      </c>
      <c r="I2354" s="111" t="s">
        <v>1721</v>
      </c>
      <c r="J2354" s="1321" t="s">
        <v>5608</v>
      </c>
      <c r="K2354" s="162" t="s">
        <v>5610</v>
      </c>
      <c r="L2354" s="162" t="s">
        <v>5609</v>
      </c>
      <c r="M2354" s="111">
        <v>130</v>
      </c>
      <c r="N2354" s="111">
        <v>65000</v>
      </c>
      <c r="O2354" s="111"/>
      <c r="P2354" s="111"/>
      <c r="Q2354" s="111"/>
      <c r="R2354" s="111"/>
      <c r="S2354" s="1249">
        <v>200</v>
      </c>
      <c r="T2354" s="1250">
        <v>21666.666666666668</v>
      </c>
      <c r="U2354" s="1250"/>
      <c r="V2354" s="1250"/>
      <c r="W2354" s="1251">
        <v>200</v>
      </c>
      <c r="X2354" s="1250">
        <v>21666.666666666668</v>
      </c>
      <c r="Y2354" s="1250"/>
      <c r="Z2354" s="1250"/>
      <c r="AA2354" s="1250"/>
      <c r="AB2354" s="1250"/>
      <c r="AC2354" s="1250"/>
      <c r="AD2354" s="1250"/>
      <c r="AE2354" s="1249">
        <v>100</v>
      </c>
      <c r="AF2354" s="1250">
        <v>21666.666666666668</v>
      </c>
      <c r="AG2354" s="111"/>
      <c r="AH2354" s="111"/>
      <c r="AI2354" s="111"/>
      <c r="AJ2354" s="111"/>
      <c r="AK2354" s="111"/>
      <c r="AL2354" s="111"/>
      <c r="AM2354" s="111">
        <v>65000</v>
      </c>
    </row>
    <row r="2355" spans="1:39" ht="15" customHeight="1" x14ac:dyDescent="0.25">
      <c r="A2355" s="1409"/>
      <c r="B2355" s="1409"/>
      <c r="C2355" s="1409"/>
      <c r="D2355" s="1409"/>
      <c r="E2355" s="1291"/>
      <c r="F2355" s="1248" t="s">
        <v>5466</v>
      </c>
      <c r="G2355" s="111"/>
      <c r="H2355" s="1249">
        <v>14</v>
      </c>
      <c r="I2355" s="111" t="s">
        <v>1721</v>
      </c>
      <c r="J2355" s="1321" t="s">
        <v>5608</v>
      </c>
      <c r="K2355" s="162" t="s">
        <v>5610</v>
      </c>
      <c r="L2355" s="162" t="s">
        <v>5609</v>
      </c>
      <c r="M2355" s="111">
        <v>880.28571428571433</v>
      </c>
      <c r="N2355" s="111">
        <v>12324</v>
      </c>
      <c r="O2355" s="111"/>
      <c r="P2355" s="111"/>
      <c r="Q2355" s="111"/>
      <c r="R2355" s="111"/>
      <c r="S2355" s="1249">
        <v>5</v>
      </c>
      <c r="T2355" s="1250">
        <v>4108</v>
      </c>
      <c r="U2355" s="1250"/>
      <c r="V2355" s="1250"/>
      <c r="W2355" s="1251">
        <v>5</v>
      </c>
      <c r="X2355" s="1250">
        <v>4108</v>
      </c>
      <c r="Y2355" s="1250"/>
      <c r="Z2355" s="1250"/>
      <c r="AA2355" s="1250"/>
      <c r="AB2355" s="1250"/>
      <c r="AC2355" s="1250"/>
      <c r="AD2355" s="1250"/>
      <c r="AE2355" s="1249">
        <v>4</v>
      </c>
      <c r="AF2355" s="1250">
        <v>4108</v>
      </c>
      <c r="AG2355" s="111"/>
      <c r="AH2355" s="111"/>
      <c r="AI2355" s="111"/>
      <c r="AJ2355" s="111"/>
      <c r="AK2355" s="111"/>
      <c r="AL2355" s="111"/>
      <c r="AM2355" s="111">
        <v>12324</v>
      </c>
    </row>
    <row r="2356" spans="1:39" ht="15" customHeight="1" x14ac:dyDescent="0.25">
      <c r="A2356" s="1409"/>
      <c r="B2356" s="1409"/>
      <c r="C2356" s="1409"/>
      <c r="D2356" s="1409"/>
      <c r="E2356" s="1291"/>
      <c r="F2356" s="1248" t="s">
        <v>5467</v>
      </c>
      <c r="G2356" s="111"/>
      <c r="H2356" s="1249">
        <v>12</v>
      </c>
      <c r="I2356" s="111" t="s">
        <v>1721</v>
      </c>
      <c r="J2356" s="1321" t="s">
        <v>5608</v>
      </c>
      <c r="K2356" s="162" t="s">
        <v>5610</v>
      </c>
      <c r="L2356" s="162" t="s">
        <v>5609</v>
      </c>
      <c r="M2356" s="111">
        <v>500</v>
      </c>
      <c r="N2356" s="111">
        <v>6000</v>
      </c>
      <c r="O2356" s="111"/>
      <c r="P2356" s="111"/>
      <c r="Q2356" s="111"/>
      <c r="R2356" s="111"/>
      <c r="S2356" s="1249">
        <v>5</v>
      </c>
      <c r="T2356" s="1250">
        <v>2000</v>
      </c>
      <c r="U2356" s="1250"/>
      <c r="V2356" s="1250"/>
      <c r="W2356" s="1251">
        <v>5</v>
      </c>
      <c r="X2356" s="1250">
        <v>2000</v>
      </c>
      <c r="Y2356" s="1250"/>
      <c r="Z2356" s="1250"/>
      <c r="AA2356" s="1250"/>
      <c r="AB2356" s="1250"/>
      <c r="AC2356" s="1250"/>
      <c r="AD2356" s="1250"/>
      <c r="AE2356" s="1249">
        <v>2</v>
      </c>
      <c r="AF2356" s="1250">
        <v>2000</v>
      </c>
      <c r="AG2356" s="111"/>
      <c r="AH2356" s="111"/>
      <c r="AI2356" s="111"/>
      <c r="AJ2356" s="111"/>
      <c r="AK2356" s="111"/>
      <c r="AL2356" s="111"/>
      <c r="AM2356" s="111">
        <v>6000</v>
      </c>
    </row>
    <row r="2357" spans="1:39" ht="15" customHeight="1" x14ac:dyDescent="0.25">
      <c r="A2357" s="1409"/>
      <c r="B2357" s="1409"/>
      <c r="C2357" s="1409"/>
      <c r="D2357" s="1409"/>
      <c r="E2357" s="1286"/>
      <c r="F2357" s="1248"/>
      <c r="G2357" s="111"/>
      <c r="H2357" s="1249"/>
      <c r="I2357" s="111"/>
      <c r="J2357" s="111"/>
      <c r="K2357" s="162" t="s">
        <v>5610</v>
      </c>
      <c r="L2357" s="162" t="s">
        <v>5609</v>
      </c>
      <c r="M2357" s="111"/>
      <c r="N2357" s="111"/>
      <c r="O2357" s="111"/>
      <c r="P2357" s="111"/>
      <c r="Q2357" s="111"/>
      <c r="R2357" s="111"/>
      <c r="S2357" s="1249"/>
      <c r="T2357" s="1250"/>
      <c r="U2357" s="1250"/>
      <c r="V2357" s="1250"/>
      <c r="W2357" s="1251"/>
      <c r="X2357" s="1250"/>
      <c r="Y2357" s="1250"/>
      <c r="Z2357" s="1250"/>
      <c r="AA2357" s="1250"/>
      <c r="AB2357" s="1250"/>
      <c r="AC2357" s="1250"/>
      <c r="AD2357" s="1250"/>
      <c r="AE2357" s="1249"/>
      <c r="AF2357" s="1250"/>
      <c r="AG2357" s="111"/>
      <c r="AH2357" s="111"/>
      <c r="AI2357" s="111"/>
      <c r="AJ2357" s="111"/>
      <c r="AK2357" s="111"/>
      <c r="AL2357" s="111"/>
      <c r="AM2357" s="111"/>
    </row>
    <row r="2358" spans="1:39" ht="15" customHeight="1" x14ac:dyDescent="0.25">
      <c r="A2358" s="1409"/>
      <c r="B2358" s="1409"/>
      <c r="C2358" s="1409"/>
      <c r="D2358" s="1409"/>
      <c r="E2358" s="1218">
        <v>338</v>
      </c>
      <c r="F2358" s="1268" t="s">
        <v>856</v>
      </c>
      <c r="G2358" s="1218"/>
      <c r="H2358" s="1218"/>
      <c r="I2358" s="1218"/>
      <c r="J2358" s="1218"/>
      <c r="K2358" s="1218"/>
      <c r="L2358" s="1218"/>
      <c r="M2358" s="1218"/>
      <c r="N2358" s="1218"/>
      <c r="O2358" s="1218"/>
      <c r="P2358" s="1218"/>
      <c r="Q2358" s="1218"/>
      <c r="R2358" s="1218"/>
      <c r="S2358" s="1218"/>
      <c r="T2358" s="1218"/>
      <c r="U2358" s="1218"/>
      <c r="V2358" s="1218"/>
      <c r="W2358" s="1218"/>
      <c r="X2358" s="1218"/>
      <c r="Y2358" s="1218"/>
      <c r="Z2358" s="1218"/>
      <c r="AA2358" s="1218"/>
      <c r="AB2358" s="1218"/>
      <c r="AC2358" s="1218"/>
      <c r="AD2358" s="1218"/>
      <c r="AE2358" s="1218"/>
      <c r="AF2358" s="1218"/>
      <c r="AG2358" s="1218"/>
      <c r="AH2358" s="1218"/>
      <c r="AI2358" s="1218"/>
      <c r="AJ2358" s="1218"/>
      <c r="AK2358" s="1218"/>
      <c r="AL2358" s="1218"/>
      <c r="AM2358" s="1218"/>
    </row>
    <row r="2359" spans="1:39" ht="15" customHeight="1" x14ac:dyDescent="0.25">
      <c r="A2359" s="1409"/>
      <c r="B2359" s="1409"/>
      <c r="C2359" s="1409"/>
      <c r="D2359" s="1409"/>
      <c r="E2359" s="1261">
        <v>33801</v>
      </c>
      <c r="F2359" s="1262" t="s">
        <v>856</v>
      </c>
      <c r="G2359" s="1261"/>
      <c r="H2359" s="1261"/>
      <c r="I2359" s="1261"/>
      <c r="J2359" s="1261"/>
      <c r="K2359" s="1261"/>
      <c r="L2359" s="1261"/>
      <c r="M2359" s="1261"/>
      <c r="N2359" s="1261"/>
      <c r="O2359" s="1261"/>
      <c r="P2359" s="1261"/>
      <c r="Q2359" s="1261"/>
      <c r="R2359" s="1261"/>
      <c r="S2359" s="1261"/>
      <c r="T2359" s="1261"/>
      <c r="U2359" s="1261"/>
      <c r="V2359" s="1261"/>
      <c r="W2359" s="1261"/>
      <c r="X2359" s="1261"/>
      <c r="Y2359" s="1261"/>
      <c r="Z2359" s="1261"/>
      <c r="AA2359" s="1261"/>
      <c r="AB2359" s="1261"/>
      <c r="AC2359" s="1261"/>
      <c r="AD2359" s="1261"/>
      <c r="AE2359" s="1261"/>
      <c r="AF2359" s="1261"/>
      <c r="AG2359" s="1261"/>
      <c r="AH2359" s="1261"/>
      <c r="AI2359" s="1261"/>
      <c r="AJ2359" s="1261"/>
      <c r="AK2359" s="1261"/>
      <c r="AL2359" s="1261"/>
      <c r="AM2359" s="1261"/>
    </row>
    <row r="2360" spans="1:39" ht="30" customHeight="1" x14ac:dyDescent="0.25">
      <c r="A2360" s="1409"/>
      <c r="B2360" s="1409"/>
      <c r="C2360" s="1409"/>
      <c r="D2360" s="1409"/>
      <c r="E2360" s="1286"/>
      <c r="F2360" s="1287" t="s">
        <v>5468</v>
      </c>
      <c r="G2360" s="111"/>
      <c r="H2360" s="1249">
        <v>1</v>
      </c>
      <c r="I2360" s="111" t="s">
        <v>1755</v>
      </c>
      <c r="J2360" s="1321" t="s">
        <v>5608</v>
      </c>
      <c r="K2360" s="162" t="s">
        <v>5610</v>
      </c>
      <c r="L2360" s="162" t="s">
        <v>5609</v>
      </c>
      <c r="M2360" s="111">
        <v>2160</v>
      </c>
      <c r="N2360" s="111">
        <v>2160</v>
      </c>
      <c r="O2360" s="111"/>
      <c r="P2360" s="111"/>
      <c r="Q2360" s="111"/>
      <c r="R2360" s="111"/>
      <c r="S2360" s="1249">
        <v>1</v>
      </c>
      <c r="T2360" s="1250">
        <v>720</v>
      </c>
      <c r="U2360" s="1250"/>
      <c r="V2360" s="1250"/>
      <c r="W2360" s="1251">
        <v>0</v>
      </c>
      <c r="X2360" s="1250">
        <v>720</v>
      </c>
      <c r="Y2360" s="1250"/>
      <c r="Z2360" s="1250"/>
      <c r="AA2360" s="1250"/>
      <c r="AB2360" s="1250"/>
      <c r="AC2360" s="1250"/>
      <c r="AD2360" s="1250"/>
      <c r="AE2360" s="1249">
        <v>0</v>
      </c>
      <c r="AF2360" s="1250">
        <v>720</v>
      </c>
      <c r="AG2360" s="111"/>
      <c r="AH2360" s="111"/>
      <c r="AI2360" s="111"/>
      <c r="AJ2360" s="111"/>
      <c r="AK2360" s="111"/>
      <c r="AL2360" s="111"/>
      <c r="AM2360" s="111">
        <v>2160</v>
      </c>
    </row>
    <row r="2361" spans="1:39" ht="15" customHeight="1" x14ac:dyDescent="0.25">
      <c r="A2361" s="1409"/>
      <c r="B2361" s="1409"/>
      <c r="C2361" s="1409"/>
      <c r="D2361" s="1409"/>
      <c r="E2361" s="1286"/>
      <c r="F2361" s="1248"/>
      <c r="G2361" s="111"/>
      <c r="H2361" s="1249"/>
      <c r="I2361" s="111"/>
      <c r="J2361" s="111"/>
      <c r="K2361" s="111"/>
      <c r="L2361" s="111"/>
      <c r="M2361" s="111"/>
      <c r="N2361" s="111"/>
      <c r="O2361" s="111"/>
      <c r="P2361" s="111"/>
      <c r="Q2361" s="111"/>
      <c r="R2361" s="111"/>
      <c r="S2361" s="1249"/>
      <c r="T2361" s="1250"/>
      <c r="U2361" s="1250"/>
      <c r="V2361" s="1250"/>
      <c r="W2361" s="1251"/>
      <c r="X2361" s="1250"/>
      <c r="Y2361" s="1250"/>
      <c r="Z2361" s="1250"/>
      <c r="AA2361" s="1250"/>
      <c r="AB2361" s="1250"/>
      <c r="AC2361" s="1250"/>
      <c r="AD2361" s="1250"/>
      <c r="AE2361" s="1249"/>
      <c r="AF2361" s="1250"/>
      <c r="AG2361" s="111"/>
      <c r="AH2361" s="111"/>
      <c r="AI2361" s="111"/>
      <c r="AJ2361" s="111"/>
      <c r="AK2361" s="111"/>
      <c r="AL2361" s="111"/>
      <c r="AM2361" s="111"/>
    </row>
    <row r="2362" spans="1:39" ht="15" customHeight="1" x14ac:dyDescent="0.25">
      <c r="A2362" s="1409"/>
      <c r="B2362" s="1409"/>
      <c r="C2362" s="1409"/>
      <c r="D2362" s="1409"/>
      <c r="E2362" s="1218">
        <v>339</v>
      </c>
      <c r="F2362" s="1268" t="s">
        <v>857</v>
      </c>
      <c r="G2362" s="1218"/>
      <c r="H2362" s="1218"/>
      <c r="I2362" s="1218"/>
      <c r="J2362" s="1218"/>
      <c r="K2362" s="1218"/>
      <c r="L2362" s="1218"/>
      <c r="M2362" s="1218"/>
      <c r="N2362" s="1218"/>
      <c r="O2362" s="1218"/>
      <c r="P2362" s="1218"/>
      <c r="Q2362" s="1218"/>
      <c r="R2362" s="1218"/>
      <c r="S2362" s="1218"/>
      <c r="T2362" s="1218"/>
      <c r="U2362" s="1218"/>
      <c r="V2362" s="1218"/>
      <c r="W2362" s="1218"/>
      <c r="X2362" s="1218"/>
      <c r="Y2362" s="1218"/>
      <c r="Z2362" s="1218"/>
      <c r="AA2362" s="1218"/>
      <c r="AB2362" s="1218"/>
      <c r="AC2362" s="1218"/>
      <c r="AD2362" s="1218"/>
      <c r="AE2362" s="1218"/>
      <c r="AF2362" s="1218"/>
      <c r="AG2362" s="1218"/>
      <c r="AH2362" s="1218"/>
      <c r="AI2362" s="1218"/>
      <c r="AJ2362" s="1218"/>
      <c r="AK2362" s="1218"/>
      <c r="AL2362" s="1218"/>
      <c r="AM2362" s="1218"/>
    </row>
    <row r="2363" spans="1:39" ht="15" customHeight="1" x14ac:dyDescent="0.25">
      <c r="A2363" s="1409"/>
      <c r="B2363" s="1409"/>
      <c r="C2363" s="1409"/>
      <c r="D2363" s="1409"/>
      <c r="E2363" s="1261">
        <v>33901</v>
      </c>
      <c r="F2363" s="1262" t="s">
        <v>858</v>
      </c>
      <c r="G2363" s="1261"/>
      <c r="H2363" s="1261"/>
      <c r="I2363" s="1261"/>
      <c r="J2363" s="1261"/>
      <c r="K2363" s="1261"/>
      <c r="L2363" s="1261"/>
      <c r="M2363" s="1261"/>
      <c r="N2363" s="1261"/>
      <c r="O2363" s="1261"/>
      <c r="P2363" s="1261"/>
      <c r="Q2363" s="1261"/>
      <c r="R2363" s="1261"/>
      <c r="S2363" s="1261"/>
      <c r="T2363" s="1261"/>
      <c r="U2363" s="1261"/>
      <c r="V2363" s="1261"/>
      <c r="W2363" s="1261"/>
      <c r="X2363" s="1261"/>
      <c r="Y2363" s="1261"/>
      <c r="Z2363" s="1261"/>
      <c r="AA2363" s="1261"/>
      <c r="AB2363" s="1261"/>
      <c r="AC2363" s="1261"/>
      <c r="AD2363" s="1261"/>
      <c r="AE2363" s="1261"/>
      <c r="AF2363" s="1261"/>
      <c r="AG2363" s="111"/>
      <c r="AH2363" s="111"/>
      <c r="AI2363" s="111"/>
      <c r="AJ2363" s="111"/>
      <c r="AK2363" s="111"/>
      <c r="AL2363" s="111"/>
      <c r="AM2363" s="111"/>
    </row>
    <row r="2364" spans="1:39" ht="15" customHeight="1" x14ac:dyDescent="0.25">
      <c r="A2364" s="1409"/>
      <c r="B2364" s="1409"/>
      <c r="C2364" s="1409"/>
      <c r="D2364" s="1409"/>
      <c r="E2364" s="1286"/>
      <c r="F2364" s="1248" t="s">
        <v>5469</v>
      </c>
      <c r="G2364" s="111"/>
      <c r="H2364" s="1249">
        <v>12</v>
      </c>
      <c r="I2364" s="111" t="s">
        <v>1755</v>
      </c>
      <c r="J2364" s="1321" t="s">
        <v>5608</v>
      </c>
      <c r="K2364" s="162" t="s">
        <v>5610</v>
      </c>
      <c r="L2364" s="162" t="s">
        <v>5609</v>
      </c>
      <c r="M2364" s="111">
        <v>26400</v>
      </c>
      <c r="N2364" s="111">
        <v>316800</v>
      </c>
      <c r="O2364" s="111"/>
      <c r="P2364" s="111"/>
      <c r="Q2364" s="111"/>
      <c r="R2364" s="111"/>
      <c r="S2364" s="1249">
        <v>5</v>
      </c>
      <c r="T2364" s="1250">
        <v>105600</v>
      </c>
      <c r="U2364" s="1250"/>
      <c r="V2364" s="1250"/>
      <c r="W2364" s="1251">
        <v>5</v>
      </c>
      <c r="X2364" s="1250">
        <v>105600</v>
      </c>
      <c r="Y2364" s="1250"/>
      <c r="Z2364" s="1250"/>
      <c r="AA2364" s="1250"/>
      <c r="AB2364" s="1250"/>
      <c r="AC2364" s="1250"/>
      <c r="AD2364" s="1250"/>
      <c r="AE2364" s="1249">
        <v>2</v>
      </c>
      <c r="AF2364" s="1250">
        <v>105600</v>
      </c>
      <c r="AG2364" s="111"/>
      <c r="AH2364" s="111"/>
      <c r="AI2364" s="111"/>
      <c r="AJ2364" s="111"/>
      <c r="AK2364" s="111"/>
      <c r="AL2364" s="111"/>
      <c r="AM2364" s="111">
        <v>316800</v>
      </c>
    </row>
    <row r="2365" spans="1:39" ht="15" customHeight="1" x14ac:dyDescent="0.25">
      <c r="A2365" s="1409"/>
      <c r="B2365" s="1409"/>
      <c r="C2365" s="1409"/>
      <c r="D2365" s="1409"/>
      <c r="E2365" s="1286"/>
      <c r="F2365" s="1248"/>
      <c r="G2365" s="111"/>
      <c r="H2365" s="1249"/>
      <c r="I2365" s="111"/>
      <c r="J2365" s="111"/>
      <c r="K2365" s="111"/>
      <c r="L2365" s="111"/>
      <c r="M2365" s="111"/>
      <c r="N2365" s="111"/>
      <c r="O2365" s="111"/>
      <c r="P2365" s="111"/>
      <c r="Q2365" s="111"/>
      <c r="R2365" s="111"/>
      <c r="S2365" s="1249"/>
      <c r="T2365" s="1250"/>
      <c r="U2365" s="1250"/>
      <c r="V2365" s="1250"/>
      <c r="W2365" s="1251"/>
      <c r="X2365" s="1250"/>
      <c r="Y2365" s="1250"/>
      <c r="Z2365" s="1250"/>
      <c r="AA2365" s="1250"/>
      <c r="AB2365" s="1250"/>
      <c r="AC2365" s="1250"/>
      <c r="AD2365" s="1250"/>
      <c r="AE2365" s="1249"/>
      <c r="AF2365" s="1250"/>
      <c r="AG2365" s="111"/>
      <c r="AH2365" s="111"/>
      <c r="AI2365" s="111"/>
      <c r="AJ2365" s="111"/>
      <c r="AK2365" s="111"/>
      <c r="AL2365" s="111"/>
      <c r="AM2365" s="111"/>
    </row>
    <row r="2366" spans="1:39" ht="36" customHeight="1" x14ac:dyDescent="0.25">
      <c r="A2366" s="1409"/>
      <c r="B2366" s="1409"/>
      <c r="C2366" s="1409"/>
      <c r="D2366" s="1409"/>
      <c r="E2366" s="1204">
        <v>3400</v>
      </c>
      <c r="F2366" s="1274" t="s">
        <v>861</v>
      </c>
      <c r="G2366" s="1204"/>
      <c r="H2366" s="1204"/>
      <c r="I2366" s="1204"/>
      <c r="J2366" s="1204"/>
      <c r="K2366" s="1204"/>
      <c r="L2366" s="1204"/>
      <c r="M2366" s="1204"/>
      <c r="N2366" s="1204"/>
      <c r="O2366" s="1204"/>
      <c r="P2366" s="1204"/>
      <c r="Q2366" s="1204"/>
      <c r="R2366" s="1204"/>
      <c r="S2366" s="1204"/>
      <c r="T2366" s="1204"/>
      <c r="U2366" s="1204"/>
      <c r="V2366" s="1204"/>
      <c r="W2366" s="1204"/>
      <c r="X2366" s="1204"/>
      <c r="Y2366" s="1250"/>
      <c r="Z2366" s="1250"/>
      <c r="AA2366" s="1250"/>
      <c r="AB2366" s="1250"/>
      <c r="AC2366" s="1250"/>
      <c r="AD2366" s="1250"/>
      <c r="AE2366" s="1249"/>
      <c r="AF2366" s="1250"/>
      <c r="AG2366" s="111"/>
      <c r="AH2366" s="111"/>
      <c r="AI2366" s="111"/>
      <c r="AJ2366" s="111"/>
      <c r="AK2366" s="111"/>
      <c r="AL2366" s="111"/>
      <c r="AM2366" s="111"/>
    </row>
    <row r="2367" spans="1:39" ht="15" customHeight="1" x14ac:dyDescent="0.25">
      <c r="A2367" s="1409"/>
      <c r="B2367" s="1409"/>
      <c r="C2367" s="1409"/>
      <c r="D2367" s="1409"/>
      <c r="E2367" s="1292">
        <v>341</v>
      </c>
      <c r="F2367" s="1293" t="s">
        <v>862</v>
      </c>
      <c r="G2367" s="1292"/>
      <c r="H2367" s="1292"/>
      <c r="I2367" s="1292"/>
      <c r="J2367" s="1292"/>
      <c r="K2367" s="1292"/>
      <c r="L2367" s="1292"/>
      <c r="M2367" s="1292"/>
      <c r="N2367" s="1292"/>
      <c r="O2367" s="1292"/>
      <c r="P2367" s="1292"/>
      <c r="Q2367" s="1292"/>
      <c r="R2367" s="1292"/>
      <c r="S2367" s="1292"/>
      <c r="T2367" s="1292"/>
      <c r="U2367" s="1292"/>
      <c r="V2367" s="1292"/>
      <c r="W2367" s="1292"/>
      <c r="X2367" s="1292"/>
      <c r="Y2367" s="1292"/>
      <c r="Z2367" s="1292"/>
      <c r="AA2367" s="1292"/>
      <c r="AB2367" s="1292"/>
      <c r="AC2367" s="1292"/>
      <c r="AD2367" s="1292"/>
      <c r="AE2367" s="1292"/>
      <c r="AF2367" s="1292"/>
      <c r="AG2367" s="1292"/>
      <c r="AH2367" s="1292"/>
      <c r="AI2367" s="1292"/>
      <c r="AJ2367" s="1292"/>
      <c r="AK2367" s="1292"/>
      <c r="AL2367" s="1292"/>
      <c r="AM2367" s="1292"/>
    </row>
    <row r="2368" spans="1:39" ht="15" customHeight="1" x14ac:dyDescent="0.25">
      <c r="A2368" s="1409"/>
      <c r="B2368" s="1409"/>
      <c r="C2368" s="1409"/>
      <c r="D2368" s="1409"/>
      <c r="E2368" s="1294"/>
      <c r="F2368" s="1248"/>
      <c r="G2368" s="111"/>
      <c r="H2368" s="1249"/>
      <c r="I2368" s="111"/>
      <c r="J2368" s="111"/>
      <c r="K2368" s="111"/>
      <c r="L2368" s="111"/>
      <c r="M2368" s="111"/>
      <c r="N2368" s="111"/>
      <c r="O2368" s="111"/>
      <c r="P2368" s="111"/>
      <c r="Q2368" s="111"/>
      <c r="R2368" s="111"/>
      <c r="S2368" s="1249"/>
      <c r="T2368" s="1250"/>
      <c r="U2368" s="1250"/>
      <c r="V2368" s="1250"/>
      <c r="W2368" s="1251"/>
      <c r="X2368" s="1250"/>
      <c r="Y2368" s="1250"/>
      <c r="Z2368" s="1250"/>
      <c r="AA2368" s="1250"/>
      <c r="AB2368" s="1250"/>
      <c r="AC2368" s="1250"/>
      <c r="AD2368" s="1250"/>
      <c r="AE2368" s="1249"/>
      <c r="AF2368" s="1250"/>
      <c r="AG2368" s="111"/>
      <c r="AH2368" s="111"/>
      <c r="AI2368" s="111"/>
      <c r="AJ2368" s="111"/>
      <c r="AK2368" s="111"/>
      <c r="AL2368" s="111"/>
      <c r="AM2368" s="111"/>
    </row>
    <row r="2369" spans="1:39" ht="15" customHeight="1" x14ac:dyDescent="0.25">
      <c r="A2369" s="1409"/>
      <c r="B2369" s="1409"/>
      <c r="C2369" s="1409"/>
      <c r="D2369" s="1409"/>
      <c r="E2369" s="1295">
        <v>34101</v>
      </c>
      <c r="F2369" s="1296" t="s">
        <v>863</v>
      </c>
      <c r="G2369" s="1295"/>
      <c r="H2369" s="1295"/>
      <c r="I2369" s="1295"/>
      <c r="J2369" s="1295"/>
      <c r="K2369" s="1295"/>
      <c r="L2369" s="1295"/>
      <c r="M2369" s="1295"/>
      <c r="N2369" s="1295"/>
      <c r="O2369" s="1295"/>
      <c r="P2369" s="1295"/>
      <c r="Q2369" s="1295"/>
      <c r="R2369" s="1295"/>
      <c r="S2369" s="1295"/>
      <c r="T2369" s="1295"/>
      <c r="U2369" s="1295"/>
      <c r="V2369" s="1295"/>
      <c r="W2369" s="1295"/>
      <c r="X2369" s="1295"/>
      <c r="Y2369" s="1295"/>
      <c r="Z2369" s="1295"/>
      <c r="AA2369" s="1295"/>
      <c r="AB2369" s="1295"/>
      <c r="AC2369" s="1295"/>
      <c r="AD2369" s="1295"/>
      <c r="AE2369" s="1295"/>
      <c r="AF2369" s="1295"/>
      <c r="AG2369" s="1295"/>
      <c r="AH2369" s="1295"/>
      <c r="AI2369" s="1295"/>
      <c r="AJ2369" s="1295"/>
      <c r="AK2369" s="1295"/>
      <c r="AL2369" s="1295"/>
      <c r="AM2369" s="1295"/>
    </row>
    <row r="2370" spans="1:39" ht="15" customHeight="1" x14ac:dyDescent="0.25">
      <c r="A2370" s="1409"/>
      <c r="B2370" s="1409"/>
      <c r="C2370" s="1409"/>
      <c r="D2370" s="1409"/>
      <c r="E2370" s="1297"/>
      <c r="F2370" s="1248" t="s">
        <v>863</v>
      </c>
      <c r="G2370" s="111"/>
      <c r="H2370" s="1249">
        <v>25</v>
      </c>
      <c r="I2370" s="111" t="s">
        <v>1755</v>
      </c>
      <c r="J2370" s="1321" t="s">
        <v>5608</v>
      </c>
      <c r="K2370" s="162" t="s">
        <v>5610</v>
      </c>
      <c r="L2370" s="162" t="s">
        <v>5609</v>
      </c>
      <c r="M2370" s="111">
        <v>512.4</v>
      </c>
      <c r="N2370" s="111">
        <v>12810</v>
      </c>
      <c r="O2370" s="111"/>
      <c r="P2370" s="111"/>
      <c r="Q2370" s="111"/>
      <c r="R2370" s="111"/>
      <c r="S2370" s="1249">
        <v>10</v>
      </c>
      <c r="T2370" s="1250">
        <v>4270</v>
      </c>
      <c r="U2370" s="1250"/>
      <c r="V2370" s="1250"/>
      <c r="W2370" s="1251">
        <v>10</v>
      </c>
      <c r="X2370" s="1250">
        <v>4270</v>
      </c>
      <c r="Y2370" s="1250"/>
      <c r="Z2370" s="1250"/>
      <c r="AA2370" s="1250"/>
      <c r="AB2370" s="1250"/>
      <c r="AC2370" s="1250"/>
      <c r="AD2370" s="1250"/>
      <c r="AE2370" s="1249">
        <v>5</v>
      </c>
      <c r="AF2370" s="1250">
        <v>4270</v>
      </c>
      <c r="AG2370" s="111"/>
      <c r="AH2370" s="111"/>
      <c r="AI2370" s="111"/>
      <c r="AJ2370" s="111"/>
      <c r="AK2370" s="111"/>
      <c r="AL2370" s="111"/>
      <c r="AM2370" s="111">
        <v>12810</v>
      </c>
    </row>
    <row r="2371" spans="1:39" ht="15" customHeight="1" x14ac:dyDescent="0.25">
      <c r="A2371" s="1409"/>
      <c r="B2371" s="1409"/>
      <c r="C2371" s="1409"/>
      <c r="D2371" s="1409"/>
      <c r="E2371" s="1297"/>
      <c r="F2371" s="1248"/>
      <c r="G2371" s="111"/>
      <c r="H2371" s="1249"/>
      <c r="I2371" s="111"/>
      <c r="J2371" s="111"/>
      <c r="K2371" s="111"/>
      <c r="L2371" s="111"/>
      <c r="M2371" s="111"/>
      <c r="N2371" s="111"/>
      <c r="O2371" s="111"/>
      <c r="P2371" s="111"/>
      <c r="Q2371" s="111"/>
      <c r="R2371" s="111"/>
      <c r="S2371" s="1249"/>
      <c r="T2371" s="1250"/>
      <c r="U2371" s="1250"/>
      <c r="V2371" s="1250"/>
      <c r="W2371" s="1251"/>
      <c r="X2371" s="1250"/>
      <c r="Y2371" s="1250"/>
      <c r="Z2371" s="1250"/>
      <c r="AA2371" s="1250"/>
      <c r="AB2371" s="1250"/>
      <c r="AC2371" s="1250"/>
      <c r="AD2371" s="1250"/>
      <c r="AE2371" s="1249"/>
      <c r="AF2371" s="1250"/>
      <c r="AG2371" s="111"/>
      <c r="AH2371" s="111"/>
      <c r="AI2371" s="111"/>
      <c r="AJ2371" s="111"/>
      <c r="AK2371" s="111"/>
      <c r="AL2371" s="111"/>
      <c r="AM2371" s="111"/>
    </row>
    <row r="2372" spans="1:39" ht="15" customHeight="1" x14ac:dyDescent="0.25">
      <c r="A2372" s="1409"/>
      <c r="B2372" s="1409"/>
      <c r="C2372" s="1409"/>
      <c r="D2372" s="1409"/>
      <c r="E2372" s="1295">
        <v>34102</v>
      </c>
      <c r="F2372" s="1296" t="s">
        <v>864</v>
      </c>
      <c r="G2372" s="1295"/>
      <c r="H2372" s="1295"/>
      <c r="I2372" s="1295"/>
      <c r="J2372" s="1295"/>
      <c r="K2372" s="1295"/>
      <c r="L2372" s="1295"/>
      <c r="M2372" s="1295"/>
      <c r="N2372" s="1295"/>
      <c r="O2372" s="1295"/>
      <c r="P2372" s="1295"/>
      <c r="Q2372" s="1295"/>
      <c r="R2372" s="1295"/>
      <c r="S2372" s="1295"/>
      <c r="T2372" s="1295"/>
      <c r="U2372" s="1295"/>
      <c r="V2372" s="1295"/>
      <c r="W2372" s="1295"/>
      <c r="X2372" s="1295"/>
      <c r="Y2372" s="1295"/>
      <c r="Z2372" s="1295"/>
      <c r="AA2372" s="1295"/>
      <c r="AB2372" s="1295"/>
      <c r="AC2372" s="1295"/>
      <c r="AD2372" s="1295"/>
      <c r="AE2372" s="1295"/>
      <c r="AF2372" s="1295"/>
      <c r="AG2372" s="1295"/>
      <c r="AH2372" s="1295"/>
      <c r="AI2372" s="1295"/>
      <c r="AJ2372" s="1295"/>
      <c r="AK2372" s="1295"/>
      <c r="AL2372" s="1295"/>
      <c r="AM2372" s="1295"/>
    </row>
    <row r="2373" spans="1:39" ht="15" customHeight="1" x14ac:dyDescent="0.25">
      <c r="A2373" s="1409"/>
      <c r="B2373" s="1409"/>
      <c r="C2373" s="1409"/>
      <c r="D2373" s="1409"/>
      <c r="E2373" s="1297"/>
      <c r="F2373" s="1248" t="s">
        <v>864</v>
      </c>
      <c r="G2373" s="111"/>
      <c r="H2373" s="1249">
        <v>1</v>
      </c>
      <c r="I2373" s="111" t="s">
        <v>1755</v>
      </c>
      <c r="J2373" s="1321" t="s">
        <v>5608</v>
      </c>
      <c r="K2373" s="162" t="s">
        <v>5610</v>
      </c>
      <c r="L2373" s="162" t="s">
        <v>5609</v>
      </c>
      <c r="M2373" s="111">
        <v>500</v>
      </c>
      <c r="N2373" s="111">
        <v>500</v>
      </c>
      <c r="O2373" s="111"/>
      <c r="P2373" s="111"/>
      <c r="Q2373" s="111"/>
      <c r="R2373" s="111"/>
      <c r="S2373" s="1249">
        <v>1</v>
      </c>
      <c r="T2373" s="1250">
        <v>166.66666666666666</v>
      </c>
      <c r="U2373" s="1250"/>
      <c r="V2373" s="1250"/>
      <c r="W2373" s="1251">
        <v>0</v>
      </c>
      <c r="X2373" s="1250">
        <v>166.66666666666666</v>
      </c>
      <c r="Y2373" s="1250"/>
      <c r="Z2373" s="1250"/>
      <c r="AA2373" s="1250"/>
      <c r="AB2373" s="1250"/>
      <c r="AC2373" s="1250"/>
      <c r="AD2373" s="1250"/>
      <c r="AE2373" s="1249">
        <v>0</v>
      </c>
      <c r="AF2373" s="1250">
        <v>166.66666666666666</v>
      </c>
      <c r="AG2373" s="111"/>
      <c r="AH2373" s="111"/>
      <c r="AI2373" s="111"/>
      <c r="AJ2373" s="111"/>
      <c r="AK2373" s="111"/>
      <c r="AL2373" s="111"/>
      <c r="AM2373" s="111">
        <v>500</v>
      </c>
    </row>
    <row r="2374" spans="1:39" ht="15" customHeight="1" x14ac:dyDescent="0.25">
      <c r="A2374" s="1409"/>
      <c r="B2374" s="1409"/>
      <c r="C2374" s="1409"/>
      <c r="D2374" s="1409"/>
      <c r="E2374" s="1297"/>
      <c r="F2374" s="1248"/>
      <c r="G2374" s="111"/>
      <c r="H2374" s="1249"/>
      <c r="I2374" s="111"/>
      <c r="J2374" s="111"/>
      <c r="K2374" s="111"/>
      <c r="L2374" s="111"/>
      <c r="M2374" s="111"/>
      <c r="N2374" s="111"/>
      <c r="O2374" s="111"/>
      <c r="P2374" s="111"/>
      <c r="Q2374" s="111"/>
      <c r="R2374" s="111"/>
      <c r="S2374" s="1249"/>
      <c r="T2374" s="1250"/>
      <c r="U2374" s="1250"/>
      <c r="V2374" s="1250"/>
      <c r="W2374" s="1251"/>
      <c r="X2374" s="1250"/>
      <c r="Y2374" s="1250"/>
      <c r="Z2374" s="1250"/>
      <c r="AA2374" s="1250"/>
      <c r="AB2374" s="1250"/>
      <c r="AC2374" s="1250"/>
      <c r="AD2374" s="1250"/>
      <c r="AE2374" s="1249"/>
      <c r="AF2374" s="1250"/>
      <c r="AG2374" s="111"/>
      <c r="AH2374" s="111"/>
      <c r="AI2374" s="111"/>
      <c r="AJ2374" s="111"/>
      <c r="AK2374" s="111"/>
      <c r="AL2374" s="111"/>
      <c r="AM2374" s="111"/>
    </row>
    <row r="2375" spans="1:39" ht="15" customHeight="1" x14ac:dyDescent="0.25">
      <c r="A2375" s="1409"/>
      <c r="B2375" s="1409"/>
      <c r="C2375" s="1409"/>
      <c r="D2375" s="1409"/>
      <c r="E2375" s="1292">
        <v>345</v>
      </c>
      <c r="F2375" s="1293" t="s">
        <v>876</v>
      </c>
      <c r="G2375" s="1292"/>
      <c r="H2375" s="1292"/>
      <c r="I2375" s="1292"/>
      <c r="J2375" s="1292"/>
      <c r="K2375" s="1292"/>
      <c r="L2375" s="1292"/>
      <c r="M2375" s="1292"/>
      <c r="N2375" s="1292"/>
      <c r="O2375" s="1292"/>
      <c r="P2375" s="1292"/>
      <c r="Q2375" s="1292"/>
      <c r="R2375" s="1292"/>
      <c r="S2375" s="1292"/>
      <c r="T2375" s="1292"/>
      <c r="U2375" s="1292"/>
      <c r="V2375" s="1292"/>
      <c r="W2375" s="1292"/>
      <c r="X2375" s="1292"/>
      <c r="Y2375" s="1292"/>
      <c r="Z2375" s="1292"/>
      <c r="AA2375" s="1292"/>
      <c r="AB2375" s="1292"/>
      <c r="AC2375" s="1292"/>
      <c r="AD2375" s="1292"/>
      <c r="AE2375" s="1292"/>
      <c r="AF2375" s="1292"/>
      <c r="AG2375" s="1292"/>
      <c r="AH2375" s="1292"/>
      <c r="AI2375" s="1292"/>
      <c r="AJ2375" s="1292"/>
      <c r="AK2375" s="1292"/>
      <c r="AL2375" s="1292"/>
      <c r="AM2375" s="1292"/>
    </row>
    <row r="2376" spans="1:39" ht="15" customHeight="1" x14ac:dyDescent="0.25">
      <c r="A2376" s="1409"/>
      <c r="B2376" s="1409"/>
      <c r="C2376" s="1409"/>
      <c r="D2376" s="1409"/>
      <c r="E2376" s="1294"/>
      <c r="F2376" s="1248"/>
      <c r="G2376" s="111"/>
      <c r="H2376" s="1249"/>
      <c r="I2376" s="111"/>
      <c r="J2376" s="111"/>
      <c r="K2376" s="111"/>
      <c r="L2376" s="111"/>
      <c r="M2376" s="111"/>
      <c r="N2376" s="111"/>
      <c r="O2376" s="111"/>
      <c r="P2376" s="111"/>
      <c r="Q2376" s="111"/>
      <c r="R2376" s="111"/>
      <c r="S2376" s="1249"/>
      <c r="T2376" s="1250"/>
      <c r="U2376" s="1250"/>
      <c r="V2376" s="1250"/>
      <c r="W2376" s="1251"/>
      <c r="X2376" s="1250"/>
      <c r="Y2376" s="1250"/>
      <c r="Z2376" s="1250"/>
      <c r="AA2376" s="1250"/>
      <c r="AB2376" s="1250"/>
      <c r="AC2376" s="1250"/>
      <c r="AD2376" s="1250"/>
      <c r="AE2376" s="1249"/>
      <c r="AF2376" s="1250"/>
      <c r="AG2376" s="111"/>
      <c r="AH2376" s="111"/>
      <c r="AI2376" s="111"/>
      <c r="AJ2376" s="111"/>
      <c r="AK2376" s="111"/>
      <c r="AL2376" s="111"/>
      <c r="AM2376" s="111"/>
    </row>
    <row r="2377" spans="1:39" ht="15" customHeight="1" x14ac:dyDescent="0.25">
      <c r="A2377" s="1409"/>
      <c r="B2377" s="1409"/>
      <c r="C2377" s="1409"/>
      <c r="D2377" s="1409"/>
      <c r="E2377" s="1295">
        <v>34501</v>
      </c>
      <c r="F2377" s="1296" t="s">
        <v>877</v>
      </c>
      <c r="G2377" s="1295"/>
      <c r="H2377" s="1295"/>
      <c r="I2377" s="1295"/>
      <c r="J2377" s="1295"/>
      <c r="K2377" s="1295"/>
      <c r="L2377" s="1295"/>
      <c r="M2377" s="1295"/>
      <c r="N2377" s="1295"/>
      <c r="O2377" s="1295"/>
      <c r="P2377" s="1295"/>
      <c r="Q2377" s="1295"/>
      <c r="R2377" s="1295"/>
      <c r="S2377" s="1295"/>
      <c r="T2377" s="1295"/>
      <c r="U2377" s="1295"/>
      <c r="V2377" s="1295"/>
      <c r="W2377" s="1295"/>
      <c r="X2377" s="1295"/>
      <c r="Y2377" s="1295"/>
      <c r="Z2377" s="1295"/>
      <c r="AA2377" s="1295"/>
      <c r="AB2377" s="1295"/>
      <c r="AC2377" s="1295"/>
      <c r="AD2377" s="1295"/>
      <c r="AE2377" s="1295"/>
      <c r="AF2377" s="1295"/>
      <c r="AG2377" s="1295"/>
      <c r="AH2377" s="1295"/>
      <c r="AI2377" s="1295"/>
      <c r="AJ2377" s="1295"/>
      <c r="AK2377" s="1295"/>
      <c r="AL2377" s="1295"/>
      <c r="AM2377" s="1295"/>
    </row>
    <row r="2378" spans="1:39" ht="15" customHeight="1" x14ac:dyDescent="0.25">
      <c r="A2378" s="1409"/>
      <c r="B2378" s="1409"/>
      <c r="C2378" s="1409"/>
      <c r="D2378" s="1409"/>
      <c r="E2378" s="1294"/>
      <c r="F2378" s="1248" t="s">
        <v>5470</v>
      </c>
      <c r="G2378" s="111"/>
      <c r="H2378" s="1249">
        <v>1</v>
      </c>
      <c r="I2378" s="111" t="s">
        <v>1755</v>
      </c>
      <c r="J2378" s="1321" t="s">
        <v>5608</v>
      </c>
      <c r="K2378" s="162" t="s">
        <v>5610</v>
      </c>
      <c r="L2378" s="162" t="s">
        <v>5609</v>
      </c>
      <c r="M2378" s="111">
        <v>10000</v>
      </c>
      <c r="N2378" s="111">
        <v>10000</v>
      </c>
      <c r="O2378" s="111"/>
      <c r="P2378" s="111"/>
      <c r="Q2378" s="111"/>
      <c r="R2378" s="111"/>
      <c r="S2378" s="1249">
        <v>1</v>
      </c>
      <c r="T2378" s="1250">
        <v>3333.3333333333335</v>
      </c>
      <c r="U2378" s="1250"/>
      <c r="V2378" s="1250"/>
      <c r="W2378" s="1251">
        <v>0</v>
      </c>
      <c r="X2378" s="1250">
        <v>3333.3333333333335</v>
      </c>
      <c r="Y2378" s="1250"/>
      <c r="Z2378" s="1250"/>
      <c r="AA2378" s="1250"/>
      <c r="AB2378" s="1250"/>
      <c r="AC2378" s="1250"/>
      <c r="AD2378" s="1250"/>
      <c r="AE2378" s="1249">
        <v>0</v>
      </c>
      <c r="AF2378" s="1250">
        <v>3333.3333333333335</v>
      </c>
      <c r="AG2378" s="111"/>
      <c r="AH2378" s="111"/>
      <c r="AI2378" s="111"/>
      <c r="AJ2378" s="111"/>
      <c r="AK2378" s="111"/>
      <c r="AL2378" s="111"/>
      <c r="AM2378" s="111">
        <v>10000</v>
      </c>
    </row>
    <row r="2379" spans="1:39" ht="15" customHeight="1" x14ac:dyDescent="0.25">
      <c r="A2379" s="1409"/>
      <c r="B2379" s="1409"/>
      <c r="C2379" s="1409"/>
      <c r="D2379" s="1409"/>
      <c r="E2379" s="1294"/>
      <c r="F2379" s="1248" t="s">
        <v>5471</v>
      </c>
      <c r="G2379" s="111"/>
      <c r="H2379" s="1249">
        <v>350</v>
      </c>
      <c r="I2379" s="111" t="s">
        <v>1721</v>
      </c>
      <c r="J2379" s="1321" t="s">
        <v>5608</v>
      </c>
      <c r="K2379" s="162" t="s">
        <v>5610</v>
      </c>
      <c r="L2379" s="162" t="s">
        <v>5609</v>
      </c>
      <c r="M2379" s="111">
        <v>173.12</v>
      </c>
      <c r="N2379" s="111">
        <v>60592</v>
      </c>
      <c r="O2379" s="111"/>
      <c r="P2379" s="111"/>
      <c r="Q2379" s="111"/>
      <c r="R2379" s="111"/>
      <c r="S2379" s="1249">
        <v>125</v>
      </c>
      <c r="T2379" s="1250">
        <v>20197.333333333332</v>
      </c>
      <c r="U2379" s="1250"/>
      <c r="V2379" s="1250"/>
      <c r="W2379" s="1251">
        <v>125</v>
      </c>
      <c r="X2379" s="1250">
        <v>20197.333333333332</v>
      </c>
      <c r="Y2379" s="1250"/>
      <c r="Z2379" s="1250"/>
      <c r="AA2379" s="1250"/>
      <c r="AB2379" s="1250"/>
      <c r="AC2379" s="1250"/>
      <c r="AD2379" s="1250"/>
      <c r="AE2379" s="1249">
        <v>100</v>
      </c>
      <c r="AF2379" s="1250">
        <v>20197.333333333332</v>
      </c>
      <c r="AG2379" s="111"/>
      <c r="AH2379" s="111"/>
      <c r="AI2379" s="111"/>
      <c r="AJ2379" s="111"/>
      <c r="AK2379" s="111"/>
      <c r="AL2379" s="111"/>
      <c r="AM2379" s="111">
        <v>60592</v>
      </c>
    </row>
    <row r="2380" spans="1:39" ht="15" customHeight="1" x14ac:dyDescent="0.25">
      <c r="A2380" s="1409"/>
      <c r="B2380" s="1409"/>
      <c r="C2380" s="1409"/>
      <c r="D2380" s="1409"/>
      <c r="E2380" s="1294"/>
      <c r="F2380" s="1248" t="s">
        <v>2827</v>
      </c>
      <c r="G2380" s="111"/>
      <c r="H2380" s="1249">
        <v>1</v>
      </c>
      <c r="I2380" s="111" t="s">
        <v>1755</v>
      </c>
      <c r="J2380" s="1321" t="s">
        <v>5608</v>
      </c>
      <c r="K2380" s="162" t="s">
        <v>5610</v>
      </c>
      <c r="L2380" s="162" t="s">
        <v>5609</v>
      </c>
      <c r="M2380" s="111">
        <v>28999.999999999996</v>
      </c>
      <c r="N2380" s="111">
        <v>28999.999999999996</v>
      </c>
      <c r="O2380" s="111"/>
      <c r="P2380" s="111"/>
      <c r="Q2380" s="111"/>
      <c r="R2380" s="111"/>
      <c r="S2380" s="1249">
        <v>1</v>
      </c>
      <c r="T2380" s="1250">
        <v>9666.6666666666661</v>
      </c>
      <c r="U2380" s="1250"/>
      <c r="V2380" s="1250"/>
      <c r="W2380" s="1251">
        <v>0</v>
      </c>
      <c r="X2380" s="1250">
        <v>9666.6666666666661</v>
      </c>
      <c r="Y2380" s="1250"/>
      <c r="Z2380" s="1250"/>
      <c r="AA2380" s="1250"/>
      <c r="AB2380" s="1250"/>
      <c r="AC2380" s="1250"/>
      <c r="AD2380" s="1250"/>
      <c r="AE2380" s="1249">
        <v>0</v>
      </c>
      <c r="AF2380" s="1250">
        <v>9666.6666666666661</v>
      </c>
      <c r="AG2380" s="111"/>
      <c r="AH2380" s="111"/>
      <c r="AI2380" s="111"/>
      <c r="AJ2380" s="111"/>
      <c r="AK2380" s="111"/>
      <c r="AL2380" s="111"/>
      <c r="AM2380" s="111">
        <v>28999.999999999996</v>
      </c>
    </row>
    <row r="2381" spans="1:39" ht="15" customHeight="1" x14ac:dyDescent="0.25">
      <c r="A2381" s="1409"/>
      <c r="B2381" s="1409"/>
      <c r="C2381" s="1409"/>
      <c r="D2381" s="1409"/>
      <c r="E2381" s="1297"/>
      <c r="F2381" s="1248" t="s">
        <v>5472</v>
      </c>
      <c r="G2381" s="111"/>
      <c r="H2381" s="1249">
        <v>1</v>
      </c>
      <c r="I2381" s="111" t="s">
        <v>1755</v>
      </c>
      <c r="J2381" s="1321" t="s">
        <v>5608</v>
      </c>
      <c r="K2381" s="162" t="s">
        <v>5610</v>
      </c>
      <c r="L2381" s="162" t="s">
        <v>5609</v>
      </c>
      <c r="M2381" s="111">
        <v>24000</v>
      </c>
      <c r="N2381" s="111">
        <v>24000</v>
      </c>
      <c r="O2381" s="111"/>
      <c r="P2381" s="111"/>
      <c r="Q2381" s="111"/>
      <c r="R2381" s="111"/>
      <c r="S2381" s="1249">
        <v>1</v>
      </c>
      <c r="T2381" s="1250">
        <v>8000</v>
      </c>
      <c r="U2381" s="1250"/>
      <c r="V2381" s="1250"/>
      <c r="W2381" s="1251">
        <v>0</v>
      </c>
      <c r="X2381" s="1250">
        <v>8000</v>
      </c>
      <c r="Y2381" s="1250"/>
      <c r="Z2381" s="1250"/>
      <c r="AA2381" s="1250"/>
      <c r="AB2381" s="1250"/>
      <c r="AC2381" s="1250"/>
      <c r="AD2381" s="1250"/>
      <c r="AE2381" s="1249">
        <v>0</v>
      </c>
      <c r="AF2381" s="1250">
        <v>8000</v>
      </c>
      <c r="AG2381" s="111"/>
      <c r="AH2381" s="111"/>
      <c r="AI2381" s="111"/>
      <c r="AJ2381" s="111"/>
      <c r="AK2381" s="111"/>
      <c r="AL2381" s="111"/>
      <c r="AM2381" s="111">
        <v>24000</v>
      </c>
    </row>
    <row r="2382" spans="1:39" ht="15" customHeight="1" x14ac:dyDescent="0.25">
      <c r="A2382" s="1409"/>
      <c r="B2382" s="1409"/>
      <c r="C2382" s="1409"/>
      <c r="D2382" s="1409"/>
      <c r="E2382" s="1297"/>
      <c r="F2382" s="1248"/>
      <c r="G2382" s="111"/>
      <c r="H2382" s="1249"/>
      <c r="I2382" s="111"/>
      <c r="J2382" s="111"/>
      <c r="K2382" s="111"/>
      <c r="L2382" s="111"/>
      <c r="M2382" s="111"/>
      <c r="N2382" s="111"/>
      <c r="O2382" s="111"/>
      <c r="P2382" s="111"/>
      <c r="Q2382" s="111"/>
      <c r="R2382" s="111"/>
      <c r="S2382" s="1249"/>
      <c r="T2382" s="1250"/>
      <c r="U2382" s="1250"/>
      <c r="V2382" s="1250"/>
      <c r="W2382" s="1251"/>
      <c r="X2382" s="1250"/>
      <c r="Y2382" s="1250"/>
      <c r="Z2382" s="1250"/>
      <c r="AA2382" s="1250"/>
      <c r="AB2382" s="1250"/>
      <c r="AC2382" s="1250"/>
      <c r="AD2382" s="1250"/>
      <c r="AE2382" s="1249"/>
      <c r="AF2382" s="1250"/>
      <c r="AG2382" s="111"/>
      <c r="AH2382" s="111"/>
      <c r="AI2382" s="111"/>
      <c r="AJ2382" s="111"/>
      <c r="AK2382" s="111"/>
      <c r="AL2382" s="111"/>
      <c r="AM2382" s="111"/>
    </row>
    <row r="2383" spans="1:39" ht="15" customHeight="1" x14ac:dyDescent="0.25">
      <c r="A2383" s="1409"/>
      <c r="B2383" s="1409"/>
      <c r="C2383" s="1409"/>
      <c r="D2383" s="1409"/>
      <c r="E2383" s="1292">
        <v>347</v>
      </c>
      <c r="F2383" s="1293" t="s">
        <v>880</v>
      </c>
      <c r="G2383" s="1292"/>
      <c r="H2383" s="1292"/>
      <c r="I2383" s="1292"/>
      <c r="J2383" s="1292"/>
      <c r="K2383" s="1292"/>
      <c r="L2383" s="1292"/>
      <c r="M2383" s="1292"/>
      <c r="N2383" s="1292"/>
      <c r="O2383" s="1292"/>
      <c r="P2383" s="1292"/>
      <c r="Q2383" s="1292"/>
      <c r="R2383" s="1292"/>
      <c r="S2383" s="1292"/>
      <c r="T2383" s="1292"/>
      <c r="U2383" s="1292"/>
      <c r="V2383" s="1292"/>
      <c r="W2383" s="1292"/>
      <c r="X2383" s="1292"/>
      <c r="Y2383" s="1292"/>
      <c r="Z2383" s="1292"/>
      <c r="AA2383" s="1292"/>
      <c r="AB2383" s="1292"/>
      <c r="AC2383" s="1292"/>
      <c r="AD2383" s="1292"/>
      <c r="AE2383" s="1292"/>
      <c r="AF2383" s="1292"/>
      <c r="AG2383" s="1292"/>
      <c r="AH2383" s="1292"/>
      <c r="AI2383" s="1292"/>
      <c r="AJ2383" s="1292"/>
      <c r="AK2383" s="1292"/>
      <c r="AL2383" s="1292"/>
      <c r="AM2383" s="1292"/>
    </row>
    <row r="2384" spans="1:39" ht="15" customHeight="1" x14ac:dyDescent="0.25">
      <c r="A2384" s="1409"/>
      <c r="B2384" s="1409"/>
      <c r="C2384" s="1409"/>
      <c r="D2384" s="1409"/>
      <c r="E2384" s="1294"/>
      <c r="F2384" s="1248"/>
      <c r="G2384" s="111"/>
      <c r="H2384" s="1249"/>
      <c r="I2384" s="111"/>
      <c r="J2384" s="111"/>
      <c r="K2384" s="111"/>
      <c r="L2384" s="111"/>
      <c r="M2384" s="111"/>
      <c r="N2384" s="111"/>
      <c r="O2384" s="111"/>
      <c r="P2384" s="111"/>
      <c r="Q2384" s="111"/>
      <c r="R2384" s="111"/>
      <c r="S2384" s="1249"/>
      <c r="T2384" s="1250"/>
      <c r="U2384" s="1250"/>
      <c r="V2384" s="1250"/>
      <c r="W2384" s="1251"/>
      <c r="X2384" s="1250"/>
      <c r="Y2384" s="1250"/>
      <c r="Z2384" s="1250"/>
      <c r="AA2384" s="1250"/>
      <c r="AB2384" s="1250"/>
      <c r="AC2384" s="1250"/>
      <c r="AD2384" s="1250"/>
      <c r="AE2384" s="1249"/>
      <c r="AF2384" s="1250"/>
      <c r="AG2384" s="111"/>
      <c r="AH2384" s="111"/>
      <c r="AI2384" s="111"/>
      <c r="AJ2384" s="111"/>
      <c r="AK2384" s="111"/>
      <c r="AL2384" s="111"/>
      <c r="AM2384" s="111"/>
    </row>
    <row r="2385" spans="1:40" ht="15" customHeight="1" x14ac:dyDescent="0.25">
      <c r="A2385" s="1409"/>
      <c r="B2385" s="1409"/>
      <c r="C2385" s="1409"/>
      <c r="D2385" s="1409"/>
      <c r="E2385" s="1295">
        <v>34701</v>
      </c>
      <c r="F2385" s="1296" t="s">
        <v>880</v>
      </c>
      <c r="G2385" s="1295"/>
      <c r="H2385" s="1295"/>
      <c r="I2385" s="1295"/>
      <c r="J2385" s="1295"/>
      <c r="K2385" s="1295"/>
      <c r="L2385" s="1295"/>
      <c r="M2385" s="1295"/>
      <c r="N2385" s="1295"/>
      <c r="O2385" s="1295"/>
      <c r="P2385" s="1295"/>
      <c r="Q2385" s="1295"/>
      <c r="R2385" s="1295"/>
      <c r="S2385" s="1295"/>
      <c r="T2385" s="1295"/>
      <c r="U2385" s="1295"/>
      <c r="V2385" s="1295"/>
      <c r="W2385" s="1295"/>
      <c r="X2385" s="1295"/>
      <c r="Y2385" s="1295"/>
      <c r="Z2385" s="1295"/>
      <c r="AA2385" s="1295"/>
      <c r="AB2385" s="1295"/>
      <c r="AC2385" s="1295"/>
      <c r="AD2385" s="1295"/>
      <c r="AE2385" s="1295"/>
      <c r="AF2385" s="1295"/>
      <c r="AG2385" s="1295"/>
      <c r="AH2385" s="1295"/>
      <c r="AI2385" s="1295"/>
      <c r="AJ2385" s="1295"/>
      <c r="AK2385" s="1295"/>
      <c r="AL2385" s="1295"/>
      <c r="AM2385" s="1295"/>
    </row>
    <row r="2386" spans="1:40" ht="15" customHeight="1" x14ac:dyDescent="0.25">
      <c r="A2386" s="1409"/>
      <c r="B2386" s="1409"/>
      <c r="C2386" s="1409"/>
      <c r="D2386" s="1409"/>
      <c r="E2386" s="1286"/>
      <c r="F2386" s="1248" t="s">
        <v>880</v>
      </c>
      <c r="G2386" s="111"/>
      <c r="H2386" s="1249">
        <v>24</v>
      </c>
      <c r="I2386" s="111" t="s">
        <v>1755</v>
      </c>
      <c r="J2386" s="1321" t="s">
        <v>5608</v>
      </c>
      <c r="K2386" s="162" t="s">
        <v>5610</v>
      </c>
      <c r="L2386" s="162" t="s">
        <v>5609</v>
      </c>
      <c r="M2386" s="111">
        <v>1200</v>
      </c>
      <c r="N2386" s="111">
        <v>28800</v>
      </c>
      <c r="O2386" s="111"/>
      <c r="P2386" s="111"/>
      <c r="Q2386" s="111"/>
      <c r="R2386" s="111"/>
      <c r="S2386" s="1249">
        <v>14</v>
      </c>
      <c r="T2386" s="1250">
        <v>9600</v>
      </c>
      <c r="U2386" s="1250"/>
      <c r="V2386" s="1250"/>
      <c r="W2386" s="1251">
        <v>5</v>
      </c>
      <c r="X2386" s="1250">
        <v>9600</v>
      </c>
      <c r="Y2386" s="1250"/>
      <c r="Z2386" s="1250"/>
      <c r="AA2386" s="1250"/>
      <c r="AB2386" s="1250"/>
      <c r="AC2386" s="1250"/>
      <c r="AD2386" s="1250"/>
      <c r="AE2386" s="1249">
        <v>5</v>
      </c>
      <c r="AF2386" s="1250">
        <v>9600</v>
      </c>
      <c r="AG2386" s="111"/>
      <c r="AH2386" s="111"/>
      <c r="AI2386" s="111"/>
      <c r="AJ2386" s="111"/>
      <c r="AK2386" s="111"/>
      <c r="AL2386" s="111"/>
      <c r="AM2386" s="111">
        <v>28800</v>
      </c>
    </row>
    <row r="2387" spans="1:40" ht="15" customHeight="1" x14ac:dyDescent="0.25">
      <c r="A2387" s="1409"/>
      <c r="B2387" s="1409"/>
      <c r="C2387" s="1409"/>
      <c r="D2387" s="1409"/>
      <c r="E2387" s="1286"/>
      <c r="F2387" s="1248"/>
      <c r="G2387" s="111"/>
      <c r="H2387" s="1249"/>
      <c r="I2387" s="111"/>
      <c r="J2387" s="111"/>
      <c r="K2387" s="111"/>
      <c r="L2387" s="111"/>
      <c r="M2387" s="111"/>
      <c r="N2387" s="111"/>
      <c r="O2387" s="111"/>
      <c r="P2387" s="111"/>
      <c r="Q2387" s="111"/>
      <c r="R2387" s="111"/>
      <c r="S2387" s="1249"/>
      <c r="T2387" s="1250"/>
      <c r="U2387" s="1250"/>
      <c r="V2387" s="1250"/>
      <c r="W2387" s="1251"/>
      <c r="X2387" s="1250"/>
      <c r="Y2387" s="1250"/>
      <c r="Z2387" s="1250"/>
      <c r="AA2387" s="1250"/>
      <c r="AB2387" s="1250"/>
      <c r="AC2387" s="1250"/>
      <c r="AD2387" s="1250"/>
      <c r="AE2387" s="1249"/>
      <c r="AF2387" s="1250"/>
      <c r="AG2387" s="111"/>
      <c r="AH2387" s="111"/>
      <c r="AI2387" s="111"/>
      <c r="AJ2387" s="111"/>
      <c r="AK2387" s="111"/>
      <c r="AL2387" s="111"/>
      <c r="AM2387" s="111"/>
    </row>
    <row r="2388" spans="1:40" ht="36" customHeight="1" x14ac:dyDescent="0.25">
      <c r="A2388" s="1409"/>
      <c r="B2388" s="1409"/>
      <c r="C2388" s="1409"/>
      <c r="D2388" s="1409"/>
      <c r="E2388" s="1204">
        <v>3500</v>
      </c>
      <c r="F2388" s="1274" t="s">
        <v>884</v>
      </c>
      <c r="G2388" s="1204"/>
      <c r="H2388" s="1204"/>
      <c r="I2388" s="1204"/>
      <c r="J2388" s="1204"/>
      <c r="K2388" s="1204"/>
      <c r="L2388" s="1204"/>
      <c r="M2388" s="1204"/>
      <c r="N2388" s="1204"/>
      <c r="O2388" s="1204"/>
      <c r="P2388" s="1204"/>
      <c r="Q2388" s="1204"/>
      <c r="R2388" s="1204"/>
      <c r="S2388" s="1204"/>
      <c r="T2388" s="1204"/>
      <c r="U2388" s="1204"/>
      <c r="V2388" s="1204"/>
      <c r="W2388" s="1204"/>
      <c r="X2388" s="1204"/>
      <c r="Y2388" s="1204"/>
      <c r="Z2388" s="1204"/>
      <c r="AA2388" s="1204"/>
      <c r="AB2388" s="1204"/>
      <c r="AC2388" s="1204"/>
      <c r="AD2388" s="1204"/>
      <c r="AE2388" s="1204"/>
      <c r="AF2388" s="1204"/>
      <c r="AG2388" s="1204"/>
      <c r="AH2388" s="1204"/>
      <c r="AI2388" s="1204"/>
      <c r="AJ2388" s="1204"/>
      <c r="AK2388" s="1204"/>
      <c r="AL2388" s="1204"/>
      <c r="AM2388" s="1204"/>
      <c r="AN2388" s="1298"/>
    </row>
    <row r="2389" spans="1:40" ht="15" customHeight="1" x14ac:dyDescent="0.25">
      <c r="A2389" s="1409"/>
      <c r="B2389" s="1409"/>
      <c r="C2389" s="1409"/>
      <c r="D2389" s="1409"/>
      <c r="E2389" s="1218">
        <v>351</v>
      </c>
      <c r="F2389" s="1268" t="s">
        <v>885</v>
      </c>
      <c r="G2389" s="1218"/>
      <c r="H2389" s="1218"/>
      <c r="I2389" s="1218"/>
      <c r="J2389" s="1218"/>
      <c r="K2389" s="1218"/>
      <c r="L2389" s="1218"/>
      <c r="M2389" s="1218"/>
      <c r="N2389" s="1218"/>
      <c r="O2389" s="1218"/>
      <c r="P2389" s="1218"/>
      <c r="Q2389" s="1218"/>
      <c r="R2389" s="1218"/>
      <c r="S2389" s="1218"/>
      <c r="T2389" s="1218"/>
      <c r="U2389" s="1218"/>
      <c r="V2389" s="1218"/>
      <c r="W2389" s="1218"/>
      <c r="X2389" s="1218"/>
      <c r="Y2389" s="1218"/>
      <c r="Z2389" s="1218"/>
      <c r="AA2389" s="1218"/>
      <c r="AB2389" s="1218"/>
      <c r="AC2389" s="1218"/>
      <c r="AD2389" s="1218"/>
      <c r="AE2389" s="1218"/>
      <c r="AF2389" s="1218"/>
      <c r="AG2389" s="1218"/>
      <c r="AH2389" s="1218"/>
      <c r="AI2389" s="1218"/>
      <c r="AJ2389" s="1218"/>
      <c r="AK2389" s="1218"/>
      <c r="AL2389" s="1218"/>
      <c r="AM2389" s="1218"/>
    </row>
    <row r="2390" spans="1:40" ht="15" customHeight="1" x14ac:dyDescent="0.25">
      <c r="A2390" s="1409"/>
      <c r="B2390" s="1409"/>
      <c r="C2390" s="1409"/>
      <c r="D2390" s="1409"/>
      <c r="E2390" s="1247"/>
      <c r="F2390" s="1248"/>
      <c r="G2390" s="111"/>
      <c r="H2390" s="1249"/>
      <c r="I2390" s="111"/>
      <c r="J2390" s="111"/>
      <c r="K2390" s="111"/>
      <c r="L2390" s="111"/>
      <c r="M2390" s="111"/>
      <c r="N2390" s="111"/>
      <c r="O2390" s="111"/>
      <c r="P2390" s="111"/>
      <c r="Q2390" s="111"/>
      <c r="R2390" s="111"/>
      <c r="S2390" s="1249"/>
      <c r="T2390" s="1250"/>
      <c r="U2390" s="1250"/>
      <c r="V2390" s="1250"/>
      <c r="W2390" s="1251"/>
      <c r="X2390" s="1250"/>
      <c r="Y2390" s="1250"/>
      <c r="Z2390" s="1250"/>
      <c r="AA2390" s="1250"/>
      <c r="AB2390" s="1250"/>
      <c r="AC2390" s="1250"/>
      <c r="AD2390" s="1250"/>
      <c r="AE2390" s="1249"/>
      <c r="AF2390" s="1250"/>
      <c r="AG2390" s="111"/>
      <c r="AH2390" s="111"/>
      <c r="AI2390" s="111"/>
      <c r="AJ2390" s="111"/>
      <c r="AK2390" s="111"/>
      <c r="AL2390" s="111"/>
      <c r="AM2390" s="111"/>
    </row>
    <row r="2391" spans="1:40" ht="15" customHeight="1" x14ac:dyDescent="0.25">
      <c r="A2391" s="1409"/>
      <c r="B2391" s="1409"/>
      <c r="C2391" s="1409"/>
      <c r="D2391" s="1409"/>
      <c r="E2391" s="1261">
        <v>35101</v>
      </c>
      <c r="F2391" s="1262" t="s">
        <v>886</v>
      </c>
      <c r="G2391" s="1261"/>
      <c r="H2391" s="1261"/>
      <c r="I2391" s="1261"/>
      <c r="J2391" s="1261"/>
      <c r="K2391" s="1261"/>
      <c r="L2391" s="1261"/>
      <c r="M2391" s="1261"/>
      <c r="N2391" s="1261"/>
      <c r="O2391" s="1261"/>
      <c r="P2391" s="1261"/>
      <c r="Q2391" s="1261"/>
      <c r="R2391" s="1261"/>
      <c r="S2391" s="1261"/>
      <c r="T2391" s="1261"/>
      <c r="U2391" s="1261"/>
      <c r="V2391" s="1261"/>
      <c r="W2391" s="1261"/>
      <c r="X2391" s="1261"/>
      <c r="Y2391" s="1261"/>
      <c r="Z2391" s="1261"/>
      <c r="AA2391" s="1261"/>
      <c r="AB2391" s="1261"/>
      <c r="AC2391" s="1261"/>
      <c r="AD2391" s="1261"/>
      <c r="AE2391" s="1261"/>
      <c r="AF2391" s="1261"/>
      <c r="AG2391" s="1261"/>
      <c r="AH2391" s="1261"/>
      <c r="AI2391" s="1261"/>
      <c r="AJ2391" s="1261"/>
      <c r="AK2391" s="1261"/>
      <c r="AL2391" s="1261"/>
      <c r="AM2391" s="1261"/>
    </row>
    <row r="2392" spans="1:40" ht="15" customHeight="1" x14ac:dyDescent="0.25">
      <c r="A2392" s="1409"/>
      <c r="B2392" s="1409"/>
      <c r="C2392" s="1409"/>
      <c r="D2392" s="1409"/>
      <c r="E2392" s="1247"/>
      <c r="F2392" s="1248" t="s">
        <v>3316</v>
      </c>
      <c r="G2392" s="111"/>
      <c r="H2392" s="1249">
        <v>10</v>
      </c>
      <c r="I2392" s="111" t="s">
        <v>1755</v>
      </c>
      <c r="J2392" s="1321" t="s">
        <v>5608</v>
      </c>
      <c r="K2392" s="162" t="s">
        <v>5610</v>
      </c>
      <c r="L2392" s="162" t="s">
        <v>5609</v>
      </c>
      <c r="M2392" s="111">
        <v>30</v>
      </c>
      <c r="N2392" s="111">
        <v>300</v>
      </c>
      <c r="O2392" s="111"/>
      <c r="P2392" s="111"/>
      <c r="Q2392" s="111"/>
      <c r="R2392" s="111"/>
      <c r="S2392" s="1249">
        <v>5</v>
      </c>
      <c r="T2392" s="1250">
        <v>100</v>
      </c>
      <c r="U2392" s="1250"/>
      <c r="V2392" s="1250"/>
      <c r="W2392" s="1251">
        <v>5</v>
      </c>
      <c r="X2392" s="1250">
        <v>100</v>
      </c>
      <c r="Y2392" s="1250"/>
      <c r="Z2392" s="1250"/>
      <c r="AA2392" s="1250"/>
      <c r="AB2392" s="1250"/>
      <c r="AC2392" s="1250"/>
      <c r="AD2392" s="1250"/>
      <c r="AE2392" s="1249">
        <v>0</v>
      </c>
      <c r="AF2392" s="1250">
        <v>100</v>
      </c>
      <c r="AG2392" s="111"/>
      <c r="AH2392" s="111"/>
      <c r="AI2392" s="111"/>
      <c r="AJ2392" s="111"/>
      <c r="AK2392" s="111"/>
      <c r="AL2392" s="111"/>
      <c r="AM2392" s="111">
        <v>300</v>
      </c>
    </row>
    <row r="2393" spans="1:40" ht="15" customHeight="1" x14ac:dyDescent="0.25">
      <c r="A2393" s="1409"/>
      <c r="B2393" s="1409"/>
      <c r="C2393" s="1409"/>
      <c r="D2393" s="1409"/>
      <c r="E2393" s="1247"/>
      <c r="F2393" s="1248" t="s">
        <v>3338</v>
      </c>
      <c r="G2393" s="111"/>
      <c r="H2393" s="1249">
        <v>1</v>
      </c>
      <c r="I2393" s="111" t="s">
        <v>1721</v>
      </c>
      <c r="J2393" s="1321" t="s">
        <v>5608</v>
      </c>
      <c r="K2393" s="162" t="s">
        <v>5610</v>
      </c>
      <c r="L2393" s="162" t="s">
        <v>5609</v>
      </c>
      <c r="M2393" s="111">
        <v>2765.4695999999999</v>
      </c>
      <c r="N2393" s="111">
        <v>2765.4695999999999</v>
      </c>
      <c r="O2393" s="111"/>
      <c r="P2393" s="111"/>
      <c r="Q2393" s="111"/>
      <c r="R2393" s="111"/>
      <c r="S2393" s="1249">
        <v>1</v>
      </c>
      <c r="T2393" s="1250">
        <v>921.82319999999993</v>
      </c>
      <c r="U2393" s="1250"/>
      <c r="V2393" s="1250"/>
      <c r="W2393" s="1251">
        <v>0</v>
      </c>
      <c r="X2393" s="1250">
        <v>921.82319999999993</v>
      </c>
      <c r="Y2393" s="1250"/>
      <c r="Z2393" s="1250"/>
      <c r="AA2393" s="1250"/>
      <c r="AB2393" s="1250"/>
      <c r="AC2393" s="1250"/>
      <c r="AD2393" s="1250"/>
      <c r="AE2393" s="1249">
        <v>0</v>
      </c>
      <c r="AF2393" s="1250">
        <v>921.82319999999993</v>
      </c>
      <c r="AG2393" s="111"/>
      <c r="AH2393" s="111"/>
      <c r="AI2393" s="111"/>
      <c r="AJ2393" s="111"/>
      <c r="AK2393" s="111"/>
      <c r="AL2393" s="111"/>
      <c r="AM2393" s="111">
        <v>2765.4695999999999</v>
      </c>
    </row>
    <row r="2394" spans="1:40" ht="15" customHeight="1" x14ac:dyDescent="0.25">
      <c r="A2394" s="1409"/>
      <c r="B2394" s="1409"/>
      <c r="C2394" s="1409"/>
      <c r="D2394" s="1409"/>
      <c r="E2394" s="1247"/>
      <c r="F2394" s="1248" t="s">
        <v>1360</v>
      </c>
      <c r="G2394" s="111"/>
      <c r="H2394" s="1249">
        <v>3</v>
      </c>
      <c r="I2394" s="111" t="s">
        <v>1755</v>
      </c>
      <c r="J2394" s="1321" t="s">
        <v>5608</v>
      </c>
      <c r="K2394" s="162" t="s">
        <v>5610</v>
      </c>
      <c r="L2394" s="162" t="s">
        <v>5609</v>
      </c>
      <c r="M2394" s="111">
        <v>2000</v>
      </c>
      <c r="N2394" s="111">
        <v>6000</v>
      </c>
      <c r="O2394" s="111"/>
      <c r="P2394" s="111"/>
      <c r="Q2394" s="111"/>
      <c r="R2394" s="111"/>
      <c r="S2394" s="1249">
        <v>1</v>
      </c>
      <c r="T2394" s="1250">
        <v>2000</v>
      </c>
      <c r="U2394" s="1250"/>
      <c r="V2394" s="1250"/>
      <c r="W2394" s="1251">
        <v>1</v>
      </c>
      <c r="X2394" s="1250">
        <v>2000</v>
      </c>
      <c r="Y2394" s="1250"/>
      <c r="Z2394" s="1250"/>
      <c r="AA2394" s="1250"/>
      <c r="AB2394" s="1250"/>
      <c r="AC2394" s="1250"/>
      <c r="AD2394" s="1250"/>
      <c r="AE2394" s="1249">
        <v>1</v>
      </c>
      <c r="AF2394" s="1250">
        <v>2000</v>
      </c>
      <c r="AG2394" s="111"/>
      <c r="AH2394" s="111"/>
      <c r="AI2394" s="111"/>
      <c r="AJ2394" s="111"/>
      <c r="AK2394" s="111"/>
      <c r="AL2394" s="111"/>
      <c r="AM2394" s="111">
        <v>6000</v>
      </c>
    </row>
    <row r="2395" spans="1:40" ht="15" customHeight="1" x14ac:dyDescent="0.25">
      <c r="A2395" s="1409"/>
      <c r="B2395" s="1409"/>
      <c r="C2395" s="1409"/>
      <c r="D2395" s="1409"/>
      <c r="E2395" s="1286"/>
      <c r="F2395" s="1248"/>
      <c r="G2395" s="111"/>
      <c r="H2395" s="1249"/>
      <c r="I2395" s="111"/>
      <c r="J2395" s="111"/>
      <c r="K2395" s="111"/>
      <c r="L2395" s="111"/>
      <c r="M2395" s="111"/>
      <c r="N2395" s="111"/>
      <c r="O2395" s="111"/>
      <c r="P2395" s="111"/>
      <c r="Q2395" s="111"/>
      <c r="R2395" s="111"/>
      <c r="S2395" s="1249"/>
      <c r="T2395" s="1250"/>
      <c r="U2395" s="1250"/>
      <c r="V2395" s="1250"/>
      <c r="W2395" s="1251"/>
      <c r="X2395" s="1250"/>
      <c r="Y2395" s="1250"/>
      <c r="Z2395" s="1250"/>
      <c r="AA2395" s="1250"/>
      <c r="AB2395" s="1250"/>
      <c r="AC2395" s="1250"/>
      <c r="AD2395" s="1250"/>
      <c r="AE2395" s="1249"/>
      <c r="AF2395" s="1250"/>
      <c r="AG2395" s="111"/>
      <c r="AH2395" s="111"/>
      <c r="AI2395" s="111"/>
      <c r="AJ2395" s="111"/>
      <c r="AK2395" s="111"/>
      <c r="AL2395" s="111"/>
      <c r="AM2395" s="111"/>
    </row>
    <row r="2396" spans="1:40" ht="15" customHeight="1" x14ac:dyDescent="0.25">
      <c r="A2396" s="1409"/>
      <c r="B2396" s="1409"/>
      <c r="C2396" s="1409"/>
      <c r="D2396" s="1409"/>
      <c r="E2396" s="1261">
        <v>35102</v>
      </c>
      <c r="F2396" s="1262" t="s">
        <v>887</v>
      </c>
      <c r="G2396" s="1261"/>
      <c r="H2396" s="1261"/>
      <c r="I2396" s="1261"/>
      <c r="J2396" s="1261"/>
      <c r="K2396" s="1261"/>
      <c r="L2396" s="1261"/>
      <c r="M2396" s="1261"/>
      <c r="N2396" s="1261"/>
      <c r="O2396" s="1261"/>
      <c r="P2396" s="1261"/>
      <c r="Q2396" s="1261"/>
      <c r="R2396" s="1261"/>
      <c r="S2396" s="1261"/>
      <c r="T2396" s="1261"/>
      <c r="U2396" s="1261"/>
      <c r="V2396" s="1261"/>
      <c r="W2396" s="1261"/>
      <c r="X2396" s="1261"/>
      <c r="Y2396" s="1261"/>
      <c r="Z2396" s="1261"/>
      <c r="AA2396" s="1261"/>
      <c r="AB2396" s="1261"/>
      <c r="AC2396" s="1261"/>
      <c r="AD2396" s="1261"/>
      <c r="AE2396" s="1261"/>
      <c r="AF2396" s="1261"/>
      <c r="AG2396" s="1261"/>
      <c r="AH2396" s="1261"/>
      <c r="AI2396" s="1261"/>
      <c r="AJ2396" s="1261"/>
      <c r="AK2396" s="1261"/>
      <c r="AL2396" s="1261"/>
      <c r="AM2396" s="1261"/>
    </row>
    <row r="2397" spans="1:40" ht="15" customHeight="1" x14ac:dyDescent="0.25">
      <c r="A2397" s="1409"/>
      <c r="B2397" s="1409"/>
      <c r="C2397" s="1409"/>
      <c r="D2397" s="1409"/>
      <c r="E2397" s="1286"/>
      <c r="F2397" s="1248" t="s">
        <v>5473</v>
      </c>
      <c r="G2397" s="111"/>
      <c r="H2397" s="1249">
        <v>9</v>
      </c>
      <c r="I2397" s="111" t="s">
        <v>1755</v>
      </c>
      <c r="J2397" s="1321" t="s">
        <v>5608</v>
      </c>
      <c r="K2397" s="162" t="s">
        <v>5610</v>
      </c>
      <c r="L2397" s="162" t="s">
        <v>5609</v>
      </c>
      <c r="M2397" s="111">
        <v>2000</v>
      </c>
      <c r="N2397" s="111">
        <v>18000</v>
      </c>
      <c r="O2397" s="111"/>
      <c r="P2397" s="111"/>
      <c r="Q2397" s="111"/>
      <c r="R2397" s="111"/>
      <c r="S2397" s="1249">
        <v>5</v>
      </c>
      <c r="T2397" s="1250">
        <v>6000</v>
      </c>
      <c r="U2397" s="1250"/>
      <c r="V2397" s="1250"/>
      <c r="W2397" s="1251">
        <v>2</v>
      </c>
      <c r="X2397" s="1250">
        <v>6000</v>
      </c>
      <c r="Y2397" s="1250"/>
      <c r="Z2397" s="1250"/>
      <c r="AA2397" s="1250"/>
      <c r="AB2397" s="1250"/>
      <c r="AC2397" s="1250"/>
      <c r="AD2397" s="1250"/>
      <c r="AE2397" s="1249">
        <v>2</v>
      </c>
      <c r="AF2397" s="1250">
        <v>6000</v>
      </c>
      <c r="AG2397" s="111"/>
      <c r="AH2397" s="111"/>
      <c r="AI2397" s="111"/>
      <c r="AJ2397" s="111"/>
      <c r="AK2397" s="111"/>
      <c r="AL2397" s="111"/>
      <c r="AM2397" s="111">
        <v>18000</v>
      </c>
    </row>
    <row r="2398" spans="1:40" ht="15" customHeight="1" x14ac:dyDescent="0.25">
      <c r="A2398" s="1409"/>
      <c r="B2398" s="1409"/>
      <c r="C2398" s="1409"/>
      <c r="D2398" s="1409"/>
      <c r="E2398" s="1286"/>
      <c r="F2398" s="1248"/>
      <c r="G2398" s="111"/>
      <c r="H2398" s="1249"/>
      <c r="I2398" s="111"/>
      <c r="J2398" s="111"/>
      <c r="K2398" s="111"/>
      <c r="L2398" s="111"/>
      <c r="M2398" s="111"/>
      <c r="N2398" s="111"/>
      <c r="O2398" s="111"/>
      <c r="P2398" s="111"/>
      <c r="Q2398" s="111"/>
      <c r="R2398" s="111"/>
      <c r="S2398" s="1249"/>
      <c r="T2398" s="1250"/>
      <c r="U2398" s="1250"/>
      <c r="V2398" s="1250"/>
      <c r="W2398" s="1251"/>
      <c r="X2398" s="1250"/>
      <c r="Y2398" s="1250"/>
      <c r="Z2398" s="1250"/>
      <c r="AA2398" s="1250"/>
      <c r="AB2398" s="1250"/>
      <c r="AC2398" s="1250"/>
      <c r="AD2398" s="1250"/>
      <c r="AE2398" s="1249"/>
      <c r="AF2398" s="1250"/>
      <c r="AG2398" s="111"/>
      <c r="AH2398" s="111"/>
      <c r="AI2398" s="111"/>
      <c r="AJ2398" s="111"/>
      <c r="AK2398" s="111"/>
      <c r="AL2398" s="111"/>
      <c r="AM2398" s="111"/>
    </row>
    <row r="2399" spans="1:40" ht="15" customHeight="1" x14ac:dyDescent="0.25">
      <c r="A2399" s="1409"/>
      <c r="B2399" s="1409"/>
      <c r="C2399" s="1409"/>
      <c r="D2399" s="1409"/>
      <c r="E2399" s="1218">
        <v>353</v>
      </c>
      <c r="F2399" s="1268" t="s">
        <v>892</v>
      </c>
      <c r="G2399" s="1218"/>
      <c r="H2399" s="1218"/>
      <c r="I2399" s="1218"/>
      <c r="J2399" s="1218"/>
      <c r="K2399" s="1218"/>
      <c r="L2399" s="1218"/>
      <c r="M2399" s="1218"/>
      <c r="N2399" s="1218"/>
      <c r="O2399" s="1218"/>
      <c r="P2399" s="1218"/>
      <c r="Q2399" s="1218"/>
      <c r="R2399" s="1218"/>
      <c r="S2399" s="1218"/>
      <c r="T2399" s="1218"/>
      <c r="U2399" s="1218"/>
      <c r="V2399" s="1218"/>
      <c r="W2399" s="1218"/>
      <c r="X2399" s="1218"/>
      <c r="Y2399" s="1218"/>
      <c r="Z2399" s="1218"/>
      <c r="AA2399" s="1218"/>
      <c r="AB2399" s="1218"/>
      <c r="AC2399" s="1218"/>
      <c r="AD2399" s="1218"/>
      <c r="AE2399" s="1218"/>
      <c r="AF2399" s="1218"/>
      <c r="AG2399" s="1218"/>
      <c r="AH2399" s="1218"/>
      <c r="AI2399" s="1218"/>
      <c r="AJ2399" s="1218"/>
      <c r="AK2399" s="1218"/>
      <c r="AL2399" s="1218"/>
      <c r="AM2399" s="1218"/>
    </row>
    <row r="2400" spans="1:40" ht="15" customHeight="1" x14ac:dyDescent="0.25">
      <c r="A2400" s="1409"/>
      <c r="B2400" s="1409"/>
      <c r="C2400" s="1409"/>
      <c r="D2400" s="1409"/>
      <c r="E2400" s="1247"/>
      <c r="F2400" s="1248"/>
      <c r="G2400" s="111"/>
      <c r="H2400" s="1249"/>
      <c r="I2400" s="111"/>
      <c r="J2400" s="111"/>
      <c r="K2400" s="111"/>
      <c r="L2400" s="111"/>
      <c r="M2400" s="111"/>
      <c r="N2400" s="111"/>
      <c r="O2400" s="111"/>
      <c r="P2400" s="111"/>
      <c r="Q2400" s="111"/>
      <c r="R2400" s="111"/>
      <c r="S2400" s="1249"/>
      <c r="T2400" s="1250"/>
      <c r="U2400" s="1250"/>
      <c r="V2400" s="1250"/>
      <c r="W2400" s="1251"/>
      <c r="X2400" s="1250"/>
      <c r="Y2400" s="1250"/>
      <c r="Z2400" s="1250"/>
      <c r="AA2400" s="1250"/>
      <c r="AB2400" s="1250"/>
      <c r="AC2400" s="1250"/>
      <c r="AD2400" s="1250"/>
      <c r="AE2400" s="1249"/>
      <c r="AF2400" s="1250"/>
      <c r="AG2400" s="111"/>
      <c r="AH2400" s="111"/>
      <c r="AI2400" s="111"/>
      <c r="AJ2400" s="111"/>
      <c r="AK2400" s="111"/>
      <c r="AL2400" s="111"/>
      <c r="AM2400" s="111"/>
    </row>
    <row r="2401" spans="1:39" ht="15" customHeight="1" x14ac:dyDescent="0.25">
      <c r="A2401" s="1409"/>
      <c r="B2401" s="1409"/>
      <c r="C2401" s="1409"/>
      <c r="D2401" s="1409"/>
      <c r="E2401" s="1261">
        <v>35301</v>
      </c>
      <c r="F2401" s="1262" t="s">
        <v>893</v>
      </c>
      <c r="G2401" s="1261"/>
      <c r="H2401" s="1261"/>
      <c r="I2401" s="1261"/>
      <c r="J2401" s="1261"/>
      <c r="K2401" s="1261"/>
      <c r="L2401" s="1261"/>
      <c r="M2401" s="1261"/>
      <c r="N2401" s="1261"/>
      <c r="O2401" s="1261"/>
      <c r="P2401" s="1261"/>
      <c r="Q2401" s="1261"/>
      <c r="R2401" s="1261"/>
      <c r="S2401" s="1261"/>
      <c r="T2401" s="1261"/>
      <c r="U2401" s="1261"/>
      <c r="V2401" s="1261"/>
      <c r="W2401" s="1261"/>
      <c r="X2401" s="1261"/>
      <c r="Y2401" s="1261"/>
      <c r="Z2401" s="1261"/>
      <c r="AA2401" s="1261"/>
      <c r="AB2401" s="1261"/>
      <c r="AC2401" s="1261"/>
      <c r="AD2401" s="1261"/>
      <c r="AE2401" s="1261"/>
      <c r="AF2401" s="1261"/>
      <c r="AG2401" s="1261"/>
      <c r="AH2401" s="1261"/>
      <c r="AI2401" s="1261"/>
      <c r="AJ2401" s="1261"/>
      <c r="AK2401" s="1261"/>
      <c r="AL2401" s="1261"/>
      <c r="AM2401" s="1261"/>
    </row>
    <row r="2402" spans="1:39" ht="27" customHeight="1" x14ac:dyDescent="0.25">
      <c r="A2402" s="1409"/>
      <c r="B2402" s="1409"/>
      <c r="C2402" s="1409"/>
      <c r="D2402" s="1409"/>
      <c r="E2402" s="1247"/>
      <c r="F2402" s="1287" t="s">
        <v>892</v>
      </c>
      <c r="G2402" s="111"/>
      <c r="H2402" s="1249">
        <v>3</v>
      </c>
      <c r="I2402" s="111" t="s">
        <v>1755</v>
      </c>
      <c r="J2402" s="1321" t="s">
        <v>5608</v>
      </c>
      <c r="K2402" s="162" t="s">
        <v>5610</v>
      </c>
      <c r="L2402" s="162" t="s">
        <v>5609</v>
      </c>
      <c r="M2402" s="111">
        <v>18198.810000000001</v>
      </c>
      <c r="N2402" s="111">
        <v>54596.430000000008</v>
      </c>
      <c r="O2402" s="111"/>
      <c r="P2402" s="111"/>
      <c r="Q2402" s="111"/>
      <c r="R2402" s="111"/>
      <c r="S2402" s="1249">
        <v>1</v>
      </c>
      <c r="T2402" s="1250">
        <v>18198.810000000001</v>
      </c>
      <c r="U2402" s="1250"/>
      <c r="V2402" s="1250"/>
      <c r="W2402" s="1251">
        <v>1</v>
      </c>
      <c r="X2402" s="1250">
        <v>18198.810000000001</v>
      </c>
      <c r="Y2402" s="1250"/>
      <c r="Z2402" s="1250"/>
      <c r="AA2402" s="1250"/>
      <c r="AB2402" s="1250"/>
      <c r="AC2402" s="1250"/>
      <c r="AD2402" s="1250"/>
      <c r="AE2402" s="1249">
        <v>1</v>
      </c>
      <c r="AF2402" s="1250">
        <v>18198.810000000001</v>
      </c>
      <c r="AG2402" s="111"/>
      <c r="AH2402" s="111"/>
      <c r="AI2402" s="111"/>
      <c r="AJ2402" s="111"/>
      <c r="AK2402" s="111"/>
      <c r="AL2402" s="111"/>
      <c r="AM2402" s="111">
        <v>54596.43</v>
      </c>
    </row>
    <row r="2403" spans="1:39" ht="15" customHeight="1" x14ac:dyDescent="0.25">
      <c r="A2403" s="1409"/>
      <c r="B2403" s="1409"/>
      <c r="C2403" s="1409"/>
      <c r="D2403" s="1409"/>
      <c r="E2403" s="1291"/>
      <c r="F2403" s="1248" t="s">
        <v>3340</v>
      </c>
      <c r="G2403" s="111"/>
      <c r="H2403" s="1249">
        <v>1</v>
      </c>
      <c r="I2403" s="111" t="s">
        <v>1755</v>
      </c>
      <c r="J2403" s="1321" t="s">
        <v>5608</v>
      </c>
      <c r="K2403" s="162" t="s">
        <v>5610</v>
      </c>
      <c r="L2403" s="162" t="s">
        <v>5609</v>
      </c>
      <c r="M2403" s="111">
        <v>1000</v>
      </c>
      <c r="N2403" s="111">
        <v>1000</v>
      </c>
      <c r="O2403" s="111"/>
      <c r="P2403" s="111"/>
      <c r="Q2403" s="111"/>
      <c r="R2403" s="111"/>
      <c r="S2403" s="1249">
        <v>1</v>
      </c>
      <c r="T2403" s="1250">
        <v>333.33333333333331</v>
      </c>
      <c r="U2403" s="1250"/>
      <c r="V2403" s="1250"/>
      <c r="W2403" s="1251">
        <v>0</v>
      </c>
      <c r="X2403" s="1250">
        <v>333.33333333333331</v>
      </c>
      <c r="Y2403" s="1250"/>
      <c r="Z2403" s="1250"/>
      <c r="AA2403" s="1250"/>
      <c r="AB2403" s="1250"/>
      <c r="AC2403" s="1250"/>
      <c r="AD2403" s="1250"/>
      <c r="AE2403" s="1249">
        <v>0</v>
      </c>
      <c r="AF2403" s="1250">
        <v>333.33333333333331</v>
      </c>
      <c r="AG2403" s="111"/>
      <c r="AH2403" s="111"/>
      <c r="AI2403" s="111"/>
      <c r="AJ2403" s="111"/>
      <c r="AK2403" s="111"/>
      <c r="AL2403" s="111"/>
      <c r="AM2403" s="111">
        <v>1000</v>
      </c>
    </row>
    <row r="2404" spans="1:39" ht="15" customHeight="1" x14ac:dyDescent="0.25">
      <c r="A2404" s="1409"/>
      <c r="B2404" s="1409"/>
      <c r="C2404" s="1409"/>
      <c r="D2404" s="1409"/>
      <c r="E2404" s="1291"/>
      <c r="F2404" s="1248"/>
      <c r="G2404" s="111"/>
      <c r="H2404" s="1249"/>
      <c r="I2404" s="111"/>
      <c r="J2404" s="111"/>
      <c r="K2404" s="111"/>
      <c r="L2404" s="111"/>
      <c r="M2404" s="111"/>
      <c r="N2404" s="111"/>
      <c r="O2404" s="111"/>
      <c r="P2404" s="111"/>
      <c r="Q2404" s="111"/>
      <c r="R2404" s="111"/>
      <c r="S2404" s="1249"/>
      <c r="T2404" s="1250"/>
      <c r="U2404" s="1250"/>
      <c r="V2404" s="1250"/>
      <c r="W2404" s="1251"/>
      <c r="X2404" s="1250"/>
      <c r="Y2404" s="1250"/>
      <c r="Z2404" s="1250"/>
      <c r="AA2404" s="1250"/>
      <c r="AB2404" s="1250"/>
      <c r="AC2404" s="1250"/>
      <c r="AD2404" s="1250"/>
      <c r="AE2404" s="1249"/>
      <c r="AF2404" s="1250"/>
      <c r="AG2404" s="111"/>
      <c r="AH2404" s="111"/>
      <c r="AI2404" s="111"/>
      <c r="AJ2404" s="111"/>
      <c r="AK2404" s="111"/>
      <c r="AL2404" s="111"/>
      <c r="AM2404" s="111"/>
    </row>
    <row r="2405" spans="1:39" ht="15" customHeight="1" x14ac:dyDescent="0.25">
      <c r="A2405" s="1409"/>
      <c r="B2405" s="1409"/>
      <c r="C2405" s="1409"/>
      <c r="D2405" s="1409"/>
      <c r="E2405" s="1218">
        <v>354</v>
      </c>
      <c r="F2405" s="1268" t="s">
        <v>895</v>
      </c>
      <c r="G2405" s="1218"/>
      <c r="H2405" s="1218"/>
      <c r="I2405" s="1218"/>
      <c r="J2405" s="1218"/>
      <c r="K2405" s="1218"/>
      <c r="L2405" s="1218"/>
      <c r="M2405" s="1218"/>
      <c r="N2405" s="1218"/>
      <c r="O2405" s="1218"/>
      <c r="P2405" s="1218"/>
      <c r="Q2405" s="1218"/>
      <c r="R2405" s="1218"/>
      <c r="S2405" s="1218"/>
      <c r="T2405" s="1218"/>
      <c r="U2405" s="1218"/>
      <c r="V2405" s="1218"/>
      <c r="W2405" s="1218"/>
      <c r="X2405" s="1218"/>
      <c r="Y2405" s="1218"/>
      <c r="Z2405" s="1218"/>
      <c r="AA2405" s="1218"/>
      <c r="AB2405" s="1218"/>
      <c r="AC2405" s="1218"/>
      <c r="AD2405" s="1218"/>
      <c r="AE2405" s="1218"/>
      <c r="AF2405" s="1218"/>
      <c r="AG2405" s="1218"/>
      <c r="AH2405" s="1218"/>
      <c r="AI2405" s="1218"/>
      <c r="AJ2405" s="1218"/>
      <c r="AK2405" s="1218"/>
      <c r="AL2405" s="1218"/>
      <c r="AM2405" s="1218"/>
    </row>
    <row r="2406" spans="1:39" ht="15" customHeight="1" x14ac:dyDescent="0.25">
      <c r="A2406" s="1409"/>
      <c r="B2406" s="1409"/>
      <c r="C2406" s="1409"/>
      <c r="D2406" s="1409"/>
      <c r="E2406" s="1247"/>
      <c r="F2406" s="1248"/>
      <c r="G2406" s="111"/>
      <c r="H2406" s="1249"/>
      <c r="I2406" s="111"/>
      <c r="J2406" s="111"/>
      <c r="K2406" s="111"/>
      <c r="L2406" s="111"/>
      <c r="M2406" s="111"/>
      <c r="N2406" s="111"/>
      <c r="O2406" s="111"/>
      <c r="P2406" s="111"/>
      <c r="Q2406" s="111"/>
      <c r="R2406" s="111"/>
      <c r="S2406" s="1249"/>
      <c r="T2406" s="1250"/>
      <c r="U2406" s="1250"/>
      <c r="V2406" s="1250"/>
      <c r="W2406" s="1251"/>
      <c r="X2406" s="1250"/>
      <c r="Y2406" s="1250"/>
      <c r="Z2406" s="1250"/>
      <c r="AA2406" s="1250"/>
      <c r="AB2406" s="1250"/>
      <c r="AC2406" s="1250"/>
      <c r="AD2406" s="1250"/>
      <c r="AE2406" s="1249"/>
      <c r="AF2406" s="1250"/>
      <c r="AG2406" s="111"/>
      <c r="AH2406" s="111"/>
      <c r="AI2406" s="111"/>
      <c r="AJ2406" s="111"/>
      <c r="AK2406" s="111"/>
      <c r="AL2406" s="111"/>
      <c r="AM2406" s="111"/>
    </row>
    <row r="2407" spans="1:39" ht="15" customHeight="1" x14ac:dyDescent="0.25">
      <c r="A2407" s="1409"/>
      <c r="B2407" s="1409"/>
      <c r="C2407" s="1409"/>
      <c r="D2407" s="1409"/>
      <c r="E2407" s="1261">
        <v>35401</v>
      </c>
      <c r="F2407" s="1262" t="s">
        <v>896</v>
      </c>
      <c r="G2407" s="1261"/>
      <c r="H2407" s="1261"/>
      <c r="I2407" s="1261"/>
      <c r="J2407" s="1261"/>
      <c r="K2407" s="1261"/>
      <c r="L2407" s="1261"/>
      <c r="M2407" s="1261"/>
      <c r="N2407" s="1261"/>
      <c r="O2407" s="1261"/>
      <c r="P2407" s="1261"/>
      <c r="Q2407" s="1261"/>
      <c r="R2407" s="1261"/>
      <c r="S2407" s="1261"/>
      <c r="T2407" s="1261"/>
      <c r="U2407" s="1261"/>
      <c r="V2407" s="1261"/>
      <c r="W2407" s="1261"/>
      <c r="X2407" s="1261"/>
      <c r="Y2407" s="1261"/>
      <c r="Z2407" s="1261"/>
      <c r="AA2407" s="1261"/>
      <c r="AB2407" s="1261"/>
      <c r="AC2407" s="1261"/>
      <c r="AD2407" s="1261"/>
      <c r="AE2407" s="1261"/>
      <c r="AF2407" s="1261"/>
      <c r="AG2407" s="1261"/>
      <c r="AH2407" s="1261"/>
      <c r="AI2407" s="1261"/>
      <c r="AJ2407" s="1261"/>
      <c r="AK2407" s="1261"/>
      <c r="AL2407" s="1261"/>
      <c r="AM2407" s="1261"/>
    </row>
    <row r="2408" spans="1:39" ht="15" customHeight="1" x14ac:dyDescent="0.25">
      <c r="A2408" s="1409"/>
      <c r="B2408" s="1409"/>
      <c r="C2408" s="1409"/>
      <c r="D2408" s="1409"/>
      <c r="E2408" s="1286"/>
      <c r="F2408" s="1248" t="s">
        <v>5474</v>
      </c>
      <c r="G2408" s="111"/>
      <c r="H2408" s="1249">
        <v>1</v>
      </c>
      <c r="I2408" s="111" t="s">
        <v>1755</v>
      </c>
      <c r="J2408" s="1321" t="s">
        <v>5608</v>
      </c>
      <c r="K2408" s="162" t="s">
        <v>5610</v>
      </c>
      <c r="L2408" s="162" t="s">
        <v>5609</v>
      </c>
      <c r="M2408" s="111">
        <v>34711.69</v>
      </c>
      <c r="N2408" s="111">
        <v>34711.69</v>
      </c>
      <c r="O2408" s="111"/>
      <c r="P2408" s="111"/>
      <c r="Q2408" s="111"/>
      <c r="R2408" s="111"/>
      <c r="S2408" s="1249">
        <v>1</v>
      </c>
      <c r="T2408" s="1250">
        <v>11570.563333333334</v>
      </c>
      <c r="U2408" s="1250"/>
      <c r="V2408" s="1250"/>
      <c r="W2408" s="1251">
        <v>0</v>
      </c>
      <c r="X2408" s="1250">
        <v>11570.563333333334</v>
      </c>
      <c r="Y2408" s="1250"/>
      <c r="Z2408" s="1250"/>
      <c r="AA2408" s="1250"/>
      <c r="AB2408" s="1250"/>
      <c r="AC2408" s="1250"/>
      <c r="AD2408" s="1250"/>
      <c r="AE2408" s="1249">
        <v>0</v>
      </c>
      <c r="AF2408" s="1250">
        <v>11570.563333333334</v>
      </c>
      <c r="AG2408" s="111"/>
      <c r="AH2408" s="111"/>
      <c r="AI2408" s="111"/>
      <c r="AJ2408" s="111"/>
      <c r="AK2408" s="111"/>
      <c r="AL2408" s="111"/>
      <c r="AM2408" s="111">
        <v>34711.69</v>
      </c>
    </row>
    <row r="2409" spans="1:39" ht="15" customHeight="1" x14ac:dyDescent="0.25">
      <c r="A2409" s="1409"/>
      <c r="B2409" s="1409"/>
      <c r="C2409" s="1409"/>
      <c r="D2409" s="1409"/>
      <c r="E2409" s="1286"/>
      <c r="F2409" s="1248"/>
      <c r="G2409" s="111"/>
      <c r="H2409" s="1249"/>
      <c r="I2409" s="111"/>
      <c r="J2409" s="111"/>
      <c r="K2409" s="111"/>
      <c r="L2409" s="111"/>
      <c r="M2409" s="111"/>
      <c r="N2409" s="111"/>
      <c r="O2409" s="111"/>
      <c r="P2409" s="111"/>
      <c r="Q2409" s="111"/>
      <c r="R2409" s="111"/>
      <c r="S2409" s="1249"/>
      <c r="T2409" s="1250"/>
      <c r="U2409" s="1250"/>
      <c r="V2409" s="1250"/>
      <c r="W2409" s="1251"/>
      <c r="X2409" s="1250"/>
      <c r="Y2409" s="1250"/>
      <c r="Z2409" s="1250"/>
      <c r="AA2409" s="1250"/>
      <c r="AB2409" s="1250"/>
      <c r="AC2409" s="1250"/>
      <c r="AD2409" s="1250"/>
      <c r="AE2409" s="1249"/>
      <c r="AF2409" s="1250"/>
      <c r="AG2409" s="111"/>
      <c r="AH2409" s="111"/>
      <c r="AI2409" s="111"/>
      <c r="AJ2409" s="111"/>
      <c r="AK2409" s="111"/>
      <c r="AL2409" s="111"/>
      <c r="AM2409" s="111"/>
    </row>
    <row r="2410" spans="1:39" ht="15" customHeight="1" x14ac:dyDescent="0.25">
      <c r="A2410" s="1409"/>
      <c r="B2410" s="1409"/>
      <c r="C2410" s="1409"/>
      <c r="D2410" s="1409"/>
      <c r="E2410" s="1218">
        <v>355</v>
      </c>
      <c r="F2410" s="1268" t="s">
        <v>897</v>
      </c>
      <c r="G2410" s="1218"/>
      <c r="H2410" s="1218"/>
      <c r="I2410" s="1218"/>
      <c r="J2410" s="1218"/>
      <c r="K2410" s="1218"/>
      <c r="L2410" s="1218"/>
      <c r="M2410" s="1218"/>
      <c r="N2410" s="1218"/>
      <c r="O2410" s="1218"/>
      <c r="P2410" s="1218"/>
      <c r="Q2410" s="1218"/>
      <c r="R2410" s="1218"/>
      <c r="S2410" s="1218"/>
      <c r="T2410" s="1218"/>
      <c r="U2410" s="1218"/>
      <c r="V2410" s="1218"/>
      <c r="W2410" s="1218"/>
      <c r="X2410" s="1218"/>
      <c r="Y2410" s="1218"/>
      <c r="Z2410" s="1218"/>
      <c r="AA2410" s="1218"/>
      <c r="AB2410" s="1218"/>
      <c r="AC2410" s="1218"/>
      <c r="AD2410" s="1218"/>
      <c r="AE2410" s="1218"/>
      <c r="AF2410" s="1218"/>
      <c r="AG2410" s="1218"/>
      <c r="AH2410" s="1218"/>
      <c r="AI2410" s="1218"/>
      <c r="AJ2410" s="1218"/>
      <c r="AK2410" s="1218"/>
      <c r="AL2410" s="1218"/>
      <c r="AM2410" s="1218"/>
    </row>
    <row r="2411" spans="1:39" ht="15" customHeight="1" x14ac:dyDescent="0.25">
      <c r="A2411" s="1409"/>
      <c r="B2411" s="1409"/>
      <c r="C2411" s="1409"/>
      <c r="D2411" s="1409"/>
      <c r="E2411" s="1247"/>
      <c r="F2411" s="1248"/>
      <c r="G2411" s="111"/>
      <c r="H2411" s="1249"/>
      <c r="I2411" s="111"/>
      <c r="J2411" s="111"/>
      <c r="K2411" s="111"/>
      <c r="L2411" s="111"/>
      <c r="M2411" s="111"/>
      <c r="N2411" s="111"/>
      <c r="O2411" s="111"/>
      <c r="P2411" s="111"/>
      <c r="Q2411" s="111"/>
      <c r="R2411" s="111"/>
      <c r="S2411" s="1249"/>
      <c r="T2411" s="1250"/>
      <c r="U2411" s="1250"/>
      <c r="V2411" s="1250"/>
      <c r="W2411" s="1251"/>
      <c r="X2411" s="1250"/>
      <c r="Y2411" s="1250"/>
      <c r="Z2411" s="1250"/>
      <c r="AA2411" s="1250"/>
      <c r="AB2411" s="1250"/>
      <c r="AC2411" s="1250"/>
      <c r="AD2411" s="1250"/>
      <c r="AE2411" s="1249"/>
      <c r="AF2411" s="1250"/>
      <c r="AG2411" s="111"/>
      <c r="AH2411" s="111"/>
      <c r="AI2411" s="111"/>
      <c r="AJ2411" s="111"/>
      <c r="AK2411" s="111"/>
      <c r="AL2411" s="111"/>
      <c r="AM2411" s="111"/>
    </row>
    <row r="2412" spans="1:39" ht="15" customHeight="1" x14ac:dyDescent="0.25">
      <c r="A2412" s="1409"/>
      <c r="B2412" s="1409"/>
      <c r="C2412" s="1409"/>
      <c r="D2412" s="1409"/>
      <c r="E2412" s="1261">
        <v>35501</v>
      </c>
      <c r="F2412" s="1262" t="s">
        <v>898</v>
      </c>
      <c r="G2412" s="1261"/>
      <c r="H2412" s="1261"/>
      <c r="I2412" s="1261"/>
      <c r="J2412" s="1261"/>
      <c r="K2412" s="1261"/>
      <c r="L2412" s="1261"/>
      <c r="M2412" s="1261"/>
      <c r="N2412" s="1261"/>
      <c r="O2412" s="1261"/>
      <c r="P2412" s="1261"/>
      <c r="Q2412" s="1261"/>
      <c r="R2412" s="1261"/>
      <c r="S2412" s="1261"/>
      <c r="T2412" s="1261"/>
      <c r="U2412" s="1261"/>
      <c r="V2412" s="1261"/>
      <c r="W2412" s="1261"/>
      <c r="X2412" s="1261"/>
      <c r="Y2412" s="1261"/>
      <c r="Z2412" s="1261"/>
      <c r="AA2412" s="1261"/>
      <c r="AB2412" s="1261"/>
      <c r="AC2412" s="1261"/>
      <c r="AD2412" s="1261"/>
      <c r="AE2412" s="1261"/>
      <c r="AF2412" s="1261"/>
      <c r="AG2412" s="1261"/>
      <c r="AH2412" s="1261"/>
      <c r="AI2412" s="1261"/>
      <c r="AJ2412" s="1261"/>
      <c r="AK2412" s="1261"/>
      <c r="AL2412" s="1261"/>
      <c r="AM2412" s="1261"/>
    </row>
    <row r="2413" spans="1:39" ht="15" customHeight="1" x14ac:dyDescent="0.25">
      <c r="A2413" s="1409"/>
      <c r="B2413" s="1409"/>
      <c r="C2413" s="1409"/>
      <c r="D2413" s="1409"/>
      <c r="E2413" s="1286"/>
      <c r="F2413" s="1248" t="s">
        <v>5475</v>
      </c>
      <c r="G2413" s="111"/>
      <c r="H2413" s="1249">
        <v>32</v>
      </c>
      <c r="I2413" s="111" t="s">
        <v>1755</v>
      </c>
      <c r="J2413" s="1321" t="s">
        <v>5608</v>
      </c>
      <c r="K2413" s="162" t="s">
        <v>5610</v>
      </c>
      <c r="L2413" s="162" t="s">
        <v>5609</v>
      </c>
      <c r="M2413" s="111">
        <v>12000</v>
      </c>
      <c r="N2413" s="111">
        <v>384000</v>
      </c>
      <c r="O2413" s="111"/>
      <c r="P2413" s="111"/>
      <c r="Q2413" s="111"/>
      <c r="R2413" s="111"/>
      <c r="S2413" s="1249">
        <v>12</v>
      </c>
      <c r="T2413" s="1250">
        <v>128000</v>
      </c>
      <c r="U2413" s="1250"/>
      <c r="V2413" s="1250"/>
      <c r="W2413" s="1251">
        <v>10</v>
      </c>
      <c r="X2413" s="1250">
        <v>128000</v>
      </c>
      <c r="Y2413" s="1250"/>
      <c r="Z2413" s="1250"/>
      <c r="AA2413" s="1250"/>
      <c r="AB2413" s="1250"/>
      <c r="AC2413" s="1250"/>
      <c r="AD2413" s="1250"/>
      <c r="AE2413" s="1249">
        <v>10</v>
      </c>
      <c r="AF2413" s="1250">
        <v>128000</v>
      </c>
      <c r="AG2413" s="111"/>
      <c r="AH2413" s="111"/>
      <c r="AI2413" s="111"/>
      <c r="AJ2413" s="111"/>
      <c r="AK2413" s="111"/>
      <c r="AL2413" s="111"/>
      <c r="AM2413" s="111">
        <v>384000</v>
      </c>
    </row>
    <row r="2414" spans="1:39" ht="15" customHeight="1" x14ac:dyDescent="0.25">
      <c r="A2414" s="1409"/>
      <c r="B2414" s="1409"/>
      <c r="C2414" s="1409"/>
      <c r="D2414" s="1409"/>
      <c r="E2414" s="1286"/>
      <c r="F2414" s="1248" t="s">
        <v>5476</v>
      </c>
      <c r="G2414" s="111"/>
      <c r="H2414" s="1249">
        <v>32</v>
      </c>
      <c r="I2414" s="111" t="s">
        <v>1755</v>
      </c>
      <c r="J2414" s="1321" t="s">
        <v>5608</v>
      </c>
      <c r="K2414" s="162" t="s">
        <v>5610</v>
      </c>
      <c r="L2414" s="162" t="s">
        <v>5609</v>
      </c>
      <c r="M2414" s="111">
        <v>800</v>
      </c>
      <c r="N2414" s="111">
        <v>25600</v>
      </c>
      <c r="O2414" s="111"/>
      <c r="P2414" s="111"/>
      <c r="Q2414" s="111"/>
      <c r="R2414" s="111"/>
      <c r="S2414" s="1249">
        <v>12</v>
      </c>
      <c r="T2414" s="1250">
        <v>8533.3333333333339</v>
      </c>
      <c r="U2414" s="1250"/>
      <c r="V2414" s="1250"/>
      <c r="W2414" s="1251">
        <v>10</v>
      </c>
      <c r="X2414" s="1250">
        <v>8533.3333333333339</v>
      </c>
      <c r="Y2414" s="1250"/>
      <c r="Z2414" s="1250"/>
      <c r="AA2414" s="1250"/>
      <c r="AB2414" s="1250"/>
      <c r="AC2414" s="1250"/>
      <c r="AD2414" s="1250"/>
      <c r="AE2414" s="1249">
        <v>10</v>
      </c>
      <c r="AF2414" s="1250">
        <v>8533.3333333333339</v>
      </c>
      <c r="AG2414" s="111"/>
      <c r="AH2414" s="111"/>
      <c r="AI2414" s="111"/>
      <c r="AJ2414" s="111"/>
      <c r="AK2414" s="111"/>
      <c r="AL2414" s="111"/>
      <c r="AM2414" s="111">
        <v>25600</v>
      </c>
    </row>
    <row r="2415" spans="1:39" ht="15" customHeight="1" x14ac:dyDescent="0.25">
      <c r="A2415" s="1409"/>
      <c r="B2415" s="1409"/>
      <c r="C2415" s="1409"/>
      <c r="D2415" s="1409"/>
      <c r="E2415" s="1286"/>
      <c r="F2415" s="1248" t="s">
        <v>3342</v>
      </c>
      <c r="G2415" s="111"/>
      <c r="H2415" s="1249">
        <v>1</v>
      </c>
      <c r="I2415" s="111" t="s">
        <v>1755</v>
      </c>
      <c r="J2415" s="1321" t="s">
        <v>5608</v>
      </c>
      <c r="K2415" s="162" t="s">
        <v>5610</v>
      </c>
      <c r="L2415" s="162" t="s">
        <v>5609</v>
      </c>
      <c r="M2415" s="111">
        <v>2300</v>
      </c>
      <c r="N2415" s="111">
        <v>2300</v>
      </c>
      <c r="O2415" s="111"/>
      <c r="P2415" s="111"/>
      <c r="Q2415" s="111"/>
      <c r="R2415" s="111"/>
      <c r="S2415" s="1249">
        <v>1</v>
      </c>
      <c r="T2415" s="1250">
        <v>766.66666666666663</v>
      </c>
      <c r="U2415" s="1250"/>
      <c r="V2415" s="1250"/>
      <c r="W2415" s="1251">
        <v>0</v>
      </c>
      <c r="X2415" s="1250">
        <v>766.66666666666663</v>
      </c>
      <c r="Y2415" s="1250"/>
      <c r="Z2415" s="1250"/>
      <c r="AA2415" s="1250"/>
      <c r="AB2415" s="1250"/>
      <c r="AC2415" s="1250"/>
      <c r="AD2415" s="1250"/>
      <c r="AE2415" s="1249">
        <v>0</v>
      </c>
      <c r="AF2415" s="1250">
        <v>766.66666666666663</v>
      </c>
      <c r="AG2415" s="111"/>
      <c r="AH2415" s="111"/>
      <c r="AI2415" s="111"/>
      <c r="AJ2415" s="111"/>
      <c r="AK2415" s="111"/>
      <c r="AL2415" s="111"/>
      <c r="AM2415" s="111">
        <v>2300</v>
      </c>
    </row>
    <row r="2416" spans="1:39" ht="15" customHeight="1" x14ac:dyDescent="0.25">
      <c r="A2416" s="1409"/>
      <c r="B2416" s="1409"/>
      <c r="C2416" s="1409"/>
      <c r="D2416" s="1409"/>
      <c r="E2416" s="1286"/>
      <c r="F2416" s="1248" t="s">
        <v>3343</v>
      </c>
      <c r="G2416" s="111"/>
      <c r="H2416" s="1249">
        <v>1</v>
      </c>
      <c r="I2416" s="111" t="s">
        <v>1755</v>
      </c>
      <c r="J2416" s="1321" t="s">
        <v>5608</v>
      </c>
      <c r="K2416" s="162" t="s">
        <v>5610</v>
      </c>
      <c r="L2416" s="162" t="s">
        <v>5609</v>
      </c>
      <c r="M2416" s="111">
        <v>5000</v>
      </c>
      <c r="N2416" s="111">
        <v>5000</v>
      </c>
      <c r="O2416" s="111"/>
      <c r="P2416" s="111"/>
      <c r="Q2416" s="111"/>
      <c r="R2416" s="111"/>
      <c r="S2416" s="1249">
        <v>1</v>
      </c>
      <c r="T2416" s="1250">
        <v>1666.6666666666667</v>
      </c>
      <c r="U2416" s="1250"/>
      <c r="V2416" s="1250"/>
      <c r="W2416" s="1251">
        <v>0</v>
      </c>
      <c r="X2416" s="1250">
        <v>1666.6666666666667</v>
      </c>
      <c r="Y2416" s="1250"/>
      <c r="Z2416" s="1250"/>
      <c r="AA2416" s="1250"/>
      <c r="AB2416" s="1250"/>
      <c r="AC2416" s="1250"/>
      <c r="AD2416" s="1250"/>
      <c r="AE2416" s="1249">
        <v>0</v>
      </c>
      <c r="AF2416" s="1250">
        <v>1666.6666666666667</v>
      </c>
      <c r="AG2416" s="111"/>
      <c r="AH2416" s="111"/>
      <c r="AI2416" s="111"/>
      <c r="AJ2416" s="111"/>
      <c r="AK2416" s="111"/>
      <c r="AL2416" s="111"/>
      <c r="AM2416" s="111">
        <v>5000</v>
      </c>
    </row>
    <row r="2417" spans="1:39" ht="15" customHeight="1" x14ac:dyDescent="0.25">
      <c r="A2417" s="1409"/>
      <c r="B2417" s="1409"/>
      <c r="C2417" s="1409"/>
      <c r="D2417" s="1409"/>
      <c r="E2417" s="1286"/>
      <c r="F2417" s="1248" t="s">
        <v>5477</v>
      </c>
      <c r="G2417" s="111"/>
      <c r="H2417" s="1249">
        <v>24</v>
      </c>
      <c r="I2417" s="111" t="s">
        <v>1755</v>
      </c>
      <c r="J2417" s="1321" t="s">
        <v>5608</v>
      </c>
      <c r="K2417" s="162" t="s">
        <v>5610</v>
      </c>
      <c r="L2417" s="162" t="s">
        <v>5609</v>
      </c>
      <c r="M2417" s="111">
        <v>2000</v>
      </c>
      <c r="N2417" s="111">
        <v>48000</v>
      </c>
      <c r="O2417" s="111"/>
      <c r="P2417" s="111"/>
      <c r="Q2417" s="111"/>
      <c r="R2417" s="111"/>
      <c r="S2417" s="1249">
        <v>14</v>
      </c>
      <c r="T2417" s="1250">
        <v>16000</v>
      </c>
      <c r="U2417" s="1250"/>
      <c r="V2417" s="1250"/>
      <c r="W2417" s="1251">
        <v>5</v>
      </c>
      <c r="X2417" s="1250">
        <v>16000</v>
      </c>
      <c r="Y2417" s="1250"/>
      <c r="Z2417" s="1250"/>
      <c r="AA2417" s="1250"/>
      <c r="AB2417" s="1250"/>
      <c r="AC2417" s="1250"/>
      <c r="AD2417" s="1250"/>
      <c r="AE2417" s="1249">
        <v>5</v>
      </c>
      <c r="AF2417" s="1250">
        <v>16000</v>
      </c>
      <c r="AG2417" s="111"/>
      <c r="AH2417" s="111"/>
      <c r="AI2417" s="111"/>
      <c r="AJ2417" s="111"/>
      <c r="AK2417" s="111"/>
      <c r="AL2417" s="111"/>
      <c r="AM2417" s="111">
        <v>48000</v>
      </c>
    </row>
    <row r="2418" spans="1:39" ht="15" customHeight="1" x14ac:dyDescent="0.25">
      <c r="A2418" s="1409"/>
      <c r="B2418" s="1409"/>
      <c r="C2418" s="1409"/>
      <c r="D2418" s="1409"/>
      <c r="E2418" s="1286"/>
      <c r="F2418" s="1248" t="s">
        <v>5478</v>
      </c>
      <c r="G2418" s="111"/>
      <c r="H2418" s="1249">
        <v>50</v>
      </c>
      <c r="I2418" s="111" t="s">
        <v>1755</v>
      </c>
      <c r="J2418" s="1321" t="s">
        <v>5608</v>
      </c>
      <c r="K2418" s="162" t="s">
        <v>5610</v>
      </c>
      <c r="L2418" s="162" t="s">
        <v>5609</v>
      </c>
      <c r="M2418" s="111">
        <v>800</v>
      </c>
      <c r="N2418" s="111">
        <v>40000</v>
      </c>
      <c r="O2418" s="111"/>
      <c r="P2418" s="111"/>
      <c r="Q2418" s="111"/>
      <c r="R2418" s="111"/>
      <c r="S2418" s="1249">
        <v>20</v>
      </c>
      <c r="T2418" s="1250">
        <v>13333.333333333334</v>
      </c>
      <c r="U2418" s="1250"/>
      <c r="V2418" s="1250"/>
      <c r="W2418" s="1251">
        <v>20</v>
      </c>
      <c r="X2418" s="1250">
        <v>13333.333333333334</v>
      </c>
      <c r="Y2418" s="1250"/>
      <c r="Z2418" s="1250"/>
      <c r="AA2418" s="1250"/>
      <c r="AB2418" s="1250"/>
      <c r="AC2418" s="1250"/>
      <c r="AD2418" s="1250"/>
      <c r="AE2418" s="1249">
        <v>10</v>
      </c>
      <c r="AF2418" s="1250">
        <v>13333.333333333334</v>
      </c>
      <c r="AG2418" s="111"/>
      <c r="AH2418" s="111"/>
      <c r="AI2418" s="111"/>
      <c r="AJ2418" s="111"/>
      <c r="AK2418" s="111"/>
      <c r="AL2418" s="111"/>
      <c r="AM2418" s="111">
        <v>40000</v>
      </c>
    </row>
    <row r="2419" spans="1:39" ht="15" customHeight="1" x14ac:dyDescent="0.25">
      <c r="A2419" s="1409"/>
      <c r="B2419" s="1409"/>
      <c r="C2419" s="1409"/>
      <c r="D2419" s="1409"/>
      <c r="E2419" s="1286"/>
      <c r="F2419" s="1248" t="s">
        <v>5479</v>
      </c>
      <c r="G2419" s="111"/>
      <c r="H2419" s="1249">
        <v>26</v>
      </c>
      <c r="I2419" s="111" t="s">
        <v>1755</v>
      </c>
      <c r="J2419" s="1321" t="s">
        <v>5608</v>
      </c>
      <c r="K2419" s="162" t="s">
        <v>5610</v>
      </c>
      <c r="L2419" s="162" t="s">
        <v>5609</v>
      </c>
      <c r="M2419" s="111">
        <v>1000</v>
      </c>
      <c r="N2419" s="111">
        <v>26000</v>
      </c>
      <c r="O2419" s="111"/>
      <c r="P2419" s="111"/>
      <c r="Q2419" s="111"/>
      <c r="R2419" s="111"/>
      <c r="S2419" s="1249">
        <v>10</v>
      </c>
      <c r="T2419" s="1250">
        <v>8666.6666666666661</v>
      </c>
      <c r="U2419" s="1250"/>
      <c r="V2419" s="1250"/>
      <c r="W2419" s="1251">
        <v>10</v>
      </c>
      <c r="X2419" s="1250">
        <v>8666.6666666666661</v>
      </c>
      <c r="Y2419" s="1250"/>
      <c r="Z2419" s="1250"/>
      <c r="AA2419" s="1250"/>
      <c r="AB2419" s="1250"/>
      <c r="AC2419" s="1250"/>
      <c r="AD2419" s="1250"/>
      <c r="AE2419" s="1249">
        <v>6</v>
      </c>
      <c r="AF2419" s="1250">
        <v>8666.6666666666661</v>
      </c>
      <c r="AG2419" s="111"/>
      <c r="AH2419" s="111"/>
      <c r="AI2419" s="111"/>
      <c r="AJ2419" s="111"/>
      <c r="AK2419" s="111"/>
      <c r="AL2419" s="111"/>
      <c r="AM2419" s="111">
        <v>26000</v>
      </c>
    </row>
    <row r="2420" spans="1:39" ht="15" customHeight="1" x14ac:dyDescent="0.25">
      <c r="A2420" s="1409"/>
      <c r="B2420" s="1409"/>
      <c r="C2420" s="1409"/>
      <c r="D2420" s="1409"/>
      <c r="E2420" s="1286"/>
      <c r="F2420" s="1248" t="s">
        <v>5480</v>
      </c>
      <c r="G2420" s="111"/>
      <c r="H2420" s="1249">
        <v>28</v>
      </c>
      <c r="I2420" s="111" t="s">
        <v>1755</v>
      </c>
      <c r="J2420" s="1321" t="s">
        <v>5608</v>
      </c>
      <c r="K2420" s="162" t="s">
        <v>5610</v>
      </c>
      <c r="L2420" s="162" t="s">
        <v>5609</v>
      </c>
      <c r="M2420" s="111">
        <v>3000</v>
      </c>
      <c r="N2420" s="111">
        <v>84000</v>
      </c>
      <c r="O2420" s="111"/>
      <c r="P2420" s="111"/>
      <c r="Q2420" s="111"/>
      <c r="R2420" s="111"/>
      <c r="S2420" s="1249">
        <v>10</v>
      </c>
      <c r="T2420" s="1250">
        <v>28000</v>
      </c>
      <c r="U2420" s="1250"/>
      <c r="V2420" s="1250"/>
      <c r="W2420" s="1251">
        <v>10</v>
      </c>
      <c r="X2420" s="1250">
        <v>28000</v>
      </c>
      <c r="Y2420" s="1250"/>
      <c r="Z2420" s="1250"/>
      <c r="AA2420" s="1250"/>
      <c r="AB2420" s="1250"/>
      <c r="AC2420" s="1250"/>
      <c r="AD2420" s="1250"/>
      <c r="AE2420" s="1249">
        <v>8</v>
      </c>
      <c r="AF2420" s="1250">
        <v>28000</v>
      </c>
      <c r="AG2420" s="111"/>
      <c r="AH2420" s="111"/>
      <c r="AI2420" s="111"/>
      <c r="AJ2420" s="111"/>
      <c r="AK2420" s="111"/>
      <c r="AL2420" s="111"/>
      <c r="AM2420" s="111">
        <v>84000</v>
      </c>
    </row>
    <row r="2421" spans="1:39" ht="15" customHeight="1" x14ac:dyDescent="0.25">
      <c r="A2421" s="1409"/>
      <c r="B2421" s="1409"/>
      <c r="C2421" s="1409"/>
      <c r="D2421" s="1409"/>
      <c r="E2421" s="1286"/>
      <c r="F2421" s="1248"/>
      <c r="G2421" s="111"/>
      <c r="H2421" s="1249"/>
      <c r="I2421" s="111"/>
      <c r="J2421" s="111"/>
      <c r="K2421" s="111"/>
      <c r="L2421" s="111"/>
      <c r="M2421" s="111"/>
      <c r="N2421" s="111"/>
      <c r="O2421" s="111"/>
      <c r="P2421" s="111"/>
      <c r="Q2421" s="111"/>
      <c r="R2421" s="111"/>
      <c r="S2421" s="1249"/>
      <c r="T2421" s="1250"/>
      <c r="U2421" s="1250"/>
      <c r="V2421" s="1250"/>
      <c r="W2421" s="1251"/>
      <c r="X2421" s="1250"/>
      <c r="Y2421" s="1250"/>
      <c r="Z2421" s="1250"/>
      <c r="AA2421" s="1250"/>
      <c r="AB2421" s="1250"/>
      <c r="AC2421" s="1250"/>
      <c r="AD2421" s="1250"/>
      <c r="AE2421" s="1249"/>
      <c r="AF2421" s="1250"/>
      <c r="AG2421" s="111"/>
      <c r="AH2421" s="111"/>
      <c r="AI2421" s="111"/>
      <c r="AJ2421" s="111"/>
      <c r="AK2421" s="111"/>
      <c r="AL2421" s="111"/>
      <c r="AM2421" s="111"/>
    </row>
    <row r="2422" spans="1:39" ht="15" customHeight="1" x14ac:dyDescent="0.25">
      <c r="A2422" s="1409"/>
      <c r="B2422" s="1409"/>
      <c r="C2422" s="1409"/>
      <c r="D2422" s="1409"/>
      <c r="E2422" s="1218">
        <v>356</v>
      </c>
      <c r="F2422" s="1268" t="s">
        <v>899</v>
      </c>
      <c r="G2422" s="1218"/>
      <c r="H2422" s="1218"/>
      <c r="I2422" s="1218"/>
      <c r="J2422" s="1218"/>
      <c r="K2422" s="1218"/>
      <c r="L2422" s="1218"/>
      <c r="M2422" s="1218"/>
      <c r="N2422" s="1218"/>
      <c r="O2422" s="1218"/>
      <c r="P2422" s="1218"/>
      <c r="Q2422" s="1218"/>
      <c r="R2422" s="1218"/>
      <c r="S2422" s="1218"/>
      <c r="T2422" s="1218"/>
      <c r="U2422" s="1218"/>
      <c r="V2422" s="1218"/>
      <c r="W2422" s="1218"/>
      <c r="X2422" s="1218"/>
      <c r="Y2422" s="1218"/>
      <c r="Z2422" s="1218"/>
      <c r="AA2422" s="1218"/>
      <c r="AB2422" s="1218"/>
      <c r="AC2422" s="1218"/>
      <c r="AD2422" s="1218"/>
      <c r="AE2422" s="1218"/>
      <c r="AF2422" s="1218"/>
      <c r="AG2422" s="1218"/>
      <c r="AH2422" s="1218"/>
      <c r="AI2422" s="1218"/>
      <c r="AJ2422" s="1218"/>
      <c r="AK2422" s="1218"/>
      <c r="AL2422" s="1218"/>
      <c r="AM2422" s="1218"/>
    </row>
    <row r="2423" spans="1:39" ht="15" customHeight="1" x14ac:dyDescent="0.25">
      <c r="A2423" s="1409"/>
      <c r="B2423" s="1409"/>
      <c r="C2423" s="1409"/>
      <c r="D2423" s="1409"/>
      <c r="E2423" s="1247"/>
      <c r="F2423" s="1248"/>
      <c r="G2423" s="111"/>
      <c r="H2423" s="1249"/>
      <c r="I2423" s="111"/>
      <c r="J2423" s="111"/>
      <c r="K2423" s="111"/>
      <c r="L2423" s="111"/>
      <c r="M2423" s="111"/>
      <c r="N2423" s="111"/>
      <c r="O2423" s="111"/>
      <c r="P2423" s="111"/>
      <c r="Q2423" s="111"/>
      <c r="R2423" s="111"/>
      <c r="S2423" s="1249"/>
      <c r="T2423" s="1250"/>
      <c r="U2423" s="1250"/>
      <c r="V2423" s="1250"/>
      <c r="W2423" s="1251"/>
      <c r="X2423" s="1250"/>
      <c r="Y2423" s="1250"/>
      <c r="Z2423" s="1250"/>
      <c r="AA2423" s="1250"/>
      <c r="AB2423" s="1250"/>
      <c r="AC2423" s="1250"/>
      <c r="AD2423" s="1250"/>
      <c r="AE2423" s="1249"/>
      <c r="AF2423" s="1250"/>
      <c r="AG2423" s="111"/>
      <c r="AH2423" s="111"/>
      <c r="AI2423" s="111"/>
      <c r="AJ2423" s="111"/>
      <c r="AK2423" s="111"/>
      <c r="AL2423" s="111"/>
      <c r="AM2423" s="111"/>
    </row>
    <row r="2424" spans="1:39" ht="15" customHeight="1" x14ac:dyDescent="0.25">
      <c r="A2424" s="1409"/>
      <c r="B2424" s="1409"/>
      <c r="C2424" s="1409"/>
      <c r="D2424" s="1409"/>
      <c r="E2424" s="1261">
        <v>35601</v>
      </c>
      <c r="F2424" s="1262" t="s">
        <v>900</v>
      </c>
      <c r="G2424" s="1261"/>
      <c r="H2424" s="1261"/>
      <c r="I2424" s="1261"/>
      <c r="J2424" s="1261"/>
      <c r="K2424" s="1261"/>
      <c r="L2424" s="1261"/>
      <c r="M2424" s="1261"/>
      <c r="N2424" s="1261"/>
      <c r="O2424" s="1261"/>
      <c r="P2424" s="1261"/>
      <c r="Q2424" s="1261"/>
      <c r="R2424" s="1261"/>
      <c r="S2424" s="1261"/>
      <c r="T2424" s="1261"/>
      <c r="U2424" s="1261"/>
      <c r="V2424" s="1261"/>
      <c r="W2424" s="1261"/>
      <c r="X2424" s="1261"/>
      <c r="Y2424" s="1261"/>
      <c r="Z2424" s="1261"/>
      <c r="AA2424" s="1261"/>
      <c r="AB2424" s="1261"/>
      <c r="AC2424" s="1261"/>
      <c r="AD2424" s="1261"/>
      <c r="AE2424" s="1261"/>
      <c r="AF2424" s="1261"/>
      <c r="AG2424" s="1261"/>
      <c r="AH2424" s="1261"/>
      <c r="AI2424" s="1261"/>
      <c r="AJ2424" s="1261"/>
      <c r="AK2424" s="1261"/>
      <c r="AL2424" s="1261"/>
      <c r="AM2424" s="1261"/>
    </row>
    <row r="2425" spans="1:39" ht="15" customHeight="1" x14ac:dyDescent="0.25">
      <c r="A2425" s="1409"/>
      <c r="B2425" s="1409"/>
      <c r="C2425" s="1409"/>
      <c r="D2425" s="1409"/>
      <c r="E2425" s="1286"/>
      <c r="F2425" s="1248" t="s">
        <v>5481</v>
      </c>
      <c r="G2425" s="111"/>
      <c r="H2425" s="1249">
        <v>8</v>
      </c>
      <c r="I2425" s="111" t="s">
        <v>1755</v>
      </c>
      <c r="J2425" s="1321" t="s">
        <v>5608</v>
      </c>
      <c r="K2425" s="162" t="s">
        <v>5610</v>
      </c>
      <c r="L2425" s="162" t="s">
        <v>5609</v>
      </c>
      <c r="M2425" s="111">
        <v>1786.5</v>
      </c>
      <c r="N2425" s="111">
        <v>14292</v>
      </c>
      <c r="O2425" s="111"/>
      <c r="P2425" s="111"/>
      <c r="Q2425" s="111"/>
      <c r="R2425" s="111"/>
      <c r="S2425" s="1249">
        <v>4</v>
      </c>
      <c r="T2425" s="1250">
        <v>4764</v>
      </c>
      <c r="U2425" s="1250"/>
      <c r="V2425" s="1250"/>
      <c r="W2425" s="1251">
        <v>2</v>
      </c>
      <c r="X2425" s="1250">
        <v>4764</v>
      </c>
      <c r="Y2425" s="1250"/>
      <c r="Z2425" s="1250"/>
      <c r="AA2425" s="1250"/>
      <c r="AB2425" s="1250"/>
      <c r="AC2425" s="1250"/>
      <c r="AD2425" s="1250"/>
      <c r="AE2425" s="1249">
        <v>2</v>
      </c>
      <c r="AF2425" s="1250">
        <v>4764</v>
      </c>
      <c r="AG2425" s="111"/>
      <c r="AH2425" s="111"/>
      <c r="AI2425" s="111"/>
      <c r="AJ2425" s="111"/>
      <c r="AK2425" s="111"/>
      <c r="AL2425" s="111"/>
      <c r="AM2425" s="111">
        <v>14292</v>
      </c>
    </row>
    <row r="2426" spans="1:39" ht="15" customHeight="1" x14ac:dyDescent="0.25">
      <c r="A2426" s="1409"/>
      <c r="B2426" s="1409"/>
      <c r="C2426" s="1409"/>
      <c r="D2426" s="1409"/>
      <c r="E2426" s="1286"/>
      <c r="F2426" s="1248"/>
      <c r="G2426" s="111"/>
      <c r="H2426" s="1249"/>
      <c r="I2426" s="111"/>
      <c r="J2426" s="111"/>
      <c r="K2426" s="111"/>
      <c r="L2426" s="111"/>
      <c r="M2426" s="111"/>
      <c r="N2426" s="111"/>
      <c r="O2426" s="111"/>
      <c r="P2426" s="111"/>
      <c r="Q2426" s="111"/>
      <c r="R2426" s="111"/>
      <c r="S2426" s="1249"/>
      <c r="T2426" s="1250"/>
      <c r="U2426" s="1250"/>
      <c r="V2426" s="1250"/>
      <c r="W2426" s="1251"/>
      <c r="X2426" s="1250"/>
      <c r="Y2426" s="1250"/>
      <c r="Z2426" s="1250"/>
      <c r="AA2426" s="1250"/>
      <c r="AB2426" s="1250"/>
      <c r="AC2426" s="1250"/>
      <c r="AD2426" s="1250"/>
      <c r="AE2426" s="1249"/>
      <c r="AF2426" s="1250"/>
      <c r="AG2426" s="111"/>
      <c r="AH2426" s="111"/>
      <c r="AI2426" s="111"/>
      <c r="AJ2426" s="111"/>
      <c r="AK2426" s="111"/>
      <c r="AL2426" s="111"/>
      <c r="AM2426" s="111"/>
    </row>
    <row r="2427" spans="1:39" ht="15" customHeight="1" x14ac:dyDescent="0.25">
      <c r="A2427" s="1409"/>
      <c r="B2427" s="1409"/>
      <c r="C2427" s="1409"/>
      <c r="D2427" s="1409"/>
      <c r="E2427" s="1218">
        <v>357</v>
      </c>
      <c r="F2427" s="1268" t="s">
        <v>901</v>
      </c>
      <c r="G2427" s="1218"/>
      <c r="H2427" s="1218"/>
      <c r="I2427" s="1218"/>
      <c r="J2427" s="1218"/>
      <c r="K2427" s="1218"/>
      <c r="L2427" s="1218"/>
      <c r="M2427" s="1218"/>
      <c r="N2427" s="1218"/>
      <c r="O2427" s="1218"/>
      <c r="P2427" s="1218"/>
      <c r="Q2427" s="1218"/>
      <c r="R2427" s="1218"/>
      <c r="S2427" s="1218"/>
      <c r="T2427" s="1218"/>
      <c r="U2427" s="1218"/>
      <c r="V2427" s="1218"/>
      <c r="W2427" s="1218"/>
      <c r="X2427" s="1218"/>
      <c r="Y2427" s="1218"/>
      <c r="Z2427" s="1218"/>
      <c r="AA2427" s="1218"/>
      <c r="AB2427" s="1218"/>
      <c r="AC2427" s="1218"/>
      <c r="AD2427" s="1218"/>
      <c r="AE2427" s="1218"/>
      <c r="AF2427" s="1218"/>
      <c r="AG2427" s="1218"/>
      <c r="AH2427" s="1218"/>
      <c r="AI2427" s="1218"/>
      <c r="AJ2427" s="1218"/>
      <c r="AK2427" s="1218"/>
      <c r="AL2427" s="1218"/>
      <c r="AM2427" s="1218"/>
    </row>
    <row r="2428" spans="1:39" ht="15" customHeight="1" x14ac:dyDescent="0.25">
      <c r="A2428" s="1409"/>
      <c r="B2428" s="1409"/>
      <c r="C2428" s="1409"/>
      <c r="D2428" s="1409"/>
      <c r="E2428" s="1247"/>
      <c r="F2428" s="1248"/>
      <c r="G2428" s="111"/>
      <c r="H2428" s="1249"/>
      <c r="I2428" s="111"/>
      <c r="J2428" s="111"/>
      <c r="K2428" s="111"/>
      <c r="L2428" s="111"/>
      <c r="M2428" s="111"/>
      <c r="N2428" s="111"/>
      <c r="O2428" s="111"/>
      <c r="P2428" s="111"/>
      <c r="Q2428" s="111"/>
      <c r="R2428" s="111"/>
      <c r="S2428" s="1249"/>
      <c r="T2428" s="1250"/>
      <c r="U2428" s="1250"/>
      <c r="V2428" s="1250"/>
      <c r="W2428" s="1251"/>
      <c r="X2428" s="1250"/>
      <c r="Y2428" s="1250"/>
      <c r="Z2428" s="1250"/>
      <c r="AA2428" s="1250"/>
      <c r="AB2428" s="1250"/>
      <c r="AC2428" s="1250"/>
      <c r="AD2428" s="1250"/>
      <c r="AE2428" s="1249"/>
      <c r="AF2428" s="1250"/>
      <c r="AG2428" s="111"/>
      <c r="AH2428" s="111"/>
      <c r="AI2428" s="111"/>
      <c r="AJ2428" s="111"/>
      <c r="AK2428" s="111"/>
      <c r="AL2428" s="111"/>
      <c r="AM2428" s="111"/>
    </row>
    <row r="2429" spans="1:39" ht="15" customHeight="1" x14ac:dyDescent="0.25">
      <c r="A2429" s="1409"/>
      <c r="B2429" s="1409"/>
      <c r="C2429" s="1409"/>
      <c r="D2429" s="1409"/>
      <c r="E2429" s="1261">
        <v>35701</v>
      </c>
      <c r="F2429" s="1262" t="s">
        <v>902</v>
      </c>
      <c r="G2429" s="1261"/>
      <c r="H2429" s="1261"/>
      <c r="I2429" s="1261"/>
      <c r="J2429" s="1261"/>
      <c r="K2429" s="1261"/>
      <c r="L2429" s="1261"/>
      <c r="M2429" s="1261"/>
      <c r="N2429" s="1261"/>
      <c r="O2429" s="1261"/>
      <c r="P2429" s="1261"/>
      <c r="Q2429" s="1261"/>
      <c r="R2429" s="1261"/>
      <c r="S2429" s="1261"/>
      <c r="T2429" s="1261"/>
      <c r="U2429" s="1261"/>
      <c r="V2429" s="1261"/>
      <c r="W2429" s="1261"/>
      <c r="X2429" s="1261"/>
      <c r="Y2429" s="1261"/>
      <c r="Z2429" s="1261"/>
      <c r="AA2429" s="1261"/>
      <c r="AB2429" s="1261"/>
      <c r="AC2429" s="1261"/>
      <c r="AD2429" s="1261"/>
      <c r="AE2429" s="1261"/>
      <c r="AF2429" s="1261"/>
      <c r="AG2429" s="1261"/>
      <c r="AH2429" s="1261"/>
      <c r="AI2429" s="1261"/>
      <c r="AJ2429" s="1261"/>
      <c r="AK2429" s="1261"/>
      <c r="AL2429" s="1261"/>
      <c r="AM2429" s="1261"/>
    </row>
    <row r="2430" spans="1:39" ht="15" customHeight="1" x14ac:dyDescent="0.25">
      <c r="A2430" s="1409"/>
      <c r="B2430" s="1409"/>
      <c r="C2430" s="1409"/>
      <c r="D2430" s="1409"/>
      <c r="E2430" s="1247"/>
      <c r="F2430" s="1248" t="s">
        <v>3344</v>
      </c>
      <c r="G2430" s="111"/>
      <c r="H2430" s="1249">
        <v>1</v>
      </c>
      <c r="I2430" s="111" t="s">
        <v>1755</v>
      </c>
      <c r="J2430" s="1321" t="s">
        <v>5608</v>
      </c>
      <c r="K2430" s="162" t="s">
        <v>5610</v>
      </c>
      <c r="L2430" s="162" t="s">
        <v>5609</v>
      </c>
      <c r="M2430" s="111">
        <v>563.76</v>
      </c>
      <c r="N2430" s="111">
        <v>563.76</v>
      </c>
      <c r="O2430" s="111"/>
      <c r="P2430" s="111"/>
      <c r="Q2430" s="111"/>
      <c r="R2430" s="111"/>
      <c r="S2430" s="1249">
        <v>1</v>
      </c>
      <c r="T2430" s="1250">
        <v>187.92</v>
      </c>
      <c r="U2430" s="1250"/>
      <c r="V2430" s="1250"/>
      <c r="W2430" s="1251">
        <v>0</v>
      </c>
      <c r="X2430" s="1250">
        <v>187.92</v>
      </c>
      <c r="Y2430" s="1250"/>
      <c r="Z2430" s="1250"/>
      <c r="AA2430" s="1250"/>
      <c r="AB2430" s="1250"/>
      <c r="AC2430" s="1250"/>
      <c r="AD2430" s="1250"/>
      <c r="AE2430" s="1249">
        <v>0</v>
      </c>
      <c r="AF2430" s="1250">
        <v>187.92</v>
      </c>
      <c r="AG2430" s="111"/>
      <c r="AH2430" s="111"/>
      <c r="AI2430" s="111"/>
      <c r="AJ2430" s="111"/>
      <c r="AK2430" s="111"/>
      <c r="AL2430" s="111"/>
      <c r="AM2430" s="111">
        <v>563.76</v>
      </c>
    </row>
    <row r="2431" spans="1:39" ht="15" customHeight="1" x14ac:dyDescent="0.25">
      <c r="A2431" s="1409"/>
      <c r="B2431" s="1409"/>
      <c r="C2431" s="1409"/>
      <c r="D2431" s="1409"/>
      <c r="E2431" s="1247"/>
      <c r="F2431" s="1248" t="s">
        <v>3346</v>
      </c>
      <c r="G2431" s="111"/>
      <c r="H2431" s="1249">
        <v>1</v>
      </c>
      <c r="I2431" s="111" t="s">
        <v>1755</v>
      </c>
      <c r="J2431" s="1321" t="s">
        <v>5608</v>
      </c>
      <c r="K2431" s="162" t="s">
        <v>5610</v>
      </c>
      <c r="L2431" s="162" t="s">
        <v>5609</v>
      </c>
      <c r="M2431" s="111">
        <v>851.904</v>
      </c>
      <c r="N2431" s="111">
        <v>851.904</v>
      </c>
      <c r="O2431" s="111"/>
      <c r="P2431" s="111"/>
      <c r="Q2431" s="111"/>
      <c r="R2431" s="111"/>
      <c r="S2431" s="1249">
        <v>1</v>
      </c>
      <c r="T2431" s="1250">
        <v>283.96800000000002</v>
      </c>
      <c r="U2431" s="1250"/>
      <c r="V2431" s="1250"/>
      <c r="W2431" s="1251">
        <v>0</v>
      </c>
      <c r="X2431" s="1250">
        <v>283.96800000000002</v>
      </c>
      <c r="Y2431" s="1250"/>
      <c r="Z2431" s="1250"/>
      <c r="AA2431" s="1250"/>
      <c r="AB2431" s="1250"/>
      <c r="AC2431" s="1250"/>
      <c r="AD2431" s="1250"/>
      <c r="AE2431" s="1249">
        <v>0</v>
      </c>
      <c r="AF2431" s="1250">
        <v>283.96800000000002</v>
      </c>
      <c r="AG2431" s="111"/>
      <c r="AH2431" s="111"/>
      <c r="AI2431" s="111"/>
      <c r="AJ2431" s="111"/>
      <c r="AK2431" s="111"/>
      <c r="AL2431" s="111"/>
      <c r="AM2431" s="111">
        <v>851.904</v>
      </c>
    </row>
    <row r="2432" spans="1:39" ht="15" customHeight="1" x14ac:dyDescent="0.25">
      <c r="A2432" s="1409"/>
      <c r="B2432" s="1409"/>
      <c r="C2432" s="1409"/>
      <c r="D2432" s="1409"/>
      <c r="E2432" s="1247"/>
      <c r="F2432" s="1248" t="s">
        <v>5482</v>
      </c>
      <c r="G2432" s="111"/>
      <c r="H2432" s="1249">
        <v>25</v>
      </c>
      <c r="I2432" s="111" t="s">
        <v>1755</v>
      </c>
      <c r="J2432" s="1321" t="s">
        <v>5608</v>
      </c>
      <c r="K2432" s="162" t="s">
        <v>5610</v>
      </c>
      <c r="L2432" s="162" t="s">
        <v>5609</v>
      </c>
      <c r="M2432" s="111">
        <v>831.6</v>
      </c>
      <c r="N2432" s="111">
        <v>20790</v>
      </c>
      <c r="O2432" s="111"/>
      <c r="P2432" s="111"/>
      <c r="Q2432" s="111"/>
      <c r="R2432" s="111"/>
      <c r="S2432" s="1249">
        <v>10</v>
      </c>
      <c r="T2432" s="1250">
        <v>6930</v>
      </c>
      <c r="U2432" s="1250"/>
      <c r="V2432" s="1250"/>
      <c r="W2432" s="1251">
        <v>10</v>
      </c>
      <c r="X2432" s="1250">
        <v>6930</v>
      </c>
      <c r="Y2432" s="1250"/>
      <c r="Z2432" s="1250"/>
      <c r="AA2432" s="1250"/>
      <c r="AB2432" s="1250"/>
      <c r="AC2432" s="1250"/>
      <c r="AD2432" s="1250"/>
      <c r="AE2432" s="1249">
        <v>5</v>
      </c>
      <c r="AF2432" s="1250">
        <v>6930</v>
      </c>
      <c r="AG2432" s="111"/>
      <c r="AH2432" s="111"/>
      <c r="AI2432" s="111"/>
      <c r="AJ2432" s="111"/>
      <c r="AK2432" s="111"/>
      <c r="AL2432" s="111"/>
      <c r="AM2432" s="111">
        <v>20790</v>
      </c>
    </row>
    <row r="2433" spans="1:39" ht="15" customHeight="1" x14ac:dyDescent="0.25">
      <c r="A2433" s="1409"/>
      <c r="B2433" s="1409"/>
      <c r="C2433" s="1409"/>
      <c r="D2433" s="1409"/>
      <c r="E2433" s="1247"/>
      <c r="F2433" s="1248" t="s">
        <v>3349</v>
      </c>
      <c r="G2433" s="111"/>
      <c r="H2433" s="1249">
        <v>1</v>
      </c>
      <c r="I2433" s="111" t="s">
        <v>1755</v>
      </c>
      <c r="J2433" s="1321" t="s">
        <v>5608</v>
      </c>
      <c r="K2433" s="162" t="s">
        <v>5610</v>
      </c>
      <c r="L2433" s="162" t="s">
        <v>5609</v>
      </c>
      <c r="M2433" s="111">
        <v>1064.8800000000001</v>
      </c>
      <c r="N2433" s="111">
        <v>1064.8800000000001</v>
      </c>
      <c r="O2433" s="111"/>
      <c r="P2433" s="111"/>
      <c r="Q2433" s="111"/>
      <c r="R2433" s="111"/>
      <c r="S2433" s="1249">
        <v>1</v>
      </c>
      <c r="T2433" s="1250">
        <v>354.96000000000004</v>
      </c>
      <c r="U2433" s="1250"/>
      <c r="V2433" s="1250"/>
      <c r="W2433" s="1251">
        <v>0</v>
      </c>
      <c r="X2433" s="1250">
        <v>354.96000000000004</v>
      </c>
      <c r="Y2433" s="1250"/>
      <c r="Z2433" s="1250"/>
      <c r="AA2433" s="1250"/>
      <c r="AB2433" s="1250"/>
      <c r="AC2433" s="1250"/>
      <c r="AD2433" s="1250"/>
      <c r="AE2433" s="1249">
        <v>0</v>
      </c>
      <c r="AF2433" s="1250">
        <v>354.96000000000004</v>
      </c>
      <c r="AG2433" s="111"/>
      <c r="AH2433" s="111"/>
      <c r="AI2433" s="111"/>
      <c r="AJ2433" s="111"/>
      <c r="AK2433" s="111"/>
      <c r="AL2433" s="111"/>
      <c r="AM2433" s="111">
        <v>1064.8800000000001</v>
      </c>
    </row>
    <row r="2434" spans="1:39" ht="15" customHeight="1" x14ac:dyDescent="0.25">
      <c r="A2434" s="1409"/>
      <c r="B2434" s="1409"/>
      <c r="C2434" s="1409"/>
      <c r="D2434" s="1409"/>
      <c r="E2434" s="1247"/>
      <c r="F2434" s="1248" t="s">
        <v>3351</v>
      </c>
      <c r="G2434" s="111"/>
      <c r="H2434" s="1249">
        <v>1</v>
      </c>
      <c r="I2434" s="111" t="s">
        <v>1755</v>
      </c>
      <c r="J2434" s="1321" t="s">
        <v>5608</v>
      </c>
      <c r="K2434" s="162" t="s">
        <v>5610</v>
      </c>
      <c r="L2434" s="162" t="s">
        <v>5609</v>
      </c>
      <c r="M2434" s="111">
        <v>530</v>
      </c>
      <c r="N2434" s="111">
        <v>530</v>
      </c>
      <c r="O2434" s="111"/>
      <c r="P2434" s="111"/>
      <c r="Q2434" s="111"/>
      <c r="R2434" s="111"/>
      <c r="S2434" s="1249">
        <v>1</v>
      </c>
      <c r="T2434" s="1250">
        <v>176.66666666666666</v>
      </c>
      <c r="U2434" s="1250"/>
      <c r="V2434" s="1250"/>
      <c r="W2434" s="1251">
        <v>0</v>
      </c>
      <c r="X2434" s="1250">
        <v>176.66666666666666</v>
      </c>
      <c r="Y2434" s="1250"/>
      <c r="Z2434" s="1250"/>
      <c r="AA2434" s="1250"/>
      <c r="AB2434" s="1250"/>
      <c r="AC2434" s="1250"/>
      <c r="AD2434" s="1250"/>
      <c r="AE2434" s="1249">
        <v>0</v>
      </c>
      <c r="AF2434" s="1250">
        <v>176.66666666666666</v>
      </c>
      <c r="AG2434" s="111"/>
      <c r="AH2434" s="111"/>
      <c r="AI2434" s="111"/>
      <c r="AJ2434" s="111"/>
      <c r="AK2434" s="111"/>
      <c r="AL2434" s="111"/>
      <c r="AM2434" s="111">
        <v>530</v>
      </c>
    </row>
    <row r="2435" spans="1:39" ht="15" customHeight="1" x14ac:dyDescent="0.25">
      <c r="A2435" s="1409"/>
      <c r="B2435" s="1409"/>
      <c r="C2435" s="1409"/>
      <c r="D2435" s="1409"/>
      <c r="E2435" s="1286"/>
      <c r="F2435" s="1248"/>
      <c r="G2435" s="111"/>
      <c r="H2435" s="1249"/>
      <c r="I2435" s="111"/>
      <c r="J2435" s="111"/>
      <c r="K2435" s="111"/>
      <c r="L2435" s="111"/>
      <c r="M2435" s="111"/>
      <c r="N2435" s="111"/>
      <c r="O2435" s="111"/>
      <c r="P2435" s="111"/>
      <c r="Q2435" s="111"/>
      <c r="R2435" s="111"/>
      <c r="S2435" s="1249"/>
      <c r="T2435" s="1250"/>
      <c r="U2435" s="1250"/>
      <c r="V2435" s="1250"/>
      <c r="W2435" s="1251"/>
      <c r="X2435" s="1250"/>
      <c r="Y2435" s="1250"/>
      <c r="Z2435" s="1250"/>
      <c r="AA2435" s="1250"/>
      <c r="AB2435" s="1250"/>
      <c r="AC2435" s="1250"/>
      <c r="AD2435" s="1250"/>
      <c r="AE2435" s="1249"/>
      <c r="AF2435" s="1250"/>
      <c r="AG2435" s="111"/>
      <c r="AH2435" s="111"/>
      <c r="AI2435" s="111"/>
      <c r="AJ2435" s="111"/>
      <c r="AK2435" s="111"/>
      <c r="AL2435" s="111"/>
      <c r="AM2435" s="111"/>
    </row>
    <row r="2436" spans="1:39" ht="15" customHeight="1" x14ac:dyDescent="0.25">
      <c r="A2436" s="1409"/>
      <c r="B2436" s="1409"/>
      <c r="C2436" s="1409"/>
      <c r="D2436" s="1409"/>
      <c r="E2436" s="1218">
        <v>358</v>
      </c>
      <c r="F2436" s="1268" t="s">
        <v>904</v>
      </c>
      <c r="G2436" s="1218"/>
      <c r="H2436" s="1218"/>
      <c r="I2436" s="1218"/>
      <c r="J2436" s="1218"/>
      <c r="K2436" s="1218"/>
      <c r="L2436" s="1218"/>
      <c r="M2436" s="1218"/>
      <c r="N2436" s="1218"/>
      <c r="O2436" s="1218"/>
      <c r="P2436" s="1218"/>
      <c r="Q2436" s="1218"/>
      <c r="R2436" s="1218"/>
      <c r="S2436" s="1218"/>
      <c r="T2436" s="1218"/>
      <c r="U2436" s="1218"/>
      <c r="V2436" s="1218"/>
      <c r="W2436" s="1218"/>
      <c r="X2436" s="1218"/>
      <c r="Y2436" s="1218"/>
      <c r="Z2436" s="1218"/>
      <c r="AA2436" s="1218"/>
      <c r="AB2436" s="1218"/>
      <c r="AC2436" s="1218"/>
      <c r="AD2436" s="1218"/>
      <c r="AE2436" s="1218"/>
      <c r="AF2436" s="1218"/>
      <c r="AG2436" s="1218"/>
      <c r="AH2436" s="1218"/>
      <c r="AI2436" s="1218"/>
      <c r="AJ2436" s="1218"/>
      <c r="AK2436" s="1218"/>
      <c r="AL2436" s="1218"/>
      <c r="AM2436" s="1218"/>
    </row>
    <row r="2437" spans="1:39" ht="15" customHeight="1" x14ac:dyDescent="0.25">
      <c r="A2437" s="1409"/>
      <c r="B2437" s="1409"/>
      <c r="C2437" s="1409"/>
      <c r="D2437" s="1409"/>
      <c r="E2437" s="1247"/>
      <c r="F2437" s="1248"/>
      <c r="G2437" s="111"/>
      <c r="H2437" s="1249"/>
      <c r="I2437" s="111"/>
      <c r="J2437" s="111"/>
      <c r="K2437" s="111"/>
      <c r="L2437" s="111"/>
      <c r="M2437" s="111"/>
      <c r="N2437" s="111"/>
      <c r="O2437" s="111"/>
      <c r="P2437" s="111"/>
      <c r="Q2437" s="111"/>
      <c r="R2437" s="111"/>
      <c r="S2437" s="1249"/>
      <c r="T2437" s="1250"/>
      <c r="U2437" s="1250"/>
      <c r="V2437" s="1250"/>
      <c r="W2437" s="1251"/>
      <c r="X2437" s="1250"/>
      <c r="Y2437" s="1250"/>
      <c r="Z2437" s="1250"/>
      <c r="AA2437" s="1250"/>
      <c r="AB2437" s="1250"/>
      <c r="AC2437" s="1250"/>
      <c r="AD2437" s="1250"/>
      <c r="AE2437" s="1249"/>
      <c r="AF2437" s="1250"/>
      <c r="AG2437" s="111"/>
      <c r="AH2437" s="111"/>
      <c r="AI2437" s="111"/>
      <c r="AJ2437" s="111"/>
      <c r="AK2437" s="111"/>
      <c r="AL2437" s="111"/>
      <c r="AM2437" s="111"/>
    </row>
    <row r="2438" spans="1:39" ht="15" customHeight="1" x14ac:dyDescent="0.25">
      <c r="A2438" s="1409"/>
      <c r="B2438" s="1409"/>
      <c r="C2438" s="1409"/>
      <c r="D2438" s="1409"/>
      <c r="E2438" s="1261">
        <v>35801</v>
      </c>
      <c r="F2438" s="1262" t="s">
        <v>905</v>
      </c>
      <c r="G2438" s="1261"/>
      <c r="H2438" s="1261"/>
      <c r="I2438" s="1261"/>
      <c r="J2438" s="1261"/>
      <c r="K2438" s="1261"/>
      <c r="L2438" s="1261"/>
      <c r="M2438" s="1261"/>
      <c r="N2438" s="1261"/>
      <c r="O2438" s="1261"/>
      <c r="P2438" s="1261"/>
      <c r="Q2438" s="1261"/>
      <c r="R2438" s="1261"/>
      <c r="S2438" s="1261"/>
      <c r="T2438" s="1261"/>
      <c r="U2438" s="1261"/>
      <c r="V2438" s="1261"/>
      <c r="W2438" s="1261"/>
      <c r="X2438" s="1261"/>
      <c r="Y2438" s="1261"/>
      <c r="Z2438" s="1261"/>
      <c r="AA2438" s="1261"/>
      <c r="AB2438" s="1261"/>
      <c r="AC2438" s="1261"/>
      <c r="AD2438" s="1261"/>
      <c r="AE2438" s="1261"/>
      <c r="AF2438" s="1261"/>
      <c r="AG2438" s="1261"/>
      <c r="AH2438" s="1261"/>
      <c r="AI2438" s="1261"/>
      <c r="AJ2438" s="1261"/>
      <c r="AK2438" s="1261"/>
      <c r="AL2438" s="1261"/>
      <c r="AM2438" s="1261"/>
    </row>
    <row r="2439" spans="1:39" ht="15" customHeight="1" x14ac:dyDescent="0.25">
      <c r="A2439" s="1409"/>
      <c r="B2439" s="1409"/>
      <c r="C2439" s="1409"/>
      <c r="D2439" s="1409"/>
      <c r="E2439" s="1286"/>
      <c r="F2439" s="1248" t="s">
        <v>5483</v>
      </c>
      <c r="G2439" s="111"/>
      <c r="H2439" s="1249">
        <v>10</v>
      </c>
      <c r="I2439" s="111" t="s">
        <v>1755</v>
      </c>
      <c r="J2439" s="1321" t="s">
        <v>5608</v>
      </c>
      <c r="K2439" s="162" t="s">
        <v>5610</v>
      </c>
      <c r="L2439" s="162" t="s">
        <v>5609</v>
      </c>
      <c r="M2439" s="111">
        <v>200</v>
      </c>
      <c r="N2439" s="111">
        <v>2000</v>
      </c>
      <c r="O2439" s="111"/>
      <c r="P2439" s="111"/>
      <c r="Q2439" s="111"/>
      <c r="R2439" s="111"/>
      <c r="S2439" s="1249">
        <v>5</v>
      </c>
      <c r="T2439" s="1250">
        <v>666.66666666666663</v>
      </c>
      <c r="U2439" s="1250"/>
      <c r="V2439" s="1250"/>
      <c r="W2439" s="1251">
        <v>5</v>
      </c>
      <c r="X2439" s="1250">
        <v>666.66666666666663</v>
      </c>
      <c r="Y2439" s="1250"/>
      <c r="Z2439" s="1250"/>
      <c r="AA2439" s="1250"/>
      <c r="AB2439" s="1250"/>
      <c r="AC2439" s="1250"/>
      <c r="AD2439" s="1250"/>
      <c r="AE2439" s="1249">
        <v>0</v>
      </c>
      <c r="AF2439" s="1250">
        <v>666.66666666666663</v>
      </c>
      <c r="AG2439" s="111"/>
      <c r="AH2439" s="111"/>
      <c r="AI2439" s="111"/>
      <c r="AJ2439" s="111"/>
      <c r="AK2439" s="111"/>
      <c r="AL2439" s="111"/>
      <c r="AM2439" s="111">
        <v>2000</v>
      </c>
    </row>
    <row r="2440" spans="1:39" ht="15" customHeight="1" x14ac:dyDescent="0.25">
      <c r="A2440" s="1409"/>
      <c r="B2440" s="1409"/>
      <c r="C2440" s="1409"/>
      <c r="D2440" s="1409"/>
      <c r="E2440" s="1286"/>
      <c r="F2440" s="1248"/>
      <c r="G2440" s="111"/>
      <c r="H2440" s="1249"/>
      <c r="I2440" s="111"/>
      <c r="J2440" s="111"/>
      <c r="K2440" s="111"/>
      <c r="L2440" s="111"/>
      <c r="M2440" s="111"/>
      <c r="N2440" s="111"/>
      <c r="O2440" s="111"/>
      <c r="P2440" s="111"/>
      <c r="Q2440" s="111"/>
      <c r="R2440" s="111"/>
      <c r="S2440" s="1249"/>
      <c r="T2440" s="1250"/>
      <c r="U2440" s="1250"/>
      <c r="V2440" s="1250"/>
      <c r="W2440" s="1251"/>
      <c r="X2440" s="1250"/>
      <c r="Y2440" s="1250"/>
      <c r="Z2440" s="1250"/>
      <c r="AA2440" s="1250"/>
      <c r="AB2440" s="1250"/>
      <c r="AC2440" s="1250"/>
      <c r="AD2440" s="1250"/>
      <c r="AE2440" s="1249"/>
      <c r="AF2440" s="1250"/>
      <c r="AG2440" s="111"/>
      <c r="AH2440" s="111"/>
      <c r="AI2440" s="111"/>
      <c r="AJ2440" s="111"/>
      <c r="AK2440" s="111"/>
      <c r="AL2440" s="111"/>
      <c r="AM2440" s="111"/>
    </row>
    <row r="2441" spans="1:39" ht="15" customHeight="1" x14ac:dyDescent="0.25">
      <c r="A2441" s="1409"/>
      <c r="B2441" s="1409"/>
      <c r="C2441" s="1409"/>
      <c r="D2441" s="1409"/>
      <c r="E2441" s="1261">
        <v>35802</v>
      </c>
      <c r="F2441" s="1262" t="s">
        <v>906</v>
      </c>
      <c r="G2441" s="1261"/>
      <c r="H2441" s="1261"/>
      <c r="I2441" s="1261"/>
      <c r="J2441" s="1261"/>
      <c r="K2441" s="1261"/>
      <c r="L2441" s="1261"/>
      <c r="M2441" s="1261"/>
      <c r="N2441" s="1261"/>
      <c r="O2441" s="1261"/>
      <c r="P2441" s="1261"/>
      <c r="Q2441" s="1261"/>
      <c r="R2441" s="1261"/>
      <c r="S2441" s="1261"/>
      <c r="T2441" s="1261"/>
      <c r="U2441" s="1261"/>
      <c r="V2441" s="1261"/>
      <c r="W2441" s="1261"/>
      <c r="X2441" s="1261"/>
      <c r="Y2441" s="1261"/>
      <c r="Z2441" s="1261"/>
      <c r="AA2441" s="1261"/>
      <c r="AB2441" s="1261"/>
      <c r="AC2441" s="1261"/>
      <c r="AD2441" s="1261"/>
      <c r="AE2441" s="1261"/>
      <c r="AF2441" s="1261"/>
      <c r="AG2441" s="1261"/>
      <c r="AH2441" s="1261"/>
      <c r="AI2441" s="1261"/>
      <c r="AJ2441" s="1261"/>
      <c r="AK2441" s="1261"/>
      <c r="AL2441" s="1261"/>
      <c r="AM2441" s="1261"/>
    </row>
    <row r="2442" spans="1:39" ht="15" customHeight="1" x14ac:dyDescent="0.25">
      <c r="A2442" s="1409"/>
      <c r="B2442" s="1409"/>
      <c r="C2442" s="1409"/>
      <c r="D2442" s="1409"/>
      <c r="E2442" s="1286"/>
      <c r="F2442" s="1248" t="s">
        <v>3353</v>
      </c>
      <c r="G2442" s="111"/>
      <c r="H2442" s="1249">
        <v>2</v>
      </c>
      <c r="I2442" s="111" t="s">
        <v>1755</v>
      </c>
      <c r="J2442" s="1321" t="s">
        <v>5608</v>
      </c>
      <c r="K2442" s="162" t="s">
        <v>5610</v>
      </c>
      <c r="L2442" s="162" t="s">
        <v>5609</v>
      </c>
      <c r="M2442" s="111">
        <v>1000</v>
      </c>
      <c r="N2442" s="111">
        <v>2000</v>
      </c>
      <c r="O2442" s="111"/>
      <c r="P2442" s="111"/>
      <c r="Q2442" s="111"/>
      <c r="R2442" s="111"/>
      <c r="S2442" s="1249">
        <v>2</v>
      </c>
      <c r="T2442" s="1250">
        <v>666.66666666666663</v>
      </c>
      <c r="U2442" s="1250"/>
      <c r="V2442" s="1250"/>
      <c r="W2442" s="1251">
        <v>0</v>
      </c>
      <c r="X2442" s="1250">
        <v>666.66666666666663</v>
      </c>
      <c r="Y2442" s="1250"/>
      <c r="Z2442" s="1250"/>
      <c r="AA2442" s="1250"/>
      <c r="AB2442" s="1250"/>
      <c r="AC2442" s="1250"/>
      <c r="AD2442" s="1250"/>
      <c r="AE2442" s="1249">
        <v>0</v>
      </c>
      <c r="AF2442" s="1250">
        <v>666.66666666666663</v>
      </c>
      <c r="AG2442" s="111"/>
      <c r="AH2442" s="111"/>
      <c r="AI2442" s="111"/>
      <c r="AJ2442" s="111"/>
      <c r="AK2442" s="111"/>
      <c r="AL2442" s="111"/>
      <c r="AM2442" s="111">
        <v>2000</v>
      </c>
    </row>
    <row r="2443" spans="1:39" ht="15" customHeight="1" x14ac:dyDescent="0.25">
      <c r="A2443" s="1409"/>
      <c r="B2443" s="1409"/>
      <c r="C2443" s="1409"/>
      <c r="D2443" s="1409"/>
      <c r="E2443" s="1286"/>
      <c r="F2443" s="1248"/>
      <c r="G2443" s="111"/>
      <c r="H2443" s="1249"/>
      <c r="I2443" s="111"/>
      <c r="J2443" s="111"/>
      <c r="K2443" s="111"/>
      <c r="L2443" s="111"/>
      <c r="M2443" s="111"/>
      <c r="N2443" s="111"/>
      <c r="O2443" s="111"/>
      <c r="P2443" s="111"/>
      <c r="Q2443" s="111"/>
      <c r="R2443" s="111"/>
      <c r="S2443" s="1249"/>
      <c r="T2443" s="1250"/>
      <c r="U2443" s="1250"/>
      <c r="V2443" s="1250"/>
      <c r="W2443" s="1251"/>
      <c r="X2443" s="1250"/>
      <c r="Y2443" s="1250"/>
      <c r="Z2443" s="1250"/>
      <c r="AA2443" s="1250"/>
      <c r="AB2443" s="1250"/>
      <c r="AC2443" s="1250"/>
      <c r="AD2443" s="1250"/>
      <c r="AE2443" s="1249"/>
      <c r="AF2443" s="1250"/>
      <c r="AG2443" s="111"/>
      <c r="AH2443" s="111"/>
      <c r="AI2443" s="111"/>
      <c r="AJ2443" s="111"/>
      <c r="AK2443" s="111"/>
      <c r="AL2443" s="111"/>
      <c r="AM2443" s="111"/>
    </row>
    <row r="2444" spans="1:39" ht="15" customHeight="1" x14ac:dyDescent="0.25">
      <c r="A2444" s="1409"/>
      <c r="B2444" s="1409"/>
      <c r="C2444" s="1409"/>
      <c r="D2444" s="1409"/>
      <c r="E2444" s="1218">
        <v>359</v>
      </c>
      <c r="F2444" s="1268" t="s">
        <v>907</v>
      </c>
      <c r="G2444" s="1218"/>
      <c r="H2444" s="1218"/>
      <c r="I2444" s="1218"/>
      <c r="J2444" s="1218"/>
      <c r="K2444" s="1218"/>
      <c r="L2444" s="1218"/>
      <c r="M2444" s="1218"/>
      <c r="N2444" s="1218"/>
      <c r="O2444" s="1218"/>
      <c r="P2444" s="1218"/>
      <c r="Q2444" s="1218"/>
      <c r="R2444" s="1218"/>
      <c r="S2444" s="1218"/>
      <c r="T2444" s="1218"/>
      <c r="U2444" s="1218"/>
      <c r="V2444" s="1218"/>
      <c r="W2444" s="1218"/>
      <c r="X2444" s="1218"/>
      <c r="Y2444" s="1218"/>
      <c r="Z2444" s="1218"/>
      <c r="AA2444" s="1218"/>
      <c r="AB2444" s="1218"/>
      <c r="AC2444" s="1218"/>
      <c r="AD2444" s="1218"/>
      <c r="AE2444" s="1218"/>
      <c r="AF2444" s="1218"/>
      <c r="AG2444" s="1218"/>
      <c r="AH2444" s="1218"/>
      <c r="AI2444" s="1218"/>
      <c r="AJ2444" s="1218"/>
      <c r="AK2444" s="1218"/>
      <c r="AL2444" s="1218"/>
      <c r="AM2444" s="1218"/>
    </row>
    <row r="2445" spans="1:39" ht="15" customHeight="1" x14ac:dyDescent="0.25">
      <c r="A2445" s="1409"/>
      <c r="B2445" s="1409"/>
      <c r="C2445" s="1409"/>
      <c r="D2445" s="1409"/>
      <c r="E2445" s="1247"/>
      <c r="F2445" s="1248"/>
      <c r="G2445" s="111"/>
      <c r="H2445" s="1249"/>
      <c r="I2445" s="111"/>
      <c r="J2445" s="111"/>
      <c r="K2445" s="111"/>
      <c r="L2445" s="111"/>
      <c r="M2445" s="111"/>
      <c r="N2445" s="111"/>
      <c r="O2445" s="111"/>
      <c r="P2445" s="111"/>
      <c r="Q2445" s="111"/>
      <c r="R2445" s="111"/>
      <c r="S2445" s="1249"/>
      <c r="T2445" s="1250"/>
      <c r="U2445" s="1250"/>
      <c r="V2445" s="1250"/>
      <c r="W2445" s="1251"/>
      <c r="X2445" s="1250"/>
      <c r="Y2445" s="1250"/>
      <c r="Z2445" s="1250"/>
      <c r="AA2445" s="1250"/>
      <c r="AB2445" s="1250"/>
      <c r="AC2445" s="1250"/>
      <c r="AD2445" s="1250"/>
      <c r="AE2445" s="1249"/>
      <c r="AF2445" s="1250"/>
      <c r="AG2445" s="111"/>
      <c r="AH2445" s="111"/>
      <c r="AI2445" s="111"/>
      <c r="AJ2445" s="111"/>
      <c r="AK2445" s="111"/>
      <c r="AL2445" s="111"/>
      <c r="AM2445" s="111"/>
    </row>
    <row r="2446" spans="1:39" ht="15" customHeight="1" x14ac:dyDescent="0.25">
      <c r="A2446" s="1409"/>
      <c r="B2446" s="1409"/>
      <c r="C2446" s="1409"/>
      <c r="D2446" s="1409"/>
      <c r="E2446" s="1261">
        <v>35901</v>
      </c>
      <c r="F2446" s="1262" t="s">
        <v>908</v>
      </c>
      <c r="G2446" s="1261"/>
      <c r="H2446" s="1261"/>
      <c r="I2446" s="1261"/>
      <c r="J2446" s="1261"/>
      <c r="K2446" s="1261"/>
      <c r="L2446" s="1261"/>
      <c r="M2446" s="1261"/>
      <c r="N2446" s="1261"/>
      <c r="O2446" s="1261"/>
      <c r="P2446" s="1261"/>
      <c r="Q2446" s="1261"/>
      <c r="R2446" s="1261"/>
      <c r="S2446" s="1261"/>
      <c r="T2446" s="1261"/>
      <c r="U2446" s="1261"/>
      <c r="V2446" s="1261"/>
      <c r="W2446" s="1261"/>
      <c r="X2446" s="1261"/>
      <c r="Y2446" s="1261"/>
      <c r="Z2446" s="1261"/>
      <c r="AA2446" s="1261"/>
      <c r="AB2446" s="1261"/>
      <c r="AC2446" s="1261"/>
      <c r="AD2446" s="1261"/>
      <c r="AE2446" s="1261"/>
      <c r="AF2446" s="1261"/>
      <c r="AG2446" s="1261"/>
      <c r="AH2446" s="1261"/>
      <c r="AI2446" s="1261"/>
      <c r="AJ2446" s="1261"/>
      <c r="AK2446" s="1261"/>
      <c r="AL2446" s="1261"/>
      <c r="AM2446" s="1261"/>
    </row>
    <row r="2447" spans="1:39" ht="15" customHeight="1" x14ac:dyDescent="0.25">
      <c r="A2447" s="1409"/>
      <c r="B2447" s="1409"/>
      <c r="C2447" s="1409"/>
      <c r="D2447" s="1409"/>
      <c r="E2447" s="1247"/>
      <c r="F2447" s="1248" t="s">
        <v>5484</v>
      </c>
      <c r="G2447" s="111"/>
      <c r="H2447" s="1249">
        <v>10000</v>
      </c>
      <c r="I2447" s="111" t="s">
        <v>1721</v>
      </c>
      <c r="J2447" s="1321" t="s">
        <v>5608</v>
      </c>
      <c r="K2447" s="162" t="s">
        <v>5610</v>
      </c>
      <c r="L2447" s="162" t="s">
        <v>5609</v>
      </c>
      <c r="M2447" s="111">
        <v>4</v>
      </c>
      <c r="N2447" s="111">
        <v>40000</v>
      </c>
      <c r="O2447" s="111"/>
      <c r="P2447" s="111"/>
      <c r="Q2447" s="111"/>
      <c r="R2447" s="111"/>
      <c r="S2447" s="1249">
        <v>4000</v>
      </c>
      <c r="T2447" s="1250">
        <v>13333.333333333334</v>
      </c>
      <c r="U2447" s="1250"/>
      <c r="V2447" s="1250"/>
      <c r="W2447" s="1251">
        <v>3000</v>
      </c>
      <c r="X2447" s="1250">
        <v>13333.333333333334</v>
      </c>
      <c r="Y2447" s="1250"/>
      <c r="Z2447" s="1250"/>
      <c r="AA2447" s="1250"/>
      <c r="AB2447" s="1250"/>
      <c r="AC2447" s="1250"/>
      <c r="AD2447" s="1250"/>
      <c r="AE2447" s="1249">
        <v>3000</v>
      </c>
      <c r="AF2447" s="1250">
        <v>13333.333333333334</v>
      </c>
      <c r="AG2447" s="111"/>
      <c r="AH2447" s="111"/>
      <c r="AI2447" s="111"/>
      <c r="AJ2447" s="111"/>
      <c r="AK2447" s="111"/>
      <c r="AL2447" s="111"/>
      <c r="AM2447" s="111">
        <v>40000</v>
      </c>
    </row>
    <row r="2448" spans="1:39" ht="15" customHeight="1" x14ac:dyDescent="0.25">
      <c r="A2448" s="1409"/>
      <c r="B2448" s="1409"/>
      <c r="C2448" s="1409"/>
      <c r="D2448" s="1409"/>
      <c r="E2448" s="1247"/>
      <c r="F2448" s="1248" t="s">
        <v>5485</v>
      </c>
      <c r="G2448" s="111"/>
      <c r="H2448" s="1249">
        <v>2</v>
      </c>
      <c r="I2448" s="111" t="s">
        <v>1755</v>
      </c>
      <c r="J2448" s="1321" t="s">
        <v>5608</v>
      </c>
      <c r="K2448" s="162" t="s">
        <v>5610</v>
      </c>
      <c r="L2448" s="162" t="s">
        <v>5609</v>
      </c>
      <c r="M2448" s="111">
        <v>17438.975999999999</v>
      </c>
      <c r="N2448" s="111">
        <v>34877.951999999997</v>
      </c>
      <c r="O2448" s="111"/>
      <c r="P2448" s="111"/>
      <c r="Q2448" s="111"/>
      <c r="R2448" s="111"/>
      <c r="S2448" s="1249">
        <v>2</v>
      </c>
      <c r="T2448" s="1250">
        <v>11625.983999999999</v>
      </c>
      <c r="U2448" s="1250"/>
      <c r="V2448" s="1250"/>
      <c r="W2448" s="1251">
        <v>0</v>
      </c>
      <c r="X2448" s="1250">
        <v>11625.983999999999</v>
      </c>
      <c r="Y2448" s="1250"/>
      <c r="Z2448" s="1250"/>
      <c r="AA2448" s="1250"/>
      <c r="AB2448" s="1250"/>
      <c r="AC2448" s="1250"/>
      <c r="AD2448" s="1250"/>
      <c r="AE2448" s="1249">
        <v>0</v>
      </c>
      <c r="AF2448" s="1250">
        <v>11625.983999999999</v>
      </c>
      <c r="AG2448" s="111"/>
      <c r="AH2448" s="111"/>
      <c r="AI2448" s="111"/>
      <c r="AJ2448" s="111"/>
      <c r="AK2448" s="111"/>
      <c r="AL2448" s="111"/>
      <c r="AM2448" s="111">
        <v>34877.951999999997</v>
      </c>
    </row>
    <row r="2449" spans="1:39" ht="15" customHeight="1" x14ac:dyDescent="0.25">
      <c r="A2449" s="1409"/>
      <c r="B2449" s="1409"/>
      <c r="C2449" s="1409"/>
      <c r="D2449" s="1409"/>
      <c r="E2449" s="1291"/>
      <c r="F2449" s="1248" t="s">
        <v>5486</v>
      </c>
      <c r="G2449" s="111"/>
      <c r="H2449" s="1249">
        <v>13</v>
      </c>
      <c r="I2449" s="111" t="s">
        <v>1755</v>
      </c>
      <c r="J2449" s="1321" t="s">
        <v>5608</v>
      </c>
      <c r="K2449" s="162" t="s">
        <v>5610</v>
      </c>
      <c r="L2449" s="162" t="s">
        <v>5609</v>
      </c>
      <c r="M2449" s="111">
        <v>2422.3430769230768</v>
      </c>
      <c r="N2449" s="111">
        <v>31490.46</v>
      </c>
      <c r="O2449" s="111"/>
      <c r="P2449" s="111"/>
      <c r="Q2449" s="111"/>
      <c r="R2449" s="111"/>
      <c r="S2449" s="1249">
        <v>5</v>
      </c>
      <c r="T2449" s="1250">
        <v>10496.82</v>
      </c>
      <c r="U2449" s="1250"/>
      <c r="V2449" s="1250"/>
      <c r="W2449" s="1251">
        <v>5</v>
      </c>
      <c r="X2449" s="1250">
        <v>10496.82</v>
      </c>
      <c r="Y2449" s="1250"/>
      <c r="Z2449" s="1250"/>
      <c r="AA2449" s="1250"/>
      <c r="AB2449" s="1250"/>
      <c r="AC2449" s="1250"/>
      <c r="AD2449" s="1250"/>
      <c r="AE2449" s="1249">
        <v>3</v>
      </c>
      <c r="AF2449" s="1250">
        <v>10496.82</v>
      </c>
      <c r="AG2449" s="111"/>
      <c r="AH2449" s="111"/>
      <c r="AI2449" s="111"/>
      <c r="AJ2449" s="111"/>
      <c r="AK2449" s="111"/>
      <c r="AL2449" s="111"/>
      <c r="AM2449" s="111">
        <v>31490.46</v>
      </c>
    </row>
    <row r="2450" spans="1:39" ht="15" customHeight="1" x14ac:dyDescent="0.25">
      <c r="A2450" s="1409"/>
      <c r="B2450" s="1409"/>
      <c r="C2450" s="1409"/>
      <c r="D2450" s="1409"/>
      <c r="E2450" s="1291"/>
      <c r="F2450" s="1248" t="s">
        <v>5487</v>
      </c>
      <c r="G2450" s="111"/>
      <c r="H2450" s="1249">
        <v>4</v>
      </c>
      <c r="I2450" s="111" t="s">
        <v>1755</v>
      </c>
      <c r="J2450" s="1321" t="s">
        <v>5608</v>
      </c>
      <c r="K2450" s="162" t="s">
        <v>5610</v>
      </c>
      <c r="L2450" s="162" t="s">
        <v>5609</v>
      </c>
      <c r="M2450" s="111">
        <v>2500</v>
      </c>
      <c r="N2450" s="111">
        <v>10000</v>
      </c>
      <c r="O2450" s="111"/>
      <c r="P2450" s="111"/>
      <c r="Q2450" s="111"/>
      <c r="R2450" s="111"/>
      <c r="S2450" s="1249">
        <v>2</v>
      </c>
      <c r="T2450" s="1250">
        <v>3333.3333333333335</v>
      </c>
      <c r="U2450" s="1250"/>
      <c r="V2450" s="1250"/>
      <c r="W2450" s="1251">
        <v>1</v>
      </c>
      <c r="X2450" s="1250">
        <v>3333.3333333333335</v>
      </c>
      <c r="Y2450" s="1250"/>
      <c r="Z2450" s="1250"/>
      <c r="AA2450" s="1250"/>
      <c r="AB2450" s="1250"/>
      <c r="AC2450" s="1250"/>
      <c r="AD2450" s="1250"/>
      <c r="AE2450" s="1249">
        <v>1</v>
      </c>
      <c r="AF2450" s="1250">
        <v>3333.3333333333335</v>
      </c>
      <c r="AG2450" s="111"/>
      <c r="AH2450" s="111"/>
      <c r="AI2450" s="111"/>
      <c r="AJ2450" s="111"/>
      <c r="AK2450" s="111"/>
      <c r="AL2450" s="111"/>
      <c r="AM2450" s="111">
        <v>10000</v>
      </c>
    </row>
    <row r="2451" spans="1:39" ht="15" customHeight="1" x14ac:dyDescent="0.25">
      <c r="A2451" s="1409"/>
      <c r="B2451" s="1409"/>
      <c r="C2451" s="1409"/>
      <c r="D2451" s="1409"/>
      <c r="E2451" s="1291"/>
      <c r="F2451" s="1248" t="s">
        <v>5488</v>
      </c>
      <c r="G2451" s="111"/>
      <c r="H2451" s="1249">
        <v>12</v>
      </c>
      <c r="I2451" s="111" t="s">
        <v>1755</v>
      </c>
      <c r="J2451" s="1321" t="s">
        <v>5608</v>
      </c>
      <c r="K2451" s="162" t="s">
        <v>5610</v>
      </c>
      <c r="L2451" s="162" t="s">
        <v>5609</v>
      </c>
      <c r="M2451" s="111">
        <v>1750</v>
      </c>
      <c r="N2451" s="111">
        <v>21000</v>
      </c>
      <c r="O2451" s="111"/>
      <c r="P2451" s="111"/>
      <c r="Q2451" s="111"/>
      <c r="R2451" s="111"/>
      <c r="S2451" s="1249">
        <v>5</v>
      </c>
      <c r="T2451" s="1250">
        <v>7000</v>
      </c>
      <c r="U2451" s="1250"/>
      <c r="V2451" s="1250"/>
      <c r="W2451" s="1251">
        <v>5</v>
      </c>
      <c r="X2451" s="1250">
        <v>7000</v>
      </c>
      <c r="Y2451" s="1250"/>
      <c r="Z2451" s="1250"/>
      <c r="AA2451" s="1250"/>
      <c r="AB2451" s="1250"/>
      <c r="AC2451" s="1250"/>
      <c r="AD2451" s="1250"/>
      <c r="AE2451" s="1249">
        <v>2</v>
      </c>
      <c r="AF2451" s="1250">
        <v>7000</v>
      </c>
      <c r="AG2451" s="111"/>
      <c r="AH2451" s="111"/>
      <c r="AI2451" s="111"/>
      <c r="AJ2451" s="111"/>
      <c r="AK2451" s="111"/>
      <c r="AL2451" s="111"/>
      <c r="AM2451" s="111">
        <v>21000</v>
      </c>
    </row>
    <row r="2452" spans="1:39" ht="15" customHeight="1" x14ac:dyDescent="0.25">
      <c r="A2452" s="1409"/>
      <c r="B2452" s="1409"/>
      <c r="C2452" s="1409"/>
      <c r="D2452" s="1409"/>
      <c r="E2452" s="1291"/>
      <c r="F2452" s="1248"/>
      <c r="G2452" s="111"/>
      <c r="H2452" s="1249"/>
      <c r="I2452" s="111"/>
      <c r="J2452" s="111"/>
      <c r="K2452" s="111"/>
      <c r="L2452" s="111"/>
      <c r="M2452" s="111"/>
      <c r="N2452" s="111"/>
      <c r="O2452" s="111"/>
      <c r="P2452" s="111"/>
      <c r="Q2452" s="111"/>
      <c r="R2452" s="111"/>
      <c r="S2452" s="1249"/>
      <c r="T2452" s="1250"/>
      <c r="U2452" s="1250"/>
      <c r="V2452" s="1250"/>
      <c r="W2452" s="1251"/>
      <c r="X2452" s="1250"/>
      <c r="Y2452" s="1250"/>
      <c r="Z2452" s="1250"/>
      <c r="AA2452" s="1250"/>
      <c r="AB2452" s="1250"/>
      <c r="AC2452" s="1250"/>
      <c r="AD2452" s="1250"/>
      <c r="AE2452" s="1249"/>
      <c r="AF2452" s="1250"/>
      <c r="AG2452" s="111"/>
      <c r="AH2452" s="111"/>
      <c r="AI2452" s="111"/>
      <c r="AJ2452" s="111"/>
      <c r="AK2452" s="111"/>
      <c r="AL2452" s="111"/>
      <c r="AM2452" s="111"/>
    </row>
    <row r="2453" spans="1:39" ht="36" customHeight="1" x14ac:dyDescent="0.25">
      <c r="A2453" s="1409"/>
      <c r="B2453" s="1409"/>
      <c r="C2453" s="1409"/>
      <c r="D2453" s="1409"/>
      <c r="E2453" s="1204">
        <v>3600</v>
      </c>
      <c r="F2453" s="1274" t="s">
        <v>909</v>
      </c>
      <c r="G2453" s="1204"/>
      <c r="H2453" s="1204"/>
      <c r="I2453" s="1204"/>
      <c r="J2453" s="1204"/>
      <c r="K2453" s="1204"/>
      <c r="L2453" s="1204"/>
      <c r="M2453" s="1204"/>
      <c r="N2453" s="1204"/>
      <c r="O2453" s="1204"/>
      <c r="P2453" s="1204"/>
      <c r="Q2453" s="1204"/>
      <c r="R2453" s="1204"/>
      <c r="S2453" s="1204"/>
      <c r="T2453" s="1204"/>
      <c r="U2453" s="1204"/>
      <c r="V2453" s="1204"/>
      <c r="W2453" s="1204"/>
      <c r="X2453" s="1204"/>
      <c r="Y2453" s="1204"/>
      <c r="Z2453" s="1204"/>
      <c r="AA2453" s="1204"/>
      <c r="AB2453" s="1204"/>
      <c r="AC2453" s="1204"/>
      <c r="AD2453" s="1204"/>
      <c r="AE2453" s="1204"/>
      <c r="AF2453" s="1204"/>
      <c r="AG2453" s="1204"/>
      <c r="AH2453" s="1204"/>
      <c r="AI2453" s="1204"/>
      <c r="AJ2453" s="1204"/>
      <c r="AK2453" s="1204"/>
      <c r="AL2453" s="1204"/>
      <c r="AM2453" s="1204"/>
    </row>
    <row r="2454" spans="1:39" ht="15" customHeight="1" x14ac:dyDescent="0.25">
      <c r="A2454" s="1409"/>
      <c r="B2454" s="1409"/>
      <c r="C2454" s="1409"/>
      <c r="D2454" s="1409"/>
      <c r="E2454" s="1218">
        <v>361</v>
      </c>
      <c r="F2454" s="1268" t="s">
        <v>910</v>
      </c>
      <c r="G2454" s="1218"/>
      <c r="H2454" s="1218"/>
      <c r="I2454" s="1218"/>
      <c r="J2454" s="1218"/>
      <c r="K2454" s="1218"/>
      <c r="L2454" s="1218"/>
      <c r="M2454" s="1218"/>
      <c r="N2454" s="1218"/>
      <c r="O2454" s="1218"/>
      <c r="P2454" s="1218"/>
      <c r="Q2454" s="1218"/>
      <c r="R2454" s="1218"/>
      <c r="S2454" s="1218"/>
      <c r="T2454" s="1218"/>
      <c r="U2454" s="1218"/>
      <c r="V2454" s="1218"/>
      <c r="W2454" s="1218"/>
      <c r="X2454" s="1218"/>
      <c r="Y2454" s="1218"/>
      <c r="Z2454" s="1218"/>
      <c r="AA2454" s="1218"/>
      <c r="AB2454" s="1218"/>
      <c r="AC2454" s="1218"/>
      <c r="AD2454" s="1218"/>
      <c r="AE2454" s="1218"/>
      <c r="AF2454" s="1218"/>
      <c r="AG2454" s="1218"/>
      <c r="AH2454" s="1218"/>
      <c r="AI2454" s="1218"/>
      <c r="AJ2454" s="1218"/>
      <c r="AK2454" s="1218"/>
      <c r="AL2454" s="1218"/>
      <c r="AM2454" s="1218"/>
    </row>
    <row r="2455" spans="1:39" ht="15" customHeight="1" x14ac:dyDescent="0.25">
      <c r="A2455" s="1409"/>
      <c r="B2455" s="1409"/>
      <c r="C2455" s="1409"/>
      <c r="D2455" s="1409"/>
      <c r="E2455" s="1267"/>
      <c r="F2455" s="1248"/>
      <c r="G2455" s="111"/>
      <c r="H2455" s="1249"/>
      <c r="I2455" s="111"/>
      <c r="J2455" s="111"/>
      <c r="K2455" s="111"/>
      <c r="L2455" s="111"/>
      <c r="M2455" s="111"/>
      <c r="N2455" s="111"/>
      <c r="O2455" s="111"/>
      <c r="P2455" s="111"/>
      <c r="Q2455" s="111"/>
      <c r="R2455" s="111"/>
      <c r="S2455" s="1249"/>
      <c r="T2455" s="1250"/>
      <c r="U2455" s="1250"/>
      <c r="V2455" s="1250"/>
      <c r="W2455" s="1251"/>
      <c r="X2455" s="1250"/>
      <c r="Y2455" s="1250"/>
      <c r="Z2455" s="1250"/>
      <c r="AA2455" s="1250"/>
      <c r="AB2455" s="1250"/>
      <c r="AC2455" s="1250"/>
      <c r="AD2455" s="1250"/>
      <c r="AE2455" s="1249"/>
      <c r="AF2455" s="1250"/>
      <c r="AG2455" s="111"/>
      <c r="AH2455" s="111"/>
      <c r="AI2455" s="111"/>
      <c r="AJ2455" s="111"/>
      <c r="AK2455" s="111"/>
      <c r="AL2455" s="111"/>
      <c r="AM2455" s="111"/>
    </row>
    <row r="2456" spans="1:39" ht="15" customHeight="1" x14ac:dyDescent="0.25">
      <c r="A2456" s="1409"/>
      <c r="B2456" s="1409"/>
      <c r="C2456" s="1409"/>
      <c r="D2456" s="1409"/>
      <c r="E2456" s="1299">
        <v>36101</v>
      </c>
      <c r="F2456" s="1262" t="s">
        <v>910</v>
      </c>
      <c r="G2456" s="1261"/>
      <c r="H2456" s="1261"/>
      <c r="I2456" s="1261"/>
      <c r="J2456" s="1261"/>
      <c r="K2456" s="1261"/>
      <c r="L2456" s="1261"/>
      <c r="M2456" s="1261"/>
      <c r="N2456" s="1261"/>
      <c r="O2456" s="1261"/>
      <c r="P2456" s="1261"/>
      <c r="Q2456" s="1261"/>
      <c r="R2456" s="1261"/>
      <c r="S2456" s="1261"/>
      <c r="T2456" s="1261"/>
      <c r="U2456" s="1261"/>
      <c r="V2456" s="1261"/>
      <c r="W2456" s="1261"/>
      <c r="X2456" s="1261"/>
      <c r="Y2456" s="1261"/>
      <c r="Z2456" s="1261"/>
      <c r="AA2456" s="1261"/>
      <c r="AB2456" s="1261"/>
      <c r="AC2456" s="1261"/>
      <c r="AD2456" s="1261"/>
      <c r="AE2456" s="1261"/>
      <c r="AF2456" s="1261"/>
      <c r="AG2456" s="1261"/>
      <c r="AH2456" s="1261"/>
      <c r="AI2456" s="1261"/>
      <c r="AJ2456" s="1261"/>
      <c r="AK2456" s="1261"/>
      <c r="AL2456" s="1261"/>
      <c r="AM2456" s="1261"/>
    </row>
    <row r="2457" spans="1:39" ht="15" customHeight="1" x14ac:dyDescent="0.25">
      <c r="A2457" s="1409"/>
      <c r="B2457" s="1409"/>
      <c r="C2457" s="1409"/>
      <c r="D2457" s="1409"/>
      <c r="E2457" s="1247"/>
      <c r="F2457" s="1248" t="s">
        <v>2828</v>
      </c>
      <c r="G2457" s="111"/>
      <c r="H2457" s="1249">
        <v>1</v>
      </c>
      <c r="I2457" s="111" t="s">
        <v>1826</v>
      </c>
      <c r="J2457" s="1321" t="s">
        <v>5608</v>
      </c>
      <c r="K2457" s="162" t="s">
        <v>5610</v>
      </c>
      <c r="L2457" s="162" t="s">
        <v>5609</v>
      </c>
      <c r="M2457" s="111">
        <v>2088</v>
      </c>
      <c r="N2457" s="111">
        <v>2088</v>
      </c>
      <c r="O2457" s="111"/>
      <c r="P2457" s="111"/>
      <c r="Q2457" s="111"/>
      <c r="R2457" s="111"/>
      <c r="S2457" s="1249">
        <v>1</v>
      </c>
      <c r="T2457" s="1250">
        <v>696</v>
      </c>
      <c r="U2457" s="1250"/>
      <c r="V2457" s="1250"/>
      <c r="W2457" s="1251">
        <v>0</v>
      </c>
      <c r="X2457" s="1250">
        <v>696</v>
      </c>
      <c r="Y2457" s="1250"/>
      <c r="Z2457" s="1250"/>
      <c r="AA2457" s="1250"/>
      <c r="AB2457" s="1250"/>
      <c r="AC2457" s="1250"/>
      <c r="AD2457" s="1250"/>
      <c r="AE2457" s="1249">
        <v>0</v>
      </c>
      <c r="AF2457" s="1250">
        <v>696</v>
      </c>
      <c r="AG2457" s="111"/>
      <c r="AH2457" s="111"/>
      <c r="AI2457" s="111"/>
      <c r="AJ2457" s="111"/>
      <c r="AK2457" s="111"/>
      <c r="AL2457" s="111"/>
      <c r="AM2457" s="111">
        <v>2088</v>
      </c>
    </row>
    <row r="2458" spans="1:39" ht="15" customHeight="1" x14ac:dyDescent="0.25">
      <c r="A2458" s="1409"/>
      <c r="B2458" s="1409"/>
      <c r="C2458" s="1409"/>
      <c r="D2458" s="1409"/>
      <c r="E2458" s="1247"/>
      <c r="F2458" s="1248" t="s">
        <v>2829</v>
      </c>
      <c r="G2458" s="111"/>
      <c r="H2458" s="1249">
        <v>2</v>
      </c>
      <c r="I2458" s="111" t="s">
        <v>2831</v>
      </c>
      <c r="J2458" s="1321" t="s">
        <v>5608</v>
      </c>
      <c r="K2458" s="162" t="s">
        <v>5610</v>
      </c>
      <c r="L2458" s="162" t="s">
        <v>5609</v>
      </c>
      <c r="M2458" s="111">
        <v>927.99999999999989</v>
      </c>
      <c r="N2458" s="111">
        <v>1855.9999999999998</v>
      </c>
      <c r="O2458" s="111"/>
      <c r="P2458" s="111"/>
      <c r="Q2458" s="111"/>
      <c r="R2458" s="111"/>
      <c r="S2458" s="1249">
        <v>2</v>
      </c>
      <c r="T2458" s="1250">
        <v>618.66666666666663</v>
      </c>
      <c r="U2458" s="1250"/>
      <c r="V2458" s="1250"/>
      <c r="W2458" s="1251">
        <v>0</v>
      </c>
      <c r="X2458" s="1250">
        <v>618.66666666666663</v>
      </c>
      <c r="Y2458" s="1250"/>
      <c r="Z2458" s="1250"/>
      <c r="AA2458" s="1250"/>
      <c r="AB2458" s="1250"/>
      <c r="AC2458" s="1250"/>
      <c r="AD2458" s="1250"/>
      <c r="AE2458" s="1249">
        <v>0</v>
      </c>
      <c r="AF2458" s="1250">
        <v>618.66666666666663</v>
      </c>
      <c r="AG2458" s="111"/>
      <c r="AH2458" s="111"/>
      <c r="AI2458" s="111"/>
      <c r="AJ2458" s="111"/>
      <c r="AK2458" s="111"/>
      <c r="AL2458" s="111"/>
      <c r="AM2458" s="111">
        <v>1855.9999999999998</v>
      </c>
    </row>
    <row r="2459" spans="1:39" ht="15" customHeight="1" x14ac:dyDescent="0.25">
      <c r="A2459" s="1409"/>
      <c r="B2459" s="1409"/>
      <c r="C2459" s="1409"/>
      <c r="D2459" s="1409"/>
      <c r="E2459" s="1247"/>
      <c r="F2459" s="1248" t="s">
        <v>1836</v>
      </c>
      <c r="G2459" s="111"/>
      <c r="H2459" s="1249">
        <v>1</v>
      </c>
      <c r="I2459" s="111" t="s">
        <v>1826</v>
      </c>
      <c r="J2459" s="1321" t="s">
        <v>5608</v>
      </c>
      <c r="K2459" s="162" t="s">
        <v>5610</v>
      </c>
      <c r="L2459" s="162" t="s">
        <v>5609</v>
      </c>
      <c r="M2459" s="111">
        <v>1392</v>
      </c>
      <c r="N2459" s="111">
        <v>1392</v>
      </c>
      <c r="O2459" s="111"/>
      <c r="P2459" s="111"/>
      <c r="Q2459" s="111"/>
      <c r="R2459" s="111"/>
      <c r="S2459" s="1249">
        <v>1</v>
      </c>
      <c r="T2459" s="1250">
        <v>464</v>
      </c>
      <c r="U2459" s="1250"/>
      <c r="V2459" s="1250"/>
      <c r="W2459" s="1251">
        <v>0</v>
      </c>
      <c r="X2459" s="1250">
        <v>464</v>
      </c>
      <c r="Y2459" s="1250"/>
      <c r="Z2459" s="1250"/>
      <c r="AA2459" s="1250"/>
      <c r="AB2459" s="1250"/>
      <c r="AC2459" s="1250"/>
      <c r="AD2459" s="1250"/>
      <c r="AE2459" s="1249">
        <v>0</v>
      </c>
      <c r="AF2459" s="1250">
        <v>464</v>
      </c>
      <c r="AG2459" s="111"/>
      <c r="AH2459" s="111"/>
      <c r="AI2459" s="111"/>
      <c r="AJ2459" s="111"/>
      <c r="AK2459" s="111"/>
      <c r="AL2459" s="111"/>
      <c r="AM2459" s="111">
        <v>1392</v>
      </c>
    </row>
    <row r="2460" spans="1:39" ht="15" customHeight="1" x14ac:dyDescent="0.25">
      <c r="A2460" s="1409"/>
      <c r="B2460" s="1409"/>
      <c r="C2460" s="1409"/>
      <c r="D2460" s="1409"/>
      <c r="E2460" s="1247"/>
      <c r="F2460" s="1248" t="s">
        <v>5489</v>
      </c>
      <c r="G2460" s="111"/>
      <c r="H2460" s="1249">
        <v>1</v>
      </c>
      <c r="I2460" s="111" t="s">
        <v>1721</v>
      </c>
      <c r="J2460" s="1321" t="s">
        <v>5608</v>
      </c>
      <c r="K2460" s="162" t="s">
        <v>5610</v>
      </c>
      <c r="L2460" s="162" t="s">
        <v>5609</v>
      </c>
      <c r="M2460" s="111">
        <v>835.19999999999993</v>
      </c>
      <c r="N2460" s="111">
        <v>835.19999999999993</v>
      </c>
      <c r="O2460" s="111"/>
      <c r="P2460" s="111"/>
      <c r="Q2460" s="111"/>
      <c r="R2460" s="111"/>
      <c r="S2460" s="1249">
        <v>1</v>
      </c>
      <c r="T2460" s="1250">
        <v>278.39999999999998</v>
      </c>
      <c r="U2460" s="1250"/>
      <c r="V2460" s="1250"/>
      <c r="W2460" s="1251">
        <v>0</v>
      </c>
      <c r="X2460" s="1250">
        <v>278.39999999999998</v>
      </c>
      <c r="Y2460" s="1250"/>
      <c r="Z2460" s="1250"/>
      <c r="AA2460" s="1250"/>
      <c r="AB2460" s="1250"/>
      <c r="AC2460" s="1250"/>
      <c r="AD2460" s="1250"/>
      <c r="AE2460" s="1249">
        <v>0</v>
      </c>
      <c r="AF2460" s="1250">
        <v>278.39999999999998</v>
      </c>
      <c r="AG2460" s="111"/>
      <c r="AH2460" s="111"/>
      <c r="AI2460" s="111"/>
      <c r="AJ2460" s="111"/>
      <c r="AK2460" s="111"/>
      <c r="AL2460" s="111"/>
      <c r="AM2460" s="111">
        <v>835.19999999999993</v>
      </c>
    </row>
    <row r="2461" spans="1:39" ht="15" customHeight="1" x14ac:dyDescent="0.25">
      <c r="A2461" s="1409"/>
      <c r="B2461" s="1409"/>
      <c r="C2461" s="1409"/>
      <c r="D2461" s="1409"/>
      <c r="E2461" s="1247"/>
      <c r="F2461" s="1248" t="s">
        <v>5490</v>
      </c>
      <c r="G2461" s="111"/>
      <c r="H2461" s="1249">
        <v>15</v>
      </c>
      <c r="I2461" s="111" t="s">
        <v>1721</v>
      </c>
      <c r="J2461" s="1321" t="s">
        <v>5608</v>
      </c>
      <c r="K2461" s="162" t="s">
        <v>5610</v>
      </c>
      <c r="L2461" s="162" t="s">
        <v>5609</v>
      </c>
      <c r="M2461" s="111">
        <v>290</v>
      </c>
      <c r="N2461" s="111">
        <v>4350</v>
      </c>
      <c r="O2461" s="111"/>
      <c r="P2461" s="111"/>
      <c r="Q2461" s="111"/>
      <c r="R2461" s="111"/>
      <c r="S2461" s="1249">
        <v>5</v>
      </c>
      <c r="T2461" s="1250">
        <v>1450</v>
      </c>
      <c r="U2461" s="1250"/>
      <c r="V2461" s="1250"/>
      <c r="W2461" s="1251">
        <v>5</v>
      </c>
      <c r="X2461" s="1250">
        <v>1450</v>
      </c>
      <c r="Y2461" s="1250"/>
      <c r="Z2461" s="1250"/>
      <c r="AA2461" s="1250"/>
      <c r="AB2461" s="1250"/>
      <c r="AC2461" s="1250"/>
      <c r="AD2461" s="1250"/>
      <c r="AE2461" s="1249">
        <v>5</v>
      </c>
      <c r="AF2461" s="1250">
        <v>1450</v>
      </c>
      <c r="AG2461" s="111"/>
      <c r="AH2461" s="111"/>
      <c r="AI2461" s="111"/>
      <c r="AJ2461" s="111"/>
      <c r="AK2461" s="111"/>
      <c r="AL2461" s="111"/>
      <c r="AM2461" s="111">
        <v>4350</v>
      </c>
    </row>
    <row r="2462" spans="1:39" ht="15" customHeight="1" x14ac:dyDescent="0.25">
      <c r="A2462" s="1409"/>
      <c r="B2462" s="1409"/>
      <c r="C2462" s="1409"/>
      <c r="D2462" s="1409"/>
      <c r="E2462" s="1247"/>
      <c r="F2462" s="1248" t="s">
        <v>2456</v>
      </c>
      <c r="G2462" s="111"/>
      <c r="H2462" s="1249">
        <v>5000</v>
      </c>
      <c r="I2462" s="111" t="s">
        <v>1721</v>
      </c>
      <c r="J2462" s="1321" t="s">
        <v>5608</v>
      </c>
      <c r="K2462" s="162" t="s">
        <v>5610</v>
      </c>
      <c r="L2462" s="162" t="s">
        <v>5609</v>
      </c>
      <c r="M2462" s="111">
        <v>4</v>
      </c>
      <c r="N2462" s="111">
        <v>20000</v>
      </c>
      <c r="O2462" s="111"/>
      <c r="P2462" s="111"/>
      <c r="Q2462" s="111"/>
      <c r="R2462" s="111"/>
      <c r="S2462" s="1249">
        <v>2000</v>
      </c>
      <c r="T2462" s="1250">
        <v>6666.666666666667</v>
      </c>
      <c r="U2462" s="1250"/>
      <c r="V2462" s="1250"/>
      <c r="W2462" s="1251">
        <v>2000</v>
      </c>
      <c r="X2462" s="1250">
        <v>6666.666666666667</v>
      </c>
      <c r="Y2462" s="1250"/>
      <c r="Z2462" s="1250"/>
      <c r="AA2462" s="1250"/>
      <c r="AB2462" s="1250"/>
      <c r="AC2462" s="1250"/>
      <c r="AD2462" s="1250"/>
      <c r="AE2462" s="1249">
        <v>1000</v>
      </c>
      <c r="AF2462" s="1250">
        <v>6666.666666666667</v>
      </c>
      <c r="AG2462" s="111"/>
      <c r="AH2462" s="111"/>
      <c r="AI2462" s="111"/>
      <c r="AJ2462" s="111"/>
      <c r="AK2462" s="111"/>
      <c r="AL2462" s="111"/>
      <c r="AM2462" s="111">
        <v>20000</v>
      </c>
    </row>
    <row r="2463" spans="1:39" ht="15" customHeight="1" x14ac:dyDescent="0.25">
      <c r="A2463" s="1409"/>
      <c r="B2463" s="1409"/>
      <c r="C2463" s="1409"/>
      <c r="D2463" s="1409"/>
      <c r="E2463" s="1247"/>
      <c r="F2463" s="1248" t="s">
        <v>5491</v>
      </c>
      <c r="G2463" s="111"/>
      <c r="H2463" s="1249">
        <v>2</v>
      </c>
      <c r="I2463" s="111" t="s">
        <v>1721</v>
      </c>
      <c r="J2463" s="1321" t="s">
        <v>5608</v>
      </c>
      <c r="K2463" s="162" t="s">
        <v>5610</v>
      </c>
      <c r="L2463" s="162" t="s">
        <v>5609</v>
      </c>
      <c r="M2463" s="111">
        <v>1080</v>
      </c>
      <c r="N2463" s="111">
        <v>2160</v>
      </c>
      <c r="O2463" s="111"/>
      <c r="P2463" s="111"/>
      <c r="Q2463" s="111"/>
      <c r="R2463" s="111"/>
      <c r="S2463" s="1249">
        <v>2</v>
      </c>
      <c r="T2463" s="1250">
        <v>720</v>
      </c>
      <c r="U2463" s="1250"/>
      <c r="V2463" s="1250"/>
      <c r="W2463" s="1251">
        <v>0</v>
      </c>
      <c r="X2463" s="1250">
        <v>720</v>
      </c>
      <c r="Y2463" s="1250"/>
      <c r="Z2463" s="1250"/>
      <c r="AA2463" s="1250"/>
      <c r="AB2463" s="1250"/>
      <c r="AC2463" s="1250"/>
      <c r="AD2463" s="1250"/>
      <c r="AE2463" s="1249">
        <v>0</v>
      </c>
      <c r="AF2463" s="1250">
        <v>720</v>
      </c>
      <c r="AG2463" s="111"/>
      <c r="AH2463" s="111"/>
      <c r="AI2463" s="111"/>
      <c r="AJ2463" s="111"/>
      <c r="AK2463" s="111"/>
      <c r="AL2463" s="111"/>
      <c r="AM2463" s="111">
        <v>2160</v>
      </c>
    </row>
    <row r="2464" spans="1:39" ht="15" customHeight="1" x14ac:dyDescent="0.25">
      <c r="A2464" s="1409"/>
      <c r="B2464" s="1409"/>
      <c r="C2464" s="1409"/>
      <c r="D2464" s="1409"/>
      <c r="E2464" s="1247"/>
      <c r="F2464" s="1248" t="s">
        <v>5492</v>
      </c>
      <c r="G2464" s="111"/>
      <c r="H2464" s="1249">
        <v>4</v>
      </c>
      <c r="I2464" s="111" t="s">
        <v>1721</v>
      </c>
      <c r="J2464" s="1321" t="s">
        <v>5608</v>
      </c>
      <c r="K2464" s="162" t="s">
        <v>5610</v>
      </c>
      <c r="L2464" s="162" t="s">
        <v>5609</v>
      </c>
      <c r="M2464" s="111">
        <v>540</v>
      </c>
      <c r="N2464" s="111">
        <v>2160</v>
      </c>
      <c r="O2464" s="111"/>
      <c r="P2464" s="111"/>
      <c r="Q2464" s="111"/>
      <c r="R2464" s="111"/>
      <c r="S2464" s="1249">
        <v>2</v>
      </c>
      <c r="T2464" s="1250">
        <v>720</v>
      </c>
      <c r="U2464" s="1250"/>
      <c r="V2464" s="1250"/>
      <c r="W2464" s="1251">
        <v>1</v>
      </c>
      <c r="X2464" s="1250">
        <v>720</v>
      </c>
      <c r="Y2464" s="1250"/>
      <c r="Z2464" s="1250"/>
      <c r="AA2464" s="1250"/>
      <c r="AB2464" s="1250"/>
      <c r="AC2464" s="1250"/>
      <c r="AD2464" s="1250"/>
      <c r="AE2464" s="1249">
        <v>1</v>
      </c>
      <c r="AF2464" s="1250">
        <v>720</v>
      </c>
      <c r="AG2464" s="111"/>
      <c r="AH2464" s="111"/>
      <c r="AI2464" s="111"/>
      <c r="AJ2464" s="111"/>
      <c r="AK2464" s="111"/>
      <c r="AL2464" s="111"/>
      <c r="AM2464" s="111">
        <v>2160</v>
      </c>
    </row>
    <row r="2465" spans="1:39" ht="15" customHeight="1" x14ac:dyDescent="0.25">
      <c r="A2465" s="1409"/>
      <c r="B2465" s="1409"/>
      <c r="C2465" s="1409"/>
      <c r="D2465" s="1409"/>
      <c r="E2465" s="1247"/>
      <c r="F2465" s="1248" t="s">
        <v>5493</v>
      </c>
      <c r="G2465" s="111"/>
      <c r="H2465" s="1249">
        <v>2</v>
      </c>
      <c r="I2465" s="111" t="s">
        <v>1721</v>
      </c>
      <c r="J2465" s="1321" t="s">
        <v>5608</v>
      </c>
      <c r="K2465" s="162" t="s">
        <v>5610</v>
      </c>
      <c r="L2465" s="162" t="s">
        <v>5609</v>
      </c>
      <c r="M2465" s="111">
        <v>450</v>
      </c>
      <c r="N2465" s="111">
        <v>900</v>
      </c>
      <c r="O2465" s="111"/>
      <c r="P2465" s="111"/>
      <c r="Q2465" s="111"/>
      <c r="R2465" s="111"/>
      <c r="S2465" s="1249">
        <v>2</v>
      </c>
      <c r="T2465" s="1250">
        <v>300</v>
      </c>
      <c r="U2465" s="1250"/>
      <c r="V2465" s="1250"/>
      <c r="W2465" s="1251">
        <v>0</v>
      </c>
      <c r="X2465" s="1250">
        <v>300</v>
      </c>
      <c r="Y2465" s="1250"/>
      <c r="Z2465" s="1250"/>
      <c r="AA2465" s="1250"/>
      <c r="AB2465" s="1250"/>
      <c r="AC2465" s="1250"/>
      <c r="AD2465" s="1250"/>
      <c r="AE2465" s="1249">
        <v>0</v>
      </c>
      <c r="AF2465" s="1250">
        <v>300</v>
      </c>
      <c r="AG2465" s="111"/>
      <c r="AH2465" s="111"/>
      <c r="AI2465" s="111"/>
      <c r="AJ2465" s="111"/>
      <c r="AK2465" s="111"/>
      <c r="AL2465" s="111"/>
      <c r="AM2465" s="111">
        <v>900</v>
      </c>
    </row>
    <row r="2466" spans="1:39" ht="15" customHeight="1" x14ac:dyDescent="0.25">
      <c r="A2466" s="1409"/>
      <c r="B2466" s="1409"/>
      <c r="C2466" s="1409"/>
      <c r="D2466" s="1409"/>
      <c r="E2466" s="1247"/>
      <c r="F2466" s="1248" t="s">
        <v>5494</v>
      </c>
      <c r="G2466" s="111"/>
      <c r="H2466" s="1249">
        <v>2</v>
      </c>
      <c r="I2466" s="111" t="s">
        <v>1721</v>
      </c>
      <c r="J2466" s="1321" t="s">
        <v>5608</v>
      </c>
      <c r="K2466" s="162" t="s">
        <v>5610</v>
      </c>
      <c r="L2466" s="162" t="s">
        <v>5609</v>
      </c>
      <c r="M2466" s="111">
        <v>850</v>
      </c>
      <c r="N2466" s="111">
        <v>1700</v>
      </c>
      <c r="O2466" s="111"/>
      <c r="P2466" s="111"/>
      <c r="Q2466" s="111"/>
      <c r="R2466" s="111"/>
      <c r="S2466" s="1249">
        <v>2</v>
      </c>
      <c r="T2466" s="1250">
        <v>566.66666666666663</v>
      </c>
      <c r="U2466" s="1250"/>
      <c r="V2466" s="1250"/>
      <c r="W2466" s="1251">
        <v>0</v>
      </c>
      <c r="X2466" s="1250">
        <v>566.66666666666663</v>
      </c>
      <c r="Y2466" s="1250"/>
      <c r="Z2466" s="1250"/>
      <c r="AA2466" s="1250"/>
      <c r="AB2466" s="1250"/>
      <c r="AC2466" s="1250"/>
      <c r="AD2466" s="1250"/>
      <c r="AE2466" s="1249">
        <v>0</v>
      </c>
      <c r="AF2466" s="1250">
        <v>566.66666666666663</v>
      </c>
      <c r="AG2466" s="111"/>
      <c r="AH2466" s="111"/>
      <c r="AI2466" s="111"/>
      <c r="AJ2466" s="111"/>
      <c r="AK2466" s="111"/>
      <c r="AL2466" s="111"/>
      <c r="AM2466" s="111">
        <v>1700</v>
      </c>
    </row>
    <row r="2467" spans="1:39" ht="15" customHeight="1" x14ac:dyDescent="0.25">
      <c r="A2467" s="1409"/>
      <c r="B2467" s="1409"/>
      <c r="C2467" s="1409"/>
      <c r="D2467" s="1409"/>
      <c r="E2467" s="1247"/>
      <c r="F2467" s="1248" t="s">
        <v>5495</v>
      </c>
      <c r="G2467" s="111"/>
      <c r="H2467" s="1249">
        <v>8</v>
      </c>
      <c r="I2467" s="111" t="s">
        <v>2831</v>
      </c>
      <c r="J2467" s="1321" t="s">
        <v>5608</v>
      </c>
      <c r="K2467" s="162" t="s">
        <v>5610</v>
      </c>
      <c r="L2467" s="162" t="s">
        <v>5609</v>
      </c>
      <c r="M2467" s="111">
        <v>830.52</v>
      </c>
      <c r="N2467" s="111">
        <v>6644.16</v>
      </c>
      <c r="O2467" s="111"/>
      <c r="P2467" s="111"/>
      <c r="Q2467" s="111"/>
      <c r="R2467" s="111"/>
      <c r="S2467" s="1249">
        <v>4</v>
      </c>
      <c r="T2467" s="1250">
        <v>2214.7199999999998</v>
      </c>
      <c r="U2467" s="1250"/>
      <c r="V2467" s="1250"/>
      <c r="W2467" s="1251">
        <v>2</v>
      </c>
      <c r="X2467" s="1250">
        <v>2214.7199999999998</v>
      </c>
      <c r="Y2467" s="1250"/>
      <c r="Z2467" s="1250"/>
      <c r="AA2467" s="1250"/>
      <c r="AB2467" s="1250"/>
      <c r="AC2467" s="1250"/>
      <c r="AD2467" s="1250"/>
      <c r="AE2467" s="1249">
        <v>2</v>
      </c>
      <c r="AF2467" s="1250">
        <v>2214.7199999999998</v>
      </c>
      <c r="AG2467" s="111"/>
      <c r="AH2467" s="111"/>
      <c r="AI2467" s="111"/>
      <c r="AJ2467" s="111"/>
      <c r="AK2467" s="111"/>
      <c r="AL2467" s="111"/>
      <c r="AM2467" s="111">
        <v>6644.16</v>
      </c>
    </row>
    <row r="2468" spans="1:39" ht="15" customHeight="1" x14ac:dyDescent="0.25">
      <c r="A2468" s="1409"/>
      <c r="B2468" s="1409"/>
      <c r="C2468" s="1409"/>
      <c r="D2468" s="1409"/>
      <c r="E2468" s="1247"/>
      <c r="F2468" s="1248" t="s">
        <v>2829</v>
      </c>
      <c r="G2468" s="111"/>
      <c r="H2468" s="1249">
        <v>5000</v>
      </c>
      <c r="I2468" s="111" t="s">
        <v>1721</v>
      </c>
      <c r="J2468" s="1321" t="s">
        <v>5608</v>
      </c>
      <c r="K2468" s="162" t="s">
        <v>5610</v>
      </c>
      <c r="L2468" s="162" t="s">
        <v>5609</v>
      </c>
      <c r="M2468" s="111">
        <v>4.5</v>
      </c>
      <c r="N2468" s="111">
        <v>22500</v>
      </c>
      <c r="O2468" s="111"/>
      <c r="P2468" s="111"/>
      <c r="Q2468" s="111"/>
      <c r="R2468" s="111"/>
      <c r="S2468" s="1249">
        <v>2000</v>
      </c>
      <c r="T2468" s="1250">
        <v>7500</v>
      </c>
      <c r="U2468" s="1250"/>
      <c r="V2468" s="1250"/>
      <c r="W2468" s="1251">
        <v>2000</v>
      </c>
      <c r="X2468" s="1250">
        <v>7500</v>
      </c>
      <c r="Y2468" s="1250"/>
      <c r="Z2468" s="1250"/>
      <c r="AA2468" s="1250"/>
      <c r="AB2468" s="1250"/>
      <c r="AC2468" s="1250"/>
      <c r="AD2468" s="1250"/>
      <c r="AE2468" s="1249">
        <v>1000</v>
      </c>
      <c r="AF2468" s="1250">
        <v>7500</v>
      </c>
      <c r="AG2468" s="111"/>
      <c r="AH2468" s="111"/>
      <c r="AI2468" s="111"/>
      <c r="AJ2468" s="111"/>
      <c r="AK2468" s="111"/>
      <c r="AL2468" s="111"/>
      <c r="AM2468" s="111">
        <v>22500</v>
      </c>
    </row>
    <row r="2469" spans="1:39" ht="15" customHeight="1" x14ac:dyDescent="0.25">
      <c r="A2469" s="1409"/>
      <c r="B2469" s="1409"/>
      <c r="C2469" s="1409"/>
      <c r="D2469" s="1409"/>
      <c r="E2469" s="1247"/>
      <c r="F2469" s="1248" t="s">
        <v>5496</v>
      </c>
      <c r="G2469" s="111"/>
      <c r="H2469" s="1249">
        <v>5000</v>
      </c>
      <c r="I2469" s="111" t="s">
        <v>1721</v>
      </c>
      <c r="J2469" s="1321" t="s">
        <v>5608</v>
      </c>
      <c r="K2469" s="162" t="s">
        <v>5610</v>
      </c>
      <c r="L2469" s="162" t="s">
        <v>5609</v>
      </c>
      <c r="M2469" s="111">
        <v>1.5</v>
      </c>
      <c r="N2469" s="111">
        <v>7500</v>
      </c>
      <c r="O2469" s="111"/>
      <c r="P2469" s="111"/>
      <c r="Q2469" s="111"/>
      <c r="R2469" s="111"/>
      <c r="S2469" s="1249">
        <v>2000</v>
      </c>
      <c r="T2469" s="1250">
        <v>2500</v>
      </c>
      <c r="U2469" s="1250"/>
      <c r="V2469" s="1250"/>
      <c r="W2469" s="1251">
        <v>2000</v>
      </c>
      <c r="X2469" s="1250">
        <v>2500</v>
      </c>
      <c r="Y2469" s="1250"/>
      <c r="Z2469" s="1250"/>
      <c r="AA2469" s="1250"/>
      <c r="AB2469" s="1250"/>
      <c r="AC2469" s="1250"/>
      <c r="AD2469" s="1250"/>
      <c r="AE2469" s="1249">
        <v>1000</v>
      </c>
      <c r="AF2469" s="1250">
        <v>2500</v>
      </c>
      <c r="AG2469" s="111"/>
      <c r="AH2469" s="111"/>
      <c r="AI2469" s="111"/>
      <c r="AJ2469" s="111"/>
      <c r="AK2469" s="111"/>
      <c r="AL2469" s="111"/>
      <c r="AM2469" s="111">
        <v>7500</v>
      </c>
    </row>
    <row r="2470" spans="1:39" ht="15" customHeight="1" x14ac:dyDescent="0.25">
      <c r="A2470" s="1409"/>
      <c r="B2470" s="1409"/>
      <c r="C2470" s="1409"/>
      <c r="D2470" s="1409"/>
      <c r="E2470" s="1286"/>
      <c r="F2470" s="1248"/>
      <c r="G2470" s="111"/>
      <c r="H2470" s="1249"/>
      <c r="I2470" s="111"/>
      <c r="J2470" s="111"/>
      <c r="K2470" s="111"/>
      <c r="L2470" s="111"/>
      <c r="M2470" s="111"/>
      <c r="N2470" s="111"/>
      <c r="O2470" s="111"/>
      <c r="P2470" s="111"/>
      <c r="Q2470" s="111"/>
      <c r="R2470" s="111"/>
      <c r="S2470" s="1249"/>
      <c r="T2470" s="1250"/>
      <c r="U2470" s="1250"/>
      <c r="V2470" s="1250"/>
      <c r="W2470" s="1251"/>
      <c r="X2470" s="1250"/>
      <c r="Y2470" s="1250"/>
      <c r="Z2470" s="1250"/>
      <c r="AA2470" s="1250"/>
      <c r="AB2470" s="1250"/>
      <c r="AC2470" s="1250"/>
      <c r="AD2470" s="1250"/>
      <c r="AE2470" s="1249"/>
      <c r="AF2470" s="1250"/>
      <c r="AG2470" s="111"/>
      <c r="AH2470" s="111"/>
      <c r="AI2470" s="111"/>
      <c r="AJ2470" s="111"/>
      <c r="AK2470" s="111"/>
      <c r="AL2470" s="111"/>
      <c r="AM2470" s="111"/>
    </row>
    <row r="2471" spans="1:39" ht="36" customHeight="1" x14ac:dyDescent="0.25">
      <c r="A2471" s="1409"/>
      <c r="B2471" s="1409"/>
      <c r="C2471" s="1409"/>
      <c r="D2471" s="1409"/>
      <c r="E2471" s="1204">
        <v>3700</v>
      </c>
      <c r="F2471" s="1274" t="s">
        <v>925</v>
      </c>
      <c r="G2471" s="1204"/>
      <c r="H2471" s="1204"/>
      <c r="I2471" s="1204"/>
      <c r="J2471" s="1204"/>
      <c r="K2471" s="1204"/>
      <c r="L2471" s="1204"/>
      <c r="M2471" s="1204"/>
      <c r="N2471" s="1204"/>
      <c r="O2471" s="1204"/>
      <c r="P2471" s="1204"/>
      <c r="Q2471" s="1204"/>
      <c r="R2471" s="1204"/>
      <c r="S2471" s="1204"/>
      <c r="T2471" s="1204"/>
      <c r="U2471" s="1204"/>
      <c r="V2471" s="1204"/>
      <c r="W2471" s="1204"/>
      <c r="X2471" s="1204"/>
      <c r="Y2471" s="1204"/>
      <c r="Z2471" s="1204"/>
      <c r="AA2471" s="1204"/>
      <c r="AB2471" s="1204"/>
      <c r="AC2471" s="1204"/>
      <c r="AD2471" s="1204"/>
      <c r="AE2471" s="1204"/>
      <c r="AF2471" s="1204"/>
      <c r="AG2471" s="1204"/>
      <c r="AH2471" s="1204"/>
      <c r="AI2471" s="1204"/>
      <c r="AJ2471" s="1204"/>
      <c r="AK2471" s="1204"/>
      <c r="AL2471" s="1204"/>
      <c r="AM2471" s="1204"/>
    </row>
    <row r="2472" spans="1:39" ht="15" customHeight="1" x14ac:dyDescent="0.25">
      <c r="A2472" s="1409"/>
      <c r="B2472" s="1409"/>
      <c r="C2472" s="1409"/>
      <c r="D2472" s="1409"/>
      <c r="E2472" s="1218">
        <v>371</v>
      </c>
      <c r="F2472" s="1268" t="s">
        <v>926</v>
      </c>
      <c r="G2472" s="1218"/>
      <c r="H2472" s="1218"/>
      <c r="I2472" s="1218"/>
      <c r="J2472" s="1218"/>
      <c r="K2472" s="1218"/>
      <c r="L2472" s="1218"/>
      <c r="M2472" s="1218"/>
      <c r="N2472" s="1218"/>
      <c r="O2472" s="1218"/>
      <c r="P2472" s="1218"/>
      <c r="Q2472" s="1218"/>
      <c r="R2472" s="1218"/>
      <c r="S2472" s="1218"/>
      <c r="T2472" s="1218"/>
      <c r="U2472" s="1218"/>
      <c r="V2472" s="1218"/>
      <c r="W2472" s="1218"/>
      <c r="X2472" s="1218"/>
      <c r="Y2472" s="1218"/>
      <c r="Z2472" s="1218"/>
      <c r="AA2472" s="1218"/>
      <c r="AB2472" s="1218"/>
      <c r="AC2472" s="1218"/>
      <c r="AD2472" s="1218"/>
      <c r="AE2472" s="1218"/>
      <c r="AF2472" s="1218"/>
      <c r="AG2472" s="1218"/>
      <c r="AH2472" s="1218"/>
      <c r="AI2472" s="1218"/>
      <c r="AJ2472" s="1218"/>
      <c r="AK2472" s="1218"/>
      <c r="AL2472" s="1218"/>
      <c r="AM2472" s="1218"/>
    </row>
    <row r="2473" spans="1:39" ht="15" customHeight="1" x14ac:dyDescent="0.25">
      <c r="A2473" s="1409"/>
      <c r="B2473" s="1409"/>
      <c r="C2473" s="1409"/>
      <c r="D2473" s="1409"/>
      <c r="E2473" s="1247"/>
      <c r="F2473" s="1248"/>
      <c r="G2473" s="111"/>
      <c r="H2473" s="1249"/>
      <c r="I2473" s="111"/>
      <c r="J2473" s="111"/>
      <c r="K2473" s="111"/>
      <c r="L2473" s="111"/>
      <c r="M2473" s="111"/>
      <c r="N2473" s="111"/>
      <c r="O2473" s="111"/>
      <c r="P2473" s="111"/>
      <c r="Q2473" s="111"/>
      <c r="R2473" s="111"/>
      <c r="S2473" s="1249"/>
      <c r="T2473" s="1250"/>
      <c r="U2473" s="1250"/>
      <c r="V2473" s="1250"/>
      <c r="W2473" s="1251"/>
      <c r="X2473" s="1250"/>
      <c r="Y2473" s="1250"/>
      <c r="Z2473" s="1250"/>
      <c r="AA2473" s="1250"/>
      <c r="AB2473" s="1250"/>
      <c r="AC2473" s="1250"/>
      <c r="AD2473" s="1250"/>
      <c r="AE2473" s="1249"/>
      <c r="AF2473" s="1250"/>
      <c r="AG2473" s="111"/>
      <c r="AH2473" s="111"/>
      <c r="AI2473" s="111"/>
      <c r="AJ2473" s="111"/>
      <c r="AK2473" s="111"/>
      <c r="AL2473" s="111"/>
      <c r="AM2473" s="111"/>
    </row>
    <row r="2474" spans="1:39" ht="15" customHeight="1" x14ac:dyDescent="0.25">
      <c r="A2474" s="1409"/>
      <c r="B2474" s="1409"/>
      <c r="C2474" s="1409"/>
      <c r="D2474" s="1409"/>
      <c r="E2474" s="1261">
        <v>37101</v>
      </c>
      <c r="F2474" s="1262" t="s">
        <v>926</v>
      </c>
      <c r="G2474" s="1261"/>
      <c r="H2474" s="1261"/>
      <c r="I2474" s="1261"/>
      <c r="J2474" s="1261"/>
      <c r="K2474" s="1261"/>
      <c r="L2474" s="1261"/>
      <c r="M2474" s="1261"/>
      <c r="N2474" s="1261"/>
      <c r="O2474" s="1261"/>
      <c r="P2474" s="1261"/>
      <c r="Q2474" s="1261"/>
      <c r="R2474" s="1261"/>
      <c r="S2474" s="1261"/>
      <c r="T2474" s="1261"/>
      <c r="U2474" s="1261"/>
      <c r="V2474" s="1261"/>
      <c r="W2474" s="1261"/>
      <c r="X2474" s="1261"/>
      <c r="Y2474" s="1261"/>
      <c r="Z2474" s="1261"/>
      <c r="AA2474" s="1261"/>
      <c r="AB2474" s="1261"/>
      <c r="AC2474" s="1261"/>
      <c r="AD2474" s="1261"/>
      <c r="AE2474" s="1261"/>
      <c r="AF2474" s="1261"/>
      <c r="AG2474" s="1261"/>
      <c r="AH2474" s="1261"/>
      <c r="AI2474" s="1261"/>
      <c r="AJ2474" s="1261"/>
      <c r="AK2474" s="1261"/>
      <c r="AL2474" s="1261"/>
      <c r="AM2474" s="1261"/>
    </row>
    <row r="2475" spans="1:39" ht="15" customHeight="1" x14ac:dyDescent="0.25">
      <c r="A2475" s="1409"/>
      <c r="B2475" s="1409"/>
      <c r="C2475" s="1409"/>
      <c r="D2475" s="1409"/>
      <c r="E2475" s="1247"/>
      <c r="F2475" s="1248" t="s">
        <v>4343</v>
      </c>
      <c r="G2475" s="111"/>
      <c r="H2475" s="1249">
        <v>4</v>
      </c>
      <c r="I2475" s="111" t="s">
        <v>1755</v>
      </c>
      <c r="J2475" s="1321" t="s">
        <v>5608</v>
      </c>
      <c r="K2475" s="162" t="s">
        <v>5610</v>
      </c>
      <c r="L2475" s="162" t="s">
        <v>5609</v>
      </c>
      <c r="M2475" s="111">
        <v>6904.9999999999991</v>
      </c>
      <c r="N2475" s="111">
        <v>27619.999999999996</v>
      </c>
      <c r="O2475" s="111"/>
      <c r="P2475" s="111"/>
      <c r="Q2475" s="111"/>
      <c r="R2475" s="111"/>
      <c r="S2475" s="1249">
        <v>2</v>
      </c>
      <c r="T2475" s="1250">
        <v>9206.6666666666661</v>
      </c>
      <c r="U2475" s="1250"/>
      <c r="V2475" s="1250"/>
      <c r="W2475" s="1251">
        <v>1</v>
      </c>
      <c r="X2475" s="1250">
        <v>9206.6666666666661</v>
      </c>
      <c r="Y2475" s="1250"/>
      <c r="Z2475" s="1250"/>
      <c r="AA2475" s="1250"/>
      <c r="AB2475" s="1250"/>
      <c r="AC2475" s="1250"/>
      <c r="AD2475" s="1250"/>
      <c r="AE2475" s="1249">
        <v>1</v>
      </c>
      <c r="AF2475" s="1250">
        <v>9206.6666666666661</v>
      </c>
      <c r="AG2475" s="111"/>
      <c r="AH2475" s="111"/>
      <c r="AI2475" s="111"/>
      <c r="AJ2475" s="111"/>
      <c r="AK2475" s="111"/>
      <c r="AL2475" s="111"/>
      <c r="AM2475" s="111">
        <v>27619.999999999996</v>
      </c>
    </row>
    <row r="2476" spans="1:39" ht="15" customHeight="1" x14ac:dyDescent="0.25">
      <c r="A2476" s="1409"/>
      <c r="B2476" s="1409"/>
      <c r="C2476" s="1409"/>
      <c r="D2476" s="1409"/>
      <c r="E2476" s="1291"/>
      <c r="F2476" s="1248" t="s">
        <v>927</v>
      </c>
      <c r="G2476" s="111"/>
      <c r="H2476" s="1249">
        <v>1</v>
      </c>
      <c r="I2476" s="111" t="s">
        <v>1755</v>
      </c>
      <c r="J2476" s="1321" t="s">
        <v>5608</v>
      </c>
      <c r="K2476" s="162" t="s">
        <v>5610</v>
      </c>
      <c r="L2476" s="162" t="s">
        <v>5609</v>
      </c>
      <c r="M2476" s="111">
        <v>250</v>
      </c>
      <c r="N2476" s="111">
        <v>250</v>
      </c>
      <c r="O2476" s="111"/>
      <c r="P2476" s="111"/>
      <c r="Q2476" s="111"/>
      <c r="R2476" s="111"/>
      <c r="S2476" s="1249">
        <v>1</v>
      </c>
      <c r="T2476" s="1250">
        <v>83.333333333333329</v>
      </c>
      <c r="U2476" s="1250"/>
      <c r="V2476" s="1250"/>
      <c r="W2476" s="1251">
        <v>0</v>
      </c>
      <c r="X2476" s="1250">
        <v>83.333333333333329</v>
      </c>
      <c r="Y2476" s="1250"/>
      <c r="Z2476" s="1250"/>
      <c r="AA2476" s="1250"/>
      <c r="AB2476" s="1250"/>
      <c r="AC2476" s="1250"/>
      <c r="AD2476" s="1250"/>
      <c r="AE2476" s="1249">
        <v>0</v>
      </c>
      <c r="AF2476" s="1250">
        <v>83.333333333333329</v>
      </c>
      <c r="AG2476" s="111"/>
      <c r="AH2476" s="111"/>
      <c r="AI2476" s="111"/>
      <c r="AJ2476" s="111"/>
      <c r="AK2476" s="111"/>
      <c r="AL2476" s="111"/>
      <c r="AM2476" s="111">
        <v>250</v>
      </c>
    </row>
    <row r="2477" spans="1:39" ht="15" customHeight="1" x14ac:dyDescent="0.25">
      <c r="A2477" s="1409"/>
      <c r="B2477" s="1409"/>
      <c r="C2477" s="1409"/>
      <c r="D2477" s="1409"/>
      <c r="E2477" s="1291"/>
      <c r="F2477" s="1248"/>
      <c r="G2477" s="111"/>
      <c r="H2477" s="1249"/>
      <c r="I2477" s="111"/>
      <c r="J2477" s="111"/>
      <c r="K2477" s="111"/>
      <c r="L2477" s="111"/>
      <c r="M2477" s="111"/>
      <c r="N2477" s="111"/>
      <c r="O2477" s="111"/>
      <c r="P2477" s="111"/>
      <c r="Q2477" s="111"/>
      <c r="R2477" s="111"/>
      <c r="S2477" s="1249"/>
      <c r="T2477" s="1250"/>
      <c r="U2477" s="1250"/>
      <c r="V2477" s="1250"/>
      <c r="W2477" s="1251"/>
      <c r="X2477" s="1250"/>
      <c r="Y2477" s="1250"/>
      <c r="Z2477" s="1250"/>
      <c r="AA2477" s="1250"/>
      <c r="AB2477" s="1250"/>
      <c r="AC2477" s="1250"/>
      <c r="AD2477" s="1250"/>
      <c r="AE2477" s="1249"/>
      <c r="AF2477" s="1250"/>
      <c r="AG2477" s="111"/>
      <c r="AH2477" s="111"/>
      <c r="AI2477" s="111"/>
      <c r="AJ2477" s="111"/>
      <c r="AK2477" s="111"/>
      <c r="AL2477" s="111"/>
      <c r="AM2477" s="111"/>
    </row>
    <row r="2478" spans="1:39" ht="15" customHeight="1" x14ac:dyDescent="0.25">
      <c r="A2478" s="1409"/>
      <c r="B2478" s="1409"/>
      <c r="C2478" s="1409"/>
      <c r="D2478" s="1409"/>
      <c r="E2478" s="1218">
        <v>372</v>
      </c>
      <c r="F2478" s="1268" t="s">
        <v>928</v>
      </c>
      <c r="G2478" s="1218"/>
      <c r="H2478" s="1218"/>
      <c r="I2478" s="1218"/>
      <c r="J2478" s="1218"/>
      <c r="K2478" s="1218"/>
      <c r="L2478" s="1218"/>
      <c r="M2478" s="1218"/>
      <c r="N2478" s="1218"/>
      <c r="O2478" s="1218"/>
      <c r="P2478" s="1218"/>
      <c r="Q2478" s="1218"/>
      <c r="R2478" s="1218"/>
      <c r="S2478" s="1218"/>
      <c r="T2478" s="1218"/>
      <c r="U2478" s="1218"/>
      <c r="V2478" s="1218"/>
      <c r="W2478" s="1218"/>
      <c r="X2478" s="1218"/>
      <c r="Y2478" s="1218"/>
      <c r="Z2478" s="1218"/>
      <c r="AA2478" s="1218"/>
      <c r="AB2478" s="1218"/>
      <c r="AC2478" s="1218"/>
      <c r="AD2478" s="1218"/>
      <c r="AE2478" s="1218"/>
      <c r="AF2478" s="1218"/>
      <c r="AG2478" s="1218"/>
      <c r="AH2478" s="1218"/>
      <c r="AI2478" s="1218"/>
      <c r="AJ2478" s="1218"/>
      <c r="AK2478" s="1218"/>
      <c r="AL2478" s="1218"/>
      <c r="AM2478" s="1218"/>
    </row>
    <row r="2479" spans="1:39" ht="15" customHeight="1" x14ac:dyDescent="0.25">
      <c r="A2479" s="1409"/>
      <c r="B2479" s="1409"/>
      <c r="C2479" s="1409"/>
      <c r="D2479" s="1409"/>
      <c r="E2479" s="1247"/>
      <c r="F2479" s="1248"/>
      <c r="G2479" s="111"/>
      <c r="H2479" s="1249"/>
      <c r="I2479" s="111"/>
      <c r="J2479" s="111"/>
      <c r="K2479" s="111"/>
      <c r="L2479" s="111"/>
      <c r="M2479" s="111"/>
      <c r="N2479" s="111"/>
      <c r="O2479" s="111"/>
      <c r="P2479" s="111"/>
      <c r="Q2479" s="111"/>
      <c r="R2479" s="111"/>
      <c r="S2479" s="1249"/>
      <c r="T2479" s="1250"/>
      <c r="U2479" s="1250"/>
      <c r="V2479" s="1250"/>
      <c r="W2479" s="1251"/>
      <c r="X2479" s="1250"/>
      <c r="Y2479" s="1250"/>
      <c r="Z2479" s="1250"/>
      <c r="AA2479" s="1250"/>
      <c r="AB2479" s="1250"/>
      <c r="AC2479" s="1250"/>
      <c r="AD2479" s="1250"/>
      <c r="AE2479" s="1249"/>
      <c r="AF2479" s="1250"/>
      <c r="AG2479" s="111"/>
      <c r="AH2479" s="111"/>
      <c r="AI2479" s="111"/>
      <c r="AJ2479" s="111"/>
      <c r="AK2479" s="111"/>
      <c r="AL2479" s="111"/>
      <c r="AM2479" s="111"/>
    </row>
    <row r="2480" spans="1:39" ht="15" customHeight="1" x14ac:dyDescent="0.25">
      <c r="A2480" s="1409"/>
      <c r="B2480" s="1409"/>
      <c r="C2480" s="1409"/>
      <c r="D2480" s="1409"/>
      <c r="E2480" s="1261">
        <v>37201</v>
      </c>
      <c r="F2480" s="1262" t="s">
        <v>928</v>
      </c>
      <c r="G2480" s="1261"/>
      <c r="H2480" s="1261"/>
      <c r="I2480" s="1261"/>
      <c r="J2480" s="1261"/>
      <c r="K2480" s="1261"/>
      <c r="L2480" s="1261"/>
      <c r="M2480" s="1261"/>
      <c r="N2480" s="1261"/>
      <c r="O2480" s="1261"/>
      <c r="P2480" s="1261"/>
      <c r="Q2480" s="1261"/>
      <c r="R2480" s="1261"/>
      <c r="S2480" s="1261"/>
      <c r="T2480" s="1261"/>
      <c r="U2480" s="1261"/>
      <c r="V2480" s="1261"/>
      <c r="W2480" s="1261"/>
      <c r="X2480" s="1261"/>
      <c r="Y2480" s="1261"/>
      <c r="Z2480" s="1261"/>
      <c r="AA2480" s="1261"/>
      <c r="AB2480" s="1261"/>
      <c r="AC2480" s="1261"/>
      <c r="AD2480" s="1261"/>
      <c r="AE2480" s="1261"/>
      <c r="AF2480" s="1261"/>
      <c r="AG2480" s="1261"/>
      <c r="AH2480" s="1261"/>
      <c r="AI2480" s="1261"/>
      <c r="AJ2480" s="1261"/>
      <c r="AK2480" s="1261"/>
      <c r="AL2480" s="1261"/>
      <c r="AM2480" s="1261"/>
    </row>
    <row r="2481" spans="1:39" ht="15" customHeight="1" x14ac:dyDescent="0.25">
      <c r="A2481" s="1409"/>
      <c r="B2481" s="1409"/>
      <c r="C2481" s="1409"/>
      <c r="D2481" s="1409"/>
      <c r="E2481" s="1247"/>
      <c r="F2481" s="1248" t="s">
        <v>928</v>
      </c>
      <c r="G2481" s="111"/>
      <c r="H2481" s="1249">
        <v>13</v>
      </c>
      <c r="I2481" s="111" t="s">
        <v>1755</v>
      </c>
      <c r="J2481" s="1321" t="s">
        <v>5608</v>
      </c>
      <c r="K2481" s="162" t="s">
        <v>5610</v>
      </c>
      <c r="L2481" s="162" t="s">
        <v>5609</v>
      </c>
      <c r="M2481" s="111">
        <v>13915.384615384615</v>
      </c>
      <c r="N2481" s="111">
        <v>180900</v>
      </c>
      <c r="O2481" s="111"/>
      <c r="P2481" s="111"/>
      <c r="Q2481" s="111"/>
      <c r="R2481" s="111"/>
      <c r="S2481" s="1249">
        <v>5</v>
      </c>
      <c r="T2481" s="1250">
        <v>60300</v>
      </c>
      <c r="U2481" s="1250"/>
      <c r="V2481" s="1250"/>
      <c r="W2481" s="1251">
        <v>5</v>
      </c>
      <c r="X2481" s="1250">
        <v>60300</v>
      </c>
      <c r="Y2481" s="1250"/>
      <c r="Z2481" s="1250"/>
      <c r="AA2481" s="1250"/>
      <c r="AB2481" s="1250"/>
      <c r="AC2481" s="1250"/>
      <c r="AD2481" s="1250"/>
      <c r="AE2481" s="1249">
        <v>3</v>
      </c>
      <c r="AF2481" s="1250">
        <v>60300</v>
      </c>
      <c r="AG2481" s="111"/>
      <c r="AH2481" s="111"/>
      <c r="AI2481" s="111"/>
      <c r="AJ2481" s="111"/>
      <c r="AK2481" s="111"/>
      <c r="AL2481" s="111"/>
      <c r="AM2481" s="111">
        <v>180900</v>
      </c>
    </row>
    <row r="2482" spans="1:39" ht="15" customHeight="1" x14ac:dyDescent="0.25">
      <c r="A2482" s="1409"/>
      <c r="B2482" s="1409"/>
      <c r="C2482" s="1409"/>
      <c r="D2482" s="1409"/>
      <c r="E2482" s="1291"/>
      <c r="F2482" s="1248" t="s">
        <v>4344</v>
      </c>
      <c r="G2482" s="111"/>
      <c r="H2482" s="1249">
        <v>33</v>
      </c>
      <c r="I2482" s="111" t="s">
        <v>1755</v>
      </c>
      <c r="J2482" s="1321" t="s">
        <v>5608</v>
      </c>
      <c r="K2482" s="162" t="s">
        <v>5610</v>
      </c>
      <c r="L2482" s="162" t="s">
        <v>5609</v>
      </c>
      <c r="M2482" s="111">
        <v>219.09090909090909</v>
      </c>
      <c r="N2482" s="111">
        <v>7230</v>
      </c>
      <c r="O2482" s="111"/>
      <c r="P2482" s="111"/>
      <c r="Q2482" s="111"/>
      <c r="R2482" s="111"/>
      <c r="S2482" s="1249">
        <v>13</v>
      </c>
      <c r="T2482" s="1250">
        <v>2410</v>
      </c>
      <c r="U2482" s="1250"/>
      <c r="V2482" s="1250"/>
      <c r="W2482" s="1251">
        <v>10</v>
      </c>
      <c r="X2482" s="1250">
        <v>2410</v>
      </c>
      <c r="Y2482" s="1250"/>
      <c r="Z2482" s="1250"/>
      <c r="AA2482" s="1250"/>
      <c r="AB2482" s="1250"/>
      <c r="AC2482" s="1250"/>
      <c r="AD2482" s="1250"/>
      <c r="AE2482" s="1249">
        <v>10</v>
      </c>
      <c r="AF2482" s="1250">
        <v>2410</v>
      </c>
      <c r="AG2482" s="111"/>
      <c r="AH2482" s="111"/>
      <c r="AI2482" s="111"/>
      <c r="AJ2482" s="111"/>
      <c r="AK2482" s="111"/>
      <c r="AL2482" s="111"/>
      <c r="AM2482" s="111">
        <v>7230</v>
      </c>
    </row>
    <row r="2483" spans="1:39" ht="15" customHeight="1" x14ac:dyDescent="0.25">
      <c r="A2483" s="1409"/>
      <c r="B2483" s="1409"/>
      <c r="C2483" s="1409"/>
      <c r="D2483" s="1409"/>
      <c r="E2483" s="1286"/>
      <c r="F2483" s="1248"/>
      <c r="G2483" s="111"/>
      <c r="H2483" s="1249"/>
      <c r="I2483" s="111"/>
      <c r="J2483" s="111"/>
      <c r="K2483" s="111"/>
      <c r="L2483" s="111"/>
      <c r="M2483" s="111"/>
      <c r="N2483" s="111"/>
      <c r="O2483" s="111"/>
      <c r="P2483" s="111"/>
      <c r="Q2483" s="111"/>
      <c r="R2483" s="111"/>
      <c r="S2483" s="1249"/>
      <c r="T2483" s="1250"/>
      <c r="U2483" s="1250"/>
      <c r="V2483" s="1250"/>
      <c r="W2483" s="1251"/>
      <c r="X2483" s="1250"/>
      <c r="Y2483" s="1250"/>
      <c r="Z2483" s="1250"/>
      <c r="AA2483" s="1250"/>
      <c r="AB2483" s="1250"/>
      <c r="AC2483" s="1250"/>
      <c r="AD2483" s="1250"/>
      <c r="AE2483" s="1249"/>
      <c r="AF2483" s="1250"/>
      <c r="AG2483" s="111"/>
      <c r="AH2483" s="111"/>
      <c r="AI2483" s="111"/>
      <c r="AJ2483" s="111"/>
      <c r="AK2483" s="111"/>
      <c r="AL2483" s="111"/>
      <c r="AM2483" s="111"/>
    </row>
    <row r="2484" spans="1:39" ht="15" customHeight="1" x14ac:dyDescent="0.25">
      <c r="A2484" s="1409"/>
      <c r="B2484" s="1409"/>
      <c r="C2484" s="1409"/>
      <c r="D2484" s="1409"/>
      <c r="E2484" s="1218">
        <v>375</v>
      </c>
      <c r="F2484" s="1268" t="s">
        <v>4345</v>
      </c>
      <c r="G2484" s="1218"/>
      <c r="H2484" s="1218"/>
      <c r="I2484" s="1218"/>
      <c r="J2484" s="1218"/>
      <c r="K2484" s="1218"/>
      <c r="L2484" s="1218"/>
      <c r="M2484" s="1218"/>
      <c r="N2484" s="1218"/>
      <c r="O2484" s="1218"/>
      <c r="P2484" s="1218"/>
      <c r="Q2484" s="1218"/>
      <c r="R2484" s="1218"/>
      <c r="S2484" s="1218"/>
      <c r="T2484" s="1218"/>
      <c r="U2484" s="1218"/>
      <c r="V2484" s="1218"/>
      <c r="W2484" s="1218"/>
      <c r="X2484" s="1218"/>
      <c r="Y2484" s="1218"/>
      <c r="Z2484" s="1218"/>
      <c r="AA2484" s="1218"/>
      <c r="AB2484" s="1218"/>
      <c r="AC2484" s="1218"/>
      <c r="AD2484" s="1218"/>
      <c r="AE2484" s="1218"/>
      <c r="AF2484" s="1218"/>
      <c r="AG2484" s="1218"/>
      <c r="AH2484" s="1218"/>
      <c r="AI2484" s="1218"/>
      <c r="AJ2484" s="1218"/>
      <c r="AK2484" s="1218"/>
      <c r="AL2484" s="1218"/>
      <c r="AM2484" s="1218"/>
    </row>
    <row r="2485" spans="1:39" ht="15" customHeight="1" x14ac:dyDescent="0.25">
      <c r="A2485" s="1409"/>
      <c r="B2485" s="1409"/>
      <c r="C2485" s="1409"/>
      <c r="D2485" s="1409"/>
      <c r="E2485" s="1247"/>
      <c r="F2485" s="1248"/>
      <c r="G2485" s="111"/>
      <c r="H2485" s="1249"/>
      <c r="I2485" s="111"/>
      <c r="J2485" s="111"/>
      <c r="K2485" s="111"/>
      <c r="L2485" s="111"/>
      <c r="M2485" s="111"/>
      <c r="N2485" s="111"/>
      <c r="O2485" s="111"/>
      <c r="P2485" s="111"/>
      <c r="Q2485" s="111"/>
      <c r="R2485" s="111"/>
      <c r="S2485" s="1249"/>
      <c r="T2485" s="1250"/>
      <c r="U2485" s="1250"/>
      <c r="V2485" s="1250"/>
      <c r="W2485" s="1251"/>
      <c r="X2485" s="1250"/>
      <c r="Y2485" s="1250"/>
      <c r="Z2485" s="1250"/>
      <c r="AA2485" s="1250"/>
      <c r="AB2485" s="1250"/>
      <c r="AC2485" s="1250"/>
      <c r="AD2485" s="1250"/>
      <c r="AE2485" s="1249"/>
      <c r="AF2485" s="1250"/>
      <c r="AG2485" s="111"/>
      <c r="AH2485" s="111"/>
      <c r="AI2485" s="111"/>
      <c r="AJ2485" s="111"/>
      <c r="AK2485" s="111"/>
      <c r="AL2485" s="111"/>
      <c r="AM2485" s="111"/>
    </row>
    <row r="2486" spans="1:39" ht="15" customHeight="1" x14ac:dyDescent="0.25">
      <c r="A2486" s="1409"/>
      <c r="B2486" s="1409"/>
      <c r="C2486" s="1409"/>
      <c r="D2486" s="1409"/>
      <c r="E2486" s="1261">
        <v>37501</v>
      </c>
      <c r="F2486" s="1262" t="s">
        <v>5497</v>
      </c>
      <c r="G2486" s="1261"/>
      <c r="H2486" s="1261"/>
      <c r="I2486" s="1261"/>
      <c r="J2486" s="1261"/>
      <c r="K2486" s="1261"/>
      <c r="L2486" s="1261"/>
      <c r="M2486" s="1261"/>
      <c r="N2486" s="1261"/>
      <c r="O2486" s="1261"/>
      <c r="P2486" s="1261"/>
      <c r="Q2486" s="1261"/>
      <c r="R2486" s="1261"/>
      <c r="S2486" s="1261"/>
      <c r="T2486" s="1261"/>
      <c r="U2486" s="1261"/>
      <c r="V2486" s="1261"/>
      <c r="W2486" s="1261"/>
      <c r="X2486" s="1261"/>
      <c r="Y2486" s="1261"/>
      <c r="Z2486" s="1261"/>
      <c r="AA2486" s="1261"/>
      <c r="AB2486" s="1261"/>
      <c r="AC2486" s="1261"/>
      <c r="AD2486" s="1261"/>
      <c r="AE2486" s="1261"/>
      <c r="AF2486" s="1261"/>
      <c r="AG2486" s="1261"/>
      <c r="AH2486" s="1261"/>
      <c r="AI2486" s="1261"/>
      <c r="AJ2486" s="1261"/>
      <c r="AK2486" s="1261"/>
      <c r="AL2486" s="1261"/>
      <c r="AM2486" s="1261"/>
    </row>
    <row r="2487" spans="1:39" ht="15" customHeight="1" x14ac:dyDescent="0.25">
      <c r="A2487" s="1409"/>
      <c r="B2487" s="1409"/>
      <c r="C2487" s="1409"/>
      <c r="D2487" s="1409"/>
      <c r="E2487" s="1300"/>
      <c r="F2487" s="1248" t="s">
        <v>5498</v>
      </c>
      <c r="G2487" s="111"/>
      <c r="H2487" s="1249">
        <v>3</v>
      </c>
      <c r="I2487" s="111" t="s">
        <v>1755</v>
      </c>
      <c r="J2487" s="1321" t="s">
        <v>5608</v>
      </c>
      <c r="K2487" s="162" t="s">
        <v>5610</v>
      </c>
      <c r="L2487" s="162" t="s">
        <v>5609</v>
      </c>
      <c r="M2487" s="111">
        <v>2500</v>
      </c>
      <c r="N2487" s="111">
        <v>7500</v>
      </c>
      <c r="O2487" s="111"/>
      <c r="P2487" s="111"/>
      <c r="Q2487" s="111"/>
      <c r="R2487" s="111"/>
      <c r="S2487" s="1249">
        <v>1</v>
      </c>
      <c r="T2487" s="1250">
        <v>2500</v>
      </c>
      <c r="U2487" s="1250"/>
      <c r="V2487" s="1250"/>
      <c r="W2487" s="1251">
        <v>1</v>
      </c>
      <c r="X2487" s="1250">
        <v>2500</v>
      </c>
      <c r="Y2487" s="1250"/>
      <c r="Z2487" s="1250"/>
      <c r="AA2487" s="1250"/>
      <c r="AB2487" s="1250"/>
      <c r="AC2487" s="1250"/>
      <c r="AD2487" s="1250"/>
      <c r="AE2487" s="1249">
        <v>1</v>
      </c>
      <c r="AF2487" s="1250">
        <v>2500</v>
      </c>
      <c r="AG2487" s="111"/>
      <c r="AH2487" s="111"/>
      <c r="AI2487" s="111"/>
      <c r="AJ2487" s="111"/>
      <c r="AK2487" s="111"/>
      <c r="AL2487" s="111"/>
      <c r="AM2487" s="111">
        <v>7500</v>
      </c>
    </row>
    <row r="2488" spans="1:39" ht="15" customHeight="1" x14ac:dyDescent="0.25">
      <c r="A2488" s="1409"/>
      <c r="B2488" s="1409"/>
      <c r="C2488" s="1409"/>
      <c r="D2488" s="1409"/>
      <c r="E2488" s="1300"/>
      <c r="F2488" s="1248" t="s">
        <v>5499</v>
      </c>
      <c r="G2488" s="111"/>
      <c r="H2488" s="1249">
        <v>3</v>
      </c>
      <c r="I2488" s="111" t="s">
        <v>1755</v>
      </c>
      <c r="J2488" s="1321" t="s">
        <v>5608</v>
      </c>
      <c r="K2488" s="162" t="s">
        <v>5610</v>
      </c>
      <c r="L2488" s="162" t="s">
        <v>5609</v>
      </c>
      <c r="M2488" s="111">
        <v>1160</v>
      </c>
      <c r="N2488" s="111">
        <v>3480</v>
      </c>
      <c r="O2488" s="111"/>
      <c r="P2488" s="111"/>
      <c r="Q2488" s="111"/>
      <c r="R2488" s="111"/>
      <c r="S2488" s="1249">
        <v>1</v>
      </c>
      <c r="T2488" s="1250">
        <v>1160</v>
      </c>
      <c r="U2488" s="1250"/>
      <c r="V2488" s="1250"/>
      <c r="W2488" s="1251">
        <v>1</v>
      </c>
      <c r="X2488" s="1250">
        <v>1160</v>
      </c>
      <c r="Y2488" s="1250"/>
      <c r="Z2488" s="1250"/>
      <c r="AA2488" s="1250"/>
      <c r="AB2488" s="1250"/>
      <c r="AC2488" s="1250"/>
      <c r="AD2488" s="1250"/>
      <c r="AE2488" s="1249">
        <v>1</v>
      </c>
      <c r="AF2488" s="1250">
        <v>1160</v>
      </c>
      <c r="AG2488" s="111"/>
      <c r="AH2488" s="111"/>
      <c r="AI2488" s="111"/>
      <c r="AJ2488" s="111"/>
      <c r="AK2488" s="111"/>
      <c r="AL2488" s="111"/>
      <c r="AM2488" s="111">
        <v>3480</v>
      </c>
    </row>
    <row r="2489" spans="1:39" ht="15" customHeight="1" x14ac:dyDescent="0.25">
      <c r="A2489" s="1409"/>
      <c r="B2489" s="1409"/>
      <c r="C2489" s="1409"/>
      <c r="D2489" s="1409"/>
      <c r="E2489" s="1300"/>
      <c r="F2489" s="1248" t="s">
        <v>5500</v>
      </c>
      <c r="G2489" s="111"/>
      <c r="H2489" s="1249">
        <v>3</v>
      </c>
      <c r="I2489" s="111" t="s">
        <v>1755</v>
      </c>
      <c r="J2489" s="1321" t="s">
        <v>5608</v>
      </c>
      <c r="K2489" s="162" t="s">
        <v>5610</v>
      </c>
      <c r="L2489" s="162" t="s">
        <v>5609</v>
      </c>
      <c r="M2489" s="111">
        <v>1160</v>
      </c>
      <c r="N2489" s="111">
        <v>3480</v>
      </c>
      <c r="O2489" s="111"/>
      <c r="P2489" s="111"/>
      <c r="Q2489" s="111"/>
      <c r="R2489" s="111"/>
      <c r="S2489" s="1249">
        <v>1</v>
      </c>
      <c r="T2489" s="1250">
        <v>1160</v>
      </c>
      <c r="U2489" s="1250"/>
      <c r="V2489" s="1250"/>
      <c r="W2489" s="1251">
        <v>1</v>
      </c>
      <c r="X2489" s="1250">
        <v>1160</v>
      </c>
      <c r="Y2489" s="1250"/>
      <c r="Z2489" s="1250"/>
      <c r="AA2489" s="1250"/>
      <c r="AB2489" s="1250"/>
      <c r="AC2489" s="1250"/>
      <c r="AD2489" s="1250"/>
      <c r="AE2489" s="1249">
        <v>1</v>
      </c>
      <c r="AF2489" s="1250">
        <v>1160</v>
      </c>
      <c r="AG2489" s="111"/>
      <c r="AH2489" s="111"/>
      <c r="AI2489" s="111"/>
      <c r="AJ2489" s="111"/>
      <c r="AK2489" s="111"/>
      <c r="AL2489" s="111"/>
      <c r="AM2489" s="111">
        <v>3480</v>
      </c>
    </row>
    <row r="2490" spans="1:39" ht="15" customHeight="1" x14ac:dyDescent="0.25">
      <c r="A2490" s="1409"/>
      <c r="B2490" s="1409"/>
      <c r="C2490" s="1409"/>
      <c r="D2490" s="1409"/>
      <c r="E2490" s="1300"/>
      <c r="F2490" s="1248" t="s">
        <v>5501</v>
      </c>
      <c r="G2490" s="111"/>
      <c r="H2490" s="1249">
        <v>13</v>
      </c>
      <c r="I2490" s="111" t="s">
        <v>1755</v>
      </c>
      <c r="J2490" s="1321" t="s">
        <v>5608</v>
      </c>
      <c r="K2490" s="162" t="s">
        <v>5610</v>
      </c>
      <c r="L2490" s="162" t="s">
        <v>5609</v>
      </c>
      <c r="M2490" s="111">
        <v>14653.846153846154</v>
      </c>
      <c r="N2490" s="111">
        <v>190500</v>
      </c>
      <c r="O2490" s="111"/>
      <c r="P2490" s="111"/>
      <c r="Q2490" s="111"/>
      <c r="R2490" s="111"/>
      <c r="S2490" s="1249">
        <v>5</v>
      </c>
      <c r="T2490" s="1250">
        <v>63500</v>
      </c>
      <c r="U2490" s="1250"/>
      <c r="V2490" s="1250"/>
      <c r="W2490" s="1251">
        <v>5</v>
      </c>
      <c r="X2490" s="1250">
        <v>63500</v>
      </c>
      <c r="Y2490" s="1250"/>
      <c r="Z2490" s="1250"/>
      <c r="AA2490" s="1250"/>
      <c r="AB2490" s="1250"/>
      <c r="AC2490" s="1250"/>
      <c r="AD2490" s="1250"/>
      <c r="AE2490" s="1249">
        <v>3</v>
      </c>
      <c r="AF2490" s="1250">
        <v>63500</v>
      </c>
      <c r="AG2490" s="111"/>
      <c r="AH2490" s="111"/>
      <c r="AI2490" s="111"/>
      <c r="AJ2490" s="111"/>
      <c r="AK2490" s="111"/>
      <c r="AL2490" s="111"/>
      <c r="AM2490" s="111">
        <v>190500</v>
      </c>
    </row>
    <row r="2491" spans="1:39" ht="15" customHeight="1" x14ac:dyDescent="0.25">
      <c r="A2491" s="1409"/>
      <c r="B2491" s="1409"/>
      <c r="C2491" s="1409"/>
      <c r="D2491" s="1409"/>
      <c r="E2491" s="1288"/>
      <c r="F2491" s="1248"/>
      <c r="G2491" s="111"/>
      <c r="H2491" s="1249"/>
      <c r="I2491" s="111"/>
      <c r="J2491" s="111"/>
      <c r="K2491" s="111"/>
      <c r="L2491" s="111"/>
      <c r="M2491" s="111"/>
      <c r="N2491" s="111"/>
      <c r="O2491" s="111"/>
      <c r="P2491" s="111"/>
      <c r="Q2491" s="111"/>
      <c r="R2491" s="111"/>
      <c r="S2491" s="1249"/>
      <c r="T2491" s="1250"/>
      <c r="U2491" s="1250"/>
      <c r="V2491" s="1250"/>
      <c r="W2491" s="1251"/>
      <c r="X2491" s="1250"/>
      <c r="Y2491" s="1250"/>
      <c r="Z2491" s="1250"/>
      <c r="AA2491" s="1250"/>
      <c r="AB2491" s="1250"/>
      <c r="AC2491" s="1250"/>
      <c r="AD2491" s="1250"/>
      <c r="AE2491" s="1249"/>
      <c r="AF2491" s="1250"/>
      <c r="AG2491" s="111"/>
      <c r="AH2491" s="111"/>
      <c r="AI2491" s="111"/>
      <c r="AJ2491" s="111"/>
      <c r="AK2491" s="111"/>
      <c r="AL2491" s="111"/>
      <c r="AM2491" s="111"/>
    </row>
    <row r="2492" spans="1:39" ht="15" customHeight="1" x14ac:dyDescent="0.25">
      <c r="A2492" s="1409"/>
      <c r="B2492" s="1409"/>
      <c r="C2492" s="1409"/>
      <c r="D2492" s="1409"/>
      <c r="E2492" s="1218">
        <v>379</v>
      </c>
      <c r="F2492" s="1268" t="s">
        <v>940</v>
      </c>
      <c r="G2492" s="1218"/>
      <c r="H2492" s="1218"/>
      <c r="I2492" s="1218"/>
      <c r="J2492" s="1218"/>
      <c r="K2492" s="1218"/>
      <c r="L2492" s="1218"/>
      <c r="M2492" s="1218"/>
      <c r="N2492" s="1218"/>
      <c r="O2492" s="1218"/>
      <c r="P2492" s="1218"/>
      <c r="Q2492" s="1218"/>
      <c r="R2492" s="1218"/>
      <c r="S2492" s="1218"/>
      <c r="T2492" s="1218"/>
      <c r="U2492" s="1218"/>
      <c r="V2492" s="1218"/>
      <c r="W2492" s="1218"/>
      <c r="X2492" s="1218"/>
      <c r="Y2492" s="1218"/>
      <c r="Z2492" s="1218"/>
      <c r="AA2492" s="1218"/>
      <c r="AB2492" s="1218"/>
      <c r="AC2492" s="1218"/>
      <c r="AD2492" s="1218"/>
      <c r="AE2492" s="1218"/>
      <c r="AF2492" s="1218"/>
      <c r="AG2492" s="1218"/>
      <c r="AH2492" s="1218"/>
      <c r="AI2492" s="1218"/>
      <c r="AJ2492" s="1218"/>
      <c r="AK2492" s="1218"/>
      <c r="AL2492" s="1218"/>
      <c r="AM2492" s="1218"/>
    </row>
    <row r="2493" spans="1:39" ht="15" customHeight="1" x14ac:dyDescent="0.25">
      <c r="A2493" s="1409"/>
      <c r="B2493" s="1409"/>
      <c r="C2493" s="1409"/>
      <c r="D2493" s="1409"/>
      <c r="E2493" s="1247"/>
      <c r="F2493" s="1248"/>
      <c r="G2493" s="111"/>
      <c r="H2493" s="1249"/>
      <c r="I2493" s="111"/>
      <c r="J2493" s="111"/>
      <c r="K2493" s="111"/>
      <c r="L2493" s="111"/>
      <c r="M2493" s="111"/>
      <c r="N2493" s="111"/>
      <c r="O2493" s="111"/>
      <c r="P2493" s="111"/>
      <c r="Q2493" s="111"/>
      <c r="R2493" s="111"/>
      <c r="S2493" s="1249"/>
      <c r="T2493" s="1250"/>
      <c r="U2493" s="1250"/>
      <c r="V2493" s="1250"/>
      <c r="W2493" s="1251"/>
      <c r="X2493" s="1250"/>
      <c r="Y2493" s="1250"/>
      <c r="Z2493" s="1250"/>
      <c r="AA2493" s="1250"/>
      <c r="AB2493" s="1250"/>
      <c r="AC2493" s="1250"/>
      <c r="AD2493" s="1250"/>
      <c r="AE2493" s="1249"/>
      <c r="AF2493" s="1250"/>
      <c r="AG2493" s="111"/>
      <c r="AH2493" s="111"/>
      <c r="AI2493" s="111"/>
      <c r="AJ2493" s="111"/>
      <c r="AK2493" s="111"/>
      <c r="AL2493" s="111"/>
      <c r="AM2493" s="111"/>
    </row>
    <row r="2494" spans="1:39" ht="15" customHeight="1" x14ac:dyDescent="0.25">
      <c r="A2494" s="1409"/>
      <c r="B2494" s="1409"/>
      <c r="C2494" s="1409"/>
      <c r="D2494" s="1409"/>
      <c r="E2494" s="1261">
        <v>37901</v>
      </c>
      <c r="F2494" s="1262" t="s">
        <v>941</v>
      </c>
      <c r="G2494" s="1261"/>
      <c r="H2494" s="1261"/>
      <c r="I2494" s="1261"/>
      <c r="J2494" s="1261"/>
      <c r="K2494" s="1261"/>
      <c r="L2494" s="1261"/>
      <c r="M2494" s="1261"/>
      <c r="N2494" s="1261"/>
      <c r="O2494" s="1261"/>
      <c r="P2494" s="1261"/>
      <c r="Q2494" s="1261"/>
      <c r="R2494" s="1261"/>
      <c r="S2494" s="1261"/>
      <c r="T2494" s="1261"/>
      <c r="U2494" s="1261"/>
      <c r="V2494" s="1261"/>
      <c r="W2494" s="1261"/>
      <c r="X2494" s="1261"/>
      <c r="Y2494" s="1261"/>
      <c r="Z2494" s="1261"/>
      <c r="AA2494" s="1261"/>
      <c r="AB2494" s="1261"/>
      <c r="AC2494" s="1261"/>
      <c r="AD2494" s="1261"/>
      <c r="AE2494" s="1261"/>
      <c r="AF2494" s="1261"/>
      <c r="AG2494" s="1261"/>
      <c r="AH2494" s="1261"/>
      <c r="AI2494" s="1261"/>
      <c r="AJ2494" s="1261"/>
      <c r="AK2494" s="1261"/>
      <c r="AL2494" s="1261"/>
      <c r="AM2494" s="1261"/>
    </row>
    <row r="2495" spans="1:39" ht="15" customHeight="1" x14ac:dyDescent="0.25">
      <c r="A2495" s="1409"/>
      <c r="B2495" s="1409"/>
      <c r="C2495" s="1409"/>
      <c r="D2495" s="1409"/>
      <c r="E2495" s="1286"/>
      <c r="F2495" s="1248" t="s">
        <v>1709</v>
      </c>
      <c r="G2495" s="111"/>
      <c r="H2495" s="1249">
        <v>3</v>
      </c>
      <c r="I2495" s="111" t="s">
        <v>1755</v>
      </c>
      <c r="J2495" s="1321" t="s">
        <v>5608</v>
      </c>
      <c r="K2495" s="162" t="s">
        <v>5610</v>
      </c>
      <c r="L2495" s="162" t="s">
        <v>5609</v>
      </c>
      <c r="M2495" s="111">
        <v>3479.9999999999995</v>
      </c>
      <c r="N2495" s="111">
        <v>10439.999999999998</v>
      </c>
      <c r="O2495" s="111"/>
      <c r="P2495" s="111"/>
      <c r="Q2495" s="111"/>
      <c r="R2495" s="111"/>
      <c r="S2495" s="1249">
        <v>1</v>
      </c>
      <c r="T2495" s="1250">
        <v>3479.9999999999995</v>
      </c>
      <c r="U2495" s="1250"/>
      <c r="V2495" s="1250"/>
      <c r="W2495" s="1251">
        <v>1</v>
      </c>
      <c r="X2495" s="1250">
        <v>3479.9999999999995</v>
      </c>
      <c r="Y2495" s="1250"/>
      <c r="Z2495" s="1250"/>
      <c r="AA2495" s="1250"/>
      <c r="AB2495" s="1250"/>
      <c r="AC2495" s="1250"/>
      <c r="AD2495" s="1250"/>
      <c r="AE2495" s="1249">
        <v>1</v>
      </c>
      <c r="AF2495" s="1250">
        <v>3479.9999999999995</v>
      </c>
      <c r="AG2495" s="111"/>
      <c r="AH2495" s="111"/>
      <c r="AI2495" s="111"/>
      <c r="AJ2495" s="111"/>
      <c r="AK2495" s="111"/>
      <c r="AL2495" s="111"/>
      <c r="AM2495" s="111">
        <v>10439.999999999998</v>
      </c>
    </row>
    <row r="2496" spans="1:39" ht="15" customHeight="1" x14ac:dyDescent="0.25">
      <c r="A2496" s="1409"/>
      <c r="B2496" s="1409"/>
      <c r="C2496" s="1409"/>
      <c r="D2496" s="1409"/>
      <c r="E2496" s="1286"/>
      <c r="F2496" s="1248"/>
      <c r="G2496" s="111"/>
      <c r="H2496" s="1249"/>
      <c r="I2496" s="111"/>
      <c r="J2496" s="111"/>
      <c r="K2496" s="162"/>
      <c r="L2496" s="162"/>
      <c r="M2496" s="111"/>
      <c r="N2496" s="111"/>
      <c r="O2496" s="111"/>
      <c r="P2496" s="111"/>
      <c r="Q2496" s="111"/>
      <c r="R2496" s="111"/>
      <c r="S2496" s="1249"/>
      <c r="T2496" s="1250"/>
      <c r="U2496" s="1250"/>
      <c r="V2496" s="1250"/>
      <c r="W2496" s="1251"/>
      <c r="X2496" s="1250"/>
      <c r="Y2496" s="1250"/>
      <c r="Z2496" s="1250"/>
      <c r="AA2496" s="1250"/>
      <c r="AB2496" s="1250"/>
      <c r="AC2496" s="1250"/>
      <c r="AD2496" s="1250"/>
      <c r="AE2496" s="1249"/>
      <c r="AF2496" s="1250"/>
      <c r="AG2496" s="111"/>
      <c r="AH2496" s="111"/>
      <c r="AI2496" s="111"/>
      <c r="AJ2496" s="111"/>
      <c r="AK2496" s="111"/>
      <c r="AL2496" s="111"/>
      <c r="AM2496" s="111"/>
    </row>
    <row r="2497" spans="1:39" ht="36" customHeight="1" x14ac:dyDescent="0.25">
      <c r="A2497" s="1409"/>
      <c r="B2497" s="1409"/>
      <c r="C2497" s="1409"/>
      <c r="D2497" s="1409"/>
      <c r="E2497" s="1204">
        <v>3800</v>
      </c>
      <c r="F2497" s="1274" t="s">
        <v>942</v>
      </c>
      <c r="G2497" s="1204"/>
      <c r="H2497" s="1204"/>
      <c r="I2497" s="1204"/>
      <c r="J2497" s="1204"/>
      <c r="K2497" s="1204"/>
      <c r="L2497" s="1204"/>
      <c r="M2497" s="1204"/>
      <c r="N2497" s="1204"/>
      <c r="O2497" s="1204"/>
      <c r="P2497" s="1204"/>
      <c r="Q2497" s="1204"/>
      <c r="R2497" s="1204"/>
      <c r="S2497" s="1204"/>
      <c r="T2497" s="1204"/>
      <c r="U2497" s="1204"/>
      <c r="V2497" s="1204"/>
      <c r="W2497" s="1204"/>
      <c r="X2497" s="1204"/>
      <c r="Y2497" s="1204"/>
      <c r="Z2497" s="1204"/>
      <c r="AA2497" s="1204"/>
      <c r="AB2497" s="1204"/>
      <c r="AC2497" s="1204"/>
      <c r="AD2497" s="1204"/>
      <c r="AE2497" s="1204"/>
      <c r="AF2497" s="1204"/>
      <c r="AG2497" s="1204"/>
      <c r="AH2497" s="1204"/>
      <c r="AI2497" s="1204"/>
      <c r="AJ2497" s="1204"/>
      <c r="AK2497" s="1204"/>
      <c r="AL2497" s="1204"/>
      <c r="AM2497" s="1204"/>
    </row>
    <row r="2498" spans="1:39" ht="15" customHeight="1" x14ac:dyDescent="0.25">
      <c r="A2498" s="1409"/>
      <c r="B2498" s="1409"/>
      <c r="C2498" s="1409"/>
      <c r="D2498" s="1409"/>
      <c r="E2498" s="1218">
        <v>382</v>
      </c>
      <c r="F2498" s="1268" t="s">
        <v>944</v>
      </c>
      <c r="G2498" s="1218"/>
      <c r="H2498" s="1218"/>
      <c r="I2498" s="1218"/>
      <c r="J2498" s="1218"/>
      <c r="K2498" s="1218"/>
      <c r="L2498" s="1218"/>
      <c r="M2498" s="1218"/>
      <c r="N2498" s="1218"/>
      <c r="O2498" s="1218"/>
      <c r="P2498" s="1218"/>
      <c r="Q2498" s="1218"/>
      <c r="R2498" s="1218"/>
      <c r="S2498" s="1218"/>
      <c r="T2498" s="1218"/>
      <c r="U2498" s="1218"/>
      <c r="V2498" s="1218"/>
      <c r="W2498" s="1218"/>
      <c r="X2498" s="1218"/>
      <c r="Y2498" s="1218"/>
      <c r="Z2498" s="1218"/>
      <c r="AA2498" s="1218"/>
      <c r="AB2498" s="1218"/>
      <c r="AC2498" s="1218"/>
      <c r="AD2498" s="1218"/>
      <c r="AE2498" s="1218"/>
      <c r="AF2498" s="1218"/>
      <c r="AG2498" s="1218"/>
      <c r="AH2498" s="1218"/>
      <c r="AI2498" s="1218"/>
      <c r="AJ2498" s="1218"/>
      <c r="AK2498" s="1218"/>
      <c r="AL2498" s="1218"/>
      <c r="AM2498" s="1218"/>
    </row>
    <row r="2499" spans="1:39" ht="15" customHeight="1" x14ac:dyDescent="0.25">
      <c r="A2499" s="1409"/>
      <c r="B2499" s="1409"/>
      <c r="C2499" s="1409"/>
      <c r="D2499" s="1409"/>
      <c r="E2499" s="1247"/>
      <c r="F2499" s="1248"/>
      <c r="G2499" s="111"/>
      <c r="H2499" s="1249"/>
      <c r="I2499" s="111"/>
      <c r="J2499" s="111"/>
      <c r="K2499" s="111"/>
      <c r="L2499" s="111"/>
      <c r="M2499" s="111"/>
      <c r="N2499" s="111"/>
      <c r="O2499" s="111"/>
      <c r="P2499" s="111"/>
      <c r="Q2499" s="111"/>
      <c r="R2499" s="111"/>
      <c r="S2499" s="1249"/>
      <c r="T2499" s="1250"/>
      <c r="U2499" s="1250"/>
      <c r="V2499" s="1250"/>
      <c r="W2499" s="1251"/>
      <c r="X2499" s="1250"/>
      <c r="Y2499" s="1250"/>
      <c r="Z2499" s="1250"/>
      <c r="AA2499" s="1250"/>
      <c r="AB2499" s="1250"/>
      <c r="AC2499" s="1250"/>
      <c r="AD2499" s="1250"/>
      <c r="AE2499" s="1249"/>
      <c r="AF2499" s="1250"/>
      <c r="AG2499" s="111"/>
      <c r="AH2499" s="111"/>
      <c r="AI2499" s="111"/>
      <c r="AJ2499" s="111"/>
      <c r="AK2499" s="111"/>
      <c r="AL2499" s="111"/>
      <c r="AM2499" s="111"/>
    </row>
    <row r="2500" spans="1:39" ht="15" customHeight="1" x14ac:dyDescent="0.25">
      <c r="A2500" s="1409"/>
      <c r="B2500" s="1409"/>
      <c r="C2500" s="1409"/>
      <c r="D2500" s="1409"/>
      <c r="E2500" s="1261">
        <v>38201</v>
      </c>
      <c r="F2500" s="1262" t="s">
        <v>944</v>
      </c>
      <c r="G2500" s="1261"/>
      <c r="H2500" s="1261"/>
      <c r="I2500" s="1261"/>
      <c r="J2500" s="1261"/>
      <c r="K2500" s="1261"/>
      <c r="L2500" s="1261"/>
      <c r="M2500" s="1261"/>
      <c r="N2500" s="1261"/>
      <c r="O2500" s="1261"/>
      <c r="P2500" s="1261"/>
      <c r="Q2500" s="1261"/>
      <c r="R2500" s="1261"/>
      <c r="S2500" s="1261"/>
      <c r="T2500" s="1261"/>
      <c r="U2500" s="1261"/>
      <c r="V2500" s="1261"/>
      <c r="W2500" s="1261"/>
      <c r="X2500" s="1261"/>
      <c r="Y2500" s="1261"/>
      <c r="Z2500" s="1261"/>
      <c r="AA2500" s="1261"/>
      <c r="AB2500" s="1261"/>
      <c r="AC2500" s="1261"/>
      <c r="AD2500" s="1261"/>
      <c r="AE2500" s="1261"/>
      <c r="AF2500" s="1261"/>
      <c r="AG2500" s="1261"/>
      <c r="AH2500" s="1261"/>
      <c r="AI2500" s="1261"/>
      <c r="AJ2500" s="1261"/>
      <c r="AK2500" s="1261"/>
      <c r="AL2500" s="1261"/>
      <c r="AM2500" s="1261"/>
    </row>
    <row r="2501" spans="1:39" ht="15" customHeight="1" x14ac:dyDescent="0.25">
      <c r="A2501" s="1409"/>
      <c r="B2501" s="1409"/>
      <c r="C2501" s="1409"/>
      <c r="D2501" s="1409"/>
      <c r="E2501" s="1286"/>
      <c r="F2501" s="1248" t="s">
        <v>5502</v>
      </c>
      <c r="G2501" s="111"/>
      <c r="H2501" s="1249">
        <v>1</v>
      </c>
      <c r="I2501" s="111" t="s">
        <v>1755</v>
      </c>
      <c r="J2501" s="1321" t="s">
        <v>5608</v>
      </c>
      <c r="K2501" s="162" t="s">
        <v>5610</v>
      </c>
      <c r="L2501" s="162" t="s">
        <v>5609</v>
      </c>
      <c r="M2501" s="111">
        <v>11600</v>
      </c>
      <c r="N2501" s="111">
        <v>11600</v>
      </c>
      <c r="O2501" s="111"/>
      <c r="P2501" s="111"/>
      <c r="Q2501" s="111"/>
      <c r="R2501" s="111"/>
      <c r="S2501" s="1249">
        <v>1</v>
      </c>
      <c r="T2501" s="1250">
        <v>3866.6666666666665</v>
      </c>
      <c r="U2501" s="1250"/>
      <c r="V2501" s="1250"/>
      <c r="W2501" s="1251">
        <v>0</v>
      </c>
      <c r="X2501" s="1250">
        <v>3866.6666666666665</v>
      </c>
      <c r="Y2501" s="1250"/>
      <c r="Z2501" s="1250"/>
      <c r="AA2501" s="1250"/>
      <c r="AB2501" s="1250"/>
      <c r="AC2501" s="1250"/>
      <c r="AD2501" s="1250"/>
      <c r="AE2501" s="1249">
        <v>0</v>
      </c>
      <c r="AF2501" s="1250">
        <v>3866.6666666666665</v>
      </c>
      <c r="AG2501" s="111"/>
      <c r="AH2501" s="111"/>
      <c r="AI2501" s="111"/>
      <c r="AJ2501" s="111"/>
      <c r="AK2501" s="111"/>
      <c r="AL2501" s="111"/>
      <c r="AM2501" s="111">
        <v>11600</v>
      </c>
    </row>
    <row r="2502" spans="1:39" ht="15" customHeight="1" x14ac:dyDescent="0.25">
      <c r="A2502" s="1409"/>
      <c r="B2502" s="1409"/>
      <c r="C2502" s="1409"/>
      <c r="D2502" s="1409"/>
      <c r="E2502" s="1286"/>
      <c r="F2502" s="1248" t="s">
        <v>5503</v>
      </c>
      <c r="G2502" s="111"/>
      <c r="H2502" s="1249">
        <v>1</v>
      </c>
      <c r="I2502" s="111" t="s">
        <v>1755</v>
      </c>
      <c r="J2502" s="1321" t="s">
        <v>5608</v>
      </c>
      <c r="K2502" s="162" t="s">
        <v>5610</v>
      </c>
      <c r="L2502" s="162" t="s">
        <v>5609</v>
      </c>
      <c r="M2502" s="111">
        <v>17400</v>
      </c>
      <c r="N2502" s="111">
        <v>17400</v>
      </c>
      <c r="O2502" s="111"/>
      <c r="P2502" s="111"/>
      <c r="Q2502" s="111"/>
      <c r="R2502" s="111"/>
      <c r="S2502" s="1249">
        <v>1</v>
      </c>
      <c r="T2502" s="1250">
        <v>5800</v>
      </c>
      <c r="U2502" s="1250"/>
      <c r="V2502" s="1250"/>
      <c r="W2502" s="1251">
        <v>0</v>
      </c>
      <c r="X2502" s="1250">
        <v>5800</v>
      </c>
      <c r="Y2502" s="1250"/>
      <c r="Z2502" s="1250"/>
      <c r="AA2502" s="1250"/>
      <c r="AB2502" s="1250"/>
      <c r="AC2502" s="1250"/>
      <c r="AD2502" s="1250"/>
      <c r="AE2502" s="1249">
        <v>0</v>
      </c>
      <c r="AF2502" s="1250">
        <v>5800</v>
      </c>
      <c r="AG2502" s="111"/>
      <c r="AH2502" s="111"/>
      <c r="AI2502" s="111"/>
      <c r="AJ2502" s="111"/>
      <c r="AK2502" s="111"/>
      <c r="AL2502" s="111"/>
      <c r="AM2502" s="111">
        <v>17400</v>
      </c>
    </row>
    <row r="2503" spans="1:39" ht="15" customHeight="1" x14ac:dyDescent="0.25">
      <c r="A2503" s="1409"/>
      <c r="B2503" s="1409"/>
      <c r="C2503" s="1409"/>
      <c r="D2503" s="1409"/>
      <c r="E2503" s="1286"/>
      <c r="F2503" s="1248" t="s">
        <v>5504</v>
      </c>
      <c r="G2503" s="111"/>
      <c r="H2503" s="1249">
        <v>2</v>
      </c>
      <c r="I2503" s="111" t="s">
        <v>5505</v>
      </c>
      <c r="J2503" s="1321" t="s">
        <v>5608</v>
      </c>
      <c r="K2503" s="162" t="s">
        <v>5610</v>
      </c>
      <c r="L2503" s="162" t="s">
        <v>5609</v>
      </c>
      <c r="M2503" s="111">
        <v>11600</v>
      </c>
      <c r="N2503" s="111">
        <v>23200</v>
      </c>
      <c r="O2503" s="111"/>
      <c r="P2503" s="111"/>
      <c r="Q2503" s="111"/>
      <c r="R2503" s="111"/>
      <c r="S2503" s="1249">
        <v>2</v>
      </c>
      <c r="T2503" s="1250">
        <v>7733.333333333333</v>
      </c>
      <c r="U2503" s="1250"/>
      <c r="V2503" s="1250"/>
      <c r="W2503" s="1251">
        <v>0</v>
      </c>
      <c r="X2503" s="1250">
        <v>7733.333333333333</v>
      </c>
      <c r="Y2503" s="1250"/>
      <c r="Z2503" s="1250"/>
      <c r="AA2503" s="1250"/>
      <c r="AB2503" s="1250"/>
      <c r="AC2503" s="1250"/>
      <c r="AD2503" s="1250"/>
      <c r="AE2503" s="1249">
        <v>0</v>
      </c>
      <c r="AF2503" s="1250">
        <v>7733.333333333333</v>
      </c>
      <c r="AG2503" s="111"/>
      <c r="AH2503" s="111"/>
      <c r="AI2503" s="111"/>
      <c r="AJ2503" s="111"/>
      <c r="AK2503" s="111"/>
      <c r="AL2503" s="111"/>
      <c r="AM2503" s="111">
        <v>23200</v>
      </c>
    </row>
    <row r="2504" spans="1:39" ht="15" customHeight="1" x14ac:dyDescent="0.25">
      <c r="A2504" s="1409"/>
      <c r="B2504" s="1409"/>
      <c r="C2504" s="1409"/>
      <c r="D2504" s="1409"/>
      <c r="E2504" s="1286"/>
      <c r="F2504" s="1248" t="s">
        <v>2833</v>
      </c>
      <c r="G2504" s="111"/>
      <c r="H2504" s="1249">
        <v>50</v>
      </c>
      <c r="I2504" s="111" t="s">
        <v>1721</v>
      </c>
      <c r="J2504" s="1321" t="s">
        <v>5608</v>
      </c>
      <c r="K2504" s="162" t="s">
        <v>5610</v>
      </c>
      <c r="L2504" s="162" t="s">
        <v>5609</v>
      </c>
      <c r="M2504" s="111">
        <v>290</v>
      </c>
      <c r="N2504" s="111">
        <v>14500</v>
      </c>
      <c r="O2504" s="111"/>
      <c r="P2504" s="111"/>
      <c r="Q2504" s="111"/>
      <c r="R2504" s="111"/>
      <c r="S2504" s="1249">
        <v>20</v>
      </c>
      <c r="T2504" s="1250">
        <v>4833.333333333333</v>
      </c>
      <c r="U2504" s="1250"/>
      <c r="V2504" s="1250"/>
      <c r="W2504" s="1251">
        <v>20</v>
      </c>
      <c r="X2504" s="1250">
        <v>4833.333333333333</v>
      </c>
      <c r="Y2504" s="1250"/>
      <c r="Z2504" s="1250"/>
      <c r="AA2504" s="1250"/>
      <c r="AB2504" s="1250"/>
      <c r="AC2504" s="1250"/>
      <c r="AD2504" s="1250"/>
      <c r="AE2504" s="1249">
        <v>10</v>
      </c>
      <c r="AF2504" s="1250">
        <v>4833.333333333333</v>
      </c>
      <c r="AG2504" s="111"/>
      <c r="AH2504" s="111"/>
      <c r="AI2504" s="111"/>
      <c r="AJ2504" s="111"/>
      <c r="AK2504" s="111"/>
      <c r="AL2504" s="111"/>
      <c r="AM2504" s="111">
        <v>14500</v>
      </c>
    </row>
    <row r="2505" spans="1:39" ht="15" customHeight="1" x14ac:dyDescent="0.25">
      <c r="A2505" s="1409"/>
      <c r="B2505" s="1409"/>
      <c r="C2505" s="1409"/>
      <c r="D2505" s="1409"/>
      <c r="E2505" s="1286"/>
      <c r="F2505" s="1248" t="s">
        <v>2834</v>
      </c>
      <c r="G2505" s="111"/>
      <c r="H2505" s="1249">
        <v>50</v>
      </c>
      <c r="I2505" s="111" t="s">
        <v>1721</v>
      </c>
      <c r="J2505" s="1321" t="s">
        <v>5608</v>
      </c>
      <c r="K2505" s="162" t="s">
        <v>5610</v>
      </c>
      <c r="L2505" s="162" t="s">
        <v>5609</v>
      </c>
      <c r="M2505" s="111">
        <v>197.2</v>
      </c>
      <c r="N2505" s="111">
        <v>9860</v>
      </c>
      <c r="O2505" s="111"/>
      <c r="P2505" s="111"/>
      <c r="Q2505" s="111"/>
      <c r="R2505" s="111"/>
      <c r="S2505" s="1249">
        <v>20</v>
      </c>
      <c r="T2505" s="1250">
        <v>3286.6666666666665</v>
      </c>
      <c r="U2505" s="1250"/>
      <c r="V2505" s="1250"/>
      <c r="W2505" s="1251">
        <v>20</v>
      </c>
      <c r="X2505" s="1250">
        <v>3286.6666666666665</v>
      </c>
      <c r="Y2505" s="1250"/>
      <c r="Z2505" s="1250"/>
      <c r="AA2505" s="1250"/>
      <c r="AB2505" s="1250"/>
      <c r="AC2505" s="1250"/>
      <c r="AD2505" s="1250"/>
      <c r="AE2505" s="1249">
        <v>10</v>
      </c>
      <c r="AF2505" s="1250">
        <v>3286.6666666666665</v>
      </c>
      <c r="AG2505" s="111"/>
      <c r="AH2505" s="111"/>
      <c r="AI2505" s="111"/>
      <c r="AJ2505" s="111"/>
      <c r="AK2505" s="111"/>
      <c r="AL2505" s="111"/>
      <c r="AM2505" s="111">
        <v>9860</v>
      </c>
    </row>
    <row r="2506" spans="1:39" ht="15" customHeight="1" x14ac:dyDescent="0.25">
      <c r="A2506" s="1409"/>
      <c r="B2506" s="1409"/>
      <c r="C2506" s="1409"/>
      <c r="D2506" s="1409"/>
      <c r="E2506" s="1286"/>
      <c r="F2506" s="1248" t="s">
        <v>5506</v>
      </c>
      <c r="G2506" s="111"/>
      <c r="H2506" s="1249">
        <v>35</v>
      </c>
      <c r="I2506" s="111" t="s">
        <v>1721</v>
      </c>
      <c r="J2506" s="1321" t="s">
        <v>5608</v>
      </c>
      <c r="K2506" s="162" t="s">
        <v>5610</v>
      </c>
      <c r="L2506" s="162" t="s">
        <v>5609</v>
      </c>
      <c r="M2506" s="111">
        <v>220.39999999999998</v>
      </c>
      <c r="N2506" s="111">
        <v>7713.9999999999991</v>
      </c>
      <c r="O2506" s="111"/>
      <c r="P2506" s="111"/>
      <c r="Q2506" s="111"/>
      <c r="R2506" s="111"/>
      <c r="S2506" s="1249">
        <v>15</v>
      </c>
      <c r="T2506" s="1250">
        <v>2571.333333333333</v>
      </c>
      <c r="U2506" s="1250"/>
      <c r="V2506" s="1250"/>
      <c r="W2506" s="1251">
        <v>15</v>
      </c>
      <c r="X2506" s="1250">
        <v>2571.333333333333</v>
      </c>
      <c r="Y2506" s="1250"/>
      <c r="Z2506" s="1250"/>
      <c r="AA2506" s="1250"/>
      <c r="AB2506" s="1250"/>
      <c r="AC2506" s="1250"/>
      <c r="AD2506" s="1250"/>
      <c r="AE2506" s="1249">
        <v>5</v>
      </c>
      <c r="AF2506" s="1250">
        <v>2571.333333333333</v>
      </c>
      <c r="AG2506" s="111"/>
      <c r="AH2506" s="111"/>
      <c r="AI2506" s="111"/>
      <c r="AJ2506" s="111"/>
      <c r="AK2506" s="111"/>
      <c r="AL2506" s="111"/>
      <c r="AM2506" s="111">
        <v>7713.9999999999991</v>
      </c>
    </row>
    <row r="2507" spans="1:39" ht="15" customHeight="1" x14ac:dyDescent="0.25">
      <c r="A2507" s="1409"/>
      <c r="B2507" s="1409"/>
      <c r="C2507" s="1409"/>
      <c r="D2507" s="1409"/>
      <c r="E2507" s="1286"/>
      <c r="F2507" s="1248" t="s">
        <v>5507</v>
      </c>
      <c r="G2507" s="111"/>
      <c r="H2507" s="1249">
        <v>35</v>
      </c>
      <c r="I2507" s="111" t="s">
        <v>1721</v>
      </c>
      <c r="J2507" s="1321" t="s">
        <v>5608</v>
      </c>
      <c r="K2507" s="162" t="s">
        <v>5610</v>
      </c>
      <c r="L2507" s="162" t="s">
        <v>5609</v>
      </c>
      <c r="M2507" s="111">
        <v>231.99999999999997</v>
      </c>
      <c r="N2507" s="111">
        <v>8119.9999999999991</v>
      </c>
      <c r="O2507" s="111"/>
      <c r="P2507" s="111"/>
      <c r="Q2507" s="111"/>
      <c r="R2507" s="111"/>
      <c r="S2507" s="1249">
        <v>15</v>
      </c>
      <c r="T2507" s="1250">
        <v>2706.6666666666665</v>
      </c>
      <c r="U2507" s="1250"/>
      <c r="V2507" s="1250"/>
      <c r="W2507" s="1251">
        <v>15</v>
      </c>
      <c r="X2507" s="1250">
        <v>2706.6666666666665</v>
      </c>
      <c r="Y2507" s="1250"/>
      <c r="Z2507" s="1250"/>
      <c r="AA2507" s="1250"/>
      <c r="AB2507" s="1250"/>
      <c r="AC2507" s="1250"/>
      <c r="AD2507" s="1250"/>
      <c r="AE2507" s="1249">
        <v>5</v>
      </c>
      <c r="AF2507" s="1250">
        <v>2706.6666666666665</v>
      </c>
      <c r="AG2507" s="111"/>
      <c r="AH2507" s="111"/>
      <c r="AI2507" s="111"/>
      <c r="AJ2507" s="111"/>
      <c r="AK2507" s="111"/>
      <c r="AL2507" s="111"/>
      <c r="AM2507" s="111">
        <v>8119.9999999999991</v>
      </c>
    </row>
    <row r="2508" spans="1:39" ht="15" customHeight="1" x14ac:dyDescent="0.25">
      <c r="A2508" s="1409"/>
      <c r="B2508" s="1409"/>
      <c r="C2508" s="1409"/>
      <c r="D2508" s="1409"/>
      <c r="E2508" s="1286"/>
      <c r="F2508" s="1248" t="s">
        <v>5508</v>
      </c>
      <c r="G2508" s="111"/>
      <c r="H2508" s="1249">
        <v>300</v>
      </c>
      <c r="I2508" s="111" t="s">
        <v>1721</v>
      </c>
      <c r="J2508" s="1321" t="s">
        <v>5608</v>
      </c>
      <c r="K2508" s="162" t="s">
        <v>5610</v>
      </c>
      <c r="L2508" s="162" t="s">
        <v>5609</v>
      </c>
      <c r="M2508" s="111">
        <v>130</v>
      </c>
      <c r="N2508" s="111">
        <v>39000</v>
      </c>
      <c r="O2508" s="111"/>
      <c r="P2508" s="111"/>
      <c r="Q2508" s="111"/>
      <c r="R2508" s="111"/>
      <c r="S2508" s="1249">
        <v>100</v>
      </c>
      <c r="T2508" s="1250">
        <v>13000</v>
      </c>
      <c r="U2508" s="1250"/>
      <c r="V2508" s="1250"/>
      <c r="W2508" s="1251">
        <v>100</v>
      </c>
      <c r="X2508" s="1250">
        <v>13000</v>
      </c>
      <c r="Y2508" s="1250"/>
      <c r="Z2508" s="1250"/>
      <c r="AA2508" s="1250"/>
      <c r="AB2508" s="1250"/>
      <c r="AC2508" s="1250"/>
      <c r="AD2508" s="1250"/>
      <c r="AE2508" s="1249">
        <v>100</v>
      </c>
      <c r="AF2508" s="1250">
        <v>13000</v>
      </c>
      <c r="AG2508" s="111"/>
      <c r="AH2508" s="111"/>
      <c r="AI2508" s="111"/>
      <c r="AJ2508" s="111"/>
      <c r="AK2508" s="111"/>
      <c r="AL2508" s="111"/>
      <c r="AM2508" s="111">
        <v>39000</v>
      </c>
    </row>
    <row r="2509" spans="1:39" ht="15" customHeight="1" x14ac:dyDescent="0.25">
      <c r="A2509" s="1409"/>
      <c r="B2509" s="1409"/>
      <c r="C2509" s="1409"/>
      <c r="D2509" s="1409"/>
      <c r="E2509" s="1286"/>
      <c r="F2509" s="1248" t="s">
        <v>2837</v>
      </c>
      <c r="G2509" s="111"/>
      <c r="H2509" s="1249">
        <v>70</v>
      </c>
      <c r="I2509" s="111" t="s">
        <v>1721</v>
      </c>
      <c r="J2509" s="1321" t="s">
        <v>5608</v>
      </c>
      <c r="K2509" s="162" t="s">
        <v>5610</v>
      </c>
      <c r="L2509" s="162" t="s">
        <v>5609</v>
      </c>
      <c r="M2509" s="111">
        <v>81.199999999999989</v>
      </c>
      <c r="N2509" s="111">
        <v>5683.9999999999991</v>
      </c>
      <c r="O2509" s="111"/>
      <c r="P2509" s="111"/>
      <c r="Q2509" s="111"/>
      <c r="R2509" s="111"/>
      <c r="S2509" s="1249">
        <v>30</v>
      </c>
      <c r="T2509" s="1250">
        <v>1894.6666666666663</v>
      </c>
      <c r="U2509" s="1250"/>
      <c r="V2509" s="1250"/>
      <c r="W2509" s="1251">
        <v>30</v>
      </c>
      <c r="X2509" s="1250">
        <v>1894.6666666666663</v>
      </c>
      <c r="Y2509" s="1250"/>
      <c r="Z2509" s="1250"/>
      <c r="AA2509" s="1250"/>
      <c r="AB2509" s="1250"/>
      <c r="AC2509" s="1250"/>
      <c r="AD2509" s="1250"/>
      <c r="AE2509" s="1249">
        <v>10</v>
      </c>
      <c r="AF2509" s="1250">
        <v>1894.6666666666663</v>
      </c>
      <c r="AG2509" s="111"/>
      <c r="AH2509" s="111"/>
      <c r="AI2509" s="111"/>
      <c r="AJ2509" s="111"/>
      <c r="AK2509" s="111"/>
      <c r="AL2509" s="111"/>
      <c r="AM2509" s="111">
        <v>5683.9999999999991</v>
      </c>
    </row>
    <row r="2510" spans="1:39" ht="15" customHeight="1" x14ac:dyDescent="0.25">
      <c r="A2510" s="1409"/>
      <c r="B2510" s="1409"/>
      <c r="C2510" s="1409"/>
      <c r="D2510" s="1409"/>
      <c r="E2510" s="1286"/>
      <c r="F2510" s="1248" t="s">
        <v>5509</v>
      </c>
      <c r="G2510" s="111"/>
      <c r="H2510" s="1249">
        <v>35</v>
      </c>
      <c r="I2510" s="111" t="s">
        <v>1721</v>
      </c>
      <c r="J2510" s="1321" t="s">
        <v>5608</v>
      </c>
      <c r="K2510" s="162" t="s">
        <v>5610</v>
      </c>
      <c r="L2510" s="162" t="s">
        <v>5609</v>
      </c>
      <c r="M2510" s="111">
        <v>231.99999999999997</v>
      </c>
      <c r="N2510" s="111">
        <v>8119.9999999999991</v>
      </c>
      <c r="O2510" s="111"/>
      <c r="P2510" s="111"/>
      <c r="Q2510" s="111"/>
      <c r="R2510" s="111"/>
      <c r="S2510" s="1249">
        <v>15</v>
      </c>
      <c r="T2510" s="1250">
        <v>2706.6666666666665</v>
      </c>
      <c r="U2510" s="1250"/>
      <c r="V2510" s="1250"/>
      <c r="W2510" s="1251">
        <v>15</v>
      </c>
      <c r="X2510" s="1250">
        <v>2706.6666666666665</v>
      </c>
      <c r="Y2510" s="1250"/>
      <c r="Z2510" s="1250"/>
      <c r="AA2510" s="1250"/>
      <c r="AB2510" s="1250"/>
      <c r="AC2510" s="1250"/>
      <c r="AD2510" s="1250"/>
      <c r="AE2510" s="1249">
        <v>5</v>
      </c>
      <c r="AF2510" s="1250">
        <v>2706.6666666666665</v>
      </c>
      <c r="AG2510" s="111"/>
      <c r="AH2510" s="111"/>
      <c r="AI2510" s="111"/>
      <c r="AJ2510" s="111"/>
      <c r="AK2510" s="111"/>
      <c r="AL2510" s="111"/>
      <c r="AM2510" s="111">
        <v>8119.9999999999991</v>
      </c>
    </row>
    <row r="2511" spans="1:39" ht="15" customHeight="1" x14ac:dyDescent="0.25">
      <c r="A2511" s="1409"/>
      <c r="B2511" s="1409"/>
      <c r="C2511" s="1409"/>
      <c r="D2511" s="1409"/>
      <c r="E2511" s="1286"/>
      <c r="F2511" s="1248" t="s">
        <v>5510</v>
      </c>
      <c r="G2511" s="111"/>
      <c r="H2511" s="1249">
        <v>1</v>
      </c>
      <c r="I2511" s="111" t="s">
        <v>5511</v>
      </c>
      <c r="J2511" s="1321" t="s">
        <v>5608</v>
      </c>
      <c r="K2511" s="162" t="s">
        <v>5610</v>
      </c>
      <c r="L2511" s="162" t="s">
        <v>5609</v>
      </c>
      <c r="M2511" s="111">
        <v>410366.2</v>
      </c>
      <c r="N2511" s="111">
        <v>410366.2</v>
      </c>
      <c r="O2511" s="111"/>
      <c r="P2511" s="111"/>
      <c r="Q2511" s="111"/>
      <c r="R2511" s="111"/>
      <c r="S2511" s="1249">
        <v>1</v>
      </c>
      <c r="T2511" s="1250">
        <v>136788.73333333334</v>
      </c>
      <c r="U2511" s="1250"/>
      <c r="V2511" s="1250"/>
      <c r="W2511" s="1251">
        <v>0</v>
      </c>
      <c r="X2511" s="1250">
        <v>136788.73333333334</v>
      </c>
      <c r="Y2511" s="1250"/>
      <c r="Z2511" s="1250"/>
      <c r="AA2511" s="1250"/>
      <c r="AB2511" s="1250"/>
      <c r="AC2511" s="1250"/>
      <c r="AD2511" s="1250"/>
      <c r="AE2511" s="1249">
        <v>0</v>
      </c>
      <c r="AF2511" s="1250">
        <v>136788.73333333334</v>
      </c>
      <c r="AG2511" s="111"/>
      <c r="AH2511" s="111"/>
      <c r="AI2511" s="111"/>
      <c r="AJ2511" s="111"/>
      <c r="AK2511" s="111"/>
      <c r="AL2511" s="111"/>
      <c r="AM2511" s="111">
        <v>410366.2</v>
      </c>
    </row>
    <row r="2512" spans="1:39" ht="15" customHeight="1" x14ac:dyDescent="0.25">
      <c r="A2512" s="1409"/>
      <c r="B2512" s="1409"/>
      <c r="C2512" s="1409"/>
      <c r="D2512" s="1409"/>
      <c r="E2512" s="1286"/>
      <c r="F2512" s="1248" t="s">
        <v>5512</v>
      </c>
      <c r="G2512" s="111"/>
      <c r="H2512" s="1249">
        <v>1</v>
      </c>
      <c r="I2512" s="111" t="s">
        <v>5511</v>
      </c>
      <c r="J2512" s="1321" t="s">
        <v>5608</v>
      </c>
      <c r="K2512" s="162" t="s">
        <v>5610</v>
      </c>
      <c r="L2512" s="162" t="s">
        <v>5609</v>
      </c>
      <c r="M2512" s="111">
        <v>201084.91</v>
      </c>
      <c r="N2512" s="111">
        <v>201084.91</v>
      </c>
      <c r="O2512" s="111"/>
      <c r="P2512" s="111"/>
      <c r="Q2512" s="111"/>
      <c r="R2512" s="111"/>
      <c r="S2512" s="1249">
        <v>1</v>
      </c>
      <c r="T2512" s="1250">
        <v>67028.30333333333</v>
      </c>
      <c r="U2512" s="1250"/>
      <c r="V2512" s="1250"/>
      <c r="W2512" s="1251">
        <v>0</v>
      </c>
      <c r="X2512" s="1250">
        <v>67028.30333333333</v>
      </c>
      <c r="Y2512" s="1250"/>
      <c r="Z2512" s="1250"/>
      <c r="AA2512" s="1250"/>
      <c r="AB2512" s="1250"/>
      <c r="AC2512" s="1250"/>
      <c r="AD2512" s="1250"/>
      <c r="AE2512" s="1249">
        <v>0</v>
      </c>
      <c r="AF2512" s="1250">
        <v>67028.30333333333</v>
      </c>
      <c r="AG2512" s="111"/>
      <c r="AH2512" s="111"/>
      <c r="AI2512" s="111"/>
      <c r="AJ2512" s="111"/>
      <c r="AK2512" s="111"/>
      <c r="AL2512" s="111"/>
      <c r="AM2512" s="111">
        <v>201084.91</v>
      </c>
    </row>
    <row r="2513" spans="1:39" ht="15" customHeight="1" x14ac:dyDescent="0.25">
      <c r="A2513" s="1409"/>
      <c r="B2513" s="1409"/>
      <c r="C2513" s="1409"/>
      <c r="D2513" s="1409"/>
      <c r="E2513" s="1286"/>
      <c r="F2513" s="1248" t="s">
        <v>5513</v>
      </c>
      <c r="G2513" s="111"/>
      <c r="H2513" s="1249">
        <v>1</v>
      </c>
      <c r="I2513" s="111" t="s">
        <v>5511</v>
      </c>
      <c r="J2513" s="1321" t="s">
        <v>5608</v>
      </c>
      <c r="K2513" s="162" t="s">
        <v>5610</v>
      </c>
      <c r="L2513" s="162" t="s">
        <v>5609</v>
      </c>
      <c r="M2513" s="111">
        <v>254610</v>
      </c>
      <c r="N2513" s="111">
        <v>254610</v>
      </c>
      <c r="O2513" s="111"/>
      <c r="P2513" s="111"/>
      <c r="Q2513" s="111"/>
      <c r="R2513" s="111"/>
      <c r="S2513" s="1249">
        <v>1</v>
      </c>
      <c r="T2513" s="1250">
        <v>84870</v>
      </c>
      <c r="U2513" s="1250"/>
      <c r="V2513" s="1250"/>
      <c r="W2513" s="1251">
        <v>0</v>
      </c>
      <c r="X2513" s="1250">
        <v>84870</v>
      </c>
      <c r="Y2513" s="1250"/>
      <c r="Z2513" s="1250"/>
      <c r="AA2513" s="1250"/>
      <c r="AB2513" s="1250"/>
      <c r="AC2513" s="1250"/>
      <c r="AD2513" s="1250"/>
      <c r="AE2513" s="1249">
        <v>0</v>
      </c>
      <c r="AF2513" s="1250">
        <v>84870</v>
      </c>
      <c r="AG2513" s="111"/>
      <c r="AH2513" s="111"/>
      <c r="AI2513" s="111"/>
      <c r="AJ2513" s="111"/>
      <c r="AK2513" s="111"/>
      <c r="AL2513" s="111"/>
      <c r="AM2513" s="111">
        <v>254610</v>
      </c>
    </row>
    <row r="2514" spans="1:39" ht="15" customHeight="1" x14ac:dyDescent="0.25">
      <c r="A2514" s="1409"/>
      <c r="B2514" s="1409"/>
      <c r="C2514" s="1409"/>
      <c r="D2514" s="1409"/>
      <c r="E2514" s="1286"/>
      <c r="F2514" s="1248" t="s">
        <v>5514</v>
      </c>
      <c r="G2514" s="111"/>
      <c r="H2514" s="1249">
        <v>100</v>
      </c>
      <c r="I2514" s="111" t="s">
        <v>1721</v>
      </c>
      <c r="J2514" s="1321" t="s">
        <v>5608</v>
      </c>
      <c r="K2514" s="162" t="s">
        <v>5610</v>
      </c>
      <c r="L2514" s="162" t="s">
        <v>5609</v>
      </c>
      <c r="M2514" s="111">
        <v>10.8</v>
      </c>
      <c r="N2514" s="111">
        <v>1080</v>
      </c>
      <c r="O2514" s="111"/>
      <c r="P2514" s="111"/>
      <c r="Q2514" s="111"/>
      <c r="R2514" s="111"/>
      <c r="S2514" s="1249">
        <v>40</v>
      </c>
      <c r="T2514" s="1250">
        <v>360</v>
      </c>
      <c r="U2514" s="1250"/>
      <c r="V2514" s="1250"/>
      <c r="W2514" s="1251">
        <v>40</v>
      </c>
      <c r="X2514" s="1250">
        <v>360</v>
      </c>
      <c r="Y2514" s="1250"/>
      <c r="Z2514" s="1250"/>
      <c r="AA2514" s="1250"/>
      <c r="AB2514" s="1250"/>
      <c r="AC2514" s="1250"/>
      <c r="AD2514" s="1250"/>
      <c r="AE2514" s="1249">
        <v>20</v>
      </c>
      <c r="AF2514" s="1250">
        <v>360</v>
      </c>
      <c r="AG2514" s="111"/>
      <c r="AH2514" s="111"/>
      <c r="AI2514" s="111"/>
      <c r="AJ2514" s="111"/>
      <c r="AK2514" s="111"/>
      <c r="AL2514" s="111"/>
      <c r="AM2514" s="111">
        <v>1080</v>
      </c>
    </row>
    <row r="2515" spans="1:39" ht="15" customHeight="1" x14ac:dyDescent="0.25">
      <c r="A2515" s="1409"/>
      <c r="B2515" s="1409"/>
      <c r="C2515" s="1409"/>
      <c r="D2515" s="1409"/>
      <c r="E2515" s="1288"/>
      <c r="F2515" s="1248"/>
      <c r="G2515" s="111"/>
      <c r="H2515" s="1249"/>
      <c r="I2515" s="111"/>
      <c r="J2515" s="111"/>
      <c r="K2515" s="111"/>
      <c r="L2515" s="111"/>
      <c r="M2515" s="111"/>
      <c r="N2515" s="111"/>
      <c r="O2515" s="111"/>
      <c r="P2515" s="111"/>
      <c r="Q2515" s="111"/>
      <c r="R2515" s="111"/>
      <c r="S2515" s="1249"/>
      <c r="T2515" s="1250"/>
      <c r="U2515" s="1250"/>
      <c r="V2515" s="1250"/>
      <c r="W2515" s="1251"/>
      <c r="X2515" s="1250"/>
      <c r="Y2515" s="1250"/>
      <c r="Z2515" s="1250"/>
      <c r="AA2515" s="1250"/>
      <c r="AB2515" s="1250"/>
      <c r="AC2515" s="1250"/>
      <c r="AD2515" s="1250"/>
      <c r="AE2515" s="1249"/>
      <c r="AF2515" s="1250"/>
      <c r="AG2515" s="111"/>
      <c r="AH2515" s="111"/>
      <c r="AI2515" s="111"/>
      <c r="AJ2515" s="111"/>
      <c r="AK2515" s="111"/>
      <c r="AL2515" s="111"/>
      <c r="AM2515" s="111"/>
    </row>
    <row r="2516" spans="1:39" ht="15" customHeight="1" x14ac:dyDescent="0.25">
      <c r="A2516" s="1409"/>
      <c r="B2516" s="1409"/>
      <c r="C2516" s="1409"/>
      <c r="D2516" s="1409"/>
      <c r="E2516" s="1218">
        <v>392</v>
      </c>
      <c r="F2516" s="1268" t="s">
        <v>952</v>
      </c>
      <c r="G2516" s="1218"/>
      <c r="H2516" s="1218"/>
      <c r="I2516" s="1218"/>
      <c r="J2516" s="1218"/>
      <c r="K2516" s="1218"/>
      <c r="L2516" s="1218"/>
      <c r="M2516" s="1218"/>
      <c r="N2516" s="1218"/>
      <c r="O2516" s="1218"/>
      <c r="P2516" s="1218"/>
      <c r="Q2516" s="1218"/>
      <c r="R2516" s="1218"/>
      <c r="S2516" s="1218"/>
      <c r="T2516" s="1218"/>
      <c r="U2516" s="1218"/>
      <c r="V2516" s="1218"/>
      <c r="W2516" s="1218"/>
      <c r="X2516" s="1218"/>
      <c r="Y2516" s="1218"/>
      <c r="Z2516" s="1218"/>
      <c r="AA2516" s="1218"/>
      <c r="AB2516" s="1218"/>
      <c r="AC2516" s="1218"/>
      <c r="AD2516" s="1218"/>
      <c r="AE2516" s="1218"/>
      <c r="AF2516" s="1218"/>
      <c r="AG2516" s="1218"/>
      <c r="AH2516" s="1218"/>
      <c r="AI2516" s="1218"/>
      <c r="AJ2516" s="1218"/>
      <c r="AK2516" s="1218"/>
      <c r="AL2516" s="1218"/>
      <c r="AM2516" s="1218"/>
    </row>
    <row r="2517" spans="1:39" ht="15" customHeight="1" x14ac:dyDescent="0.25">
      <c r="A2517" s="1409"/>
      <c r="B2517" s="1409"/>
      <c r="C2517" s="1409"/>
      <c r="D2517" s="1409"/>
      <c r="E2517" s="1247"/>
      <c r="F2517" s="1248"/>
      <c r="G2517" s="111"/>
      <c r="H2517" s="1249"/>
      <c r="I2517" s="111"/>
      <c r="J2517" s="111"/>
      <c r="K2517" s="111"/>
      <c r="L2517" s="111"/>
      <c r="M2517" s="111"/>
      <c r="N2517" s="111"/>
      <c r="O2517" s="111"/>
      <c r="P2517" s="111"/>
      <c r="Q2517" s="111"/>
      <c r="R2517" s="111"/>
      <c r="S2517" s="1249"/>
      <c r="T2517" s="1250"/>
      <c r="U2517" s="1250"/>
      <c r="V2517" s="1250"/>
      <c r="W2517" s="1251"/>
      <c r="X2517" s="1250"/>
      <c r="Y2517" s="1250"/>
      <c r="Z2517" s="1250"/>
      <c r="AA2517" s="1250"/>
      <c r="AB2517" s="1250"/>
      <c r="AC2517" s="1250"/>
      <c r="AD2517" s="1250"/>
      <c r="AE2517" s="1249"/>
      <c r="AF2517" s="1250"/>
      <c r="AG2517" s="111"/>
      <c r="AH2517" s="111"/>
      <c r="AI2517" s="111"/>
      <c r="AJ2517" s="111"/>
      <c r="AK2517" s="111"/>
      <c r="AL2517" s="111"/>
      <c r="AM2517" s="111"/>
    </row>
    <row r="2518" spans="1:39" ht="15" customHeight="1" x14ac:dyDescent="0.25">
      <c r="A2518" s="1409"/>
      <c r="B2518" s="1409"/>
      <c r="C2518" s="1409"/>
      <c r="D2518" s="1409"/>
      <c r="E2518" s="1261">
        <v>39202</v>
      </c>
      <c r="F2518" s="1262" t="s">
        <v>954</v>
      </c>
      <c r="G2518" s="1261"/>
      <c r="H2518" s="1261"/>
      <c r="I2518" s="1261"/>
      <c r="J2518" s="1261"/>
      <c r="K2518" s="1261"/>
      <c r="L2518" s="1261"/>
      <c r="M2518" s="1261"/>
      <c r="N2518" s="1261"/>
      <c r="O2518" s="1261"/>
      <c r="P2518" s="1261"/>
      <c r="Q2518" s="1261"/>
      <c r="R2518" s="1261"/>
      <c r="S2518" s="1261"/>
      <c r="T2518" s="1261"/>
      <c r="U2518" s="1261"/>
      <c r="V2518" s="1261"/>
      <c r="W2518" s="1261"/>
      <c r="X2518" s="1261"/>
      <c r="Y2518" s="1261"/>
      <c r="Z2518" s="1261"/>
      <c r="AA2518" s="1261"/>
      <c r="AB2518" s="1261"/>
      <c r="AC2518" s="1261"/>
      <c r="AD2518" s="1261"/>
      <c r="AE2518" s="1261"/>
      <c r="AF2518" s="1261"/>
      <c r="AG2518" s="1261"/>
      <c r="AH2518" s="1261"/>
      <c r="AI2518" s="1261"/>
      <c r="AJ2518" s="1261"/>
      <c r="AK2518" s="1261"/>
      <c r="AL2518" s="1261"/>
      <c r="AM2518" s="1261"/>
    </row>
    <row r="2519" spans="1:39" ht="15" customHeight="1" x14ac:dyDescent="0.25">
      <c r="A2519" s="1409"/>
      <c r="B2519" s="1409"/>
      <c r="C2519" s="1409"/>
      <c r="D2519" s="1409"/>
      <c r="E2519" s="1247"/>
      <c r="F2519" s="1248" t="s">
        <v>954</v>
      </c>
      <c r="G2519" s="111"/>
      <c r="H2519" s="1249">
        <v>12</v>
      </c>
      <c r="I2519" s="111" t="s">
        <v>1755</v>
      </c>
      <c r="J2519" s="1321" t="s">
        <v>5608</v>
      </c>
      <c r="K2519" s="162" t="s">
        <v>5610</v>
      </c>
      <c r="L2519" s="162" t="s">
        <v>5609</v>
      </c>
      <c r="M2519" s="111">
        <v>2000</v>
      </c>
      <c r="N2519" s="111">
        <v>24000</v>
      </c>
      <c r="O2519" s="111"/>
      <c r="P2519" s="111"/>
      <c r="Q2519" s="111"/>
      <c r="R2519" s="111"/>
      <c r="S2519" s="1249">
        <v>5</v>
      </c>
      <c r="T2519" s="1250">
        <v>8000</v>
      </c>
      <c r="U2519" s="1250"/>
      <c r="V2519" s="1250"/>
      <c r="W2519" s="1251">
        <v>5</v>
      </c>
      <c r="X2519" s="1250">
        <v>8000</v>
      </c>
      <c r="Y2519" s="1250"/>
      <c r="Z2519" s="1250"/>
      <c r="AA2519" s="1250"/>
      <c r="AB2519" s="1250"/>
      <c r="AC2519" s="1250"/>
      <c r="AD2519" s="1250"/>
      <c r="AE2519" s="1249">
        <v>2</v>
      </c>
      <c r="AF2519" s="1250">
        <v>8000</v>
      </c>
      <c r="AG2519" s="111"/>
      <c r="AH2519" s="111"/>
      <c r="AI2519" s="111"/>
      <c r="AJ2519" s="111"/>
      <c r="AK2519" s="111"/>
      <c r="AL2519" s="111"/>
      <c r="AM2519" s="111">
        <v>24000</v>
      </c>
    </row>
    <row r="2520" spans="1:39" ht="15" customHeight="1" x14ac:dyDescent="0.25">
      <c r="A2520" s="1409"/>
      <c r="B2520" s="1409"/>
      <c r="C2520" s="1409"/>
      <c r="D2520" s="1409"/>
      <c r="E2520" s="1286"/>
      <c r="F2520" s="1248" t="s">
        <v>5515</v>
      </c>
      <c r="G2520" s="111"/>
      <c r="H2520" s="1249">
        <v>1</v>
      </c>
      <c r="I2520" s="111" t="s">
        <v>1755</v>
      </c>
      <c r="J2520" s="1321" t="s">
        <v>5608</v>
      </c>
      <c r="K2520" s="162" t="s">
        <v>5610</v>
      </c>
      <c r="L2520" s="162" t="s">
        <v>5609</v>
      </c>
      <c r="M2520" s="111">
        <v>700</v>
      </c>
      <c r="N2520" s="111">
        <v>700</v>
      </c>
      <c r="O2520" s="111"/>
      <c r="P2520" s="111"/>
      <c r="Q2520" s="111"/>
      <c r="R2520" s="111"/>
      <c r="S2520" s="1249">
        <v>1</v>
      </c>
      <c r="T2520" s="1250">
        <v>233.33333333333334</v>
      </c>
      <c r="U2520" s="1250"/>
      <c r="V2520" s="1250"/>
      <c r="W2520" s="1251">
        <v>0</v>
      </c>
      <c r="X2520" s="1250">
        <v>233.33333333333334</v>
      </c>
      <c r="Y2520" s="1250"/>
      <c r="Z2520" s="1250"/>
      <c r="AA2520" s="1250"/>
      <c r="AB2520" s="1250"/>
      <c r="AC2520" s="1250"/>
      <c r="AD2520" s="1250"/>
      <c r="AE2520" s="1249">
        <v>0</v>
      </c>
      <c r="AF2520" s="1250">
        <v>233.33333333333334</v>
      </c>
      <c r="AG2520" s="111"/>
      <c r="AH2520" s="111"/>
      <c r="AI2520" s="111"/>
      <c r="AJ2520" s="111"/>
      <c r="AK2520" s="111"/>
      <c r="AL2520" s="111"/>
      <c r="AM2520" s="111">
        <v>700</v>
      </c>
    </row>
    <row r="2521" spans="1:39" ht="15" customHeight="1" x14ac:dyDescent="0.25">
      <c r="A2521" s="1409"/>
      <c r="B2521" s="1409"/>
      <c r="C2521" s="1409"/>
      <c r="D2521" s="1409"/>
      <c r="E2521" s="1286"/>
      <c r="F2521" s="1248"/>
      <c r="G2521" s="111"/>
      <c r="H2521" s="1249"/>
      <c r="I2521" s="111"/>
      <c r="J2521" s="111"/>
      <c r="K2521" s="111"/>
      <c r="L2521" s="111"/>
      <c r="M2521" s="111"/>
      <c r="N2521" s="111"/>
      <c r="O2521" s="111"/>
      <c r="P2521" s="111"/>
      <c r="Q2521" s="111"/>
      <c r="R2521" s="111"/>
      <c r="S2521" s="1249"/>
      <c r="T2521" s="1250"/>
      <c r="U2521" s="1250"/>
      <c r="V2521" s="1250"/>
      <c r="W2521" s="1251"/>
      <c r="X2521" s="1250"/>
      <c r="Y2521" s="1250"/>
      <c r="Z2521" s="1250"/>
      <c r="AA2521" s="1250"/>
      <c r="AB2521" s="1250"/>
      <c r="AC2521" s="1250"/>
      <c r="AD2521" s="1250"/>
      <c r="AE2521" s="1249"/>
      <c r="AF2521" s="1250"/>
      <c r="AG2521" s="111"/>
      <c r="AH2521" s="111"/>
      <c r="AI2521" s="111"/>
      <c r="AJ2521" s="111"/>
      <c r="AK2521" s="111"/>
      <c r="AL2521" s="111"/>
      <c r="AM2521" s="111"/>
    </row>
    <row r="2522" spans="1:39" ht="15" customHeight="1" x14ac:dyDescent="0.25">
      <c r="A2522" s="1409"/>
      <c r="B2522" s="1409"/>
      <c r="C2522" s="1409"/>
      <c r="D2522" s="1409"/>
      <c r="E2522" s="1218">
        <v>396</v>
      </c>
      <c r="F2522" s="1268" t="s">
        <v>960</v>
      </c>
      <c r="G2522" s="1218"/>
      <c r="H2522" s="1218"/>
      <c r="I2522" s="1218"/>
      <c r="J2522" s="1218"/>
      <c r="K2522" s="1218"/>
      <c r="L2522" s="1218"/>
      <c r="M2522" s="1218"/>
      <c r="N2522" s="1218"/>
      <c r="O2522" s="1218"/>
      <c r="P2522" s="1218"/>
      <c r="Q2522" s="1218"/>
      <c r="R2522" s="1218"/>
      <c r="S2522" s="1218"/>
      <c r="T2522" s="1218"/>
      <c r="U2522" s="1218"/>
      <c r="V2522" s="1218"/>
      <c r="W2522" s="1218"/>
      <c r="X2522" s="1218"/>
      <c r="Y2522" s="1218"/>
      <c r="Z2522" s="1218"/>
      <c r="AA2522" s="1218"/>
      <c r="AB2522" s="1218"/>
      <c r="AC2522" s="1218"/>
      <c r="AD2522" s="1218"/>
      <c r="AE2522" s="1218"/>
      <c r="AF2522" s="1218"/>
      <c r="AG2522" s="1218"/>
      <c r="AH2522" s="1218"/>
      <c r="AI2522" s="1218"/>
      <c r="AJ2522" s="1218"/>
      <c r="AK2522" s="1218"/>
      <c r="AL2522" s="1218"/>
      <c r="AM2522" s="1218"/>
    </row>
    <row r="2523" spans="1:39" ht="15" customHeight="1" x14ac:dyDescent="0.25">
      <c r="A2523" s="1409"/>
      <c r="B2523" s="1409"/>
      <c r="C2523" s="1409"/>
      <c r="D2523" s="1409"/>
      <c r="E2523" s="1247"/>
      <c r="F2523" s="1248"/>
      <c r="G2523" s="111"/>
      <c r="H2523" s="1249"/>
      <c r="I2523" s="111"/>
      <c r="J2523" s="111"/>
      <c r="K2523" s="111"/>
      <c r="L2523" s="111"/>
      <c r="M2523" s="111"/>
      <c r="N2523" s="111"/>
      <c r="O2523" s="111"/>
      <c r="P2523" s="111"/>
      <c r="Q2523" s="111"/>
      <c r="R2523" s="111"/>
      <c r="S2523" s="1249"/>
      <c r="T2523" s="1250"/>
      <c r="U2523" s="1250"/>
      <c r="V2523" s="1250"/>
      <c r="W2523" s="1251"/>
      <c r="X2523" s="1250"/>
      <c r="Y2523" s="1250"/>
      <c r="Z2523" s="1250"/>
      <c r="AA2523" s="1250"/>
      <c r="AB2523" s="1250"/>
      <c r="AC2523" s="1250"/>
      <c r="AD2523" s="1250"/>
      <c r="AE2523" s="1249"/>
      <c r="AF2523" s="1250"/>
      <c r="AG2523" s="111"/>
      <c r="AH2523" s="111"/>
      <c r="AI2523" s="111"/>
      <c r="AJ2523" s="111"/>
      <c r="AK2523" s="111"/>
      <c r="AL2523" s="111"/>
      <c r="AM2523" s="111"/>
    </row>
    <row r="2524" spans="1:39" ht="15" customHeight="1" x14ac:dyDescent="0.25">
      <c r="A2524" s="1409"/>
      <c r="B2524" s="1409"/>
      <c r="C2524" s="1409"/>
      <c r="D2524" s="1409"/>
      <c r="E2524" s="1261">
        <v>39601</v>
      </c>
      <c r="F2524" s="1262" t="s">
        <v>960</v>
      </c>
      <c r="G2524" s="1261"/>
      <c r="H2524" s="1261"/>
      <c r="I2524" s="1261"/>
      <c r="J2524" s="1261"/>
      <c r="K2524" s="1261"/>
      <c r="L2524" s="1261"/>
      <c r="M2524" s="1261"/>
      <c r="N2524" s="1261"/>
      <c r="O2524" s="1261"/>
      <c r="P2524" s="1261"/>
      <c r="Q2524" s="1261"/>
      <c r="R2524" s="1261"/>
      <c r="S2524" s="1261"/>
      <c r="T2524" s="1261"/>
      <c r="U2524" s="1261"/>
      <c r="V2524" s="1261"/>
      <c r="W2524" s="1261"/>
      <c r="X2524" s="1261"/>
      <c r="Y2524" s="1261"/>
      <c r="Z2524" s="1261"/>
      <c r="AA2524" s="1261"/>
      <c r="AB2524" s="1261"/>
      <c r="AC2524" s="1261"/>
      <c r="AD2524" s="1261"/>
      <c r="AE2524" s="1261"/>
      <c r="AF2524" s="1261"/>
      <c r="AG2524" s="1261"/>
      <c r="AH2524" s="1261"/>
      <c r="AI2524" s="1261"/>
      <c r="AJ2524" s="1261"/>
      <c r="AK2524" s="1261"/>
      <c r="AL2524" s="1261"/>
      <c r="AM2524" s="1261"/>
    </row>
    <row r="2525" spans="1:39" ht="15" customHeight="1" x14ac:dyDescent="0.25">
      <c r="A2525" s="1409"/>
      <c r="B2525" s="1409"/>
      <c r="C2525" s="1409"/>
      <c r="D2525" s="1409"/>
      <c r="E2525" s="1288"/>
      <c r="F2525" s="1248" t="s">
        <v>5516</v>
      </c>
      <c r="G2525" s="111"/>
      <c r="H2525" s="1249">
        <v>17</v>
      </c>
      <c r="I2525" s="111" t="s">
        <v>1755</v>
      </c>
      <c r="J2525" s="1321" t="s">
        <v>5608</v>
      </c>
      <c r="K2525" s="162" t="s">
        <v>5610</v>
      </c>
      <c r="L2525" s="162" t="s">
        <v>5609</v>
      </c>
      <c r="M2525" s="111">
        <v>2501.3311764705882</v>
      </c>
      <c r="N2525" s="111">
        <v>42522.63</v>
      </c>
      <c r="O2525" s="111"/>
      <c r="P2525" s="111"/>
      <c r="Q2525" s="111"/>
      <c r="R2525" s="111"/>
      <c r="S2525" s="1249">
        <v>7</v>
      </c>
      <c r="T2525" s="1250">
        <v>14174.21</v>
      </c>
      <c r="U2525" s="1250"/>
      <c r="V2525" s="1250"/>
      <c r="W2525" s="1251">
        <v>5</v>
      </c>
      <c r="X2525" s="1250">
        <v>14174.21</v>
      </c>
      <c r="Y2525" s="1250"/>
      <c r="Z2525" s="1250"/>
      <c r="AA2525" s="1250"/>
      <c r="AB2525" s="1250"/>
      <c r="AC2525" s="1250"/>
      <c r="AD2525" s="1250"/>
      <c r="AE2525" s="1249">
        <v>5</v>
      </c>
      <c r="AF2525" s="1250">
        <v>14174.21</v>
      </c>
      <c r="AG2525" s="111"/>
      <c r="AH2525" s="111"/>
      <c r="AI2525" s="111"/>
      <c r="AJ2525" s="111"/>
      <c r="AK2525" s="111"/>
      <c r="AL2525" s="111"/>
      <c r="AM2525" s="111">
        <v>42522.63</v>
      </c>
    </row>
    <row r="2526" spans="1:39" ht="15" customHeight="1" x14ac:dyDescent="0.25">
      <c r="A2526" s="1409"/>
      <c r="B2526" s="1409"/>
      <c r="C2526" s="1409"/>
      <c r="D2526" s="1409"/>
      <c r="E2526" s="1276"/>
      <c r="F2526" s="1248"/>
      <c r="G2526" s="111"/>
      <c r="H2526" s="1249"/>
      <c r="I2526" s="111"/>
      <c r="J2526" s="1321" t="s">
        <v>5608</v>
      </c>
      <c r="K2526" s="162" t="s">
        <v>5610</v>
      </c>
      <c r="L2526" s="162" t="s">
        <v>5609</v>
      </c>
      <c r="M2526" s="111"/>
      <c r="N2526" s="111"/>
      <c r="O2526" s="111"/>
      <c r="P2526" s="111"/>
      <c r="Q2526" s="111"/>
      <c r="R2526" s="111"/>
      <c r="S2526" s="1249"/>
      <c r="T2526" s="1250"/>
      <c r="U2526" s="1250"/>
      <c r="V2526" s="1250"/>
      <c r="W2526" s="1251"/>
      <c r="X2526" s="1250"/>
      <c r="Y2526" s="1250"/>
      <c r="Z2526" s="1250"/>
      <c r="AA2526" s="1250"/>
      <c r="AB2526" s="1250"/>
      <c r="AC2526" s="1250"/>
      <c r="AD2526" s="1250"/>
      <c r="AE2526" s="1249"/>
      <c r="AF2526" s="1250"/>
      <c r="AG2526" s="111"/>
      <c r="AH2526" s="111"/>
      <c r="AI2526" s="111"/>
      <c r="AJ2526" s="111"/>
      <c r="AK2526" s="111"/>
      <c r="AL2526" s="111"/>
      <c r="AM2526" s="111"/>
    </row>
    <row r="2527" spans="1:39" ht="36" customHeight="1" x14ac:dyDescent="0.25">
      <c r="A2527" s="1409"/>
      <c r="B2527" s="1409"/>
      <c r="C2527" s="1409"/>
      <c r="D2527" s="1409"/>
      <c r="E2527" s="1204">
        <v>4400</v>
      </c>
      <c r="F2527" s="1274" t="s">
        <v>1013</v>
      </c>
      <c r="G2527" s="1204"/>
      <c r="H2527" s="1204"/>
      <c r="I2527" s="1204"/>
      <c r="J2527" s="1204"/>
      <c r="K2527" s="1204"/>
      <c r="L2527" s="1204"/>
      <c r="M2527" s="1204"/>
      <c r="N2527" s="1204"/>
      <c r="O2527" s="1204"/>
      <c r="P2527" s="1204"/>
      <c r="Q2527" s="1204"/>
      <c r="R2527" s="1204"/>
      <c r="S2527" s="1204"/>
      <c r="T2527" s="1204"/>
      <c r="U2527" s="1204"/>
      <c r="V2527" s="1204"/>
      <c r="W2527" s="1204"/>
      <c r="X2527" s="1204"/>
      <c r="Y2527" s="1204"/>
      <c r="Z2527" s="1204"/>
      <c r="AA2527" s="1204"/>
      <c r="AB2527" s="1204"/>
      <c r="AC2527" s="1204"/>
      <c r="AD2527" s="1204"/>
      <c r="AE2527" s="1204"/>
      <c r="AF2527" s="1204"/>
      <c r="AG2527" s="1204"/>
      <c r="AH2527" s="1204"/>
      <c r="AI2527" s="1204"/>
      <c r="AJ2527" s="1204"/>
      <c r="AK2527" s="1204"/>
      <c r="AL2527" s="1204"/>
      <c r="AM2527" s="1204"/>
    </row>
    <row r="2528" spans="1:39" ht="15" customHeight="1" x14ac:dyDescent="0.25">
      <c r="A2528" s="1409"/>
      <c r="B2528" s="1409"/>
      <c r="C2528" s="1409"/>
      <c r="D2528" s="1409"/>
      <c r="E2528" s="1218">
        <v>44100</v>
      </c>
      <c r="F2528" s="1268" t="s">
        <v>5517</v>
      </c>
      <c r="G2528" s="1218"/>
      <c r="H2528" s="1218"/>
      <c r="I2528" s="1218"/>
      <c r="J2528" s="1218"/>
      <c r="K2528" s="1218"/>
      <c r="L2528" s="1218"/>
      <c r="M2528" s="1218"/>
      <c r="N2528" s="1218"/>
      <c r="O2528" s="1218"/>
      <c r="P2528" s="1218"/>
      <c r="Q2528" s="1218"/>
      <c r="R2528" s="1218"/>
      <c r="S2528" s="1218"/>
      <c r="T2528" s="1218"/>
      <c r="U2528" s="1218"/>
      <c r="V2528" s="1218"/>
      <c r="W2528" s="1218"/>
      <c r="X2528" s="1218"/>
      <c r="Y2528" s="1218"/>
      <c r="Z2528" s="1218"/>
      <c r="AA2528" s="1218"/>
      <c r="AB2528" s="1218"/>
      <c r="AC2528" s="1218"/>
      <c r="AD2528" s="1218"/>
      <c r="AE2528" s="1218"/>
      <c r="AF2528" s="1218"/>
      <c r="AG2528" s="1218"/>
      <c r="AH2528" s="1218"/>
      <c r="AI2528" s="1218"/>
      <c r="AJ2528" s="1218"/>
      <c r="AK2528" s="1218"/>
      <c r="AL2528" s="1218"/>
      <c r="AM2528" s="1218"/>
    </row>
    <row r="2529" spans="1:39" ht="15" customHeight="1" x14ac:dyDescent="0.25">
      <c r="A2529" s="1409"/>
      <c r="B2529" s="1409"/>
      <c r="C2529" s="1409"/>
      <c r="D2529" s="1409"/>
      <c r="E2529" s="1247"/>
      <c r="F2529" s="1248"/>
      <c r="G2529" s="111"/>
      <c r="H2529" s="1249"/>
      <c r="I2529" s="111"/>
      <c r="J2529" s="111"/>
      <c r="K2529" s="111"/>
      <c r="L2529" s="111"/>
      <c r="M2529" s="111"/>
      <c r="N2529" s="111"/>
      <c r="O2529" s="111"/>
      <c r="P2529" s="111"/>
      <c r="Q2529" s="111"/>
      <c r="R2529" s="111"/>
      <c r="S2529" s="1249"/>
      <c r="T2529" s="1250"/>
      <c r="U2529" s="1250"/>
      <c r="V2529" s="1250"/>
      <c r="W2529" s="1251"/>
      <c r="X2529" s="1250"/>
      <c r="Y2529" s="1250"/>
      <c r="Z2529" s="1250"/>
      <c r="AA2529" s="1250"/>
      <c r="AB2529" s="1250"/>
      <c r="AC2529" s="1250"/>
      <c r="AD2529" s="1250"/>
      <c r="AE2529" s="1249"/>
      <c r="AF2529" s="1250"/>
      <c r="AG2529" s="111"/>
      <c r="AH2529" s="111"/>
      <c r="AI2529" s="111"/>
      <c r="AJ2529" s="111"/>
      <c r="AK2529" s="111"/>
      <c r="AL2529" s="111"/>
      <c r="AM2529" s="111"/>
    </row>
    <row r="2530" spans="1:39" ht="15" customHeight="1" x14ac:dyDescent="0.25">
      <c r="A2530" s="1409"/>
      <c r="B2530" s="1409"/>
      <c r="C2530" s="1409"/>
      <c r="D2530" s="1409"/>
      <c r="E2530" s="1261">
        <v>44101</v>
      </c>
      <c r="F2530" s="1262" t="s">
        <v>1015</v>
      </c>
      <c r="G2530" s="1261"/>
      <c r="H2530" s="1261"/>
      <c r="I2530" s="1261"/>
      <c r="J2530" s="1261"/>
      <c r="K2530" s="1261"/>
      <c r="L2530" s="1261"/>
      <c r="M2530" s="1261"/>
      <c r="N2530" s="1261"/>
      <c r="O2530" s="1261"/>
      <c r="P2530" s="1261"/>
      <c r="Q2530" s="1261"/>
      <c r="R2530" s="1261"/>
      <c r="S2530" s="1261"/>
      <c r="T2530" s="1261"/>
      <c r="U2530" s="1261"/>
      <c r="V2530" s="1261"/>
      <c r="W2530" s="1261"/>
      <c r="X2530" s="1261"/>
      <c r="Y2530" s="1261"/>
      <c r="Z2530" s="1261"/>
      <c r="AA2530" s="1261"/>
      <c r="AB2530" s="1261"/>
      <c r="AC2530" s="1261"/>
      <c r="AD2530" s="1261"/>
      <c r="AE2530" s="1261"/>
      <c r="AF2530" s="1261"/>
      <c r="AG2530" s="1261"/>
      <c r="AH2530" s="1261"/>
      <c r="AI2530" s="1261"/>
      <c r="AJ2530" s="1261"/>
      <c r="AK2530" s="1261"/>
      <c r="AL2530" s="1261"/>
      <c r="AM2530" s="1261"/>
    </row>
    <row r="2531" spans="1:39" ht="15" customHeight="1" x14ac:dyDescent="0.25">
      <c r="A2531" s="1409"/>
      <c r="B2531" s="1409"/>
      <c r="C2531" s="1409"/>
      <c r="D2531" s="1409"/>
      <c r="E2531" s="1286"/>
      <c r="F2531" s="1248" t="s">
        <v>5518</v>
      </c>
      <c r="G2531" s="111"/>
      <c r="H2531" s="1249">
        <v>4969</v>
      </c>
      <c r="I2531" s="111" t="s">
        <v>5519</v>
      </c>
      <c r="J2531" s="1321" t="s">
        <v>5608</v>
      </c>
      <c r="K2531" s="162" t="s">
        <v>5610</v>
      </c>
      <c r="L2531" s="162" t="s">
        <v>5609</v>
      </c>
      <c r="M2531" s="111">
        <v>1000</v>
      </c>
      <c r="N2531" s="111">
        <v>4969000</v>
      </c>
      <c r="O2531" s="111"/>
      <c r="P2531" s="111"/>
      <c r="Q2531" s="111"/>
      <c r="R2531" s="111"/>
      <c r="S2531" s="1249">
        <v>2000</v>
      </c>
      <c r="T2531" s="1250">
        <v>1656333.3333333333</v>
      </c>
      <c r="U2531" s="1250"/>
      <c r="V2531" s="1250"/>
      <c r="W2531" s="1251">
        <v>1700</v>
      </c>
      <c r="X2531" s="1250">
        <v>1656333.3333333333</v>
      </c>
      <c r="Y2531" s="1250"/>
      <c r="Z2531" s="1250"/>
      <c r="AA2531" s="1250"/>
      <c r="AB2531" s="1250"/>
      <c r="AC2531" s="1250"/>
      <c r="AD2531" s="1250"/>
      <c r="AE2531" s="1249">
        <v>1269</v>
      </c>
      <c r="AF2531" s="1250">
        <v>1656333.3333333333</v>
      </c>
      <c r="AG2531" s="111"/>
      <c r="AH2531" s="111"/>
      <c r="AI2531" s="111"/>
      <c r="AJ2531" s="111"/>
      <c r="AK2531" s="111"/>
      <c r="AL2531" s="111"/>
      <c r="AM2531" s="111">
        <v>4969000</v>
      </c>
    </row>
    <row r="2532" spans="1:39" ht="15" customHeight="1" x14ac:dyDescent="0.25">
      <c r="A2532" s="1409"/>
      <c r="B2532" s="1409"/>
      <c r="C2532" s="1409"/>
      <c r="D2532" s="1409"/>
      <c r="E2532" s="1286"/>
      <c r="F2532" s="1248"/>
      <c r="G2532" s="111"/>
      <c r="H2532" s="1249"/>
      <c r="I2532" s="111"/>
      <c r="J2532" s="111"/>
      <c r="K2532" s="111"/>
      <c r="L2532" s="111"/>
      <c r="M2532" s="111"/>
      <c r="N2532" s="111"/>
      <c r="O2532" s="111"/>
      <c r="P2532" s="111"/>
      <c r="Q2532" s="111"/>
      <c r="R2532" s="111"/>
      <c r="S2532" s="1249"/>
      <c r="T2532" s="1250"/>
      <c r="U2532" s="1250"/>
      <c r="V2532" s="1250"/>
      <c r="W2532" s="1251"/>
      <c r="X2532" s="1250"/>
      <c r="Y2532" s="1250"/>
      <c r="Z2532" s="1250"/>
      <c r="AA2532" s="1250"/>
      <c r="AB2532" s="1250"/>
      <c r="AC2532" s="1250"/>
      <c r="AD2532" s="1250"/>
      <c r="AE2532" s="1249"/>
      <c r="AF2532" s="1250"/>
      <c r="AG2532" s="111"/>
      <c r="AH2532" s="111"/>
      <c r="AI2532" s="111"/>
      <c r="AJ2532" s="111"/>
      <c r="AK2532" s="111"/>
      <c r="AL2532" s="111"/>
      <c r="AM2532" s="111"/>
    </row>
    <row r="2533" spans="1:39" ht="15" customHeight="1" x14ac:dyDescent="0.25">
      <c r="A2533" s="1409"/>
      <c r="B2533" s="1409"/>
      <c r="C2533" s="1409"/>
      <c r="D2533" s="1409"/>
      <c r="E2533" s="1261">
        <v>44102</v>
      </c>
      <c r="F2533" s="1262" t="s">
        <v>1016</v>
      </c>
      <c r="G2533" s="1261"/>
      <c r="H2533" s="1261"/>
      <c r="I2533" s="1261"/>
      <c r="J2533" s="1261"/>
      <c r="K2533" s="1261"/>
      <c r="L2533" s="1261"/>
      <c r="M2533" s="1261"/>
      <c r="N2533" s="1261"/>
      <c r="O2533" s="1261"/>
      <c r="P2533" s="1261"/>
      <c r="Q2533" s="1261"/>
      <c r="R2533" s="1261"/>
      <c r="S2533" s="1261"/>
      <c r="T2533" s="1261"/>
      <c r="U2533" s="1261"/>
      <c r="V2533" s="1261"/>
      <c r="W2533" s="1261"/>
      <c r="X2533" s="1261"/>
      <c r="Y2533" s="1261"/>
      <c r="Z2533" s="1261"/>
      <c r="AA2533" s="1261"/>
      <c r="AB2533" s="1261"/>
      <c r="AC2533" s="1261"/>
      <c r="AD2533" s="1261"/>
      <c r="AE2533" s="1261"/>
      <c r="AF2533" s="1261"/>
      <c r="AG2533" s="1261"/>
      <c r="AH2533" s="1261"/>
      <c r="AI2533" s="1261"/>
      <c r="AJ2533" s="1261"/>
      <c r="AK2533" s="1261"/>
      <c r="AL2533" s="1261"/>
      <c r="AM2533" s="1261"/>
    </row>
    <row r="2534" spans="1:39" ht="15" customHeight="1" x14ac:dyDescent="0.25">
      <c r="A2534" s="1409"/>
      <c r="B2534" s="1409"/>
      <c r="C2534" s="1409"/>
      <c r="D2534" s="1409"/>
      <c r="E2534" s="1286"/>
      <c r="F2534" s="1248" t="s">
        <v>1016</v>
      </c>
      <c r="G2534" s="111"/>
      <c r="H2534" s="1249">
        <v>27</v>
      </c>
      <c r="I2534" s="111" t="s">
        <v>1755</v>
      </c>
      <c r="J2534" s="1321" t="s">
        <v>5608</v>
      </c>
      <c r="K2534" s="162" t="s">
        <v>5610</v>
      </c>
      <c r="L2534" s="162" t="s">
        <v>5609</v>
      </c>
      <c r="M2534" s="111">
        <v>500</v>
      </c>
      <c r="N2534" s="111">
        <v>13500</v>
      </c>
      <c r="O2534" s="111"/>
      <c r="P2534" s="111"/>
      <c r="Q2534" s="111"/>
      <c r="R2534" s="111"/>
      <c r="S2534" s="1249">
        <v>10</v>
      </c>
      <c r="T2534" s="1250">
        <v>4500</v>
      </c>
      <c r="U2534" s="1250"/>
      <c r="V2534" s="1250"/>
      <c r="W2534" s="1251">
        <v>10</v>
      </c>
      <c r="X2534" s="1250">
        <v>4500</v>
      </c>
      <c r="Y2534" s="1250"/>
      <c r="Z2534" s="1250"/>
      <c r="AA2534" s="1250"/>
      <c r="AB2534" s="1250"/>
      <c r="AC2534" s="1250"/>
      <c r="AD2534" s="1250"/>
      <c r="AE2534" s="1249">
        <v>7</v>
      </c>
      <c r="AF2534" s="1250">
        <v>4500</v>
      </c>
      <c r="AG2534" s="111"/>
      <c r="AH2534" s="111"/>
      <c r="AI2534" s="111"/>
      <c r="AJ2534" s="111"/>
      <c r="AK2534" s="111"/>
      <c r="AL2534" s="111"/>
      <c r="AM2534" s="111">
        <v>13500</v>
      </c>
    </row>
    <row r="2535" spans="1:39" ht="15" customHeight="1" x14ac:dyDescent="0.25">
      <c r="A2535" s="1409"/>
      <c r="B2535" s="1409"/>
      <c r="C2535" s="1409"/>
      <c r="D2535" s="1409"/>
      <c r="E2535" s="1286"/>
      <c r="F2535" s="1248"/>
      <c r="G2535" s="111"/>
      <c r="H2535" s="1249"/>
      <c r="I2535" s="111"/>
      <c r="J2535" s="111"/>
      <c r="K2535" s="111"/>
      <c r="L2535" s="111"/>
      <c r="M2535" s="111"/>
      <c r="N2535" s="111"/>
      <c r="O2535" s="111"/>
      <c r="P2535" s="111"/>
      <c r="Q2535" s="111"/>
      <c r="R2535" s="111"/>
      <c r="S2535" s="1249"/>
      <c r="T2535" s="1250"/>
      <c r="U2535" s="1250"/>
      <c r="V2535" s="1250"/>
      <c r="W2535" s="1251"/>
      <c r="X2535" s="1250"/>
      <c r="Y2535" s="1250"/>
      <c r="Z2535" s="1250"/>
      <c r="AA2535" s="1250"/>
      <c r="AB2535" s="1250"/>
      <c r="AC2535" s="1250"/>
      <c r="AD2535" s="1250"/>
      <c r="AE2535" s="1249"/>
      <c r="AF2535" s="1250"/>
      <c r="AG2535" s="111"/>
      <c r="AH2535" s="111"/>
      <c r="AI2535" s="111"/>
      <c r="AJ2535" s="111"/>
      <c r="AK2535" s="111"/>
      <c r="AL2535" s="111"/>
      <c r="AM2535" s="111"/>
    </row>
    <row r="2536" spans="1:39" ht="36" customHeight="1" x14ac:dyDescent="0.25">
      <c r="A2536" s="1409"/>
      <c r="B2536" s="1409"/>
      <c r="C2536" s="1409"/>
      <c r="D2536" s="1409"/>
      <c r="E2536" s="1190">
        <v>5000</v>
      </c>
      <c r="F2536" s="1290" t="s">
        <v>1022</v>
      </c>
      <c r="G2536" s="1190"/>
      <c r="H2536" s="1190"/>
      <c r="I2536" s="1190"/>
      <c r="J2536" s="1190"/>
      <c r="K2536" s="1190"/>
      <c r="L2536" s="1190"/>
      <c r="M2536" s="1190"/>
      <c r="N2536" s="1190"/>
      <c r="O2536" s="1190"/>
      <c r="P2536" s="1190"/>
      <c r="Q2536" s="1190"/>
      <c r="R2536" s="1190"/>
      <c r="S2536" s="1190"/>
      <c r="T2536" s="1190"/>
      <c r="U2536" s="1190"/>
      <c r="V2536" s="1190"/>
      <c r="W2536" s="1190"/>
      <c r="X2536" s="1190"/>
      <c r="Y2536" s="1190"/>
      <c r="Z2536" s="1190"/>
      <c r="AA2536" s="1190"/>
      <c r="AB2536" s="1190"/>
      <c r="AC2536" s="1190"/>
      <c r="AD2536" s="1190"/>
      <c r="AE2536" s="1190"/>
      <c r="AF2536" s="1190"/>
      <c r="AG2536" s="1190"/>
      <c r="AH2536" s="1190"/>
      <c r="AI2536" s="1190"/>
      <c r="AJ2536" s="1190"/>
      <c r="AK2536" s="1190"/>
      <c r="AL2536" s="1190"/>
      <c r="AM2536" s="1190"/>
    </row>
    <row r="2537" spans="1:39" ht="36" customHeight="1" x14ac:dyDescent="0.25">
      <c r="A2537" s="1409"/>
      <c r="B2537" s="1409"/>
      <c r="C2537" s="1409"/>
      <c r="D2537" s="1409"/>
      <c r="E2537" s="1204">
        <v>5100</v>
      </c>
      <c r="F2537" s="1274" t="s">
        <v>1023</v>
      </c>
      <c r="G2537" s="1204"/>
      <c r="H2537" s="1204"/>
      <c r="I2537" s="1204"/>
      <c r="J2537" s="1204"/>
      <c r="K2537" s="1204"/>
      <c r="L2537" s="1204"/>
      <c r="M2537" s="1204"/>
      <c r="N2537" s="1204"/>
      <c r="O2537" s="1204"/>
      <c r="P2537" s="1204"/>
      <c r="Q2537" s="1204"/>
      <c r="R2537" s="1204"/>
      <c r="S2537" s="1204"/>
      <c r="T2537" s="1204"/>
      <c r="U2537" s="1204"/>
      <c r="V2537" s="1204"/>
      <c r="W2537" s="1204"/>
      <c r="X2537" s="1204"/>
      <c r="Y2537" s="1204"/>
      <c r="Z2537" s="1204"/>
      <c r="AA2537" s="1204"/>
      <c r="AB2537" s="1204"/>
      <c r="AC2537" s="1204"/>
      <c r="AD2537" s="1204"/>
      <c r="AE2537" s="1204"/>
      <c r="AF2537" s="1204"/>
      <c r="AG2537" s="1204"/>
      <c r="AH2537" s="1204"/>
      <c r="AI2537" s="1204"/>
      <c r="AJ2537" s="1204"/>
      <c r="AK2537" s="1204"/>
      <c r="AL2537" s="1204"/>
      <c r="AM2537" s="1204"/>
    </row>
    <row r="2538" spans="1:39" ht="15" customHeight="1" x14ac:dyDescent="0.25">
      <c r="A2538" s="1409"/>
      <c r="B2538" s="1409"/>
      <c r="C2538" s="1409"/>
      <c r="D2538" s="1409"/>
      <c r="E2538" s="1273">
        <v>51101</v>
      </c>
      <c r="F2538" s="1272" t="s">
        <v>5520</v>
      </c>
      <c r="G2538" s="1273"/>
      <c r="H2538" s="1273"/>
      <c r="I2538" s="1273"/>
      <c r="J2538" s="1273"/>
      <c r="K2538" s="1273"/>
      <c r="L2538" s="1273"/>
      <c r="M2538" s="1273"/>
      <c r="N2538" s="1273"/>
      <c r="O2538" s="1273"/>
      <c r="P2538" s="1273"/>
      <c r="Q2538" s="1273"/>
      <c r="R2538" s="1273"/>
      <c r="S2538" s="1273"/>
      <c r="T2538" s="1273"/>
      <c r="U2538" s="1273"/>
      <c r="V2538" s="1273"/>
      <c r="W2538" s="1273"/>
      <c r="X2538" s="1273"/>
      <c r="Y2538" s="1273"/>
      <c r="Z2538" s="1273"/>
      <c r="AA2538" s="1273"/>
      <c r="AB2538" s="1273"/>
      <c r="AC2538" s="1273"/>
      <c r="AD2538" s="1273"/>
      <c r="AE2538" s="1273"/>
      <c r="AF2538" s="1273"/>
      <c r="AG2538" s="1273"/>
      <c r="AH2538" s="1273"/>
      <c r="AI2538" s="1273"/>
      <c r="AJ2538" s="1273"/>
      <c r="AK2538" s="1273"/>
      <c r="AL2538" s="1273"/>
      <c r="AM2538" s="1273"/>
    </row>
    <row r="2539" spans="1:39" ht="15" customHeight="1" x14ac:dyDescent="0.25">
      <c r="A2539" s="1409"/>
      <c r="B2539" s="1409"/>
      <c r="C2539" s="1409"/>
      <c r="D2539" s="1409"/>
      <c r="E2539" s="1301"/>
      <c r="F2539" s="1248" t="s">
        <v>3355</v>
      </c>
      <c r="G2539" s="111"/>
      <c r="H2539" s="1249">
        <v>1</v>
      </c>
      <c r="I2539" s="111" t="s">
        <v>1721</v>
      </c>
      <c r="J2539" s="1321" t="s">
        <v>5608</v>
      </c>
      <c r="K2539" s="162" t="s">
        <v>5610</v>
      </c>
      <c r="L2539" s="162" t="s">
        <v>5609</v>
      </c>
      <c r="M2539" s="111">
        <v>5000</v>
      </c>
      <c r="N2539" s="111">
        <v>5000</v>
      </c>
      <c r="O2539" s="111"/>
      <c r="P2539" s="111"/>
      <c r="Q2539" s="111"/>
      <c r="R2539" s="111"/>
      <c r="S2539" s="1249">
        <v>1</v>
      </c>
      <c r="T2539" s="1250">
        <v>1666.6666666666667</v>
      </c>
      <c r="U2539" s="1250"/>
      <c r="V2539" s="1250"/>
      <c r="W2539" s="1251">
        <v>0</v>
      </c>
      <c r="X2539" s="1250">
        <v>1666.6666666666667</v>
      </c>
      <c r="Y2539" s="1250"/>
      <c r="Z2539" s="1250"/>
      <c r="AA2539" s="1250"/>
      <c r="AB2539" s="1250"/>
      <c r="AC2539" s="1250"/>
      <c r="AD2539" s="1250"/>
      <c r="AE2539" s="1249">
        <v>0</v>
      </c>
      <c r="AF2539" s="1250">
        <v>1666.6666666666667</v>
      </c>
      <c r="AG2539" s="111"/>
      <c r="AH2539" s="111"/>
      <c r="AI2539" s="111"/>
      <c r="AJ2539" s="111"/>
      <c r="AK2539" s="111"/>
      <c r="AL2539" s="111"/>
      <c r="AM2539" s="111">
        <v>5000</v>
      </c>
    </row>
    <row r="2540" spans="1:39" ht="15" customHeight="1" x14ac:dyDescent="0.25">
      <c r="A2540" s="1409"/>
      <c r="B2540" s="1409"/>
      <c r="C2540" s="1409"/>
      <c r="D2540" s="1409"/>
      <c r="E2540" s="1247"/>
      <c r="F2540" s="1248"/>
      <c r="G2540" s="111"/>
      <c r="H2540" s="1249"/>
      <c r="I2540" s="111"/>
      <c r="J2540" s="111"/>
      <c r="K2540" s="111"/>
      <c r="L2540" s="111"/>
      <c r="M2540" s="111"/>
      <c r="N2540" s="111"/>
      <c r="O2540" s="111"/>
      <c r="P2540" s="111"/>
      <c r="Q2540" s="111"/>
      <c r="R2540" s="111"/>
      <c r="S2540" s="1249"/>
      <c r="T2540" s="1250"/>
      <c r="U2540" s="1250"/>
      <c r="V2540" s="1250"/>
      <c r="W2540" s="1251"/>
      <c r="X2540" s="1250"/>
      <c r="Y2540" s="1250"/>
      <c r="Z2540" s="1250"/>
      <c r="AA2540" s="1250"/>
      <c r="AB2540" s="1250"/>
      <c r="AC2540" s="1250"/>
      <c r="AD2540" s="1250"/>
      <c r="AE2540" s="1249"/>
      <c r="AF2540" s="1250"/>
      <c r="AG2540" s="111"/>
      <c r="AH2540" s="111"/>
      <c r="AI2540" s="111"/>
      <c r="AJ2540" s="111"/>
      <c r="AK2540" s="111"/>
      <c r="AL2540" s="111"/>
      <c r="AM2540" s="111"/>
    </row>
    <row r="2541" spans="1:39" ht="15" customHeight="1" x14ac:dyDescent="0.25">
      <c r="A2541" s="1409"/>
      <c r="B2541" s="1409"/>
      <c r="C2541" s="1409"/>
      <c r="D2541" s="1409"/>
      <c r="E2541" s="1273">
        <v>51107</v>
      </c>
      <c r="F2541" s="1272" t="s">
        <v>1026</v>
      </c>
      <c r="G2541" s="1273"/>
      <c r="H2541" s="1273"/>
      <c r="I2541" s="1273"/>
      <c r="J2541" s="1273"/>
      <c r="K2541" s="1273"/>
      <c r="L2541" s="1273"/>
      <c r="M2541" s="1273"/>
      <c r="N2541" s="1273"/>
      <c r="O2541" s="1273"/>
      <c r="P2541" s="1273"/>
      <c r="Q2541" s="1273"/>
      <c r="R2541" s="1273"/>
      <c r="S2541" s="1273"/>
      <c r="T2541" s="1273"/>
      <c r="U2541" s="1273"/>
      <c r="V2541" s="1273"/>
      <c r="W2541" s="1273"/>
      <c r="X2541" s="1273"/>
      <c r="Y2541" s="1273"/>
      <c r="Z2541" s="1273"/>
      <c r="AA2541" s="1273"/>
      <c r="AB2541" s="1273"/>
      <c r="AC2541" s="1273"/>
      <c r="AD2541" s="1273"/>
      <c r="AE2541" s="1273"/>
      <c r="AF2541" s="1273"/>
      <c r="AG2541" s="1273"/>
      <c r="AH2541" s="1273"/>
      <c r="AI2541" s="1273"/>
      <c r="AJ2541" s="1273"/>
      <c r="AK2541" s="1273"/>
      <c r="AL2541" s="1273"/>
      <c r="AM2541" s="1273"/>
    </row>
    <row r="2542" spans="1:39" ht="26.25" customHeight="1" x14ac:dyDescent="0.25">
      <c r="A2542" s="1409"/>
      <c r="B2542" s="1409"/>
      <c r="C2542" s="1409"/>
      <c r="D2542" s="1409"/>
      <c r="E2542" s="1300"/>
      <c r="F2542" s="1287" t="s">
        <v>1027</v>
      </c>
      <c r="G2542" s="111"/>
      <c r="H2542" s="1249">
        <v>1</v>
      </c>
      <c r="I2542" s="111" t="s">
        <v>1721</v>
      </c>
      <c r="J2542" s="1321" t="s">
        <v>5608</v>
      </c>
      <c r="K2542" s="162" t="s">
        <v>5610</v>
      </c>
      <c r="L2542" s="162" t="s">
        <v>5609</v>
      </c>
      <c r="M2542" s="111">
        <v>6900.4223999999995</v>
      </c>
      <c r="N2542" s="111">
        <v>6900.4223999999995</v>
      </c>
      <c r="O2542" s="111"/>
      <c r="P2542" s="111"/>
      <c r="Q2542" s="111"/>
      <c r="R2542" s="111"/>
      <c r="S2542" s="1249">
        <v>1</v>
      </c>
      <c r="T2542" s="1250">
        <v>2300.1407999999997</v>
      </c>
      <c r="U2542" s="1250"/>
      <c r="V2542" s="1250"/>
      <c r="W2542" s="1251">
        <v>0</v>
      </c>
      <c r="X2542" s="1250">
        <v>2300.1407999999997</v>
      </c>
      <c r="Y2542" s="1250"/>
      <c r="Z2542" s="1250"/>
      <c r="AA2542" s="1250"/>
      <c r="AB2542" s="1250"/>
      <c r="AC2542" s="1250"/>
      <c r="AD2542" s="1250"/>
      <c r="AE2542" s="1249">
        <v>0</v>
      </c>
      <c r="AF2542" s="1250">
        <v>2300.1407999999997</v>
      </c>
      <c r="AG2542" s="111"/>
      <c r="AH2542" s="111"/>
      <c r="AI2542" s="111"/>
      <c r="AJ2542" s="111"/>
      <c r="AK2542" s="111"/>
      <c r="AL2542" s="111"/>
      <c r="AM2542" s="111">
        <v>6900.4223999999995</v>
      </c>
    </row>
    <row r="2543" spans="1:39" ht="15" customHeight="1" x14ac:dyDescent="0.25">
      <c r="A2543" s="1409"/>
      <c r="B2543" s="1409"/>
      <c r="C2543" s="1409"/>
      <c r="D2543" s="1409"/>
      <c r="E2543" s="1300"/>
      <c r="F2543" s="1248" t="s">
        <v>5521</v>
      </c>
      <c r="G2543" s="111"/>
      <c r="H2543" s="1249">
        <v>4</v>
      </c>
      <c r="I2543" s="111" t="s">
        <v>1721</v>
      </c>
      <c r="J2543" s="1321" t="s">
        <v>5608</v>
      </c>
      <c r="K2543" s="162" t="s">
        <v>5610</v>
      </c>
      <c r="L2543" s="162" t="s">
        <v>5609</v>
      </c>
      <c r="M2543" s="111">
        <v>4316.1499999999996</v>
      </c>
      <c r="N2543" s="111">
        <v>17264.599999999999</v>
      </c>
      <c r="O2543" s="111"/>
      <c r="P2543" s="111"/>
      <c r="Q2543" s="111"/>
      <c r="R2543" s="111"/>
      <c r="S2543" s="1249">
        <v>2</v>
      </c>
      <c r="T2543" s="1250">
        <v>5754.8666666666659</v>
      </c>
      <c r="U2543" s="1250"/>
      <c r="V2543" s="1250"/>
      <c r="W2543" s="1251">
        <v>1</v>
      </c>
      <c r="X2543" s="1250">
        <v>5754.8666666666659</v>
      </c>
      <c r="Y2543" s="1250"/>
      <c r="Z2543" s="1250"/>
      <c r="AA2543" s="1250"/>
      <c r="AB2543" s="1250"/>
      <c r="AC2543" s="1250"/>
      <c r="AD2543" s="1250"/>
      <c r="AE2543" s="1249">
        <v>1</v>
      </c>
      <c r="AF2543" s="1250">
        <v>5754.8666666666659</v>
      </c>
      <c r="AG2543" s="111"/>
      <c r="AH2543" s="111"/>
      <c r="AI2543" s="111"/>
      <c r="AJ2543" s="111"/>
      <c r="AK2543" s="111"/>
      <c r="AL2543" s="111"/>
      <c r="AM2543" s="111">
        <v>17264.599999999999</v>
      </c>
    </row>
    <row r="2544" spans="1:39" ht="33" customHeight="1" x14ac:dyDescent="0.25">
      <c r="A2544" s="1409"/>
      <c r="B2544" s="1409"/>
      <c r="C2544" s="1409"/>
      <c r="D2544" s="1409"/>
      <c r="E2544" s="1300"/>
      <c r="F2544" s="1287" t="s">
        <v>3444</v>
      </c>
      <c r="G2544" s="111"/>
      <c r="H2544" s="1249">
        <v>6</v>
      </c>
      <c r="I2544" s="111" t="s">
        <v>1721</v>
      </c>
      <c r="J2544" s="1321" t="s">
        <v>5608</v>
      </c>
      <c r="K2544" s="162" t="s">
        <v>5610</v>
      </c>
      <c r="L2544" s="162" t="s">
        <v>5609</v>
      </c>
      <c r="M2544" s="111">
        <v>4105.3833333333332</v>
      </c>
      <c r="N2544" s="111">
        <v>24632.3</v>
      </c>
      <c r="O2544" s="111"/>
      <c r="P2544" s="111"/>
      <c r="Q2544" s="111"/>
      <c r="R2544" s="111"/>
      <c r="S2544" s="1249">
        <v>2</v>
      </c>
      <c r="T2544" s="1250">
        <v>8210.7666666666664</v>
      </c>
      <c r="U2544" s="1250"/>
      <c r="V2544" s="1250"/>
      <c r="W2544" s="1251">
        <v>2</v>
      </c>
      <c r="X2544" s="1250">
        <v>8210.7666666666664</v>
      </c>
      <c r="Y2544" s="1250"/>
      <c r="Z2544" s="1250"/>
      <c r="AA2544" s="1250"/>
      <c r="AB2544" s="1250"/>
      <c r="AC2544" s="1250"/>
      <c r="AD2544" s="1250"/>
      <c r="AE2544" s="1249">
        <v>2</v>
      </c>
      <c r="AF2544" s="1250">
        <v>8210.7666666666664</v>
      </c>
      <c r="AG2544" s="111"/>
      <c r="AH2544" s="111"/>
      <c r="AI2544" s="111"/>
      <c r="AJ2544" s="111"/>
      <c r="AK2544" s="111"/>
      <c r="AL2544" s="111"/>
      <c r="AM2544" s="111">
        <v>24632.3</v>
      </c>
    </row>
    <row r="2545" spans="1:39" ht="30.75" customHeight="1" x14ac:dyDescent="0.25">
      <c r="A2545" s="1409"/>
      <c r="B2545" s="1409"/>
      <c r="C2545" s="1409"/>
      <c r="D2545" s="1409"/>
      <c r="E2545" s="1300"/>
      <c r="F2545" s="1287" t="s">
        <v>1958</v>
      </c>
      <c r="G2545" s="111"/>
      <c r="H2545" s="1249">
        <v>2</v>
      </c>
      <c r="I2545" s="111" t="s">
        <v>1721</v>
      </c>
      <c r="J2545" s="1321" t="s">
        <v>5608</v>
      </c>
      <c r="K2545" s="162" t="s">
        <v>5610</v>
      </c>
      <c r="L2545" s="162" t="s">
        <v>5609</v>
      </c>
      <c r="M2545" s="111">
        <v>7150</v>
      </c>
      <c r="N2545" s="111">
        <v>14300</v>
      </c>
      <c r="O2545" s="111"/>
      <c r="P2545" s="111"/>
      <c r="Q2545" s="111"/>
      <c r="R2545" s="111"/>
      <c r="S2545" s="1249">
        <v>2</v>
      </c>
      <c r="T2545" s="1250">
        <v>4766.666666666667</v>
      </c>
      <c r="U2545" s="1250"/>
      <c r="V2545" s="1250"/>
      <c r="W2545" s="1251">
        <v>0</v>
      </c>
      <c r="X2545" s="1250">
        <v>4766.666666666667</v>
      </c>
      <c r="Y2545" s="1250"/>
      <c r="Z2545" s="1250"/>
      <c r="AA2545" s="1250"/>
      <c r="AB2545" s="1250"/>
      <c r="AC2545" s="1250"/>
      <c r="AD2545" s="1250"/>
      <c r="AE2545" s="1249">
        <v>0</v>
      </c>
      <c r="AF2545" s="1250">
        <v>4766.666666666667</v>
      </c>
      <c r="AG2545" s="111"/>
      <c r="AH2545" s="111"/>
      <c r="AI2545" s="111"/>
      <c r="AJ2545" s="111"/>
      <c r="AK2545" s="111"/>
      <c r="AL2545" s="111"/>
      <c r="AM2545" s="111">
        <v>14300</v>
      </c>
    </row>
    <row r="2546" spans="1:39" ht="32.25" customHeight="1" x14ac:dyDescent="0.25">
      <c r="A2546" s="1409"/>
      <c r="B2546" s="1409"/>
      <c r="C2546" s="1409"/>
      <c r="D2546" s="1409"/>
      <c r="E2546" s="1300"/>
      <c r="F2546" s="1287" t="s">
        <v>1956</v>
      </c>
      <c r="G2546" s="111"/>
      <c r="H2546" s="1249">
        <v>2</v>
      </c>
      <c r="I2546" s="111" t="s">
        <v>1721</v>
      </c>
      <c r="J2546" s="1321" t="s">
        <v>5608</v>
      </c>
      <c r="K2546" s="162" t="s">
        <v>5610</v>
      </c>
      <c r="L2546" s="162" t="s">
        <v>5609</v>
      </c>
      <c r="M2546" s="111">
        <v>2435.4431999999997</v>
      </c>
      <c r="N2546" s="111">
        <v>4870.8863999999994</v>
      </c>
      <c r="O2546" s="111"/>
      <c r="P2546" s="111"/>
      <c r="Q2546" s="111"/>
      <c r="R2546" s="111"/>
      <c r="S2546" s="1249">
        <v>2</v>
      </c>
      <c r="T2546" s="1250">
        <v>1623.6287999999997</v>
      </c>
      <c r="U2546" s="1250"/>
      <c r="V2546" s="1250"/>
      <c r="W2546" s="1251">
        <v>0</v>
      </c>
      <c r="X2546" s="1250">
        <v>1623.6287999999997</v>
      </c>
      <c r="Y2546" s="1250"/>
      <c r="Z2546" s="1250"/>
      <c r="AA2546" s="1250"/>
      <c r="AB2546" s="1250"/>
      <c r="AC2546" s="1250"/>
      <c r="AD2546" s="1250"/>
      <c r="AE2546" s="1249">
        <v>0</v>
      </c>
      <c r="AF2546" s="1250">
        <v>1623.6287999999997</v>
      </c>
      <c r="AG2546" s="111"/>
      <c r="AH2546" s="111"/>
      <c r="AI2546" s="111"/>
      <c r="AJ2546" s="111"/>
      <c r="AK2546" s="111"/>
      <c r="AL2546" s="111"/>
      <c r="AM2546" s="111">
        <v>4870.8863999999994</v>
      </c>
    </row>
    <row r="2547" spans="1:39" ht="27" customHeight="1" x14ac:dyDescent="0.25">
      <c r="A2547" s="1409"/>
      <c r="B2547" s="1409"/>
      <c r="C2547" s="1409"/>
      <c r="D2547" s="1409"/>
      <c r="E2547" s="1300"/>
      <c r="F2547" s="1287" t="s">
        <v>5522</v>
      </c>
      <c r="G2547" s="111"/>
      <c r="H2547" s="1249">
        <v>3</v>
      </c>
      <c r="I2547" s="111" t="s">
        <v>1721</v>
      </c>
      <c r="J2547" s="1321" t="s">
        <v>5608</v>
      </c>
      <c r="K2547" s="162" t="s">
        <v>5610</v>
      </c>
      <c r="L2547" s="162" t="s">
        <v>5609</v>
      </c>
      <c r="M2547" s="111">
        <v>4897.9491999999991</v>
      </c>
      <c r="N2547" s="111">
        <v>14693.847599999997</v>
      </c>
      <c r="O2547" s="111"/>
      <c r="P2547" s="111"/>
      <c r="Q2547" s="111"/>
      <c r="R2547" s="111"/>
      <c r="S2547" s="1249">
        <v>1</v>
      </c>
      <c r="T2547" s="1250">
        <v>4897.9491999999991</v>
      </c>
      <c r="U2547" s="1250"/>
      <c r="V2547" s="1250"/>
      <c r="W2547" s="1251">
        <v>1</v>
      </c>
      <c r="X2547" s="1250">
        <v>4897.9491999999991</v>
      </c>
      <c r="Y2547" s="1250"/>
      <c r="Z2547" s="1250"/>
      <c r="AA2547" s="1250"/>
      <c r="AB2547" s="1250"/>
      <c r="AC2547" s="1250"/>
      <c r="AD2547" s="1250"/>
      <c r="AE2547" s="1249">
        <v>1</v>
      </c>
      <c r="AF2547" s="1250">
        <v>4897.9491999999991</v>
      </c>
      <c r="AG2547" s="111"/>
      <c r="AH2547" s="111"/>
      <c r="AI2547" s="111"/>
      <c r="AJ2547" s="111"/>
      <c r="AK2547" s="111"/>
      <c r="AL2547" s="111"/>
      <c r="AM2547" s="111">
        <v>14693.847599999997</v>
      </c>
    </row>
    <row r="2548" spans="1:39" ht="31.5" customHeight="1" x14ac:dyDescent="0.25">
      <c r="A2548" s="1409"/>
      <c r="B2548" s="1409"/>
      <c r="C2548" s="1409"/>
      <c r="D2548" s="1409"/>
      <c r="E2548" s="1300"/>
      <c r="F2548" s="1287" t="s">
        <v>1028</v>
      </c>
      <c r="G2548" s="111"/>
      <c r="H2548" s="1249">
        <v>1</v>
      </c>
      <c r="I2548" s="111" t="s">
        <v>1721</v>
      </c>
      <c r="J2548" s="1321" t="s">
        <v>5608</v>
      </c>
      <c r="K2548" s="162" t="s">
        <v>5610</v>
      </c>
      <c r="L2548" s="162" t="s">
        <v>5609</v>
      </c>
      <c r="M2548" s="111">
        <v>4500</v>
      </c>
      <c r="N2548" s="111">
        <v>4500</v>
      </c>
      <c r="O2548" s="111"/>
      <c r="P2548" s="111"/>
      <c r="Q2548" s="111"/>
      <c r="R2548" s="111"/>
      <c r="S2548" s="1249">
        <v>1</v>
      </c>
      <c r="T2548" s="1250">
        <v>1500</v>
      </c>
      <c r="U2548" s="1250"/>
      <c r="V2548" s="1250"/>
      <c r="W2548" s="1251">
        <v>0</v>
      </c>
      <c r="X2548" s="1250">
        <v>1500</v>
      </c>
      <c r="Y2548" s="1250"/>
      <c r="Z2548" s="1250"/>
      <c r="AA2548" s="1250"/>
      <c r="AB2548" s="1250"/>
      <c r="AC2548" s="1250"/>
      <c r="AD2548" s="1250"/>
      <c r="AE2548" s="1249">
        <v>0</v>
      </c>
      <c r="AF2548" s="1250">
        <v>1500</v>
      </c>
      <c r="AG2548" s="111"/>
      <c r="AH2548" s="111"/>
      <c r="AI2548" s="111"/>
      <c r="AJ2548" s="111"/>
      <c r="AK2548" s="111"/>
      <c r="AL2548" s="111"/>
      <c r="AM2548" s="111">
        <v>4500</v>
      </c>
    </row>
    <row r="2549" spans="1:39" ht="15" customHeight="1" x14ac:dyDescent="0.25">
      <c r="A2549" s="1409"/>
      <c r="B2549" s="1409"/>
      <c r="C2549" s="1409"/>
      <c r="D2549" s="1409"/>
      <c r="E2549" s="1300"/>
      <c r="F2549" s="1248" t="s">
        <v>5523</v>
      </c>
      <c r="G2549" s="111"/>
      <c r="H2549" s="1249">
        <v>2</v>
      </c>
      <c r="I2549" s="111" t="s">
        <v>1721</v>
      </c>
      <c r="J2549" s="1321" t="s">
        <v>5608</v>
      </c>
      <c r="K2549" s="162" t="s">
        <v>5610</v>
      </c>
      <c r="L2549" s="162" t="s">
        <v>5609</v>
      </c>
      <c r="M2549" s="111">
        <v>4000</v>
      </c>
      <c r="N2549" s="111">
        <v>8000</v>
      </c>
      <c r="O2549" s="111"/>
      <c r="P2549" s="111"/>
      <c r="Q2549" s="111"/>
      <c r="R2549" s="111"/>
      <c r="S2549" s="1249">
        <v>2</v>
      </c>
      <c r="T2549" s="1250">
        <v>2666.6666666666665</v>
      </c>
      <c r="U2549" s="1250"/>
      <c r="V2549" s="1250"/>
      <c r="W2549" s="1251">
        <v>0</v>
      </c>
      <c r="X2549" s="1250">
        <v>2666.6666666666665</v>
      </c>
      <c r="Y2549" s="1250"/>
      <c r="Z2549" s="1250"/>
      <c r="AA2549" s="1250"/>
      <c r="AB2549" s="1250"/>
      <c r="AC2549" s="1250"/>
      <c r="AD2549" s="1250"/>
      <c r="AE2549" s="1249">
        <v>0</v>
      </c>
      <c r="AF2549" s="1250">
        <v>2666.6666666666665</v>
      </c>
      <c r="AG2549" s="111"/>
      <c r="AH2549" s="111"/>
      <c r="AI2549" s="111"/>
      <c r="AJ2549" s="111"/>
      <c r="AK2549" s="111"/>
      <c r="AL2549" s="111"/>
      <c r="AM2549" s="111">
        <v>8000</v>
      </c>
    </row>
    <row r="2550" spans="1:39" ht="31.5" customHeight="1" x14ac:dyDescent="0.25">
      <c r="A2550" s="1409"/>
      <c r="B2550" s="1409"/>
      <c r="C2550" s="1409"/>
      <c r="D2550" s="1409"/>
      <c r="E2550" s="1300"/>
      <c r="F2550" s="1287" t="s">
        <v>5524</v>
      </c>
      <c r="G2550" s="111"/>
      <c r="H2550" s="1249">
        <v>4</v>
      </c>
      <c r="I2550" s="111" t="s">
        <v>1721</v>
      </c>
      <c r="J2550" s="1321" t="s">
        <v>5608</v>
      </c>
      <c r="K2550" s="162" t="s">
        <v>5610</v>
      </c>
      <c r="L2550" s="162" t="s">
        <v>5609</v>
      </c>
      <c r="M2550" s="111">
        <v>4897.95</v>
      </c>
      <c r="N2550" s="111">
        <v>19591.8</v>
      </c>
      <c r="O2550" s="111"/>
      <c r="P2550" s="111"/>
      <c r="Q2550" s="111"/>
      <c r="R2550" s="111"/>
      <c r="S2550" s="1249">
        <v>2</v>
      </c>
      <c r="T2550" s="1250">
        <v>6530.5999999999995</v>
      </c>
      <c r="U2550" s="1250"/>
      <c r="V2550" s="1250"/>
      <c r="W2550" s="1251">
        <v>1</v>
      </c>
      <c r="X2550" s="1250">
        <v>6530.5999999999995</v>
      </c>
      <c r="Y2550" s="1250"/>
      <c r="Z2550" s="1250"/>
      <c r="AA2550" s="1250"/>
      <c r="AB2550" s="1250"/>
      <c r="AC2550" s="1250"/>
      <c r="AD2550" s="1250"/>
      <c r="AE2550" s="1249">
        <v>1</v>
      </c>
      <c r="AF2550" s="1250">
        <v>6530.5999999999995</v>
      </c>
      <c r="AG2550" s="111"/>
      <c r="AH2550" s="111"/>
      <c r="AI2550" s="111"/>
      <c r="AJ2550" s="111"/>
      <c r="AK2550" s="111"/>
      <c r="AL2550" s="111"/>
      <c r="AM2550" s="111">
        <v>19591.8</v>
      </c>
    </row>
    <row r="2551" spans="1:39" ht="29.25" customHeight="1" x14ac:dyDescent="0.25">
      <c r="A2551" s="1409"/>
      <c r="B2551" s="1409"/>
      <c r="C2551" s="1409"/>
      <c r="D2551" s="1409"/>
      <c r="E2551" s="1300"/>
      <c r="F2551" s="1287" t="s">
        <v>1037</v>
      </c>
      <c r="G2551" s="111"/>
      <c r="H2551" s="1249">
        <v>20</v>
      </c>
      <c r="I2551" s="111" t="s">
        <v>1721</v>
      </c>
      <c r="J2551" s="1321" t="s">
        <v>5608</v>
      </c>
      <c r="K2551" s="162" t="s">
        <v>5610</v>
      </c>
      <c r="L2551" s="162" t="s">
        <v>5609</v>
      </c>
      <c r="M2551" s="111">
        <v>700</v>
      </c>
      <c r="N2551" s="111">
        <v>14000</v>
      </c>
      <c r="O2551" s="111"/>
      <c r="P2551" s="111"/>
      <c r="Q2551" s="111"/>
      <c r="R2551" s="111"/>
      <c r="S2551" s="1249">
        <v>10</v>
      </c>
      <c r="T2551" s="1250">
        <v>4666.666666666667</v>
      </c>
      <c r="U2551" s="1250"/>
      <c r="V2551" s="1250"/>
      <c r="W2551" s="1251">
        <v>5</v>
      </c>
      <c r="X2551" s="1250">
        <v>4666.666666666667</v>
      </c>
      <c r="Y2551" s="1250"/>
      <c r="Z2551" s="1250"/>
      <c r="AA2551" s="1250"/>
      <c r="AB2551" s="1250"/>
      <c r="AC2551" s="1250"/>
      <c r="AD2551" s="1250"/>
      <c r="AE2551" s="1249">
        <v>5</v>
      </c>
      <c r="AF2551" s="1250">
        <v>4666.666666666667</v>
      </c>
      <c r="AG2551" s="111"/>
      <c r="AH2551" s="111"/>
      <c r="AI2551" s="111"/>
      <c r="AJ2551" s="111"/>
      <c r="AK2551" s="111"/>
      <c r="AL2551" s="111"/>
      <c r="AM2551" s="111">
        <v>14000</v>
      </c>
    </row>
    <row r="2552" spans="1:39" ht="27" customHeight="1" x14ac:dyDescent="0.25">
      <c r="A2552" s="1409"/>
      <c r="B2552" s="1409"/>
      <c r="C2552" s="1409"/>
      <c r="D2552" s="1409"/>
      <c r="E2552" s="1300"/>
      <c r="F2552" s="1287" t="s">
        <v>1110</v>
      </c>
      <c r="G2552" s="111"/>
      <c r="H2552" s="1249">
        <v>2</v>
      </c>
      <c r="I2552" s="111" t="s">
        <v>1721</v>
      </c>
      <c r="J2552" s="1321" t="s">
        <v>5608</v>
      </c>
      <c r="K2552" s="162" t="s">
        <v>5610</v>
      </c>
      <c r="L2552" s="162" t="s">
        <v>5609</v>
      </c>
      <c r="M2552" s="111">
        <v>2333.9663999999998</v>
      </c>
      <c r="N2552" s="111">
        <v>4667.9327999999996</v>
      </c>
      <c r="O2552" s="111"/>
      <c r="P2552" s="111"/>
      <c r="Q2552" s="111"/>
      <c r="R2552" s="111"/>
      <c r="S2552" s="1249">
        <v>2</v>
      </c>
      <c r="T2552" s="1250">
        <v>1555.9775999999999</v>
      </c>
      <c r="U2552" s="1250"/>
      <c r="V2552" s="1250"/>
      <c r="W2552" s="1251">
        <v>0</v>
      </c>
      <c r="X2552" s="1250">
        <v>1555.9775999999999</v>
      </c>
      <c r="Y2552" s="1250"/>
      <c r="Z2552" s="1250"/>
      <c r="AA2552" s="1250"/>
      <c r="AB2552" s="1250"/>
      <c r="AC2552" s="1250"/>
      <c r="AD2552" s="1250"/>
      <c r="AE2552" s="1249">
        <v>0</v>
      </c>
      <c r="AF2552" s="1250">
        <v>1555.9775999999999</v>
      </c>
      <c r="AG2552" s="111"/>
      <c r="AH2552" s="111"/>
      <c r="AI2552" s="111"/>
      <c r="AJ2552" s="111"/>
      <c r="AK2552" s="111"/>
      <c r="AL2552" s="111"/>
      <c r="AM2552" s="111">
        <v>4667.9327999999996</v>
      </c>
    </row>
    <row r="2553" spans="1:39" ht="33" customHeight="1" x14ac:dyDescent="0.25">
      <c r="A2553" s="1409"/>
      <c r="B2553" s="1409"/>
      <c r="C2553" s="1409"/>
      <c r="D2553" s="1409"/>
      <c r="E2553" s="1300"/>
      <c r="F2553" s="1287" t="s">
        <v>5525</v>
      </c>
      <c r="G2553" s="111"/>
      <c r="H2553" s="1249">
        <v>25</v>
      </c>
      <c r="I2553" s="111" t="s">
        <v>1721</v>
      </c>
      <c r="J2553" s="1321" t="s">
        <v>5608</v>
      </c>
      <c r="K2553" s="162" t="s">
        <v>5610</v>
      </c>
      <c r="L2553" s="162" t="s">
        <v>5609</v>
      </c>
      <c r="M2553" s="111">
        <v>300</v>
      </c>
      <c r="N2553" s="111">
        <v>7500</v>
      </c>
      <c r="O2553" s="111"/>
      <c r="P2553" s="111"/>
      <c r="Q2553" s="111"/>
      <c r="R2553" s="111"/>
      <c r="S2553" s="1249">
        <v>10</v>
      </c>
      <c r="T2553" s="1250">
        <v>2500</v>
      </c>
      <c r="U2553" s="1250"/>
      <c r="V2553" s="1250"/>
      <c r="W2553" s="1251">
        <v>10</v>
      </c>
      <c r="X2553" s="1250">
        <v>2500</v>
      </c>
      <c r="Y2553" s="1250"/>
      <c r="Z2553" s="1250"/>
      <c r="AA2553" s="1250"/>
      <c r="AB2553" s="1250"/>
      <c r="AC2553" s="1250"/>
      <c r="AD2553" s="1250"/>
      <c r="AE2553" s="1249">
        <v>5</v>
      </c>
      <c r="AF2553" s="1250">
        <v>2500</v>
      </c>
      <c r="AG2553" s="111"/>
      <c r="AH2553" s="111"/>
      <c r="AI2553" s="111"/>
      <c r="AJ2553" s="111"/>
      <c r="AK2553" s="111"/>
      <c r="AL2553" s="111"/>
      <c r="AM2553" s="111">
        <v>7500</v>
      </c>
    </row>
    <row r="2554" spans="1:39" ht="27" customHeight="1" x14ac:dyDescent="0.25">
      <c r="A2554" s="1409"/>
      <c r="B2554" s="1409"/>
      <c r="C2554" s="1409"/>
      <c r="D2554" s="1409"/>
      <c r="E2554" s="1300"/>
      <c r="F2554" s="1287" t="s">
        <v>5526</v>
      </c>
      <c r="G2554" s="111"/>
      <c r="H2554" s="1249">
        <v>2</v>
      </c>
      <c r="I2554" s="111" t="s">
        <v>1721</v>
      </c>
      <c r="J2554" s="1321" t="s">
        <v>5608</v>
      </c>
      <c r="K2554" s="162" t="s">
        <v>5610</v>
      </c>
      <c r="L2554" s="162" t="s">
        <v>5609</v>
      </c>
      <c r="M2554" s="111">
        <v>4620</v>
      </c>
      <c r="N2554" s="111">
        <v>9240</v>
      </c>
      <c r="O2554" s="111"/>
      <c r="P2554" s="111"/>
      <c r="Q2554" s="111"/>
      <c r="R2554" s="111"/>
      <c r="S2554" s="1249">
        <v>2</v>
      </c>
      <c r="T2554" s="1250">
        <v>3080</v>
      </c>
      <c r="U2554" s="1250"/>
      <c r="V2554" s="1250"/>
      <c r="W2554" s="1251">
        <v>0</v>
      </c>
      <c r="X2554" s="1250">
        <v>3080</v>
      </c>
      <c r="Y2554" s="1250"/>
      <c r="Z2554" s="1250"/>
      <c r="AA2554" s="1250"/>
      <c r="AB2554" s="1250"/>
      <c r="AC2554" s="1250"/>
      <c r="AD2554" s="1250"/>
      <c r="AE2554" s="1249">
        <v>0</v>
      </c>
      <c r="AF2554" s="1250">
        <v>3080</v>
      </c>
      <c r="AG2554" s="111"/>
      <c r="AH2554" s="111"/>
      <c r="AI2554" s="111"/>
      <c r="AJ2554" s="111"/>
      <c r="AK2554" s="111"/>
      <c r="AL2554" s="111"/>
      <c r="AM2554" s="111">
        <v>9240</v>
      </c>
    </row>
    <row r="2555" spans="1:39" ht="15" customHeight="1" x14ac:dyDescent="0.25">
      <c r="A2555" s="1409"/>
      <c r="B2555" s="1409"/>
      <c r="C2555" s="1409"/>
      <c r="D2555" s="1409"/>
      <c r="E2555" s="1300"/>
      <c r="F2555" s="1248"/>
      <c r="G2555" s="111"/>
      <c r="H2555" s="1249"/>
      <c r="I2555" s="111"/>
      <c r="J2555" s="111"/>
      <c r="K2555" s="111"/>
      <c r="L2555" s="111"/>
      <c r="M2555" s="111"/>
      <c r="N2555" s="111"/>
      <c r="O2555" s="111"/>
      <c r="P2555" s="111"/>
      <c r="Q2555" s="111"/>
      <c r="R2555" s="111"/>
      <c r="S2555" s="1249"/>
      <c r="T2555" s="1250"/>
      <c r="U2555" s="1250"/>
      <c r="V2555" s="1250"/>
      <c r="W2555" s="1251"/>
      <c r="X2555" s="1250"/>
      <c r="Y2555" s="1250"/>
      <c r="Z2555" s="1250"/>
      <c r="AA2555" s="1250"/>
      <c r="AB2555" s="1250"/>
      <c r="AC2555" s="1250"/>
      <c r="AD2555" s="1250"/>
      <c r="AE2555" s="1249"/>
      <c r="AF2555" s="1250"/>
      <c r="AG2555" s="111"/>
      <c r="AH2555" s="111"/>
      <c r="AI2555" s="111"/>
      <c r="AJ2555" s="111"/>
      <c r="AK2555" s="111"/>
      <c r="AL2555" s="111"/>
      <c r="AM2555" s="111"/>
    </row>
    <row r="2556" spans="1:39" ht="15" customHeight="1" x14ac:dyDescent="0.25">
      <c r="A2556" s="1409"/>
      <c r="B2556" s="1409"/>
      <c r="C2556" s="1409"/>
      <c r="D2556" s="1409"/>
      <c r="E2556" s="1273">
        <v>51503</v>
      </c>
      <c r="F2556" s="1272" t="s">
        <v>1041</v>
      </c>
      <c r="G2556" s="1273"/>
      <c r="H2556" s="1273"/>
      <c r="I2556" s="1273"/>
      <c r="J2556" s="1273"/>
      <c r="K2556" s="1273"/>
      <c r="L2556" s="1273"/>
      <c r="M2556" s="1273"/>
      <c r="N2556" s="1273"/>
      <c r="O2556" s="1273"/>
      <c r="P2556" s="1273"/>
      <c r="Q2556" s="1273"/>
      <c r="R2556" s="1273"/>
      <c r="S2556" s="1273"/>
      <c r="T2556" s="1273"/>
      <c r="U2556" s="1273"/>
      <c r="V2556" s="1273"/>
      <c r="W2556" s="1273"/>
      <c r="X2556" s="1273"/>
      <c r="Y2556" s="1273"/>
      <c r="Z2556" s="1273"/>
      <c r="AA2556" s="1273"/>
      <c r="AB2556" s="1273"/>
      <c r="AC2556" s="1273"/>
      <c r="AD2556" s="1273"/>
      <c r="AE2556" s="1273"/>
      <c r="AF2556" s="1273"/>
      <c r="AG2556" s="1273"/>
      <c r="AH2556" s="1273"/>
      <c r="AI2556" s="1273"/>
      <c r="AJ2556" s="1273"/>
      <c r="AK2556" s="1273"/>
      <c r="AL2556" s="1273"/>
      <c r="AM2556" s="1273"/>
    </row>
    <row r="2557" spans="1:39" ht="30" customHeight="1" x14ac:dyDescent="0.25">
      <c r="A2557" s="1409"/>
      <c r="B2557" s="1409"/>
      <c r="C2557" s="1409"/>
      <c r="D2557" s="1409"/>
      <c r="E2557" s="1247"/>
      <c r="F2557" s="1287" t="s">
        <v>5527</v>
      </c>
      <c r="G2557" s="111"/>
      <c r="H2557" s="1249">
        <v>2</v>
      </c>
      <c r="I2557" s="111" t="s">
        <v>1721</v>
      </c>
      <c r="J2557" s="1321" t="s">
        <v>5608</v>
      </c>
      <c r="K2557" s="162" t="s">
        <v>5610</v>
      </c>
      <c r="L2557" s="162" t="s">
        <v>5609</v>
      </c>
      <c r="M2557" s="111">
        <v>20474.637999999999</v>
      </c>
      <c r="N2557" s="111">
        <v>40949.275999999998</v>
      </c>
      <c r="O2557" s="111"/>
      <c r="P2557" s="111"/>
      <c r="Q2557" s="111"/>
      <c r="R2557" s="111"/>
      <c r="S2557" s="1249">
        <v>2</v>
      </c>
      <c r="T2557" s="1250">
        <v>13649.758666666667</v>
      </c>
      <c r="U2557" s="1250"/>
      <c r="V2557" s="1250"/>
      <c r="W2557" s="1251">
        <v>0</v>
      </c>
      <c r="X2557" s="1250">
        <v>13649.758666666667</v>
      </c>
      <c r="Y2557" s="1250"/>
      <c r="Z2557" s="1250"/>
      <c r="AA2557" s="1250"/>
      <c r="AB2557" s="1250"/>
      <c r="AC2557" s="1250"/>
      <c r="AD2557" s="1250"/>
      <c r="AE2557" s="1249">
        <v>0</v>
      </c>
      <c r="AF2557" s="1250">
        <v>13649.758666666667</v>
      </c>
      <c r="AG2557" s="111"/>
      <c r="AH2557" s="111"/>
      <c r="AI2557" s="111"/>
      <c r="AJ2557" s="111"/>
      <c r="AK2557" s="111"/>
      <c r="AL2557" s="111"/>
      <c r="AM2557" s="111">
        <v>40949.275999999998</v>
      </c>
    </row>
    <row r="2558" spans="1:39" ht="30.75" customHeight="1" x14ac:dyDescent="0.25">
      <c r="A2558" s="1409"/>
      <c r="B2558" s="1409"/>
      <c r="C2558" s="1409"/>
      <c r="D2558" s="1409"/>
      <c r="E2558" s="1247"/>
      <c r="F2558" s="1287" t="s">
        <v>2132</v>
      </c>
      <c r="G2558" s="111"/>
      <c r="H2558" s="1249">
        <v>3</v>
      </c>
      <c r="I2558" s="111" t="s">
        <v>1721</v>
      </c>
      <c r="J2558" s="1321" t="s">
        <v>5608</v>
      </c>
      <c r="K2558" s="162" t="s">
        <v>5610</v>
      </c>
      <c r="L2558" s="162" t="s">
        <v>5609</v>
      </c>
      <c r="M2558" s="111">
        <v>9364.6666666666661</v>
      </c>
      <c r="N2558" s="111">
        <v>28094</v>
      </c>
      <c r="O2558" s="111"/>
      <c r="P2558" s="111"/>
      <c r="Q2558" s="111"/>
      <c r="R2558" s="111"/>
      <c r="S2558" s="1249">
        <v>1</v>
      </c>
      <c r="T2558" s="1250">
        <v>9364.6666666666661</v>
      </c>
      <c r="U2558" s="1250"/>
      <c r="V2558" s="1250"/>
      <c r="W2558" s="1251">
        <v>1</v>
      </c>
      <c r="X2558" s="1250">
        <v>9364.6666666666661</v>
      </c>
      <c r="Y2558" s="1250"/>
      <c r="Z2558" s="1250"/>
      <c r="AA2558" s="1250"/>
      <c r="AB2558" s="1250"/>
      <c r="AC2558" s="1250"/>
      <c r="AD2558" s="1250"/>
      <c r="AE2558" s="1249">
        <v>1</v>
      </c>
      <c r="AF2558" s="1250">
        <v>9364.6666666666661</v>
      </c>
      <c r="AG2558" s="111"/>
      <c r="AH2558" s="111"/>
      <c r="AI2558" s="111"/>
      <c r="AJ2558" s="111"/>
      <c r="AK2558" s="111"/>
      <c r="AL2558" s="111"/>
      <c r="AM2558" s="111">
        <v>28094</v>
      </c>
    </row>
    <row r="2559" spans="1:39" ht="31.5" customHeight="1" x14ac:dyDescent="0.25">
      <c r="A2559" s="1409"/>
      <c r="B2559" s="1409"/>
      <c r="C2559" s="1409"/>
      <c r="D2559" s="1409"/>
      <c r="E2559" s="1301"/>
      <c r="F2559" s="1287" t="s">
        <v>5528</v>
      </c>
      <c r="G2559" s="111"/>
      <c r="H2559" s="1249">
        <v>1</v>
      </c>
      <c r="I2559" s="111" t="s">
        <v>1721</v>
      </c>
      <c r="J2559" s="1321" t="s">
        <v>5608</v>
      </c>
      <c r="K2559" s="162" t="s">
        <v>5610</v>
      </c>
      <c r="L2559" s="162" t="s">
        <v>5609</v>
      </c>
      <c r="M2559" s="111">
        <v>21628.370269440002</v>
      </c>
      <c r="N2559" s="111">
        <v>21628.370269440002</v>
      </c>
      <c r="O2559" s="111"/>
      <c r="P2559" s="111"/>
      <c r="Q2559" s="111"/>
      <c r="R2559" s="111"/>
      <c r="S2559" s="1249">
        <v>1</v>
      </c>
      <c r="T2559" s="1250">
        <v>7209.4567564800009</v>
      </c>
      <c r="U2559" s="1250"/>
      <c r="V2559" s="1250"/>
      <c r="W2559" s="1251">
        <v>0</v>
      </c>
      <c r="X2559" s="1250">
        <v>7209.4567564800009</v>
      </c>
      <c r="Y2559" s="1250"/>
      <c r="Z2559" s="1250"/>
      <c r="AA2559" s="1250"/>
      <c r="AB2559" s="1250"/>
      <c r="AC2559" s="1250"/>
      <c r="AD2559" s="1250"/>
      <c r="AE2559" s="1249">
        <v>0</v>
      </c>
      <c r="AF2559" s="1250">
        <v>7209.4567564800009</v>
      </c>
      <c r="AG2559" s="111"/>
      <c r="AH2559" s="111"/>
      <c r="AI2559" s="111"/>
      <c r="AJ2559" s="111"/>
      <c r="AK2559" s="111"/>
      <c r="AL2559" s="111"/>
      <c r="AM2559" s="111">
        <v>21628.370269440002</v>
      </c>
    </row>
    <row r="2560" spans="1:39" ht="31.5" customHeight="1" x14ac:dyDescent="0.25">
      <c r="A2560" s="1409"/>
      <c r="B2560" s="1409"/>
      <c r="C2560" s="1409"/>
      <c r="D2560" s="1409"/>
      <c r="E2560" s="1301"/>
      <c r="F2560" s="1287" t="s">
        <v>1044</v>
      </c>
      <c r="G2560" s="111"/>
      <c r="H2560" s="1249">
        <v>1</v>
      </c>
      <c r="I2560" s="111" t="s">
        <v>1721</v>
      </c>
      <c r="J2560" s="1321" t="s">
        <v>5608</v>
      </c>
      <c r="K2560" s="162" t="s">
        <v>5610</v>
      </c>
      <c r="L2560" s="162" t="s">
        <v>5609</v>
      </c>
      <c r="M2560" s="111">
        <v>11881.55</v>
      </c>
      <c r="N2560" s="111">
        <v>11881.55</v>
      </c>
      <c r="O2560" s="111"/>
      <c r="P2560" s="111"/>
      <c r="Q2560" s="111"/>
      <c r="R2560" s="111"/>
      <c r="S2560" s="1249">
        <v>1</v>
      </c>
      <c r="T2560" s="1250">
        <v>3960.5166666666664</v>
      </c>
      <c r="U2560" s="1250"/>
      <c r="V2560" s="1250"/>
      <c r="W2560" s="1251">
        <v>0</v>
      </c>
      <c r="X2560" s="1250">
        <v>3960.5166666666664</v>
      </c>
      <c r="Y2560" s="1250"/>
      <c r="Z2560" s="1250"/>
      <c r="AA2560" s="1250"/>
      <c r="AB2560" s="1250"/>
      <c r="AC2560" s="1250"/>
      <c r="AD2560" s="1250"/>
      <c r="AE2560" s="1249">
        <v>0</v>
      </c>
      <c r="AF2560" s="1250">
        <v>3960.5166666666664</v>
      </c>
      <c r="AG2560" s="111"/>
      <c r="AH2560" s="111"/>
      <c r="AI2560" s="111"/>
      <c r="AJ2560" s="111"/>
      <c r="AK2560" s="111"/>
      <c r="AL2560" s="111"/>
      <c r="AM2560" s="111">
        <v>11881.55</v>
      </c>
    </row>
    <row r="2561" spans="1:39" ht="21" customHeight="1" x14ac:dyDescent="0.25">
      <c r="A2561" s="1409"/>
      <c r="B2561" s="1409"/>
      <c r="C2561" s="1409"/>
      <c r="D2561" s="1409"/>
      <c r="E2561" s="1301"/>
      <c r="F2561" s="1248" t="s">
        <v>5529</v>
      </c>
      <c r="G2561" s="111"/>
      <c r="H2561" s="1249">
        <v>3</v>
      </c>
      <c r="I2561" s="111" t="s">
        <v>1721</v>
      </c>
      <c r="J2561" s="1321" t="s">
        <v>5608</v>
      </c>
      <c r="K2561" s="162" t="s">
        <v>5610</v>
      </c>
      <c r="L2561" s="162" t="s">
        <v>5609</v>
      </c>
      <c r="M2561" s="111">
        <v>3992.7933333333331</v>
      </c>
      <c r="N2561" s="111">
        <v>11978.38</v>
      </c>
      <c r="O2561" s="111"/>
      <c r="P2561" s="111"/>
      <c r="Q2561" s="111"/>
      <c r="R2561" s="111"/>
      <c r="S2561" s="1249">
        <v>1</v>
      </c>
      <c r="T2561" s="1250">
        <v>3992.7933333333331</v>
      </c>
      <c r="U2561" s="1250"/>
      <c r="V2561" s="1250"/>
      <c r="W2561" s="1251">
        <v>1</v>
      </c>
      <c r="X2561" s="1250">
        <v>3992.7933333333331</v>
      </c>
      <c r="Y2561" s="1250"/>
      <c r="Z2561" s="1250"/>
      <c r="AA2561" s="1250"/>
      <c r="AB2561" s="1250"/>
      <c r="AC2561" s="1250"/>
      <c r="AD2561" s="1250"/>
      <c r="AE2561" s="1249">
        <v>1</v>
      </c>
      <c r="AF2561" s="1250">
        <v>3992.7933333333331</v>
      </c>
      <c r="AG2561" s="111"/>
      <c r="AH2561" s="111"/>
      <c r="AI2561" s="111"/>
      <c r="AJ2561" s="111"/>
      <c r="AK2561" s="111"/>
      <c r="AL2561" s="111"/>
      <c r="AM2561" s="111">
        <v>11978.38</v>
      </c>
    </row>
    <row r="2562" spans="1:39" ht="15" customHeight="1" x14ac:dyDescent="0.25">
      <c r="A2562" s="1409"/>
      <c r="B2562" s="1409"/>
      <c r="C2562" s="1409"/>
      <c r="D2562" s="1409"/>
      <c r="E2562" s="1301"/>
      <c r="F2562" s="1248" t="s">
        <v>3358</v>
      </c>
      <c r="G2562" s="111"/>
      <c r="H2562" s="1249">
        <v>1</v>
      </c>
      <c r="I2562" s="111" t="s">
        <v>1721</v>
      </c>
      <c r="J2562" s="1321" t="s">
        <v>5608</v>
      </c>
      <c r="K2562" s="162" t="s">
        <v>5610</v>
      </c>
      <c r="L2562" s="162" t="s">
        <v>5609</v>
      </c>
      <c r="M2562" s="111">
        <v>1728</v>
      </c>
      <c r="N2562" s="111">
        <v>1728</v>
      </c>
      <c r="O2562" s="111"/>
      <c r="P2562" s="111"/>
      <c r="Q2562" s="111"/>
      <c r="R2562" s="111"/>
      <c r="S2562" s="1249">
        <v>1</v>
      </c>
      <c r="T2562" s="1250">
        <v>576</v>
      </c>
      <c r="U2562" s="1250"/>
      <c r="V2562" s="1250"/>
      <c r="W2562" s="1251">
        <v>0</v>
      </c>
      <c r="X2562" s="1250">
        <v>576</v>
      </c>
      <c r="Y2562" s="1250"/>
      <c r="Z2562" s="1250"/>
      <c r="AA2562" s="1250"/>
      <c r="AB2562" s="1250"/>
      <c r="AC2562" s="1250"/>
      <c r="AD2562" s="1250"/>
      <c r="AE2562" s="1249">
        <v>0</v>
      </c>
      <c r="AF2562" s="1250">
        <v>576</v>
      </c>
      <c r="AG2562" s="111"/>
      <c r="AH2562" s="111"/>
      <c r="AI2562" s="111"/>
      <c r="AJ2562" s="111"/>
      <c r="AK2562" s="111"/>
      <c r="AL2562" s="111"/>
      <c r="AM2562" s="111">
        <v>1728</v>
      </c>
    </row>
    <row r="2563" spans="1:39" ht="15" customHeight="1" x14ac:dyDescent="0.25">
      <c r="A2563" s="1409"/>
      <c r="B2563" s="1409"/>
      <c r="C2563" s="1409"/>
      <c r="D2563" s="1409"/>
      <c r="E2563" s="1301"/>
      <c r="F2563" s="1248" t="s">
        <v>5530</v>
      </c>
      <c r="G2563" s="111"/>
      <c r="H2563" s="1249">
        <v>2</v>
      </c>
      <c r="I2563" s="111" t="s">
        <v>1721</v>
      </c>
      <c r="J2563" s="1321" t="s">
        <v>5608</v>
      </c>
      <c r="K2563" s="162" t="s">
        <v>5610</v>
      </c>
      <c r="L2563" s="162" t="s">
        <v>5609</v>
      </c>
      <c r="M2563" s="111">
        <v>8999.5949999999993</v>
      </c>
      <c r="N2563" s="111">
        <v>17999.189999999999</v>
      </c>
      <c r="O2563" s="111"/>
      <c r="P2563" s="111"/>
      <c r="Q2563" s="111"/>
      <c r="R2563" s="111"/>
      <c r="S2563" s="1249">
        <v>2</v>
      </c>
      <c r="T2563" s="1250">
        <v>5999.73</v>
      </c>
      <c r="U2563" s="1250"/>
      <c r="V2563" s="1250"/>
      <c r="W2563" s="1251">
        <v>0</v>
      </c>
      <c r="X2563" s="1250">
        <v>5999.73</v>
      </c>
      <c r="Y2563" s="1250"/>
      <c r="Z2563" s="1250"/>
      <c r="AA2563" s="1250"/>
      <c r="AB2563" s="1250"/>
      <c r="AC2563" s="1250"/>
      <c r="AD2563" s="1250"/>
      <c r="AE2563" s="1249">
        <v>0</v>
      </c>
      <c r="AF2563" s="1250">
        <v>5999.73</v>
      </c>
      <c r="AG2563" s="111"/>
      <c r="AH2563" s="111"/>
      <c r="AI2563" s="111"/>
      <c r="AJ2563" s="111"/>
      <c r="AK2563" s="111"/>
      <c r="AL2563" s="111"/>
      <c r="AM2563" s="111">
        <v>17999.189999999999</v>
      </c>
    </row>
    <row r="2564" spans="1:39" ht="29.25" customHeight="1" x14ac:dyDescent="0.25">
      <c r="A2564" s="1409"/>
      <c r="B2564" s="1409"/>
      <c r="C2564" s="1409"/>
      <c r="D2564" s="1409"/>
      <c r="E2564" s="1301"/>
      <c r="F2564" s="1287" t="s">
        <v>1737</v>
      </c>
      <c r="G2564" s="111"/>
      <c r="H2564" s="1249">
        <v>4</v>
      </c>
      <c r="I2564" s="111" t="s">
        <v>1721</v>
      </c>
      <c r="J2564" s="1321" t="s">
        <v>5608</v>
      </c>
      <c r="K2564" s="162" t="s">
        <v>5610</v>
      </c>
      <c r="L2564" s="162" t="s">
        <v>5609</v>
      </c>
      <c r="M2564" s="111">
        <v>3343.1000000000004</v>
      </c>
      <c r="N2564" s="111">
        <v>13372.400000000001</v>
      </c>
      <c r="O2564" s="111"/>
      <c r="P2564" s="111"/>
      <c r="Q2564" s="111"/>
      <c r="R2564" s="111"/>
      <c r="S2564" s="1249">
        <v>2</v>
      </c>
      <c r="T2564" s="1250">
        <v>4457.4666666666672</v>
      </c>
      <c r="U2564" s="1250"/>
      <c r="V2564" s="1250"/>
      <c r="W2564" s="1251">
        <v>1</v>
      </c>
      <c r="X2564" s="1250">
        <v>4457.4666666666672</v>
      </c>
      <c r="Y2564" s="1250"/>
      <c r="Z2564" s="1250"/>
      <c r="AA2564" s="1250"/>
      <c r="AB2564" s="1250"/>
      <c r="AC2564" s="1250"/>
      <c r="AD2564" s="1250"/>
      <c r="AE2564" s="1249">
        <v>1</v>
      </c>
      <c r="AF2564" s="1250">
        <v>4457.4666666666672</v>
      </c>
      <c r="AG2564" s="111"/>
      <c r="AH2564" s="111"/>
      <c r="AI2564" s="111"/>
      <c r="AJ2564" s="111"/>
      <c r="AK2564" s="111"/>
      <c r="AL2564" s="111"/>
      <c r="AM2564" s="111">
        <v>13372.400000000001</v>
      </c>
    </row>
    <row r="2565" spans="1:39" ht="24" customHeight="1" x14ac:dyDescent="0.25">
      <c r="A2565" s="1409"/>
      <c r="B2565" s="1409"/>
      <c r="C2565" s="1409"/>
      <c r="D2565" s="1409"/>
      <c r="E2565" s="1301"/>
      <c r="F2565" s="1287" t="s">
        <v>5531</v>
      </c>
      <c r="G2565" s="111"/>
      <c r="H2565" s="1249">
        <v>12</v>
      </c>
      <c r="I2565" s="111" t="s">
        <v>1721</v>
      </c>
      <c r="J2565" s="1321" t="s">
        <v>5608</v>
      </c>
      <c r="K2565" s="162" t="s">
        <v>5610</v>
      </c>
      <c r="L2565" s="162" t="s">
        <v>5609</v>
      </c>
      <c r="M2565" s="111">
        <v>30229.25</v>
      </c>
      <c r="N2565" s="111">
        <v>362751</v>
      </c>
      <c r="O2565" s="111"/>
      <c r="P2565" s="111"/>
      <c r="Q2565" s="111"/>
      <c r="R2565" s="111"/>
      <c r="S2565" s="1249">
        <v>5</v>
      </c>
      <c r="T2565" s="1250">
        <v>120917</v>
      </c>
      <c r="U2565" s="1250"/>
      <c r="V2565" s="1250"/>
      <c r="W2565" s="1251">
        <v>5</v>
      </c>
      <c r="X2565" s="1250">
        <v>120917</v>
      </c>
      <c r="Y2565" s="1250"/>
      <c r="Z2565" s="1250"/>
      <c r="AA2565" s="1250"/>
      <c r="AB2565" s="1250"/>
      <c r="AC2565" s="1250"/>
      <c r="AD2565" s="1250"/>
      <c r="AE2565" s="1249">
        <v>2</v>
      </c>
      <c r="AF2565" s="1250">
        <v>120917</v>
      </c>
      <c r="AG2565" s="111"/>
      <c r="AH2565" s="111"/>
      <c r="AI2565" s="111"/>
      <c r="AJ2565" s="111"/>
      <c r="AK2565" s="111"/>
      <c r="AL2565" s="111"/>
      <c r="AM2565" s="111">
        <v>362751</v>
      </c>
    </row>
    <row r="2566" spans="1:39" ht="27.75" customHeight="1" x14ac:dyDescent="0.25">
      <c r="A2566" s="1409"/>
      <c r="B2566" s="1409"/>
      <c r="C2566" s="1409"/>
      <c r="D2566" s="1409"/>
      <c r="E2566" s="1301"/>
      <c r="F2566" s="1287" t="s">
        <v>5532</v>
      </c>
      <c r="G2566" s="111"/>
      <c r="H2566" s="1249">
        <v>1</v>
      </c>
      <c r="I2566" s="111" t="s">
        <v>1721</v>
      </c>
      <c r="J2566" s="1321" t="s">
        <v>5608</v>
      </c>
      <c r="K2566" s="162" t="s">
        <v>5610</v>
      </c>
      <c r="L2566" s="162" t="s">
        <v>5609</v>
      </c>
      <c r="M2566" s="111">
        <v>13154.66</v>
      </c>
      <c r="N2566" s="111">
        <v>13154.66</v>
      </c>
      <c r="O2566" s="111"/>
      <c r="P2566" s="111"/>
      <c r="Q2566" s="111"/>
      <c r="R2566" s="111"/>
      <c r="S2566" s="1249">
        <v>1</v>
      </c>
      <c r="T2566" s="1250">
        <v>4384.8866666666663</v>
      </c>
      <c r="U2566" s="1250"/>
      <c r="V2566" s="1250"/>
      <c r="W2566" s="1251">
        <v>0</v>
      </c>
      <c r="X2566" s="1250">
        <v>4384.8866666666663</v>
      </c>
      <c r="Y2566" s="1250"/>
      <c r="Z2566" s="1250"/>
      <c r="AA2566" s="1250"/>
      <c r="AB2566" s="1250"/>
      <c r="AC2566" s="1250"/>
      <c r="AD2566" s="1250"/>
      <c r="AE2566" s="1249">
        <v>0</v>
      </c>
      <c r="AF2566" s="1250">
        <v>4384.8866666666663</v>
      </c>
      <c r="AG2566" s="111"/>
      <c r="AH2566" s="111"/>
      <c r="AI2566" s="111"/>
      <c r="AJ2566" s="111"/>
      <c r="AK2566" s="111"/>
      <c r="AL2566" s="111"/>
      <c r="AM2566" s="111">
        <v>13154.66</v>
      </c>
    </row>
    <row r="2567" spans="1:39" ht="15" customHeight="1" x14ac:dyDescent="0.25">
      <c r="A2567" s="1409"/>
      <c r="B2567" s="1409"/>
      <c r="C2567" s="1409"/>
      <c r="D2567" s="1409"/>
      <c r="E2567" s="1301"/>
      <c r="F2567" s="1248"/>
      <c r="G2567" s="111"/>
      <c r="H2567" s="1249"/>
      <c r="I2567" s="111"/>
      <c r="J2567" s="111"/>
      <c r="K2567" s="111"/>
      <c r="L2567" s="111"/>
      <c r="M2567" s="111"/>
      <c r="N2567" s="111"/>
      <c r="O2567" s="111"/>
      <c r="P2567" s="111"/>
      <c r="Q2567" s="111"/>
      <c r="R2567" s="111"/>
      <c r="S2567" s="1249"/>
      <c r="T2567" s="1250"/>
      <c r="U2567" s="1250"/>
      <c r="V2567" s="1250"/>
      <c r="W2567" s="1251"/>
      <c r="X2567" s="1250"/>
      <c r="Y2567" s="1250"/>
      <c r="Z2567" s="1250"/>
      <c r="AA2567" s="1250"/>
      <c r="AB2567" s="1250"/>
      <c r="AC2567" s="1250"/>
      <c r="AD2567" s="1250"/>
      <c r="AE2567" s="1249"/>
      <c r="AF2567" s="1250"/>
      <c r="AG2567" s="111"/>
      <c r="AH2567" s="111"/>
      <c r="AI2567" s="111"/>
      <c r="AJ2567" s="111"/>
      <c r="AK2567" s="111"/>
      <c r="AL2567" s="111"/>
      <c r="AM2567" s="111"/>
    </row>
    <row r="2568" spans="1:39" ht="15" customHeight="1" x14ac:dyDescent="0.25">
      <c r="A2568" s="1409"/>
      <c r="B2568" s="1409"/>
      <c r="C2568" s="1409"/>
      <c r="D2568" s="1409"/>
      <c r="E2568" s="1261">
        <v>51903</v>
      </c>
      <c r="F2568" s="1262" t="s">
        <v>1390</v>
      </c>
      <c r="G2568" s="1261"/>
      <c r="H2568" s="1261"/>
      <c r="I2568" s="1261"/>
      <c r="J2568" s="1261"/>
      <c r="K2568" s="1261"/>
      <c r="L2568" s="1261"/>
      <c r="M2568" s="1261"/>
      <c r="N2568" s="1261"/>
      <c r="O2568" s="1261"/>
      <c r="P2568" s="1261"/>
      <c r="Q2568" s="1261"/>
      <c r="R2568" s="1261"/>
      <c r="S2568" s="1261"/>
      <c r="T2568" s="1261"/>
      <c r="U2568" s="1261"/>
      <c r="V2568" s="1261"/>
      <c r="W2568" s="1261"/>
      <c r="X2568" s="1261"/>
      <c r="Y2568" s="1261"/>
      <c r="Z2568" s="1261"/>
      <c r="AA2568" s="1261"/>
      <c r="AB2568" s="1261"/>
      <c r="AC2568" s="1261"/>
      <c r="AD2568" s="1261"/>
      <c r="AE2568" s="1261"/>
      <c r="AF2568" s="1261"/>
      <c r="AG2568" s="1261"/>
      <c r="AH2568" s="1261"/>
      <c r="AI2568" s="1261"/>
      <c r="AJ2568" s="1261"/>
      <c r="AK2568" s="1261"/>
      <c r="AL2568" s="1261"/>
      <c r="AM2568" s="1261"/>
    </row>
    <row r="2569" spans="1:39" ht="15" customHeight="1" x14ac:dyDescent="0.25">
      <c r="A2569" s="1409"/>
      <c r="B2569" s="1409"/>
      <c r="C2569" s="1409"/>
      <c r="D2569" s="1409"/>
      <c r="E2569" s="1280"/>
      <c r="F2569" s="1248" t="s">
        <v>5533</v>
      </c>
      <c r="G2569" s="111"/>
      <c r="H2569" s="1249">
        <v>1</v>
      </c>
      <c r="I2569" s="111" t="s">
        <v>1721</v>
      </c>
      <c r="J2569" s="1321" t="s">
        <v>5608</v>
      </c>
      <c r="K2569" s="162" t="s">
        <v>5610</v>
      </c>
      <c r="L2569" s="162" t="s">
        <v>5609</v>
      </c>
      <c r="M2569" s="111">
        <v>4000</v>
      </c>
      <c r="N2569" s="111">
        <v>4000</v>
      </c>
      <c r="O2569" s="111"/>
      <c r="P2569" s="111"/>
      <c r="Q2569" s="111"/>
      <c r="R2569" s="111"/>
      <c r="S2569" s="1249">
        <v>1</v>
      </c>
      <c r="T2569" s="1250">
        <v>1333.3333333333333</v>
      </c>
      <c r="U2569" s="1250"/>
      <c r="V2569" s="1250"/>
      <c r="W2569" s="1251">
        <v>0</v>
      </c>
      <c r="X2569" s="1250">
        <v>1333.3333333333333</v>
      </c>
      <c r="Y2569" s="1250"/>
      <c r="Z2569" s="1250"/>
      <c r="AA2569" s="1250"/>
      <c r="AB2569" s="1250"/>
      <c r="AC2569" s="1250"/>
      <c r="AD2569" s="1250"/>
      <c r="AE2569" s="1249">
        <v>0</v>
      </c>
      <c r="AF2569" s="1250">
        <v>1333.3333333333333</v>
      </c>
      <c r="AG2569" s="111"/>
      <c r="AH2569" s="111"/>
      <c r="AI2569" s="111"/>
      <c r="AJ2569" s="111"/>
      <c r="AK2569" s="111"/>
      <c r="AL2569" s="111"/>
      <c r="AM2569" s="111">
        <v>4000</v>
      </c>
    </row>
    <row r="2570" spans="1:39" ht="15" customHeight="1" x14ac:dyDescent="0.25">
      <c r="A2570" s="1409"/>
      <c r="B2570" s="1409"/>
      <c r="C2570" s="1409"/>
      <c r="D2570" s="1409"/>
      <c r="E2570" s="1280"/>
      <c r="F2570" s="1248" t="s">
        <v>3360</v>
      </c>
      <c r="G2570" s="111"/>
      <c r="H2570" s="1249">
        <v>1</v>
      </c>
      <c r="I2570" s="111" t="s">
        <v>1721</v>
      </c>
      <c r="J2570" s="1321" t="s">
        <v>5608</v>
      </c>
      <c r="K2570" s="162" t="s">
        <v>5610</v>
      </c>
      <c r="L2570" s="162" t="s">
        <v>5609</v>
      </c>
      <c r="M2570" s="111">
        <v>3240</v>
      </c>
      <c r="N2570" s="111">
        <v>3240</v>
      </c>
      <c r="O2570" s="111"/>
      <c r="P2570" s="111"/>
      <c r="Q2570" s="111"/>
      <c r="R2570" s="111"/>
      <c r="S2570" s="1249">
        <v>1</v>
      </c>
      <c r="T2570" s="1250">
        <v>1080</v>
      </c>
      <c r="U2570" s="1250"/>
      <c r="V2570" s="1250"/>
      <c r="W2570" s="1251">
        <v>0</v>
      </c>
      <c r="X2570" s="1250">
        <v>1080</v>
      </c>
      <c r="Y2570" s="1250"/>
      <c r="Z2570" s="1250"/>
      <c r="AA2570" s="1250"/>
      <c r="AB2570" s="1250"/>
      <c r="AC2570" s="1250"/>
      <c r="AD2570" s="1250"/>
      <c r="AE2570" s="1249">
        <v>0</v>
      </c>
      <c r="AF2570" s="1250">
        <v>1080</v>
      </c>
      <c r="AG2570" s="111"/>
      <c r="AH2570" s="111"/>
      <c r="AI2570" s="111"/>
      <c r="AJ2570" s="111"/>
      <c r="AK2570" s="111"/>
      <c r="AL2570" s="111"/>
      <c r="AM2570" s="111">
        <v>3240</v>
      </c>
    </row>
    <row r="2571" spans="1:39" ht="15" customHeight="1" x14ac:dyDescent="0.25">
      <c r="A2571" s="1409"/>
      <c r="B2571" s="1409"/>
      <c r="C2571" s="1409"/>
      <c r="D2571" s="1409"/>
      <c r="E2571" s="1300"/>
      <c r="F2571" s="1248" t="s">
        <v>5534</v>
      </c>
      <c r="G2571" s="111"/>
      <c r="H2571" s="1249">
        <v>1</v>
      </c>
      <c r="I2571" s="111" t="s">
        <v>1721</v>
      </c>
      <c r="J2571" s="1321" t="s">
        <v>5608</v>
      </c>
      <c r="K2571" s="162" t="s">
        <v>5610</v>
      </c>
      <c r="L2571" s="162" t="s">
        <v>5609</v>
      </c>
      <c r="M2571" s="111">
        <v>7900</v>
      </c>
      <c r="N2571" s="111">
        <v>7900</v>
      </c>
      <c r="O2571" s="111"/>
      <c r="P2571" s="111"/>
      <c r="Q2571" s="111"/>
      <c r="R2571" s="111"/>
      <c r="S2571" s="1249">
        <v>1</v>
      </c>
      <c r="T2571" s="1250">
        <v>2633.3333333333335</v>
      </c>
      <c r="U2571" s="1250"/>
      <c r="V2571" s="1250"/>
      <c r="W2571" s="1251">
        <v>0</v>
      </c>
      <c r="X2571" s="1250">
        <v>2633.3333333333335</v>
      </c>
      <c r="Y2571" s="1250"/>
      <c r="Z2571" s="1250"/>
      <c r="AA2571" s="1250"/>
      <c r="AB2571" s="1250"/>
      <c r="AC2571" s="1250"/>
      <c r="AD2571" s="1250"/>
      <c r="AE2571" s="1249">
        <v>0</v>
      </c>
      <c r="AF2571" s="1250">
        <v>2633.3333333333335</v>
      </c>
      <c r="AG2571" s="111"/>
      <c r="AH2571" s="111"/>
      <c r="AI2571" s="111"/>
      <c r="AJ2571" s="111"/>
      <c r="AK2571" s="111"/>
      <c r="AL2571" s="111"/>
      <c r="AM2571" s="111">
        <v>7900</v>
      </c>
    </row>
    <row r="2572" spans="1:39" ht="15" customHeight="1" x14ac:dyDescent="0.25">
      <c r="A2572" s="1409"/>
      <c r="B2572" s="1409"/>
      <c r="C2572" s="1409"/>
      <c r="D2572" s="1409"/>
      <c r="E2572" s="1300"/>
      <c r="F2572" s="1248"/>
      <c r="G2572" s="111"/>
      <c r="H2572" s="1249"/>
      <c r="I2572" s="111"/>
      <c r="J2572" s="111"/>
      <c r="K2572" s="111"/>
      <c r="L2572" s="111"/>
      <c r="M2572" s="111"/>
      <c r="N2572" s="111"/>
      <c r="O2572" s="111"/>
      <c r="P2572" s="111"/>
      <c r="Q2572" s="111"/>
      <c r="R2572" s="111"/>
      <c r="S2572" s="1249"/>
      <c r="T2572" s="1250"/>
      <c r="U2572" s="1250"/>
      <c r="V2572" s="1250"/>
      <c r="W2572" s="1251"/>
      <c r="X2572" s="1250"/>
      <c r="Y2572" s="1250"/>
      <c r="Z2572" s="1250"/>
      <c r="AA2572" s="1250"/>
      <c r="AB2572" s="1250"/>
      <c r="AC2572" s="1250"/>
      <c r="AD2572" s="1250"/>
      <c r="AE2572" s="1249"/>
      <c r="AF2572" s="1250"/>
      <c r="AG2572" s="111"/>
      <c r="AH2572" s="111"/>
      <c r="AI2572" s="111"/>
      <c r="AJ2572" s="111"/>
      <c r="AK2572" s="111"/>
      <c r="AL2572" s="111"/>
      <c r="AM2572" s="111"/>
    </row>
    <row r="2573" spans="1:39" ht="15" customHeight="1" x14ac:dyDescent="0.25">
      <c r="A2573" s="1409"/>
      <c r="B2573" s="1409"/>
      <c r="C2573" s="1409"/>
      <c r="D2573" s="1409"/>
      <c r="E2573" s="1273">
        <v>51907</v>
      </c>
      <c r="F2573" s="1272" t="s">
        <v>2840</v>
      </c>
      <c r="G2573" s="1273"/>
      <c r="H2573" s="1273"/>
      <c r="I2573" s="1273"/>
      <c r="J2573" s="1273"/>
      <c r="K2573" s="1273"/>
      <c r="L2573" s="1273"/>
      <c r="M2573" s="1273"/>
      <c r="N2573" s="1273"/>
      <c r="O2573" s="1273"/>
      <c r="P2573" s="1273"/>
      <c r="Q2573" s="1273"/>
      <c r="R2573" s="1273"/>
      <c r="S2573" s="1273"/>
      <c r="T2573" s="1273"/>
      <c r="U2573" s="1273"/>
      <c r="V2573" s="1273"/>
      <c r="W2573" s="1273"/>
      <c r="X2573" s="1273"/>
      <c r="Y2573" s="1273"/>
      <c r="Z2573" s="1273"/>
      <c r="AA2573" s="1273"/>
      <c r="AB2573" s="1273"/>
      <c r="AC2573" s="1273"/>
      <c r="AD2573" s="1273"/>
      <c r="AE2573" s="1273"/>
      <c r="AF2573" s="1273"/>
      <c r="AG2573" s="1273"/>
      <c r="AH2573" s="1273"/>
      <c r="AI2573" s="1273"/>
      <c r="AJ2573" s="1273"/>
      <c r="AK2573" s="1273"/>
      <c r="AL2573" s="1273"/>
      <c r="AM2573" s="1273"/>
    </row>
    <row r="2574" spans="1:39" ht="15" customHeight="1" x14ac:dyDescent="0.25">
      <c r="A2574" s="1409"/>
      <c r="B2574" s="1409"/>
      <c r="C2574" s="1409"/>
      <c r="D2574" s="1409"/>
      <c r="E2574" s="1280"/>
      <c r="F2574" s="1248" t="s">
        <v>2841</v>
      </c>
      <c r="G2574" s="111"/>
      <c r="H2574" s="1249">
        <v>1</v>
      </c>
      <c r="I2574" s="111" t="s">
        <v>1725</v>
      </c>
      <c r="J2574" s="1321" t="s">
        <v>5608</v>
      </c>
      <c r="K2574" s="162" t="s">
        <v>5610</v>
      </c>
      <c r="L2574" s="162" t="s">
        <v>5609</v>
      </c>
      <c r="M2574" s="111">
        <v>4019.3999999999996</v>
      </c>
      <c r="N2574" s="111">
        <v>4019.3999999999996</v>
      </c>
      <c r="O2574" s="111"/>
      <c r="P2574" s="111"/>
      <c r="Q2574" s="111"/>
      <c r="R2574" s="111"/>
      <c r="S2574" s="1249">
        <v>1</v>
      </c>
      <c r="T2574" s="1250">
        <v>1339.8</v>
      </c>
      <c r="U2574" s="1250"/>
      <c r="V2574" s="1250"/>
      <c r="W2574" s="1251">
        <v>0</v>
      </c>
      <c r="X2574" s="1250">
        <v>1339.8</v>
      </c>
      <c r="Y2574" s="1250"/>
      <c r="Z2574" s="1250"/>
      <c r="AA2574" s="1250"/>
      <c r="AB2574" s="1250"/>
      <c r="AC2574" s="1250"/>
      <c r="AD2574" s="1250"/>
      <c r="AE2574" s="1249">
        <v>0</v>
      </c>
      <c r="AF2574" s="1250">
        <v>1339.8</v>
      </c>
      <c r="AG2574" s="111"/>
      <c r="AH2574" s="111"/>
      <c r="AI2574" s="111"/>
      <c r="AJ2574" s="111"/>
      <c r="AK2574" s="111"/>
      <c r="AL2574" s="111"/>
      <c r="AM2574" s="111">
        <v>4019.3999999999996</v>
      </c>
    </row>
    <row r="2575" spans="1:39" ht="15" customHeight="1" x14ac:dyDescent="0.25">
      <c r="A2575" s="1409"/>
      <c r="B2575" s="1409"/>
      <c r="C2575" s="1409"/>
      <c r="D2575" s="1409"/>
      <c r="E2575" s="1300"/>
      <c r="F2575" s="1248"/>
      <c r="G2575" s="111"/>
      <c r="H2575" s="1249"/>
      <c r="I2575" s="111"/>
      <c r="J2575" s="111"/>
      <c r="K2575" s="111"/>
      <c r="L2575" s="111"/>
      <c r="M2575" s="111"/>
      <c r="N2575" s="111"/>
      <c r="O2575" s="111"/>
      <c r="P2575" s="111"/>
      <c r="Q2575" s="111"/>
      <c r="R2575" s="111"/>
      <c r="S2575" s="1249"/>
      <c r="T2575" s="1250"/>
      <c r="U2575" s="1250"/>
      <c r="V2575" s="1250"/>
      <c r="W2575" s="1251"/>
      <c r="X2575" s="1250"/>
      <c r="Y2575" s="1250"/>
      <c r="Z2575" s="1250"/>
      <c r="AA2575" s="1250"/>
      <c r="AB2575" s="1250"/>
      <c r="AC2575" s="1250"/>
      <c r="AD2575" s="1250"/>
      <c r="AE2575" s="1249"/>
      <c r="AF2575" s="1250"/>
      <c r="AG2575" s="111"/>
      <c r="AH2575" s="111"/>
      <c r="AI2575" s="111"/>
      <c r="AJ2575" s="111"/>
      <c r="AK2575" s="111"/>
      <c r="AL2575" s="111"/>
      <c r="AM2575" s="111"/>
    </row>
    <row r="2576" spans="1:39" ht="15" customHeight="1" x14ac:dyDescent="0.25">
      <c r="A2576" s="1409"/>
      <c r="B2576" s="1409"/>
      <c r="C2576" s="1409"/>
      <c r="D2576" s="1409"/>
      <c r="E2576" s="1273">
        <v>51908</v>
      </c>
      <c r="F2576" s="1272" t="s">
        <v>1053</v>
      </c>
      <c r="G2576" s="1273"/>
      <c r="H2576" s="1273"/>
      <c r="I2576" s="1273"/>
      <c r="J2576" s="1273"/>
      <c r="K2576" s="1273"/>
      <c r="L2576" s="1273"/>
      <c r="M2576" s="1273"/>
      <c r="N2576" s="1273"/>
      <c r="O2576" s="1273"/>
      <c r="P2576" s="1273"/>
      <c r="Q2576" s="1273"/>
      <c r="R2576" s="1273"/>
      <c r="S2576" s="1273"/>
      <c r="T2576" s="1273"/>
      <c r="U2576" s="1273"/>
      <c r="V2576" s="1273"/>
      <c r="W2576" s="1273"/>
      <c r="X2576" s="1273"/>
      <c r="Y2576" s="1273"/>
      <c r="Z2576" s="1273"/>
      <c r="AA2576" s="1273"/>
      <c r="AB2576" s="1273"/>
      <c r="AC2576" s="1273"/>
      <c r="AD2576" s="1273"/>
      <c r="AE2576" s="1273"/>
      <c r="AF2576" s="1273"/>
      <c r="AG2576" s="1273"/>
      <c r="AH2576" s="1273"/>
      <c r="AI2576" s="1273"/>
      <c r="AJ2576" s="1273"/>
      <c r="AK2576" s="1273"/>
      <c r="AL2576" s="1273"/>
      <c r="AM2576" s="1273"/>
    </row>
    <row r="2577" spans="1:39" ht="15" customHeight="1" x14ac:dyDescent="0.25">
      <c r="A2577" s="1409"/>
      <c r="B2577" s="1409"/>
      <c r="C2577" s="1409"/>
      <c r="D2577" s="1409"/>
      <c r="E2577" s="1247"/>
      <c r="F2577" s="1248" t="s">
        <v>5535</v>
      </c>
      <c r="G2577" s="111"/>
      <c r="H2577" s="1249">
        <v>1</v>
      </c>
      <c r="I2577" s="111" t="s">
        <v>1721</v>
      </c>
      <c r="J2577" s="1321" t="s">
        <v>5608</v>
      </c>
      <c r="K2577" s="162" t="s">
        <v>5610</v>
      </c>
      <c r="L2577" s="162" t="s">
        <v>5609</v>
      </c>
      <c r="M2577" s="111">
        <v>6480</v>
      </c>
      <c r="N2577" s="111">
        <v>6480</v>
      </c>
      <c r="O2577" s="111"/>
      <c r="P2577" s="111"/>
      <c r="Q2577" s="111"/>
      <c r="R2577" s="111"/>
      <c r="S2577" s="1249">
        <v>1</v>
      </c>
      <c r="T2577" s="1250">
        <v>2160</v>
      </c>
      <c r="U2577" s="1250"/>
      <c r="V2577" s="1250"/>
      <c r="W2577" s="1251">
        <v>0</v>
      </c>
      <c r="X2577" s="1250">
        <v>2160</v>
      </c>
      <c r="Y2577" s="1250"/>
      <c r="Z2577" s="1250"/>
      <c r="AA2577" s="1250"/>
      <c r="AB2577" s="1250"/>
      <c r="AC2577" s="1250"/>
      <c r="AD2577" s="1250"/>
      <c r="AE2577" s="1249">
        <v>0</v>
      </c>
      <c r="AF2577" s="1250">
        <v>2160</v>
      </c>
      <c r="AG2577" s="111"/>
      <c r="AH2577" s="111"/>
      <c r="AI2577" s="111"/>
      <c r="AJ2577" s="111"/>
      <c r="AK2577" s="111"/>
      <c r="AL2577" s="111"/>
      <c r="AM2577" s="111">
        <v>6480</v>
      </c>
    </row>
    <row r="2578" spans="1:39" ht="15" customHeight="1" x14ac:dyDescent="0.25">
      <c r="A2578" s="1409"/>
      <c r="B2578" s="1409"/>
      <c r="C2578" s="1409"/>
      <c r="D2578" s="1409"/>
      <c r="E2578" s="1247"/>
      <c r="F2578" s="1248" t="s">
        <v>5536</v>
      </c>
      <c r="G2578" s="111"/>
      <c r="H2578" s="1249">
        <v>2</v>
      </c>
      <c r="I2578" s="111" t="s">
        <v>1721</v>
      </c>
      <c r="J2578" s="1321" t="s">
        <v>5608</v>
      </c>
      <c r="K2578" s="162" t="s">
        <v>5610</v>
      </c>
      <c r="L2578" s="162" t="s">
        <v>5609</v>
      </c>
      <c r="M2578" s="111">
        <v>12760</v>
      </c>
      <c r="N2578" s="111">
        <v>25520</v>
      </c>
      <c r="O2578" s="111"/>
      <c r="P2578" s="111"/>
      <c r="Q2578" s="111"/>
      <c r="R2578" s="111"/>
      <c r="S2578" s="1249">
        <v>2</v>
      </c>
      <c r="T2578" s="1250">
        <v>8506.6666666666661</v>
      </c>
      <c r="U2578" s="1250"/>
      <c r="V2578" s="1250"/>
      <c r="W2578" s="1251">
        <v>0</v>
      </c>
      <c r="X2578" s="1250">
        <v>8506.6666666666661</v>
      </c>
      <c r="Y2578" s="1250"/>
      <c r="Z2578" s="1250"/>
      <c r="AA2578" s="1250"/>
      <c r="AB2578" s="1250"/>
      <c r="AC2578" s="1250"/>
      <c r="AD2578" s="1250"/>
      <c r="AE2578" s="1249">
        <v>0</v>
      </c>
      <c r="AF2578" s="1250">
        <v>8506.6666666666661</v>
      </c>
      <c r="AG2578" s="111"/>
      <c r="AH2578" s="111"/>
      <c r="AI2578" s="111"/>
      <c r="AJ2578" s="111"/>
      <c r="AK2578" s="111"/>
      <c r="AL2578" s="111"/>
      <c r="AM2578" s="111">
        <v>25520</v>
      </c>
    </row>
    <row r="2579" spans="1:39" ht="15" customHeight="1" x14ac:dyDescent="0.25">
      <c r="A2579" s="1409"/>
      <c r="B2579" s="1409"/>
      <c r="C2579" s="1409"/>
      <c r="D2579" s="1409"/>
      <c r="E2579" s="1247"/>
      <c r="F2579" s="1248" t="s">
        <v>5537</v>
      </c>
      <c r="G2579" s="111"/>
      <c r="H2579" s="1249">
        <v>1</v>
      </c>
      <c r="I2579" s="111" t="s">
        <v>1721</v>
      </c>
      <c r="J2579" s="1321" t="s">
        <v>5608</v>
      </c>
      <c r="K2579" s="162" t="s">
        <v>5610</v>
      </c>
      <c r="L2579" s="162" t="s">
        <v>5609</v>
      </c>
      <c r="M2579" s="111">
        <v>25000</v>
      </c>
      <c r="N2579" s="111">
        <v>25000</v>
      </c>
      <c r="O2579" s="111"/>
      <c r="P2579" s="111"/>
      <c r="Q2579" s="111"/>
      <c r="R2579" s="111"/>
      <c r="S2579" s="1249">
        <v>1</v>
      </c>
      <c r="T2579" s="1250">
        <v>8333.3333333333339</v>
      </c>
      <c r="U2579" s="1250"/>
      <c r="V2579" s="1250"/>
      <c r="W2579" s="1251">
        <v>0</v>
      </c>
      <c r="X2579" s="1250">
        <v>8333.3333333333339</v>
      </c>
      <c r="Y2579" s="1250"/>
      <c r="Z2579" s="1250"/>
      <c r="AA2579" s="1250"/>
      <c r="AB2579" s="1250"/>
      <c r="AC2579" s="1250"/>
      <c r="AD2579" s="1250"/>
      <c r="AE2579" s="1249">
        <v>0</v>
      </c>
      <c r="AF2579" s="1250">
        <v>8333.3333333333339</v>
      </c>
      <c r="AG2579" s="111"/>
      <c r="AH2579" s="111"/>
      <c r="AI2579" s="111"/>
      <c r="AJ2579" s="111"/>
      <c r="AK2579" s="111"/>
      <c r="AL2579" s="111"/>
      <c r="AM2579" s="111">
        <v>25000</v>
      </c>
    </row>
    <row r="2580" spans="1:39" ht="15" customHeight="1" x14ac:dyDescent="0.25">
      <c r="A2580" s="1409"/>
      <c r="B2580" s="1409"/>
      <c r="C2580" s="1409"/>
      <c r="D2580" s="1409"/>
      <c r="E2580" s="1247"/>
      <c r="F2580" s="1248" t="s">
        <v>5538</v>
      </c>
      <c r="G2580" s="111"/>
      <c r="H2580" s="1249">
        <v>1</v>
      </c>
      <c r="I2580" s="111" t="s">
        <v>1721</v>
      </c>
      <c r="J2580" s="1321" t="s">
        <v>5608</v>
      </c>
      <c r="K2580" s="162" t="s">
        <v>5610</v>
      </c>
      <c r="L2580" s="162" t="s">
        <v>5609</v>
      </c>
      <c r="M2580" s="111">
        <v>10098.01</v>
      </c>
      <c r="N2580" s="111">
        <v>10098.01</v>
      </c>
      <c r="O2580" s="111"/>
      <c r="P2580" s="111"/>
      <c r="Q2580" s="111"/>
      <c r="R2580" s="111"/>
      <c r="S2580" s="1249">
        <v>1</v>
      </c>
      <c r="T2580" s="1250">
        <v>3366.0033333333336</v>
      </c>
      <c r="U2580" s="1250"/>
      <c r="V2580" s="1250"/>
      <c r="W2580" s="1251">
        <v>0</v>
      </c>
      <c r="X2580" s="1250">
        <v>3366.0033333333336</v>
      </c>
      <c r="Y2580" s="1250"/>
      <c r="Z2580" s="1250"/>
      <c r="AA2580" s="1250"/>
      <c r="AB2580" s="1250"/>
      <c r="AC2580" s="1250"/>
      <c r="AD2580" s="1250"/>
      <c r="AE2580" s="1249">
        <v>0</v>
      </c>
      <c r="AF2580" s="1250">
        <v>3366.0033333333336</v>
      </c>
      <c r="AG2580" s="111"/>
      <c r="AH2580" s="111"/>
      <c r="AI2580" s="111"/>
      <c r="AJ2580" s="111"/>
      <c r="AK2580" s="111"/>
      <c r="AL2580" s="111"/>
      <c r="AM2580" s="111">
        <v>10098.01</v>
      </c>
    </row>
    <row r="2581" spans="1:39" ht="15" customHeight="1" x14ac:dyDescent="0.25">
      <c r="A2581" s="1409"/>
      <c r="B2581" s="1409"/>
      <c r="C2581" s="1409"/>
      <c r="D2581" s="1409"/>
      <c r="E2581" s="1247"/>
      <c r="F2581" s="1248" t="s">
        <v>5539</v>
      </c>
      <c r="G2581" s="111"/>
      <c r="H2581" s="1249">
        <v>4</v>
      </c>
      <c r="I2581" s="111" t="s">
        <v>1721</v>
      </c>
      <c r="J2581" s="1321" t="s">
        <v>5608</v>
      </c>
      <c r="K2581" s="162" t="s">
        <v>5610</v>
      </c>
      <c r="L2581" s="162" t="s">
        <v>5609</v>
      </c>
      <c r="M2581" s="111">
        <v>2552</v>
      </c>
      <c r="N2581" s="111">
        <v>10208</v>
      </c>
      <c r="O2581" s="111"/>
      <c r="P2581" s="111"/>
      <c r="Q2581" s="111"/>
      <c r="R2581" s="111"/>
      <c r="S2581" s="1249">
        <v>2</v>
      </c>
      <c r="T2581" s="1250">
        <v>3402.6666666666665</v>
      </c>
      <c r="U2581" s="1250"/>
      <c r="V2581" s="1250"/>
      <c r="W2581" s="1251">
        <v>1</v>
      </c>
      <c r="X2581" s="1250">
        <v>3402.6666666666665</v>
      </c>
      <c r="Y2581" s="1250"/>
      <c r="Z2581" s="1250"/>
      <c r="AA2581" s="1250"/>
      <c r="AB2581" s="1250"/>
      <c r="AC2581" s="1250"/>
      <c r="AD2581" s="1250"/>
      <c r="AE2581" s="1249">
        <v>1</v>
      </c>
      <c r="AF2581" s="1250">
        <v>3402.6666666666665</v>
      </c>
      <c r="AG2581" s="111"/>
      <c r="AH2581" s="111"/>
      <c r="AI2581" s="111"/>
      <c r="AJ2581" s="111"/>
      <c r="AK2581" s="111"/>
      <c r="AL2581" s="111"/>
      <c r="AM2581" s="111">
        <v>10208</v>
      </c>
    </row>
    <row r="2582" spans="1:39" ht="15" customHeight="1" x14ac:dyDescent="0.25">
      <c r="A2582" s="1409"/>
      <c r="B2582" s="1409"/>
      <c r="C2582" s="1409"/>
      <c r="D2582" s="1409"/>
      <c r="E2582" s="1247"/>
      <c r="F2582" s="1248" t="s">
        <v>5540</v>
      </c>
      <c r="G2582" s="111"/>
      <c r="H2582" s="1249">
        <v>5</v>
      </c>
      <c r="I2582" s="111" t="s">
        <v>1721</v>
      </c>
      <c r="J2582" s="1321" t="s">
        <v>5608</v>
      </c>
      <c r="K2582" s="162" t="s">
        <v>5610</v>
      </c>
      <c r="L2582" s="162" t="s">
        <v>5609</v>
      </c>
      <c r="M2582" s="111">
        <v>3479.9999999999991</v>
      </c>
      <c r="N2582" s="111">
        <v>17399.999999999996</v>
      </c>
      <c r="O2582" s="111"/>
      <c r="P2582" s="111"/>
      <c r="Q2582" s="111"/>
      <c r="R2582" s="111"/>
      <c r="S2582" s="1249">
        <v>2</v>
      </c>
      <c r="T2582" s="1250">
        <v>5799.9999999999991</v>
      </c>
      <c r="U2582" s="1250"/>
      <c r="V2582" s="1250"/>
      <c r="W2582" s="1251">
        <v>2</v>
      </c>
      <c r="X2582" s="1250">
        <v>5799.9999999999991</v>
      </c>
      <c r="Y2582" s="1250"/>
      <c r="Z2582" s="1250"/>
      <c r="AA2582" s="1250"/>
      <c r="AB2582" s="1250"/>
      <c r="AC2582" s="1250"/>
      <c r="AD2582" s="1250"/>
      <c r="AE2582" s="1249">
        <v>1</v>
      </c>
      <c r="AF2582" s="1250">
        <v>5799.9999999999991</v>
      </c>
      <c r="AG2582" s="111"/>
      <c r="AH2582" s="111"/>
      <c r="AI2582" s="111"/>
      <c r="AJ2582" s="111"/>
      <c r="AK2582" s="111"/>
      <c r="AL2582" s="111"/>
      <c r="AM2582" s="111">
        <v>17399.999999999996</v>
      </c>
    </row>
    <row r="2583" spans="1:39" ht="15" customHeight="1" x14ac:dyDescent="0.25">
      <c r="A2583" s="1409"/>
      <c r="B2583" s="1409"/>
      <c r="C2583" s="1409"/>
      <c r="D2583" s="1409"/>
      <c r="E2583" s="1247"/>
      <c r="F2583" s="1248" t="s">
        <v>2842</v>
      </c>
      <c r="G2583" s="111"/>
      <c r="H2583" s="1249">
        <v>1</v>
      </c>
      <c r="I2583" s="111" t="s">
        <v>2811</v>
      </c>
      <c r="J2583" s="1321" t="s">
        <v>5608</v>
      </c>
      <c r="K2583" s="162" t="s">
        <v>5610</v>
      </c>
      <c r="L2583" s="162" t="s">
        <v>5609</v>
      </c>
      <c r="M2583" s="111">
        <v>7399.5239999999994</v>
      </c>
      <c r="N2583" s="111">
        <v>7399.5239999999994</v>
      </c>
      <c r="O2583" s="111"/>
      <c r="P2583" s="111"/>
      <c r="Q2583" s="111"/>
      <c r="R2583" s="111"/>
      <c r="S2583" s="1249">
        <v>1</v>
      </c>
      <c r="T2583" s="1250">
        <v>2466.5079999999998</v>
      </c>
      <c r="U2583" s="1250"/>
      <c r="V2583" s="1250"/>
      <c r="W2583" s="1251">
        <v>0</v>
      </c>
      <c r="X2583" s="1250">
        <v>2466.5079999999998</v>
      </c>
      <c r="Y2583" s="1250"/>
      <c r="Z2583" s="1250"/>
      <c r="AA2583" s="1250"/>
      <c r="AB2583" s="1250"/>
      <c r="AC2583" s="1250"/>
      <c r="AD2583" s="1250"/>
      <c r="AE2583" s="1249">
        <v>0</v>
      </c>
      <c r="AF2583" s="1250">
        <v>2466.5079999999998</v>
      </c>
      <c r="AG2583" s="111"/>
      <c r="AH2583" s="111"/>
      <c r="AI2583" s="111"/>
      <c r="AJ2583" s="111"/>
      <c r="AK2583" s="111"/>
      <c r="AL2583" s="111"/>
      <c r="AM2583" s="111">
        <v>7399.5239999999994</v>
      </c>
    </row>
    <row r="2584" spans="1:39" ht="15" customHeight="1" x14ac:dyDescent="0.25">
      <c r="A2584" s="1409"/>
      <c r="B2584" s="1409"/>
      <c r="C2584" s="1409"/>
      <c r="D2584" s="1409"/>
      <c r="E2584" s="1247"/>
      <c r="F2584" s="1248" t="s">
        <v>5541</v>
      </c>
      <c r="G2584" s="111"/>
      <c r="H2584" s="1249">
        <v>1</v>
      </c>
      <c r="I2584" s="111" t="s">
        <v>1721</v>
      </c>
      <c r="J2584" s="1321" t="s">
        <v>5608</v>
      </c>
      <c r="K2584" s="162" t="s">
        <v>5610</v>
      </c>
      <c r="L2584" s="162" t="s">
        <v>5609</v>
      </c>
      <c r="M2584" s="111">
        <v>6000</v>
      </c>
      <c r="N2584" s="111">
        <v>6000</v>
      </c>
      <c r="O2584" s="111"/>
      <c r="P2584" s="111"/>
      <c r="Q2584" s="111"/>
      <c r="R2584" s="111"/>
      <c r="S2584" s="1249">
        <v>1</v>
      </c>
      <c r="T2584" s="1250">
        <v>2000</v>
      </c>
      <c r="U2584" s="1250"/>
      <c r="V2584" s="1250"/>
      <c r="W2584" s="1251">
        <v>0</v>
      </c>
      <c r="X2584" s="1250">
        <v>2000</v>
      </c>
      <c r="Y2584" s="1250"/>
      <c r="Z2584" s="1250"/>
      <c r="AA2584" s="1250"/>
      <c r="AB2584" s="1250"/>
      <c r="AC2584" s="1250"/>
      <c r="AD2584" s="1250"/>
      <c r="AE2584" s="1249">
        <v>0</v>
      </c>
      <c r="AF2584" s="1250">
        <v>2000</v>
      </c>
      <c r="AG2584" s="111"/>
      <c r="AH2584" s="111"/>
      <c r="AI2584" s="111"/>
      <c r="AJ2584" s="111"/>
      <c r="AK2584" s="111"/>
      <c r="AL2584" s="111"/>
      <c r="AM2584" s="111">
        <v>6000</v>
      </c>
    </row>
    <row r="2585" spans="1:39" ht="15" customHeight="1" x14ac:dyDescent="0.25">
      <c r="A2585" s="1409"/>
      <c r="B2585" s="1409"/>
      <c r="C2585" s="1409"/>
      <c r="D2585" s="1409"/>
      <c r="E2585" s="1247"/>
      <c r="F2585" s="1248" t="s">
        <v>5542</v>
      </c>
      <c r="G2585" s="111"/>
      <c r="H2585" s="1249">
        <v>8</v>
      </c>
      <c r="I2585" s="111" t="s">
        <v>1721</v>
      </c>
      <c r="J2585" s="1321" t="s">
        <v>5608</v>
      </c>
      <c r="K2585" s="162" t="s">
        <v>5610</v>
      </c>
      <c r="L2585" s="162" t="s">
        <v>5609</v>
      </c>
      <c r="M2585" s="111">
        <v>700.51</v>
      </c>
      <c r="N2585" s="111">
        <v>5604.08</v>
      </c>
      <c r="O2585" s="111"/>
      <c r="P2585" s="111"/>
      <c r="Q2585" s="111"/>
      <c r="R2585" s="111"/>
      <c r="S2585" s="1249">
        <v>4</v>
      </c>
      <c r="T2585" s="1250">
        <v>1868.0266666666666</v>
      </c>
      <c r="U2585" s="1250"/>
      <c r="V2585" s="1250"/>
      <c r="W2585" s="1251">
        <v>2</v>
      </c>
      <c r="X2585" s="1250">
        <v>1868.0266666666666</v>
      </c>
      <c r="Y2585" s="1250"/>
      <c r="Z2585" s="1250"/>
      <c r="AA2585" s="1250"/>
      <c r="AB2585" s="1250"/>
      <c r="AC2585" s="1250"/>
      <c r="AD2585" s="1250"/>
      <c r="AE2585" s="1249">
        <v>2</v>
      </c>
      <c r="AF2585" s="1250">
        <v>1868.0266666666666</v>
      </c>
      <c r="AG2585" s="111"/>
      <c r="AH2585" s="111"/>
      <c r="AI2585" s="111"/>
      <c r="AJ2585" s="111"/>
      <c r="AK2585" s="111"/>
      <c r="AL2585" s="111"/>
      <c r="AM2585" s="111">
        <v>5604.08</v>
      </c>
    </row>
    <row r="2586" spans="1:39" ht="15" customHeight="1" x14ac:dyDescent="0.25">
      <c r="A2586" s="1409"/>
      <c r="B2586" s="1409"/>
      <c r="C2586" s="1409"/>
      <c r="D2586" s="1409"/>
      <c r="E2586" s="1300"/>
      <c r="F2586" s="1248" t="s">
        <v>5543</v>
      </c>
      <c r="G2586" s="111"/>
      <c r="H2586" s="1249">
        <v>2</v>
      </c>
      <c r="I2586" s="111" t="s">
        <v>1749</v>
      </c>
      <c r="J2586" s="1321" t="s">
        <v>5608</v>
      </c>
      <c r="K2586" s="162" t="s">
        <v>5610</v>
      </c>
      <c r="L2586" s="162" t="s">
        <v>5609</v>
      </c>
      <c r="M2586" s="111">
        <v>3801.5991999999997</v>
      </c>
      <c r="N2586" s="111">
        <v>7603.1983999999993</v>
      </c>
      <c r="O2586" s="111"/>
      <c r="P2586" s="111"/>
      <c r="Q2586" s="111"/>
      <c r="R2586" s="111"/>
      <c r="S2586" s="1249">
        <v>2</v>
      </c>
      <c r="T2586" s="1250">
        <v>2534.3994666666663</v>
      </c>
      <c r="U2586" s="1250"/>
      <c r="V2586" s="1250"/>
      <c r="W2586" s="1251">
        <v>0</v>
      </c>
      <c r="X2586" s="1250">
        <v>2534.3994666666663</v>
      </c>
      <c r="Y2586" s="1250"/>
      <c r="Z2586" s="1250"/>
      <c r="AA2586" s="1250"/>
      <c r="AB2586" s="1250"/>
      <c r="AC2586" s="1250"/>
      <c r="AD2586" s="1250"/>
      <c r="AE2586" s="1249">
        <v>0</v>
      </c>
      <c r="AF2586" s="1250">
        <v>2534.3994666666663</v>
      </c>
      <c r="AG2586" s="111"/>
      <c r="AH2586" s="111"/>
      <c r="AI2586" s="111"/>
      <c r="AJ2586" s="111"/>
      <c r="AK2586" s="111"/>
      <c r="AL2586" s="111"/>
      <c r="AM2586" s="111">
        <v>7603.1983999999993</v>
      </c>
    </row>
    <row r="2587" spans="1:39" ht="15" customHeight="1" x14ac:dyDescent="0.25">
      <c r="A2587" s="1409"/>
      <c r="B2587" s="1409"/>
      <c r="C2587" s="1409"/>
      <c r="D2587" s="1409"/>
      <c r="E2587" s="1300"/>
      <c r="F2587" s="1248" t="s">
        <v>5544</v>
      </c>
      <c r="G2587" s="111"/>
      <c r="H2587" s="1249">
        <v>7</v>
      </c>
      <c r="I2587" s="111" t="s">
        <v>1776</v>
      </c>
      <c r="J2587" s="1321" t="s">
        <v>5608</v>
      </c>
      <c r="K2587" s="162" t="s">
        <v>5610</v>
      </c>
      <c r="L2587" s="162" t="s">
        <v>5609</v>
      </c>
      <c r="M2587" s="111">
        <v>2050.92</v>
      </c>
      <c r="N2587" s="111">
        <v>14356.44</v>
      </c>
      <c r="O2587" s="111"/>
      <c r="P2587" s="111"/>
      <c r="Q2587" s="111"/>
      <c r="R2587" s="111"/>
      <c r="S2587" s="1249">
        <v>3</v>
      </c>
      <c r="T2587" s="1250">
        <v>4785.4800000000005</v>
      </c>
      <c r="U2587" s="1250"/>
      <c r="V2587" s="1250"/>
      <c r="W2587" s="1251">
        <v>2</v>
      </c>
      <c r="X2587" s="1250">
        <v>4785.4800000000005</v>
      </c>
      <c r="Y2587" s="1250"/>
      <c r="Z2587" s="1250"/>
      <c r="AA2587" s="1250"/>
      <c r="AB2587" s="1250"/>
      <c r="AC2587" s="1250"/>
      <c r="AD2587" s="1250"/>
      <c r="AE2587" s="1249">
        <v>2</v>
      </c>
      <c r="AF2587" s="1250">
        <v>4785.4800000000005</v>
      </c>
      <c r="AG2587" s="111"/>
      <c r="AH2587" s="111"/>
      <c r="AI2587" s="111"/>
      <c r="AJ2587" s="111"/>
      <c r="AK2587" s="111"/>
      <c r="AL2587" s="111"/>
      <c r="AM2587" s="111">
        <v>14356.44</v>
      </c>
    </row>
    <row r="2588" spans="1:39" ht="15" customHeight="1" x14ac:dyDescent="0.25">
      <c r="A2588" s="1409"/>
      <c r="B2588" s="1409"/>
      <c r="C2588" s="1409"/>
      <c r="D2588" s="1409"/>
      <c r="E2588" s="1300"/>
      <c r="F2588" s="1248" t="s">
        <v>5545</v>
      </c>
      <c r="G2588" s="111"/>
      <c r="H2588" s="1249">
        <v>2</v>
      </c>
      <c r="I2588" s="111" t="s">
        <v>1721</v>
      </c>
      <c r="J2588" s="1321" t="s">
        <v>5608</v>
      </c>
      <c r="K2588" s="162" t="s">
        <v>5610</v>
      </c>
      <c r="L2588" s="162" t="s">
        <v>5609</v>
      </c>
      <c r="M2588" s="111">
        <v>46579.1</v>
      </c>
      <c r="N2588" s="111">
        <v>93158.2</v>
      </c>
      <c r="O2588" s="111"/>
      <c r="P2588" s="111"/>
      <c r="Q2588" s="111"/>
      <c r="R2588" s="111"/>
      <c r="S2588" s="1249">
        <v>2</v>
      </c>
      <c r="T2588" s="1250">
        <v>31052.733333333334</v>
      </c>
      <c r="U2588" s="1250"/>
      <c r="V2588" s="1250"/>
      <c r="W2588" s="1251">
        <v>0</v>
      </c>
      <c r="X2588" s="1250">
        <v>31052.733333333334</v>
      </c>
      <c r="Y2588" s="1250"/>
      <c r="Z2588" s="1250"/>
      <c r="AA2588" s="1250"/>
      <c r="AB2588" s="1250"/>
      <c r="AC2588" s="1250"/>
      <c r="AD2588" s="1250"/>
      <c r="AE2588" s="1249">
        <v>0</v>
      </c>
      <c r="AF2588" s="1250">
        <v>31052.733333333334</v>
      </c>
      <c r="AG2588" s="111"/>
      <c r="AH2588" s="111"/>
      <c r="AI2588" s="111"/>
      <c r="AJ2588" s="111"/>
      <c r="AK2588" s="111"/>
      <c r="AL2588" s="111"/>
      <c r="AM2588" s="111">
        <v>93158.2</v>
      </c>
    </row>
    <row r="2589" spans="1:39" ht="15" customHeight="1" x14ac:dyDescent="0.25">
      <c r="A2589" s="1409"/>
      <c r="B2589" s="1409"/>
      <c r="C2589" s="1409"/>
      <c r="D2589" s="1409"/>
      <c r="E2589" s="1300"/>
      <c r="F2589" s="1248" t="s">
        <v>5546</v>
      </c>
      <c r="G2589" s="111"/>
      <c r="H2589" s="1249">
        <v>1</v>
      </c>
      <c r="I2589" s="111" t="s">
        <v>1721</v>
      </c>
      <c r="J2589" s="1321" t="s">
        <v>5608</v>
      </c>
      <c r="K2589" s="162" t="s">
        <v>5610</v>
      </c>
      <c r="L2589" s="162" t="s">
        <v>5609</v>
      </c>
      <c r="M2589" s="111">
        <v>44787.6</v>
      </c>
      <c r="N2589" s="111">
        <v>44787.6</v>
      </c>
      <c r="O2589" s="111"/>
      <c r="P2589" s="111"/>
      <c r="Q2589" s="111"/>
      <c r="R2589" s="111"/>
      <c r="S2589" s="1249">
        <v>1</v>
      </c>
      <c r="T2589" s="1250">
        <v>14929.199999999999</v>
      </c>
      <c r="U2589" s="1250"/>
      <c r="V2589" s="1250"/>
      <c r="W2589" s="1251">
        <v>0</v>
      </c>
      <c r="X2589" s="1250">
        <v>14929.199999999999</v>
      </c>
      <c r="Y2589" s="1250"/>
      <c r="Z2589" s="1250"/>
      <c r="AA2589" s="1250"/>
      <c r="AB2589" s="1250"/>
      <c r="AC2589" s="1250"/>
      <c r="AD2589" s="1250"/>
      <c r="AE2589" s="1249">
        <v>0</v>
      </c>
      <c r="AF2589" s="1250">
        <v>14929.199999999999</v>
      </c>
      <c r="AG2589" s="111"/>
      <c r="AH2589" s="111"/>
      <c r="AI2589" s="111"/>
      <c r="AJ2589" s="111"/>
      <c r="AK2589" s="111"/>
      <c r="AL2589" s="111"/>
      <c r="AM2589" s="111">
        <v>44787.6</v>
      </c>
    </row>
    <row r="2590" spans="1:39" ht="15" customHeight="1" x14ac:dyDescent="0.25">
      <c r="A2590" s="1409"/>
      <c r="B2590" s="1409"/>
      <c r="C2590" s="1409"/>
      <c r="D2590" s="1409"/>
      <c r="E2590" s="1300"/>
      <c r="F2590" s="1248" t="s">
        <v>5547</v>
      </c>
      <c r="G2590" s="111"/>
      <c r="H2590" s="1249">
        <v>1</v>
      </c>
      <c r="I2590" s="111" t="s">
        <v>1721</v>
      </c>
      <c r="J2590" s="1321" t="s">
        <v>5608</v>
      </c>
      <c r="K2590" s="162" t="s">
        <v>5610</v>
      </c>
      <c r="L2590" s="162" t="s">
        <v>5609</v>
      </c>
      <c r="M2590" s="111">
        <v>23110.59</v>
      </c>
      <c r="N2590" s="111">
        <v>23110.59</v>
      </c>
      <c r="O2590" s="111"/>
      <c r="P2590" s="111"/>
      <c r="Q2590" s="111"/>
      <c r="R2590" s="111"/>
      <c r="S2590" s="1249">
        <v>1</v>
      </c>
      <c r="T2590" s="1250">
        <v>7703.53</v>
      </c>
      <c r="U2590" s="1250"/>
      <c r="V2590" s="1250"/>
      <c r="W2590" s="1251">
        <v>0</v>
      </c>
      <c r="X2590" s="1250">
        <v>7703.53</v>
      </c>
      <c r="Y2590" s="1250"/>
      <c r="Z2590" s="1250"/>
      <c r="AA2590" s="1250"/>
      <c r="AB2590" s="1250"/>
      <c r="AC2590" s="1250"/>
      <c r="AD2590" s="1250"/>
      <c r="AE2590" s="1249">
        <v>0</v>
      </c>
      <c r="AF2590" s="1250">
        <v>7703.53</v>
      </c>
      <c r="AG2590" s="111"/>
      <c r="AH2590" s="111"/>
      <c r="AI2590" s="111"/>
      <c r="AJ2590" s="111"/>
      <c r="AK2590" s="111"/>
      <c r="AL2590" s="111"/>
      <c r="AM2590" s="111">
        <v>23110.59</v>
      </c>
    </row>
    <row r="2591" spans="1:39" ht="15" customHeight="1" x14ac:dyDescent="0.25">
      <c r="A2591" s="1409"/>
      <c r="B2591" s="1409"/>
      <c r="C2591" s="1409"/>
      <c r="D2591" s="1409"/>
      <c r="E2591" s="1300"/>
      <c r="F2591" s="1248" t="s">
        <v>5548</v>
      </c>
      <c r="G2591" s="111"/>
      <c r="H2591" s="1249">
        <v>1</v>
      </c>
      <c r="I2591" s="111" t="s">
        <v>1721</v>
      </c>
      <c r="J2591" s="1321" t="s">
        <v>5608</v>
      </c>
      <c r="K2591" s="162" t="s">
        <v>5610</v>
      </c>
      <c r="L2591" s="162" t="s">
        <v>5609</v>
      </c>
      <c r="M2591" s="111">
        <v>8157</v>
      </c>
      <c r="N2591" s="111">
        <v>8157</v>
      </c>
      <c r="O2591" s="111"/>
      <c r="P2591" s="111"/>
      <c r="Q2591" s="111"/>
      <c r="R2591" s="111"/>
      <c r="S2591" s="1249">
        <v>1</v>
      </c>
      <c r="T2591" s="1250">
        <v>2719</v>
      </c>
      <c r="U2591" s="1250"/>
      <c r="V2591" s="1250"/>
      <c r="W2591" s="1251">
        <v>0</v>
      </c>
      <c r="X2591" s="1250">
        <v>2719</v>
      </c>
      <c r="Y2591" s="1250"/>
      <c r="Z2591" s="1250"/>
      <c r="AA2591" s="1250"/>
      <c r="AB2591" s="1250"/>
      <c r="AC2591" s="1250"/>
      <c r="AD2591" s="1250"/>
      <c r="AE2591" s="1249">
        <v>0</v>
      </c>
      <c r="AF2591" s="1250">
        <v>2719</v>
      </c>
      <c r="AG2591" s="111"/>
      <c r="AH2591" s="111"/>
      <c r="AI2591" s="111"/>
      <c r="AJ2591" s="111"/>
      <c r="AK2591" s="111"/>
      <c r="AL2591" s="111"/>
      <c r="AM2591" s="111">
        <v>8157</v>
      </c>
    </row>
    <row r="2592" spans="1:39" ht="15" customHeight="1" x14ac:dyDescent="0.25">
      <c r="A2592" s="1409"/>
      <c r="B2592" s="1409"/>
      <c r="C2592" s="1409"/>
      <c r="D2592" s="1409"/>
      <c r="E2592" s="1300"/>
      <c r="F2592" s="1248" t="s">
        <v>5549</v>
      </c>
      <c r="G2592" s="111"/>
      <c r="H2592" s="1249">
        <v>1</v>
      </c>
      <c r="I2592" s="111" t="s">
        <v>1721</v>
      </c>
      <c r="J2592" s="1321" t="s">
        <v>5608</v>
      </c>
      <c r="K2592" s="162" t="s">
        <v>5610</v>
      </c>
      <c r="L2592" s="162" t="s">
        <v>5609</v>
      </c>
      <c r="M2592" s="111">
        <v>3100</v>
      </c>
      <c r="N2592" s="111">
        <v>3100</v>
      </c>
      <c r="O2592" s="111"/>
      <c r="P2592" s="111"/>
      <c r="Q2592" s="111"/>
      <c r="R2592" s="111"/>
      <c r="S2592" s="1249">
        <v>1</v>
      </c>
      <c r="T2592" s="1250">
        <v>1033.3333333333333</v>
      </c>
      <c r="U2592" s="1250"/>
      <c r="V2592" s="1250"/>
      <c r="W2592" s="1251">
        <v>0</v>
      </c>
      <c r="X2592" s="1250">
        <v>1033.3333333333333</v>
      </c>
      <c r="Y2592" s="1250"/>
      <c r="Z2592" s="1250"/>
      <c r="AA2592" s="1250"/>
      <c r="AB2592" s="1250"/>
      <c r="AC2592" s="1250"/>
      <c r="AD2592" s="1250"/>
      <c r="AE2592" s="1249">
        <v>0</v>
      </c>
      <c r="AF2592" s="1250">
        <v>1033.3333333333333</v>
      </c>
      <c r="AG2592" s="111"/>
      <c r="AH2592" s="111"/>
      <c r="AI2592" s="111"/>
      <c r="AJ2592" s="111"/>
      <c r="AK2592" s="111"/>
      <c r="AL2592" s="111"/>
      <c r="AM2592" s="111">
        <v>3100</v>
      </c>
    </row>
    <row r="2593" spans="1:39" ht="15" customHeight="1" x14ac:dyDescent="0.25">
      <c r="A2593" s="1409"/>
      <c r="B2593" s="1409"/>
      <c r="C2593" s="1409"/>
      <c r="D2593" s="1409"/>
      <c r="E2593" s="1300"/>
      <c r="F2593" s="1248" t="s">
        <v>5550</v>
      </c>
      <c r="G2593" s="111"/>
      <c r="H2593" s="1249">
        <v>1</v>
      </c>
      <c r="I2593" s="111" t="s">
        <v>1721</v>
      </c>
      <c r="J2593" s="1321" t="s">
        <v>5608</v>
      </c>
      <c r="K2593" s="162" t="s">
        <v>5610</v>
      </c>
      <c r="L2593" s="162" t="s">
        <v>5609</v>
      </c>
      <c r="M2593" s="111">
        <v>2160</v>
      </c>
      <c r="N2593" s="111">
        <v>2160</v>
      </c>
      <c r="O2593" s="111"/>
      <c r="P2593" s="111"/>
      <c r="Q2593" s="111"/>
      <c r="R2593" s="111"/>
      <c r="S2593" s="1249">
        <v>1</v>
      </c>
      <c r="T2593" s="1250">
        <v>720</v>
      </c>
      <c r="U2593" s="1250"/>
      <c r="V2593" s="1250"/>
      <c r="W2593" s="1251">
        <v>0</v>
      </c>
      <c r="X2593" s="1250">
        <v>720</v>
      </c>
      <c r="Y2593" s="1250"/>
      <c r="Z2593" s="1250"/>
      <c r="AA2593" s="1250"/>
      <c r="AB2593" s="1250"/>
      <c r="AC2593" s="1250"/>
      <c r="AD2593" s="1250"/>
      <c r="AE2593" s="1249">
        <v>0</v>
      </c>
      <c r="AF2593" s="1250">
        <v>720</v>
      </c>
      <c r="AG2593" s="111"/>
      <c r="AH2593" s="111"/>
      <c r="AI2593" s="111"/>
      <c r="AJ2593" s="111"/>
      <c r="AK2593" s="111"/>
      <c r="AL2593" s="111"/>
      <c r="AM2593" s="111">
        <v>2160</v>
      </c>
    </row>
    <row r="2594" spans="1:39" ht="15" customHeight="1" x14ac:dyDescent="0.25">
      <c r="A2594" s="1409"/>
      <c r="B2594" s="1409"/>
      <c r="C2594" s="1409"/>
      <c r="D2594" s="1409"/>
      <c r="E2594" s="1300"/>
      <c r="F2594" s="1248" t="s">
        <v>5551</v>
      </c>
      <c r="G2594" s="111"/>
      <c r="H2594" s="1249">
        <v>3</v>
      </c>
      <c r="I2594" s="111" t="s">
        <v>1721</v>
      </c>
      <c r="J2594" s="1321" t="s">
        <v>5608</v>
      </c>
      <c r="K2594" s="162" t="s">
        <v>5610</v>
      </c>
      <c r="L2594" s="162" t="s">
        <v>5609</v>
      </c>
      <c r="M2594" s="111">
        <v>3850</v>
      </c>
      <c r="N2594" s="111">
        <v>11550</v>
      </c>
      <c r="O2594" s="111"/>
      <c r="P2594" s="111"/>
      <c r="Q2594" s="111"/>
      <c r="R2594" s="111"/>
      <c r="S2594" s="1249">
        <v>1</v>
      </c>
      <c r="T2594" s="1250">
        <v>3850</v>
      </c>
      <c r="U2594" s="1250"/>
      <c r="V2594" s="1250"/>
      <c r="W2594" s="1251">
        <v>1</v>
      </c>
      <c r="X2594" s="1250">
        <v>3850</v>
      </c>
      <c r="Y2594" s="1250"/>
      <c r="Z2594" s="1250"/>
      <c r="AA2594" s="1250"/>
      <c r="AB2594" s="1250"/>
      <c r="AC2594" s="1250"/>
      <c r="AD2594" s="1250"/>
      <c r="AE2594" s="1249">
        <v>1</v>
      </c>
      <c r="AF2594" s="1250">
        <v>3850</v>
      </c>
      <c r="AG2594" s="111"/>
      <c r="AH2594" s="111"/>
      <c r="AI2594" s="111"/>
      <c r="AJ2594" s="111"/>
      <c r="AK2594" s="111"/>
      <c r="AL2594" s="111"/>
      <c r="AM2594" s="111">
        <v>11550</v>
      </c>
    </row>
    <row r="2595" spans="1:39" ht="15" customHeight="1" x14ac:dyDescent="0.25">
      <c r="A2595" s="1409"/>
      <c r="B2595" s="1409"/>
      <c r="C2595" s="1409"/>
      <c r="D2595" s="1409"/>
      <c r="E2595" s="1300"/>
      <c r="F2595" s="1248" t="s">
        <v>5552</v>
      </c>
      <c r="G2595" s="111"/>
      <c r="H2595" s="1249">
        <v>10</v>
      </c>
      <c r="I2595" s="111" t="s">
        <v>1721</v>
      </c>
      <c r="J2595" s="1321" t="s">
        <v>5608</v>
      </c>
      <c r="K2595" s="162" t="s">
        <v>5610</v>
      </c>
      <c r="L2595" s="162" t="s">
        <v>5609</v>
      </c>
      <c r="M2595" s="111">
        <v>3034.09</v>
      </c>
      <c r="N2595" s="111">
        <v>30340.9</v>
      </c>
      <c r="O2595" s="111"/>
      <c r="P2595" s="111"/>
      <c r="Q2595" s="111"/>
      <c r="R2595" s="111"/>
      <c r="S2595" s="1249">
        <v>5</v>
      </c>
      <c r="T2595" s="1250">
        <v>10113.633333333333</v>
      </c>
      <c r="U2595" s="1250"/>
      <c r="V2595" s="1250"/>
      <c r="W2595" s="1251">
        <v>5</v>
      </c>
      <c r="X2595" s="1250">
        <v>10113.633333333333</v>
      </c>
      <c r="Y2595" s="1250"/>
      <c r="Z2595" s="1250"/>
      <c r="AA2595" s="1250"/>
      <c r="AB2595" s="1250"/>
      <c r="AC2595" s="1250"/>
      <c r="AD2595" s="1250"/>
      <c r="AE2595" s="1249">
        <v>0</v>
      </c>
      <c r="AF2595" s="1250">
        <v>10113.633333333333</v>
      </c>
      <c r="AG2595" s="111"/>
      <c r="AH2595" s="111"/>
      <c r="AI2595" s="111"/>
      <c r="AJ2595" s="111"/>
      <c r="AK2595" s="111"/>
      <c r="AL2595" s="111"/>
      <c r="AM2595" s="111">
        <v>30340.9</v>
      </c>
    </row>
    <row r="2596" spans="1:39" ht="15" customHeight="1" x14ac:dyDescent="0.25">
      <c r="A2596" s="1409"/>
      <c r="B2596" s="1409"/>
      <c r="C2596" s="1409"/>
      <c r="D2596" s="1409"/>
      <c r="E2596" s="1300"/>
      <c r="F2596" s="1248" t="s">
        <v>5553</v>
      </c>
      <c r="G2596" s="111"/>
      <c r="H2596" s="1249">
        <v>1</v>
      </c>
      <c r="I2596" s="111" t="s">
        <v>1721</v>
      </c>
      <c r="J2596" s="1321" t="s">
        <v>5608</v>
      </c>
      <c r="K2596" s="162" t="s">
        <v>5610</v>
      </c>
      <c r="L2596" s="162" t="s">
        <v>5609</v>
      </c>
      <c r="M2596" s="111">
        <v>8130.692</v>
      </c>
      <c r="N2596" s="111">
        <v>8130.692</v>
      </c>
      <c r="O2596" s="111"/>
      <c r="P2596" s="111"/>
      <c r="Q2596" s="111"/>
      <c r="R2596" s="111"/>
      <c r="S2596" s="1249">
        <v>1</v>
      </c>
      <c r="T2596" s="1250">
        <v>2710.2306666666668</v>
      </c>
      <c r="U2596" s="1250"/>
      <c r="V2596" s="1250"/>
      <c r="W2596" s="1251">
        <v>0</v>
      </c>
      <c r="X2596" s="1250">
        <v>2710.2306666666668</v>
      </c>
      <c r="Y2596" s="1250"/>
      <c r="Z2596" s="1250"/>
      <c r="AA2596" s="1250"/>
      <c r="AB2596" s="1250"/>
      <c r="AC2596" s="1250"/>
      <c r="AD2596" s="1250"/>
      <c r="AE2596" s="1249">
        <v>0</v>
      </c>
      <c r="AF2596" s="1250">
        <v>2710.2306666666668</v>
      </c>
      <c r="AG2596" s="111"/>
      <c r="AH2596" s="111"/>
      <c r="AI2596" s="111"/>
      <c r="AJ2596" s="111"/>
      <c r="AK2596" s="111"/>
      <c r="AL2596" s="111"/>
      <c r="AM2596" s="111">
        <v>8130.692</v>
      </c>
    </row>
    <row r="2597" spans="1:39" ht="15" customHeight="1" x14ac:dyDescent="0.25">
      <c r="A2597" s="1409"/>
      <c r="B2597" s="1409"/>
      <c r="C2597" s="1409"/>
      <c r="D2597" s="1409"/>
      <c r="E2597" s="1300"/>
      <c r="F2597" s="1248" t="s">
        <v>5554</v>
      </c>
      <c r="G2597" s="111"/>
      <c r="H2597" s="1249">
        <v>1</v>
      </c>
      <c r="I2597" s="111" t="s">
        <v>1721</v>
      </c>
      <c r="J2597" s="1321" t="s">
        <v>5608</v>
      </c>
      <c r="K2597" s="162" t="s">
        <v>5610</v>
      </c>
      <c r="L2597" s="162" t="s">
        <v>5609</v>
      </c>
      <c r="M2597" s="111">
        <v>10000</v>
      </c>
      <c r="N2597" s="111">
        <v>10000</v>
      </c>
      <c r="O2597" s="111"/>
      <c r="P2597" s="111"/>
      <c r="Q2597" s="111"/>
      <c r="R2597" s="111"/>
      <c r="S2597" s="1249">
        <v>1</v>
      </c>
      <c r="T2597" s="1250">
        <v>3333.3333333333335</v>
      </c>
      <c r="U2597" s="1250"/>
      <c r="V2597" s="1250"/>
      <c r="W2597" s="1251">
        <v>0</v>
      </c>
      <c r="X2597" s="1250">
        <v>3333.3333333333335</v>
      </c>
      <c r="Y2597" s="1250"/>
      <c r="Z2597" s="1250"/>
      <c r="AA2597" s="1250"/>
      <c r="AB2597" s="1250"/>
      <c r="AC2597" s="1250"/>
      <c r="AD2597" s="1250"/>
      <c r="AE2597" s="1249">
        <v>0</v>
      </c>
      <c r="AF2597" s="1250">
        <v>3333.3333333333335</v>
      </c>
      <c r="AG2597" s="111"/>
      <c r="AH2597" s="111"/>
      <c r="AI2597" s="111"/>
      <c r="AJ2597" s="111"/>
      <c r="AK2597" s="111"/>
      <c r="AL2597" s="111"/>
      <c r="AM2597" s="111">
        <v>10000</v>
      </c>
    </row>
    <row r="2598" spans="1:39" ht="15" customHeight="1" x14ac:dyDescent="0.25">
      <c r="A2598" s="1409"/>
      <c r="B2598" s="1409"/>
      <c r="C2598" s="1409"/>
      <c r="D2598" s="1409"/>
      <c r="E2598" s="1300"/>
      <c r="F2598" s="1248" t="s">
        <v>5555</v>
      </c>
      <c r="G2598" s="111"/>
      <c r="H2598" s="1249">
        <v>2</v>
      </c>
      <c r="I2598" s="111" t="s">
        <v>1721</v>
      </c>
      <c r="J2598" s="1321" t="s">
        <v>5608</v>
      </c>
      <c r="K2598" s="162" t="s">
        <v>5610</v>
      </c>
      <c r="L2598" s="162" t="s">
        <v>5609</v>
      </c>
      <c r="M2598" s="111">
        <v>3000</v>
      </c>
      <c r="N2598" s="111">
        <v>6000</v>
      </c>
      <c r="O2598" s="111"/>
      <c r="P2598" s="111"/>
      <c r="Q2598" s="111"/>
      <c r="R2598" s="111"/>
      <c r="S2598" s="1249">
        <v>2</v>
      </c>
      <c r="T2598" s="1250">
        <v>2000</v>
      </c>
      <c r="U2598" s="1250"/>
      <c r="V2598" s="1250"/>
      <c r="W2598" s="1251">
        <v>0</v>
      </c>
      <c r="X2598" s="1250">
        <v>2000</v>
      </c>
      <c r="Y2598" s="1250"/>
      <c r="Z2598" s="1250"/>
      <c r="AA2598" s="1250"/>
      <c r="AB2598" s="1250"/>
      <c r="AC2598" s="1250"/>
      <c r="AD2598" s="1250"/>
      <c r="AE2598" s="1249">
        <v>0</v>
      </c>
      <c r="AF2598" s="1250">
        <v>2000</v>
      </c>
      <c r="AG2598" s="111"/>
      <c r="AH2598" s="111"/>
      <c r="AI2598" s="111"/>
      <c r="AJ2598" s="111"/>
      <c r="AK2598" s="111"/>
      <c r="AL2598" s="111"/>
      <c r="AM2598" s="111">
        <v>6000</v>
      </c>
    </row>
    <row r="2599" spans="1:39" ht="15" customHeight="1" x14ac:dyDescent="0.25">
      <c r="A2599" s="1409"/>
      <c r="B2599" s="1409"/>
      <c r="C2599" s="1409"/>
      <c r="D2599" s="1409"/>
      <c r="E2599" s="1300"/>
      <c r="F2599" s="1248"/>
      <c r="G2599" s="111"/>
      <c r="H2599" s="1249"/>
      <c r="I2599" s="111"/>
      <c r="J2599" s="111"/>
      <c r="K2599" s="111"/>
      <c r="L2599" s="111"/>
      <c r="M2599" s="111"/>
      <c r="N2599" s="111"/>
      <c r="O2599" s="111"/>
      <c r="P2599" s="111"/>
      <c r="Q2599" s="111"/>
      <c r="R2599" s="111"/>
      <c r="S2599" s="1249"/>
      <c r="T2599" s="1250"/>
      <c r="U2599" s="1250"/>
      <c r="V2599" s="1250"/>
      <c r="W2599" s="1251"/>
      <c r="X2599" s="1250"/>
      <c r="Y2599" s="1250"/>
      <c r="Z2599" s="1250"/>
      <c r="AA2599" s="1250"/>
      <c r="AB2599" s="1250"/>
      <c r="AC2599" s="1250"/>
      <c r="AD2599" s="1250"/>
      <c r="AE2599" s="1249"/>
      <c r="AF2599" s="1250"/>
      <c r="AG2599" s="111"/>
      <c r="AH2599" s="111"/>
      <c r="AI2599" s="111"/>
      <c r="AJ2599" s="111"/>
      <c r="AK2599" s="111"/>
      <c r="AL2599" s="111"/>
      <c r="AM2599" s="111"/>
    </row>
    <row r="2600" spans="1:39" ht="36" customHeight="1" x14ac:dyDescent="0.25">
      <c r="A2600" s="1409"/>
      <c r="B2600" s="1409"/>
      <c r="C2600" s="1409"/>
      <c r="D2600" s="1409"/>
      <c r="E2600" s="1204">
        <v>5200</v>
      </c>
      <c r="F2600" s="1274" t="s">
        <v>1062</v>
      </c>
      <c r="G2600" s="1204"/>
      <c r="H2600" s="1204"/>
      <c r="I2600" s="1204"/>
      <c r="J2600" s="1204"/>
      <c r="K2600" s="1204"/>
      <c r="L2600" s="1204"/>
      <c r="M2600" s="1204"/>
      <c r="N2600" s="1204"/>
      <c r="O2600" s="1204"/>
      <c r="P2600" s="1204"/>
      <c r="Q2600" s="1204"/>
      <c r="R2600" s="1204"/>
      <c r="S2600" s="1204"/>
      <c r="T2600" s="1204"/>
      <c r="U2600" s="1204"/>
      <c r="V2600" s="1204"/>
      <c r="W2600" s="1204"/>
      <c r="X2600" s="1204"/>
      <c r="Y2600" s="1204"/>
      <c r="Z2600" s="1204"/>
      <c r="AA2600" s="1204"/>
      <c r="AB2600" s="1204"/>
      <c r="AC2600" s="1204"/>
      <c r="AD2600" s="1204"/>
      <c r="AE2600" s="1204"/>
      <c r="AF2600" s="1204"/>
      <c r="AG2600" s="1204"/>
      <c r="AH2600" s="1204"/>
      <c r="AI2600" s="1204"/>
      <c r="AJ2600" s="1204"/>
      <c r="AK2600" s="1204"/>
      <c r="AL2600" s="1204"/>
      <c r="AM2600" s="1204"/>
    </row>
    <row r="2601" spans="1:39" ht="15" customHeight="1" x14ac:dyDescent="0.25">
      <c r="A2601" s="1409"/>
      <c r="B2601" s="1409"/>
      <c r="C2601" s="1409"/>
      <c r="D2601" s="1409"/>
      <c r="E2601" s="1218">
        <v>521</v>
      </c>
      <c r="F2601" s="1268" t="s">
        <v>1063</v>
      </c>
      <c r="G2601" s="1218"/>
      <c r="H2601" s="1218"/>
      <c r="I2601" s="1218"/>
      <c r="J2601" s="1218"/>
      <c r="K2601" s="1218"/>
      <c r="L2601" s="1218"/>
      <c r="M2601" s="1218"/>
      <c r="N2601" s="1218"/>
      <c r="O2601" s="1218"/>
      <c r="P2601" s="1218"/>
      <c r="Q2601" s="1218"/>
      <c r="R2601" s="1218"/>
      <c r="S2601" s="1218"/>
      <c r="T2601" s="1218"/>
      <c r="U2601" s="1218"/>
      <c r="V2601" s="1218"/>
      <c r="W2601" s="1218"/>
      <c r="X2601" s="1218"/>
      <c r="Y2601" s="1218"/>
      <c r="Z2601" s="1218"/>
      <c r="AA2601" s="1218"/>
      <c r="AB2601" s="1218"/>
      <c r="AC2601" s="1218"/>
      <c r="AD2601" s="1218"/>
      <c r="AE2601" s="1218"/>
      <c r="AF2601" s="1218"/>
      <c r="AG2601" s="1218"/>
      <c r="AH2601" s="1218"/>
      <c r="AI2601" s="1218"/>
      <c r="AJ2601" s="1218"/>
      <c r="AK2601" s="1218"/>
      <c r="AL2601" s="1218"/>
      <c r="AM2601" s="1218"/>
    </row>
    <row r="2602" spans="1:39" ht="15" customHeight="1" x14ac:dyDescent="0.25">
      <c r="A2602" s="1409"/>
      <c r="B2602" s="1409"/>
      <c r="C2602" s="1409"/>
      <c r="D2602" s="1409"/>
      <c r="E2602" s="1247"/>
      <c r="F2602" s="1248"/>
      <c r="G2602" s="111"/>
      <c r="H2602" s="1249"/>
      <c r="I2602" s="111"/>
      <c r="J2602" s="111"/>
      <c r="K2602" s="111"/>
      <c r="L2602" s="111"/>
      <c r="M2602" s="111"/>
      <c r="N2602" s="111"/>
      <c r="O2602" s="111"/>
      <c r="P2602" s="111"/>
      <c r="Q2602" s="111"/>
      <c r="R2602" s="111"/>
      <c r="S2602" s="1249"/>
      <c r="T2602" s="1250"/>
      <c r="U2602" s="1250"/>
      <c r="V2602" s="1250"/>
      <c r="W2602" s="1251"/>
      <c r="X2602" s="1250"/>
      <c r="Y2602" s="1250"/>
      <c r="Z2602" s="1250"/>
      <c r="AA2602" s="1250"/>
      <c r="AB2602" s="1250"/>
      <c r="AC2602" s="1250"/>
      <c r="AD2602" s="1250"/>
      <c r="AE2602" s="1249"/>
      <c r="AF2602" s="1250"/>
      <c r="AG2602" s="111"/>
      <c r="AH2602" s="111"/>
      <c r="AI2602" s="111"/>
      <c r="AJ2602" s="111"/>
      <c r="AK2602" s="111"/>
      <c r="AL2602" s="111"/>
      <c r="AM2602" s="111"/>
    </row>
    <row r="2603" spans="1:39" ht="15" customHeight="1" x14ac:dyDescent="0.25">
      <c r="A2603" s="1409"/>
      <c r="B2603" s="1409"/>
      <c r="C2603" s="1409"/>
      <c r="D2603" s="1409"/>
      <c r="E2603" s="1261">
        <v>52101</v>
      </c>
      <c r="F2603" s="1262" t="s">
        <v>1064</v>
      </c>
      <c r="G2603" s="1261"/>
      <c r="H2603" s="1261"/>
      <c r="I2603" s="1261"/>
      <c r="J2603" s="1261"/>
      <c r="K2603" s="1261"/>
      <c r="L2603" s="1261"/>
      <c r="M2603" s="1261"/>
      <c r="N2603" s="1261"/>
      <c r="O2603" s="1261"/>
      <c r="P2603" s="1261"/>
      <c r="Q2603" s="1261"/>
      <c r="R2603" s="1261"/>
      <c r="S2603" s="1261"/>
      <c r="T2603" s="1261"/>
      <c r="U2603" s="1261"/>
      <c r="V2603" s="1261"/>
      <c r="W2603" s="1261"/>
      <c r="X2603" s="1261"/>
      <c r="Y2603" s="1261"/>
      <c r="Z2603" s="1261"/>
      <c r="AA2603" s="1261"/>
      <c r="AB2603" s="1261"/>
      <c r="AC2603" s="1261"/>
      <c r="AD2603" s="1261"/>
      <c r="AE2603" s="1261"/>
      <c r="AF2603" s="1261"/>
      <c r="AG2603" s="1261"/>
      <c r="AH2603" s="1261"/>
      <c r="AI2603" s="1261"/>
      <c r="AJ2603" s="1261"/>
      <c r="AK2603" s="1261"/>
      <c r="AL2603" s="1261"/>
      <c r="AM2603" s="1261"/>
    </row>
    <row r="2604" spans="1:39" ht="26.25" customHeight="1" x14ac:dyDescent="0.25">
      <c r="A2604" s="1409"/>
      <c r="B2604" s="1409"/>
      <c r="C2604" s="1409"/>
      <c r="D2604" s="1409"/>
      <c r="E2604" s="1247"/>
      <c r="F2604" s="1287" t="s">
        <v>5556</v>
      </c>
      <c r="G2604" s="111"/>
      <c r="H2604" s="1249">
        <v>5</v>
      </c>
      <c r="I2604" s="111" t="s">
        <v>1721</v>
      </c>
      <c r="J2604" s="1321" t="s">
        <v>5608</v>
      </c>
      <c r="K2604" s="162" t="s">
        <v>5610</v>
      </c>
      <c r="L2604" s="162" t="s">
        <v>5609</v>
      </c>
      <c r="M2604" s="111">
        <v>12425.822919168</v>
      </c>
      <c r="N2604" s="111">
        <v>62129.114595840001</v>
      </c>
      <c r="O2604" s="111"/>
      <c r="P2604" s="111"/>
      <c r="Q2604" s="111"/>
      <c r="R2604" s="111"/>
      <c r="S2604" s="1249">
        <v>2</v>
      </c>
      <c r="T2604" s="1250">
        <v>20709.70486528</v>
      </c>
      <c r="U2604" s="1250"/>
      <c r="V2604" s="1250"/>
      <c r="W2604" s="1251">
        <v>2</v>
      </c>
      <c r="X2604" s="1250">
        <v>20709.70486528</v>
      </c>
      <c r="Y2604" s="1250"/>
      <c r="Z2604" s="1250"/>
      <c r="AA2604" s="1250"/>
      <c r="AB2604" s="1250"/>
      <c r="AC2604" s="1250"/>
      <c r="AD2604" s="1250"/>
      <c r="AE2604" s="1249">
        <v>1</v>
      </c>
      <c r="AF2604" s="1250">
        <v>20709.70486528</v>
      </c>
      <c r="AG2604" s="111"/>
      <c r="AH2604" s="111"/>
      <c r="AI2604" s="111"/>
      <c r="AJ2604" s="111"/>
      <c r="AK2604" s="111"/>
      <c r="AL2604" s="111"/>
      <c r="AM2604" s="111">
        <v>62129.114595840001</v>
      </c>
    </row>
    <row r="2605" spans="1:39" ht="15" customHeight="1" x14ac:dyDescent="0.25">
      <c r="A2605" s="1409"/>
      <c r="B2605" s="1409"/>
      <c r="C2605" s="1409"/>
      <c r="D2605" s="1409"/>
      <c r="E2605" s="1300"/>
      <c r="F2605" s="1248" t="s">
        <v>5557</v>
      </c>
      <c r="G2605" s="111"/>
      <c r="H2605" s="1249">
        <v>1</v>
      </c>
      <c r="I2605" s="111" t="s">
        <v>1721</v>
      </c>
      <c r="J2605" s="1321" t="s">
        <v>5608</v>
      </c>
      <c r="K2605" s="162" t="s">
        <v>5610</v>
      </c>
      <c r="L2605" s="162" t="s">
        <v>5609</v>
      </c>
      <c r="M2605" s="111">
        <v>14198.86</v>
      </c>
      <c r="N2605" s="111">
        <v>14198.86</v>
      </c>
      <c r="O2605" s="111"/>
      <c r="P2605" s="111"/>
      <c r="Q2605" s="111"/>
      <c r="R2605" s="111"/>
      <c r="S2605" s="1249">
        <v>1</v>
      </c>
      <c r="T2605" s="1250">
        <v>4732.9533333333338</v>
      </c>
      <c r="U2605" s="1250"/>
      <c r="V2605" s="1250"/>
      <c r="W2605" s="1251">
        <v>0</v>
      </c>
      <c r="X2605" s="1250">
        <v>4732.9533333333338</v>
      </c>
      <c r="Y2605" s="1250"/>
      <c r="Z2605" s="1250"/>
      <c r="AA2605" s="1250"/>
      <c r="AB2605" s="1250"/>
      <c r="AC2605" s="1250"/>
      <c r="AD2605" s="1250"/>
      <c r="AE2605" s="1249">
        <v>0</v>
      </c>
      <c r="AF2605" s="1250">
        <v>4732.9533333333338</v>
      </c>
      <c r="AG2605" s="111"/>
      <c r="AH2605" s="111"/>
      <c r="AI2605" s="111"/>
      <c r="AJ2605" s="111"/>
      <c r="AK2605" s="111"/>
      <c r="AL2605" s="111"/>
      <c r="AM2605" s="111">
        <v>14198.86</v>
      </c>
    </row>
    <row r="2606" spans="1:39" ht="15" customHeight="1" x14ac:dyDescent="0.25">
      <c r="A2606" s="1409"/>
      <c r="B2606" s="1409"/>
      <c r="C2606" s="1409"/>
      <c r="D2606" s="1409"/>
      <c r="E2606" s="1300"/>
      <c r="F2606" s="1248" t="s">
        <v>1126</v>
      </c>
      <c r="G2606" s="111"/>
      <c r="H2606" s="1249">
        <v>1</v>
      </c>
      <c r="I2606" s="111" t="s">
        <v>1721</v>
      </c>
      <c r="J2606" s="1321" t="s">
        <v>5608</v>
      </c>
      <c r="K2606" s="162" t="s">
        <v>5610</v>
      </c>
      <c r="L2606" s="162" t="s">
        <v>5609</v>
      </c>
      <c r="M2606" s="111">
        <v>9500</v>
      </c>
      <c r="N2606" s="111">
        <v>9500</v>
      </c>
      <c r="O2606" s="111"/>
      <c r="P2606" s="111"/>
      <c r="Q2606" s="111"/>
      <c r="R2606" s="111"/>
      <c r="S2606" s="1249">
        <v>1</v>
      </c>
      <c r="T2606" s="1250">
        <v>3166.6666666666665</v>
      </c>
      <c r="U2606" s="1250"/>
      <c r="V2606" s="1250"/>
      <c r="W2606" s="1251">
        <v>0</v>
      </c>
      <c r="X2606" s="1250">
        <v>3166.6666666666665</v>
      </c>
      <c r="Y2606" s="1250"/>
      <c r="Z2606" s="1250"/>
      <c r="AA2606" s="1250"/>
      <c r="AB2606" s="1250"/>
      <c r="AC2606" s="1250"/>
      <c r="AD2606" s="1250"/>
      <c r="AE2606" s="1249">
        <v>0</v>
      </c>
      <c r="AF2606" s="1250">
        <v>3166.6666666666665</v>
      </c>
      <c r="AG2606" s="111"/>
      <c r="AH2606" s="111"/>
      <c r="AI2606" s="111"/>
      <c r="AJ2606" s="111"/>
      <c r="AK2606" s="111"/>
      <c r="AL2606" s="111"/>
      <c r="AM2606" s="111">
        <v>9500</v>
      </c>
    </row>
    <row r="2607" spans="1:39" ht="15" customHeight="1" x14ac:dyDescent="0.25">
      <c r="A2607" s="1409"/>
      <c r="B2607" s="1409"/>
      <c r="C2607" s="1409"/>
      <c r="D2607" s="1409"/>
      <c r="E2607" s="1300"/>
      <c r="F2607" s="1248" t="s">
        <v>5558</v>
      </c>
      <c r="G2607" s="111"/>
      <c r="H2607" s="1249">
        <v>4</v>
      </c>
      <c r="I2607" s="111" t="s">
        <v>1721</v>
      </c>
      <c r="J2607" s="1321" t="s">
        <v>5608</v>
      </c>
      <c r="K2607" s="162" t="s">
        <v>5610</v>
      </c>
      <c r="L2607" s="162" t="s">
        <v>5609</v>
      </c>
      <c r="M2607" s="111">
        <v>36402.384096000002</v>
      </c>
      <c r="N2607" s="111">
        <v>145609.53638400001</v>
      </c>
      <c r="O2607" s="111"/>
      <c r="P2607" s="111"/>
      <c r="Q2607" s="111"/>
      <c r="R2607" s="111"/>
      <c r="S2607" s="1249">
        <v>2</v>
      </c>
      <c r="T2607" s="1250">
        <v>48536.512128000002</v>
      </c>
      <c r="U2607" s="1250"/>
      <c r="V2607" s="1250"/>
      <c r="W2607" s="1251">
        <v>1</v>
      </c>
      <c r="X2607" s="1250">
        <v>48536.512128000002</v>
      </c>
      <c r="Y2607" s="1250"/>
      <c r="Z2607" s="1250"/>
      <c r="AA2607" s="1250"/>
      <c r="AB2607" s="1250"/>
      <c r="AC2607" s="1250"/>
      <c r="AD2607" s="1250"/>
      <c r="AE2607" s="1249">
        <v>1</v>
      </c>
      <c r="AF2607" s="1250">
        <v>48536.512128000002</v>
      </c>
      <c r="AG2607" s="111"/>
      <c r="AH2607" s="111"/>
      <c r="AI2607" s="111"/>
      <c r="AJ2607" s="111"/>
      <c r="AK2607" s="111"/>
      <c r="AL2607" s="111"/>
      <c r="AM2607" s="111">
        <v>145609.53638400001</v>
      </c>
    </row>
    <row r="2608" spans="1:39" ht="15" customHeight="1" x14ac:dyDescent="0.25">
      <c r="A2608" s="1409"/>
      <c r="B2608" s="1409"/>
      <c r="C2608" s="1409"/>
      <c r="D2608" s="1409"/>
      <c r="E2608" s="1300"/>
      <c r="F2608" s="1248" t="s">
        <v>5559</v>
      </c>
      <c r="G2608" s="111"/>
      <c r="H2608" s="1249">
        <v>4</v>
      </c>
      <c r="I2608" s="111" t="s">
        <v>1721</v>
      </c>
      <c r="J2608" s="1321" t="s">
        <v>5608</v>
      </c>
      <c r="K2608" s="162" t="s">
        <v>5610</v>
      </c>
      <c r="L2608" s="162" t="s">
        <v>5609</v>
      </c>
      <c r="M2608" s="111">
        <v>23179.625314560002</v>
      </c>
      <c r="N2608" s="111">
        <v>92718.501258240009</v>
      </c>
      <c r="O2608" s="111"/>
      <c r="P2608" s="111"/>
      <c r="Q2608" s="111"/>
      <c r="R2608" s="111"/>
      <c r="S2608" s="1249">
        <v>2</v>
      </c>
      <c r="T2608" s="1250">
        <v>30906.167086080004</v>
      </c>
      <c r="U2608" s="1250"/>
      <c r="V2608" s="1250"/>
      <c r="W2608" s="1251">
        <v>1</v>
      </c>
      <c r="X2608" s="1250">
        <v>30906.167086080004</v>
      </c>
      <c r="Y2608" s="1250"/>
      <c r="Z2608" s="1250"/>
      <c r="AA2608" s="1250"/>
      <c r="AB2608" s="1250"/>
      <c r="AC2608" s="1250"/>
      <c r="AD2608" s="1250"/>
      <c r="AE2608" s="1249">
        <v>1</v>
      </c>
      <c r="AF2608" s="1250">
        <v>30906.167086080004</v>
      </c>
      <c r="AG2608" s="111"/>
      <c r="AH2608" s="111"/>
      <c r="AI2608" s="111"/>
      <c r="AJ2608" s="111"/>
      <c r="AK2608" s="111"/>
      <c r="AL2608" s="111"/>
      <c r="AM2608" s="111">
        <v>92718.501258240009</v>
      </c>
    </row>
    <row r="2609" spans="1:39" ht="15" customHeight="1" x14ac:dyDescent="0.25">
      <c r="A2609" s="1409"/>
      <c r="B2609" s="1409"/>
      <c r="C2609" s="1409"/>
      <c r="D2609" s="1409"/>
      <c r="E2609" s="1300"/>
      <c r="F2609" s="1248" t="s">
        <v>5560</v>
      </c>
      <c r="G2609" s="111"/>
      <c r="H2609" s="1249">
        <v>4</v>
      </c>
      <c r="I2609" s="111" t="s">
        <v>1721</v>
      </c>
      <c r="J2609" s="1321" t="s">
        <v>5608</v>
      </c>
      <c r="K2609" s="162" t="s">
        <v>5610</v>
      </c>
      <c r="L2609" s="162" t="s">
        <v>5609</v>
      </c>
      <c r="M2609" s="111">
        <v>4312.9494144</v>
      </c>
      <c r="N2609" s="111">
        <v>17251.7976576</v>
      </c>
      <c r="O2609" s="111"/>
      <c r="P2609" s="111"/>
      <c r="Q2609" s="111"/>
      <c r="R2609" s="111"/>
      <c r="S2609" s="1249">
        <v>2</v>
      </c>
      <c r="T2609" s="1250">
        <v>5750.5992192000003</v>
      </c>
      <c r="U2609" s="1250"/>
      <c r="V2609" s="1250"/>
      <c r="W2609" s="1251">
        <v>1</v>
      </c>
      <c r="X2609" s="1250">
        <v>5750.5992192000003</v>
      </c>
      <c r="Y2609" s="1250"/>
      <c r="Z2609" s="1250"/>
      <c r="AA2609" s="1250"/>
      <c r="AB2609" s="1250"/>
      <c r="AC2609" s="1250"/>
      <c r="AD2609" s="1250"/>
      <c r="AE2609" s="1249">
        <v>1</v>
      </c>
      <c r="AF2609" s="1250">
        <v>5750.5992192000003</v>
      </c>
      <c r="AG2609" s="111"/>
      <c r="AH2609" s="111"/>
      <c r="AI2609" s="111"/>
      <c r="AJ2609" s="111"/>
      <c r="AK2609" s="111"/>
      <c r="AL2609" s="111"/>
      <c r="AM2609" s="111">
        <v>17251.7976576</v>
      </c>
    </row>
    <row r="2610" spans="1:39" ht="15" customHeight="1" x14ac:dyDescent="0.25">
      <c r="A2610" s="1409"/>
      <c r="B2610" s="1409"/>
      <c r="C2610" s="1409"/>
      <c r="D2610" s="1409"/>
      <c r="E2610" s="1300"/>
      <c r="F2610" s="1248" t="s">
        <v>5561</v>
      </c>
      <c r="G2610" s="111"/>
      <c r="H2610" s="1249">
        <v>2</v>
      </c>
      <c r="I2610" s="111" t="s">
        <v>1721</v>
      </c>
      <c r="J2610" s="1321" t="s">
        <v>5608</v>
      </c>
      <c r="K2610" s="162" t="s">
        <v>5610</v>
      </c>
      <c r="L2610" s="162" t="s">
        <v>5609</v>
      </c>
      <c r="M2610" s="111">
        <v>63164.726760959995</v>
      </c>
      <c r="N2610" s="111">
        <v>126329.45352191999</v>
      </c>
      <c r="O2610" s="111"/>
      <c r="P2610" s="111"/>
      <c r="Q2610" s="111"/>
      <c r="R2610" s="111"/>
      <c r="S2610" s="1249">
        <v>2</v>
      </c>
      <c r="T2610" s="1250">
        <v>42109.817840639997</v>
      </c>
      <c r="U2610" s="1250"/>
      <c r="V2610" s="1250"/>
      <c r="W2610" s="1251">
        <v>0</v>
      </c>
      <c r="X2610" s="1250">
        <v>42109.817840639997</v>
      </c>
      <c r="Y2610" s="1250"/>
      <c r="Z2610" s="1250"/>
      <c r="AA2610" s="1250"/>
      <c r="AB2610" s="1250"/>
      <c r="AC2610" s="1250"/>
      <c r="AD2610" s="1250"/>
      <c r="AE2610" s="1249">
        <v>0</v>
      </c>
      <c r="AF2610" s="1250">
        <v>42109.817840639997</v>
      </c>
      <c r="AG2610" s="111"/>
      <c r="AH2610" s="111"/>
      <c r="AI2610" s="111"/>
      <c r="AJ2610" s="111"/>
      <c r="AK2610" s="111"/>
      <c r="AL2610" s="111"/>
      <c r="AM2610" s="111">
        <v>126329.45352191999</v>
      </c>
    </row>
    <row r="2611" spans="1:39" ht="15" customHeight="1" x14ac:dyDescent="0.25">
      <c r="A2611" s="1409"/>
      <c r="B2611" s="1409"/>
      <c r="C2611" s="1409"/>
      <c r="D2611" s="1409"/>
      <c r="E2611" s="1300"/>
      <c r="F2611" s="1248" t="s">
        <v>5562</v>
      </c>
      <c r="G2611" s="111"/>
      <c r="H2611" s="1249">
        <v>1</v>
      </c>
      <c r="I2611" s="111" t="s">
        <v>1721</v>
      </c>
      <c r="J2611" s="1321" t="s">
        <v>5608</v>
      </c>
      <c r="K2611" s="162" t="s">
        <v>5610</v>
      </c>
      <c r="L2611" s="162" t="s">
        <v>5609</v>
      </c>
      <c r="M2611" s="111">
        <v>21827.712297599999</v>
      </c>
      <c r="N2611" s="111">
        <v>21827.712297599999</v>
      </c>
      <c r="O2611" s="111"/>
      <c r="P2611" s="111"/>
      <c r="Q2611" s="111"/>
      <c r="R2611" s="111"/>
      <c r="S2611" s="1249">
        <v>1</v>
      </c>
      <c r="T2611" s="1250">
        <v>7275.9040992</v>
      </c>
      <c r="U2611" s="1250"/>
      <c r="V2611" s="1250"/>
      <c r="W2611" s="1251">
        <v>0</v>
      </c>
      <c r="X2611" s="1250">
        <v>7275.9040992</v>
      </c>
      <c r="Y2611" s="1250"/>
      <c r="Z2611" s="1250"/>
      <c r="AA2611" s="1250"/>
      <c r="AB2611" s="1250"/>
      <c r="AC2611" s="1250"/>
      <c r="AD2611" s="1250"/>
      <c r="AE2611" s="1249">
        <v>0</v>
      </c>
      <c r="AF2611" s="1250">
        <v>7275.9040992</v>
      </c>
      <c r="AG2611" s="111"/>
      <c r="AH2611" s="111"/>
      <c r="AI2611" s="111"/>
      <c r="AJ2611" s="111"/>
      <c r="AK2611" s="111"/>
      <c r="AL2611" s="111"/>
      <c r="AM2611" s="111">
        <v>21827.712297599999</v>
      </c>
    </row>
    <row r="2612" spans="1:39" ht="15" customHeight="1" x14ac:dyDescent="0.25">
      <c r="A2612" s="1409"/>
      <c r="B2612" s="1409"/>
      <c r="C2612" s="1409"/>
      <c r="D2612" s="1409"/>
      <c r="E2612" s="1300"/>
      <c r="F2612" s="1248" t="s">
        <v>5563</v>
      </c>
      <c r="G2612" s="111"/>
      <c r="H2612" s="1249">
        <v>2</v>
      </c>
      <c r="I2612" s="111" t="s">
        <v>1721</v>
      </c>
      <c r="J2612" s="1321" t="s">
        <v>5608</v>
      </c>
      <c r="K2612" s="162" t="s">
        <v>5610</v>
      </c>
      <c r="L2612" s="162" t="s">
        <v>5609</v>
      </c>
      <c r="M2612" s="111">
        <v>31582.363380479997</v>
      </c>
      <c r="N2612" s="111">
        <v>63164.726760959995</v>
      </c>
      <c r="O2612" s="111"/>
      <c r="P2612" s="111"/>
      <c r="Q2612" s="111"/>
      <c r="R2612" s="111"/>
      <c r="S2612" s="1249">
        <v>2</v>
      </c>
      <c r="T2612" s="1250">
        <v>21054.908920319998</v>
      </c>
      <c r="U2612" s="1250"/>
      <c r="V2612" s="1250"/>
      <c r="W2612" s="1251">
        <v>0</v>
      </c>
      <c r="X2612" s="1250">
        <v>21054.908920319998</v>
      </c>
      <c r="Y2612" s="1250"/>
      <c r="Z2612" s="1250"/>
      <c r="AA2612" s="1250"/>
      <c r="AB2612" s="1250"/>
      <c r="AC2612" s="1250"/>
      <c r="AD2612" s="1250"/>
      <c r="AE2612" s="1249">
        <v>0</v>
      </c>
      <c r="AF2612" s="1250">
        <v>21054.908920319998</v>
      </c>
      <c r="AG2612" s="111"/>
      <c r="AH2612" s="111"/>
      <c r="AI2612" s="111"/>
      <c r="AJ2612" s="111"/>
      <c r="AK2612" s="111"/>
      <c r="AL2612" s="111"/>
      <c r="AM2612" s="111">
        <v>63164.726760959995</v>
      </c>
    </row>
    <row r="2613" spans="1:39" ht="15" customHeight="1" x14ac:dyDescent="0.25">
      <c r="A2613" s="1409"/>
      <c r="B2613" s="1409"/>
      <c r="C2613" s="1409"/>
      <c r="D2613" s="1409"/>
      <c r="E2613" s="1300"/>
      <c r="F2613" s="1248"/>
      <c r="G2613" s="111"/>
      <c r="H2613" s="1249"/>
      <c r="I2613" s="111"/>
      <c r="J2613" s="111"/>
      <c r="K2613" s="111"/>
      <c r="L2613" s="111"/>
      <c r="M2613" s="111"/>
      <c r="N2613" s="111"/>
      <c r="O2613" s="111"/>
      <c r="P2613" s="111"/>
      <c r="Q2613" s="111"/>
      <c r="R2613" s="111"/>
      <c r="S2613" s="1249"/>
      <c r="T2613" s="1250"/>
      <c r="U2613" s="1250"/>
      <c r="V2613" s="1250"/>
      <c r="W2613" s="1251"/>
      <c r="X2613" s="1250"/>
      <c r="Y2613" s="1250"/>
      <c r="Z2613" s="1250"/>
      <c r="AA2613" s="1250"/>
      <c r="AB2613" s="1250"/>
      <c r="AC2613" s="1250"/>
      <c r="AD2613" s="1250"/>
      <c r="AE2613" s="1249"/>
      <c r="AF2613" s="1250"/>
      <c r="AG2613" s="111"/>
      <c r="AH2613" s="111"/>
      <c r="AI2613" s="111"/>
      <c r="AJ2613" s="111"/>
      <c r="AK2613" s="111"/>
      <c r="AL2613" s="111"/>
      <c r="AM2613" s="111"/>
    </row>
    <row r="2614" spans="1:39" ht="15" customHeight="1" x14ac:dyDescent="0.25">
      <c r="A2614" s="1409"/>
      <c r="B2614" s="1409"/>
      <c r="C2614" s="1409"/>
      <c r="D2614" s="1409"/>
      <c r="E2614" s="1273">
        <v>52201</v>
      </c>
      <c r="F2614" s="1272" t="s">
        <v>2843</v>
      </c>
      <c r="G2614" s="1273"/>
      <c r="H2614" s="1273"/>
      <c r="I2614" s="1273"/>
      <c r="J2614" s="1273"/>
      <c r="K2614" s="1273"/>
      <c r="L2614" s="1273"/>
      <c r="M2614" s="1273"/>
      <c r="N2614" s="1273"/>
      <c r="O2614" s="1273"/>
      <c r="P2614" s="1273"/>
      <c r="Q2614" s="1273"/>
      <c r="R2614" s="1273"/>
      <c r="S2614" s="1273"/>
      <c r="T2614" s="1273"/>
      <c r="U2614" s="1273"/>
      <c r="V2614" s="1273"/>
      <c r="W2614" s="1273"/>
      <c r="X2614" s="1273"/>
      <c r="Y2614" s="1273"/>
      <c r="Z2614" s="1273"/>
      <c r="AA2614" s="1273"/>
      <c r="AB2614" s="1273"/>
      <c r="AC2614" s="1273"/>
      <c r="AD2614" s="1273"/>
      <c r="AE2614" s="1273"/>
      <c r="AF2614" s="1273"/>
      <c r="AG2614" s="1273"/>
      <c r="AH2614" s="1273"/>
      <c r="AI2614" s="1273"/>
      <c r="AJ2614" s="1273"/>
      <c r="AK2614" s="1273"/>
      <c r="AL2614" s="1273"/>
      <c r="AM2614" s="1273"/>
    </row>
    <row r="2615" spans="1:39" ht="15" customHeight="1" x14ac:dyDescent="0.25">
      <c r="A2615" s="1409"/>
      <c r="B2615" s="1409"/>
      <c r="C2615" s="1409"/>
      <c r="D2615" s="1409"/>
      <c r="E2615" s="1291"/>
      <c r="F2615" s="1248" t="s">
        <v>2844</v>
      </c>
      <c r="G2615" s="111"/>
      <c r="H2615" s="1249">
        <v>1</v>
      </c>
      <c r="I2615" s="111" t="s">
        <v>1721</v>
      </c>
      <c r="J2615" s="1321" t="s">
        <v>5608</v>
      </c>
      <c r="K2615" s="162" t="s">
        <v>5610</v>
      </c>
      <c r="L2615" s="162" t="s">
        <v>5609</v>
      </c>
      <c r="M2615" s="111">
        <v>15078.839999999998</v>
      </c>
      <c r="N2615" s="111">
        <v>15078.839999999998</v>
      </c>
      <c r="O2615" s="111"/>
      <c r="P2615" s="111"/>
      <c r="Q2615" s="111"/>
      <c r="R2615" s="111"/>
      <c r="S2615" s="1249">
        <v>1</v>
      </c>
      <c r="T2615" s="1250">
        <v>5026.28</v>
      </c>
      <c r="U2615" s="1250"/>
      <c r="V2615" s="1250"/>
      <c r="W2615" s="1251">
        <v>0</v>
      </c>
      <c r="X2615" s="1250">
        <v>5026.28</v>
      </c>
      <c r="Y2615" s="1250"/>
      <c r="Z2615" s="1250"/>
      <c r="AA2615" s="1250"/>
      <c r="AB2615" s="1250"/>
      <c r="AC2615" s="1250"/>
      <c r="AD2615" s="1250"/>
      <c r="AE2615" s="1249">
        <v>0</v>
      </c>
      <c r="AF2615" s="1250">
        <v>5026.28</v>
      </c>
      <c r="AG2615" s="111"/>
      <c r="AH2615" s="111"/>
      <c r="AI2615" s="111"/>
      <c r="AJ2615" s="111"/>
      <c r="AK2615" s="111"/>
      <c r="AL2615" s="111"/>
      <c r="AM2615" s="111">
        <v>15078.839999999998</v>
      </c>
    </row>
    <row r="2616" spans="1:39" ht="15" customHeight="1" x14ac:dyDescent="0.25">
      <c r="A2616" s="1409"/>
      <c r="B2616" s="1409"/>
      <c r="C2616" s="1409"/>
      <c r="D2616" s="1409"/>
      <c r="E2616" s="1300"/>
      <c r="F2616" s="1248"/>
      <c r="G2616" s="111"/>
      <c r="H2616" s="1249"/>
      <c r="I2616" s="111"/>
      <c r="J2616" s="111"/>
      <c r="K2616" s="111"/>
      <c r="L2616" s="111"/>
      <c r="M2616" s="111"/>
      <c r="N2616" s="111"/>
      <c r="O2616" s="111"/>
      <c r="P2616" s="111"/>
      <c r="Q2616" s="111"/>
      <c r="R2616" s="111"/>
      <c r="S2616" s="1249"/>
      <c r="T2616" s="1250"/>
      <c r="U2616" s="1250"/>
      <c r="V2616" s="1250"/>
      <c r="W2616" s="1251"/>
      <c r="X2616" s="1250"/>
      <c r="Y2616" s="1250"/>
      <c r="Z2616" s="1250"/>
      <c r="AA2616" s="1250"/>
      <c r="AB2616" s="1250"/>
      <c r="AC2616" s="1250"/>
      <c r="AD2616" s="1250"/>
      <c r="AE2616" s="1249"/>
      <c r="AF2616" s="1250"/>
      <c r="AG2616" s="111"/>
      <c r="AH2616" s="111"/>
      <c r="AI2616" s="111"/>
      <c r="AJ2616" s="111"/>
      <c r="AK2616" s="111"/>
      <c r="AL2616" s="111"/>
      <c r="AM2616" s="111"/>
    </row>
    <row r="2617" spans="1:39" ht="15" customHeight="1" x14ac:dyDescent="0.25">
      <c r="A2617" s="1409"/>
      <c r="B2617" s="1409"/>
      <c r="C2617" s="1409"/>
      <c r="D2617" s="1409"/>
      <c r="E2617" s="1261">
        <v>52301</v>
      </c>
      <c r="F2617" s="1262" t="s">
        <v>1762</v>
      </c>
      <c r="G2617" s="1261"/>
      <c r="H2617" s="1261"/>
      <c r="I2617" s="1261"/>
      <c r="J2617" s="1261"/>
      <c r="K2617" s="1261"/>
      <c r="L2617" s="1261"/>
      <c r="M2617" s="1261"/>
      <c r="N2617" s="1261"/>
      <c r="O2617" s="1261"/>
      <c r="P2617" s="1261"/>
      <c r="Q2617" s="1261"/>
      <c r="R2617" s="1261"/>
      <c r="S2617" s="1261"/>
      <c r="T2617" s="1261"/>
      <c r="U2617" s="1261"/>
      <c r="V2617" s="1261"/>
      <c r="W2617" s="1261"/>
      <c r="X2617" s="1261"/>
      <c r="Y2617" s="1261"/>
      <c r="Z2617" s="1261"/>
      <c r="AA2617" s="1261"/>
      <c r="AB2617" s="1261"/>
      <c r="AC2617" s="1261"/>
      <c r="AD2617" s="1261"/>
      <c r="AE2617" s="1261"/>
      <c r="AF2617" s="1261"/>
      <c r="AG2617" s="1261"/>
      <c r="AH2617" s="1261"/>
      <c r="AI2617" s="1261"/>
      <c r="AJ2617" s="1261"/>
      <c r="AK2617" s="1261"/>
      <c r="AL2617" s="1261"/>
      <c r="AM2617" s="1261"/>
    </row>
    <row r="2618" spans="1:39" ht="15" customHeight="1" x14ac:dyDescent="0.25">
      <c r="A2618" s="1409"/>
      <c r="B2618" s="1409"/>
      <c r="C2618" s="1409"/>
      <c r="D2618" s="1409"/>
      <c r="E2618" s="1247"/>
      <c r="F2618" s="1248" t="s">
        <v>5564</v>
      </c>
      <c r="G2618" s="111"/>
      <c r="H2618" s="1249">
        <v>1</v>
      </c>
      <c r="I2618" s="111" t="s">
        <v>1749</v>
      </c>
      <c r="J2618" s="1321" t="s">
        <v>5608</v>
      </c>
      <c r="K2618" s="162" t="s">
        <v>5610</v>
      </c>
      <c r="L2618" s="162" t="s">
        <v>5609</v>
      </c>
      <c r="M2618" s="111">
        <v>31835.469199999996</v>
      </c>
      <c r="N2618" s="111">
        <v>31835.469199999996</v>
      </c>
      <c r="O2618" s="111"/>
      <c r="P2618" s="111"/>
      <c r="Q2618" s="111"/>
      <c r="R2618" s="111"/>
      <c r="S2618" s="1249">
        <v>1</v>
      </c>
      <c r="T2618" s="1250">
        <v>10611.823066666666</v>
      </c>
      <c r="U2618" s="1250"/>
      <c r="V2618" s="1250"/>
      <c r="W2618" s="1251">
        <v>0</v>
      </c>
      <c r="X2618" s="1250">
        <v>10611.823066666666</v>
      </c>
      <c r="Y2618" s="1250"/>
      <c r="Z2618" s="1250"/>
      <c r="AA2618" s="1250"/>
      <c r="AB2618" s="1250"/>
      <c r="AC2618" s="1250"/>
      <c r="AD2618" s="1250"/>
      <c r="AE2618" s="1249">
        <v>0</v>
      </c>
      <c r="AF2618" s="1250">
        <v>10611.823066666666</v>
      </c>
      <c r="AG2618" s="111"/>
      <c r="AH2618" s="111"/>
      <c r="AI2618" s="111"/>
      <c r="AJ2618" s="111"/>
      <c r="AK2618" s="111"/>
      <c r="AL2618" s="111"/>
      <c r="AM2618" s="111">
        <v>31835.469199999996</v>
      </c>
    </row>
    <row r="2619" spans="1:39" ht="15" customHeight="1" x14ac:dyDescent="0.25">
      <c r="A2619" s="1409"/>
      <c r="B2619" s="1409"/>
      <c r="C2619" s="1409"/>
      <c r="D2619" s="1409"/>
      <c r="E2619" s="1247"/>
      <c r="F2619" s="1248" t="s">
        <v>5565</v>
      </c>
      <c r="G2619" s="111"/>
      <c r="H2619" s="1249">
        <v>1</v>
      </c>
      <c r="I2619" s="111" t="s">
        <v>1749</v>
      </c>
      <c r="J2619" s="1321" t="s">
        <v>5608</v>
      </c>
      <c r="K2619" s="162" t="s">
        <v>5610</v>
      </c>
      <c r="L2619" s="162" t="s">
        <v>5609</v>
      </c>
      <c r="M2619" s="111">
        <v>11922.48</v>
      </c>
      <c r="N2619" s="111">
        <v>11922.48</v>
      </c>
      <c r="O2619" s="111"/>
      <c r="P2619" s="111"/>
      <c r="Q2619" s="111"/>
      <c r="R2619" s="111"/>
      <c r="S2619" s="1249">
        <v>1</v>
      </c>
      <c r="T2619" s="1250">
        <v>3974.16</v>
      </c>
      <c r="U2619" s="1250"/>
      <c r="V2619" s="1250"/>
      <c r="W2619" s="1251">
        <v>0</v>
      </c>
      <c r="X2619" s="1250">
        <v>3974.16</v>
      </c>
      <c r="Y2619" s="1250"/>
      <c r="Z2619" s="1250"/>
      <c r="AA2619" s="1250"/>
      <c r="AB2619" s="1250"/>
      <c r="AC2619" s="1250"/>
      <c r="AD2619" s="1250"/>
      <c r="AE2619" s="1249">
        <v>0</v>
      </c>
      <c r="AF2619" s="1250">
        <v>3974.16</v>
      </c>
      <c r="AG2619" s="111"/>
      <c r="AH2619" s="111"/>
      <c r="AI2619" s="111"/>
      <c r="AJ2619" s="111"/>
      <c r="AK2619" s="111"/>
      <c r="AL2619" s="111"/>
      <c r="AM2619" s="111">
        <v>11922.48</v>
      </c>
    </row>
    <row r="2620" spans="1:39" ht="15" customHeight="1" x14ac:dyDescent="0.25">
      <c r="A2620" s="1409"/>
      <c r="B2620" s="1409"/>
      <c r="C2620" s="1409"/>
      <c r="D2620" s="1409"/>
      <c r="E2620" s="1247"/>
      <c r="F2620" s="1248"/>
      <c r="G2620" s="111"/>
      <c r="H2620" s="1249"/>
      <c r="I2620" s="111"/>
      <c r="J2620" s="111"/>
      <c r="K2620" s="111"/>
      <c r="L2620" s="111"/>
      <c r="M2620" s="111"/>
      <c r="N2620" s="111"/>
      <c r="O2620" s="111"/>
      <c r="P2620" s="111"/>
      <c r="Q2620" s="111"/>
      <c r="R2620" s="111"/>
      <c r="S2620" s="1249"/>
      <c r="T2620" s="1250"/>
      <c r="U2620" s="1250"/>
      <c r="V2620" s="1250"/>
      <c r="W2620" s="1251"/>
      <c r="X2620" s="1250"/>
      <c r="Y2620" s="1250"/>
      <c r="Z2620" s="1250"/>
      <c r="AA2620" s="1250"/>
      <c r="AB2620" s="1250"/>
      <c r="AC2620" s="1250"/>
      <c r="AD2620" s="1250"/>
      <c r="AE2620" s="1249"/>
      <c r="AF2620" s="1250"/>
      <c r="AG2620" s="111"/>
      <c r="AH2620" s="111"/>
      <c r="AI2620" s="111"/>
      <c r="AJ2620" s="111"/>
      <c r="AK2620" s="111"/>
      <c r="AL2620" s="111"/>
      <c r="AM2620" s="111"/>
    </row>
    <row r="2621" spans="1:39" ht="15" customHeight="1" x14ac:dyDescent="0.25">
      <c r="A2621" s="1409"/>
      <c r="B2621" s="1409"/>
      <c r="C2621" s="1409"/>
      <c r="D2621" s="1409"/>
      <c r="E2621" s="1218">
        <v>529</v>
      </c>
      <c r="F2621" s="1268" t="s">
        <v>5566</v>
      </c>
      <c r="G2621" s="1218"/>
      <c r="H2621" s="1218"/>
      <c r="I2621" s="1218"/>
      <c r="J2621" s="1218"/>
      <c r="K2621" s="1218"/>
      <c r="L2621" s="1218"/>
      <c r="M2621" s="1218"/>
      <c r="N2621" s="1218"/>
      <c r="O2621" s="1218"/>
      <c r="P2621" s="1218"/>
      <c r="Q2621" s="1218"/>
      <c r="R2621" s="1218"/>
      <c r="S2621" s="1218"/>
      <c r="T2621" s="1218"/>
      <c r="U2621" s="1218"/>
      <c r="V2621" s="1218"/>
      <c r="W2621" s="1218"/>
      <c r="X2621" s="1218"/>
      <c r="Y2621" s="1218"/>
      <c r="Z2621" s="1218"/>
      <c r="AA2621" s="1218"/>
      <c r="AB2621" s="1218"/>
      <c r="AC2621" s="1218"/>
      <c r="AD2621" s="1218"/>
      <c r="AE2621" s="1218"/>
      <c r="AF2621" s="1218"/>
      <c r="AG2621" s="1218"/>
      <c r="AH2621" s="1218"/>
      <c r="AI2621" s="1218"/>
      <c r="AJ2621" s="1218"/>
      <c r="AK2621" s="1218"/>
      <c r="AL2621" s="1218"/>
      <c r="AM2621" s="1218"/>
    </row>
    <row r="2622" spans="1:39" ht="15" customHeight="1" x14ac:dyDescent="0.25">
      <c r="A2622" s="1409"/>
      <c r="B2622" s="1409"/>
      <c r="C2622" s="1409"/>
      <c r="D2622" s="1409"/>
      <c r="E2622" s="1261">
        <v>52901</v>
      </c>
      <c r="F2622" s="1262" t="s">
        <v>5566</v>
      </c>
      <c r="G2622" s="1261"/>
      <c r="H2622" s="1261"/>
      <c r="I2622" s="1261"/>
      <c r="J2622" s="1261"/>
      <c r="K2622" s="1261"/>
      <c r="L2622" s="1261"/>
      <c r="M2622" s="1261"/>
      <c r="N2622" s="1261"/>
      <c r="O2622" s="1261"/>
      <c r="P2622" s="1261"/>
      <c r="Q2622" s="1261"/>
      <c r="R2622" s="1261"/>
      <c r="S2622" s="1261"/>
      <c r="T2622" s="1261"/>
      <c r="U2622" s="1261"/>
      <c r="V2622" s="1261"/>
      <c r="W2622" s="1261"/>
      <c r="X2622" s="1261"/>
      <c r="Y2622" s="1261"/>
      <c r="Z2622" s="1261"/>
      <c r="AA2622" s="1261"/>
      <c r="AB2622" s="1261"/>
      <c r="AC2622" s="1261"/>
      <c r="AD2622" s="1261"/>
      <c r="AE2622" s="1261"/>
      <c r="AF2622" s="1261"/>
      <c r="AG2622" s="1261"/>
      <c r="AH2622" s="1261"/>
      <c r="AI2622" s="1261"/>
      <c r="AJ2622" s="1261"/>
      <c r="AK2622" s="1261"/>
      <c r="AL2622" s="1261"/>
      <c r="AM2622" s="1261"/>
    </row>
    <row r="2623" spans="1:39" ht="15" customHeight="1" x14ac:dyDescent="0.25">
      <c r="A2623" s="1409"/>
      <c r="B2623" s="1409"/>
      <c r="C2623" s="1409"/>
      <c r="D2623" s="1409"/>
      <c r="E2623" s="1291"/>
      <c r="F2623" s="1248" t="s">
        <v>5567</v>
      </c>
      <c r="G2623" s="111"/>
      <c r="H2623" s="1249">
        <v>2</v>
      </c>
      <c r="I2623" s="111" t="s">
        <v>1721</v>
      </c>
      <c r="J2623" s="1321" t="s">
        <v>5608</v>
      </c>
      <c r="K2623" s="162" t="s">
        <v>5610</v>
      </c>
      <c r="L2623" s="162" t="s">
        <v>5609</v>
      </c>
      <c r="M2623" s="111">
        <v>400000</v>
      </c>
      <c r="N2623" s="111">
        <v>800000</v>
      </c>
      <c r="O2623" s="111"/>
      <c r="P2623" s="111"/>
      <c r="Q2623" s="111"/>
      <c r="R2623" s="111"/>
      <c r="S2623" s="1249">
        <v>2</v>
      </c>
      <c r="T2623" s="1250">
        <v>266666.66666666669</v>
      </c>
      <c r="U2623" s="1250"/>
      <c r="V2623" s="1250"/>
      <c r="W2623" s="1251">
        <v>0</v>
      </c>
      <c r="X2623" s="1250">
        <v>266666.66666666669</v>
      </c>
      <c r="Y2623" s="1250"/>
      <c r="Z2623" s="1250"/>
      <c r="AA2623" s="1250"/>
      <c r="AB2623" s="1250"/>
      <c r="AC2623" s="1250"/>
      <c r="AD2623" s="1250"/>
      <c r="AE2623" s="1249">
        <v>0</v>
      </c>
      <c r="AF2623" s="1250">
        <v>266666.66666666669</v>
      </c>
      <c r="AG2623" s="111"/>
      <c r="AH2623" s="111"/>
      <c r="AI2623" s="111"/>
      <c r="AJ2623" s="111"/>
      <c r="AK2623" s="111"/>
      <c r="AL2623" s="111"/>
      <c r="AM2623" s="111">
        <v>800000</v>
      </c>
    </row>
    <row r="2624" spans="1:39" ht="15" customHeight="1" x14ac:dyDescent="0.25">
      <c r="A2624" s="1409"/>
      <c r="B2624" s="1409"/>
      <c r="C2624" s="1409"/>
      <c r="D2624" s="1409"/>
      <c r="E2624" s="1291"/>
      <c r="F2624" s="1248" t="s">
        <v>5568</v>
      </c>
      <c r="G2624" s="111"/>
      <c r="H2624" s="1249">
        <v>5</v>
      </c>
      <c r="I2624" s="111" t="s">
        <v>1721</v>
      </c>
      <c r="J2624" s="1321" t="s">
        <v>5608</v>
      </c>
      <c r="K2624" s="162" t="s">
        <v>5610</v>
      </c>
      <c r="L2624" s="162" t="s">
        <v>5609</v>
      </c>
      <c r="M2624" s="111">
        <v>82987.5</v>
      </c>
      <c r="N2624" s="111">
        <v>414937.5</v>
      </c>
      <c r="O2624" s="111"/>
      <c r="P2624" s="111"/>
      <c r="Q2624" s="111"/>
      <c r="R2624" s="111"/>
      <c r="S2624" s="1249">
        <v>2</v>
      </c>
      <c r="T2624" s="1250">
        <v>138312.5</v>
      </c>
      <c r="U2624" s="1250"/>
      <c r="V2624" s="1250"/>
      <c r="W2624" s="1251">
        <v>2</v>
      </c>
      <c r="X2624" s="1250">
        <v>138312.5</v>
      </c>
      <c r="Y2624" s="1250"/>
      <c r="Z2624" s="1250"/>
      <c r="AA2624" s="1250"/>
      <c r="AB2624" s="1250"/>
      <c r="AC2624" s="1250"/>
      <c r="AD2624" s="1250"/>
      <c r="AE2624" s="1249">
        <v>1</v>
      </c>
      <c r="AF2624" s="1250">
        <v>138312.5</v>
      </c>
      <c r="AG2624" s="111"/>
      <c r="AH2624" s="111"/>
      <c r="AI2624" s="111"/>
      <c r="AJ2624" s="111"/>
      <c r="AK2624" s="111"/>
      <c r="AL2624" s="111"/>
      <c r="AM2624" s="111">
        <v>414937.5</v>
      </c>
    </row>
    <row r="2625" spans="1:40" ht="15" customHeight="1" x14ac:dyDescent="0.25">
      <c r="A2625" s="1409"/>
      <c r="B2625" s="1409"/>
      <c r="C2625" s="1409"/>
      <c r="D2625" s="1409"/>
      <c r="E2625" s="1291"/>
      <c r="F2625" s="1248" t="s">
        <v>5569</v>
      </c>
      <c r="G2625" s="111"/>
      <c r="H2625" s="1249">
        <v>5</v>
      </c>
      <c r="I2625" s="111" t="s">
        <v>1721</v>
      </c>
      <c r="J2625" s="1321" t="s">
        <v>5608</v>
      </c>
      <c r="K2625" s="162" t="s">
        <v>5610</v>
      </c>
      <c r="L2625" s="162" t="s">
        <v>5609</v>
      </c>
      <c r="M2625" s="111">
        <v>69814.5</v>
      </c>
      <c r="N2625" s="111">
        <v>349072.5</v>
      </c>
      <c r="O2625" s="111"/>
      <c r="P2625" s="111"/>
      <c r="Q2625" s="111"/>
      <c r="R2625" s="111"/>
      <c r="S2625" s="1249">
        <v>2</v>
      </c>
      <c r="T2625" s="1250">
        <v>116357.5</v>
      </c>
      <c r="U2625" s="1250"/>
      <c r="V2625" s="1250"/>
      <c r="W2625" s="1251">
        <v>2</v>
      </c>
      <c r="X2625" s="1250">
        <v>116357.5</v>
      </c>
      <c r="Y2625" s="1250"/>
      <c r="Z2625" s="1250"/>
      <c r="AA2625" s="1250"/>
      <c r="AB2625" s="1250"/>
      <c r="AC2625" s="1250"/>
      <c r="AD2625" s="1250"/>
      <c r="AE2625" s="1249">
        <v>1</v>
      </c>
      <c r="AF2625" s="1250">
        <v>116357.5</v>
      </c>
      <c r="AG2625" s="111"/>
      <c r="AH2625" s="111"/>
      <c r="AI2625" s="111"/>
      <c r="AJ2625" s="111"/>
      <c r="AK2625" s="111"/>
      <c r="AL2625" s="111"/>
      <c r="AM2625" s="111">
        <v>349072.5</v>
      </c>
    </row>
    <row r="2626" spans="1:40" ht="15" customHeight="1" x14ac:dyDescent="0.25">
      <c r="A2626" s="1409"/>
      <c r="B2626" s="1409"/>
      <c r="C2626" s="1409"/>
      <c r="D2626" s="1409"/>
      <c r="E2626" s="1291"/>
      <c r="F2626" s="1248"/>
      <c r="G2626" s="111"/>
      <c r="H2626" s="1249"/>
      <c r="I2626" s="111"/>
      <c r="J2626" s="111"/>
      <c r="K2626" s="111"/>
      <c r="L2626" s="111"/>
      <c r="M2626" s="111"/>
      <c r="N2626" s="111"/>
      <c r="O2626" s="111"/>
      <c r="P2626" s="111"/>
      <c r="Q2626" s="111"/>
      <c r="R2626" s="111"/>
      <c r="S2626" s="1249"/>
      <c r="T2626" s="1250"/>
      <c r="U2626" s="1250"/>
      <c r="V2626" s="1250"/>
      <c r="W2626" s="1251"/>
      <c r="X2626" s="1250"/>
      <c r="Y2626" s="1250"/>
      <c r="Z2626" s="1250"/>
      <c r="AA2626" s="1250"/>
      <c r="AB2626" s="1250"/>
      <c r="AC2626" s="1250"/>
      <c r="AD2626" s="1250"/>
      <c r="AE2626" s="1249"/>
      <c r="AF2626" s="1250"/>
      <c r="AG2626" s="111"/>
      <c r="AH2626" s="111"/>
      <c r="AI2626" s="111"/>
      <c r="AJ2626" s="111"/>
      <c r="AK2626" s="111"/>
      <c r="AL2626" s="111"/>
      <c r="AM2626" s="111"/>
    </row>
    <row r="2627" spans="1:40" ht="36" customHeight="1" x14ac:dyDescent="0.25">
      <c r="A2627" s="1409"/>
      <c r="B2627" s="1409"/>
      <c r="C2627" s="1409"/>
      <c r="D2627" s="1409"/>
      <c r="E2627" s="1204">
        <v>5300</v>
      </c>
      <c r="F2627" s="1274" t="s">
        <v>5570</v>
      </c>
      <c r="G2627" s="1204"/>
      <c r="H2627" s="1204"/>
      <c r="I2627" s="1204"/>
      <c r="J2627" s="1204"/>
      <c r="K2627" s="1204"/>
      <c r="L2627" s="1204"/>
      <c r="M2627" s="1204"/>
      <c r="N2627" s="1204"/>
      <c r="O2627" s="1204"/>
      <c r="P2627" s="1204"/>
      <c r="Q2627" s="1204"/>
      <c r="R2627" s="1204"/>
      <c r="S2627" s="1204"/>
      <c r="T2627" s="1204"/>
      <c r="U2627" s="1204"/>
      <c r="V2627" s="1204"/>
      <c r="W2627" s="1204"/>
      <c r="X2627" s="1204"/>
      <c r="Y2627" s="1204"/>
      <c r="Z2627" s="1204"/>
      <c r="AA2627" s="1204"/>
      <c r="AB2627" s="1204"/>
      <c r="AC2627" s="1204"/>
      <c r="AD2627" s="1204"/>
      <c r="AE2627" s="1204"/>
      <c r="AF2627" s="1204"/>
      <c r="AG2627" s="1204"/>
      <c r="AH2627" s="1204"/>
      <c r="AI2627" s="1204"/>
      <c r="AJ2627" s="1204"/>
      <c r="AK2627" s="1204"/>
      <c r="AL2627" s="1204"/>
      <c r="AM2627" s="1204"/>
    </row>
    <row r="2628" spans="1:40" ht="15" customHeight="1" x14ac:dyDescent="0.25">
      <c r="A2628" s="1409"/>
      <c r="B2628" s="1409"/>
      <c r="C2628" s="1409"/>
      <c r="D2628" s="1409"/>
      <c r="E2628" s="1218">
        <v>531</v>
      </c>
      <c r="F2628" s="1268" t="s">
        <v>5571</v>
      </c>
      <c r="G2628" s="1218"/>
      <c r="H2628" s="1218"/>
      <c r="I2628" s="1218"/>
      <c r="J2628" s="1218"/>
      <c r="K2628" s="1218"/>
      <c r="L2628" s="1218"/>
      <c r="M2628" s="1218"/>
      <c r="N2628" s="1218"/>
      <c r="O2628" s="1218"/>
      <c r="P2628" s="1218"/>
      <c r="Q2628" s="1218"/>
      <c r="R2628" s="1218"/>
      <c r="S2628" s="1218"/>
      <c r="T2628" s="1218"/>
      <c r="U2628" s="1218"/>
      <c r="V2628" s="1218"/>
      <c r="W2628" s="1218"/>
      <c r="X2628" s="1218"/>
      <c r="Y2628" s="1218"/>
      <c r="Z2628" s="1218"/>
      <c r="AA2628" s="1218"/>
      <c r="AB2628" s="1218"/>
      <c r="AC2628" s="1218"/>
      <c r="AD2628" s="1218"/>
      <c r="AE2628" s="1218"/>
      <c r="AF2628" s="1218"/>
      <c r="AG2628" s="1218"/>
      <c r="AH2628" s="1218"/>
      <c r="AI2628" s="1218"/>
      <c r="AJ2628" s="1218"/>
      <c r="AK2628" s="1218"/>
      <c r="AL2628" s="1218"/>
      <c r="AM2628" s="1218"/>
    </row>
    <row r="2629" spans="1:40" ht="15" customHeight="1" x14ac:dyDescent="0.25">
      <c r="A2629" s="1409"/>
      <c r="B2629" s="1409"/>
      <c r="C2629" s="1409"/>
      <c r="D2629" s="1409"/>
      <c r="E2629" s="1247"/>
      <c r="F2629" s="1248"/>
      <c r="G2629" s="111"/>
      <c r="H2629" s="1249"/>
      <c r="I2629" s="111"/>
      <c r="J2629" s="111"/>
      <c r="K2629" s="111"/>
      <c r="L2629" s="111"/>
      <c r="M2629" s="111"/>
      <c r="N2629" s="111"/>
      <c r="O2629" s="111"/>
      <c r="P2629" s="111"/>
      <c r="Q2629" s="111"/>
      <c r="R2629" s="111"/>
      <c r="S2629" s="1249"/>
      <c r="T2629" s="1250"/>
      <c r="U2629" s="1250"/>
      <c r="V2629" s="1250"/>
      <c r="W2629" s="1251"/>
      <c r="X2629" s="1250"/>
      <c r="Y2629" s="1250"/>
      <c r="Z2629" s="1250"/>
      <c r="AA2629" s="1250"/>
      <c r="AB2629" s="1250"/>
      <c r="AC2629" s="1250"/>
      <c r="AD2629" s="1250"/>
      <c r="AE2629" s="1249"/>
      <c r="AF2629" s="1250"/>
      <c r="AG2629" s="111"/>
      <c r="AH2629" s="111"/>
      <c r="AI2629" s="111"/>
      <c r="AJ2629" s="111"/>
      <c r="AK2629" s="111"/>
      <c r="AL2629" s="111"/>
      <c r="AM2629" s="111"/>
    </row>
    <row r="2630" spans="1:40" ht="15" customHeight="1" x14ac:dyDescent="0.25">
      <c r="A2630" s="1409"/>
      <c r="B2630" s="1409"/>
      <c r="C2630" s="1409"/>
      <c r="D2630" s="1409"/>
      <c r="E2630" s="1261">
        <v>53102</v>
      </c>
      <c r="F2630" s="1262" t="s">
        <v>5571</v>
      </c>
      <c r="G2630" s="1261"/>
      <c r="H2630" s="1261"/>
      <c r="I2630" s="1261"/>
      <c r="J2630" s="1261"/>
      <c r="K2630" s="1261"/>
      <c r="L2630" s="1261"/>
      <c r="M2630" s="1261"/>
      <c r="N2630" s="1261"/>
      <c r="O2630" s="1261"/>
      <c r="P2630" s="1261"/>
      <c r="Q2630" s="1261"/>
      <c r="R2630" s="1261"/>
      <c r="S2630" s="1261"/>
      <c r="T2630" s="1261"/>
      <c r="U2630" s="1261"/>
      <c r="V2630" s="1261"/>
      <c r="W2630" s="1261"/>
      <c r="X2630" s="1261"/>
      <c r="Y2630" s="1261"/>
      <c r="Z2630" s="1261"/>
      <c r="AA2630" s="1261"/>
      <c r="AB2630" s="1261"/>
      <c r="AC2630" s="1261"/>
      <c r="AD2630" s="1261"/>
      <c r="AE2630" s="1261"/>
      <c r="AF2630" s="1261"/>
      <c r="AG2630" s="1261"/>
      <c r="AH2630" s="1261"/>
      <c r="AI2630" s="1261"/>
      <c r="AJ2630" s="1261"/>
      <c r="AK2630" s="1261"/>
      <c r="AL2630" s="1261"/>
      <c r="AM2630" s="1261"/>
    </row>
    <row r="2631" spans="1:40" ht="15" customHeight="1" x14ac:dyDescent="0.25">
      <c r="A2631" s="1409"/>
      <c r="B2631" s="1409"/>
      <c r="C2631" s="1409"/>
      <c r="D2631" s="1409"/>
      <c r="E2631" s="1302"/>
      <c r="F2631" s="1248" t="s">
        <v>3361</v>
      </c>
      <c r="G2631" s="111"/>
      <c r="H2631" s="1249">
        <v>1</v>
      </c>
      <c r="I2631" s="111" t="s">
        <v>1721</v>
      </c>
      <c r="J2631" s="1321" t="s">
        <v>5608</v>
      </c>
      <c r="K2631" s="162" t="s">
        <v>5610</v>
      </c>
      <c r="L2631" s="162" t="s">
        <v>5609</v>
      </c>
      <c r="M2631" s="111">
        <v>747.69</v>
      </c>
      <c r="N2631" s="111">
        <v>747.69</v>
      </c>
      <c r="O2631" s="111"/>
      <c r="P2631" s="111"/>
      <c r="Q2631" s="111"/>
      <c r="R2631" s="111"/>
      <c r="S2631" s="1249">
        <v>1</v>
      </c>
      <c r="T2631" s="1250">
        <v>249.23000000000002</v>
      </c>
      <c r="U2631" s="1250"/>
      <c r="V2631" s="1250"/>
      <c r="W2631" s="1251">
        <v>0</v>
      </c>
      <c r="X2631" s="1250">
        <v>249.23000000000002</v>
      </c>
      <c r="Y2631" s="1250"/>
      <c r="Z2631" s="1250"/>
      <c r="AA2631" s="1250"/>
      <c r="AB2631" s="1250"/>
      <c r="AC2631" s="1250"/>
      <c r="AD2631" s="1250"/>
      <c r="AE2631" s="1249">
        <v>0</v>
      </c>
      <c r="AF2631" s="1250">
        <v>249.23000000000002</v>
      </c>
      <c r="AG2631" s="111"/>
      <c r="AH2631" s="111"/>
      <c r="AI2631" s="111"/>
      <c r="AJ2631" s="111"/>
      <c r="AK2631" s="111"/>
      <c r="AL2631" s="111"/>
      <c r="AM2631" s="111">
        <v>747.69</v>
      </c>
    </row>
    <row r="2632" spans="1:40" ht="15" customHeight="1" x14ac:dyDescent="0.25">
      <c r="A2632" s="1409"/>
      <c r="B2632" s="1409"/>
      <c r="C2632" s="1409"/>
      <c r="D2632" s="1409"/>
      <c r="E2632" s="1302"/>
      <c r="F2632" s="1248" t="s">
        <v>5572</v>
      </c>
      <c r="G2632" s="111"/>
      <c r="H2632" s="1249">
        <v>2</v>
      </c>
      <c r="I2632" s="111" t="s">
        <v>1721</v>
      </c>
      <c r="J2632" s="1321" t="s">
        <v>5608</v>
      </c>
      <c r="K2632" s="162" t="s">
        <v>5610</v>
      </c>
      <c r="L2632" s="162" t="s">
        <v>5609</v>
      </c>
      <c r="M2632" s="111">
        <v>5798.8399999999992</v>
      </c>
      <c r="N2632" s="111">
        <v>11597.679999999998</v>
      </c>
      <c r="O2632" s="111"/>
      <c r="P2632" s="111"/>
      <c r="Q2632" s="111"/>
      <c r="R2632" s="111"/>
      <c r="S2632" s="1249">
        <v>2</v>
      </c>
      <c r="T2632" s="1250">
        <v>3865.893333333333</v>
      </c>
      <c r="U2632" s="1250"/>
      <c r="V2632" s="1250"/>
      <c r="W2632" s="1251">
        <v>0</v>
      </c>
      <c r="X2632" s="1250">
        <v>3865.893333333333</v>
      </c>
      <c r="Y2632" s="1250"/>
      <c r="Z2632" s="1250"/>
      <c r="AA2632" s="1250"/>
      <c r="AB2632" s="1250"/>
      <c r="AC2632" s="1250"/>
      <c r="AD2632" s="1250"/>
      <c r="AE2632" s="1249">
        <v>0</v>
      </c>
      <c r="AF2632" s="1250">
        <v>3865.893333333333</v>
      </c>
      <c r="AG2632" s="111"/>
      <c r="AH2632" s="111"/>
      <c r="AI2632" s="111"/>
      <c r="AJ2632" s="111"/>
      <c r="AK2632" s="111"/>
      <c r="AL2632" s="111"/>
      <c r="AM2632" s="111">
        <v>11597.679999999998</v>
      </c>
    </row>
    <row r="2633" spans="1:40" ht="15" customHeight="1" x14ac:dyDescent="0.25">
      <c r="A2633" s="1409"/>
      <c r="B2633" s="1409"/>
      <c r="C2633" s="1409"/>
      <c r="D2633" s="1409"/>
      <c r="E2633" s="1302"/>
      <c r="F2633" s="1248"/>
      <c r="G2633" s="111"/>
      <c r="H2633" s="1249"/>
      <c r="I2633" s="111"/>
      <c r="J2633" s="111"/>
      <c r="K2633" s="111"/>
      <c r="L2633" s="111"/>
      <c r="M2633" s="111"/>
      <c r="N2633" s="111"/>
      <c r="O2633" s="111"/>
      <c r="P2633" s="111"/>
      <c r="Q2633" s="111"/>
      <c r="R2633" s="111"/>
      <c r="S2633" s="1249"/>
      <c r="T2633" s="1250"/>
      <c r="U2633" s="1250"/>
      <c r="V2633" s="1250"/>
      <c r="W2633" s="1251"/>
      <c r="X2633" s="1250"/>
      <c r="Y2633" s="1250"/>
      <c r="Z2633" s="1250"/>
      <c r="AA2633" s="1250"/>
      <c r="AB2633" s="1250"/>
      <c r="AC2633" s="1250"/>
      <c r="AD2633" s="1250"/>
      <c r="AE2633" s="1249"/>
      <c r="AF2633" s="1250"/>
      <c r="AG2633" s="111"/>
      <c r="AH2633" s="111"/>
      <c r="AI2633" s="111"/>
      <c r="AJ2633" s="111"/>
      <c r="AK2633" s="111"/>
      <c r="AL2633" s="111"/>
      <c r="AM2633" s="111"/>
    </row>
    <row r="2634" spans="1:40" ht="15" customHeight="1" x14ac:dyDescent="0.25">
      <c r="A2634" s="1409"/>
      <c r="B2634" s="1409"/>
      <c r="C2634" s="1409"/>
      <c r="D2634" s="1409"/>
      <c r="E2634" s="1218">
        <v>5600</v>
      </c>
      <c r="F2634" s="1268" t="s">
        <v>5573</v>
      </c>
      <c r="G2634" s="1218"/>
      <c r="H2634" s="1218"/>
      <c r="I2634" s="1218"/>
      <c r="J2634" s="1218"/>
      <c r="K2634" s="1218"/>
      <c r="L2634" s="1218"/>
      <c r="M2634" s="1218"/>
      <c r="N2634" s="1218"/>
      <c r="O2634" s="1218"/>
      <c r="P2634" s="1218"/>
      <c r="Q2634" s="1218"/>
      <c r="R2634" s="1218"/>
      <c r="S2634" s="1218"/>
      <c r="T2634" s="1218"/>
      <c r="U2634" s="1218"/>
      <c r="V2634" s="1218"/>
      <c r="W2634" s="1218"/>
      <c r="X2634" s="1218"/>
      <c r="Y2634" s="1218"/>
      <c r="Z2634" s="1218"/>
      <c r="AA2634" s="1218"/>
      <c r="AB2634" s="1218"/>
      <c r="AC2634" s="1218"/>
      <c r="AD2634" s="1218"/>
      <c r="AE2634" s="1218"/>
      <c r="AF2634" s="1218"/>
      <c r="AG2634" s="1218"/>
      <c r="AH2634" s="1218"/>
      <c r="AI2634" s="1218"/>
      <c r="AJ2634" s="1218"/>
      <c r="AK2634" s="1218"/>
      <c r="AL2634" s="1218"/>
      <c r="AM2634" s="1218"/>
    </row>
    <row r="2635" spans="1:40" ht="15" customHeight="1" x14ac:dyDescent="0.25">
      <c r="A2635" s="1409"/>
      <c r="B2635" s="1409"/>
      <c r="C2635" s="1409"/>
      <c r="D2635" s="1409"/>
      <c r="E2635" s="1261">
        <v>56102</v>
      </c>
      <c r="F2635" s="1262" t="s">
        <v>1394</v>
      </c>
      <c r="G2635" s="1261"/>
      <c r="H2635" s="1261"/>
      <c r="I2635" s="1261"/>
      <c r="J2635" s="1261"/>
      <c r="K2635" s="1261"/>
      <c r="L2635" s="1261"/>
      <c r="M2635" s="1261"/>
      <c r="N2635" s="1261"/>
      <c r="O2635" s="1261"/>
      <c r="P2635" s="1261"/>
      <c r="Q2635" s="1261"/>
      <c r="R2635" s="1261"/>
      <c r="S2635" s="1261"/>
      <c r="T2635" s="1261"/>
      <c r="U2635" s="1261"/>
      <c r="V2635" s="1261"/>
      <c r="W2635" s="1261"/>
      <c r="X2635" s="1261"/>
      <c r="Y2635" s="1261"/>
      <c r="Z2635" s="1261"/>
      <c r="AA2635" s="1261"/>
      <c r="AB2635" s="1261"/>
      <c r="AC2635" s="1261"/>
      <c r="AD2635" s="1261"/>
      <c r="AE2635" s="1261"/>
      <c r="AF2635" s="1261"/>
      <c r="AG2635" s="1261"/>
      <c r="AH2635" s="1261"/>
      <c r="AI2635" s="1261"/>
      <c r="AJ2635" s="1261"/>
      <c r="AK2635" s="1261"/>
      <c r="AL2635" s="1261"/>
      <c r="AM2635" s="1261"/>
    </row>
    <row r="2636" spans="1:40" ht="29.25" customHeight="1" x14ac:dyDescent="0.25">
      <c r="A2636" s="1409"/>
      <c r="B2636" s="1409"/>
      <c r="C2636" s="1409"/>
      <c r="D2636" s="1409"/>
      <c r="E2636" s="1300"/>
      <c r="F2636" s="1287" t="s">
        <v>5574</v>
      </c>
      <c r="G2636" s="111"/>
      <c r="H2636" s="1249">
        <v>1</v>
      </c>
      <c r="I2636" s="111" t="s">
        <v>1721</v>
      </c>
      <c r="J2636" s="1321" t="s">
        <v>5608</v>
      </c>
      <c r="K2636" s="162" t="s">
        <v>5610</v>
      </c>
      <c r="L2636" s="162" t="s">
        <v>5609</v>
      </c>
      <c r="M2636" s="111">
        <v>4504.1408000000001</v>
      </c>
      <c r="N2636" s="111">
        <v>4504.1408000000001</v>
      </c>
      <c r="O2636" s="111"/>
      <c r="P2636" s="111"/>
      <c r="Q2636" s="111"/>
      <c r="R2636" s="111"/>
      <c r="S2636" s="1249">
        <v>1</v>
      </c>
      <c r="T2636" s="1250">
        <v>1501.3802666666668</v>
      </c>
      <c r="U2636" s="1250"/>
      <c r="V2636" s="1250"/>
      <c r="W2636" s="1251">
        <v>0</v>
      </c>
      <c r="X2636" s="1250">
        <v>1501.3802666666668</v>
      </c>
      <c r="Y2636" s="1250"/>
      <c r="Z2636" s="1250"/>
      <c r="AA2636" s="1250"/>
      <c r="AB2636" s="1250"/>
      <c r="AC2636" s="1250"/>
      <c r="AD2636" s="1250"/>
      <c r="AE2636" s="1249">
        <v>0</v>
      </c>
      <c r="AF2636" s="1250">
        <v>1501.3802666666668</v>
      </c>
      <c r="AG2636" s="111"/>
      <c r="AH2636" s="111"/>
      <c r="AI2636" s="111"/>
      <c r="AJ2636" s="111"/>
      <c r="AK2636" s="111"/>
      <c r="AL2636" s="111"/>
      <c r="AM2636" s="111">
        <v>4504.1408000000001</v>
      </c>
    </row>
    <row r="2637" spans="1:40" ht="15" customHeight="1" x14ac:dyDescent="0.25">
      <c r="A2637" s="1409"/>
      <c r="B2637" s="1409"/>
      <c r="C2637" s="1409"/>
      <c r="D2637" s="1409"/>
      <c r="E2637" s="1300"/>
      <c r="F2637" s="1248" t="s">
        <v>5575</v>
      </c>
      <c r="G2637" s="111"/>
      <c r="H2637" s="1249">
        <v>1</v>
      </c>
      <c r="I2637" s="111" t="s">
        <v>1721</v>
      </c>
      <c r="J2637" s="1321" t="s">
        <v>5608</v>
      </c>
      <c r="K2637" s="162" t="s">
        <v>5610</v>
      </c>
      <c r="L2637" s="162" t="s">
        <v>5609</v>
      </c>
      <c r="M2637" s="111">
        <v>7786.15</v>
      </c>
      <c r="N2637" s="111">
        <v>7786.15</v>
      </c>
      <c r="O2637" s="111"/>
      <c r="P2637" s="111"/>
      <c r="Q2637" s="111"/>
      <c r="R2637" s="111"/>
      <c r="S2637" s="1249">
        <v>1</v>
      </c>
      <c r="T2637" s="1250">
        <v>2595.3833333333332</v>
      </c>
      <c r="U2637" s="1250"/>
      <c r="V2637" s="1250"/>
      <c r="W2637" s="1251">
        <v>0</v>
      </c>
      <c r="X2637" s="1250">
        <v>2595.3833333333332</v>
      </c>
      <c r="Y2637" s="1250"/>
      <c r="Z2637" s="1250"/>
      <c r="AA2637" s="1250"/>
      <c r="AB2637" s="1250"/>
      <c r="AC2637" s="1250"/>
      <c r="AD2637" s="1250"/>
      <c r="AE2637" s="1249">
        <v>0</v>
      </c>
      <c r="AF2637" s="1250">
        <v>2595.3833333333332</v>
      </c>
      <c r="AG2637" s="111"/>
      <c r="AH2637" s="111"/>
      <c r="AI2637" s="111"/>
      <c r="AJ2637" s="111"/>
      <c r="AK2637" s="111"/>
      <c r="AL2637" s="111"/>
      <c r="AM2637" s="111">
        <v>7786.15</v>
      </c>
    </row>
    <row r="2638" spans="1:40" ht="15" customHeight="1" x14ac:dyDescent="0.25">
      <c r="A2638" s="1409"/>
      <c r="B2638" s="1409"/>
      <c r="C2638" s="1409"/>
      <c r="D2638" s="1409"/>
      <c r="E2638" s="1300"/>
      <c r="F2638" s="1248"/>
      <c r="G2638" s="111"/>
      <c r="H2638" s="1249"/>
      <c r="I2638" s="111"/>
      <c r="J2638" s="111"/>
      <c r="K2638" s="111"/>
      <c r="L2638" s="111"/>
      <c r="M2638" s="111"/>
      <c r="N2638" s="111"/>
      <c r="O2638" s="111"/>
      <c r="P2638" s="111"/>
      <c r="Q2638" s="111"/>
      <c r="R2638" s="111"/>
      <c r="S2638" s="1249"/>
      <c r="T2638" s="1250"/>
      <c r="U2638" s="1250"/>
      <c r="V2638" s="1250"/>
      <c r="W2638" s="1251"/>
      <c r="X2638" s="1250"/>
      <c r="Y2638" s="1250"/>
      <c r="Z2638" s="1250"/>
      <c r="AA2638" s="1250"/>
      <c r="AB2638" s="1250"/>
      <c r="AC2638" s="1250"/>
      <c r="AD2638" s="1250"/>
      <c r="AE2638" s="1249"/>
      <c r="AF2638" s="1250"/>
      <c r="AG2638" s="111"/>
      <c r="AH2638" s="111"/>
      <c r="AI2638" s="111"/>
      <c r="AJ2638" s="111"/>
      <c r="AK2638" s="111"/>
      <c r="AL2638" s="111"/>
      <c r="AM2638" s="111"/>
    </row>
    <row r="2639" spans="1:40" ht="15" customHeight="1" x14ac:dyDescent="0.25">
      <c r="A2639" s="1409"/>
      <c r="B2639" s="1409"/>
      <c r="C2639" s="1409"/>
      <c r="D2639" s="1409"/>
      <c r="E2639" s="1218">
        <v>562</v>
      </c>
      <c r="F2639" s="1268" t="s">
        <v>5576</v>
      </c>
      <c r="G2639" s="1218"/>
      <c r="H2639" s="1218"/>
      <c r="I2639" s="1218"/>
      <c r="J2639" s="1218"/>
      <c r="K2639" s="1218"/>
      <c r="L2639" s="1218"/>
      <c r="M2639" s="1218"/>
      <c r="N2639" s="1218"/>
      <c r="O2639" s="1218"/>
      <c r="P2639" s="1218"/>
      <c r="Q2639" s="1218"/>
      <c r="R2639" s="1218"/>
      <c r="S2639" s="1218"/>
      <c r="T2639" s="1218"/>
      <c r="U2639" s="1218"/>
      <c r="V2639" s="1218"/>
      <c r="W2639" s="1218"/>
      <c r="X2639" s="1218"/>
      <c r="Y2639" s="1218"/>
      <c r="Z2639" s="1218"/>
      <c r="AA2639" s="1218"/>
      <c r="AB2639" s="1218"/>
      <c r="AC2639" s="1218"/>
      <c r="AD2639" s="1218"/>
      <c r="AE2639" s="1218"/>
      <c r="AF2639" s="1218"/>
      <c r="AG2639" s="1218"/>
      <c r="AH2639" s="1218"/>
      <c r="AI2639" s="1218"/>
      <c r="AJ2639" s="1218"/>
      <c r="AK2639" s="1218"/>
      <c r="AL2639" s="1218"/>
      <c r="AM2639" s="1218"/>
      <c r="AN2639" s="1298"/>
    </row>
    <row r="2640" spans="1:40" ht="15" customHeight="1" x14ac:dyDescent="0.25">
      <c r="A2640" s="1409"/>
      <c r="B2640" s="1409"/>
      <c r="C2640" s="1409"/>
      <c r="D2640" s="1409"/>
      <c r="E2640" s="1261">
        <v>56206</v>
      </c>
      <c r="F2640" s="1262" t="s">
        <v>5577</v>
      </c>
      <c r="G2640" s="1261"/>
      <c r="H2640" s="1261"/>
      <c r="I2640" s="1261"/>
      <c r="J2640" s="1261"/>
      <c r="K2640" s="1261"/>
      <c r="L2640" s="1261"/>
      <c r="M2640" s="1261"/>
      <c r="N2640" s="1261"/>
      <c r="O2640" s="1261"/>
      <c r="P2640" s="1261"/>
      <c r="Q2640" s="1261"/>
      <c r="R2640" s="1261"/>
      <c r="S2640" s="1261"/>
      <c r="T2640" s="1261"/>
      <c r="U2640" s="1261"/>
      <c r="V2640" s="1261"/>
      <c r="W2640" s="1261"/>
      <c r="X2640" s="1261"/>
      <c r="Y2640" s="1261"/>
      <c r="Z2640" s="1261"/>
      <c r="AA2640" s="1261"/>
      <c r="AB2640" s="1261"/>
      <c r="AC2640" s="1261"/>
      <c r="AD2640" s="1261"/>
      <c r="AE2640" s="1261"/>
      <c r="AF2640" s="1261"/>
      <c r="AG2640" s="1261"/>
      <c r="AH2640" s="1261"/>
      <c r="AI2640" s="1261"/>
      <c r="AJ2640" s="1261"/>
      <c r="AK2640" s="1261"/>
      <c r="AL2640" s="1261"/>
      <c r="AM2640" s="1261"/>
    </row>
    <row r="2641" spans="1:39" ht="15" customHeight="1" x14ac:dyDescent="0.25">
      <c r="A2641" s="1409"/>
      <c r="B2641" s="1409"/>
      <c r="C2641" s="1409"/>
      <c r="D2641" s="1409"/>
      <c r="E2641" s="1302"/>
      <c r="F2641" s="1248" t="s">
        <v>3364</v>
      </c>
      <c r="G2641" s="111"/>
      <c r="H2641" s="1249">
        <v>2</v>
      </c>
      <c r="I2641" s="111" t="s">
        <v>1721</v>
      </c>
      <c r="J2641" s="1321" t="s">
        <v>5608</v>
      </c>
      <c r="K2641" s="162" t="s">
        <v>5610</v>
      </c>
      <c r="L2641" s="162" t="s">
        <v>5609</v>
      </c>
      <c r="M2641" s="111">
        <v>1000</v>
      </c>
      <c r="N2641" s="111">
        <v>2000</v>
      </c>
      <c r="O2641" s="111"/>
      <c r="P2641" s="111"/>
      <c r="Q2641" s="111"/>
      <c r="R2641" s="111"/>
      <c r="S2641" s="1249">
        <v>2</v>
      </c>
      <c r="T2641" s="1250">
        <v>666.66666666666663</v>
      </c>
      <c r="U2641" s="1250"/>
      <c r="V2641" s="1250"/>
      <c r="W2641" s="1251">
        <v>0</v>
      </c>
      <c r="X2641" s="1250">
        <v>666.66666666666663</v>
      </c>
      <c r="Y2641" s="1250"/>
      <c r="Z2641" s="1250"/>
      <c r="AA2641" s="1250"/>
      <c r="AB2641" s="1250"/>
      <c r="AC2641" s="1250"/>
      <c r="AD2641" s="1250"/>
      <c r="AE2641" s="1249">
        <v>0</v>
      </c>
      <c r="AF2641" s="1250">
        <v>666.66666666666663</v>
      </c>
      <c r="AG2641" s="111"/>
      <c r="AH2641" s="111"/>
      <c r="AI2641" s="111"/>
      <c r="AJ2641" s="111"/>
      <c r="AK2641" s="111"/>
      <c r="AL2641" s="111"/>
      <c r="AM2641" s="111">
        <v>2000</v>
      </c>
    </row>
    <row r="2642" spans="1:39" ht="15" customHeight="1" x14ac:dyDescent="0.25">
      <c r="A2642" s="1409"/>
      <c r="B2642" s="1409"/>
      <c r="C2642" s="1409"/>
      <c r="D2642" s="1409"/>
      <c r="E2642" s="1302"/>
      <c r="F2642" s="1248" t="s">
        <v>5578</v>
      </c>
      <c r="G2642" s="111"/>
      <c r="H2642" s="1249">
        <v>1</v>
      </c>
      <c r="I2642" s="111" t="s">
        <v>1721</v>
      </c>
      <c r="J2642" s="1321" t="s">
        <v>5608</v>
      </c>
      <c r="K2642" s="162" t="s">
        <v>5610</v>
      </c>
      <c r="L2642" s="162" t="s">
        <v>5609</v>
      </c>
      <c r="M2642" s="111">
        <v>2556</v>
      </c>
      <c r="N2642" s="111">
        <v>2556</v>
      </c>
      <c r="O2642" s="111"/>
      <c r="P2642" s="111"/>
      <c r="Q2642" s="111"/>
      <c r="R2642" s="111"/>
      <c r="S2642" s="1249">
        <v>1</v>
      </c>
      <c r="T2642" s="1250">
        <v>852</v>
      </c>
      <c r="U2642" s="1250"/>
      <c r="V2642" s="1250"/>
      <c r="W2642" s="1251">
        <v>0</v>
      </c>
      <c r="X2642" s="1250">
        <v>852</v>
      </c>
      <c r="Y2642" s="1250"/>
      <c r="Z2642" s="1250"/>
      <c r="AA2642" s="1250"/>
      <c r="AB2642" s="1250"/>
      <c r="AC2642" s="1250"/>
      <c r="AD2642" s="1250"/>
      <c r="AE2642" s="1249">
        <v>0</v>
      </c>
      <c r="AF2642" s="1250">
        <v>852</v>
      </c>
      <c r="AG2642" s="111"/>
      <c r="AH2642" s="111"/>
      <c r="AI2642" s="111"/>
      <c r="AJ2642" s="111"/>
      <c r="AK2642" s="111"/>
      <c r="AL2642" s="111"/>
      <c r="AM2642" s="111">
        <v>2556</v>
      </c>
    </row>
    <row r="2643" spans="1:39" ht="15" customHeight="1" x14ac:dyDescent="0.25">
      <c r="A2643" s="1409"/>
      <c r="B2643" s="1409"/>
      <c r="C2643" s="1409"/>
      <c r="D2643" s="1409"/>
      <c r="E2643" s="1300"/>
      <c r="F2643" s="1248" t="s">
        <v>5579</v>
      </c>
      <c r="G2643" s="111"/>
      <c r="H2643" s="1249">
        <v>1</v>
      </c>
      <c r="I2643" s="111" t="s">
        <v>1721</v>
      </c>
      <c r="J2643" s="1321" t="s">
        <v>5608</v>
      </c>
      <c r="K2643" s="162" t="s">
        <v>5610</v>
      </c>
      <c r="L2643" s="162" t="s">
        <v>5609</v>
      </c>
      <c r="M2643" s="111">
        <v>4783.32</v>
      </c>
      <c r="N2643" s="111">
        <v>4783.32</v>
      </c>
      <c r="O2643" s="111"/>
      <c r="P2643" s="111"/>
      <c r="Q2643" s="111"/>
      <c r="R2643" s="111"/>
      <c r="S2643" s="1249">
        <v>1</v>
      </c>
      <c r="T2643" s="1250">
        <v>1594.4399999999998</v>
      </c>
      <c r="U2643" s="1250"/>
      <c r="V2643" s="1250"/>
      <c r="W2643" s="1251">
        <v>0</v>
      </c>
      <c r="X2643" s="1250">
        <v>1594.4399999999998</v>
      </c>
      <c r="Y2643" s="1250"/>
      <c r="Z2643" s="1250"/>
      <c r="AA2643" s="1250"/>
      <c r="AB2643" s="1250"/>
      <c r="AC2643" s="1250"/>
      <c r="AD2643" s="1250"/>
      <c r="AE2643" s="1249">
        <v>0</v>
      </c>
      <c r="AF2643" s="1250">
        <v>1594.4399999999998</v>
      </c>
      <c r="AG2643" s="111"/>
      <c r="AH2643" s="111"/>
      <c r="AI2643" s="111"/>
      <c r="AJ2643" s="111"/>
      <c r="AK2643" s="111"/>
      <c r="AL2643" s="111"/>
      <c r="AM2643" s="111">
        <v>4783.32</v>
      </c>
    </row>
    <row r="2644" spans="1:39" ht="15" customHeight="1" x14ac:dyDescent="0.25">
      <c r="A2644" s="1409"/>
      <c r="B2644" s="1409"/>
      <c r="C2644" s="1409"/>
      <c r="D2644" s="1409"/>
      <c r="E2644" s="1303"/>
      <c r="F2644" s="1248"/>
      <c r="G2644" s="111"/>
      <c r="H2644" s="1249"/>
      <c r="I2644" s="111"/>
      <c r="J2644" s="111"/>
      <c r="K2644" s="111"/>
      <c r="L2644" s="1084"/>
      <c r="M2644" s="111"/>
      <c r="N2644" s="111"/>
      <c r="O2644" s="111"/>
      <c r="P2644" s="111"/>
      <c r="Q2644" s="111"/>
      <c r="R2644" s="111"/>
      <c r="S2644" s="1249"/>
      <c r="T2644" s="1250"/>
      <c r="U2644" s="1250"/>
      <c r="V2644" s="1250"/>
      <c r="W2644" s="1251"/>
      <c r="X2644" s="1250"/>
      <c r="Y2644" s="1250"/>
      <c r="Z2644" s="1250"/>
      <c r="AA2644" s="1250"/>
      <c r="AB2644" s="1250"/>
      <c r="AC2644" s="1250"/>
      <c r="AD2644" s="1250"/>
      <c r="AE2644" s="1249"/>
      <c r="AF2644" s="1250"/>
      <c r="AG2644" s="111"/>
      <c r="AH2644" s="111"/>
      <c r="AI2644" s="111"/>
      <c r="AJ2644" s="111"/>
      <c r="AK2644" s="111"/>
      <c r="AL2644" s="111"/>
      <c r="AM2644" s="111"/>
    </row>
    <row r="2645" spans="1:39" ht="15" customHeight="1" x14ac:dyDescent="0.25">
      <c r="A2645" s="1409"/>
      <c r="B2645" s="1409"/>
      <c r="C2645" s="1409"/>
      <c r="D2645" s="1409"/>
      <c r="E2645" s="1304">
        <v>563</v>
      </c>
      <c r="F2645" s="1268" t="s">
        <v>5580</v>
      </c>
      <c r="G2645" s="1218"/>
      <c r="H2645" s="1218"/>
      <c r="I2645" s="1218"/>
      <c r="J2645" s="1218"/>
      <c r="K2645" s="1218"/>
      <c r="L2645" s="1218"/>
      <c r="M2645" s="1218"/>
      <c r="N2645" s="1218"/>
      <c r="O2645" s="1218"/>
      <c r="P2645" s="1218"/>
      <c r="Q2645" s="1218"/>
      <c r="R2645" s="1218"/>
      <c r="S2645" s="1218"/>
      <c r="T2645" s="1218"/>
      <c r="U2645" s="1218"/>
      <c r="V2645" s="1218"/>
      <c r="W2645" s="1218"/>
      <c r="X2645" s="1218"/>
      <c r="Y2645" s="1218"/>
      <c r="Z2645" s="1218"/>
      <c r="AA2645" s="1218"/>
      <c r="AB2645" s="1218"/>
      <c r="AC2645" s="1218"/>
      <c r="AD2645" s="1218"/>
      <c r="AE2645" s="1218"/>
      <c r="AF2645" s="1218"/>
      <c r="AG2645" s="1218"/>
      <c r="AH2645" s="1218"/>
      <c r="AI2645" s="1218"/>
      <c r="AJ2645" s="1218"/>
      <c r="AK2645" s="1218"/>
      <c r="AL2645" s="1218"/>
      <c r="AM2645" s="1218"/>
    </row>
    <row r="2646" spans="1:39" ht="15" customHeight="1" x14ac:dyDescent="0.25">
      <c r="A2646" s="1409"/>
      <c r="B2646" s="1409"/>
      <c r="C2646" s="1409"/>
      <c r="D2646" s="1409"/>
      <c r="E2646" s="1261">
        <v>56302</v>
      </c>
      <c r="F2646" s="1262" t="s">
        <v>5581</v>
      </c>
      <c r="G2646" s="1261"/>
      <c r="H2646" s="1261"/>
      <c r="I2646" s="1261"/>
      <c r="J2646" s="1261"/>
      <c r="K2646" s="1261"/>
      <c r="L2646" s="1261"/>
      <c r="M2646" s="1261"/>
      <c r="N2646" s="1261"/>
      <c r="O2646" s="1261"/>
      <c r="P2646" s="1261"/>
      <c r="Q2646" s="1261"/>
      <c r="R2646" s="1261"/>
      <c r="S2646" s="1261"/>
      <c r="T2646" s="1261"/>
      <c r="U2646" s="1261"/>
      <c r="V2646" s="1261"/>
      <c r="W2646" s="1261"/>
      <c r="X2646" s="1261"/>
      <c r="Y2646" s="1261"/>
      <c r="Z2646" s="1261"/>
      <c r="AA2646" s="1261"/>
      <c r="AB2646" s="1261"/>
      <c r="AC2646" s="1261"/>
      <c r="AD2646" s="1261"/>
      <c r="AE2646" s="1261"/>
      <c r="AF2646" s="1261"/>
      <c r="AG2646" s="1261"/>
      <c r="AH2646" s="1261"/>
      <c r="AI2646" s="1261"/>
      <c r="AJ2646" s="1261"/>
      <c r="AK2646" s="1261"/>
      <c r="AL2646" s="1261"/>
      <c r="AM2646" s="1261"/>
    </row>
    <row r="2647" spans="1:39" ht="15" customHeight="1" x14ac:dyDescent="0.25">
      <c r="A2647" s="1409"/>
      <c r="B2647" s="1409"/>
      <c r="C2647" s="1409"/>
      <c r="D2647" s="1409"/>
      <c r="E2647" s="1300"/>
      <c r="F2647" s="1248" t="s">
        <v>5582</v>
      </c>
      <c r="G2647" s="111"/>
      <c r="H2647" s="1249">
        <v>6</v>
      </c>
      <c r="I2647" s="111" t="s">
        <v>1721</v>
      </c>
      <c r="J2647" s="1321" t="s">
        <v>5608</v>
      </c>
      <c r="K2647" s="162" t="s">
        <v>5610</v>
      </c>
      <c r="L2647" s="162" t="s">
        <v>5609</v>
      </c>
      <c r="M2647" s="111">
        <v>5000</v>
      </c>
      <c r="N2647" s="111">
        <v>30000</v>
      </c>
      <c r="O2647" s="111"/>
      <c r="P2647" s="111"/>
      <c r="Q2647" s="111"/>
      <c r="R2647" s="111"/>
      <c r="S2647" s="1249">
        <v>2</v>
      </c>
      <c r="T2647" s="1250">
        <v>10000</v>
      </c>
      <c r="U2647" s="1250"/>
      <c r="V2647" s="1250"/>
      <c r="W2647" s="1251">
        <v>2</v>
      </c>
      <c r="X2647" s="1250">
        <v>10000</v>
      </c>
      <c r="Y2647" s="1250"/>
      <c r="Z2647" s="1250"/>
      <c r="AA2647" s="1250"/>
      <c r="AB2647" s="1250"/>
      <c r="AC2647" s="1250"/>
      <c r="AD2647" s="1250"/>
      <c r="AE2647" s="1249">
        <v>2</v>
      </c>
      <c r="AF2647" s="1250">
        <v>10000</v>
      </c>
      <c r="AG2647" s="111"/>
      <c r="AH2647" s="111"/>
      <c r="AI2647" s="111"/>
      <c r="AJ2647" s="111"/>
      <c r="AK2647" s="111"/>
      <c r="AL2647" s="111"/>
      <c r="AM2647" s="111">
        <v>30000</v>
      </c>
    </row>
    <row r="2648" spans="1:39" ht="15" customHeight="1" x14ac:dyDescent="0.25">
      <c r="A2648" s="1409"/>
      <c r="B2648" s="1409"/>
      <c r="C2648" s="1409"/>
      <c r="D2648" s="1409"/>
      <c r="E2648" s="1300"/>
      <c r="F2648" s="1248" t="s">
        <v>5583</v>
      </c>
      <c r="G2648" s="111"/>
      <c r="H2648" s="1249">
        <v>1</v>
      </c>
      <c r="I2648" s="111" t="s">
        <v>1721</v>
      </c>
      <c r="J2648" s="1321" t="s">
        <v>5608</v>
      </c>
      <c r="K2648" s="162" t="s">
        <v>5610</v>
      </c>
      <c r="L2648" s="162" t="s">
        <v>5609</v>
      </c>
      <c r="M2648" s="111">
        <v>12000</v>
      </c>
      <c r="N2648" s="111">
        <v>12000</v>
      </c>
      <c r="O2648" s="111"/>
      <c r="P2648" s="111"/>
      <c r="Q2648" s="111"/>
      <c r="R2648" s="111"/>
      <c r="S2648" s="1249">
        <v>1</v>
      </c>
      <c r="T2648" s="1250">
        <v>4000</v>
      </c>
      <c r="U2648" s="1250"/>
      <c r="V2648" s="1250"/>
      <c r="W2648" s="1251">
        <v>0</v>
      </c>
      <c r="X2648" s="1250">
        <v>4000</v>
      </c>
      <c r="Y2648" s="1250"/>
      <c r="Z2648" s="1250"/>
      <c r="AA2648" s="1250"/>
      <c r="AB2648" s="1250"/>
      <c r="AC2648" s="1250"/>
      <c r="AD2648" s="1250"/>
      <c r="AE2648" s="1249">
        <v>0</v>
      </c>
      <c r="AF2648" s="1250">
        <v>4000</v>
      </c>
      <c r="AG2648" s="111"/>
      <c r="AH2648" s="111"/>
      <c r="AI2648" s="111"/>
      <c r="AJ2648" s="111"/>
      <c r="AK2648" s="111"/>
      <c r="AL2648" s="111"/>
      <c r="AM2648" s="111">
        <v>12000</v>
      </c>
    </row>
    <row r="2649" spans="1:39" ht="15" customHeight="1" x14ac:dyDescent="0.25">
      <c r="A2649" s="1409"/>
      <c r="B2649" s="1409"/>
      <c r="C2649" s="1409"/>
      <c r="D2649" s="1409"/>
      <c r="E2649" s="1300"/>
      <c r="F2649" s="1248"/>
      <c r="G2649" s="111"/>
      <c r="H2649" s="1249"/>
      <c r="I2649" s="111"/>
      <c r="J2649" s="111"/>
      <c r="K2649" s="111"/>
      <c r="L2649" s="1084"/>
      <c r="M2649" s="111"/>
      <c r="N2649" s="111"/>
      <c r="O2649" s="111"/>
      <c r="P2649" s="111"/>
      <c r="Q2649" s="111"/>
      <c r="R2649" s="111"/>
      <c r="S2649" s="1249"/>
      <c r="T2649" s="1250"/>
      <c r="U2649" s="1250"/>
      <c r="V2649" s="1250"/>
      <c r="W2649" s="1251"/>
      <c r="X2649" s="1250"/>
      <c r="Y2649" s="1250"/>
      <c r="Z2649" s="1250"/>
      <c r="AA2649" s="1250"/>
      <c r="AB2649" s="1250"/>
      <c r="AC2649" s="1250"/>
      <c r="AD2649" s="1250"/>
      <c r="AE2649" s="1249"/>
      <c r="AF2649" s="1250"/>
      <c r="AG2649" s="111"/>
      <c r="AH2649" s="111"/>
      <c r="AI2649" s="111"/>
      <c r="AJ2649" s="111"/>
      <c r="AK2649" s="111"/>
      <c r="AL2649" s="111"/>
      <c r="AM2649" s="111"/>
    </row>
    <row r="2650" spans="1:39" ht="15" customHeight="1" x14ac:dyDescent="0.25">
      <c r="A2650" s="1409"/>
      <c r="B2650" s="1409"/>
      <c r="C2650" s="1409"/>
      <c r="D2650" s="1409"/>
      <c r="E2650" s="1304">
        <v>565</v>
      </c>
      <c r="F2650" s="1268" t="s">
        <v>5584</v>
      </c>
      <c r="G2650" s="1218"/>
      <c r="H2650" s="1218"/>
      <c r="I2650" s="1218"/>
      <c r="J2650" s="1218"/>
      <c r="K2650" s="1218"/>
      <c r="L2650" s="1218"/>
      <c r="M2650" s="1218"/>
      <c r="N2650" s="1218"/>
      <c r="O2650" s="1218"/>
      <c r="P2650" s="1218"/>
      <c r="Q2650" s="1218"/>
      <c r="R2650" s="1218"/>
      <c r="S2650" s="1218"/>
      <c r="T2650" s="1218"/>
      <c r="U2650" s="1218"/>
      <c r="V2650" s="1218"/>
      <c r="W2650" s="1218"/>
      <c r="X2650" s="1218"/>
      <c r="Y2650" s="1218"/>
      <c r="Z2650" s="1218"/>
      <c r="AA2650" s="1218"/>
      <c r="AB2650" s="1218"/>
      <c r="AC2650" s="1218"/>
      <c r="AD2650" s="1218"/>
      <c r="AE2650" s="1218"/>
      <c r="AF2650" s="1218"/>
      <c r="AG2650" s="1218"/>
      <c r="AH2650" s="1218"/>
      <c r="AI2650" s="1218"/>
      <c r="AJ2650" s="1218"/>
      <c r="AK2650" s="1218"/>
      <c r="AL2650" s="1218"/>
      <c r="AM2650" s="1218"/>
    </row>
    <row r="2651" spans="1:39" ht="15" customHeight="1" x14ac:dyDescent="0.25">
      <c r="A2651" s="1409"/>
      <c r="B2651" s="1409"/>
      <c r="C2651" s="1409"/>
      <c r="D2651" s="1409"/>
      <c r="E2651" s="1261">
        <v>56502</v>
      </c>
      <c r="F2651" s="1262" t="s">
        <v>5585</v>
      </c>
      <c r="G2651" s="1261"/>
      <c r="H2651" s="1261"/>
      <c r="I2651" s="1261"/>
      <c r="J2651" s="1261"/>
      <c r="K2651" s="1261"/>
      <c r="L2651" s="1261"/>
      <c r="M2651" s="1261"/>
      <c r="N2651" s="1261"/>
      <c r="O2651" s="1261"/>
      <c r="P2651" s="1261"/>
      <c r="Q2651" s="1261"/>
      <c r="R2651" s="1261"/>
      <c r="S2651" s="1261"/>
      <c r="T2651" s="1261"/>
      <c r="U2651" s="1261"/>
      <c r="V2651" s="1261"/>
      <c r="W2651" s="1261"/>
      <c r="X2651" s="1261"/>
      <c r="Y2651" s="1261"/>
      <c r="Z2651" s="1261"/>
      <c r="AA2651" s="1261"/>
      <c r="AB2651" s="1261"/>
      <c r="AC2651" s="1261"/>
      <c r="AD2651" s="1261"/>
      <c r="AE2651" s="1261"/>
      <c r="AF2651" s="1261"/>
      <c r="AG2651" s="1261"/>
      <c r="AH2651" s="1261"/>
      <c r="AI2651" s="1261"/>
      <c r="AJ2651" s="1261"/>
      <c r="AK2651" s="1261"/>
      <c r="AL2651" s="1261"/>
      <c r="AM2651" s="1261"/>
    </row>
    <row r="2652" spans="1:39" ht="15" customHeight="1" x14ac:dyDescent="0.25">
      <c r="A2652" s="1409"/>
      <c r="B2652" s="1409"/>
      <c r="C2652" s="1409"/>
      <c r="D2652" s="1409"/>
      <c r="E2652" s="1300"/>
      <c r="F2652" s="1248" t="s">
        <v>5410</v>
      </c>
      <c r="G2652" s="111"/>
      <c r="H2652" s="1249">
        <v>2</v>
      </c>
      <c r="I2652" s="111" t="s">
        <v>1721</v>
      </c>
      <c r="J2652" s="1321" t="s">
        <v>5608</v>
      </c>
      <c r="K2652" s="162" t="s">
        <v>5610</v>
      </c>
      <c r="L2652" s="162" t="s">
        <v>5609</v>
      </c>
      <c r="M2652" s="111">
        <v>6000</v>
      </c>
      <c r="N2652" s="111">
        <v>12000</v>
      </c>
      <c r="O2652" s="111"/>
      <c r="P2652" s="111"/>
      <c r="Q2652" s="111"/>
      <c r="R2652" s="111"/>
      <c r="S2652" s="1249">
        <v>2</v>
      </c>
      <c r="T2652" s="1250">
        <v>4000</v>
      </c>
      <c r="U2652" s="1250"/>
      <c r="V2652" s="1250"/>
      <c r="W2652" s="1251">
        <v>0</v>
      </c>
      <c r="X2652" s="1250">
        <v>4000</v>
      </c>
      <c r="Y2652" s="1250"/>
      <c r="Z2652" s="1250"/>
      <c r="AA2652" s="1250"/>
      <c r="AB2652" s="1250"/>
      <c r="AC2652" s="1250"/>
      <c r="AD2652" s="1250"/>
      <c r="AE2652" s="1249">
        <v>0</v>
      </c>
      <c r="AF2652" s="1250">
        <v>4000</v>
      </c>
      <c r="AG2652" s="111"/>
      <c r="AH2652" s="111"/>
      <c r="AI2652" s="111"/>
      <c r="AJ2652" s="111"/>
      <c r="AK2652" s="111"/>
      <c r="AL2652" s="111"/>
      <c r="AM2652" s="111">
        <v>12000</v>
      </c>
    </row>
    <row r="2653" spans="1:39" ht="15" customHeight="1" x14ac:dyDescent="0.25">
      <c r="A2653" s="1409"/>
      <c r="B2653" s="1409"/>
      <c r="C2653" s="1409"/>
      <c r="D2653" s="1409"/>
      <c r="E2653" s="1300"/>
      <c r="F2653" s="1248" t="s">
        <v>5586</v>
      </c>
      <c r="G2653" s="111"/>
      <c r="H2653" s="1249">
        <v>4</v>
      </c>
      <c r="I2653" s="111" t="s">
        <v>1721</v>
      </c>
      <c r="J2653" s="1321" t="s">
        <v>5608</v>
      </c>
      <c r="K2653" s="162" t="s">
        <v>5610</v>
      </c>
      <c r="L2653" s="162" t="s">
        <v>5609</v>
      </c>
      <c r="M2653" s="111">
        <v>4000</v>
      </c>
      <c r="N2653" s="111">
        <v>16000</v>
      </c>
      <c r="O2653" s="111"/>
      <c r="P2653" s="111"/>
      <c r="Q2653" s="111"/>
      <c r="R2653" s="111"/>
      <c r="S2653" s="1249">
        <v>2</v>
      </c>
      <c r="T2653" s="1250">
        <v>5333.333333333333</v>
      </c>
      <c r="U2653" s="1250"/>
      <c r="V2653" s="1250"/>
      <c r="W2653" s="1251">
        <v>1</v>
      </c>
      <c r="X2653" s="1250">
        <v>5333.333333333333</v>
      </c>
      <c r="Y2653" s="1250"/>
      <c r="Z2653" s="1250"/>
      <c r="AA2653" s="1250"/>
      <c r="AB2653" s="1250"/>
      <c r="AC2653" s="1250"/>
      <c r="AD2653" s="1250"/>
      <c r="AE2653" s="1249">
        <v>1</v>
      </c>
      <c r="AF2653" s="1250">
        <v>5333.333333333333</v>
      </c>
      <c r="AG2653" s="111"/>
      <c r="AH2653" s="111"/>
      <c r="AI2653" s="111"/>
      <c r="AJ2653" s="111"/>
      <c r="AK2653" s="111"/>
      <c r="AL2653" s="111"/>
      <c r="AM2653" s="111">
        <v>16000</v>
      </c>
    </row>
    <row r="2654" spans="1:39" ht="15" customHeight="1" x14ac:dyDescent="0.25">
      <c r="A2654" s="1409"/>
      <c r="B2654" s="1409"/>
      <c r="C2654" s="1409"/>
      <c r="D2654" s="1409"/>
      <c r="E2654" s="1300"/>
      <c r="F2654" s="1248" t="s">
        <v>5587</v>
      </c>
      <c r="G2654" s="111"/>
      <c r="H2654" s="1249">
        <v>1</v>
      </c>
      <c r="I2654" s="111" t="s">
        <v>1721</v>
      </c>
      <c r="J2654" s="1321" t="s">
        <v>5608</v>
      </c>
      <c r="K2654" s="162" t="s">
        <v>5610</v>
      </c>
      <c r="L2654" s="162" t="s">
        <v>5609</v>
      </c>
      <c r="M2654" s="111">
        <v>1804.9599999999998</v>
      </c>
      <c r="N2654" s="111">
        <v>1804.9599999999998</v>
      </c>
      <c r="O2654" s="111"/>
      <c r="P2654" s="111"/>
      <c r="Q2654" s="111"/>
      <c r="R2654" s="111"/>
      <c r="S2654" s="1249">
        <v>1</v>
      </c>
      <c r="T2654" s="1250">
        <v>601.65333333333331</v>
      </c>
      <c r="U2654" s="1250"/>
      <c r="V2654" s="1250"/>
      <c r="W2654" s="1251">
        <v>0</v>
      </c>
      <c r="X2654" s="1250">
        <v>601.65333333333331</v>
      </c>
      <c r="Y2654" s="1250"/>
      <c r="Z2654" s="1250"/>
      <c r="AA2654" s="1250"/>
      <c r="AB2654" s="1250"/>
      <c r="AC2654" s="1250"/>
      <c r="AD2654" s="1250"/>
      <c r="AE2654" s="1249">
        <v>0</v>
      </c>
      <c r="AF2654" s="1250">
        <v>601.65333333333331</v>
      </c>
      <c r="AG2654" s="111"/>
      <c r="AH2654" s="111"/>
      <c r="AI2654" s="111"/>
      <c r="AJ2654" s="111"/>
      <c r="AK2654" s="111"/>
      <c r="AL2654" s="111"/>
      <c r="AM2654" s="111">
        <v>1804.9599999999998</v>
      </c>
    </row>
    <row r="2655" spans="1:39" ht="15" customHeight="1" x14ac:dyDescent="0.25">
      <c r="A2655" s="1409"/>
      <c r="B2655" s="1409"/>
      <c r="C2655" s="1409"/>
      <c r="D2655" s="1409"/>
      <c r="E2655" s="1303"/>
      <c r="F2655" s="1248"/>
      <c r="G2655" s="111"/>
      <c r="H2655" s="1249"/>
      <c r="I2655" s="111"/>
      <c r="J2655" s="111"/>
      <c r="K2655" s="111"/>
      <c r="L2655" s="1084"/>
      <c r="M2655" s="111"/>
      <c r="N2655" s="111"/>
      <c r="O2655" s="111"/>
      <c r="P2655" s="111"/>
      <c r="Q2655" s="111"/>
      <c r="R2655" s="111"/>
      <c r="S2655" s="1249"/>
      <c r="T2655" s="1250"/>
      <c r="U2655" s="1250"/>
      <c r="V2655" s="1250"/>
      <c r="W2655" s="1251"/>
      <c r="X2655" s="1250"/>
      <c r="Y2655" s="1250"/>
      <c r="Z2655" s="1250"/>
      <c r="AA2655" s="1250"/>
      <c r="AB2655" s="1250"/>
      <c r="AC2655" s="1250"/>
      <c r="AD2655" s="1250"/>
      <c r="AE2655" s="1249"/>
      <c r="AF2655" s="1250"/>
      <c r="AG2655" s="111"/>
      <c r="AH2655" s="111"/>
      <c r="AI2655" s="111"/>
      <c r="AJ2655" s="111"/>
      <c r="AK2655" s="111"/>
      <c r="AL2655" s="111"/>
      <c r="AM2655" s="111"/>
    </row>
    <row r="2656" spans="1:39" ht="15" customHeight="1" x14ac:dyDescent="0.25">
      <c r="A2656" s="1409"/>
      <c r="B2656" s="1409"/>
      <c r="C2656" s="1409"/>
      <c r="D2656" s="1409"/>
      <c r="E2656" s="1304">
        <v>566</v>
      </c>
      <c r="F2656" s="1268" t="s">
        <v>2848</v>
      </c>
      <c r="G2656" s="1218"/>
      <c r="H2656" s="1218"/>
      <c r="I2656" s="1218"/>
      <c r="J2656" s="1218"/>
      <c r="K2656" s="1218"/>
      <c r="L2656" s="1218"/>
      <c r="M2656" s="1218"/>
      <c r="N2656" s="1218"/>
      <c r="O2656" s="1218"/>
      <c r="P2656" s="1218"/>
      <c r="Q2656" s="1218"/>
      <c r="R2656" s="1218"/>
      <c r="S2656" s="1218"/>
      <c r="T2656" s="1218"/>
      <c r="U2656" s="1218"/>
      <c r="V2656" s="1218"/>
      <c r="W2656" s="1218"/>
      <c r="X2656" s="1218"/>
      <c r="Y2656" s="1218"/>
      <c r="Z2656" s="1218"/>
      <c r="AA2656" s="1218"/>
      <c r="AB2656" s="1218"/>
      <c r="AC2656" s="1218"/>
      <c r="AD2656" s="1218"/>
      <c r="AE2656" s="1218"/>
      <c r="AF2656" s="1218"/>
      <c r="AG2656" s="1218"/>
      <c r="AH2656" s="1218"/>
      <c r="AI2656" s="1218"/>
      <c r="AJ2656" s="1218"/>
      <c r="AK2656" s="1218"/>
      <c r="AL2656" s="1218"/>
      <c r="AM2656" s="1218"/>
    </row>
    <row r="2657" spans="1:39" ht="15" customHeight="1" x14ac:dyDescent="0.25">
      <c r="A2657" s="1409"/>
      <c r="B2657" s="1409"/>
      <c r="C2657" s="1409"/>
      <c r="D2657" s="1409"/>
      <c r="E2657" s="1261">
        <v>56602</v>
      </c>
      <c r="F2657" s="1262" t="s">
        <v>5588</v>
      </c>
      <c r="G2657" s="1261"/>
      <c r="H2657" s="1261"/>
      <c r="I2657" s="1261"/>
      <c r="J2657" s="1261"/>
      <c r="K2657" s="1261"/>
      <c r="L2657" s="1261"/>
      <c r="M2657" s="1261"/>
      <c r="N2657" s="1261"/>
      <c r="O2657" s="1261"/>
      <c r="P2657" s="1261"/>
      <c r="Q2657" s="1261"/>
      <c r="R2657" s="1261"/>
      <c r="S2657" s="1261"/>
      <c r="T2657" s="1261"/>
      <c r="U2657" s="1261"/>
      <c r="V2657" s="1261"/>
      <c r="W2657" s="1261"/>
      <c r="X2657" s="1261"/>
      <c r="Y2657" s="1261"/>
      <c r="Z2657" s="1261"/>
      <c r="AA2657" s="1261"/>
      <c r="AB2657" s="1261"/>
      <c r="AC2657" s="1261"/>
      <c r="AD2657" s="1261"/>
      <c r="AE2657" s="1261"/>
      <c r="AF2657" s="1261"/>
      <c r="AG2657" s="1261"/>
      <c r="AH2657" s="1261"/>
      <c r="AI2657" s="1261"/>
      <c r="AJ2657" s="1261"/>
      <c r="AK2657" s="1261"/>
      <c r="AL2657" s="1261"/>
      <c r="AM2657" s="1261"/>
    </row>
    <row r="2658" spans="1:39" ht="15" customHeight="1" x14ac:dyDescent="0.25">
      <c r="A2658" s="1409"/>
      <c r="B2658" s="1409"/>
      <c r="C2658" s="1409"/>
      <c r="D2658" s="1409"/>
      <c r="E2658" s="1300"/>
      <c r="F2658" s="1248" t="s">
        <v>5589</v>
      </c>
      <c r="G2658" s="111"/>
      <c r="H2658" s="1249">
        <v>1</v>
      </c>
      <c r="I2658" s="111" t="s">
        <v>1721</v>
      </c>
      <c r="J2658" s="1321" t="s">
        <v>5608</v>
      </c>
      <c r="K2658" s="162" t="s">
        <v>5610</v>
      </c>
      <c r="L2658" s="162" t="s">
        <v>5609</v>
      </c>
      <c r="M2658" s="111">
        <v>5841.98</v>
      </c>
      <c r="N2658" s="111">
        <v>5841.98</v>
      </c>
      <c r="O2658" s="111"/>
      <c r="P2658" s="111"/>
      <c r="Q2658" s="111"/>
      <c r="R2658" s="111"/>
      <c r="S2658" s="1249">
        <v>1</v>
      </c>
      <c r="T2658" s="1250">
        <v>1947.3266666666666</v>
      </c>
      <c r="U2658" s="1250"/>
      <c r="V2658" s="1250"/>
      <c r="W2658" s="1251">
        <v>0</v>
      </c>
      <c r="X2658" s="1250">
        <v>1947.3266666666666</v>
      </c>
      <c r="Y2658" s="1250"/>
      <c r="Z2658" s="1250"/>
      <c r="AA2658" s="1250"/>
      <c r="AB2658" s="1250"/>
      <c r="AC2658" s="1250"/>
      <c r="AD2658" s="1250"/>
      <c r="AE2658" s="1249">
        <v>0</v>
      </c>
      <c r="AF2658" s="1250">
        <v>1947.3266666666666</v>
      </c>
      <c r="AG2658" s="111"/>
      <c r="AH2658" s="111"/>
      <c r="AI2658" s="111"/>
      <c r="AJ2658" s="111"/>
      <c r="AK2658" s="111"/>
      <c r="AL2658" s="111"/>
      <c r="AM2658" s="111">
        <v>5841.98</v>
      </c>
    </row>
    <row r="2659" spans="1:39" ht="15" customHeight="1" x14ac:dyDescent="0.25">
      <c r="A2659" s="1409"/>
      <c r="B2659" s="1409"/>
      <c r="C2659" s="1409"/>
      <c r="D2659" s="1409"/>
      <c r="E2659" s="1291"/>
      <c r="F2659" s="1248"/>
      <c r="G2659" s="111"/>
      <c r="H2659" s="1249"/>
      <c r="I2659" s="111"/>
      <c r="J2659" s="111"/>
      <c r="K2659" s="111"/>
      <c r="L2659" s="1084"/>
      <c r="M2659" s="111"/>
      <c r="N2659" s="111"/>
      <c r="O2659" s="111"/>
      <c r="P2659" s="111"/>
      <c r="Q2659" s="111"/>
      <c r="R2659" s="111"/>
      <c r="S2659" s="1249"/>
      <c r="T2659" s="1250"/>
      <c r="U2659" s="1250"/>
      <c r="V2659" s="1250"/>
      <c r="W2659" s="1251"/>
      <c r="X2659" s="1250"/>
      <c r="Y2659" s="1250"/>
      <c r="Z2659" s="1250"/>
      <c r="AA2659" s="1250"/>
      <c r="AB2659" s="1250"/>
      <c r="AC2659" s="1250"/>
      <c r="AD2659" s="1250"/>
      <c r="AE2659" s="1249"/>
      <c r="AF2659" s="1250"/>
      <c r="AG2659" s="111"/>
      <c r="AH2659" s="111"/>
      <c r="AI2659" s="111"/>
      <c r="AJ2659" s="111"/>
      <c r="AK2659" s="111"/>
      <c r="AL2659" s="111"/>
      <c r="AM2659" s="111"/>
    </row>
    <row r="2660" spans="1:39" ht="15" customHeight="1" x14ac:dyDescent="0.25">
      <c r="A2660" s="1409"/>
      <c r="B2660" s="1409"/>
      <c r="C2660" s="1409"/>
      <c r="D2660" s="1409"/>
      <c r="E2660" s="1273">
        <v>56604</v>
      </c>
      <c r="F2660" s="1272" t="s">
        <v>2849</v>
      </c>
      <c r="G2660" s="1273"/>
      <c r="H2660" s="1273"/>
      <c r="I2660" s="1273"/>
      <c r="J2660" s="1273"/>
      <c r="K2660" s="1273"/>
      <c r="L2660" s="1273"/>
      <c r="M2660" s="1273"/>
      <c r="N2660" s="1273"/>
      <c r="O2660" s="1273"/>
      <c r="P2660" s="1273"/>
      <c r="Q2660" s="1273"/>
      <c r="R2660" s="1273"/>
      <c r="S2660" s="1273"/>
      <c r="T2660" s="1273"/>
      <c r="U2660" s="1273"/>
      <c r="V2660" s="1273"/>
      <c r="W2660" s="1273"/>
      <c r="X2660" s="1273"/>
      <c r="Y2660" s="1273"/>
      <c r="Z2660" s="1273"/>
      <c r="AA2660" s="1273"/>
      <c r="AB2660" s="1273"/>
      <c r="AC2660" s="1273"/>
      <c r="AD2660" s="1273"/>
      <c r="AE2660" s="1273"/>
      <c r="AF2660" s="1273"/>
      <c r="AG2660" s="1273"/>
      <c r="AH2660" s="1273"/>
      <c r="AI2660" s="1273"/>
      <c r="AJ2660" s="1273"/>
      <c r="AK2660" s="1273"/>
      <c r="AL2660" s="1273"/>
      <c r="AM2660" s="1273"/>
    </row>
    <row r="2661" spans="1:39" ht="15" customHeight="1" x14ac:dyDescent="0.25">
      <c r="A2661" s="1409"/>
      <c r="B2661" s="1409"/>
      <c r="C2661" s="1409"/>
      <c r="D2661" s="1409"/>
      <c r="E2661" s="1300"/>
      <c r="F2661" s="1248" t="s">
        <v>5590</v>
      </c>
      <c r="G2661" s="111"/>
      <c r="H2661" s="1249">
        <v>2</v>
      </c>
      <c r="I2661" s="111" t="s">
        <v>1721</v>
      </c>
      <c r="J2661" s="1321" t="s">
        <v>5608</v>
      </c>
      <c r="K2661" s="162" t="s">
        <v>5610</v>
      </c>
      <c r="L2661" s="162" t="s">
        <v>5609</v>
      </c>
      <c r="M2661" s="111">
        <v>38622.32</v>
      </c>
      <c r="N2661" s="111">
        <v>77244.639999999999</v>
      </c>
      <c r="O2661" s="111"/>
      <c r="P2661" s="111"/>
      <c r="Q2661" s="111"/>
      <c r="R2661" s="111"/>
      <c r="S2661" s="1249">
        <v>2</v>
      </c>
      <c r="T2661" s="1250">
        <v>25748.213333333333</v>
      </c>
      <c r="U2661" s="1250"/>
      <c r="V2661" s="1250"/>
      <c r="W2661" s="1251">
        <v>0</v>
      </c>
      <c r="X2661" s="1250">
        <v>25748.213333333333</v>
      </c>
      <c r="Y2661" s="1250"/>
      <c r="Z2661" s="1250"/>
      <c r="AA2661" s="1250"/>
      <c r="AB2661" s="1250"/>
      <c r="AC2661" s="1250"/>
      <c r="AD2661" s="1250"/>
      <c r="AE2661" s="1249">
        <v>0</v>
      </c>
      <c r="AF2661" s="1250">
        <v>25748.213333333333</v>
      </c>
      <c r="AG2661" s="111"/>
      <c r="AH2661" s="111"/>
      <c r="AI2661" s="111"/>
      <c r="AJ2661" s="111"/>
      <c r="AK2661" s="111"/>
      <c r="AL2661" s="111"/>
      <c r="AM2661" s="111">
        <v>77244.639999999999</v>
      </c>
    </row>
    <row r="2662" spans="1:39" ht="15" customHeight="1" x14ac:dyDescent="0.25">
      <c r="A2662" s="1409"/>
      <c r="B2662" s="1409"/>
      <c r="C2662" s="1409"/>
      <c r="D2662" s="1409"/>
      <c r="E2662" s="1300"/>
      <c r="F2662" s="1248"/>
      <c r="G2662" s="111"/>
      <c r="H2662" s="1249"/>
      <c r="I2662" s="111"/>
      <c r="J2662" s="111"/>
      <c r="K2662" s="111"/>
      <c r="L2662" s="1084"/>
      <c r="M2662" s="111"/>
      <c r="N2662" s="111"/>
      <c r="O2662" s="111"/>
      <c r="P2662" s="111"/>
      <c r="Q2662" s="111"/>
      <c r="R2662" s="111"/>
      <c r="S2662" s="1249"/>
      <c r="T2662" s="1250"/>
      <c r="U2662" s="1250"/>
      <c r="V2662" s="1250"/>
      <c r="W2662" s="1251"/>
      <c r="X2662" s="1250"/>
      <c r="Y2662" s="1250"/>
      <c r="Z2662" s="1250"/>
      <c r="AA2662" s="1250"/>
      <c r="AB2662" s="1250"/>
      <c r="AC2662" s="1250"/>
      <c r="AD2662" s="1250"/>
      <c r="AE2662" s="1249"/>
      <c r="AF2662" s="1250"/>
      <c r="AG2662" s="111"/>
      <c r="AH2662" s="111"/>
      <c r="AI2662" s="111"/>
      <c r="AJ2662" s="111"/>
      <c r="AK2662" s="111"/>
      <c r="AL2662" s="111"/>
      <c r="AM2662" s="111"/>
    </row>
    <row r="2663" spans="1:39" ht="15" customHeight="1" x14ac:dyDescent="0.25">
      <c r="A2663" s="1409"/>
      <c r="B2663" s="1409"/>
      <c r="C2663" s="1409"/>
      <c r="D2663" s="1409"/>
      <c r="E2663" s="1304">
        <v>56700</v>
      </c>
      <c r="F2663" s="1268" t="s">
        <v>5591</v>
      </c>
      <c r="G2663" s="1218"/>
      <c r="H2663" s="1218"/>
      <c r="I2663" s="1218"/>
      <c r="J2663" s="1218"/>
      <c r="K2663" s="1218"/>
      <c r="L2663" s="1218"/>
      <c r="M2663" s="1218"/>
      <c r="N2663" s="1218"/>
      <c r="O2663" s="1218"/>
      <c r="P2663" s="1218"/>
      <c r="Q2663" s="1218"/>
      <c r="R2663" s="1218"/>
      <c r="S2663" s="1218"/>
      <c r="T2663" s="1218"/>
      <c r="U2663" s="1218"/>
      <c r="V2663" s="1218"/>
      <c r="W2663" s="1218"/>
      <c r="X2663" s="1218"/>
      <c r="Y2663" s="1218"/>
      <c r="Z2663" s="1218"/>
      <c r="AA2663" s="1218"/>
      <c r="AB2663" s="1218"/>
      <c r="AC2663" s="1218"/>
      <c r="AD2663" s="1218"/>
      <c r="AE2663" s="1218"/>
      <c r="AF2663" s="1218"/>
      <c r="AG2663" s="1218"/>
      <c r="AH2663" s="1218"/>
      <c r="AI2663" s="1218"/>
      <c r="AJ2663" s="1218"/>
      <c r="AK2663" s="1218"/>
      <c r="AL2663" s="1218"/>
      <c r="AM2663" s="1218"/>
    </row>
    <row r="2664" spans="1:39" ht="15" customHeight="1" x14ac:dyDescent="0.25">
      <c r="A2664" s="1409"/>
      <c r="B2664" s="1409"/>
      <c r="C2664" s="1409"/>
      <c r="D2664" s="1409"/>
      <c r="E2664" s="1261">
        <v>56704</v>
      </c>
      <c r="F2664" s="1262" t="s">
        <v>5591</v>
      </c>
      <c r="G2664" s="1261"/>
      <c r="H2664" s="1261"/>
      <c r="I2664" s="1261"/>
      <c r="J2664" s="1261"/>
      <c r="K2664" s="1261"/>
      <c r="L2664" s="1261"/>
      <c r="M2664" s="1261"/>
      <c r="N2664" s="1261"/>
      <c r="O2664" s="1261"/>
      <c r="P2664" s="1261"/>
      <c r="Q2664" s="1261"/>
      <c r="R2664" s="1261"/>
      <c r="S2664" s="1261"/>
      <c r="T2664" s="1261"/>
      <c r="U2664" s="1261"/>
      <c r="V2664" s="1261"/>
      <c r="W2664" s="1261"/>
      <c r="X2664" s="1261"/>
      <c r="Y2664" s="1261"/>
      <c r="Z2664" s="1261"/>
      <c r="AA2664" s="1261"/>
      <c r="AB2664" s="1261"/>
      <c r="AC2664" s="1261"/>
      <c r="AD2664" s="1261"/>
      <c r="AE2664" s="1261"/>
      <c r="AF2664" s="1261"/>
      <c r="AG2664" s="1261"/>
      <c r="AH2664" s="1261"/>
      <c r="AI2664" s="1261"/>
      <c r="AJ2664" s="1261"/>
      <c r="AK2664" s="1261"/>
      <c r="AL2664" s="1261"/>
      <c r="AM2664" s="1261"/>
    </row>
    <row r="2665" spans="1:39" ht="15" customHeight="1" x14ac:dyDescent="0.25">
      <c r="A2665" s="1409"/>
      <c r="B2665" s="1409"/>
      <c r="C2665" s="1409"/>
      <c r="D2665" s="1409"/>
      <c r="E2665" s="1305"/>
      <c r="F2665" s="1248" t="s">
        <v>5592</v>
      </c>
      <c r="G2665" s="111"/>
      <c r="H2665" s="1249">
        <v>1</v>
      </c>
      <c r="I2665" s="111" t="s">
        <v>1721</v>
      </c>
      <c r="J2665" s="1321" t="s">
        <v>5608</v>
      </c>
      <c r="K2665" s="162" t="s">
        <v>5610</v>
      </c>
      <c r="L2665" s="162" t="s">
        <v>5609</v>
      </c>
      <c r="M2665" s="111">
        <v>32108.6</v>
      </c>
      <c r="N2665" s="111">
        <v>32108.6</v>
      </c>
      <c r="O2665" s="111"/>
      <c r="P2665" s="111"/>
      <c r="Q2665" s="111"/>
      <c r="R2665" s="111"/>
      <c r="S2665" s="1249">
        <v>1</v>
      </c>
      <c r="T2665" s="1250">
        <v>10702.866666666667</v>
      </c>
      <c r="U2665" s="1250"/>
      <c r="V2665" s="1250"/>
      <c r="W2665" s="1251">
        <v>0</v>
      </c>
      <c r="X2665" s="1250">
        <v>10702.866666666667</v>
      </c>
      <c r="Y2665" s="1250"/>
      <c r="Z2665" s="1250"/>
      <c r="AA2665" s="1250"/>
      <c r="AB2665" s="1250"/>
      <c r="AC2665" s="1250"/>
      <c r="AD2665" s="1250"/>
      <c r="AE2665" s="1249">
        <v>0</v>
      </c>
      <c r="AF2665" s="1250">
        <v>10702.866666666667</v>
      </c>
      <c r="AG2665" s="111"/>
      <c r="AH2665" s="111"/>
      <c r="AI2665" s="111"/>
      <c r="AJ2665" s="111"/>
      <c r="AK2665" s="111"/>
      <c r="AL2665" s="111"/>
      <c r="AM2665" s="111">
        <v>32108.6</v>
      </c>
    </row>
    <row r="2666" spans="1:39" ht="15" customHeight="1" x14ac:dyDescent="0.25">
      <c r="A2666" s="1409"/>
      <c r="B2666" s="1409"/>
      <c r="C2666" s="1409"/>
      <c r="D2666" s="1409"/>
      <c r="E2666" s="1305"/>
      <c r="F2666" s="1248" t="s">
        <v>3365</v>
      </c>
      <c r="G2666" s="111"/>
      <c r="H2666" s="1249">
        <v>1</v>
      </c>
      <c r="I2666" s="111" t="s">
        <v>1721</v>
      </c>
      <c r="J2666" s="1321" t="s">
        <v>5608</v>
      </c>
      <c r="K2666" s="162" t="s">
        <v>5610</v>
      </c>
      <c r="L2666" s="162" t="s">
        <v>5609</v>
      </c>
      <c r="M2666" s="111">
        <v>3156</v>
      </c>
      <c r="N2666" s="111">
        <v>3156</v>
      </c>
      <c r="O2666" s="111"/>
      <c r="P2666" s="111"/>
      <c r="Q2666" s="111"/>
      <c r="R2666" s="111"/>
      <c r="S2666" s="1249">
        <v>1</v>
      </c>
      <c r="T2666" s="1250">
        <v>1052</v>
      </c>
      <c r="U2666" s="1250"/>
      <c r="V2666" s="1250"/>
      <c r="W2666" s="1251">
        <v>0</v>
      </c>
      <c r="X2666" s="1250">
        <v>1052</v>
      </c>
      <c r="Y2666" s="1250"/>
      <c r="Z2666" s="1250"/>
      <c r="AA2666" s="1250"/>
      <c r="AB2666" s="1250"/>
      <c r="AC2666" s="1250"/>
      <c r="AD2666" s="1250"/>
      <c r="AE2666" s="1249">
        <v>0</v>
      </c>
      <c r="AF2666" s="1250">
        <v>1052</v>
      </c>
      <c r="AG2666" s="111"/>
      <c r="AH2666" s="111"/>
      <c r="AI2666" s="111"/>
      <c r="AJ2666" s="111"/>
      <c r="AK2666" s="111"/>
      <c r="AL2666" s="111"/>
      <c r="AM2666" s="111">
        <v>3156</v>
      </c>
    </row>
    <row r="2667" spans="1:39" ht="15" customHeight="1" x14ac:dyDescent="0.25">
      <c r="A2667" s="1409"/>
      <c r="B2667" s="1409"/>
      <c r="C2667" s="1409"/>
      <c r="D2667" s="1409"/>
      <c r="E2667" s="1305"/>
      <c r="F2667" s="1248" t="s">
        <v>5593</v>
      </c>
      <c r="G2667" s="111"/>
      <c r="H2667" s="1249">
        <v>1</v>
      </c>
      <c r="I2667" s="111" t="s">
        <v>1721</v>
      </c>
      <c r="J2667" s="1321" t="s">
        <v>5608</v>
      </c>
      <c r="K2667" s="162" t="s">
        <v>5610</v>
      </c>
      <c r="L2667" s="162" t="s">
        <v>5609</v>
      </c>
      <c r="M2667" s="111">
        <v>17226.000000000004</v>
      </c>
      <c r="N2667" s="111">
        <v>17226.000000000004</v>
      </c>
      <c r="O2667" s="111"/>
      <c r="P2667" s="111"/>
      <c r="Q2667" s="111"/>
      <c r="R2667" s="111"/>
      <c r="S2667" s="1249">
        <v>1</v>
      </c>
      <c r="T2667" s="1250">
        <v>5742.0000000000009</v>
      </c>
      <c r="U2667" s="1250"/>
      <c r="V2667" s="1250"/>
      <c r="W2667" s="1251">
        <v>0</v>
      </c>
      <c r="X2667" s="1250">
        <v>5742.0000000000009</v>
      </c>
      <c r="Y2667" s="1250"/>
      <c r="Z2667" s="1250"/>
      <c r="AA2667" s="1250"/>
      <c r="AB2667" s="1250"/>
      <c r="AC2667" s="1250"/>
      <c r="AD2667" s="1250"/>
      <c r="AE2667" s="1249">
        <v>0</v>
      </c>
      <c r="AF2667" s="1250">
        <v>5742.0000000000009</v>
      </c>
      <c r="AG2667" s="111"/>
      <c r="AH2667" s="111"/>
      <c r="AI2667" s="111"/>
      <c r="AJ2667" s="111"/>
      <c r="AK2667" s="111"/>
      <c r="AL2667" s="111"/>
      <c r="AM2667" s="111">
        <v>17226.000000000004</v>
      </c>
    </row>
    <row r="2668" spans="1:39" ht="15" customHeight="1" x14ac:dyDescent="0.25">
      <c r="A2668" s="1409"/>
      <c r="B2668" s="1409"/>
      <c r="C2668" s="1409"/>
      <c r="D2668" s="1409"/>
      <c r="E2668" s="1305"/>
      <c r="F2668" s="1248" t="s">
        <v>5594</v>
      </c>
      <c r="G2668" s="111"/>
      <c r="H2668" s="1249">
        <v>1</v>
      </c>
      <c r="I2668" s="111" t="s">
        <v>1721</v>
      </c>
      <c r="J2668" s="1321" t="s">
        <v>5608</v>
      </c>
      <c r="K2668" s="162" t="s">
        <v>5610</v>
      </c>
      <c r="L2668" s="162" t="s">
        <v>5609</v>
      </c>
      <c r="M2668" s="111">
        <v>2652.8040000000001</v>
      </c>
      <c r="N2668" s="111">
        <v>2652.8040000000001</v>
      </c>
      <c r="O2668" s="111"/>
      <c r="P2668" s="111"/>
      <c r="Q2668" s="111"/>
      <c r="R2668" s="111"/>
      <c r="S2668" s="1249">
        <v>1</v>
      </c>
      <c r="T2668" s="1250">
        <v>884.26800000000003</v>
      </c>
      <c r="U2668" s="1250"/>
      <c r="V2668" s="1250"/>
      <c r="W2668" s="1251">
        <v>0</v>
      </c>
      <c r="X2668" s="1250">
        <v>884.26800000000003</v>
      </c>
      <c r="Y2668" s="1250"/>
      <c r="Z2668" s="1250"/>
      <c r="AA2668" s="1250"/>
      <c r="AB2668" s="1250"/>
      <c r="AC2668" s="1250"/>
      <c r="AD2668" s="1250"/>
      <c r="AE2668" s="1249">
        <v>0</v>
      </c>
      <c r="AF2668" s="1250">
        <v>884.26800000000003</v>
      </c>
      <c r="AG2668" s="111"/>
      <c r="AH2668" s="111"/>
      <c r="AI2668" s="111"/>
      <c r="AJ2668" s="111"/>
      <c r="AK2668" s="111"/>
      <c r="AL2668" s="111"/>
      <c r="AM2668" s="111">
        <v>2652.8040000000001</v>
      </c>
    </row>
    <row r="2669" spans="1:39" ht="15" customHeight="1" x14ac:dyDescent="0.25">
      <c r="A2669" s="1409"/>
      <c r="B2669" s="1409"/>
      <c r="C2669" s="1409"/>
      <c r="D2669" s="1409"/>
      <c r="E2669" s="1305"/>
      <c r="F2669" s="1248" t="s">
        <v>5595</v>
      </c>
      <c r="G2669" s="111"/>
      <c r="H2669" s="1249">
        <v>2</v>
      </c>
      <c r="I2669" s="111" t="s">
        <v>1721</v>
      </c>
      <c r="J2669" s="1321" t="s">
        <v>5608</v>
      </c>
      <c r="K2669" s="162" t="s">
        <v>5610</v>
      </c>
      <c r="L2669" s="162" t="s">
        <v>5609</v>
      </c>
      <c r="M2669" s="111">
        <v>2335.8456000000006</v>
      </c>
      <c r="N2669" s="111">
        <v>4671.6912000000011</v>
      </c>
      <c r="O2669" s="111"/>
      <c r="P2669" s="111"/>
      <c r="Q2669" s="111"/>
      <c r="R2669" s="111"/>
      <c r="S2669" s="1249">
        <v>2</v>
      </c>
      <c r="T2669" s="1250">
        <v>1557.2304000000004</v>
      </c>
      <c r="U2669" s="1250"/>
      <c r="V2669" s="1250"/>
      <c r="W2669" s="1251">
        <v>0</v>
      </c>
      <c r="X2669" s="1250">
        <v>1557.2304000000004</v>
      </c>
      <c r="Y2669" s="1250"/>
      <c r="Z2669" s="1250"/>
      <c r="AA2669" s="1250"/>
      <c r="AB2669" s="1250"/>
      <c r="AC2669" s="1250"/>
      <c r="AD2669" s="1250"/>
      <c r="AE2669" s="1249">
        <v>0</v>
      </c>
      <c r="AF2669" s="1250">
        <v>1557.2304000000004</v>
      </c>
      <c r="AG2669" s="111"/>
      <c r="AH2669" s="111"/>
      <c r="AI2669" s="111"/>
      <c r="AJ2669" s="111"/>
      <c r="AK2669" s="111"/>
      <c r="AL2669" s="111"/>
      <c r="AM2669" s="111">
        <v>4671.6912000000011</v>
      </c>
    </row>
    <row r="2670" spans="1:39" ht="15" customHeight="1" x14ac:dyDescent="0.25">
      <c r="A2670" s="1409"/>
      <c r="B2670" s="1409"/>
      <c r="C2670" s="1409"/>
      <c r="D2670" s="1409"/>
      <c r="E2670" s="1305"/>
      <c r="F2670" s="1248" t="s">
        <v>5596</v>
      </c>
      <c r="G2670" s="111"/>
      <c r="H2670" s="1249">
        <v>1</v>
      </c>
      <c r="I2670" s="111" t="s">
        <v>1721</v>
      </c>
      <c r="J2670" s="1321" t="s">
        <v>5608</v>
      </c>
      <c r="K2670" s="162" t="s">
        <v>5610</v>
      </c>
      <c r="L2670" s="162" t="s">
        <v>5609</v>
      </c>
      <c r="M2670" s="111">
        <v>661.47839999999997</v>
      </c>
      <c r="N2670" s="111">
        <v>661.47839999999997</v>
      </c>
      <c r="O2670" s="111"/>
      <c r="P2670" s="111"/>
      <c r="Q2670" s="111"/>
      <c r="R2670" s="111"/>
      <c r="S2670" s="1249">
        <v>1</v>
      </c>
      <c r="T2670" s="1250">
        <v>220.49279999999999</v>
      </c>
      <c r="U2670" s="1250"/>
      <c r="V2670" s="1250"/>
      <c r="W2670" s="1251">
        <v>0</v>
      </c>
      <c r="X2670" s="1250">
        <v>220.49279999999999</v>
      </c>
      <c r="Y2670" s="1250"/>
      <c r="Z2670" s="1250"/>
      <c r="AA2670" s="1250"/>
      <c r="AB2670" s="1250"/>
      <c r="AC2670" s="1250"/>
      <c r="AD2670" s="1250"/>
      <c r="AE2670" s="1249">
        <v>0</v>
      </c>
      <c r="AF2670" s="1250">
        <v>220.49279999999999</v>
      </c>
      <c r="AG2670" s="111"/>
      <c r="AH2670" s="111"/>
      <c r="AI2670" s="111"/>
      <c r="AJ2670" s="111"/>
      <c r="AK2670" s="111"/>
      <c r="AL2670" s="111"/>
      <c r="AM2670" s="111">
        <v>661.47839999999997</v>
      </c>
    </row>
    <row r="2671" spans="1:39" ht="15" customHeight="1" x14ac:dyDescent="0.25">
      <c r="A2671" s="1409"/>
      <c r="B2671" s="1409"/>
      <c r="C2671" s="1409"/>
      <c r="D2671" s="1409"/>
      <c r="E2671" s="1305"/>
      <c r="F2671" s="1248" t="s">
        <v>1646</v>
      </c>
      <c r="G2671" s="111"/>
      <c r="H2671" s="1249">
        <v>2</v>
      </c>
      <c r="I2671" s="111" t="s">
        <v>1725</v>
      </c>
      <c r="J2671" s="1321" t="s">
        <v>5608</v>
      </c>
      <c r="K2671" s="162" t="s">
        <v>5610</v>
      </c>
      <c r="L2671" s="162" t="s">
        <v>5609</v>
      </c>
      <c r="M2671" s="111">
        <v>799.28639999999996</v>
      </c>
      <c r="N2671" s="111">
        <v>1598.5727999999999</v>
      </c>
      <c r="O2671" s="111"/>
      <c r="P2671" s="111"/>
      <c r="Q2671" s="111"/>
      <c r="R2671" s="111"/>
      <c r="S2671" s="1249">
        <v>2</v>
      </c>
      <c r="T2671" s="1250">
        <v>532.85759999999993</v>
      </c>
      <c r="U2671" s="1250"/>
      <c r="V2671" s="1250"/>
      <c r="W2671" s="1251">
        <v>0</v>
      </c>
      <c r="X2671" s="1250">
        <v>532.85759999999993</v>
      </c>
      <c r="Y2671" s="1250"/>
      <c r="Z2671" s="1250"/>
      <c r="AA2671" s="1250"/>
      <c r="AB2671" s="1250"/>
      <c r="AC2671" s="1250"/>
      <c r="AD2671" s="1250"/>
      <c r="AE2671" s="1249">
        <v>0</v>
      </c>
      <c r="AF2671" s="1250">
        <v>532.85759999999993</v>
      </c>
      <c r="AG2671" s="111"/>
      <c r="AH2671" s="111"/>
      <c r="AI2671" s="111"/>
      <c r="AJ2671" s="111"/>
      <c r="AK2671" s="111"/>
      <c r="AL2671" s="111"/>
      <c r="AM2671" s="111">
        <v>1598.5727999999999</v>
      </c>
    </row>
    <row r="2672" spans="1:39" ht="15" customHeight="1" x14ac:dyDescent="0.25">
      <c r="A2672" s="1409"/>
      <c r="B2672" s="1409"/>
      <c r="C2672" s="1409"/>
      <c r="D2672" s="1409"/>
      <c r="E2672" s="1305"/>
      <c r="F2672" s="1248" t="s">
        <v>5597</v>
      </c>
      <c r="G2672" s="111"/>
      <c r="H2672" s="1249">
        <v>1</v>
      </c>
      <c r="I2672" s="111" t="s">
        <v>1721</v>
      </c>
      <c r="J2672" s="1321" t="s">
        <v>5608</v>
      </c>
      <c r="K2672" s="162" t="s">
        <v>5610</v>
      </c>
      <c r="L2672" s="162" t="s">
        <v>5609</v>
      </c>
      <c r="M2672" s="111">
        <v>1485</v>
      </c>
      <c r="N2672" s="111">
        <v>1485</v>
      </c>
      <c r="O2672" s="111"/>
      <c r="P2672" s="111"/>
      <c r="Q2672" s="111"/>
      <c r="R2672" s="111"/>
      <c r="S2672" s="1249">
        <v>1</v>
      </c>
      <c r="T2672" s="1250">
        <v>495</v>
      </c>
      <c r="U2672" s="1250"/>
      <c r="V2672" s="1250"/>
      <c r="W2672" s="1251">
        <v>0</v>
      </c>
      <c r="X2672" s="1250">
        <v>495</v>
      </c>
      <c r="Y2672" s="1250"/>
      <c r="Z2672" s="1250"/>
      <c r="AA2672" s="1250"/>
      <c r="AB2672" s="1250"/>
      <c r="AC2672" s="1250"/>
      <c r="AD2672" s="1250"/>
      <c r="AE2672" s="1249">
        <v>0</v>
      </c>
      <c r="AF2672" s="1250">
        <v>495</v>
      </c>
      <c r="AG2672" s="111"/>
      <c r="AH2672" s="111"/>
      <c r="AI2672" s="111"/>
      <c r="AJ2672" s="111"/>
      <c r="AK2672" s="111"/>
      <c r="AL2672" s="111"/>
      <c r="AM2672" s="111">
        <v>1485</v>
      </c>
    </row>
    <row r="2673" spans="1:40" ht="15" customHeight="1" x14ac:dyDescent="0.25">
      <c r="A2673" s="1409"/>
      <c r="B2673" s="1409"/>
      <c r="C2673" s="1409"/>
      <c r="D2673" s="1409"/>
      <c r="E2673" s="1305"/>
      <c r="F2673" s="1248" t="s">
        <v>5598</v>
      </c>
      <c r="G2673" s="111"/>
      <c r="H2673" s="1249">
        <v>1</v>
      </c>
      <c r="I2673" s="111" t="s">
        <v>1721</v>
      </c>
      <c r="J2673" s="1321" t="s">
        <v>5608</v>
      </c>
      <c r="K2673" s="162" t="s">
        <v>5610</v>
      </c>
      <c r="L2673" s="162" t="s">
        <v>5609</v>
      </c>
      <c r="M2673" s="111">
        <v>25494.48</v>
      </c>
      <c r="N2673" s="111">
        <v>25494.48</v>
      </c>
      <c r="O2673" s="111"/>
      <c r="P2673" s="111"/>
      <c r="Q2673" s="111"/>
      <c r="R2673" s="111"/>
      <c r="S2673" s="1249">
        <v>1</v>
      </c>
      <c r="T2673" s="1250">
        <v>8498.16</v>
      </c>
      <c r="U2673" s="1250"/>
      <c r="V2673" s="1250"/>
      <c r="W2673" s="1251">
        <v>0</v>
      </c>
      <c r="X2673" s="1250">
        <v>8498.16</v>
      </c>
      <c r="Y2673" s="1250"/>
      <c r="Z2673" s="1250"/>
      <c r="AA2673" s="1250"/>
      <c r="AB2673" s="1250"/>
      <c r="AC2673" s="1250"/>
      <c r="AD2673" s="1250"/>
      <c r="AE2673" s="1249">
        <v>0</v>
      </c>
      <c r="AF2673" s="1250">
        <v>8498.16</v>
      </c>
      <c r="AG2673" s="111"/>
      <c r="AH2673" s="111"/>
      <c r="AI2673" s="111"/>
      <c r="AJ2673" s="111"/>
      <c r="AK2673" s="111"/>
      <c r="AL2673" s="111"/>
      <c r="AM2673" s="111">
        <v>25494.48</v>
      </c>
    </row>
    <row r="2674" spans="1:40" ht="15" customHeight="1" x14ac:dyDescent="0.25">
      <c r="A2674" s="1409"/>
      <c r="B2674" s="1409"/>
      <c r="C2674" s="1409"/>
      <c r="D2674" s="1409"/>
      <c r="E2674" s="1305"/>
      <c r="F2674" s="1248" t="s">
        <v>5599</v>
      </c>
      <c r="G2674" s="111"/>
      <c r="H2674" s="1249">
        <v>1</v>
      </c>
      <c r="I2674" s="111" t="s">
        <v>1721</v>
      </c>
      <c r="J2674" s="1321" t="s">
        <v>5608</v>
      </c>
      <c r="K2674" s="162" t="s">
        <v>5610</v>
      </c>
      <c r="L2674" s="162" t="s">
        <v>5609</v>
      </c>
      <c r="M2674" s="111">
        <v>7786.152000000001</v>
      </c>
      <c r="N2674" s="111">
        <v>7786.152000000001</v>
      </c>
      <c r="O2674" s="111"/>
      <c r="P2674" s="111"/>
      <c r="Q2674" s="111"/>
      <c r="R2674" s="111"/>
      <c r="S2674" s="1249">
        <v>1</v>
      </c>
      <c r="T2674" s="1250">
        <v>2595.3840000000005</v>
      </c>
      <c r="U2674" s="1250"/>
      <c r="V2674" s="1250"/>
      <c r="W2674" s="1251">
        <v>0</v>
      </c>
      <c r="X2674" s="1250">
        <v>2595.3840000000005</v>
      </c>
      <c r="Y2674" s="1250"/>
      <c r="Z2674" s="1250"/>
      <c r="AA2674" s="1250"/>
      <c r="AB2674" s="1250"/>
      <c r="AC2674" s="1250"/>
      <c r="AD2674" s="1250"/>
      <c r="AE2674" s="1249">
        <v>0</v>
      </c>
      <c r="AF2674" s="1250">
        <v>2595.3840000000005</v>
      </c>
      <c r="AG2674" s="111"/>
      <c r="AH2674" s="111"/>
      <c r="AI2674" s="111"/>
      <c r="AJ2674" s="111"/>
      <c r="AK2674" s="111"/>
      <c r="AL2674" s="111"/>
      <c r="AM2674" s="111">
        <v>7786.152000000001</v>
      </c>
    </row>
    <row r="2675" spans="1:40" ht="15" customHeight="1" x14ac:dyDescent="0.25">
      <c r="A2675" s="1409"/>
      <c r="B2675" s="1409"/>
      <c r="C2675" s="1409"/>
      <c r="D2675" s="1409"/>
      <c r="E2675" s="1305"/>
      <c r="F2675" s="1248" t="s">
        <v>5600</v>
      </c>
      <c r="G2675" s="111"/>
      <c r="H2675" s="1249">
        <v>2</v>
      </c>
      <c r="I2675" s="111" t="s">
        <v>1721</v>
      </c>
      <c r="J2675" s="1321" t="s">
        <v>5608</v>
      </c>
      <c r="K2675" s="162" t="s">
        <v>5610</v>
      </c>
      <c r="L2675" s="162" t="s">
        <v>5609</v>
      </c>
      <c r="M2675" s="111">
        <v>2500</v>
      </c>
      <c r="N2675" s="111">
        <v>5000</v>
      </c>
      <c r="O2675" s="111"/>
      <c r="P2675" s="111"/>
      <c r="Q2675" s="111"/>
      <c r="R2675" s="111"/>
      <c r="S2675" s="1249">
        <v>2</v>
      </c>
      <c r="T2675" s="1250">
        <v>1666.6666666666667</v>
      </c>
      <c r="U2675" s="1250"/>
      <c r="V2675" s="1250"/>
      <c r="W2675" s="1251">
        <v>0</v>
      </c>
      <c r="X2675" s="1250">
        <v>1666.6666666666667</v>
      </c>
      <c r="Y2675" s="1250"/>
      <c r="Z2675" s="1250"/>
      <c r="AA2675" s="1250"/>
      <c r="AB2675" s="1250"/>
      <c r="AC2675" s="1250"/>
      <c r="AD2675" s="1250"/>
      <c r="AE2675" s="1249">
        <v>0</v>
      </c>
      <c r="AF2675" s="1250">
        <v>1666.6666666666667</v>
      </c>
      <c r="AG2675" s="111"/>
      <c r="AH2675" s="111"/>
      <c r="AI2675" s="111"/>
      <c r="AJ2675" s="111"/>
      <c r="AK2675" s="111"/>
      <c r="AL2675" s="111"/>
      <c r="AM2675" s="111">
        <v>5000</v>
      </c>
    </row>
    <row r="2676" spans="1:40" ht="15" customHeight="1" x14ac:dyDescent="0.25">
      <c r="A2676" s="1409"/>
      <c r="B2676" s="1409"/>
      <c r="C2676" s="1409"/>
      <c r="D2676" s="1409"/>
      <c r="E2676" s="1304">
        <v>569</v>
      </c>
      <c r="F2676" s="1268" t="s">
        <v>2466</v>
      </c>
      <c r="G2676" s="1218"/>
      <c r="H2676" s="1218"/>
      <c r="I2676" s="1218"/>
      <c r="J2676" s="1218"/>
      <c r="K2676" s="1218"/>
      <c r="L2676" s="1218"/>
      <c r="M2676" s="1218"/>
      <c r="N2676" s="1218"/>
      <c r="O2676" s="1218"/>
      <c r="P2676" s="1218"/>
      <c r="Q2676" s="1218"/>
      <c r="R2676" s="1218"/>
      <c r="S2676" s="1218"/>
      <c r="T2676" s="1218"/>
      <c r="U2676" s="1218"/>
      <c r="V2676" s="1218"/>
      <c r="W2676" s="1218"/>
      <c r="X2676" s="1218"/>
      <c r="Y2676" s="1218"/>
      <c r="Z2676" s="1218"/>
      <c r="AA2676" s="1218"/>
      <c r="AB2676" s="1218"/>
      <c r="AC2676" s="1218"/>
      <c r="AD2676" s="1218"/>
      <c r="AE2676" s="1218"/>
      <c r="AF2676" s="1218"/>
      <c r="AG2676" s="1218"/>
      <c r="AH2676" s="1218"/>
      <c r="AI2676" s="1218"/>
      <c r="AJ2676" s="1218"/>
      <c r="AK2676" s="1218"/>
      <c r="AL2676" s="1218"/>
      <c r="AM2676" s="1218"/>
    </row>
    <row r="2677" spans="1:40" ht="15" customHeight="1" x14ac:dyDescent="0.25">
      <c r="A2677" s="1409"/>
      <c r="B2677" s="1409"/>
      <c r="C2677" s="1409"/>
      <c r="D2677" s="1409"/>
      <c r="E2677" s="1261">
        <v>56901</v>
      </c>
      <c r="F2677" s="1262" t="s">
        <v>5601</v>
      </c>
      <c r="G2677" s="1261"/>
      <c r="H2677" s="1261"/>
      <c r="I2677" s="1261"/>
      <c r="J2677" s="1261"/>
      <c r="K2677" s="1261"/>
      <c r="L2677" s="1261"/>
      <c r="M2677" s="1261"/>
      <c r="N2677" s="1261"/>
      <c r="O2677" s="1261"/>
      <c r="P2677" s="1261"/>
      <c r="Q2677" s="1261"/>
      <c r="R2677" s="1261"/>
      <c r="S2677" s="1261"/>
      <c r="T2677" s="1261"/>
      <c r="U2677" s="1261"/>
      <c r="V2677" s="1261"/>
      <c r="W2677" s="1261"/>
      <c r="X2677" s="1261"/>
      <c r="Y2677" s="1261"/>
      <c r="Z2677" s="1261"/>
      <c r="AA2677" s="1261"/>
      <c r="AB2677" s="1261"/>
      <c r="AC2677" s="1261"/>
      <c r="AD2677" s="1261"/>
      <c r="AE2677" s="1261"/>
      <c r="AF2677" s="1261"/>
      <c r="AG2677" s="1261"/>
      <c r="AH2677" s="1261"/>
      <c r="AI2677" s="1261"/>
      <c r="AJ2677" s="1261"/>
      <c r="AK2677" s="1261"/>
      <c r="AL2677" s="1261"/>
      <c r="AM2677" s="1261"/>
    </row>
    <row r="2678" spans="1:40" ht="15" customHeight="1" x14ac:dyDescent="0.25">
      <c r="A2678" s="1409"/>
      <c r="B2678" s="1409"/>
      <c r="C2678" s="1409"/>
      <c r="D2678" s="1409"/>
      <c r="E2678" s="1302"/>
      <c r="F2678" s="1248" t="s">
        <v>3366</v>
      </c>
      <c r="G2678" s="111"/>
      <c r="H2678" s="1249">
        <v>1</v>
      </c>
      <c r="I2678" s="111" t="s">
        <v>1721</v>
      </c>
      <c r="J2678" s="1321" t="s">
        <v>5608</v>
      </c>
      <c r="K2678" s="162" t="s">
        <v>5610</v>
      </c>
      <c r="L2678" s="162" t="s">
        <v>5609</v>
      </c>
      <c r="M2678" s="111">
        <v>12420</v>
      </c>
      <c r="N2678" s="111">
        <v>12420</v>
      </c>
      <c r="O2678" s="111"/>
      <c r="P2678" s="111"/>
      <c r="Q2678" s="111"/>
      <c r="R2678" s="111"/>
      <c r="S2678" s="1249">
        <v>1</v>
      </c>
      <c r="T2678" s="1250">
        <v>4140</v>
      </c>
      <c r="U2678" s="1250"/>
      <c r="V2678" s="1250"/>
      <c r="W2678" s="1251">
        <v>0</v>
      </c>
      <c r="X2678" s="1250">
        <v>4140</v>
      </c>
      <c r="Y2678" s="1250"/>
      <c r="Z2678" s="1250"/>
      <c r="AA2678" s="1250"/>
      <c r="AB2678" s="1250"/>
      <c r="AC2678" s="1250"/>
      <c r="AD2678" s="1250"/>
      <c r="AE2678" s="1249">
        <v>0</v>
      </c>
      <c r="AF2678" s="1250">
        <v>4140</v>
      </c>
      <c r="AG2678" s="111"/>
      <c r="AH2678" s="111"/>
      <c r="AI2678" s="111"/>
      <c r="AJ2678" s="111"/>
      <c r="AK2678" s="111"/>
      <c r="AL2678" s="111"/>
      <c r="AM2678" s="111">
        <v>12420</v>
      </c>
    </row>
    <row r="2679" spans="1:40" ht="15" customHeight="1" x14ac:dyDescent="0.25">
      <c r="A2679" s="1409"/>
      <c r="B2679" s="1409"/>
      <c r="C2679" s="1409"/>
      <c r="D2679" s="1409"/>
      <c r="E2679" s="1305"/>
      <c r="F2679" s="1248"/>
      <c r="G2679" s="111"/>
      <c r="H2679" s="1249"/>
      <c r="I2679" s="111"/>
      <c r="J2679" s="111"/>
      <c r="K2679" s="111"/>
      <c r="L2679" s="1084"/>
      <c r="M2679" s="111"/>
      <c r="N2679" s="111"/>
      <c r="O2679" s="111"/>
      <c r="P2679" s="111"/>
      <c r="Q2679" s="111"/>
      <c r="R2679" s="111"/>
      <c r="S2679" s="1249"/>
      <c r="T2679" s="1250"/>
      <c r="U2679" s="1250"/>
      <c r="V2679" s="1250"/>
      <c r="W2679" s="1251"/>
      <c r="X2679" s="1250"/>
      <c r="Y2679" s="1250"/>
      <c r="Z2679" s="1250"/>
      <c r="AA2679" s="1250"/>
      <c r="AB2679" s="1250"/>
      <c r="AC2679" s="1250"/>
      <c r="AD2679" s="1250"/>
      <c r="AE2679" s="1249"/>
      <c r="AF2679" s="1250"/>
      <c r="AG2679" s="111"/>
      <c r="AH2679" s="111"/>
      <c r="AI2679" s="111"/>
      <c r="AJ2679" s="111"/>
      <c r="AK2679" s="111"/>
      <c r="AL2679" s="111"/>
      <c r="AM2679" s="111"/>
    </row>
    <row r="2680" spans="1:40" ht="15" customHeight="1" x14ac:dyDescent="0.25">
      <c r="A2680" s="1409"/>
      <c r="B2680" s="1409"/>
      <c r="C2680" s="1409"/>
      <c r="D2680" s="1409"/>
      <c r="E2680" s="1261">
        <v>56905</v>
      </c>
      <c r="F2680" s="1262" t="s">
        <v>5602</v>
      </c>
      <c r="G2680" s="1261"/>
      <c r="H2680" s="1261"/>
      <c r="I2680" s="1261"/>
      <c r="J2680" s="1261"/>
      <c r="K2680" s="1261"/>
      <c r="L2680" s="1261"/>
      <c r="M2680" s="1261"/>
      <c r="N2680" s="1261"/>
      <c r="O2680" s="1261"/>
      <c r="P2680" s="1261"/>
      <c r="Q2680" s="1261"/>
      <c r="R2680" s="1261"/>
      <c r="S2680" s="1261"/>
      <c r="T2680" s="1261"/>
      <c r="U2680" s="1261"/>
      <c r="V2680" s="1261"/>
      <c r="W2680" s="1261"/>
      <c r="X2680" s="1261"/>
      <c r="Y2680" s="1261"/>
      <c r="Z2680" s="1261"/>
      <c r="AA2680" s="1261"/>
      <c r="AB2680" s="1261"/>
      <c r="AC2680" s="1261"/>
      <c r="AD2680" s="1261"/>
      <c r="AE2680" s="1261"/>
      <c r="AF2680" s="1261"/>
      <c r="AG2680" s="1261"/>
      <c r="AH2680" s="1261"/>
      <c r="AI2680" s="1261"/>
      <c r="AJ2680" s="1261"/>
      <c r="AK2680" s="1261"/>
      <c r="AL2680" s="1261"/>
      <c r="AM2680" s="1261"/>
    </row>
    <row r="2681" spans="1:40" ht="15" customHeight="1" x14ac:dyDescent="0.25">
      <c r="A2681" s="1409"/>
      <c r="B2681" s="1409"/>
      <c r="C2681" s="1409"/>
      <c r="D2681" s="1409"/>
      <c r="E2681" s="1300"/>
      <c r="F2681" s="1248" t="s">
        <v>5603</v>
      </c>
      <c r="G2681" s="111"/>
      <c r="H2681" s="1249">
        <v>2</v>
      </c>
      <c r="I2681" s="111" t="s">
        <v>1721</v>
      </c>
      <c r="J2681" s="1321" t="s">
        <v>5608</v>
      </c>
      <c r="K2681" s="162" t="s">
        <v>5610</v>
      </c>
      <c r="L2681" s="162" t="s">
        <v>5609</v>
      </c>
      <c r="M2681" s="111">
        <v>810.83999999999992</v>
      </c>
      <c r="N2681" s="111">
        <v>1621.6799999999998</v>
      </c>
      <c r="O2681" s="111"/>
      <c r="P2681" s="111"/>
      <c r="Q2681" s="111"/>
      <c r="R2681" s="111"/>
      <c r="S2681" s="1249">
        <v>2</v>
      </c>
      <c r="T2681" s="1250">
        <v>540.55999999999995</v>
      </c>
      <c r="U2681" s="1250"/>
      <c r="V2681" s="1250"/>
      <c r="W2681" s="1251">
        <v>0</v>
      </c>
      <c r="X2681" s="1250">
        <v>540.55999999999995</v>
      </c>
      <c r="Y2681" s="1250"/>
      <c r="Z2681" s="1250"/>
      <c r="AA2681" s="1250"/>
      <c r="AB2681" s="1250"/>
      <c r="AC2681" s="1250"/>
      <c r="AD2681" s="1250"/>
      <c r="AE2681" s="1249">
        <v>0</v>
      </c>
      <c r="AF2681" s="1250">
        <v>540.55999999999995</v>
      </c>
      <c r="AG2681" s="111"/>
      <c r="AH2681" s="111"/>
      <c r="AI2681" s="111"/>
      <c r="AJ2681" s="111"/>
      <c r="AK2681" s="111"/>
      <c r="AL2681" s="111"/>
      <c r="AM2681" s="111">
        <v>1621.6799999999998</v>
      </c>
    </row>
    <row r="2682" spans="1:40" ht="15" customHeight="1" x14ac:dyDescent="0.25">
      <c r="A2682" s="1409"/>
      <c r="B2682" s="1409"/>
      <c r="C2682" s="1409"/>
      <c r="D2682" s="1409"/>
      <c r="E2682" s="1305"/>
      <c r="F2682" s="1248"/>
      <c r="G2682" s="111"/>
      <c r="H2682" s="1249"/>
      <c r="I2682" s="111"/>
      <c r="J2682" s="111"/>
      <c r="K2682" s="111"/>
      <c r="L2682" s="1084"/>
      <c r="M2682" s="111"/>
      <c r="N2682" s="111"/>
      <c r="O2682" s="111"/>
      <c r="P2682" s="111"/>
      <c r="Q2682" s="111"/>
      <c r="R2682" s="111"/>
      <c r="S2682" s="1249"/>
      <c r="T2682" s="1250"/>
      <c r="U2682" s="1250"/>
      <c r="V2682" s="1250"/>
      <c r="W2682" s="1251"/>
      <c r="X2682" s="1250"/>
      <c r="Y2682" s="1250"/>
      <c r="Z2682" s="1250"/>
      <c r="AA2682" s="1250"/>
      <c r="AB2682" s="1250"/>
      <c r="AC2682" s="1250"/>
      <c r="AD2682" s="1250"/>
      <c r="AE2682" s="1249"/>
      <c r="AF2682" s="1250"/>
      <c r="AG2682" s="111"/>
      <c r="AH2682" s="111"/>
      <c r="AI2682" s="111"/>
      <c r="AJ2682" s="111"/>
      <c r="AK2682" s="111"/>
      <c r="AL2682" s="111"/>
      <c r="AM2682" s="111"/>
    </row>
    <row r="2683" spans="1:40" ht="15" customHeight="1" x14ac:dyDescent="0.25">
      <c r="A2683" s="1409"/>
      <c r="B2683" s="1409"/>
      <c r="C2683" s="1409"/>
      <c r="D2683" s="1409"/>
      <c r="E2683" s="1261">
        <v>59101</v>
      </c>
      <c r="F2683" s="1262" t="s">
        <v>5604</v>
      </c>
      <c r="G2683" s="1261"/>
      <c r="H2683" s="1261"/>
      <c r="I2683" s="1261"/>
      <c r="J2683" s="1261"/>
      <c r="K2683" s="1261"/>
      <c r="L2683" s="1261"/>
      <c r="M2683" s="1261"/>
      <c r="N2683" s="1261"/>
      <c r="O2683" s="1261"/>
      <c r="P2683" s="1261"/>
      <c r="Q2683" s="1261"/>
      <c r="R2683" s="1261"/>
      <c r="S2683" s="1261"/>
      <c r="T2683" s="1261"/>
      <c r="U2683" s="1261"/>
      <c r="V2683" s="1261"/>
      <c r="W2683" s="1261"/>
      <c r="X2683" s="1261"/>
      <c r="Y2683" s="1261"/>
      <c r="Z2683" s="1261"/>
      <c r="AA2683" s="1261"/>
      <c r="AB2683" s="1261"/>
      <c r="AC2683" s="1261"/>
      <c r="AD2683" s="1261"/>
      <c r="AE2683" s="1261"/>
      <c r="AF2683" s="1261"/>
      <c r="AG2683" s="1261"/>
      <c r="AH2683" s="1261"/>
      <c r="AI2683" s="1261"/>
      <c r="AJ2683" s="1261"/>
      <c r="AK2683" s="1261"/>
      <c r="AL2683" s="1261"/>
      <c r="AM2683" s="1261"/>
    </row>
    <row r="2684" spans="1:40" ht="15" customHeight="1" x14ac:dyDescent="0.25">
      <c r="A2684" s="1409"/>
      <c r="B2684" s="1409"/>
      <c r="C2684" s="1409"/>
      <c r="D2684" s="1409"/>
      <c r="E2684" s="1300"/>
      <c r="F2684" s="1248" t="s">
        <v>5605</v>
      </c>
      <c r="G2684" s="111"/>
      <c r="H2684" s="1249">
        <v>1</v>
      </c>
      <c r="I2684" s="111" t="s">
        <v>1721</v>
      </c>
      <c r="J2684" s="1321" t="s">
        <v>5608</v>
      </c>
      <c r="K2684" s="162" t="s">
        <v>5610</v>
      </c>
      <c r="L2684" s="162" t="s">
        <v>5609</v>
      </c>
      <c r="M2684" s="111">
        <v>11041.84</v>
      </c>
      <c r="N2684" s="111">
        <v>11041.84</v>
      </c>
      <c r="O2684" s="111"/>
      <c r="P2684" s="111"/>
      <c r="Q2684" s="111"/>
      <c r="R2684" s="111"/>
      <c r="S2684" s="1249">
        <v>1</v>
      </c>
      <c r="T2684" s="1250">
        <v>3680.6133333333332</v>
      </c>
      <c r="U2684" s="1250"/>
      <c r="V2684" s="1250"/>
      <c r="W2684" s="1251">
        <v>0</v>
      </c>
      <c r="X2684" s="1250">
        <v>3680.6133333333332</v>
      </c>
      <c r="Y2684" s="1250"/>
      <c r="Z2684" s="1250"/>
      <c r="AA2684" s="1250"/>
      <c r="AB2684" s="1250"/>
      <c r="AC2684" s="1250"/>
      <c r="AD2684" s="1250"/>
      <c r="AE2684" s="1249">
        <v>0</v>
      </c>
      <c r="AF2684" s="1250">
        <v>3680.6133333333332</v>
      </c>
      <c r="AG2684" s="111"/>
      <c r="AH2684" s="111"/>
      <c r="AI2684" s="111"/>
      <c r="AJ2684" s="111"/>
      <c r="AK2684" s="111"/>
      <c r="AL2684" s="111"/>
      <c r="AM2684" s="111">
        <v>11041.84</v>
      </c>
    </row>
    <row r="2685" spans="1:40" ht="15" customHeight="1" x14ac:dyDescent="0.25">
      <c r="A2685" s="1409"/>
      <c r="B2685" s="1409"/>
      <c r="C2685" s="1409"/>
      <c r="D2685" s="1409"/>
      <c r="E2685" s="1300"/>
      <c r="F2685" s="1248"/>
      <c r="G2685" s="111"/>
      <c r="H2685" s="1249"/>
      <c r="I2685" s="111"/>
      <c r="J2685" s="111"/>
      <c r="K2685" s="111"/>
      <c r="L2685" s="1084"/>
      <c r="M2685" s="111"/>
      <c r="N2685" s="111"/>
      <c r="O2685" s="111"/>
      <c r="P2685" s="111"/>
      <c r="Q2685" s="111"/>
      <c r="R2685" s="111"/>
      <c r="S2685" s="1249"/>
      <c r="T2685" s="1250"/>
      <c r="U2685" s="1250"/>
      <c r="V2685" s="1250"/>
      <c r="W2685" s="1251"/>
      <c r="X2685" s="1250"/>
      <c r="Y2685" s="1250"/>
      <c r="Z2685" s="1250"/>
      <c r="AA2685" s="1250"/>
      <c r="AB2685" s="1250"/>
      <c r="AC2685" s="1250"/>
      <c r="AD2685" s="1250"/>
      <c r="AE2685" s="1249"/>
      <c r="AF2685" s="1250"/>
      <c r="AG2685" s="111"/>
      <c r="AH2685" s="111"/>
      <c r="AI2685" s="111"/>
      <c r="AJ2685" s="111"/>
      <c r="AK2685" s="111"/>
      <c r="AL2685" s="111"/>
      <c r="AM2685" s="111"/>
    </row>
    <row r="2686" spans="1:40" ht="15" customHeight="1" x14ac:dyDescent="0.25">
      <c r="A2686" s="1409"/>
      <c r="B2686" s="1409"/>
      <c r="C2686" s="1409"/>
      <c r="D2686" s="1409"/>
      <c r="E2686" s="1261">
        <v>59701</v>
      </c>
      <c r="F2686" s="1262" t="s">
        <v>5606</v>
      </c>
      <c r="G2686" s="1261"/>
      <c r="H2686" s="1261"/>
      <c r="I2686" s="1261"/>
      <c r="J2686" s="1261"/>
      <c r="K2686" s="1261"/>
      <c r="L2686" s="1261"/>
      <c r="M2686" s="1261"/>
      <c r="N2686" s="1261"/>
      <c r="O2686" s="1261"/>
      <c r="P2686" s="1261"/>
      <c r="Q2686" s="1261"/>
      <c r="R2686" s="1261"/>
      <c r="S2686" s="1261"/>
      <c r="T2686" s="1261"/>
      <c r="U2686" s="1261"/>
      <c r="V2686" s="1261"/>
      <c r="W2686" s="1261"/>
      <c r="X2686" s="1261"/>
      <c r="Y2686" s="1261"/>
      <c r="Z2686" s="1261"/>
      <c r="AA2686" s="1261"/>
      <c r="AB2686" s="1261"/>
      <c r="AC2686" s="1261"/>
      <c r="AD2686" s="1261"/>
      <c r="AE2686" s="1261"/>
      <c r="AF2686" s="1261"/>
      <c r="AG2686" s="1261"/>
      <c r="AH2686" s="1261"/>
      <c r="AI2686" s="1261"/>
      <c r="AJ2686" s="1261"/>
      <c r="AK2686" s="1261"/>
      <c r="AL2686" s="1261"/>
      <c r="AM2686" s="1261"/>
      <c r="AN2686" s="1298"/>
    </row>
    <row r="2687" spans="1:40" ht="15" customHeight="1" x14ac:dyDescent="0.25">
      <c r="A2687" s="1409"/>
      <c r="B2687" s="1409"/>
      <c r="C2687" s="1409"/>
      <c r="D2687" s="1409"/>
      <c r="E2687" s="1300"/>
      <c r="F2687" s="1248" t="s">
        <v>5607</v>
      </c>
      <c r="G2687" s="111"/>
      <c r="H2687" s="1249">
        <v>1</v>
      </c>
      <c r="I2687" s="111" t="s">
        <v>1721</v>
      </c>
      <c r="J2687" s="1321" t="s">
        <v>5608</v>
      </c>
      <c r="K2687" s="162" t="s">
        <v>5610</v>
      </c>
      <c r="L2687" s="162" t="s">
        <v>5609</v>
      </c>
      <c r="M2687" s="111">
        <v>10129.94</v>
      </c>
      <c r="N2687" s="111">
        <v>10129.94</v>
      </c>
      <c r="O2687" s="111"/>
      <c r="P2687" s="111"/>
      <c r="Q2687" s="111"/>
      <c r="R2687" s="111"/>
      <c r="S2687" s="1249">
        <v>1</v>
      </c>
      <c r="T2687" s="1250">
        <v>3376.646666666667</v>
      </c>
      <c r="U2687" s="1250"/>
      <c r="V2687" s="1250"/>
      <c r="W2687" s="1251">
        <v>0</v>
      </c>
      <c r="X2687" s="1250">
        <v>3376.646666666667</v>
      </c>
      <c r="Y2687" s="1250"/>
      <c r="Z2687" s="1250"/>
      <c r="AA2687" s="1250"/>
      <c r="AB2687" s="1250"/>
      <c r="AC2687" s="1250"/>
      <c r="AD2687" s="1250"/>
      <c r="AE2687" s="1249">
        <v>0</v>
      </c>
      <c r="AF2687" s="1250">
        <v>3376.646666666667</v>
      </c>
      <c r="AG2687" s="111"/>
      <c r="AH2687" s="111"/>
      <c r="AI2687" s="111"/>
      <c r="AJ2687" s="111"/>
      <c r="AK2687" s="111"/>
      <c r="AL2687" s="111"/>
      <c r="AM2687" s="111">
        <v>10129.94</v>
      </c>
    </row>
    <row r="2688" spans="1:40" ht="15.75" x14ac:dyDescent="0.25">
      <c r="A2688" s="1409"/>
      <c r="B2688" s="1409"/>
      <c r="C2688" s="1409"/>
      <c r="D2688" s="1409"/>
      <c r="E2688" s="1306"/>
      <c r="F2688" s="1405" t="s">
        <v>1070</v>
      </c>
      <c r="G2688" s="1406"/>
      <c r="H2688" s="1406"/>
      <c r="I2688" s="1406"/>
      <c r="J2688" s="1406"/>
      <c r="K2688" s="1406"/>
      <c r="L2688" s="1406"/>
      <c r="M2688" s="1307"/>
      <c r="N2688" s="1320">
        <v>21742948.311645705</v>
      </c>
      <c r="O2688" s="1307"/>
      <c r="P2688" s="1307"/>
      <c r="Q2688" s="1307"/>
      <c r="R2688" s="1307"/>
      <c r="S2688" s="1306"/>
      <c r="T2688" s="1307">
        <v>7247649.4372152351</v>
      </c>
      <c r="U2688" s="1307"/>
      <c r="V2688" s="1307"/>
      <c r="W2688" s="1308"/>
      <c r="X2688" s="1307">
        <v>7247649.4372152351</v>
      </c>
      <c r="Y2688" s="1307"/>
      <c r="Z2688" s="1307"/>
      <c r="AA2688" s="1307"/>
      <c r="AB2688" s="1307"/>
      <c r="AC2688" s="1307"/>
      <c r="AD2688" s="1307"/>
      <c r="AE2688" s="1306"/>
      <c r="AF2688" s="1307">
        <v>7247649.4372152351</v>
      </c>
      <c r="AG2688" s="1307"/>
      <c r="AH2688" s="1307"/>
      <c r="AI2688" s="1307"/>
      <c r="AJ2688" s="1307"/>
      <c r="AK2688" s="1307"/>
      <c r="AL2688" s="1307"/>
      <c r="AM2688" s="1320">
        <v>21742948.311645705</v>
      </c>
    </row>
    <row r="2689" spans="1:39" x14ac:dyDescent="0.25">
      <c r="A2689" s="106"/>
      <c r="B2689" s="106"/>
      <c r="C2689" s="106"/>
      <c r="D2689" s="106"/>
      <c r="E2689" s="165"/>
      <c r="F2689" s="1309"/>
      <c r="G2689" s="106"/>
      <c r="H2689" s="1184"/>
      <c r="I2689" s="106"/>
      <c r="J2689" s="106"/>
      <c r="K2689" s="106"/>
      <c r="L2689" s="106"/>
      <c r="M2689" s="106"/>
      <c r="N2689" s="106"/>
      <c r="O2689" s="106"/>
      <c r="P2689" s="106"/>
      <c r="Q2689" s="106"/>
      <c r="R2689" s="106"/>
      <c r="T2689" s="1310"/>
      <c r="U2689" s="1310"/>
      <c r="V2689" s="1310"/>
      <c r="X2689" s="1310"/>
      <c r="Y2689" s="1310"/>
      <c r="Z2689" s="1310"/>
      <c r="AA2689" s="1310"/>
      <c r="AB2689" s="1310"/>
      <c r="AC2689" s="1310"/>
      <c r="AD2689" s="1310"/>
      <c r="AF2689" s="1310"/>
      <c r="AG2689" s="106"/>
      <c r="AH2689" s="106"/>
      <c r="AI2689" s="106"/>
      <c r="AJ2689" s="106"/>
      <c r="AK2689" s="106"/>
      <c r="AL2689" s="106"/>
      <c r="AM2689" s="106"/>
    </row>
    <row r="2690" spans="1:39" x14ac:dyDescent="0.25">
      <c r="A2690" s="106"/>
      <c r="B2690" s="106"/>
      <c r="C2690" s="106"/>
      <c r="D2690" s="106"/>
      <c r="E2690" s="165"/>
      <c r="F2690" s="1309"/>
      <c r="G2690" s="106"/>
      <c r="H2690" s="1184"/>
      <c r="I2690" s="106"/>
      <c r="J2690" s="106"/>
      <c r="K2690" s="106"/>
      <c r="L2690" s="106"/>
      <c r="M2690" s="106"/>
      <c r="N2690" s="106"/>
      <c r="O2690" s="106"/>
      <c r="P2690" s="106"/>
      <c r="Q2690" s="106"/>
      <c r="R2690" s="106"/>
      <c r="W2690" s="1415"/>
      <c r="AG2690" s="106"/>
      <c r="AH2690" s="106"/>
      <c r="AI2690" s="106"/>
      <c r="AJ2690" s="106"/>
      <c r="AK2690" s="106"/>
      <c r="AL2690" s="106"/>
      <c r="AM2690" s="106"/>
    </row>
    <row r="2691" spans="1:39" x14ac:dyDescent="0.25">
      <c r="A2691" s="106"/>
      <c r="B2691" s="106"/>
      <c r="C2691" s="106"/>
      <c r="D2691" s="106"/>
      <c r="E2691" s="165"/>
      <c r="F2691" s="1309"/>
      <c r="G2691" s="106"/>
      <c r="H2691" s="1184"/>
      <c r="I2691" s="106"/>
      <c r="J2691" s="106"/>
      <c r="K2691" s="106"/>
      <c r="L2691" s="106"/>
      <c r="M2691" s="106"/>
      <c r="N2691" s="106"/>
      <c r="O2691" s="106"/>
      <c r="P2691" s="106"/>
      <c r="Q2691" s="106"/>
      <c r="R2691" s="106"/>
      <c r="AG2691" s="106"/>
      <c r="AH2691" s="106"/>
      <c r="AI2691" s="106"/>
      <c r="AJ2691" s="106"/>
      <c r="AK2691" s="106"/>
      <c r="AL2691" s="106"/>
      <c r="AM2691" s="106"/>
    </row>
    <row r="2692" spans="1:39" x14ac:dyDescent="0.25">
      <c r="A2692" s="106"/>
      <c r="B2692" s="106"/>
      <c r="C2692" s="106"/>
      <c r="D2692" s="106"/>
      <c r="E2692" s="165"/>
      <c r="F2692" s="1309"/>
      <c r="G2692" s="106"/>
      <c r="H2692" s="1184"/>
      <c r="I2692" s="106"/>
      <c r="J2692" s="106"/>
      <c r="K2692" s="106"/>
      <c r="L2692" s="106"/>
      <c r="M2692" s="106"/>
      <c r="N2692" s="106"/>
      <c r="O2692" s="106"/>
      <c r="P2692" s="106"/>
      <c r="Q2692" s="106"/>
      <c r="R2692" s="106"/>
      <c r="AG2692" s="106"/>
      <c r="AH2692" s="106"/>
      <c r="AI2692" s="106"/>
      <c r="AJ2692" s="106"/>
      <c r="AK2692" s="106"/>
      <c r="AL2692" s="106"/>
      <c r="AM2692" s="106"/>
    </row>
    <row r="2693" spans="1:39" x14ac:dyDescent="0.25">
      <c r="A2693" s="106"/>
      <c r="B2693" s="106"/>
      <c r="C2693" s="106"/>
      <c r="D2693" s="106"/>
      <c r="E2693" s="165"/>
      <c r="F2693" s="1309"/>
      <c r="G2693" s="106"/>
      <c r="H2693" s="1184"/>
      <c r="I2693" s="106"/>
      <c r="J2693" s="106"/>
      <c r="K2693" s="106"/>
      <c r="L2693" s="106"/>
      <c r="M2693" s="106"/>
      <c r="N2693" s="106"/>
      <c r="O2693" s="106"/>
      <c r="P2693" s="106"/>
      <c r="Q2693" s="106"/>
      <c r="R2693" s="106"/>
      <c r="AG2693" s="106"/>
      <c r="AH2693" s="106"/>
      <c r="AI2693" s="106"/>
      <c r="AJ2693" s="106"/>
      <c r="AK2693" s="106"/>
      <c r="AL2693" s="106"/>
      <c r="AM2693" s="106"/>
    </row>
    <row r="2694" spans="1:39" x14ac:dyDescent="0.25">
      <c r="A2694" s="106"/>
      <c r="B2694" s="106"/>
      <c r="C2694" s="106"/>
      <c r="D2694" s="106"/>
      <c r="E2694" s="165"/>
      <c r="F2694" s="1309"/>
      <c r="G2694" s="106"/>
      <c r="H2694" s="1184"/>
      <c r="I2694" s="106"/>
      <c r="J2694" s="106"/>
      <c r="K2694" s="106"/>
      <c r="L2694" s="106"/>
      <c r="M2694" s="106"/>
      <c r="N2694" s="106"/>
      <c r="O2694" s="106"/>
      <c r="P2694" s="106"/>
      <c r="Q2694" s="106"/>
      <c r="R2694" s="106"/>
      <c r="AG2694" s="106"/>
      <c r="AH2694" s="106"/>
      <c r="AI2694" s="106"/>
      <c r="AJ2694" s="106"/>
      <c r="AK2694" s="106"/>
      <c r="AL2694" s="106"/>
      <c r="AM2694" s="106"/>
    </row>
    <row r="2695" spans="1:39" x14ac:dyDescent="0.25">
      <c r="A2695" s="106"/>
      <c r="B2695" s="106"/>
      <c r="C2695" s="106"/>
      <c r="D2695" s="106"/>
      <c r="E2695" s="165"/>
      <c r="F2695" s="1309"/>
      <c r="G2695" s="106"/>
      <c r="H2695" s="1184"/>
      <c r="I2695" s="106"/>
      <c r="J2695" s="106"/>
      <c r="K2695" s="106"/>
      <c r="L2695" s="106"/>
      <c r="M2695" s="106"/>
      <c r="N2695" s="106"/>
      <c r="O2695" s="106"/>
      <c r="P2695" s="106"/>
      <c r="Q2695" s="106"/>
      <c r="R2695" s="106"/>
      <c r="AG2695" s="106"/>
      <c r="AH2695" s="106"/>
      <c r="AI2695" s="106"/>
      <c r="AJ2695" s="106"/>
      <c r="AK2695" s="106"/>
      <c r="AL2695" s="106"/>
      <c r="AM2695" s="106"/>
    </row>
    <row r="2696" spans="1:39" x14ac:dyDescent="0.25">
      <c r="A2696" s="106"/>
      <c r="B2696" s="106"/>
      <c r="C2696" s="106"/>
      <c r="D2696" s="106"/>
      <c r="E2696" s="165"/>
      <c r="F2696" s="1309"/>
      <c r="G2696" s="106"/>
      <c r="H2696" s="1184"/>
      <c r="I2696" s="106"/>
      <c r="J2696" s="106"/>
      <c r="K2696" s="106"/>
      <c r="L2696" s="106"/>
      <c r="M2696" s="106"/>
      <c r="N2696" s="106"/>
      <c r="O2696" s="106"/>
      <c r="P2696" s="106"/>
      <c r="Q2696" s="106"/>
      <c r="R2696" s="106"/>
      <c r="AG2696" s="106"/>
      <c r="AH2696" s="106"/>
      <c r="AI2696" s="106"/>
      <c r="AJ2696" s="106"/>
      <c r="AK2696" s="106"/>
      <c r="AL2696" s="106"/>
      <c r="AM2696" s="106"/>
    </row>
    <row r="2697" spans="1:39" x14ac:dyDescent="0.25">
      <c r="A2697" s="106"/>
      <c r="B2697" s="106"/>
      <c r="C2697" s="106"/>
      <c r="D2697" s="106"/>
      <c r="E2697" s="165"/>
      <c r="F2697" s="1309"/>
      <c r="G2697" s="106"/>
      <c r="H2697" s="1184"/>
      <c r="I2697" s="106"/>
      <c r="J2697" s="106"/>
      <c r="K2697" s="106"/>
      <c r="L2697" s="106"/>
      <c r="M2697" s="106"/>
      <c r="N2697" s="106"/>
      <c r="O2697" s="106"/>
      <c r="P2697" s="106"/>
      <c r="Q2697" s="106"/>
      <c r="R2697" s="106"/>
      <c r="AG2697" s="106"/>
      <c r="AH2697" s="106"/>
      <c r="AI2697" s="106"/>
      <c r="AJ2697" s="106"/>
      <c r="AK2697" s="106"/>
      <c r="AL2697" s="106"/>
      <c r="AM2697" s="106"/>
    </row>
    <row r="2698" spans="1:39" x14ac:dyDescent="0.25">
      <c r="A2698" s="106"/>
      <c r="B2698" s="106"/>
      <c r="C2698" s="106"/>
      <c r="D2698" s="106"/>
      <c r="E2698" s="165"/>
      <c r="F2698" s="1309"/>
      <c r="G2698" s="106"/>
      <c r="H2698" s="1184"/>
      <c r="I2698" s="106"/>
      <c r="J2698" s="106"/>
      <c r="K2698" s="106"/>
      <c r="L2698" s="106"/>
      <c r="M2698" s="106"/>
      <c r="N2698" s="106"/>
      <c r="O2698" s="106"/>
      <c r="P2698" s="106"/>
      <c r="Q2698" s="106"/>
      <c r="R2698" s="106"/>
      <c r="AG2698" s="106"/>
      <c r="AH2698" s="106"/>
      <c r="AI2698" s="106"/>
      <c r="AJ2698" s="106"/>
      <c r="AK2698" s="106"/>
      <c r="AL2698" s="106"/>
      <c r="AM2698" s="106"/>
    </row>
    <row r="2699" spans="1:39" x14ac:dyDescent="0.25">
      <c r="A2699" s="106"/>
      <c r="B2699" s="106"/>
      <c r="C2699" s="106"/>
      <c r="D2699" s="106"/>
      <c r="E2699" s="165"/>
      <c r="F2699" s="1309"/>
      <c r="G2699" s="106"/>
      <c r="H2699" s="1184"/>
      <c r="I2699" s="106"/>
      <c r="J2699" s="106"/>
      <c r="K2699" s="106"/>
      <c r="L2699" s="106"/>
      <c r="M2699" s="106"/>
      <c r="N2699" s="106"/>
      <c r="O2699" s="106"/>
      <c r="P2699" s="106"/>
      <c r="Q2699" s="106"/>
      <c r="R2699" s="106"/>
      <c r="AG2699" s="106"/>
      <c r="AH2699" s="106"/>
      <c r="AI2699" s="106"/>
      <c r="AJ2699" s="106"/>
      <c r="AK2699" s="106"/>
      <c r="AL2699" s="106"/>
      <c r="AM2699" s="106"/>
    </row>
    <row r="2700" spans="1:39" x14ac:dyDescent="0.25">
      <c r="A2700" s="106"/>
      <c r="B2700" s="106"/>
      <c r="C2700" s="106"/>
      <c r="D2700" s="106"/>
      <c r="E2700" s="165"/>
      <c r="F2700" s="1309"/>
      <c r="G2700" s="106"/>
      <c r="H2700" s="1184"/>
      <c r="I2700" s="106"/>
      <c r="J2700" s="106"/>
      <c r="K2700" s="106"/>
      <c r="L2700" s="106"/>
      <c r="M2700" s="106"/>
      <c r="N2700" s="106"/>
      <c r="O2700" s="106"/>
      <c r="P2700" s="106"/>
      <c r="Q2700" s="106"/>
      <c r="R2700" s="106"/>
      <c r="AG2700" s="106"/>
      <c r="AH2700" s="106"/>
      <c r="AI2700" s="106"/>
      <c r="AJ2700" s="106"/>
      <c r="AK2700" s="106"/>
      <c r="AL2700" s="106"/>
      <c r="AM2700" s="106"/>
    </row>
    <row r="2701" spans="1:39" x14ac:dyDescent="0.25">
      <c r="A2701" s="106"/>
      <c r="B2701" s="106"/>
      <c r="C2701" s="106"/>
      <c r="D2701" s="106"/>
      <c r="E2701" s="165"/>
      <c r="F2701" s="1309"/>
      <c r="G2701" s="106"/>
      <c r="H2701" s="1184"/>
      <c r="I2701" s="106"/>
      <c r="J2701" s="106"/>
      <c r="K2701" s="106"/>
      <c r="L2701" s="106"/>
      <c r="M2701" s="106"/>
      <c r="N2701" s="106"/>
      <c r="O2701" s="106"/>
      <c r="P2701" s="106"/>
      <c r="Q2701" s="106"/>
      <c r="R2701" s="106"/>
      <c r="AG2701" s="106"/>
      <c r="AH2701" s="106"/>
      <c r="AI2701" s="106"/>
      <c r="AJ2701" s="106"/>
      <c r="AK2701" s="106"/>
      <c r="AL2701" s="106"/>
      <c r="AM2701" s="106"/>
    </row>
    <row r="2702" spans="1:39" x14ac:dyDescent="0.25">
      <c r="A2702" s="106"/>
      <c r="B2702" s="106"/>
      <c r="C2702" s="106"/>
      <c r="D2702" s="106"/>
      <c r="E2702" s="165"/>
      <c r="F2702" s="1309"/>
      <c r="G2702" s="106"/>
      <c r="H2702" s="1184"/>
      <c r="I2702" s="106"/>
      <c r="J2702" s="106"/>
      <c r="K2702" s="106"/>
      <c r="L2702" s="106"/>
      <c r="M2702" s="106"/>
      <c r="N2702" s="106"/>
      <c r="O2702" s="106"/>
      <c r="P2702" s="106"/>
      <c r="Q2702" s="106"/>
      <c r="R2702" s="106"/>
      <c r="AG2702" s="106"/>
      <c r="AH2702" s="106"/>
      <c r="AI2702" s="106"/>
      <c r="AJ2702" s="106"/>
      <c r="AK2702" s="106"/>
      <c r="AL2702" s="106"/>
      <c r="AM2702" s="106"/>
    </row>
    <row r="2703" spans="1:39" x14ac:dyDescent="0.25">
      <c r="A2703" s="106"/>
      <c r="B2703" s="106"/>
      <c r="C2703" s="106"/>
      <c r="D2703" s="106"/>
      <c r="E2703" s="165"/>
      <c r="F2703" s="1309"/>
      <c r="G2703" s="106"/>
      <c r="H2703" s="1184"/>
      <c r="I2703" s="106"/>
      <c r="J2703" s="106"/>
      <c r="K2703" s="106"/>
      <c r="L2703" s="106"/>
      <c r="M2703" s="106"/>
      <c r="N2703" s="106"/>
      <c r="O2703" s="106"/>
      <c r="P2703" s="106"/>
      <c r="Q2703" s="106"/>
      <c r="R2703" s="106"/>
      <c r="AG2703" s="106"/>
      <c r="AH2703" s="106"/>
      <c r="AI2703" s="106"/>
      <c r="AJ2703" s="106"/>
      <c r="AK2703" s="106"/>
      <c r="AL2703" s="106"/>
      <c r="AM2703" s="106"/>
    </row>
    <row r="2704" spans="1:39" x14ac:dyDescent="0.25">
      <c r="A2704" s="106"/>
      <c r="B2704" s="106"/>
      <c r="C2704" s="106"/>
      <c r="D2704" s="106"/>
      <c r="E2704" s="165"/>
      <c r="F2704" s="1309"/>
      <c r="G2704" s="106"/>
      <c r="H2704" s="1184"/>
      <c r="I2704" s="106"/>
      <c r="J2704" s="106"/>
      <c r="K2704" s="106"/>
      <c r="L2704" s="106"/>
      <c r="M2704" s="106"/>
      <c r="N2704" s="106"/>
      <c r="O2704" s="106"/>
      <c r="P2704" s="106"/>
      <c r="Q2704" s="106"/>
      <c r="R2704" s="106"/>
      <c r="AG2704" s="106"/>
      <c r="AH2704" s="106"/>
      <c r="AI2704" s="106"/>
      <c r="AJ2704" s="106"/>
      <c r="AK2704" s="106"/>
      <c r="AL2704" s="106"/>
      <c r="AM2704" s="106"/>
    </row>
  </sheetData>
  <mergeCells count="34">
    <mergeCell ref="AM6:AM7"/>
    <mergeCell ref="A8:A2688"/>
    <mergeCell ref="B8:B2688"/>
    <mergeCell ref="C8:C2688"/>
    <mergeCell ref="D8:D2688"/>
    <mergeCell ref="W6:X6"/>
    <mergeCell ref="Y6:Z6"/>
    <mergeCell ref="AA6:AB6"/>
    <mergeCell ref="AC6:AD6"/>
    <mergeCell ref="AE6:AF6"/>
    <mergeCell ref="AG6:AH6"/>
    <mergeCell ref="J5:J7"/>
    <mergeCell ref="K5:K7"/>
    <mergeCell ref="S6:T6"/>
    <mergeCell ref="U6:V6"/>
    <mergeCell ref="F2688:L2688"/>
    <mergeCell ref="AI6:AJ6"/>
    <mergeCell ref="AK6:AL6"/>
    <mergeCell ref="J1:S4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L5:L7"/>
    <mergeCell ref="M5:M7"/>
    <mergeCell ref="N5:N7"/>
    <mergeCell ref="O5:AM5"/>
    <mergeCell ref="O6:P6"/>
    <mergeCell ref="Q6:R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Z274"/>
  <sheetViews>
    <sheetView topLeftCell="A55" workbookViewId="0">
      <selection activeCell="AY97" sqref="AY97"/>
    </sheetView>
  </sheetViews>
  <sheetFormatPr baseColWidth="10" defaultRowHeight="15" x14ac:dyDescent="0.25"/>
  <cols>
    <col min="2" max="2" width="23.5703125" style="106" bestFit="1" customWidth="1"/>
    <col min="3" max="3" width="14.140625" bestFit="1" customWidth="1"/>
    <col min="4" max="4" width="17.42578125" style="133" customWidth="1"/>
    <col min="5" max="5" width="15.5703125" bestFit="1" customWidth="1"/>
    <col min="6" max="6" width="14.140625" style="139" bestFit="1" customWidth="1"/>
    <col min="7" max="7" width="14.85546875" customWidth="1"/>
    <col min="8" max="8" width="22.85546875" style="106" customWidth="1"/>
    <col min="9" max="9" width="13.140625" bestFit="1" customWidth="1"/>
    <col min="10" max="10" width="11.42578125" style="106"/>
    <col min="11" max="11" width="11.7109375" customWidth="1"/>
    <col min="12" max="12" width="11.7109375" style="142" customWidth="1"/>
    <col min="13" max="13" width="11.7109375" customWidth="1"/>
    <col min="14" max="14" width="11.7109375" style="160" customWidth="1"/>
    <col min="15" max="15" width="11.7109375" customWidth="1"/>
    <col min="16" max="16" width="11.7109375" style="160" customWidth="1"/>
    <col min="17" max="17" width="11.7109375" customWidth="1"/>
    <col min="18" max="18" width="11.7109375" style="142" customWidth="1"/>
    <col min="19" max="19" width="11.7109375" customWidth="1"/>
    <col min="20" max="20" width="11.7109375" style="142" customWidth="1"/>
    <col min="21" max="21" width="11.7109375" customWidth="1"/>
    <col min="22" max="22" width="11.7109375" style="142" customWidth="1"/>
    <col min="23" max="23" width="11.7109375" customWidth="1"/>
    <col min="24" max="24" width="11.7109375" style="142" customWidth="1"/>
    <col min="25" max="25" width="11.7109375" customWidth="1"/>
    <col min="26" max="26" width="11.7109375" style="142" customWidth="1"/>
    <col min="27" max="27" width="11.7109375" customWidth="1"/>
    <col min="28" max="28" width="11.7109375" style="142" customWidth="1"/>
    <col min="29" max="29" width="11.7109375" customWidth="1"/>
    <col min="30" max="30" width="11.7109375" style="142" customWidth="1"/>
    <col min="31" max="31" width="11.7109375" customWidth="1"/>
    <col min="32" max="32" width="11.7109375" style="142" customWidth="1"/>
    <col min="33" max="33" width="11.7109375" customWidth="1"/>
    <col min="34" max="34" width="11.7109375" style="142" customWidth="1"/>
    <col min="35" max="35" width="11.7109375" customWidth="1"/>
    <col min="36" max="36" width="11.7109375" style="142" customWidth="1"/>
    <col min="37" max="37" width="11.7109375" customWidth="1"/>
    <col min="38" max="38" width="13.140625" style="142" bestFit="1" customWidth="1"/>
    <col min="39" max="39" width="11.7109375" customWidth="1"/>
    <col min="40" max="40" width="13.140625" style="142" customWidth="1"/>
    <col min="41" max="41" width="11.7109375" customWidth="1"/>
    <col min="42" max="42" width="13.140625" style="142" customWidth="1"/>
    <col min="43" max="43" width="11.7109375" customWidth="1"/>
    <col min="44" max="44" width="13.140625" style="142" customWidth="1"/>
    <col min="45" max="45" width="11.7109375" customWidth="1"/>
    <col min="46" max="46" width="13.140625" style="142" customWidth="1"/>
    <col min="47" max="47" width="16" style="188" customWidth="1"/>
    <col min="48" max="48" width="13.140625" style="106" bestFit="1" customWidth="1"/>
    <col min="49" max="49" width="14.140625" bestFit="1" customWidth="1"/>
    <col min="52" max="52" width="11.42578125" style="243"/>
  </cols>
  <sheetData>
    <row r="2" spans="1:52" x14ac:dyDescent="0.25">
      <c r="H2" s="106">
        <f>H6+F6+D6+B6</f>
        <v>271800.91000000003</v>
      </c>
      <c r="J2" s="166">
        <f>AV6-AU6</f>
        <v>-96.040611733042169</v>
      </c>
    </row>
    <row r="3" spans="1:52" s="164" customFormat="1" ht="30" customHeight="1" x14ac:dyDescent="0.25">
      <c r="A3" s="1411" t="s">
        <v>1136</v>
      </c>
      <c r="B3" s="1411"/>
      <c r="C3" s="1411" t="s">
        <v>1168</v>
      </c>
      <c r="D3" s="1411"/>
      <c r="E3" s="1411" t="s">
        <v>1400</v>
      </c>
      <c r="F3" s="1411"/>
      <c r="G3" s="1411" t="s">
        <v>1400</v>
      </c>
      <c r="H3" s="1411"/>
      <c r="I3" s="1411" t="s">
        <v>1713</v>
      </c>
      <c r="J3" s="1411"/>
      <c r="K3" s="1410" t="s">
        <v>1712</v>
      </c>
      <c r="L3" s="1410"/>
      <c r="M3" s="1410" t="s">
        <v>1743</v>
      </c>
      <c r="N3" s="1410"/>
      <c r="O3" s="1411" t="s">
        <v>1765</v>
      </c>
      <c r="P3" s="1411"/>
      <c r="Q3" s="1411" t="s">
        <v>1778</v>
      </c>
      <c r="R3" s="1411"/>
      <c r="S3" s="1412" t="s">
        <v>1845</v>
      </c>
      <c r="T3" s="1413"/>
      <c r="U3" s="1412" t="s">
        <v>1893</v>
      </c>
      <c r="V3" s="1413"/>
      <c r="W3" s="1412" t="s">
        <v>1959</v>
      </c>
      <c r="X3" s="1413"/>
      <c r="Y3" s="1412" t="s">
        <v>1960</v>
      </c>
      <c r="Z3" s="1413"/>
      <c r="AA3" s="1412" t="s">
        <v>1994</v>
      </c>
      <c r="AB3" s="1413"/>
      <c r="AC3" s="1412" t="s">
        <v>2027</v>
      </c>
      <c r="AD3" s="1413"/>
      <c r="AE3" s="1412" t="s">
        <v>2133</v>
      </c>
      <c r="AF3" s="1413"/>
      <c r="AG3" s="1412" t="s">
        <v>2172</v>
      </c>
      <c r="AH3" s="1413"/>
      <c r="AI3" s="1412" t="s">
        <v>2201</v>
      </c>
      <c r="AJ3" s="1413"/>
      <c r="AK3" s="1412" t="s">
        <v>2205</v>
      </c>
      <c r="AL3" s="1413"/>
      <c r="AM3" s="1412" t="s">
        <v>2473</v>
      </c>
      <c r="AN3" s="1413"/>
      <c r="AO3" s="1412" t="s">
        <v>2530</v>
      </c>
      <c r="AP3" s="1413"/>
      <c r="AQ3" s="1412" t="s">
        <v>2583</v>
      </c>
      <c r="AR3" s="1413"/>
      <c r="AS3" s="1412" t="s">
        <v>2472</v>
      </c>
      <c r="AT3" s="1413"/>
      <c r="AU3" s="189" t="s">
        <v>1704</v>
      </c>
      <c r="AV3" s="118"/>
      <c r="AZ3" s="1414" t="s">
        <v>3367</v>
      </c>
    </row>
    <row r="4" spans="1:52" s="164" customFormat="1" ht="30" customHeight="1" x14ac:dyDescent="0.25">
      <c r="A4" s="181"/>
      <c r="B4" s="181"/>
      <c r="C4" s="181"/>
      <c r="D4" s="181"/>
      <c r="E4" s="181"/>
      <c r="F4" s="181"/>
      <c r="G4" s="181"/>
      <c r="H4" s="181"/>
      <c r="I4" s="183"/>
      <c r="J4" s="184"/>
      <c r="K4" s="185"/>
      <c r="L4" s="185"/>
      <c r="M4" s="185"/>
      <c r="N4" s="185"/>
      <c r="O4" s="183"/>
      <c r="P4" s="183"/>
      <c r="Q4" s="183"/>
      <c r="R4" s="195"/>
      <c r="S4" s="183"/>
      <c r="T4" s="200"/>
      <c r="U4" s="183"/>
      <c r="V4" s="200"/>
      <c r="W4" s="183"/>
      <c r="X4" s="200"/>
      <c r="Y4" s="183"/>
      <c r="Z4" s="200"/>
      <c r="AA4" s="183"/>
      <c r="AB4" s="200"/>
      <c r="AC4" s="183"/>
      <c r="AD4" s="200"/>
      <c r="AE4" s="183"/>
      <c r="AF4" s="200"/>
      <c r="AG4" s="183"/>
      <c r="AH4" s="200"/>
      <c r="AI4" s="183"/>
      <c r="AJ4" s="200"/>
      <c r="AK4" s="183"/>
      <c r="AL4" s="200"/>
      <c r="AM4" s="183"/>
      <c r="AN4" s="200"/>
      <c r="AO4" s="183"/>
      <c r="AP4" s="200"/>
      <c r="AQ4" s="183"/>
      <c r="AR4" s="200"/>
      <c r="AS4" s="183"/>
      <c r="AT4" s="200"/>
      <c r="AU4" s="190"/>
      <c r="AV4" s="186"/>
      <c r="AW4" s="187"/>
      <c r="AZ4" s="1414"/>
    </row>
    <row r="5" spans="1:52" s="164" customFormat="1" ht="30" customHeight="1" x14ac:dyDescent="0.25">
      <c r="A5" s="181"/>
      <c r="B5" s="181"/>
      <c r="C5" s="181"/>
      <c r="D5" s="181"/>
      <c r="E5" s="181"/>
      <c r="F5" s="181"/>
      <c r="G5" s="181"/>
      <c r="H5" s="181"/>
      <c r="I5" s="183"/>
      <c r="J5" s="184"/>
      <c r="K5" s="185"/>
      <c r="L5" s="185"/>
      <c r="M5" s="185"/>
      <c r="N5" s="185"/>
      <c r="O5" s="183"/>
      <c r="P5" s="183"/>
      <c r="Q5" s="197">
        <v>21101</v>
      </c>
      <c r="R5" s="195">
        <v>4000</v>
      </c>
      <c r="S5" s="197">
        <v>21101</v>
      </c>
      <c r="T5" s="200">
        <v>2500</v>
      </c>
      <c r="U5" s="197">
        <v>21101</v>
      </c>
      <c r="V5" s="200"/>
      <c r="W5" s="197">
        <v>21101</v>
      </c>
      <c r="X5" s="200"/>
      <c r="Y5" s="197">
        <v>21101</v>
      </c>
      <c r="Z5" s="200"/>
      <c r="AA5" s="197">
        <v>21101</v>
      </c>
      <c r="AB5" s="200"/>
      <c r="AC5" s="197">
        <v>21101</v>
      </c>
      <c r="AD5" s="200"/>
      <c r="AE5" s="197">
        <v>21101</v>
      </c>
      <c r="AF5" s="200"/>
      <c r="AG5" s="197">
        <v>21101</v>
      </c>
      <c r="AH5" s="200"/>
      <c r="AI5" s="197">
        <v>21101</v>
      </c>
      <c r="AJ5" s="200"/>
      <c r="AK5" s="197">
        <v>21101</v>
      </c>
      <c r="AL5" s="200"/>
      <c r="AM5" s="197">
        <v>21101</v>
      </c>
      <c r="AN5" s="200"/>
      <c r="AO5" s="197">
        <v>21101</v>
      </c>
      <c r="AP5" s="200"/>
      <c r="AQ5" s="197">
        <v>21101</v>
      </c>
      <c r="AR5" s="200">
        <v>5220</v>
      </c>
      <c r="AS5" s="197">
        <v>21101</v>
      </c>
      <c r="AT5" s="200"/>
      <c r="AU5" s="191">
        <f>B5+D5+F5+H5+J5+L5+N5+P5+R5+T5+V5+X5+Z5+AB5+AD5+AF5+AH5+AJ5+AL5+AN5+AP5+AR5+AT5</f>
        <v>11720</v>
      </c>
      <c r="AV5" s="196"/>
      <c r="AW5" s="168">
        <f>AU5-AV5</f>
        <v>11720</v>
      </c>
      <c r="AY5" s="244">
        <v>7503.78</v>
      </c>
    </row>
    <row r="6" spans="1:52" s="107" customFormat="1" x14ac:dyDescent="0.25">
      <c r="A6" s="109">
        <v>21102</v>
      </c>
      <c r="B6" s="111">
        <v>31255.15</v>
      </c>
      <c r="C6" s="109">
        <v>21102</v>
      </c>
      <c r="D6" s="132">
        <v>107053.19</v>
      </c>
      <c r="E6" s="109">
        <v>21102</v>
      </c>
      <c r="F6" s="140">
        <v>87285.65</v>
      </c>
      <c r="G6" s="109">
        <v>21102</v>
      </c>
      <c r="H6" s="140">
        <v>46206.92</v>
      </c>
      <c r="I6" s="170">
        <v>21102</v>
      </c>
      <c r="J6" s="165">
        <f>3858.29+172.26</f>
        <v>4030.55</v>
      </c>
      <c r="K6" s="170">
        <v>21102</v>
      </c>
      <c r="L6" s="175">
        <v>10934.14</v>
      </c>
      <c r="M6" s="170">
        <v>21102</v>
      </c>
      <c r="N6" s="173">
        <v>4078.05</v>
      </c>
      <c r="O6" s="170">
        <v>21102</v>
      </c>
      <c r="P6" s="173">
        <v>1582.73</v>
      </c>
      <c r="Q6" s="170">
        <v>21102</v>
      </c>
      <c r="R6" s="175">
        <v>1474.02</v>
      </c>
      <c r="S6" s="170">
        <v>21102</v>
      </c>
      <c r="T6" s="175">
        <v>25342.080000000002</v>
      </c>
      <c r="U6" s="170">
        <v>21102</v>
      </c>
      <c r="V6" s="175">
        <v>2711.21</v>
      </c>
      <c r="W6" s="170">
        <v>21102</v>
      </c>
      <c r="X6" s="175">
        <v>36105.54</v>
      </c>
      <c r="Y6" s="170">
        <v>21102</v>
      </c>
      <c r="Z6" s="175">
        <v>1502.1</v>
      </c>
      <c r="AA6" s="170">
        <v>21102</v>
      </c>
      <c r="AB6" s="175">
        <v>8408.17</v>
      </c>
      <c r="AC6" s="170">
        <v>21102</v>
      </c>
      <c r="AD6" s="175">
        <v>14719.4</v>
      </c>
      <c r="AE6" s="170">
        <v>21102</v>
      </c>
      <c r="AF6" s="175">
        <v>6992.518</v>
      </c>
      <c r="AG6" s="170">
        <v>21102</v>
      </c>
      <c r="AH6" s="175">
        <v>2645.12</v>
      </c>
      <c r="AI6" s="170">
        <v>21102</v>
      </c>
      <c r="AJ6" s="175">
        <v>5905.88</v>
      </c>
      <c r="AK6" s="170">
        <v>21102</v>
      </c>
      <c r="AL6" s="175">
        <v>22089.83</v>
      </c>
      <c r="AM6" s="170">
        <v>21102</v>
      </c>
      <c r="AN6" s="175">
        <v>4142.5300000000007</v>
      </c>
      <c r="AO6" s="170">
        <v>21102</v>
      </c>
      <c r="AP6" s="175">
        <f>11503.5-62.01+5852.03</f>
        <v>17293.52</v>
      </c>
      <c r="AQ6" s="170">
        <v>21102</v>
      </c>
      <c r="AR6" s="175">
        <v>13923.67</v>
      </c>
      <c r="AS6" s="170">
        <v>21102</v>
      </c>
      <c r="AT6" s="175">
        <v>29824.75</v>
      </c>
      <c r="AU6" s="191">
        <f t="shared" ref="AU6:AU78" si="0">B6+D6+F6+H6+J6+L6+N6+P6+R6+T6+V6+X6+Z6+AB6+AD6+AF6+AH6+AJ6+AL6+AN6+AP6+AR6+AT6</f>
        <v>485506.71799999999</v>
      </c>
      <c r="AV6" s="140">
        <v>485410.67738826695</v>
      </c>
      <c r="AW6" s="168">
        <f>AU6-AV6</f>
        <v>96.040611733042169</v>
      </c>
      <c r="AX6" s="112"/>
      <c r="AZ6" s="245"/>
    </row>
    <row r="7" spans="1:52" x14ac:dyDescent="0.25">
      <c r="A7" s="110"/>
      <c r="B7" s="111"/>
      <c r="C7" s="110"/>
      <c r="D7" s="132"/>
      <c r="E7" s="110"/>
      <c r="F7" s="141"/>
      <c r="G7" s="110"/>
      <c r="H7" s="111"/>
      <c r="I7" s="110"/>
      <c r="K7" s="110"/>
      <c r="L7" s="176"/>
      <c r="M7" s="110"/>
      <c r="N7" s="131"/>
      <c r="O7" s="110"/>
      <c r="P7" s="131"/>
      <c r="Q7" s="110"/>
      <c r="R7" s="176"/>
      <c r="S7" s="110"/>
      <c r="T7" s="176"/>
      <c r="U7" s="110"/>
      <c r="V7" s="176"/>
      <c r="W7" s="110"/>
      <c r="X7" s="176"/>
      <c r="Y7" s="110"/>
      <c r="Z7" s="176"/>
      <c r="AA7" s="110"/>
      <c r="AB7" s="176"/>
      <c r="AC7" s="110"/>
      <c r="AD7" s="176"/>
      <c r="AE7" s="110"/>
      <c r="AF7" s="176"/>
      <c r="AG7" s="110"/>
      <c r="AH7" s="176"/>
      <c r="AI7" s="110"/>
      <c r="AJ7" s="176"/>
      <c r="AK7" s="110"/>
      <c r="AL7" s="176"/>
      <c r="AM7" s="110"/>
      <c r="AN7" s="176"/>
      <c r="AO7" s="110"/>
      <c r="AP7" s="176"/>
      <c r="AQ7" s="110"/>
      <c r="AR7" s="176"/>
      <c r="AS7" s="110"/>
      <c r="AT7" s="176"/>
      <c r="AU7" s="191">
        <f t="shared" si="0"/>
        <v>0</v>
      </c>
      <c r="AW7" s="169">
        <f t="shared" ref="AW7:AW85" si="1">AU7-AV7</f>
        <v>0</v>
      </c>
    </row>
    <row r="8" spans="1:52" x14ac:dyDescent="0.25">
      <c r="A8" s="120">
        <v>21104</v>
      </c>
      <c r="B8" s="111"/>
      <c r="C8" s="120">
        <v>21104</v>
      </c>
      <c r="D8" s="132">
        <v>2900</v>
      </c>
      <c r="E8" s="120">
        <v>21104</v>
      </c>
      <c r="F8" s="141">
        <v>2517.75</v>
      </c>
      <c r="G8" s="120">
        <v>21104</v>
      </c>
      <c r="H8" s="111"/>
      <c r="I8" s="120">
        <v>21104</v>
      </c>
      <c r="K8" s="120">
        <v>21104</v>
      </c>
      <c r="L8" s="140"/>
      <c r="M8" s="120">
        <v>21104</v>
      </c>
      <c r="N8" s="140"/>
      <c r="O8" s="120">
        <v>21104</v>
      </c>
      <c r="P8" s="140"/>
      <c r="Q8" s="120">
        <v>21104</v>
      </c>
      <c r="R8" s="140"/>
      <c r="S8" s="120">
        <v>21104</v>
      </c>
      <c r="T8" s="140"/>
      <c r="U8" s="120">
        <v>21104</v>
      </c>
      <c r="V8" s="140"/>
      <c r="W8" s="120">
        <v>21104</v>
      </c>
      <c r="X8" s="140"/>
      <c r="Y8" s="120">
        <v>21104</v>
      </c>
      <c r="Z8" s="140"/>
      <c r="AA8" s="120">
        <v>21104</v>
      </c>
      <c r="AB8" s="140"/>
      <c r="AC8" s="120">
        <v>21104</v>
      </c>
      <c r="AD8" s="140"/>
      <c r="AE8" s="120">
        <v>21104</v>
      </c>
      <c r="AF8" s="140"/>
      <c r="AG8" s="120">
        <v>21104</v>
      </c>
      <c r="AH8" s="140"/>
      <c r="AI8" s="120">
        <v>21104</v>
      </c>
      <c r="AJ8" s="140"/>
      <c r="AK8" s="120">
        <v>21104</v>
      </c>
      <c r="AL8" s="140"/>
      <c r="AM8" s="120">
        <v>21104</v>
      </c>
      <c r="AN8" s="140"/>
      <c r="AO8" s="120">
        <v>21104</v>
      </c>
      <c r="AP8" s="140"/>
      <c r="AQ8" s="120">
        <v>21104</v>
      </c>
      <c r="AR8" s="140"/>
      <c r="AS8" s="120">
        <v>21104</v>
      </c>
      <c r="AT8" s="140"/>
      <c r="AU8" s="191">
        <f t="shared" si="0"/>
        <v>5417.75</v>
      </c>
      <c r="AW8" s="169">
        <f t="shared" si="1"/>
        <v>5417.75</v>
      </c>
    </row>
    <row r="9" spans="1:52" x14ac:dyDescent="0.25">
      <c r="A9" s="109">
        <v>21106</v>
      </c>
      <c r="B9" s="111">
        <f>71235.26-15170.72</f>
        <v>56064.539999999994</v>
      </c>
      <c r="C9" s="109">
        <v>21106</v>
      </c>
      <c r="D9" s="132">
        <v>336595</v>
      </c>
      <c r="E9" s="109">
        <v>21106</v>
      </c>
      <c r="F9" s="139">
        <v>104251.1</v>
      </c>
      <c r="G9" s="109">
        <v>21106</v>
      </c>
      <c r="H9" s="111">
        <v>41020.810399999995</v>
      </c>
      <c r="I9" s="109">
        <v>21106</v>
      </c>
      <c r="J9" s="106">
        <f>7947.88-172.26</f>
        <v>7775.62</v>
      </c>
      <c r="K9" s="109">
        <v>21106</v>
      </c>
      <c r="L9" s="140">
        <v>34737.58</v>
      </c>
      <c r="M9" s="109">
        <v>21106</v>
      </c>
      <c r="N9" s="174">
        <v>3790.45</v>
      </c>
      <c r="O9" s="109">
        <v>21106</v>
      </c>
      <c r="P9" s="174">
        <v>16727.32</v>
      </c>
      <c r="Q9" s="109">
        <v>21106</v>
      </c>
      <c r="R9" s="140">
        <v>9381.39</v>
      </c>
      <c r="S9" s="109">
        <v>21106</v>
      </c>
      <c r="T9" s="140">
        <v>24189.26</v>
      </c>
      <c r="U9" s="109">
        <v>21106</v>
      </c>
      <c r="V9" s="140">
        <v>5653.78</v>
      </c>
      <c r="W9" s="109">
        <v>21106</v>
      </c>
      <c r="X9" s="140">
        <v>107643.95</v>
      </c>
      <c r="Y9" s="109">
        <v>21106</v>
      </c>
      <c r="Z9" s="140">
        <v>1139.0999999999999</v>
      </c>
      <c r="AA9" s="109">
        <v>21106</v>
      </c>
      <c r="AB9" s="140">
        <v>16593.34</v>
      </c>
      <c r="AC9" s="109">
        <v>21106</v>
      </c>
      <c r="AD9" s="140">
        <v>24787.9</v>
      </c>
      <c r="AE9" s="109">
        <v>21106</v>
      </c>
      <c r="AF9" s="140">
        <v>9942.3200000000015</v>
      </c>
      <c r="AG9" s="109">
        <v>21106</v>
      </c>
      <c r="AH9" s="140">
        <v>5911.8599999999988</v>
      </c>
      <c r="AI9" s="109">
        <v>21106</v>
      </c>
      <c r="AJ9" s="140">
        <v>5625.5127999999995</v>
      </c>
      <c r="AK9" s="109">
        <v>21106</v>
      </c>
      <c r="AL9" s="140">
        <v>37251.919999999998</v>
      </c>
      <c r="AM9" s="109">
        <v>21106</v>
      </c>
      <c r="AN9" s="140">
        <v>7592.72</v>
      </c>
      <c r="AO9" s="109">
        <v>21106</v>
      </c>
      <c r="AP9" s="140">
        <v>41023.480000000003</v>
      </c>
      <c r="AQ9" s="109">
        <v>21106</v>
      </c>
      <c r="AR9" s="140">
        <v>3556.86</v>
      </c>
      <c r="AS9" s="109">
        <v>21106</v>
      </c>
      <c r="AT9" s="140">
        <v>60989.37</v>
      </c>
      <c r="AU9" s="191">
        <f t="shared" si="0"/>
        <v>962245.18319999974</v>
      </c>
      <c r="AV9" s="142">
        <v>977415.90014399984</v>
      </c>
      <c r="AW9" s="242">
        <f t="shared" si="1"/>
        <v>-15170.716944000102</v>
      </c>
      <c r="AY9" s="243">
        <v>15170.72</v>
      </c>
    </row>
    <row r="10" spans="1:52" x14ac:dyDescent="0.25">
      <c r="A10" s="110"/>
      <c r="B10" s="111"/>
      <c r="C10" s="110"/>
      <c r="D10" s="132"/>
      <c r="E10" s="110"/>
      <c r="F10" s="141"/>
      <c r="G10" s="110"/>
      <c r="H10" s="111"/>
      <c r="I10" s="110"/>
      <c r="K10" s="110"/>
      <c r="L10" s="176"/>
      <c r="M10" s="110"/>
      <c r="N10" s="131"/>
      <c r="O10" s="110"/>
      <c r="P10" s="131"/>
      <c r="Q10" s="110"/>
      <c r="R10" s="176"/>
      <c r="S10" s="110"/>
      <c r="T10" s="176"/>
      <c r="U10" s="110"/>
      <c r="V10" s="176"/>
      <c r="W10" s="110"/>
      <c r="X10" s="176"/>
      <c r="Y10" s="110"/>
      <c r="Z10" s="176"/>
      <c r="AA10" s="110"/>
      <c r="AB10" s="176"/>
      <c r="AC10" s="110"/>
      <c r="AD10" s="176"/>
      <c r="AE10" s="110"/>
      <c r="AF10" s="176"/>
      <c r="AG10" s="110"/>
      <c r="AH10" s="176"/>
      <c r="AI10" s="110"/>
      <c r="AJ10" s="176"/>
      <c r="AK10" s="110"/>
      <c r="AL10" s="176"/>
      <c r="AM10" s="110"/>
      <c r="AN10" s="176"/>
      <c r="AO10" s="110"/>
      <c r="AP10" s="176"/>
      <c r="AQ10" s="110"/>
      <c r="AR10" s="176"/>
      <c r="AS10" s="110"/>
      <c r="AT10" s="176"/>
      <c r="AU10" s="191">
        <f t="shared" si="0"/>
        <v>0</v>
      </c>
      <c r="AW10" s="169">
        <f t="shared" si="1"/>
        <v>0</v>
      </c>
    </row>
    <row r="11" spans="1:52" x14ac:dyDescent="0.25">
      <c r="A11" s="111"/>
      <c r="B11" s="111"/>
      <c r="C11" s="111"/>
      <c r="D11" s="132"/>
      <c r="E11" s="111"/>
      <c r="F11" s="141"/>
      <c r="G11" s="111"/>
      <c r="H11" s="111"/>
      <c r="I11" s="111"/>
      <c r="K11" s="111"/>
      <c r="L11" s="176"/>
      <c r="M11" s="111"/>
      <c r="N11" s="176"/>
      <c r="O11" s="111"/>
      <c r="P11" s="176"/>
      <c r="Q11" s="111"/>
      <c r="R11" s="176"/>
      <c r="S11" s="111"/>
      <c r="T11" s="176"/>
      <c r="U11" s="111"/>
      <c r="V11" s="176"/>
      <c r="W11" s="111"/>
      <c r="X11" s="176"/>
      <c r="Y11" s="111"/>
      <c r="Z11" s="176"/>
      <c r="AA11" s="111"/>
      <c r="AB11" s="176"/>
      <c r="AC11" s="111"/>
      <c r="AD11" s="176"/>
      <c r="AE11" s="111"/>
      <c r="AF11" s="176"/>
      <c r="AG11" s="111"/>
      <c r="AH11" s="176"/>
      <c r="AI11" s="111"/>
      <c r="AJ11" s="176"/>
      <c r="AK11" s="111"/>
      <c r="AL11" s="176"/>
      <c r="AM11" s="111"/>
      <c r="AN11" s="176"/>
      <c r="AO11" s="111"/>
      <c r="AP11" s="176"/>
      <c r="AQ11" s="111"/>
      <c r="AR11" s="176"/>
      <c r="AS11" s="111"/>
      <c r="AT11" s="176"/>
      <c r="AU11" s="191">
        <f t="shared" si="0"/>
        <v>0</v>
      </c>
      <c r="AW11" s="169">
        <f t="shared" si="1"/>
        <v>0</v>
      </c>
    </row>
    <row r="12" spans="1:52" x14ac:dyDescent="0.25">
      <c r="A12" s="109">
        <v>21401</v>
      </c>
      <c r="B12" s="111">
        <v>1718.68</v>
      </c>
      <c r="C12" s="109">
        <v>21401</v>
      </c>
      <c r="D12" s="132">
        <v>8035.18</v>
      </c>
      <c r="E12" s="109">
        <v>21401</v>
      </c>
      <c r="F12" s="141">
        <v>15802.52</v>
      </c>
      <c r="G12" s="109">
        <v>21401</v>
      </c>
      <c r="H12" s="111">
        <v>12806.4</v>
      </c>
      <c r="I12" s="109">
        <v>21401</v>
      </c>
      <c r="K12" s="109">
        <v>21401</v>
      </c>
      <c r="L12" s="140"/>
      <c r="M12" s="109">
        <v>21401</v>
      </c>
      <c r="N12" s="174"/>
      <c r="O12" s="109">
        <v>21401</v>
      </c>
      <c r="P12" s="174"/>
      <c r="Q12" s="109">
        <v>21401</v>
      </c>
      <c r="R12" s="140">
        <v>12849.12</v>
      </c>
      <c r="S12" s="109">
        <v>21401</v>
      </c>
      <c r="T12" s="140">
        <v>2400</v>
      </c>
      <c r="U12" s="109">
        <v>21401</v>
      </c>
      <c r="V12" s="140"/>
      <c r="W12" s="109">
        <v>21401</v>
      </c>
      <c r="X12" s="140">
        <v>8204.2800000000007</v>
      </c>
      <c r="Y12" s="109">
        <v>21401</v>
      </c>
      <c r="Z12" s="140"/>
      <c r="AA12" s="109">
        <v>21401</v>
      </c>
      <c r="AB12" s="140"/>
      <c r="AC12" s="109">
        <v>21401</v>
      </c>
      <c r="AD12" s="140">
        <v>1749.4</v>
      </c>
      <c r="AE12" s="109">
        <v>21401</v>
      </c>
      <c r="AF12" s="140"/>
      <c r="AG12" s="109">
        <v>21401</v>
      </c>
      <c r="AH12" s="140"/>
      <c r="AI12" s="109">
        <v>21401</v>
      </c>
      <c r="AJ12" s="140"/>
      <c r="AK12" s="109">
        <v>21401</v>
      </c>
      <c r="AL12" s="140">
        <v>17852.86</v>
      </c>
      <c r="AM12" s="109">
        <v>21401</v>
      </c>
      <c r="AN12" s="140"/>
      <c r="AO12" s="109">
        <v>21401</v>
      </c>
      <c r="AP12" s="140"/>
      <c r="AQ12" s="109">
        <v>21401</v>
      </c>
      <c r="AR12" s="140"/>
      <c r="AS12" s="109">
        <v>21401</v>
      </c>
      <c r="AT12" s="17">
        <v>74492.768000000011</v>
      </c>
      <c r="AU12" s="191">
        <f t="shared" si="0"/>
        <v>155911.20800000001</v>
      </c>
      <c r="AV12" s="106">
        <v>155911.20800000004</v>
      </c>
      <c r="AW12" s="169">
        <f t="shared" si="1"/>
        <v>0</v>
      </c>
    </row>
    <row r="13" spans="1:52" x14ac:dyDescent="0.25">
      <c r="A13" s="109"/>
      <c r="B13" s="111"/>
      <c r="C13" s="109"/>
      <c r="D13" s="132"/>
      <c r="E13" s="109"/>
      <c r="F13" s="141"/>
      <c r="G13" s="109"/>
      <c r="H13" s="111"/>
      <c r="I13" s="109"/>
      <c r="K13" s="109"/>
      <c r="L13" s="140"/>
      <c r="N13" s="174"/>
      <c r="AU13" s="191">
        <f t="shared" si="0"/>
        <v>0</v>
      </c>
      <c r="AW13" s="169"/>
    </row>
    <row r="14" spans="1:52" x14ac:dyDescent="0.25">
      <c r="A14" s="110"/>
      <c r="B14" s="111"/>
      <c r="C14" s="110"/>
      <c r="D14" s="132"/>
      <c r="E14" s="110"/>
      <c r="F14" s="141"/>
      <c r="G14" s="110"/>
      <c r="H14" s="111"/>
      <c r="I14" s="110"/>
      <c r="K14" s="110"/>
      <c r="L14" s="176"/>
      <c r="M14" s="109">
        <v>21503</v>
      </c>
      <c r="N14" s="131">
        <v>16800</v>
      </c>
      <c r="O14" s="109">
        <v>21503</v>
      </c>
      <c r="P14" s="174"/>
      <c r="Q14" s="109">
        <v>21503</v>
      </c>
      <c r="R14" s="140"/>
      <c r="S14" s="109">
        <v>21503</v>
      </c>
      <c r="T14" s="140"/>
      <c r="U14" s="109">
        <v>21503</v>
      </c>
      <c r="V14" s="140">
        <v>810</v>
      </c>
      <c r="W14" s="109">
        <v>21503</v>
      </c>
      <c r="X14" s="140"/>
      <c r="Y14" s="109">
        <v>21503</v>
      </c>
      <c r="Z14" s="140"/>
      <c r="AA14" s="109">
        <v>21503</v>
      </c>
      <c r="AB14" s="140"/>
      <c r="AC14" s="109">
        <v>21503</v>
      </c>
      <c r="AD14" s="140"/>
      <c r="AE14" s="109">
        <v>21503</v>
      </c>
      <c r="AF14" s="140"/>
      <c r="AG14" s="109">
        <v>21503</v>
      </c>
      <c r="AH14" s="140"/>
      <c r="AI14" s="109">
        <v>21503</v>
      </c>
      <c r="AJ14" s="140"/>
      <c r="AK14" s="109">
        <v>21503</v>
      </c>
      <c r="AL14" s="140"/>
      <c r="AM14" s="109">
        <v>21503</v>
      </c>
      <c r="AN14" s="140"/>
      <c r="AO14" s="109">
        <v>21503</v>
      </c>
      <c r="AP14" s="140"/>
      <c r="AQ14" s="109">
        <v>21503</v>
      </c>
      <c r="AR14" s="140"/>
      <c r="AS14" s="109">
        <v>21503</v>
      </c>
      <c r="AT14" s="140"/>
      <c r="AU14" s="191">
        <f t="shared" si="0"/>
        <v>17610</v>
      </c>
      <c r="AW14" s="169">
        <f t="shared" si="1"/>
        <v>17610</v>
      </c>
    </row>
    <row r="15" spans="1:52" x14ac:dyDescent="0.25">
      <c r="A15" s="111"/>
      <c r="B15" s="111"/>
      <c r="C15" s="109">
        <v>21504</v>
      </c>
      <c r="D15" s="132">
        <v>75397.079999999987</v>
      </c>
      <c r="E15" s="109">
        <v>21504</v>
      </c>
      <c r="G15" s="109">
        <v>21504</v>
      </c>
      <c r="H15" s="111"/>
      <c r="I15" s="109">
        <v>21504</v>
      </c>
      <c r="K15" s="109">
        <v>21504</v>
      </c>
      <c r="L15" s="140"/>
      <c r="M15" s="109">
        <v>21504</v>
      </c>
      <c r="N15" s="174"/>
      <c r="O15" s="109">
        <v>21504</v>
      </c>
      <c r="P15" s="174"/>
      <c r="Q15" s="109">
        <v>21504</v>
      </c>
      <c r="R15" s="140"/>
      <c r="S15" s="109">
        <v>21504</v>
      </c>
      <c r="T15" s="140"/>
      <c r="U15" s="109">
        <v>21504</v>
      </c>
      <c r="V15" s="140"/>
      <c r="W15" s="109">
        <v>21504</v>
      </c>
      <c r="X15" s="140"/>
      <c r="Y15" s="109">
        <v>21504</v>
      </c>
      <c r="Z15" s="140"/>
      <c r="AA15" s="109">
        <v>21504</v>
      </c>
      <c r="AB15" s="140">
        <v>1000</v>
      </c>
      <c r="AC15" s="109">
        <v>21504</v>
      </c>
      <c r="AD15" s="140"/>
      <c r="AE15" s="109">
        <v>21504</v>
      </c>
      <c r="AF15" s="140"/>
      <c r="AG15" s="109">
        <v>21504</v>
      </c>
      <c r="AH15" s="140"/>
      <c r="AI15" s="109">
        <v>21504</v>
      </c>
      <c r="AJ15" s="140"/>
      <c r="AK15" s="109">
        <v>21504</v>
      </c>
      <c r="AL15" s="140"/>
      <c r="AM15" s="109">
        <v>21504</v>
      </c>
      <c r="AN15" s="140"/>
      <c r="AO15" s="109">
        <v>21504</v>
      </c>
      <c r="AP15" s="140"/>
      <c r="AQ15" s="109">
        <v>21504</v>
      </c>
      <c r="AR15" s="140"/>
      <c r="AS15" s="109">
        <v>21504</v>
      </c>
      <c r="AT15" s="140">
        <v>6000</v>
      </c>
      <c r="AU15" s="191">
        <f t="shared" si="0"/>
        <v>82397.079999999987</v>
      </c>
      <c r="AV15" s="106">
        <v>82397.079999999987</v>
      </c>
      <c r="AW15" s="169">
        <f t="shared" si="1"/>
        <v>0</v>
      </c>
    </row>
    <row r="16" spans="1:52" s="108" customFormat="1" x14ac:dyDescent="0.25">
      <c r="A16" s="131"/>
      <c r="B16" s="131"/>
      <c r="C16" s="112"/>
      <c r="D16" s="177"/>
      <c r="E16" s="112"/>
      <c r="F16" s="142"/>
      <c r="G16" s="112"/>
      <c r="H16" s="131"/>
      <c r="I16" s="112"/>
      <c r="J16" s="160"/>
      <c r="K16" s="112"/>
      <c r="L16" s="140"/>
      <c r="M16" s="112"/>
      <c r="N16" s="174"/>
      <c r="O16" s="112"/>
      <c r="P16" s="174"/>
      <c r="Q16" s="112"/>
      <c r="R16" s="140"/>
      <c r="S16" s="112"/>
      <c r="T16" s="140"/>
      <c r="U16" s="112"/>
      <c r="V16" s="140"/>
      <c r="W16" s="112"/>
      <c r="X16" s="140"/>
      <c r="Y16" s="112"/>
      <c r="Z16" s="140"/>
      <c r="AA16" s="112"/>
      <c r="AB16" s="140"/>
      <c r="AC16" s="112"/>
      <c r="AD16" s="140"/>
      <c r="AE16" s="112"/>
      <c r="AF16" s="140"/>
      <c r="AG16" s="112"/>
      <c r="AH16" s="140"/>
      <c r="AI16" s="112"/>
      <c r="AJ16" s="140"/>
      <c r="AK16" s="112"/>
      <c r="AL16" s="140"/>
      <c r="AM16" s="112"/>
      <c r="AN16" s="140"/>
      <c r="AO16" s="112"/>
      <c r="AP16" s="140"/>
      <c r="AQ16" s="112"/>
      <c r="AR16" s="140"/>
      <c r="AS16" s="112"/>
      <c r="AT16" s="140"/>
      <c r="AU16" s="191">
        <f t="shared" si="0"/>
        <v>0</v>
      </c>
      <c r="AV16" s="160"/>
      <c r="AW16" s="169">
        <f t="shared" si="1"/>
        <v>0</v>
      </c>
      <c r="AZ16" s="246"/>
    </row>
    <row r="17" spans="1:49" x14ac:dyDescent="0.25">
      <c r="A17" s="109">
        <v>21601</v>
      </c>
      <c r="B17" s="111">
        <v>63.24</v>
      </c>
      <c r="C17" s="109">
        <v>21601</v>
      </c>
      <c r="D17" s="132">
        <v>242418.38</v>
      </c>
      <c r="E17" s="109">
        <v>21601</v>
      </c>
      <c r="F17" s="141">
        <v>40733.35</v>
      </c>
      <c r="G17" s="109">
        <v>21601</v>
      </c>
      <c r="H17" s="111">
        <v>89654.32</v>
      </c>
      <c r="I17" s="109">
        <v>21601</v>
      </c>
      <c r="K17" s="109">
        <v>21601</v>
      </c>
      <c r="L17" s="140"/>
      <c r="M17" s="109">
        <v>21601</v>
      </c>
      <c r="N17" s="174"/>
      <c r="O17" s="109">
        <v>21601</v>
      </c>
      <c r="P17" s="174"/>
      <c r="Q17" s="109">
        <v>21601</v>
      </c>
      <c r="R17" s="140">
        <v>367.18</v>
      </c>
      <c r="S17" s="109">
        <v>21601</v>
      </c>
      <c r="T17" s="140">
        <v>10352.44</v>
      </c>
      <c r="U17" s="109">
        <v>21601</v>
      </c>
      <c r="V17" s="140"/>
      <c r="W17" s="109">
        <v>21601</v>
      </c>
      <c r="X17" s="140"/>
      <c r="Y17" s="109">
        <v>21601</v>
      </c>
      <c r="Z17" s="140"/>
      <c r="AA17" s="109">
        <v>21601</v>
      </c>
      <c r="AB17" s="140"/>
      <c r="AC17" s="109">
        <v>21601</v>
      </c>
      <c r="AD17" s="140">
        <v>9890</v>
      </c>
      <c r="AE17" s="109">
        <v>21601</v>
      </c>
      <c r="AF17" s="140"/>
      <c r="AG17" s="109">
        <v>21601</v>
      </c>
      <c r="AH17" s="140"/>
      <c r="AI17" s="109">
        <v>21601</v>
      </c>
      <c r="AJ17" s="140"/>
      <c r="AK17" s="109">
        <v>21601</v>
      </c>
      <c r="AL17" s="140">
        <v>1675.5</v>
      </c>
      <c r="AM17" s="109">
        <v>21601</v>
      </c>
      <c r="AN17" s="140">
        <v>5230.2799999999988</v>
      </c>
      <c r="AO17" s="109">
        <v>21601</v>
      </c>
      <c r="AP17" s="140">
        <v>10393.300000000001</v>
      </c>
      <c r="AQ17" s="109">
        <v>21601</v>
      </c>
      <c r="AR17" s="140">
        <v>2936.505200000001</v>
      </c>
      <c r="AS17" s="109">
        <v>21601</v>
      </c>
      <c r="AT17" s="140">
        <v>150000</v>
      </c>
      <c r="AU17" s="191">
        <f t="shared" si="0"/>
        <v>563714.4952</v>
      </c>
      <c r="AV17" s="106">
        <v>563714.48400000005</v>
      </c>
      <c r="AW17" s="169">
        <f t="shared" si="1"/>
        <v>1.1199999949894845E-2</v>
      </c>
    </row>
    <row r="18" spans="1:49" x14ac:dyDescent="0.25">
      <c r="A18" s="110"/>
      <c r="B18" s="111"/>
      <c r="C18" s="109">
        <v>21602</v>
      </c>
      <c r="D18" s="132">
        <v>173039.6</v>
      </c>
      <c r="E18" s="109">
        <v>21602</v>
      </c>
      <c r="F18" s="141">
        <v>73979.89</v>
      </c>
      <c r="G18" s="109">
        <v>21602</v>
      </c>
      <c r="H18" s="111">
        <v>157709.19199999998</v>
      </c>
      <c r="I18" s="109">
        <v>21602</v>
      </c>
      <c r="K18" s="109">
        <v>21602</v>
      </c>
      <c r="L18" s="140"/>
      <c r="M18" s="109">
        <v>21602</v>
      </c>
      <c r="N18" s="174"/>
      <c r="O18" s="109">
        <v>21602</v>
      </c>
      <c r="P18" s="174"/>
      <c r="Q18" s="109">
        <v>21602</v>
      </c>
      <c r="R18" s="140"/>
      <c r="S18" s="109">
        <v>21602</v>
      </c>
      <c r="T18" s="140">
        <v>3805.58</v>
      </c>
      <c r="U18" s="109">
        <v>21602</v>
      </c>
      <c r="V18" s="140"/>
      <c r="W18" s="109">
        <v>21602</v>
      </c>
      <c r="X18" s="140"/>
      <c r="Y18" s="109">
        <v>21602</v>
      </c>
      <c r="Z18" s="140"/>
      <c r="AA18" s="109">
        <v>21602</v>
      </c>
      <c r="AB18" s="140"/>
      <c r="AC18" s="109">
        <v>21602</v>
      </c>
      <c r="AD18" s="140">
        <v>3276</v>
      </c>
      <c r="AE18" s="109">
        <v>21602</v>
      </c>
      <c r="AF18" s="140"/>
      <c r="AG18" s="109">
        <v>21602</v>
      </c>
      <c r="AH18" s="140"/>
      <c r="AI18" s="109">
        <v>21602</v>
      </c>
      <c r="AJ18" s="140"/>
      <c r="AK18" s="109">
        <v>21602</v>
      </c>
      <c r="AL18" s="140">
        <v>2597.4</v>
      </c>
      <c r="AM18" s="109">
        <v>21602</v>
      </c>
      <c r="AN18" s="140">
        <v>3803.82</v>
      </c>
      <c r="AO18" s="109">
        <v>21602</v>
      </c>
      <c r="AP18" s="140">
        <v>12679.400000000001</v>
      </c>
      <c r="AQ18" s="109">
        <v>21602</v>
      </c>
      <c r="AR18" s="140">
        <v>1471.7615999999998</v>
      </c>
      <c r="AS18" s="109">
        <v>21602</v>
      </c>
      <c r="AT18" s="140">
        <v>57026.7</v>
      </c>
      <c r="AU18" s="191">
        <f t="shared" si="0"/>
        <v>489389.34360000008</v>
      </c>
      <c r="AV18" s="106">
        <v>489389.33039999998</v>
      </c>
      <c r="AW18" s="169">
        <f t="shared" si="1"/>
        <v>1.3200000103097409E-2</v>
      </c>
    </row>
    <row r="19" spans="1:49" x14ac:dyDescent="0.25">
      <c r="A19" s="111"/>
      <c r="B19" s="111"/>
      <c r="C19" s="109">
        <v>21603</v>
      </c>
      <c r="D19" s="132">
        <v>6831.63</v>
      </c>
      <c r="E19" s="109">
        <v>21603</v>
      </c>
      <c r="F19" s="141">
        <v>1264.25</v>
      </c>
      <c r="G19" s="109">
        <v>21603</v>
      </c>
      <c r="H19" s="111">
        <v>2836.78</v>
      </c>
      <c r="I19" s="109">
        <v>21603</v>
      </c>
      <c r="K19" s="109">
        <v>21603</v>
      </c>
      <c r="L19" s="140"/>
      <c r="M19" s="109">
        <v>21603</v>
      </c>
      <c r="N19" s="174"/>
      <c r="O19" s="109">
        <v>21603</v>
      </c>
      <c r="P19" s="174"/>
      <c r="Q19" s="109">
        <v>21603</v>
      </c>
      <c r="R19" s="140"/>
      <c r="S19" s="109">
        <v>21603</v>
      </c>
      <c r="T19" s="140"/>
      <c r="U19" s="109">
        <v>21603</v>
      </c>
      <c r="V19" s="140"/>
      <c r="W19" s="109">
        <v>21603</v>
      </c>
      <c r="X19" s="140"/>
      <c r="Y19" s="109">
        <v>21603</v>
      </c>
      <c r="Z19" s="140"/>
      <c r="AA19" s="109">
        <v>21603</v>
      </c>
      <c r="AB19" s="140"/>
      <c r="AC19" s="109">
        <v>21603</v>
      </c>
      <c r="AD19" s="140"/>
      <c r="AE19" s="109">
        <v>21603</v>
      </c>
      <c r="AF19" s="140"/>
      <c r="AG19" s="109">
        <v>21603</v>
      </c>
      <c r="AH19" s="140"/>
      <c r="AI19" s="109">
        <v>21603</v>
      </c>
      <c r="AJ19" s="140"/>
      <c r="AK19" s="109">
        <v>21603</v>
      </c>
      <c r="AL19" s="140"/>
      <c r="AM19" s="109">
        <v>21603</v>
      </c>
      <c r="AN19" s="140"/>
      <c r="AO19" s="109">
        <v>21603</v>
      </c>
      <c r="AP19" s="140">
        <v>768</v>
      </c>
      <c r="AQ19" s="109">
        <v>21603</v>
      </c>
      <c r="AR19" s="140">
        <v>1930.24</v>
      </c>
      <c r="AS19" s="109">
        <v>21603</v>
      </c>
      <c r="AT19" s="140">
        <v>89.1</v>
      </c>
      <c r="AU19" s="191">
        <f t="shared" si="0"/>
        <v>13720</v>
      </c>
      <c r="AV19" s="106">
        <v>13720.000000000002</v>
      </c>
      <c r="AW19" s="169">
        <f t="shared" si="1"/>
        <v>0</v>
      </c>
    </row>
    <row r="20" spans="1:49" x14ac:dyDescent="0.25">
      <c r="A20" s="111"/>
      <c r="B20" s="111"/>
      <c r="C20" s="109"/>
      <c r="D20" s="132"/>
      <c r="E20" s="109">
        <v>21701</v>
      </c>
      <c r="F20" s="141">
        <v>73688</v>
      </c>
      <c r="G20" s="109">
        <v>21701</v>
      </c>
      <c r="H20" s="111">
        <v>118398.79879999996</v>
      </c>
      <c r="I20" s="109">
        <v>21701</v>
      </c>
      <c r="K20" s="109">
        <v>21701</v>
      </c>
      <c r="L20" s="140"/>
      <c r="M20" s="109">
        <v>21701</v>
      </c>
      <c r="N20" s="174"/>
      <c r="O20" s="109">
        <v>21701</v>
      </c>
      <c r="P20" s="174"/>
      <c r="Q20" s="109">
        <v>21701</v>
      </c>
      <c r="R20" s="140"/>
      <c r="S20" s="109">
        <v>21701</v>
      </c>
      <c r="T20" s="140"/>
      <c r="U20" s="109">
        <v>21701</v>
      </c>
      <c r="V20" s="140"/>
      <c r="W20" s="109">
        <v>21701</v>
      </c>
      <c r="X20" s="140"/>
      <c r="Y20" s="109">
        <v>21701</v>
      </c>
      <c r="Z20" s="140"/>
      <c r="AA20" s="109">
        <v>21701</v>
      </c>
      <c r="AB20" s="140"/>
      <c r="AC20" s="109">
        <v>21701</v>
      </c>
      <c r="AD20" s="140"/>
      <c r="AE20" s="109">
        <v>21701</v>
      </c>
      <c r="AF20" s="140"/>
      <c r="AG20" s="109">
        <v>21701</v>
      </c>
      <c r="AH20" s="140"/>
      <c r="AI20" s="109">
        <v>21701</v>
      </c>
      <c r="AJ20" s="140"/>
      <c r="AK20" s="109">
        <v>21701</v>
      </c>
      <c r="AL20" s="140">
        <v>1456.48</v>
      </c>
      <c r="AM20" s="109">
        <v>21701</v>
      </c>
      <c r="AN20" s="140"/>
      <c r="AO20" s="109">
        <v>21701</v>
      </c>
      <c r="AP20" s="140"/>
      <c r="AQ20" s="109">
        <v>21701</v>
      </c>
      <c r="AR20" s="140">
        <v>57940.782000000007</v>
      </c>
      <c r="AS20" s="109">
        <v>21701</v>
      </c>
      <c r="AT20" s="140"/>
      <c r="AU20" s="191">
        <f t="shared" si="0"/>
        <v>251484.06079999998</v>
      </c>
      <c r="AW20" s="169">
        <f t="shared" si="1"/>
        <v>251484.06079999998</v>
      </c>
    </row>
    <row r="21" spans="1:49" x14ac:dyDescent="0.25">
      <c r="A21" s="110"/>
      <c r="B21" s="111"/>
      <c r="C21" s="109">
        <v>21702</v>
      </c>
      <c r="D21" s="132">
        <v>826.88</v>
      </c>
      <c r="E21" s="109">
        <v>21702</v>
      </c>
      <c r="F21" s="141">
        <v>22277</v>
      </c>
      <c r="G21" s="109">
        <v>21702</v>
      </c>
      <c r="H21" s="111">
        <v>11187.34</v>
      </c>
      <c r="I21" s="109">
        <v>21702</v>
      </c>
      <c r="K21" s="109">
        <v>21702</v>
      </c>
      <c r="L21" s="140"/>
      <c r="M21" s="109">
        <v>21702</v>
      </c>
      <c r="N21" s="174"/>
      <c r="O21" s="109">
        <v>21702</v>
      </c>
      <c r="P21" s="174">
        <v>500</v>
      </c>
      <c r="Q21" s="109">
        <v>21702</v>
      </c>
      <c r="R21" s="140"/>
      <c r="S21" s="109">
        <v>21702</v>
      </c>
      <c r="T21" s="140"/>
      <c r="U21" s="109">
        <v>21702</v>
      </c>
      <c r="V21" s="140"/>
      <c r="W21" s="109">
        <v>21702</v>
      </c>
      <c r="X21" s="140"/>
      <c r="Y21" s="109">
        <v>21702</v>
      </c>
      <c r="Z21" s="140"/>
      <c r="AA21" s="109">
        <v>21702</v>
      </c>
      <c r="AB21" s="140"/>
      <c r="AC21" s="109">
        <v>21702</v>
      </c>
      <c r="AD21" s="140"/>
      <c r="AE21" s="109">
        <v>21702</v>
      </c>
      <c r="AF21" s="140">
        <v>407593.5</v>
      </c>
      <c r="AG21" s="109">
        <v>21702</v>
      </c>
      <c r="AH21" s="140"/>
      <c r="AI21" s="109">
        <v>21702</v>
      </c>
      <c r="AJ21" s="140"/>
      <c r="AK21" s="109">
        <v>21702</v>
      </c>
      <c r="AL21" s="140">
        <v>3004.4</v>
      </c>
      <c r="AM21" s="109">
        <v>21702</v>
      </c>
      <c r="AN21" s="140"/>
      <c r="AO21" s="109">
        <v>21702</v>
      </c>
      <c r="AP21" s="140"/>
      <c r="AQ21" s="109">
        <v>21702</v>
      </c>
      <c r="AR21" s="140">
        <v>4092.7236000000003</v>
      </c>
      <c r="AS21" s="109">
        <v>21702</v>
      </c>
      <c r="AT21" s="140">
        <v>16522.5</v>
      </c>
      <c r="AU21" s="191">
        <f t="shared" si="0"/>
        <v>466004.34360000002</v>
      </c>
      <c r="AV21" s="106">
        <v>466004.34967999998</v>
      </c>
      <c r="AW21" s="169">
        <f t="shared" si="1"/>
        <v>-6.0799999628216028E-3</v>
      </c>
    </row>
    <row r="22" spans="1:49" x14ac:dyDescent="0.25">
      <c r="A22" s="109">
        <v>21802</v>
      </c>
      <c r="B22" s="111">
        <v>2443.98</v>
      </c>
      <c r="C22" s="110"/>
      <c r="D22" s="132"/>
      <c r="E22" s="110"/>
      <c r="F22" s="141"/>
      <c r="G22" s="110"/>
      <c r="H22" s="111"/>
      <c r="I22" s="110"/>
      <c r="K22" s="110"/>
      <c r="L22" s="176"/>
      <c r="M22" s="110"/>
      <c r="N22" s="131"/>
      <c r="O22" s="110"/>
      <c r="P22" s="131"/>
      <c r="Q22" s="110"/>
      <c r="R22" s="176"/>
      <c r="S22" s="110"/>
      <c r="T22" s="176"/>
      <c r="U22" s="110"/>
      <c r="V22" s="176"/>
      <c r="W22" s="110"/>
      <c r="X22" s="176"/>
      <c r="Y22" s="110"/>
      <c r="Z22" s="176"/>
      <c r="AA22" s="110"/>
      <c r="AB22" s="176"/>
      <c r="AC22" s="110"/>
      <c r="AD22" s="176"/>
      <c r="AE22" s="110"/>
      <c r="AF22" s="176"/>
      <c r="AG22" s="110"/>
      <c r="AH22" s="176"/>
      <c r="AI22" s="110"/>
      <c r="AJ22" s="176"/>
      <c r="AK22" s="110"/>
      <c r="AL22" s="176"/>
      <c r="AM22" s="110"/>
      <c r="AN22" s="176"/>
      <c r="AO22" s="110"/>
      <c r="AP22" s="176"/>
      <c r="AQ22" s="110"/>
      <c r="AR22" s="176"/>
      <c r="AS22" s="109">
        <v>21802</v>
      </c>
      <c r="AT22" s="176">
        <v>8999.98</v>
      </c>
      <c r="AU22" s="191">
        <f>B22+D22+F22+H22+J22+L22+N22+P22+R22+T22+V22+X22+Z22+AB22+AD22+AF22+AH22+AJ22+AL22+AN22+AP22+AR22+AT22</f>
        <v>11443.96</v>
      </c>
      <c r="AV22" s="106">
        <v>11443.96</v>
      </c>
      <c r="AW22" s="169">
        <f t="shared" si="1"/>
        <v>0</v>
      </c>
    </row>
    <row r="23" spans="1:49" x14ac:dyDescent="0.25">
      <c r="A23" s="109"/>
      <c r="B23" s="111"/>
      <c r="C23" s="110"/>
      <c r="D23" s="132"/>
      <c r="E23" s="110"/>
      <c r="F23" s="141"/>
      <c r="G23" s="110"/>
      <c r="H23" s="111"/>
      <c r="I23" s="110"/>
      <c r="K23" s="110"/>
      <c r="L23" s="176"/>
      <c r="M23" s="110"/>
      <c r="N23" s="131"/>
      <c r="O23" s="110"/>
      <c r="P23" s="131"/>
      <c r="Q23" s="110"/>
      <c r="R23" s="176"/>
      <c r="S23" s="110"/>
      <c r="T23" s="176"/>
      <c r="U23" s="110"/>
      <c r="V23" s="176"/>
      <c r="W23" s="110"/>
      <c r="X23" s="176"/>
      <c r="Y23" s="110"/>
      <c r="Z23" s="176"/>
      <c r="AA23" s="110"/>
      <c r="AB23" s="176"/>
      <c r="AC23" s="110"/>
      <c r="AD23" s="176"/>
      <c r="AE23" s="110"/>
      <c r="AF23" s="176"/>
      <c r="AG23" s="110"/>
      <c r="AH23" s="176"/>
      <c r="AI23" s="110"/>
      <c r="AJ23" s="176"/>
      <c r="AK23" s="110"/>
      <c r="AL23" s="176"/>
      <c r="AM23" s="110"/>
      <c r="AN23" s="176"/>
      <c r="AO23" s="110"/>
      <c r="AP23" s="176"/>
      <c r="AQ23" s="110"/>
      <c r="AR23" s="176"/>
      <c r="AT23" s="176"/>
      <c r="AU23" s="191">
        <f>B23+D23+F23+H23+J23+L23+N23+P23+R23+T23+V23+X23+Z23+AB23+AD23+AF23+AH23+AJ23+AL23+AN23+AP23+AR23+AT23</f>
        <v>0</v>
      </c>
      <c r="AW23" s="169">
        <f t="shared" si="1"/>
        <v>0</v>
      </c>
    </row>
    <row r="24" spans="1:49" x14ac:dyDescent="0.25">
      <c r="A24" s="111"/>
      <c r="B24" s="111"/>
      <c r="C24" s="111"/>
      <c r="D24" s="132"/>
      <c r="E24" s="109">
        <v>22102</v>
      </c>
      <c r="F24" s="141">
        <v>130474.83</v>
      </c>
      <c r="G24" s="109">
        <v>22102</v>
      </c>
      <c r="H24" s="111">
        <v>729080.1</v>
      </c>
      <c r="I24" s="109">
        <v>22102</v>
      </c>
      <c r="K24" s="109">
        <v>22102</v>
      </c>
      <c r="L24" s="140"/>
      <c r="M24" s="109">
        <v>22102</v>
      </c>
      <c r="N24" s="174"/>
      <c r="O24" s="109">
        <v>22102</v>
      </c>
      <c r="P24" s="174"/>
      <c r="Q24" s="109">
        <v>22102</v>
      </c>
      <c r="R24" s="140"/>
      <c r="S24" s="109">
        <v>22102</v>
      </c>
      <c r="T24" s="140"/>
      <c r="U24" s="109">
        <v>22102</v>
      </c>
      <c r="V24" s="140"/>
      <c r="W24" s="109">
        <v>22102</v>
      </c>
      <c r="X24" s="140"/>
      <c r="Y24" s="109">
        <v>22102</v>
      </c>
      <c r="Z24" s="140"/>
      <c r="AA24" s="109">
        <v>22102</v>
      </c>
      <c r="AB24" s="140"/>
      <c r="AC24" s="109">
        <v>22102</v>
      </c>
      <c r="AD24" s="140"/>
      <c r="AE24" s="109">
        <v>22102</v>
      </c>
      <c r="AF24" s="140"/>
      <c r="AG24" s="109">
        <v>22102</v>
      </c>
      <c r="AH24" s="140"/>
      <c r="AI24" s="109">
        <v>22102</v>
      </c>
      <c r="AJ24" s="140"/>
      <c r="AK24" s="109">
        <v>22102</v>
      </c>
      <c r="AL24" s="140"/>
      <c r="AM24" s="109">
        <v>22102</v>
      </c>
      <c r="AN24" s="140"/>
      <c r="AO24" s="109">
        <v>22102</v>
      </c>
      <c r="AP24" s="140"/>
      <c r="AQ24" s="109">
        <v>22102</v>
      </c>
      <c r="AR24" s="140">
        <v>186063.72159999999</v>
      </c>
      <c r="AS24" s="109">
        <v>22102</v>
      </c>
      <c r="AT24" s="140"/>
      <c r="AU24" s="191">
        <f t="shared" si="0"/>
        <v>1045618.6516</v>
      </c>
      <c r="AW24" s="169">
        <f t="shared" si="1"/>
        <v>1045618.6516</v>
      </c>
    </row>
    <row r="25" spans="1:49" x14ac:dyDescent="0.25">
      <c r="A25" s="111"/>
      <c r="B25" s="111"/>
      <c r="C25" s="111"/>
      <c r="D25" s="132"/>
      <c r="E25" s="109">
        <v>22103</v>
      </c>
      <c r="F25" s="139">
        <v>14243.22</v>
      </c>
      <c r="G25" s="109">
        <v>22103</v>
      </c>
      <c r="H25" s="106">
        <v>45782.879999999997</v>
      </c>
      <c r="I25" s="109">
        <v>22103</v>
      </c>
      <c r="K25" s="109">
        <v>22103</v>
      </c>
      <c r="L25" s="140"/>
      <c r="M25" s="109">
        <v>22103</v>
      </c>
      <c r="N25" s="174"/>
      <c r="O25" s="109">
        <v>22103</v>
      </c>
      <c r="P25" s="174"/>
      <c r="Q25" s="109">
        <v>22103</v>
      </c>
      <c r="R25" s="140"/>
      <c r="S25" s="109">
        <v>22103</v>
      </c>
      <c r="T25" s="140"/>
      <c r="U25" s="109">
        <v>22103</v>
      </c>
      <c r="V25" s="140"/>
      <c r="W25" s="109">
        <v>22103</v>
      </c>
      <c r="X25" s="140"/>
      <c r="Y25" s="109">
        <v>22103</v>
      </c>
      <c r="Z25" s="140"/>
      <c r="AA25" s="109">
        <v>22103</v>
      </c>
      <c r="AB25" s="140"/>
      <c r="AC25" s="109">
        <v>22103</v>
      </c>
      <c r="AD25" s="140"/>
      <c r="AE25" s="109">
        <v>22103</v>
      </c>
      <c r="AF25" s="140"/>
      <c r="AG25" s="109">
        <v>22103</v>
      </c>
      <c r="AH25" s="140"/>
      <c r="AI25" s="109">
        <v>22103</v>
      </c>
      <c r="AJ25" s="140"/>
      <c r="AK25" s="109">
        <v>22103</v>
      </c>
      <c r="AL25" s="140"/>
      <c r="AM25" s="109">
        <v>22103</v>
      </c>
      <c r="AN25" s="140"/>
      <c r="AO25" s="109">
        <v>22103</v>
      </c>
      <c r="AP25" s="140"/>
      <c r="AQ25" s="109">
        <v>22103</v>
      </c>
      <c r="AR25" s="140">
        <v>89850.444799999997</v>
      </c>
      <c r="AS25" s="109">
        <v>22103</v>
      </c>
      <c r="AT25" s="140"/>
      <c r="AU25" s="191">
        <f t="shared" si="0"/>
        <v>149876.5448</v>
      </c>
      <c r="AW25" s="169">
        <f t="shared" si="1"/>
        <v>149876.5448</v>
      </c>
    </row>
    <row r="26" spans="1:49" x14ac:dyDescent="0.25">
      <c r="A26" s="111"/>
      <c r="B26" s="111"/>
      <c r="C26" s="111"/>
      <c r="D26" s="132"/>
      <c r="E26" s="109">
        <v>22104</v>
      </c>
      <c r="F26" s="139">
        <v>91655.59</v>
      </c>
      <c r="G26" s="109">
        <v>22104</v>
      </c>
      <c r="H26" s="106">
        <v>577627.48</v>
      </c>
      <c r="I26" s="109">
        <v>22104</v>
      </c>
      <c r="K26" s="109">
        <v>22104</v>
      </c>
      <c r="L26" s="140"/>
      <c r="M26" s="109">
        <v>22104</v>
      </c>
      <c r="N26" s="174"/>
      <c r="O26" s="109">
        <v>22104</v>
      </c>
      <c r="P26" s="174"/>
      <c r="Q26" s="109">
        <v>22104</v>
      </c>
      <c r="R26" s="140"/>
      <c r="S26" s="109">
        <v>22104</v>
      </c>
      <c r="T26" s="140"/>
      <c r="U26" s="109">
        <v>22104</v>
      </c>
      <c r="V26" s="140"/>
      <c r="W26" s="109">
        <v>22104</v>
      </c>
      <c r="X26" s="140"/>
      <c r="Y26" s="109">
        <v>22104</v>
      </c>
      <c r="Z26" s="140"/>
      <c r="AA26" s="109">
        <v>22104</v>
      </c>
      <c r="AB26" s="140"/>
      <c r="AC26" s="109">
        <v>22104</v>
      </c>
      <c r="AD26" s="140">
        <v>4400</v>
      </c>
      <c r="AE26" s="109">
        <v>22104</v>
      </c>
      <c r="AF26" s="140"/>
      <c r="AG26" s="109">
        <v>22104</v>
      </c>
      <c r="AH26" s="140"/>
      <c r="AI26" s="109">
        <v>22104</v>
      </c>
      <c r="AJ26" s="140"/>
      <c r="AK26" s="109">
        <v>22104</v>
      </c>
      <c r="AL26" s="140"/>
      <c r="AM26" s="109">
        <v>22104</v>
      </c>
      <c r="AN26" s="140"/>
      <c r="AO26" s="109">
        <v>22104</v>
      </c>
      <c r="AP26" s="140"/>
      <c r="AQ26" s="109">
        <v>22104</v>
      </c>
      <c r="AR26" s="140">
        <v>265452.33519999997</v>
      </c>
      <c r="AS26" s="109">
        <v>22104</v>
      </c>
      <c r="AT26" s="140"/>
      <c r="AU26" s="191">
        <f t="shared" si="0"/>
        <v>939135.40519999992</v>
      </c>
      <c r="AW26" s="169">
        <f t="shared" si="1"/>
        <v>939135.40519999992</v>
      </c>
    </row>
    <row r="27" spans="1:49" x14ac:dyDescent="0.25">
      <c r="A27" s="109">
        <v>22105</v>
      </c>
      <c r="B27" s="111">
        <v>40099.43</v>
      </c>
      <c r="C27" s="109">
        <v>22105</v>
      </c>
      <c r="D27" s="132">
        <v>399309.39</v>
      </c>
      <c r="E27" s="109">
        <v>22105</v>
      </c>
      <c r="F27" s="139">
        <f>249624.87</f>
        <v>249624.87</v>
      </c>
      <c r="G27" s="109">
        <v>22105</v>
      </c>
      <c r="H27" s="106">
        <v>1568866.27</v>
      </c>
      <c r="I27" s="109">
        <v>22105</v>
      </c>
      <c r="K27" s="109">
        <v>22105</v>
      </c>
      <c r="L27" s="140"/>
      <c r="M27" s="109">
        <v>22105</v>
      </c>
      <c r="N27" s="174">
        <v>4000</v>
      </c>
      <c r="O27" s="109">
        <v>22105</v>
      </c>
      <c r="P27" s="174"/>
      <c r="Q27" s="109">
        <v>22105</v>
      </c>
      <c r="R27" s="140">
        <v>1651</v>
      </c>
      <c r="S27" s="109">
        <v>22105</v>
      </c>
      <c r="T27" s="140">
        <v>91185.279999999999</v>
      </c>
      <c r="U27" s="109">
        <v>22105</v>
      </c>
      <c r="V27" s="140">
        <v>7200</v>
      </c>
      <c r="W27" s="109">
        <v>22105</v>
      </c>
      <c r="X27" s="140">
        <v>22500</v>
      </c>
      <c r="Y27" s="109">
        <v>22105</v>
      </c>
      <c r="Z27" s="140"/>
      <c r="AA27" s="109">
        <v>22105</v>
      </c>
      <c r="AB27" s="140">
        <v>20726.32</v>
      </c>
      <c r="AC27" s="109">
        <v>22105</v>
      </c>
      <c r="AD27" s="140">
        <v>46117</v>
      </c>
      <c r="AE27" s="109">
        <v>22105</v>
      </c>
      <c r="AF27" s="140"/>
      <c r="AG27" s="109">
        <v>22105</v>
      </c>
      <c r="AH27" s="140">
        <v>4000</v>
      </c>
      <c r="AI27" s="109">
        <v>22105</v>
      </c>
      <c r="AJ27" s="140"/>
      <c r="AK27" s="109">
        <v>22105</v>
      </c>
      <c r="AL27" s="140">
        <v>75000</v>
      </c>
      <c r="AM27" s="109">
        <v>22105</v>
      </c>
      <c r="AN27" s="140"/>
      <c r="AO27" s="109">
        <v>22105</v>
      </c>
      <c r="AP27" s="140">
        <v>8800</v>
      </c>
      <c r="AQ27" s="109">
        <v>22105</v>
      </c>
      <c r="AR27" s="140">
        <v>351323.45360000007</v>
      </c>
      <c r="AS27" s="109">
        <v>22105</v>
      </c>
      <c r="AT27" s="140">
        <v>22398.46</v>
      </c>
      <c r="AU27" s="191">
        <f t="shared" si="0"/>
        <v>2912801.4735999997</v>
      </c>
      <c r="AV27" s="106">
        <v>2912801.4831999978</v>
      </c>
      <c r="AW27" s="169">
        <f t="shared" si="1"/>
        <v>-9.599998127669096E-3</v>
      </c>
    </row>
    <row r="28" spans="1:49" x14ac:dyDescent="0.25">
      <c r="A28" s="110"/>
      <c r="B28" s="111"/>
      <c r="C28" s="110"/>
      <c r="D28" s="132"/>
      <c r="E28" s="109">
        <v>22106</v>
      </c>
      <c r="F28" s="139">
        <v>40618.910000000003</v>
      </c>
      <c r="G28" s="109">
        <v>22106</v>
      </c>
      <c r="H28" s="106">
        <v>108506.27</v>
      </c>
      <c r="I28" s="109">
        <v>22106</v>
      </c>
      <c r="K28" s="109">
        <v>22106</v>
      </c>
      <c r="L28" s="140"/>
      <c r="M28" s="109">
        <v>22106</v>
      </c>
      <c r="N28" s="174"/>
      <c r="O28" s="109">
        <v>22106</v>
      </c>
      <c r="P28" s="174"/>
      <c r="Q28" s="109">
        <v>22106</v>
      </c>
      <c r="R28" s="140"/>
      <c r="S28" s="109">
        <v>22106</v>
      </c>
      <c r="T28" s="140"/>
      <c r="U28" s="109">
        <v>22106</v>
      </c>
      <c r="V28" s="140"/>
      <c r="W28" s="109">
        <v>22106</v>
      </c>
      <c r="X28" s="140"/>
      <c r="Y28" s="109">
        <v>22106</v>
      </c>
      <c r="Z28" s="140"/>
      <c r="AA28" s="109">
        <v>22106</v>
      </c>
      <c r="AB28" s="140"/>
      <c r="AC28" s="109">
        <v>22106</v>
      </c>
      <c r="AD28" s="140"/>
      <c r="AE28" s="109">
        <v>22106</v>
      </c>
      <c r="AF28" s="140"/>
      <c r="AG28" s="109">
        <v>22106</v>
      </c>
      <c r="AH28" s="140"/>
      <c r="AI28" s="109">
        <v>22106</v>
      </c>
      <c r="AJ28" s="140"/>
      <c r="AK28" s="109">
        <v>22106</v>
      </c>
      <c r="AL28" s="140"/>
      <c r="AM28" s="109">
        <v>22106</v>
      </c>
      <c r="AN28" s="140"/>
      <c r="AO28" s="109">
        <v>22106</v>
      </c>
      <c r="AP28" s="140"/>
      <c r="AQ28" s="109">
        <v>22106</v>
      </c>
      <c r="AR28" s="140">
        <v>65191.060399999988</v>
      </c>
      <c r="AS28" s="109">
        <v>22106</v>
      </c>
      <c r="AT28" s="140"/>
      <c r="AU28" s="191">
        <f t="shared" si="0"/>
        <v>214316.24039999998</v>
      </c>
      <c r="AW28" s="169">
        <f t="shared" si="1"/>
        <v>214316.24039999998</v>
      </c>
    </row>
    <row r="29" spans="1:49" x14ac:dyDescent="0.25">
      <c r="A29" s="111"/>
      <c r="B29" s="111"/>
      <c r="C29" s="111"/>
      <c r="D29" s="132"/>
      <c r="E29" s="111"/>
      <c r="G29" s="111"/>
      <c r="I29" s="111"/>
      <c r="K29" s="111"/>
      <c r="L29" s="176"/>
      <c r="M29" s="111"/>
      <c r="N29" s="176"/>
      <c r="O29" s="111"/>
      <c r="P29" s="176"/>
      <c r="Q29" s="111"/>
      <c r="R29" s="176"/>
      <c r="S29" s="111"/>
      <c r="T29" s="176"/>
      <c r="U29" s="111"/>
      <c r="V29" s="176"/>
      <c r="W29" s="111"/>
      <c r="X29" s="176"/>
      <c r="Y29" s="111"/>
      <c r="Z29" s="176"/>
      <c r="AA29" s="111"/>
      <c r="AB29" s="176"/>
      <c r="AC29" s="111"/>
      <c r="AD29" s="176"/>
      <c r="AE29" s="111"/>
      <c r="AF29" s="176"/>
      <c r="AG29" s="111"/>
      <c r="AH29" s="176"/>
      <c r="AI29" s="111"/>
      <c r="AJ29" s="176"/>
      <c r="AK29" s="111"/>
      <c r="AL29" s="176"/>
      <c r="AM29" s="111"/>
      <c r="AN29" s="176"/>
      <c r="AO29" s="111"/>
      <c r="AP29" s="176"/>
      <c r="AQ29" s="111"/>
      <c r="AR29" s="176"/>
      <c r="AS29" s="111"/>
      <c r="AT29" s="176"/>
      <c r="AU29" s="191">
        <f t="shared" si="0"/>
        <v>0</v>
      </c>
      <c r="AW29" s="169">
        <f t="shared" si="1"/>
        <v>0</v>
      </c>
    </row>
    <row r="30" spans="1:49" x14ac:dyDescent="0.25">
      <c r="A30" s="126">
        <v>22302</v>
      </c>
      <c r="B30" s="111">
        <v>1169.77</v>
      </c>
      <c r="C30" s="126">
        <v>22302</v>
      </c>
      <c r="D30" s="132">
        <v>7337.8</v>
      </c>
      <c r="E30" s="126">
        <v>22302</v>
      </c>
      <c r="F30" s="139">
        <v>5217.5600000000004</v>
      </c>
      <c r="G30" s="126">
        <v>22302</v>
      </c>
      <c r="H30" s="106">
        <v>72580</v>
      </c>
      <c r="I30" s="126">
        <v>22302</v>
      </c>
      <c r="J30" s="106">
        <v>31929</v>
      </c>
      <c r="K30" s="126">
        <v>22302</v>
      </c>
      <c r="L30" s="140"/>
      <c r="M30" s="126">
        <v>22302</v>
      </c>
      <c r="N30" s="140"/>
      <c r="O30" s="126">
        <v>22302</v>
      </c>
      <c r="P30" s="140"/>
      <c r="Q30" s="126">
        <v>22302</v>
      </c>
      <c r="R30" s="140"/>
      <c r="S30" s="126">
        <v>22302</v>
      </c>
      <c r="T30" s="140"/>
      <c r="U30" s="126">
        <v>22302</v>
      </c>
      <c r="V30" s="140"/>
      <c r="W30" s="126">
        <v>22302</v>
      </c>
      <c r="X30" s="140"/>
      <c r="Y30" s="126">
        <v>22302</v>
      </c>
      <c r="Z30" s="140"/>
      <c r="AA30" s="126">
        <v>22302</v>
      </c>
      <c r="AB30" s="140">
        <v>5278.24</v>
      </c>
      <c r="AC30" s="126">
        <v>22302</v>
      </c>
      <c r="AD30" s="140">
        <v>2974</v>
      </c>
      <c r="AE30" s="126">
        <v>22302</v>
      </c>
      <c r="AF30" s="140"/>
      <c r="AG30" s="126">
        <v>22302</v>
      </c>
      <c r="AH30" s="140"/>
      <c r="AI30" s="126">
        <v>22302</v>
      </c>
      <c r="AJ30" s="140"/>
      <c r="AK30" s="126">
        <v>22302</v>
      </c>
      <c r="AL30" s="140"/>
      <c r="AM30" s="126">
        <v>22302</v>
      </c>
      <c r="AN30" s="140"/>
      <c r="AO30" s="126">
        <v>22302</v>
      </c>
      <c r="AP30" s="140"/>
      <c r="AQ30" s="126">
        <v>22302</v>
      </c>
      <c r="AR30" s="140">
        <v>3640.7799999999997</v>
      </c>
      <c r="AS30" s="126">
        <v>22302</v>
      </c>
      <c r="AT30" s="140">
        <v>820.9</v>
      </c>
      <c r="AU30" s="191">
        <f t="shared" si="0"/>
        <v>130948.05</v>
      </c>
      <c r="AV30" s="106">
        <v>130947.6015</v>
      </c>
      <c r="AW30" s="169">
        <f t="shared" si="1"/>
        <v>0.44849999999860302</v>
      </c>
    </row>
    <row r="31" spans="1:49" x14ac:dyDescent="0.25">
      <c r="A31" s="111"/>
      <c r="B31" s="111"/>
      <c r="C31" s="111"/>
      <c r="D31" s="132"/>
      <c r="E31" s="111"/>
      <c r="G31" s="111"/>
      <c r="I31" s="111"/>
      <c r="K31" s="111"/>
      <c r="L31" s="176"/>
      <c r="M31" s="111"/>
      <c r="N31" s="176"/>
      <c r="O31" s="111"/>
      <c r="P31" s="176"/>
      <c r="Q31" s="111"/>
      <c r="R31" s="176"/>
      <c r="S31" s="111"/>
      <c r="T31" s="176"/>
      <c r="U31" s="111"/>
      <c r="V31" s="176"/>
      <c r="W31" s="111"/>
      <c r="X31" s="176"/>
      <c r="Y31" s="111"/>
      <c r="Z31" s="176"/>
      <c r="AA31" s="111"/>
      <c r="AB31" s="176"/>
      <c r="AC31" s="111"/>
      <c r="AD31" s="176"/>
      <c r="AE31" s="111"/>
      <c r="AF31" s="176"/>
      <c r="AG31" s="111"/>
      <c r="AH31" s="176"/>
      <c r="AI31" s="111"/>
      <c r="AJ31" s="176"/>
      <c r="AK31" s="111"/>
      <c r="AL31" s="176"/>
      <c r="AM31" s="111"/>
      <c r="AN31" s="176"/>
      <c r="AO31" s="111"/>
      <c r="AP31" s="176"/>
      <c r="AQ31" s="111"/>
      <c r="AR31" s="176"/>
      <c r="AS31" s="111"/>
      <c r="AT31" s="176"/>
      <c r="AU31" s="191">
        <f t="shared" si="0"/>
        <v>0</v>
      </c>
      <c r="AW31" s="169">
        <f t="shared" si="1"/>
        <v>0</v>
      </c>
    </row>
    <row r="32" spans="1:49" x14ac:dyDescent="0.25">
      <c r="A32" s="111"/>
      <c r="B32" s="111"/>
      <c r="C32" s="126" t="s">
        <v>1182</v>
      </c>
      <c r="D32" s="132">
        <v>24805.45</v>
      </c>
      <c r="E32" s="126" t="s">
        <v>1182</v>
      </c>
      <c r="G32" s="126" t="s">
        <v>1182</v>
      </c>
      <c r="I32" s="126" t="s">
        <v>1182</v>
      </c>
      <c r="K32" s="126" t="s">
        <v>1182</v>
      </c>
      <c r="L32" s="140"/>
      <c r="M32" s="126" t="s">
        <v>1182</v>
      </c>
      <c r="N32" s="140"/>
      <c r="O32" s="126" t="s">
        <v>1182</v>
      </c>
      <c r="P32" s="140"/>
      <c r="Q32" s="126" t="s">
        <v>1182</v>
      </c>
      <c r="R32" s="140"/>
      <c r="S32" s="126" t="s">
        <v>1182</v>
      </c>
      <c r="T32" s="140"/>
      <c r="U32" s="126" t="s">
        <v>1182</v>
      </c>
      <c r="V32" s="140"/>
      <c r="W32" s="126" t="s">
        <v>1182</v>
      </c>
      <c r="X32" s="140"/>
      <c r="Y32" s="126" t="s">
        <v>1182</v>
      </c>
      <c r="Z32" s="140"/>
      <c r="AA32" s="126" t="s">
        <v>1182</v>
      </c>
      <c r="AB32" s="140"/>
      <c r="AC32" s="126" t="s">
        <v>1182</v>
      </c>
      <c r="AD32" s="140"/>
      <c r="AE32" s="126" t="s">
        <v>1182</v>
      </c>
      <c r="AF32" s="140"/>
      <c r="AG32" s="126" t="s">
        <v>1182</v>
      </c>
      <c r="AH32" s="140"/>
      <c r="AI32" s="126" t="s">
        <v>1182</v>
      </c>
      <c r="AJ32" s="140"/>
      <c r="AK32" s="126" t="s">
        <v>1182</v>
      </c>
      <c r="AL32" s="140"/>
      <c r="AM32" s="126" t="s">
        <v>1182</v>
      </c>
      <c r="AN32" s="140"/>
      <c r="AO32" s="126" t="s">
        <v>1182</v>
      </c>
      <c r="AP32" s="140"/>
      <c r="AQ32" s="126" t="s">
        <v>1182</v>
      </c>
      <c r="AR32" s="140"/>
      <c r="AS32" s="126" t="s">
        <v>1182</v>
      </c>
      <c r="AT32" s="140"/>
      <c r="AU32" s="191">
        <f t="shared" si="0"/>
        <v>24805.45</v>
      </c>
      <c r="AW32" s="169">
        <f t="shared" si="1"/>
        <v>24805.45</v>
      </c>
    </row>
    <row r="33" spans="1:52" s="108" customFormat="1" x14ac:dyDescent="0.25">
      <c r="A33" s="131"/>
      <c r="B33" s="131"/>
      <c r="C33" s="233"/>
      <c r="D33" s="177"/>
      <c r="E33" s="233"/>
      <c r="F33" s="142"/>
      <c r="G33" s="233"/>
      <c r="H33" s="160"/>
      <c r="I33" s="233"/>
      <c r="J33" s="160"/>
      <c r="K33" s="233"/>
      <c r="L33" s="140"/>
      <c r="M33" s="233"/>
      <c r="N33" s="140"/>
      <c r="O33" s="233"/>
      <c r="P33" s="140"/>
      <c r="Q33" s="233"/>
      <c r="R33" s="140"/>
      <c r="S33" s="233"/>
      <c r="T33" s="140"/>
      <c r="U33" s="233"/>
      <c r="V33" s="140"/>
      <c r="W33" s="233"/>
      <c r="X33" s="140"/>
      <c r="Y33" s="233"/>
      <c r="Z33" s="140"/>
      <c r="AA33" s="233"/>
      <c r="AB33" s="140"/>
      <c r="AC33" s="233"/>
      <c r="AD33" s="140"/>
      <c r="AE33" s="233"/>
      <c r="AF33" s="140"/>
      <c r="AG33" s="233"/>
      <c r="AH33" s="140"/>
      <c r="AI33" s="233"/>
      <c r="AJ33" s="140"/>
      <c r="AK33" s="233"/>
      <c r="AL33" s="140"/>
      <c r="AM33" s="233"/>
      <c r="AN33" s="140"/>
      <c r="AO33" s="233"/>
      <c r="AP33" s="140"/>
      <c r="AQ33" s="233"/>
      <c r="AR33" s="140"/>
      <c r="AS33" s="126" t="s">
        <v>2952</v>
      </c>
      <c r="AT33" s="140">
        <v>2000</v>
      </c>
      <c r="AU33" s="191">
        <f t="shared" si="0"/>
        <v>2000</v>
      </c>
      <c r="AV33" s="8">
        <v>1999.99856</v>
      </c>
      <c r="AW33" s="169">
        <f t="shared" si="1"/>
        <v>1.4400000000023283E-3</v>
      </c>
      <c r="AZ33" s="246"/>
    </row>
    <row r="34" spans="1:52" s="108" customFormat="1" x14ac:dyDescent="0.25">
      <c r="A34" s="131"/>
      <c r="B34" s="131"/>
      <c r="C34" s="233"/>
      <c r="D34" s="177"/>
      <c r="E34" s="233"/>
      <c r="F34" s="142"/>
      <c r="G34" s="233"/>
      <c r="H34" s="160"/>
      <c r="I34" s="233"/>
      <c r="J34" s="160"/>
      <c r="K34" s="233"/>
      <c r="L34" s="140"/>
      <c r="M34" s="233"/>
      <c r="N34" s="140"/>
      <c r="O34" s="233"/>
      <c r="P34" s="140"/>
      <c r="Q34" s="233"/>
      <c r="R34" s="140"/>
      <c r="S34" s="233"/>
      <c r="T34" s="140"/>
      <c r="U34" s="233"/>
      <c r="V34" s="140"/>
      <c r="W34" s="233"/>
      <c r="X34" s="140"/>
      <c r="Y34" s="233"/>
      <c r="Z34" s="140"/>
      <c r="AA34" s="233"/>
      <c r="AB34" s="140"/>
      <c r="AC34" s="233"/>
      <c r="AD34" s="140"/>
      <c r="AE34" s="233"/>
      <c r="AF34" s="140"/>
      <c r="AG34" s="233"/>
      <c r="AH34" s="140"/>
      <c r="AI34" s="233"/>
      <c r="AJ34" s="140"/>
      <c r="AK34" s="233"/>
      <c r="AL34" s="140"/>
      <c r="AM34" s="233"/>
      <c r="AN34" s="140"/>
      <c r="AO34" s="233"/>
      <c r="AP34" s="140"/>
      <c r="AQ34" s="233"/>
      <c r="AR34" s="140"/>
      <c r="AS34" s="233"/>
      <c r="AT34" s="140"/>
      <c r="AU34" s="191">
        <f t="shared" si="0"/>
        <v>0</v>
      </c>
      <c r="AV34" s="160"/>
      <c r="AW34" s="169">
        <f t="shared" si="1"/>
        <v>0</v>
      </c>
      <c r="AZ34" s="246"/>
    </row>
    <row r="35" spans="1:52" x14ac:dyDescent="0.25">
      <c r="A35" s="111"/>
      <c r="B35" s="111"/>
      <c r="C35" s="111"/>
      <c r="D35" s="132"/>
      <c r="E35" s="111"/>
      <c r="G35" s="111"/>
      <c r="I35" s="111"/>
      <c r="K35" s="111"/>
      <c r="L35" s="176"/>
      <c r="M35" s="111"/>
      <c r="N35" s="176"/>
      <c r="O35" s="111"/>
      <c r="P35" s="176"/>
      <c r="Q35" s="111"/>
      <c r="R35" s="176"/>
      <c r="S35" s="111"/>
      <c r="T35" s="176"/>
      <c r="U35" s="111"/>
      <c r="V35" s="176"/>
      <c r="W35" s="111"/>
      <c r="X35" s="176"/>
      <c r="Y35" s="111"/>
      <c r="Z35" s="176"/>
      <c r="AA35" s="111"/>
      <c r="AB35" s="176"/>
      <c r="AC35" s="111"/>
      <c r="AD35" s="176"/>
      <c r="AE35" s="111"/>
      <c r="AF35" s="176"/>
      <c r="AG35" s="111"/>
      <c r="AH35" s="176"/>
      <c r="AI35" s="111"/>
      <c r="AJ35" s="176"/>
      <c r="AK35" s="111"/>
      <c r="AL35" s="176"/>
      <c r="AM35" s="111"/>
      <c r="AN35" s="176"/>
      <c r="AO35" s="111"/>
      <c r="AP35" s="176"/>
      <c r="AQ35" s="111"/>
      <c r="AR35" s="176"/>
      <c r="AS35" s="111"/>
      <c r="AT35" s="176"/>
      <c r="AU35" s="191">
        <f t="shared" si="0"/>
        <v>0</v>
      </c>
      <c r="AW35" s="169">
        <f t="shared" si="1"/>
        <v>0</v>
      </c>
    </row>
    <row r="36" spans="1:52" x14ac:dyDescent="0.25">
      <c r="A36" s="111"/>
      <c r="B36" s="111"/>
      <c r="C36" s="126" t="s">
        <v>1184</v>
      </c>
      <c r="D36" s="132">
        <v>8888.5499999999993</v>
      </c>
      <c r="E36" s="126" t="s">
        <v>1184</v>
      </c>
      <c r="G36" s="126" t="s">
        <v>1184</v>
      </c>
      <c r="I36" s="126" t="s">
        <v>1184</v>
      </c>
      <c r="K36" s="126" t="s">
        <v>1184</v>
      </c>
      <c r="L36" s="140"/>
      <c r="M36" s="126" t="s">
        <v>1184</v>
      </c>
      <c r="N36" s="140"/>
      <c r="O36" s="126" t="s">
        <v>1184</v>
      </c>
      <c r="P36" s="140"/>
      <c r="Q36" s="126" t="s">
        <v>1184</v>
      </c>
      <c r="R36" s="140"/>
      <c r="S36" s="126" t="s">
        <v>1184</v>
      </c>
      <c r="T36" s="140"/>
      <c r="U36" s="126" t="s">
        <v>1184</v>
      </c>
      <c r="V36" s="140"/>
      <c r="W36" s="126" t="s">
        <v>1184</v>
      </c>
      <c r="X36" s="140"/>
      <c r="Y36" s="126" t="s">
        <v>1184</v>
      </c>
      <c r="Z36" s="140"/>
      <c r="AA36" s="126" t="s">
        <v>1184</v>
      </c>
      <c r="AB36" s="140"/>
      <c r="AC36" s="126" t="s">
        <v>1184</v>
      </c>
      <c r="AD36" s="140"/>
      <c r="AE36" s="126" t="s">
        <v>1184</v>
      </c>
      <c r="AF36" s="140"/>
      <c r="AG36" s="126" t="s">
        <v>1184</v>
      </c>
      <c r="AH36" s="140"/>
      <c r="AI36" s="126" t="s">
        <v>1184</v>
      </c>
      <c r="AJ36" s="140"/>
      <c r="AK36" s="126" t="s">
        <v>1184</v>
      </c>
      <c r="AL36" s="140"/>
      <c r="AM36" s="126" t="s">
        <v>1184</v>
      </c>
      <c r="AN36" s="140"/>
      <c r="AO36" s="126" t="s">
        <v>1184</v>
      </c>
      <c r="AP36" s="140"/>
      <c r="AQ36" s="126" t="s">
        <v>1184</v>
      </c>
      <c r="AR36" s="140"/>
      <c r="AS36" s="126" t="s">
        <v>1184</v>
      </c>
      <c r="AT36" s="140">
        <v>2000</v>
      </c>
      <c r="AU36" s="191">
        <f t="shared" si="0"/>
        <v>10888.55</v>
      </c>
      <c r="AV36" s="106">
        <v>10888.550000000001</v>
      </c>
      <c r="AW36" s="169">
        <f t="shared" si="1"/>
        <v>0</v>
      </c>
    </row>
    <row r="37" spans="1:52" x14ac:dyDescent="0.25">
      <c r="A37" s="111"/>
      <c r="B37" s="111"/>
      <c r="C37" s="126" t="s">
        <v>1189</v>
      </c>
      <c r="D37" s="132">
        <v>28602.07</v>
      </c>
      <c r="E37" s="126" t="s">
        <v>1189</v>
      </c>
      <c r="G37" s="126" t="s">
        <v>1189</v>
      </c>
      <c r="I37" s="126" t="s">
        <v>1189</v>
      </c>
      <c r="K37" s="126" t="s">
        <v>1189</v>
      </c>
      <c r="L37" s="140"/>
      <c r="M37" s="126" t="s">
        <v>1189</v>
      </c>
      <c r="N37" s="140"/>
      <c r="O37" s="126" t="s">
        <v>1189</v>
      </c>
      <c r="P37" s="140"/>
      <c r="Q37" s="126" t="s">
        <v>1189</v>
      </c>
      <c r="R37" s="140"/>
      <c r="S37" s="126" t="s">
        <v>1189</v>
      </c>
      <c r="T37" s="140"/>
      <c r="U37" s="126" t="s">
        <v>1189</v>
      </c>
      <c r="V37" s="140"/>
      <c r="W37" s="126" t="s">
        <v>1189</v>
      </c>
      <c r="X37" s="140"/>
      <c r="Y37" s="126" t="s">
        <v>1189</v>
      </c>
      <c r="Z37" s="140"/>
      <c r="AA37" s="126" t="s">
        <v>1189</v>
      </c>
      <c r="AB37" s="140"/>
      <c r="AC37" s="126" t="s">
        <v>1189</v>
      </c>
      <c r="AD37" s="140"/>
      <c r="AE37" s="126" t="s">
        <v>1189</v>
      </c>
      <c r="AF37" s="140"/>
      <c r="AG37" s="126" t="s">
        <v>1189</v>
      </c>
      <c r="AH37" s="140"/>
      <c r="AI37" s="126" t="s">
        <v>1189</v>
      </c>
      <c r="AJ37" s="140"/>
      <c r="AK37" s="126" t="s">
        <v>1189</v>
      </c>
      <c r="AL37" s="140"/>
      <c r="AM37" s="126" t="s">
        <v>1189</v>
      </c>
      <c r="AN37" s="140"/>
      <c r="AO37" s="126" t="s">
        <v>1189</v>
      </c>
      <c r="AP37" s="140"/>
      <c r="AQ37" s="126" t="s">
        <v>1189</v>
      </c>
      <c r="AR37" s="140"/>
      <c r="AS37" s="126" t="s">
        <v>1189</v>
      </c>
      <c r="AT37" s="140">
        <v>2000</v>
      </c>
      <c r="AU37" s="191">
        <f t="shared" si="0"/>
        <v>30602.07</v>
      </c>
      <c r="AV37" s="106">
        <v>30602.07</v>
      </c>
      <c r="AW37" s="169">
        <f t="shared" si="1"/>
        <v>0</v>
      </c>
    </row>
    <row r="38" spans="1:52" x14ac:dyDescent="0.25">
      <c r="A38" s="111"/>
      <c r="B38" s="111"/>
      <c r="C38" s="126" t="s">
        <v>1190</v>
      </c>
      <c r="D38" s="13">
        <v>86814.6</v>
      </c>
      <c r="E38" s="126" t="s">
        <v>1190</v>
      </c>
      <c r="G38" s="126" t="s">
        <v>1190</v>
      </c>
      <c r="I38" s="126" t="s">
        <v>1190</v>
      </c>
      <c r="K38" s="126" t="s">
        <v>1190</v>
      </c>
      <c r="L38" s="140"/>
      <c r="M38" s="126" t="s">
        <v>1190</v>
      </c>
      <c r="N38" s="140"/>
      <c r="O38" s="126" t="s">
        <v>1190</v>
      </c>
      <c r="P38" s="140"/>
      <c r="Q38" s="126" t="s">
        <v>1190</v>
      </c>
      <c r="R38" s="140"/>
      <c r="S38" s="126" t="s">
        <v>1190</v>
      </c>
      <c r="T38" s="140"/>
      <c r="U38" s="126" t="s">
        <v>1190</v>
      </c>
      <c r="V38" s="140"/>
      <c r="W38" s="126" t="s">
        <v>1190</v>
      </c>
      <c r="X38" s="140"/>
      <c r="Y38" s="126" t="s">
        <v>1190</v>
      </c>
      <c r="Z38" s="140"/>
      <c r="AA38" s="126" t="s">
        <v>1190</v>
      </c>
      <c r="AB38" s="140"/>
      <c r="AC38" s="126" t="s">
        <v>1190</v>
      </c>
      <c r="AD38" s="140"/>
      <c r="AE38" s="126" t="s">
        <v>1190</v>
      </c>
      <c r="AF38" s="140"/>
      <c r="AG38" s="126" t="s">
        <v>1190</v>
      </c>
      <c r="AH38" s="140"/>
      <c r="AI38" s="126" t="s">
        <v>1190</v>
      </c>
      <c r="AJ38" s="140"/>
      <c r="AK38" s="126" t="s">
        <v>1190</v>
      </c>
      <c r="AL38" s="140"/>
      <c r="AM38" s="126" t="s">
        <v>1190</v>
      </c>
      <c r="AN38" s="140"/>
      <c r="AO38" s="126" t="s">
        <v>1190</v>
      </c>
      <c r="AP38" s="140"/>
      <c r="AQ38" s="126" t="s">
        <v>1190</v>
      </c>
      <c r="AR38" s="140"/>
      <c r="AS38" s="126" t="s">
        <v>1190</v>
      </c>
      <c r="AT38" s="140">
        <v>3668.92</v>
      </c>
      <c r="AU38" s="191">
        <f t="shared" si="0"/>
        <v>90483.520000000004</v>
      </c>
      <c r="AV38" s="106">
        <v>90483.51999999999</v>
      </c>
      <c r="AW38" s="169">
        <f t="shared" si="1"/>
        <v>0</v>
      </c>
    </row>
    <row r="39" spans="1:52" x14ac:dyDescent="0.25">
      <c r="A39" s="111"/>
      <c r="B39" s="111"/>
      <c r="C39" s="126" t="s">
        <v>1193</v>
      </c>
      <c r="D39" s="13">
        <v>17400</v>
      </c>
      <c r="E39" s="126" t="s">
        <v>1193</v>
      </c>
      <c r="G39" s="126" t="s">
        <v>1193</v>
      </c>
      <c r="I39" s="126" t="s">
        <v>1193</v>
      </c>
      <c r="K39" s="126" t="s">
        <v>1193</v>
      </c>
      <c r="L39" s="140"/>
      <c r="M39" s="126" t="s">
        <v>1193</v>
      </c>
      <c r="N39" s="140"/>
      <c r="O39" s="126" t="s">
        <v>1193</v>
      </c>
      <c r="P39" s="140"/>
      <c r="Q39" s="126" t="s">
        <v>1193</v>
      </c>
      <c r="R39" s="140"/>
      <c r="S39" s="126" t="s">
        <v>1193</v>
      </c>
      <c r="T39" s="140"/>
      <c r="U39" s="126" t="s">
        <v>1193</v>
      </c>
      <c r="V39" s="140"/>
      <c r="W39" s="126" t="s">
        <v>1193</v>
      </c>
      <c r="X39" s="140"/>
      <c r="Y39" s="126" t="s">
        <v>1193</v>
      </c>
      <c r="Z39" s="140"/>
      <c r="AA39" s="126" t="s">
        <v>1193</v>
      </c>
      <c r="AB39" s="140"/>
      <c r="AC39" s="126" t="s">
        <v>1193</v>
      </c>
      <c r="AD39" s="140"/>
      <c r="AE39" s="126" t="s">
        <v>1193</v>
      </c>
      <c r="AF39" s="140"/>
      <c r="AG39" s="126" t="s">
        <v>1193</v>
      </c>
      <c r="AH39" s="140"/>
      <c r="AI39" s="126" t="s">
        <v>1193</v>
      </c>
      <c r="AJ39" s="140"/>
      <c r="AK39" s="126" t="s">
        <v>1193</v>
      </c>
      <c r="AL39" s="140"/>
      <c r="AM39" s="126" t="s">
        <v>1193</v>
      </c>
      <c r="AN39" s="140"/>
      <c r="AO39" s="126" t="s">
        <v>1193</v>
      </c>
      <c r="AP39" s="140"/>
      <c r="AQ39" s="126" t="s">
        <v>1193</v>
      </c>
      <c r="AR39" s="140"/>
      <c r="AS39" s="126" t="s">
        <v>1193</v>
      </c>
      <c r="AT39" s="140"/>
      <c r="AU39" s="191">
        <f t="shared" si="0"/>
        <v>17400</v>
      </c>
      <c r="AW39" s="169">
        <f t="shared" si="1"/>
        <v>17400</v>
      </c>
    </row>
    <row r="40" spans="1:52" x14ac:dyDescent="0.25">
      <c r="A40" s="111"/>
      <c r="B40" s="111"/>
      <c r="C40" s="126"/>
      <c r="D40" s="13"/>
      <c r="E40" s="126"/>
      <c r="G40" s="126"/>
      <c r="I40" s="126"/>
      <c r="K40" s="126"/>
      <c r="L40" s="140"/>
      <c r="M40" s="126"/>
      <c r="N40" s="140"/>
      <c r="O40" s="126"/>
      <c r="P40" s="140"/>
      <c r="Q40" s="126"/>
      <c r="R40" s="140"/>
      <c r="S40" s="126"/>
      <c r="T40" s="140"/>
      <c r="U40" s="126"/>
      <c r="V40" s="140"/>
      <c r="W40" s="126"/>
      <c r="X40" s="140"/>
      <c r="Y40" s="126"/>
      <c r="Z40" s="140"/>
      <c r="AA40" s="126"/>
      <c r="AB40" s="140"/>
      <c r="AC40" s="126"/>
      <c r="AD40" s="140"/>
      <c r="AE40" s="126"/>
      <c r="AF40" s="140"/>
      <c r="AG40" s="126"/>
      <c r="AH40" s="140"/>
      <c r="AI40" s="126"/>
      <c r="AJ40" s="140"/>
      <c r="AK40" s="126"/>
      <c r="AL40" s="140"/>
      <c r="AM40" s="126"/>
      <c r="AN40" s="140"/>
      <c r="AO40" s="126"/>
      <c r="AP40" s="140"/>
      <c r="AQ40" s="126"/>
      <c r="AR40" s="140"/>
      <c r="AS40" s="126"/>
      <c r="AT40" s="140"/>
      <c r="AU40" s="191">
        <f t="shared" si="0"/>
        <v>0</v>
      </c>
      <c r="AW40" s="169">
        <f t="shared" si="1"/>
        <v>0</v>
      </c>
    </row>
    <row r="41" spans="1:52" x14ac:dyDescent="0.25">
      <c r="A41" s="126" t="s">
        <v>1085</v>
      </c>
      <c r="B41" s="111">
        <v>500</v>
      </c>
      <c r="C41" s="126" t="s">
        <v>1085</v>
      </c>
      <c r="D41" s="132">
        <v>72682.62</v>
      </c>
      <c r="E41" s="126" t="s">
        <v>1085</v>
      </c>
      <c r="F41" s="139">
        <v>16890.990000000002</v>
      </c>
      <c r="G41" s="126" t="s">
        <v>1085</v>
      </c>
      <c r="H41" s="106">
        <v>17134.12</v>
      </c>
      <c r="I41" s="126" t="s">
        <v>1085</v>
      </c>
      <c r="K41" s="126" t="s">
        <v>1085</v>
      </c>
      <c r="L41" s="140">
        <v>2655.36</v>
      </c>
      <c r="M41" s="126" t="s">
        <v>1085</v>
      </c>
      <c r="N41" s="140">
        <v>2300</v>
      </c>
      <c r="O41" s="126" t="s">
        <v>1085</v>
      </c>
      <c r="P41" s="140"/>
      <c r="Q41" s="126" t="s">
        <v>1085</v>
      </c>
      <c r="R41" s="140">
        <v>7404.04</v>
      </c>
      <c r="S41" s="126" t="s">
        <v>1085</v>
      </c>
      <c r="T41" s="140"/>
      <c r="U41" s="126" t="s">
        <v>1085</v>
      </c>
      <c r="V41" s="140"/>
      <c r="W41" s="126" t="s">
        <v>1085</v>
      </c>
      <c r="X41" s="140"/>
      <c r="Y41" s="126" t="s">
        <v>1085</v>
      </c>
      <c r="Z41" s="140"/>
      <c r="AA41" s="126" t="s">
        <v>1085</v>
      </c>
      <c r="AB41" s="140"/>
      <c r="AC41" s="126" t="s">
        <v>1085</v>
      </c>
      <c r="AD41" s="140">
        <v>1500</v>
      </c>
      <c r="AE41" s="126" t="s">
        <v>1085</v>
      </c>
      <c r="AF41" s="140"/>
      <c r="AG41" s="126" t="s">
        <v>1085</v>
      </c>
      <c r="AH41" s="140"/>
      <c r="AI41" s="126" t="s">
        <v>1085</v>
      </c>
      <c r="AJ41" s="140"/>
      <c r="AK41" s="126" t="s">
        <v>1085</v>
      </c>
      <c r="AL41" s="140"/>
      <c r="AM41" s="126" t="s">
        <v>1085</v>
      </c>
      <c r="AN41" s="140"/>
      <c r="AO41" s="126" t="s">
        <v>1085</v>
      </c>
      <c r="AP41" s="140"/>
      <c r="AQ41" s="126" t="s">
        <v>1085</v>
      </c>
      <c r="AR41" s="140">
        <v>8363.8319999999985</v>
      </c>
      <c r="AS41" s="126" t="s">
        <v>1085</v>
      </c>
      <c r="AT41" s="140">
        <v>23488.994395999998</v>
      </c>
      <c r="AU41" s="191">
        <f t="shared" si="0"/>
        <v>152919.95639599999</v>
      </c>
      <c r="AV41" s="139">
        <v>152919.95199599996</v>
      </c>
      <c r="AW41" s="169">
        <f t="shared" si="1"/>
        <v>4.400000034365803E-3</v>
      </c>
    </row>
    <row r="42" spans="1:52" x14ac:dyDescent="0.25">
      <c r="A42" s="110"/>
      <c r="B42" s="111"/>
      <c r="C42" s="110"/>
      <c r="D42" s="132"/>
      <c r="E42" s="110"/>
      <c r="G42" s="110"/>
      <c r="I42" s="110"/>
      <c r="K42" s="110"/>
      <c r="L42" s="176"/>
      <c r="M42" s="110"/>
      <c r="N42" s="131"/>
      <c r="O42" s="110"/>
      <c r="P42" s="131"/>
      <c r="Q42" s="110"/>
      <c r="R42" s="176"/>
      <c r="S42" s="110"/>
      <c r="T42" s="176"/>
      <c r="U42" s="110"/>
      <c r="V42" s="176"/>
      <c r="W42" s="110"/>
      <c r="X42" s="176"/>
      <c r="Y42" s="110"/>
      <c r="Z42" s="176"/>
      <c r="AA42" s="110"/>
      <c r="AB42" s="176"/>
      <c r="AC42" s="110"/>
      <c r="AD42" s="176"/>
      <c r="AE42" s="110"/>
      <c r="AF42" s="176"/>
      <c r="AG42" s="110"/>
      <c r="AH42" s="176"/>
      <c r="AI42" s="110"/>
      <c r="AJ42" s="176"/>
      <c r="AK42" s="110"/>
      <c r="AL42" s="176"/>
      <c r="AM42" s="110"/>
      <c r="AN42" s="176"/>
      <c r="AO42" s="110"/>
      <c r="AP42" s="176"/>
      <c r="AQ42" s="110"/>
      <c r="AR42" s="176"/>
      <c r="AS42" s="110"/>
      <c r="AT42" s="176"/>
      <c r="AU42" s="191">
        <f t="shared" si="0"/>
        <v>0</v>
      </c>
      <c r="AW42" s="169">
        <f t="shared" si="1"/>
        <v>0</v>
      </c>
    </row>
    <row r="43" spans="1:52" x14ac:dyDescent="0.25">
      <c r="A43" s="126" t="s">
        <v>1086</v>
      </c>
      <c r="B43" s="111">
        <v>344.52</v>
      </c>
      <c r="C43" s="126" t="s">
        <v>1086</v>
      </c>
      <c r="D43" s="132"/>
      <c r="E43" s="126" t="s">
        <v>1086</v>
      </c>
      <c r="G43" s="126" t="s">
        <v>1086</v>
      </c>
      <c r="I43" s="126" t="s">
        <v>1086</v>
      </c>
      <c r="K43" s="126" t="s">
        <v>1086</v>
      </c>
      <c r="L43" s="140"/>
      <c r="M43" s="126" t="s">
        <v>1086</v>
      </c>
      <c r="N43" s="140"/>
      <c r="O43" s="126" t="s">
        <v>1086</v>
      </c>
      <c r="P43" s="140"/>
      <c r="Q43" s="126" t="s">
        <v>1086</v>
      </c>
      <c r="R43" s="140"/>
      <c r="S43" s="126" t="s">
        <v>1086</v>
      </c>
      <c r="T43" s="140"/>
      <c r="U43" s="126" t="s">
        <v>1086</v>
      </c>
      <c r="V43" s="140"/>
      <c r="W43" s="126" t="s">
        <v>1086</v>
      </c>
      <c r="X43" s="140"/>
      <c r="Y43" s="126" t="s">
        <v>1086</v>
      </c>
      <c r="Z43" s="140"/>
      <c r="AA43" s="126" t="s">
        <v>1086</v>
      </c>
      <c r="AB43" s="140"/>
      <c r="AC43" s="126" t="s">
        <v>1086</v>
      </c>
      <c r="AD43" s="140"/>
      <c r="AE43" s="126" t="s">
        <v>1086</v>
      </c>
      <c r="AF43" s="140"/>
      <c r="AG43" s="126" t="s">
        <v>1086</v>
      </c>
      <c r="AH43" s="140"/>
      <c r="AI43" s="126" t="s">
        <v>1086</v>
      </c>
      <c r="AJ43" s="140"/>
      <c r="AK43" s="126" t="s">
        <v>1086</v>
      </c>
      <c r="AL43" s="140"/>
      <c r="AM43" s="126" t="s">
        <v>1086</v>
      </c>
      <c r="AN43" s="140"/>
      <c r="AO43" s="126" t="s">
        <v>1086</v>
      </c>
      <c r="AP43" s="140"/>
      <c r="AQ43" s="126" t="s">
        <v>1086</v>
      </c>
      <c r="AR43" s="140"/>
      <c r="AS43" s="126" t="s">
        <v>1086</v>
      </c>
      <c r="AT43" s="140"/>
      <c r="AU43" s="191">
        <f t="shared" si="0"/>
        <v>344.52</v>
      </c>
      <c r="AW43" s="169">
        <f t="shared" si="1"/>
        <v>344.52</v>
      </c>
    </row>
    <row r="44" spans="1:52" x14ac:dyDescent="0.25">
      <c r="A44" s="110"/>
      <c r="B44" s="111"/>
      <c r="C44" s="110"/>
      <c r="D44" s="132"/>
      <c r="E44" s="110"/>
      <c r="G44" s="110"/>
      <c r="I44" s="110"/>
      <c r="K44" s="110"/>
      <c r="L44" s="176"/>
      <c r="M44" s="110"/>
      <c r="N44" s="131"/>
      <c r="O44" s="110"/>
      <c r="P44" s="131"/>
      <c r="Q44" s="110"/>
      <c r="R44" s="176"/>
      <c r="S44" s="110"/>
      <c r="T44" s="176"/>
      <c r="U44" s="110"/>
      <c r="V44" s="176"/>
      <c r="W44" s="110"/>
      <c r="X44" s="176"/>
      <c r="Y44" s="110"/>
      <c r="Z44" s="176"/>
      <c r="AA44" s="110"/>
      <c r="AB44" s="176"/>
      <c r="AC44" s="110"/>
      <c r="AD44" s="176"/>
      <c r="AE44" s="110"/>
      <c r="AF44" s="176"/>
      <c r="AG44" s="110"/>
      <c r="AH44" s="176"/>
      <c r="AI44" s="110"/>
      <c r="AJ44" s="176"/>
      <c r="AK44" s="110"/>
      <c r="AL44" s="176"/>
      <c r="AM44" s="110"/>
      <c r="AN44" s="176"/>
      <c r="AO44" s="110"/>
      <c r="AP44" s="176"/>
      <c r="AQ44" s="110"/>
      <c r="AR44" s="176"/>
      <c r="AS44" s="110"/>
      <c r="AT44" s="176"/>
      <c r="AU44" s="191">
        <f t="shared" si="0"/>
        <v>0</v>
      </c>
      <c r="AW44" s="169">
        <f t="shared" si="1"/>
        <v>0</v>
      </c>
    </row>
    <row r="45" spans="1:52" x14ac:dyDescent="0.25">
      <c r="A45" s="110"/>
      <c r="B45" s="111"/>
      <c r="C45" s="126" t="s">
        <v>1227</v>
      </c>
      <c r="D45" s="132">
        <v>6555.9</v>
      </c>
      <c r="E45" s="126" t="s">
        <v>1227</v>
      </c>
      <c r="G45" s="126" t="s">
        <v>1227</v>
      </c>
      <c r="I45" s="126" t="s">
        <v>1227</v>
      </c>
      <c r="K45" s="126" t="s">
        <v>1227</v>
      </c>
      <c r="L45" s="140"/>
      <c r="M45" s="126" t="s">
        <v>1227</v>
      </c>
      <c r="N45" s="140"/>
      <c r="O45" s="126" t="s">
        <v>1227</v>
      </c>
      <c r="P45" s="140"/>
      <c r="Q45" s="126" t="s">
        <v>1227</v>
      </c>
      <c r="R45" s="140"/>
      <c r="S45" s="126" t="s">
        <v>1227</v>
      </c>
      <c r="T45" s="140"/>
      <c r="U45" s="126" t="s">
        <v>1227</v>
      </c>
      <c r="V45" s="140"/>
      <c r="W45" s="126" t="s">
        <v>1227</v>
      </c>
      <c r="X45" s="140"/>
      <c r="Y45" s="126" t="s">
        <v>1227</v>
      </c>
      <c r="Z45" s="140"/>
      <c r="AA45" s="126" t="s">
        <v>1227</v>
      </c>
      <c r="AB45" s="140"/>
      <c r="AC45" s="126" t="s">
        <v>1227</v>
      </c>
      <c r="AD45" s="140"/>
      <c r="AE45" s="126" t="s">
        <v>1227</v>
      </c>
      <c r="AF45" s="140"/>
      <c r="AG45" s="126" t="s">
        <v>1227</v>
      </c>
      <c r="AH45" s="140"/>
      <c r="AI45" s="126" t="s">
        <v>1227</v>
      </c>
      <c r="AJ45" s="140"/>
      <c r="AK45" s="126" t="s">
        <v>1227</v>
      </c>
      <c r="AL45" s="140"/>
      <c r="AM45" s="126" t="s">
        <v>1227</v>
      </c>
      <c r="AN45" s="140"/>
      <c r="AO45" s="126" t="s">
        <v>1227</v>
      </c>
      <c r="AP45" s="140"/>
      <c r="AQ45" s="126" t="s">
        <v>1227</v>
      </c>
      <c r="AR45" s="140"/>
      <c r="AS45" s="126" t="s">
        <v>1227</v>
      </c>
      <c r="AT45" s="140">
        <v>4500.63</v>
      </c>
      <c r="AU45" s="191">
        <f t="shared" si="0"/>
        <v>11056.529999999999</v>
      </c>
      <c r="AV45" s="106">
        <v>11056.531647999998</v>
      </c>
      <c r="AW45" s="169">
        <f t="shared" si="1"/>
        <v>-1.6479999994771788E-3</v>
      </c>
    </row>
    <row r="46" spans="1:52" x14ac:dyDescent="0.25">
      <c r="A46" s="110"/>
      <c r="B46" s="111"/>
      <c r="C46" s="126" t="s">
        <v>1228</v>
      </c>
      <c r="D46" s="132">
        <v>4077.0648000000001</v>
      </c>
      <c r="E46" s="126" t="s">
        <v>1228</v>
      </c>
      <c r="F46" s="139">
        <v>435.21</v>
      </c>
      <c r="G46" s="126" t="s">
        <v>1228</v>
      </c>
      <c r="I46" s="126" t="s">
        <v>1228</v>
      </c>
      <c r="K46" s="126" t="s">
        <v>1228</v>
      </c>
      <c r="L46" s="140"/>
      <c r="M46" s="126" t="s">
        <v>1228</v>
      </c>
      <c r="N46" s="140"/>
      <c r="O46" s="126" t="s">
        <v>1228</v>
      </c>
      <c r="P46" s="140"/>
      <c r="Q46" s="126" t="s">
        <v>1228</v>
      </c>
      <c r="R46" s="140"/>
      <c r="S46" s="126" t="s">
        <v>1228</v>
      </c>
      <c r="T46" s="140"/>
      <c r="U46" s="126" t="s">
        <v>1228</v>
      </c>
      <c r="V46" s="140"/>
      <c r="W46" s="126" t="s">
        <v>1228</v>
      </c>
      <c r="X46" s="140"/>
      <c r="Y46" s="126" t="s">
        <v>1228</v>
      </c>
      <c r="Z46" s="140"/>
      <c r="AA46" s="126" t="s">
        <v>1228</v>
      </c>
      <c r="AB46" s="140"/>
      <c r="AC46" s="126" t="s">
        <v>1228</v>
      </c>
      <c r="AD46" s="140"/>
      <c r="AE46" s="126" t="s">
        <v>1228</v>
      </c>
      <c r="AF46" s="140"/>
      <c r="AG46" s="126" t="s">
        <v>1228</v>
      </c>
      <c r="AH46" s="140"/>
      <c r="AI46" s="126" t="s">
        <v>1228</v>
      </c>
      <c r="AJ46" s="140"/>
      <c r="AK46" s="126" t="s">
        <v>1228</v>
      </c>
      <c r="AL46" s="140"/>
      <c r="AM46" s="126" t="s">
        <v>1228</v>
      </c>
      <c r="AN46" s="140"/>
      <c r="AO46" s="126" t="s">
        <v>1228</v>
      </c>
      <c r="AP46" s="140"/>
      <c r="AQ46" s="126" t="s">
        <v>1228</v>
      </c>
      <c r="AR46" s="140"/>
      <c r="AS46" s="126" t="s">
        <v>1228</v>
      </c>
      <c r="AT46" s="140">
        <v>316</v>
      </c>
      <c r="AU46" s="191">
        <f t="shared" si="0"/>
        <v>4828.2748000000001</v>
      </c>
      <c r="AV46" s="106">
        <v>4828.2723680000008</v>
      </c>
      <c r="AW46" s="169">
        <f t="shared" si="1"/>
        <v>2.4319999993167585E-3</v>
      </c>
    </row>
    <row r="47" spans="1:52" x14ac:dyDescent="0.25">
      <c r="A47" s="126" t="s">
        <v>1090</v>
      </c>
      <c r="B47" s="111">
        <v>1342.72</v>
      </c>
      <c r="C47" s="126" t="s">
        <v>1090</v>
      </c>
      <c r="D47" s="132">
        <v>7303.8199999999988</v>
      </c>
      <c r="E47" s="126" t="s">
        <v>1090</v>
      </c>
      <c r="G47" s="126" t="s">
        <v>1090</v>
      </c>
      <c r="I47" s="126" t="s">
        <v>1090</v>
      </c>
      <c r="K47" s="126" t="s">
        <v>1090</v>
      </c>
      <c r="L47" s="140"/>
      <c r="M47" s="126" t="s">
        <v>1090</v>
      </c>
      <c r="N47" s="140"/>
      <c r="O47" s="126" t="s">
        <v>1090</v>
      </c>
      <c r="P47" s="140"/>
      <c r="Q47" s="126" t="s">
        <v>1090</v>
      </c>
      <c r="R47" s="140"/>
      <c r="S47" s="126" t="s">
        <v>1090</v>
      </c>
      <c r="T47" s="140"/>
      <c r="U47" s="126" t="s">
        <v>1090</v>
      </c>
      <c r="V47" s="140"/>
      <c r="W47" s="126" t="s">
        <v>1090</v>
      </c>
      <c r="X47" s="140"/>
      <c r="Y47" s="126" t="s">
        <v>1090</v>
      </c>
      <c r="Z47" s="140"/>
      <c r="AA47" s="126" t="s">
        <v>1090</v>
      </c>
      <c r="AB47" s="140"/>
      <c r="AC47" s="126" t="s">
        <v>1090</v>
      </c>
      <c r="AD47" s="140"/>
      <c r="AE47" s="126" t="s">
        <v>1090</v>
      </c>
      <c r="AF47" s="140"/>
      <c r="AG47" s="126" t="s">
        <v>1090</v>
      </c>
      <c r="AH47" s="140"/>
      <c r="AI47" s="126" t="s">
        <v>1090</v>
      </c>
      <c r="AJ47" s="140"/>
      <c r="AK47" s="126" t="s">
        <v>1090</v>
      </c>
      <c r="AL47" s="140"/>
      <c r="AM47" s="126" t="s">
        <v>1090</v>
      </c>
      <c r="AN47" s="140"/>
      <c r="AO47" s="126" t="s">
        <v>1090</v>
      </c>
      <c r="AP47" s="140"/>
      <c r="AQ47" s="126" t="s">
        <v>1090</v>
      </c>
      <c r="AR47" s="140"/>
      <c r="AS47" s="126" t="s">
        <v>1090</v>
      </c>
      <c r="AT47" s="140"/>
      <c r="AU47" s="191">
        <f t="shared" si="0"/>
        <v>8646.5399999999991</v>
      </c>
      <c r="AW47" s="169">
        <f t="shared" si="1"/>
        <v>8646.5399999999991</v>
      </c>
    </row>
    <row r="48" spans="1:52" x14ac:dyDescent="0.25">
      <c r="A48" s="110"/>
      <c r="B48" s="111"/>
      <c r="C48" s="110"/>
      <c r="D48" s="132"/>
      <c r="E48" s="110"/>
      <c r="G48" s="110"/>
      <c r="I48" s="110"/>
      <c r="K48" s="110"/>
      <c r="L48" s="176"/>
      <c r="M48" s="110"/>
      <c r="N48" s="131"/>
      <c r="O48" s="110"/>
      <c r="P48" s="131"/>
      <c r="Q48" s="110"/>
      <c r="R48" s="176"/>
      <c r="S48" s="110"/>
      <c r="T48" s="176"/>
      <c r="U48" s="110"/>
      <c r="V48" s="176"/>
      <c r="W48" s="110"/>
      <c r="X48" s="176"/>
      <c r="Y48" s="110"/>
      <c r="Z48" s="176"/>
      <c r="AA48" s="110"/>
      <c r="AB48" s="176"/>
      <c r="AC48" s="110"/>
      <c r="AD48" s="176"/>
      <c r="AE48" s="110"/>
      <c r="AF48" s="176"/>
      <c r="AG48" s="110"/>
      <c r="AH48" s="176"/>
      <c r="AI48" s="110"/>
      <c r="AJ48" s="176"/>
      <c r="AK48" s="110"/>
      <c r="AL48" s="176"/>
      <c r="AM48" s="110"/>
      <c r="AN48" s="176"/>
      <c r="AO48" s="110"/>
      <c r="AP48" s="176"/>
      <c r="AQ48" s="110"/>
      <c r="AR48" s="176"/>
      <c r="AS48" s="110"/>
      <c r="AT48" s="176"/>
      <c r="AU48" s="191">
        <f t="shared" si="0"/>
        <v>0</v>
      </c>
      <c r="AW48" s="169">
        <f t="shared" si="1"/>
        <v>0</v>
      </c>
    </row>
    <row r="49" spans="1:52" x14ac:dyDescent="0.25">
      <c r="A49" s="110"/>
      <c r="B49" s="111"/>
      <c r="C49" s="109">
        <v>24801</v>
      </c>
      <c r="D49" s="132">
        <v>33408</v>
      </c>
      <c r="E49" s="109">
        <v>24801</v>
      </c>
      <c r="G49" s="109">
        <v>24801</v>
      </c>
      <c r="H49" s="159">
        <v>11500</v>
      </c>
      <c r="I49" s="109">
        <v>24801</v>
      </c>
      <c r="K49" s="109">
        <v>24801</v>
      </c>
      <c r="L49" s="140"/>
      <c r="M49" s="109">
        <v>24801</v>
      </c>
      <c r="N49" s="174"/>
      <c r="O49" s="109">
        <v>24801</v>
      </c>
      <c r="P49" s="174"/>
      <c r="Q49" s="109">
        <v>24801</v>
      </c>
      <c r="R49" s="140">
        <v>5246.4</v>
      </c>
      <c r="S49" s="109">
        <v>24801</v>
      </c>
      <c r="T49" s="140"/>
      <c r="U49" s="109">
        <v>24801</v>
      </c>
      <c r="V49" s="140"/>
      <c r="W49" s="109">
        <v>24801</v>
      </c>
      <c r="X49" s="140"/>
      <c r="Y49" s="109">
        <v>24801</v>
      </c>
      <c r="Z49" s="140"/>
      <c r="AA49" s="109">
        <v>24801</v>
      </c>
      <c r="AB49" s="140"/>
      <c r="AC49" s="109">
        <v>24801</v>
      </c>
      <c r="AD49" s="140"/>
      <c r="AE49" s="109">
        <v>24801</v>
      </c>
      <c r="AF49" s="140"/>
      <c r="AG49" s="109">
        <v>24801</v>
      </c>
      <c r="AH49" s="140"/>
      <c r="AI49" s="109">
        <v>24801</v>
      </c>
      <c r="AJ49" s="140"/>
      <c r="AK49" s="109">
        <v>24801</v>
      </c>
      <c r="AL49" s="140">
        <v>6000</v>
      </c>
      <c r="AM49" s="109">
        <v>24801</v>
      </c>
      <c r="AN49" s="140"/>
      <c r="AO49" s="109">
        <v>24801</v>
      </c>
      <c r="AP49" s="140"/>
      <c r="AQ49" s="109">
        <v>24801</v>
      </c>
      <c r="AR49" s="140"/>
      <c r="AS49" s="109">
        <v>24801</v>
      </c>
      <c r="AT49" s="140">
        <v>1000</v>
      </c>
      <c r="AU49" s="191">
        <f t="shared" si="0"/>
        <v>57154.400000000001</v>
      </c>
      <c r="AV49" s="106">
        <v>57154.400000000001</v>
      </c>
      <c r="AW49" s="169">
        <f t="shared" si="1"/>
        <v>0</v>
      </c>
    </row>
    <row r="50" spans="1:52" x14ac:dyDescent="0.25">
      <c r="A50" s="110"/>
      <c r="B50" s="111"/>
      <c r="C50" s="110"/>
      <c r="D50" s="132"/>
      <c r="E50" s="110"/>
      <c r="G50" s="110"/>
      <c r="I50" s="110"/>
      <c r="K50" s="110"/>
      <c r="L50" s="176"/>
      <c r="M50" s="110"/>
      <c r="N50" s="131"/>
      <c r="O50" s="110"/>
      <c r="P50" s="131"/>
      <c r="Q50" s="110"/>
      <c r="R50" s="176"/>
      <c r="S50" s="110"/>
      <c r="T50" s="176"/>
      <c r="U50" s="110"/>
      <c r="V50" s="176"/>
      <c r="W50" s="110"/>
      <c r="X50" s="176"/>
      <c r="Y50" s="110"/>
      <c r="Z50" s="176"/>
      <c r="AA50" s="110"/>
      <c r="AB50" s="176"/>
      <c r="AC50" s="110"/>
      <c r="AD50" s="176"/>
      <c r="AE50" s="110"/>
      <c r="AF50" s="176"/>
      <c r="AG50" s="110"/>
      <c r="AH50" s="176"/>
      <c r="AI50" s="110"/>
      <c r="AJ50" s="176"/>
      <c r="AK50" s="110"/>
      <c r="AL50" s="176"/>
      <c r="AM50" s="110"/>
      <c r="AN50" s="176"/>
      <c r="AO50" s="110"/>
      <c r="AP50" s="176"/>
      <c r="AQ50" s="110"/>
      <c r="AR50" s="176"/>
      <c r="AS50" s="110"/>
      <c r="AT50" s="176"/>
      <c r="AU50" s="191">
        <f t="shared" si="0"/>
        <v>0</v>
      </c>
      <c r="AW50" s="169">
        <f t="shared" si="1"/>
        <v>0</v>
      </c>
    </row>
    <row r="51" spans="1:52" x14ac:dyDescent="0.25">
      <c r="A51" s="110"/>
      <c r="B51" s="111"/>
      <c r="C51" s="110"/>
      <c r="D51" s="132"/>
      <c r="E51" s="110"/>
      <c r="G51" s="110"/>
      <c r="I51" s="110"/>
      <c r="K51" s="110"/>
      <c r="L51" s="176"/>
      <c r="M51" s="110"/>
      <c r="N51" s="131"/>
      <c r="O51" s="110"/>
      <c r="P51" s="131"/>
      <c r="Q51" s="110"/>
      <c r="R51" s="176"/>
      <c r="S51" s="110"/>
      <c r="T51" s="176"/>
      <c r="U51" s="110"/>
      <c r="V51" s="176"/>
      <c r="W51" s="110"/>
      <c r="X51" s="176"/>
      <c r="Y51" s="110"/>
      <c r="Z51" s="176"/>
      <c r="AA51" s="110"/>
      <c r="AB51" s="176"/>
      <c r="AC51" s="110"/>
      <c r="AD51" s="176"/>
      <c r="AE51" s="110"/>
      <c r="AF51" s="176"/>
      <c r="AG51" s="110"/>
      <c r="AH51" s="176"/>
      <c r="AI51" s="110"/>
      <c r="AJ51" s="176"/>
      <c r="AK51" s="110"/>
      <c r="AL51" s="176"/>
      <c r="AM51" s="110"/>
      <c r="AN51" s="176"/>
      <c r="AO51" s="110"/>
      <c r="AP51" s="176"/>
      <c r="AQ51" s="110"/>
      <c r="AR51" s="176"/>
      <c r="AS51" s="109">
        <v>24803</v>
      </c>
      <c r="AT51" s="176">
        <v>388.8</v>
      </c>
      <c r="AU51" s="191">
        <f t="shared" si="0"/>
        <v>388.8</v>
      </c>
      <c r="AV51" s="106">
        <v>388.79999999999995</v>
      </c>
      <c r="AW51" s="169">
        <f t="shared" si="1"/>
        <v>0</v>
      </c>
    </row>
    <row r="52" spans="1:52" x14ac:dyDescent="0.25">
      <c r="A52" s="110"/>
      <c r="B52" s="111"/>
      <c r="C52" s="109">
        <v>24804</v>
      </c>
      <c r="D52" s="132">
        <v>9811.93</v>
      </c>
      <c r="E52" s="109">
        <v>24804</v>
      </c>
      <c r="G52" s="109">
        <v>24804</v>
      </c>
      <c r="I52" s="109">
        <v>24804</v>
      </c>
      <c r="K52" s="109">
        <v>24804</v>
      </c>
      <c r="L52" s="140"/>
      <c r="M52" s="109">
        <v>24804</v>
      </c>
      <c r="N52" s="174"/>
      <c r="O52" s="109">
        <v>24804</v>
      </c>
      <c r="P52" s="174"/>
      <c r="Q52" s="109">
        <v>24804</v>
      </c>
      <c r="R52" s="140"/>
      <c r="S52" s="109">
        <v>24804</v>
      </c>
      <c r="T52" s="140"/>
      <c r="U52" s="109">
        <v>24804</v>
      </c>
      <c r="V52" s="140"/>
      <c r="W52" s="109">
        <v>24804</v>
      </c>
      <c r="X52" s="140"/>
      <c r="Y52" s="109">
        <v>24804</v>
      </c>
      <c r="Z52" s="140"/>
      <c r="AA52" s="109">
        <v>24804</v>
      </c>
      <c r="AB52" s="140"/>
      <c r="AC52" s="109">
        <v>24804</v>
      </c>
      <c r="AD52" s="140"/>
      <c r="AE52" s="109">
        <v>24804</v>
      </c>
      <c r="AF52" s="140"/>
      <c r="AG52" s="109">
        <v>24804</v>
      </c>
      <c r="AH52" s="140"/>
      <c r="AI52" s="109">
        <v>24804</v>
      </c>
      <c r="AJ52" s="140"/>
      <c r="AK52" s="109">
        <v>24804</v>
      </c>
      <c r="AL52" s="140"/>
      <c r="AM52" s="109">
        <v>24804</v>
      </c>
      <c r="AN52" s="140"/>
      <c r="AO52" s="109">
        <v>24804</v>
      </c>
      <c r="AP52" s="140"/>
      <c r="AQ52" s="109">
        <v>24804</v>
      </c>
      <c r="AR52" s="140"/>
      <c r="AS52" s="109">
        <v>24804</v>
      </c>
      <c r="AT52" s="140"/>
      <c r="AU52" s="191">
        <f t="shared" si="0"/>
        <v>9811.93</v>
      </c>
      <c r="AW52" s="169">
        <f t="shared" si="1"/>
        <v>9811.93</v>
      </c>
    </row>
    <row r="53" spans="1:52" s="108" customFormat="1" x14ac:dyDescent="0.25">
      <c r="A53" s="130"/>
      <c r="B53" s="131"/>
      <c r="C53" s="112"/>
      <c r="D53" s="177"/>
      <c r="E53" s="112"/>
      <c r="F53" s="142"/>
      <c r="G53" s="112"/>
      <c r="H53" s="160"/>
      <c r="I53" s="112"/>
      <c r="J53" s="160"/>
      <c r="K53" s="112"/>
      <c r="L53" s="140"/>
      <c r="M53" s="112"/>
      <c r="N53" s="174"/>
      <c r="O53" s="112"/>
      <c r="P53" s="174"/>
      <c r="Q53" s="109">
        <v>24806</v>
      </c>
      <c r="R53" s="140">
        <v>1960</v>
      </c>
      <c r="S53" s="109">
        <v>24806</v>
      </c>
      <c r="T53" s="140"/>
      <c r="U53" s="109">
        <v>24806</v>
      </c>
      <c r="V53" s="140"/>
      <c r="W53" s="109">
        <v>24806</v>
      </c>
      <c r="X53" s="140"/>
      <c r="Y53" s="109">
        <v>24806</v>
      </c>
      <c r="Z53" s="140"/>
      <c r="AA53" s="109">
        <v>24806</v>
      </c>
      <c r="AB53" s="140"/>
      <c r="AC53" s="109">
        <v>24806</v>
      </c>
      <c r="AD53" s="140"/>
      <c r="AE53" s="109">
        <v>24806</v>
      </c>
      <c r="AF53" s="140"/>
      <c r="AG53" s="109">
        <v>24806</v>
      </c>
      <c r="AH53" s="140"/>
      <c r="AI53" s="109">
        <v>24806</v>
      </c>
      <c r="AJ53" s="140"/>
      <c r="AK53" s="109">
        <v>24806</v>
      </c>
      <c r="AL53" s="140"/>
      <c r="AM53" s="109">
        <v>24806</v>
      </c>
      <c r="AN53" s="140"/>
      <c r="AO53" s="109">
        <v>24806</v>
      </c>
      <c r="AP53" s="140"/>
      <c r="AQ53" s="109">
        <v>24806</v>
      </c>
      <c r="AR53" s="140"/>
      <c r="AS53" s="109">
        <v>24806</v>
      </c>
      <c r="AT53" s="140"/>
      <c r="AU53" s="191">
        <f t="shared" si="0"/>
        <v>1960</v>
      </c>
      <c r="AV53" s="160"/>
      <c r="AW53" s="169">
        <f t="shared" si="1"/>
        <v>1960</v>
      </c>
      <c r="AZ53" s="246"/>
    </row>
    <row r="54" spans="1:52" x14ac:dyDescent="0.25">
      <c r="A54" s="109">
        <v>24807</v>
      </c>
      <c r="B54" s="111">
        <v>2604.3199999999997</v>
      </c>
      <c r="C54" s="109">
        <v>24807</v>
      </c>
      <c r="D54" s="132">
        <v>8579.3699999999972</v>
      </c>
      <c r="E54" s="109">
        <v>24807</v>
      </c>
      <c r="G54" s="109">
        <v>24807</v>
      </c>
      <c r="H54" s="106">
        <v>512.65</v>
      </c>
      <c r="I54" s="109">
        <v>24807</v>
      </c>
      <c r="K54" s="109">
        <v>24807</v>
      </c>
      <c r="L54" s="140"/>
      <c r="M54" s="109">
        <v>24807</v>
      </c>
      <c r="N54" s="174"/>
      <c r="O54" s="109">
        <v>24807</v>
      </c>
      <c r="P54" s="174"/>
      <c r="Q54" s="109">
        <v>24807</v>
      </c>
      <c r="R54" s="140"/>
      <c r="S54" s="109">
        <v>24807</v>
      </c>
      <c r="T54" s="140"/>
      <c r="U54" s="109">
        <v>24807</v>
      </c>
      <c r="V54" s="140"/>
      <c r="W54" s="109">
        <v>24807</v>
      </c>
      <c r="X54" s="140"/>
      <c r="Y54" s="109">
        <v>24807</v>
      </c>
      <c r="Z54" s="140"/>
      <c r="AA54" s="109">
        <v>24807</v>
      </c>
      <c r="AB54" s="140"/>
      <c r="AC54" s="109">
        <v>24807</v>
      </c>
      <c r="AD54" s="140"/>
      <c r="AE54" s="109">
        <v>24807</v>
      </c>
      <c r="AF54" s="140"/>
      <c r="AG54" s="109">
        <v>24807</v>
      </c>
      <c r="AH54" s="140"/>
      <c r="AI54" s="109">
        <v>24807</v>
      </c>
      <c r="AJ54" s="140"/>
      <c r="AK54" s="109">
        <v>24807</v>
      </c>
      <c r="AL54" s="140"/>
      <c r="AM54" s="109">
        <v>24807</v>
      </c>
      <c r="AN54" s="140"/>
      <c r="AO54" s="109">
        <v>24807</v>
      </c>
      <c r="AP54" s="140"/>
      <c r="AQ54" s="109">
        <v>24807</v>
      </c>
      <c r="AR54" s="140"/>
      <c r="AS54" s="109">
        <v>24807</v>
      </c>
      <c r="AT54" s="140">
        <v>1313.6</v>
      </c>
      <c r="AU54" s="191">
        <f t="shared" si="0"/>
        <v>13009.939999999997</v>
      </c>
      <c r="AV54" s="106">
        <v>13009.937439999994</v>
      </c>
      <c r="AW54" s="169">
        <f t="shared" si="1"/>
        <v>2.5600000026315683E-3</v>
      </c>
    </row>
    <row r="55" spans="1:52" x14ac:dyDescent="0.25">
      <c r="A55" s="110"/>
      <c r="B55" s="111"/>
      <c r="C55" s="110"/>
      <c r="D55" s="132"/>
      <c r="E55" s="110"/>
      <c r="G55" s="110"/>
      <c r="I55" s="110"/>
      <c r="K55" s="110"/>
      <c r="L55" s="176"/>
      <c r="M55" s="110"/>
      <c r="N55" s="131"/>
      <c r="O55" s="110"/>
      <c r="P55" s="131"/>
      <c r="Q55" s="110"/>
      <c r="R55" s="176"/>
      <c r="S55" s="110"/>
      <c r="T55" s="176"/>
      <c r="U55" s="110"/>
      <c r="V55" s="176"/>
      <c r="W55" s="110"/>
      <c r="X55" s="176"/>
      <c r="Y55" s="110"/>
      <c r="Z55" s="176"/>
      <c r="AA55" s="110"/>
      <c r="AB55" s="176"/>
      <c r="AC55" s="110"/>
      <c r="AD55" s="176"/>
      <c r="AE55" s="110"/>
      <c r="AF55" s="176"/>
      <c r="AG55" s="110"/>
      <c r="AH55" s="176"/>
      <c r="AI55" s="110"/>
      <c r="AJ55" s="176"/>
      <c r="AK55" s="110"/>
      <c r="AL55" s="176"/>
      <c r="AM55" s="110"/>
      <c r="AN55" s="176"/>
      <c r="AO55" s="110"/>
      <c r="AP55" s="176"/>
      <c r="AQ55" s="110"/>
      <c r="AR55" s="176"/>
      <c r="AS55" s="110"/>
      <c r="AT55" s="176"/>
      <c r="AU55" s="191">
        <f t="shared" si="0"/>
        <v>0</v>
      </c>
      <c r="AW55" s="169">
        <f t="shared" si="1"/>
        <v>0</v>
      </c>
    </row>
    <row r="56" spans="1:52" x14ac:dyDescent="0.25">
      <c r="A56" s="110"/>
      <c r="B56" s="111"/>
      <c r="C56" s="109">
        <v>24901</v>
      </c>
      <c r="D56" s="132">
        <f>2902.32+5466.18</f>
        <v>8368.5</v>
      </c>
      <c r="E56" s="109">
        <v>24901</v>
      </c>
      <c r="F56" s="139">
        <v>87.07</v>
      </c>
      <c r="G56" s="109">
        <v>24901</v>
      </c>
      <c r="H56" s="106">
        <v>5763.1351999999997</v>
      </c>
      <c r="I56" s="109">
        <v>24901</v>
      </c>
      <c r="K56" s="109">
        <v>24901</v>
      </c>
      <c r="L56" s="140"/>
      <c r="M56" s="109">
        <v>24901</v>
      </c>
      <c r="N56" s="174"/>
      <c r="O56" s="109">
        <v>24901</v>
      </c>
      <c r="P56" s="174"/>
      <c r="Q56" s="109">
        <v>24901</v>
      </c>
      <c r="R56" s="140"/>
      <c r="S56" s="109">
        <v>24901</v>
      </c>
      <c r="T56" s="140"/>
      <c r="U56" s="109">
        <v>24901</v>
      </c>
      <c r="V56" s="140"/>
      <c r="W56" s="109">
        <v>24901</v>
      </c>
      <c r="X56" s="140"/>
      <c r="Y56" s="109">
        <v>24901</v>
      </c>
      <c r="Z56" s="140"/>
      <c r="AA56" s="109">
        <v>24901</v>
      </c>
      <c r="AB56" s="140"/>
      <c r="AC56" s="109">
        <v>24901</v>
      </c>
      <c r="AD56" s="140"/>
      <c r="AE56" s="109">
        <v>24901</v>
      </c>
      <c r="AF56" s="140"/>
      <c r="AG56" s="109">
        <v>24901</v>
      </c>
      <c r="AH56" s="140"/>
      <c r="AI56" s="109">
        <v>24901</v>
      </c>
      <c r="AJ56" s="140"/>
      <c r="AK56" s="109">
        <v>24901</v>
      </c>
      <c r="AL56" s="140"/>
      <c r="AM56" s="109">
        <v>24901</v>
      </c>
      <c r="AN56" s="140"/>
      <c r="AO56" s="109">
        <v>24901</v>
      </c>
      <c r="AP56" s="140">
        <v>62.01</v>
      </c>
      <c r="AQ56" s="109">
        <v>24901</v>
      </c>
      <c r="AR56" s="140"/>
      <c r="AS56" s="109">
        <v>24901</v>
      </c>
      <c r="AT56" s="140">
        <v>431.22</v>
      </c>
      <c r="AU56" s="191">
        <f t="shared" si="0"/>
        <v>14711.9352</v>
      </c>
      <c r="AV56" s="106">
        <v>14711.931744</v>
      </c>
      <c r="AW56" s="169">
        <f t="shared" si="1"/>
        <v>3.4560000003693858E-3</v>
      </c>
    </row>
    <row r="57" spans="1:52" x14ac:dyDescent="0.25">
      <c r="A57" s="110"/>
      <c r="B57" s="111"/>
      <c r="C57" s="109">
        <v>24902</v>
      </c>
      <c r="D57" s="132"/>
      <c r="E57" s="109">
        <v>24902</v>
      </c>
      <c r="G57" s="109">
        <v>24902</v>
      </c>
      <c r="I57" s="109">
        <v>24902</v>
      </c>
      <c r="K57" s="109">
        <v>24902</v>
      </c>
      <c r="L57" s="140"/>
      <c r="M57" s="109">
        <v>24902</v>
      </c>
      <c r="N57" s="174"/>
      <c r="O57" s="109">
        <v>24902</v>
      </c>
      <c r="P57" s="174"/>
      <c r="Q57" s="109">
        <v>24902</v>
      </c>
      <c r="R57" s="140"/>
      <c r="S57" s="109">
        <v>24902</v>
      </c>
      <c r="T57" s="140"/>
      <c r="U57" s="109">
        <v>24902</v>
      </c>
      <c r="V57" s="140"/>
      <c r="W57" s="109">
        <v>24902</v>
      </c>
      <c r="X57" s="140"/>
      <c r="Y57" s="109">
        <v>24902</v>
      </c>
      <c r="Z57" s="140"/>
      <c r="AA57" s="109">
        <v>24902</v>
      </c>
      <c r="AB57" s="140"/>
      <c r="AC57" s="109">
        <v>24902</v>
      </c>
      <c r="AD57" s="140"/>
      <c r="AE57" s="109">
        <v>24902</v>
      </c>
      <c r="AF57" s="140"/>
      <c r="AG57" s="109">
        <v>24902</v>
      </c>
      <c r="AH57" s="140"/>
      <c r="AI57" s="109">
        <v>24902</v>
      </c>
      <c r="AJ57" s="140"/>
      <c r="AK57" s="109">
        <v>24902</v>
      </c>
      <c r="AL57" s="140"/>
      <c r="AM57" s="109">
        <v>24902</v>
      </c>
      <c r="AN57" s="140"/>
      <c r="AO57" s="109">
        <v>24902</v>
      </c>
      <c r="AP57" s="140"/>
      <c r="AQ57" s="109">
        <v>24902</v>
      </c>
      <c r="AR57" s="140"/>
      <c r="AS57" s="109">
        <v>24902</v>
      </c>
      <c r="AT57" s="140"/>
      <c r="AU57" s="191">
        <f t="shared" si="0"/>
        <v>0</v>
      </c>
      <c r="AW57" s="169">
        <f t="shared" si="1"/>
        <v>0</v>
      </c>
    </row>
    <row r="58" spans="1:52" x14ac:dyDescent="0.25">
      <c r="A58" s="110"/>
      <c r="B58" s="111"/>
      <c r="C58" s="109">
        <v>24903</v>
      </c>
      <c r="D58" s="132"/>
      <c r="E58" s="109">
        <v>24903</v>
      </c>
      <c r="G58" s="109">
        <v>24903</v>
      </c>
      <c r="I58" s="109">
        <v>24903</v>
      </c>
      <c r="K58" s="109">
        <v>24903</v>
      </c>
      <c r="L58" s="140"/>
      <c r="M58" s="109">
        <v>24903</v>
      </c>
      <c r="N58" s="174"/>
      <c r="O58" s="109">
        <v>24903</v>
      </c>
      <c r="P58" s="174"/>
      <c r="Q58" s="109">
        <v>24903</v>
      </c>
      <c r="R58" s="140"/>
      <c r="S58" s="109">
        <v>24903</v>
      </c>
      <c r="T58" s="140"/>
      <c r="U58" s="109">
        <v>24903</v>
      </c>
      <c r="V58" s="140"/>
      <c r="W58" s="109">
        <v>24903</v>
      </c>
      <c r="X58" s="140"/>
      <c r="Y58" s="109">
        <v>24903</v>
      </c>
      <c r="Z58" s="140"/>
      <c r="AA58" s="109">
        <v>24903</v>
      </c>
      <c r="AB58" s="140"/>
      <c r="AC58" s="109">
        <v>24903</v>
      </c>
      <c r="AD58" s="140"/>
      <c r="AE58" s="109">
        <v>24903</v>
      </c>
      <c r="AF58" s="140"/>
      <c r="AG58" s="109">
        <v>24903</v>
      </c>
      <c r="AH58" s="140"/>
      <c r="AI58" s="109">
        <v>24903</v>
      </c>
      <c r="AJ58" s="140"/>
      <c r="AK58" s="109">
        <v>24903</v>
      </c>
      <c r="AL58" s="140"/>
      <c r="AM58" s="109">
        <v>24903</v>
      </c>
      <c r="AN58" s="140"/>
      <c r="AO58" s="109">
        <v>24903</v>
      </c>
      <c r="AP58" s="140"/>
      <c r="AQ58" s="109">
        <v>24903</v>
      </c>
      <c r="AR58" s="140"/>
      <c r="AS58" s="109">
        <v>24903</v>
      </c>
      <c r="AT58" s="140"/>
      <c r="AU58" s="191">
        <f t="shared" si="0"/>
        <v>0</v>
      </c>
      <c r="AW58" s="169">
        <f t="shared" si="1"/>
        <v>0</v>
      </c>
    </row>
    <row r="59" spans="1:52" x14ac:dyDescent="0.25">
      <c r="A59" s="110"/>
      <c r="B59" s="111"/>
      <c r="C59" s="109">
        <v>24904</v>
      </c>
      <c r="D59" s="132">
        <v>63799.251999999993</v>
      </c>
      <c r="E59" s="109">
        <v>24904</v>
      </c>
      <c r="F59" s="139">
        <v>1998.22</v>
      </c>
      <c r="G59" s="109">
        <v>24904</v>
      </c>
      <c r="H59" s="106">
        <v>12543.43</v>
      </c>
      <c r="I59" s="109">
        <v>24904</v>
      </c>
      <c r="K59" s="109">
        <v>24904</v>
      </c>
      <c r="L59" s="140">
        <v>227.38</v>
      </c>
      <c r="M59" s="109">
        <v>24904</v>
      </c>
      <c r="N59" s="174"/>
      <c r="O59" s="109">
        <v>24904</v>
      </c>
      <c r="P59" s="174"/>
      <c r="Q59" s="109">
        <v>24904</v>
      </c>
      <c r="R59" s="140">
        <v>3996.43</v>
      </c>
      <c r="S59" s="109">
        <v>24904</v>
      </c>
      <c r="T59" s="140"/>
      <c r="U59" s="109">
        <v>24904</v>
      </c>
      <c r="V59" s="140"/>
      <c r="W59" s="109">
        <v>24904</v>
      </c>
      <c r="X59" s="140"/>
      <c r="Y59" s="109">
        <v>24904</v>
      </c>
      <c r="Z59" s="140"/>
      <c r="AA59" s="109">
        <v>24904</v>
      </c>
      <c r="AB59" s="140"/>
      <c r="AC59" s="109">
        <v>24904</v>
      </c>
      <c r="AD59" s="140"/>
      <c r="AE59" s="109">
        <v>24904</v>
      </c>
      <c r="AF59" s="140"/>
      <c r="AG59" s="109">
        <v>24904</v>
      </c>
      <c r="AH59" s="140"/>
      <c r="AI59" s="109">
        <v>24904</v>
      </c>
      <c r="AJ59" s="140"/>
      <c r="AK59" s="109">
        <v>24904</v>
      </c>
      <c r="AL59" s="140"/>
      <c r="AM59" s="109">
        <v>24904</v>
      </c>
      <c r="AN59" s="140"/>
      <c r="AO59" s="109">
        <v>24904</v>
      </c>
      <c r="AP59" s="140"/>
      <c r="AQ59" s="109">
        <v>24904</v>
      </c>
      <c r="AR59" s="140"/>
      <c r="AS59" s="109">
        <v>24904</v>
      </c>
      <c r="AT59" s="140">
        <v>7991.9709424000002</v>
      </c>
      <c r="AU59" s="191">
        <f t="shared" si="0"/>
        <v>90556.682942400003</v>
      </c>
      <c r="AV59" s="139">
        <v>90556.680942400009</v>
      </c>
      <c r="AW59" s="169">
        <f t="shared" si="1"/>
        <v>1.999999993131496E-3</v>
      </c>
    </row>
    <row r="60" spans="1:52" x14ac:dyDescent="0.25">
      <c r="A60" s="110"/>
      <c r="B60" s="111"/>
      <c r="C60" s="110"/>
      <c r="D60" s="132"/>
      <c r="E60" s="110"/>
      <c r="G60" s="110"/>
      <c r="I60" s="110"/>
      <c r="K60" s="110"/>
      <c r="L60" s="176"/>
      <c r="M60" s="110"/>
      <c r="N60" s="131"/>
      <c r="O60" s="110"/>
      <c r="P60" s="131"/>
      <c r="Q60" s="110"/>
      <c r="R60" s="176"/>
      <c r="S60" s="110"/>
      <c r="T60" s="176"/>
      <c r="U60" s="110"/>
      <c r="V60" s="176"/>
      <c r="W60" s="110"/>
      <c r="X60" s="176"/>
      <c r="Y60" s="110"/>
      <c r="Z60" s="176"/>
      <c r="AA60" s="110"/>
      <c r="AB60" s="176"/>
      <c r="AC60" s="110"/>
      <c r="AD60" s="176"/>
      <c r="AE60" s="110"/>
      <c r="AF60" s="176"/>
      <c r="AG60" s="110"/>
      <c r="AH60" s="176"/>
      <c r="AI60" s="110"/>
      <c r="AJ60" s="176"/>
      <c r="AK60" s="110"/>
      <c r="AL60" s="176"/>
      <c r="AM60" s="110"/>
      <c r="AN60" s="176"/>
      <c r="AO60" s="110"/>
      <c r="AP60" s="176"/>
      <c r="AQ60" s="110"/>
      <c r="AR60" s="176"/>
      <c r="AS60" s="110"/>
      <c r="AT60" s="176"/>
      <c r="AU60" s="191">
        <f t="shared" si="0"/>
        <v>0</v>
      </c>
      <c r="AW60" s="169">
        <f t="shared" si="1"/>
        <v>0</v>
      </c>
    </row>
    <row r="61" spans="1:52" x14ac:dyDescent="0.25">
      <c r="A61" s="110"/>
      <c r="B61" s="111"/>
      <c r="C61" s="110"/>
      <c r="D61" s="132"/>
      <c r="E61" s="110"/>
      <c r="G61" s="110"/>
      <c r="I61" s="110"/>
      <c r="K61" s="110"/>
      <c r="L61" s="176"/>
      <c r="M61" s="110"/>
      <c r="N61" s="131"/>
      <c r="O61" s="110"/>
      <c r="P61" s="131"/>
      <c r="Q61" s="110"/>
      <c r="R61" s="176"/>
      <c r="S61" s="110"/>
      <c r="T61" s="176"/>
      <c r="U61" s="110"/>
      <c r="V61" s="176"/>
      <c r="W61" s="110"/>
      <c r="X61" s="176"/>
      <c r="Y61" s="110"/>
      <c r="Z61" s="176"/>
      <c r="AA61" s="110"/>
      <c r="AB61" s="176"/>
      <c r="AC61" s="110"/>
      <c r="AD61" s="176"/>
      <c r="AE61" s="110"/>
      <c r="AF61" s="176"/>
      <c r="AG61" s="110"/>
      <c r="AH61" s="176"/>
      <c r="AI61" s="110"/>
      <c r="AJ61" s="176"/>
      <c r="AK61" s="110"/>
      <c r="AL61" s="176"/>
      <c r="AM61" s="110"/>
      <c r="AN61" s="176"/>
      <c r="AO61" s="110"/>
      <c r="AP61" s="176"/>
      <c r="AQ61" s="110"/>
      <c r="AR61" s="176"/>
      <c r="AS61" s="110"/>
      <c r="AT61" s="176"/>
      <c r="AU61" s="191">
        <f t="shared" si="0"/>
        <v>0</v>
      </c>
      <c r="AW61" s="169">
        <f t="shared" si="1"/>
        <v>0</v>
      </c>
    </row>
    <row r="62" spans="1:52" x14ac:dyDescent="0.25">
      <c r="A62" s="110"/>
      <c r="B62" s="111"/>
      <c r="C62" s="110"/>
      <c r="D62" s="132"/>
      <c r="E62" s="110"/>
      <c r="G62" s="110"/>
      <c r="I62" s="110"/>
      <c r="K62" s="110"/>
      <c r="L62" s="176"/>
      <c r="M62" s="110"/>
      <c r="N62" s="131"/>
      <c r="O62" s="110"/>
      <c r="P62" s="131"/>
      <c r="Q62" s="110"/>
      <c r="R62" s="176"/>
      <c r="S62" s="110"/>
      <c r="T62" s="176"/>
      <c r="U62" s="110"/>
      <c r="V62" s="176"/>
      <c r="W62" s="110"/>
      <c r="X62" s="176"/>
      <c r="Y62" s="110"/>
      <c r="Z62" s="176"/>
      <c r="AA62" s="110"/>
      <c r="AB62" s="176"/>
      <c r="AC62" s="110"/>
      <c r="AD62" s="176"/>
      <c r="AE62" s="110"/>
      <c r="AF62" s="176"/>
      <c r="AG62" s="110"/>
      <c r="AH62" s="176"/>
      <c r="AI62" s="110"/>
      <c r="AJ62" s="176"/>
      <c r="AK62" s="110"/>
      <c r="AL62" s="176"/>
      <c r="AM62" s="110"/>
      <c r="AN62" s="176"/>
      <c r="AO62" s="110"/>
      <c r="AP62" s="176"/>
      <c r="AQ62" s="110"/>
      <c r="AR62" s="176"/>
      <c r="AS62" s="109">
        <v>25101</v>
      </c>
      <c r="AT62" s="176">
        <v>1000</v>
      </c>
      <c r="AU62" s="191">
        <f t="shared" si="0"/>
        <v>1000</v>
      </c>
      <c r="AV62" s="106">
        <v>1000</v>
      </c>
      <c r="AW62" s="169">
        <f t="shared" si="1"/>
        <v>0</v>
      </c>
    </row>
    <row r="63" spans="1:52" x14ac:dyDescent="0.25">
      <c r="A63" s="109">
        <v>25102</v>
      </c>
      <c r="B63" s="111">
        <v>489.1</v>
      </c>
      <c r="C63" s="109">
        <v>25102</v>
      </c>
      <c r="D63" s="132"/>
      <c r="E63" s="109">
        <v>25102</v>
      </c>
      <c r="F63" s="139">
        <v>8633.74</v>
      </c>
      <c r="G63" s="109">
        <v>25102</v>
      </c>
      <c r="H63" s="106">
        <v>519.91</v>
      </c>
      <c r="I63" s="109">
        <v>25102</v>
      </c>
      <c r="K63" s="109">
        <v>25102</v>
      </c>
      <c r="L63" s="140"/>
      <c r="M63" s="109">
        <v>25102</v>
      </c>
      <c r="N63" s="174"/>
      <c r="O63" s="109">
        <v>25102</v>
      </c>
      <c r="P63" s="174"/>
      <c r="Q63" s="109">
        <v>25102</v>
      </c>
      <c r="R63" s="140"/>
      <c r="S63" s="109">
        <v>25102</v>
      </c>
      <c r="T63" s="140">
        <v>4560.32</v>
      </c>
      <c r="U63" s="109">
        <v>25102</v>
      </c>
      <c r="V63" s="140"/>
      <c r="W63" s="109">
        <v>25102</v>
      </c>
      <c r="X63" s="140"/>
      <c r="Y63" s="109">
        <v>25102</v>
      </c>
      <c r="Z63" s="140"/>
      <c r="AA63" s="109">
        <v>25102</v>
      </c>
      <c r="AB63" s="140"/>
      <c r="AC63" s="109">
        <v>25102</v>
      </c>
      <c r="AD63" s="140"/>
      <c r="AE63" s="109">
        <v>25102</v>
      </c>
      <c r="AF63" s="140"/>
      <c r="AG63" s="109">
        <v>25102</v>
      </c>
      <c r="AH63" s="140"/>
      <c r="AI63" s="109">
        <v>25102</v>
      </c>
      <c r="AJ63" s="140"/>
      <c r="AK63" s="109">
        <v>25102</v>
      </c>
      <c r="AL63" s="140"/>
      <c r="AM63" s="109">
        <v>25102</v>
      </c>
      <c r="AN63" s="140"/>
      <c r="AO63" s="109">
        <v>25102</v>
      </c>
      <c r="AP63" s="140">
        <v>2674.36</v>
      </c>
      <c r="AQ63" s="109">
        <v>25102</v>
      </c>
      <c r="AR63" s="140">
        <v>9217.36</v>
      </c>
      <c r="AS63" s="109">
        <v>25102</v>
      </c>
      <c r="AT63" s="140">
        <v>1936.6</v>
      </c>
      <c r="AU63" s="191">
        <f t="shared" si="0"/>
        <v>28031.39</v>
      </c>
      <c r="AV63" s="106">
        <v>28031.390000000003</v>
      </c>
      <c r="AW63" s="169">
        <f t="shared" si="1"/>
        <v>0</v>
      </c>
    </row>
    <row r="64" spans="1:52" x14ac:dyDescent="0.25">
      <c r="A64" s="110"/>
      <c r="B64" s="111"/>
      <c r="C64" s="110"/>
      <c r="D64" s="132"/>
      <c r="E64" s="110"/>
      <c r="G64" s="110"/>
      <c r="I64" s="110"/>
      <c r="K64" s="110"/>
      <c r="L64" s="176"/>
      <c r="M64" s="110"/>
      <c r="N64" s="131"/>
      <c r="O64" s="110"/>
      <c r="P64" s="131"/>
      <c r="Q64" s="110"/>
      <c r="R64" s="176"/>
      <c r="S64" s="110"/>
      <c r="T64" s="176"/>
      <c r="U64" s="110"/>
      <c r="V64" s="176"/>
      <c r="W64" s="110"/>
      <c r="X64" s="176"/>
      <c r="Y64" s="110"/>
      <c r="Z64" s="176"/>
      <c r="AA64" s="110"/>
      <c r="AB64" s="176"/>
      <c r="AC64" s="110"/>
      <c r="AD64" s="176"/>
      <c r="AE64" s="110"/>
      <c r="AF64" s="176"/>
      <c r="AG64" s="110"/>
      <c r="AH64" s="176"/>
      <c r="AI64" s="110"/>
      <c r="AJ64" s="176"/>
      <c r="AK64" s="110"/>
      <c r="AL64" s="176"/>
      <c r="AM64" s="110"/>
      <c r="AN64" s="176"/>
      <c r="AO64" s="110"/>
      <c r="AP64" s="176"/>
      <c r="AQ64" s="110"/>
      <c r="AR64" s="176"/>
      <c r="AS64" s="110"/>
      <c r="AT64" s="176"/>
      <c r="AU64" s="191">
        <f t="shared" si="0"/>
        <v>0</v>
      </c>
      <c r="AW64" s="169">
        <f t="shared" si="1"/>
        <v>0</v>
      </c>
    </row>
    <row r="65" spans="1:49" x14ac:dyDescent="0.25">
      <c r="A65" s="110"/>
      <c r="B65" s="111"/>
      <c r="C65" s="109">
        <v>25201</v>
      </c>
      <c r="D65" s="132">
        <v>5718.9</v>
      </c>
      <c r="E65" s="109">
        <v>25201</v>
      </c>
      <c r="G65" s="109">
        <v>25201</v>
      </c>
      <c r="I65" s="109">
        <v>25201</v>
      </c>
      <c r="K65" s="109">
        <v>25201</v>
      </c>
      <c r="L65" s="140"/>
      <c r="M65" s="109">
        <v>25201</v>
      </c>
      <c r="N65" s="174"/>
      <c r="O65" s="109">
        <v>25201</v>
      </c>
      <c r="P65" s="174"/>
      <c r="Q65" s="109">
        <v>25201</v>
      </c>
      <c r="R65" s="140"/>
      <c r="S65" s="109">
        <v>25201</v>
      </c>
      <c r="T65" s="140"/>
      <c r="U65" s="109">
        <v>25201</v>
      </c>
      <c r="V65" s="140"/>
      <c r="W65" s="109">
        <v>25201</v>
      </c>
      <c r="X65" s="140"/>
      <c r="Y65" s="109">
        <v>25201</v>
      </c>
      <c r="Z65" s="140"/>
      <c r="AA65" s="109">
        <v>25201</v>
      </c>
      <c r="AB65" s="140"/>
      <c r="AC65" s="109">
        <v>25201</v>
      </c>
      <c r="AD65" s="140"/>
      <c r="AE65" s="109">
        <v>25201</v>
      </c>
      <c r="AF65" s="140"/>
      <c r="AG65" s="109">
        <v>25201</v>
      </c>
      <c r="AH65" s="140"/>
      <c r="AI65" s="109">
        <v>25201</v>
      </c>
      <c r="AJ65" s="140"/>
      <c r="AK65" s="109">
        <v>25201</v>
      </c>
      <c r="AL65" s="140"/>
      <c r="AM65" s="109">
        <v>25201</v>
      </c>
      <c r="AN65" s="140"/>
      <c r="AO65" s="109">
        <v>25201</v>
      </c>
      <c r="AP65" s="140">
        <v>1550.31</v>
      </c>
      <c r="AQ65" s="109">
        <v>25201</v>
      </c>
      <c r="AR65" s="140"/>
      <c r="AS65" s="109">
        <v>25201</v>
      </c>
      <c r="AT65" s="140">
        <v>1600</v>
      </c>
      <c r="AU65" s="191">
        <f t="shared" si="0"/>
        <v>8869.2099999999991</v>
      </c>
      <c r="AV65" s="106">
        <v>8869.2099999999991</v>
      </c>
      <c r="AW65" s="169">
        <f t="shared" si="1"/>
        <v>0</v>
      </c>
    </row>
    <row r="66" spans="1:49" x14ac:dyDescent="0.25">
      <c r="A66" s="110"/>
      <c r="B66" s="111"/>
      <c r="C66" s="110"/>
      <c r="D66" s="132"/>
      <c r="E66" s="110"/>
      <c r="G66" s="110"/>
      <c r="I66" s="110"/>
      <c r="K66" s="110"/>
      <c r="L66" s="176"/>
      <c r="M66" s="110"/>
      <c r="N66" s="131"/>
      <c r="O66" s="110"/>
      <c r="P66" s="131"/>
      <c r="Q66" s="110"/>
      <c r="R66" s="176"/>
      <c r="S66" s="110"/>
      <c r="T66" s="176"/>
      <c r="U66" s="110"/>
      <c r="V66" s="176"/>
      <c r="W66" s="110"/>
      <c r="X66" s="176"/>
      <c r="Y66" s="110"/>
      <c r="Z66" s="176"/>
      <c r="AA66" s="110"/>
      <c r="AB66" s="176"/>
      <c r="AC66" s="110"/>
      <c r="AD66" s="176"/>
      <c r="AE66" s="110"/>
      <c r="AF66" s="176"/>
      <c r="AG66" s="110"/>
      <c r="AH66" s="176"/>
      <c r="AI66" s="110"/>
      <c r="AJ66" s="176"/>
      <c r="AK66" s="110"/>
      <c r="AL66" s="176"/>
      <c r="AM66" s="110"/>
      <c r="AN66" s="176"/>
      <c r="AO66" s="110"/>
      <c r="AP66" s="176"/>
      <c r="AQ66" s="110"/>
      <c r="AR66" s="176"/>
      <c r="AS66" s="110"/>
      <c r="AT66" s="176"/>
      <c r="AU66" s="191">
        <f t="shared" si="0"/>
        <v>0</v>
      </c>
      <c r="AW66" s="169">
        <f t="shared" si="1"/>
        <v>0</v>
      </c>
    </row>
    <row r="67" spans="1:49" x14ac:dyDescent="0.25">
      <c r="A67" s="110"/>
      <c r="B67" s="111"/>
      <c r="C67" s="110"/>
      <c r="D67" s="132"/>
      <c r="E67" s="109">
        <v>25301</v>
      </c>
      <c r="F67" s="139">
        <v>24077.09</v>
      </c>
      <c r="G67" s="109">
        <v>25301</v>
      </c>
      <c r="H67" s="106">
        <v>88976.09</v>
      </c>
      <c r="I67" s="109">
        <v>25301</v>
      </c>
      <c r="K67" s="109">
        <v>25301</v>
      </c>
      <c r="L67" s="140"/>
      <c r="M67" s="109">
        <v>25301</v>
      </c>
      <c r="N67" s="174"/>
      <c r="O67" s="109">
        <v>25301</v>
      </c>
      <c r="P67" s="174"/>
      <c r="Q67" s="109">
        <v>25301</v>
      </c>
      <c r="R67" s="140"/>
      <c r="S67" s="109">
        <v>25301</v>
      </c>
      <c r="T67" s="140"/>
      <c r="U67" s="109">
        <v>25301</v>
      </c>
      <c r="V67" s="140"/>
      <c r="W67" s="109">
        <v>25301</v>
      </c>
      <c r="X67" s="140"/>
      <c r="Y67" s="109">
        <v>25301</v>
      </c>
      <c r="Z67" s="140"/>
      <c r="AA67" s="109">
        <v>25301</v>
      </c>
      <c r="AB67" s="140"/>
      <c r="AC67" s="109">
        <v>25301</v>
      </c>
      <c r="AD67" s="140">
        <v>3640</v>
      </c>
      <c r="AE67" s="109">
        <v>25301</v>
      </c>
      <c r="AF67" s="140"/>
      <c r="AG67" s="109">
        <v>25301</v>
      </c>
      <c r="AH67" s="140"/>
      <c r="AI67" s="109">
        <v>25301</v>
      </c>
      <c r="AJ67" s="140"/>
      <c r="AK67" s="109">
        <v>25301</v>
      </c>
      <c r="AL67" s="140">
        <v>507683.5</v>
      </c>
      <c r="AM67" s="109">
        <v>25301</v>
      </c>
      <c r="AN67" s="140"/>
      <c r="AO67" s="109">
        <v>25301</v>
      </c>
      <c r="AP67" s="140"/>
      <c r="AQ67" s="109">
        <v>25301</v>
      </c>
      <c r="AR67" s="140">
        <v>20714.955199999997</v>
      </c>
      <c r="AS67" s="109">
        <v>25301</v>
      </c>
      <c r="AT67" s="140">
        <v>2923.0480000000002</v>
      </c>
      <c r="AU67" s="191">
        <f t="shared" si="0"/>
        <v>648014.68319999985</v>
      </c>
      <c r="AV67" s="106">
        <v>648014.68559999962</v>
      </c>
      <c r="AW67" s="169">
        <f t="shared" si="1"/>
        <v>-2.3999997647479177E-3</v>
      </c>
    </row>
    <row r="68" spans="1:49" x14ac:dyDescent="0.25">
      <c r="A68" s="110"/>
      <c r="B68" s="111"/>
      <c r="C68" s="110"/>
      <c r="D68" s="132"/>
      <c r="E68" s="109"/>
      <c r="G68" s="109"/>
      <c r="I68" s="109"/>
      <c r="K68" s="109"/>
      <c r="L68" s="140"/>
      <c r="M68" s="109"/>
      <c r="N68" s="174"/>
      <c r="O68" s="109"/>
      <c r="P68" s="174"/>
      <c r="Q68" s="109"/>
      <c r="R68" s="140"/>
      <c r="S68" s="109"/>
      <c r="T68" s="140"/>
      <c r="U68" s="109"/>
      <c r="V68" s="140"/>
      <c r="W68" s="109"/>
      <c r="X68" s="140"/>
      <c r="Y68" s="109"/>
      <c r="Z68" s="140"/>
      <c r="AA68" s="109"/>
      <c r="AB68" s="140"/>
      <c r="AC68" s="109"/>
      <c r="AD68" s="140"/>
      <c r="AE68" s="109"/>
      <c r="AF68" s="140"/>
      <c r="AG68" s="109"/>
      <c r="AH68" s="140"/>
      <c r="AI68" s="109"/>
      <c r="AJ68" s="140"/>
      <c r="AK68" s="109"/>
      <c r="AL68" s="140"/>
      <c r="AM68" s="109"/>
      <c r="AN68" s="140"/>
      <c r="AO68" s="109"/>
      <c r="AP68" s="140"/>
      <c r="AQ68" s="109"/>
      <c r="AR68" s="140"/>
      <c r="AS68" s="109">
        <v>25302</v>
      </c>
      <c r="AT68" s="140">
        <v>5326.5599999999995</v>
      </c>
      <c r="AU68" s="191">
        <f t="shared" si="0"/>
        <v>5326.5599999999995</v>
      </c>
      <c r="AV68" s="106">
        <v>5326.5599999999995</v>
      </c>
      <c r="AW68" s="169">
        <f t="shared" si="1"/>
        <v>0</v>
      </c>
    </row>
    <row r="69" spans="1:49" x14ac:dyDescent="0.25">
      <c r="A69" s="110"/>
      <c r="B69" s="111"/>
      <c r="C69" s="110"/>
      <c r="D69" s="132"/>
      <c r="E69" s="109"/>
      <c r="G69" s="109"/>
      <c r="I69" s="109"/>
      <c r="K69" s="109"/>
      <c r="L69" s="140"/>
      <c r="M69" s="109"/>
      <c r="N69" s="174"/>
      <c r="O69" s="109"/>
      <c r="P69" s="174"/>
      <c r="Q69" s="109"/>
      <c r="R69" s="140"/>
      <c r="S69" s="109"/>
      <c r="T69" s="140"/>
      <c r="U69" s="109"/>
      <c r="V69" s="140"/>
      <c r="W69" s="109"/>
      <c r="X69" s="140"/>
      <c r="Y69" s="109"/>
      <c r="Z69" s="140"/>
      <c r="AA69" s="109"/>
      <c r="AB69" s="140"/>
      <c r="AC69" s="109"/>
      <c r="AD69" s="140"/>
      <c r="AE69" s="109"/>
      <c r="AF69" s="140"/>
      <c r="AG69" s="109"/>
      <c r="AH69" s="140"/>
      <c r="AI69" s="109"/>
      <c r="AJ69" s="140"/>
      <c r="AK69" s="109"/>
      <c r="AL69" s="140"/>
      <c r="AM69" s="109"/>
      <c r="AN69" s="140"/>
      <c r="AO69" s="109"/>
      <c r="AP69" s="140"/>
      <c r="AQ69" s="109"/>
      <c r="AR69" s="140"/>
      <c r="AS69" s="109"/>
      <c r="AT69" s="140"/>
      <c r="AU69" s="191">
        <f t="shared" si="0"/>
        <v>0</v>
      </c>
      <c r="AW69" s="169">
        <f t="shared" si="1"/>
        <v>0</v>
      </c>
    </row>
    <row r="70" spans="1:49" x14ac:dyDescent="0.25">
      <c r="A70" s="110"/>
      <c r="B70" s="111"/>
      <c r="C70" s="110"/>
      <c r="D70" s="132"/>
      <c r="E70" s="110"/>
      <c r="G70" s="109">
        <v>25401</v>
      </c>
      <c r="H70" s="106">
        <v>382.73</v>
      </c>
      <c r="I70" s="109">
        <v>25401</v>
      </c>
      <c r="K70" s="109">
        <v>25401</v>
      </c>
      <c r="L70" s="140"/>
      <c r="M70" s="109">
        <v>25401</v>
      </c>
      <c r="N70" s="174"/>
      <c r="O70" s="109">
        <v>25401</v>
      </c>
      <c r="P70" s="174"/>
      <c r="Q70" s="109">
        <v>25401</v>
      </c>
      <c r="R70" s="140"/>
      <c r="S70" s="109">
        <v>25401</v>
      </c>
      <c r="T70" s="140"/>
      <c r="U70" s="109">
        <v>25401</v>
      </c>
      <c r="V70" s="140"/>
      <c r="W70" s="109">
        <v>25401</v>
      </c>
      <c r="X70" s="140"/>
      <c r="Y70" s="109">
        <v>25401</v>
      </c>
      <c r="Z70" s="140"/>
      <c r="AA70" s="109">
        <v>25401</v>
      </c>
      <c r="AB70" s="140"/>
      <c r="AC70" s="109">
        <v>25401</v>
      </c>
      <c r="AD70" s="140"/>
      <c r="AE70" s="109">
        <v>25401</v>
      </c>
      <c r="AF70" s="140"/>
      <c r="AG70" s="109">
        <v>25401</v>
      </c>
      <c r="AH70" s="140"/>
      <c r="AI70" s="109">
        <v>25401</v>
      </c>
      <c r="AJ70" s="140"/>
      <c r="AK70" s="109">
        <v>25401</v>
      </c>
      <c r="AL70" s="140"/>
      <c r="AM70" s="109">
        <v>25401</v>
      </c>
      <c r="AN70" s="140"/>
      <c r="AO70" s="109">
        <v>25401</v>
      </c>
      <c r="AP70" s="140"/>
      <c r="AQ70" s="109">
        <v>25401</v>
      </c>
      <c r="AR70" s="140"/>
      <c r="AS70" s="109">
        <v>25401</v>
      </c>
      <c r="AT70" s="140">
        <v>864</v>
      </c>
      <c r="AU70" s="191">
        <f t="shared" si="0"/>
        <v>1246.73</v>
      </c>
      <c r="AV70" s="106">
        <v>1246.73</v>
      </c>
      <c r="AW70" s="169">
        <f t="shared" si="1"/>
        <v>0</v>
      </c>
    </row>
    <row r="71" spans="1:49" x14ac:dyDescent="0.25">
      <c r="A71" s="110"/>
      <c r="B71" s="111"/>
      <c r="C71" s="110"/>
      <c r="D71" s="132"/>
      <c r="E71" s="109">
        <v>25402</v>
      </c>
      <c r="F71" s="139">
        <v>51900.73</v>
      </c>
      <c r="G71" s="109">
        <v>25402</v>
      </c>
      <c r="H71" s="106">
        <v>22855.83</v>
      </c>
      <c r="I71" s="109">
        <v>25402</v>
      </c>
      <c r="K71" s="109">
        <v>25402</v>
      </c>
      <c r="L71" s="140"/>
      <c r="M71" s="109">
        <v>25402</v>
      </c>
      <c r="N71" s="174"/>
      <c r="O71" s="109">
        <v>25402</v>
      </c>
      <c r="P71" s="174"/>
      <c r="Q71" s="109">
        <v>25402</v>
      </c>
      <c r="R71" s="140"/>
      <c r="S71" s="109">
        <v>25402</v>
      </c>
      <c r="T71" s="140"/>
      <c r="U71" s="109">
        <v>25402</v>
      </c>
      <c r="V71" s="140"/>
      <c r="W71" s="109">
        <v>25402</v>
      </c>
      <c r="X71" s="140"/>
      <c r="Y71" s="109">
        <v>25402</v>
      </c>
      <c r="Z71" s="140"/>
      <c r="AA71" s="109">
        <v>25402</v>
      </c>
      <c r="AB71" s="140"/>
      <c r="AC71" s="109">
        <v>25402</v>
      </c>
      <c r="AD71" s="140">
        <v>285</v>
      </c>
      <c r="AE71" s="109">
        <v>25402</v>
      </c>
      <c r="AF71" s="140"/>
      <c r="AG71" s="109">
        <v>25402</v>
      </c>
      <c r="AH71" s="140"/>
      <c r="AI71" s="109">
        <v>25402</v>
      </c>
      <c r="AJ71" s="140"/>
      <c r="AK71" s="109">
        <v>25402</v>
      </c>
      <c r="AL71" s="140">
        <v>235181</v>
      </c>
      <c r="AM71" s="109">
        <v>25402</v>
      </c>
      <c r="AN71" s="140"/>
      <c r="AO71" s="109">
        <v>25402</v>
      </c>
      <c r="AP71" s="140"/>
      <c r="AQ71" s="109">
        <v>25402</v>
      </c>
      <c r="AR71" s="140">
        <v>38438.038399999976</v>
      </c>
      <c r="AS71" s="109">
        <v>25402</v>
      </c>
      <c r="AT71" s="140">
        <v>124411.41</v>
      </c>
      <c r="AU71" s="191">
        <f t="shared" si="0"/>
        <v>473072.00839999993</v>
      </c>
      <c r="AV71" s="106">
        <v>473072.00483439933</v>
      </c>
      <c r="AW71" s="169">
        <f t="shared" si="1"/>
        <v>3.5656006075441837E-3</v>
      </c>
    </row>
    <row r="72" spans="1:49" x14ac:dyDescent="0.25">
      <c r="A72" s="110"/>
      <c r="B72" s="111"/>
      <c r="C72" s="110"/>
      <c r="D72" s="132"/>
      <c r="E72" s="110"/>
      <c r="G72" s="110"/>
      <c r="I72" s="110"/>
      <c r="K72" s="110"/>
      <c r="L72" s="176"/>
      <c r="M72" s="110"/>
      <c r="N72" s="131"/>
      <c r="O72" s="110"/>
      <c r="P72" s="131"/>
      <c r="Q72" s="110"/>
      <c r="R72" s="176"/>
      <c r="S72" s="110"/>
      <c r="T72" s="176"/>
      <c r="U72" s="110"/>
      <c r="V72" s="176"/>
      <c r="W72" s="110"/>
      <c r="X72" s="176"/>
      <c r="Y72" s="110"/>
      <c r="Z72" s="176"/>
      <c r="AA72" s="110"/>
      <c r="AB72" s="176"/>
      <c r="AC72" s="110"/>
      <c r="AD72" s="176"/>
      <c r="AE72" s="110"/>
      <c r="AF72" s="176"/>
      <c r="AG72" s="110"/>
      <c r="AH72" s="176"/>
      <c r="AI72" s="110"/>
      <c r="AJ72" s="176"/>
      <c r="AK72" s="110"/>
      <c r="AL72" s="176"/>
      <c r="AM72" s="110"/>
      <c r="AN72" s="176"/>
      <c r="AO72" s="110"/>
      <c r="AP72" s="176"/>
      <c r="AQ72" s="110"/>
      <c r="AR72" s="176"/>
      <c r="AS72" s="110"/>
      <c r="AT72" s="176"/>
      <c r="AU72" s="191">
        <f t="shared" si="0"/>
        <v>0</v>
      </c>
      <c r="AW72" s="169">
        <f t="shared" si="1"/>
        <v>0</v>
      </c>
    </row>
    <row r="73" spans="1:49" x14ac:dyDescent="0.25">
      <c r="A73" s="110"/>
      <c r="B73" s="111"/>
      <c r="C73" s="110"/>
      <c r="D73" s="132"/>
      <c r="E73" s="110"/>
      <c r="G73" s="110"/>
      <c r="I73" s="110"/>
      <c r="K73" s="110"/>
      <c r="L73" s="176"/>
      <c r="M73" s="110"/>
      <c r="N73" s="131"/>
      <c r="O73" s="110"/>
      <c r="P73" s="131"/>
      <c r="Q73" s="110"/>
      <c r="R73" s="176"/>
      <c r="S73" s="110"/>
      <c r="T73" s="176"/>
      <c r="U73" s="110"/>
      <c r="V73" s="176"/>
      <c r="W73" s="110"/>
      <c r="X73" s="176"/>
      <c r="Y73" s="110"/>
      <c r="Z73" s="176"/>
      <c r="AA73" s="110"/>
      <c r="AB73" s="176"/>
      <c r="AC73" s="110"/>
      <c r="AD73" s="176"/>
      <c r="AE73" s="110"/>
      <c r="AF73" s="176"/>
      <c r="AG73" s="110"/>
      <c r="AH73" s="176"/>
      <c r="AI73" s="110"/>
      <c r="AJ73" s="176"/>
      <c r="AK73" s="109">
        <v>25501</v>
      </c>
      <c r="AL73" s="176">
        <v>23842.080000000002</v>
      </c>
      <c r="AM73" s="109">
        <v>25501</v>
      </c>
      <c r="AN73" s="176"/>
      <c r="AO73" s="109">
        <v>25501</v>
      </c>
      <c r="AP73" s="176"/>
      <c r="AQ73" s="109">
        <v>25501</v>
      </c>
      <c r="AR73" s="176"/>
      <c r="AS73" s="109">
        <v>25501</v>
      </c>
      <c r="AT73" s="176"/>
      <c r="AU73" s="191">
        <f t="shared" si="0"/>
        <v>23842.080000000002</v>
      </c>
      <c r="AW73" s="169">
        <f t="shared" si="1"/>
        <v>23842.080000000002</v>
      </c>
    </row>
    <row r="74" spans="1:49" x14ac:dyDescent="0.25">
      <c r="A74" s="110"/>
      <c r="B74" s="111"/>
      <c r="C74" s="110"/>
      <c r="D74" s="132"/>
      <c r="E74" s="110"/>
      <c r="G74" s="110"/>
      <c r="I74" s="110"/>
      <c r="K74" s="110"/>
      <c r="L74" s="176"/>
      <c r="M74" s="110"/>
      <c r="N74" s="131"/>
      <c r="O74" s="110"/>
      <c r="P74" s="131"/>
      <c r="Q74" s="110"/>
      <c r="R74" s="176"/>
      <c r="S74" s="110"/>
      <c r="T74" s="176"/>
      <c r="U74" s="110"/>
      <c r="V74" s="176"/>
      <c r="W74" s="110"/>
      <c r="X74" s="176"/>
      <c r="Y74" s="110"/>
      <c r="Z74" s="176"/>
      <c r="AA74" s="110"/>
      <c r="AB74" s="176"/>
      <c r="AC74" s="110"/>
      <c r="AD74" s="176"/>
      <c r="AE74" s="110"/>
      <c r="AF74" s="176"/>
      <c r="AG74" s="110"/>
      <c r="AH74" s="176"/>
      <c r="AI74" s="110"/>
      <c r="AJ74" s="176"/>
      <c r="AK74" s="110"/>
      <c r="AL74" s="176"/>
      <c r="AM74" s="110"/>
      <c r="AN74" s="176"/>
      <c r="AO74" s="110"/>
      <c r="AP74" s="176"/>
      <c r="AQ74" s="110"/>
      <c r="AR74" s="176"/>
      <c r="AS74" s="110"/>
      <c r="AT74" s="176"/>
      <c r="AU74" s="191">
        <f t="shared" si="0"/>
        <v>0</v>
      </c>
      <c r="AW74" s="169">
        <f t="shared" si="1"/>
        <v>0</v>
      </c>
    </row>
    <row r="75" spans="1:49" x14ac:dyDescent="0.25">
      <c r="A75" s="110"/>
      <c r="B75" s="111"/>
      <c r="C75" s="109">
        <v>25601</v>
      </c>
      <c r="D75" s="132">
        <v>106551.09999999999</v>
      </c>
      <c r="E75" s="109">
        <v>25601</v>
      </c>
      <c r="F75" s="139">
        <v>24671.15</v>
      </c>
      <c r="G75" s="109">
        <v>25601</v>
      </c>
      <c r="H75" s="106">
        <v>27445.78</v>
      </c>
      <c r="I75" s="109">
        <v>25601</v>
      </c>
      <c r="K75" s="109">
        <v>25601</v>
      </c>
      <c r="L75" s="140"/>
      <c r="M75" s="109">
        <v>25601</v>
      </c>
      <c r="N75" s="174"/>
      <c r="O75" s="109">
        <v>25601</v>
      </c>
      <c r="P75" s="174"/>
      <c r="Q75" s="109">
        <v>25601</v>
      </c>
      <c r="R75" s="140">
        <v>510.29</v>
      </c>
      <c r="S75" s="109">
        <v>25601</v>
      </c>
      <c r="T75" s="140">
        <v>212</v>
      </c>
      <c r="U75" s="109">
        <v>25601</v>
      </c>
      <c r="V75" s="140"/>
      <c r="W75" s="109">
        <v>25601</v>
      </c>
      <c r="X75" s="140"/>
      <c r="Y75" s="109">
        <v>25601</v>
      </c>
      <c r="Z75" s="140"/>
      <c r="AA75" s="109">
        <v>25601</v>
      </c>
      <c r="AB75" s="140">
        <v>381</v>
      </c>
      <c r="AC75" s="109">
        <v>25601</v>
      </c>
      <c r="AD75" s="140"/>
      <c r="AE75" s="109">
        <v>25601</v>
      </c>
      <c r="AF75" s="140">
        <v>893.35223999999994</v>
      </c>
      <c r="AG75" s="109">
        <v>25601</v>
      </c>
      <c r="AH75" s="140"/>
      <c r="AI75" s="109">
        <v>25601</v>
      </c>
      <c r="AJ75" s="140"/>
      <c r="AK75" s="109">
        <v>25601</v>
      </c>
      <c r="AL75" s="140"/>
      <c r="AM75" s="109">
        <v>25601</v>
      </c>
      <c r="AN75" s="140"/>
      <c r="AO75" s="109">
        <v>25601</v>
      </c>
      <c r="AP75" s="140">
        <v>6202.2</v>
      </c>
      <c r="AQ75" s="109">
        <v>25601</v>
      </c>
      <c r="AR75" s="140">
        <v>1676.9887999999999</v>
      </c>
      <c r="AS75" s="109">
        <v>25601</v>
      </c>
      <c r="AT75" s="140">
        <v>6000</v>
      </c>
      <c r="AU75" s="191">
        <f t="shared" si="0"/>
        <v>174543.86104000002</v>
      </c>
      <c r="AV75" s="106">
        <v>174543.83168000003</v>
      </c>
      <c r="AW75" s="169">
        <f t="shared" si="1"/>
        <v>2.9359999985899776E-2</v>
      </c>
    </row>
    <row r="76" spans="1:49" x14ac:dyDescent="0.25">
      <c r="A76" s="110"/>
      <c r="B76" s="111"/>
      <c r="C76" s="110"/>
      <c r="D76" s="132"/>
      <c r="E76" s="110"/>
      <c r="G76" s="110"/>
      <c r="I76" s="110"/>
      <c r="K76" s="110"/>
      <c r="L76" s="176"/>
      <c r="M76" s="110"/>
      <c r="N76" s="131"/>
      <c r="O76" s="110"/>
      <c r="P76" s="131"/>
      <c r="Q76" s="110"/>
      <c r="R76" s="176"/>
      <c r="S76" s="110"/>
      <c r="T76" s="176"/>
      <c r="U76" s="110"/>
      <c r="V76" s="176"/>
      <c r="W76" s="110"/>
      <c r="X76" s="176"/>
      <c r="Y76" s="110"/>
      <c r="Z76" s="176"/>
      <c r="AA76" s="110"/>
      <c r="AB76" s="176"/>
      <c r="AC76" s="110"/>
      <c r="AD76" s="176"/>
      <c r="AE76" s="110"/>
      <c r="AF76" s="176"/>
      <c r="AG76" s="110"/>
      <c r="AH76" s="176"/>
      <c r="AI76" s="110"/>
      <c r="AJ76" s="176"/>
      <c r="AK76" s="110"/>
      <c r="AL76" s="176"/>
      <c r="AM76" s="110"/>
      <c r="AN76" s="176"/>
      <c r="AO76" s="110"/>
      <c r="AP76" s="176"/>
      <c r="AQ76" s="110"/>
      <c r="AR76" s="176"/>
      <c r="AS76" s="110"/>
      <c r="AT76" s="176"/>
      <c r="AU76" s="191">
        <f t="shared" si="0"/>
        <v>0</v>
      </c>
      <c r="AW76" s="169">
        <f t="shared" si="1"/>
        <v>0</v>
      </c>
    </row>
    <row r="77" spans="1:49" x14ac:dyDescent="0.25">
      <c r="A77" s="110"/>
      <c r="B77" s="111"/>
      <c r="C77" s="109">
        <v>25901</v>
      </c>
      <c r="D77" s="132">
        <v>11136</v>
      </c>
      <c r="E77" s="109">
        <v>25901</v>
      </c>
      <c r="G77" s="109">
        <v>25901</v>
      </c>
      <c r="I77" s="109">
        <v>25901</v>
      </c>
      <c r="K77" s="109">
        <v>25901</v>
      </c>
      <c r="L77" s="140"/>
      <c r="M77" s="109">
        <v>25901</v>
      </c>
      <c r="N77" s="174"/>
      <c r="O77" s="109">
        <v>25901</v>
      </c>
      <c r="P77" s="174"/>
      <c r="Q77" s="109">
        <v>25901</v>
      </c>
      <c r="R77" s="140"/>
      <c r="S77" s="109">
        <v>25901</v>
      </c>
      <c r="T77" s="140"/>
      <c r="U77" s="109">
        <v>25901</v>
      </c>
      <c r="V77" s="140"/>
      <c r="W77" s="109">
        <v>25901</v>
      </c>
      <c r="X77" s="140"/>
      <c r="Y77" s="109">
        <v>25901</v>
      </c>
      <c r="Z77" s="140"/>
      <c r="AA77" s="109">
        <v>25901</v>
      </c>
      <c r="AB77" s="140"/>
      <c r="AC77" s="109">
        <v>25901</v>
      </c>
      <c r="AD77" s="140"/>
      <c r="AE77" s="109">
        <v>25901</v>
      </c>
      <c r="AF77" s="140"/>
      <c r="AG77" s="109">
        <v>25901</v>
      </c>
      <c r="AH77" s="140"/>
      <c r="AI77" s="109">
        <v>25901</v>
      </c>
      <c r="AJ77" s="140"/>
      <c r="AK77" s="109">
        <v>25901</v>
      </c>
      <c r="AL77" s="140"/>
      <c r="AM77" s="109">
        <v>25901</v>
      </c>
      <c r="AN77" s="140"/>
      <c r="AO77" s="109">
        <v>25901</v>
      </c>
      <c r="AP77" s="140"/>
      <c r="AQ77" s="109">
        <v>25901</v>
      </c>
      <c r="AR77" s="140"/>
      <c r="AS77" s="109">
        <v>25901</v>
      </c>
      <c r="AT77" s="140"/>
      <c r="AU77" s="191">
        <f t="shared" si="0"/>
        <v>11136</v>
      </c>
      <c r="AW77" s="169">
        <f t="shared" si="1"/>
        <v>11136</v>
      </c>
    </row>
    <row r="78" spans="1:49" x14ac:dyDescent="0.25">
      <c r="A78" s="110"/>
      <c r="B78" s="111"/>
      <c r="C78" s="109"/>
      <c r="D78" s="132"/>
      <c r="E78" s="109"/>
      <c r="G78" s="109"/>
      <c r="I78" s="109"/>
      <c r="K78" s="109"/>
      <c r="L78" s="140"/>
      <c r="M78" s="109"/>
      <c r="N78" s="174"/>
      <c r="O78" s="109"/>
      <c r="P78" s="174"/>
      <c r="Q78" s="109"/>
      <c r="R78" s="140"/>
      <c r="S78" s="109"/>
      <c r="T78" s="140"/>
      <c r="U78" s="109"/>
      <c r="V78" s="140"/>
      <c r="W78" s="109"/>
      <c r="X78" s="140"/>
      <c r="Y78" s="109"/>
      <c r="Z78" s="140"/>
      <c r="AA78" s="109"/>
      <c r="AB78" s="140"/>
      <c r="AC78" s="109"/>
      <c r="AD78" s="140"/>
      <c r="AE78" s="109"/>
      <c r="AF78" s="140"/>
      <c r="AG78" s="109"/>
      <c r="AH78" s="140"/>
      <c r="AI78" s="109"/>
      <c r="AJ78" s="140"/>
      <c r="AK78" s="109"/>
      <c r="AL78" s="140"/>
      <c r="AM78" s="109"/>
      <c r="AN78" s="140"/>
      <c r="AO78" s="109"/>
      <c r="AP78" s="140"/>
      <c r="AQ78" s="109"/>
      <c r="AR78" s="140"/>
      <c r="AS78" s="109"/>
      <c r="AT78" s="140"/>
      <c r="AU78" s="191">
        <f t="shared" si="0"/>
        <v>0</v>
      </c>
      <c r="AW78" s="169">
        <f t="shared" si="1"/>
        <v>0</v>
      </c>
    </row>
    <row r="79" spans="1:49" x14ac:dyDescent="0.25">
      <c r="A79" s="109">
        <v>26101</v>
      </c>
      <c r="B79" s="111">
        <v>79872.149999999994</v>
      </c>
      <c r="C79" s="109">
        <v>26101</v>
      </c>
      <c r="D79" s="132">
        <v>8531.5399999999936</v>
      </c>
      <c r="E79" s="109">
        <v>26101</v>
      </c>
      <c r="F79" s="139">
        <v>22100</v>
      </c>
      <c r="G79" s="109">
        <v>26101</v>
      </c>
      <c r="H79" s="106">
        <v>1653.7</v>
      </c>
      <c r="I79" s="109">
        <v>26101</v>
      </c>
      <c r="K79" s="109">
        <v>26101</v>
      </c>
      <c r="L79" s="140"/>
      <c r="M79" s="109">
        <v>26101</v>
      </c>
      <c r="N79" s="174"/>
      <c r="O79" s="109">
        <v>26101</v>
      </c>
      <c r="P79" s="174"/>
      <c r="Q79" s="109">
        <v>26101</v>
      </c>
      <c r="R79" s="140">
        <v>342</v>
      </c>
      <c r="S79" s="109">
        <v>26101</v>
      </c>
      <c r="T79" s="140"/>
      <c r="U79" s="109">
        <v>26101</v>
      </c>
      <c r="V79" s="140"/>
      <c r="W79" s="109">
        <v>26101</v>
      </c>
      <c r="X79" s="140"/>
      <c r="Y79" s="109">
        <v>26101</v>
      </c>
      <c r="Z79" s="140"/>
      <c r="AA79" s="109">
        <v>26101</v>
      </c>
      <c r="AB79" s="140"/>
      <c r="AC79" s="109">
        <v>26101</v>
      </c>
      <c r="AD79" s="140"/>
      <c r="AE79" s="109">
        <v>26101</v>
      </c>
      <c r="AF79" s="140"/>
      <c r="AG79" s="109">
        <v>26101</v>
      </c>
      <c r="AH79" s="140"/>
      <c r="AI79" s="109">
        <v>26101</v>
      </c>
      <c r="AJ79" s="140"/>
      <c r="AK79" s="109">
        <v>26101</v>
      </c>
      <c r="AL79" s="140"/>
      <c r="AM79" s="109">
        <v>26101</v>
      </c>
      <c r="AN79" s="140"/>
      <c r="AO79" s="109">
        <v>26101</v>
      </c>
      <c r="AP79" s="140"/>
      <c r="AQ79" s="109">
        <v>26101</v>
      </c>
      <c r="AR79" s="140"/>
      <c r="AS79" s="109">
        <v>26101</v>
      </c>
      <c r="AT79" s="140">
        <v>115888.27</v>
      </c>
      <c r="AU79" s="191">
        <f t="shared" ref="AU79:AU144" si="2">B79+D79+F79+H79+J79+L79+N79+P79+R79+T79+V79+X79+Z79+AB79+AD79+AF79+AH79+AJ79+AL79+AN79+AP79+AR79+AT79</f>
        <v>228387.65999999997</v>
      </c>
      <c r="AV79" s="106">
        <v>228387.66207200001</v>
      </c>
      <c r="AW79" s="169">
        <f t="shared" si="1"/>
        <v>-2.0720000320579857E-3</v>
      </c>
    </row>
    <row r="80" spans="1:49" x14ac:dyDescent="0.25">
      <c r="A80" s="110"/>
      <c r="B80" s="111"/>
      <c r="C80" s="110"/>
      <c r="D80" s="132"/>
      <c r="E80" s="110"/>
      <c r="G80" s="110"/>
      <c r="I80" s="110"/>
      <c r="K80" s="110"/>
      <c r="L80" s="176"/>
      <c r="M80" s="110"/>
      <c r="N80" s="131"/>
      <c r="O80" s="110"/>
      <c r="P80" s="131"/>
      <c r="Q80" s="110"/>
      <c r="R80" s="176"/>
      <c r="S80" s="110"/>
      <c r="T80" s="176"/>
      <c r="U80" s="110"/>
      <c r="V80" s="176"/>
      <c r="W80" s="110"/>
      <c r="X80" s="176"/>
      <c r="Y80" s="110"/>
      <c r="Z80" s="176"/>
      <c r="AA80" s="110"/>
      <c r="AB80" s="176"/>
      <c r="AC80" s="110"/>
      <c r="AD80" s="176"/>
      <c r="AE80" s="110"/>
      <c r="AF80" s="176"/>
      <c r="AG80" s="110"/>
      <c r="AH80" s="176"/>
      <c r="AI80" s="110"/>
      <c r="AJ80" s="176"/>
      <c r="AK80" s="110"/>
      <c r="AL80" s="176"/>
      <c r="AM80" s="110"/>
      <c r="AN80" s="176"/>
      <c r="AO80" s="110"/>
      <c r="AP80" s="176"/>
      <c r="AQ80" s="110"/>
      <c r="AR80" s="176"/>
      <c r="AS80" s="110"/>
      <c r="AT80" s="176"/>
      <c r="AU80" s="191">
        <f t="shared" si="2"/>
        <v>0</v>
      </c>
      <c r="AW80" s="169">
        <f t="shared" si="1"/>
        <v>0</v>
      </c>
    </row>
    <row r="81" spans="1:52" x14ac:dyDescent="0.25">
      <c r="A81" s="110"/>
      <c r="B81" s="111"/>
      <c r="C81" s="110"/>
      <c r="D81" s="132"/>
      <c r="E81" s="110"/>
      <c r="G81" s="110"/>
      <c r="I81" s="110"/>
      <c r="K81" s="110"/>
      <c r="L81" s="176"/>
      <c r="M81" s="110"/>
      <c r="N81" s="131"/>
      <c r="O81" s="110"/>
      <c r="P81" s="131"/>
      <c r="Q81" s="110"/>
      <c r="R81" s="176"/>
      <c r="S81" s="110"/>
      <c r="T81" s="176"/>
      <c r="U81" s="110"/>
      <c r="V81" s="176"/>
      <c r="W81" s="110"/>
      <c r="X81" s="176"/>
      <c r="Y81" s="110"/>
      <c r="Z81" s="176"/>
      <c r="AA81" s="109">
        <v>27102</v>
      </c>
      <c r="AB81" s="176">
        <v>540</v>
      </c>
      <c r="AC81" s="109">
        <v>27102</v>
      </c>
      <c r="AD81" s="176"/>
      <c r="AE81" s="109">
        <v>27102</v>
      </c>
      <c r="AF81" s="176"/>
      <c r="AG81" s="109">
        <v>27102</v>
      </c>
      <c r="AH81" s="176"/>
      <c r="AI81" s="109">
        <v>27102</v>
      </c>
      <c r="AJ81" s="176"/>
      <c r="AK81" s="109">
        <v>27102</v>
      </c>
      <c r="AL81" s="176"/>
      <c r="AM81" s="109">
        <v>27102</v>
      </c>
      <c r="AN81" s="176"/>
      <c r="AO81" s="109">
        <v>27102</v>
      </c>
      <c r="AP81" s="176"/>
      <c r="AQ81" s="109">
        <v>27102</v>
      </c>
      <c r="AR81" s="176"/>
      <c r="AS81" s="109">
        <v>27102</v>
      </c>
      <c r="AT81" s="176"/>
      <c r="AU81" s="191">
        <f t="shared" si="2"/>
        <v>540</v>
      </c>
      <c r="AW81" s="169">
        <f t="shared" si="1"/>
        <v>540</v>
      </c>
    </row>
    <row r="82" spans="1:52" x14ac:dyDescent="0.25">
      <c r="A82" s="110"/>
      <c r="B82" s="111"/>
      <c r="C82" s="110"/>
      <c r="D82" s="132"/>
      <c r="E82" s="109">
        <v>27105</v>
      </c>
      <c r="F82" s="139">
        <v>18438.2</v>
      </c>
      <c r="G82" s="109">
        <v>27105</v>
      </c>
      <c r="I82" s="109">
        <v>27105</v>
      </c>
      <c r="K82" s="109">
        <v>27105</v>
      </c>
      <c r="L82" s="140"/>
      <c r="M82" s="109">
        <v>27105</v>
      </c>
      <c r="N82" s="174"/>
      <c r="O82" s="109">
        <v>27105</v>
      </c>
      <c r="P82" s="174"/>
      <c r="Q82" s="109">
        <v>27105</v>
      </c>
      <c r="R82" s="140"/>
      <c r="S82" s="109">
        <v>27105</v>
      </c>
      <c r="T82" s="140"/>
      <c r="U82" s="109">
        <v>27105</v>
      </c>
      <c r="V82" s="140"/>
      <c r="W82" s="109">
        <v>27105</v>
      </c>
      <c r="X82" s="140"/>
      <c r="Y82" s="109">
        <v>27105</v>
      </c>
      <c r="Z82" s="140"/>
      <c r="AA82" s="109">
        <v>27105</v>
      </c>
      <c r="AB82" s="140"/>
      <c r="AC82" s="109">
        <v>27105</v>
      </c>
      <c r="AD82" s="140"/>
      <c r="AE82" s="109">
        <v>27105</v>
      </c>
      <c r="AF82" s="140"/>
      <c r="AG82" s="109">
        <v>27105</v>
      </c>
      <c r="AH82" s="140"/>
      <c r="AI82" s="109">
        <v>27105</v>
      </c>
      <c r="AJ82" s="140"/>
      <c r="AK82" s="109">
        <v>27105</v>
      </c>
      <c r="AL82" s="140"/>
      <c r="AM82" s="109">
        <v>27105</v>
      </c>
      <c r="AN82" s="140"/>
      <c r="AO82" s="109">
        <v>27105</v>
      </c>
      <c r="AP82" s="140"/>
      <c r="AQ82" s="109">
        <v>27105</v>
      </c>
      <c r="AR82" s="140"/>
      <c r="AS82" s="109">
        <v>27105</v>
      </c>
      <c r="AT82" s="140"/>
      <c r="AU82" s="191">
        <f t="shared" si="2"/>
        <v>18438.2</v>
      </c>
      <c r="AW82" s="169">
        <f t="shared" si="1"/>
        <v>18438.2</v>
      </c>
    </row>
    <row r="83" spans="1:52" x14ac:dyDescent="0.25">
      <c r="A83" s="110"/>
      <c r="B83" s="111"/>
      <c r="C83" s="109">
        <v>27106</v>
      </c>
      <c r="D83" s="132">
        <v>10753.2</v>
      </c>
      <c r="E83" s="109">
        <v>27106</v>
      </c>
      <c r="F83" s="139">
        <v>51550</v>
      </c>
      <c r="G83" s="109">
        <v>27106</v>
      </c>
      <c r="H83" s="106">
        <v>172688.76</v>
      </c>
      <c r="I83" s="109">
        <v>27106</v>
      </c>
      <c r="K83" s="109">
        <v>27106</v>
      </c>
      <c r="L83" s="140"/>
      <c r="M83" s="109">
        <v>27106</v>
      </c>
      <c r="N83" s="174"/>
      <c r="O83" s="109">
        <v>27106</v>
      </c>
      <c r="P83" s="174"/>
      <c r="Q83" s="109">
        <v>27106</v>
      </c>
      <c r="R83" s="140"/>
      <c r="S83" s="109">
        <v>27106</v>
      </c>
      <c r="T83" s="140"/>
      <c r="U83" s="109">
        <v>27106</v>
      </c>
      <c r="V83" s="140"/>
      <c r="W83" s="109">
        <v>27106</v>
      </c>
      <c r="X83" s="140"/>
      <c r="Y83" s="109">
        <v>27106</v>
      </c>
      <c r="Z83" s="140"/>
      <c r="AA83" s="109">
        <v>27106</v>
      </c>
      <c r="AB83" s="140"/>
      <c r="AC83" s="109">
        <v>27106</v>
      </c>
      <c r="AD83" s="140">
        <v>2000</v>
      </c>
      <c r="AE83" s="109">
        <v>27106</v>
      </c>
      <c r="AF83" s="140"/>
      <c r="AG83" s="109">
        <v>27106</v>
      </c>
      <c r="AH83" s="140"/>
      <c r="AI83" s="109">
        <v>27106</v>
      </c>
      <c r="AJ83" s="140"/>
      <c r="AK83" s="109">
        <v>27106</v>
      </c>
      <c r="AL83" s="140"/>
      <c r="AM83" s="109">
        <v>27106</v>
      </c>
      <c r="AN83" s="140"/>
      <c r="AO83" s="109">
        <v>27106</v>
      </c>
      <c r="AP83" s="140">
        <v>1060</v>
      </c>
      <c r="AQ83" s="109">
        <v>27106</v>
      </c>
      <c r="AR83" s="140">
        <v>15320.12</v>
      </c>
      <c r="AS83" s="109">
        <v>27106</v>
      </c>
      <c r="AT83" s="140">
        <v>1500</v>
      </c>
      <c r="AU83" s="191">
        <f t="shared" si="2"/>
        <v>254872.08000000002</v>
      </c>
      <c r="AV83" s="106">
        <v>254872.07927200006</v>
      </c>
      <c r="AW83" s="169">
        <f t="shared" si="1"/>
        <v>7.2799995541572571E-4</v>
      </c>
    </row>
    <row r="84" spans="1:52" s="108" customFormat="1" x14ac:dyDescent="0.25">
      <c r="A84" s="130"/>
      <c r="B84" s="131"/>
      <c r="C84" s="112"/>
      <c r="D84" s="177"/>
      <c r="E84" s="112"/>
      <c r="F84" s="142"/>
      <c r="G84" s="112"/>
      <c r="H84" s="160"/>
      <c r="I84" s="112"/>
      <c r="J84" s="160"/>
      <c r="K84" s="112"/>
      <c r="L84" s="140"/>
      <c r="M84" s="112"/>
      <c r="N84" s="174"/>
      <c r="O84" s="112"/>
      <c r="P84" s="174"/>
      <c r="R84" s="140"/>
      <c r="T84" s="142"/>
      <c r="V84" s="142"/>
      <c r="X84" s="142"/>
      <c r="Z84" s="142"/>
      <c r="AB84" s="142"/>
      <c r="AD84" s="142"/>
      <c r="AF84" s="142"/>
      <c r="AH84" s="142"/>
      <c r="AJ84" s="142"/>
      <c r="AL84" s="142"/>
      <c r="AN84" s="142"/>
      <c r="AP84" s="142"/>
      <c r="AR84" s="142"/>
      <c r="AT84" s="142"/>
      <c r="AU84" s="191">
        <f t="shared" si="2"/>
        <v>0</v>
      </c>
      <c r="AV84" s="160"/>
      <c r="AW84" s="168"/>
      <c r="AZ84" s="246"/>
    </row>
    <row r="85" spans="1:52" x14ac:dyDescent="0.25">
      <c r="A85" s="110"/>
      <c r="B85" s="111"/>
      <c r="C85" s="110"/>
      <c r="D85" s="132"/>
      <c r="E85" s="110"/>
      <c r="G85" s="110"/>
      <c r="I85" s="110"/>
      <c r="K85" s="110"/>
      <c r="L85" s="176"/>
      <c r="M85" s="110"/>
      <c r="N85" s="131"/>
      <c r="O85" s="110"/>
      <c r="P85" s="131"/>
      <c r="Q85" s="109">
        <v>27201</v>
      </c>
      <c r="R85" s="176">
        <v>596.1</v>
      </c>
      <c r="S85" s="109">
        <v>27201</v>
      </c>
      <c r="T85" s="140"/>
      <c r="U85" s="109">
        <v>27201</v>
      </c>
      <c r="V85" s="140"/>
      <c r="W85" s="109">
        <v>27201</v>
      </c>
      <c r="X85" s="140"/>
      <c r="Y85" s="109">
        <v>27201</v>
      </c>
      <c r="Z85" s="140"/>
      <c r="AA85" s="109">
        <v>27201</v>
      </c>
      <c r="AB85" s="140"/>
      <c r="AC85" s="109">
        <v>27201</v>
      </c>
      <c r="AD85" s="140"/>
      <c r="AE85" s="109">
        <v>27201</v>
      </c>
      <c r="AF85" s="140"/>
      <c r="AG85" s="109">
        <v>27201</v>
      </c>
      <c r="AH85" s="140"/>
      <c r="AI85" s="109">
        <v>27201</v>
      </c>
      <c r="AJ85" s="140"/>
      <c r="AK85" s="109">
        <v>27201</v>
      </c>
      <c r="AL85" s="140"/>
      <c r="AM85" s="109">
        <v>27201</v>
      </c>
      <c r="AN85" s="140"/>
      <c r="AO85" s="109">
        <v>27201</v>
      </c>
      <c r="AP85" s="140"/>
      <c r="AQ85" s="109">
        <v>27201</v>
      </c>
      <c r="AR85" s="140"/>
      <c r="AS85" s="109">
        <v>27201</v>
      </c>
      <c r="AT85" s="140"/>
      <c r="AU85" s="191">
        <f t="shared" si="2"/>
        <v>596.1</v>
      </c>
      <c r="AW85" s="169">
        <f t="shared" si="1"/>
        <v>596.1</v>
      </c>
    </row>
    <row r="86" spans="1:52" x14ac:dyDescent="0.25">
      <c r="A86" s="110"/>
      <c r="B86" s="111"/>
      <c r="C86" s="109">
        <v>27203</v>
      </c>
      <c r="D86" s="132">
        <v>587319.19000000006</v>
      </c>
      <c r="E86" s="109">
        <v>27203</v>
      </c>
      <c r="G86" s="109">
        <v>27203</v>
      </c>
      <c r="H86" s="106">
        <v>434.1</v>
      </c>
      <c r="I86" s="109">
        <v>27203</v>
      </c>
      <c r="K86" s="109">
        <v>27203</v>
      </c>
      <c r="L86" s="140"/>
      <c r="M86" s="109">
        <v>27203</v>
      </c>
      <c r="N86" s="174"/>
      <c r="O86" s="109">
        <v>27203</v>
      </c>
      <c r="P86" s="174"/>
      <c r="Q86" s="109">
        <v>27203</v>
      </c>
      <c r="R86" s="140">
        <v>1451.52</v>
      </c>
      <c r="S86" s="109">
        <v>27203</v>
      </c>
      <c r="T86" s="140"/>
      <c r="U86" s="109">
        <v>27203</v>
      </c>
      <c r="V86" s="140"/>
      <c r="W86" s="109">
        <v>27203</v>
      </c>
      <c r="X86" s="140"/>
      <c r="Y86" s="109">
        <v>27203</v>
      </c>
      <c r="Z86" s="140"/>
      <c r="AA86" s="109">
        <v>27203</v>
      </c>
      <c r="AB86" s="140"/>
      <c r="AC86" s="109">
        <v>27203</v>
      </c>
      <c r="AD86" s="140"/>
      <c r="AE86" s="109">
        <v>27203</v>
      </c>
      <c r="AF86" s="140"/>
      <c r="AG86" s="109">
        <v>27203</v>
      </c>
      <c r="AH86" s="140"/>
      <c r="AI86" s="109">
        <v>27203</v>
      </c>
      <c r="AJ86" s="140"/>
      <c r="AK86" s="109">
        <v>27203</v>
      </c>
      <c r="AL86" s="140"/>
      <c r="AM86" s="109">
        <v>27203</v>
      </c>
      <c r="AN86" s="140"/>
      <c r="AO86" s="109">
        <v>27203</v>
      </c>
      <c r="AP86" s="140"/>
      <c r="AQ86" s="109">
        <v>27203</v>
      </c>
      <c r="AR86" s="140"/>
      <c r="AS86" s="109">
        <v>27203</v>
      </c>
      <c r="AT86" s="140"/>
      <c r="AU86" s="191">
        <f t="shared" si="2"/>
        <v>589204.81000000006</v>
      </c>
      <c r="AW86" s="169">
        <f t="shared" ref="AW86:AW168" si="3">AU86-AV86</f>
        <v>589204.81000000006</v>
      </c>
    </row>
    <row r="87" spans="1:52" x14ac:dyDescent="0.25">
      <c r="A87" s="110"/>
      <c r="B87" s="111"/>
      <c r="C87" s="110"/>
      <c r="D87" s="132"/>
      <c r="E87" s="109">
        <v>27205</v>
      </c>
      <c r="F87" s="139">
        <v>1009.57</v>
      </c>
      <c r="G87" s="109">
        <v>27205</v>
      </c>
      <c r="I87" s="109">
        <v>27205</v>
      </c>
      <c r="K87" s="109">
        <v>27205</v>
      </c>
      <c r="L87" s="140"/>
      <c r="M87" s="109">
        <v>27205</v>
      </c>
      <c r="N87" s="174"/>
      <c r="O87" s="109">
        <v>27205</v>
      </c>
      <c r="P87" s="174"/>
      <c r="Q87" s="109">
        <v>27205</v>
      </c>
      <c r="R87" s="140"/>
      <c r="S87" s="109">
        <v>27205</v>
      </c>
      <c r="T87" s="140"/>
      <c r="U87" s="109">
        <v>27205</v>
      </c>
      <c r="V87" s="140"/>
      <c r="W87" s="109">
        <v>27205</v>
      </c>
      <c r="X87" s="140"/>
      <c r="Y87" s="109">
        <v>27205</v>
      </c>
      <c r="Z87" s="140"/>
      <c r="AA87" s="109">
        <v>27205</v>
      </c>
      <c r="AB87" s="140"/>
      <c r="AC87" s="109">
        <v>27205</v>
      </c>
      <c r="AD87" s="140"/>
      <c r="AE87" s="109">
        <v>27205</v>
      </c>
      <c r="AF87" s="140"/>
      <c r="AG87" s="109">
        <v>27205</v>
      </c>
      <c r="AH87" s="140"/>
      <c r="AI87" s="109">
        <v>27205</v>
      </c>
      <c r="AJ87" s="140"/>
      <c r="AK87" s="109">
        <v>27205</v>
      </c>
      <c r="AL87" s="140"/>
      <c r="AM87" s="109">
        <v>27205</v>
      </c>
      <c r="AN87" s="140"/>
      <c r="AO87" s="109">
        <v>27205</v>
      </c>
      <c r="AP87" s="140"/>
      <c r="AQ87" s="109">
        <v>27205</v>
      </c>
      <c r="AR87" s="140"/>
      <c r="AS87" s="109">
        <v>27205</v>
      </c>
      <c r="AT87" s="140"/>
      <c r="AU87" s="191">
        <f t="shared" si="2"/>
        <v>1009.57</v>
      </c>
      <c r="AW87" s="169">
        <f t="shared" si="3"/>
        <v>1009.57</v>
      </c>
    </row>
    <row r="88" spans="1:52" x14ac:dyDescent="0.25">
      <c r="A88" s="110"/>
      <c r="B88" s="111"/>
      <c r="C88" s="110"/>
      <c r="D88" s="132"/>
      <c r="E88" s="109"/>
      <c r="G88" s="109"/>
      <c r="I88" s="109"/>
      <c r="K88" s="109"/>
      <c r="L88" s="140"/>
      <c r="M88" s="109"/>
      <c r="N88" s="174"/>
      <c r="O88" s="109"/>
      <c r="P88" s="174"/>
      <c r="Q88" s="109">
        <v>27206</v>
      </c>
      <c r="R88" s="140">
        <v>1620</v>
      </c>
      <c r="S88" s="109">
        <v>27206</v>
      </c>
      <c r="T88" s="140"/>
      <c r="U88" s="109">
        <v>27206</v>
      </c>
      <c r="V88" s="140"/>
      <c r="W88" s="109">
        <v>27206</v>
      </c>
      <c r="X88" s="140"/>
      <c r="Y88" s="109">
        <v>27206</v>
      </c>
      <c r="Z88" s="140"/>
      <c r="AA88" s="109">
        <v>27206</v>
      </c>
      <c r="AB88" s="140"/>
      <c r="AC88" s="109">
        <v>27206</v>
      </c>
      <c r="AD88" s="140"/>
      <c r="AE88" s="109">
        <v>27206</v>
      </c>
      <c r="AF88" s="140"/>
      <c r="AG88" s="109">
        <v>27206</v>
      </c>
      <c r="AH88" s="140"/>
      <c r="AI88" s="109">
        <v>27206</v>
      </c>
      <c r="AJ88" s="140"/>
      <c r="AK88" s="109">
        <v>27206</v>
      </c>
      <c r="AL88" s="140"/>
      <c r="AM88" s="109">
        <v>27206</v>
      </c>
      <c r="AN88" s="140"/>
      <c r="AO88" s="109">
        <v>27206</v>
      </c>
      <c r="AP88" s="140"/>
      <c r="AQ88" s="109">
        <v>27206</v>
      </c>
      <c r="AR88" s="140"/>
      <c r="AS88" s="109">
        <v>27206</v>
      </c>
      <c r="AT88" s="140"/>
      <c r="AU88" s="191">
        <f t="shared" si="2"/>
        <v>1620</v>
      </c>
      <c r="AW88" s="169">
        <f t="shared" si="3"/>
        <v>1620</v>
      </c>
    </row>
    <row r="89" spans="1:52" x14ac:dyDescent="0.25">
      <c r="A89" s="110"/>
      <c r="B89" s="111"/>
      <c r="C89" s="110"/>
      <c r="D89" s="132"/>
      <c r="E89" s="110"/>
      <c r="G89" s="110"/>
      <c r="I89" s="110"/>
      <c r="K89" s="110"/>
      <c r="L89" s="176"/>
      <c r="M89" s="110"/>
      <c r="N89" s="131"/>
      <c r="O89" s="110"/>
      <c r="P89" s="131"/>
      <c r="Q89" s="110"/>
      <c r="R89" s="176"/>
      <c r="S89" s="110"/>
      <c r="T89" s="176"/>
      <c r="U89" s="110"/>
      <c r="V89" s="176"/>
      <c r="W89" s="110"/>
      <c r="X89" s="176"/>
      <c r="Y89" s="110"/>
      <c r="Z89" s="176"/>
      <c r="AA89" s="110"/>
      <c r="AB89" s="176"/>
      <c r="AC89" s="110"/>
      <c r="AD89" s="176"/>
      <c r="AE89" s="110"/>
      <c r="AF89" s="176"/>
      <c r="AG89" s="110"/>
      <c r="AH89" s="176"/>
      <c r="AI89" s="110"/>
      <c r="AJ89" s="176"/>
      <c r="AK89" s="110"/>
      <c r="AL89" s="176"/>
      <c r="AM89" s="110"/>
      <c r="AN89" s="176"/>
      <c r="AO89" s="110"/>
      <c r="AP89" s="176"/>
      <c r="AQ89" s="110"/>
      <c r="AR89" s="176"/>
      <c r="AS89" s="110"/>
      <c r="AT89" s="176"/>
      <c r="AU89" s="191">
        <f t="shared" si="2"/>
        <v>0</v>
      </c>
      <c r="AW89" s="169">
        <f t="shared" si="3"/>
        <v>0</v>
      </c>
    </row>
    <row r="90" spans="1:52" x14ac:dyDescent="0.25">
      <c r="A90" s="110"/>
      <c r="B90" s="111"/>
      <c r="C90" s="110"/>
      <c r="D90" s="132"/>
      <c r="E90" s="110"/>
      <c r="G90" s="109">
        <v>27401</v>
      </c>
      <c r="H90" s="106">
        <v>37410</v>
      </c>
      <c r="I90" s="109">
        <v>27401</v>
      </c>
      <c r="K90" s="109">
        <v>27401</v>
      </c>
      <c r="L90" s="140"/>
      <c r="M90" s="109">
        <v>27401</v>
      </c>
      <c r="N90" s="174"/>
      <c r="O90" s="109">
        <v>27401</v>
      </c>
      <c r="P90" s="174"/>
      <c r="Q90" s="109">
        <v>27401</v>
      </c>
      <c r="R90" s="140"/>
      <c r="S90" s="109">
        <v>27401</v>
      </c>
      <c r="T90" s="140"/>
      <c r="U90" s="109">
        <v>27401</v>
      </c>
      <c r="V90" s="140"/>
      <c r="W90" s="109">
        <v>27401</v>
      </c>
      <c r="X90" s="140"/>
      <c r="Y90" s="109">
        <v>27401</v>
      </c>
      <c r="Z90" s="140"/>
      <c r="AA90" s="109">
        <v>27401</v>
      </c>
      <c r="AB90" s="140">
        <v>6000</v>
      </c>
      <c r="AC90" s="109">
        <v>27401</v>
      </c>
      <c r="AD90" s="140"/>
      <c r="AE90" s="109">
        <v>27401</v>
      </c>
      <c r="AF90" s="140"/>
      <c r="AG90" s="109">
        <v>27401</v>
      </c>
      <c r="AH90" s="140"/>
      <c r="AI90" s="109">
        <v>27401</v>
      </c>
      <c r="AJ90" s="140"/>
      <c r="AK90" s="109">
        <v>27401</v>
      </c>
      <c r="AL90" s="140">
        <v>1866.7</v>
      </c>
      <c r="AM90" s="109">
        <v>27401</v>
      </c>
      <c r="AN90" s="140"/>
      <c r="AO90" s="109">
        <v>27401</v>
      </c>
      <c r="AP90" s="140"/>
      <c r="AQ90" s="109">
        <v>27401</v>
      </c>
      <c r="AR90" s="140"/>
      <c r="AS90" s="109">
        <v>27401</v>
      </c>
      <c r="AT90" s="140"/>
      <c r="AU90" s="191">
        <f t="shared" si="2"/>
        <v>45276.7</v>
      </c>
      <c r="AW90" s="169">
        <f t="shared" si="3"/>
        <v>45276.7</v>
      </c>
    </row>
    <row r="91" spans="1:52" x14ac:dyDescent="0.25">
      <c r="A91" s="110"/>
      <c r="B91" s="111"/>
      <c r="C91" s="110"/>
      <c r="D91" s="132"/>
      <c r="E91" s="110"/>
      <c r="G91" s="110"/>
      <c r="I91" s="110"/>
      <c r="K91" s="110"/>
      <c r="L91" s="176"/>
      <c r="M91" s="110"/>
      <c r="N91" s="131"/>
      <c r="O91" s="110"/>
      <c r="P91" s="131"/>
      <c r="Q91" s="110"/>
      <c r="R91" s="176"/>
      <c r="S91" s="110"/>
      <c r="T91" s="176"/>
      <c r="U91" s="110"/>
      <c r="V91" s="176"/>
      <c r="W91" s="110"/>
      <c r="X91" s="176"/>
      <c r="Y91" s="110"/>
      <c r="Z91" s="176"/>
      <c r="AA91" s="110"/>
      <c r="AB91" s="176"/>
      <c r="AC91" s="110"/>
      <c r="AD91" s="176"/>
      <c r="AE91" s="110"/>
      <c r="AF91" s="176"/>
      <c r="AG91" s="110"/>
      <c r="AH91" s="176"/>
      <c r="AI91" s="110"/>
      <c r="AJ91" s="176"/>
      <c r="AK91" s="110"/>
      <c r="AL91" s="176"/>
      <c r="AM91" s="110"/>
      <c r="AN91" s="176"/>
      <c r="AO91" s="110"/>
      <c r="AP91" s="176"/>
      <c r="AQ91" s="110"/>
      <c r="AR91" s="176"/>
      <c r="AS91" s="110"/>
      <c r="AT91" s="176"/>
      <c r="AU91" s="191">
        <f t="shared" si="2"/>
        <v>0</v>
      </c>
      <c r="AW91" s="169">
        <f t="shared" si="3"/>
        <v>0</v>
      </c>
    </row>
    <row r="92" spans="1:52" x14ac:dyDescent="0.25">
      <c r="A92" s="110"/>
      <c r="B92" s="111"/>
      <c r="C92" s="110"/>
      <c r="D92" s="132"/>
      <c r="E92" s="110"/>
      <c r="G92" s="109">
        <v>27503</v>
      </c>
      <c r="H92" s="106">
        <v>98829.63</v>
      </c>
      <c r="I92" s="109">
        <v>27503</v>
      </c>
      <c r="K92" s="109">
        <v>27503</v>
      </c>
      <c r="L92" s="140"/>
      <c r="M92" s="109">
        <v>27503</v>
      </c>
      <c r="N92" s="174"/>
      <c r="O92" s="109">
        <v>27503</v>
      </c>
      <c r="P92" s="174"/>
      <c r="Q92" s="109">
        <v>27503</v>
      </c>
      <c r="R92" s="140"/>
      <c r="S92" s="109">
        <v>27503</v>
      </c>
      <c r="T92" s="140"/>
      <c r="U92" s="109">
        <v>27503</v>
      </c>
      <c r="V92" s="140"/>
      <c r="W92" s="109">
        <v>27503</v>
      </c>
      <c r="X92" s="140"/>
      <c r="Y92" s="109">
        <v>27503</v>
      </c>
      <c r="Z92" s="140"/>
      <c r="AA92" s="109">
        <v>27503</v>
      </c>
      <c r="AB92" s="140">
        <v>600</v>
      </c>
      <c r="AC92" s="109">
        <v>27503</v>
      </c>
      <c r="AD92" s="140">
        <v>3208</v>
      </c>
      <c r="AE92" s="109">
        <v>27503</v>
      </c>
      <c r="AF92" s="140"/>
      <c r="AG92" s="109">
        <v>27503</v>
      </c>
      <c r="AH92" s="140"/>
      <c r="AI92" s="109">
        <v>27503</v>
      </c>
      <c r="AJ92" s="140"/>
      <c r="AK92" s="109">
        <v>27503</v>
      </c>
      <c r="AL92" s="140"/>
      <c r="AM92" s="109">
        <v>27503</v>
      </c>
      <c r="AN92" s="140"/>
      <c r="AO92" s="109">
        <v>27503</v>
      </c>
      <c r="AP92" s="140"/>
      <c r="AQ92" s="109">
        <v>27503</v>
      </c>
      <c r="AR92" s="140">
        <v>21112</v>
      </c>
      <c r="AS92" s="109">
        <v>27503</v>
      </c>
      <c r="AT92" s="140">
        <v>1500</v>
      </c>
      <c r="AU92" s="191">
        <f t="shared" si="2"/>
        <v>125249.63</v>
      </c>
      <c r="AV92" s="106">
        <v>125249.63360000003</v>
      </c>
      <c r="AW92" s="169">
        <f t="shared" si="3"/>
        <v>-3.6000000254716724E-3</v>
      </c>
    </row>
    <row r="93" spans="1:52" x14ac:dyDescent="0.25">
      <c r="A93" s="110"/>
      <c r="B93" s="111"/>
      <c r="C93" s="110"/>
      <c r="D93" s="132"/>
      <c r="E93" s="110"/>
      <c r="G93" s="110"/>
      <c r="I93" s="110"/>
      <c r="K93" s="110"/>
      <c r="L93" s="176"/>
      <c r="M93" s="110"/>
      <c r="N93" s="131"/>
      <c r="O93" s="110"/>
      <c r="P93" s="131"/>
      <c r="Q93" s="110"/>
      <c r="R93" s="176"/>
      <c r="S93" s="110"/>
      <c r="T93" s="176"/>
      <c r="U93" s="110"/>
      <c r="V93" s="176"/>
      <c r="W93" s="110"/>
      <c r="X93" s="176"/>
      <c r="Y93" s="110"/>
      <c r="Z93" s="176"/>
      <c r="AA93" s="110"/>
      <c r="AB93" s="176"/>
      <c r="AC93" s="110"/>
      <c r="AD93" s="176"/>
      <c r="AE93" s="110"/>
      <c r="AF93" s="176"/>
      <c r="AG93" s="110"/>
      <c r="AH93" s="176"/>
      <c r="AI93" s="110"/>
      <c r="AJ93" s="176"/>
      <c r="AK93" s="110"/>
      <c r="AL93" s="176"/>
      <c r="AM93" s="110"/>
      <c r="AN93" s="176"/>
      <c r="AO93" s="110"/>
      <c r="AP93" s="176"/>
      <c r="AQ93" s="110"/>
      <c r="AR93" s="176"/>
      <c r="AS93" s="110"/>
      <c r="AT93" s="176"/>
      <c r="AU93" s="191">
        <f t="shared" si="2"/>
        <v>0</v>
      </c>
      <c r="AW93" s="169">
        <f t="shared" si="3"/>
        <v>0</v>
      </c>
    </row>
    <row r="94" spans="1:52" x14ac:dyDescent="0.25">
      <c r="A94" s="109">
        <v>29101</v>
      </c>
      <c r="B94" s="111">
        <v>2500</v>
      </c>
      <c r="C94" s="109">
        <v>29101</v>
      </c>
      <c r="D94" s="132">
        <v>17850.265599999999</v>
      </c>
      <c r="E94" s="109">
        <v>29101</v>
      </c>
      <c r="G94" s="109">
        <v>29101</v>
      </c>
      <c r="H94" s="106">
        <v>10589.16</v>
      </c>
      <c r="I94" s="109">
        <v>29101</v>
      </c>
      <c r="K94" s="109">
        <v>29101</v>
      </c>
      <c r="L94" s="140"/>
      <c r="M94" s="109">
        <v>29101</v>
      </c>
      <c r="N94" s="174"/>
      <c r="O94" s="109">
        <v>29101</v>
      </c>
      <c r="P94" s="174"/>
      <c r="Q94" s="109">
        <v>29101</v>
      </c>
      <c r="R94" s="140"/>
      <c r="S94" s="109">
        <v>29101</v>
      </c>
      <c r="T94" s="140"/>
      <c r="U94" s="109">
        <v>29101</v>
      </c>
      <c r="V94" s="140"/>
      <c r="W94" s="109">
        <v>29101</v>
      </c>
      <c r="X94" s="140"/>
      <c r="Y94" s="109">
        <v>29101</v>
      </c>
      <c r="Z94" s="140"/>
      <c r="AA94" s="109">
        <v>29101</v>
      </c>
      <c r="AB94" s="140"/>
      <c r="AC94" s="109">
        <v>29101</v>
      </c>
      <c r="AD94" s="140"/>
      <c r="AE94" s="109">
        <v>29101</v>
      </c>
      <c r="AF94" s="140"/>
      <c r="AG94" s="109">
        <v>29101</v>
      </c>
      <c r="AH94" s="140"/>
      <c r="AI94" s="109">
        <v>29101</v>
      </c>
      <c r="AJ94" s="140"/>
      <c r="AK94" s="109">
        <v>29101</v>
      </c>
      <c r="AL94" s="140"/>
      <c r="AM94" s="109">
        <v>29101</v>
      </c>
      <c r="AN94" s="140"/>
      <c r="AO94" s="109">
        <v>29101</v>
      </c>
      <c r="AP94" s="140"/>
      <c r="AQ94" s="109">
        <v>29101</v>
      </c>
      <c r="AR94" s="140">
        <v>300.42</v>
      </c>
      <c r="AS94" s="109">
        <v>29101</v>
      </c>
      <c r="AT94" s="17">
        <v>3747.7013599999996</v>
      </c>
      <c r="AU94" s="191">
        <f t="shared" si="2"/>
        <v>34987.54696</v>
      </c>
      <c r="AV94" s="106">
        <v>34987.552960000001</v>
      </c>
      <c r="AW94" s="169">
        <f t="shared" si="3"/>
        <v>-6.0000000012223609E-3</v>
      </c>
    </row>
    <row r="95" spans="1:52" x14ac:dyDescent="0.25">
      <c r="A95" s="110"/>
      <c r="B95" s="111"/>
      <c r="C95" s="110"/>
      <c r="D95" s="132"/>
      <c r="E95" s="110"/>
      <c r="G95" s="110"/>
      <c r="I95" s="110"/>
      <c r="K95" s="110"/>
      <c r="L95" s="176"/>
      <c r="M95" s="110"/>
      <c r="N95" s="131"/>
      <c r="O95" s="110"/>
      <c r="P95" s="131"/>
      <c r="Q95" s="110"/>
      <c r="R95" s="176"/>
      <c r="S95" s="110"/>
      <c r="T95" s="176"/>
      <c r="U95" s="110"/>
      <c r="V95" s="176"/>
      <c r="W95" s="110"/>
      <c r="X95" s="176"/>
      <c r="Y95" s="110"/>
      <c r="Z95" s="176"/>
      <c r="AA95" s="110"/>
      <c r="AB95" s="176"/>
      <c r="AC95" s="110"/>
      <c r="AD95" s="176"/>
      <c r="AE95" s="110"/>
      <c r="AF95" s="176"/>
      <c r="AG95" s="110"/>
      <c r="AH95" s="176"/>
      <c r="AI95" s="110"/>
      <c r="AJ95" s="176"/>
      <c r="AK95" s="110"/>
      <c r="AL95" s="176"/>
      <c r="AM95" s="110"/>
      <c r="AN95" s="176"/>
      <c r="AO95" s="110"/>
      <c r="AP95" s="176"/>
      <c r="AQ95" s="110"/>
      <c r="AR95" s="176"/>
      <c r="AS95" s="110"/>
      <c r="AT95" s="176"/>
      <c r="AU95" s="191">
        <f t="shared" si="2"/>
        <v>0</v>
      </c>
      <c r="AW95" s="169">
        <f t="shared" si="3"/>
        <v>0</v>
      </c>
    </row>
    <row r="96" spans="1:52" x14ac:dyDescent="0.25">
      <c r="A96" s="110"/>
      <c r="B96" s="111"/>
      <c r="C96" s="110"/>
      <c r="D96" s="132"/>
      <c r="E96" s="110"/>
      <c r="G96" s="110"/>
      <c r="I96" s="110"/>
      <c r="K96" s="110"/>
      <c r="L96" s="176"/>
      <c r="M96" s="110"/>
      <c r="N96" s="131"/>
      <c r="O96" s="110"/>
      <c r="P96" s="131"/>
      <c r="Q96" s="110"/>
      <c r="R96" s="176"/>
      <c r="S96" s="110"/>
      <c r="T96" s="176"/>
      <c r="U96" s="110"/>
      <c r="V96" s="176"/>
      <c r="W96" s="110"/>
      <c r="X96" s="176"/>
      <c r="Y96" s="110"/>
      <c r="Z96" s="176"/>
      <c r="AA96" s="110"/>
      <c r="AB96" s="176"/>
      <c r="AC96" s="110"/>
      <c r="AD96" s="176"/>
      <c r="AE96" s="110"/>
      <c r="AF96" s="176"/>
      <c r="AG96" s="110"/>
      <c r="AH96" s="176"/>
      <c r="AI96" s="110"/>
      <c r="AJ96" s="176"/>
      <c r="AK96" s="110"/>
      <c r="AL96" s="176"/>
      <c r="AM96" s="110"/>
      <c r="AN96" s="176"/>
      <c r="AO96" s="110"/>
      <c r="AP96" s="176"/>
      <c r="AQ96" s="110"/>
      <c r="AR96" s="176"/>
      <c r="AS96" s="110"/>
      <c r="AT96" s="176"/>
      <c r="AU96" s="191">
        <f t="shared" si="2"/>
        <v>0</v>
      </c>
      <c r="AW96" s="169">
        <f t="shared" si="3"/>
        <v>0</v>
      </c>
    </row>
    <row r="97" spans="1:51" x14ac:dyDescent="0.25">
      <c r="A97" s="109">
        <v>29103</v>
      </c>
      <c r="B97" s="111">
        <f>720-720</f>
        <v>0</v>
      </c>
      <c r="C97" s="109">
        <v>29103</v>
      </c>
      <c r="D97" s="132"/>
      <c r="E97" s="109">
        <v>29103</v>
      </c>
      <c r="G97" s="109">
        <v>29103</v>
      </c>
      <c r="I97" s="109">
        <v>29103</v>
      </c>
      <c r="K97" s="109">
        <v>29103</v>
      </c>
      <c r="L97" s="140"/>
      <c r="M97" s="109">
        <v>29103</v>
      </c>
      <c r="N97" s="174"/>
      <c r="O97" s="109">
        <v>29103</v>
      </c>
      <c r="P97" s="174"/>
      <c r="Q97" s="109">
        <v>29103</v>
      </c>
      <c r="R97" s="140"/>
      <c r="S97" s="109">
        <v>29103</v>
      </c>
      <c r="T97" s="140"/>
      <c r="U97" s="109">
        <v>29103</v>
      </c>
      <c r="V97" s="140"/>
      <c r="W97" s="109">
        <v>29103</v>
      </c>
      <c r="X97" s="140"/>
      <c r="Y97" s="109">
        <v>29103</v>
      </c>
      <c r="Z97" s="140"/>
      <c r="AA97" s="109">
        <v>29103</v>
      </c>
      <c r="AB97" s="140"/>
      <c r="AC97" s="109">
        <v>29103</v>
      </c>
      <c r="AD97" s="140"/>
      <c r="AE97" s="109">
        <v>29103</v>
      </c>
      <c r="AF97" s="140"/>
      <c r="AG97" s="109">
        <v>29103</v>
      </c>
      <c r="AH97" s="140"/>
      <c r="AI97" s="109">
        <v>29103</v>
      </c>
      <c r="AJ97" s="140"/>
      <c r="AK97" s="109">
        <v>29103</v>
      </c>
      <c r="AL97" s="140"/>
      <c r="AM97" s="109">
        <v>29103</v>
      </c>
      <c r="AN97" s="140"/>
      <c r="AO97" s="109">
        <v>29103</v>
      </c>
      <c r="AP97" s="140"/>
      <c r="AQ97" s="109">
        <v>29103</v>
      </c>
      <c r="AR97" s="140"/>
      <c r="AS97" s="109">
        <v>29103</v>
      </c>
      <c r="AT97" s="140"/>
      <c r="AU97" s="191">
        <f t="shared" si="2"/>
        <v>0</v>
      </c>
      <c r="AW97" s="169">
        <f t="shared" si="3"/>
        <v>0</v>
      </c>
      <c r="AY97">
        <v>29</v>
      </c>
    </row>
    <row r="98" spans="1:51" x14ac:dyDescent="0.25">
      <c r="A98" s="110"/>
      <c r="B98" s="111"/>
      <c r="C98" s="110"/>
      <c r="D98" s="132"/>
      <c r="E98" s="110"/>
      <c r="G98" s="110"/>
      <c r="I98" s="110"/>
      <c r="K98" s="110"/>
      <c r="L98" s="176"/>
      <c r="M98" s="110"/>
      <c r="N98" s="131"/>
      <c r="O98" s="110"/>
      <c r="P98" s="131"/>
      <c r="Q98" s="110"/>
      <c r="R98" s="176"/>
      <c r="S98" s="110"/>
      <c r="T98" s="176"/>
      <c r="U98" s="110"/>
      <c r="V98" s="176"/>
      <c r="W98" s="110"/>
      <c r="X98" s="176"/>
      <c r="Y98" s="110"/>
      <c r="Z98" s="176"/>
      <c r="AA98" s="110"/>
      <c r="AB98" s="176"/>
      <c r="AC98" s="110"/>
      <c r="AD98" s="176"/>
      <c r="AE98" s="110"/>
      <c r="AF98" s="176"/>
      <c r="AG98" s="110"/>
      <c r="AH98" s="176"/>
      <c r="AI98" s="110"/>
      <c r="AJ98" s="176"/>
      <c r="AK98" s="110"/>
      <c r="AL98" s="176"/>
      <c r="AM98" s="110"/>
      <c r="AN98" s="176"/>
      <c r="AO98" s="110"/>
      <c r="AP98" s="176"/>
      <c r="AQ98" s="110"/>
      <c r="AR98" s="176"/>
      <c r="AS98" s="110"/>
      <c r="AT98" s="176"/>
      <c r="AU98" s="191">
        <f t="shared" si="2"/>
        <v>0</v>
      </c>
      <c r="AW98" s="169">
        <f t="shared" si="3"/>
        <v>0</v>
      </c>
    </row>
    <row r="99" spans="1:51" x14ac:dyDescent="0.25">
      <c r="A99" s="110"/>
      <c r="B99" s="111"/>
      <c r="C99" s="110"/>
      <c r="D99" s="132"/>
      <c r="E99" s="109">
        <v>29107</v>
      </c>
      <c r="F99" s="139">
        <v>3709.87</v>
      </c>
      <c r="G99" s="109">
        <v>29107</v>
      </c>
      <c r="I99" s="109">
        <v>29107</v>
      </c>
      <c r="K99" s="109">
        <v>29107</v>
      </c>
      <c r="L99" s="140"/>
      <c r="M99" s="109">
        <v>29107</v>
      </c>
      <c r="N99" s="174"/>
      <c r="O99" s="109">
        <v>29107</v>
      </c>
      <c r="P99" s="174"/>
      <c r="Q99" s="109">
        <v>29107</v>
      </c>
      <c r="R99" s="140"/>
      <c r="S99" s="109">
        <v>29107</v>
      </c>
      <c r="T99" s="140"/>
      <c r="U99" s="109">
        <v>29107</v>
      </c>
      <c r="V99" s="140"/>
      <c r="W99" s="109">
        <v>29107</v>
      </c>
      <c r="X99" s="140"/>
      <c r="Y99" s="109">
        <v>29107</v>
      </c>
      <c r="Z99" s="140"/>
      <c r="AA99" s="109">
        <v>29107</v>
      </c>
      <c r="AB99" s="140"/>
      <c r="AC99" s="109">
        <v>29107</v>
      </c>
      <c r="AD99" s="140"/>
      <c r="AE99" s="109">
        <v>29107</v>
      </c>
      <c r="AF99" s="140"/>
      <c r="AG99" s="109">
        <v>29107</v>
      </c>
      <c r="AH99" s="140"/>
      <c r="AI99" s="109">
        <v>29107</v>
      </c>
      <c r="AJ99" s="140"/>
      <c r="AK99" s="109">
        <v>29107</v>
      </c>
      <c r="AL99" s="140"/>
      <c r="AM99" s="109">
        <v>29107</v>
      </c>
      <c r="AN99" s="140"/>
      <c r="AO99" s="109">
        <v>29107</v>
      </c>
      <c r="AP99" s="140"/>
      <c r="AQ99" s="109">
        <v>29107</v>
      </c>
      <c r="AR99" s="140"/>
      <c r="AS99" s="109">
        <v>29107</v>
      </c>
      <c r="AT99" s="140"/>
      <c r="AU99" s="191">
        <f t="shared" si="2"/>
        <v>3709.87</v>
      </c>
      <c r="AW99" s="169">
        <f t="shared" si="3"/>
        <v>3709.87</v>
      </c>
    </row>
    <row r="100" spans="1:51" x14ac:dyDescent="0.25">
      <c r="A100" s="110"/>
      <c r="B100" s="111"/>
      <c r="C100" s="110"/>
      <c r="D100" s="132"/>
      <c r="E100" s="110"/>
      <c r="G100" s="110"/>
      <c r="I100" s="110"/>
      <c r="K100" s="110"/>
      <c r="L100" s="176"/>
      <c r="M100" s="110"/>
      <c r="N100" s="131"/>
      <c r="O100" s="110"/>
      <c r="P100" s="131"/>
      <c r="Q100" s="110"/>
      <c r="R100" s="176"/>
      <c r="S100" s="110"/>
      <c r="T100" s="176"/>
      <c r="U100" s="110"/>
      <c r="V100" s="176"/>
      <c r="W100" s="110"/>
      <c r="X100" s="176"/>
      <c r="Y100" s="110"/>
      <c r="Z100" s="176"/>
      <c r="AA100" s="110"/>
      <c r="AB100" s="176"/>
      <c r="AC100" s="110"/>
      <c r="AD100" s="176"/>
      <c r="AE100" s="110"/>
      <c r="AF100" s="176"/>
      <c r="AG100" s="110"/>
      <c r="AH100" s="176"/>
      <c r="AI100" s="110"/>
      <c r="AJ100" s="176"/>
      <c r="AK100" s="110"/>
      <c r="AL100" s="176"/>
      <c r="AM100" s="110"/>
      <c r="AN100" s="176"/>
      <c r="AO100" s="110"/>
      <c r="AP100" s="176"/>
      <c r="AQ100" s="110"/>
      <c r="AR100" s="176"/>
      <c r="AS100" s="110"/>
      <c r="AT100" s="176"/>
      <c r="AU100" s="191">
        <f t="shared" si="2"/>
        <v>0</v>
      </c>
      <c r="AW100" s="169">
        <f t="shared" si="3"/>
        <v>0</v>
      </c>
    </row>
    <row r="101" spans="1:51" x14ac:dyDescent="0.25">
      <c r="A101" s="110"/>
      <c r="B101" s="111"/>
      <c r="C101" s="110"/>
      <c r="D101" s="132"/>
      <c r="E101" s="110"/>
      <c r="G101" s="110"/>
      <c r="I101" s="110"/>
      <c r="K101" s="110"/>
      <c r="L101" s="176"/>
      <c r="M101" s="110"/>
      <c r="N101" s="131"/>
      <c r="O101" s="110"/>
      <c r="P101" s="131"/>
      <c r="Q101" s="110"/>
      <c r="R101" s="176"/>
      <c r="S101" s="110"/>
      <c r="T101" s="176"/>
      <c r="U101" s="110"/>
      <c r="V101" s="176"/>
      <c r="W101" s="110"/>
      <c r="X101" s="176"/>
      <c r="Y101" s="110"/>
      <c r="Z101" s="176"/>
      <c r="AA101" s="110"/>
      <c r="AB101" s="176"/>
      <c r="AC101" s="110"/>
      <c r="AD101" s="176"/>
      <c r="AE101" s="110"/>
      <c r="AF101" s="176"/>
      <c r="AG101" s="110"/>
      <c r="AH101" s="176"/>
      <c r="AI101" s="110"/>
      <c r="AJ101" s="176"/>
      <c r="AK101" s="110"/>
      <c r="AL101" s="176"/>
      <c r="AM101" s="110"/>
      <c r="AN101" s="176"/>
      <c r="AO101" s="110"/>
      <c r="AP101" s="176"/>
      <c r="AQ101" s="110"/>
      <c r="AR101" s="176"/>
      <c r="AS101" s="110"/>
      <c r="AT101" s="176"/>
      <c r="AU101" s="191">
        <f t="shared" si="2"/>
        <v>0</v>
      </c>
      <c r="AW101" s="169">
        <f t="shared" si="3"/>
        <v>0</v>
      </c>
    </row>
    <row r="102" spans="1:51" x14ac:dyDescent="0.25">
      <c r="A102" s="110"/>
      <c r="B102" s="111"/>
      <c r="C102" s="109">
        <v>29202</v>
      </c>
      <c r="D102" s="132">
        <v>28855.258559999995</v>
      </c>
      <c r="E102" s="109">
        <v>29202</v>
      </c>
      <c r="F102" s="139">
        <v>5141.67</v>
      </c>
      <c r="G102" s="109">
        <v>29202</v>
      </c>
      <c r="H102" s="106">
        <v>3700.14</v>
      </c>
      <c r="I102" s="109">
        <v>29202</v>
      </c>
      <c r="K102" s="109">
        <v>29202</v>
      </c>
      <c r="L102" s="140"/>
      <c r="M102" s="109">
        <v>29202</v>
      </c>
      <c r="N102" s="174"/>
      <c r="O102" s="109">
        <v>29202</v>
      </c>
      <c r="P102" s="174"/>
      <c r="Q102" s="109">
        <v>29202</v>
      </c>
      <c r="R102" s="140"/>
      <c r="S102" s="109">
        <v>29202</v>
      </c>
      <c r="T102" s="140"/>
      <c r="U102" s="109">
        <v>29202</v>
      </c>
      <c r="V102" s="140"/>
      <c r="W102" s="109">
        <v>29202</v>
      </c>
      <c r="X102" s="140"/>
      <c r="Y102" s="109">
        <v>29202</v>
      </c>
      <c r="Z102" s="140"/>
      <c r="AA102" s="109">
        <v>29202</v>
      </c>
      <c r="AB102" s="140"/>
      <c r="AC102" s="109">
        <v>29202</v>
      </c>
      <c r="AD102" s="140"/>
      <c r="AE102" s="109">
        <v>29202</v>
      </c>
      <c r="AF102" s="140"/>
      <c r="AG102" s="109">
        <v>29202</v>
      </c>
      <c r="AH102" s="140"/>
      <c r="AI102" s="109">
        <v>29202</v>
      </c>
      <c r="AJ102" s="140"/>
      <c r="AK102" s="109">
        <v>29202</v>
      </c>
      <c r="AL102" s="140"/>
      <c r="AM102" s="109">
        <v>29202</v>
      </c>
      <c r="AN102" s="140"/>
      <c r="AO102" s="109">
        <v>29202</v>
      </c>
      <c r="AP102" s="140"/>
      <c r="AQ102" s="109">
        <v>29202</v>
      </c>
      <c r="AR102" s="140"/>
      <c r="AS102" s="109">
        <v>29202</v>
      </c>
      <c r="AT102" s="140">
        <v>546.01</v>
      </c>
      <c r="AU102" s="191">
        <f t="shared" si="2"/>
        <v>38243.078559999994</v>
      </c>
      <c r="AV102" s="106">
        <v>38243.075391999992</v>
      </c>
      <c r="AW102" s="169">
        <f t="shared" si="3"/>
        <v>3.1680000029155053E-3</v>
      </c>
    </row>
    <row r="103" spans="1:51" x14ac:dyDescent="0.25">
      <c r="A103" s="110"/>
      <c r="B103" s="111"/>
      <c r="C103" s="110"/>
      <c r="D103" s="132"/>
      <c r="E103" s="110"/>
      <c r="G103" s="110"/>
      <c r="I103" s="110"/>
      <c r="K103" s="110"/>
      <c r="L103" s="176"/>
      <c r="M103" s="110"/>
      <c r="N103" s="131"/>
      <c r="O103" s="110"/>
      <c r="P103" s="131"/>
      <c r="Q103" s="110"/>
      <c r="R103" s="176"/>
      <c r="S103" s="110"/>
      <c r="T103" s="176"/>
      <c r="U103" s="110"/>
      <c r="V103" s="176"/>
      <c r="W103" s="110"/>
      <c r="X103" s="176"/>
      <c r="Y103" s="110"/>
      <c r="Z103" s="176"/>
      <c r="AA103" s="110"/>
      <c r="AB103" s="176"/>
      <c r="AC103" s="110"/>
      <c r="AD103" s="176"/>
      <c r="AE103" s="110"/>
      <c r="AF103" s="176"/>
      <c r="AG103" s="110"/>
      <c r="AH103" s="176"/>
      <c r="AI103" s="110"/>
      <c r="AJ103" s="176"/>
      <c r="AK103" s="110"/>
      <c r="AL103" s="176"/>
      <c r="AM103" s="110"/>
      <c r="AN103" s="176"/>
      <c r="AO103" s="110"/>
      <c r="AP103" s="176"/>
      <c r="AQ103" s="110"/>
      <c r="AR103" s="176"/>
      <c r="AS103" s="110"/>
      <c r="AT103" s="176"/>
      <c r="AU103" s="191">
        <f t="shared" si="2"/>
        <v>0</v>
      </c>
      <c r="AW103" s="169">
        <f t="shared" si="3"/>
        <v>0</v>
      </c>
    </row>
    <row r="104" spans="1:51" x14ac:dyDescent="0.25">
      <c r="A104" s="110"/>
      <c r="B104" s="111"/>
      <c r="C104" s="109">
        <v>29301</v>
      </c>
      <c r="D104" s="132">
        <v>9496.2239999999983</v>
      </c>
      <c r="E104" s="109">
        <v>29301</v>
      </c>
      <c r="G104" s="109">
        <v>29301</v>
      </c>
      <c r="H104" s="106">
        <v>6842.79</v>
      </c>
      <c r="I104" s="109">
        <v>29301</v>
      </c>
      <c r="K104" s="109">
        <v>29301</v>
      </c>
      <c r="L104" s="140"/>
      <c r="M104" s="109">
        <v>29301</v>
      </c>
      <c r="N104" s="174"/>
      <c r="O104" s="109">
        <v>29301</v>
      </c>
      <c r="P104" s="174"/>
      <c r="Q104" s="109">
        <v>29301</v>
      </c>
      <c r="R104" s="140">
        <v>289.14999999999998</v>
      </c>
      <c r="S104" s="109">
        <v>29301</v>
      </c>
      <c r="T104" s="140"/>
      <c r="U104" s="109">
        <v>29301</v>
      </c>
      <c r="V104" s="140"/>
      <c r="W104" s="109">
        <v>29301</v>
      </c>
      <c r="X104" s="140"/>
      <c r="Y104" s="109">
        <v>29301</v>
      </c>
      <c r="Z104" s="140"/>
      <c r="AA104" s="109">
        <v>29301</v>
      </c>
      <c r="AB104" s="140"/>
      <c r="AC104" s="109">
        <v>29301</v>
      </c>
      <c r="AD104" s="140"/>
      <c r="AE104" s="109">
        <v>29301</v>
      </c>
      <c r="AF104" s="140"/>
      <c r="AG104" s="109">
        <v>29301</v>
      </c>
      <c r="AH104" s="140"/>
      <c r="AI104" s="109">
        <v>29301</v>
      </c>
      <c r="AJ104" s="140"/>
      <c r="AK104" s="109">
        <v>29301</v>
      </c>
      <c r="AL104" s="140"/>
      <c r="AM104" s="109">
        <v>29301</v>
      </c>
      <c r="AN104" s="140"/>
      <c r="AO104" s="109">
        <v>29301</v>
      </c>
      <c r="AP104" s="140"/>
      <c r="AQ104" s="109">
        <v>29301</v>
      </c>
      <c r="AR104" s="140">
        <v>2435.44</v>
      </c>
      <c r="AS104" s="109">
        <v>29301</v>
      </c>
      <c r="AT104" s="140">
        <v>5186.1023519999999</v>
      </c>
      <c r="AU104" s="191">
        <f t="shared" si="2"/>
        <v>24249.706352000001</v>
      </c>
      <c r="AV104" s="106">
        <v>24249.709952000001</v>
      </c>
      <c r="AW104" s="169">
        <f t="shared" si="3"/>
        <v>-3.6000000000058208E-3</v>
      </c>
    </row>
    <row r="105" spans="1:51" x14ac:dyDescent="0.25">
      <c r="A105" s="110"/>
      <c r="B105" s="111"/>
      <c r="C105" s="110"/>
      <c r="D105" s="132"/>
      <c r="E105" s="110"/>
      <c r="G105" s="110"/>
      <c r="I105" s="110"/>
      <c r="K105" s="110"/>
      <c r="L105" s="176"/>
      <c r="M105" s="110"/>
      <c r="N105" s="131"/>
      <c r="O105" s="110"/>
      <c r="P105" s="131"/>
      <c r="Q105" s="110"/>
      <c r="R105" s="176"/>
      <c r="S105" s="110"/>
      <c r="T105" s="176"/>
      <c r="U105" s="110"/>
      <c r="V105" s="176"/>
      <c r="W105" s="110"/>
      <c r="X105" s="176"/>
      <c r="Y105" s="110"/>
      <c r="Z105" s="176"/>
      <c r="AA105" s="110"/>
      <c r="AB105" s="176"/>
      <c r="AC105" s="110"/>
      <c r="AD105" s="176"/>
      <c r="AE105" s="110"/>
      <c r="AF105" s="176"/>
      <c r="AG105" s="110"/>
      <c r="AH105" s="176"/>
      <c r="AI105" s="110"/>
      <c r="AJ105" s="176"/>
      <c r="AK105" s="110"/>
      <c r="AL105" s="176"/>
      <c r="AM105" s="110"/>
      <c r="AN105" s="176"/>
      <c r="AO105" s="110"/>
      <c r="AP105" s="176"/>
      <c r="AQ105" s="110"/>
      <c r="AR105" s="176"/>
      <c r="AS105" s="110"/>
      <c r="AT105" s="176"/>
      <c r="AU105" s="191">
        <f t="shared" si="2"/>
        <v>0</v>
      </c>
      <c r="AW105" s="169">
        <f t="shared" si="3"/>
        <v>0</v>
      </c>
    </row>
    <row r="106" spans="1:51" x14ac:dyDescent="0.25">
      <c r="A106" s="110"/>
      <c r="B106" s="111"/>
      <c r="C106" s="110"/>
      <c r="D106" s="132"/>
      <c r="E106" s="110"/>
      <c r="G106" s="110"/>
      <c r="I106" s="110"/>
      <c r="K106" s="110"/>
      <c r="L106" s="176"/>
      <c r="M106" s="110"/>
      <c r="N106" s="131"/>
      <c r="O106" s="110"/>
      <c r="P106" s="131"/>
      <c r="Q106" s="110"/>
      <c r="R106" s="176"/>
      <c r="S106" s="110"/>
      <c r="T106" s="176"/>
      <c r="U106" s="110"/>
      <c r="V106" s="176"/>
      <c r="W106" s="110"/>
      <c r="X106" s="176"/>
      <c r="Y106" s="110"/>
      <c r="Z106" s="176"/>
      <c r="AA106" s="110"/>
      <c r="AB106" s="176"/>
      <c r="AC106" s="110"/>
      <c r="AD106" s="176"/>
      <c r="AE106" s="110"/>
      <c r="AF106" s="176"/>
      <c r="AG106" s="110"/>
      <c r="AH106" s="176"/>
      <c r="AI106" s="110"/>
      <c r="AJ106" s="176"/>
      <c r="AK106" s="110"/>
      <c r="AL106" s="176"/>
      <c r="AM106" s="110"/>
      <c r="AN106" s="176"/>
      <c r="AO106" s="110"/>
      <c r="AP106" s="176"/>
      <c r="AQ106" s="110"/>
      <c r="AR106" s="176"/>
      <c r="AS106" s="110"/>
      <c r="AT106" s="176"/>
      <c r="AU106" s="191">
        <f t="shared" si="2"/>
        <v>0</v>
      </c>
      <c r="AW106" s="169">
        <f t="shared" si="3"/>
        <v>0</v>
      </c>
    </row>
    <row r="107" spans="1:51" x14ac:dyDescent="0.25">
      <c r="A107" s="110"/>
      <c r="B107" s="111"/>
      <c r="C107" s="110"/>
      <c r="D107" s="132"/>
      <c r="E107" s="110"/>
      <c r="G107" s="110"/>
      <c r="I107" s="110"/>
      <c r="K107" s="110"/>
      <c r="L107" s="176"/>
      <c r="M107" s="110"/>
      <c r="N107" s="131"/>
      <c r="O107" s="110"/>
      <c r="P107" s="131"/>
      <c r="Q107" s="110"/>
      <c r="R107" s="176"/>
      <c r="S107" s="110"/>
      <c r="T107" s="176"/>
      <c r="U107" s="110"/>
      <c r="V107" s="176"/>
      <c r="W107" s="110"/>
      <c r="X107" s="176"/>
      <c r="Y107" s="110"/>
      <c r="Z107" s="176"/>
      <c r="AA107" s="110"/>
      <c r="AB107" s="176"/>
      <c r="AC107" s="110"/>
      <c r="AD107" s="176"/>
      <c r="AE107" s="110"/>
      <c r="AF107" s="176"/>
      <c r="AG107" s="110"/>
      <c r="AH107" s="176"/>
      <c r="AI107" s="110"/>
      <c r="AJ107" s="176"/>
      <c r="AK107" s="110"/>
      <c r="AL107" s="176"/>
      <c r="AM107" s="110"/>
      <c r="AN107" s="176"/>
      <c r="AO107" s="110"/>
      <c r="AP107" s="176"/>
      <c r="AQ107" s="110"/>
      <c r="AR107" s="176"/>
      <c r="AS107" s="110"/>
      <c r="AT107" s="176"/>
      <c r="AU107" s="191">
        <f t="shared" si="2"/>
        <v>0</v>
      </c>
      <c r="AW107" s="169">
        <f t="shared" si="3"/>
        <v>0</v>
      </c>
    </row>
    <row r="108" spans="1:51" x14ac:dyDescent="0.25">
      <c r="A108" s="109">
        <v>29403</v>
      </c>
      <c r="B108" s="111">
        <v>12178.48</v>
      </c>
      <c r="C108" s="109">
        <v>29403</v>
      </c>
      <c r="D108" s="132">
        <v>42452.041043200006</v>
      </c>
      <c r="E108" s="109">
        <v>29403</v>
      </c>
      <c r="F108" s="139">
        <v>13672.4</v>
      </c>
      <c r="G108" s="109">
        <v>29403</v>
      </c>
      <c r="H108" s="106">
        <v>1464.75</v>
      </c>
      <c r="I108" s="109">
        <v>29403</v>
      </c>
      <c r="J108" s="106">
        <v>290</v>
      </c>
      <c r="K108" s="109">
        <v>29403</v>
      </c>
      <c r="L108" s="140">
        <v>540</v>
      </c>
      <c r="M108" s="109">
        <v>29403</v>
      </c>
      <c r="N108" s="174">
        <v>1740</v>
      </c>
      <c r="O108" s="109">
        <v>29403</v>
      </c>
      <c r="P108" s="174"/>
      <c r="Q108" s="109">
        <v>29403</v>
      </c>
      <c r="R108" s="140">
        <v>522.05999999999995</v>
      </c>
      <c r="S108" s="109">
        <v>29403</v>
      </c>
      <c r="T108" s="140"/>
      <c r="U108" s="109">
        <v>29403</v>
      </c>
      <c r="V108" s="140">
        <f>1246.8+2100.59</f>
        <v>3347.3900000000003</v>
      </c>
      <c r="W108" s="109">
        <v>29403</v>
      </c>
      <c r="X108" s="140">
        <v>468</v>
      </c>
      <c r="Y108" s="109">
        <v>29403</v>
      </c>
      <c r="Z108" s="140"/>
      <c r="AA108" s="109">
        <v>29403</v>
      </c>
      <c r="AB108" s="140">
        <v>6302.63</v>
      </c>
      <c r="AC108" s="109">
        <v>29403</v>
      </c>
      <c r="AD108" s="140">
        <v>3770</v>
      </c>
      <c r="AE108" s="109">
        <v>29403</v>
      </c>
      <c r="AF108" s="140">
        <v>9595.8792000000012</v>
      </c>
      <c r="AG108" s="109">
        <v>29403</v>
      </c>
      <c r="AH108" s="140">
        <v>1053.9499999999998</v>
      </c>
      <c r="AI108" s="109">
        <v>29403</v>
      </c>
      <c r="AJ108" s="140">
        <v>726.62</v>
      </c>
      <c r="AK108" s="109">
        <v>29403</v>
      </c>
      <c r="AL108" s="140">
        <v>9431.7999999999993</v>
      </c>
      <c r="AM108" s="109">
        <v>29403</v>
      </c>
      <c r="AN108" s="140"/>
      <c r="AO108" s="109">
        <v>29403</v>
      </c>
      <c r="AP108" s="140"/>
      <c r="AQ108" s="109">
        <v>29403</v>
      </c>
      <c r="AR108" s="140">
        <v>1990.5599999999997</v>
      </c>
      <c r="AS108" s="109">
        <v>29403</v>
      </c>
      <c r="AT108" s="140">
        <v>3000</v>
      </c>
      <c r="AU108" s="191">
        <f t="shared" si="2"/>
        <v>112546.56024319999</v>
      </c>
      <c r="AV108" s="160">
        <v>112546.56246720003</v>
      </c>
      <c r="AW108" s="168">
        <f t="shared" si="3"/>
        <v>-2.2240000398596749E-3</v>
      </c>
    </row>
    <row r="109" spans="1:51" x14ac:dyDescent="0.25">
      <c r="A109" s="110"/>
      <c r="B109" s="111"/>
      <c r="C109" s="110"/>
      <c r="D109" s="132"/>
      <c r="E109" s="110"/>
      <c r="G109" s="110"/>
      <c r="I109" s="110"/>
      <c r="K109" s="110"/>
      <c r="L109" s="176"/>
      <c r="M109" s="110"/>
      <c r="N109" s="131"/>
      <c r="O109" s="110"/>
      <c r="P109" s="131"/>
      <c r="Q109" s="110"/>
      <c r="R109" s="176"/>
      <c r="S109" s="110"/>
      <c r="T109" s="176"/>
      <c r="U109" s="110"/>
      <c r="V109" s="176"/>
      <c r="W109" s="110"/>
      <c r="X109" s="176"/>
      <c r="Y109" s="110"/>
      <c r="Z109" s="176"/>
      <c r="AA109" s="110"/>
      <c r="AB109" s="176"/>
      <c r="AC109" s="110"/>
      <c r="AD109" s="176"/>
      <c r="AE109" s="110"/>
      <c r="AF109" s="176"/>
      <c r="AG109" s="110"/>
      <c r="AH109" s="176"/>
      <c r="AI109" s="110"/>
      <c r="AJ109" s="176"/>
      <c r="AK109" s="110"/>
      <c r="AL109" s="176"/>
      <c r="AM109" s="110"/>
      <c r="AN109" s="176"/>
      <c r="AO109" s="110"/>
      <c r="AP109" s="176"/>
      <c r="AQ109" s="110"/>
      <c r="AR109" s="176"/>
      <c r="AS109" s="110"/>
      <c r="AT109" s="176"/>
      <c r="AU109" s="191">
        <f t="shared" si="2"/>
        <v>0</v>
      </c>
      <c r="AW109" s="169">
        <f t="shared" si="3"/>
        <v>0</v>
      </c>
    </row>
    <row r="110" spans="1:51" x14ac:dyDescent="0.25">
      <c r="A110" s="110"/>
      <c r="B110" s="111"/>
      <c r="C110" s="110"/>
      <c r="D110" s="132"/>
      <c r="E110" s="110"/>
      <c r="G110" s="110"/>
      <c r="I110" s="110"/>
      <c r="K110" s="110"/>
      <c r="L110" s="176"/>
      <c r="M110" s="110"/>
      <c r="N110" s="131"/>
      <c r="O110" s="110"/>
      <c r="P110" s="131"/>
      <c r="Q110" s="110"/>
      <c r="R110" s="176"/>
      <c r="S110" s="110"/>
      <c r="T110" s="176"/>
      <c r="U110" s="110"/>
      <c r="V110" s="176"/>
      <c r="W110" s="110"/>
      <c r="X110" s="176"/>
      <c r="Y110" s="110"/>
      <c r="Z110" s="176"/>
      <c r="AA110" s="110"/>
      <c r="AB110" s="176"/>
      <c r="AC110" s="110"/>
      <c r="AD110" s="176"/>
      <c r="AE110" s="110"/>
      <c r="AF110" s="176"/>
      <c r="AG110" s="110"/>
      <c r="AH110" s="176"/>
      <c r="AI110" s="110"/>
      <c r="AJ110" s="176"/>
      <c r="AK110" s="110"/>
      <c r="AL110" s="176"/>
      <c r="AM110" s="110"/>
      <c r="AN110" s="176"/>
      <c r="AO110" s="110"/>
      <c r="AP110" s="176"/>
      <c r="AQ110" s="109">
        <v>29605</v>
      </c>
      <c r="AR110" s="176">
        <v>1856</v>
      </c>
      <c r="AS110" s="109">
        <v>29605</v>
      </c>
      <c r="AT110" s="176">
        <v>2160</v>
      </c>
      <c r="AU110" s="191">
        <f t="shared" si="2"/>
        <v>4016</v>
      </c>
      <c r="AV110" s="106">
        <v>4016</v>
      </c>
      <c r="AW110" s="169">
        <f t="shared" si="3"/>
        <v>0</v>
      </c>
    </row>
    <row r="111" spans="1:51" x14ac:dyDescent="0.25">
      <c r="A111" s="110"/>
      <c r="B111" s="111"/>
      <c r="C111" s="110"/>
      <c r="D111" s="132"/>
      <c r="E111" s="110"/>
      <c r="G111" s="110"/>
      <c r="I111" s="110"/>
      <c r="K111" s="110"/>
      <c r="L111" s="176"/>
      <c r="M111" s="110"/>
      <c r="N111" s="131"/>
      <c r="O111" s="110"/>
      <c r="P111" s="131"/>
      <c r="Q111" s="110"/>
      <c r="R111" s="176"/>
      <c r="S111" s="109">
        <v>29608</v>
      </c>
      <c r="T111" s="176">
        <v>4289</v>
      </c>
      <c r="U111" s="109">
        <v>29608</v>
      </c>
      <c r="V111" s="176"/>
      <c r="W111" s="109">
        <v>29608</v>
      </c>
      <c r="X111" s="176"/>
      <c r="Y111" s="109">
        <v>29608</v>
      </c>
      <c r="Z111" s="176"/>
      <c r="AA111" s="109">
        <v>29608</v>
      </c>
      <c r="AB111" s="176"/>
      <c r="AC111" s="109">
        <v>29608</v>
      </c>
      <c r="AD111" s="176"/>
      <c r="AE111" s="109">
        <v>29608</v>
      </c>
      <c r="AF111" s="176"/>
      <c r="AG111" s="109">
        <v>29608</v>
      </c>
      <c r="AH111" s="176"/>
      <c r="AI111" s="109">
        <v>29608</v>
      </c>
      <c r="AJ111" s="176"/>
      <c r="AK111" s="109">
        <v>29608</v>
      </c>
      <c r="AL111" s="176"/>
      <c r="AM111" s="109">
        <v>29608</v>
      </c>
      <c r="AN111" s="176"/>
      <c r="AO111" s="109">
        <v>29608</v>
      </c>
      <c r="AP111" s="176"/>
      <c r="AQ111" s="109">
        <v>29608</v>
      </c>
      <c r="AR111" s="176"/>
      <c r="AS111" s="109">
        <v>29608</v>
      </c>
      <c r="AT111" s="176"/>
      <c r="AU111" s="191">
        <f t="shared" si="2"/>
        <v>4289</v>
      </c>
      <c r="AW111" s="169">
        <f t="shared" si="3"/>
        <v>4289</v>
      </c>
    </row>
    <row r="112" spans="1:51" x14ac:dyDescent="0.25">
      <c r="A112" s="110"/>
      <c r="B112" s="111"/>
      <c r="C112" s="109">
        <v>29609</v>
      </c>
      <c r="D112" s="132">
        <v>6270.2639999999992</v>
      </c>
      <c r="E112" s="109">
        <v>29609</v>
      </c>
      <c r="G112" s="109">
        <v>29609</v>
      </c>
      <c r="H112" s="106">
        <v>68.900000000000006</v>
      </c>
      <c r="I112" s="109">
        <v>29609</v>
      </c>
      <c r="K112" s="109">
        <v>29609</v>
      </c>
      <c r="L112" s="140"/>
      <c r="M112" s="109">
        <v>29609</v>
      </c>
      <c r="N112" s="174"/>
      <c r="O112" s="109">
        <v>29609</v>
      </c>
      <c r="P112" s="174"/>
      <c r="Q112" s="109">
        <v>29609</v>
      </c>
      <c r="R112" s="140"/>
      <c r="S112" s="109">
        <v>29609</v>
      </c>
      <c r="T112" s="140"/>
      <c r="U112" s="109">
        <v>29609</v>
      </c>
      <c r="V112" s="140"/>
      <c r="W112" s="109">
        <v>29609</v>
      </c>
      <c r="X112" s="140"/>
      <c r="Y112" s="109">
        <v>29609</v>
      </c>
      <c r="Z112" s="140"/>
      <c r="AA112" s="109">
        <v>29609</v>
      </c>
      <c r="AB112" s="140"/>
      <c r="AC112" s="109">
        <v>29609</v>
      </c>
      <c r="AD112" s="140"/>
      <c r="AE112" s="109">
        <v>29609</v>
      </c>
      <c r="AF112" s="140"/>
      <c r="AG112" s="109">
        <v>29609</v>
      </c>
      <c r="AH112" s="140"/>
      <c r="AI112" s="109">
        <v>29609</v>
      </c>
      <c r="AJ112" s="140"/>
      <c r="AK112" s="109">
        <v>29609</v>
      </c>
      <c r="AL112" s="140"/>
      <c r="AM112" s="109">
        <v>29609</v>
      </c>
      <c r="AN112" s="140"/>
      <c r="AO112" s="109">
        <v>29609</v>
      </c>
      <c r="AP112" s="140"/>
      <c r="AQ112" s="109">
        <v>29609</v>
      </c>
      <c r="AR112" s="140"/>
      <c r="AS112" s="109">
        <v>29609</v>
      </c>
      <c r="AT112" s="140"/>
      <c r="AU112" s="191">
        <f t="shared" si="2"/>
        <v>6339.1639999999989</v>
      </c>
      <c r="AW112" s="169">
        <f t="shared" si="3"/>
        <v>6339.1639999999989</v>
      </c>
    </row>
    <row r="113" spans="1:49" x14ac:dyDescent="0.25">
      <c r="A113" s="110"/>
      <c r="B113" s="111"/>
      <c r="C113" s="110"/>
      <c r="D113" s="132"/>
      <c r="E113" s="110"/>
      <c r="G113" s="110"/>
      <c r="I113" s="110"/>
      <c r="K113" s="110"/>
      <c r="L113" s="176"/>
      <c r="M113" s="110"/>
      <c r="N113" s="131"/>
      <c r="O113" s="110"/>
      <c r="P113" s="131"/>
      <c r="Q113" s="110"/>
      <c r="R113" s="176"/>
      <c r="S113" s="110"/>
      <c r="T113" s="176"/>
      <c r="U113" s="110"/>
      <c r="V113" s="176"/>
      <c r="W113" s="110"/>
      <c r="X113" s="176"/>
      <c r="Y113" s="110"/>
      <c r="Z113" s="176"/>
      <c r="AA113" s="110"/>
      <c r="AB113" s="176"/>
      <c r="AC113" s="110"/>
      <c r="AD113" s="176"/>
      <c r="AE113" s="110"/>
      <c r="AF113" s="176"/>
      <c r="AG113" s="110"/>
      <c r="AH113" s="176"/>
      <c r="AI113" s="110"/>
      <c r="AJ113" s="176"/>
      <c r="AK113" s="110"/>
      <c r="AL113" s="176"/>
      <c r="AM113" s="110"/>
      <c r="AN113" s="176"/>
      <c r="AO113" s="110"/>
      <c r="AP113" s="176"/>
      <c r="AQ113" s="110"/>
      <c r="AR113" s="176"/>
      <c r="AS113" s="110"/>
      <c r="AT113" s="176"/>
      <c r="AU113" s="191">
        <f t="shared" si="2"/>
        <v>0</v>
      </c>
      <c r="AW113" s="169">
        <f t="shared" si="3"/>
        <v>0</v>
      </c>
    </row>
    <row r="114" spans="1:49" x14ac:dyDescent="0.25">
      <c r="A114" s="110"/>
      <c r="B114" s="111"/>
      <c r="C114" s="110"/>
      <c r="D114" s="132"/>
      <c r="E114" s="110"/>
      <c r="G114" s="110"/>
      <c r="I114" s="110"/>
      <c r="K114" s="110"/>
      <c r="L114" s="176"/>
      <c r="M114" s="110"/>
      <c r="N114" s="131"/>
      <c r="O114" s="110"/>
      <c r="P114" s="131"/>
      <c r="Q114" s="110"/>
      <c r="R114" s="176"/>
      <c r="S114" s="110"/>
      <c r="T114" s="176"/>
      <c r="U114" s="110"/>
      <c r="V114" s="176"/>
      <c r="W114" s="110"/>
      <c r="X114" s="176"/>
      <c r="Y114" s="110"/>
      <c r="Z114" s="176"/>
      <c r="AA114" s="110"/>
      <c r="AB114" s="176"/>
      <c r="AC114" s="110"/>
      <c r="AD114" s="176"/>
      <c r="AE114" s="110"/>
      <c r="AF114" s="176"/>
      <c r="AG114" s="110"/>
      <c r="AH114" s="176"/>
      <c r="AI114" s="110"/>
      <c r="AJ114" s="176"/>
      <c r="AK114" s="110"/>
      <c r="AL114" s="176"/>
      <c r="AM114" s="110"/>
      <c r="AN114" s="176"/>
      <c r="AO114" s="110"/>
      <c r="AP114" s="176"/>
      <c r="AQ114" s="110"/>
      <c r="AR114" s="176"/>
      <c r="AS114" s="109">
        <v>29801</v>
      </c>
      <c r="AT114" s="176">
        <v>132.29</v>
      </c>
      <c r="AU114" s="191">
        <f t="shared" si="2"/>
        <v>132.29</v>
      </c>
      <c r="AV114" s="106">
        <v>132.29179199999999</v>
      </c>
      <c r="AW114" s="169">
        <f t="shared" si="3"/>
        <v>-1.7919999999946867E-3</v>
      </c>
    </row>
    <row r="115" spans="1:49" x14ac:dyDescent="0.25">
      <c r="A115" s="110"/>
      <c r="B115" s="111"/>
      <c r="C115" s="110"/>
      <c r="D115" s="132"/>
      <c r="E115" s="110"/>
      <c r="G115" s="110"/>
      <c r="I115" s="110"/>
      <c r="K115" s="110"/>
      <c r="L115" s="176"/>
      <c r="M115" s="110"/>
      <c r="N115" s="131"/>
      <c r="O115" s="110"/>
      <c r="P115" s="131"/>
      <c r="Q115" s="110"/>
      <c r="R115" s="176"/>
      <c r="S115" s="110"/>
      <c r="T115" s="176"/>
      <c r="U115" s="110"/>
      <c r="V115" s="176"/>
      <c r="W115" s="110"/>
      <c r="X115" s="176"/>
      <c r="Y115" s="110"/>
      <c r="Z115" s="176"/>
      <c r="AA115" s="110"/>
      <c r="AB115" s="176"/>
      <c r="AC115" s="110"/>
      <c r="AD115" s="176"/>
      <c r="AE115" s="110"/>
      <c r="AF115" s="176"/>
      <c r="AG115" s="110"/>
      <c r="AH115" s="176"/>
      <c r="AI115" s="110"/>
      <c r="AJ115" s="176"/>
      <c r="AK115" s="110"/>
      <c r="AL115" s="176"/>
      <c r="AM115" s="110"/>
      <c r="AN115" s="176"/>
      <c r="AO115" s="110"/>
      <c r="AP115" s="176"/>
      <c r="AQ115" s="110"/>
      <c r="AR115" s="176"/>
      <c r="AS115" s="110"/>
      <c r="AT115" s="176"/>
      <c r="AU115" s="191"/>
      <c r="AW115" s="169"/>
    </row>
    <row r="116" spans="1:49" x14ac:dyDescent="0.25">
      <c r="A116" s="110"/>
      <c r="B116" s="111"/>
      <c r="C116" s="109">
        <v>29902</v>
      </c>
      <c r="D116" s="132">
        <v>4350</v>
      </c>
      <c r="E116" s="109">
        <v>29902</v>
      </c>
      <c r="G116" s="109">
        <v>29902</v>
      </c>
      <c r="I116" s="109">
        <v>29902</v>
      </c>
      <c r="K116" s="109">
        <v>29902</v>
      </c>
      <c r="L116" s="140"/>
      <c r="M116" s="109">
        <v>29902</v>
      </c>
      <c r="N116" s="174"/>
      <c r="O116" s="109">
        <v>29902</v>
      </c>
      <c r="P116" s="174"/>
      <c r="Q116" s="109">
        <v>29902</v>
      </c>
      <c r="R116" s="140">
        <v>2646</v>
      </c>
      <c r="S116" s="109">
        <v>29902</v>
      </c>
      <c r="T116" s="140"/>
      <c r="U116" s="109">
        <v>29902</v>
      </c>
      <c r="V116" s="140"/>
      <c r="W116" s="109">
        <v>29902</v>
      </c>
      <c r="X116" s="140"/>
      <c r="Y116" s="109">
        <v>29902</v>
      </c>
      <c r="Z116" s="140"/>
      <c r="AA116" s="109">
        <v>29902</v>
      </c>
      <c r="AB116" s="140"/>
      <c r="AC116" s="109">
        <v>29902</v>
      </c>
      <c r="AD116" s="140">
        <v>39000</v>
      </c>
      <c r="AE116" s="109">
        <v>29902</v>
      </c>
      <c r="AF116" s="140"/>
      <c r="AG116" s="109">
        <v>29902</v>
      </c>
      <c r="AH116" s="140"/>
      <c r="AI116" s="109">
        <v>29902</v>
      </c>
      <c r="AJ116" s="140"/>
      <c r="AK116" s="109">
        <v>29902</v>
      </c>
      <c r="AL116" s="140">
        <v>1500</v>
      </c>
      <c r="AM116" s="109">
        <v>29902</v>
      </c>
      <c r="AN116" s="140"/>
      <c r="AO116" s="109">
        <v>29902</v>
      </c>
      <c r="AP116" s="140"/>
      <c r="AQ116" s="109">
        <v>29902</v>
      </c>
      <c r="AR116" s="140"/>
      <c r="AS116" s="109">
        <v>29902</v>
      </c>
      <c r="AT116" s="140"/>
      <c r="AU116" s="191">
        <f t="shared" si="2"/>
        <v>47496</v>
      </c>
      <c r="AW116" s="169">
        <f t="shared" si="3"/>
        <v>47496</v>
      </c>
    </row>
    <row r="117" spans="1:49" x14ac:dyDescent="0.25">
      <c r="A117" s="110"/>
      <c r="B117" s="111"/>
      <c r="C117" s="110"/>
      <c r="D117" s="132"/>
      <c r="E117" s="110"/>
      <c r="G117" s="110"/>
      <c r="I117" s="110"/>
      <c r="K117" s="110"/>
      <c r="L117" s="176"/>
      <c r="M117" s="110"/>
      <c r="N117" s="131"/>
      <c r="O117" s="110"/>
      <c r="P117" s="131"/>
      <c r="Q117" s="110"/>
      <c r="R117" s="176"/>
      <c r="S117" s="110"/>
      <c r="T117" s="176"/>
      <c r="U117" s="110"/>
      <c r="V117" s="176"/>
      <c r="W117" s="110"/>
      <c r="X117" s="176"/>
      <c r="Y117" s="110"/>
      <c r="Z117" s="176"/>
      <c r="AA117" s="110"/>
      <c r="AB117" s="176"/>
      <c r="AC117" s="110"/>
      <c r="AD117" s="176"/>
      <c r="AE117" s="110"/>
      <c r="AF117" s="176"/>
      <c r="AG117" s="110"/>
      <c r="AH117" s="176"/>
      <c r="AI117" s="110"/>
      <c r="AJ117" s="176"/>
      <c r="AK117" s="110"/>
      <c r="AL117" s="176"/>
      <c r="AM117" s="110"/>
      <c r="AN117" s="176"/>
      <c r="AO117" s="110"/>
      <c r="AP117" s="176"/>
      <c r="AQ117" s="109">
        <v>29908</v>
      </c>
      <c r="AR117" s="176">
        <v>1695.9199999999998</v>
      </c>
      <c r="AS117" s="109">
        <v>29908</v>
      </c>
      <c r="AT117" s="176"/>
      <c r="AU117" s="191">
        <f t="shared" si="2"/>
        <v>1695.9199999999998</v>
      </c>
      <c r="AW117" s="169">
        <f t="shared" si="3"/>
        <v>1695.9199999999998</v>
      </c>
    </row>
    <row r="118" spans="1:49" x14ac:dyDescent="0.25">
      <c r="A118" s="110"/>
      <c r="B118" s="111"/>
      <c r="C118" s="110"/>
      <c r="D118" s="132"/>
      <c r="E118" s="110"/>
      <c r="G118" s="110"/>
      <c r="I118" s="110"/>
      <c r="K118" s="110"/>
      <c r="L118" s="176"/>
      <c r="M118" s="110"/>
      <c r="N118" s="131"/>
      <c r="O118" s="110"/>
      <c r="P118" s="131"/>
      <c r="Q118" s="110"/>
      <c r="R118" s="176"/>
      <c r="S118" s="110"/>
      <c r="T118" s="176"/>
      <c r="U118" s="110"/>
      <c r="V118" s="176"/>
      <c r="W118" s="110"/>
      <c r="X118" s="176"/>
      <c r="Y118" s="110"/>
      <c r="Z118" s="176"/>
      <c r="AA118" s="110"/>
      <c r="AB118" s="176"/>
      <c r="AC118" s="110"/>
      <c r="AD118" s="176"/>
      <c r="AE118" s="110"/>
      <c r="AF118" s="176"/>
      <c r="AG118" s="110"/>
      <c r="AH118" s="176"/>
      <c r="AI118" s="110"/>
      <c r="AJ118" s="176"/>
      <c r="AK118" s="110"/>
      <c r="AL118" s="176"/>
      <c r="AM118" s="110"/>
      <c r="AN118" s="176"/>
      <c r="AO118" s="110"/>
      <c r="AP118" s="176"/>
      <c r="AQ118" s="110"/>
      <c r="AR118" s="176"/>
      <c r="AS118" s="110"/>
      <c r="AT118" s="176"/>
      <c r="AU118" s="191">
        <f t="shared" si="2"/>
        <v>0</v>
      </c>
      <c r="AW118" s="169">
        <f t="shared" si="3"/>
        <v>0</v>
      </c>
    </row>
    <row r="119" spans="1:49" x14ac:dyDescent="0.25">
      <c r="A119" s="109">
        <v>31101</v>
      </c>
      <c r="B119" s="111">
        <v>90000</v>
      </c>
      <c r="C119" s="109">
        <v>31101</v>
      </c>
      <c r="D119" s="132">
        <v>1113600</v>
      </c>
      <c r="E119" s="109">
        <v>31101</v>
      </c>
      <c r="F119" s="139">
        <v>25520</v>
      </c>
      <c r="G119" s="109">
        <v>31101</v>
      </c>
      <c r="H119" s="106">
        <v>5568</v>
      </c>
      <c r="I119" s="109">
        <v>31101</v>
      </c>
      <c r="K119" s="109">
        <v>31101</v>
      </c>
      <c r="L119" s="140"/>
      <c r="M119" s="109">
        <v>31101</v>
      </c>
      <c r="N119" s="174"/>
      <c r="O119" s="109">
        <v>31101</v>
      </c>
      <c r="P119" s="174"/>
      <c r="Q119" s="109">
        <v>31101</v>
      </c>
      <c r="R119" s="140"/>
      <c r="S119" s="109">
        <v>31101</v>
      </c>
      <c r="T119" s="140"/>
      <c r="U119" s="109">
        <v>31101</v>
      </c>
      <c r="V119" s="140"/>
      <c r="W119" s="109">
        <v>31101</v>
      </c>
      <c r="X119" s="140"/>
      <c r="Y119" s="109">
        <v>31101</v>
      </c>
      <c r="Z119" s="140"/>
      <c r="AA119" s="109">
        <v>31101</v>
      </c>
      <c r="AB119" s="140"/>
      <c r="AC119" s="109">
        <v>31101</v>
      </c>
      <c r="AD119" s="140"/>
      <c r="AE119" s="109">
        <v>31101</v>
      </c>
      <c r="AF119" s="140"/>
      <c r="AG119" s="109">
        <v>31101</v>
      </c>
      <c r="AH119" s="140"/>
      <c r="AI119" s="109">
        <v>31101</v>
      </c>
      <c r="AJ119" s="140"/>
      <c r="AK119" s="109">
        <v>31101</v>
      </c>
      <c r="AL119" s="140"/>
      <c r="AM119" s="109">
        <v>31101</v>
      </c>
      <c r="AN119" s="140">
        <v>145860</v>
      </c>
      <c r="AO119" s="109">
        <v>31101</v>
      </c>
      <c r="AP119" s="140">
        <v>92100</v>
      </c>
      <c r="AQ119" s="109">
        <v>31101</v>
      </c>
      <c r="AR119" s="140">
        <v>139200</v>
      </c>
      <c r="AS119" s="109">
        <v>31101</v>
      </c>
      <c r="AT119" s="140">
        <v>688000</v>
      </c>
      <c r="AU119" s="191">
        <f t="shared" si="2"/>
        <v>2299848</v>
      </c>
      <c r="AV119" s="106">
        <v>2299848</v>
      </c>
      <c r="AW119" s="169">
        <f t="shared" si="3"/>
        <v>0</v>
      </c>
    </row>
    <row r="120" spans="1:49" x14ac:dyDescent="0.25">
      <c r="A120" s="110"/>
      <c r="B120" s="111"/>
      <c r="C120" s="110"/>
      <c r="D120" s="132"/>
      <c r="E120" s="110"/>
      <c r="G120" s="110"/>
      <c r="I120" s="110"/>
      <c r="K120" s="110"/>
      <c r="L120" s="176"/>
      <c r="M120" s="110"/>
      <c r="N120" s="131"/>
      <c r="O120" s="110"/>
      <c r="P120" s="131"/>
      <c r="Q120" s="110"/>
      <c r="R120" s="176"/>
      <c r="S120" s="110"/>
      <c r="T120" s="176"/>
      <c r="U120" s="110"/>
      <c r="V120" s="176"/>
      <c r="W120" s="110"/>
      <c r="X120" s="176"/>
      <c r="Y120" s="110"/>
      <c r="Z120" s="176"/>
      <c r="AA120" s="110"/>
      <c r="AB120" s="176"/>
      <c r="AC120" s="110"/>
      <c r="AD120" s="176"/>
      <c r="AE120" s="110"/>
      <c r="AF120" s="176"/>
      <c r="AG120" s="110"/>
      <c r="AH120" s="176"/>
      <c r="AI120" s="110"/>
      <c r="AJ120" s="176"/>
      <c r="AK120" s="110"/>
      <c r="AL120" s="176"/>
      <c r="AM120" s="110"/>
      <c r="AN120" s="176"/>
      <c r="AO120" s="110"/>
      <c r="AP120" s="176"/>
      <c r="AQ120" s="110"/>
      <c r="AR120" s="176"/>
      <c r="AS120" s="110"/>
      <c r="AT120" s="176"/>
      <c r="AU120" s="191">
        <f t="shared" si="2"/>
        <v>0</v>
      </c>
      <c r="AW120" s="169">
        <f t="shared" si="3"/>
        <v>0</v>
      </c>
    </row>
    <row r="121" spans="1:49" x14ac:dyDescent="0.25">
      <c r="A121" s="110"/>
      <c r="B121" s="111"/>
      <c r="C121" s="110"/>
      <c r="D121" s="132"/>
      <c r="E121" s="109">
        <v>31201</v>
      </c>
      <c r="F121" s="139">
        <v>22968</v>
      </c>
      <c r="G121" s="109">
        <v>31201</v>
      </c>
      <c r="H121" s="106">
        <v>111782.7</v>
      </c>
      <c r="I121" s="109">
        <v>31201</v>
      </c>
      <c r="K121" s="109">
        <v>31201</v>
      </c>
      <c r="L121" s="140"/>
      <c r="M121" s="109">
        <v>31201</v>
      </c>
      <c r="N121" s="174"/>
      <c r="O121" s="109">
        <v>31201</v>
      </c>
      <c r="P121" s="174"/>
      <c r="Q121" s="109">
        <v>31201</v>
      </c>
      <c r="R121" s="140"/>
      <c r="S121" s="109">
        <v>31201</v>
      </c>
      <c r="T121" s="140"/>
      <c r="U121" s="109">
        <v>31201</v>
      </c>
      <c r="V121" s="140"/>
      <c r="W121" s="109">
        <v>31201</v>
      </c>
      <c r="X121" s="140"/>
      <c r="Y121" s="109">
        <v>31201</v>
      </c>
      <c r="Z121" s="140"/>
      <c r="AA121" s="109">
        <v>31201</v>
      </c>
      <c r="AB121" s="140"/>
      <c r="AC121" s="109">
        <v>31201</v>
      </c>
      <c r="AD121" s="140"/>
      <c r="AE121" s="109">
        <v>31201</v>
      </c>
      <c r="AF121" s="140"/>
      <c r="AG121" s="109">
        <v>31201</v>
      </c>
      <c r="AH121" s="140"/>
      <c r="AI121" s="109">
        <v>31201</v>
      </c>
      <c r="AJ121" s="140"/>
      <c r="AK121" s="109">
        <v>31201</v>
      </c>
      <c r="AL121" s="140"/>
      <c r="AM121" s="109">
        <v>31201</v>
      </c>
      <c r="AN121" s="140">
        <v>2930</v>
      </c>
      <c r="AO121" s="109">
        <v>31201</v>
      </c>
      <c r="AP121" s="140"/>
      <c r="AQ121" s="109">
        <v>31201</v>
      </c>
      <c r="AR121" s="140">
        <v>41760</v>
      </c>
      <c r="AS121" s="109">
        <v>31201</v>
      </c>
      <c r="AT121" s="140">
        <v>1000</v>
      </c>
      <c r="AU121" s="191">
        <f t="shared" si="2"/>
        <v>180440.7</v>
      </c>
      <c r="AV121" s="106">
        <v>180440.69999999998</v>
      </c>
      <c r="AW121" s="169">
        <f t="shared" si="3"/>
        <v>0</v>
      </c>
    </row>
    <row r="122" spans="1:49" x14ac:dyDescent="0.25">
      <c r="A122" s="109">
        <v>31301</v>
      </c>
      <c r="B122" s="111">
        <v>14400</v>
      </c>
      <c r="C122" s="109">
        <v>31301</v>
      </c>
      <c r="D122" s="132">
        <v>27840</v>
      </c>
      <c r="E122" s="109">
        <v>31301</v>
      </c>
      <c r="F122" s="139">
        <v>8834.33</v>
      </c>
      <c r="G122" s="109">
        <v>31301</v>
      </c>
      <c r="H122" s="106">
        <v>14616</v>
      </c>
      <c r="I122" s="109">
        <v>31301</v>
      </c>
      <c r="K122" s="109">
        <v>31301</v>
      </c>
      <c r="L122" s="140"/>
      <c r="M122" s="109">
        <v>31301</v>
      </c>
      <c r="N122" s="174"/>
      <c r="O122" s="109">
        <v>31301</v>
      </c>
      <c r="P122" s="174"/>
      <c r="Q122" s="109">
        <v>31301</v>
      </c>
      <c r="R122" s="140"/>
      <c r="S122" s="109">
        <v>31301</v>
      </c>
      <c r="T122" s="140"/>
      <c r="U122" s="109">
        <v>31301</v>
      </c>
      <c r="V122" s="140"/>
      <c r="W122" s="109">
        <v>31301</v>
      </c>
      <c r="X122" s="140"/>
      <c r="Y122" s="109">
        <v>31301</v>
      </c>
      <c r="Z122" s="140"/>
      <c r="AA122" s="109">
        <v>31301</v>
      </c>
      <c r="AB122" s="140"/>
      <c r="AC122" s="109">
        <v>31301</v>
      </c>
      <c r="AD122" s="140"/>
      <c r="AE122" s="109">
        <v>31301</v>
      </c>
      <c r="AF122" s="140"/>
      <c r="AG122" s="109">
        <v>31301</v>
      </c>
      <c r="AH122" s="140"/>
      <c r="AI122" s="109">
        <v>31301</v>
      </c>
      <c r="AJ122" s="140"/>
      <c r="AK122" s="109">
        <v>31301</v>
      </c>
      <c r="AL122" s="140"/>
      <c r="AM122" s="109">
        <v>31301</v>
      </c>
      <c r="AN122" s="140">
        <v>4683.09</v>
      </c>
      <c r="AO122" s="109">
        <v>31301</v>
      </c>
      <c r="AP122" s="140">
        <v>34500</v>
      </c>
      <c r="AQ122" s="109">
        <v>31301</v>
      </c>
      <c r="AR122" s="140">
        <v>69600</v>
      </c>
      <c r="AS122" s="109">
        <v>31301</v>
      </c>
      <c r="AT122" s="140">
        <v>36944.639999999999</v>
      </c>
      <c r="AU122" s="191">
        <f t="shared" si="2"/>
        <v>211418.06</v>
      </c>
      <c r="AV122" s="106">
        <v>211418.08999999997</v>
      </c>
      <c r="AW122" s="169">
        <f t="shared" si="3"/>
        <v>-2.9999999969732016E-2</v>
      </c>
    </row>
    <row r="123" spans="1:49" x14ac:dyDescent="0.25">
      <c r="A123" s="110"/>
      <c r="B123" s="111"/>
      <c r="C123" s="110"/>
      <c r="D123" s="132"/>
      <c r="E123" s="110"/>
      <c r="G123" s="110"/>
      <c r="I123" s="110"/>
      <c r="K123" s="110"/>
      <c r="L123" s="176"/>
      <c r="M123" s="110"/>
      <c r="N123" s="131"/>
      <c r="O123" s="110"/>
      <c r="P123" s="131"/>
      <c r="Q123" s="110"/>
      <c r="R123" s="176"/>
      <c r="S123" s="110"/>
      <c r="T123" s="176"/>
      <c r="U123" s="110"/>
      <c r="V123" s="176"/>
      <c r="W123" s="110"/>
      <c r="X123" s="176"/>
      <c r="Y123" s="110"/>
      <c r="Z123" s="176"/>
      <c r="AA123" s="110"/>
      <c r="AB123" s="176"/>
      <c r="AC123" s="110"/>
      <c r="AD123" s="176"/>
      <c r="AE123" s="110"/>
      <c r="AF123" s="176"/>
      <c r="AG123" s="110"/>
      <c r="AH123" s="176"/>
      <c r="AI123" s="110"/>
      <c r="AJ123" s="176"/>
      <c r="AK123" s="110"/>
      <c r="AL123" s="176"/>
      <c r="AM123" s="110"/>
      <c r="AN123" s="176"/>
      <c r="AO123" s="110"/>
      <c r="AP123" s="176"/>
      <c r="AQ123" s="110"/>
      <c r="AR123" s="176"/>
      <c r="AS123" s="110"/>
      <c r="AT123" s="176"/>
      <c r="AU123" s="191">
        <f t="shared" si="2"/>
        <v>0</v>
      </c>
      <c r="AW123" s="169">
        <f t="shared" si="3"/>
        <v>0</v>
      </c>
    </row>
    <row r="124" spans="1:49" x14ac:dyDescent="0.25">
      <c r="A124" s="109">
        <v>31401</v>
      </c>
      <c r="B124" s="111">
        <v>5400</v>
      </c>
      <c r="C124" s="109">
        <v>31401</v>
      </c>
      <c r="D124" s="132"/>
      <c r="E124" s="109">
        <v>31401</v>
      </c>
      <c r="G124" s="109">
        <v>31401</v>
      </c>
      <c r="I124" s="109">
        <v>31401</v>
      </c>
      <c r="K124" s="109">
        <v>31401</v>
      </c>
      <c r="L124" s="140"/>
      <c r="M124" s="109">
        <v>31401</v>
      </c>
      <c r="N124" s="174"/>
      <c r="O124" s="109">
        <v>31401</v>
      </c>
      <c r="P124" s="174"/>
      <c r="Q124" s="109">
        <v>31401</v>
      </c>
      <c r="R124" s="140"/>
      <c r="S124" s="109">
        <v>31401</v>
      </c>
      <c r="T124" s="140"/>
      <c r="U124" s="109">
        <v>31401</v>
      </c>
      <c r="V124" s="140"/>
      <c r="W124" s="109">
        <v>31401</v>
      </c>
      <c r="X124" s="140"/>
      <c r="Y124" s="109">
        <v>31401</v>
      </c>
      <c r="Z124" s="140"/>
      <c r="AA124" s="109">
        <v>31401</v>
      </c>
      <c r="AB124" s="140"/>
      <c r="AC124" s="109">
        <v>31401</v>
      </c>
      <c r="AD124" s="140"/>
      <c r="AE124" s="109">
        <v>31401</v>
      </c>
      <c r="AF124" s="140"/>
      <c r="AG124" s="109">
        <v>31401</v>
      </c>
      <c r="AH124" s="140"/>
      <c r="AI124" s="109">
        <v>31401</v>
      </c>
      <c r="AJ124" s="140"/>
      <c r="AK124" s="109">
        <v>31401</v>
      </c>
      <c r="AL124" s="140"/>
      <c r="AM124" s="109">
        <v>31401</v>
      </c>
      <c r="AN124" s="140">
        <v>3564</v>
      </c>
      <c r="AO124" s="109">
        <v>31401</v>
      </c>
      <c r="AP124" s="140">
        <v>6000</v>
      </c>
      <c r="AQ124" s="109">
        <v>31401</v>
      </c>
      <c r="AR124" s="140"/>
      <c r="AS124" s="109">
        <v>31401</v>
      </c>
      <c r="AT124" s="140">
        <v>72000</v>
      </c>
      <c r="AU124" s="191">
        <f t="shared" si="2"/>
        <v>86964</v>
      </c>
      <c r="AV124" s="106">
        <v>86964</v>
      </c>
      <c r="AW124" s="169">
        <f t="shared" si="3"/>
        <v>0</v>
      </c>
    </row>
    <row r="125" spans="1:49" x14ac:dyDescent="0.25">
      <c r="A125" s="110"/>
      <c r="B125" s="111"/>
      <c r="C125" s="110"/>
      <c r="D125" s="132"/>
      <c r="E125" s="110"/>
      <c r="G125" s="110"/>
      <c r="I125" s="110"/>
      <c r="K125" s="110"/>
      <c r="L125" s="176"/>
      <c r="M125" s="110"/>
      <c r="N125" s="131"/>
      <c r="O125" s="110"/>
      <c r="P125" s="131"/>
      <c r="Q125" s="110"/>
      <c r="R125" s="176"/>
      <c r="S125" s="110"/>
      <c r="T125" s="176"/>
      <c r="U125" s="110"/>
      <c r="V125" s="176"/>
      <c r="W125" s="110"/>
      <c r="X125" s="176"/>
      <c r="Y125" s="110"/>
      <c r="Z125" s="176"/>
      <c r="AA125" s="110"/>
      <c r="AB125" s="176"/>
      <c r="AC125" s="110"/>
      <c r="AD125" s="176"/>
      <c r="AE125" s="110"/>
      <c r="AF125" s="176"/>
      <c r="AG125" s="110"/>
      <c r="AH125" s="176"/>
      <c r="AI125" s="110"/>
      <c r="AJ125" s="176"/>
      <c r="AK125" s="110"/>
      <c r="AL125" s="176"/>
      <c r="AM125" s="110"/>
      <c r="AN125" s="176"/>
      <c r="AO125" s="110"/>
      <c r="AP125" s="176"/>
      <c r="AQ125" s="110"/>
      <c r="AR125" s="176"/>
      <c r="AS125" s="110"/>
      <c r="AT125" s="176"/>
      <c r="AU125" s="191">
        <f t="shared" si="2"/>
        <v>0</v>
      </c>
      <c r="AW125" s="169">
        <f t="shared" si="3"/>
        <v>0</v>
      </c>
    </row>
    <row r="126" spans="1:49" x14ac:dyDescent="0.25">
      <c r="A126" s="110"/>
      <c r="B126" s="111"/>
      <c r="C126" s="109">
        <v>31501</v>
      </c>
      <c r="D126" s="132">
        <v>389760</v>
      </c>
      <c r="E126" s="109">
        <v>31501</v>
      </c>
      <c r="G126" s="109">
        <v>31501</v>
      </c>
      <c r="I126" s="109">
        <v>31501</v>
      </c>
      <c r="K126" s="109">
        <v>31501</v>
      </c>
      <c r="L126" s="140"/>
      <c r="M126" s="109">
        <v>31501</v>
      </c>
      <c r="N126" s="174">
        <v>4800</v>
      </c>
      <c r="O126" s="109">
        <v>31501</v>
      </c>
      <c r="P126" s="174"/>
      <c r="Q126" s="109">
        <v>31501</v>
      </c>
      <c r="R126" s="140"/>
      <c r="S126" s="109">
        <v>31501</v>
      </c>
      <c r="T126" s="140">
        <v>11664</v>
      </c>
      <c r="U126" s="109">
        <v>31501</v>
      </c>
      <c r="V126" s="140"/>
      <c r="W126" s="109">
        <v>31501</v>
      </c>
      <c r="X126" s="140"/>
      <c r="Y126" s="109">
        <v>31501</v>
      </c>
      <c r="Z126" s="140"/>
      <c r="AA126" s="109">
        <v>31501</v>
      </c>
      <c r="AB126" s="140"/>
      <c r="AC126" s="109">
        <v>31501</v>
      </c>
      <c r="AD126" s="140"/>
      <c r="AE126" s="109">
        <v>31501</v>
      </c>
      <c r="AF126" s="140"/>
      <c r="AG126" s="109">
        <v>31501</v>
      </c>
      <c r="AH126" s="140"/>
      <c r="AI126" s="109">
        <v>31501</v>
      </c>
      <c r="AJ126" s="140"/>
      <c r="AK126" s="109">
        <v>31501</v>
      </c>
      <c r="AL126" s="140"/>
      <c r="AM126" s="109">
        <v>31501</v>
      </c>
      <c r="AN126" s="140"/>
      <c r="AO126" s="109">
        <v>31501</v>
      </c>
      <c r="AP126" s="140">
        <v>3600</v>
      </c>
      <c r="AQ126" s="109">
        <v>31501</v>
      </c>
      <c r="AR126" s="140"/>
      <c r="AS126" s="109">
        <v>31501</v>
      </c>
      <c r="AT126" s="140"/>
      <c r="AU126" s="191">
        <f t="shared" si="2"/>
        <v>409824</v>
      </c>
      <c r="AW126" s="169">
        <f t="shared" si="3"/>
        <v>409824</v>
      </c>
    </row>
    <row r="127" spans="1:49" x14ac:dyDescent="0.25">
      <c r="A127" s="110"/>
      <c r="B127" s="111"/>
      <c r="C127" s="110"/>
      <c r="D127" s="132"/>
      <c r="E127" s="110"/>
      <c r="G127" s="110"/>
      <c r="I127" s="110"/>
      <c r="K127" s="110"/>
      <c r="L127" s="176"/>
      <c r="M127" s="110"/>
      <c r="N127" s="131"/>
      <c r="O127" s="110"/>
      <c r="P127" s="131"/>
      <c r="Q127" s="110"/>
      <c r="R127" s="176"/>
      <c r="S127" s="110"/>
      <c r="T127" s="176"/>
      <c r="U127" s="110"/>
      <c r="V127" s="176"/>
      <c r="W127" s="110"/>
      <c r="X127" s="176"/>
      <c r="Y127" s="110"/>
      <c r="Z127" s="176"/>
      <c r="AA127" s="110"/>
      <c r="AB127" s="176"/>
      <c r="AC127" s="110"/>
      <c r="AD127" s="176"/>
      <c r="AE127" s="110"/>
      <c r="AF127" s="176"/>
      <c r="AG127" s="110"/>
      <c r="AH127" s="176"/>
      <c r="AI127" s="110"/>
      <c r="AJ127" s="176"/>
      <c r="AK127" s="110"/>
      <c r="AL127" s="176"/>
      <c r="AM127" s="110"/>
      <c r="AN127" s="176"/>
      <c r="AO127" s="110"/>
      <c r="AP127" s="176"/>
      <c r="AQ127" s="110"/>
      <c r="AR127" s="176"/>
      <c r="AS127" s="110"/>
      <c r="AT127" s="176"/>
      <c r="AU127" s="191">
        <f t="shared" si="2"/>
        <v>0</v>
      </c>
      <c r="AW127" s="169">
        <f t="shared" si="3"/>
        <v>0</v>
      </c>
    </row>
    <row r="128" spans="1:49" x14ac:dyDescent="0.25">
      <c r="A128" s="109">
        <v>31701</v>
      </c>
      <c r="B128" s="111">
        <v>85800</v>
      </c>
      <c r="C128" s="109">
        <v>31701</v>
      </c>
      <c r="D128" s="132">
        <v>236640</v>
      </c>
      <c r="E128" s="109">
        <v>31701</v>
      </c>
      <c r="F128" s="139">
        <v>7656</v>
      </c>
      <c r="G128" s="109">
        <v>31701</v>
      </c>
      <c r="I128" s="109">
        <v>31701</v>
      </c>
      <c r="K128" s="109">
        <v>31701</v>
      </c>
      <c r="L128" s="140"/>
      <c r="M128" s="109">
        <v>31701</v>
      </c>
      <c r="N128" s="174"/>
      <c r="O128" s="109">
        <v>31701</v>
      </c>
      <c r="P128" s="174"/>
      <c r="Q128" s="109">
        <v>31701</v>
      </c>
      <c r="R128" s="140"/>
      <c r="S128" s="109">
        <v>31701</v>
      </c>
      <c r="T128" s="140"/>
      <c r="U128" s="109">
        <v>31701</v>
      </c>
      <c r="V128" s="140"/>
      <c r="W128" s="109">
        <v>31701</v>
      </c>
      <c r="X128" s="140"/>
      <c r="Y128" s="109">
        <v>31701</v>
      </c>
      <c r="Z128" s="140"/>
      <c r="AA128" s="109">
        <v>31701</v>
      </c>
      <c r="AB128" s="140"/>
      <c r="AC128" s="109">
        <v>31701</v>
      </c>
      <c r="AD128" s="140"/>
      <c r="AE128" s="109">
        <v>31701</v>
      </c>
      <c r="AF128" s="140"/>
      <c r="AG128" s="109">
        <v>31701</v>
      </c>
      <c r="AH128" s="140"/>
      <c r="AI128" s="109">
        <v>31701</v>
      </c>
      <c r="AJ128" s="140"/>
      <c r="AK128" s="109">
        <v>31701</v>
      </c>
      <c r="AL128" s="140"/>
      <c r="AM128" s="109">
        <v>31701</v>
      </c>
      <c r="AN128" s="140">
        <v>3900</v>
      </c>
      <c r="AO128" s="109">
        <v>31701</v>
      </c>
      <c r="AP128" s="140">
        <v>4500</v>
      </c>
      <c r="AQ128" s="109">
        <v>31701</v>
      </c>
      <c r="AR128" s="140">
        <v>13920</v>
      </c>
      <c r="AS128" s="109">
        <v>31701</v>
      </c>
      <c r="AT128" s="140"/>
      <c r="AU128" s="191">
        <f t="shared" si="2"/>
        <v>352416</v>
      </c>
      <c r="AW128" s="169">
        <f t="shared" si="3"/>
        <v>352416</v>
      </c>
    </row>
    <row r="129" spans="1:52" x14ac:dyDescent="0.25">
      <c r="A129" s="110"/>
      <c r="B129" s="111"/>
      <c r="C129" s="110"/>
      <c r="D129" s="132"/>
      <c r="E129" s="110"/>
      <c r="G129" s="110"/>
      <c r="I129" s="110"/>
      <c r="K129" s="110"/>
      <c r="L129" s="176"/>
      <c r="M129" s="110"/>
      <c r="N129" s="131"/>
      <c r="O129" s="110"/>
      <c r="P129" s="131"/>
      <c r="Q129" s="110"/>
      <c r="R129" s="176"/>
      <c r="S129" s="110"/>
      <c r="T129" s="176"/>
      <c r="U129" s="110"/>
      <c r="V129" s="176"/>
      <c r="W129" s="110"/>
      <c r="X129" s="176"/>
      <c r="Y129" s="110"/>
      <c r="Z129" s="176"/>
      <c r="AA129" s="110"/>
      <c r="AB129" s="176"/>
      <c r="AC129" s="110"/>
      <c r="AD129" s="176"/>
      <c r="AE129" s="110"/>
      <c r="AF129" s="176"/>
      <c r="AG129" s="110"/>
      <c r="AH129" s="176"/>
      <c r="AI129" s="110"/>
      <c r="AJ129" s="176"/>
      <c r="AK129" s="110"/>
      <c r="AL129" s="176"/>
      <c r="AM129" s="110"/>
      <c r="AN129" s="176"/>
      <c r="AO129" s="110"/>
      <c r="AP129" s="176"/>
      <c r="AQ129" s="110"/>
      <c r="AR129" s="176"/>
      <c r="AS129" s="110"/>
      <c r="AT129" s="176"/>
      <c r="AU129" s="191">
        <f t="shared" si="2"/>
        <v>0</v>
      </c>
      <c r="AW129" s="169">
        <f t="shared" si="3"/>
        <v>0</v>
      </c>
    </row>
    <row r="130" spans="1:52" x14ac:dyDescent="0.25">
      <c r="A130" s="110"/>
      <c r="B130" s="111"/>
      <c r="C130" s="109">
        <v>31801</v>
      </c>
      <c r="D130" s="132">
        <v>35044</v>
      </c>
      <c r="E130" s="109">
        <v>31801</v>
      </c>
      <c r="F130" s="139">
        <v>1044</v>
      </c>
      <c r="G130" s="109">
        <v>31801</v>
      </c>
      <c r="I130" s="109">
        <v>31801</v>
      </c>
      <c r="J130" s="160">
        <v>1566</v>
      </c>
      <c r="K130" s="109">
        <v>31801</v>
      </c>
      <c r="L130" s="140"/>
      <c r="M130" s="109">
        <v>31801</v>
      </c>
      <c r="N130" s="174"/>
      <c r="O130" s="109">
        <v>31801</v>
      </c>
      <c r="P130" s="174"/>
      <c r="Q130" s="109">
        <v>31801</v>
      </c>
      <c r="R130" s="140"/>
      <c r="S130" s="109">
        <v>31801</v>
      </c>
      <c r="T130" s="140">
        <v>16740</v>
      </c>
      <c r="U130" s="109">
        <v>31801</v>
      </c>
      <c r="V130" s="140">
        <v>1800</v>
      </c>
      <c r="W130" s="109">
        <v>31801</v>
      </c>
      <c r="X130" s="140"/>
      <c r="Y130" s="109">
        <v>31801</v>
      </c>
      <c r="Z130" s="140"/>
      <c r="AA130" s="109">
        <v>31801</v>
      </c>
      <c r="AB130" s="140"/>
      <c r="AC130" s="109">
        <v>31801</v>
      </c>
      <c r="AD130" s="140"/>
      <c r="AE130" s="109">
        <v>31801</v>
      </c>
      <c r="AF130" s="140"/>
      <c r="AG130" s="109">
        <v>31801</v>
      </c>
      <c r="AH130" s="140">
        <v>21600</v>
      </c>
      <c r="AI130" s="109">
        <v>31801</v>
      </c>
      <c r="AJ130" s="140"/>
      <c r="AK130" s="109">
        <v>31801</v>
      </c>
      <c r="AL130" s="140">
        <v>1500</v>
      </c>
      <c r="AM130" s="109">
        <v>31801</v>
      </c>
      <c r="AN130" s="140"/>
      <c r="AO130" s="109">
        <v>31801</v>
      </c>
      <c r="AP130" s="140"/>
      <c r="AQ130" s="109">
        <v>31801</v>
      </c>
      <c r="AR130" s="140"/>
      <c r="AS130" s="109">
        <v>31801</v>
      </c>
      <c r="AT130" s="140">
        <v>43842.71</v>
      </c>
      <c r="AU130" s="191">
        <f t="shared" si="2"/>
        <v>123136.70999999999</v>
      </c>
      <c r="AV130" s="160">
        <v>123136.70999999999</v>
      </c>
      <c r="AW130" s="168">
        <f t="shared" si="3"/>
        <v>0</v>
      </c>
    </row>
    <row r="131" spans="1:52" x14ac:dyDescent="0.25">
      <c r="A131" s="110"/>
      <c r="B131" s="111"/>
      <c r="C131" s="110"/>
      <c r="D131" s="132"/>
      <c r="E131" s="110"/>
      <c r="G131" s="110"/>
      <c r="I131" s="110"/>
      <c r="K131" s="110"/>
      <c r="L131" s="176"/>
      <c r="M131" s="110"/>
      <c r="N131" s="131"/>
      <c r="O131" s="110"/>
      <c r="P131" s="131"/>
      <c r="Q131" s="110"/>
      <c r="R131" s="176"/>
      <c r="S131" s="110"/>
      <c r="T131" s="176"/>
      <c r="U131" s="110"/>
      <c r="V131" s="176"/>
      <c r="W131" s="110"/>
      <c r="X131" s="176"/>
      <c r="Y131" s="110"/>
      <c r="Z131" s="176"/>
      <c r="AA131" s="110"/>
      <c r="AB131" s="176"/>
      <c r="AC131" s="110"/>
      <c r="AD131" s="176"/>
      <c r="AE131" s="110"/>
      <c r="AF131" s="176"/>
      <c r="AG131" s="110"/>
      <c r="AH131" s="176"/>
      <c r="AI131" s="110"/>
      <c r="AJ131" s="176"/>
      <c r="AK131" s="110"/>
      <c r="AL131" s="176"/>
      <c r="AM131" s="110"/>
      <c r="AN131" s="176"/>
      <c r="AO131" s="110"/>
      <c r="AP131" s="176"/>
      <c r="AQ131" s="110"/>
      <c r="AR131" s="176"/>
      <c r="AS131" s="110"/>
      <c r="AT131" s="176"/>
      <c r="AU131" s="191">
        <f t="shared" si="2"/>
        <v>0</v>
      </c>
      <c r="AW131" s="169">
        <f t="shared" si="3"/>
        <v>0</v>
      </c>
    </row>
    <row r="132" spans="1:52" x14ac:dyDescent="0.25">
      <c r="A132" s="110"/>
      <c r="B132" s="111"/>
      <c r="C132" s="110"/>
      <c r="D132" s="132"/>
      <c r="E132" s="109">
        <v>32201</v>
      </c>
      <c r="F132" s="139">
        <v>197200</v>
      </c>
      <c r="G132" s="109">
        <v>32201</v>
      </c>
      <c r="H132" s="106">
        <v>23490</v>
      </c>
      <c r="I132" s="109">
        <v>32201</v>
      </c>
      <c r="K132" s="109">
        <v>32201</v>
      </c>
      <c r="L132" s="140"/>
      <c r="M132" s="109">
        <v>32201</v>
      </c>
      <c r="N132" s="174"/>
      <c r="O132" s="109">
        <v>32201</v>
      </c>
      <c r="P132" s="174"/>
      <c r="Q132" s="109">
        <v>32201</v>
      </c>
      <c r="R132" s="140"/>
      <c r="S132" s="109">
        <v>32201</v>
      </c>
      <c r="T132" s="140"/>
      <c r="U132" s="109">
        <v>32201</v>
      </c>
      <c r="V132" s="140"/>
      <c r="W132" s="109">
        <v>32201</v>
      </c>
      <c r="X132" s="140"/>
      <c r="Y132" s="109">
        <v>32201</v>
      </c>
      <c r="Z132" s="140"/>
      <c r="AA132" s="109">
        <v>32201</v>
      </c>
      <c r="AB132" s="140"/>
      <c r="AC132" s="109">
        <v>32201</v>
      </c>
      <c r="AD132" s="140"/>
      <c r="AE132" s="109">
        <v>32201</v>
      </c>
      <c r="AF132" s="140"/>
      <c r="AG132" s="109">
        <v>32201</v>
      </c>
      <c r="AH132" s="140"/>
      <c r="AI132" s="109">
        <v>32201</v>
      </c>
      <c r="AJ132" s="140"/>
      <c r="AK132" s="109">
        <v>32201</v>
      </c>
      <c r="AL132" s="140"/>
      <c r="AM132" s="109">
        <v>32201</v>
      </c>
      <c r="AN132" s="140"/>
      <c r="AO132" s="109">
        <v>32201</v>
      </c>
      <c r="AP132" s="140"/>
      <c r="AQ132" s="109">
        <v>32201</v>
      </c>
      <c r="AR132" s="140"/>
      <c r="AS132" s="109">
        <v>32201</v>
      </c>
      <c r="AT132" s="140"/>
      <c r="AU132" s="191">
        <f t="shared" si="2"/>
        <v>220690</v>
      </c>
      <c r="AW132" s="169">
        <f t="shared" si="3"/>
        <v>220690</v>
      </c>
    </row>
    <row r="133" spans="1:52" x14ac:dyDescent="0.25">
      <c r="A133" s="110"/>
      <c r="B133" s="111"/>
      <c r="C133" s="109">
        <v>32301</v>
      </c>
      <c r="D133" s="132">
        <v>501120</v>
      </c>
      <c r="E133" s="109">
        <v>32301</v>
      </c>
      <c r="F133" s="139">
        <v>72575.820000000007</v>
      </c>
      <c r="G133" s="109">
        <v>32301</v>
      </c>
      <c r="I133" s="109">
        <v>32301</v>
      </c>
      <c r="K133" s="109">
        <v>32301</v>
      </c>
      <c r="L133" s="140"/>
      <c r="M133" s="109">
        <v>32301</v>
      </c>
      <c r="N133" s="174"/>
      <c r="O133" s="109">
        <v>32301</v>
      </c>
      <c r="P133" s="174"/>
      <c r="Q133" s="109">
        <v>32301</v>
      </c>
      <c r="R133" s="140"/>
      <c r="S133" s="109">
        <v>32301</v>
      </c>
      <c r="T133" s="140"/>
      <c r="U133" s="109">
        <v>32301</v>
      </c>
      <c r="V133" s="140"/>
      <c r="W133" s="109">
        <v>32301</v>
      </c>
      <c r="X133" s="140"/>
      <c r="Y133" s="109">
        <v>32301</v>
      </c>
      <c r="Z133" s="140"/>
      <c r="AA133" s="109">
        <v>32301</v>
      </c>
      <c r="AB133" s="140"/>
      <c r="AC133" s="109">
        <v>32301</v>
      </c>
      <c r="AD133" s="140"/>
      <c r="AE133" s="109">
        <v>32301</v>
      </c>
      <c r="AF133" s="140"/>
      <c r="AG133" s="109">
        <v>32301</v>
      </c>
      <c r="AH133" s="140"/>
      <c r="AI133" s="109">
        <v>32301</v>
      </c>
      <c r="AJ133" s="140"/>
      <c r="AK133" s="109">
        <v>32301</v>
      </c>
      <c r="AL133" s="140"/>
      <c r="AM133" s="109">
        <v>32301</v>
      </c>
      <c r="AN133" s="140">
        <v>7500</v>
      </c>
      <c r="AO133" s="109">
        <v>32301</v>
      </c>
      <c r="AP133" s="140"/>
      <c r="AQ133" s="109">
        <v>32301</v>
      </c>
      <c r="AR133" s="140">
        <v>27840</v>
      </c>
      <c r="AS133" s="109">
        <v>32301</v>
      </c>
      <c r="AT133" s="140">
        <v>14000</v>
      </c>
      <c r="AU133" s="191">
        <f t="shared" si="2"/>
        <v>623035.82000000007</v>
      </c>
      <c r="AV133" s="106">
        <v>623035.82000000007</v>
      </c>
      <c r="AW133" s="169">
        <f t="shared" si="3"/>
        <v>0</v>
      </c>
    </row>
    <row r="134" spans="1:52" x14ac:dyDescent="0.25">
      <c r="A134" s="110"/>
      <c r="B134" s="111"/>
      <c r="C134" s="110"/>
      <c r="D134" s="132"/>
      <c r="E134" s="110"/>
      <c r="G134" s="110"/>
      <c r="I134" s="110"/>
      <c r="K134" s="110"/>
      <c r="L134" s="176"/>
      <c r="M134" s="110"/>
      <c r="N134" s="131"/>
      <c r="O134" s="110"/>
      <c r="P134" s="131"/>
      <c r="Q134" s="110"/>
      <c r="R134" s="176"/>
      <c r="S134" s="110"/>
      <c r="T134" s="176"/>
      <c r="U134" s="110"/>
      <c r="V134" s="176"/>
      <c r="W134" s="110"/>
      <c r="X134" s="176"/>
      <c r="Y134" s="110"/>
      <c r="Z134" s="176"/>
      <c r="AA134" s="110"/>
      <c r="AB134" s="176"/>
      <c r="AC134" s="110"/>
      <c r="AD134" s="176"/>
      <c r="AE134" s="110"/>
      <c r="AF134" s="176"/>
      <c r="AG134" s="110"/>
      <c r="AH134" s="176"/>
      <c r="AI134" s="110"/>
      <c r="AJ134" s="176"/>
      <c r="AK134" s="110"/>
      <c r="AL134" s="176"/>
      <c r="AM134" s="110"/>
      <c r="AN134" s="176"/>
      <c r="AO134" s="110"/>
      <c r="AP134" s="176"/>
      <c r="AQ134" s="110"/>
      <c r="AR134" s="176"/>
      <c r="AS134" s="110"/>
      <c r="AT134" s="176"/>
      <c r="AU134" s="191">
        <f t="shared" si="2"/>
        <v>0</v>
      </c>
      <c r="AW134" s="169">
        <f t="shared" si="3"/>
        <v>0</v>
      </c>
    </row>
    <row r="135" spans="1:52" x14ac:dyDescent="0.25">
      <c r="A135" s="110"/>
      <c r="B135" s="111"/>
      <c r="C135" s="110"/>
      <c r="D135" s="132"/>
      <c r="E135" s="110"/>
      <c r="G135" s="110"/>
      <c r="I135" s="110"/>
      <c r="K135" s="110"/>
      <c r="L135" s="176"/>
      <c r="M135" s="109">
        <v>32701</v>
      </c>
      <c r="N135" s="131">
        <v>52400</v>
      </c>
      <c r="O135" s="109">
        <v>32701</v>
      </c>
      <c r="P135" s="174"/>
      <c r="Q135" s="109">
        <v>32701</v>
      </c>
      <c r="R135" s="140"/>
      <c r="S135" s="109">
        <v>32701</v>
      </c>
      <c r="T135" s="140"/>
      <c r="U135" s="109">
        <v>32701</v>
      </c>
      <c r="V135" s="140"/>
      <c r="W135" s="109">
        <v>32701</v>
      </c>
      <c r="X135" s="140"/>
      <c r="Y135" s="109">
        <v>32701</v>
      </c>
      <c r="Z135" s="140"/>
      <c r="AA135" s="109">
        <v>32701</v>
      </c>
      <c r="AB135" s="140"/>
      <c r="AC135" s="109">
        <v>32701</v>
      </c>
      <c r="AD135" s="140"/>
      <c r="AE135" s="109">
        <v>32701</v>
      </c>
      <c r="AF135" s="140"/>
      <c r="AG135" s="109">
        <v>32701</v>
      </c>
      <c r="AH135" s="140"/>
      <c r="AI135" s="109">
        <v>32701</v>
      </c>
      <c r="AJ135" s="140"/>
      <c r="AK135" s="109">
        <v>32701</v>
      </c>
      <c r="AL135" s="140"/>
      <c r="AM135" s="109">
        <v>32701</v>
      </c>
      <c r="AN135" s="140"/>
      <c r="AO135" s="109">
        <v>32701</v>
      </c>
      <c r="AP135" s="140"/>
      <c r="AQ135" s="109">
        <v>32701</v>
      </c>
      <c r="AR135" s="140"/>
      <c r="AS135" s="109">
        <v>32701</v>
      </c>
      <c r="AT135" s="140">
        <v>14000</v>
      </c>
      <c r="AU135" s="191">
        <f t="shared" si="2"/>
        <v>66400</v>
      </c>
      <c r="AV135" s="106">
        <v>66400</v>
      </c>
      <c r="AW135" s="169">
        <f t="shared" si="3"/>
        <v>0</v>
      </c>
    </row>
    <row r="136" spans="1:52" x14ac:dyDescent="0.25">
      <c r="AU136" s="191">
        <f t="shared" si="2"/>
        <v>0</v>
      </c>
    </row>
    <row r="137" spans="1:52" x14ac:dyDescent="0.25">
      <c r="A137" s="109"/>
      <c r="B137" s="111"/>
      <c r="C137" s="112"/>
      <c r="D137" s="132"/>
      <c r="E137" s="112"/>
      <c r="G137" s="112"/>
      <c r="I137" s="112"/>
      <c r="K137" s="112"/>
      <c r="L137" s="140"/>
      <c r="M137" s="112"/>
      <c r="N137" s="174"/>
      <c r="O137" s="112"/>
      <c r="P137" s="174"/>
      <c r="Q137" s="112"/>
      <c r="R137" s="140"/>
      <c r="S137" s="112"/>
      <c r="T137" s="140"/>
      <c r="U137" s="112"/>
      <c r="V137" s="140"/>
      <c r="W137" s="112"/>
      <c r="X137" s="140"/>
      <c r="Y137" s="112"/>
      <c r="Z137" s="140"/>
      <c r="AA137" s="112"/>
      <c r="AB137" s="140"/>
      <c r="AC137" s="112"/>
      <c r="AD137" s="140"/>
      <c r="AE137" s="109">
        <v>32901</v>
      </c>
      <c r="AF137" s="140">
        <v>6600</v>
      </c>
      <c r="AG137" s="109">
        <v>32901</v>
      </c>
      <c r="AH137" s="140"/>
      <c r="AI137" s="109">
        <v>32901</v>
      </c>
      <c r="AJ137" s="140"/>
      <c r="AK137" s="109">
        <v>32901</v>
      </c>
      <c r="AL137" s="140"/>
      <c r="AM137" s="109">
        <v>32901</v>
      </c>
      <c r="AN137" s="140"/>
      <c r="AO137" s="109">
        <v>32901</v>
      </c>
      <c r="AP137" s="140"/>
      <c r="AQ137" s="109">
        <v>32901</v>
      </c>
      <c r="AR137" s="140"/>
      <c r="AS137" s="109">
        <v>32901</v>
      </c>
      <c r="AT137" s="140"/>
      <c r="AU137" s="191">
        <f t="shared" si="2"/>
        <v>6600</v>
      </c>
      <c r="AW137" s="169">
        <f t="shared" si="3"/>
        <v>6600</v>
      </c>
    </row>
    <row r="138" spans="1:52" x14ac:dyDescent="0.25">
      <c r="A138" s="109"/>
      <c r="B138" s="111"/>
      <c r="C138" s="112"/>
      <c r="D138" s="132"/>
      <c r="E138" s="112"/>
      <c r="G138" s="112"/>
      <c r="I138" s="112"/>
      <c r="K138" s="112"/>
      <c r="L138" s="140"/>
      <c r="M138" s="112"/>
      <c r="N138" s="174"/>
      <c r="O138" s="112"/>
      <c r="P138" s="174"/>
      <c r="Q138" s="112"/>
      <c r="R138" s="140"/>
      <c r="S138" s="112"/>
      <c r="T138" s="140"/>
      <c r="U138" s="112"/>
      <c r="V138" s="140"/>
      <c r="W138" s="112"/>
      <c r="X138" s="140"/>
      <c r="Y138" s="112"/>
      <c r="Z138" s="140"/>
      <c r="AA138" s="112"/>
      <c r="AB138" s="140"/>
      <c r="AC138" s="112"/>
      <c r="AD138" s="140"/>
      <c r="AE138" s="112"/>
      <c r="AF138" s="140"/>
      <c r="AG138" s="112"/>
      <c r="AH138" s="140"/>
      <c r="AI138" s="112"/>
      <c r="AJ138" s="140"/>
      <c r="AK138" s="112"/>
      <c r="AL138" s="140"/>
      <c r="AM138" s="112"/>
      <c r="AN138" s="140"/>
      <c r="AO138" s="112"/>
      <c r="AP138" s="140"/>
      <c r="AQ138" s="112"/>
      <c r="AR138" s="140"/>
      <c r="AS138" s="112"/>
      <c r="AT138" s="140"/>
      <c r="AU138" s="191">
        <f t="shared" si="2"/>
        <v>0</v>
      </c>
      <c r="AW138" s="169">
        <f t="shared" si="3"/>
        <v>0</v>
      </c>
    </row>
    <row r="139" spans="1:52" x14ac:dyDescent="0.25">
      <c r="A139" s="109"/>
      <c r="B139" s="111"/>
      <c r="C139" s="112"/>
      <c r="D139" s="132"/>
      <c r="E139" s="112"/>
      <c r="G139" s="112"/>
      <c r="I139" s="112"/>
      <c r="K139" s="112"/>
      <c r="L139" s="140"/>
      <c r="M139" s="112"/>
      <c r="N139" s="174"/>
      <c r="O139" s="112"/>
      <c r="P139" s="174"/>
      <c r="Q139" s="112"/>
      <c r="R139" s="140"/>
      <c r="S139" s="112"/>
      <c r="T139" s="140"/>
      <c r="U139" s="112"/>
      <c r="V139" s="140"/>
      <c r="W139" s="112"/>
      <c r="X139" s="140"/>
      <c r="Y139" s="112"/>
      <c r="Z139" s="140"/>
      <c r="AA139" s="112"/>
      <c r="AB139" s="140"/>
      <c r="AC139" s="112"/>
      <c r="AD139" s="140"/>
      <c r="AE139" s="112"/>
      <c r="AF139" s="140"/>
      <c r="AG139" s="112"/>
      <c r="AH139" s="140"/>
      <c r="AI139" s="112"/>
      <c r="AJ139" s="140"/>
      <c r="AK139" s="112"/>
      <c r="AL139" s="140"/>
      <c r="AM139" s="112"/>
      <c r="AN139" s="140"/>
      <c r="AO139" s="112"/>
      <c r="AP139" s="140"/>
      <c r="AQ139" s="112"/>
      <c r="AR139" s="140"/>
      <c r="AS139" s="112"/>
      <c r="AT139" s="140"/>
      <c r="AU139" s="191">
        <f t="shared" si="2"/>
        <v>0</v>
      </c>
      <c r="AW139" s="169">
        <f t="shared" si="3"/>
        <v>0</v>
      </c>
    </row>
    <row r="140" spans="1:52" x14ac:dyDescent="0.25">
      <c r="A140" s="109"/>
      <c r="B140" s="111"/>
      <c r="C140" s="112"/>
      <c r="D140" s="132"/>
      <c r="E140" s="112"/>
      <c r="G140" s="112"/>
      <c r="I140" s="112"/>
      <c r="K140" s="112"/>
      <c r="L140" s="140"/>
      <c r="M140" s="112"/>
      <c r="N140" s="174"/>
      <c r="O140" s="112"/>
      <c r="P140" s="174"/>
      <c r="Q140" s="112"/>
      <c r="R140" s="140"/>
      <c r="S140" s="112"/>
      <c r="T140" s="140"/>
      <c r="U140" s="112"/>
      <c r="V140" s="140"/>
      <c r="W140" s="109">
        <v>33101</v>
      </c>
      <c r="X140" s="140">
        <v>16200</v>
      </c>
      <c r="Y140" s="109">
        <v>33101</v>
      </c>
      <c r="Z140" s="140"/>
      <c r="AA140" s="109">
        <v>33101</v>
      </c>
      <c r="AB140" s="140"/>
      <c r="AC140" s="109">
        <v>33101</v>
      </c>
      <c r="AD140" s="140"/>
      <c r="AE140" s="109">
        <v>33101</v>
      </c>
      <c r="AF140" s="140"/>
      <c r="AG140" s="109">
        <v>33101</v>
      </c>
      <c r="AH140" s="140"/>
      <c r="AI140" s="109">
        <v>33101</v>
      </c>
      <c r="AJ140" s="140"/>
      <c r="AK140" s="109">
        <v>33101</v>
      </c>
      <c r="AL140" s="140"/>
      <c r="AM140" s="109">
        <v>33101</v>
      </c>
      <c r="AN140" s="140"/>
      <c r="AO140" s="109">
        <v>33101</v>
      </c>
      <c r="AP140" s="140"/>
      <c r="AQ140" s="109">
        <v>33101</v>
      </c>
      <c r="AR140" s="140"/>
      <c r="AS140" s="109">
        <v>33101</v>
      </c>
      <c r="AT140" s="140"/>
      <c r="AU140" s="191">
        <f t="shared" si="2"/>
        <v>16200</v>
      </c>
      <c r="AW140" s="169">
        <f t="shared" si="3"/>
        <v>16200</v>
      </c>
    </row>
    <row r="141" spans="1:52" x14ac:dyDescent="0.25">
      <c r="A141" s="109">
        <v>33102</v>
      </c>
      <c r="B141" s="111">
        <v>154200</v>
      </c>
      <c r="C141" s="112"/>
      <c r="D141" s="132"/>
      <c r="E141" s="112"/>
      <c r="G141" s="112"/>
      <c r="I141" s="112"/>
      <c r="K141" s="112"/>
      <c r="L141" s="140"/>
      <c r="M141" s="112"/>
      <c r="N141" s="174"/>
      <c r="O141" s="112"/>
      <c r="P141" s="174"/>
      <c r="Q141" s="112"/>
      <c r="R141" s="140"/>
      <c r="S141" s="112"/>
      <c r="T141" s="140"/>
      <c r="U141" s="112"/>
      <c r="V141" s="140"/>
      <c r="W141" s="112"/>
      <c r="X141" s="140"/>
      <c r="Y141" s="112"/>
      <c r="Z141" s="140"/>
      <c r="AA141" s="112"/>
      <c r="AB141" s="140"/>
      <c r="AC141" s="112"/>
      <c r="AD141" s="140"/>
      <c r="AE141" s="109">
        <v>33102</v>
      </c>
      <c r="AF141" s="140"/>
      <c r="AG141" s="109">
        <v>33102</v>
      </c>
      <c r="AH141" s="140">
        <v>292520.96999999997</v>
      </c>
      <c r="AI141" s="109">
        <v>33102</v>
      </c>
      <c r="AJ141" s="140"/>
      <c r="AK141" s="109">
        <v>33102</v>
      </c>
      <c r="AL141" s="140"/>
      <c r="AM141" s="109">
        <v>33102</v>
      </c>
      <c r="AN141" s="140"/>
      <c r="AO141" s="109">
        <v>33102</v>
      </c>
      <c r="AP141" s="140">
        <v>13600</v>
      </c>
      <c r="AQ141" s="109">
        <v>33102</v>
      </c>
      <c r="AR141" s="140">
        <v>865450.29439999978</v>
      </c>
      <c r="AS141" s="109">
        <v>33102</v>
      </c>
      <c r="AT141" s="140"/>
      <c r="AU141" s="191">
        <f t="shared" si="2"/>
        <v>1325771.2643999998</v>
      </c>
      <c r="AW141" s="169">
        <f>AU141-AV141</f>
        <v>1325771.2643999998</v>
      </c>
    </row>
    <row r="142" spans="1:52" x14ac:dyDescent="0.25">
      <c r="A142" s="110"/>
      <c r="B142" s="111"/>
      <c r="C142" s="109">
        <v>33103</v>
      </c>
      <c r="D142" s="14">
        <v>162400</v>
      </c>
      <c r="E142" s="109">
        <v>33103</v>
      </c>
      <c r="G142" s="109">
        <v>33103</v>
      </c>
      <c r="I142" s="109">
        <v>33103</v>
      </c>
      <c r="K142" s="109">
        <v>33103</v>
      </c>
      <c r="L142" s="140"/>
      <c r="M142" s="109">
        <v>33103</v>
      </c>
      <c r="N142" s="174"/>
      <c r="O142" s="109">
        <v>33103</v>
      </c>
      <c r="P142" s="174"/>
      <c r="Q142" s="109">
        <v>33103</v>
      </c>
      <c r="R142" s="140"/>
      <c r="S142" s="109">
        <v>33103</v>
      </c>
      <c r="T142" s="140"/>
      <c r="U142" s="109">
        <v>33103</v>
      </c>
      <c r="V142" s="140"/>
      <c r="W142" s="109">
        <v>33103</v>
      </c>
      <c r="X142" s="140"/>
      <c r="Y142" s="109">
        <v>33103</v>
      </c>
      <c r="Z142" s="140"/>
      <c r="AA142" s="109">
        <v>33103</v>
      </c>
      <c r="AB142" s="140"/>
      <c r="AC142" s="109">
        <v>33103</v>
      </c>
      <c r="AD142" s="140"/>
      <c r="AE142" s="109">
        <v>33103</v>
      </c>
      <c r="AF142" s="140"/>
      <c r="AG142" s="109">
        <v>33103</v>
      </c>
      <c r="AH142" s="140"/>
      <c r="AI142" s="109">
        <v>33103</v>
      </c>
      <c r="AJ142" s="140"/>
      <c r="AK142" s="109">
        <v>33103</v>
      </c>
      <c r="AL142" s="140"/>
      <c r="AM142" s="109">
        <v>33103</v>
      </c>
      <c r="AN142" s="140"/>
      <c r="AO142" s="109">
        <v>33103</v>
      </c>
      <c r="AP142" s="140"/>
      <c r="AQ142" s="109">
        <v>33103</v>
      </c>
      <c r="AR142" s="140"/>
      <c r="AS142" s="109">
        <v>33103</v>
      </c>
      <c r="AT142" s="140"/>
      <c r="AU142" s="191">
        <f t="shared" si="2"/>
        <v>162400</v>
      </c>
      <c r="AW142" s="169">
        <f t="shared" si="3"/>
        <v>162400</v>
      </c>
    </row>
    <row r="143" spans="1:52" s="108" customFormat="1" x14ac:dyDescent="0.25">
      <c r="A143" s="130"/>
      <c r="B143" s="131"/>
      <c r="C143" s="130"/>
      <c r="D143" s="19"/>
      <c r="E143" s="130"/>
      <c r="F143" s="142"/>
      <c r="G143" s="130"/>
      <c r="H143" s="160"/>
      <c r="I143" s="130"/>
      <c r="J143" s="160"/>
      <c r="K143" s="130"/>
      <c r="L143" s="176"/>
      <c r="M143" s="130"/>
      <c r="N143" s="131"/>
      <c r="O143" s="130"/>
      <c r="P143" s="131"/>
      <c r="Q143" s="130"/>
      <c r="R143" s="176"/>
      <c r="S143" s="130"/>
      <c r="T143" s="176"/>
      <c r="U143" s="130"/>
      <c r="V143" s="176"/>
      <c r="W143" s="130"/>
      <c r="X143" s="176"/>
      <c r="Y143" s="130"/>
      <c r="Z143" s="176"/>
      <c r="AA143" s="130"/>
      <c r="AB143" s="176"/>
      <c r="AC143" s="130"/>
      <c r="AD143" s="176"/>
      <c r="AE143" s="130"/>
      <c r="AF143" s="176"/>
      <c r="AG143" s="130"/>
      <c r="AH143" s="176"/>
      <c r="AI143" s="130"/>
      <c r="AJ143" s="176"/>
      <c r="AK143" s="130"/>
      <c r="AL143" s="176"/>
      <c r="AM143" s="130"/>
      <c r="AN143" s="176"/>
      <c r="AO143" s="130"/>
      <c r="AP143" s="176"/>
      <c r="AQ143" s="130"/>
      <c r="AR143" s="176"/>
      <c r="AS143" s="130"/>
      <c r="AT143" s="176"/>
      <c r="AU143" s="191">
        <f t="shared" si="2"/>
        <v>0</v>
      </c>
      <c r="AV143" s="160"/>
      <c r="AW143" s="169">
        <f t="shared" si="3"/>
        <v>0</v>
      </c>
      <c r="AZ143" s="246"/>
    </row>
    <row r="144" spans="1:52" s="108" customFormat="1" x14ac:dyDescent="0.25">
      <c r="A144" s="130"/>
      <c r="B144" s="131"/>
      <c r="C144" s="130"/>
      <c r="D144" s="19"/>
      <c r="E144" s="130"/>
      <c r="F144" s="142"/>
      <c r="G144" s="130"/>
      <c r="H144" s="160"/>
      <c r="I144" s="130"/>
      <c r="J144" s="160"/>
      <c r="K144" s="130"/>
      <c r="L144" s="176"/>
      <c r="M144" s="130"/>
      <c r="N144" s="131"/>
      <c r="O144" s="130"/>
      <c r="P144" s="131"/>
      <c r="Q144" s="130"/>
      <c r="R144" s="176"/>
      <c r="S144" s="130"/>
      <c r="T144" s="176"/>
      <c r="U144" s="130"/>
      <c r="V144" s="176"/>
      <c r="W144" s="130"/>
      <c r="X144" s="176"/>
      <c r="Y144" s="130"/>
      <c r="Z144" s="176"/>
      <c r="AA144" s="130"/>
      <c r="AB144" s="176"/>
      <c r="AC144" s="130"/>
      <c r="AD144" s="176"/>
      <c r="AE144" s="130"/>
      <c r="AF144" s="176"/>
      <c r="AG144" s="130"/>
      <c r="AH144" s="176"/>
      <c r="AI144" s="130"/>
      <c r="AJ144" s="176"/>
      <c r="AK144" s="130"/>
      <c r="AL144" s="176"/>
      <c r="AM144" s="130"/>
      <c r="AN144" s="176"/>
      <c r="AO144" s="130"/>
      <c r="AP144" s="176"/>
      <c r="AQ144" s="130"/>
      <c r="AR144" s="176"/>
      <c r="AS144" s="130"/>
      <c r="AT144" s="176"/>
      <c r="AU144" s="191">
        <f t="shared" si="2"/>
        <v>0</v>
      </c>
      <c r="AV144" s="160"/>
      <c r="AW144" s="169">
        <f t="shared" si="3"/>
        <v>0</v>
      </c>
      <c r="AZ144" s="246"/>
    </row>
    <row r="145" spans="1:52" x14ac:dyDescent="0.25">
      <c r="A145" s="109">
        <v>33301</v>
      </c>
      <c r="B145" s="111">
        <v>10000</v>
      </c>
      <c r="C145" s="109">
        <v>33301</v>
      </c>
      <c r="D145" s="132">
        <v>12960</v>
      </c>
      <c r="E145" s="109">
        <v>33301</v>
      </c>
      <c r="G145" s="109">
        <v>33301</v>
      </c>
      <c r="I145" s="109">
        <v>33301</v>
      </c>
      <c r="K145" s="109">
        <v>33301</v>
      </c>
      <c r="L145" s="140"/>
      <c r="M145" s="109">
        <v>33301</v>
      </c>
      <c r="N145" s="174"/>
      <c r="O145" s="109">
        <v>33301</v>
      </c>
      <c r="P145" s="174"/>
      <c r="Q145" s="109">
        <v>33301</v>
      </c>
      <c r="R145" s="140"/>
      <c r="S145" s="109">
        <v>33301</v>
      </c>
      <c r="T145" s="140"/>
      <c r="U145" s="109">
        <v>33301</v>
      </c>
      <c r="V145" s="140"/>
      <c r="W145" s="109">
        <v>33301</v>
      </c>
      <c r="X145" s="140"/>
      <c r="Y145" s="109">
        <v>33301</v>
      </c>
      <c r="Z145" s="140"/>
      <c r="AA145" s="109">
        <v>33301</v>
      </c>
      <c r="AB145" s="140"/>
      <c r="AC145" s="109">
        <v>33301</v>
      </c>
      <c r="AD145" s="140"/>
      <c r="AE145" s="109">
        <v>33301</v>
      </c>
      <c r="AF145" s="140"/>
      <c r="AG145" s="109">
        <v>33301</v>
      </c>
      <c r="AH145" s="140"/>
      <c r="AI145" s="109">
        <v>33301</v>
      </c>
      <c r="AJ145" s="140"/>
      <c r="AK145" s="109">
        <v>33301</v>
      </c>
      <c r="AL145" s="140"/>
      <c r="AM145" s="109">
        <v>33301</v>
      </c>
      <c r="AN145" s="140"/>
      <c r="AO145" s="109">
        <v>33301</v>
      </c>
      <c r="AP145" s="140"/>
      <c r="AQ145" s="109">
        <v>33301</v>
      </c>
      <c r="AR145" s="140"/>
      <c r="AS145" s="109">
        <v>33301</v>
      </c>
      <c r="AT145" s="140"/>
      <c r="AU145" s="191">
        <f t="shared" ref="AU145:AU212" si="4">B145+D145+F145+H145+J145+L145+N145+P145+R145+T145+V145+X145+Z145+AB145+AD145+AF145+AH145+AJ145+AL145+AN145+AP145+AR145+AT145</f>
        <v>22960</v>
      </c>
      <c r="AW145" s="169">
        <f t="shared" si="3"/>
        <v>22960</v>
      </c>
    </row>
    <row r="146" spans="1:52" x14ac:dyDescent="0.25">
      <c r="A146" s="110"/>
      <c r="B146" s="111"/>
      <c r="C146" s="110"/>
      <c r="D146" s="132"/>
      <c r="E146" s="110"/>
      <c r="G146" s="110"/>
      <c r="I146" s="110"/>
      <c r="K146" s="110"/>
      <c r="L146" s="176"/>
      <c r="M146" s="110"/>
      <c r="N146" s="131"/>
      <c r="O146" s="110"/>
      <c r="P146" s="131"/>
      <c r="Q146" s="110"/>
      <c r="R146" s="176"/>
      <c r="S146" s="110"/>
      <c r="T146" s="176"/>
      <c r="U146" s="110"/>
      <c r="V146" s="176"/>
      <c r="W146" s="110"/>
      <c r="X146" s="176"/>
      <c r="Y146" s="110"/>
      <c r="Z146" s="176"/>
      <c r="AA146" s="110"/>
      <c r="AB146" s="176"/>
      <c r="AC146" s="110"/>
      <c r="AD146" s="176"/>
      <c r="AE146" s="110"/>
      <c r="AF146" s="176"/>
      <c r="AG146" s="110"/>
      <c r="AH146" s="176"/>
      <c r="AI146" s="110"/>
      <c r="AJ146" s="176"/>
      <c r="AK146" s="110"/>
      <c r="AL146" s="176"/>
      <c r="AM146" s="110"/>
      <c r="AN146" s="176"/>
      <c r="AO146" s="110"/>
      <c r="AP146" s="176"/>
      <c r="AQ146" s="110"/>
      <c r="AR146" s="176"/>
      <c r="AS146" s="110"/>
      <c r="AT146" s="176"/>
      <c r="AU146" s="191">
        <f t="shared" si="4"/>
        <v>0</v>
      </c>
      <c r="AW146" s="169">
        <f t="shared" si="3"/>
        <v>0</v>
      </c>
    </row>
    <row r="147" spans="1:52" x14ac:dyDescent="0.25">
      <c r="A147" s="109">
        <v>33401</v>
      </c>
      <c r="B147" s="111">
        <v>29400</v>
      </c>
      <c r="C147" s="109">
        <v>33401</v>
      </c>
      <c r="D147" s="132">
        <v>151069.88</v>
      </c>
      <c r="E147" s="109">
        <v>33401</v>
      </c>
      <c r="F147" s="139">
        <v>171852.48</v>
      </c>
      <c r="G147" s="109">
        <v>33401</v>
      </c>
      <c r="I147" s="109">
        <v>33401</v>
      </c>
      <c r="K147" s="109">
        <v>33401</v>
      </c>
      <c r="L147" s="140"/>
      <c r="M147" s="109">
        <v>33401</v>
      </c>
      <c r="N147" s="174">
        <v>12800</v>
      </c>
      <c r="O147" s="109">
        <v>33401</v>
      </c>
      <c r="P147" s="174"/>
      <c r="Q147" s="109">
        <v>33401</v>
      </c>
      <c r="R147" s="140"/>
      <c r="S147" s="109">
        <v>33401</v>
      </c>
      <c r="T147" s="140"/>
      <c r="U147" s="109">
        <v>33401</v>
      </c>
      <c r="V147" s="140">
        <v>15000</v>
      </c>
      <c r="W147" s="109">
        <v>33401</v>
      </c>
      <c r="X147" s="140">
        <v>60000</v>
      </c>
      <c r="Y147" s="109">
        <v>33401</v>
      </c>
      <c r="Z147" s="140"/>
      <c r="AA147" s="109">
        <v>33401</v>
      </c>
      <c r="AB147" s="140"/>
      <c r="AC147" s="109">
        <v>33401</v>
      </c>
      <c r="AD147" s="140"/>
      <c r="AE147" s="109">
        <v>33401</v>
      </c>
      <c r="AF147" s="140"/>
      <c r="AG147" s="109">
        <v>33401</v>
      </c>
      <c r="AH147" s="140"/>
      <c r="AI147" s="109">
        <v>33401</v>
      </c>
      <c r="AJ147" s="140"/>
      <c r="AK147" s="109">
        <v>33401</v>
      </c>
      <c r="AL147" s="140"/>
      <c r="AM147" s="109">
        <v>33401</v>
      </c>
      <c r="AN147" s="140"/>
      <c r="AO147" s="109">
        <v>33401</v>
      </c>
      <c r="AP147" s="140"/>
      <c r="AQ147" s="109">
        <v>33401</v>
      </c>
      <c r="AR147" s="140"/>
      <c r="AS147" s="109">
        <v>33401</v>
      </c>
      <c r="AT147" s="140"/>
      <c r="AU147" s="191">
        <f t="shared" si="4"/>
        <v>440122.36</v>
      </c>
      <c r="AW147" s="169">
        <f t="shared" si="3"/>
        <v>440122.36</v>
      </c>
    </row>
    <row r="148" spans="1:52" x14ac:dyDescent="0.25">
      <c r="A148" s="110"/>
      <c r="B148" s="111"/>
      <c r="C148" s="110"/>
      <c r="D148" s="132"/>
      <c r="E148" s="110"/>
      <c r="G148" s="110"/>
      <c r="I148" s="110"/>
      <c r="K148" s="110"/>
      <c r="L148" s="176"/>
      <c r="M148" s="110"/>
      <c r="N148" s="131"/>
      <c r="O148" s="110"/>
      <c r="P148" s="131"/>
      <c r="Q148" s="110"/>
      <c r="R148" s="176"/>
      <c r="S148" s="110"/>
      <c r="T148" s="176"/>
      <c r="U148" s="110"/>
      <c r="V148" s="176"/>
      <c r="W148" s="110"/>
      <c r="X148" s="176"/>
      <c r="Y148" s="110"/>
      <c r="Z148" s="176"/>
      <c r="AA148" s="110"/>
      <c r="AB148" s="176"/>
      <c r="AC148" s="110"/>
      <c r="AD148" s="176"/>
      <c r="AE148" s="110"/>
      <c r="AF148" s="176"/>
      <c r="AG148" s="110"/>
      <c r="AH148" s="176"/>
      <c r="AI148" s="110"/>
      <c r="AJ148" s="176"/>
      <c r="AK148" s="110"/>
      <c r="AL148" s="176"/>
      <c r="AM148" s="110"/>
      <c r="AN148" s="176"/>
      <c r="AO148" s="110"/>
      <c r="AP148" s="176"/>
      <c r="AQ148" s="110"/>
      <c r="AR148" s="176"/>
      <c r="AS148" s="110"/>
      <c r="AT148" s="176"/>
      <c r="AU148" s="191">
        <f t="shared" si="4"/>
        <v>0</v>
      </c>
      <c r="AW148" s="169">
        <f t="shared" si="3"/>
        <v>0</v>
      </c>
    </row>
    <row r="149" spans="1:52" x14ac:dyDescent="0.25">
      <c r="A149" s="110"/>
      <c r="B149" s="111"/>
      <c r="C149" s="109">
        <v>33602</v>
      </c>
      <c r="D149" s="132">
        <v>3480</v>
      </c>
      <c r="E149" s="109">
        <v>33602</v>
      </c>
      <c r="G149" s="109">
        <v>33602</v>
      </c>
      <c r="H149" s="106">
        <v>50144.4</v>
      </c>
      <c r="I149" s="109">
        <v>33602</v>
      </c>
      <c r="K149" s="109">
        <v>33602</v>
      </c>
      <c r="L149" s="140"/>
      <c r="M149" s="109">
        <v>33602</v>
      </c>
      <c r="N149" s="174"/>
      <c r="O149" s="109">
        <v>33602</v>
      </c>
      <c r="P149" s="174"/>
      <c r="Q149" s="109">
        <v>33602</v>
      </c>
      <c r="R149" s="140"/>
      <c r="S149" s="109">
        <v>33602</v>
      </c>
      <c r="T149" s="140">
        <v>12000</v>
      </c>
      <c r="U149" s="109">
        <v>33602</v>
      </c>
      <c r="V149" s="140"/>
      <c r="W149" s="109">
        <v>33602</v>
      </c>
      <c r="X149" s="140"/>
      <c r="Y149" s="109">
        <v>33602</v>
      </c>
      <c r="Z149" s="140"/>
      <c r="AA149" s="109">
        <v>33602</v>
      </c>
      <c r="AB149" s="140"/>
      <c r="AC149" s="109">
        <v>33602</v>
      </c>
      <c r="AD149" s="140">
        <v>1430</v>
      </c>
      <c r="AE149" s="109">
        <v>33602</v>
      </c>
      <c r="AF149" s="140"/>
      <c r="AG149" s="109">
        <v>33602</v>
      </c>
      <c r="AH149" s="140"/>
      <c r="AI149" s="109">
        <v>33602</v>
      </c>
      <c r="AJ149" s="140"/>
      <c r="AK149" s="109">
        <v>33602</v>
      </c>
      <c r="AL149" s="140"/>
      <c r="AM149" s="109">
        <v>33602</v>
      </c>
      <c r="AN149" s="140">
        <v>75000</v>
      </c>
      <c r="AO149" s="109">
        <v>33602</v>
      </c>
      <c r="AP149" s="140"/>
      <c r="AQ149" s="109">
        <v>33602</v>
      </c>
      <c r="AR149" s="140"/>
      <c r="AS149" s="109">
        <v>33602</v>
      </c>
      <c r="AT149" s="140"/>
      <c r="AU149" s="191">
        <f t="shared" si="4"/>
        <v>142054.39999999999</v>
      </c>
      <c r="AW149" s="169">
        <f t="shared" si="3"/>
        <v>142054.39999999999</v>
      </c>
    </row>
    <row r="150" spans="1:52" x14ac:dyDescent="0.25">
      <c r="A150" s="110"/>
      <c r="B150" s="111"/>
      <c r="C150" s="110"/>
      <c r="D150" s="132"/>
      <c r="E150" s="110"/>
      <c r="G150" s="110"/>
      <c r="I150" s="110"/>
      <c r="K150" s="110"/>
      <c r="L150" s="176"/>
      <c r="M150" s="110"/>
      <c r="N150" s="131"/>
      <c r="O150" s="110"/>
      <c r="P150" s="131"/>
      <c r="Q150" s="110"/>
      <c r="R150" s="176"/>
      <c r="S150" s="110"/>
      <c r="T150" s="176"/>
      <c r="U150" s="110"/>
      <c r="V150" s="176"/>
      <c r="W150" s="110"/>
      <c r="X150" s="176"/>
      <c r="Y150" s="110"/>
      <c r="Z150" s="176"/>
      <c r="AA150" s="110"/>
      <c r="AB150" s="176"/>
      <c r="AC150" s="110"/>
      <c r="AD150" s="176"/>
      <c r="AE150" s="110"/>
      <c r="AF150" s="176"/>
      <c r="AG150" s="110"/>
      <c r="AH150" s="176"/>
      <c r="AI150" s="110"/>
      <c r="AJ150" s="176"/>
      <c r="AK150" s="110"/>
      <c r="AL150" s="176"/>
      <c r="AM150" s="110"/>
      <c r="AN150" s="176"/>
      <c r="AO150" s="110"/>
      <c r="AP150" s="176"/>
      <c r="AQ150" s="110"/>
      <c r="AR150" s="176"/>
      <c r="AS150" s="110"/>
      <c r="AT150" s="176"/>
      <c r="AU150" s="191">
        <f t="shared" si="4"/>
        <v>0</v>
      </c>
      <c r="AW150" s="169">
        <f t="shared" si="3"/>
        <v>0</v>
      </c>
    </row>
    <row r="151" spans="1:52" x14ac:dyDescent="0.25">
      <c r="A151" s="110"/>
      <c r="B151" s="111"/>
      <c r="C151" s="109">
        <v>33604</v>
      </c>
      <c r="D151" s="132">
        <v>525210.88</v>
      </c>
      <c r="E151" s="109">
        <v>33604</v>
      </c>
      <c r="F151" s="139">
        <v>95251</v>
      </c>
      <c r="G151" s="109">
        <v>33604</v>
      </c>
      <c r="I151" s="109">
        <v>33604</v>
      </c>
      <c r="J151" s="106">
        <v>73818.92</v>
      </c>
      <c r="K151" s="109">
        <v>33604</v>
      </c>
      <c r="L151" s="140"/>
      <c r="M151" s="109">
        <v>33604</v>
      </c>
      <c r="N151" s="174"/>
      <c r="O151" s="109">
        <v>33604</v>
      </c>
      <c r="P151" s="174">
        <v>22480</v>
      </c>
      <c r="Q151" s="109">
        <v>33604</v>
      </c>
      <c r="R151" s="140">
        <v>37100</v>
      </c>
      <c r="S151" s="109">
        <v>33604</v>
      </c>
      <c r="T151" s="140">
        <v>10801</v>
      </c>
      <c r="U151" s="109">
        <v>33604</v>
      </c>
      <c r="V151" s="140"/>
      <c r="W151" s="109">
        <v>33604</v>
      </c>
      <c r="X151" s="140"/>
      <c r="Y151" s="109">
        <v>33604</v>
      </c>
      <c r="Z151" s="140"/>
      <c r="AA151" s="109">
        <v>33604</v>
      </c>
      <c r="AB151" s="140"/>
      <c r="AC151" s="109">
        <v>33604</v>
      </c>
      <c r="AD151" s="140"/>
      <c r="AE151" s="109">
        <v>33604</v>
      </c>
      <c r="AF151" s="140"/>
      <c r="AG151" s="109">
        <v>33604</v>
      </c>
      <c r="AH151" s="140"/>
      <c r="AI151" s="109">
        <v>33604</v>
      </c>
      <c r="AJ151" s="140"/>
      <c r="AK151" s="109">
        <v>33604</v>
      </c>
      <c r="AL151" s="140">
        <f>21100+4500</f>
        <v>25600</v>
      </c>
      <c r="AM151" s="109">
        <v>33604</v>
      </c>
      <c r="AN151" s="140">
        <v>16640</v>
      </c>
      <c r="AO151" s="109">
        <v>33604</v>
      </c>
      <c r="AP151" s="140"/>
      <c r="AQ151" s="109">
        <v>33604</v>
      </c>
      <c r="AR151" s="140"/>
      <c r="AS151" s="109">
        <v>33604</v>
      </c>
      <c r="AT151" s="140"/>
      <c r="AU151" s="191">
        <f t="shared" si="4"/>
        <v>806901.8</v>
      </c>
      <c r="AV151" s="160"/>
      <c r="AW151" s="168">
        <f t="shared" si="3"/>
        <v>806901.8</v>
      </c>
    </row>
    <row r="152" spans="1:52" x14ac:dyDescent="0.25">
      <c r="A152" s="110"/>
      <c r="B152" s="111"/>
      <c r="C152" s="110"/>
      <c r="D152" s="132"/>
      <c r="E152" s="110"/>
      <c r="G152" s="110"/>
      <c r="I152" s="110"/>
      <c r="K152" s="110"/>
      <c r="L152" s="176"/>
      <c r="M152" s="110"/>
      <c r="N152" s="131"/>
      <c r="O152" s="110"/>
      <c r="P152" s="131"/>
      <c r="Q152" s="110"/>
      <c r="R152" s="176"/>
      <c r="S152" s="110"/>
      <c r="T152" s="176"/>
      <c r="U152" s="110"/>
      <c r="V152" s="176"/>
      <c r="W152" s="110"/>
      <c r="X152" s="176"/>
      <c r="Y152" s="110"/>
      <c r="Z152" s="176"/>
      <c r="AA152" s="110"/>
      <c r="AB152" s="176"/>
      <c r="AC152" s="110"/>
      <c r="AD152" s="176"/>
      <c r="AE152" s="110"/>
      <c r="AF152" s="176"/>
      <c r="AG152" s="110"/>
      <c r="AH152" s="176"/>
      <c r="AI152" s="110"/>
      <c r="AJ152" s="176"/>
      <c r="AK152" s="110"/>
      <c r="AL152" s="176"/>
      <c r="AM152" s="110"/>
      <c r="AN152" s="176"/>
      <c r="AO152" s="110"/>
      <c r="AP152" s="176"/>
      <c r="AQ152" s="110"/>
      <c r="AR152" s="176"/>
      <c r="AS152" s="110"/>
      <c r="AT152" s="176"/>
      <c r="AU152" s="191">
        <f t="shared" si="4"/>
        <v>0</v>
      </c>
      <c r="AW152" s="168">
        <f t="shared" si="3"/>
        <v>0</v>
      </c>
    </row>
    <row r="153" spans="1:52" x14ac:dyDescent="0.25">
      <c r="A153" s="110"/>
      <c r="B153" s="111"/>
      <c r="C153" s="110"/>
      <c r="D153" s="132"/>
      <c r="E153" s="110"/>
      <c r="G153" s="110"/>
      <c r="I153" s="110"/>
      <c r="K153" s="110"/>
      <c r="L153" s="176"/>
      <c r="M153" s="110"/>
      <c r="N153" s="131"/>
      <c r="O153" s="110"/>
      <c r="P153" s="131"/>
      <c r="Q153" s="110"/>
      <c r="R153" s="176"/>
      <c r="S153" s="110"/>
      <c r="T153" s="176"/>
      <c r="U153" s="110"/>
      <c r="V153" s="176"/>
      <c r="W153" s="109">
        <v>34101</v>
      </c>
      <c r="X153" s="176">
        <v>72000</v>
      </c>
      <c r="Y153" s="109">
        <v>34101</v>
      </c>
      <c r="Z153" s="176"/>
      <c r="AA153" s="109">
        <v>34101</v>
      </c>
      <c r="AB153" s="176"/>
      <c r="AC153" s="109">
        <v>34101</v>
      </c>
      <c r="AD153" s="176"/>
      <c r="AE153" s="109">
        <v>34101</v>
      </c>
      <c r="AF153" s="176"/>
      <c r="AG153" s="109">
        <v>34101</v>
      </c>
      <c r="AH153" s="176"/>
      <c r="AI153" s="109">
        <v>34101</v>
      </c>
      <c r="AJ153" s="176"/>
      <c r="AK153" s="109">
        <v>34101</v>
      </c>
      <c r="AL153" s="176"/>
      <c r="AM153" s="109">
        <v>34101</v>
      </c>
      <c r="AN153" s="176"/>
      <c r="AO153" s="109">
        <v>34101</v>
      </c>
      <c r="AP153" s="176"/>
      <c r="AQ153" s="109">
        <v>34101</v>
      </c>
      <c r="AR153" s="176"/>
      <c r="AS153" s="109">
        <v>34101</v>
      </c>
      <c r="AT153" s="176">
        <v>1800</v>
      </c>
      <c r="AU153" s="191">
        <f t="shared" si="4"/>
        <v>73800</v>
      </c>
      <c r="AV153" s="106">
        <v>73800</v>
      </c>
      <c r="AW153" s="168">
        <f t="shared" si="3"/>
        <v>0</v>
      </c>
    </row>
    <row r="154" spans="1:52" x14ac:dyDescent="0.25">
      <c r="A154" s="110"/>
      <c r="B154" s="111"/>
      <c r="C154" s="110"/>
      <c r="D154" s="132"/>
      <c r="E154" s="110"/>
      <c r="G154" s="110"/>
      <c r="I154" s="110"/>
      <c r="K154" s="110"/>
      <c r="L154" s="176"/>
      <c r="M154" s="110"/>
      <c r="N154" s="131"/>
      <c r="O154" s="110"/>
      <c r="P154" s="131"/>
      <c r="Q154" s="110"/>
      <c r="R154" s="176"/>
      <c r="S154" s="110"/>
      <c r="T154" s="176"/>
      <c r="U154" s="110"/>
      <c r="V154" s="176"/>
      <c r="W154" s="109"/>
      <c r="X154" s="176"/>
      <c r="Y154" s="109"/>
      <c r="Z154" s="176"/>
      <c r="AA154" s="109"/>
      <c r="AB154" s="176"/>
      <c r="AC154" s="109"/>
      <c r="AD154" s="176"/>
      <c r="AE154" s="109"/>
      <c r="AF154" s="176"/>
      <c r="AG154" s="109"/>
      <c r="AH154" s="176"/>
      <c r="AI154" s="109"/>
      <c r="AJ154" s="176"/>
      <c r="AK154" s="109"/>
      <c r="AL154" s="176"/>
      <c r="AM154" s="109"/>
      <c r="AN154" s="176"/>
      <c r="AO154" s="109"/>
      <c r="AP154" s="176"/>
      <c r="AQ154" s="109"/>
      <c r="AR154" s="176"/>
      <c r="AS154" s="109">
        <v>34102</v>
      </c>
      <c r="AT154" s="176">
        <v>2000</v>
      </c>
      <c r="AU154" s="191">
        <f t="shared" si="4"/>
        <v>2000</v>
      </c>
      <c r="AV154" s="106">
        <v>2000</v>
      </c>
      <c r="AW154" s="168">
        <f t="shared" si="3"/>
        <v>0</v>
      </c>
    </row>
    <row r="155" spans="1:52" s="108" customFormat="1" x14ac:dyDescent="0.25">
      <c r="A155" s="130"/>
      <c r="B155" s="131"/>
      <c r="C155" s="130"/>
      <c r="D155" s="177"/>
      <c r="E155" s="130"/>
      <c r="F155" s="142"/>
      <c r="G155" s="130"/>
      <c r="H155" s="160"/>
      <c r="I155" s="130"/>
      <c r="J155" s="160"/>
      <c r="K155" s="130"/>
      <c r="L155" s="176"/>
      <c r="M155" s="130"/>
      <c r="N155" s="131"/>
      <c r="O155" s="130"/>
      <c r="P155" s="131"/>
      <c r="Q155" s="130"/>
      <c r="R155" s="176"/>
      <c r="S155" s="130"/>
      <c r="T155" s="176"/>
      <c r="U155" s="130"/>
      <c r="V155" s="176"/>
      <c r="W155" s="112"/>
      <c r="X155" s="176"/>
      <c r="Y155" s="112"/>
      <c r="Z155" s="176"/>
      <c r="AA155" s="112"/>
      <c r="AB155" s="176"/>
      <c r="AC155" s="112"/>
      <c r="AD155" s="176"/>
      <c r="AE155" s="112"/>
      <c r="AF155" s="176"/>
      <c r="AG155" s="112"/>
      <c r="AH155" s="176"/>
      <c r="AI155" s="112"/>
      <c r="AJ155" s="176"/>
      <c r="AK155" s="112"/>
      <c r="AL155" s="176"/>
      <c r="AM155" s="112"/>
      <c r="AN155" s="176"/>
      <c r="AO155" s="112"/>
      <c r="AP155" s="176"/>
      <c r="AQ155" s="112"/>
      <c r="AR155" s="176"/>
      <c r="AS155" s="112"/>
      <c r="AT155" s="176"/>
      <c r="AU155" s="232"/>
      <c r="AV155" s="160"/>
      <c r="AW155" s="168"/>
      <c r="AZ155" s="246"/>
    </row>
    <row r="156" spans="1:52" x14ac:dyDescent="0.25">
      <c r="A156" s="110"/>
      <c r="B156" s="111"/>
      <c r="C156" s="110"/>
      <c r="D156" s="132"/>
      <c r="E156" s="110"/>
      <c r="G156" s="110"/>
      <c r="I156" s="110"/>
      <c r="K156" s="110"/>
      <c r="L156" s="176"/>
      <c r="M156" s="110"/>
      <c r="N156" s="131"/>
      <c r="O156" s="110"/>
      <c r="P156" s="131"/>
      <c r="Q156" s="110"/>
      <c r="R156" s="176"/>
      <c r="S156" s="110"/>
      <c r="T156" s="176"/>
      <c r="U156" s="110"/>
      <c r="V156" s="176"/>
      <c r="W156" s="109"/>
      <c r="X156" s="176"/>
      <c r="Y156" s="109"/>
      <c r="Z156" s="176"/>
      <c r="AA156" s="109"/>
      <c r="AB156" s="176"/>
      <c r="AC156" s="109"/>
      <c r="AD156" s="176"/>
      <c r="AE156" s="109"/>
      <c r="AF156" s="176"/>
      <c r="AG156" s="109"/>
      <c r="AH156" s="176"/>
      <c r="AI156" s="109"/>
      <c r="AJ156" s="176"/>
      <c r="AK156" s="109"/>
      <c r="AL156" s="176"/>
      <c r="AM156" s="109"/>
      <c r="AN156" s="176"/>
      <c r="AO156" s="109"/>
      <c r="AP156" s="176"/>
      <c r="AQ156" s="109">
        <v>34501</v>
      </c>
      <c r="AR156" s="176">
        <v>29000</v>
      </c>
      <c r="AS156" s="109">
        <v>34501</v>
      </c>
      <c r="AT156" s="176">
        <v>10000</v>
      </c>
      <c r="AU156" s="191">
        <f t="shared" si="4"/>
        <v>39000</v>
      </c>
      <c r="AV156" s="106">
        <v>39000</v>
      </c>
      <c r="AW156" s="168">
        <f t="shared" si="3"/>
        <v>0</v>
      </c>
    </row>
    <row r="157" spans="1:52" x14ac:dyDescent="0.25">
      <c r="A157" s="110"/>
      <c r="B157" s="111"/>
      <c r="C157" s="110"/>
      <c r="D157" s="132"/>
      <c r="E157" s="110"/>
      <c r="G157" s="110"/>
      <c r="I157" s="110"/>
      <c r="K157" s="110"/>
      <c r="L157" s="176"/>
      <c r="M157" s="110"/>
      <c r="N157" s="131"/>
      <c r="O157" s="110"/>
      <c r="P157" s="131"/>
      <c r="Q157" s="110"/>
      <c r="R157" s="176"/>
      <c r="S157" s="110"/>
      <c r="T157" s="176"/>
      <c r="U157" s="110"/>
      <c r="V157" s="176"/>
      <c r="W157" s="110"/>
      <c r="X157" s="176"/>
      <c r="Y157" s="110"/>
      <c r="Z157" s="176"/>
      <c r="AA157" s="110"/>
      <c r="AB157" s="176"/>
      <c r="AC157" s="110"/>
      <c r="AD157" s="176"/>
      <c r="AE157" s="110"/>
      <c r="AF157" s="176"/>
      <c r="AG157" s="110"/>
      <c r="AH157" s="176"/>
      <c r="AI157" s="110"/>
      <c r="AJ157" s="176"/>
      <c r="AK157" s="110"/>
      <c r="AL157" s="176"/>
      <c r="AM157" s="110"/>
      <c r="AN157" s="176"/>
      <c r="AO157" s="110"/>
      <c r="AP157" s="176"/>
      <c r="AQ157" s="110"/>
      <c r="AR157" s="176"/>
      <c r="AS157" s="110"/>
      <c r="AT157" s="176"/>
      <c r="AU157" s="191">
        <f t="shared" si="4"/>
        <v>0</v>
      </c>
      <c r="AW157" s="168">
        <f t="shared" si="3"/>
        <v>0</v>
      </c>
    </row>
    <row r="158" spans="1:52" x14ac:dyDescent="0.25">
      <c r="A158" s="110"/>
      <c r="B158" s="111"/>
      <c r="C158" s="109">
        <v>35101</v>
      </c>
      <c r="D158" s="132">
        <v>29000</v>
      </c>
      <c r="E158" s="109">
        <v>35101</v>
      </c>
      <c r="F158" s="139">
        <v>8120</v>
      </c>
      <c r="G158" s="109">
        <v>35101</v>
      </c>
      <c r="I158" s="109">
        <v>35101</v>
      </c>
      <c r="K158" s="109">
        <v>35101</v>
      </c>
      <c r="L158" s="140"/>
      <c r="M158" s="109">
        <v>35101</v>
      </c>
      <c r="N158" s="174"/>
      <c r="O158" s="109">
        <v>35101</v>
      </c>
      <c r="P158" s="174"/>
      <c r="Q158" s="109">
        <v>35101</v>
      </c>
      <c r="R158" s="140"/>
      <c r="S158" s="109">
        <v>35101</v>
      </c>
      <c r="T158" s="140"/>
      <c r="U158" s="109">
        <v>35101</v>
      </c>
      <c r="V158" s="140"/>
      <c r="W158" s="109">
        <v>35101</v>
      </c>
      <c r="X158" s="140"/>
      <c r="Y158" s="109">
        <v>35101</v>
      </c>
      <c r="Z158" s="140"/>
      <c r="AA158" s="109">
        <v>35101</v>
      </c>
      <c r="AB158" s="140"/>
      <c r="AC158" s="109">
        <v>35101</v>
      </c>
      <c r="AD158" s="140"/>
      <c r="AE158" s="109">
        <v>35101</v>
      </c>
      <c r="AF158" s="140"/>
      <c r="AG158" s="109">
        <v>35101</v>
      </c>
      <c r="AH158" s="140"/>
      <c r="AI158" s="109">
        <v>35101</v>
      </c>
      <c r="AJ158" s="140"/>
      <c r="AK158" s="109">
        <v>35101</v>
      </c>
      <c r="AL158" s="140"/>
      <c r="AM158" s="109">
        <v>35101</v>
      </c>
      <c r="AN158" s="140"/>
      <c r="AO158" s="109">
        <v>35101</v>
      </c>
      <c r="AP158" s="140"/>
      <c r="AQ158" s="109">
        <v>35101</v>
      </c>
      <c r="AR158" s="140"/>
      <c r="AS158" s="109">
        <v>35101</v>
      </c>
      <c r="AT158" s="140">
        <v>33952.71</v>
      </c>
      <c r="AU158" s="191">
        <f t="shared" si="4"/>
        <v>71072.709999999992</v>
      </c>
      <c r="AV158" s="106">
        <v>71072.709999999992</v>
      </c>
      <c r="AW158" s="168">
        <f t="shared" si="3"/>
        <v>0</v>
      </c>
    </row>
    <row r="159" spans="1:52" x14ac:dyDescent="0.25">
      <c r="A159" s="110"/>
      <c r="B159" s="111"/>
      <c r="C159" s="109">
        <v>35102</v>
      </c>
      <c r="D159" s="132">
        <v>85166.754559999943</v>
      </c>
      <c r="E159" s="109">
        <v>35102</v>
      </c>
      <c r="G159" s="109">
        <v>35102</v>
      </c>
      <c r="I159" s="109">
        <v>35102</v>
      </c>
      <c r="K159" s="109">
        <v>35102</v>
      </c>
      <c r="L159" s="140"/>
      <c r="M159" s="109">
        <v>35102</v>
      </c>
      <c r="N159" s="174"/>
      <c r="O159" s="109">
        <v>35102</v>
      </c>
      <c r="P159" s="174"/>
      <c r="Q159" s="109">
        <v>35102</v>
      </c>
      <c r="R159" s="140"/>
      <c r="S159" s="109">
        <v>35102</v>
      </c>
      <c r="T159" s="140"/>
      <c r="U159" s="109">
        <v>35102</v>
      </c>
      <c r="V159" s="140"/>
      <c r="W159" s="109">
        <v>35102</v>
      </c>
      <c r="X159" s="140"/>
      <c r="Y159" s="109">
        <v>35102</v>
      </c>
      <c r="Z159" s="140"/>
      <c r="AA159" s="109">
        <v>35102</v>
      </c>
      <c r="AB159" s="140"/>
      <c r="AC159" s="109">
        <v>35102</v>
      </c>
      <c r="AD159" s="140"/>
      <c r="AE159" s="109">
        <v>35102</v>
      </c>
      <c r="AF159" s="140"/>
      <c r="AG159" s="109">
        <v>35102</v>
      </c>
      <c r="AH159" s="140"/>
      <c r="AI159" s="109">
        <v>35102</v>
      </c>
      <c r="AJ159" s="140"/>
      <c r="AK159" s="109">
        <v>35102</v>
      </c>
      <c r="AL159" s="140"/>
      <c r="AM159" s="109">
        <v>35102</v>
      </c>
      <c r="AN159" s="140"/>
      <c r="AO159" s="109">
        <v>35102</v>
      </c>
      <c r="AP159" s="140"/>
      <c r="AQ159" s="109">
        <v>35102</v>
      </c>
      <c r="AR159" s="140"/>
      <c r="AS159" s="109">
        <v>35102</v>
      </c>
      <c r="AT159" s="140"/>
      <c r="AU159" s="191">
        <f t="shared" si="4"/>
        <v>85166.754559999943</v>
      </c>
      <c r="AW159" s="169">
        <f t="shared" si="3"/>
        <v>85166.754559999943</v>
      </c>
    </row>
    <row r="160" spans="1:52" x14ac:dyDescent="0.25">
      <c r="A160" s="110"/>
      <c r="B160" s="111"/>
      <c r="C160" s="110"/>
      <c r="D160" s="132"/>
      <c r="E160" s="110"/>
      <c r="G160" s="110"/>
      <c r="I160" s="110"/>
      <c r="K160" s="110"/>
      <c r="L160" s="176"/>
      <c r="M160" s="110"/>
      <c r="N160" s="131"/>
      <c r="O160" s="110"/>
      <c r="P160" s="131"/>
      <c r="Q160" s="110"/>
      <c r="R160" s="176"/>
      <c r="S160" s="110"/>
      <c r="T160" s="176"/>
      <c r="U160" s="110"/>
      <c r="V160" s="176"/>
      <c r="W160" s="110"/>
      <c r="X160" s="176"/>
      <c r="Y160" s="110"/>
      <c r="Z160" s="176"/>
      <c r="AA160" s="110"/>
      <c r="AB160" s="176"/>
      <c r="AC160" s="110"/>
      <c r="AD160" s="176"/>
      <c r="AE160" s="110"/>
      <c r="AF160" s="176"/>
      <c r="AG160" s="110"/>
      <c r="AH160" s="176"/>
      <c r="AI160" s="110"/>
      <c r="AJ160" s="176"/>
      <c r="AK160" s="110"/>
      <c r="AL160" s="176"/>
      <c r="AM160" s="110"/>
      <c r="AN160" s="176"/>
      <c r="AO160" s="110"/>
      <c r="AP160" s="176"/>
      <c r="AQ160" s="110"/>
      <c r="AR160" s="176"/>
      <c r="AS160" s="110"/>
      <c r="AT160" s="176"/>
      <c r="AU160" s="191">
        <f t="shared" si="4"/>
        <v>0</v>
      </c>
      <c r="AW160" s="169">
        <f t="shared" si="3"/>
        <v>0</v>
      </c>
    </row>
    <row r="161" spans="1:52" x14ac:dyDescent="0.25">
      <c r="A161" s="110"/>
      <c r="B161" s="111"/>
      <c r="C161" s="110"/>
      <c r="D161" s="132"/>
      <c r="E161" s="110"/>
      <c r="G161" s="109">
        <v>35201</v>
      </c>
      <c r="H161" s="106">
        <v>32480</v>
      </c>
      <c r="I161" s="109">
        <v>35201</v>
      </c>
      <c r="K161" s="109">
        <v>35201</v>
      </c>
      <c r="L161" s="140"/>
      <c r="M161" s="109">
        <v>35201</v>
      </c>
      <c r="N161" s="174"/>
      <c r="O161" s="109">
        <v>35201</v>
      </c>
      <c r="P161" s="174"/>
      <c r="Q161" s="109">
        <v>35201</v>
      </c>
      <c r="R161" s="140">
        <v>5000</v>
      </c>
      <c r="S161" s="109">
        <v>35201</v>
      </c>
      <c r="T161" s="140">
        <v>10800</v>
      </c>
      <c r="U161" s="109">
        <v>35201</v>
      </c>
      <c r="V161" s="140"/>
      <c r="W161" s="109">
        <v>35201</v>
      </c>
      <c r="X161" s="140"/>
      <c r="Y161" s="109">
        <v>35201</v>
      </c>
      <c r="Z161" s="140"/>
      <c r="AA161" s="109">
        <v>35201</v>
      </c>
      <c r="AB161" s="140"/>
      <c r="AC161" s="109">
        <v>35201</v>
      </c>
      <c r="AD161" s="140"/>
      <c r="AE161" s="109">
        <v>35201</v>
      </c>
      <c r="AF161" s="140"/>
      <c r="AG161" s="109">
        <v>35201</v>
      </c>
      <c r="AH161" s="140"/>
      <c r="AI161" s="109">
        <v>35201</v>
      </c>
      <c r="AJ161" s="140"/>
      <c r="AK161" s="109">
        <v>35201</v>
      </c>
      <c r="AL161" s="140"/>
      <c r="AM161" s="109">
        <v>35201</v>
      </c>
      <c r="AN161" s="140"/>
      <c r="AO161" s="109">
        <v>35201</v>
      </c>
      <c r="AP161" s="140"/>
      <c r="AQ161" s="109">
        <v>35201</v>
      </c>
      <c r="AR161" s="140"/>
      <c r="AS161" s="109">
        <v>35201</v>
      </c>
      <c r="AT161" s="140"/>
      <c r="AU161" s="191">
        <f t="shared" si="4"/>
        <v>48280</v>
      </c>
      <c r="AW161" s="169">
        <f t="shared" si="3"/>
        <v>48280</v>
      </c>
    </row>
    <row r="162" spans="1:52" x14ac:dyDescent="0.25">
      <c r="A162" s="110"/>
      <c r="B162" s="111"/>
      <c r="C162" s="110"/>
      <c r="D162" s="132"/>
      <c r="E162" s="110"/>
      <c r="G162" s="110"/>
      <c r="I162" s="110"/>
      <c r="K162" s="110"/>
      <c r="L162" s="176"/>
      <c r="M162" s="110"/>
      <c r="N162" s="131"/>
      <c r="O162" s="110"/>
      <c r="P162" s="131"/>
      <c r="Q162" s="110"/>
      <c r="R162" s="176"/>
      <c r="S162" s="110"/>
      <c r="T162" s="176"/>
      <c r="U162" s="110"/>
      <c r="V162" s="176"/>
      <c r="W162" s="110"/>
      <c r="X162" s="176"/>
      <c r="Y162" s="110"/>
      <c r="Z162" s="176"/>
      <c r="AA162" s="110"/>
      <c r="AB162" s="176"/>
      <c r="AC162" s="110"/>
      <c r="AD162" s="176"/>
      <c r="AE162" s="110"/>
      <c r="AF162" s="176"/>
      <c r="AG162" s="110"/>
      <c r="AH162" s="176"/>
      <c r="AI162" s="110"/>
      <c r="AJ162" s="176"/>
      <c r="AK162" s="110"/>
      <c r="AL162" s="176"/>
      <c r="AM162" s="110"/>
      <c r="AN162" s="176"/>
      <c r="AO162" s="110"/>
      <c r="AP162" s="176"/>
      <c r="AQ162" s="110"/>
      <c r="AR162" s="176"/>
      <c r="AS162" s="110"/>
      <c r="AT162" s="176"/>
      <c r="AU162" s="191">
        <f t="shared" si="4"/>
        <v>0</v>
      </c>
      <c r="AW162" s="169">
        <f t="shared" si="3"/>
        <v>0</v>
      </c>
    </row>
    <row r="163" spans="1:52" x14ac:dyDescent="0.25">
      <c r="A163" s="109">
        <v>35301</v>
      </c>
      <c r="B163" s="111">
        <v>13500</v>
      </c>
      <c r="C163" s="109">
        <v>35301</v>
      </c>
      <c r="D163" s="132"/>
      <c r="E163" s="109">
        <v>35301</v>
      </c>
      <c r="G163" s="109">
        <v>35301</v>
      </c>
      <c r="I163" s="109">
        <v>35301</v>
      </c>
      <c r="K163" s="109">
        <v>35301</v>
      </c>
      <c r="L163" s="140"/>
      <c r="M163" s="109">
        <v>35301</v>
      </c>
      <c r="N163" s="174">
        <v>14000</v>
      </c>
      <c r="O163" s="109">
        <v>35301</v>
      </c>
      <c r="P163" s="174"/>
      <c r="Q163" s="109">
        <v>35301</v>
      </c>
      <c r="R163" s="140"/>
      <c r="S163" s="109">
        <v>35301</v>
      </c>
      <c r="T163" s="140"/>
      <c r="U163" s="109">
        <v>35301</v>
      </c>
      <c r="V163" s="140"/>
      <c r="W163" s="109">
        <v>35301</v>
      </c>
      <c r="X163" s="140"/>
      <c r="Y163" s="109">
        <v>35301</v>
      </c>
      <c r="Z163" s="140"/>
      <c r="AA163" s="109">
        <v>35301</v>
      </c>
      <c r="AB163" s="140"/>
      <c r="AC163" s="109">
        <v>35301</v>
      </c>
      <c r="AD163" s="140"/>
      <c r="AE163" s="109">
        <v>35301</v>
      </c>
      <c r="AF163" s="140"/>
      <c r="AG163" s="109">
        <v>35301</v>
      </c>
      <c r="AH163" s="140"/>
      <c r="AI163" s="109">
        <v>35301</v>
      </c>
      <c r="AJ163" s="140"/>
      <c r="AK163" s="109">
        <v>35301</v>
      </c>
      <c r="AL163" s="140"/>
      <c r="AM163" s="109">
        <v>35301</v>
      </c>
      <c r="AN163" s="140"/>
      <c r="AO163" s="109">
        <v>35301</v>
      </c>
      <c r="AP163" s="140"/>
      <c r="AQ163" s="109">
        <v>35301</v>
      </c>
      <c r="AR163" s="140"/>
      <c r="AS163" s="109">
        <v>35301</v>
      </c>
      <c r="AT163" s="140">
        <v>12000</v>
      </c>
      <c r="AU163" s="191">
        <f t="shared" si="4"/>
        <v>39500</v>
      </c>
      <c r="AV163" s="106">
        <v>39500</v>
      </c>
      <c r="AW163" s="169">
        <f t="shared" si="3"/>
        <v>0</v>
      </c>
    </row>
    <row r="164" spans="1:52" x14ac:dyDescent="0.25">
      <c r="A164" s="109"/>
      <c r="B164" s="111"/>
      <c r="C164" s="109"/>
      <c r="D164" s="132"/>
      <c r="E164" s="109"/>
      <c r="G164" s="109"/>
      <c r="I164" s="109"/>
      <c r="K164" s="109"/>
      <c r="L164" s="140"/>
      <c r="M164" s="109"/>
      <c r="N164" s="174"/>
      <c r="O164" s="109"/>
      <c r="P164" s="174"/>
      <c r="Q164" s="109"/>
      <c r="R164" s="140"/>
      <c r="S164" s="109"/>
      <c r="T164" s="140"/>
      <c r="U164" s="109"/>
      <c r="V164" s="140"/>
      <c r="W164" s="109"/>
      <c r="X164" s="140"/>
      <c r="Y164" s="109"/>
      <c r="Z164" s="140"/>
      <c r="AA164" s="109"/>
      <c r="AB164" s="140"/>
      <c r="AC164" s="109"/>
      <c r="AD164" s="140"/>
      <c r="AE164" s="109"/>
      <c r="AF164" s="140"/>
      <c r="AG164" s="109"/>
      <c r="AH164" s="140"/>
      <c r="AI164" s="109"/>
      <c r="AJ164" s="140"/>
      <c r="AK164" s="109">
        <v>35401</v>
      </c>
      <c r="AL164" s="140">
        <v>21000</v>
      </c>
      <c r="AM164" s="109">
        <v>35401</v>
      </c>
      <c r="AN164" s="140"/>
      <c r="AO164" s="109">
        <v>35401</v>
      </c>
      <c r="AP164" s="140">
        <v>6000</v>
      </c>
      <c r="AQ164" s="109">
        <v>35401</v>
      </c>
      <c r="AR164" s="140"/>
      <c r="AS164" s="109">
        <v>35401</v>
      </c>
      <c r="AT164" s="140">
        <v>3718.17</v>
      </c>
      <c r="AU164" s="191">
        <f t="shared" si="4"/>
        <v>30718.17</v>
      </c>
      <c r="AV164" s="106">
        <v>30718.17</v>
      </c>
      <c r="AW164" s="169">
        <f t="shared" si="3"/>
        <v>0</v>
      </c>
    </row>
    <row r="165" spans="1:52" x14ac:dyDescent="0.25">
      <c r="A165" s="110"/>
      <c r="B165" s="111"/>
      <c r="C165" s="110"/>
      <c r="D165" s="132"/>
      <c r="E165" s="110"/>
      <c r="G165" s="110"/>
      <c r="I165" s="110"/>
      <c r="K165" s="110"/>
      <c r="L165" s="176"/>
      <c r="M165" s="110"/>
      <c r="N165" s="131"/>
      <c r="O165" s="110"/>
      <c r="P165" s="131"/>
      <c r="Q165" s="110"/>
      <c r="R165" s="176"/>
      <c r="S165" s="110"/>
      <c r="T165" s="176"/>
      <c r="U165" s="110"/>
      <c r="V165" s="176"/>
      <c r="W165" s="110"/>
      <c r="X165" s="176"/>
      <c r="Y165" s="110"/>
      <c r="Z165" s="176"/>
      <c r="AA165" s="110"/>
      <c r="AB165" s="176"/>
      <c r="AC165" s="110"/>
      <c r="AD165" s="176"/>
      <c r="AE165" s="110"/>
      <c r="AF165" s="176"/>
      <c r="AG165" s="110"/>
      <c r="AH165" s="176"/>
      <c r="AI165" s="110"/>
      <c r="AJ165" s="176"/>
      <c r="AK165" s="110"/>
      <c r="AL165" s="176"/>
      <c r="AM165" s="110"/>
      <c r="AN165" s="176"/>
      <c r="AO165" s="110"/>
      <c r="AP165" s="176"/>
      <c r="AQ165" s="110"/>
      <c r="AR165" s="176"/>
      <c r="AS165" s="110"/>
      <c r="AT165" s="176"/>
      <c r="AU165" s="191">
        <f t="shared" si="4"/>
        <v>0</v>
      </c>
      <c r="AW165" s="169">
        <f t="shared" si="3"/>
        <v>0</v>
      </c>
    </row>
    <row r="166" spans="1:52" x14ac:dyDescent="0.25">
      <c r="A166" s="110"/>
      <c r="B166" s="111"/>
      <c r="C166" s="110"/>
      <c r="D166" s="132"/>
      <c r="E166" s="110"/>
      <c r="G166" s="110"/>
      <c r="I166" s="110"/>
      <c r="K166" s="110"/>
      <c r="L166" s="176"/>
      <c r="M166" s="110"/>
      <c r="N166" s="131"/>
      <c r="O166" s="110"/>
      <c r="P166" s="131"/>
      <c r="Q166" s="110"/>
      <c r="R166" s="176"/>
      <c r="S166" s="109">
        <v>35501</v>
      </c>
      <c r="T166" s="176">
        <v>7012.05</v>
      </c>
      <c r="U166" s="109">
        <v>35501</v>
      </c>
      <c r="V166" s="176"/>
      <c r="W166" s="109">
        <v>35501</v>
      </c>
      <c r="X166" s="176"/>
      <c r="Y166" s="109">
        <v>35501</v>
      </c>
      <c r="Z166" s="176"/>
      <c r="AA166" s="109">
        <v>35501</v>
      </c>
      <c r="AB166" s="176"/>
      <c r="AC166" s="109">
        <v>35501</v>
      </c>
      <c r="AD166" s="176"/>
      <c r="AE166" s="109">
        <v>35501</v>
      </c>
      <c r="AF166" s="176"/>
      <c r="AG166" s="109">
        <v>35501</v>
      </c>
      <c r="AH166" s="176"/>
      <c r="AI166" s="109">
        <v>35501</v>
      </c>
      <c r="AJ166" s="176"/>
      <c r="AK166" s="109">
        <v>35501</v>
      </c>
      <c r="AL166" s="176"/>
      <c r="AM166" s="109">
        <v>35501</v>
      </c>
      <c r="AN166" s="176"/>
      <c r="AO166" s="109">
        <v>35501</v>
      </c>
      <c r="AP166" s="176"/>
      <c r="AQ166" s="109">
        <v>35501</v>
      </c>
      <c r="AR166" s="176"/>
      <c r="AS166" s="109">
        <v>35501</v>
      </c>
      <c r="AT166" s="176">
        <v>36900</v>
      </c>
      <c r="AU166" s="191">
        <f t="shared" si="4"/>
        <v>43912.05</v>
      </c>
      <c r="AV166" s="106">
        <v>43912.05</v>
      </c>
      <c r="AW166" s="169">
        <f t="shared" si="3"/>
        <v>0</v>
      </c>
    </row>
    <row r="167" spans="1:52" x14ac:dyDescent="0.25">
      <c r="A167" s="110"/>
      <c r="B167" s="111"/>
      <c r="C167" s="110"/>
      <c r="D167" s="132"/>
      <c r="E167" s="110"/>
      <c r="G167" s="110"/>
      <c r="I167" s="110"/>
      <c r="K167" s="110"/>
      <c r="L167" s="176"/>
      <c r="M167" s="110"/>
      <c r="N167" s="131"/>
      <c r="O167" s="110"/>
      <c r="P167" s="131"/>
      <c r="Q167" s="110"/>
      <c r="R167" s="176"/>
      <c r="S167" s="110"/>
      <c r="T167" s="176"/>
      <c r="U167" s="110"/>
      <c r="V167" s="176"/>
      <c r="W167" s="110"/>
      <c r="X167" s="176"/>
      <c r="Y167" s="110"/>
      <c r="Z167" s="176"/>
      <c r="AA167" s="110"/>
      <c r="AB167" s="176"/>
      <c r="AC167" s="110"/>
      <c r="AD167" s="176"/>
      <c r="AE167" s="110"/>
      <c r="AF167" s="176"/>
      <c r="AG167" s="110"/>
      <c r="AH167" s="176"/>
      <c r="AI167" s="110"/>
      <c r="AJ167" s="176"/>
      <c r="AK167" s="110"/>
      <c r="AL167" s="176"/>
      <c r="AM167" s="110"/>
      <c r="AN167" s="176"/>
      <c r="AO167" s="110"/>
      <c r="AP167" s="176"/>
      <c r="AQ167" s="110"/>
      <c r="AR167" s="176"/>
      <c r="AS167" s="110"/>
      <c r="AT167" s="176"/>
      <c r="AU167" s="191">
        <f t="shared" si="4"/>
        <v>0</v>
      </c>
      <c r="AW167" s="169">
        <f t="shared" si="3"/>
        <v>0</v>
      </c>
    </row>
    <row r="168" spans="1:52" x14ac:dyDescent="0.25">
      <c r="A168" s="110"/>
      <c r="B168" s="111"/>
      <c r="C168" s="109">
        <v>35701</v>
      </c>
      <c r="D168" s="132">
        <v>58577.679999999993</v>
      </c>
      <c r="E168" s="109">
        <v>35701</v>
      </c>
      <c r="G168" s="109">
        <v>35701</v>
      </c>
      <c r="I168" s="109">
        <v>35701</v>
      </c>
      <c r="K168" s="109">
        <v>35701</v>
      </c>
      <c r="L168" s="140"/>
      <c r="M168" s="109">
        <v>35701</v>
      </c>
      <c r="N168" s="174"/>
      <c r="O168" s="109">
        <v>35701</v>
      </c>
      <c r="P168" s="174"/>
      <c r="Q168" s="109">
        <v>35701</v>
      </c>
      <c r="R168" s="140"/>
      <c r="S168" s="109">
        <v>35701</v>
      </c>
      <c r="T168" s="140"/>
      <c r="U168" s="109">
        <v>35701</v>
      </c>
      <c r="V168" s="140"/>
      <c r="W168" s="109">
        <v>35701</v>
      </c>
      <c r="X168" s="140"/>
      <c r="Y168" s="109">
        <v>35701</v>
      </c>
      <c r="Z168" s="140"/>
      <c r="AA168" s="109">
        <v>35701</v>
      </c>
      <c r="AB168" s="140"/>
      <c r="AC168" s="109">
        <v>35701</v>
      </c>
      <c r="AD168" s="140"/>
      <c r="AE168" s="109">
        <v>35701</v>
      </c>
      <c r="AF168" s="140"/>
      <c r="AG168" s="109">
        <v>35701</v>
      </c>
      <c r="AH168" s="140"/>
      <c r="AI168" s="109">
        <v>35701</v>
      </c>
      <c r="AJ168" s="140"/>
      <c r="AK168" s="109">
        <v>35701</v>
      </c>
      <c r="AL168" s="140"/>
      <c r="AM168" s="109">
        <v>35701</v>
      </c>
      <c r="AN168" s="140"/>
      <c r="AO168" s="109">
        <v>35701</v>
      </c>
      <c r="AP168" s="140"/>
      <c r="AQ168" s="109">
        <v>35701</v>
      </c>
      <c r="AR168" s="140"/>
      <c r="AS168" s="109">
        <v>35701</v>
      </c>
      <c r="AT168" s="140">
        <v>16883.64</v>
      </c>
      <c r="AU168" s="191">
        <f t="shared" si="4"/>
        <v>75461.319999999992</v>
      </c>
      <c r="AV168" s="106">
        <v>75461.320800000001</v>
      </c>
      <c r="AW168" s="169">
        <f t="shared" si="3"/>
        <v>-8.0000000889413059E-4</v>
      </c>
    </row>
    <row r="169" spans="1:52" x14ac:dyDescent="0.25">
      <c r="A169" s="110"/>
      <c r="B169" s="111"/>
      <c r="C169" s="110"/>
      <c r="D169" s="132"/>
      <c r="E169" s="110"/>
      <c r="G169" s="110"/>
      <c r="I169" s="110"/>
      <c r="K169" s="110"/>
      <c r="L169" s="176"/>
      <c r="M169" s="110"/>
      <c r="N169" s="131"/>
      <c r="O169" s="110"/>
      <c r="P169" s="131"/>
      <c r="Q169" s="110"/>
      <c r="R169" s="176"/>
      <c r="S169" s="110"/>
      <c r="T169" s="176"/>
      <c r="U169" s="110"/>
      <c r="V169" s="176"/>
      <c r="W169" s="110"/>
      <c r="X169" s="176"/>
      <c r="Y169" s="110"/>
      <c r="Z169" s="176"/>
      <c r="AA169" s="110"/>
      <c r="AB169" s="176"/>
      <c r="AC169" s="110"/>
      <c r="AD169" s="176"/>
      <c r="AE169" s="110"/>
      <c r="AF169" s="176"/>
      <c r="AG169" s="110"/>
      <c r="AH169" s="176"/>
      <c r="AI169" s="110"/>
      <c r="AJ169" s="176"/>
      <c r="AK169" s="110"/>
      <c r="AL169" s="176"/>
      <c r="AM169" s="110"/>
      <c r="AN169" s="176"/>
      <c r="AO169" s="110"/>
      <c r="AP169" s="176"/>
      <c r="AQ169" s="110"/>
      <c r="AR169" s="176"/>
      <c r="AS169" s="110"/>
      <c r="AT169" s="176"/>
      <c r="AU169" s="191">
        <f t="shared" si="4"/>
        <v>0</v>
      </c>
      <c r="AW169" s="169">
        <f t="shared" ref="AW169:AW241" si="5">AU169-AV169</f>
        <v>0</v>
      </c>
    </row>
    <row r="170" spans="1:52" x14ac:dyDescent="0.25">
      <c r="A170" s="110"/>
      <c r="B170" s="111"/>
      <c r="C170" s="109">
        <v>35801</v>
      </c>
      <c r="D170" s="132">
        <v>5800</v>
      </c>
      <c r="E170" s="109">
        <v>35801</v>
      </c>
      <c r="G170" s="109">
        <v>35801</v>
      </c>
      <c r="I170" s="109">
        <v>35801</v>
      </c>
      <c r="K170" s="109">
        <v>35801</v>
      </c>
      <c r="L170" s="140"/>
      <c r="M170" s="109">
        <v>35801</v>
      </c>
      <c r="N170" s="174"/>
      <c r="O170" s="109">
        <v>35801</v>
      </c>
      <c r="P170" s="174"/>
      <c r="Q170" s="109">
        <v>35801</v>
      </c>
      <c r="R170" s="140">
        <v>2200</v>
      </c>
      <c r="S170" s="109">
        <v>35801</v>
      </c>
      <c r="T170" s="140"/>
      <c r="U170" s="109">
        <v>35801</v>
      </c>
      <c r="V170" s="140"/>
      <c r="W170" s="109">
        <v>35801</v>
      </c>
      <c r="X170" s="140"/>
      <c r="Y170" s="109">
        <v>35801</v>
      </c>
      <c r="Z170" s="140"/>
      <c r="AA170" s="109">
        <v>35801</v>
      </c>
      <c r="AB170" s="140"/>
      <c r="AC170" s="109">
        <v>35801</v>
      </c>
      <c r="AD170" s="140"/>
      <c r="AE170" s="109">
        <v>35801</v>
      </c>
      <c r="AF170" s="140"/>
      <c r="AG170" s="109">
        <v>35801</v>
      </c>
      <c r="AH170" s="140"/>
      <c r="AI170" s="109">
        <v>35801</v>
      </c>
      <c r="AJ170" s="140"/>
      <c r="AK170" s="109">
        <v>35801</v>
      </c>
      <c r="AL170" s="140">
        <v>1520</v>
      </c>
      <c r="AM170" s="109">
        <v>35801</v>
      </c>
      <c r="AN170" s="140"/>
      <c r="AO170" s="109">
        <v>35801</v>
      </c>
      <c r="AP170" s="140">
        <v>6500</v>
      </c>
      <c r="AQ170" s="109">
        <v>35801</v>
      </c>
      <c r="AR170" s="140"/>
      <c r="AS170" s="109">
        <v>35801</v>
      </c>
      <c r="AT170" s="140"/>
      <c r="AU170" s="191">
        <f t="shared" si="4"/>
        <v>16020</v>
      </c>
      <c r="AW170" s="169">
        <f t="shared" si="5"/>
        <v>16020</v>
      </c>
    </row>
    <row r="171" spans="1:52" x14ac:dyDescent="0.25">
      <c r="A171" s="110"/>
      <c r="B171" s="111"/>
      <c r="C171" s="110"/>
      <c r="D171" s="132"/>
      <c r="E171" s="110"/>
      <c r="G171" s="110"/>
      <c r="I171" s="110"/>
      <c r="K171" s="110"/>
      <c r="L171" s="176"/>
      <c r="M171" s="110"/>
      <c r="N171" s="131"/>
      <c r="O171" s="110"/>
      <c r="P171" s="131"/>
      <c r="Q171" s="110"/>
      <c r="R171" s="176"/>
      <c r="S171" s="110"/>
      <c r="T171" s="176"/>
      <c r="U171" s="110"/>
      <c r="V171" s="176"/>
      <c r="W171" s="110"/>
      <c r="X171" s="176"/>
      <c r="Y171" s="110"/>
      <c r="Z171" s="176"/>
      <c r="AA171" s="110"/>
      <c r="AB171" s="176"/>
      <c r="AC171" s="110"/>
      <c r="AD171" s="176"/>
      <c r="AE171" s="110"/>
      <c r="AF171" s="176"/>
      <c r="AG171" s="110"/>
      <c r="AH171" s="176"/>
      <c r="AI171" s="110"/>
      <c r="AJ171" s="176"/>
      <c r="AK171" s="110"/>
      <c r="AL171" s="176"/>
      <c r="AM171" s="110"/>
      <c r="AN171" s="176"/>
      <c r="AO171" s="110"/>
      <c r="AP171" s="176"/>
      <c r="AQ171" s="110"/>
      <c r="AR171" s="176"/>
      <c r="AS171" s="109">
        <v>35802</v>
      </c>
      <c r="AT171" s="176">
        <v>12000</v>
      </c>
      <c r="AU171" s="191">
        <f t="shared" si="4"/>
        <v>12000</v>
      </c>
      <c r="AV171" s="106">
        <v>12000</v>
      </c>
      <c r="AW171" s="169">
        <f t="shared" si="5"/>
        <v>0</v>
      </c>
    </row>
    <row r="172" spans="1:52" x14ac:dyDescent="0.25">
      <c r="A172" s="110"/>
      <c r="B172" s="111"/>
      <c r="C172" s="110"/>
      <c r="D172" s="132"/>
      <c r="E172" s="110"/>
      <c r="G172" s="110"/>
      <c r="I172" s="110"/>
      <c r="K172" s="110"/>
      <c r="L172" s="176"/>
      <c r="M172" s="110"/>
      <c r="N172" s="131"/>
      <c r="O172" s="110"/>
      <c r="P172" s="131"/>
      <c r="Q172" s="110"/>
      <c r="R172" s="176"/>
      <c r="S172" s="110"/>
      <c r="T172" s="176"/>
      <c r="U172" s="110"/>
      <c r="V172" s="176"/>
      <c r="W172" s="110"/>
      <c r="X172" s="176"/>
      <c r="Y172" s="110"/>
      <c r="Z172" s="176"/>
      <c r="AA172" s="110"/>
      <c r="AB172" s="176"/>
      <c r="AC172" s="110"/>
      <c r="AD172" s="176"/>
      <c r="AE172" s="110"/>
      <c r="AF172" s="176"/>
      <c r="AG172" s="110"/>
      <c r="AH172" s="176"/>
      <c r="AI172" s="110"/>
      <c r="AJ172" s="176"/>
      <c r="AK172" s="110"/>
      <c r="AL172" s="176"/>
      <c r="AM172" s="110"/>
      <c r="AN172" s="176"/>
      <c r="AO172" s="110"/>
      <c r="AP172" s="176"/>
      <c r="AQ172" s="110"/>
      <c r="AR172" s="176"/>
      <c r="AS172" s="110"/>
      <c r="AT172" s="176"/>
      <c r="AU172" s="191"/>
      <c r="AW172" s="169"/>
    </row>
    <row r="173" spans="1:52" x14ac:dyDescent="0.25">
      <c r="A173" s="110"/>
      <c r="B173" s="111"/>
      <c r="C173" s="109">
        <v>35901</v>
      </c>
      <c r="D173" s="132">
        <v>194216.48</v>
      </c>
      <c r="E173" s="109">
        <v>35901</v>
      </c>
      <c r="F173" s="139">
        <v>31389.599999999999</v>
      </c>
      <c r="G173" s="109">
        <v>35901</v>
      </c>
      <c r="H173" s="106">
        <v>13515.21</v>
      </c>
      <c r="I173" s="109">
        <v>35901</v>
      </c>
      <c r="K173" s="109">
        <v>35901</v>
      </c>
      <c r="L173" s="140"/>
      <c r="M173" s="109">
        <v>35901</v>
      </c>
      <c r="N173" s="174"/>
      <c r="O173" s="109">
        <v>35901</v>
      </c>
      <c r="P173" s="174"/>
      <c r="Q173" s="109">
        <v>35901</v>
      </c>
      <c r="R173" s="140"/>
      <c r="S173" s="109">
        <v>35901</v>
      </c>
      <c r="T173" s="140"/>
      <c r="U173" s="109">
        <v>35901</v>
      </c>
      <c r="V173" s="140"/>
      <c r="W173" s="109">
        <v>35901</v>
      </c>
      <c r="X173" s="140"/>
      <c r="Y173" s="109">
        <v>35901</v>
      </c>
      <c r="Z173" s="140"/>
      <c r="AA173" s="109">
        <v>35901</v>
      </c>
      <c r="AB173" s="140"/>
      <c r="AC173" s="109">
        <v>35901</v>
      </c>
      <c r="AD173" s="140"/>
      <c r="AE173" s="109">
        <v>35901</v>
      </c>
      <c r="AF173" s="140"/>
      <c r="AG173" s="109">
        <v>35901</v>
      </c>
      <c r="AH173" s="140"/>
      <c r="AI173" s="109">
        <v>35901</v>
      </c>
      <c r="AJ173" s="140"/>
      <c r="AK173" s="109">
        <v>35901</v>
      </c>
      <c r="AL173" s="140">
        <v>6514.56</v>
      </c>
      <c r="AM173" s="109">
        <v>35901</v>
      </c>
      <c r="AN173" s="140"/>
      <c r="AO173" s="109">
        <v>35901</v>
      </c>
      <c r="AP173" s="140">
        <v>49410.400000000001</v>
      </c>
      <c r="AQ173" s="109">
        <v>35901</v>
      </c>
      <c r="AR173" s="140">
        <v>17438.975999999999</v>
      </c>
      <c r="AS173" s="109">
        <v>35901</v>
      </c>
      <c r="AT173" s="140">
        <v>17400</v>
      </c>
      <c r="AU173" s="191">
        <f t="shared" si="4"/>
        <v>329885.22600000002</v>
      </c>
      <c r="AV173" s="106">
        <v>329885.23</v>
      </c>
      <c r="AW173" s="169">
        <f t="shared" si="5"/>
        <v>-3.9999999571591616E-3</v>
      </c>
    </row>
    <row r="174" spans="1:52" x14ac:dyDescent="0.25">
      <c r="A174" s="110"/>
      <c r="B174" s="111"/>
      <c r="C174" s="110"/>
      <c r="D174" s="132"/>
      <c r="E174" s="110"/>
      <c r="G174" s="110"/>
      <c r="I174" s="110"/>
      <c r="K174" s="110"/>
      <c r="L174" s="176"/>
      <c r="M174" s="110"/>
      <c r="N174" s="131"/>
      <c r="O174" s="110"/>
      <c r="P174" s="131"/>
      <c r="Q174" s="110"/>
      <c r="R174" s="176"/>
      <c r="S174" s="110"/>
      <c r="T174" s="176"/>
      <c r="U174" s="110"/>
      <c r="V174" s="176"/>
      <c r="W174" s="110"/>
      <c r="X174" s="176"/>
      <c r="Y174" s="110"/>
      <c r="Z174" s="176"/>
      <c r="AA174" s="110"/>
      <c r="AB174" s="176"/>
      <c r="AC174" s="110"/>
      <c r="AD174" s="176"/>
      <c r="AE174" s="110"/>
      <c r="AF174" s="176"/>
      <c r="AG174" s="110"/>
      <c r="AH174" s="176"/>
      <c r="AI174" s="110"/>
      <c r="AJ174" s="176"/>
      <c r="AK174" s="110"/>
      <c r="AL174" s="176"/>
      <c r="AM174" s="110"/>
      <c r="AN174" s="176"/>
      <c r="AO174" s="110"/>
      <c r="AP174" s="176"/>
      <c r="AQ174" s="110"/>
      <c r="AR174" s="176"/>
      <c r="AS174" s="110"/>
      <c r="AT174" s="176"/>
      <c r="AU174" s="191">
        <f t="shared" si="4"/>
        <v>0</v>
      </c>
      <c r="AW174" s="169">
        <f t="shared" si="5"/>
        <v>0</v>
      </c>
    </row>
    <row r="175" spans="1:52" ht="15.75" customHeight="1" x14ac:dyDescent="0.25">
      <c r="A175" s="110"/>
      <c r="B175" s="111"/>
      <c r="C175" s="110"/>
      <c r="D175" s="132"/>
      <c r="E175" s="109">
        <v>36101</v>
      </c>
      <c r="F175" s="139">
        <v>9391.91</v>
      </c>
      <c r="G175" s="109">
        <v>36101</v>
      </c>
      <c r="H175" s="106">
        <v>1600</v>
      </c>
      <c r="I175" s="109">
        <v>36101</v>
      </c>
      <c r="K175" s="109">
        <v>36101</v>
      </c>
      <c r="L175" s="140"/>
      <c r="M175" s="109">
        <v>36101</v>
      </c>
      <c r="N175" s="174"/>
      <c r="O175" s="109">
        <v>36101</v>
      </c>
      <c r="P175" s="174"/>
      <c r="Q175" s="109">
        <v>36101</v>
      </c>
      <c r="R175" s="140"/>
      <c r="S175" s="109">
        <v>36101</v>
      </c>
      <c r="T175" s="140"/>
      <c r="U175" s="109">
        <v>36101</v>
      </c>
      <c r="V175" s="140"/>
      <c r="W175" s="109">
        <v>36101</v>
      </c>
      <c r="X175" s="140"/>
      <c r="Y175" s="109">
        <v>36101</v>
      </c>
      <c r="Z175" s="140"/>
      <c r="AA175" s="109">
        <v>36101</v>
      </c>
      <c r="AB175" s="140"/>
      <c r="AC175" s="109">
        <v>36101</v>
      </c>
      <c r="AD175" s="140"/>
      <c r="AE175" s="109">
        <v>36101</v>
      </c>
      <c r="AF175" s="140">
        <v>6080</v>
      </c>
      <c r="AG175" s="109">
        <v>36101</v>
      </c>
      <c r="AH175" s="140"/>
      <c r="AI175" s="109">
        <v>36101</v>
      </c>
      <c r="AJ175" s="140"/>
      <c r="AK175" s="109">
        <v>36101</v>
      </c>
      <c r="AL175" s="140"/>
      <c r="AM175" s="109">
        <v>36101</v>
      </c>
      <c r="AN175" s="140"/>
      <c r="AO175" s="109">
        <v>36101</v>
      </c>
      <c r="AP175" s="140"/>
      <c r="AQ175" s="109">
        <v>36101</v>
      </c>
      <c r="AR175" s="140">
        <v>5336</v>
      </c>
      <c r="AS175" s="109">
        <v>36101</v>
      </c>
      <c r="AT175" s="140"/>
      <c r="AU175" s="191">
        <f t="shared" si="4"/>
        <v>22407.91</v>
      </c>
      <c r="AW175" s="169">
        <f t="shared" si="5"/>
        <v>22407.91</v>
      </c>
    </row>
    <row r="176" spans="1:52" s="108" customFormat="1" x14ac:dyDescent="0.25">
      <c r="A176" s="130"/>
      <c r="B176" s="131"/>
      <c r="C176" s="130"/>
      <c r="D176" s="177"/>
      <c r="E176" s="112"/>
      <c r="F176" s="142"/>
      <c r="G176" s="112"/>
      <c r="H176" s="160"/>
      <c r="I176" s="112"/>
      <c r="J176" s="160"/>
      <c r="K176" s="112"/>
      <c r="L176" s="140"/>
      <c r="M176" s="112"/>
      <c r="N176" s="174"/>
      <c r="O176" s="112"/>
      <c r="P176" s="174"/>
      <c r="Q176" s="112"/>
      <c r="R176" s="140"/>
      <c r="S176" s="112"/>
      <c r="T176" s="140"/>
      <c r="U176" s="112"/>
      <c r="V176" s="140"/>
      <c r="W176" s="112"/>
      <c r="X176" s="140"/>
      <c r="Y176" s="112"/>
      <c r="Z176" s="140"/>
      <c r="AA176" s="112"/>
      <c r="AB176" s="140"/>
      <c r="AC176" s="112"/>
      <c r="AD176" s="140"/>
      <c r="AE176" s="112"/>
      <c r="AF176" s="140"/>
      <c r="AG176" s="112"/>
      <c r="AH176" s="140"/>
      <c r="AI176" s="112"/>
      <c r="AJ176" s="140"/>
      <c r="AK176" s="112"/>
      <c r="AL176" s="140"/>
      <c r="AM176" s="112"/>
      <c r="AN176" s="140"/>
      <c r="AO176" s="112"/>
      <c r="AP176" s="140"/>
      <c r="AQ176" s="112"/>
      <c r="AR176" s="140"/>
      <c r="AS176" s="112"/>
      <c r="AT176" s="140"/>
      <c r="AU176" s="191">
        <f t="shared" si="4"/>
        <v>0</v>
      </c>
      <c r="AV176" s="160"/>
      <c r="AW176" s="169">
        <f t="shared" si="5"/>
        <v>0</v>
      </c>
      <c r="AZ176" s="246"/>
    </row>
    <row r="177" spans="1:49" x14ac:dyDescent="0.25">
      <c r="A177" s="110"/>
      <c r="B177" s="111"/>
      <c r="C177" s="110"/>
      <c r="D177" s="132"/>
      <c r="E177" s="109"/>
      <c r="G177" s="109"/>
      <c r="I177" s="109"/>
      <c r="K177" s="109"/>
      <c r="L177" s="140"/>
      <c r="M177" s="109"/>
      <c r="N177" s="174"/>
      <c r="O177" s="109"/>
      <c r="P177" s="174"/>
      <c r="Q177" s="109"/>
      <c r="R177" s="140"/>
      <c r="S177" s="109"/>
      <c r="T177" s="140"/>
      <c r="U177" s="109">
        <v>36201</v>
      </c>
      <c r="V177" s="140">
        <v>3128</v>
      </c>
      <c r="W177" s="109">
        <v>36201</v>
      </c>
      <c r="X177" s="140"/>
      <c r="Y177" s="109">
        <v>36201</v>
      </c>
      <c r="Z177" s="140"/>
      <c r="AA177" s="109">
        <v>36201</v>
      </c>
      <c r="AB177" s="140"/>
      <c r="AC177" s="109">
        <v>36201</v>
      </c>
      <c r="AD177" s="140"/>
      <c r="AE177" s="109">
        <v>36201</v>
      </c>
      <c r="AF177" s="140"/>
      <c r="AG177" s="109">
        <v>36201</v>
      </c>
      <c r="AH177" s="140"/>
      <c r="AI177" s="109">
        <v>36201</v>
      </c>
      <c r="AJ177" s="140"/>
      <c r="AK177" s="109">
        <v>36201</v>
      </c>
      <c r="AL177" s="140"/>
      <c r="AM177" s="109">
        <v>36201</v>
      </c>
      <c r="AN177" s="140"/>
      <c r="AO177" s="109">
        <v>36201</v>
      </c>
      <c r="AP177" s="140"/>
      <c r="AQ177" s="109">
        <v>36201</v>
      </c>
      <c r="AR177" s="140"/>
      <c r="AS177" s="109">
        <v>36201</v>
      </c>
      <c r="AT177" s="140"/>
      <c r="AU177" s="191">
        <f t="shared" si="4"/>
        <v>3128</v>
      </c>
      <c r="AW177" s="169">
        <f t="shared" si="5"/>
        <v>3128</v>
      </c>
    </row>
    <row r="178" spans="1:49" x14ac:dyDescent="0.25">
      <c r="A178" s="110"/>
      <c r="B178" s="111"/>
      <c r="C178" s="110"/>
      <c r="D178" s="132"/>
      <c r="E178" s="110"/>
      <c r="G178" s="110"/>
      <c r="I178" s="110"/>
      <c r="K178" s="110"/>
      <c r="L178" s="176"/>
      <c r="M178" s="110"/>
      <c r="N178" s="131"/>
      <c r="O178" s="110"/>
      <c r="P178" s="131"/>
      <c r="Q178" s="110"/>
      <c r="R178" s="176"/>
      <c r="S178" s="110"/>
      <c r="T178" s="176"/>
      <c r="U178" s="110"/>
      <c r="V178" s="176"/>
      <c r="W178" s="110"/>
      <c r="X178" s="176"/>
      <c r="Y178" s="110"/>
      <c r="Z178" s="176"/>
      <c r="AA178" s="110"/>
      <c r="AB178" s="176"/>
      <c r="AC178" s="110"/>
      <c r="AD178" s="176"/>
      <c r="AE178" s="110"/>
      <c r="AF178" s="176"/>
      <c r="AG178" s="110"/>
      <c r="AH178" s="176"/>
      <c r="AI178" s="110"/>
      <c r="AJ178" s="176"/>
      <c r="AK178" s="110"/>
      <c r="AL178" s="176"/>
      <c r="AM178" s="110"/>
      <c r="AN178" s="176"/>
      <c r="AO178" s="110"/>
      <c r="AP178" s="176"/>
      <c r="AQ178" s="110"/>
      <c r="AR178" s="176"/>
      <c r="AS178" s="110"/>
      <c r="AT178" s="176"/>
      <c r="AU178" s="191">
        <f t="shared" si="4"/>
        <v>0</v>
      </c>
      <c r="AW178" s="169">
        <f t="shared" si="5"/>
        <v>0</v>
      </c>
    </row>
    <row r="179" spans="1:49" x14ac:dyDescent="0.25">
      <c r="A179" s="110"/>
      <c r="B179" s="111"/>
      <c r="C179" s="110"/>
      <c r="D179" s="132"/>
      <c r="E179" s="110"/>
      <c r="G179" s="110"/>
      <c r="I179" s="110"/>
      <c r="K179" s="110"/>
      <c r="L179" s="176"/>
      <c r="M179" s="109">
        <v>36601</v>
      </c>
      <c r="N179" s="131">
        <v>20520</v>
      </c>
      <c r="O179" s="109">
        <v>36601</v>
      </c>
      <c r="P179" s="174"/>
      <c r="Q179" s="109">
        <v>36601</v>
      </c>
      <c r="R179" s="140"/>
      <c r="S179" s="109">
        <v>36601</v>
      </c>
      <c r="T179" s="140"/>
      <c r="U179" s="109">
        <v>36601</v>
      </c>
      <c r="V179" s="140"/>
      <c r="W179" s="109">
        <v>36601</v>
      </c>
      <c r="X179" s="140"/>
      <c r="Y179" s="109">
        <v>36601</v>
      </c>
      <c r="Z179" s="140"/>
      <c r="AA179" s="109">
        <v>36601</v>
      </c>
      <c r="AB179" s="140"/>
      <c r="AC179" s="109">
        <v>36601</v>
      </c>
      <c r="AD179" s="140"/>
      <c r="AE179" s="109">
        <v>36601</v>
      </c>
      <c r="AF179" s="140"/>
      <c r="AG179" s="109">
        <v>36601</v>
      </c>
      <c r="AH179" s="140"/>
      <c r="AI179" s="109">
        <v>36601</v>
      </c>
      <c r="AJ179" s="140"/>
      <c r="AK179" s="109">
        <v>36601</v>
      </c>
      <c r="AL179" s="140"/>
      <c r="AM179" s="109">
        <v>36601</v>
      </c>
      <c r="AN179" s="140"/>
      <c r="AO179" s="109">
        <v>36601</v>
      </c>
      <c r="AP179" s="140"/>
      <c r="AQ179" s="109">
        <v>36601</v>
      </c>
      <c r="AR179" s="140"/>
      <c r="AS179" s="109">
        <v>36601</v>
      </c>
      <c r="AT179" s="140"/>
      <c r="AU179" s="191">
        <f t="shared" si="4"/>
        <v>20520</v>
      </c>
      <c r="AW179" s="169">
        <f t="shared" si="5"/>
        <v>20520</v>
      </c>
    </row>
    <row r="180" spans="1:49" x14ac:dyDescent="0.25">
      <c r="A180" s="110"/>
      <c r="B180" s="111"/>
      <c r="C180" s="110"/>
      <c r="D180" s="132"/>
      <c r="E180" s="110"/>
      <c r="G180" s="110"/>
      <c r="I180" s="110"/>
      <c r="K180" s="110"/>
      <c r="L180" s="176"/>
      <c r="M180" s="110"/>
      <c r="N180" s="131"/>
      <c r="O180" s="110"/>
      <c r="P180" s="131"/>
      <c r="Q180" s="110"/>
      <c r="R180" s="176"/>
      <c r="S180" s="110"/>
      <c r="T180" s="176"/>
      <c r="U180" s="110"/>
      <c r="V180" s="176"/>
      <c r="W180" s="110"/>
      <c r="X180" s="176"/>
      <c r="Y180" s="110"/>
      <c r="Z180" s="176"/>
      <c r="AA180" s="110"/>
      <c r="AB180" s="176"/>
      <c r="AC180" s="110"/>
      <c r="AD180" s="176"/>
      <c r="AE180" s="110"/>
      <c r="AF180" s="176"/>
      <c r="AG180" s="110"/>
      <c r="AH180" s="176"/>
      <c r="AI180" s="110"/>
      <c r="AJ180" s="176"/>
      <c r="AK180" s="110"/>
      <c r="AL180" s="176"/>
      <c r="AM180" s="110"/>
      <c r="AN180" s="176"/>
      <c r="AO180" s="110"/>
      <c r="AP180" s="176"/>
      <c r="AQ180" s="110"/>
      <c r="AR180" s="176"/>
      <c r="AS180" s="110"/>
      <c r="AT180" s="176"/>
      <c r="AU180" s="191">
        <f t="shared" si="4"/>
        <v>0</v>
      </c>
      <c r="AW180" s="169"/>
    </row>
    <row r="181" spans="1:49" x14ac:dyDescent="0.25">
      <c r="A181" s="109">
        <v>37101</v>
      </c>
      <c r="B181" s="111">
        <v>29000</v>
      </c>
      <c r="C181" s="109">
        <v>37101</v>
      </c>
      <c r="D181" s="132">
        <v>40600</v>
      </c>
      <c r="E181" s="109">
        <v>37101</v>
      </c>
      <c r="G181" s="109">
        <v>37101</v>
      </c>
      <c r="I181" s="109">
        <v>37101</v>
      </c>
      <c r="K181" s="109">
        <v>37101</v>
      </c>
      <c r="L181" s="140"/>
      <c r="M181" s="109">
        <v>37101</v>
      </c>
      <c r="N181" s="174"/>
      <c r="O181" s="109">
        <v>37101</v>
      </c>
      <c r="P181" s="174"/>
      <c r="Q181" s="109">
        <v>37101</v>
      </c>
      <c r="R181" s="140"/>
      <c r="S181" s="109">
        <v>37101</v>
      </c>
      <c r="T181" s="140">
        <v>54000</v>
      </c>
      <c r="U181" s="109">
        <v>37101</v>
      </c>
      <c r="V181" s="140">
        <v>10800</v>
      </c>
      <c r="W181" s="109">
        <v>37101</v>
      </c>
      <c r="X181" s="140"/>
      <c r="Y181" s="109">
        <v>37101</v>
      </c>
      <c r="Z181" s="140"/>
      <c r="AA181" s="109">
        <v>37101</v>
      </c>
      <c r="AB181" s="140"/>
      <c r="AC181" s="109">
        <v>37101</v>
      </c>
      <c r="AD181" s="140">
        <v>77000</v>
      </c>
      <c r="AE181" s="109">
        <v>37101</v>
      </c>
      <c r="AF181" s="140"/>
      <c r="AG181" s="109">
        <v>37101</v>
      </c>
      <c r="AH181" s="140"/>
      <c r="AI181" s="109">
        <v>37101</v>
      </c>
      <c r="AJ181" s="140"/>
      <c r="AK181" s="109">
        <v>37101</v>
      </c>
      <c r="AL181" s="140"/>
      <c r="AM181" s="109">
        <v>37101</v>
      </c>
      <c r="AN181" s="140"/>
      <c r="AO181" s="109">
        <v>37101</v>
      </c>
      <c r="AP181" s="140"/>
      <c r="AQ181" s="109">
        <v>37101</v>
      </c>
      <c r="AR181" s="140">
        <v>7540</v>
      </c>
      <c r="AS181" s="109">
        <v>37101</v>
      </c>
      <c r="AT181" s="140">
        <v>5000</v>
      </c>
      <c r="AU181" s="191">
        <f t="shared" si="4"/>
        <v>223940</v>
      </c>
      <c r="AV181" s="106">
        <v>223940</v>
      </c>
      <c r="AW181" s="169">
        <f t="shared" si="5"/>
        <v>0</v>
      </c>
    </row>
    <row r="182" spans="1:49" x14ac:dyDescent="0.25">
      <c r="A182" s="110"/>
      <c r="B182" s="111"/>
      <c r="C182" s="110"/>
      <c r="D182" s="132"/>
      <c r="E182" s="110"/>
      <c r="G182" s="110"/>
      <c r="I182" s="110"/>
      <c r="K182" s="110"/>
      <c r="L182" s="176"/>
      <c r="M182" s="110"/>
      <c r="N182" s="131"/>
      <c r="O182" s="110"/>
      <c r="P182" s="131"/>
      <c r="Q182" s="110"/>
      <c r="R182" s="176"/>
      <c r="S182" s="110"/>
      <c r="T182" s="176"/>
      <c r="U182" s="110"/>
      <c r="V182" s="176"/>
      <c r="W182" s="110"/>
      <c r="X182" s="176"/>
      <c r="Y182" s="110"/>
      <c r="Z182" s="176"/>
      <c r="AA182" s="110"/>
      <c r="AB182" s="176"/>
      <c r="AC182" s="110"/>
      <c r="AD182" s="176"/>
      <c r="AE182" s="110"/>
      <c r="AF182" s="176"/>
      <c r="AG182" s="110"/>
      <c r="AH182" s="176"/>
      <c r="AI182" s="110"/>
      <c r="AJ182" s="176"/>
      <c r="AK182" s="110"/>
      <c r="AL182" s="176"/>
      <c r="AM182" s="110"/>
      <c r="AN182" s="176"/>
      <c r="AO182" s="110"/>
      <c r="AP182" s="176"/>
      <c r="AQ182" s="110"/>
      <c r="AR182" s="176"/>
      <c r="AS182" s="110"/>
      <c r="AT182" s="176"/>
      <c r="AU182" s="191">
        <f t="shared" si="4"/>
        <v>0</v>
      </c>
      <c r="AW182" s="169">
        <f t="shared" si="5"/>
        <v>0</v>
      </c>
    </row>
    <row r="183" spans="1:49" x14ac:dyDescent="0.25">
      <c r="A183" s="109">
        <v>37201</v>
      </c>
      <c r="B183" s="111">
        <v>127052.04000000001</v>
      </c>
      <c r="C183" s="109">
        <v>37201</v>
      </c>
      <c r="D183" s="132">
        <v>61480</v>
      </c>
      <c r="E183" s="109">
        <v>37201</v>
      </c>
      <c r="F183" s="139">
        <v>39645.199999999997</v>
      </c>
      <c r="G183" s="109">
        <v>37201</v>
      </c>
      <c r="H183" s="106">
        <v>53713.54</v>
      </c>
      <c r="I183" s="109">
        <v>37201</v>
      </c>
      <c r="J183" s="106">
        <v>6841.82</v>
      </c>
      <c r="K183" s="109">
        <v>37201</v>
      </c>
      <c r="L183" s="140"/>
      <c r="M183" s="109">
        <v>37201</v>
      </c>
      <c r="N183" s="174">
        <v>18000</v>
      </c>
      <c r="O183" s="109">
        <v>37201</v>
      </c>
      <c r="P183" s="174">
        <v>29580</v>
      </c>
      <c r="Q183" s="109">
        <v>37201</v>
      </c>
      <c r="R183" s="140">
        <v>11000</v>
      </c>
      <c r="S183" s="109">
        <v>37201</v>
      </c>
      <c r="T183" s="140">
        <v>21600</v>
      </c>
      <c r="U183" s="109">
        <v>37201</v>
      </c>
      <c r="V183" s="140"/>
      <c r="W183" s="109">
        <v>37201</v>
      </c>
      <c r="X183" s="140"/>
      <c r="Y183" s="109">
        <v>37201</v>
      </c>
      <c r="Z183" s="140"/>
      <c r="AA183" s="109">
        <v>37201</v>
      </c>
      <c r="AB183" s="140"/>
      <c r="AC183" s="109">
        <v>37201</v>
      </c>
      <c r="AD183" s="140">
        <v>3600</v>
      </c>
      <c r="AE183" s="109">
        <v>37201</v>
      </c>
      <c r="AF183" s="140">
        <v>40660</v>
      </c>
      <c r="AG183" s="109">
        <v>37201</v>
      </c>
      <c r="AH183" s="140"/>
      <c r="AI183" s="109">
        <v>37201</v>
      </c>
      <c r="AJ183" s="140"/>
      <c r="AK183" s="109">
        <v>37201</v>
      </c>
      <c r="AL183" s="140"/>
      <c r="AM183" s="109">
        <v>37201</v>
      </c>
      <c r="AN183" s="140"/>
      <c r="AO183" s="109">
        <v>37201</v>
      </c>
      <c r="AP183" s="140">
        <v>25500</v>
      </c>
      <c r="AQ183" s="109">
        <v>37201</v>
      </c>
      <c r="AR183" s="140">
        <v>1160</v>
      </c>
      <c r="AS183" s="109">
        <v>37201</v>
      </c>
      <c r="AT183" s="140">
        <v>5625</v>
      </c>
      <c r="AU183" s="191">
        <f t="shared" si="4"/>
        <v>445457.6</v>
      </c>
      <c r="AV183" s="142">
        <v>445457.60000000003</v>
      </c>
      <c r="AW183" s="168">
        <f t="shared" si="5"/>
        <v>0</v>
      </c>
    </row>
    <row r="184" spans="1:49" x14ac:dyDescent="0.25">
      <c r="A184" s="110"/>
      <c r="B184" s="111"/>
      <c r="C184" s="110"/>
      <c r="D184" s="132"/>
      <c r="E184" s="110"/>
      <c r="G184" s="110"/>
      <c r="I184" s="110"/>
      <c r="K184" s="110"/>
      <c r="L184" s="176"/>
      <c r="M184" s="110"/>
      <c r="N184" s="131"/>
      <c r="O184" s="110"/>
      <c r="P184" s="131"/>
      <c r="Q184" s="110"/>
      <c r="R184" s="176"/>
      <c r="S184" s="110"/>
      <c r="T184" s="176"/>
      <c r="U184" s="110"/>
      <c r="V184" s="176"/>
      <c r="W184" s="110"/>
      <c r="X184" s="176"/>
      <c r="Y184" s="110"/>
      <c r="Z184" s="176"/>
      <c r="AA184" s="110"/>
      <c r="AB184" s="176"/>
      <c r="AC184" s="110"/>
      <c r="AD184" s="176"/>
      <c r="AE184" s="110"/>
      <c r="AF184" s="176"/>
      <c r="AG184" s="110"/>
      <c r="AH184" s="176"/>
      <c r="AI184" s="110"/>
      <c r="AJ184" s="176"/>
      <c r="AK184" s="110"/>
      <c r="AL184" s="176"/>
      <c r="AM184" s="110"/>
      <c r="AN184" s="176"/>
      <c r="AO184" s="110"/>
      <c r="AP184" s="176"/>
      <c r="AQ184" s="110"/>
      <c r="AR184" s="176"/>
      <c r="AS184" s="110"/>
      <c r="AT184" s="176"/>
      <c r="AU184" s="191">
        <f t="shared" si="4"/>
        <v>0</v>
      </c>
      <c r="AW184" s="169">
        <f t="shared" si="5"/>
        <v>0</v>
      </c>
    </row>
    <row r="185" spans="1:49" x14ac:dyDescent="0.25">
      <c r="A185" s="110"/>
      <c r="B185" s="111"/>
      <c r="C185" s="110"/>
      <c r="D185" s="132"/>
      <c r="E185" s="110"/>
      <c r="G185" s="110"/>
      <c r="I185" s="110"/>
      <c r="K185" s="110"/>
      <c r="L185" s="176"/>
      <c r="M185" s="110"/>
      <c r="N185" s="131"/>
      <c r="O185" s="110"/>
      <c r="P185" s="131"/>
      <c r="Q185" s="110"/>
      <c r="R185" s="176"/>
      <c r="S185" s="109">
        <v>37301</v>
      </c>
      <c r="T185" s="176">
        <v>3240</v>
      </c>
      <c r="U185" s="109">
        <v>37301</v>
      </c>
      <c r="V185" s="176"/>
      <c r="W185" s="109">
        <v>37301</v>
      </c>
      <c r="X185" s="176"/>
      <c r="Y185" s="109">
        <v>37301</v>
      </c>
      <c r="Z185" s="176"/>
      <c r="AA185" s="109">
        <v>37301</v>
      </c>
      <c r="AB185" s="176"/>
      <c r="AC185" s="109">
        <v>37301</v>
      </c>
      <c r="AD185" s="176"/>
      <c r="AE185" s="109">
        <v>37301</v>
      </c>
      <c r="AF185" s="176"/>
      <c r="AG185" s="109">
        <v>37301</v>
      </c>
      <c r="AH185" s="176"/>
      <c r="AI185" s="109">
        <v>37301</v>
      </c>
      <c r="AJ185" s="176"/>
      <c r="AK185" s="109">
        <v>37301</v>
      </c>
      <c r="AL185" s="176"/>
      <c r="AM185" s="109">
        <v>37301</v>
      </c>
      <c r="AN185" s="176"/>
      <c r="AO185" s="109">
        <v>37301</v>
      </c>
      <c r="AP185" s="176"/>
      <c r="AQ185" s="109">
        <v>37301</v>
      </c>
      <c r="AR185" s="176"/>
      <c r="AS185" s="109">
        <v>37301</v>
      </c>
      <c r="AT185" s="176"/>
      <c r="AU185" s="191">
        <f t="shared" si="4"/>
        <v>3240</v>
      </c>
      <c r="AW185" s="169">
        <f t="shared" si="5"/>
        <v>3240</v>
      </c>
    </row>
    <row r="186" spans="1:49" x14ac:dyDescent="0.25">
      <c r="A186" s="110"/>
      <c r="B186" s="111"/>
      <c r="C186" s="110"/>
      <c r="D186" s="132"/>
      <c r="E186" s="110"/>
      <c r="G186" s="110"/>
      <c r="I186" s="110"/>
      <c r="K186" s="110"/>
      <c r="L186" s="176"/>
      <c r="M186" s="110"/>
      <c r="N186" s="131"/>
      <c r="O186" s="110"/>
      <c r="P186" s="131"/>
      <c r="Q186" s="110"/>
      <c r="R186" s="176"/>
      <c r="S186" s="110"/>
      <c r="T186" s="176"/>
      <c r="U186" s="110"/>
      <c r="V186" s="176"/>
      <c r="W186" s="110"/>
      <c r="X186" s="176"/>
      <c r="Y186" s="110"/>
      <c r="Z186" s="176"/>
      <c r="AA186" s="110"/>
      <c r="AB186" s="176"/>
      <c r="AC186" s="110"/>
      <c r="AD186" s="176"/>
      <c r="AE186" s="110"/>
      <c r="AF186" s="176"/>
      <c r="AG186" s="110"/>
      <c r="AH186" s="176"/>
      <c r="AI186" s="110"/>
      <c r="AJ186" s="176"/>
      <c r="AK186" s="110"/>
      <c r="AL186" s="176"/>
      <c r="AM186" s="110"/>
      <c r="AN186" s="176"/>
      <c r="AO186" s="110"/>
      <c r="AP186" s="176"/>
      <c r="AQ186" s="110"/>
      <c r="AR186" s="176"/>
      <c r="AS186" s="110"/>
      <c r="AT186" s="176"/>
      <c r="AU186" s="191">
        <f t="shared" si="4"/>
        <v>0</v>
      </c>
      <c r="AW186" s="169">
        <f t="shared" si="5"/>
        <v>0</v>
      </c>
    </row>
    <row r="187" spans="1:49" x14ac:dyDescent="0.25">
      <c r="A187" s="109">
        <v>37501</v>
      </c>
      <c r="B187" s="111">
        <v>160551.16</v>
      </c>
      <c r="C187" s="109">
        <v>37501</v>
      </c>
      <c r="D187" s="132">
        <v>252765.92</v>
      </c>
      <c r="E187" s="109">
        <v>37501</v>
      </c>
      <c r="F187" s="139">
        <v>85944.4</v>
      </c>
      <c r="G187" s="109">
        <v>37501</v>
      </c>
      <c r="H187" s="106">
        <v>90123</v>
      </c>
      <c r="I187" s="109">
        <v>37501</v>
      </c>
      <c r="J187" s="106">
        <v>91381.83</v>
      </c>
      <c r="K187" s="109">
        <v>37501</v>
      </c>
      <c r="L187" s="140"/>
      <c r="M187" s="109">
        <v>37501</v>
      </c>
      <c r="N187" s="174">
        <v>45000</v>
      </c>
      <c r="O187" s="109">
        <v>37501</v>
      </c>
      <c r="P187" s="174">
        <v>25840</v>
      </c>
      <c r="Q187" s="109">
        <v>37501</v>
      </c>
      <c r="R187" s="140">
        <v>33440</v>
      </c>
      <c r="S187" s="109">
        <v>37501</v>
      </c>
      <c r="T187" s="140">
        <v>136123.20000000001</v>
      </c>
      <c r="U187" s="109">
        <v>37501</v>
      </c>
      <c r="V187" s="140">
        <v>10479.48</v>
      </c>
      <c r="W187" s="109">
        <v>37501</v>
      </c>
      <c r="X187" s="140"/>
      <c r="Y187" s="109">
        <v>37501</v>
      </c>
      <c r="Z187" s="140"/>
      <c r="AA187" s="109">
        <v>37501</v>
      </c>
      <c r="AB187" s="140"/>
      <c r="AC187" s="109">
        <v>37501</v>
      </c>
      <c r="AD187" s="140"/>
      <c r="AE187" s="109">
        <v>37501</v>
      </c>
      <c r="AF187" s="140">
        <v>58829.440000000002</v>
      </c>
      <c r="AG187" s="109">
        <v>37501</v>
      </c>
      <c r="AH187" s="140"/>
      <c r="AI187" s="109">
        <v>37501</v>
      </c>
      <c r="AJ187" s="140"/>
      <c r="AK187" s="109">
        <v>37501</v>
      </c>
      <c r="AL187" s="140">
        <v>76695.09</v>
      </c>
      <c r="AM187" s="109">
        <v>37501</v>
      </c>
      <c r="AN187" s="140"/>
      <c r="AO187" s="109">
        <v>37501</v>
      </c>
      <c r="AP187" s="140">
        <v>67250</v>
      </c>
      <c r="AQ187" s="109">
        <v>37501</v>
      </c>
      <c r="AR187" s="140">
        <v>5800</v>
      </c>
      <c r="AS187" s="109">
        <v>37501</v>
      </c>
      <c r="AT187" s="140"/>
      <c r="AU187" s="191">
        <f t="shared" si="4"/>
        <v>1140223.52</v>
      </c>
      <c r="AV187" s="160"/>
      <c r="AW187" s="168">
        <f t="shared" si="5"/>
        <v>1140223.52</v>
      </c>
    </row>
    <row r="188" spans="1:49" x14ac:dyDescent="0.25">
      <c r="A188" s="109">
        <v>37601</v>
      </c>
      <c r="B188" s="111">
        <v>500</v>
      </c>
      <c r="C188" s="109">
        <v>37601</v>
      </c>
      <c r="D188" s="132"/>
      <c r="E188" s="109">
        <v>37601</v>
      </c>
      <c r="G188" s="109">
        <v>37601</v>
      </c>
      <c r="I188" s="109">
        <v>37601</v>
      </c>
      <c r="K188" s="109">
        <v>37601</v>
      </c>
      <c r="L188" s="140"/>
      <c r="M188" s="109">
        <v>37601</v>
      </c>
      <c r="N188" s="174"/>
      <c r="O188" s="109">
        <v>37601</v>
      </c>
      <c r="P188" s="174"/>
      <c r="Q188" s="109">
        <v>37601</v>
      </c>
      <c r="R188" s="140"/>
      <c r="S188" s="109">
        <v>37601</v>
      </c>
      <c r="T188" s="140">
        <v>21600</v>
      </c>
      <c r="U188" s="109">
        <v>37601</v>
      </c>
      <c r="V188" s="140"/>
      <c r="W188" s="109">
        <v>37601</v>
      </c>
      <c r="X188" s="140"/>
      <c r="Y188" s="109">
        <v>37601</v>
      </c>
      <c r="Z188" s="140"/>
      <c r="AA188" s="109">
        <v>37601</v>
      </c>
      <c r="AB188" s="140"/>
      <c r="AC188" s="109">
        <v>37601</v>
      </c>
      <c r="AD188" s="140"/>
      <c r="AE188" s="109">
        <v>37601</v>
      </c>
      <c r="AF188" s="140"/>
      <c r="AG188" s="109">
        <v>37601</v>
      </c>
      <c r="AH188" s="140"/>
      <c r="AI188" s="109">
        <v>37601</v>
      </c>
      <c r="AJ188" s="140"/>
      <c r="AK188" s="109">
        <v>37601</v>
      </c>
      <c r="AL188" s="140"/>
      <c r="AM188" s="109">
        <v>37601</v>
      </c>
      <c r="AN188" s="140"/>
      <c r="AO188" s="109">
        <v>37601</v>
      </c>
      <c r="AP188" s="140"/>
      <c r="AQ188" s="109">
        <v>37601</v>
      </c>
      <c r="AR188" s="140"/>
      <c r="AS188" s="109">
        <v>37601</v>
      </c>
      <c r="AT188" s="140"/>
      <c r="AU188" s="191">
        <f t="shared" si="4"/>
        <v>22100</v>
      </c>
      <c r="AW188" s="169">
        <f t="shared" si="5"/>
        <v>22100</v>
      </c>
    </row>
    <row r="189" spans="1:49" x14ac:dyDescent="0.25">
      <c r="A189" s="110"/>
      <c r="B189" s="111"/>
      <c r="C189" s="110"/>
      <c r="D189" s="132"/>
      <c r="E189" s="110"/>
      <c r="G189" s="110"/>
      <c r="I189" s="110"/>
      <c r="K189" s="110"/>
      <c r="L189" s="176"/>
      <c r="M189" s="110"/>
      <c r="N189" s="131"/>
      <c r="O189" s="110"/>
      <c r="P189" s="131"/>
      <c r="Q189" s="110"/>
      <c r="R189" s="176"/>
      <c r="S189" s="110"/>
      <c r="T189" s="176"/>
      <c r="U189" s="110"/>
      <c r="V189" s="176"/>
      <c r="W189" s="110"/>
      <c r="X189" s="176"/>
      <c r="Y189" s="110"/>
      <c r="Z189" s="176"/>
      <c r="AA189" s="110"/>
      <c r="AB189" s="176"/>
      <c r="AC189" s="110"/>
      <c r="AD189" s="176"/>
      <c r="AE189" s="110"/>
      <c r="AF189" s="176"/>
      <c r="AG189" s="110"/>
      <c r="AH189" s="176"/>
      <c r="AI189" s="110"/>
      <c r="AJ189" s="176"/>
      <c r="AK189" s="110"/>
      <c r="AL189" s="176"/>
      <c r="AM189" s="110"/>
      <c r="AN189" s="176"/>
      <c r="AO189" s="110"/>
      <c r="AP189" s="176"/>
      <c r="AQ189" s="110"/>
      <c r="AR189" s="176"/>
      <c r="AS189" s="110"/>
      <c r="AT189" s="176"/>
      <c r="AU189" s="191">
        <f t="shared" si="4"/>
        <v>0</v>
      </c>
      <c r="AW189" s="169">
        <f t="shared" si="5"/>
        <v>0</v>
      </c>
    </row>
    <row r="190" spans="1:49" x14ac:dyDescent="0.25">
      <c r="A190" s="110"/>
      <c r="B190" s="111"/>
      <c r="C190" s="110"/>
      <c r="D190" s="132"/>
      <c r="E190" s="110"/>
      <c r="G190" s="110"/>
      <c r="I190" s="110"/>
      <c r="K190" s="110"/>
      <c r="L190" s="176"/>
      <c r="M190" s="110"/>
      <c r="N190" s="131"/>
      <c r="O190" s="110"/>
      <c r="P190" s="131"/>
      <c r="Q190" s="110"/>
      <c r="R190" s="176"/>
      <c r="S190" s="110"/>
      <c r="T190" s="176"/>
      <c r="U190" s="110"/>
      <c r="V190" s="176"/>
      <c r="W190" s="110"/>
      <c r="X190" s="176"/>
      <c r="Y190" s="110"/>
      <c r="Z190" s="176"/>
      <c r="AA190" s="110"/>
      <c r="AB190" s="176"/>
      <c r="AC190" s="110"/>
      <c r="AD190" s="176"/>
      <c r="AE190" s="110"/>
      <c r="AF190" s="176"/>
      <c r="AG190" s="110"/>
      <c r="AH190" s="176"/>
      <c r="AI190" s="110"/>
      <c r="AJ190" s="176"/>
      <c r="AK190" s="110"/>
      <c r="AL190" s="176"/>
      <c r="AM190" s="110"/>
      <c r="AN190" s="176"/>
      <c r="AO190" s="110"/>
      <c r="AP190" s="176"/>
      <c r="AQ190" s="110"/>
      <c r="AR190" s="176"/>
      <c r="AS190" s="110"/>
      <c r="AT190" s="176"/>
      <c r="AU190" s="191">
        <f t="shared" si="4"/>
        <v>0</v>
      </c>
      <c r="AW190" s="169">
        <f t="shared" si="5"/>
        <v>0</v>
      </c>
    </row>
    <row r="191" spans="1:49" x14ac:dyDescent="0.25">
      <c r="A191" s="109">
        <v>37901</v>
      </c>
      <c r="B191" s="111">
        <v>30000</v>
      </c>
      <c r="C191" s="109">
        <v>37901</v>
      </c>
      <c r="D191" s="132"/>
      <c r="E191" s="109">
        <v>37901</v>
      </c>
      <c r="G191" s="109">
        <v>37901</v>
      </c>
      <c r="I191" s="109">
        <v>37901</v>
      </c>
      <c r="K191" s="109">
        <v>37901</v>
      </c>
      <c r="L191" s="140"/>
      <c r="M191" s="109">
        <v>37901</v>
      </c>
      <c r="N191" s="174"/>
      <c r="O191" s="109">
        <v>37901</v>
      </c>
      <c r="P191" s="174"/>
      <c r="Q191" s="109">
        <v>37901</v>
      </c>
      <c r="R191" s="140"/>
      <c r="S191" s="109">
        <v>37901</v>
      </c>
      <c r="T191" s="140"/>
      <c r="U191" s="109">
        <v>37901</v>
      </c>
      <c r="V191" s="140">
        <v>4511.12</v>
      </c>
      <c r="W191" s="109">
        <v>37901</v>
      </c>
      <c r="X191" s="140"/>
      <c r="Y191" s="109">
        <v>37901</v>
      </c>
      <c r="Z191" s="140"/>
      <c r="AA191" s="109">
        <v>37901</v>
      </c>
      <c r="AB191" s="140"/>
      <c r="AC191" s="109">
        <v>37901</v>
      </c>
      <c r="AD191" s="140">
        <v>60000</v>
      </c>
      <c r="AE191" s="109">
        <v>37901</v>
      </c>
      <c r="AF191" s="140"/>
      <c r="AG191" s="109">
        <v>37901</v>
      </c>
      <c r="AH191" s="140"/>
      <c r="AI191" s="109">
        <v>37901</v>
      </c>
      <c r="AJ191" s="140"/>
      <c r="AK191" s="109">
        <v>37901</v>
      </c>
      <c r="AL191" s="140"/>
      <c r="AM191" s="109">
        <v>37901</v>
      </c>
      <c r="AN191" s="140"/>
      <c r="AO191" s="109">
        <v>37901</v>
      </c>
      <c r="AP191" s="140">
        <v>24000</v>
      </c>
      <c r="AQ191" s="109">
        <v>37901</v>
      </c>
      <c r="AR191" s="140">
        <v>3480</v>
      </c>
      <c r="AS191" s="109">
        <v>37901</v>
      </c>
      <c r="AT191" s="140"/>
      <c r="AU191" s="191">
        <f t="shared" si="4"/>
        <v>121991.12</v>
      </c>
      <c r="AW191" s="169">
        <f t="shared" si="5"/>
        <v>121991.12</v>
      </c>
    </row>
    <row r="192" spans="1:49" x14ac:dyDescent="0.25">
      <c r="A192" s="110"/>
      <c r="B192" s="111"/>
      <c r="C192" s="110"/>
      <c r="D192" s="132"/>
      <c r="E192" s="110"/>
      <c r="G192" s="110"/>
      <c r="I192" s="110"/>
      <c r="K192" s="110"/>
      <c r="L192" s="176"/>
      <c r="M192" s="110"/>
      <c r="N192" s="131"/>
      <c r="O192" s="110"/>
      <c r="P192" s="131"/>
      <c r="Q192" s="110"/>
      <c r="R192" s="176"/>
      <c r="S192" s="110"/>
      <c r="T192" s="176"/>
      <c r="U192" s="110"/>
      <c r="V192" s="176"/>
      <c r="W192" s="110"/>
      <c r="X192" s="176"/>
      <c r="Y192" s="110"/>
      <c r="Z192" s="176"/>
      <c r="AA192" s="110"/>
      <c r="AB192" s="176"/>
      <c r="AC192" s="110"/>
      <c r="AD192" s="176"/>
      <c r="AE192" s="110"/>
      <c r="AF192" s="176"/>
      <c r="AG192" s="110"/>
      <c r="AH192" s="176"/>
      <c r="AI192" s="110"/>
      <c r="AJ192" s="176"/>
      <c r="AK192" s="110"/>
      <c r="AL192" s="176"/>
      <c r="AM192" s="110"/>
      <c r="AN192" s="176"/>
      <c r="AO192" s="110"/>
      <c r="AP192" s="176"/>
      <c r="AQ192" s="110"/>
      <c r="AR192" s="176"/>
      <c r="AS192" s="110"/>
      <c r="AT192" s="176"/>
      <c r="AU192" s="191">
        <f t="shared" si="4"/>
        <v>0</v>
      </c>
      <c r="AW192" s="169">
        <f t="shared" si="5"/>
        <v>0</v>
      </c>
    </row>
    <row r="193" spans="1:52" x14ac:dyDescent="0.25">
      <c r="A193" s="110"/>
      <c r="B193" s="111"/>
      <c r="C193" s="110"/>
      <c r="D193" s="132"/>
      <c r="E193" s="110"/>
      <c r="G193" s="109">
        <v>38201</v>
      </c>
      <c r="H193" s="106">
        <v>723848.22</v>
      </c>
      <c r="I193" s="109">
        <v>38201</v>
      </c>
      <c r="K193" s="109">
        <v>38201</v>
      </c>
      <c r="L193" s="140"/>
      <c r="M193" s="109">
        <v>38201</v>
      </c>
      <c r="N193" s="174"/>
      <c r="O193" s="109">
        <v>38201</v>
      </c>
      <c r="P193" s="174"/>
      <c r="Q193" s="109">
        <v>38201</v>
      </c>
      <c r="R193" s="140"/>
      <c r="S193" s="109">
        <v>38201</v>
      </c>
      <c r="T193" s="140">
        <v>36262.44</v>
      </c>
      <c r="U193" s="109">
        <v>38201</v>
      </c>
      <c r="V193" s="140"/>
      <c r="W193" s="109">
        <v>38201</v>
      </c>
      <c r="X193" s="140"/>
      <c r="Y193" s="109">
        <v>38201</v>
      </c>
      <c r="Z193" s="140"/>
      <c r="AA193" s="109">
        <v>38201</v>
      </c>
      <c r="AB193" s="140"/>
      <c r="AC193" s="109">
        <v>38201</v>
      </c>
      <c r="AD193" s="140">
        <v>30000</v>
      </c>
      <c r="AE193" s="109">
        <v>38201</v>
      </c>
      <c r="AF193" s="140">
        <v>107000</v>
      </c>
      <c r="AG193" s="109">
        <v>38201</v>
      </c>
      <c r="AH193" s="140"/>
      <c r="AI193" s="109">
        <v>38201</v>
      </c>
      <c r="AJ193" s="140"/>
      <c r="AK193" s="109">
        <v>38201</v>
      </c>
      <c r="AL193" s="140"/>
      <c r="AM193" s="109">
        <v>38201</v>
      </c>
      <c r="AN193" s="140">
        <v>13000</v>
      </c>
      <c r="AO193" s="109">
        <v>38201</v>
      </c>
      <c r="AP193" s="140">
        <v>20000</v>
      </c>
      <c r="AQ193" s="109">
        <v>38201</v>
      </c>
      <c r="AR193" s="140">
        <v>40600</v>
      </c>
      <c r="AS193" s="109">
        <v>38201</v>
      </c>
      <c r="AT193" s="140">
        <v>1080</v>
      </c>
      <c r="AU193" s="191">
        <f t="shared" si="4"/>
        <v>971790.65999999992</v>
      </c>
      <c r="AV193" s="106">
        <v>971790.65999999992</v>
      </c>
      <c r="AW193" s="169">
        <f t="shared" si="5"/>
        <v>0</v>
      </c>
    </row>
    <row r="194" spans="1:52" x14ac:dyDescent="0.25">
      <c r="A194" s="110"/>
      <c r="B194" s="111"/>
      <c r="C194" s="110"/>
      <c r="D194" s="132"/>
      <c r="E194" s="110"/>
      <c r="G194" s="110"/>
      <c r="I194" s="110"/>
      <c r="K194" s="110"/>
      <c r="L194" s="176"/>
      <c r="M194" s="110"/>
      <c r="N194" s="131"/>
      <c r="O194" s="110"/>
      <c r="P194" s="131"/>
      <c r="Q194" s="110"/>
      <c r="R194" s="176"/>
      <c r="S194" s="110"/>
      <c r="T194" s="176"/>
      <c r="U194" s="110"/>
      <c r="V194" s="176"/>
      <c r="W194" s="110"/>
      <c r="X194" s="176"/>
      <c r="Y194" s="110"/>
      <c r="Z194" s="176"/>
      <c r="AA194" s="110"/>
      <c r="AB194" s="176"/>
      <c r="AC194" s="110"/>
      <c r="AD194" s="176"/>
      <c r="AE194" s="110"/>
      <c r="AF194" s="176"/>
      <c r="AG194" s="110"/>
      <c r="AH194" s="176"/>
      <c r="AI194" s="110"/>
      <c r="AJ194" s="176"/>
      <c r="AK194" s="110"/>
      <c r="AL194" s="176"/>
      <c r="AM194" s="110"/>
      <c r="AN194" s="176"/>
      <c r="AO194" s="110"/>
      <c r="AP194" s="176"/>
      <c r="AQ194" s="110"/>
      <c r="AR194" s="176"/>
      <c r="AS194" s="110"/>
      <c r="AT194" s="176"/>
      <c r="AU194" s="191">
        <f t="shared" si="4"/>
        <v>0</v>
      </c>
      <c r="AW194" s="169">
        <f t="shared" si="5"/>
        <v>0</v>
      </c>
    </row>
    <row r="195" spans="1:52" x14ac:dyDescent="0.25">
      <c r="A195" s="110"/>
      <c r="B195" s="111"/>
      <c r="C195" s="110"/>
      <c r="D195" s="132"/>
      <c r="E195" s="110"/>
      <c r="G195" s="110"/>
      <c r="I195" s="110"/>
      <c r="K195" s="110"/>
      <c r="L195" s="176"/>
      <c r="M195" s="110"/>
      <c r="N195" s="131"/>
      <c r="O195" s="110"/>
      <c r="P195" s="131"/>
      <c r="Q195" s="110"/>
      <c r="R195" s="176"/>
      <c r="S195" s="110"/>
      <c r="T195" s="176"/>
      <c r="U195" s="110"/>
      <c r="V195" s="176"/>
      <c r="W195" s="110"/>
      <c r="X195" s="176"/>
      <c r="Y195" s="110"/>
      <c r="Z195" s="176"/>
      <c r="AA195" s="110"/>
      <c r="AB195" s="176"/>
      <c r="AC195" s="110"/>
      <c r="AD195" s="176"/>
      <c r="AE195" s="110"/>
      <c r="AF195" s="176"/>
      <c r="AG195" s="110"/>
      <c r="AH195" s="176"/>
      <c r="AI195" s="110"/>
      <c r="AJ195" s="176"/>
      <c r="AK195" s="110"/>
      <c r="AL195" s="176"/>
      <c r="AM195" s="110"/>
      <c r="AN195" s="176"/>
      <c r="AO195" s="110"/>
      <c r="AP195" s="176"/>
      <c r="AQ195" s="110"/>
      <c r="AR195" s="176"/>
      <c r="AS195" s="110"/>
      <c r="AT195" s="176"/>
      <c r="AU195" s="191">
        <f t="shared" si="4"/>
        <v>0</v>
      </c>
      <c r="AW195" s="169">
        <f t="shared" si="5"/>
        <v>0</v>
      </c>
    </row>
    <row r="197" spans="1:52" x14ac:dyDescent="0.25">
      <c r="A197" s="109">
        <v>39201</v>
      </c>
      <c r="B197" s="111">
        <v>10000</v>
      </c>
      <c r="C197" s="109">
        <v>39201</v>
      </c>
      <c r="D197" s="132"/>
      <c r="E197" s="109">
        <v>39201</v>
      </c>
      <c r="G197" s="109">
        <v>39201</v>
      </c>
      <c r="I197" s="109">
        <v>39201</v>
      </c>
      <c r="K197" s="109">
        <v>39201</v>
      </c>
      <c r="L197" s="140"/>
      <c r="M197" s="109">
        <v>39201</v>
      </c>
      <c r="N197" s="174"/>
      <c r="O197" s="109">
        <v>39201</v>
      </c>
      <c r="P197" s="174"/>
      <c r="Q197" s="109">
        <v>39201</v>
      </c>
      <c r="R197" s="140"/>
      <c r="S197" s="109">
        <v>39201</v>
      </c>
      <c r="T197" s="140"/>
      <c r="U197" s="109">
        <v>39201</v>
      </c>
      <c r="V197" s="140"/>
      <c r="W197" s="109">
        <v>39201</v>
      </c>
      <c r="X197" s="140"/>
      <c r="Y197" s="109">
        <v>39201</v>
      </c>
      <c r="Z197" s="140"/>
      <c r="AA197" s="109">
        <v>39201</v>
      </c>
      <c r="AB197" s="140"/>
      <c r="AC197" s="109">
        <v>39201</v>
      </c>
      <c r="AD197" s="140"/>
      <c r="AE197" s="109">
        <v>39201</v>
      </c>
      <c r="AF197" s="140"/>
      <c r="AG197" s="109">
        <v>39201</v>
      </c>
      <c r="AH197" s="140"/>
      <c r="AI197" s="109">
        <v>39201</v>
      </c>
      <c r="AJ197" s="140"/>
      <c r="AK197" s="109">
        <v>39201</v>
      </c>
      <c r="AL197" s="140"/>
      <c r="AM197" s="109">
        <v>39201</v>
      </c>
      <c r="AN197" s="140"/>
      <c r="AO197" s="109">
        <v>39202</v>
      </c>
      <c r="AP197" s="140"/>
      <c r="AQ197" s="109">
        <v>39202</v>
      </c>
      <c r="AR197" s="140"/>
      <c r="AS197" s="109">
        <v>39202</v>
      </c>
      <c r="AT197" s="140">
        <v>24000</v>
      </c>
      <c r="AU197" s="191">
        <f>B197+D197+F197+H197+J197+L197+N197+P197+R197+T197+V197+X197+Z197+AB197+AD197+AF197+AH197+AJ197+AL197+AN197+AP197+AR197+AT197</f>
        <v>34000</v>
      </c>
      <c r="AV197" s="106">
        <v>34000</v>
      </c>
      <c r="AW197" s="169">
        <f>AU197-AV197</f>
        <v>0</v>
      </c>
    </row>
    <row r="198" spans="1:52" x14ac:dyDescent="0.25">
      <c r="A198" s="110"/>
      <c r="B198" s="111"/>
      <c r="C198" s="110"/>
      <c r="D198" s="132"/>
      <c r="E198" s="110"/>
      <c r="G198" s="110"/>
      <c r="I198" s="110"/>
      <c r="K198" s="110"/>
      <c r="L198" s="176"/>
      <c r="M198" s="110"/>
      <c r="N198" s="131"/>
      <c r="O198" s="110"/>
      <c r="P198" s="131"/>
      <c r="Q198" s="110"/>
      <c r="R198" s="176"/>
      <c r="S198" s="110"/>
      <c r="T198" s="176"/>
      <c r="U198" s="110"/>
      <c r="V198" s="176"/>
      <c r="W198" s="110"/>
      <c r="X198" s="176"/>
      <c r="Y198" s="110"/>
      <c r="Z198" s="176"/>
      <c r="AA198" s="110"/>
      <c r="AB198" s="176"/>
      <c r="AC198" s="110"/>
      <c r="AD198" s="176"/>
      <c r="AE198" s="110"/>
      <c r="AF198" s="176"/>
      <c r="AG198" s="110"/>
      <c r="AH198" s="176"/>
      <c r="AI198" s="110"/>
      <c r="AJ198" s="176"/>
      <c r="AK198" s="110"/>
      <c r="AL198" s="176"/>
      <c r="AM198" s="110"/>
      <c r="AN198" s="176"/>
      <c r="AO198" s="110"/>
      <c r="AP198" s="176"/>
      <c r="AQ198" s="110"/>
      <c r="AR198" s="176"/>
      <c r="AS198" s="110"/>
      <c r="AT198" s="176"/>
      <c r="AU198" s="191"/>
      <c r="AW198" s="169"/>
    </row>
    <row r="199" spans="1:52" x14ac:dyDescent="0.25">
      <c r="A199" s="110"/>
      <c r="B199" s="111"/>
      <c r="C199" s="109">
        <v>39801</v>
      </c>
      <c r="D199" s="132">
        <v>5064976.9124999996</v>
      </c>
      <c r="E199" s="109">
        <v>39801</v>
      </c>
      <c r="G199" s="109">
        <v>39801</v>
      </c>
      <c r="I199" s="109">
        <v>39801</v>
      </c>
      <c r="K199" s="109">
        <v>39801</v>
      </c>
      <c r="L199" s="140"/>
      <c r="M199" s="109">
        <v>39801</v>
      </c>
      <c r="N199" s="174"/>
      <c r="O199" s="109">
        <v>39801</v>
      </c>
      <c r="P199" s="174"/>
      <c r="Q199" s="109">
        <v>39801</v>
      </c>
      <c r="R199" s="140"/>
      <c r="S199" s="109">
        <v>39801</v>
      </c>
      <c r="T199" s="140"/>
      <c r="U199" s="109">
        <v>39801</v>
      </c>
      <c r="V199" s="140"/>
      <c r="W199" s="109">
        <v>39801</v>
      </c>
      <c r="X199" s="140"/>
      <c r="Y199" s="109">
        <v>39801</v>
      </c>
      <c r="Z199" s="140"/>
      <c r="AA199" s="109">
        <v>39801</v>
      </c>
      <c r="AB199" s="140"/>
      <c r="AC199" s="109">
        <v>39801</v>
      </c>
      <c r="AD199" s="140"/>
      <c r="AE199" s="109">
        <v>39801</v>
      </c>
      <c r="AF199" s="140"/>
      <c r="AG199" s="109">
        <v>39801</v>
      </c>
      <c r="AH199" s="140"/>
      <c r="AI199" s="109">
        <v>39801</v>
      </c>
      <c r="AJ199" s="140"/>
      <c r="AK199" s="109">
        <v>39801</v>
      </c>
      <c r="AL199" s="140"/>
      <c r="AM199" s="109">
        <v>39801</v>
      </c>
      <c r="AN199" s="140"/>
      <c r="AO199" s="109">
        <v>39801</v>
      </c>
      <c r="AP199" s="140"/>
      <c r="AQ199" s="109">
        <v>39801</v>
      </c>
      <c r="AR199" s="140"/>
      <c r="AS199" s="109">
        <v>39801</v>
      </c>
      <c r="AT199" s="140">
        <v>33600</v>
      </c>
      <c r="AU199" s="191">
        <f t="shared" si="4"/>
        <v>5098576.9124999996</v>
      </c>
      <c r="AV199" s="106">
        <v>5098576.9124999996</v>
      </c>
      <c r="AW199" s="169">
        <f t="shared" si="5"/>
        <v>0</v>
      </c>
    </row>
    <row r="200" spans="1:52" x14ac:dyDescent="0.25">
      <c r="A200" s="110"/>
      <c r="B200" s="111"/>
      <c r="C200" s="110"/>
      <c r="D200" s="132"/>
      <c r="E200" s="110"/>
      <c r="G200" s="110"/>
      <c r="I200" s="110"/>
      <c r="K200" s="110"/>
      <c r="L200" s="176"/>
      <c r="M200" s="110"/>
      <c r="N200" s="131"/>
      <c r="O200" s="110"/>
      <c r="P200" s="131"/>
      <c r="Q200" s="110"/>
      <c r="R200" s="176"/>
      <c r="S200" s="110"/>
      <c r="T200" s="176"/>
      <c r="U200" s="110"/>
      <c r="V200" s="176"/>
      <c r="W200" s="110"/>
      <c r="X200" s="176"/>
      <c r="Y200" s="110"/>
      <c r="Z200" s="176"/>
      <c r="AA200" s="110"/>
      <c r="AB200" s="176"/>
      <c r="AC200" s="110"/>
      <c r="AD200" s="176"/>
      <c r="AE200" s="110"/>
      <c r="AF200" s="176"/>
      <c r="AG200" s="110"/>
      <c r="AH200" s="176"/>
      <c r="AI200" s="110"/>
      <c r="AJ200" s="176"/>
      <c r="AK200" s="110"/>
      <c r="AL200" s="176"/>
      <c r="AM200" s="110"/>
      <c r="AN200" s="176"/>
      <c r="AO200" s="110"/>
      <c r="AP200" s="176"/>
      <c r="AQ200" s="110"/>
      <c r="AR200" s="176"/>
      <c r="AS200" s="110"/>
      <c r="AT200" s="176"/>
      <c r="AU200" s="191">
        <f t="shared" si="4"/>
        <v>0</v>
      </c>
      <c r="AW200" s="169">
        <f t="shared" si="5"/>
        <v>0</v>
      </c>
    </row>
    <row r="201" spans="1:52" x14ac:dyDescent="0.25">
      <c r="A201" s="109">
        <v>44102</v>
      </c>
      <c r="B201" s="111">
        <v>2561974.19</v>
      </c>
      <c r="C201" s="109">
        <v>44102</v>
      </c>
      <c r="D201" s="132">
        <v>291157.68</v>
      </c>
      <c r="E201" s="109">
        <v>44102</v>
      </c>
      <c r="F201" s="139">
        <v>11484</v>
      </c>
      <c r="G201" s="109">
        <v>44102</v>
      </c>
      <c r="H201" s="106">
        <v>2298996.59</v>
      </c>
      <c r="I201" s="109">
        <v>44102</v>
      </c>
      <c r="K201" s="109">
        <v>44102</v>
      </c>
      <c r="L201" s="140"/>
      <c r="M201" s="109">
        <v>44102</v>
      </c>
      <c r="N201" s="174"/>
      <c r="O201" s="109">
        <v>44102</v>
      </c>
      <c r="P201" s="174">
        <v>7560</v>
      </c>
      <c r="Q201" s="109">
        <v>44102</v>
      </c>
      <c r="R201" s="140"/>
      <c r="S201" s="109">
        <v>44102</v>
      </c>
      <c r="T201" s="140"/>
      <c r="U201" s="109">
        <v>44102</v>
      </c>
      <c r="V201" s="140"/>
      <c r="W201" s="109">
        <v>44102</v>
      </c>
      <c r="X201" s="140"/>
      <c r="Y201" s="109">
        <v>44102</v>
      </c>
      <c r="Z201" s="140"/>
      <c r="AA201" s="109">
        <v>44102</v>
      </c>
      <c r="AB201" s="140"/>
      <c r="AC201" s="109">
        <v>44102</v>
      </c>
      <c r="AD201" s="140"/>
      <c r="AE201" s="109">
        <v>44102</v>
      </c>
      <c r="AF201" s="140"/>
      <c r="AG201" s="109">
        <v>44102</v>
      </c>
      <c r="AH201" s="140"/>
      <c r="AI201" s="109">
        <v>44102</v>
      </c>
      <c r="AJ201" s="140"/>
      <c r="AK201" s="109">
        <v>44102</v>
      </c>
      <c r="AL201" s="140"/>
      <c r="AM201" s="109">
        <v>44102</v>
      </c>
      <c r="AN201" s="140">
        <v>13500</v>
      </c>
      <c r="AO201" s="109">
        <v>44102</v>
      </c>
      <c r="AP201" s="140"/>
      <c r="AQ201" s="109">
        <v>44102</v>
      </c>
      <c r="AR201" s="140">
        <v>38976</v>
      </c>
      <c r="AS201" s="109">
        <v>44102</v>
      </c>
      <c r="AT201" s="140"/>
      <c r="AU201" s="191">
        <f t="shared" si="4"/>
        <v>5223648.46</v>
      </c>
      <c r="AW201" s="169">
        <f t="shared" si="5"/>
        <v>5223648.46</v>
      </c>
    </row>
    <row r="202" spans="1:52" s="108" customFormat="1" x14ac:dyDescent="0.25">
      <c r="A202" s="112"/>
      <c r="B202" s="131"/>
      <c r="C202" s="112"/>
      <c r="D202" s="177"/>
      <c r="E202" s="112"/>
      <c r="F202" s="142"/>
      <c r="G202" s="112"/>
      <c r="H202" s="160"/>
      <c r="I202" s="112"/>
      <c r="J202" s="160"/>
      <c r="K202" s="112"/>
      <c r="L202" s="140"/>
      <c r="M202" s="112"/>
      <c r="N202" s="174"/>
      <c r="O202" s="112"/>
      <c r="P202" s="174"/>
      <c r="Q202" s="112"/>
      <c r="R202" s="140"/>
      <c r="S202" s="112"/>
      <c r="T202" s="140"/>
      <c r="U202" s="112"/>
      <c r="V202" s="140"/>
      <c r="W202" s="112"/>
      <c r="X202" s="140"/>
      <c r="Y202" s="112"/>
      <c r="Z202" s="140"/>
      <c r="AA202" s="112"/>
      <c r="AB202" s="140"/>
      <c r="AC202" s="112"/>
      <c r="AD202" s="140"/>
      <c r="AE202" s="112"/>
      <c r="AF202" s="140"/>
      <c r="AG202" s="112"/>
      <c r="AH202" s="140"/>
      <c r="AI202" s="112"/>
      <c r="AJ202" s="140"/>
      <c r="AK202" s="112"/>
      <c r="AL202" s="140"/>
      <c r="AM202" s="112"/>
      <c r="AN202" s="140"/>
      <c r="AO202" s="112"/>
      <c r="AP202" s="140"/>
      <c r="AQ202" s="112"/>
      <c r="AR202" s="140"/>
      <c r="AS202" s="112"/>
      <c r="AT202" s="140"/>
      <c r="AU202" s="191">
        <f t="shared" si="4"/>
        <v>0</v>
      </c>
      <c r="AV202" s="160"/>
      <c r="AW202" s="169">
        <f t="shared" si="5"/>
        <v>0</v>
      </c>
      <c r="AZ202" s="246"/>
    </row>
    <row r="203" spans="1:52" x14ac:dyDescent="0.25">
      <c r="A203" s="109"/>
      <c r="B203" s="111"/>
      <c r="C203" s="109"/>
      <c r="D203" s="132"/>
      <c r="E203" s="109"/>
      <c r="G203" s="109"/>
      <c r="I203" s="109"/>
      <c r="K203" s="109"/>
      <c r="L203" s="140"/>
      <c r="M203" s="109"/>
      <c r="N203" s="174"/>
      <c r="O203" s="109"/>
      <c r="P203" s="174"/>
      <c r="Q203" s="109"/>
      <c r="R203" s="140"/>
      <c r="S203" s="109">
        <v>44501</v>
      </c>
      <c r="T203" s="140">
        <v>248215.92</v>
      </c>
      <c r="U203" s="109">
        <v>44501</v>
      </c>
      <c r="V203" s="140"/>
      <c r="W203" s="109">
        <v>44501</v>
      </c>
      <c r="X203" s="140"/>
      <c r="Y203" s="109">
        <v>44501</v>
      </c>
      <c r="Z203" s="140"/>
      <c r="AA203" s="109">
        <v>44501</v>
      </c>
      <c r="AB203" s="140"/>
      <c r="AC203" s="109">
        <v>44501</v>
      </c>
      <c r="AD203" s="140"/>
      <c r="AE203" s="109">
        <v>44501</v>
      </c>
      <c r="AF203" s="140"/>
      <c r="AG203" s="109">
        <v>44501</v>
      </c>
      <c r="AH203" s="140"/>
      <c r="AI203" s="109">
        <v>44501</v>
      </c>
      <c r="AJ203" s="140"/>
      <c r="AK203" s="109">
        <v>44501</v>
      </c>
      <c r="AL203" s="140"/>
      <c r="AM203" s="109">
        <v>44501</v>
      </c>
      <c r="AN203" s="140"/>
      <c r="AO203" s="109">
        <v>44501</v>
      </c>
      <c r="AP203" s="140"/>
      <c r="AQ203" s="109">
        <v>44501</v>
      </c>
      <c r="AR203" s="140"/>
      <c r="AS203" s="109">
        <v>44501</v>
      </c>
      <c r="AT203" s="140"/>
      <c r="AU203" s="191">
        <f t="shared" si="4"/>
        <v>248215.92</v>
      </c>
      <c r="AW203" s="169">
        <f t="shared" si="5"/>
        <v>248215.92</v>
      </c>
    </row>
    <row r="204" spans="1:52" x14ac:dyDescent="0.25">
      <c r="A204" s="110"/>
      <c r="B204" s="111"/>
      <c r="C204" s="110"/>
      <c r="D204" s="132"/>
      <c r="E204" s="110"/>
      <c r="G204" s="110"/>
      <c r="I204" s="110"/>
      <c r="K204" s="110"/>
      <c r="L204" s="176"/>
      <c r="M204" s="110"/>
      <c r="N204" s="131"/>
      <c r="O204" s="110"/>
      <c r="P204" s="131"/>
      <c r="Q204" s="110"/>
      <c r="R204" s="176"/>
      <c r="S204" s="110"/>
      <c r="T204" s="176"/>
      <c r="U204" s="110"/>
      <c r="V204" s="176"/>
      <c r="W204" s="110"/>
      <c r="X204" s="176"/>
      <c r="Y204" s="110"/>
      <c r="Z204" s="176"/>
      <c r="AA204" s="110"/>
      <c r="AB204" s="176"/>
      <c r="AC204" s="110"/>
      <c r="AD204" s="176"/>
      <c r="AE204" s="110"/>
      <c r="AF204" s="176"/>
      <c r="AG204" s="110"/>
      <c r="AH204" s="176"/>
      <c r="AI204" s="110"/>
      <c r="AJ204" s="176"/>
      <c r="AK204" s="110"/>
      <c r="AL204" s="176"/>
      <c r="AM204" s="110"/>
      <c r="AN204" s="176"/>
      <c r="AO204" s="110"/>
      <c r="AP204" s="176"/>
      <c r="AQ204" s="110"/>
      <c r="AR204" s="176"/>
      <c r="AS204" s="110"/>
      <c r="AT204" s="176"/>
      <c r="AU204" s="191">
        <f t="shared" si="4"/>
        <v>0</v>
      </c>
      <c r="AW204" s="169">
        <f t="shared" si="5"/>
        <v>0</v>
      </c>
    </row>
    <row r="205" spans="1:52" x14ac:dyDescent="0.25">
      <c r="A205" s="110"/>
      <c r="B205" s="111"/>
      <c r="C205" s="110"/>
      <c r="D205" s="132"/>
      <c r="E205" s="110"/>
      <c r="G205" s="110"/>
      <c r="I205" s="110"/>
      <c r="K205" s="110"/>
      <c r="L205" s="176"/>
      <c r="M205" s="110"/>
      <c r="N205" s="131"/>
      <c r="O205" s="110"/>
      <c r="P205" s="131"/>
      <c r="Q205" s="110"/>
      <c r="R205" s="176"/>
      <c r="S205" s="110"/>
      <c r="T205" s="176"/>
      <c r="U205" s="110"/>
      <c r="V205" s="176"/>
      <c r="W205" s="110"/>
      <c r="X205" s="176"/>
      <c r="Y205" s="110"/>
      <c r="Z205" s="176"/>
      <c r="AA205" s="110"/>
      <c r="AB205" s="176"/>
      <c r="AC205" s="110"/>
      <c r="AD205" s="176"/>
      <c r="AE205" s="110"/>
      <c r="AF205" s="176"/>
      <c r="AG205" s="110"/>
      <c r="AH205" s="176"/>
      <c r="AI205" s="110"/>
      <c r="AJ205" s="176"/>
      <c r="AK205" s="110"/>
      <c r="AL205" s="176"/>
      <c r="AM205" s="110"/>
      <c r="AN205" s="176"/>
      <c r="AO205" s="110"/>
      <c r="AP205" s="176"/>
      <c r="AQ205" s="109">
        <v>51101</v>
      </c>
      <c r="AR205" s="176">
        <v>8292.7199999999993</v>
      </c>
      <c r="AS205" s="109">
        <v>51101</v>
      </c>
      <c r="AT205" s="176">
        <v>5000</v>
      </c>
      <c r="AU205" s="191">
        <f t="shared" si="4"/>
        <v>13292.72</v>
      </c>
      <c r="AV205" s="106">
        <v>13292.72</v>
      </c>
      <c r="AW205" s="169">
        <f t="shared" si="5"/>
        <v>0</v>
      </c>
    </row>
    <row r="206" spans="1:52" x14ac:dyDescent="0.25">
      <c r="A206" s="110"/>
      <c r="B206" s="111"/>
      <c r="C206" s="110"/>
      <c r="D206" s="132"/>
      <c r="E206" s="110"/>
      <c r="G206" s="110"/>
      <c r="I206" s="109">
        <v>51102</v>
      </c>
      <c r="J206" s="106">
        <v>8328.7999999999993</v>
      </c>
      <c r="K206" s="109">
        <v>51102</v>
      </c>
      <c r="L206" s="140"/>
      <c r="M206" s="109">
        <v>51102</v>
      </c>
      <c r="N206" s="174"/>
      <c r="O206" s="109">
        <v>51102</v>
      </c>
      <c r="P206" s="174"/>
      <c r="Q206" s="109">
        <v>51102</v>
      </c>
      <c r="R206" s="140"/>
      <c r="S206" s="109">
        <v>51102</v>
      </c>
      <c r="T206" s="140"/>
      <c r="U206" s="109">
        <v>51102</v>
      </c>
      <c r="V206" s="140"/>
      <c r="W206" s="109">
        <v>51102</v>
      </c>
      <c r="X206" s="140"/>
      <c r="Y206" s="109">
        <v>51102</v>
      </c>
      <c r="Z206" s="140"/>
      <c r="AA206" s="109">
        <v>51102</v>
      </c>
      <c r="AB206" s="140"/>
      <c r="AC206" s="109">
        <v>51102</v>
      </c>
      <c r="AD206" s="140"/>
      <c r="AE206" s="109">
        <v>51102</v>
      </c>
      <c r="AF206" s="140"/>
      <c r="AG206" s="109">
        <v>51102</v>
      </c>
      <c r="AH206" s="140"/>
      <c r="AI206" s="109">
        <v>51102</v>
      </c>
      <c r="AJ206" s="140"/>
      <c r="AK206" s="109">
        <v>51102</v>
      </c>
      <c r="AL206" s="140"/>
      <c r="AM206" s="109">
        <v>51102</v>
      </c>
      <c r="AN206" s="140"/>
      <c r="AO206" s="109">
        <v>51102</v>
      </c>
      <c r="AP206" s="140"/>
      <c r="AQ206" s="109">
        <v>51102</v>
      </c>
      <c r="AR206" s="140"/>
      <c r="AS206" s="109">
        <v>51102</v>
      </c>
      <c r="AT206" s="140"/>
      <c r="AU206" s="191">
        <f t="shared" si="4"/>
        <v>8328.7999999999993</v>
      </c>
      <c r="AV206" s="160"/>
      <c r="AW206" s="168">
        <f t="shared" si="5"/>
        <v>8328.7999999999993</v>
      </c>
    </row>
    <row r="207" spans="1:52" x14ac:dyDescent="0.25">
      <c r="A207" s="110"/>
      <c r="B207" s="111"/>
      <c r="C207" s="110"/>
      <c r="D207" s="132"/>
      <c r="E207" s="110"/>
      <c r="G207" s="110"/>
      <c r="I207" s="109"/>
      <c r="K207" s="109"/>
      <c r="L207" s="140"/>
      <c r="M207" s="109"/>
      <c r="N207" s="174"/>
      <c r="O207" s="109"/>
      <c r="P207" s="174"/>
      <c r="Q207" s="109"/>
      <c r="R207" s="140"/>
      <c r="S207" s="109">
        <v>51105</v>
      </c>
      <c r="T207" s="140">
        <v>84824</v>
      </c>
      <c r="U207" s="109">
        <v>51105</v>
      </c>
      <c r="V207" s="140"/>
      <c r="W207" s="109">
        <v>51105</v>
      </c>
      <c r="X207" s="140"/>
      <c r="Y207" s="109">
        <v>51105</v>
      </c>
      <c r="Z207" s="140"/>
      <c r="AA207" s="109">
        <v>51105</v>
      </c>
      <c r="AB207" s="140"/>
      <c r="AC207" s="109">
        <v>51105</v>
      </c>
      <c r="AD207" s="140"/>
      <c r="AE207" s="109">
        <v>51105</v>
      </c>
      <c r="AF207" s="140"/>
      <c r="AG207" s="109">
        <v>51105</v>
      </c>
      <c r="AH207" s="140"/>
      <c r="AI207" s="109">
        <v>51105</v>
      </c>
      <c r="AJ207" s="140"/>
      <c r="AK207" s="109">
        <v>51105</v>
      </c>
      <c r="AL207" s="140"/>
      <c r="AM207" s="109">
        <v>51105</v>
      </c>
      <c r="AN207" s="140"/>
      <c r="AO207" s="109">
        <v>51105</v>
      </c>
      <c r="AP207" s="140"/>
      <c r="AQ207" s="109">
        <v>51105</v>
      </c>
      <c r="AR207" s="140"/>
      <c r="AS207" s="109">
        <v>51105</v>
      </c>
      <c r="AT207" s="140"/>
      <c r="AU207" s="191">
        <f t="shared" si="4"/>
        <v>84824</v>
      </c>
      <c r="AV207" s="160"/>
      <c r="AW207" s="168">
        <f t="shared" si="5"/>
        <v>84824</v>
      </c>
    </row>
    <row r="208" spans="1:52" x14ac:dyDescent="0.25">
      <c r="A208" s="109">
        <v>51107</v>
      </c>
      <c r="B208" s="111">
        <v>102904.91</v>
      </c>
      <c r="C208" s="109">
        <v>51107</v>
      </c>
      <c r="D208" s="132">
        <v>98519.620720000035</v>
      </c>
      <c r="E208" s="109">
        <v>51107</v>
      </c>
      <c r="F208" s="139">
        <v>17930</v>
      </c>
      <c r="G208" s="109">
        <v>51107</v>
      </c>
      <c r="H208" s="106">
        <v>32480</v>
      </c>
      <c r="I208" s="109">
        <v>51107</v>
      </c>
      <c r="K208" s="109">
        <v>51107</v>
      </c>
      <c r="L208" s="140"/>
      <c r="M208" s="109">
        <v>51107</v>
      </c>
      <c r="N208" s="174">
        <v>9453.67</v>
      </c>
      <c r="O208" s="109">
        <v>51107</v>
      </c>
      <c r="P208" s="174"/>
      <c r="Q208" s="109">
        <v>51107</v>
      </c>
      <c r="R208" s="140">
        <v>29760.639999999999</v>
      </c>
      <c r="S208" s="109">
        <v>51107</v>
      </c>
      <c r="T208" s="140">
        <v>9540.32</v>
      </c>
      <c r="U208" s="109">
        <v>51107</v>
      </c>
      <c r="V208" s="140">
        <v>16305.85</v>
      </c>
      <c r="W208" s="109">
        <v>51107</v>
      </c>
      <c r="X208" s="140">
        <v>70905.789999999994</v>
      </c>
      <c r="Y208" s="109">
        <v>51107</v>
      </c>
      <c r="Z208" s="140">
        <v>2435.44</v>
      </c>
      <c r="AA208" s="109">
        <v>51107</v>
      </c>
      <c r="AB208" s="140">
        <v>15501.46</v>
      </c>
      <c r="AC208" s="109">
        <v>51107</v>
      </c>
      <c r="AD208" s="140">
        <v>34500</v>
      </c>
      <c r="AE208" s="109">
        <v>51107</v>
      </c>
      <c r="AF208" s="140"/>
      <c r="AG208" s="109">
        <v>51107</v>
      </c>
      <c r="AH208" s="140"/>
      <c r="AI208" s="109">
        <v>51107</v>
      </c>
      <c r="AJ208" s="140">
        <v>33414.839999999997</v>
      </c>
      <c r="AK208" s="109">
        <v>51107</v>
      </c>
      <c r="AL208" s="140">
        <v>15051.65</v>
      </c>
      <c r="AM208" s="109">
        <v>51107</v>
      </c>
      <c r="AN208" s="140"/>
      <c r="AO208" s="109">
        <v>51107</v>
      </c>
      <c r="AP208" s="140"/>
      <c r="AQ208" s="109">
        <v>51107</v>
      </c>
      <c r="AR208" s="140"/>
      <c r="AS208" s="109">
        <v>51107</v>
      </c>
      <c r="AT208" s="140"/>
      <c r="AU208" s="191">
        <f t="shared" si="4"/>
        <v>488704.19072000007</v>
      </c>
      <c r="AW208" s="169">
        <f t="shared" si="5"/>
        <v>488704.19072000007</v>
      </c>
    </row>
    <row r="209" spans="1:52" x14ac:dyDescent="0.25">
      <c r="A209" s="110"/>
      <c r="B209" s="111"/>
      <c r="C209" s="110"/>
      <c r="D209" s="132"/>
      <c r="E209" s="110"/>
      <c r="G209" s="110"/>
      <c r="I209" s="110"/>
      <c r="K209" s="110"/>
      <c r="L209" s="176"/>
      <c r="M209" s="110"/>
      <c r="N209" s="131"/>
      <c r="O209" s="110"/>
      <c r="P209" s="131"/>
      <c r="Q209" s="110"/>
      <c r="R209" s="176"/>
      <c r="S209" s="110"/>
      <c r="T209" s="176"/>
      <c r="U209" s="110"/>
      <c r="V209" s="176"/>
      <c r="W209" s="110"/>
      <c r="X209" s="176"/>
      <c r="Y209" s="110"/>
      <c r="Z209" s="176"/>
      <c r="AA209" s="110"/>
      <c r="AB209" s="176"/>
      <c r="AC209" s="110"/>
      <c r="AD209" s="176"/>
      <c r="AE209" s="110"/>
      <c r="AF209" s="176"/>
      <c r="AG209" s="110"/>
      <c r="AH209" s="176"/>
      <c r="AI209" s="110"/>
      <c r="AJ209" s="176"/>
      <c r="AK209" s="110"/>
      <c r="AL209" s="176"/>
      <c r="AM209" s="110"/>
      <c r="AN209" s="176"/>
      <c r="AO209" s="110"/>
      <c r="AP209" s="176"/>
      <c r="AQ209" s="110"/>
      <c r="AR209" s="176"/>
      <c r="AS209" s="110"/>
      <c r="AT209" s="176"/>
      <c r="AU209" s="191">
        <f t="shared" si="4"/>
        <v>0</v>
      </c>
      <c r="AW209" s="169">
        <f t="shared" si="5"/>
        <v>0</v>
      </c>
    </row>
    <row r="210" spans="1:52" x14ac:dyDescent="0.25">
      <c r="A210" s="109">
        <v>51503</v>
      </c>
      <c r="B210" s="111">
        <v>163274.96</v>
      </c>
      <c r="C210" s="109">
        <v>51503</v>
      </c>
      <c r="D210" s="132">
        <v>452178.64</v>
      </c>
      <c r="E210" s="109">
        <v>51503</v>
      </c>
      <c r="F210" s="139">
        <v>107340.84</v>
      </c>
      <c r="G210" s="109">
        <v>51503</v>
      </c>
      <c r="H210" s="106">
        <v>21628.37</v>
      </c>
      <c r="I210" s="109">
        <v>51503</v>
      </c>
      <c r="J210" s="106">
        <v>21777.119999999999</v>
      </c>
      <c r="K210" s="109">
        <v>51503</v>
      </c>
      <c r="L210" s="140">
        <v>3790.8</v>
      </c>
      <c r="M210" s="109">
        <v>51503</v>
      </c>
      <c r="N210" s="174">
        <v>56000</v>
      </c>
      <c r="O210" s="109">
        <v>51503</v>
      </c>
      <c r="P210" s="174"/>
      <c r="Q210" s="109">
        <v>51503</v>
      </c>
      <c r="R210" s="140">
        <v>28000</v>
      </c>
      <c r="S210" s="109">
        <v>51503</v>
      </c>
      <c r="T210" s="140"/>
      <c r="U210" s="109">
        <v>51503</v>
      </c>
      <c r="V210" s="140">
        <v>39366.01</v>
      </c>
      <c r="W210" s="109">
        <v>51503</v>
      </c>
      <c r="X210" s="140"/>
      <c r="Y210" s="109">
        <v>51503</v>
      </c>
      <c r="Z210" s="140">
        <v>44712.01</v>
      </c>
      <c r="AA210" s="109">
        <v>51503</v>
      </c>
      <c r="AB210" s="140">
        <v>18569.349999999999</v>
      </c>
      <c r="AC210" s="109">
        <v>51503</v>
      </c>
      <c r="AD210" s="140">
        <v>19950</v>
      </c>
      <c r="AE210" s="109">
        <v>51503</v>
      </c>
      <c r="AF210" s="140">
        <v>41900.28</v>
      </c>
      <c r="AG210" s="109">
        <v>51503</v>
      </c>
      <c r="AH210" s="140">
        <v>38544.839999999997</v>
      </c>
      <c r="AI210" s="109">
        <v>51503</v>
      </c>
      <c r="AJ210" s="140">
        <v>65155.99</v>
      </c>
      <c r="AK210" s="109">
        <v>51503</v>
      </c>
      <c r="AL210" s="140">
        <v>26244.44</v>
      </c>
      <c r="AM210" s="109">
        <v>51503</v>
      </c>
      <c r="AN210" s="140"/>
      <c r="AO210" s="109">
        <v>51503</v>
      </c>
      <c r="AP210" s="140"/>
      <c r="AQ210" s="109">
        <v>51503</v>
      </c>
      <c r="AR210" s="140">
        <v>20474.64</v>
      </c>
      <c r="AS210" s="109">
        <v>51503</v>
      </c>
      <c r="AT210" s="140">
        <v>25500.720000000001</v>
      </c>
      <c r="AU210" s="191">
        <f t="shared" si="4"/>
        <v>1194409.0099999998</v>
      </c>
      <c r="AV210" s="142">
        <v>1194408.996848</v>
      </c>
      <c r="AW210" s="168">
        <f t="shared" si="5"/>
        <v>1.3151999795809388E-2</v>
      </c>
    </row>
    <row r="211" spans="1:52" s="108" customFormat="1" x14ac:dyDescent="0.25">
      <c r="A211" s="112"/>
      <c r="B211" s="131"/>
      <c r="C211" s="112"/>
      <c r="D211" s="177"/>
      <c r="E211" s="112"/>
      <c r="F211" s="142"/>
      <c r="G211" s="112"/>
      <c r="H211" s="160"/>
      <c r="I211" s="112"/>
      <c r="J211" s="160"/>
      <c r="K211" s="109">
        <v>51504</v>
      </c>
      <c r="L211" s="140">
        <v>11880</v>
      </c>
      <c r="M211" s="109">
        <v>51504</v>
      </c>
      <c r="N211" s="174"/>
      <c r="O211" s="109">
        <v>51504</v>
      </c>
      <c r="P211" s="174"/>
      <c r="Q211" s="109">
        <v>51504</v>
      </c>
      <c r="R211" s="140"/>
      <c r="S211" s="109">
        <v>51504</v>
      </c>
      <c r="T211" s="140"/>
      <c r="U211" s="109">
        <v>51504</v>
      </c>
      <c r="V211" s="140"/>
      <c r="W211" s="109">
        <v>51504</v>
      </c>
      <c r="X211" s="140"/>
      <c r="Y211" s="109">
        <v>51504</v>
      </c>
      <c r="Z211" s="140"/>
      <c r="AA211" s="109">
        <v>51504</v>
      </c>
      <c r="AB211" s="140"/>
      <c r="AC211" s="109">
        <v>51504</v>
      </c>
      <c r="AD211" s="140"/>
      <c r="AE211" s="109">
        <v>51504</v>
      </c>
      <c r="AF211" s="140"/>
      <c r="AG211" s="109">
        <v>51504</v>
      </c>
      <c r="AH211" s="140"/>
      <c r="AI211" s="109">
        <v>51504</v>
      </c>
      <c r="AJ211" s="140"/>
      <c r="AK211" s="109">
        <v>51504</v>
      </c>
      <c r="AL211" s="140"/>
      <c r="AM211" s="109">
        <v>51504</v>
      </c>
      <c r="AN211" s="140"/>
      <c r="AO211" s="109">
        <v>51504</v>
      </c>
      <c r="AP211" s="140"/>
      <c r="AQ211" s="109">
        <v>51504</v>
      </c>
      <c r="AR211" s="140"/>
      <c r="AS211" s="109">
        <v>51504</v>
      </c>
      <c r="AT211" s="140"/>
      <c r="AU211" s="191">
        <f t="shared" si="4"/>
        <v>11880</v>
      </c>
      <c r="AV211" s="142"/>
      <c r="AW211" s="168">
        <f t="shared" si="5"/>
        <v>11880</v>
      </c>
      <c r="AZ211" s="246"/>
    </row>
    <row r="212" spans="1:52" x14ac:dyDescent="0.25">
      <c r="A212" s="110"/>
      <c r="B212" s="111"/>
      <c r="C212" s="110"/>
      <c r="D212" s="132"/>
      <c r="E212" s="110"/>
      <c r="G212" s="110"/>
      <c r="I212" s="110"/>
      <c r="K212" s="110"/>
      <c r="L212" s="176"/>
      <c r="M212" s="110"/>
      <c r="N212" s="131"/>
      <c r="O212" s="110"/>
      <c r="P212" s="131"/>
      <c r="Q212" s="110"/>
      <c r="R212" s="176"/>
      <c r="S212" s="110"/>
      <c r="T212" s="176"/>
      <c r="U212" s="110"/>
      <c r="V212" s="176"/>
      <c r="W212" s="110"/>
      <c r="X212" s="176"/>
      <c r="Y212" s="110"/>
      <c r="Z212" s="176"/>
      <c r="AA212" s="110"/>
      <c r="AB212" s="176"/>
      <c r="AC212" s="110"/>
      <c r="AD212" s="176"/>
      <c r="AE212" s="110"/>
      <c r="AF212" s="176"/>
      <c r="AG212" s="110"/>
      <c r="AH212" s="176"/>
      <c r="AI212" s="110"/>
      <c r="AJ212" s="176"/>
      <c r="AK212" s="110"/>
      <c r="AL212" s="176"/>
      <c r="AM212" s="110"/>
      <c r="AN212" s="176"/>
      <c r="AO212" s="110"/>
      <c r="AP212" s="176"/>
      <c r="AQ212" s="110"/>
      <c r="AR212" s="176"/>
      <c r="AS212" s="110"/>
      <c r="AT212" s="176"/>
      <c r="AU212" s="191">
        <f t="shared" si="4"/>
        <v>0</v>
      </c>
      <c r="AW212" s="169">
        <f t="shared" si="5"/>
        <v>0</v>
      </c>
    </row>
    <row r="213" spans="1:52" x14ac:dyDescent="0.25">
      <c r="A213" s="109">
        <v>51901</v>
      </c>
      <c r="B213" s="111"/>
      <c r="C213" s="109">
        <v>51901</v>
      </c>
      <c r="D213" s="132">
        <v>1823.03</v>
      </c>
      <c r="E213" s="109">
        <v>51901</v>
      </c>
      <c r="G213" s="109">
        <v>51901</v>
      </c>
      <c r="I213" s="109">
        <v>51901</v>
      </c>
      <c r="K213" s="109">
        <v>51901</v>
      </c>
      <c r="L213" s="140"/>
      <c r="M213" s="109">
        <v>51901</v>
      </c>
      <c r="N213" s="174">
        <v>24000</v>
      </c>
      <c r="O213" s="109">
        <v>51901</v>
      </c>
      <c r="P213" s="174"/>
      <c r="Q213" s="109">
        <v>51901</v>
      </c>
      <c r="R213" s="140"/>
      <c r="S213" s="109">
        <v>51901</v>
      </c>
      <c r="T213" s="140"/>
      <c r="U213" s="109">
        <v>51901</v>
      </c>
      <c r="V213" s="140"/>
      <c r="W213" s="109">
        <v>51901</v>
      </c>
      <c r="X213" s="140"/>
      <c r="Y213" s="109">
        <v>51901</v>
      </c>
      <c r="Z213" s="140"/>
      <c r="AA213" s="109">
        <v>51901</v>
      </c>
      <c r="AB213" s="140">
        <v>2280.0300000000002</v>
      </c>
      <c r="AC213" s="109">
        <v>51901</v>
      </c>
      <c r="AD213" s="140"/>
      <c r="AE213" s="109">
        <v>51901</v>
      </c>
      <c r="AF213" s="140"/>
      <c r="AG213" s="109">
        <v>51901</v>
      </c>
      <c r="AH213" s="140"/>
      <c r="AI213" s="109">
        <v>51901</v>
      </c>
      <c r="AJ213" s="140"/>
      <c r="AK213" s="109">
        <v>51901</v>
      </c>
      <c r="AL213" s="140"/>
      <c r="AM213" s="109">
        <v>51901</v>
      </c>
      <c r="AN213" s="140"/>
      <c r="AO213" s="109">
        <v>51901</v>
      </c>
      <c r="AP213" s="140"/>
      <c r="AQ213" s="109">
        <v>51901</v>
      </c>
      <c r="AR213" s="140"/>
      <c r="AS213" s="109">
        <v>51901</v>
      </c>
      <c r="AT213" s="140"/>
      <c r="AU213" s="191">
        <f t="shared" ref="AU213:AU241" si="6">B213+D213+F213+H213+J213+L213+N213+P213+R213+T213+V213+X213+Z213+AB213+AD213+AF213+AH213+AJ213+AL213+AN213+AP213+AR213+AT213</f>
        <v>28103.059999999998</v>
      </c>
      <c r="AW213" s="169">
        <f t="shared" si="5"/>
        <v>28103.059999999998</v>
      </c>
    </row>
    <row r="214" spans="1:52" x14ac:dyDescent="0.25">
      <c r="A214" s="110"/>
      <c r="B214" s="111"/>
      <c r="C214" s="109">
        <v>51903</v>
      </c>
      <c r="D214" s="132">
        <v>58464</v>
      </c>
      <c r="E214" s="109">
        <v>51903</v>
      </c>
      <c r="G214" s="109">
        <v>51903</v>
      </c>
      <c r="I214" s="109">
        <v>51903</v>
      </c>
      <c r="K214" s="109">
        <v>51903</v>
      </c>
      <c r="L214" s="140">
        <v>6985.44</v>
      </c>
      <c r="M214" s="109">
        <v>51903</v>
      </c>
      <c r="N214" s="174"/>
      <c r="O214" s="109">
        <v>51903</v>
      </c>
      <c r="P214" s="174"/>
      <c r="Q214" s="109">
        <v>51903</v>
      </c>
      <c r="R214" s="140"/>
      <c r="S214" s="109">
        <v>51903</v>
      </c>
      <c r="T214" s="140"/>
      <c r="U214" s="109">
        <v>51903</v>
      </c>
      <c r="V214" s="140"/>
      <c r="W214" s="109">
        <v>51903</v>
      </c>
      <c r="X214" s="140"/>
      <c r="Y214" s="109">
        <v>51903</v>
      </c>
      <c r="Z214" s="140"/>
      <c r="AA214" s="109">
        <v>51903</v>
      </c>
      <c r="AB214" s="140"/>
      <c r="AC214" s="109">
        <v>51903</v>
      </c>
      <c r="AD214" s="140"/>
      <c r="AE214" s="109">
        <v>51903</v>
      </c>
      <c r="AF214" s="140"/>
      <c r="AG214" s="109">
        <v>51903</v>
      </c>
      <c r="AH214" s="140"/>
      <c r="AI214" s="109">
        <v>51903</v>
      </c>
      <c r="AJ214" s="140"/>
      <c r="AK214" s="109">
        <v>51903</v>
      </c>
      <c r="AL214" s="140"/>
      <c r="AM214" s="109">
        <v>51903</v>
      </c>
      <c r="AN214" s="140"/>
      <c r="AO214" s="109">
        <v>51903</v>
      </c>
      <c r="AP214" s="140"/>
      <c r="AQ214" s="109">
        <v>51903</v>
      </c>
      <c r="AR214" s="140"/>
      <c r="AS214" s="109">
        <v>51903</v>
      </c>
      <c r="AT214" s="140">
        <v>3240</v>
      </c>
      <c r="AU214" s="191">
        <f t="shared" si="6"/>
        <v>68689.440000000002</v>
      </c>
      <c r="AV214" s="106">
        <v>68689.440000000002</v>
      </c>
      <c r="AW214" s="169">
        <f t="shared" si="5"/>
        <v>0</v>
      </c>
    </row>
    <row r="215" spans="1:52" x14ac:dyDescent="0.25">
      <c r="A215" s="110"/>
      <c r="B215" s="111"/>
      <c r="C215" s="110"/>
      <c r="D215" s="132"/>
      <c r="E215" s="110"/>
      <c r="G215" s="110"/>
      <c r="I215" s="110"/>
      <c r="K215" s="110"/>
      <c r="L215" s="176"/>
      <c r="M215" s="110"/>
      <c r="N215" s="131"/>
      <c r="O215" s="110"/>
      <c r="P215" s="131"/>
      <c r="Q215" s="110"/>
      <c r="R215" s="176"/>
      <c r="S215" s="110"/>
      <c r="T215" s="176"/>
      <c r="U215" s="110"/>
      <c r="V215" s="176"/>
      <c r="W215" s="110"/>
      <c r="X215" s="176"/>
      <c r="Y215" s="110"/>
      <c r="Z215" s="176"/>
      <c r="AA215" s="110"/>
      <c r="AB215" s="176"/>
      <c r="AC215" s="110"/>
      <c r="AD215" s="176"/>
      <c r="AE215" s="110"/>
      <c r="AF215" s="176"/>
      <c r="AG215" s="110"/>
      <c r="AH215" s="176"/>
      <c r="AI215" s="110"/>
      <c r="AJ215" s="176"/>
      <c r="AK215" s="110"/>
      <c r="AL215" s="176"/>
      <c r="AM215" s="110"/>
      <c r="AN215" s="176"/>
      <c r="AO215" s="110"/>
      <c r="AP215" s="176"/>
      <c r="AQ215" s="110"/>
      <c r="AR215" s="176"/>
      <c r="AS215" s="110"/>
      <c r="AT215" s="176"/>
      <c r="AU215" s="191">
        <f t="shared" si="6"/>
        <v>0</v>
      </c>
      <c r="AW215" s="169">
        <f t="shared" si="5"/>
        <v>0</v>
      </c>
    </row>
    <row r="216" spans="1:52" x14ac:dyDescent="0.25">
      <c r="A216" s="110"/>
      <c r="B216" s="111"/>
      <c r="C216" s="110"/>
      <c r="D216" s="132"/>
      <c r="E216" s="110"/>
      <c r="G216" s="110"/>
      <c r="I216" s="110"/>
      <c r="K216" s="110"/>
      <c r="L216" s="176"/>
      <c r="M216" s="110"/>
      <c r="N216" s="131"/>
      <c r="O216" s="110"/>
      <c r="P216" s="131"/>
      <c r="Q216" s="110"/>
      <c r="R216" s="176"/>
      <c r="S216" s="110"/>
      <c r="T216" s="176"/>
      <c r="U216" s="110"/>
      <c r="V216" s="176"/>
      <c r="W216" s="110"/>
      <c r="X216" s="176"/>
      <c r="Y216" s="110"/>
      <c r="Z216" s="176"/>
      <c r="AA216" s="110"/>
      <c r="AB216" s="176"/>
      <c r="AC216" s="110"/>
      <c r="AD216" s="176"/>
      <c r="AE216" s="110"/>
      <c r="AF216" s="176"/>
      <c r="AG216" s="110"/>
      <c r="AH216" s="176"/>
      <c r="AI216" s="110"/>
      <c r="AJ216" s="176"/>
      <c r="AK216" s="110"/>
      <c r="AL216" s="176"/>
      <c r="AM216" s="110"/>
      <c r="AN216" s="176"/>
      <c r="AO216" s="110"/>
      <c r="AP216" s="176"/>
      <c r="AQ216" s="109">
        <v>51907</v>
      </c>
      <c r="AR216" s="176">
        <v>4019.4</v>
      </c>
      <c r="AS216" s="109">
        <v>51907</v>
      </c>
      <c r="AT216" s="176"/>
      <c r="AU216" s="191">
        <f t="shared" si="6"/>
        <v>4019.4</v>
      </c>
      <c r="AW216" s="169">
        <f t="shared" si="5"/>
        <v>4019.4</v>
      </c>
    </row>
    <row r="217" spans="1:52" x14ac:dyDescent="0.25">
      <c r="A217" s="109">
        <v>51908</v>
      </c>
      <c r="B217" s="111">
        <v>63623.200000000004</v>
      </c>
      <c r="C217" s="109">
        <v>51908</v>
      </c>
      <c r="D217" s="132">
        <v>59700.329999999994</v>
      </c>
      <c r="E217" s="109">
        <v>51908</v>
      </c>
      <c r="F217" s="139">
        <v>11600</v>
      </c>
      <c r="G217" s="109">
        <v>51908</v>
      </c>
      <c r="H217" s="106">
        <v>28380</v>
      </c>
      <c r="I217" s="109">
        <v>51908</v>
      </c>
      <c r="K217" s="109">
        <v>51908</v>
      </c>
      <c r="L217" s="140"/>
      <c r="M217" s="109">
        <v>51908</v>
      </c>
      <c r="N217" s="174">
        <v>3000</v>
      </c>
      <c r="O217" s="109">
        <v>51908</v>
      </c>
      <c r="P217" s="174"/>
      <c r="Q217" s="109">
        <v>51908</v>
      </c>
      <c r="R217" s="140"/>
      <c r="S217" s="109">
        <v>51908</v>
      </c>
      <c r="T217" s="140">
        <v>3889</v>
      </c>
      <c r="U217" s="109">
        <v>51908</v>
      </c>
      <c r="V217" s="140"/>
      <c r="W217" s="109">
        <v>51908</v>
      </c>
      <c r="X217" s="140"/>
      <c r="Y217" s="109">
        <v>51908</v>
      </c>
      <c r="Z217" s="140"/>
      <c r="AA217" s="109">
        <v>51908</v>
      </c>
      <c r="AB217" s="140">
        <v>11577.18</v>
      </c>
      <c r="AC217" s="109">
        <v>51908</v>
      </c>
      <c r="AD217" s="140">
        <v>3900</v>
      </c>
      <c r="AE217" s="109">
        <v>51908</v>
      </c>
      <c r="AF217" s="140"/>
      <c r="AG217" s="109">
        <v>51908</v>
      </c>
      <c r="AH217" s="140"/>
      <c r="AI217" s="109">
        <v>51908</v>
      </c>
      <c r="AJ217" s="140"/>
      <c r="AK217" s="109">
        <v>51908</v>
      </c>
      <c r="AL217" s="140"/>
      <c r="AM217" s="109">
        <v>51908</v>
      </c>
      <c r="AN217" s="140"/>
      <c r="AO217" s="109">
        <v>51908</v>
      </c>
      <c r="AP217" s="140"/>
      <c r="AQ217" s="109">
        <v>51908</v>
      </c>
      <c r="AR217" s="140">
        <v>7399.52</v>
      </c>
      <c r="AS217" s="109">
        <v>51908</v>
      </c>
      <c r="AT217" s="140">
        <v>6480</v>
      </c>
      <c r="AU217" s="191">
        <f t="shared" si="6"/>
        <v>199549.22999999998</v>
      </c>
      <c r="AV217" s="106">
        <v>199549.22999999998</v>
      </c>
      <c r="AW217" s="169">
        <f t="shared" si="5"/>
        <v>0</v>
      </c>
    </row>
    <row r="218" spans="1:52" x14ac:dyDescent="0.25">
      <c r="A218" s="110"/>
      <c r="B218" s="111"/>
      <c r="C218" s="110"/>
      <c r="D218" s="132"/>
      <c r="E218" s="110"/>
      <c r="G218" s="110"/>
      <c r="I218" s="110"/>
      <c r="K218" s="110"/>
      <c r="L218" s="176"/>
      <c r="M218" s="110"/>
      <c r="N218" s="131"/>
      <c r="O218" s="110"/>
      <c r="P218" s="131"/>
      <c r="Q218" s="110"/>
      <c r="R218" s="176"/>
      <c r="S218" s="110"/>
      <c r="T218" s="176"/>
      <c r="U218" s="110"/>
      <c r="V218" s="176"/>
      <c r="W218" s="110"/>
      <c r="X218" s="176"/>
      <c r="Y218" s="110"/>
      <c r="Z218" s="176"/>
      <c r="AA218" s="110"/>
      <c r="AB218" s="176"/>
      <c r="AC218" s="110"/>
      <c r="AD218" s="176"/>
      <c r="AE218" s="110"/>
      <c r="AF218" s="176"/>
      <c r="AG218" s="110"/>
      <c r="AH218" s="176"/>
      <c r="AI218" s="110"/>
      <c r="AJ218" s="176"/>
      <c r="AK218" s="110"/>
      <c r="AL218" s="176"/>
      <c r="AM218" s="110"/>
      <c r="AN218" s="176"/>
      <c r="AO218" s="110"/>
      <c r="AP218" s="176"/>
      <c r="AQ218" s="110"/>
      <c r="AR218" s="176"/>
      <c r="AS218" s="110"/>
      <c r="AT218" s="176"/>
      <c r="AU218" s="191">
        <f t="shared" si="6"/>
        <v>0</v>
      </c>
      <c r="AW218" s="169">
        <f t="shared" si="5"/>
        <v>0</v>
      </c>
    </row>
    <row r="219" spans="1:52" x14ac:dyDescent="0.25">
      <c r="A219" s="110"/>
      <c r="B219" s="111"/>
      <c r="C219" s="110"/>
      <c r="D219" s="132"/>
      <c r="E219" s="110"/>
      <c r="G219" s="110"/>
      <c r="I219" s="110"/>
      <c r="K219" s="110"/>
      <c r="L219" s="176"/>
      <c r="M219" s="110"/>
      <c r="N219" s="131"/>
      <c r="O219" s="110"/>
      <c r="P219" s="131"/>
      <c r="Q219" s="110"/>
      <c r="R219" s="176"/>
      <c r="S219" s="110"/>
      <c r="T219" s="176"/>
      <c r="U219" s="110"/>
      <c r="V219" s="176"/>
      <c r="W219" s="110"/>
      <c r="X219" s="176"/>
      <c r="Y219" s="110"/>
      <c r="Z219" s="176"/>
      <c r="AA219" s="110"/>
      <c r="AB219" s="176"/>
      <c r="AC219" s="110"/>
      <c r="AD219" s="176"/>
      <c r="AE219" s="110"/>
      <c r="AF219" s="176"/>
      <c r="AG219" s="110"/>
      <c r="AH219" s="176"/>
      <c r="AI219" s="110"/>
      <c r="AJ219" s="176"/>
      <c r="AK219" s="110"/>
      <c r="AL219" s="176"/>
      <c r="AM219" s="110"/>
      <c r="AN219" s="176"/>
      <c r="AO219" s="110"/>
      <c r="AP219" s="176"/>
      <c r="AQ219" s="110"/>
      <c r="AR219" s="176"/>
      <c r="AS219" s="110"/>
      <c r="AT219" s="176"/>
      <c r="AU219" s="191">
        <f t="shared" si="6"/>
        <v>0</v>
      </c>
      <c r="AW219" s="169">
        <f t="shared" si="5"/>
        <v>0</v>
      </c>
    </row>
    <row r="220" spans="1:52" x14ac:dyDescent="0.25">
      <c r="A220" s="109">
        <v>52101</v>
      </c>
      <c r="B220" s="111">
        <v>19099.34</v>
      </c>
      <c r="C220" s="109">
        <v>52101</v>
      </c>
      <c r="D220" s="132"/>
      <c r="E220" s="109">
        <v>52101</v>
      </c>
      <c r="G220" s="109">
        <v>52101</v>
      </c>
      <c r="I220" s="109">
        <v>52101</v>
      </c>
      <c r="K220" s="109">
        <v>52101</v>
      </c>
      <c r="L220" s="140"/>
      <c r="M220" s="109">
        <v>52101</v>
      </c>
      <c r="N220" s="174"/>
      <c r="O220" s="109">
        <v>52101</v>
      </c>
      <c r="P220" s="174"/>
      <c r="Q220" s="109">
        <v>52101</v>
      </c>
      <c r="R220" s="140">
        <v>8500</v>
      </c>
      <c r="S220" s="109">
        <v>52101</v>
      </c>
      <c r="T220" s="140"/>
      <c r="U220" s="109">
        <v>52101</v>
      </c>
      <c r="V220" s="140"/>
      <c r="W220" s="109">
        <v>52101</v>
      </c>
      <c r="X220" s="140"/>
      <c r="Y220" s="109">
        <v>52101</v>
      </c>
      <c r="Z220" s="140"/>
      <c r="AA220" s="109">
        <v>52101</v>
      </c>
      <c r="AB220" s="140"/>
      <c r="AC220" s="109">
        <v>52101</v>
      </c>
      <c r="AD220" s="140"/>
      <c r="AE220" s="109">
        <v>52101</v>
      </c>
      <c r="AF220" s="140"/>
      <c r="AG220" s="109">
        <v>52101</v>
      </c>
      <c r="AH220" s="140"/>
      <c r="AI220" s="109">
        <v>52101</v>
      </c>
      <c r="AJ220" s="140"/>
      <c r="AK220" s="109">
        <v>52101</v>
      </c>
      <c r="AL220" s="140"/>
      <c r="AM220" s="109">
        <v>52101</v>
      </c>
      <c r="AN220" s="140"/>
      <c r="AO220" s="109">
        <v>52101</v>
      </c>
      <c r="AP220" s="140"/>
      <c r="AQ220" s="109">
        <v>52101</v>
      </c>
      <c r="AR220" s="140"/>
      <c r="AS220" s="109">
        <v>52101</v>
      </c>
      <c r="AT220" s="140"/>
      <c r="AU220" s="191">
        <f t="shared" si="6"/>
        <v>27599.34</v>
      </c>
      <c r="AW220" s="169">
        <f t="shared" si="5"/>
        <v>27599.34</v>
      </c>
    </row>
    <row r="221" spans="1:52" s="108" customFormat="1" x14ac:dyDescent="0.25">
      <c r="A221" s="112"/>
      <c r="B221" s="131"/>
      <c r="C221" s="112"/>
      <c r="D221" s="177"/>
      <c r="E221" s="112"/>
      <c r="F221" s="142"/>
      <c r="G221" s="112"/>
      <c r="H221" s="160"/>
      <c r="I221" s="112"/>
      <c r="J221" s="160"/>
      <c r="K221" s="112"/>
      <c r="L221" s="140"/>
      <c r="M221" s="112"/>
      <c r="N221" s="174"/>
      <c r="O221" s="112"/>
      <c r="P221" s="174"/>
      <c r="Q221" s="112"/>
      <c r="R221" s="140"/>
      <c r="S221" s="112"/>
      <c r="T221" s="140"/>
      <c r="U221" s="112"/>
      <c r="V221" s="140"/>
      <c r="W221" s="112"/>
      <c r="X221" s="140"/>
      <c r="Y221" s="112"/>
      <c r="Z221" s="140"/>
      <c r="AA221" s="112"/>
      <c r="AB221" s="140"/>
      <c r="AC221" s="112"/>
      <c r="AD221" s="140"/>
      <c r="AE221" s="112"/>
      <c r="AF221" s="140"/>
      <c r="AG221" s="112"/>
      <c r="AH221" s="140"/>
      <c r="AI221" s="112"/>
      <c r="AJ221" s="140"/>
      <c r="AK221" s="112"/>
      <c r="AL221" s="140"/>
      <c r="AM221" s="112"/>
      <c r="AN221" s="140"/>
      <c r="AO221" s="112"/>
      <c r="AP221" s="140"/>
      <c r="AQ221" s="112"/>
      <c r="AR221" s="140"/>
      <c r="AS221" s="112"/>
      <c r="AT221" s="140"/>
      <c r="AU221" s="191">
        <f t="shared" si="6"/>
        <v>0</v>
      </c>
      <c r="AV221" s="160"/>
      <c r="AW221" s="169">
        <f t="shared" si="5"/>
        <v>0</v>
      </c>
      <c r="AZ221" s="246"/>
    </row>
    <row r="222" spans="1:52" s="108" customFormat="1" x14ac:dyDescent="0.25">
      <c r="A222" s="112"/>
      <c r="B222" s="131"/>
      <c r="C222" s="112"/>
      <c r="D222" s="177"/>
      <c r="E222" s="112"/>
      <c r="F222" s="142"/>
      <c r="G222" s="112"/>
      <c r="H222" s="160"/>
      <c r="I222" s="112"/>
      <c r="J222" s="160"/>
      <c r="K222" s="112"/>
      <c r="L222" s="140"/>
      <c r="M222" s="112"/>
      <c r="N222" s="174"/>
      <c r="O222" s="112"/>
      <c r="P222" s="174"/>
      <c r="Q222" s="112"/>
      <c r="R222" s="140"/>
      <c r="S222" s="112"/>
      <c r="T222" s="140"/>
      <c r="U222" s="112"/>
      <c r="V222" s="140"/>
      <c r="W222" s="112"/>
      <c r="X222" s="140"/>
      <c r="Y222" s="112"/>
      <c r="Z222" s="140"/>
      <c r="AA222" s="112"/>
      <c r="AB222" s="140"/>
      <c r="AC222" s="112"/>
      <c r="AD222" s="140"/>
      <c r="AE222" s="112"/>
      <c r="AF222" s="140"/>
      <c r="AG222" s="112"/>
      <c r="AH222" s="140"/>
      <c r="AI222" s="112"/>
      <c r="AJ222" s="140"/>
      <c r="AK222" s="112"/>
      <c r="AL222" s="140"/>
      <c r="AM222" s="112"/>
      <c r="AN222" s="140"/>
      <c r="AO222" s="112"/>
      <c r="AP222" s="140"/>
      <c r="AQ222" s="109">
        <v>52201</v>
      </c>
      <c r="AR222" s="140">
        <v>15078.84</v>
      </c>
      <c r="AS222" s="109">
        <v>52201</v>
      </c>
      <c r="AT222" s="140"/>
      <c r="AU222" s="191">
        <f t="shared" si="6"/>
        <v>15078.84</v>
      </c>
      <c r="AV222" s="160"/>
      <c r="AW222" s="169">
        <f t="shared" si="5"/>
        <v>15078.84</v>
      </c>
      <c r="AZ222" s="246"/>
    </row>
    <row r="223" spans="1:52" s="108" customFormat="1" x14ac:dyDescent="0.25">
      <c r="A223" s="112"/>
      <c r="B223" s="131"/>
      <c r="C223" s="112"/>
      <c r="D223" s="177"/>
      <c r="E223" s="112"/>
      <c r="F223" s="142"/>
      <c r="G223" s="112"/>
      <c r="H223" s="160"/>
      <c r="I223" s="112"/>
      <c r="J223" s="160"/>
      <c r="K223" s="112"/>
      <c r="L223" s="140"/>
      <c r="M223" s="112"/>
      <c r="N223" s="174"/>
      <c r="O223" s="112"/>
      <c r="P223" s="174"/>
      <c r="Q223" s="112"/>
      <c r="R223" s="140"/>
      <c r="S223" s="112"/>
      <c r="T223" s="140"/>
      <c r="U223" s="112"/>
      <c r="V223" s="140"/>
      <c r="W223" s="112"/>
      <c r="X223" s="140"/>
      <c r="Y223" s="112"/>
      <c r="Z223" s="140"/>
      <c r="AA223" s="112"/>
      <c r="AB223" s="140"/>
      <c r="AC223" s="112"/>
      <c r="AD223" s="140"/>
      <c r="AE223" s="112"/>
      <c r="AF223" s="140"/>
      <c r="AG223" s="112"/>
      <c r="AH223" s="140"/>
      <c r="AI223" s="112"/>
      <c r="AJ223" s="140"/>
      <c r="AK223" s="112"/>
      <c r="AL223" s="140"/>
      <c r="AM223" s="112"/>
      <c r="AN223" s="140"/>
      <c r="AO223" s="112"/>
      <c r="AP223" s="140"/>
      <c r="AQ223" s="112"/>
      <c r="AR223" s="140"/>
      <c r="AS223" s="112"/>
      <c r="AT223" s="140"/>
      <c r="AU223" s="191">
        <f t="shared" si="6"/>
        <v>0</v>
      </c>
      <c r="AV223" s="160"/>
      <c r="AW223" s="169">
        <f t="shared" si="5"/>
        <v>0</v>
      </c>
      <c r="AZ223" s="246"/>
    </row>
    <row r="224" spans="1:52" x14ac:dyDescent="0.25">
      <c r="A224" s="109"/>
      <c r="B224" s="111"/>
      <c r="C224" s="109"/>
      <c r="D224" s="132"/>
      <c r="E224" s="109"/>
      <c r="G224" s="109"/>
      <c r="I224" s="109"/>
      <c r="K224" s="109"/>
      <c r="L224" s="140"/>
      <c r="M224" s="109">
        <v>52301</v>
      </c>
      <c r="N224" s="174">
        <v>18000</v>
      </c>
      <c r="O224" s="109">
        <v>52301</v>
      </c>
      <c r="P224" s="174"/>
      <c r="Q224" s="109">
        <v>52301</v>
      </c>
      <c r="R224" s="140"/>
      <c r="S224" s="109">
        <v>52301</v>
      </c>
      <c r="T224" s="140"/>
      <c r="U224" s="109">
        <v>52301</v>
      </c>
      <c r="V224" s="140"/>
      <c r="W224" s="109">
        <v>52301</v>
      </c>
      <c r="X224" s="140"/>
      <c r="Y224" s="109">
        <v>52301</v>
      </c>
      <c r="Z224" s="140"/>
      <c r="AA224" s="109">
        <v>52301</v>
      </c>
      <c r="AB224" s="140"/>
      <c r="AC224" s="109">
        <v>52301</v>
      </c>
      <c r="AD224" s="140"/>
      <c r="AE224" s="109">
        <v>52301</v>
      </c>
      <c r="AF224" s="140"/>
      <c r="AG224" s="109">
        <v>52301</v>
      </c>
      <c r="AH224" s="140"/>
      <c r="AI224" s="109">
        <v>52301</v>
      </c>
      <c r="AJ224" s="140"/>
      <c r="AK224" s="109">
        <v>52301</v>
      </c>
      <c r="AL224" s="140"/>
      <c r="AM224" s="109">
        <v>52301</v>
      </c>
      <c r="AN224" s="140"/>
      <c r="AO224" s="109">
        <v>52301</v>
      </c>
      <c r="AP224" s="140"/>
      <c r="AQ224" s="109">
        <v>52301</v>
      </c>
      <c r="AR224" s="140"/>
      <c r="AS224" s="109">
        <v>52301</v>
      </c>
      <c r="AT224" s="140"/>
      <c r="AU224" s="191">
        <f t="shared" si="6"/>
        <v>18000</v>
      </c>
      <c r="AW224" s="169">
        <f t="shared" si="5"/>
        <v>18000</v>
      </c>
    </row>
    <row r="225" spans="1:52" x14ac:dyDescent="0.25">
      <c r="A225" s="110"/>
      <c r="B225" s="111"/>
      <c r="C225" s="110"/>
      <c r="D225" s="132"/>
      <c r="E225" s="110"/>
      <c r="G225" s="110"/>
      <c r="I225" s="110"/>
      <c r="K225" s="110"/>
      <c r="L225" s="176"/>
      <c r="M225" s="110"/>
      <c r="N225" s="131"/>
      <c r="O225" s="110"/>
      <c r="P225" s="131"/>
      <c r="Q225" s="110"/>
      <c r="R225" s="176"/>
      <c r="S225" s="110"/>
      <c r="T225" s="176"/>
      <c r="U225" s="110"/>
      <c r="V225" s="176"/>
      <c r="W225" s="110"/>
      <c r="X225" s="176"/>
      <c r="Y225" s="110"/>
      <c r="Z225" s="176"/>
      <c r="AA225" s="110"/>
      <c r="AB225" s="176"/>
      <c r="AC225" s="110"/>
      <c r="AD225" s="176"/>
      <c r="AE225" s="110"/>
      <c r="AF225" s="176"/>
      <c r="AG225" s="110"/>
      <c r="AH225" s="176"/>
      <c r="AI225" s="110"/>
      <c r="AJ225" s="176"/>
      <c r="AK225" s="110"/>
      <c r="AL225" s="176"/>
      <c r="AM225" s="110"/>
      <c r="AN225" s="176"/>
      <c r="AO225" s="110"/>
      <c r="AP225" s="176"/>
      <c r="AQ225" s="110"/>
      <c r="AR225" s="176"/>
      <c r="AS225" s="110"/>
      <c r="AT225" s="176"/>
      <c r="AU225" s="191">
        <f t="shared" si="6"/>
        <v>0</v>
      </c>
      <c r="AW225" s="169">
        <f t="shared" si="5"/>
        <v>0</v>
      </c>
    </row>
    <row r="226" spans="1:52" x14ac:dyDescent="0.25">
      <c r="A226" s="110"/>
      <c r="B226" s="111"/>
      <c r="C226" s="110"/>
      <c r="D226" s="132"/>
      <c r="E226" s="110"/>
      <c r="G226" s="110"/>
      <c r="I226" s="110"/>
      <c r="K226" s="110"/>
      <c r="L226" s="176"/>
      <c r="M226" s="110"/>
      <c r="N226" s="131"/>
      <c r="O226" s="110"/>
      <c r="P226" s="131"/>
      <c r="Q226" s="110"/>
      <c r="R226" s="176"/>
      <c r="S226" s="110"/>
      <c r="T226" s="176"/>
      <c r="U226" s="110"/>
      <c r="V226" s="176"/>
      <c r="W226" s="110"/>
      <c r="X226" s="176"/>
      <c r="Y226" s="110"/>
      <c r="Z226" s="176"/>
      <c r="AA226" s="110"/>
      <c r="AB226" s="176"/>
      <c r="AC226" s="110"/>
      <c r="AD226" s="176"/>
      <c r="AE226" s="110"/>
      <c r="AF226" s="176"/>
      <c r="AG226" s="110"/>
      <c r="AH226" s="176"/>
      <c r="AI226" s="110"/>
      <c r="AJ226" s="176"/>
      <c r="AK226" s="110"/>
      <c r="AL226" s="176"/>
      <c r="AM226" s="110"/>
      <c r="AN226" s="176"/>
      <c r="AO226" s="110"/>
      <c r="AP226" s="176"/>
      <c r="AQ226" s="110"/>
      <c r="AR226" s="176"/>
      <c r="AS226" s="110"/>
      <c r="AT226" s="176"/>
      <c r="AU226" s="191">
        <f t="shared" si="6"/>
        <v>0</v>
      </c>
      <c r="AW226" s="169">
        <f t="shared" si="5"/>
        <v>0</v>
      </c>
    </row>
    <row r="227" spans="1:52" x14ac:dyDescent="0.25">
      <c r="A227" s="109">
        <v>53102</v>
      </c>
      <c r="B227" s="111">
        <v>70290</v>
      </c>
      <c r="C227" s="109">
        <v>53102</v>
      </c>
      <c r="D227" s="132"/>
      <c r="E227" s="109">
        <v>53102</v>
      </c>
      <c r="G227" s="109">
        <v>53102</v>
      </c>
      <c r="I227" s="109">
        <v>53102</v>
      </c>
      <c r="K227" s="109">
        <v>53102</v>
      </c>
      <c r="L227" s="140"/>
      <c r="M227" s="109">
        <v>53102</v>
      </c>
      <c r="N227" s="174"/>
      <c r="O227" s="109">
        <v>53102</v>
      </c>
      <c r="P227" s="174"/>
      <c r="Q227" s="109">
        <v>53102</v>
      </c>
      <c r="R227" s="140"/>
      <c r="S227" s="109">
        <v>53102</v>
      </c>
      <c r="T227" s="140"/>
      <c r="U227" s="109">
        <v>53102</v>
      </c>
      <c r="V227" s="140"/>
      <c r="W227" s="109">
        <v>53102</v>
      </c>
      <c r="X227" s="140"/>
      <c r="Y227" s="109">
        <v>53102</v>
      </c>
      <c r="Z227" s="140"/>
      <c r="AA227" s="109">
        <v>53102</v>
      </c>
      <c r="AB227" s="140"/>
      <c r="AC227" s="109">
        <v>53102</v>
      </c>
      <c r="AD227" s="140"/>
      <c r="AE227" s="109">
        <v>53102</v>
      </c>
      <c r="AF227" s="140"/>
      <c r="AG227" s="109">
        <v>53102</v>
      </c>
      <c r="AH227" s="140"/>
      <c r="AI227" s="109">
        <v>53102</v>
      </c>
      <c r="AJ227" s="140"/>
      <c r="AK227" s="109">
        <v>53102</v>
      </c>
      <c r="AL227" s="140">
        <v>1600</v>
      </c>
      <c r="AM227" s="109">
        <v>53102</v>
      </c>
      <c r="AN227" s="140"/>
      <c r="AO227" s="109">
        <v>53102</v>
      </c>
      <c r="AP227" s="140"/>
      <c r="AQ227" s="109">
        <v>53102</v>
      </c>
      <c r="AR227" s="140">
        <v>40885.94</v>
      </c>
      <c r="AS227" s="109">
        <v>53102</v>
      </c>
      <c r="AT227" s="140">
        <v>3236.79</v>
      </c>
      <c r="AU227" s="191">
        <f t="shared" si="6"/>
        <v>116012.73</v>
      </c>
      <c r="AV227" s="106">
        <v>116012.73000000001</v>
      </c>
      <c r="AW227" s="169">
        <f t="shared" si="5"/>
        <v>0</v>
      </c>
    </row>
    <row r="228" spans="1:52" x14ac:dyDescent="0.25">
      <c r="A228" s="110"/>
      <c r="B228" s="111"/>
      <c r="C228" s="110"/>
      <c r="D228" s="132"/>
      <c r="E228" s="110"/>
      <c r="G228" s="110"/>
      <c r="I228" s="110"/>
      <c r="K228" s="110"/>
      <c r="L228" s="176"/>
      <c r="M228" s="110"/>
      <c r="N228" s="131"/>
      <c r="O228" s="110"/>
      <c r="P228" s="131"/>
      <c r="Q228" s="110"/>
      <c r="R228" s="176"/>
      <c r="S228" s="110"/>
      <c r="T228" s="176"/>
      <c r="U228" s="110"/>
      <c r="V228" s="176"/>
      <c r="W228" s="110"/>
      <c r="X228" s="176"/>
      <c r="Y228" s="110"/>
      <c r="Z228" s="176"/>
      <c r="AA228" s="110"/>
      <c r="AB228" s="176"/>
      <c r="AC228" s="110"/>
      <c r="AD228" s="176"/>
      <c r="AE228" s="110"/>
      <c r="AF228" s="176"/>
      <c r="AG228" s="110"/>
      <c r="AH228" s="176"/>
      <c r="AI228" s="110"/>
      <c r="AJ228" s="176"/>
      <c r="AK228" s="109">
        <v>53201</v>
      </c>
      <c r="AL228" s="176">
        <v>1400</v>
      </c>
      <c r="AM228" s="109">
        <v>53201</v>
      </c>
      <c r="AN228" s="176"/>
      <c r="AO228" s="109">
        <v>53201</v>
      </c>
      <c r="AP228" s="176"/>
      <c r="AQ228" s="109">
        <v>53201</v>
      </c>
      <c r="AR228" s="176"/>
      <c r="AS228" s="109">
        <v>53201</v>
      </c>
      <c r="AT228" s="176"/>
      <c r="AU228" s="191">
        <f t="shared" si="6"/>
        <v>1400</v>
      </c>
      <c r="AW228" s="169">
        <f t="shared" si="5"/>
        <v>1400</v>
      </c>
    </row>
    <row r="229" spans="1:52" x14ac:dyDescent="0.25">
      <c r="A229" s="110"/>
      <c r="B229" s="111"/>
      <c r="C229" s="110"/>
      <c r="D229" s="132"/>
      <c r="E229" s="110"/>
      <c r="G229" s="110"/>
      <c r="I229" s="110"/>
      <c r="K229" s="110"/>
      <c r="L229" s="176"/>
      <c r="M229" s="110"/>
      <c r="N229" s="131"/>
      <c r="O229" s="110"/>
      <c r="P229" s="131"/>
      <c r="Q229" s="110"/>
      <c r="R229" s="176"/>
      <c r="S229" s="110"/>
      <c r="T229" s="176"/>
      <c r="U229" s="110"/>
      <c r="V229" s="176"/>
      <c r="W229" s="110"/>
      <c r="X229" s="176"/>
      <c r="Y229" s="110"/>
      <c r="Z229" s="176"/>
      <c r="AA229" s="110"/>
      <c r="AB229" s="176"/>
      <c r="AC229" s="110"/>
      <c r="AD229" s="176"/>
      <c r="AE229" s="110"/>
      <c r="AF229" s="176"/>
      <c r="AG229" s="110"/>
      <c r="AH229" s="176"/>
      <c r="AI229" s="110"/>
      <c r="AJ229" s="176"/>
      <c r="AK229" s="110"/>
      <c r="AL229" s="176"/>
      <c r="AM229" s="110"/>
      <c r="AN229" s="176"/>
      <c r="AO229" s="110"/>
      <c r="AP229" s="176"/>
      <c r="AQ229" s="110"/>
      <c r="AR229" s="176"/>
      <c r="AS229" s="110"/>
      <c r="AT229" s="176"/>
      <c r="AU229" s="191">
        <f t="shared" si="6"/>
        <v>0</v>
      </c>
      <c r="AW229" s="169"/>
    </row>
    <row r="230" spans="1:52" x14ac:dyDescent="0.25">
      <c r="A230" s="110"/>
      <c r="B230" s="111"/>
      <c r="C230" s="109">
        <v>56102</v>
      </c>
      <c r="D230" s="132">
        <v>6960</v>
      </c>
      <c r="E230" s="109">
        <v>56102</v>
      </c>
      <c r="G230" s="109">
        <v>56102</v>
      </c>
      <c r="H230" s="106">
        <v>7786.15</v>
      </c>
      <c r="I230" s="109">
        <v>56102</v>
      </c>
      <c r="K230" s="109">
        <v>56102</v>
      </c>
      <c r="L230" s="140"/>
      <c r="M230" s="109">
        <v>56102</v>
      </c>
      <c r="N230" s="174"/>
      <c r="O230" s="109">
        <v>56102</v>
      </c>
      <c r="P230" s="174"/>
      <c r="Q230" s="109">
        <v>56102</v>
      </c>
      <c r="R230" s="140"/>
      <c r="S230" s="109">
        <v>56102</v>
      </c>
      <c r="T230" s="140"/>
      <c r="U230" s="109">
        <v>56102</v>
      </c>
      <c r="V230" s="140"/>
      <c r="W230" s="109">
        <v>56102</v>
      </c>
      <c r="X230" s="140"/>
      <c r="Y230" s="109">
        <v>56102</v>
      </c>
      <c r="Z230" s="140"/>
      <c r="AA230" s="109">
        <v>56102</v>
      </c>
      <c r="AB230" s="140"/>
      <c r="AC230" s="109">
        <v>56102</v>
      </c>
      <c r="AD230" s="140"/>
      <c r="AE230" s="109">
        <v>56102</v>
      </c>
      <c r="AF230" s="140"/>
      <c r="AG230" s="109">
        <v>56102</v>
      </c>
      <c r="AH230" s="140"/>
      <c r="AI230" s="109">
        <v>56102</v>
      </c>
      <c r="AJ230" s="140"/>
      <c r="AK230" s="109">
        <v>56102</v>
      </c>
      <c r="AL230" s="140"/>
      <c r="AM230" s="109">
        <v>56102</v>
      </c>
      <c r="AN230" s="140"/>
      <c r="AO230" s="109">
        <v>56102</v>
      </c>
      <c r="AP230" s="140"/>
      <c r="AQ230" s="109">
        <v>56102</v>
      </c>
      <c r="AR230" s="140"/>
      <c r="AS230" s="109">
        <v>56102</v>
      </c>
      <c r="AT230" s="140"/>
      <c r="AU230" s="191">
        <f t="shared" si="6"/>
        <v>14746.15</v>
      </c>
      <c r="AW230" s="169">
        <f t="shared" si="5"/>
        <v>14746.15</v>
      </c>
    </row>
    <row r="231" spans="1:52" x14ac:dyDescent="0.25">
      <c r="A231" s="110"/>
      <c r="B231" s="111"/>
      <c r="C231" s="110"/>
      <c r="D231" s="132"/>
      <c r="E231" s="110"/>
      <c r="G231" s="110"/>
      <c r="I231" s="110"/>
      <c r="K231" s="110"/>
      <c r="L231" s="176"/>
      <c r="M231" s="110"/>
      <c r="N231" s="131"/>
      <c r="O231" s="110"/>
      <c r="P231" s="131"/>
      <c r="Q231" s="110"/>
      <c r="R231" s="176"/>
      <c r="S231" s="110"/>
      <c r="T231" s="176"/>
      <c r="U231" s="110"/>
      <c r="V231" s="176"/>
      <c r="W231" s="110"/>
      <c r="X231" s="176"/>
      <c r="Y231" s="110"/>
      <c r="Z231" s="176"/>
      <c r="AA231" s="110"/>
      <c r="AB231" s="176"/>
      <c r="AC231" s="110"/>
      <c r="AD231" s="176"/>
      <c r="AE231" s="110"/>
      <c r="AF231" s="176"/>
      <c r="AG231" s="110"/>
      <c r="AH231" s="176"/>
      <c r="AI231" s="110"/>
      <c r="AJ231" s="176"/>
      <c r="AK231" s="110"/>
      <c r="AL231" s="176"/>
      <c r="AM231" s="110"/>
      <c r="AN231" s="176"/>
      <c r="AO231" s="110"/>
      <c r="AP231" s="176"/>
      <c r="AQ231" s="110"/>
      <c r="AR231" s="176"/>
      <c r="AS231" s="110"/>
      <c r="AT231" s="176"/>
      <c r="AU231" s="191">
        <f t="shared" si="6"/>
        <v>0</v>
      </c>
      <c r="AW231" s="169">
        <f t="shared" si="5"/>
        <v>0</v>
      </c>
    </row>
    <row r="232" spans="1:52" x14ac:dyDescent="0.25">
      <c r="A232" s="110"/>
      <c r="B232" s="111"/>
      <c r="C232" s="109">
        <v>56206</v>
      </c>
      <c r="D232" s="132">
        <v>4060</v>
      </c>
      <c r="E232" s="109">
        <v>56206</v>
      </c>
      <c r="G232" s="109">
        <v>56206</v>
      </c>
      <c r="I232" s="109">
        <v>56206</v>
      </c>
      <c r="K232" s="109">
        <v>56206</v>
      </c>
      <c r="L232" s="140"/>
      <c r="M232" s="109">
        <v>56206</v>
      </c>
      <c r="N232" s="174"/>
      <c r="O232" s="109">
        <v>56206</v>
      </c>
      <c r="P232" s="174"/>
      <c r="Q232" s="109">
        <v>56206</v>
      </c>
      <c r="R232" s="140"/>
      <c r="S232" s="109">
        <v>56206</v>
      </c>
      <c r="T232" s="140"/>
      <c r="U232" s="109">
        <v>56206</v>
      </c>
      <c r="V232" s="140"/>
      <c r="W232" s="109">
        <v>56206</v>
      </c>
      <c r="X232" s="140"/>
      <c r="Y232" s="109">
        <v>56206</v>
      </c>
      <c r="Z232" s="140"/>
      <c r="AA232" s="109">
        <v>56206</v>
      </c>
      <c r="AB232" s="140"/>
      <c r="AC232" s="109">
        <v>56206</v>
      </c>
      <c r="AD232" s="140"/>
      <c r="AE232" s="109">
        <v>56206</v>
      </c>
      <c r="AF232" s="140"/>
      <c r="AG232" s="109">
        <v>56206</v>
      </c>
      <c r="AH232" s="140"/>
      <c r="AI232" s="109">
        <v>56206</v>
      </c>
      <c r="AJ232" s="140"/>
      <c r="AK232" s="109">
        <v>56206</v>
      </c>
      <c r="AL232" s="140"/>
      <c r="AM232" s="109">
        <v>56206</v>
      </c>
      <c r="AN232" s="140"/>
      <c r="AO232" s="109">
        <v>56206</v>
      </c>
      <c r="AP232" s="140"/>
      <c r="AQ232" s="109">
        <v>56206</v>
      </c>
      <c r="AR232" s="140"/>
      <c r="AS232" s="109">
        <v>56206</v>
      </c>
      <c r="AT232" s="140">
        <v>2000</v>
      </c>
      <c r="AU232" s="191">
        <f t="shared" si="6"/>
        <v>6060</v>
      </c>
      <c r="AV232" s="106">
        <v>6060</v>
      </c>
      <c r="AW232" s="169">
        <f t="shared" si="5"/>
        <v>0</v>
      </c>
    </row>
    <row r="233" spans="1:52" x14ac:dyDescent="0.25">
      <c r="A233" s="110"/>
      <c r="B233" s="111"/>
      <c r="C233" s="109"/>
      <c r="D233" s="132"/>
      <c r="E233" s="109"/>
      <c r="G233" s="109"/>
      <c r="I233" s="109"/>
      <c r="K233" s="109"/>
      <c r="L233" s="140"/>
      <c r="M233" s="109"/>
      <c r="N233" s="174"/>
      <c r="O233" s="109"/>
      <c r="P233" s="174"/>
      <c r="Q233" s="109"/>
      <c r="R233" s="140"/>
      <c r="S233" s="109"/>
      <c r="T233" s="140"/>
      <c r="U233" s="109"/>
      <c r="V233" s="140"/>
      <c r="W233" s="109"/>
      <c r="X233" s="140"/>
      <c r="Y233" s="109"/>
      <c r="Z233" s="140"/>
      <c r="AA233" s="109"/>
      <c r="AB233" s="140"/>
      <c r="AC233" s="109"/>
      <c r="AD233" s="140"/>
      <c r="AE233" s="109"/>
      <c r="AF233" s="140"/>
      <c r="AG233" s="109"/>
      <c r="AH233" s="140"/>
      <c r="AI233" s="109"/>
      <c r="AJ233" s="140"/>
      <c r="AK233" s="109"/>
      <c r="AL233" s="140"/>
      <c r="AM233" s="109"/>
      <c r="AN233" s="140"/>
      <c r="AO233" s="109">
        <v>56302</v>
      </c>
      <c r="AP233" s="140">
        <v>5500</v>
      </c>
      <c r="AQ233" s="109">
        <v>56302</v>
      </c>
      <c r="AR233" s="140"/>
      <c r="AS233" s="109">
        <v>56302</v>
      </c>
      <c r="AT233" s="140"/>
      <c r="AU233" s="191">
        <f t="shared" si="6"/>
        <v>5500</v>
      </c>
      <c r="AW233" s="169">
        <f t="shared" si="5"/>
        <v>5500</v>
      </c>
    </row>
    <row r="234" spans="1:52" s="108" customFormat="1" x14ac:dyDescent="0.25">
      <c r="A234" s="130"/>
      <c r="B234" s="131"/>
      <c r="C234" s="112"/>
      <c r="D234" s="177"/>
      <c r="E234" s="112"/>
      <c r="F234" s="142"/>
      <c r="G234" s="112"/>
      <c r="H234" s="160"/>
      <c r="I234" s="112"/>
      <c r="J234" s="160"/>
      <c r="K234" s="112"/>
      <c r="L234" s="140"/>
      <c r="M234" s="112"/>
      <c r="N234" s="174"/>
      <c r="O234" s="112"/>
      <c r="P234" s="174"/>
      <c r="Q234" s="112"/>
      <c r="R234" s="140"/>
      <c r="S234" s="112"/>
      <c r="T234" s="140"/>
      <c r="U234" s="112"/>
      <c r="V234" s="140"/>
      <c r="W234" s="112"/>
      <c r="X234" s="140"/>
      <c r="Y234" s="112"/>
      <c r="Z234" s="140"/>
      <c r="AA234" s="112"/>
      <c r="AB234" s="140"/>
      <c r="AC234" s="112"/>
      <c r="AD234" s="140"/>
      <c r="AE234" s="112"/>
      <c r="AF234" s="140"/>
      <c r="AG234" s="112"/>
      <c r="AH234" s="140"/>
      <c r="AI234" s="112"/>
      <c r="AJ234" s="140"/>
      <c r="AK234" s="112"/>
      <c r="AL234" s="140"/>
      <c r="AM234" s="112"/>
      <c r="AN234" s="140"/>
      <c r="AO234" s="112"/>
      <c r="AP234" s="140"/>
      <c r="AQ234" s="112"/>
      <c r="AR234" s="140"/>
      <c r="AS234" s="112"/>
      <c r="AT234" s="140"/>
      <c r="AU234" s="191">
        <f t="shared" si="6"/>
        <v>0</v>
      </c>
      <c r="AV234" s="160"/>
      <c r="AW234" s="169">
        <f t="shared" si="5"/>
        <v>0</v>
      </c>
      <c r="AZ234" s="246"/>
    </row>
    <row r="235" spans="1:52" s="108" customFormat="1" x14ac:dyDescent="0.25">
      <c r="A235" s="130"/>
      <c r="B235" s="131"/>
      <c r="C235" s="112"/>
      <c r="D235" s="177"/>
      <c r="E235" s="112"/>
      <c r="F235" s="142"/>
      <c r="G235" s="112"/>
      <c r="H235" s="160"/>
      <c r="I235" s="112"/>
      <c r="J235" s="160"/>
      <c r="K235" s="112"/>
      <c r="L235" s="140"/>
      <c r="M235" s="112"/>
      <c r="N235" s="174"/>
      <c r="O235" s="112"/>
      <c r="P235" s="174"/>
      <c r="Q235" s="112"/>
      <c r="R235" s="140"/>
      <c r="S235" s="112"/>
      <c r="T235" s="140"/>
      <c r="U235" s="112"/>
      <c r="V235" s="140"/>
      <c r="W235" s="112"/>
      <c r="X235" s="140"/>
      <c r="Y235" s="112"/>
      <c r="Z235" s="140"/>
      <c r="AA235" s="112"/>
      <c r="AB235" s="140"/>
      <c r="AC235" s="112"/>
      <c r="AD235" s="140"/>
      <c r="AE235" s="112"/>
      <c r="AF235" s="140"/>
      <c r="AG235" s="112"/>
      <c r="AH235" s="140"/>
      <c r="AI235" s="112"/>
      <c r="AJ235" s="140"/>
      <c r="AK235" s="112"/>
      <c r="AL235" s="140"/>
      <c r="AM235" s="112"/>
      <c r="AN235" s="140"/>
      <c r="AO235" s="112"/>
      <c r="AP235" s="140"/>
      <c r="AQ235" s="109">
        <v>56604</v>
      </c>
      <c r="AR235" s="140">
        <v>28957.54</v>
      </c>
      <c r="AS235" s="109">
        <v>56604</v>
      </c>
      <c r="AT235" s="140"/>
      <c r="AU235" s="191">
        <f t="shared" si="6"/>
        <v>28957.54</v>
      </c>
      <c r="AV235" s="160"/>
      <c r="AW235" s="169">
        <f t="shared" si="5"/>
        <v>28957.54</v>
      </c>
      <c r="AZ235" s="246"/>
    </row>
    <row r="236" spans="1:52" s="108" customFormat="1" x14ac:dyDescent="0.25">
      <c r="A236" s="130"/>
      <c r="B236" s="131"/>
      <c r="C236" s="112"/>
      <c r="D236" s="177"/>
      <c r="E236" s="112"/>
      <c r="F236" s="142"/>
      <c r="G236" s="112"/>
      <c r="H236" s="160"/>
      <c r="I236" s="112"/>
      <c r="J236" s="160"/>
      <c r="K236" s="112"/>
      <c r="L236" s="140"/>
      <c r="M236" s="112"/>
      <c r="N236" s="174"/>
      <c r="O236" s="112"/>
      <c r="P236" s="174"/>
      <c r="Q236" s="112"/>
      <c r="R236" s="140"/>
      <c r="S236" s="112"/>
      <c r="T236" s="140"/>
      <c r="U236" s="112"/>
      <c r="V236" s="140"/>
      <c r="W236" s="112"/>
      <c r="X236" s="140"/>
      <c r="Y236" s="112"/>
      <c r="Z236" s="140"/>
      <c r="AA236" s="112"/>
      <c r="AB236" s="140"/>
      <c r="AC236" s="112"/>
      <c r="AD236" s="140"/>
      <c r="AE236" s="112"/>
      <c r="AF236" s="140"/>
      <c r="AG236" s="112"/>
      <c r="AH236" s="140"/>
      <c r="AI236" s="112"/>
      <c r="AJ236" s="140"/>
      <c r="AK236" s="112"/>
      <c r="AL236" s="140"/>
      <c r="AM236" s="112"/>
      <c r="AN236" s="140"/>
      <c r="AO236" s="112"/>
      <c r="AP236" s="140"/>
      <c r="AQ236" s="112"/>
      <c r="AR236" s="140"/>
      <c r="AS236" s="112"/>
      <c r="AT236" s="140"/>
      <c r="AU236" s="191">
        <f t="shared" si="6"/>
        <v>0</v>
      </c>
      <c r="AV236" s="160"/>
      <c r="AW236" s="169">
        <f t="shared" si="5"/>
        <v>0</v>
      </c>
      <c r="AZ236" s="246"/>
    </row>
    <row r="237" spans="1:52" x14ac:dyDescent="0.25">
      <c r="A237" s="110"/>
      <c r="B237" s="111"/>
      <c r="C237" s="109">
        <v>56702</v>
      </c>
      <c r="D237" s="132">
        <v>25566.95</v>
      </c>
      <c r="E237" s="109">
        <v>56702</v>
      </c>
      <c r="G237" s="109">
        <v>56702</v>
      </c>
      <c r="I237" s="109">
        <v>56702</v>
      </c>
      <c r="K237" s="109">
        <v>56702</v>
      </c>
      <c r="L237" s="140"/>
      <c r="M237" s="109">
        <v>56702</v>
      </c>
      <c r="N237" s="174"/>
      <c r="O237" s="109">
        <v>56702</v>
      </c>
      <c r="P237" s="174"/>
      <c r="Q237" s="109">
        <v>56702</v>
      </c>
      <c r="R237" s="140"/>
      <c r="S237" s="109">
        <v>56702</v>
      </c>
      <c r="T237" s="140"/>
      <c r="U237" s="109">
        <v>56702</v>
      </c>
      <c r="V237" s="140"/>
      <c r="W237" s="109">
        <v>56702</v>
      </c>
      <c r="X237" s="140"/>
      <c r="Y237" s="109">
        <v>56702</v>
      </c>
      <c r="Z237" s="140"/>
      <c r="AA237" s="109">
        <v>56702</v>
      </c>
      <c r="AB237" s="140"/>
      <c r="AC237" s="109">
        <v>56702</v>
      </c>
      <c r="AD237" s="140"/>
      <c r="AE237" s="109">
        <v>56702</v>
      </c>
      <c r="AF237" s="140"/>
      <c r="AG237" s="109">
        <v>56702</v>
      </c>
      <c r="AH237" s="140"/>
      <c r="AI237" s="109">
        <v>56702</v>
      </c>
      <c r="AJ237" s="140"/>
      <c r="AK237" s="109">
        <v>56702</v>
      </c>
      <c r="AL237" s="140"/>
      <c r="AM237" s="109">
        <v>56702</v>
      </c>
      <c r="AN237" s="140"/>
      <c r="AO237" s="109">
        <v>56702</v>
      </c>
      <c r="AP237" s="140"/>
      <c r="AQ237" s="109">
        <v>56702</v>
      </c>
      <c r="AR237" s="140"/>
      <c r="AS237" s="109">
        <v>56702</v>
      </c>
      <c r="AT237" s="140"/>
      <c r="AU237" s="191">
        <f t="shared" si="6"/>
        <v>25566.95</v>
      </c>
      <c r="AW237" s="169">
        <f t="shared" si="5"/>
        <v>25566.95</v>
      </c>
    </row>
    <row r="238" spans="1:52" x14ac:dyDescent="0.25">
      <c r="A238" s="110"/>
      <c r="B238" s="111"/>
      <c r="C238" s="109"/>
      <c r="D238" s="132"/>
      <c r="E238" s="109"/>
      <c r="G238" s="109">
        <v>56704</v>
      </c>
      <c r="H238" s="106">
        <v>7786.15</v>
      </c>
      <c r="I238" s="109">
        <v>56704</v>
      </c>
      <c r="K238" s="109">
        <v>56704</v>
      </c>
      <c r="L238" s="140"/>
      <c r="M238" s="109">
        <v>56704</v>
      </c>
      <c r="N238" s="174"/>
      <c r="O238" s="109">
        <v>56704</v>
      </c>
      <c r="P238" s="174"/>
      <c r="Q238" s="109">
        <v>56704</v>
      </c>
      <c r="R238" s="140"/>
      <c r="S238" s="109">
        <v>56704</v>
      </c>
      <c r="T238" s="140"/>
      <c r="U238" s="109">
        <v>56704</v>
      </c>
      <c r="V238" s="140"/>
      <c r="W238" s="109">
        <v>56704</v>
      </c>
      <c r="X238" s="140"/>
      <c r="Y238" s="109">
        <v>56704</v>
      </c>
      <c r="Z238" s="140"/>
      <c r="AA238" s="109">
        <v>56704</v>
      </c>
      <c r="AB238" s="140"/>
      <c r="AC238" s="109">
        <v>56704</v>
      </c>
      <c r="AD238" s="140"/>
      <c r="AE238" s="109">
        <v>56704</v>
      </c>
      <c r="AF238" s="140"/>
      <c r="AG238" s="109">
        <v>56704</v>
      </c>
      <c r="AH238" s="140"/>
      <c r="AI238" s="109">
        <v>56704</v>
      </c>
      <c r="AJ238" s="140"/>
      <c r="AK238" s="109">
        <v>56704</v>
      </c>
      <c r="AL238" s="140"/>
      <c r="AM238" s="109">
        <v>56704</v>
      </c>
      <c r="AN238" s="140"/>
      <c r="AO238" s="109">
        <v>56704</v>
      </c>
      <c r="AP238" s="140"/>
      <c r="AQ238" s="109">
        <v>56704</v>
      </c>
      <c r="AR238" s="140"/>
      <c r="AS238" s="109">
        <v>56704</v>
      </c>
      <c r="AT238" s="140">
        <v>3156</v>
      </c>
      <c r="AU238" s="191">
        <f t="shared" si="6"/>
        <v>10942.15</v>
      </c>
      <c r="AV238" s="106">
        <v>10942.15</v>
      </c>
      <c r="AW238" s="169">
        <f t="shared" si="5"/>
        <v>0</v>
      </c>
    </row>
    <row r="239" spans="1:52" x14ac:dyDescent="0.25">
      <c r="A239" s="110"/>
      <c r="B239" s="111"/>
      <c r="C239" s="109"/>
      <c r="D239" s="132"/>
      <c r="E239" s="109"/>
      <c r="G239" s="109"/>
      <c r="I239" s="109"/>
      <c r="K239" s="109"/>
      <c r="L239" s="140"/>
      <c r="M239" s="109"/>
      <c r="N239" s="174"/>
      <c r="O239" s="109"/>
      <c r="P239" s="174"/>
      <c r="Q239" s="109"/>
      <c r="R239" s="140"/>
      <c r="S239" s="109"/>
      <c r="T239" s="140"/>
      <c r="U239" s="109"/>
      <c r="V239" s="140"/>
      <c r="W239" s="109"/>
      <c r="X239" s="140"/>
      <c r="Y239" s="109"/>
      <c r="Z239" s="140"/>
      <c r="AA239" s="109"/>
      <c r="AB239" s="140"/>
      <c r="AC239" s="109"/>
      <c r="AD239" s="140"/>
      <c r="AE239" s="109"/>
      <c r="AF239" s="140"/>
      <c r="AG239" s="109"/>
      <c r="AH239" s="140"/>
      <c r="AI239" s="109"/>
      <c r="AJ239" s="140"/>
      <c r="AK239" s="109">
        <v>56901</v>
      </c>
      <c r="AL239" s="140">
        <v>4200</v>
      </c>
      <c r="AM239" s="109">
        <v>56901</v>
      </c>
      <c r="AN239" s="140"/>
      <c r="AO239" s="109">
        <v>56901</v>
      </c>
      <c r="AP239" s="140"/>
      <c r="AQ239" s="109">
        <v>56901</v>
      </c>
      <c r="AR239" s="140"/>
      <c r="AS239" s="109">
        <v>56901</v>
      </c>
      <c r="AT239" s="140">
        <v>12420</v>
      </c>
      <c r="AU239" s="191">
        <f t="shared" si="6"/>
        <v>16620</v>
      </c>
      <c r="AV239" s="106">
        <v>16620</v>
      </c>
      <c r="AW239" s="169">
        <f t="shared" si="5"/>
        <v>0</v>
      </c>
    </row>
    <row r="240" spans="1:52" x14ac:dyDescent="0.25">
      <c r="A240" s="110"/>
      <c r="B240" s="111"/>
      <c r="C240" s="110"/>
      <c r="D240" s="132"/>
      <c r="E240" s="110"/>
      <c r="G240" s="110"/>
      <c r="I240" s="110"/>
      <c r="K240" s="110"/>
      <c r="L240" s="176"/>
      <c r="M240" s="110"/>
      <c r="N240" s="131"/>
      <c r="O240" s="110"/>
      <c r="P240" s="131"/>
      <c r="Q240" s="110"/>
      <c r="R240" s="176"/>
      <c r="S240" s="110"/>
      <c r="T240" s="176"/>
      <c r="U240" s="110"/>
      <c r="V240" s="176"/>
      <c r="W240" s="110"/>
      <c r="X240" s="176"/>
      <c r="Y240" s="110"/>
      <c r="Z240" s="176"/>
      <c r="AA240" s="110"/>
      <c r="AB240" s="176"/>
      <c r="AC240" s="110"/>
      <c r="AD240" s="176"/>
      <c r="AE240" s="110"/>
      <c r="AF240" s="176"/>
      <c r="AG240" s="110"/>
      <c r="AH240" s="176"/>
      <c r="AI240" s="110"/>
      <c r="AJ240" s="176"/>
      <c r="AK240" s="110"/>
      <c r="AL240" s="176"/>
      <c r="AM240" s="110"/>
      <c r="AN240" s="176"/>
      <c r="AO240" s="110"/>
      <c r="AP240" s="176"/>
      <c r="AQ240" s="110"/>
      <c r="AR240" s="176"/>
      <c r="AS240" s="110"/>
      <c r="AT240" s="176"/>
      <c r="AU240" s="191">
        <f t="shared" si="6"/>
        <v>0</v>
      </c>
      <c r="AW240" s="169">
        <f t="shared" si="5"/>
        <v>0</v>
      </c>
    </row>
    <row r="241" spans="1:49" x14ac:dyDescent="0.25">
      <c r="A241" s="110"/>
      <c r="B241" s="111"/>
      <c r="C241" s="109">
        <v>59701</v>
      </c>
      <c r="D241" s="132">
        <v>32447.52</v>
      </c>
      <c r="E241" s="109">
        <v>59701</v>
      </c>
      <c r="G241" s="109">
        <v>59701</v>
      </c>
      <c r="I241" s="109">
        <v>59701</v>
      </c>
      <c r="K241" s="109">
        <v>59701</v>
      </c>
      <c r="L241" s="140"/>
      <c r="M241" s="109">
        <v>59701</v>
      </c>
      <c r="N241" s="174"/>
      <c r="O241" s="109">
        <v>59701</v>
      </c>
      <c r="P241" s="174"/>
      <c r="Q241" s="109">
        <v>59701</v>
      </c>
      <c r="R241" s="140"/>
      <c r="S241" s="109">
        <v>59701</v>
      </c>
      <c r="T241" s="140"/>
      <c r="U241" s="109">
        <v>59701</v>
      </c>
      <c r="V241" s="140"/>
      <c r="W241" s="109">
        <v>59701</v>
      </c>
      <c r="X241" s="140"/>
      <c r="Y241" s="109">
        <v>59701</v>
      </c>
      <c r="Z241" s="140"/>
      <c r="AA241" s="109">
        <v>59701</v>
      </c>
      <c r="AB241" s="140"/>
      <c r="AC241" s="109">
        <v>59701</v>
      </c>
      <c r="AD241" s="140"/>
      <c r="AE241" s="109">
        <v>59701</v>
      </c>
      <c r="AF241" s="140"/>
      <c r="AG241" s="109">
        <v>59701</v>
      </c>
      <c r="AH241" s="140"/>
      <c r="AI241" s="109">
        <v>59701</v>
      </c>
      <c r="AJ241" s="140"/>
      <c r="AK241" s="109">
        <v>59701</v>
      </c>
      <c r="AL241" s="140"/>
      <c r="AM241" s="109">
        <v>59701</v>
      </c>
      <c r="AN241" s="140"/>
      <c r="AO241" s="109">
        <v>59701</v>
      </c>
      <c r="AP241" s="140"/>
      <c r="AQ241" s="109">
        <v>59701</v>
      </c>
      <c r="AR241" s="140"/>
      <c r="AS241" s="109">
        <v>59701</v>
      </c>
      <c r="AT241" s="140"/>
      <c r="AU241" s="191">
        <f t="shared" si="6"/>
        <v>32447.52</v>
      </c>
      <c r="AW241" s="169">
        <f t="shared" si="5"/>
        <v>32447.52</v>
      </c>
    </row>
    <row r="242" spans="1:49" x14ac:dyDescent="0.25">
      <c r="B242" s="119"/>
      <c r="AU242" s="192"/>
    </row>
    <row r="243" spans="1:49" x14ac:dyDescent="0.25">
      <c r="B243" s="118">
        <f>SUM(B6:B242)</f>
        <v>3973615.88</v>
      </c>
      <c r="C243" s="118"/>
      <c r="D243" s="134">
        <f>SUM(D6:D242)</f>
        <v>12562711.5177832</v>
      </c>
      <c r="E243" s="134"/>
      <c r="F243" s="134">
        <f>SUM(F6:F242)</f>
        <v>2123697.9799999995</v>
      </c>
      <c r="G243" s="134"/>
      <c r="H243" s="134">
        <f>SUM(H6:H242)</f>
        <v>7621517.4964000005</v>
      </c>
      <c r="I243" s="134"/>
      <c r="J243" s="134">
        <f>SUM(J6:J242)</f>
        <v>247739.65999999997</v>
      </c>
      <c r="K243" s="134"/>
      <c r="L243" s="134">
        <f>SUM(L6:L242)</f>
        <v>71750.7</v>
      </c>
      <c r="M243" s="134"/>
      <c r="N243" s="134">
        <f>SUM(N6:N242)</f>
        <v>310682.17000000004</v>
      </c>
      <c r="O243" s="134"/>
      <c r="P243" s="134">
        <f>SUM(P6:P242)</f>
        <v>104270.05</v>
      </c>
      <c r="Q243" s="134"/>
      <c r="R243" s="134">
        <f>SUM(R5:R242)</f>
        <v>211307.34000000003</v>
      </c>
      <c r="S243" s="134"/>
      <c r="T243" s="134">
        <f>SUM(T5:T242)</f>
        <v>857147.89</v>
      </c>
      <c r="U243" s="134"/>
      <c r="V243" s="134">
        <f>SUM(V5:V242)</f>
        <v>121112.84</v>
      </c>
      <c r="W243" s="134"/>
      <c r="X243" s="134">
        <f>SUM(X5:X242)</f>
        <v>394027.56</v>
      </c>
      <c r="Y243" s="134"/>
      <c r="Z243" s="134">
        <f>SUM(Z5:Z242)</f>
        <v>49788.65</v>
      </c>
      <c r="AA243" s="134"/>
      <c r="AB243" s="134">
        <f>SUM(AB5:AB242)</f>
        <v>113757.72</v>
      </c>
      <c r="AC243" s="134"/>
      <c r="AD243" s="134">
        <f>SUM(AD5:AD242)</f>
        <v>391696.7</v>
      </c>
      <c r="AE243" s="134"/>
      <c r="AF243" s="134">
        <f>SUM(AF5:AF242)</f>
        <v>696087.28943999996</v>
      </c>
      <c r="AG243" s="134"/>
      <c r="AH243" s="134">
        <f>SUM(AH5:AH242)</f>
        <v>366276.74</v>
      </c>
      <c r="AI243" s="134"/>
      <c r="AJ243" s="134">
        <f>SUM(AJ5:AJ242)</f>
        <v>110828.84279999998</v>
      </c>
      <c r="AK243" s="134"/>
      <c r="AL243" s="134">
        <f>SUM(AL5:AL242)</f>
        <v>1127759.21</v>
      </c>
      <c r="AM243" s="134"/>
      <c r="AN243" s="134">
        <f>SUM(AN5:AN242)</f>
        <v>307346.44</v>
      </c>
      <c r="AO243" s="134"/>
      <c r="AP243" s="134">
        <f>SUM(AP5:AP242)</f>
        <v>460966.98000000004</v>
      </c>
      <c r="AQ243" s="134"/>
      <c r="AR243" s="134">
        <f>SUM(AR5:AR242)</f>
        <v>2607925.8427999998</v>
      </c>
      <c r="AS243" s="134"/>
      <c r="AT243" s="134">
        <f>SUM(AT5:AT242)</f>
        <v>1900767.0350503996</v>
      </c>
      <c r="AU243" s="192">
        <f>H243+F243+D243+B243+J243+L243+N243+P243+R243+T243+V243+X243+Z243+AB243+AD243+AF243+AH243+AJ243+AL243+AN243+AP243+AR243+AT243</f>
        <v>36732782.534273595</v>
      </c>
      <c r="AW243" s="166">
        <f>SUM(AW5:AW242)</f>
        <v>15094303.595493335</v>
      </c>
    </row>
    <row r="244" spans="1:49" x14ac:dyDescent="0.25">
      <c r="B244" s="106" t="s">
        <v>202</v>
      </c>
      <c r="D244" s="133" t="s">
        <v>202</v>
      </c>
      <c r="F244" s="133" t="s">
        <v>202</v>
      </c>
      <c r="H244" s="161">
        <f>H243-H245</f>
        <v>-0.94359999988228083</v>
      </c>
      <c r="J244" s="106">
        <v>247739.66</v>
      </c>
      <c r="AU244" s="192"/>
    </row>
    <row r="245" spans="1:49" x14ac:dyDescent="0.25">
      <c r="H245" s="106">
        <v>7621518.4400000004</v>
      </c>
      <c r="J245" s="106">
        <f>J243-J244</f>
        <v>0</v>
      </c>
      <c r="L245" s="142">
        <f>L243+L244</f>
        <v>71750.7</v>
      </c>
      <c r="N245" s="160" t="s">
        <v>202</v>
      </c>
      <c r="P245" s="160" t="s">
        <v>202</v>
      </c>
      <c r="R245" s="160" t="s">
        <v>202</v>
      </c>
      <c r="T245" s="160" t="s">
        <v>202</v>
      </c>
      <c r="V245" s="160" t="s">
        <v>202</v>
      </c>
      <c r="X245" s="160" t="s">
        <v>202</v>
      </c>
      <c r="Z245" s="160" t="s">
        <v>202</v>
      </c>
      <c r="AB245" s="160" t="s">
        <v>202</v>
      </c>
      <c r="AD245" s="160" t="s">
        <v>202</v>
      </c>
      <c r="AF245" s="160" t="s">
        <v>202</v>
      </c>
      <c r="AH245" s="160" t="s">
        <v>202</v>
      </c>
      <c r="AJ245" s="160" t="s">
        <v>202</v>
      </c>
      <c r="AL245" s="160" t="s">
        <v>202</v>
      </c>
      <c r="AN245" s="160" t="s">
        <v>202</v>
      </c>
      <c r="AP245" s="160" t="s">
        <v>202</v>
      </c>
      <c r="AR245" s="160" t="s">
        <v>202</v>
      </c>
      <c r="AT245" s="160" t="s">
        <v>202</v>
      </c>
      <c r="AU245" s="192"/>
    </row>
    <row r="246" spans="1:49" x14ac:dyDescent="0.25">
      <c r="J246" s="106" t="s">
        <v>202</v>
      </c>
      <c r="L246" s="160" t="s">
        <v>202</v>
      </c>
    </row>
    <row r="247" spans="1:49" x14ac:dyDescent="0.25">
      <c r="AU247" s="193"/>
    </row>
    <row r="248" spans="1:49" x14ac:dyDescent="0.25">
      <c r="AT248" s="142">
        <v>1926094.29</v>
      </c>
      <c r="AU248" s="194"/>
    </row>
    <row r="249" spans="1:49" x14ac:dyDescent="0.25">
      <c r="AT249" s="142">
        <f>AT248-AT243</f>
        <v>25327.254949600436</v>
      </c>
    </row>
    <row r="250" spans="1:49" x14ac:dyDescent="0.25">
      <c r="L250"/>
      <c r="M250" s="235"/>
      <c r="N250" s="235"/>
    </row>
    <row r="251" spans="1:49" x14ac:dyDescent="0.25">
      <c r="G251" s="237"/>
      <c r="L251"/>
      <c r="M251" s="235"/>
      <c r="N251" s="235"/>
    </row>
    <row r="252" spans="1:49" x14ac:dyDescent="0.25">
      <c r="G252" s="237"/>
      <c r="L252"/>
      <c r="M252" s="235"/>
      <c r="N252" s="235"/>
    </row>
    <row r="253" spans="1:49" x14ac:dyDescent="0.25">
      <c r="G253" s="237"/>
      <c r="L253"/>
      <c r="M253" s="235"/>
      <c r="N253" s="235"/>
    </row>
    <row r="254" spans="1:49" x14ac:dyDescent="0.25">
      <c r="G254" s="237"/>
      <c r="L254"/>
      <c r="M254" s="235"/>
      <c r="N254" s="235"/>
    </row>
    <row r="255" spans="1:49" x14ac:dyDescent="0.25">
      <c r="F255" s="235"/>
      <c r="G255" s="237"/>
      <c r="H255" s="235"/>
      <c r="I255" s="106"/>
      <c r="L255"/>
      <c r="M255" s="235"/>
      <c r="N255" s="235"/>
    </row>
    <row r="256" spans="1:49" x14ac:dyDescent="0.25">
      <c r="D256" s="236"/>
      <c r="E256" s="235"/>
      <c r="F256" s="235"/>
      <c r="G256" s="237"/>
      <c r="H256" s="235"/>
      <c r="L256"/>
      <c r="M256" s="235"/>
      <c r="N256" s="235"/>
    </row>
    <row r="257" spans="4:14" x14ac:dyDescent="0.25">
      <c r="D257" s="236"/>
      <c r="E257" s="235"/>
      <c r="F257" s="235"/>
      <c r="G257" s="237"/>
      <c r="H257" s="235"/>
      <c r="L257"/>
      <c r="M257" s="235"/>
      <c r="N257" s="241"/>
    </row>
    <row r="258" spans="4:14" x14ac:dyDescent="0.25">
      <c r="D258" s="236"/>
      <c r="E258" s="238"/>
      <c r="F258" s="235"/>
      <c r="G258" s="237"/>
      <c r="H258" s="235"/>
      <c r="I258" s="240"/>
      <c r="L258"/>
      <c r="M258" s="236"/>
      <c r="N258" s="235"/>
    </row>
    <row r="259" spans="4:14" x14ac:dyDescent="0.25">
      <c r="D259" s="239"/>
      <c r="F259" s="235"/>
      <c r="G259" s="239">
        <f>SUM(G251:G258)</f>
        <v>0</v>
      </c>
      <c r="H259" s="235"/>
      <c r="I259" s="239">
        <f>SUM(I251:I258)</f>
        <v>0</v>
      </c>
      <c r="L259"/>
      <c r="M259" s="236"/>
      <c r="N259" s="235"/>
    </row>
    <row r="260" spans="4:14" x14ac:dyDescent="0.25">
      <c r="D260" s="236"/>
      <c r="E260" s="237"/>
      <c r="F260" s="235"/>
      <c r="G260" s="237"/>
      <c r="H260" s="235"/>
      <c r="L260"/>
      <c r="M260" s="236"/>
      <c r="N260" s="235"/>
    </row>
    <row r="261" spans="4:14" x14ac:dyDescent="0.25">
      <c r="L261"/>
      <c r="M261" s="236"/>
      <c r="N261" s="235"/>
    </row>
    <row r="262" spans="4:14" x14ac:dyDescent="0.25">
      <c r="L262"/>
      <c r="M262" s="236"/>
      <c r="N262" s="235"/>
    </row>
    <row r="263" spans="4:14" x14ac:dyDescent="0.25">
      <c r="L263"/>
      <c r="M263" s="235"/>
      <c r="N263" s="235"/>
    </row>
    <row r="264" spans="4:14" x14ac:dyDescent="0.25">
      <c r="G264" s="166">
        <f>SUM(N250:N270)</f>
        <v>0</v>
      </c>
      <c r="L264"/>
      <c r="M264" s="235"/>
      <c r="N264" s="235"/>
    </row>
    <row r="265" spans="4:14" x14ac:dyDescent="0.25">
      <c r="G265" s="166">
        <f>G264-G266</f>
        <v>-26281542.8741832</v>
      </c>
      <c r="L265"/>
      <c r="M265" s="235"/>
      <c r="N265" s="235"/>
    </row>
    <row r="266" spans="4:14" x14ac:dyDescent="0.25">
      <c r="G266" s="166">
        <f>B243+D243+F243+H243</f>
        <v>26281542.8741832</v>
      </c>
      <c r="L266"/>
      <c r="M266" s="235"/>
      <c r="N266" s="235"/>
    </row>
    <row r="267" spans="4:14" x14ac:dyDescent="0.25">
      <c r="L267"/>
      <c r="M267" s="235"/>
      <c r="N267" s="235"/>
    </row>
    <row r="268" spans="4:14" x14ac:dyDescent="0.25">
      <c r="L268"/>
      <c r="M268" s="235"/>
      <c r="N268" s="235"/>
    </row>
    <row r="269" spans="4:14" x14ac:dyDescent="0.25">
      <c r="L269"/>
      <c r="M269" s="235"/>
      <c r="N269" s="235"/>
    </row>
    <row r="270" spans="4:14" x14ac:dyDescent="0.25">
      <c r="L270"/>
      <c r="M270" s="235"/>
      <c r="N270" s="235"/>
    </row>
    <row r="271" spans="4:14" x14ac:dyDescent="0.25">
      <c r="L271"/>
      <c r="M271" s="106"/>
      <c r="N271"/>
    </row>
    <row r="272" spans="4:14" x14ac:dyDescent="0.25">
      <c r="L272"/>
      <c r="M272" s="106"/>
      <c r="N272"/>
    </row>
    <row r="273" spans="12:14" x14ac:dyDescent="0.25">
      <c r="L273"/>
      <c r="M273" s="106"/>
      <c r="N273"/>
    </row>
    <row r="274" spans="12:14" x14ac:dyDescent="0.25">
      <c r="L274"/>
      <c r="M274" s="106"/>
      <c r="N274"/>
    </row>
  </sheetData>
  <mergeCells count="24">
    <mergeCell ref="AZ3:AZ4"/>
    <mergeCell ref="AK3:AL3"/>
    <mergeCell ref="AM3:AN3"/>
    <mergeCell ref="AO3:AP3"/>
    <mergeCell ref="AQ3:AR3"/>
    <mergeCell ref="AS3:AT3"/>
    <mergeCell ref="AI3:AJ3"/>
    <mergeCell ref="M3:N3"/>
    <mergeCell ref="O3:P3"/>
    <mergeCell ref="Q3:R3"/>
    <mergeCell ref="S3:T3"/>
    <mergeCell ref="U3:V3"/>
    <mergeCell ref="W3:X3"/>
    <mergeCell ref="Y3:Z3"/>
    <mergeCell ref="AA3:AB3"/>
    <mergeCell ref="AC3:AD3"/>
    <mergeCell ref="AE3:AF3"/>
    <mergeCell ref="AG3:AH3"/>
    <mergeCell ref="K3:L3"/>
    <mergeCell ref="A3:B3"/>
    <mergeCell ref="C3:D3"/>
    <mergeCell ref="E3:F3"/>
    <mergeCell ref="G3:H3"/>
    <mergeCell ref="I3:J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PAA SUBSIDIO 2024</vt:lpstr>
      <vt:lpstr>PAA PROGRAMAS SOCIALES 2024</vt:lpstr>
      <vt:lpstr>PAA RECURSO FEDERAL 2024</vt:lpstr>
      <vt:lpstr>INGRESOS PROPIOS</vt:lpstr>
      <vt:lpstr>PARA ENTREGA DEL PAA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PLANEACION</cp:lastModifiedBy>
  <dcterms:created xsi:type="dcterms:W3CDTF">2023-10-28T19:18:13Z</dcterms:created>
  <dcterms:modified xsi:type="dcterms:W3CDTF">2024-10-15T19:57:50Z</dcterms:modified>
</cp:coreProperties>
</file>